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_rels/sheet1.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drawings/drawing1.xml" ContentType="application/vnd.openxmlformats-officedocument.drawing+xml"/>
  <Override PartName="/xl/drawings/vmlDrawing1.vml" ContentType="application/vnd.openxmlformats-officedocument.vmlDrawing"/>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_rels/externalLink1.xml.rels" ContentType="application/vnd.openxmlformats-package.relationships+xml"/>
  <Override PartName="/xl/externalLinks/_rels/externalLink2.xml.rels" ContentType="application/vnd.openxmlformats-package.relationships+xml"/>
  <Override PartName="/xl/externalLinks/_rels/externalLink3.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comments5.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ОБЩИЙ прейскурант (Прил.1)" sheetId="1" state="visible" r:id="rId3"/>
    <sheet name="Приложение 2" sheetId="2" state="visible" r:id="rId4"/>
    <sheet name="сводн.данные" sheetId="3" state="hidden" r:id="rId5"/>
    <sheet name="общ.калькуляция" sheetId="4" state="hidden" r:id="rId6"/>
    <sheet name="мат.затр" sheetId="5" state="hidden" r:id="rId7"/>
    <sheet name="тарифик" sheetId="6" state="hidden" r:id="rId8"/>
    <sheet name="амортизация" sheetId="7" state="hidden" r:id="rId9"/>
    <sheet name="норма времени" sheetId="8" state="hidden" r:id="rId10"/>
    <sheet name="накл расходы" sheetId="9" state="hidden" r:id="rId11"/>
    <sheet name="командир расх" sheetId="10" state="hidden" r:id="rId12"/>
  </sheets>
  <externalReferences>
    <externalReference r:id="rId13"/>
    <externalReference r:id="rId14"/>
    <externalReference r:id="rId15"/>
    <externalReference r:id="rId16"/>
    <externalReference r:id="rId17"/>
    <externalReference r:id="rId18"/>
    <externalReference r:id="rId19"/>
  </externalReferences>
  <definedNames>
    <definedName function="false" hidden="true" localSheetId="6" name="_xlnm._FilterDatabase" vbProcedure="false">амортизация!$A$10:$V$6043</definedName>
    <definedName function="false" hidden="true" localSheetId="7" name="_xlnm._FilterDatabase" vbProcedure="false">'норма времени'!$A$13:$O$1619</definedName>
    <definedName function="false" hidden="false" localSheetId="0" name="_xlnm.Print_Area" vbProcedure="false">'ОБЩИЙ прейскурант (Прил.1)'!$A$1:$G$1655</definedName>
    <definedName function="false" hidden="false" localSheetId="0" name="_xlnm.Print_Titles" vbProcedure="false">'ОБЩИЙ прейскурант (Прил.1)'!$4:$4</definedName>
    <definedName function="false" hidden="true" localSheetId="0" name="_xlnm._FilterDatabase" vbProcedure="false">'ОБЩИЙ прейскурант (Прил.1)'!$A$4:$L$1508</definedName>
    <definedName function="false" hidden="false" localSheetId="1" name="_xlnm.Print_Area" vbProcedure="false">'Приложение 2'!$A$1:$D$14</definedName>
    <definedName function="false" hidden="true" localSheetId="5" name="_xlnm._FilterDatabase" vbProcedure="false">тарифик!$A$9:$S$1569</definedName>
  </definedNames>
  <calcPr iterateCount="100" refMode="A1" iterate="false" iterateDelta="0.0001"/>
  <extLst>
    <ext xmlns:loext="http://schemas.libreoffice.org/" uri="{7626C862-2A13-11E5-B345-FEFF819CDC9F}">
      <loext:extCalcPr stringRefSyntax="ExcelA1"/>
    </ext>
  </extLst>
</workbook>
</file>

<file path=xl/comments5.xml><?xml version="1.0" encoding="utf-8"?>
<comments xmlns="http://schemas.openxmlformats.org/spreadsheetml/2006/main" xmlns:xdr="http://schemas.openxmlformats.org/drawingml/2006/spreadsheetDrawing">
  <authors>
    <author>&lt;анонимный&gt;</author>
  </authors>
  <commentList>
    <comment ref="F10536" authorId="0">
      <text>
        <r>
          <rPr>
            <sz val="10"/>
            <rFont val="Arial"/>
            <family val="2"/>
            <charset val="204"/>
          </rPr>
          <t xml:space="preserve">нет КП, цена примерная</t>
        </r>
      </text>
    </comment>
  </commentList>
</comments>
</file>

<file path=xl/sharedStrings.xml><?xml version="1.0" encoding="utf-8"?>
<sst xmlns="http://schemas.openxmlformats.org/spreadsheetml/2006/main" count="54425" uniqueCount="7528">
  <si>
    <t xml:space="preserve">1- қосымша</t>
  </si>
  <si>
    <t xml:space="preserve">ҚР ДСМ "Қоғамдық денсаулық сақтау ұлттық орталығы" ШЖҚ РМК </t>
  </si>
  <si>
    <t xml:space="preserve">ақылы қызметтер бағасының прейскуранты</t>
  </si>
  <si>
    <t xml:space="preserve">р/с № </t>
  </si>
  <si>
    <t xml:space="preserve">Қызмет атауы</t>
  </si>
  <si>
    <t xml:space="preserve">Өлшем бірлігі</t>
  </si>
  <si>
    <t xml:space="preserve">Рентабельділікті (пайданы) ескере отырып, қызметтің (өнімнің) жаңа бағасы, теңгемен</t>
  </si>
  <si>
    <t xml:space="preserve">Действующие цены</t>
  </si>
  <si>
    <t xml:space="preserve">Цены других лабораторий</t>
  </si>
  <si>
    <t xml:space="preserve">Отклонение новой стоимости от действ</t>
  </si>
  <si>
    <t xml:space="preserve">Қоршаған орта объектілеріндегі химиялық заттарды және пестицидтердің қалдық мөлшерін бақылау референс-зертханасы </t>
  </si>
  <si>
    <t xml:space="preserve">1.1</t>
  </si>
  <si>
    <t xml:space="preserve"> Коммуналдық гигиена. Орталықтандырылған шаруашылық ауыз сумен жабдықтау көздері. (желіге кірер алдында су құбыры суы, тарату желісі, жер асты және жер үсті көздері, су пайдалану орындарындағы 1-2 санаттағы ашық су айдындары). Орталықтандырылмаған шаруашылық-ауыз сумен жабдықтау ( тарату желісі жоқ ұңғымалар, құдықтар, каптаждар және бұлақтар)</t>
  </si>
  <si>
    <t xml:space="preserve">1.1.1</t>
  </si>
  <si>
    <t xml:space="preserve">Иісті анықтау</t>
  </si>
  <si>
    <t xml:space="preserve">талдау</t>
  </si>
  <si>
    <t xml:space="preserve">1.1.2</t>
  </si>
  <si>
    <t xml:space="preserve">Дәмді анықтау</t>
  </si>
  <si>
    <t xml:space="preserve">1.1.3</t>
  </si>
  <si>
    <t xml:space="preserve">Түсті анықтау</t>
  </si>
  <si>
    <t xml:space="preserve">1.1.4</t>
  </si>
  <si>
    <t xml:space="preserve">Лайлылықты анықтау (құрғақ қалдық)</t>
  </si>
  <si>
    <t xml:space="preserve">1.1.5</t>
  </si>
  <si>
    <t xml:space="preserve">PH сутек көрсеткішін анықтау</t>
  </si>
  <si>
    <t xml:space="preserve">1.1.6</t>
  </si>
  <si>
    <t xml:space="preserve">Жалпы минералдануды анықтау (құрғақ қалдық)</t>
  </si>
  <si>
    <t xml:space="preserve">1.1.7</t>
  </si>
  <si>
    <t xml:space="preserve">Перманганаттың тотығуын анықтау</t>
  </si>
  <si>
    <t xml:space="preserve">1.1.8</t>
  </si>
  <si>
    <t xml:space="preserve">Қалқымалы заттарды анықтау</t>
  </si>
  <si>
    <t xml:space="preserve">1.1.9</t>
  </si>
  <si>
    <t xml:space="preserve">Өлшенген заттарды анықтау</t>
  </si>
  <si>
    <t xml:space="preserve">1.1.10</t>
  </si>
  <si>
    <t xml:space="preserve">Жалпы сілтілікті анықтау</t>
  </si>
  <si>
    <t xml:space="preserve">1.1.11</t>
  </si>
  <si>
    <t xml:space="preserve">Жалпы қаттылықты анықтау</t>
  </si>
  <si>
    <t xml:space="preserve">1.1.12</t>
  </si>
  <si>
    <t xml:space="preserve">Хлоридтерді анықтау</t>
  </si>
  <si>
    <t xml:space="preserve">1.1.13</t>
  </si>
  <si>
    <t xml:space="preserve">Нитраттарды анықтау</t>
  </si>
  <si>
    <t xml:space="preserve">1.1.14</t>
  </si>
  <si>
    <t xml:space="preserve">Нитриттерді анықтау</t>
  </si>
  <si>
    <t xml:space="preserve">1.1.15</t>
  </si>
  <si>
    <t xml:space="preserve">Аммиак азотын анықтау</t>
  </si>
  <si>
    <t xml:space="preserve">1.1.16</t>
  </si>
  <si>
    <t xml:space="preserve">Сульфаттарды анықтау</t>
  </si>
  <si>
    <t xml:space="preserve">1.1.17</t>
  </si>
  <si>
    <t xml:space="preserve">Фторды анықтау</t>
  </si>
  <si>
    <t xml:space="preserve">1.1.18</t>
  </si>
  <si>
    <t xml:space="preserve">Калий мен натрийді анықтау</t>
  </si>
  <si>
    <t xml:space="preserve">1.1.19</t>
  </si>
  <si>
    <t xml:space="preserve">Кальцийді анықтау</t>
  </si>
  <si>
    <t xml:space="preserve">1.1.20</t>
  </si>
  <si>
    <t xml:space="preserve">Магнийді анықтау</t>
  </si>
  <si>
    <t xml:space="preserve">1.1.21</t>
  </si>
  <si>
    <t xml:space="preserve">Гидрокарбонатты анықтау</t>
  </si>
  <si>
    <t xml:space="preserve">1.1.22</t>
  </si>
  <si>
    <t xml:space="preserve">Белсенді хлорды анықтау</t>
  </si>
  <si>
    <t xml:space="preserve">1.1.23</t>
  </si>
  <si>
    <t xml:space="preserve">Хлорлау кезінде қалдық хлорды анықтау</t>
  </si>
  <si>
    <t xml:space="preserve">1.1.24</t>
  </si>
  <si>
    <t xml:space="preserve">Қалдық бос хлорды анықтау</t>
  </si>
  <si>
    <t xml:space="preserve">1.1.25</t>
  </si>
  <si>
    <t xml:space="preserve">Қалдық байланысқан хлорды анықтау</t>
  </si>
  <si>
    <t xml:space="preserve">1.1.26</t>
  </si>
  <si>
    <t xml:space="preserve">Озондау кезінде қалдық озонды анықтау</t>
  </si>
  <si>
    <t xml:space="preserve">1.1.27</t>
  </si>
  <si>
    <t xml:space="preserve">Еріген оттегіні анықтау</t>
  </si>
  <si>
    <t xml:space="preserve">1.1.28</t>
  </si>
  <si>
    <t xml:space="preserve">Оттегінің химиялық тұтынылуын (ОХТ) анықтау </t>
  </si>
  <si>
    <t xml:space="preserve">1.1.29</t>
  </si>
  <si>
    <t xml:space="preserve">Оттегінің биохимиялық тұтынуын (ОБТ5) анықтау </t>
  </si>
  <si>
    <t xml:space="preserve">1.1.30</t>
  </si>
  <si>
    <t xml:space="preserve">Оттегінің биохимиялық тұтынуын (ОБТ 20) анықтау </t>
  </si>
  <si>
    <t xml:space="preserve">1.1.31</t>
  </si>
  <si>
    <t xml:space="preserve">Анионды беттік-белсенді заттар концентрациясының (СПАВ) болуын анықтау </t>
  </si>
  <si>
    <t xml:space="preserve">1.1.32</t>
  </si>
  <si>
    <t xml:space="preserve">Алюминийді анықтау</t>
  </si>
  <si>
    <t xml:space="preserve">1.1.33</t>
  </si>
  <si>
    <t xml:space="preserve">Борды анықтамау</t>
  </si>
  <si>
    <t xml:space="preserve">1.1.34</t>
  </si>
  <si>
    <t xml:space="preserve">Бенз(а)пиренді анықтау</t>
  </si>
  <si>
    <t xml:space="preserve">1.1.35</t>
  </si>
  <si>
    <t xml:space="preserve">Темірді анықтау</t>
  </si>
  <si>
    <t xml:space="preserve">1.1.36</t>
  </si>
  <si>
    <t xml:space="preserve">Хромды анықтау</t>
  </si>
  <si>
    <t xml:space="preserve">1.1.37</t>
  </si>
  <si>
    <t xml:space="preserve">Қорғасынды анықтау (вольтамперометриялық)</t>
  </si>
  <si>
    <t xml:space="preserve">1.1.38</t>
  </si>
  <si>
    <t xml:space="preserve">Қорғасынды анықтау (атомдық-абсорбциялық)</t>
  </si>
  <si>
    <t xml:space="preserve">1.1.39</t>
  </si>
  <si>
    <t xml:space="preserve">Кадмийді анықтамау (вольтамперометриялық)</t>
  </si>
  <si>
    <t xml:space="preserve">1.1.40</t>
  </si>
  <si>
    <t xml:space="preserve">Кадмийді анықтамау (атомдық-абсорбциялық)</t>
  </si>
  <si>
    <t xml:space="preserve">1.1.41</t>
  </si>
  <si>
    <t xml:space="preserve">Мырышты анықтау (вольтамметриялық)</t>
  </si>
  <si>
    <t xml:space="preserve">1.1.42</t>
  </si>
  <si>
    <t xml:space="preserve">Мырышты анықтау (атомдық-абсобциялық)</t>
  </si>
  <si>
    <t xml:space="preserve">1.1.43</t>
  </si>
  <si>
    <t xml:space="preserve">Мысты анықтау (вольтамперометриялық)</t>
  </si>
  <si>
    <t xml:space="preserve">1.1.44</t>
  </si>
  <si>
    <t xml:space="preserve">Мысты анықтау (атомдық-абсорбциялық)</t>
  </si>
  <si>
    <t xml:space="preserve">1.1.45</t>
  </si>
  <si>
    <t xml:space="preserve">Күшәнді анықтау (вольтамперометриялық)</t>
  </si>
  <si>
    <t xml:space="preserve">1.1.46</t>
  </si>
  <si>
    <t xml:space="preserve">Күшәнді анықтау (атомдық-абсорбциялық)</t>
  </si>
  <si>
    <t xml:space="preserve">1.1.47</t>
  </si>
  <si>
    <t xml:space="preserve">Сынапты анықтау (вольтамперометриялық)</t>
  </si>
  <si>
    <t xml:space="preserve">1.1.48</t>
  </si>
  <si>
    <t xml:space="preserve">Сынапты анықтау (атомдық-абсорбциялық)</t>
  </si>
  <si>
    <t xml:space="preserve">1.1.49</t>
  </si>
  <si>
    <t xml:space="preserve">Марганецті анықтау (фотометриялық)</t>
  </si>
  <si>
    <t xml:space="preserve">1.1.50</t>
  </si>
  <si>
    <t xml:space="preserve">Марганецті анықтау (атомдық-абсорбциялық)</t>
  </si>
  <si>
    <t xml:space="preserve">1.1.51</t>
  </si>
  <si>
    <t xml:space="preserve">Кобальтті анықтау</t>
  </si>
  <si>
    <t xml:space="preserve">1.1.52</t>
  </si>
  <si>
    <t xml:space="preserve">Молибденді анықтау</t>
  </si>
  <si>
    <t xml:space="preserve">1.1.53</t>
  </si>
  <si>
    <t xml:space="preserve">Никельді анықтау</t>
  </si>
  <si>
    <t xml:space="preserve">1.1.54</t>
  </si>
  <si>
    <t xml:space="preserve">Фенолды анықтау (флуориметриялық)</t>
  </si>
  <si>
    <t xml:space="preserve">1.1.55</t>
  </si>
  <si>
    <t xml:space="preserve">Фенолды анықтау (газохроматографиялық)</t>
  </si>
  <si>
    <t xml:space="preserve">1.1.56</t>
  </si>
  <si>
    <t xml:space="preserve">Күкіртсутекті анықтау</t>
  </si>
  <si>
    <t xml:space="preserve">1.1.57</t>
  </si>
  <si>
    <t xml:space="preserve">Полифосфаттарды анықтау</t>
  </si>
  <si>
    <t xml:space="preserve">1.1.58</t>
  </si>
  <si>
    <t xml:space="preserve">Селенді анықтау</t>
  </si>
  <si>
    <t xml:space="preserve">1.1.59</t>
  </si>
  <si>
    <t xml:space="preserve">Мұнай өнімдерін анықтау</t>
  </si>
  <si>
    <t xml:space="preserve">1.1.60</t>
  </si>
  <si>
    <t xml:space="preserve">Органикалық көміртекті анықтау</t>
  </si>
  <si>
    <t xml:space="preserve">1.1.61</t>
  </si>
  <si>
    <t xml:space="preserve">Калийді анықтау</t>
  </si>
  <si>
    <t xml:space="preserve">1.1.62</t>
  </si>
  <si>
    <t xml:space="preserve">Натрийді анықтау</t>
  </si>
  <si>
    <t xml:space="preserve">1.1.63</t>
  </si>
  <si>
    <t xml:space="preserve">су сынамаларын алу</t>
  </si>
  <si>
    <t xml:space="preserve">1.1.64</t>
  </si>
  <si>
    <t xml:space="preserve">Меншікті электр өткізгіштігін анықтау</t>
  </si>
  <si>
    <t xml:space="preserve">1.1.65</t>
  </si>
  <si>
    <t xml:space="preserve">Барийді анықтау</t>
  </si>
  <si>
    <t xml:space="preserve">1.1.66</t>
  </si>
  <si>
    <t xml:space="preserve">Висмутты анықтау</t>
  </si>
  <si>
    <t xml:space="preserve">1.1.67</t>
  </si>
  <si>
    <t xml:space="preserve">Ванадийді анықтау</t>
  </si>
  <si>
    <t xml:space="preserve">1.1.68</t>
  </si>
  <si>
    <t xml:space="preserve">Стронцийді анықтау</t>
  </si>
  <si>
    <t xml:space="preserve">1.1.69</t>
  </si>
  <si>
    <t xml:space="preserve">Бериллийді анықтау</t>
  </si>
  <si>
    <t xml:space="preserve">1.2</t>
  </si>
  <si>
    <t xml:space="preserve">Ауыз су, ыдыстарға құйылғантабиғи минералды және жасанды-минералданған су</t>
  </si>
  <si>
    <t xml:space="preserve">1.2.1</t>
  </si>
  <si>
    <t xml:space="preserve">1.2.2</t>
  </si>
  <si>
    <t xml:space="preserve">1.2.3</t>
  </si>
  <si>
    <t xml:space="preserve">1.2.4</t>
  </si>
  <si>
    <t xml:space="preserve">1.2.5</t>
  </si>
  <si>
    <t xml:space="preserve">1.2.6</t>
  </si>
  <si>
    <t xml:space="preserve">1.2.7</t>
  </si>
  <si>
    <t xml:space="preserve">1.2.8</t>
  </si>
  <si>
    <t xml:space="preserve">Сілтілікті анықтау</t>
  </si>
  <si>
    <t xml:space="preserve">1.2.9</t>
  </si>
  <si>
    <t xml:space="preserve">Қаттылықты анықтау</t>
  </si>
  <si>
    <t xml:space="preserve">1.2.10</t>
  </si>
  <si>
    <t xml:space="preserve">1.2.11</t>
  </si>
  <si>
    <t xml:space="preserve">1.2.12</t>
  </si>
  <si>
    <t xml:space="preserve">1.2.13</t>
  </si>
  <si>
    <t xml:space="preserve">1.2.14</t>
  </si>
  <si>
    <t xml:space="preserve">Сульфатты анықтау</t>
  </si>
  <si>
    <t xml:space="preserve">1.2.15</t>
  </si>
  <si>
    <t xml:space="preserve">Фторидті анықтау</t>
  </si>
  <si>
    <t xml:space="preserve">1.2.16</t>
  </si>
  <si>
    <t xml:space="preserve">1.2.17</t>
  </si>
  <si>
    <t xml:space="preserve">1.2.18</t>
  </si>
  <si>
    <t xml:space="preserve">1.2.19</t>
  </si>
  <si>
    <t xml:space="preserve">Бикарбонатты анықтау</t>
  </si>
  <si>
    <t xml:space="preserve">1.2.20</t>
  </si>
  <si>
    <t xml:space="preserve">1.2.21</t>
  </si>
  <si>
    <t xml:space="preserve">1.2.22</t>
  </si>
  <si>
    <t xml:space="preserve">1.2.23</t>
  </si>
  <si>
    <t xml:space="preserve">Оттегіні анықтау</t>
  </si>
  <si>
    <t xml:space="preserve">1.2.24</t>
  </si>
  <si>
    <t xml:space="preserve">Анионды беттік-белсенді заттардың концентрациясын анықтау (СПАВ)</t>
  </si>
  <si>
    <t xml:space="preserve">1.2.25</t>
  </si>
  <si>
    <t xml:space="preserve">1.2.26</t>
  </si>
  <si>
    <t xml:space="preserve">Борды анықтау</t>
  </si>
  <si>
    <t xml:space="preserve">1.2.27</t>
  </si>
  <si>
    <t xml:space="preserve">1.2.28</t>
  </si>
  <si>
    <t xml:space="preserve">1.2.29</t>
  </si>
  <si>
    <t xml:space="preserve">Хромды анықтамау</t>
  </si>
  <si>
    <t xml:space="preserve">1.2.30</t>
  </si>
  <si>
    <t xml:space="preserve">1.2.31</t>
  </si>
  <si>
    <t xml:space="preserve">1.2.32</t>
  </si>
  <si>
    <t xml:space="preserve">Кадмийді анықтау (вольтамперометриялық)</t>
  </si>
  <si>
    <t xml:space="preserve">1.2.33</t>
  </si>
  <si>
    <t xml:space="preserve">Кадмийді анықтау (атомдық-абсорбциялық)</t>
  </si>
  <si>
    <t xml:space="preserve">1.2.34</t>
  </si>
  <si>
    <t xml:space="preserve">Мырышты анықтау (вольтамперометриялық)</t>
  </si>
  <si>
    <t xml:space="preserve">1.2.35</t>
  </si>
  <si>
    <t xml:space="preserve">Мырышты анықтау (атомдық-абсорбциялық)</t>
  </si>
  <si>
    <t xml:space="preserve">1.2.36</t>
  </si>
  <si>
    <t xml:space="preserve">1.2.37</t>
  </si>
  <si>
    <t xml:space="preserve">1.2.38</t>
  </si>
  <si>
    <t xml:space="preserve">1.2.39</t>
  </si>
  <si>
    <t xml:space="preserve">1.2.40</t>
  </si>
  <si>
    <t xml:space="preserve">1.2.41</t>
  </si>
  <si>
    <t xml:space="preserve">1.2.42</t>
  </si>
  <si>
    <t xml:space="preserve">1.2.43</t>
  </si>
  <si>
    <t xml:space="preserve">1.2.44</t>
  </si>
  <si>
    <t xml:space="preserve">1.2.45</t>
  </si>
  <si>
    <t xml:space="preserve">1.2.46</t>
  </si>
  <si>
    <t xml:space="preserve">1.2.47</t>
  </si>
  <si>
    <t xml:space="preserve">1.2.48</t>
  </si>
  <si>
    <t xml:space="preserve">1.2.49</t>
  </si>
  <si>
    <t xml:space="preserve">1.2.50</t>
  </si>
  <si>
    <t xml:space="preserve">1.2.51</t>
  </si>
  <si>
    <t xml:space="preserve">1.2.52</t>
  </si>
  <si>
    <t xml:space="preserve">1.2.53</t>
  </si>
  <si>
    <t xml:space="preserve">1.2.54</t>
  </si>
  <si>
    <t xml:space="preserve">Йодты анықтау</t>
  </si>
  <si>
    <t xml:space="preserve">1.2.55</t>
  </si>
  <si>
    <t xml:space="preserve">1.2.56</t>
  </si>
  <si>
    <t xml:space="preserve">1.2.57</t>
  </si>
  <si>
    <t xml:space="preserve">Көмірқышқыл газын анықтау</t>
  </si>
  <si>
    <t xml:space="preserve">1.3</t>
  </si>
  <si>
    <t xml:space="preserve">ТОПЫРАҚ</t>
  </si>
  <si>
    <t xml:space="preserve">1.3.1</t>
  </si>
  <si>
    <t xml:space="preserve">Ылғалдылықты анықтау</t>
  </si>
  <si>
    <t xml:space="preserve">1.3.2</t>
  </si>
  <si>
    <t xml:space="preserve">Сутегі көрсеткішін анықтау</t>
  </si>
  <si>
    <t xml:space="preserve">1.3.3</t>
  </si>
  <si>
    <t xml:space="preserve">Тығыз қалдықты анықтау</t>
  </si>
  <si>
    <t xml:space="preserve">1.3.4</t>
  </si>
  <si>
    <t xml:space="preserve">1.3.5</t>
  </si>
  <si>
    <t xml:space="preserve">Органикалық заттарды анықтау</t>
  </si>
  <si>
    <t xml:space="preserve">1.3.6</t>
  </si>
  <si>
    <t xml:space="preserve">Алмасу аммонийін анықтау</t>
  </si>
  <si>
    <t xml:space="preserve">1.3.7</t>
  </si>
  <si>
    <t xml:space="preserve">Азотты анықтау</t>
  </si>
  <si>
    <t xml:space="preserve">1.3.8</t>
  </si>
  <si>
    <t xml:space="preserve">Карбонат пен бикарбонатты анықтау</t>
  </si>
  <si>
    <t xml:space="preserve">1.3.9</t>
  </si>
  <si>
    <t xml:space="preserve">Кальций мен магнийді анықтау</t>
  </si>
  <si>
    <t xml:space="preserve">1.3.10</t>
  </si>
  <si>
    <t xml:space="preserve">Хлоридті анықтау</t>
  </si>
  <si>
    <t xml:space="preserve">1.3.11</t>
  </si>
  <si>
    <t xml:space="preserve">1.3.12</t>
  </si>
  <si>
    <t xml:space="preserve">Фосфорды анықтау</t>
  </si>
  <si>
    <t xml:space="preserve">1.3.13</t>
  </si>
  <si>
    <t xml:space="preserve">1.3.14</t>
  </si>
  <si>
    <t xml:space="preserve">Марганец, никель, кобальт, темір, селен, сынап, мышьякты анықтау</t>
  </si>
  <si>
    <t xml:space="preserve">1.3.15</t>
  </si>
  <si>
    <t xml:space="preserve">Қорғасын, кадмий, мырыш және мысты анықтау (вольтамперометриялық)</t>
  </si>
  <si>
    <t xml:space="preserve">1.3.16</t>
  </si>
  <si>
    <t xml:space="preserve">Қорғасын, кадмий, мырыш және мысты анықтау (атомдық-абсорбциялық)</t>
  </si>
  <si>
    <t xml:space="preserve">1.3.17</t>
  </si>
  <si>
    <t xml:space="preserve">топырақтағы мырыш, кадмий, қорғасын, мыс, марганец, никель, кобальт, темір, күшән, селен, сынаптың жалпы құрамын анықтау үшін сорғышты дайындау</t>
  </si>
  <si>
    <t xml:space="preserve">1.3.18</t>
  </si>
  <si>
    <t xml:space="preserve">топырақтан тұзды сорғышты дайындау</t>
  </si>
  <si>
    <t xml:space="preserve">1.3.19</t>
  </si>
  <si>
    <t xml:space="preserve">топырақ сынамаларын алу (шығу)</t>
  </si>
  <si>
    <t xml:space="preserve">1.4</t>
  </si>
  <si>
    <t xml:space="preserve">4. Дезинфекциялау құралдары. (Құрамында хлор бар, спирті бар, таблетка, ұнтақ тәрізді, түйіршіктелген, сұйық, гельдер, желе тәрізді, суспензиялар, пасталар; дайын формалар – хлор негізіндегі дезинфекциялық ерітіндіге малынған майлықтар, тері антисептиктері, спирттерге малынған майлықтар.)</t>
  </si>
  <si>
    <t xml:space="preserve">1.4.1</t>
  </si>
  <si>
    <t xml:space="preserve">Сыртқы түрін анықтау</t>
  </si>
  <si>
    <t xml:space="preserve">1.4.2</t>
  </si>
  <si>
    <t xml:space="preserve">1.4.3</t>
  </si>
  <si>
    <t xml:space="preserve">1.4.4</t>
  </si>
  <si>
    <t xml:space="preserve">Сутегі иондарының белсенділік көрсеткішін (РН)анықтау</t>
  </si>
  <si>
    <t xml:space="preserve">1.4.5</t>
  </si>
  <si>
    <t xml:space="preserve">Тығыздықты анықтау</t>
  </si>
  <si>
    <t xml:space="preserve">1.4.6</t>
  </si>
  <si>
    <t xml:space="preserve">Сынуды анықтау</t>
  </si>
  <si>
    <t xml:space="preserve">1.4.7</t>
  </si>
  <si>
    <t xml:space="preserve">Таблеткалардың орташа салмағын анықтау</t>
  </si>
  <si>
    <t xml:space="preserve">1.4.8</t>
  </si>
  <si>
    <t xml:space="preserve">Майлықтарды сіңдіру коэффициентін анықтау</t>
  </si>
  <si>
    <t xml:space="preserve">1.4.9</t>
  </si>
  <si>
    <t xml:space="preserve">Белсенді хлордың (құрамында трихлоризо-цианур немесе дихлоризоцианур қышқылдары және олардың тұздары бар) ДХЦК, ТХЦК массалық үлесін анықтау</t>
  </si>
  <si>
    <t xml:space="preserve">1.4.10</t>
  </si>
  <si>
    <t xml:space="preserve">Белсенді хлордың массалық үлесін анықтау (таблеткалар, түйіршіктер, кальций гипохлориті, хлорлы әк)</t>
  </si>
  <si>
    <t xml:space="preserve">1.4.11</t>
  </si>
  <si>
    <t xml:space="preserve">Белсенді хлордың массалық үлесін анықтау (Натрий гипохлориті, сулы ерітінділер, жұмыс ерітінділері)</t>
  </si>
  <si>
    <t xml:space="preserve">1.4.12</t>
  </si>
  <si>
    <t xml:space="preserve">Сутегі асқын тотығының массалық үлесін анықтау</t>
  </si>
  <si>
    <t xml:space="preserve">1.4.13</t>
  </si>
  <si>
    <t xml:space="preserve">Сірке қышқылының массалық үлесін анықтау</t>
  </si>
  <si>
    <t xml:space="preserve">1.4.14</t>
  </si>
  <si>
    <t xml:space="preserve">Глутарлы альдегидтің массалық үлесін анықтау</t>
  </si>
  <si>
    <t xml:space="preserve">1.4.15</t>
  </si>
  <si>
    <t xml:space="preserve">Глиоксалдың массалық үлесін анықтау</t>
  </si>
  <si>
    <t xml:space="preserve">1.4.16</t>
  </si>
  <si>
    <t xml:space="preserve">Ортофтальды альдигидтің массалық үлесін анықтау</t>
  </si>
  <si>
    <t xml:space="preserve">1.4.17</t>
  </si>
  <si>
    <t xml:space="preserve">Натрий гидроксидінің (NaOH) массалық үлесін анықтау</t>
  </si>
  <si>
    <t xml:space="preserve">1.4.18</t>
  </si>
  <si>
    <t xml:space="preserve">Төрттік аммоний қосылысының массалық үлесін анықтау (САҒ)</t>
  </si>
  <si>
    <t xml:space="preserve">1.4.19</t>
  </si>
  <si>
    <t xml:space="preserve">Алкилдиметил-бензиламмоний хлоридінің массалық үлесін анықтау</t>
  </si>
  <si>
    <t xml:space="preserve">1.4.20</t>
  </si>
  <si>
    <t xml:space="preserve">Полигексаметиленгуанидин гидрохлоридінің (ПГМГ)массалық үлесін анықтау</t>
  </si>
  <si>
    <t xml:space="preserve">1.4.21</t>
  </si>
  <si>
    <t xml:space="preserve">Додециламиннің N,N-бис (3-аминопропил) массалық үлесін анықтау</t>
  </si>
  <si>
    <t xml:space="preserve">1.4.22</t>
  </si>
  <si>
    <t xml:space="preserve">Этил спиртінің массалық үлесін анықтау (хроматографиялық әдіспен)</t>
  </si>
  <si>
    <t xml:space="preserve">1.4.23</t>
  </si>
  <si>
    <t xml:space="preserve">Пропанол-1, пропанол-2 изопропил спиртінің массалық үлесін анықтау (хроматографиялық әдіспен)</t>
  </si>
  <si>
    <t xml:space="preserve">1.4.24</t>
  </si>
  <si>
    <t xml:space="preserve">Н-пропил спиртінің массалық үлесін анықтау (хроматографиялық әдіспен)</t>
  </si>
  <si>
    <t xml:space="preserve">1.4.25</t>
  </si>
  <si>
    <t xml:space="preserve">2-феноксиэтанолдың массалық үлесін анықтау (хроматографиялық әдіспен)</t>
  </si>
  <si>
    <t xml:space="preserve">1.4.26</t>
  </si>
  <si>
    <t xml:space="preserve">Феноксипропанолдың массалық үлесін анықтау (хроматографиялық әдіспен)</t>
  </si>
  <si>
    <t xml:space="preserve">1.4.27</t>
  </si>
  <si>
    <t xml:space="preserve">Дезинфекциялау құралындағы белсенді әсер ететін заттың массалық үлесін анықтау (ӘЗ химиялық әдіспен)</t>
  </si>
  <si>
    <t xml:space="preserve">1.4.28</t>
  </si>
  <si>
    <t xml:space="preserve">Дезинфекциялау құралындағы белсенді әсер ететін заттың массалық үлесін анықтау (ӘЗ газохроматографиялық және тиімділігі жоғары сұйық хроматографиялық әдіспен)</t>
  </si>
  <si>
    <t xml:space="preserve">1.4.29</t>
  </si>
  <si>
    <t xml:space="preserve">Дезинфекциялау құралының сынамаларын алу (1 сынама, зертхана маманының кетуі)</t>
  </si>
  <si>
    <t xml:space="preserve">1.4.30</t>
  </si>
  <si>
    <t xml:space="preserve">Санитариялық-химиялық көрсеткіштер бойынша (ILAC белгісімен) сынақ хаттамасын ресімдеу және беру</t>
  </si>
  <si>
    <t xml:space="preserve">хаттама</t>
  </si>
  <si>
    <t xml:space="preserve">1.5</t>
  </si>
  <si>
    <t xml:space="preserve">Ет және ет өнімдері: құс еті, жұмыртқа және оларды қайта өңдеу өнімдері, ет пен құс етінен консервілер</t>
  </si>
  <si>
    <t xml:space="preserve">1.5.1</t>
  </si>
  <si>
    <t xml:space="preserve">Органолептикалық көрсеткіштерді анықтау</t>
  </si>
  <si>
    <t xml:space="preserve">1.5.2</t>
  </si>
  <si>
    <t xml:space="preserve">Бөгде қоспаларды анықтау</t>
  </si>
  <si>
    <t xml:space="preserve">1.5.3</t>
  </si>
  <si>
    <t xml:space="preserve">1.5.4</t>
  </si>
  <si>
    <t xml:space="preserve">Арбитраж әдісімен ылғалды анықтау</t>
  </si>
  <si>
    <t xml:space="preserve">1.5.5</t>
  </si>
  <si>
    <t xml:space="preserve">Ас тұзын анықтау</t>
  </si>
  <si>
    <t xml:space="preserve">1.5.6</t>
  </si>
  <si>
    <t xml:space="preserve">Натрий нитритін анықтау</t>
  </si>
  <si>
    <t xml:space="preserve">1.5.7</t>
  </si>
  <si>
    <t xml:space="preserve">Крахмалды анықтау (қолданған кезде)</t>
  </si>
  <si>
    <t xml:space="preserve">1.5.8</t>
  </si>
  <si>
    <t xml:space="preserve">Тағамдағы ақуызды анықтау</t>
  </si>
  <si>
    <t xml:space="preserve">1.5.9</t>
  </si>
  <si>
    <t xml:space="preserve">Күл заттарын анықтау</t>
  </si>
  <si>
    <t xml:space="preserve">1.5.10</t>
  </si>
  <si>
    <t xml:space="preserve">Майдың массалық үлесін анықтау (Гербер бойынша)</t>
  </si>
  <si>
    <t xml:space="preserve">1.5.11</t>
  </si>
  <si>
    <t xml:space="preserve">Майдың массалық үлесін анықтау (Сокслет бойынша)</t>
  </si>
  <si>
    <t xml:space="preserve">1.5.12</t>
  </si>
  <si>
    <t xml:space="preserve">Жалпы фосфорды анықтау ( көрсеткіштер бойынша)</t>
  </si>
  <si>
    <t xml:space="preserve">1.5.13</t>
  </si>
  <si>
    <t xml:space="preserve">Қышқыл фосфатазаның қалдық белсенділігін анықтау (көрсеткіштер бойынша)</t>
  </si>
  <si>
    <t xml:space="preserve">1.5.14</t>
  </si>
  <si>
    <t xml:space="preserve">Құс етіндегі қышқыл санын анықтау</t>
  </si>
  <si>
    <t xml:space="preserve">1.5.15</t>
  </si>
  <si>
    <t xml:space="preserve">Құс етіндегі пероксид санын анықтау</t>
  </si>
  <si>
    <t xml:space="preserve">1.5.16</t>
  </si>
  <si>
    <t xml:space="preserve">ААС қорғасынды анықтау</t>
  </si>
  <si>
    <t xml:space="preserve">1.5.17</t>
  </si>
  <si>
    <t xml:space="preserve">Қорғасынды ИВ әдісімен анықтау</t>
  </si>
  <si>
    <t xml:space="preserve">1.5.18</t>
  </si>
  <si>
    <t xml:space="preserve">ААС кадмийді анықтау</t>
  </si>
  <si>
    <t xml:space="preserve">1.5.19</t>
  </si>
  <si>
    <t xml:space="preserve">Кадмийді ИВ әдісімен анықтау</t>
  </si>
  <si>
    <t xml:space="preserve">1.5.20</t>
  </si>
  <si>
    <t xml:space="preserve">ААС мысты анықтау (консервілер үшін)</t>
  </si>
  <si>
    <t xml:space="preserve">1.5.21</t>
  </si>
  <si>
    <t xml:space="preserve">ИВ әдісімен мысты (консервілер үшін) анықтау</t>
  </si>
  <si>
    <t xml:space="preserve">1.5.22</t>
  </si>
  <si>
    <t xml:space="preserve">ААС мырышты анықтау (консервілер үшін) </t>
  </si>
  <si>
    <t xml:space="preserve">1.5.23</t>
  </si>
  <si>
    <t xml:space="preserve">ИВ әдісімен мырышты (консервілер үшін) анықтау</t>
  </si>
  <si>
    <t xml:space="preserve">1.5.24</t>
  </si>
  <si>
    <t xml:space="preserve">ААС күшәнді анықтау</t>
  </si>
  <si>
    <t xml:space="preserve">1.5.25</t>
  </si>
  <si>
    <t xml:space="preserve">ИВ әдісімен күшәнді анықтау</t>
  </si>
  <si>
    <t xml:space="preserve">1.5.26</t>
  </si>
  <si>
    <t xml:space="preserve">ААС сынапты анықтау ( көрсеткіштер бойынша)</t>
  </si>
  <si>
    <t xml:space="preserve">1.5.27</t>
  </si>
  <si>
    <t xml:space="preserve">Сынапты (көрсеткіштер бойынша) ИВ әдісімен анықтау</t>
  </si>
  <si>
    <t xml:space="preserve">1.5.28</t>
  </si>
  <si>
    <t xml:space="preserve">Қалайыны анықтау (құрама қаңылтыр ыдыстағы консервілер үшін)</t>
  </si>
  <si>
    <t xml:space="preserve">1.5.29</t>
  </si>
  <si>
    <t xml:space="preserve">Хромды анықтау (құрама хромды ыдыстағы консервілер үшін)</t>
  </si>
  <si>
    <t xml:space="preserve">1.5.30</t>
  </si>
  <si>
    <t xml:space="preserve">Натрий нитраты қосылған ысталған тағамдар мен консервілерге арналған нитрозаминдерді анықтау</t>
  </si>
  <si>
    <t xml:space="preserve">1.5.31</t>
  </si>
  <si>
    <t xml:space="preserve">Ысталған өнімдерге арналған бенз(а)пиринді анықтау</t>
  </si>
  <si>
    <t xml:space="preserve">1.5.32</t>
  </si>
  <si>
    <t xml:space="preserve">Левомецетин тобын анықтау</t>
  </si>
  <si>
    <t xml:space="preserve">1.5.33</t>
  </si>
  <si>
    <t xml:space="preserve">Тетрациклин тобын анықтау</t>
  </si>
  <si>
    <t xml:space="preserve">1.5.34</t>
  </si>
  <si>
    <t xml:space="preserve">Нанның массалық үлесін анықтау</t>
  </si>
  <si>
    <t xml:space="preserve">1.6</t>
  </si>
  <si>
    <t xml:space="preserve">Сүт және сүт өнімдері, сүт консервілері</t>
  </si>
  <si>
    <t xml:space="preserve">1.6.1</t>
  </si>
  <si>
    <t xml:space="preserve">1.6.2</t>
  </si>
  <si>
    <t xml:space="preserve">Пастерлеуді анықтау</t>
  </si>
  <si>
    <t xml:space="preserve">1.6.3</t>
  </si>
  <si>
    <t xml:space="preserve">Қышқылдықты анықтау</t>
  </si>
  <si>
    <t xml:space="preserve">1.6.4</t>
  </si>
  <si>
    <t xml:space="preserve">Тығыздықты анықтау (Ареометр):</t>
  </si>
  <si>
    <t xml:space="preserve">1.6.5</t>
  </si>
  <si>
    <t xml:space="preserve">Рефрактометрдегі тығыздықты анықтау</t>
  </si>
  <si>
    <t xml:space="preserve">1.6.6</t>
  </si>
  <si>
    <t xml:space="preserve">Фурозинді анықтау</t>
  </si>
  <si>
    <t xml:space="preserve">1.6.7</t>
  </si>
  <si>
    <t xml:space="preserve">Соданы анықтау</t>
  </si>
  <si>
    <t xml:space="preserve">1.6.8</t>
  </si>
  <si>
    <t xml:space="preserve">Аммиакты анықтау</t>
  </si>
  <si>
    <t xml:space="preserve">1.6.9</t>
  </si>
  <si>
    <t xml:space="preserve">Нитраттар мен нитриттерді анықтау</t>
  </si>
  <si>
    <t xml:space="preserve">1.6.10</t>
  </si>
  <si>
    <t xml:space="preserve">Ылғалды анықтау</t>
  </si>
  <si>
    <t xml:space="preserve">1.6.11</t>
  </si>
  <si>
    <t xml:space="preserve">Арбитраж әдісімен ылғалды анықтау, СОМО .</t>
  </si>
  <si>
    <t xml:space="preserve">1.6.12</t>
  </si>
  <si>
    <t xml:space="preserve">Қантты анықтау (фотометриялық әдіс)</t>
  </si>
  <si>
    <t xml:space="preserve">1.6.13</t>
  </si>
  <si>
    <t xml:space="preserve">Қантты анықтау (титрометриялық әдіс)</t>
  </si>
  <si>
    <t xml:space="preserve">1.6.14</t>
  </si>
  <si>
    <t xml:space="preserve">Сутегі асқын тотығын анықтау</t>
  </si>
  <si>
    <t xml:space="preserve">1.6.15</t>
  </si>
  <si>
    <t xml:space="preserve">Майды анықтау (Гербер бойынша)</t>
  </si>
  <si>
    <t xml:space="preserve">1.6.16</t>
  </si>
  <si>
    <t xml:space="preserve">Майды анықтау (Сокслет бойынша)</t>
  </si>
  <si>
    <t xml:space="preserve">1.6.17</t>
  </si>
  <si>
    <t xml:space="preserve">Майдың қышқыл санын анықтау</t>
  </si>
  <si>
    <t xml:space="preserve">1.6.18</t>
  </si>
  <si>
    <t xml:space="preserve">Фосфатаза белсенділігін анықтау</t>
  </si>
  <si>
    <t xml:space="preserve">1.6.19</t>
  </si>
  <si>
    <t xml:space="preserve">Сахарозаның массалық үлесін анықтау</t>
  </si>
  <si>
    <t xml:space="preserve">1.6.20</t>
  </si>
  <si>
    <t xml:space="preserve">Қатты заттарды анықтау</t>
  </si>
  <si>
    <t xml:space="preserve">1.6.21</t>
  </si>
  <si>
    <t xml:space="preserve">Кадмийді (ИВ)анықтау</t>
  </si>
  <si>
    <t xml:space="preserve">1.6.22</t>
  </si>
  <si>
    <t xml:space="preserve">Кадмийді (ААС) анықтау</t>
  </si>
  <si>
    <t xml:space="preserve">1.6.23</t>
  </si>
  <si>
    <t xml:space="preserve">Қорғасынды (ААС) анықтау</t>
  </si>
  <si>
    <t xml:space="preserve">1.6.24</t>
  </si>
  <si>
    <t xml:space="preserve">Қорғасынды (ИВ)анықтау</t>
  </si>
  <si>
    <t xml:space="preserve">1.6.25</t>
  </si>
  <si>
    <t xml:space="preserve">Қалайыны анықтау (жиналмалы қаңылтыр ыдыстағы консервілер үшін)</t>
  </si>
  <si>
    <t xml:space="preserve">1.6.26</t>
  </si>
  <si>
    <t xml:space="preserve">Хромды анықтау (жиналмалы хромды ыдыстағы консервілер үшін)</t>
  </si>
  <si>
    <t xml:space="preserve">1.6.27</t>
  </si>
  <si>
    <t xml:space="preserve">Күшәнді (ААС) анықтау</t>
  </si>
  <si>
    <t xml:space="preserve">1.6.28</t>
  </si>
  <si>
    <t xml:space="preserve">Күшәнді (ИВ) анықтау</t>
  </si>
  <si>
    <t xml:space="preserve">1.6.29</t>
  </si>
  <si>
    <t xml:space="preserve">Сынапты (ААС) анықтау</t>
  </si>
  <si>
    <t xml:space="preserve">1.6.30</t>
  </si>
  <si>
    <t xml:space="preserve">Сынапты (ИВ) анықтау</t>
  </si>
  <si>
    <t xml:space="preserve">1.6.31</t>
  </si>
  <si>
    <t xml:space="preserve">Микотоксинді анықтау (афлатоксин М1)</t>
  </si>
  <si>
    <t xml:space="preserve">1.6.32</t>
  </si>
  <si>
    <t xml:space="preserve">ВЭЖХ әдісімен тамақ өнімдеріндегі антибиотиктерді анықтау</t>
  </si>
  <si>
    <t xml:space="preserve">1.6.33</t>
  </si>
  <si>
    <t xml:space="preserve">Кальций</t>
  </si>
  <si>
    <t xml:space="preserve">1.6.34</t>
  </si>
  <si>
    <t xml:space="preserve">Калий</t>
  </si>
  <si>
    <t xml:space="preserve">1.6.35</t>
  </si>
  <si>
    <t xml:space="preserve">Магний</t>
  </si>
  <si>
    <t xml:space="preserve">1.6.36</t>
  </si>
  <si>
    <t xml:space="preserve">Меламин</t>
  </si>
  <si>
    <t xml:space="preserve">1.6.37</t>
  </si>
  <si>
    <t xml:space="preserve">ВЭЖХ әдісімен тамақ өнімдеріндегі дәрумендерді анықтау.</t>
  </si>
  <si>
    <t xml:space="preserve">1.6.38</t>
  </si>
  <si>
    <t xml:space="preserve">Азық-түлік құрамындағы дәрумендерді колориметриялық әдіспен анықтау.</t>
  </si>
  <si>
    <t xml:space="preserve">1.6.39</t>
  </si>
  <si>
    <t xml:space="preserve">Май қышқылының құрамы</t>
  </si>
  <si>
    <t xml:space="preserve">1.6.40</t>
  </si>
  <si>
    <t xml:space="preserve">Тазалық дәрежесі</t>
  </si>
  <si>
    <t xml:space="preserve">1.6.41</t>
  </si>
  <si>
    <t xml:space="preserve">Стериндер </t>
  </si>
  <si>
    <t xml:space="preserve">1.6.42</t>
  </si>
  <si>
    <t xml:space="preserve">Йод (йодтау кезінде)</t>
  </si>
  <si>
    <t xml:space="preserve">1.6.43</t>
  </si>
  <si>
    <t xml:space="preserve">Хлорлы натрий</t>
  </si>
  <si>
    <t xml:space="preserve">1.7</t>
  </si>
  <si>
    <t xml:space="preserve">Балық, балық емес балық аулау объектілері және олардан өндірілетін өнімдер,  балық консервілері мен пресервілері</t>
  </si>
  <si>
    <t xml:space="preserve">1.7.1</t>
  </si>
  <si>
    <t xml:space="preserve">1.7.2</t>
  </si>
  <si>
    <t xml:space="preserve">1.7.3</t>
  </si>
  <si>
    <t xml:space="preserve">Ылғалды жеделдетілген әдіспен анықтау</t>
  </si>
  <si>
    <t xml:space="preserve">1.7.4</t>
  </si>
  <si>
    <t xml:space="preserve">1.7.5</t>
  </si>
  <si>
    <t xml:space="preserve">1.7.6</t>
  </si>
  <si>
    <t xml:space="preserve">1.7.7</t>
  </si>
  <si>
    <t xml:space="preserve">Қышқылдықты анықтау (алма қышқылына қайта есептегенде)</t>
  </si>
  <si>
    <t xml:space="preserve">1.7.8</t>
  </si>
  <si>
    <t xml:space="preserve">1.7.9</t>
  </si>
  <si>
    <t xml:space="preserve">Қорғасынды (ИВ) анықтау</t>
  </si>
  <si>
    <t xml:space="preserve">1.7.10</t>
  </si>
  <si>
    <t xml:space="preserve">Кадмийді (ААС)  анықтау</t>
  </si>
  <si>
    <t xml:space="preserve">1.7.11</t>
  </si>
  <si>
    <t xml:space="preserve">Кадмийді (ИВ) анықтау</t>
  </si>
  <si>
    <t xml:space="preserve">1.7.12</t>
  </si>
  <si>
    <t xml:space="preserve">Құрғақ заттарды анықтау</t>
  </si>
  <si>
    <t xml:space="preserve">1.7.13</t>
  </si>
  <si>
    <t xml:space="preserve">1.7.14</t>
  </si>
  <si>
    <t xml:space="preserve">1.7.15</t>
  </si>
  <si>
    <t xml:space="preserve">1.7.16</t>
  </si>
  <si>
    <t xml:space="preserve">Күшәнді (ИВ)анықтау</t>
  </si>
  <si>
    <t xml:space="preserve">1.7.17</t>
  </si>
  <si>
    <t xml:space="preserve">Сынапты (ААС) анықтау </t>
  </si>
  <si>
    <t xml:space="preserve">1.7.18</t>
  </si>
  <si>
    <t xml:space="preserve">Сынапты (СТА) анықтау</t>
  </si>
  <si>
    <t xml:space="preserve">1.7.19</t>
  </si>
  <si>
    <t xml:space="preserve">Гистаминді анықтау (скумбрия, тунец, майшабақ, лосось)</t>
  </si>
  <si>
    <t xml:space="preserve">1.7.20</t>
  </si>
  <si>
    <t xml:space="preserve">Нитрозаминдерді анықтау</t>
  </si>
  <si>
    <t xml:space="preserve">1.7.21</t>
  </si>
  <si>
    <t xml:space="preserve">1.7.22</t>
  </si>
  <si>
    <t xml:space="preserve">Натрий бензой қышқылын анықтау (көрсеткіш бойынша)</t>
  </si>
  <si>
    <t xml:space="preserve">1.7.23</t>
  </si>
  <si>
    <t xml:space="preserve">Домой қышқылын анықту</t>
  </si>
  <si>
    <t xml:space="preserve">1.7.24</t>
  </si>
  <si>
    <t xml:space="preserve">1.7.25</t>
  </si>
  <si>
    <t xml:space="preserve">Құрамдас бөліктерді анықтау</t>
  </si>
  <si>
    <t xml:space="preserve">1.7.26</t>
  </si>
  <si>
    <t xml:space="preserve">Балық массасына тұндыруды анықтау</t>
  </si>
  <si>
    <t xml:space="preserve">1.7.27</t>
  </si>
  <si>
    <t xml:space="preserve">Ақуыз заттарын анықтау (шикі протеин)</t>
  </si>
  <si>
    <t xml:space="preserve">1.8</t>
  </si>
  <si>
    <t xml:space="preserve">Дән (тұқымдар) ұн-жарма және нан-тоқаш өнімдері</t>
  </si>
  <si>
    <t xml:space="preserve">1.8.1</t>
  </si>
  <si>
    <t xml:space="preserve">1.8.2</t>
  </si>
  <si>
    <t xml:space="preserve">Металломагниттік және минералды қоспаларды анықтау</t>
  </si>
  <si>
    <t xml:space="preserve">1.8.3</t>
  </si>
  <si>
    <t xml:space="preserve">1.8.4</t>
  </si>
  <si>
    <t xml:space="preserve">1.8.5</t>
  </si>
  <si>
    <t xml:space="preserve">1.8.6</t>
  </si>
  <si>
    <t xml:space="preserve">Кеуектілікті анықтау</t>
  </si>
  <si>
    <t xml:space="preserve">1.8.7</t>
  </si>
  <si>
    <t xml:space="preserve">1.8.8</t>
  </si>
  <si>
    <t xml:space="preserve">1.8.9</t>
  </si>
  <si>
    <t xml:space="preserve">Қанттың массалық үлесін анықтау (фотометриялық әдіспен)</t>
  </si>
  <si>
    <t xml:space="preserve">1.8.10</t>
  </si>
  <si>
    <t xml:space="preserve">Қанттың массалық үлесін анықтау (титриметриялық әдіспен)</t>
  </si>
  <si>
    <t xml:space="preserve">1.8.11</t>
  </si>
  <si>
    <t xml:space="preserve">1.8.12</t>
  </si>
  <si>
    <t xml:space="preserve">Кадмийді анықтау</t>
  </si>
  <si>
    <t xml:space="preserve">1.8.13</t>
  </si>
  <si>
    <t xml:space="preserve">Қорғасынды анықтау</t>
  </si>
  <si>
    <t xml:space="preserve">1.8.14</t>
  </si>
  <si>
    <t xml:space="preserve">Күшәнді анықтау</t>
  </si>
  <si>
    <t xml:space="preserve">1.8.15</t>
  </si>
  <si>
    <t xml:space="preserve">Сынапты анықтау</t>
  </si>
  <si>
    <t xml:space="preserve">1.8.16</t>
  </si>
  <si>
    <t xml:space="preserve">Микотоксиндерді анықтау афлатоксин В1</t>
  </si>
  <si>
    <t xml:space="preserve">1.8.17</t>
  </si>
  <si>
    <t xml:space="preserve">Дезоксиниваленолды анықтау</t>
  </si>
  <si>
    <t xml:space="preserve">1.8.18</t>
  </si>
  <si>
    <t xml:space="preserve">Т-2 токсинін анықтау</t>
  </si>
  <si>
    <t xml:space="preserve">1.8.19</t>
  </si>
  <si>
    <t xml:space="preserve">Зеараленонды анықтау</t>
  </si>
  <si>
    <t xml:space="preserve">1.8.20</t>
  </si>
  <si>
    <t xml:space="preserve">Нитрозаминді анықтау</t>
  </si>
  <si>
    <t xml:space="preserve">1.8.21</t>
  </si>
  <si>
    <t xml:space="preserve">қайнағыштық </t>
  </si>
  <si>
    <t xml:space="preserve">1.8.22</t>
  </si>
  <si>
    <t xml:space="preserve">күлдік</t>
  </si>
  <si>
    <t xml:space="preserve">1.8.23</t>
  </si>
  <si>
    <t xml:space="preserve">Фумонизиндер B1, B2</t>
  </si>
  <si>
    <t xml:space="preserve">1.8.24</t>
  </si>
  <si>
    <t xml:space="preserve">охратоксин А</t>
  </si>
  <si>
    <t xml:space="preserve">1.8.25</t>
  </si>
  <si>
    <t xml:space="preserve">йод (йодтау кезінде)</t>
  </si>
  <si>
    <t xml:space="preserve">1.8.26</t>
  </si>
  <si>
    <t xml:space="preserve">арамшөптер қоспасы</t>
  </si>
  <si>
    <t xml:space="preserve">1.8.27</t>
  </si>
  <si>
    <t xml:space="preserve">нан қорының зиянкестерімен зақымдану</t>
  </si>
  <si>
    <t xml:space="preserve">1.8.28</t>
  </si>
  <si>
    <t xml:space="preserve">бенз(а)пирен</t>
  </si>
  <si>
    <t xml:space="preserve">1.8.29</t>
  </si>
  <si>
    <t xml:space="preserve">олигоқант</t>
  </si>
  <si>
    <t xml:space="preserve">1.8.30</t>
  </si>
  <si>
    <t xml:space="preserve">глютенді анықтау</t>
  </si>
  <si>
    <t xml:space="preserve">1.9</t>
  </si>
  <si>
    <t xml:space="preserve">Қант және кондитерлік өнімдер</t>
  </si>
  <si>
    <t xml:space="preserve">1.9.1</t>
  </si>
  <si>
    <t xml:space="preserve">1.9.2</t>
  </si>
  <si>
    <t xml:space="preserve">1.9.3</t>
  </si>
  <si>
    <t xml:space="preserve">1.9.4</t>
  </si>
  <si>
    <t xml:space="preserve">Титрометриялық әдіспен қышқылдық пен сілтілікті анықтау:</t>
  </si>
  <si>
    <t xml:space="preserve">1.9.5</t>
  </si>
  <si>
    <t xml:space="preserve">1.9.6</t>
  </si>
  <si>
    <t xml:space="preserve">1.9.7</t>
  </si>
  <si>
    <t xml:space="preserve">1.9.8</t>
  </si>
  <si>
    <t xml:space="preserve">1.9.9</t>
  </si>
  <si>
    <t xml:space="preserve">Сахарозаны анықтау</t>
  </si>
  <si>
    <t xml:space="preserve">1.9.10</t>
  </si>
  <si>
    <t xml:space="preserve">1.9.11</t>
  </si>
  <si>
    <t xml:space="preserve">1.9.12</t>
  </si>
  <si>
    <t xml:space="preserve">Күлді анықтау</t>
  </si>
  <si>
    <t xml:space="preserve">1.9.13</t>
  </si>
  <si>
    <t xml:space="preserve">Редуцирлеуші заттарды анықтау</t>
  </si>
  <si>
    <t xml:space="preserve">1.9.14</t>
  </si>
  <si>
    <t xml:space="preserve">Күкірт қышқылының массалық үлесін анықтау</t>
  </si>
  <si>
    <t xml:space="preserve">1.9.15</t>
  </si>
  <si>
    <t xml:space="preserve">1.9.16</t>
  </si>
  <si>
    <t xml:space="preserve">1.9.17</t>
  </si>
  <si>
    <t xml:space="preserve">1.9.18</t>
  </si>
  <si>
    <t xml:space="preserve">1.9.19</t>
  </si>
  <si>
    <t xml:space="preserve">В1 афлатоксинін анықтау-құрамында жаңғақтар бар өнімдер үшін</t>
  </si>
  <si>
    <t xml:space="preserve">1.9.20</t>
  </si>
  <si>
    <t xml:space="preserve">1.9.21</t>
  </si>
  <si>
    <t xml:space="preserve">сорбин қышқылы</t>
  </si>
  <si>
    <t xml:space="preserve">1.9.22</t>
  </si>
  <si>
    <t xml:space="preserve">суланғыштық</t>
  </si>
  <si>
    <t xml:space="preserve">1.10</t>
  </si>
  <si>
    <t xml:space="preserve">Табиғи БАЛ</t>
  </si>
  <si>
    <t xml:space="preserve">1.10.1</t>
  </si>
  <si>
    <t xml:space="preserve">1.10.2</t>
  </si>
  <si>
    <t xml:space="preserve">1.10.3</t>
  </si>
  <si>
    <t xml:space="preserve">Қант пен сахарозаны азайтатын заттардың массалық үлесін анықтау</t>
  </si>
  <si>
    <t xml:space="preserve">1.10.4</t>
  </si>
  <si>
    <t xml:space="preserve">Диастаз санын анықтау</t>
  </si>
  <si>
    <t xml:space="preserve">1.10.5</t>
  </si>
  <si>
    <t xml:space="preserve">Механикалық қоспаларды анықтау</t>
  </si>
  <si>
    <t xml:space="preserve">1.10.6</t>
  </si>
  <si>
    <t xml:space="preserve">Жалпы қышқылдықты анықтау</t>
  </si>
  <si>
    <t xml:space="preserve">1.10.7</t>
  </si>
  <si>
    <t xml:space="preserve">Оксиметилфурфуролды анықтау</t>
  </si>
  <si>
    <t xml:space="preserve">1.10.8</t>
  </si>
  <si>
    <t xml:space="preserve">1.10.9</t>
  </si>
  <si>
    <t xml:space="preserve">1.10.10</t>
  </si>
  <si>
    <t xml:space="preserve">1.10.11</t>
  </si>
  <si>
    <t xml:space="preserve">Органолептикалық көрсеткіштер</t>
  </si>
  <si>
    <t xml:space="preserve">1.10.12</t>
  </si>
  <si>
    <t xml:space="preserve">Ашыту белгілері</t>
  </si>
  <si>
    <t xml:space="preserve">1.10.13</t>
  </si>
  <si>
    <t xml:space="preserve">Тозаң дәндерінің болуы</t>
  </si>
  <si>
    <t xml:space="preserve">1.10.14</t>
  </si>
  <si>
    <t xml:space="preserve">Судың массалық үлесін анықтау</t>
  </si>
  <si>
    <t xml:space="preserve">1.11</t>
  </si>
  <si>
    <t xml:space="preserve">Жеміс-көкөніс өнімдері, Көкөніс, жеміс, жидек және саңырауқұлақ консервілері</t>
  </si>
  <si>
    <t xml:space="preserve">1.11.1</t>
  </si>
  <si>
    <t xml:space="preserve">1.11.2</t>
  </si>
  <si>
    <t xml:space="preserve">1.11.3</t>
  </si>
  <si>
    <t xml:space="preserve">1.11.4</t>
  </si>
  <si>
    <t xml:space="preserve">Титрленетін қышқылдықты анықтау</t>
  </si>
  <si>
    <t xml:space="preserve">1.11.5</t>
  </si>
  <si>
    <t xml:space="preserve">1.11.6</t>
  </si>
  <si>
    <t xml:space="preserve">1.11.7</t>
  </si>
  <si>
    <t xml:space="preserve">1.11.8</t>
  </si>
  <si>
    <t xml:space="preserve">Хлоридтердің массалық үлесін анықтау</t>
  </si>
  <si>
    <t xml:space="preserve">1.11.9</t>
  </si>
  <si>
    <t xml:space="preserve">1.11.10</t>
  </si>
  <si>
    <t xml:space="preserve">1.11.11</t>
  </si>
  <si>
    <t xml:space="preserve">1.11.12</t>
  </si>
  <si>
    <t xml:space="preserve">1.11.13</t>
  </si>
  <si>
    <t xml:space="preserve">1.11.14</t>
  </si>
  <si>
    <t xml:space="preserve">1.11.15</t>
  </si>
  <si>
    <t xml:space="preserve">Патулинді анықтау</t>
  </si>
  <si>
    <t xml:space="preserve">1.11.16</t>
  </si>
  <si>
    <t xml:space="preserve">1.11.17</t>
  </si>
  <si>
    <t xml:space="preserve">1.11.18</t>
  </si>
  <si>
    <t xml:space="preserve">сорбин және бензой қышқылдары</t>
  </si>
  <si>
    <t xml:space="preserve">1.11.19</t>
  </si>
  <si>
    <t xml:space="preserve">күкірт диоксиді</t>
  </si>
  <si>
    <t xml:space="preserve">1.12</t>
  </si>
  <si>
    <t xml:space="preserve">Майлы шикізат май өнімдері, майонездер </t>
  </si>
  <si>
    <t xml:space="preserve">1.12.1</t>
  </si>
  <si>
    <t xml:space="preserve">1.12.2</t>
  </si>
  <si>
    <t xml:space="preserve">Құрамында фосфор бар заттардың массалық үлесін анықтау</t>
  </si>
  <si>
    <t xml:space="preserve">1.12.3</t>
  </si>
  <si>
    <t xml:space="preserve">1.12.4</t>
  </si>
  <si>
    <t xml:space="preserve">Қышқыл санын анықтау</t>
  </si>
  <si>
    <t xml:space="preserve">1.12.5</t>
  </si>
  <si>
    <t xml:space="preserve">Түсті санды анықтау ( көрсеткіштер бойынша)</t>
  </si>
  <si>
    <t xml:space="preserve">1.12.6</t>
  </si>
  <si>
    <t xml:space="preserve">1.12.7</t>
  </si>
  <si>
    <t xml:space="preserve">1.12.8</t>
  </si>
  <si>
    <t xml:space="preserve">Ас тұзының массалық үлесін анықтау</t>
  </si>
  <si>
    <t xml:space="preserve">1.12.9</t>
  </si>
  <si>
    <t xml:space="preserve">1.12.10</t>
  </si>
  <si>
    <t xml:space="preserve">1.12.11</t>
  </si>
  <si>
    <t xml:space="preserve">Йод санын анықтау (көрсеткіштер бойынша)</t>
  </si>
  <si>
    <t xml:space="preserve">1.12.12</t>
  </si>
  <si>
    <t xml:space="preserve">Асқын тотығы санын анықтау</t>
  </si>
  <si>
    <t xml:space="preserve">1.12.13</t>
  </si>
  <si>
    <t xml:space="preserve">1.12.14</t>
  </si>
  <si>
    <t xml:space="preserve">1.12.15</t>
  </si>
  <si>
    <t xml:space="preserve">1.12.16</t>
  </si>
  <si>
    <t xml:space="preserve">1.12.17</t>
  </si>
  <si>
    <t xml:space="preserve">Мысты анықтау ( сақтауға берілгендер үшін)</t>
  </si>
  <si>
    <t xml:space="preserve">1.12.18</t>
  </si>
  <si>
    <t xml:space="preserve">Афлатоксин В1 анықтау</t>
  </si>
  <si>
    <t xml:space="preserve">1.12.19</t>
  </si>
  <si>
    <t xml:space="preserve">Сыну көрсеткіші</t>
  </si>
  <si>
    <t xml:space="preserve">1.12.20</t>
  </si>
  <si>
    <t xml:space="preserve">Тұнба</t>
  </si>
  <si>
    <t xml:space="preserve">1.12.21</t>
  </si>
  <si>
    <t xml:space="preserve">Күл</t>
  </si>
  <si>
    <t xml:space="preserve">1.12.22</t>
  </si>
  <si>
    <t xml:space="preserve">Мөлдірлік</t>
  </si>
  <si>
    <t xml:space="preserve">1.13</t>
  </si>
  <si>
    <t xml:space="preserve">Сусындар, алкогольді және алкогольсіз өнімдер</t>
  </si>
  <si>
    <t xml:space="preserve">1.13.1</t>
  </si>
  <si>
    <t xml:space="preserve">1.13.2</t>
  </si>
  <si>
    <t xml:space="preserve">1.13.3</t>
  </si>
  <si>
    <t xml:space="preserve">Фотометриялық әдіспен қантты анықтау</t>
  </si>
  <si>
    <t xml:space="preserve">1.13.4</t>
  </si>
  <si>
    <t xml:space="preserve">Титрометриялық әдіспен қантты анықтау</t>
  </si>
  <si>
    <t xml:space="preserve">1.13.5</t>
  </si>
  <si>
    <t xml:space="preserve">Метил спиртін анықтау</t>
  </si>
  <si>
    <t xml:space="preserve">1.13.6</t>
  </si>
  <si>
    <t xml:space="preserve">Бос және жалпы күкірт қышқылын анықтау</t>
  </si>
  <si>
    <t xml:space="preserve">1.13.7</t>
  </si>
  <si>
    <t xml:space="preserve">Салыстырмалы тығыздықты анықтау</t>
  </si>
  <si>
    <t xml:space="preserve">1.13.8</t>
  </si>
  <si>
    <t xml:space="preserve">Күрделі эфирлерді анықтау</t>
  </si>
  <si>
    <t xml:space="preserve">1.13.9</t>
  </si>
  <si>
    <t xml:space="preserve">1.13.10</t>
  </si>
  <si>
    <t xml:space="preserve">Ұшпа қышқылдарды анықтау</t>
  </si>
  <si>
    <t xml:space="preserve">1.13.11</t>
  </si>
  <si>
    <t xml:space="preserve">Бекіністі анықтау</t>
  </si>
  <si>
    <t xml:space="preserve">1.13.12</t>
  </si>
  <si>
    <t xml:space="preserve">Тотығуды анықтау</t>
  </si>
  <si>
    <t xml:space="preserve">1.13.13</t>
  </si>
  <si>
    <t xml:space="preserve">Сивуха майларын анықтау</t>
  </si>
  <si>
    <t xml:space="preserve">1.13.14</t>
  </si>
  <si>
    <t xml:space="preserve">Жалпы сығындының массалық концентрациясын анықтау</t>
  </si>
  <si>
    <t xml:space="preserve">1.13.15</t>
  </si>
  <si>
    <t xml:space="preserve">Фурфуролды анықтау</t>
  </si>
  <si>
    <t xml:space="preserve">1.13.16</t>
  </si>
  <si>
    <t xml:space="preserve">Альдегидтерді анықтау</t>
  </si>
  <si>
    <t xml:space="preserve">1.13.17</t>
  </si>
  <si>
    <t xml:space="preserve">1.13.18</t>
  </si>
  <si>
    <t xml:space="preserve">1.13.19</t>
  </si>
  <si>
    <t xml:space="preserve">1.13.20</t>
  </si>
  <si>
    <t xml:space="preserve">1.13.21</t>
  </si>
  <si>
    <t xml:space="preserve">Мысты анықтау</t>
  </si>
  <si>
    <t xml:space="preserve">1.13.22</t>
  </si>
  <si>
    <t xml:space="preserve">1.13.23</t>
  </si>
  <si>
    <t xml:space="preserve">1.13.24</t>
  </si>
  <si>
    <t xml:space="preserve">1.13.25</t>
  </si>
  <si>
    <t xml:space="preserve">1.13.26</t>
  </si>
  <si>
    <t xml:space="preserve">Нитрозаминдерді анықтау (сыра)</t>
  </si>
  <si>
    <t xml:space="preserve">1.13.27</t>
  </si>
  <si>
    <t xml:space="preserve">Кофеинді анықтау (көрсеткіштер бойынша)</t>
  </si>
  <si>
    <t xml:space="preserve">1.13.28</t>
  </si>
  <si>
    <t xml:space="preserve">Тығынның тығыздығын анықтау</t>
  </si>
  <si>
    <t xml:space="preserve">1.13.29</t>
  </si>
  <si>
    <t xml:space="preserve">Спиртті анықтау</t>
  </si>
  <si>
    <t xml:space="preserve">1.13.30</t>
  </si>
  <si>
    <t xml:space="preserve">көміртек қос тотығын анықтау</t>
  </si>
  <si>
    <t xml:space="preserve">1.13.31</t>
  </si>
  <si>
    <t xml:space="preserve">Жалпы сығындыны анықтау</t>
  </si>
  <si>
    <t xml:space="preserve">1.13.32</t>
  </si>
  <si>
    <t xml:space="preserve">Сырадағы алкогольді анықтау</t>
  </si>
  <si>
    <t xml:space="preserve">1.13.33</t>
  </si>
  <si>
    <t xml:space="preserve">Сусладағы құрғақ заттарды анықтау</t>
  </si>
  <si>
    <t xml:space="preserve">1.13.34</t>
  </si>
  <si>
    <t xml:space="preserve">Азық-түліктегі қорғасынды (РБ) анықтау</t>
  </si>
  <si>
    <t xml:space="preserve">1.13.35</t>
  </si>
  <si>
    <t xml:space="preserve">1.13.36</t>
  </si>
  <si>
    <t xml:space="preserve">Тамақ өнімдеріндегі SN қалайыны анықтау</t>
  </si>
  <si>
    <t xml:space="preserve">1.13.37</t>
  </si>
  <si>
    <t xml:space="preserve">Сусындардағы хромды (Cr) анықтау</t>
  </si>
  <si>
    <t xml:space="preserve">1.13.38</t>
  </si>
  <si>
    <t xml:space="preserve">Хининді анықтау</t>
  </si>
  <si>
    <t xml:space="preserve">1.13.39</t>
  </si>
  <si>
    <t xml:space="preserve">1.14</t>
  </si>
  <si>
    <t xml:space="preserve">Ас тұзы</t>
  </si>
  <si>
    <t xml:space="preserve">1.14.1</t>
  </si>
  <si>
    <t xml:space="preserve">Органолептикалық көрсеткіштерді анықтау, гранулометриялық құрамы</t>
  </si>
  <si>
    <t xml:space="preserve">1.14.2</t>
  </si>
  <si>
    <t xml:space="preserve">1.14.3</t>
  </si>
  <si>
    <t xml:space="preserve">1.14.4</t>
  </si>
  <si>
    <t xml:space="preserve">Кальций иондарын анықтау</t>
  </si>
  <si>
    <t xml:space="preserve">1.14.5</t>
  </si>
  <si>
    <t xml:space="preserve">Суда ерімейтін қалдықты анықтау</t>
  </si>
  <si>
    <t xml:space="preserve">1.14.6</t>
  </si>
  <si>
    <t xml:space="preserve">Магний ионын анықтау</t>
  </si>
  <si>
    <t xml:space="preserve">1.14.7</t>
  </si>
  <si>
    <t xml:space="preserve">Сульфат ионын анықтау</t>
  </si>
  <si>
    <t xml:space="preserve">1.14.8</t>
  </si>
  <si>
    <t xml:space="preserve">Тұздағы калий йодидін анықтау</t>
  </si>
  <si>
    <t xml:space="preserve">1.14.9</t>
  </si>
  <si>
    <t xml:space="preserve">Темір оксидін анықтау</t>
  </si>
  <si>
    <t xml:space="preserve">1.14.10</t>
  </si>
  <si>
    <t xml:space="preserve">Хлор ионын анықтау</t>
  </si>
  <si>
    <t xml:space="preserve">1.14.11</t>
  </si>
  <si>
    <t xml:space="preserve">1.14.12</t>
  </si>
  <si>
    <t xml:space="preserve">1.14.13</t>
  </si>
  <si>
    <t xml:space="preserve">1.14.14</t>
  </si>
  <si>
    <t xml:space="preserve">1.14.15</t>
  </si>
  <si>
    <t xml:space="preserve">йод</t>
  </si>
  <si>
    <t xml:space="preserve">1.14.16</t>
  </si>
  <si>
    <t xml:space="preserve">натрий хлоридінің массалық үлесі</t>
  </si>
  <si>
    <t xml:space="preserve">1.15</t>
  </si>
  <si>
    <t xml:space="preserve">Қара, көк шай </t>
  </si>
  <si>
    <t xml:space="preserve">1.15.1</t>
  </si>
  <si>
    <t xml:space="preserve">1.15.2</t>
  </si>
  <si>
    <t xml:space="preserve">1.15.3</t>
  </si>
  <si>
    <t xml:space="preserve">1.15.4</t>
  </si>
  <si>
    <t xml:space="preserve">1.15.5</t>
  </si>
  <si>
    <t xml:space="preserve">Танинді анықтау</t>
  </si>
  <si>
    <t xml:space="preserve">1.15.6</t>
  </si>
  <si>
    <t xml:space="preserve">Кофеинді анықтау</t>
  </si>
  <si>
    <t xml:space="preserve">1.15.7</t>
  </si>
  <si>
    <t xml:space="preserve">Ұсақ заттар мен металломагниттік қоспалардың массалық үлесін анықтау</t>
  </si>
  <si>
    <t xml:space="preserve">1.15.8</t>
  </si>
  <si>
    <t xml:space="preserve">Суда еритін заттардың массалық үлесін анықтау</t>
  </si>
  <si>
    <t xml:space="preserve">1.15.9</t>
  </si>
  <si>
    <t xml:space="preserve">Шикі талшықты анықтау</t>
  </si>
  <si>
    <t xml:space="preserve">1.15.10</t>
  </si>
  <si>
    <t xml:space="preserve">Экстрактивті заттарды анықтау</t>
  </si>
  <si>
    <t xml:space="preserve">1.15.11</t>
  </si>
  <si>
    <t xml:space="preserve">1.15.12</t>
  </si>
  <si>
    <t xml:space="preserve">Күшәнді  анықтау</t>
  </si>
  <si>
    <t xml:space="preserve">1.15.13</t>
  </si>
  <si>
    <t xml:space="preserve">1.15.14</t>
  </si>
  <si>
    <t xml:space="preserve">1.15.15</t>
  </si>
  <si>
    <t xml:space="preserve">Афлатоксинді анықтау</t>
  </si>
  <si>
    <t xml:space="preserve">1.15.16</t>
  </si>
  <si>
    <t xml:space="preserve">Бөгде қоспалар</t>
  </si>
  <si>
    <t xml:space="preserve">1.15.17</t>
  </si>
  <si>
    <t xml:space="preserve">Дисперсиялық</t>
  </si>
  <si>
    <t xml:space="preserve">1.15.18</t>
  </si>
  <si>
    <t xml:space="preserve">Май</t>
  </si>
  <si>
    <t xml:space="preserve">1.16</t>
  </si>
  <si>
    <t xml:space="preserve">Кофе</t>
  </si>
  <si>
    <t xml:space="preserve">1.16.1</t>
  </si>
  <si>
    <t xml:space="preserve">1.16.2</t>
  </si>
  <si>
    <t xml:space="preserve">1.16.3</t>
  </si>
  <si>
    <t xml:space="preserve">1.16.4</t>
  </si>
  <si>
    <t xml:space="preserve">1.16.5</t>
  </si>
  <si>
    <t xml:space="preserve">1.16.6</t>
  </si>
  <si>
    <t xml:space="preserve">1.16.7</t>
  </si>
  <si>
    <t xml:space="preserve">Металломагниттік қоспалардың массалық үлесін анықтау</t>
  </si>
  <si>
    <t xml:space="preserve">1.16.8</t>
  </si>
  <si>
    <t xml:space="preserve">Толық ерігіштігін анықтау</t>
  </si>
  <si>
    <t xml:space="preserve">1.16.9</t>
  </si>
  <si>
    <t xml:space="preserve">1.16.10</t>
  </si>
  <si>
    <t xml:space="preserve">1.16.11</t>
  </si>
  <si>
    <t xml:space="preserve">1.16.12</t>
  </si>
  <si>
    <t xml:space="preserve">1.16.13</t>
  </si>
  <si>
    <t xml:space="preserve">1.16.14</t>
  </si>
  <si>
    <t xml:space="preserve">Микотоксиндер</t>
  </si>
  <si>
    <t xml:space="preserve">1.17</t>
  </si>
  <si>
    <t xml:space="preserve"> Какао,какао ұнтақ</t>
  </si>
  <si>
    <t xml:space="preserve">1.17.1</t>
  </si>
  <si>
    <t xml:space="preserve">1.17.2</t>
  </si>
  <si>
    <t xml:space="preserve">1.17.3</t>
  </si>
  <si>
    <t xml:space="preserve">1.17.4</t>
  </si>
  <si>
    <t xml:space="preserve">1.17.5</t>
  </si>
  <si>
    <t xml:space="preserve">1.17.6</t>
  </si>
  <si>
    <t xml:space="preserve">1.17.7</t>
  </si>
  <si>
    <t xml:space="preserve">1.17.8</t>
  </si>
  <si>
    <t xml:space="preserve">1.17.9</t>
  </si>
  <si>
    <t xml:space="preserve">1.17.10</t>
  </si>
  <si>
    <t xml:space="preserve">1.17.11</t>
  </si>
  <si>
    <t xml:space="preserve">1.17.12</t>
  </si>
  <si>
    <t xml:space="preserve">1.18</t>
  </si>
  <si>
    <t xml:space="preserve">Дәмдеуіштер мен қоспалар ( соның ішінде ашытқы)</t>
  </si>
  <si>
    <t xml:space="preserve">1.18.1</t>
  </si>
  <si>
    <t xml:space="preserve">1.18.2</t>
  </si>
  <si>
    <t xml:space="preserve">1.18.3</t>
  </si>
  <si>
    <t xml:space="preserve">1.18.4</t>
  </si>
  <si>
    <t xml:space="preserve">1.18.5</t>
  </si>
  <si>
    <t xml:space="preserve">1.18.6</t>
  </si>
  <si>
    <t xml:space="preserve">1.18.7</t>
  </si>
  <si>
    <t xml:space="preserve">1.18.8</t>
  </si>
  <si>
    <t xml:space="preserve">1.19</t>
  </si>
  <si>
    <t xml:space="preserve">МДБМ, мектептер, арнайы техникалық оқу орындары, аурухана ұйымдары, ана мен баланы қорғау ұйымы, қоғамдық тамақтандыру кәсіпорындары</t>
  </si>
  <si>
    <t xml:space="preserve">1.19.1</t>
  </si>
  <si>
    <t xml:space="preserve">Сапаны анықтау. термиялық өңдеу (пісіру, қуыру, ет және балық тағамдары)</t>
  </si>
  <si>
    <t xml:space="preserve">1.19.2</t>
  </si>
  <si>
    <t xml:space="preserve">С витаминін анықтау, лимон қышқылы</t>
  </si>
  <si>
    <t xml:space="preserve">1.19.3</t>
  </si>
  <si>
    <t xml:space="preserve">Фритюр майларын анықтау</t>
  </si>
  <si>
    <t xml:space="preserve">1.19.4</t>
  </si>
  <si>
    <t xml:space="preserve">Дайын тағамдардың құнарлылығын анықтау</t>
  </si>
  <si>
    <t xml:space="preserve">1.20</t>
  </si>
  <si>
    <t xml:space="preserve">(көрсеткіштер бойынша ) Темекі және темекі өнімдері, сигареттер</t>
  </si>
  <si>
    <t xml:space="preserve">1.20.1</t>
  </si>
  <si>
    <t xml:space="preserve">1.20.2</t>
  </si>
  <si>
    <t xml:space="preserve">1.20.3</t>
  </si>
  <si>
    <t xml:space="preserve">Алкалоидтарды анықтау</t>
  </si>
  <si>
    <t xml:space="preserve">1.20.4</t>
  </si>
  <si>
    <t xml:space="preserve">Шаңды анықтау</t>
  </si>
  <si>
    <t xml:space="preserve">1.20.5</t>
  </si>
  <si>
    <t xml:space="preserve">Никотинді анықтау</t>
  </si>
  <si>
    <t xml:space="preserve">1.21</t>
  </si>
  <si>
    <t xml:space="preserve">ББҚ</t>
  </si>
  <si>
    <t xml:space="preserve">1.21.1</t>
  </si>
  <si>
    <t xml:space="preserve">ИВ әдісімен СТМ анықтау</t>
  </si>
  <si>
    <t xml:space="preserve">1.21.2</t>
  </si>
  <si>
    <t xml:space="preserve">ААС әдісімен СТМ анықтау</t>
  </si>
  <si>
    <t xml:space="preserve">1.21.3</t>
  </si>
  <si>
    <t xml:space="preserve">ВЭЖХ әдісімен тағамдағы дәрумендерді анықтау.</t>
  </si>
  <si>
    <t xml:space="preserve">1.21.4</t>
  </si>
  <si>
    <t xml:space="preserve">1.21.5</t>
  </si>
  <si>
    <t xml:space="preserve">Ақуыз</t>
  </si>
  <si>
    <t xml:space="preserve">1.21.6</t>
  </si>
  <si>
    <t xml:space="preserve">Сокслет бойынша май</t>
  </si>
  <si>
    <t xml:space="preserve">1.21.7</t>
  </si>
  <si>
    <t xml:space="preserve">1.21.8</t>
  </si>
  <si>
    <t xml:space="preserve">Оксиметилфурфурол</t>
  </si>
  <si>
    <t xml:space="preserve">1.21.9</t>
  </si>
  <si>
    <t xml:space="preserve">Йод</t>
  </si>
  <si>
    <t xml:space="preserve">1.21.10</t>
  </si>
  <si>
    <t xml:space="preserve">Афлатоксин</t>
  </si>
  <si>
    <t xml:space="preserve">1.21.11</t>
  </si>
  <si>
    <t xml:space="preserve">Охратоксин</t>
  </si>
  <si>
    <t xml:space="preserve">1.21.12</t>
  </si>
  <si>
    <t xml:space="preserve">Зеараленон</t>
  </si>
  <si>
    <t xml:space="preserve">1.21.13</t>
  </si>
  <si>
    <t xml:space="preserve">Дезоксиниваленол</t>
  </si>
  <si>
    <t xml:space="preserve">1.22</t>
  </si>
  <si>
    <t xml:space="preserve">Еңбек гигиенасы. Жұмыс аймағындағы ауа</t>
  </si>
  <si>
    <t xml:space="preserve">1.22.1</t>
  </si>
  <si>
    <t xml:space="preserve">Микроклимат параметрлерін өлшеу (температура, ылғалдылық, ауа қозғалысының жылдамдығы, атмосфералық қысым)</t>
  </si>
  <si>
    <t xml:space="preserve">1.22.2</t>
  </si>
  <si>
    <t xml:space="preserve">Жарықты өлшеу ( табиғи, жасанды)</t>
  </si>
  <si>
    <t xml:space="preserve">1.22.3</t>
  </si>
  <si>
    <t xml:space="preserve">1.22.4</t>
  </si>
  <si>
    <t xml:space="preserve">Жұмыс аймағының ауасындағы зиянды затты экспресс әдіспен анықтау (1 зерттеу)</t>
  </si>
  <si>
    <t xml:space="preserve">1.22.5</t>
  </si>
  <si>
    <t xml:space="preserve">Бос кремний диоксидін анықтау</t>
  </si>
  <si>
    <t xml:space="preserve">1.22.6</t>
  </si>
  <si>
    <t xml:space="preserve">Марганец қосылысын анықтау</t>
  </si>
  <si>
    <t xml:space="preserve">1.22.7</t>
  </si>
  <si>
    <t xml:space="preserve">1.22.8</t>
  </si>
  <si>
    <t xml:space="preserve">Мырыш пен оның қосылысын анықтау (мырыш оксиді, пентахлортиофенол - ренацит-4 мырыш тұзы)</t>
  </si>
  <si>
    <t xml:space="preserve">1.22.9</t>
  </si>
  <si>
    <t xml:space="preserve">1.22.10</t>
  </si>
  <si>
    <t xml:space="preserve">Азот қос тотығын анықтау</t>
  </si>
  <si>
    <t xml:space="preserve">1.22.11</t>
  </si>
  <si>
    <t xml:space="preserve">Озонды анықтау</t>
  </si>
  <si>
    <t xml:space="preserve">1.22.12</t>
  </si>
  <si>
    <t xml:space="preserve">Күкірт қышқылы аэрозолін анықтау</t>
  </si>
  <si>
    <t xml:space="preserve">1.22.13</t>
  </si>
  <si>
    <t xml:space="preserve">Күкірт ангидридін анықтау</t>
  </si>
  <si>
    <t xml:space="preserve">1.22.14</t>
  </si>
  <si>
    <t xml:space="preserve">1.22.15</t>
  </si>
  <si>
    <t xml:space="preserve">Хлорды анықтау</t>
  </si>
  <si>
    <t xml:space="preserve">1.22.16</t>
  </si>
  <si>
    <t xml:space="preserve">Сутегі хлоридін анықтау</t>
  </si>
  <si>
    <t xml:space="preserve">1.22.17</t>
  </si>
  <si>
    <t xml:space="preserve">Ацетонды анықтау</t>
  </si>
  <si>
    <t xml:space="preserve">1.22.18</t>
  </si>
  <si>
    <t xml:space="preserve">Ксилолдың бензолын, толуолын және изомерін (мета, орто, пара) анықтау</t>
  </si>
  <si>
    <t xml:space="preserve">1.22.19</t>
  </si>
  <si>
    <t xml:space="preserve">Күкіртті көміртекті анықтау</t>
  </si>
  <si>
    <t xml:space="preserve">1.22.20</t>
  </si>
  <si>
    <t xml:space="preserve">Күйдіргіш сілтіні және натрий карбонатын анықтау</t>
  </si>
  <si>
    <t xml:space="preserve">1.22.21</t>
  </si>
  <si>
    <t xml:space="preserve">Формальдегидті анықтау</t>
  </si>
  <si>
    <t xml:space="preserve">1.22.22</t>
  </si>
  <si>
    <t xml:space="preserve">1.22.23</t>
  </si>
  <si>
    <t xml:space="preserve">Фторлы сутекті анықтау</t>
  </si>
  <si>
    <t xml:space="preserve">1.22.24</t>
  </si>
  <si>
    <t xml:space="preserve">Ацетальдегидті анықтау</t>
  </si>
  <si>
    <t xml:space="preserve">1.22.25</t>
  </si>
  <si>
    <t xml:space="preserve">Фосфор ангидридін анықтау</t>
  </si>
  <si>
    <t xml:space="preserve">1.22.26</t>
  </si>
  <si>
    <t xml:space="preserve">Алюминийді, тотықты және алюминий никель катализаторын анықтау</t>
  </si>
  <si>
    <t xml:space="preserve">1.22.27</t>
  </si>
  <si>
    <t xml:space="preserve">Ванадий мен оның қосылыстарын анықтау</t>
  </si>
  <si>
    <t xml:space="preserve">1.22.28</t>
  </si>
  <si>
    <t xml:space="preserve">Күшән сутегін анықтау</t>
  </si>
  <si>
    <t xml:space="preserve">1.22.29</t>
  </si>
  <si>
    <t xml:space="preserve">Цианист сутегін анықтау</t>
  </si>
  <si>
    <t xml:space="preserve">1.22.30</t>
  </si>
  <si>
    <t xml:space="preserve">Гидразинді анықтау</t>
  </si>
  <si>
    <t xml:space="preserve">1.22.31</t>
  </si>
  <si>
    <t xml:space="preserve">Май ангидридін анықтау</t>
  </si>
  <si>
    <t xml:space="preserve">1.22.32</t>
  </si>
  <si>
    <t xml:space="preserve">Этилен тотығын анықтау</t>
  </si>
  <si>
    <t xml:space="preserve">1.22.33</t>
  </si>
  <si>
    <t xml:space="preserve">Скипидарды анықтау</t>
  </si>
  <si>
    <t xml:space="preserve">1.22.34</t>
  </si>
  <si>
    <t xml:space="preserve">Күшән ангидридін және басқа үш валентті күшән  қосылыстарын анықтау</t>
  </si>
  <si>
    <t xml:space="preserve">1.23</t>
  </si>
  <si>
    <t xml:space="preserve">Жабық үй-жайлардың ауасы (аурухана ұйымдары, ана мен баланы қорғау ұйымдары )</t>
  </si>
  <si>
    <t xml:space="preserve">1.23.1</t>
  </si>
  <si>
    <t xml:space="preserve">1.23.2</t>
  </si>
  <si>
    <t xml:space="preserve">1.23.3</t>
  </si>
  <si>
    <t xml:space="preserve">1.23.4</t>
  </si>
  <si>
    <t xml:space="preserve">Жабық үй-жайлардың ауасындағы зиянды затты  экспресс әдіспен анықтау (1 зерттеу)</t>
  </si>
  <si>
    <t xml:space="preserve">1.23.5</t>
  </si>
  <si>
    <t xml:space="preserve">1.23.6</t>
  </si>
  <si>
    <t xml:space="preserve">Көрсеткіштер бойынша қышқыл сілтілік органикалық еріткіштерді анықтау</t>
  </si>
  <si>
    <t xml:space="preserve">1.23.7</t>
  </si>
  <si>
    <t xml:space="preserve">1.23.8</t>
  </si>
  <si>
    <t xml:space="preserve">Ампициллинді анықтау</t>
  </si>
  <si>
    <t xml:space="preserve">1.24</t>
  </si>
  <si>
    <t xml:space="preserve">Атмосфералық ауа</t>
  </si>
  <si>
    <t xml:space="preserve">1.24.1</t>
  </si>
  <si>
    <t xml:space="preserve">1.24.2</t>
  </si>
  <si>
    <t xml:space="preserve">Атмосфералық ауадағы зиянды затты экспресс әдіспен (газ анализаторы) анықтау (бір зерттеу)</t>
  </si>
  <si>
    <t xml:space="preserve">1.24.3</t>
  </si>
  <si>
    <t xml:space="preserve">1.24.4</t>
  </si>
  <si>
    <t xml:space="preserve">1.24.5</t>
  </si>
  <si>
    <t xml:space="preserve">Алты валентті хромды анықтау</t>
  </si>
  <si>
    <t xml:space="preserve">1.24.6</t>
  </si>
  <si>
    <t xml:space="preserve">Елді мекендердің атмосфералық ауасындағы күкірт диоксидінің массалық концентрациясын анықтау</t>
  </si>
  <si>
    <t xml:space="preserve">1.24.7</t>
  </si>
  <si>
    <t xml:space="preserve">Елді мекендердің атмосфералық ауасындағы қатты фторидтердің массалық концентрациясын анықтау</t>
  </si>
  <si>
    <t xml:space="preserve">1.24.8</t>
  </si>
  <si>
    <t xml:space="preserve">Елді мекендердің атмосфералық ауасындағы сутегі фторидінің массалық концентрациясын анықтау</t>
  </si>
  <si>
    <t xml:space="preserve">1.24.9</t>
  </si>
  <si>
    <t xml:space="preserve">Елді мекендердің атмосфералық ауасындағы күкіртті сутегінің массалық концентрациясын анықтау</t>
  </si>
  <si>
    <t xml:space="preserve">1.24.10</t>
  </si>
  <si>
    <t xml:space="preserve">Елді мекендердің атмосфералық ауасындағы фенолдың массалық концентрациясын анықтау</t>
  </si>
  <si>
    <t xml:space="preserve">1.24.11</t>
  </si>
  <si>
    <t xml:space="preserve">Елді мекендердің атмосфералық ауасындағы формальдегидтің массалық концентрациясын анықтау</t>
  </si>
  <si>
    <t xml:space="preserve">1.24.12</t>
  </si>
  <si>
    <t xml:space="preserve">Атмосфералық ауадағы күкірт қышқылын анықтау</t>
  </si>
  <si>
    <t xml:space="preserve">1.24.13</t>
  </si>
  <si>
    <t xml:space="preserve">Атмосфералық ауадағы хлорды анықтау</t>
  </si>
  <si>
    <t xml:space="preserve">1.24.14</t>
  </si>
  <si>
    <t xml:space="preserve">Атмосфералық ауадағы толуолды анықтау</t>
  </si>
  <si>
    <t xml:space="preserve">1.24.15</t>
  </si>
  <si>
    <t xml:space="preserve">Елді мекендердің атмосфералық ауасындағы темір, кадмий, кобальт, магний, марганец, мыс, никель, қорғасын, хром, мырыштың массалық концентрациясын анықтау</t>
  </si>
  <si>
    <t xml:space="preserve">1.24.16</t>
  </si>
  <si>
    <t xml:space="preserve">Атмосфералық ауадағы қорғасынның массалық концентрациясын анықтау</t>
  </si>
  <si>
    <t xml:space="preserve">1.24.17</t>
  </si>
  <si>
    <t xml:space="preserve">Атмосфералық ауадағы цианидті анықтау</t>
  </si>
  <si>
    <t xml:space="preserve">1.24.18</t>
  </si>
  <si>
    <t xml:space="preserve">Елді мекендердің атмосфералық ауасындағы алюминийдің массалық концентрациясын анықтау</t>
  </si>
  <si>
    <t xml:space="preserve">1.25</t>
  </si>
  <si>
    <t xml:space="preserve">Пестицидтер. Орталықтандырылған, орталықтандырылмаған шаруашылық-ауыз сумен жабдықтау көздерінен алынған су, су айдындары, жерасты және жер үсті көздері, ұңғымалар, құдықтар, бұлақтар мен каптаждар</t>
  </si>
  <si>
    <t xml:space="preserve">1.25.1</t>
  </si>
  <si>
    <t xml:space="preserve">Хлорорганикалық пестицидтерді анықтау</t>
  </si>
  <si>
    <t xml:space="preserve">1.25.2</t>
  </si>
  <si>
    <t xml:space="preserve">Полихлорбифенилдерді (ПХБ) анықтау</t>
  </si>
  <si>
    <t xml:space="preserve">1.25.3</t>
  </si>
  <si>
    <t xml:space="preserve">Фосфорорганикалық пестицидтерді анықтау</t>
  </si>
  <si>
    <t xml:space="preserve">1.25.4</t>
  </si>
  <si>
    <t xml:space="preserve">2,4-Д тобын анықтау</t>
  </si>
  <si>
    <t xml:space="preserve">1.25.5</t>
  </si>
  <si>
    <t xml:space="preserve">Карбаматтар мен туынды карбаминдерді, тио-дитиокарбамин қышқылдарын анықтау</t>
  </si>
  <si>
    <t xml:space="preserve">1.25.6</t>
  </si>
  <si>
    <t xml:space="preserve">Пиретроидтар тобын анықтау</t>
  </si>
  <si>
    <t xml:space="preserve">1.25.7</t>
  </si>
  <si>
    <t xml:space="preserve">Несепнәр, тионесеп қышқылы, сульфонилнесепнәр, ИСХ және т. б. анықтау</t>
  </si>
  <si>
    <t xml:space="preserve">1.25.8</t>
  </si>
  <si>
    <t xml:space="preserve">Гетероциклді қосылыстарды анықтау (бес мүшелі, алты мүшелі, триазолдар, триазиндер, триазолпиримидиндер)</t>
  </si>
  <si>
    <t xml:space="preserve">1.25.9</t>
  </si>
  <si>
    <t xml:space="preserve">ВЭЖХ әдісімен туынды карбамин қышқылдарын анықтау</t>
  </si>
  <si>
    <t xml:space="preserve">1.26</t>
  </si>
  <si>
    <t xml:space="preserve">Ауыз су, ыдыстарға құйылған табиғи минералды және жасанды-минералданған сулар </t>
  </si>
  <si>
    <t xml:space="preserve">1.26.1</t>
  </si>
  <si>
    <t xml:space="preserve">1.26.2</t>
  </si>
  <si>
    <t xml:space="preserve">Жоғары тиімді сұйық хроматография (ВЭЖХ) әдісімен 2,4-D тобын анықтау</t>
  </si>
  <si>
    <t xml:space="preserve">1.26.3</t>
  </si>
  <si>
    <t xml:space="preserve">ВЭЖХ әдісімен симм-триазиндер тобын анықтау</t>
  </si>
  <si>
    <t xml:space="preserve">1.27</t>
  </si>
  <si>
    <t xml:space="preserve">Ет және ет өнімдері: құс еті, жұмыртқа және оларды қайта өңдеу өнімдері, ет пен құс етінен консервілер </t>
  </si>
  <si>
    <t xml:space="preserve">1.27.1</t>
  </si>
  <si>
    <t xml:space="preserve">1.27.2</t>
  </si>
  <si>
    <t xml:space="preserve">1.27.3</t>
  </si>
  <si>
    <t xml:space="preserve">Полихлорбифенилдерді (ПХБ) газ-сұйық хроматография (ГЖХ) әдісімен анықтау</t>
  </si>
  <si>
    <t xml:space="preserve">1.28.</t>
  </si>
  <si>
    <t xml:space="preserve"> Сүт және сүт өнімдері, сүт консервілері</t>
  </si>
  <si>
    <t xml:space="preserve">1.28.1</t>
  </si>
  <si>
    <t xml:space="preserve">Хлорорганикалық пестицидтерді газ-сұйық хроматография (ГЖХ) әдісімен анықтау</t>
  </si>
  <si>
    <t xml:space="preserve">1.28.2</t>
  </si>
  <si>
    <t xml:space="preserve">Хроматомасспектрометрия әдісімен полихлорбифенилдерді (ПХБ) анықтау</t>
  </si>
  <si>
    <t xml:space="preserve">1.29</t>
  </si>
  <si>
    <t xml:space="preserve"> Балық, балық емес балық аулау объектілері және олардан өндірілетін өнімдер,  балық консервілері мен пресерлері</t>
  </si>
  <si>
    <t xml:space="preserve">1.29.1</t>
  </si>
  <si>
    <t xml:space="preserve">1.29.2</t>
  </si>
  <si>
    <t xml:space="preserve">1.29.3</t>
  </si>
  <si>
    <t xml:space="preserve">1.30</t>
  </si>
  <si>
    <t xml:space="preserve"> Дән (тұқым) ұн-жарма және нан-тоқаш өнімдері</t>
  </si>
  <si>
    <t xml:space="preserve">1.30.1</t>
  </si>
  <si>
    <t xml:space="preserve">1.30.2</t>
  </si>
  <si>
    <t xml:space="preserve">Сынап органикалық пестицидтерін анықтау</t>
  </si>
  <si>
    <t xml:space="preserve">1.30.3</t>
  </si>
  <si>
    <t xml:space="preserve">1.30.4</t>
  </si>
  <si>
    <t xml:space="preserve">Неоникотиноидтар, фенилпиразолдар, стробилуриндер, циклогександиондар, басқа заттар топтарын анықтау</t>
  </si>
  <si>
    <t xml:space="preserve">1.30.5</t>
  </si>
  <si>
    <t xml:space="preserve">1.30.6</t>
  </si>
  <si>
    <t xml:space="preserve">1.30.7</t>
  </si>
  <si>
    <t xml:space="preserve">1.30.8</t>
  </si>
  <si>
    <t xml:space="preserve">Туынды карбон қышқылдарын анықтау</t>
  </si>
  <si>
    <t xml:space="preserve">1.30.9</t>
  </si>
  <si>
    <t xml:space="preserve">1.30.10</t>
  </si>
  <si>
    <t xml:space="preserve">Несепнәр, тионесеп қышқылы, сульфонилнесепнәр, ИСХ және т. б. анықтау.</t>
  </si>
  <si>
    <t xml:space="preserve">1.30.11</t>
  </si>
  <si>
    <t xml:space="preserve">1.31</t>
  </si>
  <si>
    <t xml:space="preserve"> Қант және кондитерлік өнімдер</t>
  </si>
  <si>
    <t xml:space="preserve">1.31.1</t>
  </si>
  <si>
    <t xml:space="preserve">1.32</t>
  </si>
  <si>
    <t xml:space="preserve">Табиғи бал</t>
  </si>
  <si>
    <t xml:space="preserve">1.32.1</t>
  </si>
  <si>
    <t xml:space="preserve">1.33</t>
  </si>
  <si>
    <t xml:space="preserve"> Жеміс-көкөніс өнімдері, Көкөніс, жеміс, жидек және саңырауқұлақ консервілері</t>
  </si>
  <si>
    <t xml:space="preserve">1.33.1</t>
  </si>
  <si>
    <t xml:space="preserve">Өсімдік материалындағы нитраттарды анықтау</t>
  </si>
  <si>
    <t xml:space="preserve">1.33.2</t>
  </si>
  <si>
    <t xml:space="preserve">1.33.3</t>
  </si>
  <si>
    <t xml:space="preserve">1.33.4</t>
  </si>
  <si>
    <t xml:space="preserve">1.33.5</t>
  </si>
  <si>
    <t xml:space="preserve">1.33.6</t>
  </si>
  <si>
    <t xml:space="preserve">1.33.7</t>
  </si>
  <si>
    <t xml:space="preserve">Пиретроидтарды анықтау</t>
  </si>
  <si>
    <t xml:space="preserve">1.33.8</t>
  </si>
  <si>
    <t xml:space="preserve">1.33.9</t>
  </si>
  <si>
    <t xml:space="preserve">1.33.10</t>
  </si>
  <si>
    <t xml:space="preserve">1.34</t>
  </si>
  <si>
    <t xml:space="preserve">Майлы шикізат, май өнімдері, майонез</t>
  </si>
  <si>
    <t xml:space="preserve">1.34.1</t>
  </si>
  <si>
    <t xml:space="preserve">1.34.2</t>
  </si>
  <si>
    <t xml:space="preserve">1.34.3</t>
  </si>
  <si>
    <t xml:space="preserve">1.34.4</t>
  </si>
  <si>
    <t xml:space="preserve">1.34.5</t>
  </si>
  <si>
    <t xml:space="preserve">1.34.6</t>
  </si>
  <si>
    <t xml:space="preserve">Туынды карбамин қышқылдарын анықтау</t>
  </si>
  <si>
    <t xml:space="preserve">1.34.7</t>
  </si>
  <si>
    <t xml:space="preserve">1.34.8</t>
  </si>
  <si>
    <t xml:space="preserve">1.35</t>
  </si>
  <si>
    <t xml:space="preserve">1.35.1</t>
  </si>
  <si>
    <t xml:space="preserve">1.36</t>
  </si>
  <si>
    <t xml:space="preserve">Қара, көк шай</t>
  </si>
  <si>
    <t xml:space="preserve">1.36.1</t>
  </si>
  <si>
    <t xml:space="preserve">1.36.2</t>
  </si>
  <si>
    <t xml:space="preserve">1.36.3</t>
  </si>
  <si>
    <t xml:space="preserve">Гетероциклді қосылыстарды анықтау</t>
  </si>
  <si>
    <t xml:space="preserve">1.36.4</t>
  </si>
  <si>
    <t xml:space="preserve">1.37</t>
  </si>
  <si>
    <t xml:space="preserve">Кофе, какао</t>
  </si>
  <si>
    <t xml:space="preserve">1.37.1</t>
  </si>
  <si>
    <t xml:space="preserve">1.37.2</t>
  </si>
  <si>
    <t xml:space="preserve">1.37.3</t>
  </si>
  <si>
    <t xml:space="preserve">1.38</t>
  </si>
  <si>
    <t xml:space="preserve"> Дәмдеуіштер мен қоспалар</t>
  </si>
  <si>
    <t xml:space="preserve">1.38.1</t>
  </si>
  <si>
    <t xml:space="preserve">1.39</t>
  </si>
  <si>
    <t xml:space="preserve"> Темекі және темекі өнімдері,  сигареттер</t>
  </si>
  <si>
    <t xml:space="preserve">1.39.1</t>
  </si>
  <si>
    <t xml:space="preserve">1.39.2</t>
  </si>
  <si>
    <t xml:space="preserve">1.39.3</t>
  </si>
  <si>
    <t xml:space="preserve">1.40</t>
  </si>
  <si>
    <t xml:space="preserve">Топырақ, жер, лай</t>
  </si>
  <si>
    <t xml:space="preserve">1.40.1</t>
  </si>
  <si>
    <t xml:space="preserve">1.40.2</t>
  </si>
  <si>
    <t xml:space="preserve">1.40.3</t>
  </si>
  <si>
    <t xml:space="preserve">1.40.4</t>
  </si>
  <si>
    <t xml:space="preserve">1.40.5</t>
  </si>
  <si>
    <t xml:space="preserve">1.40.6</t>
  </si>
  <si>
    <t xml:space="preserve">1.40.7</t>
  </si>
  <si>
    <t xml:space="preserve">1.40.8</t>
  </si>
  <si>
    <t xml:space="preserve">1.40.9</t>
  </si>
  <si>
    <t xml:space="preserve">1.40.10</t>
  </si>
  <si>
    <t xml:space="preserve">1.40.11</t>
  </si>
  <si>
    <t xml:space="preserve">Полихлорбифенилдерді (ПХБ)анықтау</t>
  </si>
  <si>
    <t xml:space="preserve">1.41.</t>
  </si>
  <si>
    <t xml:space="preserve">Пестицидтердің (препараттық нысандар), дезинфекциялау құралдарының әсер етуші заттарының құрамы</t>
  </si>
  <si>
    <t xml:space="preserve">1.41.1</t>
  </si>
  <si>
    <t xml:space="preserve">1.41.2</t>
  </si>
  <si>
    <t xml:space="preserve">Пестицидтердің әсер етуші заттарының құрамы (препараттық нысандар) органолептика</t>
  </si>
  <si>
    <t xml:space="preserve">1.41.3</t>
  </si>
  <si>
    <t xml:space="preserve">Пестицидтердің әсер етуші заттарының құрамы (препараттық нысандар) рН</t>
  </si>
  <si>
    <t xml:space="preserve">1.41.4</t>
  </si>
  <si>
    <t xml:space="preserve">Пестицидтердің әсер етуші заттарының құрамы (препараттық нысандар) әсер етуші зат (ӘЗ)</t>
  </si>
  <si>
    <t xml:space="preserve">1.42</t>
  </si>
  <si>
    <t xml:space="preserve">Дәрілік өсімдік шикізаты</t>
  </si>
  <si>
    <t xml:space="preserve">1.42.1</t>
  </si>
  <si>
    <t xml:space="preserve">Симм-триазиндер тобын анықтау</t>
  </si>
  <si>
    <t xml:space="preserve">1.42.2</t>
  </si>
  <si>
    <t xml:space="preserve">1.42.3</t>
  </si>
  <si>
    <t xml:space="preserve">Синтетикалық пиретроидтарды анықтау</t>
  </si>
  <si>
    <t xml:space="preserve">1.42.4</t>
  </si>
  <si>
    <t xml:space="preserve">1.43</t>
  </si>
  <si>
    <t xml:space="preserve">Биологиялық орталар (зәр, қан, май тіндері, емшек сүті)</t>
  </si>
  <si>
    <t xml:space="preserve">1.43.1</t>
  </si>
  <si>
    <t xml:space="preserve">1.43.2</t>
  </si>
  <si>
    <t xml:space="preserve">1.44</t>
  </si>
  <si>
    <t xml:space="preserve">Тері жабындысынан, жұмыс киімінен шайындылар антранил қышқылы диамидтерінің класы (мысалы циантранилипрол)</t>
  </si>
  <si>
    <t xml:space="preserve">1.44.1</t>
  </si>
  <si>
    <t xml:space="preserve">Антранил қышқылының диамидтерін анықтау (мысалы циантранилипрол)</t>
  </si>
  <si>
    <t xml:space="preserve">1.45</t>
  </si>
  <si>
    <t xml:space="preserve">Тағамдық концентраттар, изоляттар </t>
  </si>
  <si>
    <t xml:space="preserve">1.45.1</t>
  </si>
  <si>
    <t xml:space="preserve">1.46</t>
  </si>
  <si>
    <t xml:space="preserve">Тамақ өнімдері, оның ішінде өсімдік және жануарлардан алынатын өнімдер</t>
  </si>
  <si>
    <t xml:space="preserve">1.46.1</t>
  </si>
  <si>
    <t xml:space="preserve">1.46.2</t>
  </si>
  <si>
    <t xml:space="preserve">1.46.3</t>
  </si>
  <si>
    <t xml:space="preserve">1.46.4</t>
  </si>
  <si>
    <t xml:space="preserve">1.46.5</t>
  </si>
  <si>
    <t xml:space="preserve">1.47</t>
  </si>
  <si>
    <t xml:space="preserve">Тағамға биологиялық белсенді қоспалар (ББҚ) </t>
  </si>
  <si>
    <t xml:space="preserve">1.47.1</t>
  </si>
  <si>
    <t xml:space="preserve">1.48</t>
  </si>
  <si>
    <t xml:space="preserve">Жүкті және бала емізетін әйелдердің тағамдары, балалар мен диеталық тағамдардың өнімдері мен консервілері</t>
  </si>
  <si>
    <t xml:space="preserve">1.48.1</t>
  </si>
  <si>
    <t xml:space="preserve">1.49</t>
  </si>
  <si>
    <t xml:space="preserve">Минералды тыңайтқыштар</t>
  </si>
  <si>
    <t xml:space="preserve">1.49.1</t>
  </si>
  <si>
    <t xml:space="preserve">1.49.2</t>
  </si>
  <si>
    <t xml:space="preserve">Ылғалдың массалық үлесін анықтау</t>
  </si>
  <si>
    <t xml:space="preserve">1.49.3</t>
  </si>
  <si>
    <t xml:space="preserve">РН массалық үлесін анықтау</t>
  </si>
  <si>
    <t xml:space="preserve">1.49.4</t>
  </si>
  <si>
    <t xml:space="preserve">Органикалық заттардың массалық үлесін анықтау</t>
  </si>
  <si>
    <t xml:space="preserve">1.49.5</t>
  </si>
  <si>
    <t xml:space="preserve">Гумин қышқылдарының массалық үлесін анықтау</t>
  </si>
  <si>
    <t xml:space="preserve">1.49.6</t>
  </si>
  <si>
    <t xml:space="preserve">Суда ерігіштіктің массалық үлесін анықтау</t>
  </si>
  <si>
    <t xml:space="preserve">1.49.7</t>
  </si>
  <si>
    <t xml:space="preserve">Н3РО4 қайта есептегенде бос қышқылдың массалық үлесін анықтау</t>
  </si>
  <si>
    <t xml:space="preserve">1.49.8</t>
  </si>
  <si>
    <t xml:space="preserve">Массалық үлесті анықтау құрғақ затқа қайта есептегенде натрий азот қышқылының (NаNО3) мөлшері</t>
  </si>
  <si>
    <t xml:space="preserve">1.49.9</t>
  </si>
  <si>
    <t xml:space="preserve">Жалпы азоттың массалық үлесін анықтау</t>
  </si>
  <si>
    <t xml:space="preserve">1.49.10</t>
  </si>
  <si>
    <t xml:space="preserve">Фосфордың массалық үлесін анықтау</t>
  </si>
  <si>
    <t xml:space="preserve">1.49.11</t>
  </si>
  <si>
    <t xml:space="preserve">Калий оксидінің массалық үлесін анықтау</t>
  </si>
  <si>
    <t xml:space="preserve">1.49.12</t>
  </si>
  <si>
    <t xml:space="preserve">Жылжымалы қосылыстарды анықтау</t>
  </si>
  <si>
    <t xml:space="preserve">1.49.13</t>
  </si>
  <si>
    <t xml:space="preserve">Кальцийдің массалық үлесін анықтау</t>
  </si>
  <si>
    <t xml:space="preserve">1.49.14</t>
  </si>
  <si>
    <t xml:space="preserve">Магнийдің массалық үлесін анықтау</t>
  </si>
  <si>
    <t xml:space="preserve">1.49.15</t>
  </si>
  <si>
    <t xml:space="preserve">Темірдің массалық үлесін анықтау</t>
  </si>
  <si>
    <t xml:space="preserve">1.49.16</t>
  </si>
  <si>
    <t xml:space="preserve">Мыс массасының үлесін анықтау</t>
  </si>
  <si>
    <t xml:space="preserve">1.49.17</t>
  </si>
  <si>
    <t xml:space="preserve">Марганецтің массалық үлесін анықтау</t>
  </si>
  <si>
    <t xml:space="preserve">1.49.18</t>
  </si>
  <si>
    <t xml:space="preserve">Мырыштың массалық үлесін анықтау</t>
  </si>
  <si>
    <t xml:space="preserve">1.49.19</t>
  </si>
  <si>
    <t xml:space="preserve">Тығыздықтың массалық үлесін анықтау</t>
  </si>
  <si>
    <t xml:space="preserve">1.49.20</t>
  </si>
  <si>
    <t xml:space="preserve">Құрғақ заттың массалық үлесін анықтау</t>
  </si>
  <si>
    <t xml:space="preserve">1.49.21</t>
  </si>
  <si>
    <t xml:space="preserve">1.49.22</t>
  </si>
  <si>
    <t xml:space="preserve">Аммоний мен нитрат азотының массалық үлесін анықтау</t>
  </si>
  <si>
    <t xml:space="preserve">1.49.23</t>
  </si>
  <si>
    <t xml:space="preserve">Бордың массалық үлесін анықтау</t>
  </si>
  <si>
    <t xml:space="preserve">1.49.24</t>
  </si>
  <si>
    <t xml:space="preserve">Кобальттың массалық үлесін анықтау</t>
  </si>
  <si>
    <t xml:space="preserve">1.49.25</t>
  </si>
  <si>
    <t xml:space="preserve">Молибденнің массалық үлесін анықтау</t>
  </si>
  <si>
    <t xml:space="preserve">1.49.26</t>
  </si>
  <si>
    <t xml:space="preserve">Кадмийдің массалық үлесін анықтау</t>
  </si>
  <si>
    <t xml:space="preserve">1.49.27</t>
  </si>
  <si>
    <t xml:space="preserve">Қорғасынның массалық үлесін анықтау</t>
  </si>
  <si>
    <t xml:space="preserve">1.49.28</t>
  </si>
  <si>
    <t xml:space="preserve">Мышьяктың массалық үлесін анықтау</t>
  </si>
  <si>
    <t xml:space="preserve">1.49.29</t>
  </si>
  <si>
    <t xml:space="preserve">Никельдің массалық үлесін анықтау</t>
  </si>
  <si>
    <t xml:space="preserve">1.49.30</t>
  </si>
  <si>
    <t xml:space="preserve">Хромның массалық үлесін анықтау</t>
  </si>
  <si>
    <t xml:space="preserve">1.49.31</t>
  </si>
  <si>
    <t xml:space="preserve">Күкірттің массалық үлесін анықтау</t>
  </si>
  <si>
    <t xml:space="preserve">1.49.32</t>
  </si>
  <si>
    <t xml:space="preserve">Гранулометриялық құрамды анықтау</t>
  </si>
  <si>
    <t xml:space="preserve">1.49.33</t>
  </si>
  <si>
    <t xml:space="preserve">Ұнтақтықты анықтау</t>
  </si>
  <si>
    <t xml:space="preserve">1.49.34</t>
  </si>
  <si>
    <t xml:space="preserve">Биуреттің массалық үлесін анықтау</t>
  </si>
  <si>
    <t xml:space="preserve">1.49.35</t>
  </si>
  <si>
    <t xml:space="preserve">Бос аммиактың массалық үлесін анықтау</t>
  </si>
  <si>
    <t xml:space="preserve">1.49.36</t>
  </si>
  <si>
    <t xml:space="preserve">Құрғақ заттағы азотқа қайта есептегенде қоректік заттар сомасының массалық үлесін анықтау</t>
  </si>
  <si>
    <t xml:space="preserve">1.49.37</t>
  </si>
  <si>
    <t xml:space="preserve">Құрғақ затқа қайта есептегенде қоспалардың массалық үлесін анықтау</t>
  </si>
  <si>
    <t xml:space="preserve">1.49.38</t>
  </si>
  <si>
    <t xml:space="preserve">Бос күкірт қышқылының массалық үлесін анықтау</t>
  </si>
  <si>
    <t xml:space="preserve">1.49.39</t>
  </si>
  <si>
    <t xml:space="preserve">Массалық үлесті анықтау металломагниттік қоспа</t>
  </si>
  <si>
    <t xml:space="preserve">1.49.40</t>
  </si>
  <si>
    <t xml:space="preserve">Үйінді тығыздығын анықтау</t>
  </si>
  <si>
    <t xml:space="preserve">1.49.41</t>
  </si>
  <si>
    <t xml:space="preserve">MgO-ға қайта есептегенде кальций мен магний нитраттарының массалық үлесін анықтау</t>
  </si>
  <si>
    <t xml:space="preserve">1.49.42</t>
  </si>
  <si>
    <t xml:space="preserve">Хлордың массалық үлесін анықтау</t>
  </si>
  <si>
    <t xml:space="preserve">1.50.</t>
  </si>
  <si>
    <t xml:space="preserve">Пестицидтің қалдық мөлшерін анықтау әдісін бейімдеу</t>
  </si>
  <si>
    <t xml:space="preserve">1.60.</t>
  </si>
  <si>
    <t xml:space="preserve">Физикалық факторлар зертханасы</t>
  </si>
  <si>
    <t xml:space="preserve">1.60.1</t>
  </si>
  <si>
    <t xml:space="preserve">300 МГц-тен 300 ГГц-ке дейінгі өте жоғары жиілікті (СВЧ) диапазондағы электромагниттік энергия ағынының тығыздығы</t>
  </si>
  <si>
    <t xml:space="preserve">1.60.2</t>
  </si>
  <si>
    <t xml:space="preserve">электромагниттік өрістің кернеулігі 30 кГц тен 300 МГц ке дейін</t>
  </si>
  <si>
    <t xml:space="preserve">1.60.3</t>
  </si>
  <si>
    <t xml:space="preserve">өнеркәсіптік 50 Гц жиіліктегі электр және магнит өрісінің кернеулігі </t>
  </si>
  <si>
    <t xml:space="preserve">1.60.4</t>
  </si>
  <si>
    <t xml:space="preserve">электр өрісінің кернеулігі және магнит ағынының тығыздығы</t>
  </si>
  <si>
    <t xml:space="preserve">1.60.5</t>
  </si>
  <si>
    <t xml:space="preserve">электростатикалық өрістің кернеулігі</t>
  </si>
  <si>
    <t xml:space="preserve">1.60.6</t>
  </si>
  <si>
    <t xml:space="preserve">ультракүлгін сәулеленудің қарқындылығы</t>
  </si>
  <si>
    <t xml:space="preserve">1.60.7</t>
  </si>
  <si>
    <t xml:space="preserve">инфрақызыл (жылу) сәулеленудің қарқындылығы</t>
  </si>
  <si>
    <t xml:space="preserve">1.60.8</t>
  </si>
  <si>
    <t xml:space="preserve">лазерлік сәулелену қарқындылығы</t>
  </si>
  <si>
    <t xml:space="preserve">1.60.9</t>
  </si>
  <si>
    <t xml:space="preserve">Дыбыс деңгейіне баламалы шу деңгейін анықтау</t>
  </si>
  <si>
    <t xml:space="preserve">1.60.10</t>
  </si>
  <si>
    <t xml:space="preserve">Дыбыстық қысым деңгейін анықтау (спектрлік сипаттама)</t>
  </si>
  <si>
    <t xml:space="preserve">1.60.11</t>
  </si>
  <si>
    <t xml:space="preserve">Инфрақызыл деңгейді анықтау</t>
  </si>
  <si>
    <t xml:space="preserve">1.60.12</t>
  </si>
  <si>
    <t xml:space="preserve">Шу сипаттамасын шығару</t>
  </si>
  <si>
    <t xml:space="preserve">1.60.13</t>
  </si>
  <si>
    <t xml:space="preserve">ультрадыбыс деңгейі</t>
  </si>
  <si>
    <t xml:space="preserve">1.60.14</t>
  </si>
  <si>
    <t xml:space="preserve">Жалпы діріл деңгейі</t>
  </si>
  <si>
    <t xml:space="preserve">1.60.15</t>
  </si>
  <si>
    <t xml:space="preserve">Жергілікті діріл деңгейі</t>
  </si>
  <si>
    <t xml:space="preserve">1.60.16</t>
  </si>
  <si>
    <t xml:space="preserve">Діріл сипаттамасын шығару</t>
  </si>
  <si>
    <t xml:space="preserve">1.60.17</t>
  </si>
  <si>
    <t xml:space="preserve">Аэроион концентрациясын анықтау</t>
  </si>
  <si>
    <t xml:space="preserve">1.60.18</t>
  </si>
  <si>
    <t xml:space="preserve">Шу, діріл және ЭМӨ (барлық диапазондар)деңгейлерінің хаттамаларын есептеу және ресімдеу</t>
  </si>
  <si>
    <t xml:space="preserve">2</t>
  </si>
  <si>
    <t xml:space="preserve">Полимерлер мен басқа да химиялық заттардың токсикологиясы референс-зертханасы</t>
  </si>
  <si>
    <t xml:space="preserve">2.1</t>
  </si>
  <si>
    <t xml:space="preserve">Тамақ өнімдерімен және сумен жанасатын полимерлік және басқа материалдардан жасалған материалдар мен бұйымдар, баспа өнімдері.</t>
  </si>
  <si>
    <t xml:space="preserve">2.1.1</t>
  </si>
  <si>
    <t xml:space="preserve">2.1.2</t>
  </si>
  <si>
    <t xml:space="preserve">Қышқылға төзімділікті анықтау</t>
  </si>
  <si>
    <t xml:space="preserve">2.1.3</t>
  </si>
  <si>
    <t xml:space="preserve">Бояуларды бекіту беріктігін анықтау</t>
  </si>
  <si>
    <t xml:space="preserve">2.1.4</t>
  </si>
  <si>
    <t xml:space="preserve">Химиялық тұрақтылықты анықтау</t>
  </si>
  <si>
    <t xml:space="preserve">2.1.5</t>
  </si>
  <si>
    <t xml:space="preserve">Тұтқаларды бекіту беріктігін анықтау</t>
  </si>
  <si>
    <t xml:space="preserve">2.1.6</t>
  </si>
  <si>
    <t xml:space="preserve">Ыстық суға төзімділікті анықтау</t>
  </si>
  <si>
    <t xml:space="preserve">2.1.7</t>
  </si>
  <si>
    <t xml:space="preserve">Су сорғышының тотығуын анықтау</t>
  </si>
  <si>
    <t xml:space="preserve">2.1.8</t>
  </si>
  <si>
    <t xml:space="preserve">Ауыр металл тұздарын анықтау (қорғасын)</t>
  </si>
  <si>
    <t xml:space="preserve">2.1.9</t>
  </si>
  <si>
    <t xml:space="preserve">Ауыр металл тұздарын анықтау (мыс)</t>
  </si>
  <si>
    <t xml:space="preserve">2.1.10</t>
  </si>
  <si>
    <t xml:space="preserve">Ауыр металл тұздарын анықтау (мырыш)</t>
  </si>
  <si>
    <t xml:space="preserve">2.1.11</t>
  </si>
  <si>
    <t xml:space="preserve">Ауыр металл тұздарын анықтау (кадмий)</t>
  </si>
  <si>
    <t xml:space="preserve">2.1.12</t>
  </si>
  <si>
    <t xml:space="preserve">2.1.13</t>
  </si>
  <si>
    <t xml:space="preserve">2.1.14</t>
  </si>
  <si>
    <t xml:space="preserve">Ауыр металл тұздарын анықтау (хром)</t>
  </si>
  <si>
    <t xml:space="preserve">2.1.15</t>
  </si>
  <si>
    <t xml:space="preserve">2.1.16</t>
  </si>
  <si>
    <t xml:space="preserve">2.1.17</t>
  </si>
  <si>
    <t xml:space="preserve">Марганецті анықтау</t>
  </si>
  <si>
    <t xml:space="preserve">2.1.18</t>
  </si>
  <si>
    <t xml:space="preserve">2.1.19</t>
  </si>
  <si>
    <t xml:space="preserve">2.1.20</t>
  </si>
  <si>
    <t xml:space="preserve">2.1.21</t>
  </si>
  <si>
    <t xml:space="preserve">2.1.22</t>
  </si>
  <si>
    <t xml:space="preserve">Акрилонитрилді анықтау</t>
  </si>
  <si>
    <t xml:space="preserve">2.1.23</t>
  </si>
  <si>
    <t xml:space="preserve">Бензолды анықтау</t>
  </si>
  <si>
    <t xml:space="preserve">2.1.24</t>
  </si>
  <si>
    <t xml:space="preserve">Бутилакрилатты анықтау</t>
  </si>
  <si>
    <t xml:space="preserve">2.1.25</t>
  </si>
  <si>
    <t xml:space="preserve">Винилацетатты анықтау</t>
  </si>
  <si>
    <t xml:space="preserve">2.1.26</t>
  </si>
  <si>
    <t xml:space="preserve">Гексаметилендиаминді анықтау</t>
  </si>
  <si>
    <t xml:space="preserve">2.1.27</t>
  </si>
  <si>
    <t xml:space="preserve">Ксилолды анықтау</t>
  </si>
  <si>
    <t xml:space="preserve">2.1.28</t>
  </si>
  <si>
    <t xml:space="preserve">Метилакрилатты анықтау</t>
  </si>
  <si>
    <t xml:space="preserve">2.1.29</t>
  </si>
  <si>
    <t xml:space="preserve">Бутанолды анықтау</t>
  </si>
  <si>
    <t xml:space="preserve">2.1.30</t>
  </si>
  <si>
    <t xml:space="preserve">Пропанолды анықтау</t>
  </si>
  <si>
    <t xml:space="preserve">2.1.31</t>
  </si>
  <si>
    <t xml:space="preserve">Изопропанолды анықтау</t>
  </si>
  <si>
    <t xml:space="preserve">2.1.32</t>
  </si>
  <si>
    <t xml:space="preserve">Изобутанолды анықтау</t>
  </si>
  <si>
    <t xml:space="preserve">2.1.33</t>
  </si>
  <si>
    <t xml:space="preserve">Метанолды анықтау</t>
  </si>
  <si>
    <t xml:space="preserve">2.1.34</t>
  </si>
  <si>
    <t xml:space="preserve">Метилацетатты анықтау</t>
  </si>
  <si>
    <t xml:space="preserve">2.1.35</t>
  </si>
  <si>
    <t xml:space="preserve">Бутилацетатты анықтау</t>
  </si>
  <si>
    <t xml:space="preserve">2.1.36</t>
  </si>
  <si>
    <t xml:space="preserve">Толуолды анықтау</t>
  </si>
  <si>
    <t xml:space="preserve">2.1.37</t>
  </si>
  <si>
    <t xml:space="preserve">Хлорлы винилді анықтау</t>
  </si>
  <si>
    <t xml:space="preserve">2.1.38</t>
  </si>
  <si>
    <t xml:space="preserve">Этилацетатты анықтау</t>
  </si>
  <si>
    <t xml:space="preserve">2.1.39</t>
  </si>
  <si>
    <t xml:space="preserve">Эпихлоргидринді анықтау</t>
  </si>
  <si>
    <t xml:space="preserve">2.1.40</t>
  </si>
  <si>
    <t xml:space="preserve">Дифенилопропанды анықтау</t>
  </si>
  <si>
    <t xml:space="preserve">2.1.41</t>
  </si>
  <si>
    <t xml:space="preserve">Диметилтерефталатты анықтау</t>
  </si>
  <si>
    <t xml:space="preserve">2.1.42</t>
  </si>
  <si>
    <t xml:space="preserve">Капролактамды анықтау</t>
  </si>
  <si>
    <t xml:space="preserve">2.1.43</t>
  </si>
  <si>
    <t xml:space="preserve">Каптаксты анықтау</t>
  </si>
  <si>
    <t xml:space="preserve">2.1.44</t>
  </si>
  <si>
    <t xml:space="preserve">Метилметакрилатты анықтау</t>
  </si>
  <si>
    <t xml:space="preserve">2.1.45</t>
  </si>
  <si>
    <t xml:space="preserve">Стиролды анықтау</t>
  </si>
  <si>
    <t xml:space="preserve">2.1.46</t>
  </si>
  <si>
    <t xml:space="preserve">Фенолды анықтау</t>
  </si>
  <si>
    <t xml:space="preserve">2.1.47</t>
  </si>
  <si>
    <t xml:space="preserve">2.1.48</t>
  </si>
  <si>
    <t xml:space="preserve">2.1.49</t>
  </si>
  <si>
    <t xml:space="preserve">Этиленгликольді анықтау</t>
  </si>
  <si>
    <t xml:space="preserve">2.1.50</t>
  </si>
  <si>
    <t xml:space="preserve">ГЖХ әдісімен диоктил - және дибутил фталаттарын анықтау</t>
  </si>
  <si>
    <t xml:space="preserve">2.1.51</t>
  </si>
  <si>
    <t xml:space="preserve">Органикалық еріткіштер</t>
  </si>
  <si>
    <t xml:space="preserve">2.1.52</t>
  </si>
  <si>
    <t xml:space="preserve">ААС әдісімен металдар</t>
  </si>
  <si>
    <t xml:space="preserve">2.1.53</t>
  </si>
  <si>
    <t xml:space="preserve">Уыттылық индексі</t>
  </si>
  <si>
    <t xml:space="preserve">2.2</t>
  </si>
  <si>
    <t xml:space="preserve">Балалар ойындары мен ойыншықтары, балалар ассортиментіндегі тауарлар</t>
  </si>
  <si>
    <t xml:space="preserve">2.2.1</t>
  </si>
  <si>
    <t xml:space="preserve">Үлгінің органолептикалық көрсеткіштері және одан алынған сығындылар</t>
  </si>
  <si>
    <t xml:space="preserve">2.2.2</t>
  </si>
  <si>
    <t xml:space="preserve">Қорғаныш-сәндік жабынның сілекей, тер және ылғалды өңдеуге төзімділігін анықтау</t>
  </si>
  <si>
    <t xml:space="preserve">2.2.3</t>
  </si>
  <si>
    <t xml:space="preserve">ГЖХ әдісімен органикалық еріткіштер</t>
  </si>
  <si>
    <t xml:space="preserve">2.2.4</t>
  </si>
  <si>
    <t xml:space="preserve">2.2.5</t>
  </si>
  <si>
    <t xml:space="preserve">2.2.6</t>
  </si>
  <si>
    <t xml:space="preserve">2.2.7</t>
  </si>
  <si>
    <t xml:space="preserve">Этилацитатты анықтау</t>
  </si>
  <si>
    <t xml:space="preserve">2.2.8</t>
  </si>
  <si>
    <t xml:space="preserve">2.2.9</t>
  </si>
  <si>
    <t xml:space="preserve">2.2.10</t>
  </si>
  <si>
    <t xml:space="preserve">2.2.11</t>
  </si>
  <si>
    <t xml:space="preserve">2.2.12</t>
  </si>
  <si>
    <t xml:space="preserve">2.2.13</t>
  </si>
  <si>
    <t xml:space="preserve">2.2.14</t>
  </si>
  <si>
    <t xml:space="preserve">2.2.15</t>
  </si>
  <si>
    <t xml:space="preserve">2.2.16</t>
  </si>
  <si>
    <t xml:space="preserve">2.2.17</t>
  </si>
  <si>
    <t xml:space="preserve">Дифенилгуанидинді анықтау</t>
  </si>
  <si>
    <t xml:space="preserve">2.2.18</t>
  </si>
  <si>
    <t xml:space="preserve">2.2.19</t>
  </si>
  <si>
    <t xml:space="preserve">2.2.20</t>
  </si>
  <si>
    <t xml:space="preserve">2.2.21</t>
  </si>
  <si>
    <t xml:space="preserve">2.2.22</t>
  </si>
  <si>
    <t xml:space="preserve">2.2.23</t>
  </si>
  <si>
    <t xml:space="preserve">2.2.24</t>
  </si>
  <si>
    <t xml:space="preserve">2.2.25</t>
  </si>
  <si>
    <t xml:space="preserve">2.2.26</t>
  </si>
  <si>
    <t xml:space="preserve">2.2.27</t>
  </si>
  <si>
    <t xml:space="preserve">Фтал ангидридін анықтау</t>
  </si>
  <si>
    <t xml:space="preserve">2.2.28</t>
  </si>
  <si>
    <t xml:space="preserve">2.2.29</t>
  </si>
  <si>
    <t xml:space="preserve">2.2.30</t>
  </si>
  <si>
    <t xml:space="preserve">Сірке қышқылын анықтау</t>
  </si>
  <si>
    <t xml:space="preserve">2.2.31</t>
  </si>
  <si>
    <t xml:space="preserve">2.2.32</t>
  </si>
  <si>
    <t xml:space="preserve">Органикалық еріткіштерді анықтау </t>
  </si>
  <si>
    <t xml:space="preserve">2.2.33</t>
  </si>
  <si>
    <t xml:space="preserve">ААС әдісімен металдарды анықтау</t>
  </si>
  <si>
    <t xml:space="preserve">2.2.34</t>
  </si>
  <si>
    <t xml:space="preserve">Ууыттылық индексін анықтау</t>
  </si>
  <si>
    <t xml:space="preserve">2.2.35</t>
  </si>
  <si>
    <t xml:space="preserve">терінің тітіркендіргіш әсерін анықтау</t>
  </si>
  <si>
    <t xml:space="preserve">2.2.36</t>
  </si>
  <si>
    <t xml:space="preserve">тері-резорбтивті әсерді анықтау</t>
  </si>
  <si>
    <t xml:space="preserve">2.2.37</t>
  </si>
  <si>
    <t xml:space="preserve">Шырышты қабыққа тітіркендіргіш әсерді анықтау</t>
  </si>
  <si>
    <t xml:space="preserve">2.3</t>
  </si>
  <si>
    <t xml:space="preserve">Суды тазарту және су дайындау үшін пайдаланылатын материалдар, реагенттер, жабдықтар, электр тұрмыстық жабдықтар</t>
  </si>
  <si>
    <t xml:space="preserve">2.3.1</t>
  </si>
  <si>
    <t xml:space="preserve">Үлгіні органолептикалық зерттеу және одан алынған сығындылар</t>
  </si>
  <si>
    <t xml:space="preserve">2.3.2</t>
  </si>
  <si>
    <t xml:space="preserve">2.3.3</t>
  </si>
  <si>
    <t xml:space="preserve">2.3.4</t>
  </si>
  <si>
    <t xml:space="preserve">2.3.5</t>
  </si>
  <si>
    <t xml:space="preserve">2.3.6</t>
  </si>
  <si>
    <t xml:space="preserve">2.3.7</t>
  </si>
  <si>
    <t xml:space="preserve">2.3.8</t>
  </si>
  <si>
    <t xml:space="preserve">2.3.9</t>
  </si>
  <si>
    <t xml:space="preserve">2.3.10</t>
  </si>
  <si>
    <t xml:space="preserve">2.3.11</t>
  </si>
  <si>
    <t xml:space="preserve">2.3.12</t>
  </si>
  <si>
    <t xml:space="preserve">2.3.13</t>
  </si>
  <si>
    <t xml:space="preserve">2.3.14</t>
  </si>
  <si>
    <t xml:space="preserve">2.3.15</t>
  </si>
  <si>
    <t xml:space="preserve">2.3.16</t>
  </si>
  <si>
    <t xml:space="preserve">2.3.17</t>
  </si>
  <si>
    <t xml:space="preserve">2.3.18</t>
  </si>
  <si>
    <t xml:space="preserve">2.3.19</t>
  </si>
  <si>
    <t xml:space="preserve">2.3.20</t>
  </si>
  <si>
    <t xml:space="preserve">2.3.21</t>
  </si>
  <si>
    <t xml:space="preserve">2.3.22</t>
  </si>
  <si>
    <t xml:space="preserve">2.3.23</t>
  </si>
  <si>
    <t xml:space="preserve">2.3.24</t>
  </si>
  <si>
    <t xml:space="preserve">2.3.25</t>
  </si>
  <si>
    <t xml:space="preserve">2.3.26</t>
  </si>
  <si>
    <t xml:space="preserve">2.3.27</t>
  </si>
  <si>
    <t xml:space="preserve">2.3.28</t>
  </si>
  <si>
    <t xml:space="preserve">2.3.29</t>
  </si>
  <si>
    <t xml:space="preserve">2.3.30</t>
  </si>
  <si>
    <t xml:space="preserve">2.3.31</t>
  </si>
  <si>
    <t xml:space="preserve">2.3.32</t>
  </si>
  <si>
    <t xml:space="preserve">Пропил спиртін анықтау</t>
  </si>
  <si>
    <t xml:space="preserve">2.3.33</t>
  </si>
  <si>
    <t xml:space="preserve">Изопропил спиртін анықтау</t>
  </si>
  <si>
    <t xml:space="preserve">2.3.34</t>
  </si>
  <si>
    <t xml:space="preserve">2.3.35</t>
  </si>
  <si>
    <t xml:space="preserve">2.3.36</t>
  </si>
  <si>
    <t xml:space="preserve">2.3.37</t>
  </si>
  <si>
    <t xml:space="preserve">2.3.38</t>
  </si>
  <si>
    <t xml:space="preserve">2.3.39</t>
  </si>
  <si>
    <t xml:space="preserve">2.3.40</t>
  </si>
  <si>
    <t xml:space="preserve">2.3.41</t>
  </si>
  <si>
    <t xml:space="preserve">2.3.42</t>
  </si>
  <si>
    <t xml:space="preserve">Биотестілеу. "Биотокс"аспабындағы бактериялардың биолюминесценциясы бойынша полимерлік материалдар мен бұйымдардан су сорғыштарының уыттылық индексін анықтау.</t>
  </si>
  <si>
    <t xml:space="preserve">2.3.43</t>
  </si>
  <si>
    <t xml:space="preserve">Органикалық еріткіштерді анықтау</t>
  </si>
  <si>
    <t xml:space="preserve">2.3.44</t>
  </si>
  <si>
    <t xml:space="preserve">ААС әдісімен металлды анықтау</t>
  </si>
  <si>
    <t xml:space="preserve">2.4</t>
  </si>
  <si>
    <t xml:space="preserve">Парфюмерлік-косметикалық өнімдер және ауыз қуысының гигиенасы құралдары, тұрмыстық химия тауарлары</t>
  </si>
  <si>
    <t xml:space="preserve">2.4.1</t>
  </si>
  <si>
    <t xml:space="preserve">Парфюмерлік бұйымдардың иісіне төзімділікті анықтау</t>
  </si>
  <si>
    <t xml:space="preserve">2.4.2</t>
  </si>
  <si>
    <t xml:space="preserve">2.4.3</t>
  </si>
  <si>
    <t xml:space="preserve">2.4.4</t>
  </si>
  <si>
    <t xml:space="preserve">Тіс пастасындағы ауыр металдар сомасының массалық үлесін анықтау</t>
  </si>
  <si>
    <t xml:space="preserve">2.4.5</t>
  </si>
  <si>
    <t xml:space="preserve">Парфюмерлік-косметикалық өнімдердегі ауыр металдардың мөлшерін анықтау</t>
  </si>
  <si>
    <t xml:space="preserve">2.4.6</t>
  </si>
  <si>
    <t xml:space="preserve">2.4.7</t>
  </si>
  <si>
    <t xml:space="preserve">2.4.8</t>
  </si>
  <si>
    <t xml:space="preserve">2.4.9</t>
  </si>
  <si>
    <t xml:space="preserve">Фосфор қышқылы тұздарының массалық үлесі</t>
  </si>
  <si>
    <t xml:space="preserve">2.4.10</t>
  </si>
  <si>
    <t xml:space="preserve">Жедел (бір реттік) тәжірибеде қояндарға заттың теріні тітіркендіретін әсерін анықтау</t>
  </si>
  <si>
    <t xml:space="preserve">2.4.11</t>
  </si>
  <si>
    <t xml:space="preserve">Фторидтің массалық үлесін анықтау</t>
  </si>
  <si>
    <t xml:space="preserve">2.4.12</t>
  </si>
  <si>
    <t xml:space="preserve">Сабындағы май қышқылдарының массалық үлесін анықтау</t>
  </si>
  <si>
    <t xml:space="preserve">2.4.13</t>
  </si>
  <si>
    <t xml:space="preserve">Кір сабындағы күйдіргіш сілтінің массалық үлесін анықтау (сода өнімдері)</t>
  </si>
  <si>
    <t xml:space="preserve">2.4.14</t>
  </si>
  <si>
    <t xml:space="preserve">Адам терісіндегі ПАВ қалдық мөлшерін анықтау</t>
  </si>
  <si>
    <t xml:space="preserve">2.4.15</t>
  </si>
  <si>
    <t xml:space="preserve">Тіндердегі катиондық ПАВ қалдық мөлшерін анықтау</t>
  </si>
  <si>
    <t xml:space="preserve">2.4.16</t>
  </si>
  <si>
    <t xml:space="preserve">Ыдыс-аяқтан ПАВ шаю дәрежесін анықтау</t>
  </si>
  <si>
    <t xml:space="preserve">2.4.17</t>
  </si>
  <si>
    <t xml:space="preserve">Организмдегі сенсибилизацияны - аллергенді әсер ету шегін белгілеу арқылы кеңейтілген әдіспен анықтау</t>
  </si>
  <si>
    <t xml:space="preserve">2.4.18</t>
  </si>
  <si>
    <t xml:space="preserve">Уыттылық индексін анықтау</t>
  </si>
  <si>
    <t xml:space="preserve">2.4.19</t>
  </si>
  <si>
    <t xml:space="preserve">Организмдегі сансибилизацияны экспресс әдіспен  анықтау</t>
  </si>
  <si>
    <t xml:space="preserve">2.4.20</t>
  </si>
  <si>
    <t xml:space="preserve">Терінің тітіркендіргіш әсерін анықтау</t>
  </si>
  <si>
    <t xml:space="preserve">2.4.21</t>
  </si>
  <si>
    <t xml:space="preserve">Статикалық улау кезінде ақ тышқандарда ингаляциялық улау кезінде ингаляциялық қауіпті анықтау</t>
  </si>
  <si>
    <t xml:space="preserve">2.4.22</t>
  </si>
  <si>
    <t xml:space="preserve">2.4.23</t>
  </si>
  <si>
    <t xml:space="preserve">Ақ тышқандарда заттың орташа өлім дозасын (LD50) кеңейтілген тәсілмен анықтау</t>
  </si>
  <si>
    <t xml:space="preserve">2.5</t>
  </si>
  <si>
    <t xml:space="preserve">Полимерлік, құрылыс, құрылымдық материалдар, бояу және жиһаз өнімдері.</t>
  </si>
  <si>
    <t xml:space="preserve">2.5.1</t>
  </si>
  <si>
    <t xml:space="preserve">2.5.2</t>
  </si>
  <si>
    <t xml:space="preserve">2.5.3</t>
  </si>
  <si>
    <t xml:space="preserve">2.5.4</t>
  </si>
  <si>
    <t xml:space="preserve">2.5.5</t>
  </si>
  <si>
    <t xml:space="preserve">2.5.6</t>
  </si>
  <si>
    <t xml:space="preserve">2.5.7</t>
  </si>
  <si>
    <t xml:space="preserve">Бутилметакрилатты анықтау</t>
  </si>
  <si>
    <t xml:space="preserve">2.5.8</t>
  </si>
  <si>
    <t xml:space="preserve">2.5.9</t>
  </si>
  <si>
    <t xml:space="preserve">2.5.10</t>
  </si>
  <si>
    <t xml:space="preserve">2.5.11</t>
  </si>
  <si>
    <t xml:space="preserve">2.5.12</t>
  </si>
  <si>
    <t xml:space="preserve">2.5.13</t>
  </si>
  <si>
    <t xml:space="preserve">2.5.14</t>
  </si>
  <si>
    <t xml:space="preserve">2.5.15</t>
  </si>
  <si>
    <t xml:space="preserve">2.5.16</t>
  </si>
  <si>
    <t xml:space="preserve">2.5.17</t>
  </si>
  <si>
    <t xml:space="preserve">2.5.18</t>
  </si>
  <si>
    <t xml:space="preserve">Диметилформамидті анықтау</t>
  </si>
  <si>
    <t xml:space="preserve">2.5.19</t>
  </si>
  <si>
    <t xml:space="preserve">2.5.20</t>
  </si>
  <si>
    <t xml:space="preserve">2.5.21</t>
  </si>
  <si>
    <t xml:space="preserve">Көміртегі хлоридін анықтау</t>
  </si>
  <si>
    <t xml:space="preserve">2.5.22</t>
  </si>
  <si>
    <t xml:space="preserve">2.5.23</t>
  </si>
  <si>
    <t xml:space="preserve">2.5.24</t>
  </si>
  <si>
    <t xml:space="preserve">Толуилендиизоцианатты анықтау</t>
  </si>
  <si>
    <t xml:space="preserve">2.5.25</t>
  </si>
  <si>
    <t xml:space="preserve">2.5.26</t>
  </si>
  <si>
    <t xml:space="preserve">2.5.27</t>
  </si>
  <si>
    <t xml:space="preserve">2.5.28</t>
  </si>
  <si>
    <t xml:space="preserve">Этилацитті анықтау</t>
  </si>
  <si>
    <t xml:space="preserve">2.5.29</t>
  </si>
  <si>
    <t xml:space="preserve">2.5.30</t>
  </si>
  <si>
    <t xml:space="preserve">Этилен оксидін анықтау</t>
  </si>
  <si>
    <t xml:space="preserve">2.5.31</t>
  </si>
  <si>
    <t xml:space="preserve">Құрылыс материалдарындағы асбестті анықтау</t>
  </si>
  <si>
    <t xml:space="preserve">2.5.32</t>
  </si>
  <si>
    <t xml:space="preserve">2.5.33</t>
  </si>
  <si>
    <t xml:space="preserve">Бояу материалдарындағы цианид сутегін анықтау</t>
  </si>
  <si>
    <t xml:space="preserve">2.5.34</t>
  </si>
  <si>
    <t xml:space="preserve">Органикалық  еріткіштерді анықтау</t>
  </si>
  <si>
    <t xml:space="preserve">2.5.35</t>
  </si>
  <si>
    <t xml:space="preserve">2.5.36</t>
  </si>
  <si>
    <t xml:space="preserve">Тері-резорбтивті әсерін анықтау</t>
  </si>
  <si>
    <t xml:space="preserve">2.6</t>
  </si>
  <si>
    <t xml:space="preserve">Жеңіл және тоқыма өнеркәсібінің өнімдері, жеке қорғаныш құралдары (ЖҚҚ)</t>
  </si>
  <si>
    <t xml:space="preserve">2.6.1</t>
  </si>
  <si>
    <t xml:space="preserve">2.6.2</t>
  </si>
  <si>
    <t xml:space="preserve">2.6.3</t>
  </si>
  <si>
    <t xml:space="preserve">2.6.4</t>
  </si>
  <si>
    <t xml:space="preserve">Е-капролактамды анықтау</t>
  </si>
  <si>
    <t xml:space="preserve">2.6.5</t>
  </si>
  <si>
    <t xml:space="preserve">2.6.6</t>
  </si>
  <si>
    <t xml:space="preserve">Акрил қышқылын анықтау</t>
  </si>
  <si>
    <t xml:space="preserve">2.6.7</t>
  </si>
  <si>
    <t xml:space="preserve">2.6.8</t>
  </si>
  <si>
    <t xml:space="preserve">2.6.9</t>
  </si>
  <si>
    <t xml:space="preserve">2.6.10</t>
  </si>
  <si>
    <t xml:space="preserve">2.6.11</t>
  </si>
  <si>
    <t xml:space="preserve">2.6.12</t>
  </si>
  <si>
    <t xml:space="preserve">2.6.13</t>
  </si>
  <si>
    <t xml:space="preserve">2.6.14</t>
  </si>
  <si>
    <t xml:space="preserve">2.6.15</t>
  </si>
  <si>
    <t xml:space="preserve">2.6.16</t>
  </si>
  <si>
    <t xml:space="preserve">2.6.17</t>
  </si>
  <si>
    <t xml:space="preserve">2.6.18</t>
  </si>
  <si>
    <t xml:space="preserve">2.6.19</t>
  </si>
  <si>
    <t xml:space="preserve">2.6.20</t>
  </si>
  <si>
    <t xml:space="preserve">2.6.21</t>
  </si>
  <si>
    <t xml:space="preserve">2.6.22</t>
  </si>
  <si>
    <t xml:space="preserve">Экспресс әдіспен организмдегі сенсибилизацияны анықтау</t>
  </si>
  <si>
    <t xml:space="preserve">2.6.23</t>
  </si>
  <si>
    <t xml:space="preserve">Теріні тітіркендіретін әсерді анықтау</t>
  </si>
  <si>
    <t xml:space="preserve">2.6.24</t>
  </si>
  <si>
    <t xml:space="preserve">Шырышты қабыққа теріні тітіркендіретін әсерді анықтау</t>
  </si>
  <si>
    <t xml:space="preserve">2.6.25</t>
  </si>
  <si>
    <t xml:space="preserve">Тері-резорбциялық әсерді анықтау</t>
  </si>
  <si>
    <t xml:space="preserve">2.6.26</t>
  </si>
  <si>
    <t xml:space="preserve">2.6.27</t>
  </si>
  <si>
    <t xml:space="preserve">2.6.28</t>
  </si>
  <si>
    <t xml:space="preserve">Жарылғыш машинада физика-механикалық көрсеткіштерді анықтау</t>
  </si>
  <si>
    <t xml:space="preserve">2.7</t>
  </si>
  <si>
    <t xml:space="preserve">Медициналық мақсаттағы бұйымдар және медициналық техника, санитариялық-гигиеналық мақсаттағы құралдар</t>
  </si>
  <si>
    <t xml:space="preserve">2.7.1</t>
  </si>
  <si>
    <t xml:space="preserve">2.7.2</t>
  </si>
  <si>
    <t xml:space="preserve">2.7.3</t>
  </si>
  <si>
    <t xml:space="preserve">2.7.4</t>
  </si>
  <si>
    <t xml:space="preserve">2.7.5</t>
  </si>
  <si>
    <t xml:space="preserve">2.7.6</t>
  </si>
  <si>
    <t xml:space="preserve">2.7.7</t>
  </si>
  <si>
    <t xml:space="preserve">2.7.8</t>
  </si>
  <si>
    <t xml:space="preserve">2.7.9</t>
  </si>
  <si>
    <t xml:space="preserve">Ауыр металл тұздарын анықтау</t>
  </si>
  <si>
    <t xml:space="preserve">2.7.10</t>
  </si>
  <si>
    <t xml:space="preserve">2.8</t>
  </si>
  <si>
    <t xml:space="preserve">Химиялық заттар және олардың құрылымы, пестицидтер, агрохимикаттар, дезинфекциялық, дезинсекциялық және дератизациялық құралдар, тыңайтқыштар мен қалдықтар</t>
  </si>
  <si>
    <t xml:space="preserve">2.8.1</t>
  </si>
  <si>
    <t xml:space="preserve">2.8.2</t>
  </si>
  <si>
    <t xml:space="preserve">2.8.3</t>
  </si>
  <si>
    <t xml:space="preserve">Қайталанатын (2 апта) тәжірибеде қояндарға заттың теріні тітіркендіретін әсерін анықтау</t>
  </si>
  <si>
    <t xml:space="preserve">2.8.4</t>
  </si>
  <si>
    <t xml:space="preserve">Заттың қоян көзінің шырышты қабығына әсері бір реттік тәжірибеде</t>
  </si>
  <si>
    <t xml:space="preserve">2.8.5</t>
  </si>
  <si>
    <t xml:space="preserve">Заттың қоян көзінің шырышты қабығына әсері қайталама (2 апта) тәжірибеде</t>
  </si>
  <si>
    <t xml:space="preserve">2.8.6</t>
  </si>
  <si>
    <t xml:space="preserve">Ақ тышқандарға заттың тері-резорбциялық әсерін (құйрық сынамасы) жедел бір реттік тәжірибеде анықтау</t>
  </si>
  <si>
    <t xml:space="preserve">2.8.7</t>
  </si>
  <si>
    <t xml:space="preserve">Ақ тышқандарға заттың тері-резорбциялық әсерін (құйрық сынамасы) қайталама (2 апта) тәжірибеде анықтау</t>
  </si>
  <si>
    <t xml:space="preserve">2.8.8</t>
  </si>
  <si>
    <t xml:space="preserve">2.8.9</t>
  </si>
  <si>
    <t xml:space="preserve">2.8.10</t>
  </si>
  <si>
    <t xml:space="preserve">Ақ тышқандарда заттың кумулятивті қасиеттерін Лима әдісімен анықтау</t>
  </si>
  <si>
    <t xml:space="preserve">2.8.11</t>
  </si>
  <si>
    <t xml:space="preserve">2.9</t>
  </si>
  <si>
    <t xml:space="preserve">Дәрілік заттар</t>
  </si>
  <si>
    <t xml:space="preserve">2.9.1</t>
  </si>
  <si>
    <t xml:space="preserve">Қояндарға тамырішілік енгізу кезінде қан алмастырғыштардың және басқа заттардың пирогенділігін анықтау</t>
  </si>
  <si>
    <t xml:space="preserve">2.9.2</t>
  </si>
  <si>
    <t xml:space="preserve">Затты бір рет тамырішілік  енгізе отырып, ақ тышқандарға биологиялық сынама жүргізу (уыттылық)</t>
  </si>
  <si>
    <t xml:space="preserve">3</t>
  </si>
  <si>
    <t xml:space="preserve">Радиациялық қауіпсіздік референс-зертханасы </t>
  </si>
  <si>
    <t xml:space="preserve">3.1</t>
  </si>
  <si>
    <t xml:space="preserve">тұрғын үй құрылысы аумағында, жер учаскелерін құрылысқа бөлу кезінде, тұрғын және қоғамдық ғимараттарда</t>
  </si>
  <si>
    <t xml:space="preserve">3.1.1</t>
  </si>
  <si>
    <t xml:space="preserve">Гамма сәулелену дозасының қуатын анықтау</t>
  </si>
  <si>
    <t xml:space="preserve">3.1.2</t>
  </si>
  <si>
    <t xml:space="preserve">Радон мен ЕЫӨ ағынының тығыздығын анықтау</t>
  </si>
  <si>
    <t xml:space="preserve">3.2</t>
  </si>
  <si>
    <t xml:space="preserve">Рентген кабинеттері, сәулелік диагностика және терапия кабинеттері, ашық ИСК пайдаланатын ұйымдар, жұмыс орындары</t>
  </si>
  <si>
    <t xml:space="preserve">3.2.1</t>
  </si>
  <si>
    <t xml:space="preserve">жұмыс орындарында гамма рентгендік сәулелену дозасының қуатын анықтау</t>
  </si>
  <si>
    <t xml:space="preserve">3.2.2</t>
  </si>
  <si>
    <t xml:space="preserve">Рентген аппаратының шығысындағы рентген сәулесінің ауданына сіңірілген дозаның көбейтіндісін өлшеу тиімді дозаны есептік жолмен айқындау</t>
  </si>
  <si>
    <t xml:space="preserve">3.3</t>
  </si>
  <si>
    <t xml:space="preserve">Өнеркәсіптік кәсіпорындардың ауасы, жұмыс аймағының ауасы</t>
  </si>
  <si>
    <t xml:space="preserve">3.3.1</t>
  </si>
  <si>
    <t xml:space="preserve">Радон концентрациясының, торонның ЕЫӨ деңгейін өлшеу</t>
  </si>
  <si>
    <t xml:space="preserve">3.3.2</t>
  </si>
  <si>
    <t xml:space="preserve">Жалпы альфа-бета белсенділігін анықтау</t>
  </si>
  <si>
    <t xml:space="preserve">3.4</t>
  </si>
  <si>
    <t xml:space="preserve">Атмосфералық ауа, жауын-шашын, шөгінді шаң, тамақ өнімдері (радиохимиялық әдіс)</t>
  </si>
  <si>
    <t xml:space="preserve">3.4.1</t>
  </si>
  <si>
    <t xml:space="preserve">3.4.2</t>
  </si>
  <si>
    <t xml:space="preserve">Цезий - 137 анықтау</t>
  </si>
  <si>
    <t xml:space="preserve">3.4.3</t>
  </si>
  <si>
    <t xml:space="preserve">Стронций -90 анықтау</t>
  </si>
  <si>
    <t xml:space="preserve">3.4.4</t>
  </si>
  <si>
    <t xml:space="preserve">Қорғасын -210 анықтау</t>
  </si>
  <si>
    <t xml:space="preserve">3.4.5</t>
  </si>
  <si>
    <t xml:space="preserve">Радий -226 анықтау</t>
  </si>
  <si>
    <t xml:space="preserve">3.5.</t>
  </si>
  <si>
    <t xml:space="preserve"> Тау-кен өндіру, уран өндіру кәсіпорындары, ИСК, металл сынықтарын , металл бұйымдарын, қара және түсті металл қалдықтарын пайдаланатын ұйымдар</t>
  </si>
  <si>
    <t xml:space="preserve">3.5.1</t>
  </si>
  <si>
    <t xml:space="preserve">Аэрозольдердің массалық концентрациясын өлшеу</t>
  </si>
  <si>
    <t xml:space="preserve">3.5.2</t>
  </si>
  <si>
    <t xml:space="preserve">Альфа - сәулеленуді өлшеу</t>
  </si>
  <si>
    <t xml:space="preserve">3.5.3</t>
  </si>
  <si>
    <t xml:space="preserve">Гамма-сәулеленуді өлшеу</t>
  </si>
  <si>
    <t xml:space="preserve">3.5.4</t>
  </si>
  <si>
    <t xml:space="preserve">Бета - сәулеленуді өлшеу</t>
  </si>
  <si>
    <t xml:space="preserve">3.5.5</t>
  </si>
  <si>
    <t xml:space="preserve">Нейтрондық сәулеленуді өлшеу</t>
  </si>
  <si>
    <t xml:space="preserve">3.5.6</t>
  </si>
  <si>
    <t xml:space="preserve">Рентген сәулелерін өлшеу</t>
  </si>
  <si>
    <t xml:space="preserve">3.5.7</t>
  </si>
  <si>
    <t xml:space="preserve">Жалпы альфа-бета белсенділігін анықтау (жағынды әдісімен)</t>
  </si>
  <si>
    <t xml:space="preserve">3.5.8</t>
  </si>
  <si>
    <t xml:space="preserve">Ластану түріне байланысты жеке радионуклидтерді анықтау-гамма спектрометрия</t>
  </si>
  <si>
    <t xml:space="preserve">3.5.9</t>
  </si>
  <si>
    <t xml:space="preserve">Ластану түріне байланысты жеке радионуклидтерді анықтау - бета спектрометрия</t>
  </si>
  <si>
    <t xml:space="preserve">3.6</t>
  </si>
  <si>
    <t xml:space="preserve">Отын шикізаты; мұнай оны қайта өңдеу өнімдері және өнеркәсіптік қалдықтар; шикізат, материалдар мен бұйымдар; Минералды тыңайтқыштар; Құрылыс материалдары; Зергерлік бұйымдар</t>
  </si>
  <si>
    <t xml:space="preserve">3.6.1</t>
  </si>
  <si>
    <t xml:space="preserve">Радионуклидтердің меншікті белсенділігін анықтау</t>
  </si>
  <si>
    <t xml:space="preserve">3.7</t>
  </si>
  <si>
    <t xml:space="preserve">Тамақ өнімдері, дәрілік өсімдіктер (құрғақ, сұйық, бальзамдар, тұнбалар), ағаш шикізаты, темекі және темекі өнімдері (спектрометриялық әдіспен)</t>
  </si>
  <si>
    <t xml:space="preserve">3.7.1</t>
  </si>
  <si>
    <t xml:space="preserve">Цезий-137 анықтау</t>
  </si>
  <si>
    <t xml:space="preserve">3.7.2</t>
  </si>
  <si>
    <t xml:space="preserve">Сстронций-90 анықтау</t>
  </si>
  <si>
    <t xml:space="preserve">3.8</t>
  </si>
  <si>
    <t xml:space="preserve">Топырақ</t>
  </si>
  <si>
    <t xml:space="preserve">3.8.1</t>
  </si>
  <si>
    <t xml:space="preserve">Радионуклидтердің меншік белсенділігін анықтау (цезий -137, калий -40, торий -232, радий -226)</t>
  </si>
  <si>
    <t xml:space="preserve">3.8.2</t>
  </si>
  <si>
    <t xml:space="preserve">3.9.</t>
  </si>
  <si>
    <t xml:space="preserve">Суды зерттеу (ашық көздердің,су айдындарының, жер асты суларының суы, ұңғымалардың суы, ауыз су)</t>
  </si>
  <si>
    <t xml:space="preserve">3.9.1</t>
  </si>
  <si>
    <t xml:space="preserve">Радионуклидтердің жиынтық альфа және бета белсенділігін анықтау:</t>
  </si>
  <si>
    <t xml:space="preserve">3.9.2</t>
  </si>
  <si>
    <t xml:space="preserve">3.9.3</t>
  </si>
  <si>
    <t xml:space="preserve">3.9.4</t>
  </si>
  <si>
    <t xml:space="preserve">Торий - 232 анықтау, фотоколориметриялық әдіспен</t>
  </si>
  <si>
    <t xml:space="preserve">3.9.5</t>
  </si>
  <si>
    <t xml:space="preserve">Радийді анықтау (226)</t>
  </si>
  <si>
    <t xml:space="preserve">3.9.6</t>
  </si>
  <si>
    <t xml:space="preserve">Радийді анықтау (228)</t>
  </si>
  <si>
    <t xml:space="preserve">3.9.7</t>
  </si>
  <si>
    <t xml:space="preserve">Құрамын анықтау: уран (фотоколориметриялық әдіспен )</t>
  </si>
  <si>
    <t xml:space="preserve">3.9.8</t>
  </si>
  <si>
    <t xml:space="preserve">Полоний-210 меншік белсенділігін анықтау</t>
  </si>
  <si>
    <t xml:space="preserve">3.9.9</t>
  </si>
  <si>
    <t xml:space="preserve">Қорғасын -210 меншік белсенділігін анықтау </t>
  </si>
  <si>
    <t xml:space="preserve">3.9.10</t>
  </si>
  <si>
    <t xml:space="preserve">радонды өлшеу</t>
  </si>
  <si>
    <t xml:space="preserve">3.10</t>
  </si>
  <si>
    <t xml:space="preserve">Персоналдың сәулелену дозаларын анықтау</t>
  </si>
  <si>
    <t xml:space="preserve">3.10.1</t>
  </si>
  <si>
    <t xml:space="preserve">Персоналдың жеке сәулелену дозасын өлшеу</t>
  </si>
  <si>
    <t xml:space="preserve">3.11</t>
  </si>
  <si>
    <t xml:space="preserve">Тамақ өнімдері</t>
  </si>
  <si>
    <t xml:space="preserve">3.11.1</t>
  </si>
  <si>
    <t xml:space="preserve">тамақ өнімдерінің сәулелену фактісін анықтау</t>
  </si>
  <si>
    <t xml:space="preserve">4</t>
  </si>
  <si>
    <t xml:space="preserve">Бактериялық инфекцияларды және антибиотикке резистенттілікті 
бақылау референс- зертханасы
</t>
  </si>
  <si>
    <t xml:space="preserve">4.1</t>
  </si>
  <si>
    <t xml:space="preserve">Су</t>
  </si>
  <si>
    <t xml:space="preserve">4.1.1</t>
  </si>
  <si>
    <t xml:space="preserve">Микроорганизмдердің жалпы санын анықтау (ашыту әдісі)</t>
  </si>
  <si>
    <t xml:space="preserve">4.1.2</t>
  </si>
  <si>
    <t xml:space="preserve">Микроорганизмдердің жалпы санын анықтау (мембраналық сүзу әдісі)</t>
  </si>
  <si>
    <t xml:space="preserve">4.1.3</t>
  </si>
  <si>
    <t xml:space="preserve">Жалпы колиформды бактерияларды анықтау ашыту әдісі</t>
  </si>
  <si>
    <t xml:space="preserve">4.1.4</t>
  </si>
  <si>
    <t xml:space="preserve">Жалпы колиформды бактерияларды анықтау (мембраналық сүзу әдісі)</t>
  </si>
  <si>
    <t xml:space="preserve">4.1.5</t>
  </si>
  <si>
    <t xml:space="preserve">Жалпы  колифагтарды анықтау (Тікелей әдіс, жинақтау әдісі)</t>
  </si>
  <si>
    <t xml:space="preserve">4.1.6</t>
  </si>
  <si>
    <t xml:space="preserve">Термотолерантты колиформды бактерияларды анықтау ашыту әдісі</t>
  </si>
  <si>
    <t xml:space="preserve">4.1.7</t>
  </si>
  <si>
    <t xml:space="preserve">Термотолерантты колиформды бактерияларды анықтау (мембраналық сүзу әдісі)</t>
  </si>
  <si>
    <t xml:space="preserve">4.1.8</t>
  </si>
  <si>
    <t xml:space="preserve">Сульфитредуктивті клостридияларды анықтау.(тікелей себу әдісі)</t>
  </si>
  <si>
    <t xml:space="preserve">4.1.9</t>
  </si>
  <si>
    <t xml:space="preserve">Сульфитредуктивті клостридияларды анықтау.(мембраналық сүзу әдісі)</t>
  </si>
  <si>
    <t xml:space="preserve">4.1.10</t>
  </si>
  <si>
    <t xml:space="preserve">Патогенді  энтеробактерияларды анықтау.(классикалық бактериолог. әдіс)</t>
  </si>
  <si>
    <t xml:space="preserve">4.1.11</t>
  </si>
  <si>
    <t xml:space="preserve">Патогенді энтеробактерияларды анықтау. (мембраналық сүзу әдісі)</t>
  </si>
  <si>
    <t xml:space="preserve">4.1.12</t>
  </si>
  <si>
    <t xml:space="preserve">Колифагты анықтау.(Тікелей әдіс, жинақтау әдісі)</t>
  </si>
  <si>
    <t xml:space="preserve">4.1.13</t>
  </si>
  <si>
    <t xml:space="preserve">S. aureus анықтау.(классикалық бактериологиялық әдіс)</t>
  </si>
  <si>
    <t xml:space="preserve">4.1.14</t>
  </si>
  <si>
    <t xml:space="preserve">S. aureus анықтау.(классикалық мембраналық сүзу әдісі)</t>
  </si>
  <si>
    <t xml:space="preserve">4.1.15</t>
  </si>
  <si>
    <t xml:space="preserve">PS анықтау.aeruginosa.(классикалық бактериологиялық әдіс)</t>
  </si>
  <si>
    <t xml:space="preserve">4.1.16</t>
  </si>
  <si>
    <t xml:space="preserve">PS анықтау.aeruginosa.(классикалық мембраналық сүзу әдісі)</t>
  </si>
  <si>
    <t xml:space="preserve">4.1.17</t>
  </si>
  <si>
    <t xml:space="preserve">E. coli индексін анықтау.(ашыту әдісі)</t>
  </si>
  <si>
    <t xml:space="preserve">4.1.18</t>
  </si>
  <si>
    <t xml:space="preserve">E. coli индексін анықтау.(мембраналық сүзу әдісі)</t>
  </si>
  <si>
    <t xml:space="preserve">4.1.19</t>
  </si>
  <si>
    <t xml:space="preserve">Лактозаоң ішек таяқшаларының индексін анықтау.(ашыту әдісі)</t>
  </si>
  <si>
    <t xml:space="preserve">4.1.20</t>
  </si>
  <si>
    <t xml:space="preserve">Лактозаоң ішек таяқшаларының индексін анықтау. (мембраналық сүзу әдісі)</t>
  </si>
  <si>
    <t xml:space="preserve">4.2</t>
  </si>
  <si>
    <t xml:space="preserve">4.2.1</t>
  </si>
  <si>
    <t xml:space="preserve">Мезофильді аэробты және факультативті-анаэробты микроорганизмдердің санын анықтау (классикалық бактериологиялық әдіс)</t>
  </si>
  <si>
    <t xml:space="preserve">4.2.2</t>
  </si>
  <si>
    <t xml:space="preserve">Мезофильді аэробты және факультативті-анаэробты микроорганизмдердің санын анықтау (мембраналық сүзу әдісі)</t>
  </si>
  <si>
    <t xml:space="preserve">4.2.3</t>
  </si>
  <si>
    <t xml:space="preserve">ішек таяқшасы тобының бактериялары (классикалық бактериологиялық әдіс)</t>
  </si>
  <si>
    <t xml:space="preserve">4.2.4</t>
  </si>
  <si>
    <t xml:space="preserve">ішек таяқшасы тобының бактериясын анықтау (мембраналық сүзу әдісі)</t>
  </si>
  <si>
    <t xml:space="preserve">4.2.5</t>
  </si>
  <si>
    <t xml:space="preserve">E. coli анықтау.(классикалық бактериологиялық әдіс)</t>
  </si>
  <si>
    <t xml:space="preserve">4.2.6</t>
  </si>
  <si>
    <t xml:space="preserve">E. coli анықтау.(классикалық мембраналық сүзу әдісі)</t>
  </si>
  <si>
    <t xml:space="preserve">4.2.7</t>
  </si>
  <si>
    <t xml:space="preserve">4.2.8</t>
  </si>
  <si>
    <t xml:space="preserve">4.2.9</t>
  </si>
  <si>
    <t xml:space="preserve">PS .aeruginosa анықтау</t>
  </si>
  <si>
    <t xml:space="preserve">4.2.10</t>
  </si>
  <si>
    <t xml:space="preserve">PS .aeruginosa анықтау.(мембраналық сүзу әдісі)</t>
  </si>
  <si>
    <t xml:space="preserve">4.2.11</t>
  </si>
  <si>
    <t xml:space="preserve">Сульфитредуцирлеуші клостридияларды анықтау.классикалық бактериологиялық әдіс</t>
  </si>
  <si>
    <t xml:space="preserve">4.2.12</t>
  </si>
  <si>
    <t xml:space="preserve">4.2.13</t>
  </si>
  <si>
    <t xml:space="preserve">Патогенді  энтеробактерияларды анықтау  (классикалық бактериологиялық әдіс)</t>
  </si>
  <si>
    <t xml:space="preserve">4.2.14</t>
  </si>
  <si>
    <t xml:space="preserve">Патогенді  энтеробактерияларды  анықтау (мембраналық сүзу әдісі)</t>
  </si>
  <si>
    <t xml:space="preserve">4.2.15</t>
  </si>
  <si>
    <t xml:space="preserve">L.monocytogenes.классикалық бактериологиялық әдіс</t>
  </si>
  <si>
    <t xml:space="preserve">4.2.16</t>
  </si>
  <si>
    <t xml:space="preserve">V. parahaemolyticus анықтау.(классикалық бактериологиялық әдіс)</t>
  </si>
  <si>
    <t xml:space="preserve">4.2.17</t>
  </si>
  <si>
    <t xml:space="preserve">Enterococcus анықтау. (классикалық бактериологиялық әдіс)</t>
  </si>
  <si>
    <t xml:space="preserve">4.2.18</t>
  </si>
  <si>
    <t xml:space="preserve">Зең саңырауқұлақтары мен ашытқыны анықтау (классикалық бактериологиялық әдіс)</t>
  </si>
  <si>
    <t xml:space="preserve">4.2.19</t>
  </si>
  <si>
    <t xml:space="preserve">Зең саңырауқұлақтары мен ашытқыны анықтау.(мембраналық сүзу әдісі)</t>
  </si>
  <si>
    <t xml:space="preserve">4.2.20</t>
  </si>
  <si>
    <t xml:space="preserve">B. subtilis анықтау.(классикалық бактериологиялық әдіс)</t>
  </si>
  <si>
    <t xml:space="preserve">4.2.21</t>
  </si>
  <si>
    <t xml:space="preserve">B. сereus анықтау.(классикалық бактериологиялық әдіс)</t>
  </si>
  <si>
    <t xml:space="preserve">4.2.22</t>
  </si>
  <si>
    <t xml:space="preserve">Өнеркәсіптік стерильділікті зерттеу</t>
  </si>
  <si>
    <t xml:space="preserve">4.2.23</t>
  </si>
  <si>
    <t xml:space="preserve">Сүт қышқыл  микроорганизмдерді анықтау (классикалық бактериологиялық әдіс)</t>
  </si>
  <si>
    <t xml:space="preserve">4.2.24</t>
  </si>
  <si>
    <t xml:space="preserve">Лейконосток. анықтау (классикалық бактериологиялық әдіс)</t>
  </si>
  <si>
    <t xml:space="preserve">4.2.25</t>
  </si>
  <si>
    <t xml:space="preserve">Бифидобактерияларды анықтау (классикалық. бактериологиялық әдіс)</t>
  </si>
  <si>
    <t xml:space="preserve">4.2.26</t>
  </si>
  <si>
    <t xml:space="preserve">Ингибиторлық заттарды анықтау (микробиологиялық әдіс)</t>
  </si>
  <si>
    <t xml:space="preserve">4.2.27</t>
  </si>
  <si>
    <t xml:space="preserve">C. botulinum анықтау (классикалық бактериологиялық әдіс)</t>
  </si>
  <si>
    <t xml:space="preserve">4.2.28</t>
  </si>
  <si>
    <t xml:space="preserve">Мал шаруашылығы өнімдеріндегі антибиотиктердің қалдық мөлшерін анықтау.(бактериологиялық әдіс)</t>
  </si>
  <si>
    <t xml:space="preserve">4.2.29</t>
  </si>
  <si>
    <t xml:space="preserve">Генетикалық түрлендірілген зерттеулерді анықтау (сапалы әдіс полимеразды-тізбекті реакция)</t>
  </si>
  <si>
    <t xml:space="preserve">4.2.30</t>
  </si>
  <si>
    <t xml:space="preserve">Генетикалық түрлендірілген зерттеулер сандық әдіс полимеразды тізбекті реакция</t>
  </si>
  <si>
    <t xml:space="preserve">4.2.31</t>
  </si>
  <si>
    <t xml:space="preserve">Протейді анықтау.(классикалық бактериологиялық әдіс)</t>
  </si>
  <si>
    <t xml:space="preserve">4.3</t>
  </si>
  <si>
    <t xml:space="preserve">4.3.1</t>
  </si>
  <si>
    <t xml:space="preserve">Анаэробты және аэробты микроорганизмдерді анықтау (классикалық бактериологиялық әдіс)</t>
  </si>
  <si>
    <t xml:space="preserve">4.3.2</t>
  </si>
  <si>
    <t xml:space="preserve">Анаэробты және аэробты микроорганизмдерді анықтау (мембраналық сүзу)</t>
  </si>
  <si>
    <t xml:space="preserve">4.3.3</t>
  </si>
  <si>
    <t xml:space="preserve">Зең саңырауқұлақтары мен ашытқыларын анықтау (классикалық бактериологиялық әдіс)</t>
  </si>
  <si>
    <t xml:space="preserve">4.3.4</t>
  </si>
  <si>
    <t xml:space="preserve">Зең саңырауқұлақтары мен ашытқыны анықтау (мембраналық сүзу әдісі)</t>
  </si>
  <si>
    <t xml:space="preserve">4.3.5</t>
  </si>
  <si>
    <t xml:space="preserve">Колиформды мезофильді-анаэробты, факультативті анаэробты микроорганизмдерді анықтау (классикалық бактериологиялық әдіс)</t>
  </si>
  <si>
    <t xml:space="preserve">4.3.6</t>
  </si>
  <si>
    <t xml:space="preserve">Колиформды мезофильді-анаэробты, факультативті анаэробты микроорганизмдерді анықтау (мембраналық сүзу әдісі)</t>
  </si>
  <si>
    <t xml:space="preserve">4.3.7</t>
  </si>
  <si>
    <t xml:space="preserve">Enterobacteriaceae анықтау (классикалық бактериологиялық әдіс)</t>
  </si>
  <si>
    <t xml:space="preserve">4.3.8</t>
  </si>
  <si>
    <t xml:space="preserve">Enterobacteriaceae анықтау (мембраналық сүзу әдісі)</t>
  </si>
  <si>
    <t xml:space="preserve">4.3.9</t>
  </si>
  <si>
    <t xml:space="preserve">Salmonella анықтау (классикалық бактериологиялық әдіс)</t>
  </si>
  <si>
    <t xml:space="preserve">4.3.10</t>
  </si>
  <si>
    <t xml:space="preserve">Salmonella мембраналық сүзу әдісі</t>
  </si>
  <si>
    <t xml:space="preserve">4.3.11</t>
  </si>
  <si>
    <t xml:space="preserve">E. coli анықтау (классикалық бактериологиялық әдіс)</t>
  </si>
  <si>
    <t xml:space="preserve">4.3.12</t>
  </si>
  <si>
    <t xml:space="preserve">E. coli мембраналық сүзу әдісі</t>
  </si>
  <si>
    <t xml:space="preserve">4.3.13</t>
  </si>
  <si>
    <t xml:space="preserve">PS .aeruginosa анықтау (классикалық бактериологиялық әдіс)</t>
  </si>
  <si>
    <t xml:space="preserve">4.3.14</t>
  </si>
  <si>
    <t xml:space="preserve">PS.aeruginosa анықтау (мембраналық сүзу әдісі)</t>
  </si>
  <si>
    <t xml:space="preserve">4.3.15</t>
  </si>
  <si>
    <t xml:space="preserve">S. aureus анықтау (классикалық бактериологиялық әдіс)</t>
  </si>
  <si>
    <t xml:space="preserve">4.3.16</t>
  </si>
  <si>
    <t xml:space="preserve">S. aureus анықтау (мембраналық сүзу әдісі)</t>
  </si>
  <si>
    <t xml:space="preserve">4.3.17</t>
  </si>
  <si>
    <t xml:space="preserve">зең саңырауқұлақтары мен ашытқылар классикалық бактериологиялық әдіс</t>
  </si>
  <si>
    <t xml:space="preserve">4.3.18</t>
  </si>
  <si>
    <t xml:space="preserve">4.4</t>
  </si>
  <si>
    <t xml:space="preserve">Қоршаған орта объектілерінің шайындылары</t>
  </si>
  <si>
    <t xml:space="preserve">4.4.1</t>
  </si>
  <si>
    <t xml:space="preserve">Ішек таяқшасы тобының бактериясын анықтау (классикалық бактериологиялық әдіс)</t>
  </si>
  <si>
    <t xml:space="preserve">4.4.2</t>
  </si>
  <si>
    <t xml:space="preserve">4.4.3</t>
  </si>
  <si>
    <t xml:space="preserve">Патогенді энтеробактерияларды анықтау (классикалық бактериологиялық әдіс)</t>
  </si>
  <si>
    <t xml:space="preserve">4.4.4</t>
  </si>
  <si>
    <t xml:space="preserve">Шартты-патогенді энтеробактерияларды анықтау (классикалық бактериологиялық әдіс)</t>
  </si>
  <si>
    <t xml:space="preserve">4.5</t>
  </si>
  <si>
    <t xml:space="preserve">Жабық үй-жайлардағы ауа</t>
  </si>
  <si>
    <t xml:space="preserve">4.5.1</t>
  </si>
  <si>
    <t xml:space="preserve">Жалпы микробтық санды анықтау (тұндыру әдісі)</t>
  </si>
  <si>
    <t xml:space="preserve">4.5.2</t>
  </si>
  <si>
    <t xml:space="preserve">Жалпы микробтық санды анықтау (аспирациялық әдіс)</t>
  </si>
  <si>
    <t xml:space="preserve">4.5.3</t>
  </si>
  <si>
    <t xml:space="preserve">S. aureus анықтау (тұндыру әдісі)</t>
  </si>
  <si>
    <t xml:space="preserve">4.5.4</t>
  </si>
  <si>
    <t xml:space="preserve">S. aureus анықтау (аспирациялық әдіс)</t>
  </si>
  <si>
    <t xml:space="preserve">4.5.5</t>
  </si>
  <si>
    <t xml:space="preserve">Зең саңырауқұлақтары мен ашытқыны анықтау (тұндыру әдісі)</t>
  </si>
  <si>
    <t xml:space="preserve">4.5.6</t>
  </si>
  <si>
    <t xml:space="preserve">Зең саңырауқұлақтары мен ашытқыны анықтау (аспирациялық әдіс)</t>
  </si>
  <si>
    <t xml:space="preserve">4.6</t>
  </si>
  <si>
    <t xml:space="preserve">Парфюмерлік-косметикалық өнім</t>
  </si>
  <si>
    <t xml:space="preserve">4.6.1</t>
  </si>
  <si>
    <t xml:space="preserve">Колиформды мезофильді-аэробты, факультативті анаэробты микроорганизмдерді анықтау (классикалық бактериологиялық әдіс)</t>
  </si>
  <si>
    <t xml:space="preserve">4.6.2</t>
  </si>
  <si>
    <t xml:space="preserve">4.6.3</t>
  </si>
  <si>
    <t xml:space="preserve">4.6.4</t>
  </si>
  <si>
    <t xml:space="preserve">4.6.5</t>
  </si>
  <si>
    <t xml:space="preserve">Candida тұқымдас ашытқы тәрізді саңырауқұлақтар мен зең саңырауқұлақтарын анықтау (классикалық бактериологиялық әдіс)</t>
  </si>
  <si>
    <t xml:space="preserve">4.7</t>
  </si>
  <si>
    <t xml:space="preserve">Топырақ және емдік балшық</t>
  </si>
  <si>
    <t xml:space="preserve">4.7.1</t>
  </si>
  <si>
    <t xml:space="preserve">Жалпы микробтық санды анықтау (классикалық бактериологиялық әдіс)</t>
  </si>
  <si>
    <t xml:space="preserve">4.7.2</t>
  </si>
  <si>
    <t xml:space="preserve">Коли-титрді анықтау (классикалық бактериологиялық әдіс)</t>
  </si>
  <si>
    <t xml:space="preserve">4.7.3</t>
  </si>
  <si>
    <t xml:space="preserve">E. coli титрді анықтау (классикалық бактериологиялық әдіс)</t>
  </si>
  <si>
    <t xml:space="preserve">4.7.4</t>
  </si>
  <si>
    <t xml:space="preserve">Термофилдерді анықтау (классикалық бактериологиялық әдіс)</t>
  </si>
  <si>
    <t xml:space="preserve">4.7.5</t>
  </si>
  <si>
    <t xml:space="preserve">4.7.6</t>
  </si>
  <si>
    <t xml:space="preserve">4.7.7</t>
  </si>
  <si>
    <t xml:space="preserve">Cl .perfringens титрін, Сl.tetani титрін анықтау (классикалық бактериологиялық әдіс)</t>
  </si>
  <si>
    <t xml:space="preserve">4.7.8</t>
  </si>
  <si>
    <t xml:space="preserve">4.8</t>
  </si>
  <si>
    <t xml:space="preserve">Дезқұралдар</t>
  </si>
  <si>
    <t xml:space="preserve">4.8.1</t>
  </si>
  <si>
    <t xml:space="preserve">Микробқа қарсы белсенділікті анықтау (классикалық бактериологиялық әдіс)</t>
  </si>
  <si>
    <t xml:space="preserve">4.8.2</t>
  </si>
  <si>
    <t xml:space="preserve">4.8.3</t>
  </si>
  <si>
    <t xml:space="preserve">4.8.4</t>
  </si>
  <si>
    <t xml:space="preserve">4.8.5</t>
  </si>
  <si>
    <t xml:space="preserve">Candida(Candida albicans) тұқымдас саңырауқұлақтарды анықтау (классикалық бактериологиялық әдіс)</t>
  </si>
  <si>
    <t xml:space="preserve">4.8.6</t>
  </si>
  <si>
    <t xml:space="preserve">Зарарсыздандыру белсенділігін анықтау (классикалық бактериологиялық әдіс)</t>
  </si>
  <si>
    <t xml:space="preserve">4.8.7</t>
  </si>
  <si>
    <t xml:space="preserve">B. subtilis анықтау (классикалық бактериологиялық әдіс)</t>
  </si>
  <si>
    <t xml:space="preserve">4.8.8</t>
  </si>
  <si>
    <t xml:space="preserve">B. Cereus анықтау (классикалық бактериологиялық әдіс)</t>
  </si>
  <si>
    <t xml:space="preserve">4.8.9</t>
  </si>
  <si>
    <t xml:space="preserve">Медициналық мақсаттағы бұйымдарды зарарсыздандыру алдындағы тазалау сапасын бақылау</t>
  </si>
  <si>
    <t xml:space="preserve">4.9</t>
  </si>
  <si>
    <t xml:space="preserve">Адамдардан алынған материал - биосубстраттар (оның ішінде науқастардан, байланыста болғандардан және профилактикалық мақсатта зерттелетін адамдардан) - микроорганизмдерді бактериологиялық бөлу және сәйкестендіру (патогенді және шартты-патогенді микрофлора тұқым мен түрге дейін)</t>
  </si>
  <si>
    <t xml:space="preserve">4.9.1</t>
  </si>
  <si>
    <t xml:space="preserve">4.9.2</t>
  </si>
  <si>
    <t xml:space="preserve">Шартты патогенді энтеробактерияларды, ферменттелмейтін  грамтеріс бактерияларды анықтау (классикалық бактериологиялық әдіс)</t>
  </si>
  <si>
    <t xml:space="preserve">4.9.3</t>
  </si>
  <si>
    <t xml:space="preserve">Шартты-патогенді энтеробактерияларды, ферменттелмейтін  грамтеріс бактерияларды анықтау (Голд әдісімен)</t>
  </si>
  <si>
    <t xml:space="preserve">4.9.4</t>
  </si>
  <si>
    <t xml:space="preserve">Коринебактерияларға ауа-тамшы инфекцияларының қоздырғыштарын анықтау (классикалық бактериологиялық әдіс)</t>
  </si>
  <si>
    <t xml:space="preserve">4.9.5</t>
  </si>
  <si>
    <t xml:space="preserve">Менингококкқа ауа-тамшы инфекцияларының қоздырғыштарын анықтау (классикалық бактериологиялық әдіс)</t>
  </si>
  <si>
    <t xml:space="preserve">4.9.6</t>
  </si>
  <si>
    <t xml:space="preserve">Бордетеллаға  ауа-тамшы инфекцияларының қоздырғыштарын анықтау (классикалық бактериологиялық әдіс)</t>
  </si>
  <si>
    <t xml:space="preserve">4.9.7</t>
  </si>
  <si>
    <t xml:space="preserve">Шартты-патогенді  энтеробактерияларды, ферменттелмейтін грамтеріс бактерияларды  анықтау (Голд әдісімен)</t>
  </si>
  <si>
    <t xml:space="preserve">4.9.8</t>
  </si>
  <si>
    <t xml:space="preserve">Стафилококкқа кокк флорасын анықтау (классикалық бактериологиялық әдіс)</t>
  </si>
  <si>
    <t xml:space="preserve">4.9.9</t>
  </si>
  <si>
    <t xml:space="preserve">Стрептококкқа кокк флорасын анықтау (классикалық бактериологиялық әдіс)</t>
  </si>
  <si>
    <t xml:space="preserve">4.9.10</t>
  </si>
  <si>
    <t xml:space="preserve">Кампилобактерияларды анықтау классикалық бактериологиялық әдіс</t>
  </si>
  <si>
    <t xml:space="preserve">4.9.11</t>
  </si>
  <si>
    <t xml:space="preserve">Кандида тұқымдас саңырауқұлақтарды анықтау (классикалық бактериологиялық әдіс)</t>
  </si>
  <si>
    <t xml:space="preserve">4.9.12</t>
  </si>
  <si>
    <t xml:space="preserve">Дисбактериозды анықтау (классикалық бактериологиялық әдіс)</t>
  </si>
  <si>
    <t xml:space="preserve">4.9.13</t>
  </si>
  <si>
    <t xml:space="preserve">Бөлінген микроорганизмдердің антибиотикке төзімділігін анықтау диско-диффузиялық әдіс,
сериялық сұйылту әдісі</t>
  </si>
  <si>
    <t xml:space="preserve">4.9.14</t>
  </si>
  <si>
    <t xml:space="preserve">Бөлінген микроорганизмдердің антибиотикке төзімділігін анықтау жартылай сандық әдіс</t>
  </si>
  <si>
    <t xml:space="preserve">4.9.15</t>
  </si>
  <si>
    <t xml:space="preserve">Патогенді микроорганизмдердің дезоксирибонукклеин қышқылының болуына биоматериалды зерттеу  сапалық әдіс классикалық полимеразды-тізбекті реакция</t>
  </si>
  <si>
    <t xml:space="preserve">4.10</t>
  </si>
  <si>
    <t xml:space="preserve">Қан сарысуы (серологиялық зерттеу)</t>
  </si>
  <si>
    <t xml:space="preserve">4.10.1</t>
  </si>
  <si>
    <t xml:space="preserve">Іш сүзегі пассивті гемагглютинация реакциясы (VI-антиген)</t>
  </si>
  <si>
    <t xml:space="preserve">4.10.2</t>
  </si>
  <si>
    <t xml:space="preserve">Сальмонеллезге пассивті гемагглютинация реакциясы</t>
  </si>
  <si>
    <t xml:space="preserve">4.10.3</t>
  </si>
  <si>
    <t xml:space="preserve">Дифтерияға, сіреспеге пассивті гемагглютинация реакциясы</t>
  </si>
  <si>
    <t xml:space="preserve">4.10.4</t>
  </si>
  <si>
    <t xml:space="preserve">Әртүрлі микроорганизмдерге иммуноферменттік талдау</t>
  </si>
  <si>
    <t xml:space="preserve">4.11</t>
  </si>
  <si>
    <t xml:space="preserve">Микроорганизмдердің өсірінділері</t>
  </si>
  <si>
    <t xml:space="preserve">4.11.1</t>
  </si>
  <si>
    <t xml:space="preserve">бөлінген микроорганизмдерді фаготиптеу (оның ішінде іш сүзегі мен паратифтердің, алтын түстес стафилококктың қоздырғыштары) классикалық бактериологиялық әдіс</t>
  </si>
  <si>
    <t xml:space="preserve">4.11.2</t>
  </si>
  <si>
    <t xml:space="preserve">tox + генін анықтау ПТР әдісі</t>
  </si>
  <si>
    <t xml:space="preserve">4.12</t>
  </si>
  <si>
    <t xml:space="preserve">Қоректік орталар</t>
  </si>
  <si>
    <t xml:space="preserve">4.12.1</t>
  </si>
  <si>
    <t xml:space="preserve">Өсу, дифференцирлеуші және тежеу қасиеттерін анықтау                                                                 классикалық бактериологиялық әдіс</t>
  </si>
  <si>
    <t xml:space="preserve">4.13</t>
  </si>
  <si>
    <t xml:space="preserve">Қосымша прейскурант</t>
  </si>
  <si>
    <t xml:space="preserve">4.13.1</t>
  </si>
  <si>
    <t xml:space="preserve">Анализаторда бөлінген микроорганизмдердің антибиотикке сезімталдығын анықтау</t>
  </si>
  <si>
    <t xml:space="preserve">4.13.2</t>
  </si>
  <si>
    <t xml:space="preserve">Бөлінген микроорганизмдердің антибиотикке сезімталдығын анықтау, сериялық сұйылту әдісі</t>
  </si>
  <si>
    <t xml:space="preserve">4.13.3</t>
  </si>
  <si>
    <t xml:space="preserve">ССБ (құзыреттілікті бағалау, қайта тестілеу), классикалық бактериологиялық әдіс.</t>
  </si>
  <si>
    <t xml:space="preserve">4.13.4</t>
  </si>
  <si>
    <t xml:space="preserve">ССБ (құзыреттілікті бағалау, қайта тестілеу), нақты уақыт режимінде полимеразды тізбекті реакция әдісі.</t>
  </si>
  <si>
    <t xml:space="preserve">4.13.5</t>
  </si>
  <si>
    <t xml:space="preserve">ССБ (құзыреттілікті бағалау, қайта тестілеу), автоматты анализаторда.</t>
  </si>
  <si>
    <t xml:space="preserve">4.13.6</t>
  </si>
  <si>
    <t xml:space="preserve">Нақты уақыт режимінде полимеразды-тізбекті реакция әдісімен патогенді микроорганизмдердің дезоксирибонуклеин қышқылының болуына биоматериалды зерттеу (скринингтік тест)</t>
  </si>
  <si>
    <t xml:space="preserve">4.13.7</t>
  </si>
  <si>
    <t xml:space="preserve">Нақты уақыт режимінде полимеразды-тізбекті реакция әдісімен патогенді микроорганизмнің дезоксирибонуклеин қышқылының болуына биоматериалды зерттеу.</t>
  </si>
  <si>
    <t xml:space="preserve">4.13.8</t>
  </si>
  <si>
    <t xml:space="preserve">Масс-спектрометрия әдісімен бөлінген таза өсіріндіні анықтау</t>
  </si>
  <si>
    <t xml:space="preserve">4.13.9</t>
  </si>
  <si>
    <t xml:space="preserve">Анализатордағы микроорганизмдерді анықтау</t>
  </si>
  <si>
    <t xml:space="preserve">4.13.10</t>
  </si>
  <si>
    <t xml:space="preserve">Автоклавты бактериологиялық әдіспен зарарсыздандыруды бақылау</t>
  </si>
  <si>
    <t xml:space="preserve">4.13.11</t>
  </si>
  <si>
    <t xml:space="preserve">Молекулярлық-генетикалық әдіспен төзімділік гендерін анықтау</t>
  </si>
  <si>
    <t xml:space="preserve">5</t>
  </si>
  <si>
    <t xml:space="preserve">Паразиттік инфекцияларды бақылау референс-зертханасы</t>
  </si>
  <si>
    <t xml:space="preserve">5.1</t>
  </si>
  <si>
    <t xml:space="preserve">Нативті жағынды әдісімен гельминт жұмыртқаларын анықтау</t>
  </si>
  <si>
    <t xml:space="preserve">5.2</t>
  </si>
  <si>
    <t xml:space="preserve">Като әдісі</t>
  </si>
  <si>
    <t xml:space="preserve">5.3</t>
  </si>
  <si>
    <t xml:space="preserve">Калантариан әдісі</t>
  </si>
  <si>
    <t xml:space="preserve">5.4</t>
  </si>
  <si>
    <t xml:space="preserve">Фюллеборн әдісі</t>
  </si>
  <si>
    <t xml:space="preserve">5.5</t>
  </si>
  <si>
    <t xml:space="preserve">Формалин-эфирлік тұндырудың модернизацияланған әдісі</t>
  </si>
  <si>
    <t xml:space="preserve">5.6</t>
  </si>
  <si>
    <t xml:space="preserve">Берман әдісі</t>
  </si>
  <si>
    <t xml:space="preserve">5.7</t>
  </si>
  <si>
    <t xml:space="preserve">Харада-Мори әдісі</t>
  </si>
  <si>
    <t xml:space="preserve">5.8</t>
  </si>
  <si>
    <t xml:space="preserve">Люголь ерітіндісімен нативті жағынды әдісімен ішектің патогенді қарапайымдыларының гельминттері мен цисталарының жұмыртқаларын анықтау</t>
  </si>
  <si>
    <t xml:space="preserve">5.9</t>
  </si>
  <si>
    <t xml:space="preserve">Микропрепараттардағы патогенді қарапайымдылардың гельминттері мен цисталарының жұмыртқаларын растау</t>
  </si>
  <si>
    <t xml:space="preserve">5.10</t>
  </si>
  <si>
    <t xml:space="preserve">Макропрепараттардағы гельминттердің дернәсілдік сатыларын растау</t>
  </si>
  <si>
    <t xml:space="preserve">5.11</t>
  </si>
  <si>
    <t xml:space="preserve">Макроскопиялық зерттеу әдісі</t>
  </si>
  <si>
    <t xml:space="preserve">5.12</t>
  </si>
  <si>
    <t xml:space="preserve">Токсоплазмаға Ig М анықтау</t>
  </si>
  <si>
    <t xml:space="preserve">5.13</t>
  </si>
  <si>
    <t xml:space="preserve">Токсоплазмаға Ig G анықтау</t>
  </si>
  <si>
    <t xml:space="preserve">5.14</t>
  </si>
  <si>
    <t xml:space="preserve">Лямблия антигендеріне Ig A,M, G анықтау</t>
  </si>
  <si>
    <t xml:space="preserve">5.15</t>
  </si>
  <si>
    <t xml:space="preserve">Лямблия антигендеріне Ig М анықтау</t>
  </si>
  <si>
    <t xml:space="preserve">5.16</t>
  </si>
  <si>
    <t xml:space="preserve">Бір камералы эхинококк антигендеріне Ig G анықтау</t>
  </si>
  <si>
    <t xml:space="preserve">5.17</t>
  </si>
  <si>
    <t xml:space="preserve">Описторхис антигендеріне Ig М анықтау</t>
  </si>
  <si>
    <t xml:space="preserve">5.18</t>
  </si>
  <si>
    <t xml:space="preserve">Описторхис антигендеріне Ig G анықтау</t>
  </si>
  <si>
    <t xml:space="preserve">5.19</t>
  </si>
  <si>
    <t xml:space="preserve">Трихинелла антигендеріне Ig M K анықтау</t>
  </si>
  <si>
    <t xml:space="preserve">5.20</t>
  </si>
  <si>
    <t xml:space="preserve">Трихинелла антигендеріне Ig G анықтау</t>
  </si>
  <si>
    <t xml:space="preserve">5.21</t>
  </si>
  <si>
    <t xml:space="preserve">Токсокар антигендеріне Ig G анықтау</t>
  </si>
  <si>
    <t xml:space="preserve">5.22</t>
  </si>
  <si>
    <t xml:space="preserve">Ішек құрт антигендеріне Ig G анықтау</t>
  </si>
  <si>
    <t xml:space="preserve">5.23</t>
  </si>
  <si>
    <t xml:space="preserve">Гельминт антигендеріне Ig G анықтау</t>
  </si>
  <si>
    <t xml:space="preserve">5.24</t>
  </si>
  <si>
    <t xml:space="preserve">Робинович бойынша перианальды-ректалды қырындыны зерттеу</t>
  </si>
  <si>
    <t xml:space="preserve">5.25</t>
  </si>
  <si>
    <t xml:space="preserve">Перианальды-ректалды қырындыны зерттеу</t>
  </si>
  <si>
    <t xml:space="preserve">5.26</t>
  </si>
  <si>
    <t xml:space="preserve">Грэхэм бойынша перианальды-ректалды қырындыны зерттеу</t>
  </si>
  <si>
    <t xml:space="preserve">5.27</t>
  </si>
  <si>
    <t xml:space="preserve">Микроскопиялық әдіспен дуоденальды ішіндегі мен өтті зерттеу</t>
  </si>
  <si>
    <t xml:space="preserve">5.28</t>
  </si>
  <si>
    <t xml:space="preserve">Зәрді микроскопиялық әдіспен зерттеу</t>
  </si>
  <si>
    <t xml:space="preserve">5.29</t>
  </si>
  <si>
    <t xml:space="preserve">Жұлын-ми сұйықтығын микроскопиялық әдіспен зерттеу</t>
  </si>
  <si>
    <t xml:space="preserve">5.30</t>
  </si>
  <si>
    <t xml:space="preserve">Романенко әдісімен ағынды суларды зерттеу</t>
  </si>
  <si>
    <t xml:space="preserve">5.31</t>
  </si>
  <si>
    <t xml:space="preserve">Падченко әдісімен ағынды суларды зерттеу</t>
  </si>
  <si>
    <t xml:space="preserve">5.32</t>
  </si>
  <si>
    <t xml:space="preserve">Василькова әдісімен олардың ашық су айдындарының суын зерттеу</t>
  </si>
  <si>
    <t xml:space="preserve">5.33</t>
  </si>
  <si>
    <t xml:space="preserve">Ауыз суды мембраналық сүзу әдісімен зерттеу</t>
  </si>
  <si>
    <t xml:space="preserve">5.34</t>
  </si>
  <si>
    <t xml:space="preserve">Жүзу бассейндерінің суын мембраналық сүзу әдісімен зерттеу</t>
  </si>
  <si>
    <t xml:space="preserve">5.35</t>
  </si>
  <si>
    <t xml:space="preserve">Романенко әдісімен көкөністерді, жемістерді , жидектерді, аскөкті зерттеу</t>
  </si>
  <si>
    <t xml:space="preserve">5.36</t>
  </si>
  <si>
    <t xml:space="preserve">Романенко әдісімен шайындыны зерттеу</t>
  </si>
  <si>
    <t xml:space="preserve">5.37</t>
  </si>
  <si>
    <t xml:space="preserve">Романенко әдісімен топырақты зерттеу</t>
  </si>
  <si>
    <t xml:space="preserve">5.38</t>
  </si>
  <si>
    <t xml:space="preserve">Падченко әдісімен топырақты зерттеу</t>
  </si>
  <si>
    <t xml:space="preserve">5.39</t>
  </si>
  <si>
    <t xml:space="preserve">Балықты компрессорлық әдіспен зерттеу</t>
  </si>
  <si>
    <t xml:space="preserve">5.40</t>
  </si>
  <si>
    <t xml:space="preserve">Балықты ас қорыту әдісімен зерттеу</t>
  </si>
  <si>
    <t xml:space="preserve">5.41</t>
  </si>
  <si>
    <t xml:space="preserve">Етті компрессорлық әдіспен зерттеу</t>
  </si>
  <si>
    <t xml:space="preserve">5.42</t>
  </si>
  <si>
    <t xml:space="preserve">Етті ас қорыту әдісімен зерттеу</t>
  </si>
  <si>
    <t xml:space="preserve">5.43</t>
  </si>
  <si>
    <t xml:space="preserve">Калледин мен Романенко әдісі бойынша үй шаңындағы гельминт жұмыртқаларын анықтау</t>
  </si>
  <si>
    <t xml:space="preserve">5.44</t>
  </si>
  <si>
    <t xml:space="preserve">Үй шаңы кенелерін анықтауға арналған акарологиялық әдіс</t>
  </si>
  <si>
    <t xml:space="preserve">5.45</t>
  </si>
  <si>
    <t xml:space="preserve">Безгек қоздырғыштарының болуына гемопрепараттарды зерттеу</t>
  </si>
  <si>
    <t xml:space="preserve">5.46</t>
  </si>
  <si>
    <t xml:space="preserve">Микрофилярий қоздырғыштарының болуына гемопрепараттарды зерттеу</t>
  </si>
  <si>
    <t xml:space="preserve">5.47</t>
  </si>
  <si>
    <t xml:space="preserve">Лейшманиоз қоздырғыштарының жағындыларын зерттеу</t>
  </si>
  <si>
    <t xml:space="preserve">5.48</t>
  </si>
  <si>
    <t xml:space="preserve">Микрофилярий болуына knott  қалың тамшысын зерттеу</t>
  </si>
  <si>
    <t xml:space="preserve">6</t>
  </si>
  <si>
    <t xml:space="preserve">Вирустық инфекцияларды бақылау  референс-зертханасы</t>
  </si>
  <si>
    <t xml:space="preserve">6.1</t>
  </si>
  <si>
    <t xml:space="preserve">ПТР әдісімен А/В тұмауына зерттеу</t>
  </si>
  <si>
    <t xml:space="preserve">6.2</t>
  </si>
  <si>
    <t xml:space="preserve">Тұмауға зерттеу. Тұмауға қарсы антиденелерді анықтау</t>
  </si>
  <si>
    <t xml:space="preserve">6.3</t>
  </si>
  <si>
    <t xml:space="preserve">Тұмау және басқа ЖРВИ. Тұмау вирусын жұтқыншақ пен мұрын жағындыларында, секциялық материалда оқшаулау</t>
  </si>
  <si>
    <t xml:space="preserve">6.4</t>
  </si>
  <si>
    <t xml:space="preserve">ЖРВИ -Скрин. Жұтқыншақ пен мұрын жағындыларында, секциялық материалда вирустың РНҚ-сын анықтау</t>
  </si>
  <si>
    <t xml:space="preserve">6.5</t>
  </si>
  <si>
    <t xml:space="preserve">Энтеровирустық инфекцияларға зерттеу. Вирусологиялық әдіспен қоздырғышты анықтау</t>
  </si>
  <si>
    <t xml:space="preserve">6.6</t>
  </si>
  <si>
    <t xml:space="preserve">ПТР әдісімен энтеровирустарға зерттеу</t>
  </si>
  <si>
    <t xml:space="preserve">6.7</t>
  </si>
  <si>
    <t xml:space="preserve">Энтеровирустық инфекциялар. қоршаған орта сынамаларындағы вирусты оқшаулау (ағынды су, ауыз су, ашық су айдындары, жүзу бассейндері)</t>
  </si>
  <si>
    <t xml:space="preserve">6.8</t>
  </si>
  <si>
    <t xml:space="preserve">Полиомиелит. Вирусты нәжісте, ликворда, секциялық материалда оқшаулау</t>
  </si>
  <si>
    <t xml:space="preserve">6.9</t>
  </si>
  <si>
    <t xml:space="preserve">ИФТ әдісімен А гепатиті вирусына М класты иммуноглобулиндерді анықтау</t>
  </si>
  <si>
    <t xml:space="preserve">6.10</t>
  </si>
  <si>
    <t xml:space="preserve">нәжісте, қоршаған орта сынамаларында (ағынды су, ауыз су) А гепатиті вирусының антигенін анықтау,</t>
  </si>
  <si>
    <t xml:space="preserve">6.11</t>
  </si>
  <si>
    <t xml:space="preserve">ИФТ әдісімен В гепатиті вирусына антиденелер мен антигендерді анықтау</t>
  </si>
  <si>
    <t xml:space="preserve">6.12</t>
  </si>
  <si>
    <t xml:space="preserve">HBsAg анықтау</t>
  </si>
  <si>
    <t xml:space="preserve">6.13</t>
  </si>
  <si>
    <t xml:space="preserve">Растаумен HBsAg анықтау;</t>
  </si>
  <si>
    <t xml:space="preserve">6.14</t>
  </si>
  <si>
    <t xml:space="preserve">Hbeag анықтау,</t>
  </si>
  <si>
    <t xml:space="preserve">6.15</t>
  </si>
  <si>
    <t xml:space="preserve">НВcor total анықтау,</t>
  </si>
  <si>
    <t xml:space="preserve">6.16</t>
  </si>
  <si>
    <t xml:space="preserve">НВcor IgM анықтау,</t>
  </si>
  <si>
    <t xml:space="preserve">6.17</t>
  </si>
  <si>
    <t xml:space="preserve">НВs-total анықтау,</t>
  </si>
  <si>
    <t xml:space="preserve">6.18</t>
  </si>
  <si>
    <t xml:space="preserve">AHBeIgG анықтау</t>
  </si>
  <si>
    <t xml:space="preserve">6.19</t>
  </si>
  <si>
    <t xml:space="preserve">Вирустық гепатиттерге зерттеу ПТР әдісімен В гепатитінің қоздырғышын анықтау (сапалық талдау)</t>
  </si>
  <si>
    <t xml:space="preserve">6.20</t>
  </si>
  <si>
    <t xml:space="preserve">Вирустық гепатиттерге зерттеу ПТР әдісімен В гепатитінің қоздырғышын анықтау (сандық талдау)</t>
  </si>
  <si>
    <t xml:space="preserve">6.21</t>
  </si>
  <si>
    <t xml:space="preserve">ПТР әдісімен В гепатиті вирусының A, B, C және D генотиптерін анықтау</t>
  </si>
  <si>
    <t xml:space="preserve">6.22</t>
  </si>
  <si>
    <t xml:space="preserve">ВВГ дәрілік заттарына дәрілік төзімділікті анықтау. ПТР әдісімен</t>
  </si>
  <si>
    <t xml:space="preserve">6.23</t>
  </si>
  <si>
    <t xml:space="preserve">Дельта гепатиті вирусына антиденелерді анықтау</t>
  </si>
  <si>
    <t xml:space="preserve">6.24</t>
  </si>
  <si>
    <t xml:space="preserve">ПТР әдісімен Д гепатиті вирусының РНҚ анықтау (сапалық талдау)</t>
  </si>
  <si>
    <t xml:space="preserve">6.25</t>
  </si>
  <si>
    <t xml:space="preserve">ПТР әдісімен Д гепатиті вирусының РНҚ анықтау (сандық талдау)</t>
  </si>
  <si>
    <t xml:space="preserve">6.26</t>
  </si>
  <si>
    <t xml:space="preserve">С гепатиті вирусына антиденелерді ИФТ әдісімен анықтау</t>
  </si>
  <si>
    <t xml:space="preserve">6.27</t>
  </si>
  <si>
    <t xml:space="preserve">С гепатиті вирусына антиденелерді растау</t>
  </si>
  <si>
    <t xml:space="preserve">6.28</t>
  </si>
  <si>
    <t xml:space="preserve">Вирустық гепатиттерге зерттеулер ПТР әдісімен С гепатитінің қоздырғышын анықтау (сапалық талдау)</t>
  </si>
  <si>
    <t xml:space="preserve">6.29</t>
  </si>
  <si>
    <t xml:space="preserve">Вирустық гепатиттерге зерттеулер ПТР әдісімен С гепатитінің қоздырғышын анықтау (сандық талдау)</t>
  </si>
  <si>
    <t xml:space="preserve">6.30</t>
  </si>
  <si>
    <t xml:space="preserve">С гепатиті вирусының генотипін анықтау (1a, 1b, 2, 3a, 4)</t>
  </si>
  <si>
    <t xml:space="preserve">6.31</t>
  </si>
  <si>
    <t xml:space="preserve">ИФТ әдісімен ротовирустардың антигенін анықтау</t>
  </si>
  <si>
    <t xml:space="preserve">6.32</t>
  </si>
  <si>
    <t xml:space="preserve">Ротавирустық, астро / нора вирустық инфекциялар. ПТР әдісімен</t>
  </si>
  <si>
    <t xml:space="preserve">6.33</t>
  </si>
  <si>
    <t xml:space="preserve">ИФТ әдісімен қызылша вирусына М класты иммуноглобулиндерді анықтау</t>
  </si>
  <si>
    <t xml:space="preserve">6.34</t>
  </si>
  <si>
    <t xml:space="preserve">ИФТ әдісімен қызылша вирусына G класты иммуноглобулиндерді анықтау</t>
  </si>
  <si>
    <t xml:space="preserve">6.35</t>
  </si>
  <si>
    <t xml:space="preserve">ИФТ әдісімен қызамық вирусына М класты иммуноглобулиндерді анықтау</t>
  </si>
  <si>
    <t xml:space="preserve">6.36</t>
  </si>
  <si>
    <t xml:space="preserve">Қызамық вирусына G класты иммуноглобулиндерді ИФТ әдісімен анықтау</t>
  </si>
  <si>
    <t xml:space="preserve">6.37</t>
  </si>
  <si>
    <t xml:space="preserve">ИФТ әдісімен қызамық вирусына G класты иммуноглобулиндердің авидтілік индексін анықтау</t>
  </si>
  <si>
    <t xml:space="preserve">6.38</t>
  </si>
  <si>
    <t xml:space="preserve">ПТР әдісімен қызамықты анықтау (сапалық талдау)</t>
  </si>
  <si>
    <t xml:space="preserve">6.39</t>
  </si>
  <si>
    <t xml:space="preserve">Жатырдың тіндік өсіріндісінің 1-ші матрацын өсіру</t>
  </si>
  <si>
    <t xml:space="preserve">6.40</t>
  </si>
  <si>
    <t xml:space="preserve">Вирусологиялық белсенділікке дезинфекциялау құралдарын зерттеу (сүрту/суару)</t>
  </si>
  <si>
    <t xml:space="preserve">6.41</t>
  </si>
  <si>
    <t xml:space="preserve">Вирусологиялық белсенділікке дезинфекциялау құралдарын зерттеу (ақуызды ақуызсыз жүктемеден батыру))</t>
  </si>
  <si>
    <t xml:space="preserve">6.42</t>
  </si>
  <si>
    <t xml:space="preserve">Коронавирустық инфекцияға молекулалық генетикалық зерттеу (ПТР)</t>
  </si>
  <si>
    <t xml:space="preserve">6.43</t>
  </si>
  <si>
    <t xml:space="preserve">Иммуноферменттік талдау арқылы SARS-CoV-2 (COVID19) коронавирусына М класты антиденелерді (IgM) анықтау</t>
  </si>
  <si>
    <t xml:space="preserve">6.44</t>
  </si>
  <si>
    <t xml:space="preserve">SARS-CoV-2 (COVID19) коронавирусына G класындағы (IgG) антиденелерді иммуноферменттік талдау арқылы анықтау</t>
  </si>
  <si>
    <t xml:space="preserve">6.45</t>
  </si>
  <si>
    <t xml:space="preserve">Вирусты жинау және жинақтау қызметі</t>
  </si>
  <si>
    <t xml:space="preserve">6.46</t>
  </si>
  <si>
    <t xml:space="preserve">Тест-жиынтықтарды верификациялау бойынша қызмет (ИФТ)</t>
  </si>
  <si>
    <t xml:space="preserve">6.47</t>
  </si>
  <si>
    <t xml:space="preserve">Тест-жинақтарды верификациялау жөніндегі қызмет (ПТР)</t>
  </si>
  <si>
    <t xml:space="preserve">6.48</t>
  </si>
  <si>
    <t xml:space="preserve">Арбитраждық зерттеу (ИФТ)</t>
  </si>
  <si>
    <t xml:space="preserve">6.49</t>
  </si>
  <si>
    <t xml:space="preserve">Арбитраждық зерттеу (ПТР)</t>
  </si>
  <si>
    <t xml:space="preserve">7</t>
  </si>
  <si>
    <t xml:space="preserve">Аса қауіпті инфекцияларды бақылау референс-зертханасы</t>
  </si>
  <si>
    <t xml:space="preserve">7.1</t>
  </si>
  <si>
    <t xml:space="preserve">Тырысқақ</t>
  </si>
  <si>
    <t xml:space="preserve">7.1.1</t>
  </si>
  <si>
    <t xml:space="preserve">Тырысқаққа материал зерттеу (бактериологиялық әдіс)</t>
  </si>
  <si>
    <t xml:space="preserve">7.1.2</t>
  </si>
  <si>
    <t xml:space="preserve">Тырысқақ өсірінділерін сәйкестендіру</t>
  </si>
  <si>
    <t xml:space="preserve">7.1.3</t>
  </si>
  <si>
    <t xml:space="preserve">Тырысқаққа материал зерттеу (МФА)</t>
  </si>
  <si>
    <t xml:space="preserve">7.1.4</t>
  </si>
  <si>
    <t xml:space="preserve">Тырысқаққа материал зерттеу (серологиялық әдіс (РПГА)</t>
  </si>
  <si>
    <t xml:space="preserve">7.1.5</t>
  </si>
  <si>
    <t xml:space="preserve">Тырысқаққа материал зерттеу (полимеразды тізбекті реакция әдісі)</t>
  </si>
  <si>
    <t xml:space="preserve">7.2</t>
  </si>
  <si>
    <t xml:space="preserve">Сібір жарасы</t>
  </si>
  <si>
    <t xml:space="preserve">7.2.1</t>
  </si>
  <si>
    <t xml:space="preserve">Сібір жарасына  материал зерттеу (бактериологиялық әдіс)</t>
  </si>
  <si>
    <t xml:space="preserve">7.2.2</t>
  </si>
  <si>
    <t xml:space="preserve">Сібір жарасына материал зерттеу (серологиялық әдіс (РПГA)</t>
  </si>
  <si>
    <t xml:space="preserve">7.2.3</t>
  </si>
  <si>
    <t xml:space="preserve">Сібір жарасына  материал зерттеу (биологиялық әдіс)</t>
  </si>
  <si>
    <t xml:space="preserve">7.2.4</t>
  </si>
  <si>
    <t xml:space="preserve">Сібір жарасына  материал зерттеу (полимеразды тізбекті реакция әдісі)</t>
  </si>
  <si>
    <t xml:space="preserve">7.3</t>
  </si>
  <si>
    <t xml:space="preserve">Бруцеллёз</t>
  </si>
  <si>
    <t xml:space="preserve">7.3.1</t>
  </si>
  <si>
    <t xml:space="preserve">Бруцеллезге материал зерттеу (бактериологиялық әдіс)</t>
  </si>
  <si>
    <t xml:space="preserve">7.3.2</t>
  </si>
  <si>
    <t xml:space="preserve">Бруцеллезге  материал зерттеу (серологиялық әдіс (р. Хеддлсон, Р. Райт)</t>
  </si>
  <si>
    <t xml:space="preserve">7.3.3</t>
  </si>
  <si>
    <t xml:space="preserve">Серологиялық әдіспен бруцеллезге материал зерттеу (р. Хедделсон)</t>
  </si>
  <si>
    <t xml:space="preserve">7.3.4</t>
  </si>
  <si>
    <t xml:space="preserve">Р. Райт серологиялық әдісімен бруцеллезге  материал зерттеу)</t>
  </si>
  <si>
    <t xml:space="preserve">7.3.5</t>
  </si>
  <si>
    <t xml:space="preserve">Бруцеллезге  материал зерттеу (полимеразды тізбекті реакция әдісі)</t>
  </si>
  <si>
    <t xml:space="preserve">7.3.6</t>
  </si>
  <si>
    <t xml:space="preserve">Бруцеллезге материал зерттеу (серологиялық әдіс (РПГA)</t>
  </si>
  <si>
    <t xml:space="preserve">7.3.7</t>
  </si>
  <si>
    <t xml:space="preserve">Бруцеллезге  материал зерттеу (сақина сынамасы)</t>
  </si>
  <si>
    <t xml:space="preserve">7.3.8</t>
  </si>
  <si>
    <t xml:space="preserve">Бруцеллезге материал зерттеу (Роз-Бенгал)</t>
  </si>
  <si>
    <t xml:space="preserve">7.3.9</t>
  </si>
  <si>
    <t xml:space="preserve">ИФТ әдісімен бруцеллезге зерттеу (Ig A, Ig G)</t>
  </si>
  <si>
    <t xml:space="preserve">7.3.10</t>
  </si>
  <si>
    <t xml:space="preserve">ИФТ әдісімен бруцеллезге зерттеу (Ig M, Ig G)</t>
  </si>
  <si>
    <t xml:space="preserve">7.3.11</t>
  </si>
  <si>
    <t xml:space="preserve">Бруцеллезге  материалды полимеразды тізбекті реакция әдісімен зерттеу (түрлік құрамын анықтау)</t>
  </si>
  <si>
    <t xml:space="preserve">7.4</t>
  </si>
  <si>
    <t xml:space="preserve">Пастереллёз</t>
  </si>
  <si>
    <t xml:space="preserve">7.4.1</t>
  </si>
  <si>
    <t xml:space="preserve">Пастереллезге  материал зерттеу (бактериологиялық әдіс)</t>
  </si>
  <si>
    <t xml:space="preserve">7.4.2</t>
  </si>
  <si>
    <t xml:space="preserve">Пастереллезге  материал зерттеу (биологиялық әдіс)</t>
  </si>
  <si>
    <t xml:space="preserve">7.4.3</t>
  </si>
  <si>
    <t xml:space="preserve">Пастереллезге  материал зерттеу (серологиялық әдіс)</t>
  </si>
  <si>
    <t xml:space="preserve">7.5</t>
  </si>
  <si>
    <t xml:space="preserve">Туляремия</t>
  </si>
  <si>
    <t xml:space="preserve">7.5.1</t>
  </si>
  <si>
    <t xml:space="preserve">Туляремияға материал зерттеу (бактериологиялық әдіс)</t>
  </si>
  <si>
    <t xml:space="preserve">7.5.2</t>
  </si>
  <si>
    <t xml:space="preserve">Туляремияға  материал зерттеу (биологиялық әдіс)</t>
  </si>
  <si>
    <t xml:space="preserve">7.5.3</t>
  </si>
  <si>
    <t xml:space="preserve">Туляремияға  материал зерттеу (серологиялық әдіс (РПГa)</t>
  </si>
  <si>
    <t xml:space="preserve">7.5.4</t>
  </si>
  <si>
    <t xml:space="preserve">Туляремияға  материал зерттеу (серологиялық әдіс (РА)</t>
  </si>
  <si>
    <t xml:space="preserve">7.5.5</t>
  </si>
  <si>
    <t xml:space="preserve">Туляремияға  материал зерттеу (ИФТ әдісі)</t>
  </si>
  <si>
    <t xml:space="preserve">7.5.6</t>
  </si>
  <si>
    <t xml:space="preserve">Туляремияға  материал зерттеу (полимеразды тізбекті реакция әдісі)</t>
  </si>
  <si>
    <t xml:space="preserve">7.5.7</t>
  </si>
  <si>
    <t xml:space="preserve">Туляремияға материал зерттеу (флуоресцентті микроскопия)</t>
  </si>
  <si>
    <t xml:space="preserve">7.5.8</t>
  </si>
  <si>
    <t xml:space="preserve">Полимеразды тізбекті реакция әдісімен туляремияға  материал зерттеу (түрлік құрамын анықтау)</t>
  </si>
  <si>
    <t xml:space="preserve">7.6</t>
  </si>
  <si>
    <t xml:space="preserve">Иерсиниоз</t>
  </si>
  <si>
    <t xml:space="preserve">7.6.1</t>
  </si>
  <si>
    <t xml:space="preserve">Материалды иерсиниозға зерттеу (бактериологиялық әдіс)</t>
  </si>
  <si>
    <t xml:space="preserve">7.6.2</t>
  </si>
  <si>
    <t xml:space="preserve">Иерсиниозға, жалғантуберкулезге материал зерттеу (серологиялық әдіс, РПГА) </t>
  </si>
  <si>
    <t xml:space="preserve">7.6.3</t>
  </si>
  <si>
    <t xml:space="preserve">Материалды иерсиниозға, жалғантуберкулезге зерттеу (полимеразды тізбекті реакция әдісі)</t>
  </si>
  <si>
    <t xml:space="preserve">7.6.4</t>
  </si>
  <si>
    <t xml:space="preserve">Иерсиниозға  материал зерттеу (ИФТ әдісі)</t>
  </si>
  <si>
    <t xml:space="preserve">7.7</t>
  </si>
  <si>
    <t xml:space="preserve">Листериоз</t>
  </si>
  <si>
    <t xml:space="preserve">7.7.1</t>
  </si>
  <si>
    <t xml:space="preserve">Листериозға  материал зерттеу (бактериологиялық әдіс)</t>
  </si>
  <si>
    <t xml:space="preserve">7.7.2</t>
  </si>
  <si>
    <t xml:space="preserve">Листериозға  материал зерттеу (серологиялық әдіс (RPGA)</t>
  </si>
  <si>
    <t xml:space="preserve">7.7.3</t>
  </si>
  <si>
    <t xml:space="preserve">Листериозға  материал зерттеу (полимеразды тізбекті реакция әдісі)</t>
  </si>
  <si>
    <t xml:space="preserve">7.7.4</t>
  </si>
  <si>
    <t xml:space="preserve">Листериозға  материал зерттеу (ИФТ әдісі)</t>
  </si>
  <si>
    <t xml:space="preserve">7.8</t>
  </si>
  <si>
    <t xml:space="preserve">Лептоспироз</t>
  </si>
  <si>
    <t xml:space="preserve">7.8.1</t>
  </si>
  <si>
    <t xml:space="preserve">Лептоспирозға  материал зерттеу (бактериологиялық әдіс)</t>
  </si>
  <si>
    <t xml:space="preserve">7.8.2</t>
  </si>
  <si>
    <t xml:space="preserve">Лептоспирозға  материал зерттеу (серологиялық әдіс (rpga)</t>
  </si>
  <si>
    <t xml:space="preserve">7.8.3</t>
  </si>
  <si>
    <t xml:space="preserve">Лептоспирозға  материал зерттеу (ИФТ әдісі)</t>
  </si>
  <si>
    <t xml:space="preserve">7.8.4</t>
  </si>
  <si>
    <t xml:space="preserve">Лептоспирозға  материал зерттеу (полимеразды тізбекті реакция әдісі)</t>
  </si>
  <si>
    <t xml:space="preserve">7.9</t>
  </si>
  <si>
    <t xml:space="preserve">Эпидемиялық бөртпе сүзегі (Брилль ауруы)</t>
  </si>
  <si>
    <t xml:space="preserve">7.9.1</t>
  </si>
  <si>
    <t xml:space="preserve">Бөртпе сүзегіне материал зерттеу (серологиялық әдіс (РСК)</t>
  </si>
  <si>
    <t xml:space="preserve">7.9.2</t>
  </si>
  <si>
    <t xml:space="preserve">Бөртпе сүзегіне материал зерттеу ( ИФТ әдісі)</t>
  </si>
  <si>
    <t xml:space="preserve">7.9.3</t>
  </si>
  <si>
    <t xml:space="preserve">Бөртпе сүзегіне материал зерттеу (полимеразды тізбекті реакция әдісі)</t>
  </si>
  <si>
    <t xml:space="preserve">7.10</t>
  </si>
  <si>
    <t xml:space="preserve">Егеуқұйрық бөртпе сүзегі</t>
  </si>
  <si>
    <t xml:space="preserve">7.10.1</t>
  </si>
  <si>
    <t xml:space="preserve">Егеуқұйрық бөртпе сүзегіне  материал зерттеу (серологиялық әдіс (РСК)</t>
  </si>
  <si>
    <t xml:space="preserve">7.10.2</t>
  </si>
  <si>
    <t xml:space="preserve">Егеуқұйрық бөртпе сүзегіне  материал зерттеу (ИФТ әдісі)</t>
  </si>
  <si>
    <t xml:space="preserve">7.10.3</t>
  </si>
  <si>
    <t xml:space="preserve">Егеуқұйрық бөртпе сүзегіне материал зерттеу (полимеразды тізбекті реакция әдісі)</t>
  </si>
  <si>
    <t xml:space="preserve">7.11</t>
  </si>
  <si>
    <t xml:space="preserve">Кене бөртпе сүзегі</t>
  </si>
  <si>
    <t xml:space="preserve">7.11.1</t>
  </si>
  <si>
    <t xml:space="preserve">Кене бөртпе  сүзегіне  материал зерттеу (серологиялық әдіс (РСК)</t>
  </si>
  <si>
    <t xml:space="preserve">7.11.2</t>
  </si>
  <si>
    <t xml:space="preserve">Кене бөртпе сүзегіне материал зерттеу (ИФТ әдісі)</t>
  </si>
  <si>
    <t xml:space="preserve">7.11.3</t>
  </si>
  <si>
    <t xml:space="preserve">Кене бөртпе сүзегіне материал зерттеу (полимеразды тізбекті реакция әдісі)</t>
  </si>
  <si>
    <t xml:space="preserve">7.12</t>
  </si>
  <si>
    <t xml:space="preserve">Ку-қызбасы</t>
  </si>
  <si>
    <t xml:space="preserve">7.12.1</t>
  </si>
  <si>
    <t xml:space="preserve">Ку-қызбасына  материал зерттеу (серологиялық әдіс (РСК)</t>
  </si>
  <si>
    <t xml:space="preserve">7.12.2</t>
  </si>
  <si>
    <t xml:space="preserve">Ку -қызбасына  материал зерттеу (полимеразды тізбекті реакция әдісі)</t>
  </si>
  <si>
    <t xml:space="preserve">7.13</t>
  </si>
  <si>
    <t xml:space="preserve">Боррелиоз</t>
  </si>
  <si>
    <t xml:space="preserve">7.13.1</t>
  </si>
  <si>
    <t xml:space="preserve">Боррелиозға  материал зерттеу (полимеразды тізбекті реакция әдісі)</t>
  </si>
  <si>
    <t xml:space="preserve">7.13.2</t>
  </si>
  <si>
    <t xml:space="preserve">Бореллиозға  материал зерттеу (ИФТ әдісі)</t>
  </si>
  <si>
    <t xml:space="preserve">7.14</t>
  </si>
  <si>
    <t xml:space="preserve">Басқа риккетсиоздар</t>
  </si>
  <si>
    <t xml:space="preserve">7.14.1</t>
  </si>
  <si>
    <t xml:space="preserve">Материалды басқа риккетсиоздарға зерттеу (серологиялық әдіс)</t>
  </si>
  <si>
    <t xml:space="preserve">7.14.2</t>
  </si>
  <si>
    <t xml:space="preserve">Материалды басқа риккетсиоздарға зерттеу (полимеразды тізбекті реакциялар әдісі)</t>
  </si>
  <si>
    <t xml:space="preserve">7.14.3</t>
  </si>
  <si>
    <t xml:space="preserve">Материалды басқа риккетсиоздарға зерттеу (ИФТ әдісі)</t>
  </si>
  <si>
    <t xml:space="preserve">7.15</t>
  </si>
  <si>
    <t xml:space="preserve">Легионеллёз</t>
  </si>
  <si>
    <t xml:space="preserve">7.15.1</t>
  </si>
  <si>
    <t xml:space="preserve">Легионеллезге  материал зерттеу (бактериологиялық әдіс)</t>
  </si>
  <si>
    <t xml:space="preserve">7.15.2</t>
  </si>
  <si>
    <t xml:space="preserve">Легионеллезге материал зерттеу (полимеразды тізбекті реакция әдісі)</t>
  </si>
  <si>
    <t xml:space="preserve">7.16</t>
  </si>
  <si>
    <t xml:space="preserve">Қырым-Конго геморрагиялық қызбасы (ҚКГҚ)</t>
  </si>
  <si>
    <t xml:space="preserve">7.16.1</t>
  </si>
  <si>
    <t xml:space="preserve">ҚКГҚ-ға материал зерттеу (полимеразды тізбекті реакция әдісі)</t>
  </si>
  <si>
    <t xml:space="preserve">7.16.2</t>
  </si>
  <si>
    <t xml:space="preserve">ҚКГҚ-ға материал зерттеу (ИФТ)</t>
  </si>
  <si>
    <t xml:space="preserve">7.17</t>
  </si>
  <si>
    <t xml:space="preserve">Бүйрек синдромды геморрагиялық қызба (БСГҚ)</t>
  </si>
  <si>
    <t xml:space="preserve">7.17.1</t>
  </si>
  <si>
    <t xml:space="preserve">БСГҚ-ға материал зерттеу (полимеразды тізбекті реакция әдісі)</t>
  </si>
  <si>
    <t xml:space="preserve">7.17.2</t>
  </si>
  <si>
    <t xml:space="preserve">БСГҚ-ға материал зерттеу (ИФТ әдісі)</t>
  </si>
  <si>
    <t xml:space="preserve">7.17.3</t>
  </si>
  <si>
    <t xml:space="preserve">БСГҚ-ға материал зерттеу (MФТ әдісі)</t>
  </si>
  <si>
    <t xml:space="preserve">7.18</t>
  </si>
  <si>
    <t xml:space="preserve">Этиологиясы белгісіз қызба (ЭБҚ)</t>
  </si>
  <si>
    <t xml:space="preserve">7.18.1</t>
  </si>
  <si>
    <t xml:space="preserve">ЭБҚ-ға материал зерттеу (полимеразды тізбекті реакция әдісі)</t>
  </si>
  <si>
    <t xml:space="preserve">7.18.2</t>
  </si>
  <si>
    <t xml:space="preserve">ЭБҚ-ға материал зерттеу (ИФТ әдісі)</t>
  </si>
  <si>
    <t xml:space="preserve">7.19</t>
  </si>
  <si>
    <t xml:space="preserve">Денге қызбасы (ДҚ)</t>
  </si>
  <si>
    <t xml:space="preserve">7.19.1</t>
  </si>
  <si>
    <t xml:space="preserve">ДҚ-ға материал зерттеу (полимеразды тізбекті реакция әдісі)</t>
  </si>
  <si>
    <t xml:space="preserve">7.19.2</t>
  </si>
  <si>
    <t xml:space="preserve">ДҚ-ға материал зерттеу (ИФТ әдісі)</t>
  </si>
  <si>
    <t xml:space="preserve">7.20</t>
  </si>
  <si>
    <t xml:space="preserve">Батыс Ніл қызбасы (БН)</t>
  </si>
  <si>
    <t xml:space="preserve">7.20.1</t>
  </si>
  <si>
    <t xml:space="preserve">БН-ге материал зерттеу (полимеразды тізбекті реакция әдісі)</t>
  </si>
  <si>
    <t xml:space="preserve">7.20.2</t>
  </si>
  <si>
    <t xml:space="preserve">БН-ге материал зерттеу (ИФТ әдісі)</t>
  </si>
  <si>
    <t xml:space="preserve">7.21</t>
  </si>
  <si>
    <t xml:space="preserve">Зика қызбасы (ЗҚ)</t>
  </si>
  <si>
    <t xml:space="preserve">7.21.1</t>
  </si>
  <si>
    <t xml:space="preserve">ЗҚ-ға материал зерттеу (полимеразды тізбекті реакция әдісі)</t>
  </si>
  <si>
    <t xml:space="preserve">7.21.2</t>
  </si>
  <si>
    <t xml:space="preserve">ЗҚ-ға материал зерттеу (ИФТ әдісі) </t>
  </si>
  <si>
    <t xml:space="preserve">7.22</t>
  </si>
  <si>
    <t xml:space="preserve">Чукугунья қызбасы (ЧҚ)</t>
  </si>
  <si>
    <t xml:space="preserve">7.22.1</t>
  </si>
  <si>
    <t xml:space="preserve">ЧҚ-ға материал зерттеу (полимеразды тізбекті реакция әдісі) </t>
  </si>
  <si>
    <t xml:space="preserve">7.22.2</t>
  </si>
  <si>
    <t xml:space="preserve">ЧҚ-ға материал зерттеу (ИФТ әдісі) </t>
  </si>
  <si>
    <t xml:space="preserve">7.23</t>
  </si>
  <si>
    <t xml:space="preserve">Хламидиоз (орнитоз)</t>
  </si>
  <si>
    <t xml:space="preserve">7.23.1</t>
  </si>
  <si>
    <t xml:space="preserve">Хламидиозға материал зерттеу (полимеразды тізбекті реакция әдісі)</t>
  </si>
  <si>
    <t xml:space="preserve">7.23.2</t>
  </si>
  <si>
    <t xml:space="preserve">Хламидиозға материал зерттеу (ИФТ әдісі)</t>
  </si>
  <si>
    <t xml:space="preserve">7.24</t>
  </si>
  <si>
    <t xml:space="preserve">Кене энцефалиті (КЭ)</t>
  </si>
  <si>
    <t xml:space="preserve">7.24.1</t>
  </si>
  <si>
    <t xml:space="preserve">КЭ-ге материал зерттеу (полимеразды тізбекті реакция әдісі)</t>
  </si>
  <si>
    <t xml:space="preserve">7.24.2</t>
  </si>
  <si>
    <t xml:space="preserve">КЭ-ге материал зерттеу (ИФТ әдісі)</t>
  </si>
  <si>
    <t xml:space="preserve">7.25</t>
  </si>
  <si>
    <t xml:space="preserve">Кене инфекциялары</t>
  </si>
  <si>
    <t xml:space="preserve">7.25.1</t>
  </si>
  <si>
    <t xml:space="preserve">ПТР әдісімен кене инфекцияларына материал зерттеу (мутиплексті реакция )</t>
  </si>
  <si>
    <t xml:space="preserve">7.25.2</t>
  </si>
  <si>
    <t xml:space="preserve">Кенелердің тектік, түрлік тиесілігін анықтау</t>
  </si>
  <si>
    <t xml:space="preserve">7.26</t>
  </si>
  <si>
    <t xml:space="preserve">Дезинфекциялау құралдары</t>
  </si>
  <si>
    <t xml:space="preserve">7.26.1</t>
  </si>
  <si>
    <t xml:space="preserve">АҚИ қоздырғыштарына дез.құралдардың белсенділігін зерттеу (Бруцеллез)</t>
  </si>
  <si>
    <t xml:space="preserve">7.26.1.1</t>
  </si>
  <si>
    <t xml:space="preserve">АҚИ қоздырғыштарына жеке қорғаныш құралдарын зерттеу (Бруцеллез)</t>
  </si>
  <si>
    <t xml:space="preserve">7.26.1.2</t>
  </si>
  <si>
    <t xml:space="preserve">АҚИ қоздырғыштарына дәрілік препараттардың микробқа қарсы белсенділігін зерттеу (Бруцеллез)</t>
  </si>
  <si>
    <t xml:space="preserve">7.26.2</t>
  </si>
  <si>
    <t xml:space="preserve">АҚИ қоздырғыштарына дезқұралдардың белсенділігін зерттеу (Сібір жарасы)</t>
  </si>
  <si>
    <t xml:space="preserve">7.26.2.1</t>
  </si>
  <si>
    <t xml:space="preserve">АҚИ қоздырғыштарына жеке қорғаныш құралдарын зерттеу (Сібір жарасы)</t>
  </si>
  <si>
    <t xml:space="preserve">7.26.2.2</t>
  </si>
  <si>
    <t xml:space="preserve">АҚИ қоздырғыштарына дәрілік препараттардың микробқа қарсы белсенділігін зерттеу (Сібір жарасы)</t>
  </si>
  <si>
    <t xml:space="preserve">7.26.3</t>
  </si>
  <si>
    <t xml:space="preserve">АҚИ қоздырғыштарына дезқұралдардың белсенділігін зерттеу (тырысқақ)</t>
  </si>
  <si>
    <t xml:space="preserve">7.26.3.1</t>
  </si>
  <si>
    <t xml:space="preserve">АҚИ қоздырғыштарына жеке қорғаныш құралдарын зерттеу (тырысқақ)</t>
  </si>
  <si>
    <t xml:space="preserve">7.26.3.2</t>
  </si>
  <si>
    <t xml:space="preserve">АҚИ қоздырғыштарына дәрілік препараттардың микробқа қарсы белсенділігін зерттеу (тырысқақ)</t>
  </si>
  <si>
    <t xml:space="preserve">7.26.4</t>
  </si>
  <si>
    <t xml:space="preserve">АҚИ қоздырғыштарына дезқұралдардың белсенділігін зерттеу (Туляремия)</t>
  </si>
  <si>
    <t xml:space="preserve">7.26.4.1</t>
  </si>
  <si>
    <t xml:space="preserve">АҚИ қоздырғыштарына дәрілік заттардың микробқа қарсы белсенділігін зерттеу (Туляремия)</t>
  </si>
  <si>
    <t xml:space="preserve">7.26.5</t>
  </si>
  <si>
    <t xml:space="preserve">АҚИ қоздырғыштарына дезқұралдардың белсенділігін зерттеу (Туберкулез)</t>
  </si>
  <si>
    <t xml:space="preserve">7.26.5.1</t>
  </si>
  <si>
    <t xml:space="preserve">АҚИ қоздырғыштарына жеке қорғаныш құралдарын зерттеу (Туберкулез)</t>
  </si>
  <si>
    <t xml:space="preserve">7.26.5.2</t>
  </si>
  <si>
    <t xml:space="preserve">АҚИ қоздырғыштарына дәрілік препараттардың микробқа қарсы белсенділігін зерттеу (Туберкулез)</t>
  </si>
  <si>
    <t xml:space="preserve">7.26.6</t>
  </si>
  <si>
    <t xml:space="preserve">АҚИ қоздырғыштарына дезқұралдардың белсенділігін зерттеу (Пастереллез)</t>
  </si>
  <si>
    <t xml:space="preserve">7.26.7</t>
  </si>
  <si>
    <t xml:space="preserve">АҚИ (Легионеллез)қоздырғыштарына дезқұралдардың белсенділігін зерттеу</t>
  </si>
  <si>
    <t xml:space="preserve">7.26.8</t>
  </si>
  <si>
    <t xml:space="preserve">Зоонозды инфекциялардың қоздырғыштарына дезқұралдардың белсенділігін зерттеу (ішек иерсиниозы)</t>
  </si>
  <si>
    <t xml:space="preserve">7.26.8.1</t>
  </si>
  <si>
    <t xml:space="preserve">АҚИ қоздырғыштарына дәрілік препараттардың микробқа қарсы белсенділігін зерттеу (ішек иерсиниозы)</t>
  </si>
  <si>
    <t xml:space="preserve">7.26.9</t>
  </si>
  <si>
    <t xml:space="preserve">Зоонозды инфекциялардың қоздырғыштарына дезқұралдардың белсенділігін зерттеу (жалғантуберкулез)</t>
  </si>
  <si>
    <t xml:space="preserve">7.26.9.1</t>
  </si>
  <si>
    <t xml:space="preserve">АҚИ  қоздырғыштарына дәрілік препараттардың микробқа қарсы белсенділігін зерттеу (жалғантуберкулез)</t>
  </si>
  <si>
    <t xml:space="preserve">7.26.10</t>
  </si>
  <si>
    <t xml:space="preserve">Зоонозды инфекциялардың қоздырғыштарына дезқұралдардың белсенділігін зерттеу (листериоз)</t>
  </si>
  <si>
    <t xml:space="preserve">7.26.10.1</t>
  </si>
  <si>
    <t xml:space="preserve">АҚИ қоздырғыштарына дәрілік препараттардың микробқа қарсы белсенділігін зерттеу (листериоз)</t>
  </si>
  <si>
    <t xml:space="preserve">7.27</t>
  </si>
  <si>
    <t xml:space="preserve">7.27.1</t>
  </si>
  <si>
    <t xml:space="preserve">Өсу, дифференцирлеуші және тежеу қасиеттерін анықтау (бактериологиялық әдіс)</t>
  </si>
  <si>
    <t xml:space="preserve">7.28</t>
  </si>
  <si>
    <t xml:space="preserve">Микрофлораның антибиотикке сезімталдығын анықтау</t>
  </si>
  <si>
    <t xml:space="preserve">7.29</t>
  </si>
  <si>
    <t xml:space="preserve">Көлік ортасы</t>
  </si>
  <si>
    <t xml:space="preserve">7.30</t>
  </si>
  <si>
    <t xml:space="preserve">Аса қауіпті және зооноздық инфекцияларға жүргізілген зертханалық сынақтардың қорытындылары бойынша қорытынды беру</t>
  </si>
  <si>
    <t xml:space="preserve">7.31</t>
  </si>
  <si>
    <t xml:space="preserve">Аса қауіпті және зооноздық инфекцияларға ғылыми зерттеулер қорытындылары бойынша ғылыми есеп</t>
  </si>
  <si>
    <t xml:space="preserve">7.32</t>
  </si>
  <si>
    <t xml:space="preserve">Дискілер әдісімен (инфекцияның бір түріне) аса қауіпті инфекциялар қоздырғыштарының микробқа қарсы препараттарға төзімділігін анықтау</t>
  </si>
  <si>
    <t xml:space="preserve">7.33</t>
  </si>
  <si>
    <t xml:space="preserve">Зооноздық инфекциялардағы қоздырғыштардың микробқа қарсы препараттарға төзімділігін дискілер әдісімен анықтау (инфекцияның бір түріне)</t>
  </si>
  <si>
    <t xml:space="preserve">7.34</t>
  </si>
  <si>
    <t xml:space="preserve">Аса қауіпті инфекциялар қоздырғыштарының сериялық сұйылту әдісімен микробқа қарсы препараттарға төзімділігін анықтау (инфекцияның бір түріне)</t>
  </si>
  <si>
    <t xml:space="preserve">7.35</t>
  </si>
  <si>
    <t xml:space="preserve">Сериялық сұйылту әдісімен зооноздық инфекциялардағы қоздырғыштардың микробқа қарсы препараттарға төзімділігін анықтау (инфекцияның бір түріне)</t>
  </si>
  <si>
    <t xml:space="preserve">8</t>
  </si>
  <si>
    <t xml:space="preserve">Ақпараттық-аналитикалық орталық</t>
  </si>
  <si>
    <t xml:space="preserve">8.1</t>
  </si>
  <si>
    <t xml:space="preserve">Инфекциялық сырқаттанушылық және сыртқы ортаның қауіпті факторлары бойынша архивтік деректерді ұсыну</t>
  </si>
  <si>
    <t xml:space="preserve">қызмет</t>
  </si>
  <si>
    <t xml:space="preserve">8.2</t>
  </si>
  <si>
    <t xml:space="preserve">Сан эпид мониторинг және қадағалау бағдарламаларын жүргізу бойынша курстар</t>
  </si>
  <si>
    <t xml:space="preserve">1 адам</t>
  </si>
  <si>
    <t xml:space="preserve">9</t>
  </si>
  <si>
    <t xml:space="preserve">Инфекциялық  және паразиттік аурулардың алдын алу басқармасы</t>
  </si>
  <si>
    <t xml:space="preserve">9.1</t>
  </si>
  <si>
    <t xml:space="preserve">Клиникалық, эпидемиологиялық зерттеулер жүргізу үшін зерттеу хаттамасын және сауалнаманы әзірлеу жөніндегі қызметтер</t>
  </si>
  <si>
    <t xml:space="preserve">8 сағат</t>
  </si>
  <si>
    <t xml:space="preserve">9.2</t>
  </si>
  <si>
    <t xml:space="preserve">Клиникалық, эпидемиологиялық зерттеулер бойынша деректер базасына талдау жасауды ұйымдастыру және жүргізу</t>
  </si>
  <si>
    <t xml:space="preserve">10</t>
  </si>
  <si>
    <t xml:space="preserve">ДЕЗИНФЕКЦИЯЛЫҚ ЖӘНЕ ДЕЗИНСЕКЦИЯЛЫҚ ІС-ШАРАЛАР ЖҮРГІЗУ</t>
  </si>
  <si>
    <t xml:space="preserve">10.1</t>
  </si>
  <si>
    <t xml:space="preserve">Үй-жайларды профилактикалық дезинфекциялау</t>
  </si>
  <si>
    <t xml:space="preserve">шаршы метр</t>
  </si>
  <si>
    <t xml:space="preserve">10.2</t>
  </si>
  <si>
    <t xml:space="preserve">Іргелес аумақтарды дератизациялау</t>
  </si>
  <si>
    <t xml:space="preserve">10.3</t>
  </si>
  <si>
    <t xml:space="preserve">Үй-жайды дезинсекциялау</t>
  </si>
  <si>
    <t xml:space="preserve">10.4</t>
  </si>
  <si>
    <t xml:space="preserve">Іргелес аумақтарды дезинсекциялау</t>
  </si>
  <si>
    <t xml:space="preserve">Бақылаудағы өнімді мемлекеттік тіркеу қажеттілігі туралы растау хатын ұсыну (жобалау және жобалау алдындағы құжаттарды сараптау)</t>
  </si>
  <si>
    <t xml:space="preserve">хат</t>
  </si>
  <si>
    <t xml:space="preserve">Жобалау, жобалау алдындағы құжаттарды сараптау</t>
  </si>
  <si>
    <t xml:space="preserve">адам/сағ.</t>
  </si>
  <si>
    <t xml:space="preserve">Маманның объектіге шығуы</t>
  </si>
  <si>
    <t xml:space="preserve">қызмет (1 шығу)</t>
  </si>
  <si>
    <t xml:space="preserve">Зерттеу хаттамасын ресімдеу</t>
  </si>
  <si>
    <t xml:space="preserve">15</t>
  </si>
  <si>
    <t xml:space="preserve">МЕМЛЕКЕТТІК және МЕМЛЕКЕТТІК ЕМЕС ТІРКЕУ</t>
  </si>
  <si>
    <t xml:space="preserve">өлшем бірлігі</t>
  </si>
  <si>
    <t xml:space="preserve">Қызмет бағасы, теңгемен</t>
  </si>
  <si>
    <t xml:space="preserve">15.1</t>
  </si>
  <si>
    <t xml:space="preserve">Мемлекеттік тіркеуге жататын өнімдерге құжаттарды сараптау, сараптамалық қорытындымен ғылыми есепті ресімдеу.</t>
  </si>
  <si>
    <t xml:space="preserve">15.2</t>
  </si>
  <si>
    <t xml:space="preserve">Есепті ресімдеу (ғылыми, зерттеу, ғылыми-зерттеу және т.б.).)</t>
  </si>
  <si>
    <t xml:space="preserve">15.3</t>
  </si>
  <si>
    <t xml:space="preserve">Қорытындыны ресімдеу (сараптамалық, зерттеу және т.б.)</t>
  </si>
  <si>
    <t xml:space="preserve">15.4</t>
  </si>
  <si>
    <t xml:space="preserve">Зертханалық-аспаптық зерттеулердің нәтижелері бойынша қорытынды (су, тамақ өнімдері, топырақ, атмосфералық ауа, жұмыс аймағының ауасы, шу, діріл, электромагниттік өрістер, микроклимат, жарықтандыру және т.б.)</t>
  </si>
  <si>
    <t xml:space="preserve">новая позиция</t>
  </si>
  <si>
    <t xml:space="preserve">16</t>
  </si>
  <si>
    <t xml:space="preserve">ЗЕРТХАНААРАЛЫҚ САЛЫСТЫРМАЛЫ ЗЕРТТЕУЛЕР (ЗАСЗ), КОНСУЛЬТАТИВТІК КӨМЕК, АУДИТ</t>
  </si>
  <si>
    <t xml:space="preserve">16.1</t>
  </si>
  <si>
    <t xml:space="preserve">Ауыз су</t>
  </si>
  <si>
    <t xml:space="preserve">16.1.1</t>
  </si>
  <si>
    <t xml:space="preserve">22С және 37с температурада ЖМС анықтау</t>
  </si>
  <si>
    <t xml:space="preserve">16.1.2</t>
  </si>
  <si>
    <t xml:space="preserve">E.coli.</t>
  </si>
  <si>
    <t xml:space="preserve">16.1.4</t>
  </si>
  <si>
    <t xml:space="preserve">Энтерококктар</t>
  </si>
  <si>
    <t xml:space="preserve">16.1.5</t>
  </si>
  <si>
    <t xml:space="preserve">Сульфитредуктивті клостридия споралары</t>
  </si>
  <si>
    <t xml:space="preserve">16.1.6</t>
  </si>
  <si>
    <t xml:space="preserve">Ішек таяқшасы тобының бактериялары (ІТТБ)</t>
  </si>
  <si>
    <t xml:space="preserve">16.1.7</t>
  </si>
  <si>
    <t xml:space="preserve">R. aeruginosa</t>
  </si>
  <si>
    <t xml:space="preserve">16.2.</t>
  </si>
  <si>
    <t xml:space="preserve">16.2.1</t>
  </si>
  <si>
    <t xml:space="preserve">Топырақ, жер (қорғасын, кадмий)</t>
  </si>
  <si>
    <t xml:space="preserve">16.2.2</t>
  </si>
  <si>
    <t xml:space="preserve">Тамақ өнімдері: жарма, күріш (қорғасын, кадмий)</t>
  </si>
  <si>
    <t xml:space="preserve">16.2.3</t>
  </si>
  <si>
    <t xml:space="preserve">Шарап-арақ өнімдері, этил спирті және сусындар (қорғасын, кадмий)</t>
  </si>
  <si>
    <t xml:space="preserve">16.3</t>
  </si>
  <si>
    <t xml:space="preserve">Қан сарысуы</t>
  </si>
  <si>
    <t xml:space="preserve">16.3.1</t>
  </si>
  <si>
    <t xml:space="preserve">16.3.2</t>
  </si>
  <si>
    <t xml:space="preserve">В гепатиті вирусының HBsAg беткі антигенін анықтау</t>
  </si>
  <si>
    <t xml:space="preserve">16.3.3</t>
  </si>
  <si>
    <t xml:space="preserve">С гепатиті вирусына антиденелерді анықтау</t>
  </si>
  <si>
    <t xml:space="preserve">16.3.4</t>
  </si>
  <si>
    <t xml:space="preserve">Қызылшаға IgM класындағы иммуноглобулиндерді анықтау</t>
  </si>
  <si>
    <t xml:space="preserve">16.4</t>
  </si>
  <si>
    <t xml:space="preserve">Радиациялық қауіпсіздік референс-зертханасы</t>
  </si>
  <si>
    <t xml:space="preserve">Құрылыс материалы Цемент</t>
  </si>
  <si>
    <t xml:space="preserve">16.4.1</t>
  </si>
  <si>
    <t xml:space="preserve">Радионуклидтердің меншікті тиімді белсенділігін анықтау</t>
  </si>
  <si>
    <t xml:space="preserve">16.5</t>
  </si>
  <si>
    <t xml:space="preserve">16.5.1</t>
  </si>
  <si>
    <t xml:space="preserve">Безгекке  гемоскопиялық қан препараттары (қалың тамшы, жұқа жағынды)</t>
  </si>
  <si>
    <t xml:space="preserve">16.6</t>
  </si>
  <si>
    <t xml:space="preserve">16.6.1</t>
  </si>
  <si>
    <t xml:space="preserve">Адамның қан сарысуы (бруцеллезге зерттеу)</t>
  </si>
  <si>
    <t xml:space="preserve">16.7</t>
  </si>
  <si>
    <t xml:space="preserve">ЗАСЗ бойынша есепті және статистикалық талдау мен есептеуді рәсімдеу</t>
  </si>
  <si>
    <t xml:space="preserve">МАМАНДАРДЫ ОҚЫТУ (жұмыс орнында 1 күн)</t>
  </si>
  <si>
    <t xml:space="preserve">Пән атауы</t>
  </si>
  <si>
    <t xml:space="preserve">1 курсантқа бір күндік оқу құны (теңге)</t>
  </si>
  <si>
    <t xml:space="preserve">Стоимость обучения за один день на 1 курсанта  (тенге)</t>
  </si>
  <si>
    <t xml:space="preserve">3 дня</t>
  </si>
  <si>
    <t xml:space="preserve">4дня</t>
  </si>
  <si>
    <t xml:space="preserve">3 дня по старому</t>
  </si>
  <si>
    <t xml:space="preserve">17.1</t>
  </si>
  <si>
    <t xml:space="preserve">Зертханалық диагностика бойынша жұмыс орнындағы тағылымдама</t>
  </si>
  <si>
    <t xml:space="preserve">Семинарлар, көшпелі оқыту</t>
  </si>
  <si>
    <t xml:space="preserve">Стоимость обучения на один день на 1 курсанта (тенге)</t>
  </si>
  <si>
    <t xml:space="preserve">очно 1 день</t>
  </si>
  <si>
    <t xml:space="preserve">онлайн 1 день</t>
  </si>
  <si>
    <t xml:space="preserve">18.1</t>
  </si>
  <si>
    <t xml:space="preserve">Семинарлар</t>
  </si>
  <si>
    <t xml:space="preserve">18.2</t>
  </si>
  <si>
    <t xml:space="preserve">Семинарлар (қашықтықтан)</t>
  </si>
  <si>
    <t xml:space="preserve">18.3</t>
  </si>
  <si>
    <t xml:space="preserve">Эпидемияға қарсы іс-шараларды ұйымдастыру, жұқпалы және паразиттік аурулардың алдын алудың өзекті мәселелері бойынша және т. б. бұрқ етпе кезінде қауіп-қатер коммуникациясы мәселелері бойынша көшпелі тренингтер мен семинарлар өткізу.
</t>
  </si>
  <si>
    <t xml:space="preserve">18.4</t>
  </si>
  <si>
    <t xml:space="preserve">Кәсіпорындардың, ұйымдардың халықтың декреттелген топтарын гигиеналық оқыту (Санитариялық минимум)
</t>
  </si>
  <si>
    <t xml:space="preserve">ЖОО және колледж студенттерінің өндірістік практикасы</t>
  </si>
  <si>
    <t xml:space="preserve">Қызмет (пән) атауы</t>
  </si>
  <si>
    <t xml:space="preserve">1 курсантқа 2 сағатқа оқу құны (теңге)</t>
  </si>
  <si>
    <t xml:space="preserve">Стоимость за 2  часа на 1 курсанта  (тенге)</t>
  </si>
  <si>
    <t xml:space="preserve">19.1</t>
  </si>
  <si>
    <t xml:space="preserve">Жоғары оқу орнының, колледждің 1 студентіне арналған оқу-өндірістік практика</t>
  </si>
  <si>
    <t xml:space="preserve">20</t>
  </si>
  <si>
    <t xml:space="preserve">Мамандарды оқыту, біліктілікті арттыру курстары, сертификаттау курстары (1 курсантқа төленетін баға)</t>
  </si>
  <si>
    <t xml:space="preserve">Құны  сағ. (теңге)</t>
  </si>
  <si>
    <t xml:space="preserve">Жоғары кәсіптік білімі бар мамандар</t>
  </si>
  <si>
    <t xml:space="preserve">20.1</t>
  </si>
  <si>
    <t xml:space="preserve">Мамандарды оқыту, біліктілікті арттыру курстары </t>
  </si>
  <si>
    <t xml:space="preserve">сағат</t>
  </si>
  <si>
    <t xml:space="preserve">НПЦСЭЭМ</t>
  </si>
  <si>
    <t xml:space="preserve">ВШОЗ</t>
  </si>
  <si>
    <t xml:space="preserve">оның ішінде</t>
  </si>
  <si>
    <t xml:space="preserve">2 кредит / 60 сағат</t>
  </si>
  <si>
    <t xml:space="preserve">3 кредит / 90 сағат</t>
  </si>
  <si>
    <t xml:space="preserve">4 несие /120 сағат</t>
  </si>
  <si>
    <t xml:space="preserve">5 кредит / 150 сағат</t>
  </si>
  <si>
    <t xml:space="preserve">20.2</t>
  </si>
  <si>
    <t xml:space="preserve">Мамандарды оқыту, біліктілікті арттыру курстары, қашықтықтан </t>
  </si>
  <si>
    <t xml:space="preserve">20.3</t>
  </si>
  <si>
    <t xml:space="preserve">Мамандарды оқыту, материалдық шығындарды ескере отырып, біліктілікті арттыру курстары</t>
  </si>
  <si>
    <t xml:space="preserve">Орта кәсіптік білімі бар мамандар</t>
  </si>
  <si>
    <t xml:space="preserve">20.4</t>
  </si>
  <si>
    <t xml:space="preserve">20.5</t>
  </si>
  <si>
    <t xml:space="preserve">20.6</t>
  </si>
  <si>
    <t xml:space="preserve">20.7</t>
  </si>
  <si>
    <t xml:space="preserve">Сертификаттау курсы (теориялық пәндер) 15 кредит / 450 акад.сағат </t>
  </si>
  <si>
    <t xml:space="preserve">20.8</t>
  </si>
  <si>
    <t xml:space="preserve">Сертификаттау курсы (зертханалық пәндер) 15 кредит/450 акад.сағат </t>
  </si>
  <si>
    <t xml:space="preserve">20.9</t>
  </si>
  <si>
    <t xml:space="preserve">Радиациялық қауіпсіздікті қамтамасыз ету (30 сағат)</t>
  </si>
  <si>
    <t xml:space="preserve">Зертханалық жануарлар</t>
  </si>
  <si>
    <t xml:space="preserve">Атауы</t>
  </si>
  <si>
    <t xml:space="preserve">Стоимость за одну единицу  (тенге)</t>
  </si>
  <si>
    <t xml:space="preserve">21.1</t>
  </si>
  <si>
    <t xml:space="preserve">Зертханалық егеуқұйрық</t>
  </si>
  <si>
    <t xml:space="preserve">дана</t>
  </si>
  <si>
    <t xml:space="preserve">21.2</t>
  </si>
  <si>
    <t xml:space="preserve">Теңіз шошқасы</t>
  </si>
  <si>
    <t xml:space="preserve">21.3</t>
  </si>
  <si>
    <t xml:space="preserve">Қоян</t>
  </si>
  <si>
    <t xml:space="preserve">21.4</t>
  </si>
  <si>
    <t xml:space="preserve">Ақ тышқан</t>
  </si>
  <si>
    <t xml:space="preserve">22</t>
  </si>
  <si>
    <t xml:space="preserve">Консалтингтік қызметтер</t>
  </si>
  <si>
    <t xml:space="preserve">22.1</t>
  </si>
  <si>
    <t xml:space="preserve">1. ГОСТ ISO / IEC 17025-2019 "Сынақ және калибрлеу зертханаларының құзыреттілігіне қойылатын жалпы талаптар";</t>
  </si>
  <si>
    <t xml:space="preserve">22.2</t>
  </si>
  <si>
    <t xml:space="preserve">2. ГОСТ ISO / IEC 17043-2013 "Біліктілікті тексеруге қойылатын негізгі талаптар";</t>
  </si>
  <si>
    <t xml:space="preserve">22.3</t>
  </si>
  <si>
    <t xml:space="preserve">3. ҚР СТ ISO 15189-2015 зертханалар медициналық "Сапа мен құзыреттілікке қойылатын талаптар".</t>
  </si>
  <si>
    <t xml:space="preserve">22.4</t>
  </si>
  <si>
    <t xml:space="preserve">Шаруашылық құжаттамасын дайындауды сүйемелдеу бойынша сараптамалық консалтингтік қызметтер көрсету. санэпид саламаттылығы саласындағы мәселелер бойынша мемлекеттік тіркеу, лицензиялау, сондай-ақ учаскені таңдау, жобалау және құрылыс (реконструкциялар) және т. б. үшін субъектілер</t>
  </si>
  <si>
    <t xml:space="preserve">23</t>
  </si>
  <si>
    <t xml:space="preserve">Өндірістік бақылау</t>
  </si>
  <si>
    <t xml:space="preserve">Зертету атауы</t>
  </si>
  <si>
    <t xml:space="preserve">Анықталатын көрсеткіштер</t>
  </si>
  <si>
    <t xml:space="preserve">Өлшеу, сынама алу орны</t>
  </si>
  <si>
    <t xml:space="preserve">Цена услуги</t>
  </si>
  <si>
    <t xml:space="preserve">Кратность, ( не менее)</t>
  </si>
  <si>
    <t xml:space="preserve">Наркологиялық ауруханалардың (диспансерлерді), психиатриялық ауруханаларды (диспансерлерді) қоспағанда, стационарлық көмек көрсететін денсаулық сақтау ұйымдары</t>
  </si>
  <si>
    <t xml:space="preserve">1.1.</t>
  </si>
  <si>
    <t xml:space="preserve">Санитариялық-бактериологиялық бақылау</t>
  </si>
  <si>
    <t xml:space="preserve">Ауаның бактериялық тұқымдануы</t>
  </si>
  <si>
    <t xml:space="preserve">КОЕ, золотистый стафилококк, плесневые и дрожжевые грибы</t>
  </si>
  <si>
    <t xml:space="preserve">1 раз в квартал (цена одной точки на 1 раз)</t>
  </si>
  <si>
    <t xml:space="preserve">Эпидемиологиялық маңызы бар объектілердің қолда бар тізбесіне сәйкес сыртқы ортадан шайындыларды бактериологиялық зерттеу</t>
  </si>
  <si>
    <t xml:space="preserve">Бактерии группы кишечной палочки (БГКП), патогенный стафилококк, условно-патогенную и патогенную микрофлору</t>
  </si>
  <si>
    <t xml:space="preserve">1 раз в квартал в отделениях соматического профиля, (цена одной точки на 1 раз)</t>
  </si>
  <si>
    <t xml:space="preserve">1 раз в месяц в отделениях хирургического профиля (цена одной точки на 1 раз)</t>
  </si>
  <si>
    <t xml:space="preserve">Құрал-саймандардың, таңғыш материалдың, операциялық іш киімнің, хирургтардың қолының, операциялық өрістің терісінің стерильділігіне (шайынды, материал) зерттеу</t>
  </si>
  <si>
    <t xml:space="preserve">стерилділік</t>
  </si>
  <si>
    <t xml:space="preserve">1 раз в месяц, в отделениях хирургического профиля, организациях охраны материнства и детства 1 раз в неделю (цена одной точки на 1 раз)</t>
  </si>
  <si>
    <t xml:space="preserve">Дезинфекциялық-стерилизациялық жабдықты бактериологиялық бақылау</t>
  </si>
  <si>
    <t xml:space="preserve">бактериологиялық бақылау (тест-өсіріндіні пайдалану)</t>
  </si>
  <si>
    <t xml:space="preserve">1.2.</t>
  </si>
  <si>
    <t xml:space="preserve">Санитариялық-химиялық бақылау</t>
  </si>
  <si>
    <t xml:space="preserve">Стерильдеу алдындағы тазарту сапасын бақылау (азопирамдық, фенолфталеиндік сынамалар)</t>
  </si>
  <si>
    <t xml:space="preserve">скрытая кровь и щелочь</t>
  </si>
  <si>
    <t xml:space="preserve">после предстерилизационной очистки медицинских изделий не менее 1 % медицинских изделий каждого наименования (не менее 3 – 5 единиц) ежедневно (цена одной точки на 1 раз)</t>
  </si>
  <si>
    <t xml:space="preserve">Дезинфекциялау құралдарында, ерітінділерде белсенді әсер ететін заттардың концентрациясын анықтау</t>
  </si>
  <si>
    <t xml:space="preserve">определение концентрации активного действующего вещества в рабочих растворах, дезсредств и соответствие концентрации</t>
  </si>
  <si>
    <t xml:space="preserve">1 раз в квартал</t>
  </si>
  <si>
    <t xml:space="preserve">Микроклимат</t>
  </si>
  <si>
    <t xml:space="preserve">температура воздуха, относительная влажность, скорость движения воздуха</t>
  </si>
  <si>
    <t xml:space="preserve">2 раза в год (теплый и холодный периоды)  (цена одной точки на 1 раз)</t>
  </si>
  <si>
    <t xml:space="preserve">Ауа алмасу жиілігі</t>
  </si>
  <si>
    <t xml:space="preserve">жасанды қозғайтын жабдықтау-сору желдеткіші, табиғи желдету</t>
  </si>
  <si>
    <t xml:space="preserve">1) жергілікті сору және жергілікті шығару желдеткіш жүйелері – жылына 1 рет; (бір нүктенің бағасы 1 есе)
2) жалпы алмасу механикалық және табиғи желдету жүйелері-3 жылда 1 рет (бір нүктенің бағасы 1 есе)
</t>
  </si>
  <si>
    <t xml:space="preserve">Жарықтандыру</t>
  </si>
  <si>
    <t xml:space="preserve">жасанды жарық деңгейлері</t>
  </si>
  <si>
    <t xml:space="preserve">Жылына 1 рет (бір нүктенің бағасы 1 есе)</t>
  </si>
  <si>
    <t xml:space="preserve">Жұмыс істеп тұрған жабдықтың, оның ішінде желдеткіш жабдықтың шуы</t>
  </si>
  <si>
    <t xml:space="preserve">дыбыс деңгейлері, октавалық жолақтардағы дыбыстық қысым және басқа нормаланған көрсеткіштер</t>
  </si>
  <si>
    <t xml:space="preserve">Иондамайтын сәулелену көздерін, электромагниттік сәулеленуді бақылау</t>
  </si>
  <si>
    <t xml:space="preserve">ЭП 50 Гц, УВЧ, СВЧ, УК, магнит өрісі</t>
  </si>
  <si>
    <t xml:space="preserve">Жабық үй-жайлардың ауасы</t>
  </si>
  <si>
    <t xml:space="preserve">сынап, көміртегі тотығы, озон, азот оксидтері, қорғасын, аммиак, күкіртсутек буы</t>
  </si>
  <si>
    <t xml:space="preserve">1.3.</t>
  </si>
  <si>
    <t xml:space="preserve">Суды зерттеу</t>
  </si>
  <si>
    <t xml:space="preserve">Бактериологиялық және санитарлық-химиялық көрсеткіштерге су</t>
  </si>
  <si>
    <t xml:space="preserve">органолептикалық, физика-химиялық және бактериологиялық көрсеткіштер бойынша ауыз судың сапасы</t>
  </si>
  <si>
    <t xml:space="preserve">пайдалану басталғанға дейін, ішкі су құбыры желісіне жөндеу жүргізілгеннен кейін, авариялық жағдайлардан кейін</t>
  </si>
  <si>
    <t xml:space="preserve">1.4.</t>
  </si>
  <si>
    <t xml:space="preserve">Радиациялық бақылау</t>
  </si>
  <si>
    <t xml:space="preserve">А тобы персоналын жеке дозиметриялық бақылау</t>
  </si>
  <si>
    <t xml:space="preserve">радиация деңгейі</t>
  </si>
  <si>
    <t xml:space="preserve">Тоқсанына 1 рет жеке дозиметрлерді бақылау (бір нүктенің бағасы 1 есе)</t>
  </si>
  <si>
    <t xml:space="preserve">Персоналдың жұмыс орындарында, емшара жасау бөлмелерімен іргелес үй-жайларда және аумақта рентгендік сәулелену дозасының қуатын бақылау</t>
  </si>
  <si>
    <t xml:space="preserve">2 жылда 1 реттен сиретпей (бір нүктенің бағасы 1 рет)</t>
  </si>
  <si>
    <t xml:space="preserve">Лаборатория профилактической медицины, гигиены и эпидемиологии </t>
  </si>
  <si>
    <t xml:space="preserve">24.1</t>
  </si>
  <si>
    <t xml:space="preserve">Атмосфералық ауаның сапасы мен халықтың денсаулық жағдайы арасындағы себеп-салдарлық байланыстарды белгілеу:</t>
  </si>
  <si>
    <t xml:space="preserve">24.1.1</t>
  </si>
  <si>
    <t xml:space="preserve">Атмосфералық ауа. Атмосфералық ауаның ластануы бойынша деректерді жинау, статистикалық өңдеу және талдау</t>
  </si>
  <si>
    <t xml:space="preserve">24.1.2</t>
  </si>
  <si>
    <t xml:space="preserve">Канцерогенді және канцерогенді емес әсерлер қаупінің сипаттамасы</t>
  </si>
  <si>
    <t xml:space="preserve">24.1.3</t>
  </si>
  <si>
    <t xml:space="preserve">Сырқаттанушылық. Аурудың жас топтары мен кластары бойынша халықтың бастапқы сырқаттануы туралы деректерді статистикалық өңдеу және талдау</t>
  </si>
  <si>
    <t xml:space="preserve">24.1.4</t>
  </si>
  <si>
    <t xml:space="preserve">Корреляциялық талдау жүргізу</t>
  </si>
  <si>
    <t xml:space="preserve">24.1.5</t>
  </si>
  <si>
    <t xml:space="preserve">Регрессиялық талдау жүргізу</t>
  </si>
  <si>
    <t xml:space="preserve">24.1.6</t>
  </si>
  <si>
    <t xml:space="preserve">Трендтік болжамды бағалау жүргізу</t>
  </si>
  <si>
    <t xml:space="preserve">24.1.7</t>
  </si>
  <si>
    <t xml:space="preserve">Есепті ресімдеу</t>
  </si>
  <si>
    <t xml:space="preserve">24.2</t>
  </si>
  <si>
    <t xml:space="preserve">Атмосфералық ауаның химиялық факторларының әсерінен халықтың денсаулығы үшін қауіпті бағалау</t>
  </si>
  <si>
    <t xml:space="preserve">24.2.1</t>
  </si>
  <si>
    <t xml:space="preserve">Атмосфералық ауаның ластануынан қауіпті идентификациялау - 10 ингредиентке дейін</t>
  </si>
  <si>
    <t xml:space="preserve">24.2.2</t>
  </si>
  <si>
    <t xml:space="preserve">Атмосфералық ауаның ластануынан болатын қауіпті идентификациялау - 10-нан астам ингредиент</t>
  </si>
  <si>
    <t xml:space="preserve">24.2.3</t>
  </si>
  <si>
    <t xml:space="preserve">Зиянды заттардың ингаляциялық әсерінен экспозицияны бағалау</t>
  </si>
  <si>
    <t xml:space="preserve">24.2.4</t>
  </si>
  <si>
    <t xml:space="preserve">Концентрация "тәуелділігін бағалау" - жедел әсер ету кезінде "атмосфералық ауаның ластануының әсері" </t>
  </si>
  <si>
    <t xml:space="preserve">24.2.5</t>
  </si>
  <si>
    <t xml:space="preserve">Доза/концентрация "тәуелділігін бағалау" - созылмалы әсер ету кезінде "атмосфералық ауаның ластануының әсері" </t>
  </si>
  <si>
    <t xml:space="preserve">24.2.6</t>
  </si>
  <si>
    <t xml:space="preserve">Канцерогенді емес қауіптің сипаттамасы</t>
  </si>
  <si>
    <t xml:space="preserve">24.2.7</t>
  </si>
  <si>
    <t xml:space="preserve">Канцерогенді қауіптің сипаттамасы</t>
  </si>
  <si>
    <t xml:space="preserve">24.2.8</t>
  </si>
  <si>
    <t xml:space="preserve">24.3</t>
  </si>
  <si>
    <t xml:space="preserve">Ауыз судың ластануынан халықтың денсаулығы үшін қауіпті бағалау</t>
  </si>
  <si>
    <t xml:space="preserve">24.3.1</t>
  </si>
  <si>
    <t xml:space="preserve">Ауыз сумен ластаушы заттардың ауыздан түсуі кезіндегі қауіпті идентификациялау</t>
  </si>
  <si>
    <t xml:space="preserve">24.3.2</t>
  </si>
  <si>
    <t xml:space="preserve">Ауыз сумен ластаушы заттардың ауыздан түсуі кезіндегі экспозицияны бағалау</t>
  </si>
  <si>
    <t xml:space="preserve">24.3.3</t>
  </si>
  <si>
    <t xml:space="preserve">Доза - эффект тәуелділігін бағалау ауыз сумен ластаушы заттарды ауыздан қабылдау кезінде</t>
  </si>
  <si>
    <t xml:space="preserve">24.3.4</t>
  </si>
  <si>
    <t xml:space="preserve">Қауіптілігі 1 және 2-сыныптағы өнеркәсіптік кәсіпорындар үшін санитариялық-қорғау аймағы (СҚА) жобасында ұсынылатын денсаулыққа төнетін қауіптерді бағалау материалдарына ғылыми сараптама жүргізу</t>
  </si>
  <si>
    <t xml:space="preserve">24.3.5</t>
  </si>
  <si>
    <t xml:space="preserve">24.3.6</t>
  </si>
  <si>
    <t xml:space="preserve">24.3.7</t>
  </si>
  <si>
    <t xml:space="preserve">24.4</t>
  </si>
  <si>
    <t xml:space="preserve">ҚР өнеркәсіптік өңірлеріндегі халық денсаулығының жай-күйін талдау</t>
  </si>
  <si>
    <t xml:space="preserve">24.4.1</t>
  </si>
  <si>
    <t xml:space="preserve">Зерттелетін аймақтағы медициналық-демографиялық жағдай туралы деректерді жинау, статистикалық өңдеу және талдау</t>
  </si>
  <si>
    <t xml:space="preserve">24.4.2</t>
  </si>
  <si>
    <t xml:space="preserve">Зерттелетін аймақтағы халықтың бастапқы сырқаттанушылығы туралы деректерді жинау, статистикалық өңдеу және талдау</t>
  </si>
  <si>
    <t xml:space="preserve">24.4.3</t>
  </si>
  <si>
    <t xml:space="preserve">Зерттелетін аймақтағы денсаулық жағдайын талдау</t>
  </si>
  <si>
    <t xml:space="preserve">24.4.4</t>
  </si>
  <si>
    <t xml:space="preserve">Зерттелетін аймақтағы аймақтағы санитариялық-эпидемиологиялық жағдайды бағалау</t>
  </si>
  <si>
    <t xml:space="preserve">24.4.5</t>
  </si>
  <si>
    <t xml:space="preserve">24.5</t>
  </si>
  <si>
    <t xml:space="preserve">Сараптама</t>
  </si>
  <si>
    <t xml:space="preserve">25.5.1</t>
  </si>
  <si>
    <t xml:space="preserve">Қауіптілігі I және II сыныптағы объектілердің санитариялық-қорғау аймағының мөлшерлерін негіздеу жобасының сараптамасы</t>
  </si>
  <si>
    <t xml:space="preserve">25.5.2</t>
  </si>
  <si>
    <t xml:space="preserve">Сараптама анықтамасын дайындау</t>
  </si>
  <si>
    <t xml:space="preserve">25</t>
  </si>
  <si>
    <t xml:space="preserve">Иммунология және вакцинология зертханасы</t>
  </si>
  <si>
    <t xml:space="preserve">25.1</t>
  </si>
  <si>
    <t xml:space="preserve">КСА бруцеллезді ерекшелігін анықтау (Brucella melitensis)</t>
  </si>
  <si>
    <t xml:space="preserve">25.2</t>
  </si>
  <si>
    <t xml:space="preserve">КСА бруцеллезді ерекшелігін анықтау (Brucella abortus)</t>
  </si>
  <si>
    <t xml:space="preserve">25.3</t>
  </si>
  <si>
    <t xml:space="preserve">Іш сүзегіне декреттелген контингентті тексеру (РПГА ви-гемагглютинациясы)</t>
  </si>
  <si>
    <t xml:space="preserve">25.4</t>
  </si>
  <si>
    <t xml:space="preserve">А паратифіне декреттелген контингентті тексеру (РПГА)</t>
  </si>
  <si>
    <t xml:space="preserve">25.5</t>
  </si>
  <si>
    <t xml:space="preserve">В паратифіне декреттелген контингентті тексеру (РПГА)</t>
  </si>
  <si>
    <r>
      <rPr>
        <b val="true"/>
        <u val="single"/>
        <sz val="11"/>
        <rFont val="Times New Roman"/>
        <family val="1"/>
        <charset val="204"/>
      </rPr>
      <t xml:space="preserve">Ескертпе</t>
    </r>
    <r>
      <rPr>
        <u val="single"/>
        <sz val="11"/>
        <rFont val="Times New Roman"/>
        <family val="1"/>
        <charset val="204"/>
      </rPr>
      <t xml:space="preserve">: </t>
    </r>
  </si>
  <si>
    <t xml:space="preserve">1.Ақылы медициналық қызмет көрсету басқа қаланың тұрғындары үшін,  қала тұрғындары мен шетел азаматтары үшін тегін медициналық көмектің кепілдік берілген көлемінен тыс қалауы бойынша көзделген.</t>
  </si>
  <si>
    <t xml:space="preserve">2. Ақылы қызметтер көрсету үшін Алматы қаласынан тыс жерлерге шығатын мамандардың іссапар шығыстарын өтеу қызметтердің құнына кірмейді және "Бюджет қаражаты есебінен қызметтік іссапарларға, оның ішінде шет мемлекеттерге қызметтік іссапарларға арналған шығыстарды өтеу қағидаларын бекіту туралы" Қазақстан Республикасы Үкіметінің 2018 жылғы 11 мамырдағы № 256 қаулысына сәйкес шақырушы тараптың есебінен төленеді.</t>
  </si>
  <si>
    <t xml:space="preserve">3.  Шұғыл шаруа үшін қосымша ақы көзделген. Құны қызметтердің жалпы құнының 30% құрайды.</t>
  </si>
  <si>
    <t xml:space="preserve">4. Заңды тұлғалар үшін көзделген жеңілдіктер олардың өтініші (хаты) бойынша Филиал әкімшілігінің қарауына 5-тен 20% - ға дейін қаралуы мүмкін.</t>
  </si>
  <si>
    <t xml:space="preserve">5.50% жеңілдікті жоғары оқу орындарының және күндізгі бөлімнің колледждерінің студенттері, жалғызбасты аналар, жасына байланысты зейнеткерлер, еңбек ардагерлері, "ҚДСҰО" ШЖҚ РМК қызметкерлері пайдалана алады.</t>
  </si>
  <si>
    <t xml:space="preserve">6. ҰОС қатысушыларына теңестірілген адамдар, ата - анасының қамқорлығынсыз қалған, сәбилер үйлерінде және балалар үйлерінде, балалар-жасөспірімдер ауылдарында тұратын жетім балалар, көп балалы аналар, 2 жасқа дейінгі балалар (бактериозға зерттеу), еңбек мүгедектері, ауруға шалдыққан мүгедектер, ауыр науқас балалар (лейкоз, онкология және т.б.), Кәсіпорынның онконауқаст (стационарға ресімдеу кезінде, қарттар үйіне ресімдеу кезінде) жұмыскерлері,  ЧАЭС -тегі аварияларды жоюға қатысушылар, ССЯП-тан зардап шегушілер тегін пайдалана алады.</t>
  </si>
  <si>
    <t xml:space="preserve">Атқарушы директор</t>
  </si>
  <si>
    <t xml:space="preserve">Аманбаева А.М.</t>
  </si>
  <si>
    <t xml:space="preserve">ЭҚД директоры</t>
  </si>
  <si>
    <t xml:space="preserve">Дюсенова С.К.</t>
  </si>
  <si>
    <t xml:space="preserve">ЭТжЖБ басшысы</t>
  </si>
  <si>
    <t xml:space="preserve">Капанова А.М.</t>
  </si>
  <si>
    <t xml:space="preserve">2- қосымша</t>
  </si>
  <si>
    <t xml:space="preserve">тауарларға арналған баға прескуранты</t>
  </si>
  <si>
    <t xml:space="preserve">Атауы </t>
  </si>
  <si>
    <t xml:space="preserve">Рентабельділікті (пайданы) ескере отырып, өнімнің жаңа бағасы, теңгемен</t>
  </si>
  <si>
    <t xml:space="preserve">Brucella melitensis антигендеріне рецепторлары бар жасушаларды анықтау бойынша бруцеллезді диагностикалауға арналған реагенттер жинағы                                                               </t>
  </si>
  <si>
    <t xml:space="preserve">жиынтық</t>
  </si>
  <si>
    <t xml:space="preserve"> Brucella abortus антигендеріне рецепторлары бар жасушаларды анықтау бойынша бруцеллезді диагностикалауға арналған реагенттер жинағы</t>
  </si>
  <si>
    <t xml:space="preserve">Сальмонеллездік ви-антигендік эритроциттік сұйық диагностикум</t>
  </si>
  <si>
    <t xml:space="preserve">А тобындағы сальмонеллездік О-антигендік эритроциттік  сұйық диагностикум;                                                   </t>
  </si>
  <si>
    <t xml:space="preserve">В тобындағы сальмонеллездік О-антигендік эритроциттік  сұйық диагностикум;</t>
  </si>
  <si>
    <t xml:space="preserve"> С₁ тобындағы сальмонеллездік О-антигендік эритроциттік  сұйық диагностикум;     </t>
  </si>
  <si>
    <t xml:space="preserve"> С₂ тобындағы сальмонеллездік О-антигендік эритроциттік  сұйық диагностикум;</t>
  </si>
  <si>
    <t xml:space="preserve">D тобындағы сальмонеллездік О-антигендік эритроциттік  сұйық диагностикум;</t>
  </si>
  <si>
    <t xml:space="preserve">Е  тобындағы сальмонеллездік О-антигендік эритроциттік  диагностикум</t>
  </si>
  <si>
    <t xml:space="preserve">Сводные данные для анализа проекта цен на услуги (продукции) оказываемые на платной основе</t>
  </si>
  <si>
    <t xml:space="preserve">РГП на ПХВ "Национальный центр общественного здравоохранения"  МЗ РК
</t>
  </si>
  <si>
    <t xml:space="preserve">№ п/п</t>
  </si>
  <si>
    <t xml:space="preserve">Наименование услуг (продукции)</t>
  </si>
  <si>
    <t xml:space="preserve">Прямые затраты</t>
  </si>
  <si>
    <t xml:space="preserve">Накладные расходы</t>
  </si>
  <si>
    <t xml:space="preserve">Рентабельность (прибыль)</t>
  </si>
  <si>
    <t xml:space="preserve">Цена услуги (продукции) с учетом рентабельности (прибыли)</t>
  </si>
  <si>
    <t xml:space="preserve">Фактически за предыдущий период (квартал)</t>
  </si>
  <si>
    <t xml:space="preserve">Фактически за отчетный период (квартал)</t>
  </si>
  <si>
    <t xml:space="preserve">Проектируемые данные для расчета цены</t>
  </si>
  <si>
    <t xml:space="preserve">Референс-лаборатория по контролю  химических веществ и остаточных количеств пестицидов в объектах окружающей среды</t>
  </si>
  <si>
    <t xml:space="preserve">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t>
  </si>
  <si>
    <t xml:space="preserve">Определение запаха</t>
  </si>
  <si>
    <t xml:space="preserve">Определение привкуса</t>
  </si>
  <si>
    <t xml:space="preserve">Определение цветности</t>
  </si>
  <si>
    <t xml:space="preserve">Определения мутности </t>
  </si>
  <si>
    <t xml:space="preserve">Определение водородного показателя рН </t>
  </si>
  <si>
    <t xml:space="preserve">Определение общей минерализаци (сухой остаток)</t>
  </si>
  <si>
    <t xml:space="preserve">Определение перманганатной окисляемости </t>
  </si>
  <si>
    <t xml:space="preserve">Определение плавающих веществ</t>
  </si>
  <si>
    <t xml:space="preserve">Определение взвешенных веществ</t>
  </si>
  <si>
    <t xml:space="preserve">Определение общей щелочности</t>
  </si>
  <si>
    <t xml:space="preserve">Определение общей жесткости </t>
  </si>
  <si>
    <t xml:space="preserve">Определение хлоридов </t>
  </si>
  <si>
    <t xml:space="preserve">Определение нитратов</t>
  </si>
  <si>
    <t xml:space="preserve">Определение нитритов</t>
  </si>
  <si>
    <t xml:space="preserve">Определение азота аммиака </t>
  </si>
  <si>
    <t xml:space="preserve">Определение сульфатов</t>
  </si>
  <si>
    <t xml:space="preserve">Определение фтора</t>
  </si>
  <si>
    <t xml:space="preserve">Определение калий и натрий</t>
  </si>
  <si>
    <t xml:space="preserve">Определение кальция</t>
  </si>
  <si>
    <t xml:space="preserve">Определение магния</t>
  </si>
  <si>
    <t xml:space="preserve">Определение гидрокарбоната</t>
  </si>
  <si>
    <t xml:space="preserve">Определение активного хлора</t>
  </si>
  <si>
    <t xml:space="preserve">Определение остаточного хлора при хлорировании </t>
  </si>
  <si>
    <t xml:space="preserve">Определение остаточного свободного хлора </t>
  </si>
  <si>
    <t xml:space="preserve">Определение остаточного связанного хлора</t>
  </si>
  <si>
    <t xml:space="preserve">Определение остаточного озона при озонировании</t>
  </si>
  <si>
    <t xml:space="preserve">Определение растворенного кислорода</t>
  </si>
  <si>
    <t xml:space="preserve">Определение химического потребления кислорода (ХПК)</t>
  </si>
  <si>
    <t xml:space="preserve">Определение биохимического потребления кислорода (БПК 5)</t>
  </si>
  <si>
    <t xml:space="preserve">Определение биохимического потребления кислорода (БПК 20)</t>
  </si>
  <si>
    <t xml:space="preserve">Определение содержания концентрации анионных поверхностно -активных веществ (СПАВ) </t>
  </si>
  <si>
    <t xml:space="preserve">Определение алюминия</t>
  </si>
  <si>
    <t xml:space="preserve">Определение бора</t>
  </si>
  <si>
    <t xml:space="preserve">Определение бенз(а)пирена</t>
  </si>
  <si>
    <t xml:space="preserve">Определение железо</t>
  </si>
  <si>
    <t xml:space="preserve">Определение хрома </t>
  </si>
  <si>
    <t xml:space="preserve">Определение свинца (вольтамперометрический)</t>
  </si>
  <si>
    <t xml:space="preserve">Определение свинца (атомно-абсорбционный)</t>
  </si>
  <si>
    <t xml:space="preserve">Определение кадмия (вольтамперометрический)</t>
  </si>
  <si>
    <t xml:space="preserve">Определение кадмия (атомно-абсорбционный)</t>
  </si>
  <si>
    <t xml:space="preserve">Определение цинка (вольтамперометрический)</t>
  </si>
  <si>
    <t xml:space="preserve">Определение цинка (атомно-абсорбционный)</t>
  </si>
  <si>
    <t xml:space="preserve">Определение меди (вольтамперометрический)</t>
  </si>
  <si>
    <t xml:space="preserve">Определение меди (атомно-абсорбционный)</t>
  </si>
  <si>
    <t xml:space="preserve">Определение мышьяка (вольтамперометрический)</t>
  </si>
  <si>
    <t xml:space="preserve">Определение мышьяка  (атомно-абсорбционный)</t>
  </si>
  <si>
    <t xml:space="preserve">Определение ртути (вольтамперометрический)</t>
  </si>
  <si>
    <t xml:space="preserve">Определение ртути (атомно-абсорбционный)</t>
  </si>
  <si>
    <t xml:space="preserve">Определение марганца (фотометрический)</t>
  </si>
  <si>
    <t xml:space="preserve">Определение марганца (атомно-абсорбционный)</t>
  </si>
  <si>
    <t xml:space="preserve">Определение кобальта  </t>
  </si>
  <si>
    <t xml:space="preserve">Определение молибдена</t>
  </si>
  <si>
    <t xml:space="preserve">Определение никеля</t>
  </si>
  <si>
    <t xml:space="preserve">Определение фенола (флуориметрический)</t>
  </si>
  <si>
    <t xml:space="preserve">Определение фенола (газохроматографический)</t>
  </si>
  <si>
    <t xml:space="preserve">Определение сероводорода</t>
  </si>
  <si>
    <t xml:space="preserve">Определение полифосфатов</t>
  </si>
  <si>
    <t xml:space="preserve">Определение селена</t>
  </si>
  <si>
    <t xml:space="preserve">Определение нефтепродуктов </t>
  </si>
  <si>
    <t xml:space="preserve">Определение органического углерода</t>
  </si>
  <si>
    <t xml:space="preserve">Определение калия</t>
  </si>
  <si>
    <t xml:space="preserve">Определение натрия</t>
  </si>
  <si>
    <t xml:space="preserve">отбор проб воды</t>
  </si>
  <si>
    <t xml:space="preserve">Определение удельной электрической проводимости</t>
  </si>
  <si>
    <t xml:space="preserve">Определение бария</t>
  </si>
  <si>
    <t xml:space="preserve">Определение висмута</t>
  </si>
  <si>
    <t xml:space="preserve">Определение ваннадия</t>
  </si>
  <si>
    <t xml:space="preserve">Определение стронция</t>
  </si>
  <si>
    <t xml:space="preserve">Определение берилия</t>
  </si>
  <si>
    <t xml:space="preserve">Воды питьевые, минеральные природные и искусственно-минерализованные воды, расфасованные в емкости </t>
  </si>
  <si>
    <t xml:space="preserve">Определение запаха </t>
  </si>
  <si>
    <t xml:space="preserve">Определение привкуса </t>
  </si>
  <si>
    <t xml:space="preserve">Определение щелочности</t>
  </si>
  <si>
    <t xml:space="preserve">Определение жесткости</t>
  </si>
  <si>
    <t xml:space="preserve">Определение сульфата</t>
  </si>
  <si>
    <t xml:space="preserve"> Определение остаточного связного хлора </t>
  </si>
  <si>
    <t xml:space="preserve">Определение кислорода</t>
  </si>
  <si>
    <t xml:space="preserve">Определение хрома</t>
  </si>
  <si>
    <t xml:space="preserve">Определение нефтепродуктов</t>
  </si>
  <si>
    <t xml:space="preserve">Определение йода</t>
  </si>
  <si>
    <t xml:space="preserve">Определение двуокись углерода</t>
  </si>
  <si>
    <t xml:space="preserve">ПОЧВА</t>
  </si>
  <si>
    <t xml:space="preserve">Определение влажности</t>
  </si>
  <si>
    <t xml:space="preserve">Определение водородного показателя</t>
  </si>
  <si>
    <t xml:space="preserve">Определение плотного остатка</t>
  </si>
  <si>
    <t xml:space="preserve">Определение органического вещества</t>
  </si>
  <si>
    <t xml:space="preserve">Определение обменного аммония </t>
  </si>
  <si>
    <t xml:space="preserve">Определение азота</t>
  </si>
  <si>
    <t xml:space="preserve">Определение карбоната и бикарбоната</t>
  </si>
  <si>
    <t xml:space="preserve">Определение кальций и магний</t>
  </si>
  <si>
    <t xml:space="preserve">Определение хлорида</t>
  </si>
  <si>
    <t xml:space="preserve">Определение фосфора</t>
  </si>
  <si>
    <t xml:space="preserve">Определение марганца, никеля, кобальта, железа, селена, ртути, мышьяка</t>
  </si>
  <si>
    <t xml:space="preserve">Определение свинца, кадмия, цинка и меди (вольтамперометрический)</t>
  </si>
  <si>
    <t xml:space="preserve">Определение свинца, кадмия, цинка и меди                                 (атомно-абсорбционный)</t>
  </si>
  <si>
    <t xml:space="preserve">приготовление вытяжки для определения валового содержания цинка, кадмия, свинца, меди, марганца, никеля, кобальта, железа, мышьяка, селена, ртути в почве</t>
  </si>
  <si>
    <t xml:space="preserve">приготовления солевой вытяжки из почв</t>
  </si>
  <si>
    <t xml:space="preserve">отбор проб почвы (выезд)</t>
  </si>
  <si>
    <t xml:space="preserve">4. Дезинфицирующие средства. (Хлорсодержащие, спиртосодержащие, таблетированные, порошкообразные, гранулированные, жидкие, гели, желеобразные, суспензии, пасты; готовые формы – салфетки, пропитанные дезинфицирующим раствором на основе хлора, кожные антисептики, салфетки пропитанные спиртами.)</t>
  </si>
  <si>
    <t xml:space="preserve">Определение внешнего вида</t>
  </si>
  <si>
    <t xml:space="preserve">Определение цвета</t>
  </si>
  <si>
    <t xml:space="preserve">Определение показателя активности водородных ионов (pH)</t>
  </si>
  <si>
    <t xml:space="preserve">Определение плотности</t>
  </si>
  <si>
    <t xml:space="preserve">Определение преломления</t>
  </si>
  <si>
    <t xml:space="preserve">Определение средней массы таблеток</t>
  </si>
  <si>
    <t xml:space="preserve">Определение коэффициент пропитки салфеток</t>
  </si>
  <si>
    <t xml:space="preserve">Определение массовой доли активного хлора (содержащие трихлоризо-циануровую или дихлоризоциануровую кислоты и их соли) ДХЦК, ТХЦК</t>
  </si>
  <si>
    <t xml:space="preserve">Определение массовой доли активного хлора (таблетки, гранулы, гипохлорит кальция, хлорная известь)</t>
  </si>
  <si>
    <t xml:space="preserve">Определение активного хлора (гипохлорит натрия, водные растворы, рабочие растворы)</t>
  </si>
  <si>
    <t xml:space="preserve">Определение массовой доли перекиси водорода</t>
  </si>
  <si>
    <t xml:space="preserve">Определение массовой доли надуксусной кислоты</t>
  </si>
  <si>
    <t xml:space="preserve">Определение массовой доли глутарового альдегида</t>
  </si>
  <si>
    <t xml:space="preserve">Определение массовой доли глиоксаля</t>
  </si>
  <si>
    <t xml:space="preserve">Определение массовой доли ортофталевого альдигида</t>
  </si>
  <si>
    <t xml:space="preserve">Определение массовой доли гидроокись натрия (NaOH)</t>
  </si>
  <si>
    <t xml:space="preserve">Определение массовой доли четвертичных аммониевых соединения (ЧАС) </t>
  </si>
  <si>
    <t xml:space="preserve">Определение массовой доли алкилдиметил-бензиламмоний хлорида</t>
  </si>
  <si>
    <t xml:space="preserve">Определение массовой доли полигексаметиленгуанидин гидрохлорида (ПГМГ) </t>
  </si>
  <si>
    <t xml:space="preserve">Определение массовой доли N,N-бис (3-аминопропил) додециламина</t>
  </si>
  <si>
    <t xml:space="preserve">Определение массовой доли этилового спирта (хроматографическим методом)</t>
  </si>
  <si>
    <t xml:space="preserve">Определение массовой доли изопропилового спирта пропанол-1, пропанол-2 (хроматографическим методом)</t>
  </si>
  <si>
    <t xml:space="preserve">Определение массовой доли н-пропилового спирта (хроматографическим методом)</t>
  </si>
  <si>
    <t xml:space="preserve">Определение массовой доли 2-феноксиэтанола (хроматографическим методом)</t>
  </si>
  <si>
    <t xml:space="preserve">Определение массовой доли феноксипропанола (хроматографическим методом)</t>
  </si>
  <si>
    <t xml:space="preserve">Определение массовой доли активно действующего вещества в дезинфицирующих средствах (ДВ химическим методом)</t>
  </si>
  <si>
    <t xml:space="preserve">Определение массовой доли активно действующего вещества в дезинфицирующем средстве  (ДВ газохроматографическим и высокоэффективным жидкостным хроматографическим методом) </t>
  </si>
  <si>
    <t xml:space="preserve">Отбор проб дезинфицирующего средства (1 проба, выезд специалиста лабораторий)</t>
  </si>
  <si>
    <t xml:space="preserve">Оформление и выдача протокол испытаний по санитарно-химическим показателям (со знаком ILAC )</t>
  </si>
  <si>
    <t xml:space="preserve">Мясо и мясопродукты: птица, яйца, и продукты их переработки, консервы из мяса и мяса птицы</t>
  </si>
  <si>
    <t xml:space="preserve"> Определение органолептических показателей</t>
  </si>
  <si>
    <t xml:space="preserve">Определение посторонних примесей</t>
  </si>
  <si>
    <t xml:space="preserve">Определение водородного  показателя</t>
  </si>
  <si>
    <t xml:space="preserve">Определение влаги арбитражным методом</t>
  </si>
  <si>
    <t xml:space="preserve">Определение поваренной соли</t>
  </si>
  <si>
    <t xml:space="preserve">Определение нитрита натрия </t>
  </si>
  <si>
    <t xml:space="preserve">Определение крахмала (при применении) </t>
  </si>
  <si>
    <t xml:space="preserve">Определение белка в пищевых продуктах </t>
  </si>
  <si>
    <t xml:space="preserve">Определение зольных веществ </t>
  </si>
  <si>
    <t xml:space="preserve">Определение массовой доли жира ( по Герберу)</t>
  </si>
  <si>
    <t xml:space="preserve">Определение массовой доли жира (по Сокслету)</t>
  </si>
  <si>
    <t xml:space="preserve">Определение общего фосфора ( по показаниям) </t>
  </si>
  <si>
    <t xml:space="preserve">Определение остаточной  активности кислой фосфатазы (по показаниям) </t>
  </si>
  <si>
    <t xml:space="preserve">Определение кислотного числа  в мясе птицы </t>
  </si>
  <si>
    <t xml:space="preserve">Определение перекисного числа в мясе птицы </t>
  </si>
  <si>
    <t xml:space="preserve">Определение свинца ААС</t>
  </si>
  <si>
    <t xml:space="preserve">Определение свинца методом ИВ</t>
  </si>
  <si>
    <t xml:space="preserve">Определение кадмияААС</t>
  </si>
  <si>
    <t xml:space="preserve">Определение кадмия методом ИВ</t>
  </si>
  <si>
    <t xml:space="preserve">Определение меди (для консервов)ААС</t>
  </si>
  <si>
    <t xml:space="preserve">Определение меди (для консервов) методом ИВ</t>
  </si>
  <si>
    <t xml:space="preserve">Определение цинка (для консервов) ААС</t>
  </si>
  <si>
    <t xml:space="preserve">Определение цинка (для консервов) методом ИВ</t>
  </si>
  <si>
    <t xml:space="preserve">Определение мышьяка ААС</t>
  </si>
  <si>
    <t xml:space="preserve">Определение мышьяка методом ИВ</t>
  </si>
  <si>
    <t xml:space="preserve">Определение ртути ( по показаниям)ААС</t>
  </si>
  <si>
    <t xml:space="preserve">Определение ртути ( по показаниям)  методом ИВ</t>
  </si>
  <si>
    <t xml:space="preserve">Определение олова (для консервов в сборной жестяной таре)</t>
  </si>
  <si>
    <t xml:space="preserve">Определение хрома (для консервов в сборной хромированной таре) </t>
  </si>
  <si>
    <t xml:space="preserve">Определение нитрозаминов для копченых продуктов и консервов с добавлением нитрата натрия </t>
  </si>
  <si>
    <t xml:space="preserve">Определение бенз(а)пирина для копченых продуктов </t>
  </si>
  <si>
    <t xml:space="preserve">Определение  левомецетиновой  группы</t>
  </si>
  <si>
    <t xml:space="preserve">Определение  тетрациклиновой  группы</t>
  </si>
  <si>
    <t xml:space="preserve">Определение массовой доли хлеба</t>
  </si>
  <si>
    <t xml:space="preserve">Молоко и молочные продукты, молочные консервы</t>
  </si>
  <si>
    <t xml:space="preserve"> Определение пастеризации </t>
  </si>
  <si>
    <t xml:space="preserve"> Определение кислотности</t>
  </si>
  <si>
    <t xml:space="preserve"> Определение плотности  (ареометром):</t>
  </si>
  <si>
    <t xml:space="preserve"> Определение плотности на рефрактометре</t>
  </si>
  <si>
    <t xml:space="preserve"> Определение фурозина</t>
  </si>
  <si>
    <t xml:space="preserve"> Определение соды</t>
  </si>
  <si>
    <t xml:space="preserve"> Определение аммиака</t>
  </si>
  <si>
    <t xml:space="preserve"> Определение нитратов и нитритов </t>
  </si>
  <si>
    <t xml:space="preserve"> Определение влаги</t>
  </si>
  <si>
    <t xml:space="preserve"> Определение влаги арбитражным методом, СОМО .</t>
  </si>
  <si>
    <t xml:space="preserve"> Определение сахара (фотометрическим методом)</t>
  </si>
  <si>
    <t xml:space="preserve"> Определение сахара (титрометрическим методом)</t>
  </si>
  <si>
    <t xml:space="preserve"> Определение перекиси водорода </t>
  </si>
  <si>
    <t xml:space="preserve"> Определение жира ( по Герберу)</t>
  </si>
  <si>
    <t xml:space="preserve"> Определение жира (по Сокслету)</t>
  </si>
  <si>
    <t xml:space="preserve"> Определение кислотного числа жира </t>
  </si>
  <si>
    <t xml:space="preserve"> Определение активности фосфатазы </t>
  </si>
  <si>
    <t xml:space="preserve"> Определение массовой доли сахарозы </t>
  </si>
  <si>
    <t xml:space="preserve"> Определение сухих веществ</t>
  </si>
  <si>
    <t xml:space="preserve"> Определение кадмия  (ИВ)</t>
  </si>
  <si>
    <t xml:space="preserve"> Определение кадмия  (ААС)</t>
  </si>
  <si>
    <t xml:space="preserve"> Определение свинца (ААС)</t>
  </si>
  <si>
    <t xml:space="preserve"> Определение свинца (ИВ)</t>
  </si>
  <si>
    <t xml:space="preserve"> Определение олова (для консервов в сборной жестяной таре) </t>
  </si>
  <si>
    <t xml:space="preserve"> Определение хрома (для консервов в сборной хромированной таре) </t>
  </si>
  <si>
    <t xml:space="preserve"> Определение мышьяка (ААС)</t>
  </si>
  <si>
    <t xml:space="preserve"> Определение мышьяка (ИВ)</t>
  </si>
  <si>
    <t xml:space="preserve"> Определение ртути (ААС)</t>
  </si>
  <si>
    <t xml:space="preserve"> Определение ртути (СТА)</t>
  </si>
  <si>
    <t xml:space="preserve"> Определение микотоксина (афлатоксин М1) </t>
  </si>
  <si>
    <t xml:space="preserve">Определение антибиотиков в пищевых продуктов методом ВЭЖХ</t>
  </si>
  <si>
    <t xml:space="preserve">Определение витаминов в пищевых продуктах методом ВЭЖХ. </t>
  </si>
  <si>
    <t xml:space="preserve">Определение витаминов в пищевых продуктах колориметрическим методом.</t>
  </si>
  <si>
    <t xml:space="preserve">Жирнокислотный состав</t>
  </si>
  <si>
    <t xml:space="preserve">Степень чистоты</t>
  </si>
  <si>
    <t xml:space="preserve">Стерины</t>
  </si>
  <si>
    <t xml:space="preserve">Йод (при йодировании)</t>
  </si>
  <si>
    <t xml:space="preserve">Натрий хлористый</t>
  </si>
  <si>
    <t xml:space="preserve"> Рыба, нерыбные объекты промысла и продукты, вырабатываемые из них, консервы и пресервы рыбные</t>
  </si>
  <si>
    <t xml:space="preserve"> Определение влаги  ускоренным методом</t>
  </si>
  <si>
    <t xml:space="preserve"> Определение влаги  арбитражным методом</t>
  </si>
  <si>
    <t xml:space="preserve"> Определение кислотности (в перерасчете на яблочную кислоту) </t>
  </si>
  <si>
    <t xml:space="preserve"> Определение олова (для консервов в сборной жестяной таре)</t>
  </si>
  <si>
    <t xml:space="preserve"> Определение гистамина (скумбриевые, тунцовые, сельдевые, лососевые) </t>
  </si>
  <si>
    <t xml:space="preserve"> Определение нитрозаминов </t>
  </si>
  <si>
    <t xml:space="preserve"> Определение бенз(а)пирина для копченых продуктов </t>
  </si>
  <si>
    <t xml:space="preserve">Определение бензойнокислого натрия (по показанию)</t>
  </si>
  <si>
    <t xml:space="preserve">Определение домоевой кислоты</t>
  </si>
  <si>
    <t xml:space="preserve">Определение составных частей</t>
  </si>
  <si>
    <t xml:space="preserve">Определение отстоя к массе рыб</t>
  </si>
  <si>
    <t xml:space="preserve"> Определение белоковых веществ (сырой протеин)</t>
  </si>
  <si>
    <t xml:space="preserve">Зерно (семена) мукомольно-крупяные и хлебобулочные изделия </t>
  </si>
  <si>
    <t xml:space="preserve">Определение металломагнитных и минеральных примесей </t>
  </si>
  <si>
    <t xml:space="preserve">Определение кислотности </t>
  </si>
  <si>
    <t xml:space="preserve">Определение пористости </t>
  </si>
  <si>
    <t xml:space="preserve">Определение массовой доли сахара (фотометрическим методом)</t>
  </si>
  <si>
    <t xml:space="preserve">Определение массовой доли сахара (титрометрическим методом)</t>
  </si>
  <si>
    <t xml:space="preserve">Определение кадмия</t>
  </si>
  <si>
    <t xml:space="preserve">Определение свинца </t>
  </si>
  <si>
    <t xml:space="preserve">Определение мышьяка </t>
  </si>
  <si>
    <t xml:space="preserve">Определение ртути </t>
  </si>
  <si>
    <t xml:space="preserve">Определение микотоксинов афлатоксин В1</t>
  </si>
  <si>
    <t xml:space="preserve">Определение дезоксиниваленола</t>
  </si>
  <si>
    <t xml:space="preserve">Определение Т-2 токсина</t>
  </si>
  <si>
    <t xml:space="preserve">Определение зераленона</t>
  </si>
  <si>
    <t xml:space="preserve">Определение нитрозамина  </t>
  </si>
  <si>
    <t xml:space="preserve">развариваемость</t>
  </si>
  <si>
    <t xml:space="preserve">зольность</t>
  </si>
  <si>
    <t xml:space="preserve">фумонизины В1,В2</t>
  </si>
  <si>
    <t xml:space="preserve">йод (при йодировании)</t>
  </si>
  <si>
    <t xml:space="preserve">сорная примесь</t>
  </si>
  <si>
    <t xml:space="preserve">зараженность вредителями хлебных запасов</t>
  </si>
  <si>
    <t xml:space="preserve">бенз(а)пирен </t>
  </si>
  <si>
    <t xml:space="preserve">олигосахара</t>
  </si>
  <si>
    <t xml:space="preserve">определение клейковины</t>
  </si>
  <si>
    <t xml:space="preserve">Сахар и кондитерские изделия </t>
  </si>
  <si>
    <t xml:space="preserve">Определение кислотности и щелочноси титрометрическим методом:</t>
  </si>
  <si>
    <t xml:space="preserve">Определение сухих веществ</t>
  </si>
  <si>
    <t xml:space="preserve"> Определение сахарозы </t>
  </si>
  <si>
    <t xml:space="preserve">Определение массовой доли сахара  (фотометрическим методом)</t>
  </si>
  <si>
    <t xml:space="preserve"> Определение массовой доли сахара (титрометрическим методом)</t>
  </si>
  <si>
    <t xml:space="preserve"> Определение золы </t>
  </si>
  <si>
    <t xml:space="preserve">Определение редуцирующих веществ </t>
  </si>
  <si>
    <t xml:space="preserve">Определение массовой доли сернистой кислоты </t>
  </si>
  <si>
    <t xml:space="preserve">Определение мышьяка</t>
  </si>
  <si>
    <t xml:space="preserve">Определение афлатоксин В1- для изделий содержащих орехи </t>
  </si>
  <si>
    <t xml:space="preserve">сорбиновая кислота </t>
  </si>
  <si>
    <t xml:space="preserve">намокаемость</t>
  </si>
  <si>
    <t xml:space="preserve">МЕД натуральный</t>
  </si>
  <si>
    <t xml:space="preserve">Определение массовой доли редуцирующих веществ сахара и сахарозы</t>
  </si>
  <si>
    <t xml:space="preserve"> Определение диастазного числа</t>
  </si>
  <si>
    <t xml:space="preserve">Определение механических примесей</t>
  </si>
  <si>
    <t xml:space="preserve">Определение общей кислотности</t>
  </si>
  <si>
    <t xml:space="preserve">Определение оксиметилфурфурола</t>
  </si>
  <si>
    <t xml:space="preserve">Органолептические показатели</t>
  </si>
  <si>
    <t xml:space="preserve">Признаки брожения</t>
  </si>
  <si>
    <t xml:space="preserve">Наличие пыльцевых зерен</t>
  </si>
  <si>
    <t xml:space="preserve">определение массовой доли воды</t>
  </si>
  <si>
    <t xml:space="preserve"> Плодоовощная продукция, консервы овощные, фруктовые, ягодные и грибные</t>
  </si>
  <si>
    <t xml:space="preserve"> Определение титруемой кислотности  </t>
  </si>
  <si>
    <t xml:space="preserve">Определение  массовой доли хлоридов </t>
  </si>
  <si>
    <t xml:space="preserve">Определение  массовой доли сахара (титрометрическим методом)</t>
  </si>
  <si>
    <t xml:space="preserve">Определение  свинца </t>
  </si>
  <si>
    <t xml:space="preserve"> Определение мышьяка </t>
  </si>
  <si>
    <t xml:space="preserve">Определение  ртути</t>
  </si>
  <si>
    <t xml:space="preserve">Определение патулина</t>
  </si>
  <si>
    <t xml:space="preserve">Определение олова (для консервов в сборной жестяной таре) </t>
  </si>
  <si>
    <t xml:space="preserve">Определение хрома (для консервов в сборной хромированной таре)</t>
  </si>
  <si>
    <t xml:space="preserve">сорбиновая и бензонной кислот</t>
  </si>
  <si>
    <t xml:space="preserve">диоксид серы</t>
  </si>
  <si>
    <t xml:space="preserve">Масличные сырье жировые продукты, майонезы </t>
  </si>
  <si>
    <t xml:space="preserve"> Определение массовой доли фосфорсодержащих вещества  </t>
  </si>
  <si>
    <t xml:space="preserve"> Определение  кислотности </t>
  </si>
  <si>
    <t xml:space="preserve"> Определение кислотного числа  </t>
  </si>
  <si>
    <t xml:space="preserve"> Определение  цветного числа  ( по показаниям)</t>
  </si>
  <si>
    <t xml:space="preserve"> Определение массовой доли поваренной соли</t>
  </si>
  <si>
    <t xml:space="preserve"> Определение массовой доли жира ( по Герберу)</t>
  </si>
  <si>
    <t xml:space="preserve"> Определение  йодного числа (по показаниям) </t>
  </si>
  <si>
    <t xml:space="preserve"> Определение перекисного числа </t>
  </si>
  <si>
    <t xml:space="preserve">Определение  меди ( для поставляемых на хранение) </t>
  </si>
  <si>
    <t xml:space="preserve">Определение афлотоксина В1</t>
  </si>
  <si>
    <t xml:space="preserve">Показатель преломления</t>
  </si>
  <si>
    <t xml:space="preserve">Отстой</t>
  </si>
  <si>
    <t xml:space="preserve">Зола</t>
  </si>
  <si>
    <t xml:space="preserve">Прозрачность</t>
  </si>
  <si>
    <t xml:space="preserve">Напитки, алкогольная и безалкогольная продукция </t>
  </si>
  <si>
    <t xml:space="preserve">Определение титруемой кислотности </t>
  </si>
  <si>
    <t xml:space="preserve">Определение сахара фотометрическим методом</t>
  </si>
  <si>
    <t xml:space="preserve">Определение сахара титрометрическим методом</t>
  </si>
  <si>
    <t xml:space="preserve">Определение метилового спирта </t>
  </si>
  <si>
    <t xml:space="preserve">Определение свободной и общей сернистой кислоты </t>
  </si>
  <si>
    <t xml:space="preserve">Определение относительной плотности </t>
  </si>
  <si>
    <t xml:space="preserve">Определение сложных эфиров </t>
  </si>
  <si>
    <t xml:space="preserve">Определение кислотности</t>
  </si>
  <si>
    <t xml:space="preserve">Определение летучих кислот </t>
  </si>
  <si>
    <t xml:space="preserve">Определение крепости </t>
  </si>
  <si>
    <t xml:space="preserve">Определение окисляемости</t>
  </si>
  <si>
    <t xml:space="preserve">Определение сивушных масел </t>
  </si>
  <si>
    <t xml:space="preserve">Определение массовой концентрации общего экстракта </t>
  </si>
  <si>
    <t xml:space="preserve">Определение фурфурола</t>
  </si>
  <si>
    <t xml:space="preserve">Определение альдегидов </t>
  </si>
  <si>
    <t xml:space="preserve">Определение цветности </t>
  </si>
  <si>
    <t xml:space="preserve">Определение сухих веществ </t>
  </si>
  <si>
    <t xml:space="preserve">Определение меди </t>
  </si>
  <si>
    <t xml:space="preserve">Определение железа </t>
  </si>
  <si>
    <t xml:space="preserve">Определение нитрозаминов (пиво) </t>
  </si>
  <si>
    <t xml:space="preserve">Определение кофеина ( по показаниям)</t>
  </si>
  <si>
    <t xml:space="preserve">Определение герметичности укупорки</t>
  </si>
  <si>
    <t xml:space="preserve">определение  спирта</t>
  </si>
  <si>
    <t xml:space="preserve">определение двуокиси углерода</t>
  </si>
  <si>
    <t xml:space="preserve">Определение общего  экстракта</t>
  </si>
  <si>
    <t xml:space="preserve">Определение  спирта в пиве</t>
  </si>
  <si>
    <t xml:space="preserve">Определение  сухих веществ в сусле</t>
  </si>
  <si>
    <t xml:space="preserve">Определение свинца (Рb)  в пищевых продуктах</t>
  </si>
  <si>
    <t xml:space="preserve">Определение  кобальта</t>
  </si>
  <si>
    <t xml:space="preserve">Определение олова Sn в пищевых продуктах </t>
  </si>
  <si>
    <t xml:space="preserve">Определение хрома (Cr)  в напитках</t>
  </si>
  <si>
    <t xml:space="preserve">Определение хинина</t>
  </si>
  <si>
    <t xml:space="preserve">Соль пищевая </t>
  </si>
  <si>
    <t xml:space="preserve"> Определение органолептических показателей, гранулометрический состав</t>
  </si>
  <si>
    <t xml:space="preserve">Определение ионов кальция</t>
  </si>
  <si>
    <t xml:space="preserve">Определение нерастворимого в воде остатка </t>
  </si>
  <si>
    <t xml:space="preserve">Определение магний-иона </t>
  </si>
  <si>
    <t xml:space="preserve">Определение сульфат-иона</t>
  </si>
  <si>
    <t xml:space="preserve">Определение калия йодистого в соли</t>
  </si>
  <si>
    <t xml:space="preserve">Определение оксида железа </t>
  </si>
  <si>
    <t xml:space="preserve">Определение хлор-иона </t>
  </si>
  <si>
    <t xml:space="preserve">массовая доля хлористого натрия</t>
  </si>
  <si>
    <t xml:space="preserve">Чай черный, зеленый </t>
  </si>
  <si>
    <t xml:space="preserve"> Определение танина</t>
  </si>
  <si>
    <t xml:space="preserve"> Определение кофеина</t>
  </si>
  <si>
    <t xml:space="preserve"> Определение массовой доли мелочи и металломагнитных примесей </t>
  </si>
  <si>
    <t xml:space="preserve"> Определение массовой доли водорастворимых веществ </t>
  </si>
  <si>
    <t xml:space="preserve"> Определение сырой клечатки</t>
  </si>
  <si>
    <t xml:space="preserve"> Определение экстрактивных веществ </t>
  </si>
  <si>
    <t xml:space="preserve">Определение афлотоксина </t>
  </si>
  <si>
    <t xml:space="preserve">Посторонние примеси</t>
  </si>
  <si>
    <t xml:space="preserve">Дисперсность </t>
  </si>
  <si>
    <t xml:space="preserve">Жир</t>
  </si>
  <si>
    <t xml:space="preserve"> Определение массовой доли  металломагнитных примесей </t>
  </si>
  <si>
    <t xml:space="preserve">Определение полной растворимости </t>
  </si>
  <si>
    <t xml:space="preserve">Определение экстрактивных веществ </t>
  </si>
  <si>
    <t xml:space="preserve">Микотоксины</t>
  </si>
  <si>
    <t xml:space="preserve"> Какао,какао порошок </t>
  </si>
  <si>
    <t xml:space="preserve">Специи и пряности , ( в том числе дрожжи)</t>
  </si>
  <si>
    <t xml:space="preserve">  ДДУ, школы, специальный технические учебные заведения, больничные организации, организация охраны материнства и детства, предприятия общественого питания</t>
  </si>
  <si>
    <t xml:space="preserve">Определение качества. термической обработки (варка, жарка, мясных и рыбных блюд) </t>
  </si>
  <si>
    <t xml:space="preserve">Определение витамина С, лимонная кислота</t>
  </si>
  <si>
    <t xml:space="preserve">Определение фритюрных жиров </t>
  </si>
  <si>
    <t xml:space="preserve">Определение калорийности готовых блюд </t>
  </si>
  <si>
    <t xml:space="preserve">(по показаниям ) Табак и табачные изделия, сигареты</t>
  </si>
  <si>
    <t xml:space="preserve">Определение влаги </t>
  </si>
  <si>
    <t xml:space="preserve">Определение алкалоидов</t>
  </si>
  <si>
    <t xml:space="preserve">Определение пыли</t>
  </si>
  <si>
    <t xml:space="preserve">Определение никотина</t>
  </si>
  <si>
    <t xml:space="preserve">БАДы</t>
  </si>
  <si>
    <t xml:space="preserve">Определеие СТМ методом ИВ</t>
  </si>
  <si>
    <t xml:space="preserve">Определеие СТМ методом ААС</t>
  </si>
  <si>
    <t xml:space="preserve">Белка</t>
  </si>
  <si>
    <t xml:space="preserve">Жира по Сокслету</t>
  </si>
  <si>
    <t xml:space="preserve">Жира</t>
  </si>
  <si>
    <t xml:space="preserve">Афлотоксин</t>
  </si>
  <si>
    <t xml:space="preserve">Дезоксиваленол</t>
  </si>
  <si>
    <t xml:space="preserve">Гигиена труда. Воздух рабочей зоны  </t>
  </si>
  <si>
    <t xml:space="preserve">Замер параметров микроклимата (температура, влажность, скорость движения воздуха,атмосферное давление)</t>
  </si>
  <si>
    <t xml:space="preserve">Замер освещенности ( естественная, искусственная)</t>
  </si>
  <si>
    <t xml:space="preserve">Определение вредного вещества (1 исследования) экспресс методом в воздухе рабочей зоне </t>
  </si>
  <si>
    <t xml:space="preserve">Определение свободной двуокись кремний</t>
  </si>
  <si>
    <t xml:space="preserve">Определение соединения марганца </t>
  </si>
  <si>
    <t xml:space="preserve">Определение меди</t>
  </si>
  <si>
    <t xml:space="preserve">Определение цинка и его соединения (окись цинка, цинковая соль пентахлортиофенола- ренацит-4) </t>
  </si>
  <si>
    <t xml:space="preserve">Определение аммиака </t>
  </si>
  <si>
    <t xml:space="preserve">Определение двуокись азота </t>
  </si>
  <si>
    <t xml:space="preserve">Определение озона </t>
  </si>
  <si>
    <t xml:space="preserve">Определение аэрозоль серной кислоты </t>
  </si>
  <si>
    <t xml:space="preserve">Определение сернистого ангидрида </t>
  </si>
  <si>
    <t xml:space="preserve">Определение сероводорода </t>
  </si>
  <si>
    <t xml:space="preserve">Определение хлора </t>
  </si>
  <si>
    <t xml:space="preserve">Определение хлористого водорода </t>
  </si>
  <si>
    <t xml:space="preserve">Определение ацетона 
</t>
  </si>
  <si>
    <t xml:space="preserve">Определение бензола, толуола и изомеры (мета, орто, пара) ксилола</t>
  </si>
  <si>
    <t xml:space="preserve">Определение сероуглерода </t>
  </si>
  <si>
    <t xml:space="preserve">Определение едкого щелочи и карбоната натрия</t>
  </si>
  <si>
    <t xml:space="preserve"> Определение формальдегида </t>
  </si>
  <si>
    <t xml:space="preserve">Определение свинца</t>
  </si>
  <si>
    <t xml:space="preserve">Определение фтористого водорода</t>
  </si>
  <si>
    <t xml:space="preserve">Определение ацетальдегида</t>
  </si>
  <si>
    <t xml:space="preserve">Определение фосфорного ангидрида</t>
  </si>
  <si>
    <t xml:space="preserve">Определение алюминий, окись и алюмоникелевый катализатора</t>
  </si>
  <si>
    <t xml:space="preserve">Определение ванадий и его соединения </t>
  </si>
  <si>
    <t xml:space="preserve">Определение мышьяковистого водорода</t>
  </si>
  <si>
    <t xml:space="preserve">Определение цианистого водорода </t>
  </si>
  <si>
    <t xml:space="preserve">Определение гидразина </t>
  </si>
  <si>
    <t xml:space="preserve">Определение масляного ангидрида </t>
  </si>
  <si>
    <t xml:space="preserve">Определение окись этилена</t>
  </si>
  <si>
    <t xml:space="preserve">Определение скипидара</t>
  </si>
  <si>
    <t xml:space="preserve">Определение мышьяковистого ангидрида и другие соединения трехвалентного мышъяка</t>
  </si>
  <si>
    <t xml:space="preserve">Воздух закрытых помещений ( больничные организации, организации охраны материнства и детства ) </t>
  </si>
  <si>
    <t xml:space="preserve">Замер освещенности ( естественная,искусственная)</t>
  </si>
  <si>
    <t xml:space="preserve">Определение вредного вещества (одно исследование)экспресс методом в воздухе закрытых помещений</t>
  </si>
  <si>
    <t xml:space="preserve">Определение окислямости </t>
  </si>
  <si>
    <t xml:space="preserve">Определение кислоты щелочи органические растворителей по показаниям</t>
  </si>
  <si>
    <t xml:space="preserve">Определение формальдегида</t>
  </si>
  <si>
    <t xml:space="preserve">Определение ампициллина</t>
  </si>
  <si>
    <t xml:space="preserve">Атмосферный воздух</t>
  </si>
  <si>
    <t xml:space="preserve">Определение вредного вещества (одно исследование) экспресс методом в атмосферном воздухе (газоанализатор) </t>
  </si>
  <si>
    <t xml:space="preserve">Определение окись этилена </t>
  </si>
  <si>
    <t xml:space="preserve">Определение хрома шестивалентного </t>
  </si>
  <si>
    <t xml:space="preserve">Определение массовой концентрации диоксид серы  в атмосферном воздухе населенных мест </t>
  </si>
  <si>
    <t xml:space="preserve">Определение массовой концентрации фториды твердые в атмосферном воздухе населенных мест </t>
  </si>
  <si>
    <t xml:space="preserve">Определение массовой концентрации фтористый водорода  в атмосферном воздухе населенных мест </t>
  </si>
  <si>
    <t xml:space="preserve">Определение массовой концентрации сероводорода  в атмосферном воздухе населенных мест</t>
  </si>
  <si>
    <t xml:space="preserve">Определение массовой концентрации фенола в атмосферном воздухе населенных мест </t>
  </si>
  <si>
    <t xml:space="preserve">Определение массовой концентрации формальдегида  в  атмосферном воздухе населенных мест </t>
  </si>
  <si>
    <t xml:space="preserve">Определение серной кислоты в атмосферном воздухе </t>
  </si>
  <si>
    <t xml:space="preserve">Определение хлора в атмосферном воздухе </t>
  </si>
  <si>
    <t xml:space="preserve">Определение толуола в атмосферном воздухе</t>
  </si>
  <si>
    <t xml:space="preserve">Определение массовой концентрации железо, кадмий, кобальт, магний, марганец, медь, никель, свинец, хром, цинк  в атмосферном воздухе населенных мест </t>
  </si>
  <si>
    <t xml:space="preserve">Определение массовой концентрации свинца в атмосферном воздухе </t>
  </si>
  <si>
    <t xml:space="preserve">Определение цианида в атмосферном воздухе </t>
  </si>
  <si>
    <t xml:space="preserve">Определение массовой концентрации алюминия  в  атмосферном воздухе населенных мест </t>
  </si>
  <si>
    <t xml:space="preserve">Пестициды. Вода из источников централизованного, не централизованного хозяйственно-питьевого водоснабжения, водоемы, подземные и поверхностные источники, скважины, колодцы, родники и каптажи</t>
  </si>
  <si>
    <t xml:space="preserve">Определение хлорорганических пестицидов </t>
  </si>
  <si>
    <t xml:space="preserve">Определение полихлорбифенилов  (ПХБ) </t>
  </si>
  <si>
    <t xml:space="preserve">Определение фосфорорганических пестицидов </t>
  </si>
  <si>
    <t xml:space="preserve">Определение группы 2,4-Д</t>
  </si>
  <si>
    <t xml:space="preserve">Определение карбаматов и производных карбаминовой, тио -дитиокарбаминовых кислот </t>
  </si>
  <si>
    <t xml:space="preserve">Определение группы пиретроидов </t>
  </si>
  <si>
    <t xml:space="preserve">Определение мочевины, тиомочевой кислоты, сульфонилмочевины, ИСХ и др. </t>
  </si>
  <si>
    <t xml:space="preserve">Определение гетероциклических соединений (пятичленные, шестичленные, триазолы, триазины, триазолпиримидины) </t>
  </si>
  <si>
    <t xml:space="preserve">Определение производных карбоновых кислот </t>
  </si>
  <si>
    <t xml:space="preserve">Воды питьевые, минеральные природные и искуственно-минерализованные воды, расфасованные в емкости</t>
  </si>
  <si>
    <t xml:space="preserve">Определение группы симм-триазинов </t>
  </si>
  <si>
    <t xml:space="preserve">Мясо и мясопродукты: птица, яйца, и продукты их переработки, консервы из мяса и мяса птицы </t>
  </si>
  <si>
    <t xml:space="preserve">Определение полихлорбифенила  (ПХБ) методом газожидкостной хроматографией (ГЖХ)</t>
  </si>
  <si>
    <t xml:space="preserve"> Молоко и молочные продукты, молочные консервы</t>
  </si>
  <si>
    <t xml:space="preserve">Определение полихлорбифенилов  (ПХБ)</t>
  </si>
  <si>
    <t xml:space="preserve"> Зерно (семена) мукомольно-крупяные и хлебобулочные изделия</t>
  </si>
  <si>
    <t xml:space="preserve">Определение хлорорганических пестицидов</t>
  </si>
  <si>
    <t xml:space="preserve">Определение ртутьорганических пестицидов </t>
  </si>
  <si>
    <t xml:space="preserve">Определение групп неоникотиноидов, фенилпиразолов, стробилуринов, циклогександионов, прочих веществ</t>
  </si>
  <si>
    <t xml:space="preserve">   Сахар и кондитерские изделия </t>
  </si>
  <si>
    <t xml:space="preserve">Мед натуральный</t>
  </si>
  <si>
    <t xml:space="preserve"> Плодоовощная продукция, консервы овощные, фруктовые, ягодные и грибные </t>
  </si>
  <si>
    <t xml:space="preserve">Определение нитратов в растительном материале </t>
  </si>
  <si>
    <t xml:space="preserve">Определение групп неоникотиноидов, фенилпиразолов, стробилуринов, циклогександионов, прочих веществ </t>
  </si>
  <si>
    <t xml:space="preserve">Определение пиретроидов </t>
  </si>
  <si>
    <t xml:space="preserve">Определение гетероциклических соединений (пятичленные, шестичленные, триазолы, триазины, триазолпиримидины)</t>
  </si>
  <si>
    <t xml:space="preserve">Масличные сырье, жировые продукты, майонезы</t>
  </si>
  <si>
    <t xml:space="preserve">Определение производных  карбаминовых кислот </t>
  </si>
  <si>
    <t xml:space="preserve">Определение гетероциклических  соединений</t>
  </si>
  <si>
    <t xml:space="preserve">Определение фосфорорганических пестицидов</t>
  </si>
  <si>
    <t xml:space="preserve"> Специи и пряности</t>
  </si>
  <si>
    <t xml:space="preserve"> Табак и табачные изделия, сигареты</t>
  </si>
  <si>
    <t xml:space="preserve">Почва, грунт, ил  </t>
  </si>
  <si>
    <t xml:space="preserve">Определение  пиретроидов </t>
  </si>
  <si>
    <t xml:space="preserve">Содержание действующих веществ пестицидов (препаративные формы), дезинфицирующих средств</t>
  </si>
  <si>
    <t xml:space="preserve">Содержание действующих веществ пестицидов (препаративные формы) органолептика</t>
  </si>
  <si>
    <t xml:space="preserve">Содержание действующих веществ пестицидов (препаративные формы) рН </t>
  </si>
  <si>
    <t xml:space="preserve">Содержание действующих веществ пестицидов (препаративные формы)  действующее вещество (ДВ) </t>
  </si>
  <si>
    <t xml:space="preserve">Содержание действующих веществ пестицидов (препаративные формы)  плотность</t>
  </si>
  <si>
    <t xml:space="preserve">Лекарственное растительное сырье </t>
  </si>
  <si>
    <t xml:space="preserve">Определение синтетических пиретроидов </t>
  </si>
  <si>
    <t xml:space="preserve">Биологические среды (моча, кровь, жировая ткань, грудное молоко) </t>
  </si>
  <si>
    <t xml:space="preserve">Смывы с кожных покровов, рабочей одежды класс диамидов антраниловой кислоты (на примере циантранилипрола) </t>
  </si>
  <si>
    <t xml:space="preserve">Определение  диамидов антраниловой кислоты (на примере циантранилипрола) </t>
  </si>
  <si>
    <t xml:space="preserve">Концентраты, изоляты пищевые </t>
  </si>
  <si>
    <t xml:space="preserve">Пищевые продукты, в т.ч. продукты растительного и животного происхождения </t>
  </si>
  <si>
    <t xml:space="preserve">Биологически активные добавки к пище (БАД) </t>
  </si>
  <si>
    <t xml:space="preserve">Продукты для питания беременных и кормящих женщин, продукты и консервы детского и диетического питания</t>
  </si>
  <si>
    <t xml:space="preserve">Минеральные удобрения </t>
  </si>
  <si>
    <t xml:space="preserve">Определение  массовой доля влаги </t>
  </si>
  <si>
    <t xml:space="preserve">Определение массовой доли  рН </t>
  </si>
  <si>
    <t xml:space="preserve">Определение массовой доли органического вещества </t>
  </si>
  <si>
    <t xml:space="preserve">Определение массовой доли  гуминовых кислот </t>
  </si>
  <si>
    <t xml:space="preserve">Определение массовой доли растворимости в воде </t>
  </si>
  <si>
    <t xml:space="preserve">Определение массовой доли свободной кислоты в пересчете на Н3РО4</t>
  </si>
  <si>
    <t xml:space="preserve">Определение массовой доли содержание азотнокислого натрия (NаNО3) в пересчете на сухое вещество</t>
  </si>
  <si>
    <t xml:space="preserve">Определение массовой доли общего азота </t>
  </si>
  <si>
    <t xml:space="preserve">Определение массовой доли фосфора </t>
  </si>
  <si>
    <t xml:space="preserve">Определение массовой доли оксида калия </t>
  </si>
  <si>
    <t xml:space="preserve">Определние подвижных соединений</t>
  </si>
  <si>
    <t xml:space="preserve">Определение массовой доли кальция </t>
  </si>
  <si>
    <t xml:space="preserve">Определение массовой доли магния </t>
  </si>
  <si>
    <t xml:space="preserve">Определение массовой доли железо</t>
  </si>
  <si>
    <t xml:space="preserve">Определение массовой доли медьи</t>
  </si>
  <si>
    <t xml:space="preserve">Определение массовой доли марганца </t>
  </si>
  <si>
    <t xml:space="preserve">Определение массовой доли цинка</t>
  </si>
  <si>
    <t xml:space="preserve">Определение массовой доли плотности</t>
  </si>
  <si>
    <t xml:space="preserve">Определение массовой доли  сухого вещества</t>
  </si>
  <si>
    <t xml:space="preserve">Определение массовой доли органического вещества</t>
  </si>
  <si>
    <t xml:space="preserve">Определение массовой доли аммонийного и нитратного азота</t>
  </si>
  <si>
    <t xml:space="preserve">Определение массовой доли  бора</t>
  </si>
  <si>
    <t xml:space="preserve">Определение массовой доли кобальта</t>
  </si>
  <si>
    <t xml:space="preserve">Определение массовой доли  молибдена</t>
  </si>
  <si>
    <t xml:space="preserve">Определение массовой доли кадмия</t>
  </si>
  <si>
    <t xml:space="preserve">Определение массовой доли свинеца</t>
  </si>
  <si>
    <t xml:space="preserve">Определение массовой доли мышьяка</t>
  </si>
  <si>
    <t xml:space="preserve">Определение массовой доли никеля</t>
  </si>
  <si>
    <t xml:space="preserve">Определение массовой доли хрома</t>
  </si>
  <si>
    <t xml:space="preserve">Определение массовой доли серы</t>
  </si>
  <si>
    <t xml:space="preserve">Определение  гранулометрического состава </t>
  </si>
  <si>
    <t xml:space="preserve">Определение   рассыпчатости</t>
  </si>
  <si>
    <t xml:space="preserve">Определение массовой доли биурета</t>
  </si>
  <si>
    <t xml:space="preserve">Определение массовой доли свободного аммиака</t>
  </si>
  <si>
    <t xml:space="preserve">Определение массовой доли суммы питательных веществ в пересчете на азот в сухом веществе</t>
  </si>
  <si>
    <t xml:space="preserve">Определение массовой доли добавок в пересчете на сухое вещество</t>
  </si>
  <si>
    <t xml:space="preserve">Определение массовой доли свободной серной кислоты</t>
  </si>
  <si>
    <t xml:space="preserve">Определение массовой доли металломагнитная примесь</t>
  </si>
  <si>
    <t xml:space="preserve">Определение  насыпной плотности </t>
  </si>
  <si>
    <t xml:space="preserve">Определение массовой доли нитратов кальция и магния в пересчете на MgO</t>
  </si>
  <si>
    <t xml:space="preserve">Определение массовой доли хлора</t>
  </si>
  <si>
    <t xml:space="preserve">Адаптация метода определения остаточного количества пестицида</t>
  </si>
  <si>
    <t xml:space="preserve">1.60</t>
  </si>
  <si>
    <t xml:space="preserve">Лаборатории физических факторов</t>
  </si>
  <si>
    <t xml:space="preserve">плотность потока электромагнитной энергии сверхвысокочастотного (СВЧ) диапазона от 300 МГц до 300 ГГц</t>
  </si>
  <si>
    <t xml:space="preserve">напряженность электромагнитного поля от 30 кГц до 300 МГц </t>
  </si>
  <si>
    <t xml:space="preserve">напряженность электрического и магнитного поля промышленной частоты 50 Гц</t>
  </si>
  <si>
    <t xml:space="preserve">напряженность электрического поля и плотность магнитного потока</t>
  </si>
  <si>
    <t xml:space="preserve">напряженность электростатического поля</t>
  </si>
  <si>
    <t xml:space="preserve">интенсивность ультрафиолетового излучения</t>
  </si>
  <si>
    <t xml:space="preserve"> интенсивность инфракрасного (теплового) излучения</t>
  </si>
  <si>
    <t xml:space="preserve">интенсивность лазерного излучения</t>
  </si>
  <si>
    <t xml:space="preserve">Определение уровня шума, эквивалентного уровни звука</t>
  </si>
  <si>
    <t xml:space="preserve">Определение уровня  звукового давления (спектральная характеристика)</t>
  </si>
  <si>
    <t xml:space="preserve">Определение уровня инфразвука</t>
  </si>
  <si>
    <t xml:space="preserve">снятие шумовой характеристики</t>
  </si>
  <si>
    <t xml:space="preserve">уровень ультразвука</t>
  </si>
  <si>
    <t xml:space="preserve">Уровень общей вибрации</t>
  </si>
  <si>
    <t xml:space="preserve">Уровень локальной вибрации</t>
  </si>
  <si>
    <t xml:space="preserve">Снятие вибрационной характеристики</t>
  </si>
  <si>
    <t xml:space="preserve">Определение концентрации аэроионов</t>
  </si>
  <si>
    <t xml:space="preserve">Расчет и оформление протоколов уровней шума, вибраций и ЭМП (всех диапазонов)</t>
  </si>
  <si>
    <t xml:space="preserve">Референс лаборатория токсикологии полимеров и других химческих веществ</t>
  </si>
  <si>
    <t xml:space="preserve">Материалы и изделия, изготовленные из полимерных и других материалов контактирующие с пищевыми продуктами и водой, издательская продукция. </t>
  </si>
  <si>
    <t xml:space="preserve">Определение органолептических показателей</t>
  </si>
  <si>
    <t xml:space="preserve">Определение кислотостойкости</t>
  </si>
  <si>
    <t xml:space="preserve">Определение прочности фиксации красок</t>
  </si>
  <si>
    <t xml:space="preserve">Определение химической стоикости </t>
  </si>
  <si>
    <t xml:space="preserve">Определение прочности крепления ручек</t>
  </si>
  <si>
    <t xml:space="preserve">Определение стойкости к горячей воде</t>
  </si>
  <si>
    <t xml:space="preserve">Определение окисляемости водной вытяжки</t>
  </si>
  <si>
    <t xml:space="preserve">Оопределение солей тяжелых металлов  (свинец)</t>
  </si>
  <si>
    <t xml:space="preserve">Определение солей тяжелых металлов  (медь)</t>
  </si>
  <si>
    <t xml:space="preserve">Определение солей тяжелых металлов  (цинк)</t>
  </si>
  <si>
    <t xml:space="preserve">Определение солей тяжелых металлов (кадмий)</t>
  </si>
  <si>
    <t xml:space="preserve">Определение  никеля</t>
  </si>
  <si>
    <t xml:space="preserve">Определение  солей тяжелых металлов  (хром)</t>
  </si>
  <si>
    <t xml:space="preserve">Определение  алюминия</t>
  </si>
  <si>
    <t xml:space="preserve">Определение  железа</t>
  </si>
  <si>
    <t xml:space="preserve">Определение  марганца</t>
  </si>
  <si>
    <t xml:space="preserve">Определение  ацетальдегида</t>
  </si>
  <si>
    <t xml:space="preserve">Определение  ацетона</t>
  </si>
  <si>
    <t xml:space="preserve">Определение  акрилонитрила</t>
  </si>
  <si>
    <t xml:space="preserve">Определение бензола</t>
  </si>
  <si>
    <t xml:space="preserve">Определение  бутилакрилата</t>
  </si>
  <si>
    <t xml:space="preserve">Определение  винилацетата</t>
  </si>
  <si>
    <t xml:space="preserve">Определение  гексаметилендиамина</t>
  </si>
  <si>
    <t xml:space="preserve">Определение  ксилола</t>
  </si>
  <si>
    <t xml:space="preserve">Определение  метилакрилата</t>
  </si>
  <si>
    <t xml:space="preserve">Определение  бутанола</t>
  </si>
  <si>
    <t xml:space="preserve">Определение  пропанола</t>
  </si>
  <si>
    <t xml:space="preserve">Определение  изопропанола</t>
  </si>
  <si>
    <t xml:space="preserve">Определение изобутанола </t>
  </si>
  <si>
    <t xml:space="preserve">Определение метанола </t>
  </si>
  <si>
    <t xml:space="preserve">Определение метилацетата </t>
  </si>
  <si>
    <t xml:space="preserve">Определение бутилацетата </t>
  </si>
  <si>
    <t xml:space="preserve">Определение  толуола</t>
  </si>
  <si>
    <t xml:space="preserve">Определение  хлористого винила</t>
  </si>
  <si>
    <t xml:space="preserve">Определение  этилацетата</t>
  </si>
  <si>
    <t xml:space="preserve">Определение  эпихлоргидрина</t>
  </si>
  <si>
    <t xml:space="preserve">.Определение  дифенилопропана</t>
  </si>
  <si>
    <t xml:space="preserve">Определение  диметилтерефталата</t>
  </si>
  <si>
    <t xml:space="preserve">Определение  капролактама </t>
  </si>
  <si>
    <t xml:space="preserve">Определение  каптакса </t>
  </si>
  <si>
    <t xml:space="preserve">Определение  метилметакрилата</t>
  </si>
  <si>
    <t xml:space="preserve">Определение  стирола</t>
  </si>
  <si>
    <t xml:space="preserve">Определение  фенола</t>
  </si>
  <si>
    <t xml:space="preserve">Определение  формальдегида</t>
  </si>
  <si>
    <t xml:space="preserve">Определение  фтора</t>
  </si>
  <si>
    <t xml:space="preserve">Определение  этиленгликоля</t>
  </si>
  <si>
    <t xml:space="preserve">Определение  диоктил- и дибутил фталатов методом ГЖХ</t>
  </si>
  <si>
    <t xml:space="preserve">Органичекие растворители</t>
  </si>
  <si>
    <t xml:space="preserve">Металлы методом ААС</t>
  </si>
  <si>
    <t xml:space="preserve">Индекс токсичности </t>
  </si>
  <si>
    <t xml:space="preserve">Детские игры и игрушки, товары детского ассортимента</t>
  </si>
  <si>
    <t xml:space="preserve">Органолептические показатели образца и вытяжки из него</t>
  </si>
  <si>
    <t xml:space="preserve">Определение  стойкости защитно-декоративного покрытия к действию слюны, пота и влажной обработке</t>
  </si>
  <si>
    <t xml:space="preserve">органические растворители  методом ГЖХ</t>
  </si>
  <si>
    <t xml:space="preserve">Определение  бензола</t>
  </si>
  <si>
    <t xml:space="preserve">Определение  этилацитата</t>
  </si>
  <si>
    <t xml:space="preserve"> Определение  ксилола</t>
  </si>
  <si>
    <t xml:space="preserve">.Определение  дифенилгуанидина </t>
  </si>
  <si>
    <t xml:space="preserve">Определение  солей тяжелых металлов  (свинец)</t>
  </si>
  <si>
    <t xml:space="preserve">Определение  солей тяжелых металлов (кадмий)</t>
  </si>
  <si>
    <t xml:space="preserve">Определение   мышьяка</t>
  </si>
  <si>
    <t xml:space="preserve">Определение фталевого ангидрида</t>
  </si>
  <si>
    <t xml:space="preserve">Определение акрилонитрила</t>
  </si>
  <si>
    <t xml:space="preserve">Определение метилметакрилата</t>
  </si>
  <si>
    <t xml:space="preserve">Определение уксусной кислоты</t>
  </si>
  <si>
    <t xml:space="preserve">Определение метилового спирта</t>
  </si>
  <si>
    <t xml:space="preserve">Определение органических растворители</t>
  </si>
  <si>
    <t xml:space="preserve">Определение металлов методом ААС</t>
  </si>
  <si>
    <t xml:space="preserve">Определение индекс токсичности</t>
  </si>
  <si>
    <t xml:space="preserve">определение кожно-раздражающее действие</t>
  </si>
  <si>
    <t xml:space="preserve">определение кожно-резорбтивное действие</t>
  </si>
  <si>
    <t xml:space="preserve">Определение раздражающее действие на слизистые</t>
  </si>
  <si>
    <t xml:space="preserve">Материалы, реагенты, оборудования, электробытовые оборудования, используемые для водоочистки и водоподготовки</t>
  </si>
  <si>
    <t xml:space="preserve">Органолептические исследования образца и вытяжки из него</t>
  </si>
  <si>
    <t xml:space="preserve">Определение  кислотостойкости </t>
  </si>
  <si>
    <t xml:space="preserve">Определение  прочности фиксации красок</t>
  </si>
  <si>
    <t xml:space="preserve">Определение   стойкости к горячей воде</t>
  </si>
  <si>
    <t xml:space="preserve">Определение  окисляемости водной вытяжки</t>
  </si>
  <si>
    <t xml:space="preserve">Определение солей тяжелых металлов  (свинец)</t>
  </si>
  <si>
    <t xml:space="preserve">Определение  солей тяжелых металлов  (медь)</t>
  </si>
  <si>
    <t xml:space="preserve"> Определение  солей тяжелых металлов  (цинк)</t>
  </si>
  <si>
    <t xml:space="preserve">Определение  солей тяжелых металлов  (кадмий)</t>
  </si>
  <si>
    <t xml:space="preserve"> Определение   солей тяжелых металлов  (хром)</t>
  </si>
  <si>
    <t xml:space="preserve">Определение   бензола</t>
  </si>
  <si>
    <t xml:space="preserve">Определение  бора</t>
  </si>
  <si>
    <t xml:space="preserve"> Определение  винилацетата</t>
  </si>
  <si>
    <t xml:space="preserve">Определение  дифенилопропана</t>
  </si>
  <si>
    <t xml:space="preserve">Определение  капролактама</t>
  </si>
  <si>
    <t xml:space="preserve">Определение  ксилола </t>
  </si>
  <si>
    <t xml:space="preserve"> Определение  метилакрилата</t>
  </si>
  <si>
    <t xml:space="preserve">Определение  метанола</t>
  </si>
  <si>
    <t xml:space="preserve"> Определение  пропилового спирта</t>
  </si>
  <si>
    <t xml:space="preserve">Определение  изопропилового спирта</t>
  </si>
  <si>
    <t xml:space="preserve">Определение толуола</t>
  </si>
  <si>
    <t xml:space="preserve">Определение  стирола </t>
  </si>
  <si>
    <t xml:space="preserve">Биотестирование. Определение индекса токсичности водных вытяжек из полимерных материалов и изделий по биолюминесценции бактерий на приборе "Биотоксе".</t>
  </si>
  <si>
    <t xml:space="preserve">Определение металла методом ААС</t>
  </si>
  <si>
    <t xml:space="preserve">Парфюмерно-косметическая продукция и средства гигиены полости рта, товары бытовой химии</t>
  </si>
  <si>
    <t xml:space="preserve">Определение стойкости запаха парфюмерных изделий</t>
  </si>
  <si>
    <t xml:space="preserve">Определение  массовой доли суммы тяжелых металлов в зубной пасте</t>
  </si>
  <si>
    <t xml:space="preserve">Определение  суммы тяжелых металлов в парфюмерно-косметической продукции</t>
  </si>
  <si>
    <t xml:space="preserve">Определение ртути</t>
  </si>
  <si>
    <t xml:space="preserve">Массовая доля фосфорнокислых солей</t>
  </si>
  <si>
    <t xml:space="preserve">Определение  кожно-раздражающего действия вещества на кроликах в остром (однократном) опыте</t>
  </si>
  <si>
    <t xml:space="preserve">Определение массовой доли фторида</t>
  </si>
  <si>
    <t xml:space="preserve">Определение  массовой доли жирных кислот в мыле</t>
  </si>
  <si>
    <t xml:space="preserve">Определение массовой доли едкой щелочи в хозяйственном мыле (содопродукты)</t>
  </si>
  <si>
    <t xml:space="preserve">Определение   остаточных количеств ПАВ на коже человека</t>
  </si>
  <si>
    <t xml:space="preserve">Определение  остаточных количеств катионных ПАВ на тканях</t>
  </si>
  <si>
    <t xml:space="preserve">Определение  степени смываемости ПАВ с посуды</t>
  </si>
  <si>
    <t xml:space="preserve">Определение сенсибализации организма - развернутым методом с установлением порога аллергенного действия</t>
  </si>
  <si>
    <t xml:space="preserve">Определение сен сибилизации организма экспресс методом</t>
  </si>
  <si>
    <t xml:space="preserve">Определение кожно-раздражающее действие</t>
  </si>
  <si>
    <t xml:space="preserve">Определение  ингаляционной опасности при ингаляционной затравке на белых мышах при статической затравке</t>
  </si>
  <si>
    <t xml:space="preserve">Определение среднесмертельной дозы (ЛД50) вещества на белых мышах развернутым способом</t>
  </si>
  <si>
    <t xml:space="preserve">Полимерные, строительные, конструкционные материалы, лакокрасочная и мебельная продукция. </t>
  </si>
  <si>
    <t xml:space="preserve">Определение  аммиака</t>
  </si>
  <si>
    <t xml:space="preserve"> Определение  ацетона</t>
  </si>
  <si>
    <t xml:space="preserve">Определение  бутилметакрилата</t>
  </si>
  <si>
    <t xml:space="preserve">Определение  бутилацетата</t>
  </si>
  <si>
    <t xml:space="preserve">Определение  диоктил- и дибутил фталатыов методом ГЖХ</t>
  </si>
  <si>
    <t xml:space="preserve">Определение  метанола </t>
  </si>
  <si>
    <t xml:space="preserve"> Определение  хлористого винила</t>
  </si>
  <si>
    <t xml:space="preserve">Определение  хлористого водорода </t>
  </si>
  <si>
    <t xml:space="preserve">Определение  диметилформамида</t>
  </si>
  <si>
    <t xml:space="preserve">Определение  хлористого углерода</t>
  </si>
  <si>
    <t xml:space="preserve">Определение  метилметакрилата </t>
  </si>
  <si>
    <t xml:space="preserve">Определение  толуилендиизоцианата </t>
  </si>
  <si>
    <t xml:space="preserve">Определение  фенола </t>
  </si>
  <si>
    <t xml:space="preserve">Определение  формальдегида </t>
  </si>
  <si>
    <t xml:space="preserve">Определение  эпихлоргидрина </t>
  </si>
  <si>
    <t xml:space="preserve"> Определение  этилацитаа</t>
  </si>
  <si>
    <t xml:space="preserve">Определение  окиси этилена </t>
  </si>
  <si>
    <t xml:space="preserve">Определение  асбеста в строительных материалах</t>
  </si>
  <si>
    <t xml:space="preserve">Определение цианистого водорода в лакокрасочных материалах</t>
  </si>
  <si>
    <t xml:space="preserve">Определение кожно-резорбтивное действие</t>
  </si>
  <si>
    <t xml:space="preserve">Продукция легкой и текстильной промышленности, средства индивидуальной защиты (СИЗ)</t>
  </si>
  <si>
    <t xml:space="preserve">Определение  Е-капролактама </t>
  </si>
  <si>
    <t xml:space="preserve">Определение  акриловой кислоты</t>
  </si>
  <si>
    <t xml:space="preserve">Определение  диметилтерефталат</t>
  </si>
  <si>
    <t xml:space="preserve">Определение металлов методом ААС </t>
  </si>
  <si>
    <t xml:space="preserve">Определение сенсибилизации организма экспресс методом</t>
  </si>
  <si>
    <t xml:space="preserve">Определение кожно-радражающее действие </t>
  </si>
  <si>
    <t xml:space="preserve">Определение кожно-раздражащее действие на слизистые</t>
  </si>
  <si>
    <t xml:space="preserve">Определение кожно-резорбтивного действие </t>
  </si>
  <si>
    <t xml:space="preserve">Определение физико-механических показателей на разрывной машине</t>
  </si>
  <si>
    <t xml:space="preserve">Изделия медицинского назначения и медицинская техника, средства санитарно-гигиенического назначения</t>
  </si>
  <si>
    <t xml:space="preserve">Определение  водородного показателя</t>
  </si>
  <si>
    <t xml:space="preserve">Опеределение стирола</t>
  </si>
  <si>
    <t xml:space="preserve">Определение  солей тяжелых металлов </t>
  </si>
  <si>
    <t xml:space="preserve">Химические вещества и их композиции, пестициды, агрохимикаты, дезинфицирующие, дезинсекционные и дератизационные средства, удобрение  и отходы</t>
  </si>
  <si>
    <t xml:space="preserve"> Определение  сенсибилизации организма экспресс методом</t>
  </si>
  <si>
    <t xml:space="preserve"> Определение  кожно-раздражающего действия вещества на кроликах в остром (однократном) опыте</t>
  </si>
  <si>
    <t xml:space="preserve"> Определение  кожно-раздражающего действия вещества на кроликах в повторном (2 недели) опыте</t>
  </si>
  <si>
    <t xml:space="preserve">Действие вещества на слизистую глаз кролика в остром однократном опыте</t>
  </si>
  <si>
    <t xml:space="preserve"> Действие вещества на слизистую глаз кролика в повторном (2 недели) опыте</t>
  </si>
  <si>
    <t xml:space="preserve">Определение  кожно-резорбтивного действия вещества на белых мышах (хвостовая проба) в остром однократном опыте</t>
  </si>
  <si>
    <t xml:space="preserve">Определение кожно-резорбтивного действие вещества на белых мышах (хвостовая проба) в повторном (2 недели) опыте</t>
  </si>
  <si>
    <t xml:space="preserve">Определение среднесмертелъной дозы (ЛД50) вещества на белых мышах развернутым способом</t>
  </si>
  <si>
    <t xml:space="preserve">Определение  кумулятивных свойств вещества нa белых мышах по методу Лима</t>
  </si>
  <si>
    <t xml:space="preserve">Лекарственные средства</t>
  </si>
  <si>
    <t xml:space="preserve">Определение  пирогенности кровезаменителей и других  веществ при внутривенном введении кроликам</t>
  </si>
  <si>
    <t xml:space="preserve">Проведение биологической пробы на белых мышах с однократным введением вещества внутривенно (токсичность)</t>
  </si>
  <si>
    <t xml:space="preserve">Референс лаборатория по  радиоционной безопасности</t>
  </si>
  <si>
    <t xml:space="preserve">на территории жилой застрой, при отводе земельных участков под строительство, в жилых и общественных зданиях</t>
  </si>
  <si>
    <t xml:space="preserve">Определение мощности дозы гамма излучения </t>
  </si>
  <si>
    <t xml:space="preserve">Определение плотность потока радона и ДПР </t>
  </si>
  <si>
    <t xml:space="preserve">Ренгенские кабинеты, кабинеты лучевой диагностики и терапии, организации использующие открытые ИИИ, рабочих мест</t>
  </si>
  <si>
    <t xml:space="preserve">определение мощности дозы гамма ренгеновское излучения на рабочих местах</t>
  </si>
  <si>
    <t xml:space="preserve">Измерения произведения поглощенной дозы на площадь рентгеновского излучения на выходе рентгеновского аппарата определения расчетным путем эффективной дозы</t>
  </si>
  <si>
    <t xml:space="preserve">Воздух промышленных предприятий,  воздух рабочей зоны</t>
  </si>
  <si>
    <t xml:space="preserve">Измерения уровни концентрации радона , ДПР торона</t>
  </si>
  <si>
    <t xml:space="preserve">Определение суммарной альфа-бета активности</t>
  </si>
  <si>
    <t xml:space="preserve">Атмосферный воздух, осадки, оседающая пыль (Мониторинг окружающей среды)</t>
  </si>
  <si>
    <t xml:space="preserve">Определение  цезия - 137 </t>
  </si>
  <si>
    <t xml:space="preserve">Определение стронция -90 </t>
  </si>
  <si>
    <t xml:space="preserve">Определения свинца -210</t>
  </si>
  <si>
    <t xml:space="preserve">Определения радия -226</t>
  </si>
  <si>
    <t xml:space="preserve"> Горнодобывающее,  Уранодобывающие предприятия, организации использующие ИИИ</t>
  </si>
  <si>
    <t xml:space="preserve">Измерения массовой концентрации аэрозолей</t>
  </si>
  <si>
    <t xml:space="preserve">Измерения альфа - излучения</t>
  </si>
  <si>
    <t xml:space="preserve">Измерения гамма- излучения</t>
  </si>
  <si>
    <t xml:space="preserve">Измерения бета - излучения</t>
  </si>
  <si>
    <t xml:space="preserve">Измерение нейтронного излучения</t>
  </si>
  <si>
    <t xml:space="preserve">Измерения рентгеновского излучения</t>
  </si>
  <si>
    <t xml:space="preserve">Определение общей альфа - бета активности (методом мазков)</t>
  </si>
  <si>
    <t xml:space="preserve">Определения отдельных радионуклидов в зависимости от типа загрязнения-гамма спектометрия</t>
  </si>
  <si>
    <t xml:space="preserve">Определения отдельных радионуклидов в зависимости от типа загрязнения-бетта спектометрия</t>
  </si>
  <si>
    <t xml:space="preserve">Топливное сырье; Нефть продукты ее переработки и промышленные отходы; сырье , материалы и изделия; Минеральные удобрения; Строительные материалы; Ювилирные изделия</t>
  </si>
  <si>
    <t xml:space="preserve">Определение удельной активности радионуклидов</t>
  </si>
  <si>
    <t xml:space="preserve">Пищевый продукты, Лекарственные растения , (сухие, жидкие, бальзамы, настойки), древесное сырье (спектрометрическим методом)</t>
  </si>
  <si>
    <t xml:space="preserve">Определение цезия -137</t>
  </si>
  <si>
    <t xml:space="preserve">Определение стронций-90</t>
  </si>
  <si>
    <t xml:space="preserve">Почва</t>
  </si>
  <si>
    <t xml:space="preserve">Определениеудельной активности радионуклидов ( цезия -137, калия -40, тория -232, радия -226)</t>
  </si>
  <si>
    <t xml:space="preserve">Исследование воды (вода открытых источников,водоемов, подземных вод, вода из скважин, вода питьевая)</t>
  </si>
  <si>
    <t xml:space="preserve">Определение суммарной альфа и бета активности  радионуклидов:</t>
  </si>
  <si>
    <t xml:space="preserve">Определение  тория 232, фотоколориметрическим методом</t>
  </si>
  <si>
    <t xml:space="preserve">Определение радия (226) </t>
  </si>
  <si>
    <t xml:space="preserve">Определение радия (228) </t>
  </si>
  <si>
    <t xml:space="preserve">Определение содерджания: Урана (фотоколориметрическим методом )</t>
  </si>
  <si>
    <t xml:space="preserve">Определение удельной активности  полония-210 </t>
  </si>
  <si>
    <t xml:space="preserve">Определение удельной активности  свинца210 </t>
  </si>
  <si>
    <t xml:space="preserve">измерение радона </t>
  </si>
  <si>
    <t xml:space="preserve">Определение доз облучения персонала </t>
  </si>
  <si>
    <t xml:space="preserve">Измерение индивидуальной дозы облучения персонала</t>
  </si>
  <si>
    <t xml:space="preserve">Пищевые продукты</t>
  </si>
  <si>
    <t xml:space="preserve">определения факта облучения пищевых продуктов</t>
  </si>
  <si>
    <t xml:space="preserve">Реферанс-лаборатория по контролю за бактериальными инфекциями и антибиотикорезистентностью</t>
  </si>
  <si>
    <t xml:space="preserve">Вода</t>
  </si>
  <si>
    <t xml:space="preserve">Определение общего количества микроорганизмов (бродильный метод)</t>
  </si>
  <si>
    <t xml:space="preserve">Определение общего количества микроорганизмов (метод мембранной фильтрации)</t>
  </si>
  <si>
    <t xml:space="preserve">Определение  общих колиформных бактерий бродильный метод</t>
  </si>
  <si>
    <t xml:space="preserve">Определение общих колиформных бактерий (метод мембранной фильтрации)</t>
  </si>
  <si>
    <t xml:space="preserve">Определение общих колифаги  ( прямой метод, метод накопления)</t>
  </si>
  <si>
    <t xml:space="preserve">Определение термотолерантных колиформных бактерий бродильный метод</t>
  </si>
  <si>
    <t xml:space="preserve">Определение термотолерантных колиформных бактерий (метод мембранной фильтрации)</t>
  </si>
  <si>
    <t xml:space="preserve">Определение сульфитредуцирующих клостридии.(метод прямого посева)</t>
  </si>
  <si>
    <t xml:space="preserve">Определениесульфитредуцирующих клостридии.(метод мембранной фильтрации)</t>
  </si>
  <si>
    <t xml:space="preserve">Определение патогенных энтеробактерии.(классический бактериолог.метод)</t>
  </si>
  <si>
    <t xml:space="preserve">Определение патогенных  энтеробактерии. (метод мембранной фильтрации)</t>
  </si>
  <si>
    <t xml:space="preserve">Определение колифаги.(прямой метод, метод накопления)</t>
  </si>
  <si>
    <t xml:space="preserve">Определение S.aureus.(классический бактериологический метод)</t>
  </si>
  <si>
    <t xml:space="preserve">Определение S.aureus.(классический метод мембранной фильтрации)</t>
  </si>
  <si>
    <t xml:space="preserve">Определение Ps.aeruginosa.(классический бактериологический метод)</t>
  </si>
  <si>
    <t xml:space="preserve">Определение Ps.aeruginosa.(классический метод мембранной фильтрации)</t>
  </si>
  <si>
    <t xml:space="preserve">Определение индекса E.coli.(бродильный метод)</t>
  </si>
  <si>
    <t xml:space="preserve">Определение индекса E.coli.(метод мембранной фильтрации)</t>
  </si>
  <si>
    <t xml:space="preserve">Определение индекса лактозоположительных кишечных палочек.(бродильный метод)</t>
  </si>
  <si>
    <t xml:space="preserve">Определение индекса лактозоположительных кишечных палочек. (метод мембранной фильтрации)</t>
  </si>
  <si>
    <t xml:space="preserve">Определение количества мезофильных аэробных и факультативно-анаэробных микроорганизмов (классический бактериологический метод)</t>
  </si>
  <si>
    <t xml:space="preserve">Определение количества мезофильных аэробных и факультативно-анаэробных микроорганизмов (метод мембранной фильтрации)</t>
  </si>
  <si>
    <t xml:space="preserve">бактерии группы кишечной палочки (классический бактериологический метод)</t>
  </si>
  <si>
    <t xml:space="preserve">Определение бактерии группы кишечной палочки (метод мембранной фильтрации)</t>
  </si>
  <si>
    <t xml:space="preserve">Определение E.coli.(классический бактериологический метод)</t>
  </si>
  <si>
    <t xml:space="preserve">Определение E.coli.(классический метод мембранной фильтрации)</t>
  </si>
  <si>
    <t xml:space="preserve">Определение Ps.aeruginosa</t>
  </si>
  <si>
    <t xml:space="preserve">Определение Ps.aeruginosa.(метод мембранной фильтрации)</t>
  </si>
  <si>
    <t xml:space="preserve">Определение сульфитредуцирующих клостридии.классический бактериологический метод</t>
  </si>
  <si>
    <t xml:space="preserve">Определение сульфитредуцирующих клостридии.(метод мембранной фильтрации)</t>
  </si>
  <si>
    <t xml:space="preserve">Определение патогенных энтеробактерии (классический бактериологический метод)</t>
  </si>
  <si>
    <t xml:space="preserve">Определение патогенных энтеробактерии (метод мембранной фильтрации)</t>
  </si>
  <si>
    <t xml:space="preserve">L.monocytogenes.классический бактериологический метод</t>
  </si>
  <si>
    <t xml:space="preserve">Определение V.parahaemolyticus.(классический бактериологический метод)</t>
  </si>
  <si>
    <t xml:space="preserve">Определение Enterococcus.(классический бактериологический метод)</t>
  </si>
  <si>
    <t xml:space="preserve">Определение плесневых грибов и дрожжей .(классический бактериологический метод)</t>
  </si>
  <si>
    <t xml:space="preserve">Определение плесневых грибов  и дрожжей.(метод мембранной фильтрации)</t>
  </si>
  <si>
    <t xml:space="preserve">Определение B.subtilis.(классический бактериологический метод)</t>
  </si>
  <si>
    <t xml:space="preserve">Определение B.cereus.(классический бактериологический метод)</t>
  </si>
  <si>
    <t xml:space="preserve">Исследование на промышленную стерильность</t>
  </si>
  <si>
    <t xml:space="preserve">Определение молочно-кислых микроорганизмы.(классический бактериологический метод)</t>
  </si>
  <si>
    <t xml:space="preserve">Определение лейконосток.(классический бактериологический метод)</t>
  </si>
  <si>
    <t xml:space="preserve">Определение бифидобактерии (классический. бактериологический метод)</t>
  </si>
  <si>
    <t xml:space="preserve">Определение ингибирующих веществ (микробиологический метод)</t>
  </si>
  <si>
    <t xml:space="preserve">Определение C.botulinum.(классический бактериологический метод)</t>
  </si>
  <si>
    <t xml:space="preserve">Определение остаточного количества антибиотиков в продуктах животноводства.(бактериологический метод)</t>
  </si>
  <si>
    <t xml:space="preserve">Определение генетически-модифицированные исследования (качественный метод полимеразно-цепная реакция)</t>
  </si>
  <si>
    <t xml:space="preserve">Генетически-модифицированные исследования количественный метод полимеразно-цепная реакция</t>
  </si>
  <si>
    <t xml:space="preserve">Определение протея.(классический бактериологический метод)</t>
  </si>
  <si>
    <t xml:space="preserve">Определение анаэробных и аэробных микроорганизмов (классический бактериологический метод)</t>
  </si>
  <si>
    <t xml:space="preserve">Определение анаэробных и аэробных микроорганизмов (мембранной фильтрации)</t>
  </si>
  <si>
    <t xml:space="preserve">Определение плесневых грибов и дрожжей (классический бактериологический метод)</t>
  </si>
  <si>
    <t xml:space="preserve">Определение плесневых грибов и дрожжей (метод мембранной фильтрации)</t>
  </si>
  <si>
    <t xml:space="preserve">Определение колиформных мезофильно-анаэробных, факультативно анаэробных микроорганизмов  (классический бактериологический метод)</t>
  </si>
  <si>
    <t xml:space="preserve">Определение колиформных мезофильно-анаэробных, факультативно анаэробных микроорганизмов  (метод мембранной фильтрации)</t>
  </si>
  <si>
    <t xml:space="preserve">Определение Enterobacteriaceae  (классический бактериологический метод)</t>
  </si>
  <si>
    <t xml:space="preserve">Определение Enterobacteriaceae (метод мембранной фильтрации)</t>
  </si>
  <si>
    <t xml:space="preserve">Определение Salmonella (классический бактериологический метод)</t>
  </si>
  <si>
    <t xml:space="preserve">Salmonella метод мембранной фильтрации</t>
  </si>
  <si>
    <t xml:space="preserve">Определение E.coli (классический бактериологический метод)</t>
  </si>
  <si>
    <t xml:space="preserve">E.coli метод мембранной фильтрации</t>
  </si>
  <si>
    <t xml:space="preserve">Определение Ps.aeruginosa (классический бактериологический метод)</t>
  </si>
  <si>
    <t xml:space="preserve">Определение  Ps.aeruginosa (метод мембранной фильтрации)</t>
  </si>
  <si>
    <t xml:space="preserve">Определение S.aureus (классический бактериологический метод)</t>
  </si>
  <si>
    <t xml:space="preserve">Определение S.aureus (метод мембранной фильтрации)</t>
  </si>
  <si>
    <t xml:space="preserve">плесневые грибы и дрожжи классический бактериологический метод</t>
  </si>
  <si>
    <t xml:space="preserve">Определение плесневых грибов и дрожжей  (метод мембранной фильтрации)</t>
  </si>
  <si>
    <t xml:space="preserve">Смывы с объектов окружающей среды</t>
  </si>
  <si>
    <t xml:space="preserve">Определение бактерии группы кишечной палочки (классический бактериологический метод)</t>
  </si>
  <si>
    <t xml:space="preserve">Определение S.aureus (классический бактериологический метод) </t>
  </si>
  <si>
    <t xml:space="preserve">Определение патогенных энтеробактерии  (классический бактериологический метод)</t>
  </si>
  <si>
    <t xml:space="preserve">Определение условно-патогенных энтеробактерии (классический бактериологический метод)</t>
  </si>
  <si>
    <t xml:space="preserve">Воздух закрытых помещений</t>
  </si>
  <si>
    <t xml:space="preserve">Определение общего микробного числа (седиментационный метод)</t>
  </si>
  <si>
    <t xml:space="preserve">Определение общего микробного числа (аспирационный метод)</t>
  </si>
  <si>
    <t xml:space="preserve">Определение S.aureus (седиментационный метод)</t>
  </si>
  <si>
    <t xml:space="preserve">Определение S.aureus (аспирационный метод)</t>
  </si>
  <si>
    <t xml:space="preserve">Определение плесневых грибов и дрожжей (седиментационный метод)</t>
  </si>
  <si>
    <t xml:space="preserve">Определение плесневых грибов и дрожжей (аспирационный метод)</t>
  </si>
  <si>
    <t xml:space="preserve">Парфюмерно-косметическая продукция</t>
  </si>
  <si>
    <t xml:space="preserve">Определение колиформных мезофильно-анаэробных, факультативно анаэробных микроорганизмов (классический бактериологический метод)</t>
  </si>
  <si>
    <t xml:space="preserve">Определение Enterobacteriaceae (классический бактериологический метод)</t>
  </si>
  <si>
    <t xml:space="preserve">Определение дрожжеподобных грибов рода Candida и плесневых грибов (классический бактериологический метод)</t>
  </si>
  <si>
    <t xml:space="preserve">Почва и лечебная грязь</t>
  </si>
  <si>
    <t xml:space="preserve">Определение общего микробного числа (классический бактериологический метод)</t>
  </si>
  <si>
    <t xml:space="preserve">Определение коли-титра (классический бактериологический метод)</t>
  </si>
  <si>
    <t xml:space="preserve">Определение титра E.coli (классический бактериологический метод)</t>
  </si>
  <si>
    <t xml:space="preserve">Определение термофилов (классический бактериологический метод)</t>
  </si>
  <si>
    <t xml:space="preserve">Определение титра Cl.perfringens, титра Cl.tetani (классический бактериологический метод)</t>
  </si>
  <si>
    <t xml:space="preserve">Определение патогенных энтеробактерий (классический бактериологический метод)</t>
  </si>
  <si>
    <t xml:space="preserve">Дезсредства</t>
  </si>
  <si>
    <t xml:space="preserve">Определение антимикробной активности (классический бактериологический метод)</t>
  </si>
  <si>
    <t xml:space="preserve">Определение  E.coli (классический бактериологический метод)</t>
  </si>
  <si>
    <t xml:space="preserve">Определение  Ps.aeruginosa </t>
  </si>
  <si>
    <t xml:space="preserve">Определение  грибов рода кандида(Candida albicans) (классический бактериологический метод)</t>
  </si>
  <si>
    <t xml:space="preserve">Определение стерилизующей активности (классический бактериологический метод)</t>
  </si>
  <si>
    <t xml:space="preserve">Контроль качества предстерилизационной очистки изделий медицинского назначения</t>
  </si>
  <si>
    <t xml:space="preserve">Материал от людей - биосубстраты (в т.ч от больных, контактных и лиц, обследуемых с профилактической целью) - бактериологическое выделение и идентификация микроорганизмов (патогенной и условно-патогенной микрофлоры до рода и вида)</t>
  </si>
  <si>
    <t xml:space="preserve">Определение патогенных энтеробактерий  (классический бактериологический метод)</t>
  </si>
  <si>
    <t xml:space="preserve">Определение условно-патогенных энтеробактерий,  неферментирующих грамотрицательных бактерий (классический бактериологический метод)</t>
  </si>
  <si>
    <t xml:space="preserve">Определение условно-патогенных энтеробактерии, неферментирующих грамотрицательных бактерий  (методом Голда)</t>
  </si>
  <si>
    <t xml:space="preserve">Определение возбудителей воздушно-капельных инфекций  (классический бактериологический метод)
на коринебактерии</t>
  </si>
  <si>
    <t xml:space="preserve">Определение возбудителей воздушно-капельных инфекций  (классический бактериологический метод
на менингококк)</t>
  </si>
  <si>
    <t xml:space="preserve">Определение (возбудители воздушно-капельных инфекций  классический бактериологический метод
на бордетеллы)</t>
  </si>
  <si>
    <t xml:space="preserve">Определение условно-патогенных энтеробактерии, неферментирующие грамотрицательные бактерии  (методом Голда)</t>
  </si>
  <si>
    <t xml:space="preserve">Определение кокковая флора (классический бактериологический метод
на стафилококк)</t>
  </si>
  <si>
    <t xml:space="preserve">Определение кокковой флоры (классический бактериологический метод
на стрептококк)</t>
  </si>
  <si>
    <t xml:space="preserve">Определение кампилобактерии классический бактериологический метод</t>
  </si>
  <si>
    <t xml:space="preserve">Определение грибов рода кандида (классический бактериологический метод)</t>
  </si>
  <si>
    <t xml:space="preserve">Определение дисбактериоза (классический бактериологический метод)</t>
  </si>
  <si>
    <t xml:space="preserve">Определение антибиотикорезистентности выделенных микроорганизмов диско-диффузионный метод,
метод серийных разведений</t>
  </si>
  <si>
    <t xml:space="preserve">Определение антибиотикорезистентности выделенных микроорганизмов полуколичественный метод </t>
  </si>
  <si>
    <t xml:space="preserve">Исследование биоматериала на присутствие дезоксирибонукклеиновая кислота патогенных микроорганизмов качественный метод классическая полимеразно-цепная реакция</t>
  </si>
  <si>
    <t xml:space="preserve">Сыворотка крови (серологические исследования)</t>
  </si>
  <si>
    <t xml:space="preserve">Реакция пассивной гемаглютинации  брюшной тиф (Vi- антиген)</t>
  </si>
  <si>
    <t xml:space="preserve">Реакция пассивной гемаглютинации на сальмонеллез</t>
  </si>
  <si>
    <t xml:space="preserve">Реакция пассивной гемаглютинации на дифтерию, столбняк</t>
  </si>
  <si>
    <t xml:space="preserve">Иммунна ферментный анализ на разные микроорганизмы</t>
  </si>
  <si>
    <t xml:space="preserve">Культуры микро-организмов</t>
  </si>
  <si>
    <t xml:space="preserve">фаготипирование выделенных микроорганизмов (в т.ч. возбудителей брюшного тифа и паратифов, золотистого стафилококка) классический бактериологический метод</t>
  </si>
  <si>
    <t xml:space="preserve">определение tox+гена  метод ПЦР </t>
  </si>
  <si>
    <t xml:space="preserve">Питательные среды</t>
  </si>
  <si>
    <t xml:space="preserve">Определение ростовых, дифференцирующих и ингибирующих свойств 
классический бактериологический метод</t>
  </si>
  <si>
    <t xml:space="preserve">Доппрейскурант</t>
  </si>
  <si>
    <t xml:space="preserve">Определение антибиотикчувствительности выделенных микроорганизмов,на анализаторе</t>
  </si>
  <si>
    <t xml:space="preserve">Определение антибиотикочувствительности  выделенных микроорганизмов, метод серийных разведений</t>
  </si>
  <si>
    <t xml:space="preserve">ВОК (оценка компетености, ретестирование), классическим бактериологическим методом.</t>
  </si>
  <si>
    <t xml:space="preserve">ВОК (оценка компетентности,ретестирование),  методом полимеразно-цепной реакции в режиме реального времени.</t>
  </si>
  <si>
    <t xml:space="preserve">ВОК (оценка компетентности, ретестирование), на автоматическом анализаторе.</t>
  </si>
  <si>
    <t xml:space="preserve">Исследование биоматериала на присутствие дезоксирибонуклеиновой кислоты патогенных микроорганизмов методом полимеразно-цепной реакции в режиме реального времени (скрининговый тест)</t>
  </si>
  <si>
    <t xml:space="preserve">Исследование биоматериала на присутствие дезоксирибонуклеиновой кислоты патогенного микроорганизма методом полимеразно-цепной реакции в режиме реального времени.</t>
  </si>
  <si>
    <t xml:space="preserve">Идентификация выделенной чистой культуры методом масс-спектрометрии</t>
  </si>
  <si>
    <t xml:space="preserve">Идентификация микроорганизмов на анализаторе</t>
  </si>
  <si>
    <t xml:space="preserve">Контроль стерилизаци автоклава бактериологическим методом </t>
  </si>
  <si>
    <t xml:space="preserve">Определение генов резистентности молекулярно-генетическим методом</t>
  </si>
  <si>
    <t xml:space="preserve">Референс-лаборатория по контролю за паразитарными инфекциями</t>
  </si>
  <si>
    <t xml:space="preserve">Выявление яиц гельминтов методом нативного мазок</t>
  </si>
  <si>
    <t xml:space="preserve">Метод Като</t>
  </si>
  <si>
    <t xml:space="preserve">Метод Калантарян</t>
  </si>
  <si>
    <t xml:space="preserve">Метод Фюллеборна </t>
  </si>
  <si>
    <t xml:space="preserve">Модернизированный метод формалин-эфирного осаждения</t>
  </si>
  <si>
    <t xml:space="preserve">Метод Бермана</t>
  </si>
  <si>
    <t xml:space="preserve">Метод Харада-Мори</t>
  </si>
  <si>
    <t xml:space="preserve">Выявление яиц гельминтов и цист патогенных простейших кишечника методом нативного мазка с раствором Люголя</t>
  </si>
  <si>
    <t xml:space="preserve">Подтверждение яиц гельминтов и цист патогенных простейших в микропрепаратах</t>
  </si>
  <si>
    <t xml:space="preserve">Подтверждение личиночных стадий гельминтов в макропрепаратах</t>
  </si>
  <si>
    <t xml:space="preserve">Макроскопический метод исследования</t>
  </si>
  <si>
    <t xml:space="preserve">Выявление Ig М к токсоплазме</t>
  </si>
  <si>
    <t xml:space="preserve">Выявление Ig G к токсоплазме</t>
  </si>
  <si>
    <t xml:space="preserve">Выявление Ig А,М,G к антигенам лямблий</t>
  </si>
  <si>
    <t xml:space="preserve">Выявление Ig М к антигенам лямблий</t>
  </si>
  <si>
    <t xml:space="preserve">Выявление Ig G к антигенам эхинококка однокамерного</t>
  </si>
  <si>
    <t xml:space="preserve">Выявление  Ig М к антигенам описторхисов</t>
  </si>
  <si>
    <t xml:space="preserve">Выявление  Ig G  к антигенам описторхисов</t>
  </si>
  <si>
    <t xml:space="preserve">Выявление  Ig М  к антигенам трихинелл</t>
  </si>
  <si>
    <t xml:space="preserve">Выявление  Ig G  к антигенам трихинелл</t>
  </si>
  <si>
    <t xml:space="preserve">Выявление  Ig G  к антигенам токсокар</t>
  </si>
  <si>
    <t xml:space="preserve">Выявление  Ig G  к антигенам аскарид</t>
  </si>
  <si>
    <t xml:space="preserve">Выявление Ig G к антигенам гельминтов</t>
  </si>
  <si>
    <t xml:space="preserve">Исследование перианально-ректального соскоба по Робиновичу</t>
  </si>
  <si>
    <t xml:space="preserve">Исследование перианально-ректального соскоба </t>
  </si>
  <si>
    <t xml:space="preserve">Исследование перианально-ректального соскоба по Грэхэм</t>
  </si>
  <si>
    <t xml:space="preserve">Исследование дуоденального содержимого и желчи микроскопическим методом</t>
  </si>
  <si>
    <t xml:space="preserve">Исследование мочи микроскопическим методом</t>
  </si>
  <si>
    <t xml:space="preserve">Исследование спинномозговой жидкости микросокпическим методом</t>
  </si>
  <si>
    <t xml:space="preserve">Исследование сточной воды методом Романенко</t>
  </si>
  <si>
    <t xml:space="preserve">Исследование сточной воды методом Падченко</t>
  </si>
  <si>
    <t xml:space="preserve">Исследование воды их открытых водоемов методом Васильковой</t>
  </si>
  <si>
    <t xml:space="preserve">Исследование питьевой воды методом мембранной фильтрации</t>
  </si>
  <si>
    <t xml:space="preserve">Исследование воды плавательных бассейнов методом мембранной фильтрации</t>
  </si>
  <si>
    <t xml:space="preserve">Исследование овощей, фруктов , ягод, зелени методом Романенко</t>
  </si>
  <si>
    <t xml:space="preserve">Исследование смывов методом Романенко</t>
  </si>
  <si>
    <t xml:space="preserve">Исследование почвы методом Романенко</t>
  </si>
  <si>
    <t xml:space="preserve"> Исследование почвы методом  Падченко</t>
  </si>
  <si>
    <t xml:space="preserve">Исследование рыбы компрессонным методом</t>
  </si>
  <si>
    <t xml:space="preserve">Исследование рыбы методом переваривания</t>
  </si>
  <si>
    <t xml:space="preserve">Исследование мяса компрессонным методом </t>
  </si>
  <si>
    <t xml:space="preserve">Исследование мяса методом переваривания</t>
  </si>
  <si>
    <t xml:space="preserve">метод по Калледину и Романенко выявления яиц гельминтов в домашней пыли</t>
  </si>
  <si>
    <t xml:space="preserve">Акарологический метод на выявление клещей домашней пыли</t>
  </si>
  <si>
    <t xml:space="preserve">Исследование гемопрепаратов на наличие возбудителей малярии </t>
  </si>
  <si>
    <t xml:space="preserve"> Исследование гемопрепаратов на наличии возбудителей микрофилярий</t>
  </si>
  <si>
    <t xml:space="preserve">Исследование мазков на возбудителей лейшманиозов</t>
  </si>
  <si>
    <t xml:space="preserve">Исследование толстой капли knott на наличии микрофилярий</t>
  </si>
  <si>
    <t xml:space="preserve">Референс-лаборатория по контролю за вирусными инфекциями</t>
  </si>
  <si>
    <t xml:space="preserve">Исследования на грипп А/В  методом ПЦР </t>
  </si>
  <si>
    <t xml:space="preserve">Исследования на грипп. Обнаружения противогриппозных антител </t>
  </si>
  <si>
    <t xml:space="preserve">Грипп и другие ОРВИ. Изоляция вируса гриппа в мазках из зева и носа, секционном материале</t>
  </si>
  <si>
    <t xml:space="preserve">ОРВИ- Скрин. Обнаружение РНК вируса в мазках из зева и носа, секционном материале</t>
  </si>
  <si>
    <t xml:space="preserve">Исследования на  энтеровирусные инфекции. Определение возбудителя вирусологическим методом  </t>
  </si>
  <si>
    <t xml:space="preserve">Исследования на энтеровирусы  методом ПЦР </t>
  </si>
  <si>
    <t xml:space="preserve">Энтеровирусные инфекции. изоляция вируса в пробах окружающей среды (вода сточная, питьевая, открытых водоемов, плавательных бассейнов)</t>
  </si>
  <si>
    <t xml:space="preserve">Полиомиелит. Изоляция вируса в фекалиях, ликворе, секционном материале</t>
  </si>
  <si>
    <t xml:space="preserve">Выявления иммуноглобулинов класса М к вирусу гепатита А методом  ИФА</t>
  </si>
  <si>
    <t xml:space="preserve">обнаружение антигена вируса гепатита А в фекалиях, пробах окружающей среды (вода сточная, питьевая, </t>
  </si>
  <si>
    <t xml:space="preserve">Выявления антител и антигенов к вирусу гепатита В. Методом ИФА</t>
  </si>
  <si>
    <t xml:space="preserve">Определение HBsAg</t>
  </si>
  <si>
    <t xml:space="preserve">Определение HBsAg с подтверждающим;</t>
  </si>
  <si>
    <t xml:space="preserve">Определение HBeAg, </t>
  </si>
  <si>
    <t xml:space="preserve"> Определениеa HBcor total,</t>
  </si>
  <si>
    <t xml:space="preserve">Определениеa HBcor IgM,  </t>
  </si>
  <si>
    <t xml:space="preserve">Определениеa HBs-total, </t>
  </si>
  <si>
    <t xml:space="preserve">Определение aHBeIgG</t>
  </si>
  <si>
    <t xml:space="preserve">Исследования на вирусные гепатиты определение возбудителя гепатита В методом ПЦР (качественный анализ)</t>
  </si>
  <si>
    <t xml:space="preserve">Исследования на вирусные гепатиты определение возбудителя гепатита В методом ПЦР (количественный  анализ)</t>
  </si>
  <si>
    <t xml:space="preserve">определение генотипов A, B, C и D вируса гепатита B. Методом ПЦР</t>
  </si>
  <si>
    <t xml:space="preserve">Выявление лекарственной устойчивости к лекарственным средствам ВГВ. Методом ПЦР</t>
  </si>
  <si>
    <t xml:space="preserve">Выявления антител к вирусу гепатита Дельта</t>
  </si>
  <si>
    <t xml:space="preserve">обнаружение РНК вируса гепатита Д методом ПЦР (качественный анализ) </t>
  </si>
  <si>
    <t xml:space="preserve">обнаружение РНК вируса гепатита Д методом ПЦР (количественный анализ) </t>
  </si>
  <si>
    <t xml:space="preserve">Выявления  антител к вирусу гепатита С. Методом ИФА</t>
  </si>
  <si>
    <t xml:space="preserve">Подтверждения  антител к вирусу гепатита С</t>
  </si>
  <si>
    <t xml:space="preserve">Исследования на вирусные гепатиты определение возбудителя гепатита С методом ПЦР (качественный  анализ)</t>
  </si>
  <si>
    <t xml:space="preserve">Исследования на вирусные гепатиты Определение возбудителя гепатита С методом ПЦР (количественный  анализ)</t>
  </si>
  <si>
    <t xml:space="preserve">определение генотипа вируса гепатита C (1a, 1b, 2, 3a,4)</t>
  </si>
  <si>
    <t xml:space="preserve">Выявления антигена ротовирусов    методом ИФА</t>
  </si>
  <si>
    <t xml:space="preserve">Ротавирусные, астро/нора вирусные  инфекции. Методом ПЦР</t>
  </si>
  <si>
    <t xml:space="preserve">Выявления иммуноглобулинов класса М к вирусу кори методом ИФА</t>
  </si>
  <si>
    <t xml:space="preserve">Выявления иммуноглобулинов класса G к вирусу кори методом ИФА</t>
  </si>
  <si>
    <t xml:space="preserve">Выявления иммуноглобулинов класса М к вирусу краснухи  методом ИФА</t>
  </si>
  <si>
    <t xml:space="preserve">Выявления иммуноглобулинов класса G к вирусу краснухи  методом ИФА</t>
  </si>
  <si>
    <t xml:space="preserve">Определения индекса авидности иммуноглобулинов класса G к вирусу краснухи методом ИФА</t>
  </si>
  <si>
    <t xml:space="preserve">Определение  краснухи методом ПЦР (качественный анализ) </t>
  </si>
  <si>
    <t xml:space="preserve">Выращивание  1-го матраца маточной тканевой культуры</t>
  </si>
  <si>
    <t xml:space="preserve">Исследование дезинфицирующих средств на вирусологическую активность (протирание/орошение)</t>
  </si>
  <si>
    <t xml:space="preserve">Исследование дезинфицирующих средств на вирусологическую активность (погружение с белковой безбелковой нагрузки))</t>
  </si>
  <si>
    <t xml:space="preserve">Молекулярное генетическое исследование (ПЦР) на коронавирусную инфекцию</t>
  </si>
  <si>
    <t xml:space="preserve">Определение антител класса М (IgM) к коронавирусу SARS-CoV-2 (COVID19) методом иммуноферментного анализа</t>
  </si>
  <si>
    <t xml:space="preserve">Определение антител класса G (IgG) к коронавирусу SARS-CoV-2 (COVID19) методом иммуноферментного анализа</t>
  </si>
  <si>
    <t xml:space="preserve">Услуга по сбору и накоплению вируса</t>
  </si>
  <si>
    <t xml:space="preserve">Услуга по верификации тест-наборов (ИФА) </t>
  </si>
  <si>
    <t xml:space="preserve">Услуга по верификации тест-наборов (ПЦР)</t>
  </si>
  <si>
    <t xml:space="preserve">Арбитражное исследование (ИФА)</t>
  </si>
  <si>
    <t xml:space="preserve">Арбитражное исследование (ПЦР)</t>
  </si>
  <si>
    <t xml:space="preserve">Референс -лаборатория особо опасных и вновь возникающих инфекций</t>
  </si>
  <si>
    <t xml:space="preserve">Холера</t>
  </si>
  <si>
    <t xml:space="preserve"> Исследование материала на холеру (бактериологический метод)</t>
  </si>
  <si>
    <t xml:space="preserve">Идентфикациф культур холеры</t>
  </si>
  <si>
    <t xml:space="preserve"> Исследование материала на холеру (МФА)</t>
  </si>
  <si>
    <t xml:space="preserve"> Исследование материала на холеру (серологический метод ( РПГА)</t>
  </si>
  <si>
    <t xml:space="preserve"> Исследование материала на холеру (метод полимеразной цепной реакции )</t>
  </si>
  <si>
    <t xml:space="preserve">Сибирская язва</t>
  </si>
  <si>
    <t xml:space="preserve"> Исследование материала на сибирскую язву (бактериологический метод)</t>
  </si>
  <si>
    <t xml:space="preserve"> Исследование материала на сибирскую язву (серологический метод (РПГА)</t>
  </si>
  <si>
    <t xml:space="preserve"> Исследование материала на сибирскую язву (биологический метод)</t>
  </si>
  <si>
    <t xml:space="preserve"> Исследование материала на сибирскую язву (метод полимеразной цепной реакции)</t>
  </si>
  <si>
    <t xml:space="preserve"> Исследование материала на бруцеллез (бактериологический метод)</t>
  </si>
  <si>
    <t xml:space="preserve"> Исследование материала на бруцеллез (серологический метод (р. Хеддльсона, р. Райта)</t>
  </si>
  <si>
    <t xml:space="preserve">Исследование материала на бруцеллез серологическим методом (р. Хеддльсона)</t>
  </si>
  <si>
    <t xml:space="preserve">Исследование материала на бруцеллез серологическим методом  р.Райта)</t>
  </si>
  <si>
    <t xml:space="preserve"> Исследование материала на бруцеллез  (метод полимеразной цепной реакции)</t>
  </si>
  <si>
    <t xml:space="preserve">Исследование материала на бруцеллез (серологический метод (РПГА)</t>
  </si>
  <si>
    <t xml:space="preserve">Исследование материала на бруцеллез (кольцевая проба)</t>
  </si>
  <si>
    <t xml:space="preserve">Исследование материала на бруцеллёз (Роз-Бенгал) </t>
  </si>
  <si>
    <t xml:space="preserve">Исследование на бруцеллез методом ИФА (Ig A, Ig G)</t>
  </si>
  <si>
    <t xml:space="preserve">Исследование на бруцеллез методом ИФА (Ig M, Ig G)</t>
  </si>
  <si>
    <t xml:space="preserve">Исследование материала на бруцеллез методом полимеразной цепной реакции (определение видового состава)</t>
  </si>
  <si>
    <t xml:space="preserve">Исследование материала на пастереллез (бактериологический метод)</t>
  </si>
  <si>
    <t xml:space="preserve">Исследование материала на пастереллез  (биологический метод)</t>
  </si>
  <si>
    <t xml:space="preserve">Исследование материала на пастереллез   (серологический метод)</t>
  </si>
  <si>
    <t xml:space="preserve"> Исследование материала на туляремию  (бактериологический метод)</t>
  </si>
  <si>
    <t xml:space="preserve">Исследование материала на туляремию (биологический метод)</t>
  </si>
  <si>
    <t xml:space="preserve">Исследование материала на туляремию  (серологический метод (РПГА)</t>
  </si>
  <si>
    <t xml:space="preserve">Исследование материала на туляремию  ( серологический метод (РА)</t>
  </si>
  <si>
    <t xml:space="preserve">Исследование материала на туляремию (метод ИФА)</t>
  </si>
  <si>
    <t xml:space="preserve">Исследование материала на туляремию (метод полимеразной цепной реакции)</t>
  </si>
  <si>
    <t xml:space="preserve">Исследование материала на туляремию (люминесцентная микроскопия)</t>
  </si>
  <si>
    <t xml:space="preserve">Исследование материала на туляремию методом полимеразной цепной реакции (определение видового состава)</t>
  </si>
  <si>
    <t xml:space="preserve"> Исследование материала на иерсиниоз (бактериологический метод)</t>
  </si>
  <si>
    <t xml:space="preserve">Исследование материала на иерсиниоз, псевдотуберкулез ( серологический метод, РПГА)</t>
  </si>
  <si>
    <t xml:space="preserve">Исследование материала на иерсиниоз, псевдотуберкулез (метод полимеразной цепной реакции)</t>
  </si>
  <si>
    <t xml:space="preserve">Исследование материала на иерсиниоз (метод ИФА)</t>
  </si>
  <si>
    <t xml:space="preserve">Исследование материала на листериоз  (бактериологический метод)</t>
  </si>
  <si>
    <t xml:space="preserve">Исследование материала на листериоз   (серологический метод (РПГА)</t>
  </si>
  <si>
    <t xml:space="preserve">Исследование материала на листериоз   (метод полимеразной цепной реакции)</t>
  </si>
  <si>
    <t xml:space="preserve">Исследование материала на листериоз (метод ИФА)</t>
  </si>
  <si>
    <t xml:space="preserve"> Исследование материала на лептоспироз  (бактериологический метод)</t>
  </si>
  <si>
    <t xml:space="preserve"> Исследование материала на лептоспироз (серологичекий метод (РПГА)</t>
  </si>
  <si>
    <t xml:space="preserve"> Исследование материала на лептоспироз (метод ИФА)</t>
  </si>
  <si>
    <t xml:space="preserve"> Исследование материала на лептоспироз (метод полимеразной цепной реакции)</t>
  </si>
  <si>
    <t xml:space="preserve">Эпидемический сыпной тиф (болезнь Брилля)</t>
  </si>
  <si>
    <t xml:space="preserve"> Исследование материала на сыпной тиф  (серологический метод (РСК)</t>
  </si>
  <si>
    <t xml:space="preserve"> Исследование материала на сыпной тиф  ( метод ИФА)</t>
  </si>
  <si>
    <t xml:space="preserve"> Исследование материала на сыпной тиф   (метод полимеразной цепной реакции)</t>
  </si>
  <si>
    <t xml:space="preserve">Крысиный сыпной тиф</t>
  </si>
  <si>
    <t xml:space="preserve">Исследование материалана на крысиный сыпной тиф (серологический метод (РСК)</t>
  </si>
  <si>
    <t xml:space="preserve">Исследование материала на крысиный сыпной тиф (метод ИФА)</t>
  </si>
  <si>
    <t xml:space="preserve">Исследование материала на крысиный сыпной тиф  (метод полимеразной цепной реакции)</t>
  </si>
  <si>
    <t xml:space="preserve">Клещевой сыпной тиф</t>
  </si>
  <si>
    <t xml:space="preserve">Исследование материала на клещевой сыпной тиф ( серологический метод (РСК)</t>
  </si>
  <si>
    <t xml:space="preserve">Исследование материала на клещевой сыпной тиф (метод ИФА)</t>
  </si>
  <si>
    <t xml:space="preserve">Исследование материала на клещевой сыпной тиф  (метод полимеразной цепной реакции)</t>
  </si>
  <si>
    <t xml:space="preserve">Ку-лихорадка</t>
  </si>
  <si>
    <t xml:space="preserve">Исследование материала на Ку-лихорадку (серологический метод (РСК)</t>
  </si>
  <si>
    <t xml:space="preserve">Исследование материалана Ку-лихорадку (метод полимеразной цепной реакции)</t>
  </si>
  <si>
    <t xml:space="preserve"> Исследование материала на боррелиоз (метод полимеразной цепной реакции)</t>
  </si>
  <si>
    <t xml:space="preserve">Исследование материала на бореллиоз (метод ИФА)</t>
  </si>
  <si>
    <t xml:space="preserve">Другие риккетсиозы</t>
  </si>
  <si>
    <t xml:space="preserve">Исследование материала на другие риккетсиозы (серологический метод)</t>
  </si>
  <si>
    <t xml:space="preserve">Исследование материала на другие риккетсиозы (метод полимеразной цепной реакций)</t>
  </si>
  <si>
    <t xml:space="preserve">Исследование материала на другие риккетсиозы (метод ИФА)</t>
  </si>
  <si>
    <t xml:space="preserve">Исследование материала на легионеллез (бактериологический метод)</t>
  </si>
  <si>
    <t xml:space="preserve">Исследование материала на легионеллез (метод полимеразной цепной реакции)</t>
  </si>
  <si>
    <t xml:space="preserve">Крым-Конго геморрагическая лихорадка (ККГЛ)</t>
  </si>
  <si>
    <t xml:space="preserve"> Исследование материала на ККГЛ (метод полимеразной цепной реакции)</t>
  </si>
  <si>
    <t xml:space="preserve">Исследование материала на ККГЛ (ИФА)</t>
  </si>
  <si>
    <t xml:space="preserve">Геморрагическая лихорадка с почечным синдромом (ГЛПС)</t>
  </si>
  <si>
    <t xml:space="preserve">Исследование материала на ГЛПС (метод полимеразной цепной реакции)</t>
  </si>
  <si>
    <t xml:space="preserve">Исследование материала на ГЛПС ( метод ИФА)</t>
  </si>
  <si>
    <t xml:space="preserve">Исследование материала на ГЛПС (метод МФА)</t>
  </si>
  <si>
    <r>
      <rPr>
        <b val="true"/>
        <sz val="11"/>
        <rFont val="Times New Roman"/>
        <family val="1"/>
        <charset val="204"/>
      </rPr>
      <t xml:space="preserve">Лихорадка неясной этиологии</t>
    </r>
    <r>
      <rPr>
        <b val="true"/>
        <sz val="11"/>
        <color rgb="FFFF0000"/>
        <rFont val="Times New Roman"/>
        <family val="1"/>
        <charset val="204"/>
      </rPr>
      <t xml:space="preserve"> </t>
    </r>
    <r>
      <rPr>
        <b val="true"/>
        <sz val="11"/>
        <rFont val="Times New Roman"/>
        <family val="1"/>
        <charset val="204"/>
      </rPr>
      <t xml:space="preserve">(ЛНЭ)</t>
    </r>
  </si>
  <si>
    <t xml:space="preserve"> Исследование материала на ЛНЭ (метод полимеразной цепной реакции)</t>
  </si>
  <si>
    <t xml:space="preserve"> Исследование материала на ЛНЭ (ИФА</t>
  </si>
  <si>
    <t xml:space="preserve">Лихорадка Денге (ЛД)</t>
  </si>
  <si>
    <t xml:space="preserve">Исследование материала  на ЛД (метод полимеразной цепной реакции)</t>
  </si>
  <si>
    <t xml:space="preserve">Исследование материала  на ЛД (метод ИФА)</t>
  </si>
  <si>
    <t xml:space="preserve">Лихорадка Западного Нила  (ЗН)</t>
  </si>
  <si>
    <t xml:space="preserve">Исследование материала  на ЗН (метод полимеразной цепной реакции)</t>
  </si>
  <si>
    <t xml:space="preserve">Исследование материала  на ЗН (метод ИФА)</t>
  </si>
  <si>
    <t xml:space="preserve">Лихорадка Зика  (ЛЗ)</t>
  </si>
  <si>
    <t xml:space="preserve">Исследование материала  на ЛЗ (метод полимеразной цепной реакции)</t>
  </si>
  <si>
    <t xml:space="preserve">Исследование материала  на ЛЗ (метод ИФА)</t>
  </si>
  <si>
    <t xml:space="preserve">Лихорадка Чукугунья (ЛЧ)</t>
  </si>
  <si>
    <t xml:space="preserve">Исследование материала  на ЛЧ (метод полимеразной цепной реакции)</t>
  </si>
  <si>
    <t xml:space="preserve">Исследование материала  на ЛЧ (метод ИФА)</t>
  </si>
  <si>
    <t xml:space="preserve">Исследование материала на хламидиоз (метод полимеразной цепной реакции)</t>
  </si>
  <si>
    <t xml:space="preserve">Исследование материала на хламидиоз (ИФА)</t>
  </si>
  <si>
    <t xml:space="preserve">Клещевой энцефалит (КЭ)</t>
  </si>
  <si>
    <t xml:space="preserve"> Исследование материала на КЭ (метод полимеразной цепной реакции)</t>
  </si>
  <si>
    <t xml:space="preserve">Исследование материала на КЭ (ИФА)</t>
  </si>
  <si>
    <t xml:space="preserve">Клещевые инфекции</t>
  </si>
  <si>
    <t xml:space="preserve">Исследование материала на клещевые инфекции методом ПЦР (мутиплексная реакция )</t>
  </si>
  <si>
    <t xml:space="preserve">Определение родовой, видовой приднадлежности клещей</t>
  </si>
  <si>
    <t xml:space="preserve">Дезинфицирующие средства</t>
  </si>
  <si>
    <t xml:space="preserve">Исследование активности дез.средств, к возбудителям ООИ (Бруцеллез) </t>
  </si>
  <si>
    <t xml:space="preserve">Исследование средств индивидуальной защиты к возбудителям ООИ (Бруцеллез)</t>
  </si>
  <si>
    <t xml:space="preserve">Исследование антимикробной активности лекарственных препаратов к возбудителям ООИ (Бруцеллез)</t>
  </si>
  <si>
    <t xml:space="preserve">Исследование активности дезсредств к возбудителям ООИ (Сибирская язва)</t>
  </si>
  <si>
    <t xml:space="preserve">Исследование средств индивидуальной защиты  к возбудителям ООИ (Сибирская язва)</t>
  </si>
  <si>
    <t xml:space="preserve">Исследование антимикробной активности лекарственных препаратов к возбудителям ООИ (Сибирская язва)</t>
  </si>
  <si>
    <t xml:space="preserve">Исследование активности дезсредствк возбудителям ООИ (Холера)</t>
  </si>
  <si>
    <t xml:space="preserve">Исследование средств  индивидуальной защиты к возбудителям ООИ (Холера)</t>
  </si>
  <si>
    <t xml:space="preserve">Исследование  антимикробной активности лекарственных препаратов к возбудителям ООИ (Холера)</t>
  </si>
  <si>
    <t xml:space="preserve">Исследование активности дезсредств к возбудителям ООИ (Туляремия)</t>
  </si>
  <si>
    <t xml:space="preserve">Исследование антимикробной активности лекарственных средств к возбудителям ООИ (Туляремия)</t>
  </si>
  <si>
    <t xml:space="preserve">Исследование активности дезсредств к возбудителям ООИ (Туберкулез)</t>
  </si>
  <si>
    <t xml:space="preserve">Исследование средств индивидуальной защиты к возбудителям ООИ(Туберкулез)</t>
  </si>
  <si>
    <t xml:space="preserve">Исследование  антимикробной активности лекарственных  препаратов к возбудителям ООИ (Туберкулез)</t>
  </si>
  <si>
    <t xml:space="preserve">Исследование активности дезсредств  к возбудителям ООИ (Пастереллез)</t>
  </si>
  <si>
    <t xml:space="preserve">Исследование активности дезсредств  к возбудителям ООИ (Легионеллез)</t>
  </si>
  <si>
    <t xml:space="preserve">Исследование активности дезсредств к возбудителям зоонозных инфекций (кишечный иерсиниоз)</t>
  </si>
  <si>
    <t xml:space="preserve">Исследование антимикробной  активности  лекарственных препаратов к возбудителям ООИ (кишечный иерсиниоз)</t>
  </si>
  <si>
    <t xml:space="preserve">Исследование активности дезсредств к возбудителям зоонозных инфекций (псевдотуберкулез)</t>
  </si>
  <si>
    <t xml:space="preserve">Исследование антимикробной активности лекарственных препаратов к возбудителям ООИ (псевдотуберкулез)</t>
  </si>
  <si>
    <t xml:space="preserve">Исследование активности дезсредств  к возбудителям зоонозных инфекций (листериоз)</t>
  </si>
  <si>
    <t xml:space="preserve">Исследование антимикробной активности лекарственных препаратов  к возбудителям ООИ  (листериоз)</t>
  </si>
  <si>
    <t xml:space="preserve">Определение ростовых, дифференцирующих и ингибирующих свойств (бактериологический метод)</t>
  </si>
  <si>
    <t xml:space="preserve">Определение антибитикочувствительности микрофлоры</t>
  </si>
  <si>
    <t xml:space="preserve">Транспортная среда</t>
  </si>
  <si>
    <t xml:space="preserve">Выдача заключения по итогом проведенных лабораторных испытаний на особо опасные и зоонозные инфекции</t>
  </si>
  <si>
    <t xml:space="preserve">Научный отчет по итогам научных исследований на особо опасные и зоонозные инфекции</t>
  </si>
  <si>
    <t xml:space="preserve">Определение резистентности возбудителей особо опасных инфекций к противомикробным препаратам методом дисков (на один вид инфекции) </t>
  </si>
  <si>
    <t xml:space="preserve">Определение резистентности возбудителей на зоонозных  инфекций  к противомикробным препаратом методом дисков (на один вид инфекции) </t>
  </si>
  <si>
    <t xml:space="preserve">Определение резистентности возбудителей особо опасных инфекции  к противомикробным препаратом методом серинных разведений  (на один вид инфекции) </t>
  </si>
  <si>
    <t xml:space="preserve">Определение резистентности возбудителей на зоонозных  инфекций к противомикробным препаратом методом серинных разведений  (на один вид инфекции)  </t>
  </si>
  <si>
    <t xml:space="preserve">Информационно-аналитический центр</t>
  </si>
  <si>
    <t xml:space="preserve">Представление архивных данных по инфекционной заболеваемости и опасным факторам внешней среды</t>
  </si>
  <si>
    <t xml:space="preserve">Курсы по ведению санэпидмониторингов и программ слежения</t>
  </si>
  <si>
    <t xml:space="preserve">Управление профилактики инфекционных и паразитарных заболеваний</t>
  </si>
  <si>
    <t xml:space="preserve">Услуги по разработке протокола исследования и анкеты для проведения клинических, эпидемиологических исследований</t>
  </si>
  <si>
    <t xml:space="preserve">Организация и проведение анализа базы данных по клиническим, эпидемиологическим исследованиям</t>
  </si>
  <si>
    <t xml:space="preserve">ПРОВЕДЕНИЕ ДЕЗИНФЕКЦИОННЫХ И ДЕЗИНЦЕКЦИОННЫХ МЕРОПРИЯТИИ</t>
  </si>
  <si>
    <t xml:space="preserve">Профилактическая дезифекция помещений</t>
  </si>
  <si>
    <t xml:space="preserve">Дератизация прилегающих территории</t>
  </si>
  <si>
    <t xml:space="preserve">Дезинсекция помещения</t>
  </si>
  <si>
    <t xml:space="preserve">Дезинсекция прилегающих территорий</t>
  </si>
  <si>
    <t xml:space="preserve">Предоставление письма -подтверждения о необходимости государственной регистрации подконторльной продукции (экспертиза проектных и предпроектных документов)</t>
  </si>
  <si>
    <t xml:space="preserve">Экспертиза проектных, предпроектных документов</t>
  </si>
  <si>
    <t xml:space="preserve">Выезд специалиста на объект</t>
  </si>
  <si>
    <t xml:space="preserve">Оформление протокола исследования</t>
  </si>
  <si>
    <t xml:space="preserve">ГОСУДАРСТВЕННАЯ и НЕГОСУДАРСТВЕННАЯ  РЕГИСТРАЦИЯ</t>
  </si>
  <si>
    <t xml:space="preserve">Экспертиза документов на продукцию подлежащих государственной регистрации,  оформление научного отчета с экспертным  заключением.</t>
  </si>
  <si>
    <t xml:space="preserve">Оформление отчета (научные, по исследованиям, научно-исследовательские и тд.)</t>
  </si>
  <si>
    <t xml:space="preserve">Оформление заключения (экспертного, по исследованиям и тд.)</t>
  </si>
  <si>
    <t xml:space="preserve">Заключение по результатам лабораторно-инструментальным иссследованиям (вода, пищевая продукция, почва, атмосферный воздух, воздух рабочей зоны, шум, вибрация, электромагнитные поля, микроклимат, освещенность и тд.)</t>
  </si>
  <si>
    <t xml:space="preserve">МЕЖЛАБОРАТОРНЫЕ СРАВНИТЕЛЬНЫЕ ИССЛЕДОВАНИЯ (МЛСИ), КОНСУЛЬТАТИВНАЯ ПОМОЩЬ, АУДИТ</t>
  </si>
  <si>
    <t xml:space="preserve">Референс-лаборатория по контролю за бактериальными инфекциями и антибиотикорезистентностью</t>
  </si>
  <si>
    <t xml:space="preserve">Вода питьевая</t>
  </si>
  <si>
    <t xml:space="preserve">Определение ОМЧ при 22С и при 37С</t>
  </si>
  <si>
    <t xml:space="preserve"> E.coli.</t>
  </si>
  <si>
    <t xml:space="preserve">Патогенные энтеробактерии</t>
  </si>
  <si>
    <t xml:space="preserve">Споры сульфитредуцирующих клостидий</t>
  </si>
  <si>
    <t xml:space="preserve">БГКП</t>
  </si>
  <si>
    <t xml:space="preserve">Р.aeruginosa</t>
  </si>
  <si>
    <t xml:space="preserve">Референс-лаборатория по контролю химических веществ и остаточных количеств пестицидов в объектах окружающей среды</t>
  </si>
  <si>
    <t xml:space="preserve">Почва, грунты (свинец,кадмии)</t>
  </si>
  <si>
    <t xml:space="preserve">Пищевая продукция: Крупы, рис (свинец,кадмии)</t>
  </si>
  <si>
    <t xml:space="preserve">Вино-водочные изделия, спирт этиловый и напитки (свинец,кадмии)</t>
  </si>
  <si>
    <t xml:space="preserve">Сыворотка крови</t>
  </si>
  <si>
    <t xml:space="preserve">Выявления поверхностного антигена HBsAg вируса гепатита В</t>
  </si>
  <si>
    <t xml:space="preserve">Выявления антител к вирусу  гепатита С</t>
  </si>
  <si>
    <t xml:space="preserve">Обноружение иммуноглобулинов класса IgM к кори</t>
  </si>
  <si>
    <t xml:space="preserve"> Референс-лаборатория  по радиационной безопасности</t>
  </si>
  <si>
    <t xml:space="preserve">Строительный материал Цемент</t>
  </si>
  <si>
    <t xml:space="preserve">Определение удельная эффективная активность радионуклидов</t>
  </si>
  <si>
    <t xml:space="preserve"> Референс-лаборатория по контролю за  паразитарными инфекциями</t>
  </si>
  <si>
    <t xml:space="preserve">Гемоскопические препараты крови на малярию (толстая капля, тонкий мазок)</t>
  </si>
  <si>
    <t xml:space="preserve">Референс-лаборатория по контролю за особа опасными инфекциями</t>
  </si>
  <si>
    <t xml:space="preserve">Сыворотка крови человека (исследование на бруцеллез)</t>
  </si>
  <si>
    <t xml:space="preserve">Оформление отчета по МЛСИ и статистического анализа и расчета</t>
  </si>
  <si>
    <t xml:space="preserve">ОБУЧЕНИЕ СПЕЦИАЛИСТОВ (1 день на рабочем месте)</t>
  </si>
  <si>
    <t xml:space="preserve">Стажировка на рабочем месте по лабораторной диагностике </t>
  </si>
  <si>
    <t xml:space="preserve">Семинары, обучения выездные</t>
  </si>
  <si>
    <t xml:space="preserve">Семинары</t>
  </si>
  <si>
    <t xml:space="preserve">Семинары (дистанционно)</t>
  </si>
  <si>
    <t xml:space="preserve">Проведение выездных тренингов и семинаров по вопросам коммуникации риска при вспышках, по организации противоэпидемических мероприятий, по актуальным вопросам профилактики инфекционных и паразитарных заболевании и др.
</t>
  </si>
  <si>
    <t xml:space="preserve">Гигиенического обучения декретированных групп населения предприятий, организаций (санитарный минимум)
</t>
  </si>
  <si>
    <t xml:space="preserve">Производственная практика студентов ВУЗов и колледжей </t>
  </si>
  <si>
    <t xml:space="preserve">Учебно-производственная практика для 1 студента ВУЗа, колледжа</t>
  </si>
  <si>
    <t xml:space="preserve">Обучение специалистов, курсы повышение квалификации (стоимость за 1 курсанта)</t>
  </si>
  <si>
    <t xml:space="preserve">Специалисты с высшим профессиональным образованием</t>
  </si>
  <si>
    <t xml:space="preserve">в т.ч.</t>
  </si>
  <si>
    <t xml:space="preserve">2 кредита/ 60 часов</t>
  </si>
  <si>
    <t xml:space="preserve">3 кредита/90 час</t>
  </si>
  <si>
    <t xml:space="preserve">4 кредита /120 часов</t>
  </si>
  <si>
    <t xml:space="preserve">5 кредитов/150 час</t>
  </si>
  <si>
    <t xml:space="preserve">Обучение специалистов, курсы повышение квалификации (стоимость за 1 курсанта) дистанционно </t>
  </si>
  <si>
    <t xml:space="preserve">Обучение специалистов, курсы повышение квалификации (стоимость за 1 курсанта)  с учетом материальных затрат</t>
  </si>
  <si>
    <t xml:space="preserve">Специалисты со средним профессиональным образованием</t>
  </si>
  <si>
    <t xml:space="preserve">Обучение специалистов, курсы повышение квалификации </t>
  </si>
  <si>
    <t xml:space="preserve">Обучение специалистов, курсы повышение квалификации, дистанционно </t>
  </si>
  <si>
    <t xml:space="preserve">Обучение специалистов, курсы повышение квалификации  с учетом материальных затрат</t>
  </si>
  <si>
    <t xml:space="preserve">Сертификационный курс (теоретические дисциплины) 15 кредитов/450 акад.час </t>
  </si>
  <si>
    <t xml:space="preserve">Сертификационный курс (лабораторные дисциплины) 15 кредитов/450 акад.час </t>
  </si>
  <si>
    <t xml:space="preserve">Обеспечение радиационной безопасности (30часов)</t>
  </si>
  <si>
    <t xml:space="preserve">21.</t>
  </si>
  <si>
    <t xml:space="preserve">Лабораторные животные</t>
  </si>
  <si>
    <t xml:space="preserve">Крыса  лабораторная </t>
  </si>
  <si>
    <t xml:space="preserve">Морская свинка</t>
  </si>
  <si>
    <t xml:space="preserve">Кролик</t>
  </si>
  <si>
    <t xml:space="preserve">Белая мышь</t>
  </si>
  <si>
    <t xml:space="preserve">Консалтинговые услуги</t>
  </si>
  <si>
    <t xml:space="preserve">1. ГОСТ ISO/IEC 17025-2019 «Общие требования к компетентности испытательных и калибровочных лабораторий»; </t>
  </si>
  <si>
    <t xml:space="preserve">2. ГОСТ ISO/IEC 17043-2013 «Основные требования к проведению проверки квалификации»; </t>
  </si>
  <si>
    <t xml:space="preserve">3. СТ РК ISO 15189-2015 Лабораторий медицинские «Требования к качеству и компетентности».                                                             </t>
  </si>
  <si>
    <t xml:space="preserve">Оказание экспертно консалтинговых услуг по сопровождению подготовки документации хоз. субъектами для гос. регистрации, лицензирования, а также выбора участка, проектирования и строительства (реконструкций) и т.п. по вопросам в сфере санэпидблагополучия</t>
  </si>
  <si>
    <t xml:space="preserve">Производственный контроль</t>
  </si>
  <si>
    <t xml:space="preserve">Проведение консультации по вопросам СЭБ, ТР ТС  и т.д.</t>
  </si>
  <si>
    <t xml:space="preserve">К А Л Ь К У Л Я Ц И Я</t>
  </si>
  <si>
    <t xml:space="preserve">РГП на ПХВ "Национальный центр общественного здравоохранения" МЗ РК</t>
  </si>
  <si>
    <t xml:space="preserve">Дата утверждения "____" _____________ 2021 года</t>
  </si>
  <si>
    <t xml:space="preserve">тенге</t>
  </si>
  <si>
    <t xml:space="preserve">№п/п</t>
  </si>
  <si>
    <t xml:space="preserve">Наименование исследования</t>
  </si>
  <si>
    <t xml:space="preserve">Всего прямые затраты</t>
  </si>
  <si>
    <t xml:space="preserve">Всего  себестоимость услуг</t>
  </si>
  <si>
    <t xml:space="preserve">Рентабельность </t>
  </si>
  <si>
    <t xml:space="preserve">Цена с учетом рентабельности </t>
  </si>
  <si>
    <t xml:space="preserve">Чистый доход прибыль</t>
  </si>
  <si>
    <t xml:space="preserve">Материальные затраты</t>
  </si>
  <si>
    <t xml:space="preserve">Затраты на оплату труда</t>
  </si>
  <si>
    <t xml:space="preserve">Амортизационные отчисления</t>
  </si>
  <si>
    <t xml:space="preserve">Заработная плата</t>
  </si>
  <si>
    <t xml:space="preserve">Дополнительная заработная плата</t>
  </si>
  <si>
    <t xml:space="preserve">Взносы работодателей</t>
  </si>
  <si>
    <t xml:space="preserve">в %</t>
  </si>
  <si>
    <t xml:space="preserve">10=9*4</t>
  </si>
  <si>
    <t xml:space="preserve">Определение массовой доли активного хлора (гипохлорит натрия, водные растворы, рабочие растворы)</t>
  </si>
  <si>
    <t xml:space="preserve">Референс -лаборатория по контролю особо-опасными  инфекциями</t>
  </si>
  <si>
    <t xml:space="preserve">Оформление отчета по МЛСИ и статестического анализа и расчета</t>
  </si>
  <si>
    <t xml:space="preserve">17</t>
  </si>
  <si>
    <t xml:space="preserve">Обучение специалистов, курсы повышение квалификации (стоимость за 1 курсанта), </t>
  </si>
  <si>
    <t xml:space="preserve">Приложение №3</t>
  </si>
  <si>
    <t xml:space="preserve">к приказу Министерства здравоохранения  РК</t>
  </si>
  <si>
    <t xml:space="preserve">от 10 января 2002 года №13</t>
  </si>
  <si>
    <t xml:space="preserve">Форма 2.1</t>
  </si>
  <si>
    <t xml:space="preserve">Расшифровка материальных затрат</t>
  </si>
  <si>
    <t xml:space="preserve">Филиал "Научно-практический центр 
санитарно-эпидемиологической экспертизы и мониторинга" РГП на ПХВ "НЦОЗ" МЗ РК
(наименование организации)</t>
  </si>
  <si>
    <t xml:space="preserve">на проведение санитарно-химических, бактериологических, паразитологических, вирусологических, радиологических и токсикологических, особо-опасных лабораторных исследований, замеров электромагнитных полей и других факторов среды обитания человека, проведение дезинфекционных и дезинсекционных мероприятий, разработку нормативно-правовых актов, разработку методических указаний, экспертизу проектных и предпроектных документов, реализацию печатной продукции</t>
  </si>
  <si>
    <t xml:space="preserve">Наименование услуг</t>
  </si>
  <si>
    <t xml:space="preserve">Наименование материалов</t>
  </si>
  <si>
    <t xml:space="preserve">Единица измерения</t>
  </si>
  <si>
    <t xml:space="preserve">Затраты на единицу по нормам, учтенным при расчете цены</t>
  </si>
  <si>
    <t xml:space="preserve">Обоснование по НПА</t>
  </si>
  <si>
    <t xml:space="preserve">Нормы расходы</t>
  </si>
  <si>
    <t xml:space="preserve">Цена</t>
  </si>
  <si>
    <t xml:space="preserve">Сумма</t>
  </si>
  <si>
    <t xml:space="preserve">1</t>
  </si>
  <si>
    <t xml:space="preserve">1.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t>
  </si>
  <si>
    <t xml:space="preserve">1.1.1.</t>
  </si>
  <si>
    <t xml:space="preserve">фильтровальная бумага</t>
  </si>
  <si>
    <t xml:space="preserve">уп.</t>
  </si>
  <si>
    <t xml:space="preserve">спирт этиловый</t>
  </si>
  <si>
    <t xml:space="preserve">л.</t>
  </si>
  <si>
    <t xml:space="preserve">марля</t>
  </si>
  <si>
    <t xml:space="preserve">м</t>
  </si>
  <si>
    <t xml:space="preserve">вата </t>
  </si>
  <si>
    <t xml:space="preserve">кг </t>
  </si>
  <si>
    <t xml:space="preserve">Итого</t>
  </si>
  <si>
    <t xml:space="preserve">1.1.2.</t>
  </si>
  <si>
    <t xml:space="preserve">ГСО цветности</t>
  </si>
  <si>
    <t xml:space="preserve">амп.</t>
  </si>
  <si>
    <t xml:space="preserve">натрий углекислый</t>
  </si>
  <si>
    <t xml:space="preserve">кг</t>
  </si>
  <si>
    <t xml:space="preserve">1.1.3.</t>
  </si>
  <si>
    <t xml:space="preserve">1.1.4.</t>
  </si>
  <si>
    <t xml:space="preserve">Определение мутности</t>
  </si>
  <si>
    <t xml:space="preserve">ГСО мутности</t>
  </si>
  <si>
    <t xml:space="preserve">амп</t>
  </si>
  <si>
    <t xml:space="preserve">Определение водородного показателя </t>
  </si>
  <si>
    <t xml:space="preserve">фиксанал стандарт титр рН-метрии </t>
  </si>
  <si>
    <t xml:space="preserve">уп</t>
  </si>
  <si>
    <t xml:space="preserve">Определение общей минерализаций (сухой остаток) </t>
  </si>
  <si>
    <t xml:space="preserve">натрий углекислый  ч.д.а.</t>
  </si>
  <si>
    <t xml:space="preserve">Определение перманганатной окисляемости</t>
  </si>
  <si>
    <t xml:space="preserve">фиксанал стандарт-титр калий  марганцевокислый</t>
  </si>
  <si>
    <t xml:space="preserve">фиксанал стандарт-титр  щавелевая кислота</t>
  </si>
  <si>
    <t xml:space="preserve">серная кислота</t>
  </si>
  <si>
    <t xml:space="preserve">кальций хлористый</t>
  </si>
  <si>
    <t xml:space="preserve">кг.</t>
  </si>
  <si>
    <t xml:space="preserve">метиловый оранжевый</t>
  </si>
  <si>
    <t xml:space="preserve">фиксанал стандарт-титр соляная кислота  </t>
  </si>
  <si>
    <t xml:space="preserve">фиксанал стандарт-титр трилон Б</t>
  </si>
  <si>
    <t xml:space="preserve">аммиак 25%</t>
  </si>
  <si>
    <t xml:space="preserve">соляная кислота</t>
  </si>
  <si>
    <t xml:space="preserve">хромоген черный спец.</t>
  </si>
  <si>
    <t xml:space="preserve">аммоний хлористый</t>
  </si>
  <si>
    <t xml:space="preserve">магний сернокислый</t>
  </si>
  <si>
    <t xml:space="preserve">натрий хлористый</t>
  </si>
  <si>
    <t xml:space="preserve">серебро азотнокислое</t>
  </si>
  <si>
    <t xml:space="preserve">1240000</t>
  </si>
  <si>
    <t xml:space="preserve">калий хромовокислый, х.ч</t>
  </si>
  <si>
    <t xml:space="preserve">калий-натрий виннокислый 4-вод. </t>
  </si>
  <si>
    <t xml:space="preserve">ГСО нитрат-ионов</t>
  </si>
  <si>
    <t xml:space="preserve"> натрий гидроксид</t>
  </si>
  <si>
    <t xml:space="preserve">калий азотнокислый</t>
  </si>
  <si>
    <t xml:space="preserve">натрий салициловокислый</t>
  </si>
  <si>
    <t xml:space="preserve">натрий азотистокислый </t>
  </si>
  <si>
    <t xml:space="preserve">хлороформ </t>
  </si>
  <si>
    <t xml:space="preserve">ГСО нитрит-ионов</t>
  </si>
  <si>
    <t xml:space="preserve">реактив Грисса</t>
  </si>
  <si>
    <t xml:space="preserve">уксусная кислота</t>
  </si>
  <si>
    <t xml:space="preserve">ГСО общего азота</t>
  </si>
  <si>
    <t xml:space="preserve">реактив Несслера</t>
  </si>
  <si>
    <t xml:space="preserve">алюмокалиевые квасцы</t>
  </si>
  <si>
    <t xml:space="preserve">этиленгликоль</t>
  </si>
  <si>
    <t xml:space="preserve">ке</t>
  </si>
  <si>
    <t xml:space="preserve">10976</t>
  </si>
  <si>
    <t xml:space="preserve">барий хлористый</t>
  </si>
  <si>
    <t xml:space="preserve">ализарин комплексон, ч.д.а.</t>
  </si>
  <si>
    <t xml:space="preserve">0,001</t>
  </si>
  <si>
    <t xml:space="preserve">натрий фтористый</t>
  </si>
  <si>
    <t xml:space="preserve">натрий уксуснокислый 3 вод</t>
  </si>
  <si>
    <t xml:space="preserve">натрий гидроксид </t>
  </si>
  <si>
    <t xml:space="preserve">нитрит лантана</t>
  </si>
  <si>
    <t xml:space="preserve">фиксанал стандарт-титр соляной кислоты</t>
  </si>
  <si>
    <t xml:space="preserve">0,01</t>
  </si>
  <si>
    <t xml:space="preserve">ГСО ионов фтора</t>
  </si>
  <si>
    <t xml:space="preserve">Натрий гидроокись</t>
  </si>
  <si>
    <t xml:space="preserve">азотная кислота</t>
  </si>
  <si>
    <t xml:space="preserve">ГСО ионов калия</t>
  </si>
  <si>
    <t xml:space="preserve">шт.</t>
  </si>
  <si>
    <t xml:space="preserve">СТ.титр натрий гидроксид</t>
  </si>
  <si>
    <t xml:space="preserve">метиловый красный</t>
  </si>
  <si>
    <t xml:space="preserve">мурексид</t>
  </si>
  <si>
    <t xml:space="preserve">0,0003</t>
  </si>
  <si>
    <t xml:space="preserve">аммиак 25%, х.ч.</t>
  </si>
  <si>
    <t xml:space="preserve">хром темно-синий кислотный</t>
  </si>
  <si>
    <t xml:space="preserve">0,0005</t>
  </si>
  <si>
    <t xml:space="preserve">фиксанал стандарт-титр соляная кислота</t>
  </si>
  <si>
    <t xml:space="preserve">0,05</t>
  </si>
  <si>
    <t xml:space="preserve">калий йодистый</t>
  </si>
  <si>
    <t xml:space="preserve">крахмал</t>
  </si>
  <si>
    <t xml:space="preserve">фиксанал стандарт-титр натрий серноватистокислый</t>
  </si>
  <si>
    <t xml:space="preserve">натрий уксуснокислый</t>
  </si>
  <si>
    <t xml:space="preserve">хлороформ</t>
  </si>
  <si>
    <t xml:space="preserve">салициловая кислота </t>
  </si>
  <si>
    <t xml:space="preserve">калий двухромокислый</t>
  </si>
  <si>
    <t xml:space="preserve">ст.титр соляной кислоты</t>
  </si>
  <si>
    <t xml:space="preserve">0,002</t>
  </si>
  <si>
    <t xml:space="preserve">уксуснокислый натрий</t>
  </si>
  <si>
    <t xml:space="preserve">соль Мора</t>
  </si>
  <si>
    <t xml:space="preserve">калий двухромовокислый</t>
  </si>
  <si>
    <t xml:space="preserve">0,005</t>
  </si>
  <si>
    <t xml:space="preserve">калий иодистый</t>
  </si>
  <si>
    <t xml:space="preserve">сульфат марганца</t>
  </si>
  <si>
    <t xml:space="preserve">калий гидроокись</t>
  </si>
  <si>
    <t xml:space="preserve">сульфат железо 7 вод</t>
  </si>
  <si>
    <t xml:space="preserve">сульфат серебра</t>
  </si>
  <si>
    <t xml:space="preserve">1097,600</t>
  </si>
  <si>
    <t xml:space="preserve">сульфат ртути</t>
  </si>
  <si>
    <t xml:space="preserve">калий фталат</t>
  </si>
  <si>
    <t xml:space="preserve">фенантролин гидрад</t>
  </si>
  <si>
    <t xml:space="preserve">ферроин</t>
  </si>
  <si>
    <t xml:space="preserve">940,800</t>
  </si>
  <si>
    <t xml:space="preserve">натрий гидроокись</t>
  </si>
  <si>
    <t xml:space="preserve">метиленовый синий индикатор</t>
  </si>
  <si>
    <t xml:space="preserve">калий фосфорнокислый 2-зам.</t>
  </si>
  <si>
    <t xml:space="preserve">МСО для контроля анионных СПАВ (додецил-сульфат натрия порошок)</t>
  </si>
  <si>
    <t xml:space="preserve">индикаторная бумага</t>
  </si>
  <si>
    <t xml:space="preserve">0,1</t>
  </si>
  <si>
    <t xml:space="preserve">алюминон </t>
  </si>
  <si>
    <t xml:space="preserve">аммоний сернокислый</t>
  </si>
  <si>
    <t xml:space="preserve">алюминий окись</t>
  </si>
  <si>
    <t xml:space="preserve">аскорбиновая кислота</t>
  </si>
  <si>
    <t xml:space="preserve">ГСО ионов алюминия</t>
  </si>
  <si>
    <t xml:space="preserve">надсернокислый аммоний</t>
  </si>
  <si>
    <t xml:space="preserve">уксунокислый натрий</t>
  </si>
  <si>
    <t xml:space="preserve"> Определение бора</t>
  </si>
  <si>
    <t xml:space="preserve">борная кислота</t>
  </si>
  <si>
    <t xml:space="preserve">хромотроповая кислота</t>
  </si>
  <si>
    <t xml:space="preserve">этилдиамин N,N,N,N-тетроуксусной кислоты</t>
  </si>
  <si>
    <t xml:space="preserve">65000</t>
  </si>
  <si>
    <t xml:space="preserve">динатриевая соль 2 вод</t>
  </si>
  <si>
    <t xml:space="preserve">трилон Б</t>
  </si>
  <si>
    <t xml:space="preserve">ГСО бора</t>
  </si>
  <si>
    <t xml:space="preserve">ГСО бенз(а)пирена</t>
  </si>
  <si>
    <t xml:space="preserve">0,11</t>
  </si>
  <si>
    <t xml:space="preserve">гексан </t>
  </si>
  <si>
    <t xml:space="preserve">6048</t>
  </si>
  <si>
    <t xml:space="preserve">ацетонитрил</t>
  </si>
  <si>
    <t xml:space="preserve">газ баллон гелий</t>
  </si>
  <si>
    <t xml:space="preserve">бал.</t>
  </si>
  <si>
    <t xml:space="preserve">гидроксиламин солянокислый</t>
  </si>
  <si>
    <t xml:space="preserve">аммоний уксуснокислый</t>
  </si>
  <si>
    <t xml:space="preserve">ГСО ионов железа (III)</t>
  </si>
  <si>
    <t xml:space="preserve">железо аммонийные квасцы </t>
  </si>
  <si>
    <t xml:space="preserve">уксусная  кислота</t>
  </si>
  <si>
    <t xml:space="preserve"> моногидрата ортофенантролина</t>
  </si>
  <si>
    <t xml:space="preserve"> Определение хрома</t>
  </si>
  <si>
    <t xml:space="preserve">ГСО хрома</t>
  </si>
  <si>
    <t xml:space="preserve">алюминий сернокислый 18 вод</t>
  </si>
  <si>
    <t xml:space="preserve">натрий сернистокислый</t>
  </si>
  <si>
    <t xml:space="preserve">натрий углекислый безвод.</t>
  </si>
  <si>
    <t xml:space="preserve">фенолфталеин</t>
  </si>
  <si>
    <t xml:space="preserve">калий хромовокислый</t>
  </si>
  <si>
    <t xml:space="preserve">ортофосфорная кислота</t>
  </si>
  <si>
    <t xml:space="preserve">0,02</t>
  </si>
  <si>
    <t xml:space="preserve">ГСО свинца</t>
  </si>
  <si>
    <t xml:space="preserve">муравьиная кислота</t>
  </si>
  <si>
    <t xml:space="preserve">перекись водорода</t>
  </si>
  <si>
    <t xml:space="preserve">0,03</t>
  </si>
  <si>
    <t xml:space="preserve">газ баллон ацетилен</t>
  </si>
  <si>
    <t xml:space="preserve">Определение кадмия </t>
  </si>
  <si>
    <t xml:space="preserve">ГСО кадмия</t>
  </si>
  <si>
    <t xml:space="preserve">Определение цинка </t>
  </si>
  <si>
    <t xml:space="preserve">ГСО цинк</t>
  </si>
  <si>
    <t xml:space="preserve">калий хлористый</t>
  </si>
  <si>
    <t xml:space="preserve">ГСО меди</t>
  </si>
  <si>
    <t xml:space="preserve">7100</t>
  </si>
  <si>
    <t xml:space="preserve">ГСО мышьяка</t>
  </si>
  <si>
    <t xml:space="preserve">ГСО золота</t>
  </si>
  <si>
    <t xml:space="preserve">Трилон Б</t>
  </si>
  <si>
    <t xml:space="preserve">газ баллон аргон </t>
  </si>
  <si>
    <t xml:space="preserve">сернокислый гидразин</t>
  </si>
  <si>
    <t xml:space="preserve">калий  хлористый</t>
  </si>
  <si>
    <t xml:space="preserve">натрий гидроксид</t>
  </si>
  <si>
    <t xml:space="preserve">газ баллон азот </t>
  </si>
  <si>
    <t xml:space="preserve">ГСО ртути</t>
  </si>
  <si>
    <t xml:space="preserve">натрий двууглекислый</t>
  </si>
  <si>
    <t xml:space="preserve">Определение марганца</t>
  </si>
  <si>
    <t xml:space="preserve">ГСО марганца</t>
  </si>
  <si>
    <t xml:space="preserve">марганец сернокислый </t>
  </si>
  <si>
    <t xml:space="preserve">магний сернокислый </t>
  </si>
  <si>
    <t xml:space="preserve">к</t>
  </si>
  <si>
    <t xml:space="preserve">ортофосфорная кислота </t>
  </si>
  <si>
    <t xml:space="preserve">натрия гидроокись </t>
  </si>
  <si>
    <t xml:space="preserve">фенолфталейн</t>
  </si>
  <si>
    <t xml:space="preserve">серебро азотнокислое </t>
  </si>
  <si>
    <t xml:space="preserve">ртуть сернокислый </t>
  </si>
  <si>
    <t xml:space="preserve">калий марганцевокислый</t>
  </si>
  <si>
    <t xml:space="preserve">аммониий надсернокислый</t>
  </si>
  <si>
    <t xml:space="preserve"> Определение кобальта</t>
  </si>
  <si>
    <t xml:space="preserve">ГСО кобальта</t>
  </si>
  <si>
    <t xml:space="preserve">салицилфлуорон</t>
  </si>
  <si>
    <t xml:space="preserve">натрий тетроборнокислый</t>
  </si>
  <si>
    <t xml:space="preserve">аммоний молибденовокислый</t>
  </si>
  <si>
    <t xml:space="preserve">изоамиловый спирт х.ч.</t>
  </si>
  <si>
    <t xml:space="preserve">калий-натрий виннокислый 4-вод.</t>
  </si>
  <si>
    <t xml:space="preserve">калий роданистый, х.ч.</t>
  </si>
  <si>
    <t xml:space="preserve">калий марганцевокислый, х.ч.</t>
  </si>
  <si>
    <t xml:space="preserve">4-х хлористый углерод</t>
  </si>
  <si>
    <t xml:space="preserve">олово двухлористое двуводное </t>
  </si>
  <si>
    <t xml:space="preserve">олово металлический</t>
  </si>
  <si>
    <t xml:space="preserve">ГСО ионов молибдена</t>
  </si>
  <si>
    <t xml:space="preserve">ГСО никеля</t>
  </si>
  <si>
    <t xml:space="preserve">Определение фенола</t>
  </si>
  <si>
    <t xml:space="preserve">гексан</t>
  </si>
  <si>
    <t xml:space="preserve">бутиловый эфир уксусной кислоты</t>
  </si>
  <si>
    <t xml:space="preserve">натрий углекислый 10 вод</t>
  </si>
  <si>
    <t xml:space="preserve">бумага индикаторная универсальная</t>
  </si>
  <si>
    <t xml:space="preserve">ГСО фенола</t>
  </si>
  <si>
    <t xml:space="preserve">мембранный фильтр</t>
  </si>
  <si>
    <t xml:space="preserve">кадмий уксуснокислый</t>
  </si>
  <si>
    <t xml:space="preserve">фиксанал стандарт-титр йода</t>
  </si>
  <si>
    <t xml:space="preserve">0,003</t>
  </si>
  <si>
    <t xml:space="preserve">Определение полифосфата</t>
  </si>
  <si>
    <t xml:space="preserve">аммоний молибденовокислый </t>
  </si>
  <si>
    <t xml:space="preserve">олово двухлористое двуводное</t>
  </si>
  <si>
    <t xml:space="preserve">ГСО общего фосфора</t>
  </si>
  <si>
    <t xml:space="preserve">калий фосфорнокислый 1-зам.</t>
  </si>
  <si>
    <t xml:space="preserve">ГСО селена</t>
  </si>
  <si>
    <t xml:space="preserve">2,3 диаминанафталамина</t>
  </si>
  <si>
    <t xml:space="preserve">хлорная кислота</t>
  </si>
  <si>
    <t xml:space="preserve"> Определение нефтепродуктов</t>
  </si>
  <si>
    <t xml:space="preserve">гексан о.с.ч</t>
  </si>
  <si>
    <t xml:space="preserve">ГСО нефтепродуктов</t>
  </si>
  <si>
    <t xml:space="preserve">0,5</t>
  </si>
  <si>
    <t xml:space="preserve"> Определение органического углерода</t>
  </si>
  <si>
    <t xml:space="preserve">калий фталевокислый</t>
  </si>
  <si>
    <t xml:space="preserve">ортофосфорная кислота конц.</t>
  </si>
  <si>
    <t xml:space="preserve">0,034</t>
  </si>
  <si>
    <t xml:space="preserve"> Определение калия</t>
  </si>
  <si>
    <t xml:space="preserve">ГСО калия</t>
  </si>
  <si>
    <t xml:space="preserve"> Определение натрия</t>
  </si>
  <si>
    <t xml:space="preserve">ГСО натрия</t>
  </si>
  <si>
    <t xml:space="preserve">отбор проб воды (выезд специалиста лабораторий)</t>
  </si>
  <si>
    <t xml:space="preserve">перчатки</t>
  </si>
  <si>
    <t xml:space="preserve">шт</t>
  </si>
  <si>
    <t xml:space="preserve">ГСО бария</t>
  </si>
  <si>
    <t xml:space="preserve">нитрат магния 6  водный</t>
  </si>
  <si>
    <t xml:space="preserve">газ баллон азота</t>
  </si>
  <si>
    <t xml:space="preserve">ГСО висмута</t>
  </si>
  <si>
    <t xml:space="preserve">Определение ваннадий</t>
  </si>
  <si>
    <t xml:space="preserve">ГСО ваннадия</t>
  </si>
  <si>
    <t xml:space="preserve">ГСО стронция</t>
  </si>
  <si>
    <t xml:space="preserve">Определение  водородного показателя </t>
  </si>
  <si>
    <t xml:space="preserve">натрий углекислый кислый ч.д.а.</t>
  </si>
  <si>
    <t xml:space="preserve">0,0008</t>
  </si>
  <si>
    <t xml:space="preserve">л</t>
  </si>
  <si>
    <t xml:space="preserve">0,015</t>
  </si>
  <si>
    <t xml:space="preserve">фиксанал стандарт-титр азотной кислоты</t>
  </si>
  <si>
    <t xml:space="preserve">7200</t>
  </si>
  <si>
    <t xml:space="preserve">280000</t>
  </si>
  <si>
    <t xml:space="preserve">марганец хлористый</t>
  </si>
  <si>
    <t xml:space="preserve">натрий гидроокись </t>
  </si>
  <si>
    <t xml:space="preserve">калий йодноватокислый </t>
  </si>
  <si>
    <t xml:space="preserve">фиксанал стандарт-титр натрий серноватистокислый </t>
  </si>
  <si>
    <t xml:space="preserve">Калий фосфорнокислый однозамещенный </t>
  </si>
  <si>
    <t xml:space="preserve">Метиленовый синий, ч</t>
  </si>
  <si>
    <t xml:space="preserve">индикаторная универсальная бумага  рН</t>
  </si>
  <si>
    <t xml:space="preserve">аммоний надсернокислый </t>
  </si>
  <si>
    <t xml:space="preserve">упак.</t>
  </si>
  <si>
    <t xml:space="preserve">ртуть сернокислый</t>
  </si>
  <si>
    <t xml:space="preserve">0,0001</t>
  </si>
  <si>
    <t xml:space="preserve">60000</t>
  </si>
  <si>
    <t xml:space="preserve">0,8</t>
  </si>
  <si>
    <t xml:space="preserve">натрий сернокислый</t>
  </si>
  <si>
    <t xml:space="preserve">окись алюминия</t>
  </si>
  <si>
    <t xml:space="preserve">0,06</t>
  </si>
  <si>
    <t xml:space="preserve">ГСО органического углерода</t>
  </si>
  <si>
    <t xml:space="preserve">0,014</t>
  </si>
  <si>
    <t xml:space="preserve"> Определение двуокиси углерода</t>
  </si>
  <si>
    <t xml:space="preserve">1.3.1.</t>
  </si>
  <si>
    <t xml:space="preserve">1.3.2.</t>
  </si>
  <si>
    <t xml:space="preserve">1.3.3.</t>
  </si>
  <si>
    <t xml:space="preserve">1.3.4.</t>
  </si>
  <si>
    <t xml:space="preserve">0,903</t>
  </si>
  <si>
    <t xml:space="preserve">гидразин сернокислый</t>
  </si>
  <si>
    <t xml:space="preserve">0,0275</t>
  </si>
  <si>
    <t xml:space="preserve">калий сернокислый</t>
  </si>
  <si>
    <t xml:space="preserve">фосфорной кислоты</t>
  </si>
  <si>
    <t xml:space="preserve">литр</t>
  </si>
  <si>
    <t xml:space="preserve">сернокислая медь</t>
  </si>
  <si>
    <t xml:space="preserve">0,0025</t>
  </si>
  <si>
    <t xml:space="preserve">0,008</t>
  </si>
  <si>
    <t xml:space="preserve">15100</t>
  </si>
  <si>
    <t xml:space="preserve">1.3.5.</t>
  </si>
  <si>
    <t xml:space="preserve">двухромовокислый калий</t>
  </si>
  <si>
    <t xml:space="preserve">калий  гидроокись</t>
  </si>
  <si>
    <t xml:space="preserve">18000</t>
  </si>
  <si>
    <t xml:space="preserve">1,0</t>
  </si>
  <si>
    <t xml:space="preserve">0,04</t>
  </si>
  <si>
    <t xml:space="preserve">железо сернокислый</t>
  </si>
  <si>
    <t xml:space="preserve">0,027</t>
  </si>
  <si>
    <t xml:space="preserve">1.3.6.</t>
  </si>
  <si>
    <t xml:space="preserve">селен металлическая</t>
  </si>
  <si>
    <t xml:space="preserve">медь сернокислая 5 водная</t>
  </si>
  <si>
    <t xml:space="preserve">фиксанал стандарт-титр серная кислота</t>
  </si>
  <si>
    <t xml:space="preserve">метиловый красный </t>
  </si>
  <si>
    <t xml:space="preserve">метиленовый голубой</t>
  </si>
  <si>
    <t xml:space="preserve">1.3.7.</t>
  </si>
  <si>
    <t xml:space="preserve">калий фосфорнокислый 1-3</t>
  </si>
  <si>
    <t xml:space="preserve">натрий фосфорнокислый 2-э</t>
  </si>
  <si>
    <t xml:space="preserve">бромтимоловый синий</t>
  </si>
  <si>
    <t xml:space="preserve">200000</t>
  </si>
  <si>
    <t xml:space="preserve">1.3.8.</t>
  </si>
  <si>
    <t xml:space="preserve">1.3.9.</t>
  </si>
  <si>
    <t xml:space="preserve">хромоген темносиний</t>
  </si>
  <si>
    <t xml:space="preserve">гидроксиламин солянокислый </t>
  </si>
  <si>
    <t xml:space="preserve">1.3.10.</t>
  </si>
  <si>
    <t xml:space="preserve">0,0034</t>
  </si>
  <si>
    <t xml:space="preserve">Калий хлористый</t>
  </si>
  <si>
    <t xml:space="preserve">1.3.11.</t>
  </si>
  <si>
    <t xml:space="preserve">метиловаый красный</t>
  </si>
  <si>
    <t xml:space="preserve">1.3.12.</t>
  </si>
  <si>
    <t xml:space="preserve">алюминий хлористый</t>
  </si>
  <si>
    <t xml:space="preserve">аммоний ванадиевокислый</t>
  </si>
  <si>
    <t xml:space="preserve">аммоний углекислый</t>
  </si>
  <si>
    <t xml:space="preserve">10500</t>
  </si>
  <si>
    <t xml:space="preserve">калий сурьмяновиннокислый</t>
  </si>
  <si>
    <t xml:space="preserve">калий фосфорнокислый однозамещенный</t>
  </si>
  <si>
    <t xml:space="preserve">кальций углекислый</t>
  </si>
  <si>
    <t xml:space="preserve">фтористоводородная кислота</t>
  </si>
  <si>
    <t xml:space="preserve">0,0022</t>
  </si>
  <si>
    <t xml:space="preserve">1.3.13.</t>
  </si>
  <si>
    <t xml:space="preserve">муравьиная кислота </t>
  </si>
  <si>
    <t xml:space="preserve">кобальт сернокислый</t>
  </si>
  <si>
    <t xml:space="preserve">0,0047</t>
  </si>
  <si>
    <t xml:space="preserve">0,108</t>
  </si>
  <si>
    <t xml:space="preserve">свинец азотнокислый</t>
  </si>
  <si>
    <t xml:space="preserve">0,004</t>
  </si>
  <si>
    <t xml:space="preserve">4500</t>
  </si>
  <si>
    <t xml:space="preserve">диэтилдитиокарбомата натрия</t>
  </si>
  <si>
    <t xml:space="preserve">лимоннокислый натрий</t>
  </si>
  <si>
    <t xml:space="preserve">0,3</t>
  </si>
  <si>
    <t xml:space="preserve">12000</t>
  </si>
  <si>
    <t xml:space="preserve">Определение свинца, кадмия, цинка и меди</t>
  </si>
  <si>
    <t xml:space="preserve">приготовление вытяжки для определения валового содержания цинка, кадмия, свинца, меди, марганца, никеля, кобальта, железа, мышьяка, селена, ртути (подготовка проб)</t>
  </si>
  <si>
    <t xml:space="preserve">0,21</t>
  </si>
  <si>
    <t xml:space="preserve">0,07</t>
  </si>
  <si>
    <t xml:space="preserve">хлористый лантан</t>
  </si>
  <si>
    <t xml:space="preserve">0,037</t>
  </si>
  <si>
    <t xml:space="preserve">0,075</t>
  </si>
  <si>
    <t xml:space="preserve">отбор проб почвы (выезд специалиста лабораторий)</t>
  </si>
  <si>
    <t xml:space="preserve">1.4.1.</t>
  </si>
  <si>
    <t xml:space="preserve">м.</t>
  </si>
  <si>
    <t xml:space="preserve">очки защитные</t>
  </si>
  <si>
    <t xml:space="preserve">1.4.2.</t>
  </si>
  <si>
    <t xml:space="preserve">1.4.3.</t>
  </si>
  <si>
    <t xml:space="preserve">1.4.4.</t>
  </si>
  <si>
    <t xml:space="preserve">раствор для калибровки HANNA HI 7007L Готовый буферный раствор</t>
  </si>
  <si>
    <t xml:space="preserve">1.4.5.</t>
  </si>
  <si>
    <t xml:space="preserve">ареометр</t>
  </si>
  <si>
    <t xml:space="preserve">1.4.6.</t>
  </si>
  <si>
    <t xml:space="preserve">пинцет лабораторный</t>
  </si>
  <si>
    <t xml:space="preserve">кислота серная</t>
  </si>
  <si>
    <t xml:space="preserve">стандарт-титр натрий серноватистокислый 0,1 н.</t>
  </si>
  <si>
    <t xml:space="preserve">1.4.10.</t>
  </si>
  <si>
    <t xml:space="preserve">стандарт-титр кислота серная 0,1 н.</t>
  </si>
  <si>
    <t xml:space="preserve">1.4.11.</t>
  </si>
  <si>
    <t xml:space="preserve">1.4.12.</t>
  </si>
  <si>
    <t xml:space="preserve">стандарт-титр калий марганцовокислый 0,1 н.</t>
  </si>
  <si>
    <t xml:space="preserve">1.4.13.</t>
  </si>
  <si>
    <t xml:space="preserve">1.4.14.</t>
  </si>
  <si>
    <t xml:space="preserve">стандарт-титр натрий гидроокись 0,1 н.</t>
  </si>
  <si>
    <t xml:space="preserve">бромфеноловый синий</t>
  </si>
  <si>
    <t xml:space="preserve">1.4.15.</t>
  </si>
  <si>
    <t xml:space="preserve">1.4.16.</t>
  </si>
  <si>
    <t xml:space="preserve">1.4.17.</t>
  </si>
  <si>
    <t xml:space="preserve">стандарт-титр соляная кислота 0,1 н.</t>
  </si>
  <si>
    <t xml:space="preserve">1.4.18.</t>
  </si>
  <si>
    <t xml:space="preserve">натрий додецилсульфат</t>
  </si>
  <si>
    <t xml:space="preserve">метиленовый голубой </t>
  </si>
  <si>
    <t xml:space="preserve">цетилпиридиния хлорид 1-водный </t>
  </si>
  <si>
    <t xml:space="preserve">натрий сернокислый б/в</t>
  </si>
  <si>
    <t xml:space="preserve">серная кислота </t>
  </si>
  <si>
    <t xml:space="preserve">полоски для определения рН</t>
  </si>
  <si>
    <t xml:space="preserve">1.4.19.</t>
  </si>
  <si>
    <t xml:space="preserve">1.4.20.</t>
  </si>
  <si>
    <t xml:space="preserve">глицин</t>
  </si>
  <si>
    <t xml:space="preserve">эозин Н</t>
  </si>
  <si>
    <t xml:space="preserve">1.4.21.</t>
  </si>
  <si>
    <t xml:space="preserve">1.4.22.</t>
  </si>
  <si>
    <t xml:space="preserve">ГСО этиловый спирт</t>
  </si>
  <si>
    <t xml:space="preserve">ГСО изопропиловый спирт</t>
  </si>
  <si>
    <t xml:space="preserve">ГСО н-пропанол</t>
  </si>
  <si>
    <t xml:space="preserve">виалка</t>
  </si>
  <si>
    <t xml:space="preserve">1.4.23.</t>
  </si>
  <si>
    <t xml:space="preserve">1.4.24.</t>
  </si>
  <si>
    <t xml:space="preserve">1.4.25.</t>
  </si>
  <si>
    <t xml:space="preserve">1.4.26.</t>
  </si>
  <si>
    <t xml:space="preserve">1.4.27.</t>
  </si>
  <si>
    <t xml:space="preserve">эозин метиленовый синий по Майн-Грюнвальду</t>
  </si>
  <si>
    <t xml:space="preserve">бромкрезоловый зеленый</t>
  </si>
  <si>
    <t xml:space="preserve">бромфеноловый синий </t>
  </si>
  <si>
    <t xml:space="preserve">1.4.28.</t>
  </si>
  <si>
    <t xml:space="preserve">н-гексан</t>
  </si>
  <si>
    <t xml:space="preserve">1.4.29.</t>
  </si>
  <si>
    <t xml:space="preserve">маска</t>
  </si>
  <si>
    <t xml:space="preserve">1.4.30.</t>
  </si>
  <si>
    <t xml:space="preserve">1.5.</t>
  </si>
  <si>
    <t xml:space="preserve">   Мясо и мясопродукты: птица, яйца, и продукты их переработки, консервы из мяса и мяса птицы</t>
  </si>
  <si>
    <t xml:space="preserve">1.5.1.</t>
  </si>
  <si>
    <t xml:space="preserve">1.5.2.</t>
  </si>
  <si>
    <t xml:space="preserve">вата</t>
  </si>
  <si>
    <t xml:space="preserve">метр</t>
  </si>
  <si>
    <t xml:space="preserve">1.5.3.</t>
  </si>
  <si>
    <t xml:space="preserve">1.5.4.</t>
  </si>
  <si>
    <t xml:space="preserve">1.5.5.</t>
  </si>
  <si>
    <t xml:space="preserve">1.5.6.</t>
  </si>
  <si>
    <t xml:space="preserve">калий железистосинеррдный</t>
  </si>
  <si>
    <t xml:space="preserve">цинк уксуснокислый</t>
  </si>
  <si>
    <t xml:space="preserve">кислота уксуснокислая</t>
  </si>
  <si>
    <t xml:space="preserve">натрий тетраборнокислый</t>
  </si>
  <si>
    <t xml:space="preserve">гр</t>
  </si>
  <si>
    <t xml:space="preserve">сульгрэминовая кислота</t>
  </si>
  <si>
    <t xml:space="preserve">1.5.7. </t>
  </si>
  <si>
    <t xml:space="preserve">мл</t>
  </si>
  <si>
    <t xml:space="preserve">натрия гидроокись</t>
  </si>
  <si>
    <t xml:space="preserve">метиловый синий</t>
  </si>
  <si>
    <t xml:space="preserve">1.5.8.</t>
  </si>
  <si>
    <t xml:space="preserve">Определение белка ( по показаниям) </t>
  </si>
  <si>
    <t xml:space="preserve">1.5.9.</t>
  </si>
  <si>
    <t xml:space="preserve">1.5.10.</t>
  </si>
  <si>
    <t xml:space="preserve">хлоросрорм</t>
  </si>
  <si>
    <t xml:space="preserve">аммиак</t>
  </si>
  <si>
    <t xml:space="preserve">Серная кислота</t>
  </si>
  <si>
    <t xml:space="preserve">Аммоний молибденовокисл.</t>
  </si>
  <si>
    <t xml:space="preserve">Перкгидроль</t>
  </si>
  <si>
    <t xml:space="preserve">Лимонная кислота</t>
  </si>
  <si>
    <t xml:space="preserve">Натрия гидроокись</t>
  </si>
  <si>
    <t xml:space="preserve">Ацетон</t>
  </si>
  <si>
    <t xml:space="preserve">Натрия сернокислый</t>
  </si>
  <si>
    <t xml:space="preserve">натрий лимоннокислый</t>
  </si>
  <si>
    <t xml:space="preserve">лимонная кислота</t>
  </si>
  <si>
    <t xml:space="preserve">триклоруксусная кислота</t>
  </si>
  <si>
    <t xml:space="preserve">натрий молибденовокиспый</t>
  </si>
  <si>
    <t xml:space="preserve">о-фосфорная кислота</t>
  </si>
  <si>
    <t xml:space="preserve">кислота соляная</t>
  </si>
  <si>
    <t xml:space="preserve">Эфир этиловый</t>
  </si>
  <si>
    <t xml:space="preserve">уксусная кислота ледяная</t>
  </si>
  <si>
    <t xml:space="preserve">тиосульфат натрия</t>
  </si>
  <si>
    <t xml:space="preserve">Определение свинца ААС метод</t>
  </si>
  <si>
    <t xml:space="preserve">ГСО свинец</t>
  </si>
  <si>
    <t xml:space="preserve">5мл/амп</t>
  </si>
  <si>
    <t xml:space="preserve">Серная кислота </t>
  </si>
  <si>
    <t xml:space="preserve">Перекись водорода</t>
  </si>
  <si>
    <t xml:space="preserve"> азот газообразный</t>
  </si>
  <si>
    <t xml:space="preserve">кг/мин</t>
  </si>
  <si>
    <t xml:space="preserve">Бумага фильтровальная 1уп.100шт =512тг, 1шт=5,12</t>
  </si>
  <si>
    <t xml:space="preserve">стандарт металлов(свинец)</t>
  </si>
  <si>
    <t xml:space="preserve">итого</t>
  </si>
  <si>
    <t xml:space="preserve">Муравьиная кислота</t>
  </si>
  <si>
    <t xml:space="preserve">Соляная кислота</t>
  </si>
  <si>
    <t xml:space="preserve">хлорид калия</t>
  </si>
  <si>
    <t xml:space="preserve">Натрий двууглекислый</t>
  </si>
  <si>
    <t xml:space="preserve">ГСО кадмий</t>
  </si>
  <si>
    <t xml:space="preserve">ААС</t>
  </si>
  <si>
    <t xml:space="preserve">азот газообразный</t>
  </si>
  <si>
    <t xml:space="preserve">Определение меди (для консервов)</t>
  </si>
  <si>
    <t xml:space="preserve">ГСО медь</t>
  </si>
  <si>
    <t xml:space="preserve">стандарт металлов!медь)</t>
  </si>
  <si>
    <t xml:space="preserve">Бумага фильтровальная 1уп.100шт =512тг, 1шт=5,13</t>
  </si>
  <si>
    <t xml:space="preserve">Определение цинка (для консервов) </t>
  </si>
  <si>
    <t xml:space="preserve">ртуть азотнокислая</t>
  </si>
  <si>
    <t xml:space="preserve">стандарты металлов(цинк)</t>
  </si>
  <si>
    <t xml:space="preserve">газовый баллон ацетилен</t>
  </si>
  <si>
    <t xml:space="preserve">бал</t>
  </si>
  <si>
    <t xml:space="preserve">ГСО цинка</t>
  </si>
  <si>
    <t xml:space="preserve">свинец уксуснокислый</t>
  </si>
  <si>
    <t xml:space="preserve">диэтилдитиокарбомат натрия</t>
  </si>
  <si>
    <t xml:space="preserve">медь сернокислая</t>
  </si>
  <si>
    <t xml:space="preserve">стандарт мышьяка</t>
  </si>
  <si>
    <t xml:space="preserve">калия гидроокись</t>
  </si>
  <si>
    <t xml:space="preserve">железо дзухлористое</t>
  </si>
  <si>
    <t xml:space="preserve">газовый баллон аргон</t>
  </si>
  <si>
    <t xml:space="preserve">ГСО мышьяк                                                                                         </t>
  </si>
  <si>
    <t xml:space="preserve">Сернокислый гидразин</t>
  </si>
  <si>
    <t xml:space="preserve">Трилон Б 0,1 Н 1уп.10амп=3850, 1амп=385</t>
  </si>
  <si>
    <t xml:space="preserve">Газ азот 1бал.=130000тг, 1кг=3250тг</t>
  </si>
  <si>
    <t xml:space="preserve">Бумага фильтровальная синяя лента 1уп.100шт =512тг, 1шт=5,12</t>
  </si>
  <si>
    <t xml:space="preserve">Определение ртути ( по показаниям)</t>
  </si>
  <si>
    <t xml:space="preserve">ГОСТ 26927-87</t>
  </si>
  <si>
    <t xml:space="preserve">стандарты металлов(ртуть)</t>
  </si>
  <si>
    <t xml:space="preserve">Определение ртути ( по показаниям) методом ИВ</t>
  </si>
  <si>
    <t xml:space="preserve">ГСО ртуть                                                                                       </t>
  </si>
  <si>
    <t xml:space="preserve">олово (для консервов в сборной жестяной таре)</t>
  </si>
  <si>
    <t xml:space="preserve">ГОСТ 26935-87</t>
  </si>
  <si>
    <t xml:space="preserve">2,4 динитрофенил гидрозин</t>
  </si>
  <si>
    <t xml:space="preserve">стандарт олова</t>
  </si>
  <si>
    <t xml:space="preserve">кварцетин</t>
  </si>
  <si>
    <t xml:space="preserve">МСО хрома</t>
  </si>
  <si>
    <t xml:space="preserve">ацетилен газобразный 1бал.40л=18000тг, 1кг=1875тг или азот газообразный</t>
  </si>
  <si>
    <t xml:space="preserve">ацетон</t>
  </si>
  <si>
    <t xml:space="preserve">КАЗ (ГСО)</t>
  </si>
  <si>
    <t xml:space="preserve">Метилен хлористый</t>
  </si>
  <si>
    <t xml:space="preserve">Магний сернокислый</t>
  </si>
  <si>
    <t xml:space="preserve">Бромистоводородная кислота</t>
  </si>
  <si>
    <t xml:space="preserve">Кислота уксусная</t>
  </si>
  <si>
    <t xml:space="preserve">Натрий углекислый кислый</t>
  </si>
  <si>
    <t xml:space="preserve">Спирт этиловый</t>
  </si>
  <si>
    <t xml:space="preserve">Бензол</t>
  </si>
  <si>
    <t xml:space="preserve">Этилацетат</t>
  </si>
  <si>
    <t xml:space="preserve">Гексан</t>
  </si>
  <si>
    <t xml:space="preserve">Аммиак водный</t>
  </si>
  <si>
    <t xml:space="preserve"> гелий газообразный</t>
  </si>
  <si>
    <t xml:space="preserve">ГСО бензапирен</t>
  </si>
  <si>
    <t xml:space="preserve">НН диметилфармамент</t>
  </si>
  <si>
    <t xml:space="preserve">гидроокись калия</t>
  </si>
  <si>
    <t xml:space="preserve">менбранный съемный фильтр</t>
  </si>
  <si>
    <t xml:space="preserve">сифадекс</t>
  </si>
  <si>
    <t xml:space="preserve">сесрадекс LH-20</t>
  </si>
  <si>
    <t xml:space="preserve">н октан</t>
  </si>
  <si>
    <t xml:space="preserve">целлюлоза микрокристаллическая</t>
  </si>
  <si>
    <t xml:space="preserve">ГСО левомицетин</t>
  </si>
  <si>
    <t xml:space="preserve">метанол</t>
  </si>
  <si>
    <t xml:space="preserve">хлористый натрий</t>
  </si>
  <si>
    <t xml:space="preserve">гидроокись натрия</t>
  </si>
  <si>
    <t xml:space="preserve">петролейный эфир</t>
  </si>
  <si>
    <t xml:space="preserve">калийфосфорнокислый однозамещенный</t>
  </si>
  <si>
    <t xml:space="preserve">натрий фосфорнокислый</t>
  </si>
  <si>
    <t xml:space="preserve">гелий газобразный</t>
  </si>
  <si>
    <t xml:space="preserve">ГСО тетрациклин</t>
  </si>
  <si>
    <t xml:space="preserve">определение массовой доли хлеба</t>
  </si>
  <si>
    <t xml:space="preserve">йодометрическийметод</t>
  </si>
  <si>
    <t xml:space="preserve">натрий серноватистокислый</t>
  </si>
  <si>
    <t xml:space="preserve">Крахмал</t>
  </si>
  <si>
    <t xml:space="preserve">Фенолфталеин</t>
  </si>
  <si>
    <t xml:space="preserve">Фильтры</t>
  </si>
  <si>
    <t xml:space="preserve">Гидроокись натрия</t>
  </si>
  <si>
    <t xml:space="preserve">Калий железистосинеродистый</t>
  </si>
  <si>
    <t xml:space="preserve">Цинк сернокислый</t>
  </si>
  <si>
    <t xml:space="preserve">Медь сернокислая</t>
  </si>
  <si>
    <t xml:space="preserve">Калий-натрий виннокислый</t>
  </si>
  <si>
    <t xml:space="preserve">глюкоза</t>
  </si>
  <si>
    <t xml:space="preserve">1.6.</t>
  </si>
  <si>
    <t xml:space="preserve">1.6.2.</t>
  </si>
  <si>
    <t xml:space="preserve">4-аминоантипирин</t>
  </si>
  <si>
    <t xml:space="preserve">цинк сернркислый</t>
  </si>
  <si>
    <t xml:space="preserve">1.6.3.</t>
  </si>
  <si>
    <t xml:space="preserve">1.6.4.</t>
  </si>
  <si>
    <t xml:space="preserve">калий-натрий виннокислый</t>
  </si>
  <si>
    <t xml:space="preserve">железоаммонийные квасцы</t>
  </si>
  <si>
    <t xml:space="preserve">калий марганцовокислый</t>
  </si>
  <si>
    <t xml:space="preserve">эфир этиловый</t>
  </si>
  <si>
    <t xml:space="preserve">1.6.9.</t>
  </si>
  <si>
    <t xml:space="preserve"> Определение влаги арбитражным методом</t>
  </si>
  <si>
    <t xml:space="preserve">калий железистосинеродистый</t>
  </si>
  <si>
    <t xml:space="preserve">сахароза</t>
  </si>
  <si>
    <t xml:space="preserve">мелезоаммонийные квасцы</t>
  </si>
  <si>
    <t xml:space="preserve">уксусная киспста ледяная</t>
  </si>
  <si>
    <t xml:space="preserve">ГСО олова</t>
  </si>
  <si>
    <t xml:space="preserve">Тиомочевина</t>
  </si>
  <si>
    <t xml:space="preserve">Кверцетин</t>
  </si>
  <si>
    <t xml:space="preserve">ГСОхром</t>
  </si>
  <si>
    <t xml:space="preserve"> ГСО мышьяк                                                                                        </t>
  </si>
  <si>
    <t xml:space="preserve">боргидрид натрия</t>
  </si>
  <si>
    <t xml:space="preserve">гидроксид натрия</t>
  </si>
  <si>
    <t xml:space="preserve">газ аргон</t>
  </si>
  <si>
    <t xml:space="preserve"> ГСОртуть                                                                                        </t>
  </si>
  <si>
    <t xml:space="preserve">натрии хлористый</t>
  </si>
  <si>
    <t xml:space="preserve">бензол</t>
  </si>
  <si>
    <t xml:space="preserve">силикагель</t>
  </si>
  <si>
    <t xml:space="preserve">стандарт афлатоксина В1</t>
  </si>
  <si>
    <t xml:space="preserve">стандарт афлатоксина М1</t>
  </si>
  <si>
    <t xml:space="preserve">гелий газообразный</t>
  </si>
  <si>
    <t xml:space="preserve">аммиак водный </t>
  </si>
  <si>
    <t xml:space="preserve">аммоний щавелевокислый</t>
  </si>
  <si>
    <t xml:space="preserve">трихлорид лантана</t>
  </si>
  <si>
    <t xml:space="preserve">ст.титр кальций</t>
  </si>
  <si>
    <t xml:space="preserve">пероксид водорода</t>
  </si>
  <si>
    <t xml:space="preserve">ст.титр магний</t>
  </si>
  <si>
    <t xml:space="preserve">Кислота трифторуксусная 99,8%, х.ч. , водный раствор с концентрацией 50%</t>
  </si>
  <si>
    <t xml:space="preserve">Меламин, </t>
  </si>
  <si>
    <t xml:space="preserve">Натрий уксуснокислый, 3-водный, х.ч.</t>
  </si>
  <si>
    <t xml:space="preserve">витамин В1(тиамин)</t>
  </si>
  <si>
    <t xml:space="preserve">Натрий гидроокись </t>
  </si>
  <si>
    <t xml:space="preserve">спирт изобутиловый</t>
  </si>
  <si>
    <t xml:space="preserve">активированный уголь</t>
  </si>
  <si>
    <t xml:space="preserve">калий железосинеродистый </t>
  </si>
  <si>
    <t xml:space="preserve">толуол</t>
  </si>
  <si>
    <t xml:space="preserve">жирнокислотный состав</t>
  </si>
  <si>
    <t xml:space="preserve">кальций оксид</t>
  </si>
  <si>
    <t xml:space="preserve">Бумага фильтровальная 1уп.100шт </t>
  </si>
  <si>
    <t xml:space="preserve">формамид</t>
  </si>
  <si>
    <t xml:space="preserve">диметилформамид</t>
  </si>
  <si>
    <t xml:space="preserve">Н-пентан</t>
  </si>
  <si>
    <t xml:space="preserve">бумага фильтр</t>
  </si>
  <si>
    <t xml:space="preserve">Гидроксид калия</t>
  </si>
  <si>
    <t xml:space="preserve">Калий азотнокислый </t>
  </si>
  <si>
    <t xml:space="preserve">ГСО на йод</t>
  </si>
  <si>
    <t xml:space="preserve">Азотнокислое серебро</t>
  </si>
  <si>
    <t xml:space="preserve">Калий марганцевокислый</t>
  </si>
  <si>
    <t xml:space="preserve">Кислота щавелевая</t>
  </si>
  <si>
    <t xml:space="preserve">Квасцы железоаммонийные</t>
  </si>
  <si>
    <t xml:space="preserve">Калий роданистый</t>
  </si>
  <si>
    <t xml:space="preserve">1.7.</t>
  </si>
  <si>
    <t xml:space="preserve">Рыба, нерыбные объекты промысла и продукты, вырабатываемые из них, консервы и пресервы рыбные</t>
  </si>
  <si>
    <t xml:space="preserve">1.7.1.</t>
  </si>
  <si>
    <t xml:space="preserve">Определение органолептики</t>
  </si>
  <si>
    <t xml:space="preserve">1.7.2.</t>
  </si>
  <si>
    <t xml:space="preserve">Хромовокислый калий </t>
  </si>
  <si>
    <t xml:space="preserve">Азотнокислое серебро </t>
  </si>
  <si>
    <t xml:space="preserve">1.7.3.</t>
  </si>
  <si>
    <t xml:space="preserve">Фильтры </t>
  </si>
  <si>
    <t xml:space="preserve"> Определение свинца ААС</t>
  </si>
  <si>
    <r>
      <rPr>
        <b val="true"/>
        <sz val="11"/>
        <rFont val="Times New Roman"/>
        <family val="1"/>
        <charset val="204"/>
      </rPr>
      <t xml:space="preserve"> </t>
    </r>
    <r>
      <rPr>
        <sz val="11"/>
        <rFont val="Times New Roman"/>
        <family val="1"/>
        <charset val="204"/>
      </rPr>
      <t xml:space="preserve">Определение свинца  СТА</t>
    </r>
  </si>
  <si>
    <t xml:space="preserve">1.7.10.</t>
  </si>
  <si>
    <t xml:space="preserve"> Определение кадмия ААС</t>
  </si>
  <si>
    <t xml:space="preserve"> Определение кадмия СТА</t>
  </si>
  <si>
    <t xml:space="preserve">1.7.14.</t>
  </si>
  <si>
    <t xml:space="preserve">1.7.15.</t>
  </si>
  <si>
    <t xml:space="preserve"> Определение мышьяка  ААС</t>
  </si>
  <si>
    <t xml:space="preserve"> Определение мышьяка  СТА</t>
  </si>
  <si>
    <t xml:space="preserve">1.7.17.</t>
  </si>
  <si>
    <t xml:space="preserve"> Определение ртути  ААС</t>
  </si>
  <si>
    <t xml:space="preserve"> Определение ртути  СТА</t>
  </si>
  <si>
    <t xml:space="preserve">Трихлоруксусная кислота</t>
  </si>
  <si>
    <t xml:space="preserve">Натрий азотистокислый</t>
  </si>
  <si>
    <t xml:space="preserve">нитроанилин</t>
  </si>
  <si>
    <t xml:space="preserve">Н- Бутанол</t>
  </si>
  <si>
    <t xml:space="preserve">Натрий углекислый</t>
  </si>
  <si>
    <t xml:space="preserve"> гистамин дигидрохлорид стандарт</t>
  </si>
  <si>
    <t xml:space="preserve">Бумага фильтровальная</t>
  </si>
  <si>
    <t xml:space="preserve">НДПА (ГСО)</t>
  </si>
  <si>
    <t xml:space="preserve">Определение бензойнокислого  натрия (по показанию)</t>
  </si>
  <si>
    <t xml:space="preserve">Хлороформ</t>
  </si>
  <si>
    <t xml:space="preserve">трифторуксусная кислота</t>
  </si>
  <si>
    <t xml:space="preserve">Лимонная кислота </t>
  </si>
  <si>
    <t xml:space="preserve">натрий лимонно кислый 3 замщ</t>
  </si>
  <si>
    <t xml:space="preserve">Домоевая кислота</t>
  </si>
  <si>
    <t xml:space="preserve">сернокислый калий</t>
  </si>
  <si>
    <t xml:space="preserve">1.8.</t>
  </si>
  <si>
    <t xml:space="preserve">1.8.2.</t>
  </si>
  <si>
    <t xml:space="preserve">1.8.3.</t>
  </si>
  <si>
    <t xml:space="preserve">1.8.11.</t>
  </si>
  <si>
    <t xml:space="preserve">1.8.12.</t>
  </si>
  <si>
    <t xml:space="preserve">стандарт металлов(кадмий)</t>
  </si>
  <si>
    <t xml:space="preserve">1.8.13.</t>
  </si>
  <si>
    <t xml:space="preserve">серебре азотнокислое</t>
  </si>
  <si>
    <t xml:space="preserve">1.8.15.</t>
  </si>
  <si>
    <t xml:space="preserve">1.8.16.</t>
  </si>
  <si>
    <t xml:space="preserve">уголь активированный</t>
  </si>
  <si>
    <t xml:space="preserve">стандарт дезоксиниваленола</t>
  </si>
  <si>
    <t xml:space="preserve">бромистоводородная кислота концентриоованчая</t>
  </si>
  <si>
    <t xml:space="preserve">Т-2 токсин</t>
  </si>
  <si>
    <t xml:space="preserve">уксусная ледяная кислота</t>
  </si>
  <si>
    <t xml:space="preserve">этилацетат</t>
  </si>
  <si>
    <t xml:space="preserve">натрий углекислый кислый</t>
  </si>
  <si>
    <t xml:space="preserve">метилен хлористыи</t>
  </si>
  <si>
    <t xml:space="preserve">натрий хлоэистый</t>
  </si>
  <si>
    <t xml:space="preserve">дипропиламин</t>
  </si>
  <si>
    <t xml:space="preserve">мкл</t>
  </si>
  <si>
    <t xml:space="preserve">дибутиламин</t>
  </si>
  <si>
    <t xml:space="preserve">пиперидин</t>
  </si>
  <si>
    <t xml:space="preserve">пироолидин</t>
  </si>
  <si>
    <t xml:space="preserve">азот газообразный особой чистоты</t>
  </si>
  <si>
    <t xml:space="preserve">баллон</t>
  </si>
  <si>
    <t xml:space="preserve">8-метокси-5-хинолинсульфонилазиридин</t>
  </si>
  <si>
    <t xml:space="preserve">1.8.19.</t>
  </si>
  <si>
    <t xml:space="preserve">Определение зеараленона</t>
  </si>
  <si>
    <t xml:space="preserve">аиетонитрил</t>
  </si>
  <si>
    <t xml:space="preserve">элломиний хлористый</t>
  </si>
  <si>
    <t xml:space="preserve">стандарт зеараленона</t>
  </si>
  <si>
    <t xml:space="preserve">Нитрозамин</t>
  </si>
  <si>
    <t xml:space="preserve">спирт</t>
  </si>
  <si>
    <t xml:space="preserve">пробная варка</t>
  </si>
  <si>
    <t xml:space="preserve">Метанол, х.ч.</t>
  </si>
  <si>
    <t xml:space="preserve">ГСО фуманизин В1</t>
  </si>
  <si>
    <t xml:space="preserve">натрий фосфорнокислый 1 замщ двух водный</t>
  </si>
  <si>
    <t xml:space="preserve">натрий фосфорнокислый 2 замщ 12 вод</t>
  </si>
  <si>
    <t xml:space="preserve">хлорит натрия</t>
  </si>
  <si>
    <t xml:space="preserve">тетраборат натрия 10вод</t>
  </si>
  <si>
    <t xml:space="preserve">2-меркапэтанол</t>
  </si>
  <si>
    <t xml:space="preserve">итого:</t>
  </si>
  <si>
    <t xml:space="preserve">Охратоксин хроматографический </t>
  </si>
  <si>
    <t xml:space="preserve">Охратоксин А, 2мл</t>
  </si>
  <si>
    <t xml:space="preserve">Натрий углекислый кислый (гидрокарбонат натрия)</t>
  </si>
  <si>
    <t xml:space="preserve">титриметрический</t>
  </si>
  <si>
    <t xml:space="preserve">Калий йодистый </t>
  </si>
  <si>
    <t xml:space="preserve">Метиленовый оранжевый </t>
  </si>
  <si>
    <t xml:space="preserve">Бром </t>
  </si>
  <si>
    <t xml:space="preserve">Крахмал </t>
  </si>
  <si>
    <t xml:space="preserve">Бумага фильтровальная </t>
  </si>
  <si>
    <t xml:space="preserve">Бумага индикаторная </t>
  </si>
  <si>
    <t xml:space="preserve">весовой</t>
  </si>
  <si>
    <t xml:space="preserve">1.8.27.</t>
  </si>
  <si>
    <t xml:space="preserve">визуальный, весовой</t>
  </si>
  <si>
    <t xml:space="preserve">ВЭЖХ</t>
  </si>
  <si>
    <t xml:space="preserve">1.8.29.</t>
  </si>
  <si>
    <t xml:space="preserve">калий железосениродистый</t>
  </si>
  <si>
    <t xml:space="preserve">метод отмывания</t>
  </si>
  <si>
    <t xml:space="preserve">9.1.</t>
  </si>
  <si>
    <t xml:space="preserve"> Сахар и кондитерские изделия </t>
  </si>
  <si>
    <t xml:space="preserve">1.9.2.</t>
  </si>
  <si>
    <t xml:space="preserve">натрий серноватокислый</t>
  </si>
  <si>
    <t xml:space="preserve">калий двуххромовокислый</t>
  </si>
  <si>
    <t xml:space="preserve">натрий тиосульфат</t>
  </si>
  <si>
    <t xml:space="preserve">Калий йодистый</t>
  </si>
  <si>
    <t xml:space="preserve">стандарт металлов (кадмия0</t>
  </si>
  <si>
    <t xml:space="preserve">1.9.18.</t>
  </si>
  <si>
    <t xml:space="preserve">Сорбат калия, ГСО</t>
  </si>
  <si>
    <t xml:space="preserve">Магний сернокислый 7-миводный</t>
  </si>
  <si>
    <t xml:space="preserve">1.10.</t>
  </si>
  <si>
    <t xml:space="preserve">1.14. МЕД натуральный</t>
  </si>
  <si>
    <t xml:space="preserve">1.10.1.</t>
  </si>
  <si>
    <t xml:space="preserve">ГСО оксиметилфурфурола</t>
  </si>
  <si>
    <t xml:space="preserve">органолептический</t>
  </si>
  <si>
    <t xml:space="preserve">визуальный</t>
  </si>
  <si>
    <t xml:space="preserve">1.10.14.</t>
  </si>
  <si>
    <t xml:space="preserve">Определение массовой доли воды</t>
  </si>
  <si>
    <t xml:space="preserve">1.11.</t>
  </si>
  <si>
    <t xml:space="preserve">1.11.1.</t>
  </si>
  <si>
    <t xml:space="preserve">1.11.2.</t>
  </si>
  <si>
    <t xml:space="preserve">серебро азотнокислый</t>
  </si>
  <si>
    <t xml:space="preserve">калий роданистый</t>
  </si>
  <si>
    <t xml:space="preserve">железо-аммониный квацы</t>
  </si>
  <si>
    <t xml:space="preserve">1.11.11.</t>
  </si>
  <si>
    <t xml:space="preserve">1.11.14.</t>
  </si>
  <si>
    <t xml:space="preserve">1.11.15.</t>
  </si>
  <si>
    <t xml:space="preserve">стандарт патулина</t>
  </si>
  <si>
    <t xml:space="preserve">1.11.16.</t>
  </si>
  <si>
    <t xml:space="preserve">натрия фосфорная 1 зам</t>
  </si>
  <si>
    <t xml:space="preserve">дифенилкарбазид</t>
  </si>
  <si>
    <t xml:space="preserve">йод стандарт титр</t>
  </si>
  <si>
    <t xml:space="preserve">1.12.</t>
  </si>
  <si>
    <t xml:space="preserve">  Масличные сырье жировые продукты, майонезы </t>
  </si>
  <si>
    <t xml:space="preserve">1.12.1.</t>
  </si>
  <si>
    <t xml:space="preserve">1.12.2.</t>
  </si>
  <si>
    <t xml:space="preserve">магня окись</t>
  </si>
  <si>
    <t xml:space="preserve">аммоний молибденового кислый</t>
  </si>
  <si>
    <t xml:space="preserve">аммоний азотнокислый</t>
  </si>
  <si>
    <t xml:space="preserve">1.12.3.</t>
  </si>
  <si>
    <t xml:space="preserve">1.12.4.</t>
  </si>
  <si>
    <t xml:space="preserve">1.12.5.</t>
  </si>
  <si>
    <t xml:space="preserve">йод </t>
  </si>
  <si>
    <t xml:space="preserve">натрий  серноватистокислый</t>
  </si>
  <si>
    <t xml:space="preserve">1.12.6.</t>
  </si>
  <si>
    <t xml:space="preserve">1.12.9.</t>
  </si>
  <si>
    <t xml:space="preserve">салициловая кислота</t>
  </si>
  <si>
    <t xml:space="preserve">бром</t>
  </si>
  <si>
    <t xml:space="preserve">1.12.12.</t>
  </si>
  <si>
    <t xml:space="preserve">1.12.13.</t>
  </si>
  <si>
    <t xml:space="preserve">1.12.14.</t>
  </si>
  <si>
    <t xml:space="preserve">1.12.16.</t>
  </si>
  <si>
    <t xml:space="preserve">1.12.17.</t>
  </si>
  <si>
    <t xml:space="preserve">Определение микотоксина(афлотоксина)</t>
  </si>
  <si>
    <t xml:space="preserve">1.12.18.</t>
  </si>
  <si>
    <t xml:space="preserve"> Определение афлотоксин</t>
  </si>
  <si>
    <t xml:space="preserve">1.12.19.</t>
  </si>
  <si>
    <t xml:space="preserve">1.12.20.</t>
  </si>
  <si>
    <t xml:space="preserve">1.12.21.</t>
  </si>
  <si>
    <t xml:space="preserve">1.12.22.</t>
  </si>
  <si>
    <t xml:space="preserve">1.13.</t>
  </si>
  <si>
    <t xml:space="preserve">1.13.1.</t>
  </si>
  <si>
    <t xml:space="preserve">1.13.2.</t>
  </si>
  <si>
    <t xml:space="preserve">1.13.3.</t>
  </si>
  <si>
    <t xml:space="preserve">1.13.4.</t>
  </si>
  <si>
    <t xml:space="preserve">1.13.5.</t>
  </si>
  <si>
    <t xml:space="preserve">типовой раствор метилового спирта </t>
  </si>
  <si>
    <t xml:space="preserve">калия перманганат </t>
  </si>
  <si>
    <t xml:space="preserve">кислота серная </t>
  </si>
  <si>
    <t xml:space="preserve">Щавелевая кислота </t>
  </si>
  <si>
    <t xml:space="preserve">Фуксин сернистый реактив </t>
  </si>
  <si>
    <t xml:space="preserve">1.13.6.</t>
  </si>
  <si>
    <t xml:space="preserve">иод</t>
  </si>
  <si>
    <t xml:space="preserve">формалин</t>
  </si>
  <si>
    <t xml:space="preserve">1.13.7.</t>
  </si>
  <si>
    <t xml:space="preserve">1.13.8.</t>
  </si>
  <si>
    <t xml:space="preserve">метилацетат</t>
  </si>
  <si>
    <t xml:space="preserve">бромфенолозый синий</t>
  </si>
  <si>
    <t xml:space="preserve">1.13.9.</t>
  </si>
  <si>
    <t xml:space="preserve">1.13.10.</t>
  </si>
  <si>
    <t xml:space="preserve">1.13.11.</t>
  </si>
  <si>
    <t xml:space="preserve">1.13.12.</t>
  </si>
  <si>
    <t xml:space="preserve">1.13.13.</t>
  </si>
  <si>
    <t xml:space="preserve">салициловый альдегид</t>
  </si>
  <si>
    <t xml:space="preserve">1-пропанол</t>
  </si>
  <si>
    <t xml:space="preserve">2-пропанол</t>
  </si>
  <si>
    <t xml:space="preserve">1-бутаноп</t>
  </si>
  <si>
    <t xml:space="preserve">изобутилоеый спирт</t>
  </si>
  <si>
    <t xml:space="preserve">изоамиловый спирт</t>
  </si>
  <si>
    <t xml:space="preserve">1.13.14.</t>
  </si>
  <si>
    <t xml:space="preserve">1.13.15.</t>
  </si>
  <si>
    <t xml:space="preserve">фурфурол</t>
  </si>
  <si>
    <t xml:space="preserve">1.13.16.</t>
  </si>
  <si>
    <t xml:space="preserve">альдегид уксусный</t>
  </si>
  <si>
    <t xml:space="preserve">фуксин сернистокислый</t>
  </si>
  <si>
    <t xml:space="preserve">1.13.17.</t>
  </si>
  <si>
    <t xml:space="preserve">1.13.20.</t>
  </si>
  <si>
    <t xml:space="preserve">1.13.21.</t>
  </si>
  <si>
    <t xml:space="preserve">1.13.22.</t>
  </si>
  <si>
    <t xml:space="preserve">гидроксиламин сернокислый</t>
  </si>
  <si>
    <t xml:space="preserve">1.13.23.</t>
  </si>
  <si>
    <t xml:space="preserve">1.13.24.</t>
  </si>
  <si>
    <t xml:space="preserve">гелий газбаллон</t>
  </si>
  <si>
    <t xml:space="preserve">ГСО Нитрозамин</t>
  </si>
  <si>
    <t xml:space="preserve">ГСО  кофеин</t>
  </si>
  <si>
    <t xml:space="preserve">пергидроль</t>
  </si>
  <si>
    <t xml:space="preserve">1.13.28.</t>
  </si>
  <si>
    <t xml:space="preserve">Бумага индикаторная (унив.)</t>
  </si>
  <si>
    <t xml:space="preserve">1.13.31.</t>
  </si>
  <si>
    <t xml:space="preserve">1.13.32.</t>
  </si>
  <si>
    <t xml:space="preserve">1.13.33.</t>
  </si>
  <si>
    <t xml:space="preserve">ГСО </t>
  </si>
  <si>
    <t xml:space="preserve">паладий</t>
  </si>
  <si>
    <t xml:space="preserve">-</t>
  </si>
  <si>
    <t xml:space="preserve">л/мин</t>
  </si>
  <si>
    <t xml:space="preserve">ГСО олово</t>
  </si>
  <si>
    <t xml:space="preserve">1.13.37.</t>
  </si>
  <si>
    <t xml:space="preserve">ГСО хром</t>
  </si>
  <si>
    <t xml:space="preserve">ГСО хинина</t>
  </si>
  <si>
    <t xml:space="preserve">гелий газообразный </t>
  </si>
  <si>
    <t xml:space="preserve">ГСО селена </t>
  </si>
  <si>
    <t xml:space="preserve">ГСО золота 1амп.5мл=470тг, 1мл=94тг</t>
  </si>
  <si>
    <t xml:space="preserve">Бумага фильтровальная 1уп.100шт=512тг, 1шт=5,12тг</t>
  </si>
  <si>
    <t xml:space="preserve">Хлорная кислота</t>
  </si>
  <si>
    <t xml:space="preserve">1.14.</t>
  </si>
  <si>
    <t xml:space="preserve">1.14.1.</t>
  </si>
  <si>
    <t xml:space="preserve">1.14.2.</t>
  </si>
  <si>
    <t xml:space="preserve">1.14.5.</t>
  </si>
  <si>
    <t xml:space="preserve">1.14.8.</t>
  </si>
  <si>
    <t xml:space="preserve">щавелевая кислота</t>
  </si>
  <si>
    <t xml:space="preserve">1.14.9.</t>
  </si>
  <si>
    <t xml:space="preserve">гидроксиламид гидрохлорид</t>
  </si>
  <si>
    <t xml:space="preserve">1.14.14.</t>
  </si>
  <si>
    <t xml:space="preserve">определение йода</t>
  </si>
  <si>
    <t xml:space="preserve">Тетраоксалат калия </t>
  </si>
  <si>
    <t xml:space="preserve">Аскорбиновая кислота</t>
  </si>
  <si>
    <t xml:space="preserve">ГСО Йод</t>
  </si>
  <si>
    <t xml:space="preserve">расчетный</t>
  </si>
  <si>
    <t xml:space="preserve">1.15.</t>
  </si>
  <si>
    <t xml:space="preserve"> Чай черный, зеленый </t>
  </si>
  <si>
    <t xml:space="preserve">1.15.1.</t>
  </si>
  <si>
    <t xml:space="preserve">1.15.2.</t>
  </si>
  <si>
    <t xml:space="preserve">ГСО кофеин</t>
  </si>
  <si>
    <t xml:space="preserve">1.15.7.</t>
  </si>
  <si>
    <t xml:space="preserve">1.15.11.</t>
  </si>
  <si>
    <t xml:space="preserve">1.15.12.</t>
  </si>
  <si>
    <t xml:space="preserve">1.15.13.</t>
  </si>
  <si>
    <t xml:space="preserve">1.15.15.</t>
  </si>
  <si>
    <t xml:space="preserve">1.15.17.</t>
  </si>
  <si>
    <t xml:space="preserve">1.15.18.</t>
  </si>
  <si>
    <t xml:space="preserve">Эфир диэтиловый</t>
  </si>
  <si>
    <t xml:space="preserve">1.16.</t>
  </si>
  <si>
    <t xml:space="preserve">1.16.1.</t>
  </si>
  <si>
    <t xml:space="preserve">1.16.2.</t>
  </si>
  <si>
    <t xml:space="preserve">1.16.13.</t>
  </si>
  <si>
    <t xml:space="preserve">Ацетон </t>
  </si>
  <si>
    <t xml:space="preserve">Гексан </t>
  </si>
  <si>
    <t xml:space="preserve">Хлороформ </t>
  </si>
  <si>
    <t xml:space="preserve">Эфир </t>
  </si>
  <si>
    <t xml:space="preserve">Натрий хлористый </t>
  </si>
  <si>
    <t xml:space="preserve">Уксуснокислый свинец </t>
  </si>
  <si>
    <t xml:space="preserve">селекагель</t>
  </si>
  <si>
    <t xml:space="preserve">газовый баллон гелий</t>
  </si>
  <si>
    <t xml:space="preserve">ГСО афлатоксин В1</t>
  </si>
  <si>
    <t xml:space="preserve">1.17.</t>
  </si>
  <si>
    <t xml:space="preserve">Какао,какао порошок </t>
  </si>
  <si>
    <t xml:space="preserve">1.17.1.</t>
  </si>
  <si>
    <t xml:space="preserve">1.17.2.</t>
  </si>
  <si>
    <t xml:space="preserve">1.17.6.</t>
  </si>
  <si>
    <t xml:space="preserve">1.17.7.</t>
  </si>
  <si>
    <t xml:space="preserve">1.18.</t>
  </si>
  <si>
    <t xml:space="preserve">Специи и пряности </t>
  </si>
  <si>
    <t xml:space="preserve">1.18.1.</t>
  </si>
  <si>
    <t xml:space="preserve">1.18.2.</t>
  </si>
  <si>
    <t xml:space="preserve">1.19.</t>
  </si>
  <si>
    <t xml:space="preserve">1.19.1.</t>
  </si>
  <si>
    <t xml:space="preserve">бензидин</t>
  </si>
  <si>
    <t xml:space="preserve">1.19.2.</t>
  </si>
  <si>
    <t xml:space="preserve">Определение витамина С</t>
  </si>
  <si>
    <t xml:space="preserve">гидроокись Na</t>
  </si>
  <si>
    <t xml:space="preserve">Безводный ацетат</t>
  </si>
  <si>
    <t xml:space="preserve">Уксусная кислота</t>
  </si>
  <si>
    <t xml:space="preserve">Метафосфорная кислота</t>
  </si>
  <si>
    <t xml:space="preserve">1.19.3.</t>
  </si>
  <si>
    <t xml:space="preserve">1.19.4.</t>
  </si>
  <si>
    <t xml:space="preserve">спирт изоамиловый </t>
  </si>
  <si>
    <t xml:space="preserve">1.20.</t>
  </si>
  <si>
    <t xml:space="preserve"> (по показаниям ) Табак и табачные изделия, сигареты</t>
  </si>
  <si>
    <t xml:space="preserve">1.20.1.</t>
  </si>
  <si>
    <t xml:space="preserve">1.20.2.</t>
  </si>
  <si>
    <t xml:space="preserve">1.20.3.</t>
  </si>
  <si>
    <t xml:space="preserve">1.20.4.</t>
  </si>
  <si>
    <t xml:space="preserve">кальций хлористый </t>
  </si>
  <si>
    <t xml:space="preserve">спирт этиловый </t>
  </si>
  <si>
    <t xml:space="preserve">бинт </t>
  </si>
  <si>
    <t xml:space="preserve">фильтр «синяя лента»</t>
  </si>
  <si>
    <t xml:space="preserve">1.20.5.</t>
  </si>
  <si>
    <t xml:space="preserve">1.21.</t>
  </si>
  <si>
    <t xml:space="preserve">1.21.1.</t>
  </si>
  <si>
    <t xml:space="preserve"> ГСО свинца                                                                                     </t>
  </si>
  <si>
    <t xml:space="preserve">1.21.3.</t>
  </si>
  <si>
    <t xml:space="preserve">1.21.6.</t>
  </si>
  <si>
    <t xml:space="preserve">Изоамиловый спирт </t>
  </si>
  <si>
    <t xml:space="preserve">диэтиловый эфир</t>
  </si>
  <si>
    <t xml:space="preserve">натрий углекислый безводный</t>
  </si>
  <si>
    <t xml:space="preserve">5-оксиметифурфурол</t>
  </si>
  <si>
    <t xml:space="preserve">кристалический 5-о/фурфурол</t>
  </si>
  <si>
    <t xml:space="preserve">цинк уксуснокислый 2-хводн.</t>
  </si>
  <si>
    <t xml:space="preserve">1.21.9.</t>
  </si>
  <si>
    <t xml:space="preserve">йодид калия</t>
  </si>
  <si>
    <t xml:space="preserve">1.21.10.</t>
  </si>
  <si>
    <t xml:space="preserve">хлорид натрия</t>
  </si>
  <si>
    <t xml:space="preserve">ацетат свинца</t>
  </si>
  <si>
    <t xml:space="preserve">стандартный раствор афлотоксина В2</t>
  </si>
  <si>
    <t xml:space="preserve">ампула</t>
  </si>
  <si>
    <t xml:space="preserve">1.21.12.</t>
  </si>
  <si>
    <t xml:space="preserve">ГСО Зеараленон</t>
  </si>
  <si>
    <t xml:space="preserve">изопропиловый спирт</t>
  </si>
  <si>
    <t xml:space="preserve">Оксид алюминия</t>
  </si>
  <si>
    <t xml:space="preserve">менбраный съемный фильтр</t>
  </si>
  <si>
    <t xml:space="preserve">1.22.</t>
  </si>
  <si>
    <t xml:space="preserve">Гигиена труда. Воздух рабочей зоны </t>
  </si>
  <si>
    <t xml:space="preserve">1.22.1.</t>
  </si>
  <si>
    <t xml:space="preserve">ГОСТ 30494-96</t>
  </si>
  <si>
    <t xml:space="preserve">1.22.2.</t>
  </si>
  <si>
    <t xml:space="preserve">ГОСТ 24940-96</t>
  </si>
  <si>
    <t xml:space="preserve">этиловый спирт</t>
  </si>
  <si>
    <t xml:space="preserve">1.22.3.</t>
  </si>
  <si>
    <t xml:space="preserve">МУ 1719-77</t>
  </si>
  <si>
    <t xml:space="preserve">Фильтр АФА -ВП /1уп-100шт=10000, 1шт=100тг</t>
  </si>
  <si>
    <t xml:space="preserve">1.22.4.</t>
  </si>
  <si>
    <t xml:space="preserve">Определение вредного вещества (одно исследование) экспресс методом в воздухе рабочей зоны (аммиак, сероводорода, диоксид азота, озона, оксид азота)</t>
  </si>
  <si>
    <t xml:space="preserve">ГОСТ 12.1.014-84,                           ГОСТ 17.2.6.02-85</t>
  </si>
  <si>
    <t xml:space="preserve">индикаторная трубка </t>
  </si>
  <si>
    <t xml:space="preserve">1.22.5.</t>
  </si>
  <si>
    <t xml:space="preserve">Определение свободной двуокиси кремния в некоторых видах пыли </t>
  </si>
  <si>
    <t xml:space="preserve">МУ 2391-81</t>
  </si>
  <si>
    <t xml:space="preserve">кислота борная</t>
  </si>
  <si>
    <t xml:space="preserve">натрия бикарбонат</t>
  </si>
  <si>
    <t xml:space="preserve">кислота аскорбиновая</t>
  </si>
  <si>
    <t xml:space="preserve">кислота винная </t>
  </si>
  <si>
    <t xml:space="preserve">кислота азотная</t>
  </si>
  <si>
    <t xml:space="preserve">0,0125</t>
  </si>
  <si>
    <t xml:space="preserve">1.22.6.</t>
  </si>
  <si>
    <t xml:space="preserve">МУ 4945- 88</t>
  </si>
  <si>
    <t xml:space="preserve">ГСО стандарт марганца</t>
  </si>
  <si>
    <r>
      <rPr>
        <sz val="11"/>
        <rFont val="Times New Roman"/>
        <family val="1"/>
        <charset val="204"/>
      </rPr>
      <t xml:space="preserve">Ag NO</t>
    </r>
    <r>
      <rPr>
        <vertAlign val="subscript"/>
        <sz val="11"/>
        <rFont val="Times New Roman"/>
        <family val="1"/>
        <charset val="204"/>
      </rPr>
      <t xml:space="preserve">3 </t>
    </r>
    <r>
      <rPr>
        <sz val="11"/>
        <rFont val="Times New Roman"/>
        <family val="1"/>
        <charset val="204"/>
      </rPr>
      <t xml:space="preserve">азотнокислое серебро </t>
    </r>
  </si>
  <si>
    <t xml:space="preserve">аммоний надсернокислый</t>
  </si>
  <si>
    <r>
      <rPr>
        <sz val="11"/>
        <rFont val="Times New Roman"/>
        <family val="1"/>
        <charset val="204"/>
      </rPr>
      <t xml:space="preserve">H</t>
    </r>
    <r>
      <rPr>
        <vertAlign val="subscript"/>
        <sz val="11"/>
        <rFont val="Times New Roman"/>
        <family val="1"/>
        <charset val="204"/>
      </rPr>
      <t xml:space="preserve">2 </t>
    </r>
    <r>
      <rPr>
        <sz val="11"/>
        <rFont val="Times New Roman"/>
        <family val="1"/>
        <charset val="204"/>
      </rPr>
      <t xml:space="preserve">SO</t>
    </r>
    <r>
      <rPr>
        <vertAlign val="subscript"/>
        <sz val="11"/>
        <rFont val="Times New Roman"/>
        <family val="1"/>
        <charset val="204"/>
      </rPr>
      <t xml:space="preserve">4 </t>
    </r>
    <r>
      <rPr>
        <sz val="11"/>
        <rFont val="Times New Roman"/>
        <family val="1"/>
        <charset val="204"/>
      </rPr>
      <t xml:space="preserve">серная кислота</t>
    </r>
  </si>
  <si>
    <t xml:space="preserve">карбанат натрия</t>
  </si>
  <si>
    <t xml:space="preserve">нитрат калия</t>
  </si>
  <si>
    <t xml:space="preserve">марганец сернокислый 5вод</t>
  </si>
  <si>
    <t xml:space="preserve">1.22.7.</t>
  </si>
  <si>
    <t xml:space="preserve">МУ 4945-88</t>
  </si>
  <si>
    <t xml:space="preserve">ГСО стандарт меди</t>
  </si>
  <si>
    <t xml:space="preserve">аммиак водный</t>
  </si>
  <si>
    <t xml:space="preserve">аммония цитрат</t>
  </si>
  <si>
    <t xml:space="preserve">диэтилдитиокарбамат натрия </t>
  </si>
  <si>
    <t xml:space="preserve">Фильтр АФА -ХП /1уп-100шт=10000, 1шт=100тг</t>
  </si>
  <si>
    <t xml:space="preserve">1.22.8.</t>
  </si>
  <si>
    <t xml:space="preserve">МУ 1634- 77,4945-88</t>
  </si>
  <si>
    <t xml:space="preserve">ГСО стандарт цинка</t>
  </si>
  <si>
    <t xml:space="preserve">кислота лимонная </t>
  </si>
  <si>
    <r>
      <rPr>
        <sz val="11"/>
        <rFont val="Times New Roman"/>
        <family val="1"/>
        <charset val="204"/>
      </rPr>
      <t xml:space="preserve">NH</t>
    </r>
    <r>
      <rPr>
        <vertAlign val="subscript"/>
        <sz val="11"/>
        <rFont val="Times New Roman"/>
        <family val="1"/>
        <charset val="204"/>
      </rPr>
      <t xml:space="preserve">4 </t>
    </r>
    <r>
      <rPr>
        <sz val="11"/>
        <rFont val="Times New Roman"/>
        <family val="1"/>
        <charset val="204"/>
      </rPr>
      <t xml:space="preserve">OH (аммиак водный)</t>
    </r>
  </si>
  <si>
    <t xml:space="preserve">сульфарсазен </t>
  </si>
  <si>
    <t xml:space="preserve">кислота уксусная</t>
  </si>
  <si>
    <t xml:space="preserve">тиомочевина </t>
  </si>
  <si>
    <t xml:space="preserve">1.22.9.</t>
  </si>
  <si>
    <t xml:space="preserve">МУ 1637-77</t>
  </si>
  <si>
    <t xml:space="preserve">ГСО стандарт аммиака</t>
  </si>
  <si>
    <t xml:space="preserve">0,098</t>
  </si>
  <si>
    <t xml:space="preserve">1.22.10.</t>
  </si>
  <si>
    <t xml:space="preserve">МУ 1638-77</t>
  </si>
  <si>
    <t xml:space="preserve">ГСО стандарт</t>
  </si>
  <si>
    <t xml:space="preserve">L-нафтиламин </t>
  </si>
  <si>
    <t xml:space="preserve">уксусная кислота </t>
  </si>
  <si>
    <t xml:space="preserve">калий йодистый </t>
  </si>
  <si>
    <t xml:space="preserve">сульфаниловая кислота</t>
  </si>
  <si>
    <t xml:space="preserve">сульфит натрия</t>
  </si>
  <si>
    <t xml:space="preserve">натрий азотисто кислый</t>
  </si>
  <si>
    <t xml:space="preserve">1.22.11.</t>
  </si>
  <si>
    <t xml:space="preserve">МУ 1639- 77</t>
  </si>
  <si>
    <t xml:space="preserve">хромовый ангидрид</t>
  </si>
  <si>
    <t xml:space="preserve">N N диметил – n- фенилендиамин дигидрохлорид </t>
  </si>
  <si>
    <t xml:space="preserve">Азотная кислота</t>
  </si>
  <si>
    <t xml:space="preserve">1.22.12.</t>
  </si>
  <si>
    <t xml:space="preserve">1641-77</t>
  </si>
  <si>
    <t xml:space="preserve">соляная кислота </t>
  </si>
  <si>
    <t xml:space="preserve">1.22.13.</t>
  </si>
  <si>
    <t xml:space="preserve">МУ 1642-77</t>
  </si>
  <si>
    <t xml:space="preserve">калий хлорноватокислый</t>
  </si>
  <si>
    <t xml:space="preserve">1.22.14.</t>
  </si>
  <si>
    <t xml:space="preserve">МУ 1643- 77</t>
  </si>
  <si>
    <t xml:space="preserve">стандарт титр тиосульфат натрия</t>
  </si>
  <si>
    <t xml:space="preserve">натрия арсенит</t>
  </si>
  <si>
    <t xml:space="preserve">аммония карбонат</t>
  </si>
  <si>
    <t xml:space="preserve">крахмал </t>
  </si>
  <si>
    <t xml:space="preserve">1.22.15.</t>
  </si>
  <si>
    <t xml:space="preserve">МУ 1644- 77</t>
  </si>
  <si>
    <t xml:space="preserve">Тиосульфат натрия</t>
  </si>
  <si>
    <r>
      <rPr>
        <sz val="11"/>
        <rFont val="Times New Roman"/>
        <family val="1"/>
        <charset val="204"/>
      </rPr>
      <t xml:space="preserve">Hg Y</t>
    </r>
    <r>
      <rPr>
        <vertAlign val="subscript"/>
        <sz val="11"/>
        <rFont val="Times New Roman"/>
        <family val="1"/>
        <charset val="204"/>
      </rPr>
      <t xml:space="preserve">2</t>
    </r>
    <r>
      <rPr>
        <sz val="11"/>
        <rFont val="Times New Roman"/>
        <family val="1"/>
        <charset val="204"/>
      </rPr>
      <t xml:space="preserve"> ртуть йодистая</t>
    </r>
  </si>
  <si>
    <t xml:space="preserve">цинк сернокислый</t>
  </si>
  <si>
    <t xml:space="preserve">1.22.16.</t>
  </si>
  <si>
    <t xml:space="preserve">МУ 1645-77</t>
  </si>
  <si>
    <t xml:space="preserve">ртуть роданистая</t>
  </si>
  <si>
    <t xml:space="preserve">1.22.17.</t>
  </si>
  <si>
    <t xml:space="preserve">МУ 1648- 77</t>
  </si>
  <si>
    <t xml:space="preserve">салициловый альдегид </t>
  </si>
  <si>
    <t xml:space="preserve">1.22.18.</t>
  </si>
  <si>
    <t xml:space="preserve">МУ 1650-77</t>
  </si>
  <si>
    <t xml:space="preserve">натрий карбонат</t>
  </si>
  <si>
    <t xml:space="preserve">эфир диэтиловый</t>
  </si>
  <si>
    <t xml:space="preserve">уксусная кислота леденая</t>
  </si>
  <si>
    <t xml:space="preserve">1.22.19.</t>
  </si>
  <si>
    <t xml:space="preserve">МУ 1686-77</t>
  </si>
  <si>
    <t xml:space="preserve">едкий натр </t>
  </si>
  <si>
    <t xml:space="preserve">пиридин</t>
  </si>
  <si>
    <t xml:space="preserve">1.22.20.</t>
  </si>
  <si>
    <t xml:space="preserve">МУ 4574-88</t>
  </si>
  <si>
    <t xml:space="preserve">кислота хлористоводородная</t>
  </si>
  <si>
    <t xml:space="preserve">ртуть роданистая </t>
  </si>
  <si>
    <t xml:space="preserve">1.22.21.</t>
  </si>
  <si>
    <t xml:space="preserve">МУ 1696- 77</t>
  </si>
  <si>
    <t xml:space="preserve">фенил гидразин солянокислый </t>
  </si>
  <si>
    <t xml:space="preserve">Na OH (натрия гидроокись)</t>
  </si>
  <si>
    <t xml:space="preserve">спирт изопропиловый </t>
  </si>
  <si>
    <t xml:space="preserve">калий железосинеродистый</t>
  </si>
  <si>
    <t xml:space="preserve">ГСО стандарт формальдегида</t>
  </si>
  <si>
    <t xml:space="preserve">1.22.22.</t>
  </si>
  <si>
    <t xml:space="preserve">МУ 2013 -79</t>
  </si>
  <si>
    <t xml:space="preserve">аммоний уксуснокислый </t>
  </si>
  <si>
    <t xml:space="preserve">калий железистосинеродистый </t>
  </si>
  <si>
    <t xml:space="preserve">1.22.23.</t>
  </si>
  <si>
    <t xml:space="preserve">фторид натрия</t>
  </si>
  <si>
    <t xml:space="preserve">углекислый калий</t>
  </si>
  <si>
    <t xml:space="preserve">глицерин</t>
  </si>
  <si>
    <t xml:space="preserve">цирконил азотнокислый</t>
  </si>
  <si>
    <t xml:space="preserve">ксиленовый оранжевый</t>
  </si>
  <si>
    <t xml:space="preserve">1.22.24.</t>
  </si>
  <si>
    <t xml:space="preserve">МУ2563-82</t>
  </si>
  <si>
    <t xml:space="preserve">диметилбензаальдегид</t>
  </si>
  <si>
    <t xml:space="preserve">фильтр "синая лента"</t>
  </si>
  <si>
    <t xml:space="preserve">1.22.25.</t>
  </si>
  <si>
    <t xml:space="preserve">МУ 1631-77</t>
  </si>
  <si>
    <t xml:space="preserve">калий фосфата</t>
  </si>
  <si>
    <t xml:space="preserve">аскорбиновая кислота </t>
  </si>
  <si>
    <t xml:space="preserve">аммониий молибденовокислый  </t>
  </si>
  <si>
    <t xml:space="preserve">Определение вредного вещества (одно исследование)экспресс методом в воздухе закрытых помещений, (аммиака, сероводорода,  диоксид азота, озона, оксид азота)</t>
  </si>
  <si>
    <t xml:space="preserve">ГОСТ 12.1.014-84,ГОСТ 17.2.6.02-85</t>
  </si>
  <si>
    <t xml:space="preserve">МУ 3.05.027- 97</t>
  </si>
  <si>
    <t xml:space="preserve">Калий двух хромовокислый</t>
  </si>
  <si>
    <t xml:space="preserve">Кислота серная</t>
  </si>
  <si>
    <t xml:space="preserve">Натрия гипосульфит</t>
  </si>
  <si>
    <t xml:space="preserve">1.23.7.</t>
  </si>
  <si>
    <t xml:space="preserve">Фенил гидразин солянокислый </t>
  </si>
  <si>
    <t xml:space="preserve">Спирт изопропиловый </t>
  </si>
  <si>
    <t xml:space="preserve">Калий железосинеродистый</t>
  </si>
  <si>
    <t xml:space="preserve">1.24.</t>
  </si>
  <si>
    <t xml:space="preserve">Определение вредного вещества (одно исследование) экспресс методом в атмосферном воздухе (аммиака, сероводорода,  диоксид азота, озона, оксид азота)</t>
  </si>
  <si>
    <t xml:space="preserve">СТ РК 2.302-2014</t>
  </si>
  <si>
    <t xml:space="preserve">сульфат натрия</t>
  </si>
  <si>
    <t xml:space="preserve">Гидрооксид натрия</t>
  </si>
  <si>
    <t xml:space="preserve">Йод стандартный</t>
  </si>
  <si>
    <t xml:space="preserve">Солянная кислота</t>
  </si>
  <si>
    <t xml:space="preserve">Формалин</t>
  </si>
  <si>
    <t xml:space="preserve">Феноловый красный</t>
  </si>
  <si>
    <t xml:space="preserve">Калий хлорид</t>
  </si>
  <si>
    <t xml:space="preserve">Сульфаминовая кислота</t>
  </si>
  <si>
    <t xml:space="preserve">Пиросульфат натрия</t>
  </si>
  <si>
    <t xml:space="preserve">Определение массовой концентрации фториды твердые в  атмосферном воздухе населенных мест </t>
  </si>
  <si>
    <t xml:space="preserve">ГСО фторид натрия</t>
  </si>
  <si>
    <t xml:space="preserve">амп </t>
  </si>
  <si>
    <t xml:space="preserve">ксеноловый оранжевый</t>
  </si>
  <si>
    <t xml:space="preserve">цирконил натрия</t>
  </si>
  <si>
    <t xml:space="preserve">Определение массовой концентрации фтористый водорода  в  атмосферном воздухе населенных мест </t>
  </si>
  <si>
    <t xml:space="preserve">цирконил нитрат</t>
  </si>
  <si>
    <t xml:space="preserve">калий карбонат</t>
  </si>
  <si>
    <t xml:space="preserve">ксиленоловый оранжевый</t>
  </si>
  <si>
    <t xml:space="preserve">натрия фторид</t>
  </si>
  <si>
    <t xml:space="preserve">Определение массовой концентрации сероводорода  в  атмосферном воздухе населенных мест </t>
  </si>
  <si>
    <t xml:space="preserve">Сернокислый кадмий</t>
  </si>
  <si>
    <t xml:space="preserve">Триэтаноламин</t>
  </si>
  <si>
    <t xml:space="preserve">Железо хлористый</t>
  </si>
  <si>
    <t xml:space="preserve">Серная кислота,х.ч.</t>
  </si>
  <si>
    <t xml:space="preserve">N,N-диметил-п-фенилендиамин</t>
  </si>
  <si>
    <t xml:space="preserve">Определение массовой концентрации фенола в  атмосферном воздухе населенных мест </t>
  </si>
  <si>
    <t xml:space="preserve">Паранитроанилин</t>
  </si>
  <si>
    <t xml:space="preserve">Натрия карбонат/упак.-250гр./</t>
  </si>
  <si>
    <t xml:space="preserve">фенол</t>
  </si>
  <si>
    <t xml:space="preserve">солянная кислота</t>
  </si>
  <si>
    <t xml:space="preserve">Аммоний уксуснокислый </t>
  </si>
  <si>
    <t xml:space="preserve">0,0015</t>
  </si>
  <si>
    <t xml:space="preserve">Ацетилацетон</t>
  </si>
  <si>
    <t xml:space="preserve">Йод стандарт</t>
  </si>
  <si>
    <t xml:space="preserve">Гидрооксь натрия</t>
  </si>
  <si>
    <t xml:space="preserve">Определение серной кислоты в атмосферном воздухе фотометрическим методом</t>
  </si>
  <si>
    <t xml:space="preserve">калия сульфат</t>
  </si>
  <si>
    <t xml:space="preserve">бария хлорид</t>
  </si>
  <si>
    <t xml:space="preserve">калия бромид</t>
  </si>
  <si>
    <t xml:space="preserve">калия йодид</t>
  </si>
  <si>
    <t xml:space="preserve">трилон Б стандарт титр 0,1</t>
  </si>
  <si>
    <t xml:space="preserve">Определение толуола в атмосферном воздухе </t>
  </si>
  <si>
    <t xml:space="preserve">МУ 10.05.1.1.2002</t>
  </si>
  <si>
    <r>
      <rPr>
        <sz val="11"/>
        <rFont val="Times New Roman"/>
        <family val="1"/>
        <charset val="204"/>
      </rPr>
      <t xml:space="preserve">H</t>
    </r>
    <r>
      <rPr>
        <vertAlign val="subscript"/>
        <sz val="11"/>
        <rFont val="Times New Roman"/>
        <family val="1"/>
        <charset val="204"/>
      </rPr>
      <t xml:space="preserve">2 </t>
    </r>
    <r>
      <rPr>
        <sz val="11"/>
        <rFont val="Times New Roman"/>
        <family val="1"/>
        <charset val="204"/>
      </rPr>
      <t xml:space="preserve">SO</t>
    </r>
    <r>
      <rPr>
        <vertAlign val="subscript"/>
        <sz val="11"/>
        <rFont val="Times New Roman"/>
        <family val="1"/>
        <charset val="204"/>
      </rPr>
      <t xml:space="preserve">4 </t>
    </r>
    <r>
      <rPr>
        <sz val="11"/>
        <rFont val="Times New Roman"/>
        <family val="1"/>
        <charset val="204"/>
      </rPr>
      <t xml:space="preserve">(серная кислота) </t>
    </r>
  </si>
  <si>
    <t xml:space="preserve">Эфир</t>
  </si>
  <si>
    <t xml:space="preserve">Аммоний азотнокислый</t>
  </si>
  <si>
    <t xml:space="preserve">Определение массовой концентрации железо, кадмий, кобальт, магний, марганец, медь, никель, свинец, хром, цинк   в атмосферном воздухе населенных мест  </t>
  </si>
  <si>
    <t xml:space="preserve">персульфат</t>
  </si>
  <si>
    <t xml:space="preserve">натрия карбонат</t>
  </si>
  <si>
    <t xml:space="preserve">Тиомочевина </t>
  </si>
  <si>
    <t xml:space="preserve">Сульфарсазен </t>
  </si>
  <si>
    <t xml:space="preserve">Калий железистосинеродистый </t>
  </si>
  <si>
    <t xml:space="preserve">Натрий тетраборнокислый</t>
  </si>
  <si>
    <t xml:space="preserve">Кислота азотная</t>
  </si>
  <si>
    <t xml:space="preserve">хлорид железа</t>
  </si>
  <si>
    <t xml:space="preserve">барбитуровая кислота</t>
  </si>
  <si>
    <t xml:space="preserve">хлорамин Б</t>
  </si>
  <si>
    <t xml:space="preserve">аммония родонид 0,1</t>
  </si>
  <si>
    <t xml:space="preserve">тиомочевина</t>
  </si>
  <si>
    <t xml:space="preserve">аммиак </t>
  </si>
  <si>
    <t xml:space="preserve">хромазурол</t>
  </si>
  <si>
    <t xml:space="preserve">фильтры синие</t>
  </si>
  <si>
    <t xml:space="preserve">Вода из источников централизованного, не централизованного хозяйственно-питьевого водоснабжения, водоемы, подземные и поверхностные источники, скважины, колодцы, родники и каптажи</t>
  </si>
  <si>
    <t xml:space="preserve">СТ РК 2011-2010</t>
  </si>
  <si>
    <t xml:space="preserve">натрий сульфат безводный</t>
  </si>
  <si>
    <t xml:space="preserve">аналитический стандарт альфа-изомера ГХЦГ</t>
  </si>
  <si>
    <t xml:space="preserve">аналитический стандарт бета-изомера ГХЦГ</t>
  </si>
  <si>
    <t xml:space="preserve">аналитический стандарт гамма-изомера ГХЦГ (линдан)</t>
  </si>
  <si>
    <t xml:space="preserve">аналитический стандарт ДДТ</t>
  </si>
  <si>
    <t xml:space="preserve">аналитический стандарт ДДД</t>
  </si>
  <si>
    <t xml:space="preserve">аналитический стандарт ДДЭ</t>
  </si>
  <si>
    <t xml:space="preserve">аналитический стандарт гексахлорбензола</t>
  </si>
  <si>
    <t xml:space="preserve">аналитический стандарт гептахлора</t>
  </si>
  <si>
    <t xml:space="preserve">аналитический стандарт альдрина</t>
  </si>
  <si>
    <t xml:space="preserve">индикаторная бумага рН 0-12</t>
  </si>
  <si>
    <t xml:space="preserve">наконечники для дозатора</t>
  </si>
  <si>
    <t xml:space="preserve">газ баллон азот</t>
  </si>
  <si>
    <t xml:space="preserve">фильтр обеззоленный</t>
  </si>
  <si>
    <t xml:space="preserve">ГОСТ 54503-2011</t>
  </si>
  <si>
    <t xml:space="preserve">оксид алюминия</t>
  </si>
  <si>
    <t xml:space="preserve">натрий сернокислый безводный</t>
  </si>
  <si>
    <t xml:space="preserve">арохлор 1260</t>
  </si>
  <si>
    <t xml:space="preserve">арохлор 1254</t>
  </si>
  <si>
    <t xml:space="preserve">арохлор 1242</t>
  </si>
  <si>
    <t xml:space="preserve">арохлор 1221</t>
  </si>
  <si>
    <t xml:space="preserve">арохлор 1248</t>
  </si>
  <si>
    <t xml:space="preserve">арохлор 1232</t>
  </si>
  <si>
    <t xml:space="preserve">СТ РК 2044-2010</t>
  </si>
  <si>
    <t xml:space="preserve">сульфат натрия безводный</t>
  </si>
  <si>
    <t xml:space="preserve">аналитический стандарт действующего вещества ФОС</t>
  </si>
  <si>
    <t xml:space="preserve">оксид магния</t>
  </si>
  <si>
    <t xml:space="preserve">хлорид натрия </t>
  </si>
  <si>
    <t xml:space="preserve">хлорид кальция</t>
  </si>
  <si>
    <t xml:space="preserve">анионообменная смола Дауэкс</t>
  </si>
  <si>
    <t xml:space="preserve">катионообменная смола Дауэкс</t>
  </si>
  <si>
    <t xml:space="preserve">ГОСТ 34050-2017</t>
  </si>
  <si>
    <t xml:space="preserve">калий фосфорнокислый 1-з</t>
  </si>
  <si>
    <t xml:space="preserve">аналитический стандарт 2,4-Д</t>
  </si>
  <si>
    <t xml:space="preserve">МУК 4.1.1391-03 </t>
  </si>
  <si>
    <t xml:space="preserve">аналитический стандарт </t>
  </si>
  <si>
    <t xml:space="preserve">МУК 4.1.1430-03</t>
  </si>
  <si>
    <t xml:space="preserve">аналитический стандарт пиретроида</t>
  </si>
  <si>
    <t xml:space="preserve">МУК 4.1.1872-04</t>
  </si>
  <si>
    <t xml:space="preserve">МУК 4.1.1444-03  МУ 3190-85</t>
  </si>
  <si>
    <t xml:space="preserve">аналитический стандарт действующего вещества </t>
  </si>
  <si>
    <t xml:space="preserve">МУК 4.1.2163-07</t>
  </si>
  <si>
    <t xml:space="preserve">1.26.</t>
  </si>
  <si>
    <t xml:space="preserve">ГОСТ 31941-2012 </t>
  </si>
  <si>
    <t xml:space="preserve">МУ 2145-80</t>
  </si>
  <si>
    <t xml:space="preserve">1.27.</t>
  </si>
  <si>
    <t xml:space="preserve">бад</t>
  </si>
  <si>
    <t xml:space="preserve">Определение полихлорбифенила  (ПХБ) </t>
  </si>
  <si>
    <t xml:space="preserve">ГОСТ 31983-2012</t>
  </si>
  <si>
    <t xml:space="preserve">1.29.</t>
  </si>
  <si>
    <t xml:space="preserve">ГОСТ 31792-2012</t>
  </si>
  <si>
    <t xml:space="preserve">дихлорметан</t>
  </si>
  <si>
    <t xml:space="preserve">1.30.</t>
  </si>
  <si>
    <t xml:space="preserve">этиловый эфир</t>
  </si>
  <si>
    <t xml:space="preserve">СТ РК 2040-2010 МУ 1350-75  МУ 1112-73</t>
  </si>
  <si>
    <t xml:space="preserve">эозин</t>
  </si>
  <si>
    <t xml:space="preserve">аналитический стандарт метилмеркурхлорида</t>
  </si>
  <si>
    <t xml:space="preserve">МУК 4.1.1452-03  МУК 4.1.1220-03  МУ 3063-84  МУ 3156-84</t>
  </si>
  <si>
    <t xml:space="preserve">МУК 4.1.1444-03  МУ 3190-85  МУ 2145-80</t>
  </si>
  <si>
    <t xml:space="preserve">Определение группы пиретроидов</t>
  </si>
  <si>
    <t xml:space="preserve">МУК 4.1.1443-03  МУК 4.1.2163-07</t>
  </si>
  <si>
    <t xml:space="preserve">МУК 4.1.1806-03 МУК 4.1.1872-04</t>
  </si>
  <si>
    <t xml:space="preserve">1.31.</t>
  </si>
  <si>
    <t xml:space="preserve">1.31.1.</t>
  </si>
  <si>
    <t xml:space="preserve">1.32.</t>
  </si>
  <si>
    <t xml:space="preserve">1.32.1.</t>
  </si>
  <si>
    <t xml:space="preserve">1.33.</t>
  </si>
  <si>
    <t xml:space="preserve">МУ 5048-89  ГОСТ 29270-95</t>
  </si>
  <si>
    <t xml:space="preserve">азотно-кислый калий</t>
  </si>
  <si>
    <t xml:space="preserve">квасцы алюмокалиевые</t>
  </si>
  <si>
    <t xml:space="preserve">ГОСТ 30710-2001  СТ РК 2044-2010 МУ 3222-85</t>
  </si>
  <si>
    <t xml:space="preserve">хлористый кальций</t>
  </si>
  <si>
    <t xml:space="preserve">1.34.</t>
  </si>
  <si>
    <t xml:space="preserve">Определение ртутьорганических пестицидов</t>
  </si>
  <si>
    <t xml:space="preserve">МУК 4.1.3102-13  МУК 4.1.1806-03  МУК 4.1.1872-04</t>
  </si>
  <si>
    <t xml:space="preserve">1.35.</t>
  </si>
  <si>
    <t xml:space="preserve">1.36.</t>
  </si>
  <si>
    <t xml:space="preserve">МУ 3222-85</t>
  </si>
  <si>
    <t xml:space="preserve">МУ 4344-87</t>
  </si>
  <si>
    <t xml:space="preserve">1.37.</t>
  </si>
  <si>
    <t xml:space="preserve">1.38.</t>
  </si>
  <si>
    <t xml:space="preserve">1.38.1.</t>
  </si>
  <si>
    <t xml:space="preserve">1.39.</t>
  </si>
  <si>
    <t xml:space="preserve">МУ 3885-85 </t>
  </si>
  <si>
    <t xml:space="preserve">1.40.</t>
  </si>
  <si>
    <t xml:space="preserve">Определение карбаматов и производных карбаминовой, тио -дитиокарбаминовых кислот  </t>
  </si>
  <si>
    <t xml:space="preserve">МУК 4.1.1872-04  МУК 4.1.1806-03  </t>
  </si>
  <si>
    <t xml:space="preserve">СТ РК 2131-2011</t>
  </si>
  <si>
    <t xml:space="preserve">МУК 4.1.1444-03 МУ 3190-85  МУ 2145-80</t>
  </si>
  <si>
    <t xml:space="preserve">иодид калия</t>
  </si>
  <si>
    <t xml:space="preserve">аналитический стандарт арохлор 1260</t>
  </si>
  <si>
    <t xml:space="preserve">аналитический стандарт арохлор 1254</t>
  </si>
  <si>
    <t xml:space="preserve">аналитический стандарт арохлор 1242</t>
  </si>
  <si>
    <t xml:space="preserve"> аналитический стандарт арохлор 1221</t>
  </si>
  <si>
    <t xml:space="preserve">аналитический стандарт арохлор 1248</t>
  </si>
  <si>
    <t xml:space="preserve">аналитический стандарт арохлор 1232</t>
  </si>
  <si>
    <t xml:space="preserve">ПБ, ТУ, Стандарты организации </t>
  </si>
  <si>
    <t xml:space="preserve">ГОСТ 33776-2016</t>
  </si>
  <si>
    <t xml:space="preserve">буферные растворы рН</t>
  </si>
  <si>
    <t xml:space="preserve">аналитический стандарт действующего вещества</t>
  </si>
  <si>
    <t xml:space="preserve">ацетонитрил </t>
  </si>
  <si>
    <t xml:space="preserve">ГОСТ Р 18995.1-73</t>
  </si>
  <si>
    <t xml:space="preserve">1.42.</t>
  </si>
  <si>
    <t xml:space="preserve">1.43.</t>
  </si>
  <si>
    <t xml:space="preserve">МУ 3151-84</t>
  </si>
  <si>
    <t xml:space="preserve">1.44.</t>
  </si>
  <si>
    <t xml:space="preserve">МУК 4.1.3081-13</t>
  </si>
  <si>
    <t xml:space="preserve">аналитический стандарт циантранилипрола</t>
  </si>
  <si>
    <t xml:space="preserve">калий углекислый, карбонат калия</t>
  </si>
  <si>
    <t xml:space="preserve">калий марганцово-кислый</t>
  </si>
  <si>
    <t xml:space="preserve">1.45.</t>
  </si>
  <si>
    <t xml:space="preserve">1.46.</t>
  </si>
  <si>
    <t xml:space="preserve">Продукты для питания беременных и кормящих женщин, продукты и консервы детского и диетического питания  </t>
  </si>
  <si>
    <t xml:space="preserve">бумага фильтровальная</t>
  </si>
  <si>
    <t xml:space="preserve">пач</t>
  </si>
  <si>
    <t xml:space="preserve">едкий калий</t>
  </si>
  <si>
    <t xml:space="preserve"> ИТ-инд. трубки</t>
  </si>
  <si>
    <t xml:space="preserve">пирофосфат натрия</t>
  </si>
  <si>
    <t xml:space="preserve">соляная ислота</t>
  </si>
  <si>
    <t xml:space="preserve">беззольный фильтр</t>
  </si>
  <si>
    <t xml:space="preserve">1уп-100</t>
  </si>
  <si>
    <t xml:space="preserve">1 уп-100</t>
  </si>
  <si>
    <t xml:space="preserve">аммиачный азот</t>
  </si>
  <si>
    <t xml:space="preserve">аммоний ванадиево-кислый металлический</t>
  </si>
  <si>
    <t xml:space="preserve">аммоний молибденово-кислый</t>
  </si>
  <si>
    <t xml:space="preserve">метилово-оранжевый индикатор</t>
  </si>
  <si>
    <t xml:space="preserve">однозамещенный фосфорнокислый калий</t>
  </si>
  <si>
    <t xml:space="preserve">двузамещенный фосфорнокислый натрий</t>
  </si>
  <si>
    <t xml:space="preserve">бромистый калий</t>
  </si>
  <si>
    <t xml:space="preserve">бром крезолово-зеленый</t>
  </si>
  <si>
    <t xml:space="preserve">фильтр белая лента</t>
  </si>
  <si>
    <t xml:space="preserve">индикатор феноловый красный</t>
  </si>
  <si>
    <t xml:space="preserve">металлический селен</t>
  </si>
  <si>
    <t xml:space="preserve">цинковая пыль</t>
  </si>
  <si>
    <t xml:space="preserve">натрий тетрафенилборат</t>
  </si>
  <si>
    <t xml:space="preserve">фенолфтолеин</t>
  </si>
  <si>
    <t xml:space="preserve">индикатор метиловый красный</t>
  </si>
  <si>
    <t xml:space="preserve">стандарт</t>
  </si>
  <si>
    <t xml:space="preserve">ортофосфатная кислота</t>
  </si>
  <si>
    <t xml:space="preserve">2-нитрозо-1-нафтол</t>
  </si>
  <si>
    <t xml:space="preserve">бор</t>
  </si>
  <si>
    <t xml:space="preserve">кобальт</t>
  </si>
  <si>
    <t xml:space="preserve">молибден</t>
  </si>
  <si>
    <t xml:space="preserve">кадмий</t>
  </si>
  <si>
    <t xml:space="preserve">свинец</t>
  </si>
  <si>
    <t xml:space="preserve">мышьяк</t>
  </si>
  <si>
    <t xml:space="preserve">никель</t>
  </si>
  <si>
    <t xml:space="preserve">хром</t>
  </si>
  <si>
    <t xml:space="preserve">сера</t>
  </si>
  <si>
    <t xml:space="preserve">виннокислая соль натрия</t>
  </si>
  <si>
    <t xml:space="preserve">сульфат меди</t>
  </si>
  <si>
    <t xml:space="preserve">биурет</t>
  </si>
  <si>
    <t xml:space="preserve">катионо-обменная смола</t>
  </si>
  <si>
    <t xml:space="preserve">метиловый красный индикатор</t>
  </si>
  <si>
    <t xml:space="preserve">метиловый голубой индикатор</t>
  </si>
  <si>
    <t xml:space="preserve">янтарная кислота</t>
  </si>
  <si>
    <t xml:space="preserve">магний</t>
  </si>
  <si>
    <t xml:space="preserve">кальций</t>
  </si>
  <si>
    <t xml:space="preserve">кислота уксусная ледяная</t>
  </si>
  <si>
    <t xml:space="preserve">натрий металлический</t>
  </si>
  <si>
    <t xml:space="preserve">фильтр обеззоленный синяя лента</t>
  </si>
  <si>
    <t xml:space="preserve">НД предоставленные заказчиком</t>
  </si>
  <si>
    <t xml:space="preserve">раствор буферный рН</t>
  </si>
  <si>
    <t xml:space="preserve">марля </t>
  </si>
  <si>
    <t xml:space="preserve">Зарядное устройство (аккумулятор)</t>
  </si>
  <si>
    <t xml:space="preserve">Зарядное устройство с 2-мя комплектами аккумуляторов</t>
  </si>
  <si>
    <t xml:space="preserve">бумага формат А4</t>
  </si>
  <si>
    <t xml:space="preserve">2.1.1.</t>
  </si>
  <si>
    <t xml:space="preserve">стандарт мутности </t>
  </si>
  <si>
    <t xml:space="preserve">стандарт цветности </t>
  </si>
  <si>
    <t xml:space="preserve">2.1.2.</t>
  </si>
  <si>
    <t xml:space="preserve">2.1.3.</t>
  </si>
  <si>
    <t xml:space="preserve">бикарбанат натрия</t>
  </si>
  <si>
    <t xml:space="preserve">мочевина </t>
  </si>
  <si>
    <t xml:space="preserve">2.1.5.</t>
  </si>
  <si>
    <t xml:space="preserve">2.1.6.</t>
  </si>
  <si>
    <t xml:space="preserve">2.1.7.</t>
  </si>
  <si>
    <t xml:space="preserve">перманганат калия</t>
  </si>
  <si>
    <t xml:space="preserve">2.1.8.</t>
  </si>
  <si>
    <t xml:space="preserve">Определение солей тяжелых металлов (свинец)</t>
  </si>
  <si>
    <t xml:space="preserve">МСО ионов свинца</t>
  </si>
  <si>
    <t xml:space="preserve">ГСО свинец (стандарты)</t>
  </si>
  <si>
    <t xml:space="preserve">2.1.9.</t>
  </si>
  <si>
    <t xml:space="preserve">Определение солей тяжелых металлов (медь)</t>
  </si>
  <si>
    <t xml:space="preserve">диэтилдитиокарбонат натрия</t>
  </si>
  <si>
    <t xml:space="preserve">ГСО медь (стандарты)</t>
  </si>
  <si>
    <t xml:space="preserve">2.1.10.</t>
  </si>
  <si>
    <t xml:space="preserve">цинк</t>
  </si>
  <si>
    <t xml:space="preserve">уксуснокислый аммоний</t>
  </si>
  <si>
    <t xml:space="preserve">2.1.11.</t>
  </si>
  <si>
    <t xml:space="preserve">МСО ионов кадмия</t>
  </si>
  <si>
    <t xml:space="preserve">2.1.12.</t>
  </si>
  <si>
    <t xml:space="preserve">винная кислота</t>
  </si>
  <si>
    <t xml:space="preserve">нитрозо-Р-соль</t>
  </si>
  <si>
    <t xml:space="preserve">ГСО кобальт (стандарты)</t>
  </si>
  <si>
    <t xml:space="preserve">2.1.14.</t>
  </si>
  <si>
    <t xml:space="preserve"> Определение  солей тяжелых металлов  (хром)</t>
  </si>
  <si>
    <t xml:space="preserve">Калий двухромовокислый</t>
  </si>
  <si>
    <t xml:space="preserve">AgNOз</t>
  </si>
  <si>
    <t xml:space="preserve">натрий фосфорнокислый 1замещенный</t>
  </si>
  <si>
    <t xml:space="preserve">МСО ионов хрома</t>
  </si>
  <si>
    <t xml:space="preserve">2.1.15.</t>
  </si>
  <si>
    <t xml:space="preserve">аллюмокалиевые квасцы</t>
  </si>
  <si>
    <t xml:space="preserve">ГСО алюминий (стандарты)</t>
  </si>
  <si>
    <t xml:space="preserve">2.1.16.</t>
  </si>
  <si>
    <t xml:space="preserve">железоаммонийние квасцы</t>
  </si>
  <si>
    <t xml:space="preserve">кислота солярная</t>
  </si>
  <si>
    <t xml:space="preserve">перекись водороды</t>
  </si>
  <si>
    <t xml:space="preserve">ГСО железа (стандарты)</t>
  </si>
  <si>
    <t xml:space="preserve">апм</t>
  </si>
  <si>
    <t xml:space="preserve">2.1.17.</t>
  </si>
  <si>
    <t xml:space="preserve">нитрат серебро</t>
  </si>
  <si>
    <t xml:space="preserve">2.1.18.</t>
  </si>
  <si>
    <t xml:space="preserve">кармин</t>
  </si>
  <si>
    <t xml:space="preserve">2.1.19.</t>
  </si>
  <si>
    <t xml:space="preserve">МСО ионов мышьяка</t>
  </si>
  <si>
    <t xml:space="preserve">2.1.20.</t>
  </si>
  <si>
    <t xml:space="preserve">РДХ ацетальдегид (стандарты)</t>
  </si>
  <si>
    <t xml:space="preserve">2.1.21.</t>
  </si>
  <si>
    <t xml:space="preserve">РДХ ацетон(стандарты)</t>
  </si>
  <si>
    <t xml:space="preserve">ам</t>
  </si>
  <si>
    <t xml:space="preserve">2.1.22.</t>
  </si>
  <si>
    <t xml:space="preserve">КОН</t>
  </si>
  <si>
    <t xml:space="preserve">КМnОН </t>
  </si>
  <si>
    <t xml:space="preserve">упак</t>
  </si>
  <si>
    <t xml:space="preserve">Акрилонитрил</t>
  </si>
  <si>
    <t xml:space="preserve">2.1.23.</t>
  </si>
  <si>
    <t xml:space="preserve">РДХ бензол (стандарты)</t>
  </si>
  <si>
    <t xml:space="preserve">2.1.24.</t>
  </si>
  <si>
    <t xml:space="preserve">РДХ бутилакрилат (стандарты)</t>
  </si>
  <si>
    <t xml:space="preserve">2.1.25.</t>
  </si>
  <si>
    <t xml:space="preserve">РДХ винилацетат (стандарты)</t>
  </si>
  <si>
    <t xml:space="preserve">2.1.26.</t>
  </si>
  <si>
    <t xml:space="preserve">РДХ гексаметилдиамин (стандарты)</t>
  </si>
  <si>
    <t xml:space="preserve">2.1.27.</t>
  </si>
  <si>
    <t xml:space="preserve">РДХ ксилол(стандарты)</t>
  </si>
  <si>
    <t xml:space="preserve">РДХ метилакрилат (стандарты)</t>
  </si>
  <si>
    <t xml:space="preserve">KOH</t>
  </si>
  <si>
    <t xml:space="preserve">KMnOH</t>
  </si>
  <si>
    <t xml:space="preserve">2.1.29.</t>
  </si>
  <si>
    <t xml:space="preserve">РДХ бутанол (стандарты)</t>
  </si>
  <si>
    <t xml:space="preserve">2.1.30.</t>
  </si>
  <si>
    <t xml:space="preserve"> Определение  пропанола</t>
  </si>
  <si>
    <t xml:space="preserve">РДХ пропанол (стандарты)</t>
  </si>
  <si>
    <t xml:space="preserve">2.1.31.</t>
  </si>
  <si>
    <t xml:space="preserve">РДХ изопропанол (стандарты)</t>
  </si>
  <si>
    <t xml:space="preserve">2.1.32.</t>
  </si>
  <si>
    <t xml:space="preserve">2.1.33.</t>
  </si>
  <si>
    <t xml:space="preserve">РДХ изобутанол (стандарты)</t>
  </si>
  <si>
    <t xml:space="preserve">2.1.34.</t>
  </si>
  <si>
    <t xml:space="preserve">РДХ метилацетат (стандарты)</t>
  </si>
  <si>
    <t xml:space="preserve">2.1.35.</t>
  </si>
  <si>
    <t xml:space="preserve">РДХ бутилацетат (стандарты)</t>
  </si>
  <si>
    <t xml:space="preserve">2.1.36.</t>
  </si>
  <si>
    <t xml:space="preserve">РДХ толуол(стандарты)</t>
  </si>
  <si>
    <t xml:space="preserve">2.1.37.</t>
  </si>
  <si>
    <t xml:space="preserve">хлористого винила стандарты </t>
  </si>
  <si>
    <t xml:space="preserve">2.1.38.</t>
  </si>
  <si>
    <t xml:space="preserve">РДХ этилацетата (стандарты)</t>
  </si>
  <si>
    <t xml:space="preserve">2.1.39.</t>
  </si>
  <si>
    <t xml:space="preserve">Эпихлоргидрин</t>
  </si>
  <si>
    <t xml:space="preserve">периодат калия</t>
  </si>
  <si>
    <t xml:space="preserve">сульфид натрия</t>
  </si>
  <si>
    <t xml:space="preserve">2.1.40.</t>
  </si>
  <si>
    <t xml:space="preserve">Дифенилпропан</t>
  </si>
  <si>
    <t xml:space="preserve">эфир серный</t>
  </si>
  <si>
    <t xml:space="preserve">NaOH</t>
  </si>
  <si>
    <t xml:space="preserve">азотнокислый висмут</t>
  </si>
  <si>
    <t xml:space="preserve">2.1.41.</t>
  </si>
  <si>
    <t xml:space="preserve">РДХ диметилтерефталата (стандарты)</t>
  </si>
  <si>
    <t xml:space="preserve">2.1.42.</t>
  </si>
  <si>
    <t xml:space="preserve">Е капролактам</t>
  </si>
  <si>
    <t xml:space="preserve">2.1.43.</t>
  </si>
  <si>
    <t xml:space="preserve">висмут азотнокислый</t>
  </si>
  <si>
    <t xml:space="preserve">2.1.44.</t>
  </si>
  <si>
    <t xml:space="preserve">Метилметакрилат</t>
  </si>
  <si>
    <t xml:space="preserve">2.1.45.</t>
  </si>
  <si>
    <t xml:space="preserve">РДХ стирол(стандарты)</t>
  </si>
  <si>
    <t xml:space="preserve">2.1.46.</t>
  </si>
  <si>
    <t xml:space="preserve">феррацианид калия</t>
  </si>
  <si>
    <t xml:space="preserve">хлорид аммония</t>
  </si>
  <si>
    <t xml:space="preserve">ГСО фенол</t>
  </si>
  <si>
    <t xml:space="preserve">2.1.47.</t>
  </si>
  <si>
    <t xml:space="preserve">ГСО формальдегид</t>
  </si>
  <si>
    <t xml:space="preserve">2.1.48.</t>
  </si>
  <si>
    <t xml:space="preserve">лантан азотнокислый</t>
  </si>
  <si>
    <t xml:space="preserve">ализарин комплексный</t>
  </si>
  <si>
    <t xml:space="preserve">2.1.49.</t>
  </si>
  <si>
    <t xml:space="preserve">Этиленгликоль</t>
  </si>
  <si>
    <t xml:space="preserve">2.1.50.</t>
  </si>
  <si>
    <t xml:space="preserve">диоктилфталат</t>
  </si>
  <si>
    <t xml:space="preserve">2.1.51.</t>
  </si>
  <si>
    <t xml:space="preserve">2.1.52.</t>
  </si>
  <si>
    <t xml:space="preserve">2.1.53.</t>
  </si>
  <si>
    <t xml:space="preserve">сперматозоиды КРС</t>
  </si>
  <si>
    <t xml:space="preserve">доза</t>
  </si>
  <si>
    <t xml:space="preserve">цитрат натрия</t>
  </si>
  <si>
    <t xml:space="preserve">жидкий азот</t>
  </si>
  <si>
    <t xml:space="preserve">2.2.</t>
  </si>
  <si>
    <t xml:space="preserve">2.2.1.</t>
  </si>
  <si>
    <t xml:space="preserve">Органолептические показатели образца и вытяжек из него</t>
  </si>
  <si>
    <t xml:space="preserve">2.2.2.</t>
  </si>
  <si>
    <t xml:space="preserve">углекислый натрий</t>
  </si>
  <si>
    <t xml:space="preserve">сернокислый натрий</t>
  </si>
  <si>
    <t xml:space="preserve">2.2.3.</t>
  </si>
  <si>
    <t xml:space="preserve">РДХ 6 фталатов микс (стандарты)</t>
  </si>
  <si>
    <t xml:space="preserve">2.2.4.</t>
  </si>
  <si>
    <t xml:space="preserve">РДХ ацетальдегид(стандарты)</t>
  </si>
  <si>
    <t xml:space="preserve">2.2.5.</t>
  </si>
  <si>
    <t xml:space="preserve">2.2.6.</t>
  </si>
  <si>
    <t xml:space="preserve">РДХ бензол(стандарты)</t>
  </si>
  <si>
    <t xml:space="preserve">РДХ этилацетат(стандарты)</t>
  </si>
  <si>
    <t xml:space="preserve">2.2.7.</t>
  </si>
  <si>
    <t xml:space="preserve">2.2.8.</t>
  </si>
  <si>
    <t xml:space="preserve">РДХ бутанол(стандарты)</t>
  </si>
  <si>
    <t xml:space="preserve">2.2.10.</t>
  </si>
  <si>
    <t xml:space="preserve">2.2.11.</t>
  </si>
  <si>
    <t xml:space="preserve">2.2.12.</t>
  </si>
  <si>
    <t xml:space="preserve">уп.100гр</t>
  </si>
  <si>
    <t xml:space="preserve">ртути окись желтая</t>
  </si>
  <si>
    <t xml:space="preserve">2.2.13.</t>
  </si>
  <si>
    <t xml:space="preserve">2.2.14.</t>
  </si>
  <si>
    <t xml:space="preserve">2.2.15.</t>
  </si>
  <si>
    <t xml:space="preserve">2.2.16.</t>
  </si>
  <si>
    <t xml:space="preserve">стандарт хлористого винила </t>
  </si>
  <si>
    <t xml:space="preserve">2.2.17.</t>
  </si>
  <si>
    <t xml:space="preserve">696,43</t>
  </si>
  <si>
    <t xml:space="preserve">хлорамин</t>
  </si>
  <si>
    <t xml:space="preserve">2.2.18.</t>
  </si>
  <si>
    <t xml:space="preserve">2.2.19.</t>
  </si>
  <si>
    <t xml:space="preserve">2.2.20.</t>
  </si>
  <si>
    <t xml:space="preserve">2.2.21.</t>
  </si>
  <si>
    <t xml:space="preserve">2.2.22.</t>
  </si>
  <si>
    <t xml:space="preserve">ртуть</t>
  </si>
  <si>
    <t xml:space="preserve">2.2.23.</t>
  </si>
  <si>
    <t xml:space="preserve">РДХ стирол (стандарт)</t>
  </si>
  <si>
    <t xml:space="preserve">г</t>
  </si>
  <si>
    <t xml:space="preserve">ГСО фенол (стандарт)</t>
  </si>
  <si>
    <t xml:space="preserve">2.2.25.</t>
  </si>
  <si>
    <t xml:space="preserve">ГСО формальдегид (стандарт)</t>
  </si>
  <si>
    <t xml:space="preserve">2.2.26.</t>
  </si>
  <si>
    <t xml:space="preserve">2.2.27.</t>
  </si>
  <si>
    <t xml:space="preserve">РДХ фталевого ангидрида (стандарт)</t>
  </si>
  <si>
    <t xml:space="preserve">2.2.28.</t>
  </si>
  <si>
    <t xml:space="preserve">РДХ акрилонитрила (стандарт)</t>
  </si>
  <si>
    <t xml:space="preserve">2.2.29.</t>
  </si>
  <si>
    <t xml:space="preserve">РДХ метилметакрилата (стандарт)</t>
  </si>
  <si>
    <t xml:space="preserve">2.2.30.</t>
  </si>
  <si>
    <t xml:space="preserve">2.2.31.</t>
  </si>
  <si>
    <t xml:space="preserve">РДХ метилового спирта (стандарт)</t>
  </si>
  <si>
    <t xml:space="preserve">2.2.32.</t>
  </si>
  <si>
    <t xml:space="preserve">2.2.33.</t>
  </si>
  <si>
    <t xml:space="preserve">2.2.34.</t>
  </si>
  <si>
    <t xml:space="preserve">2.2.35.</t>
  </si>
  <si>
    <t xml:space="preserve">кролик на 5 анализов</t>
  </si>
  <si>
    <t xml:space="preserve">2.2.36.</t>
  </si>
  <si>
    <t xml:space="preserve">мышь</t>
  </si>
  <si>
    <t xml:space="preserve">2.2.37.</t>
  </si>
  <si>
    <t xml:space="preserve">2.3.</t>
  </si>
  <si>
    <t xml:space="preserve">2.3.1.</t>
  </si>
  <si>
    <t xml:space="preserve"> Органолептические исследования образца и вытяжки из него</t>
  </si>
  <si>
    <t xml:space="preserve">2.3.2.</t>
  </si>
  <si>
    <t xml:space="preserve">2.3.3.</t>
  </si>
  <si>
    <t xml:space="preserve">мочевина 1х50г</t>
  </si>
  <si>
    <t xml:space="preserve">2.3.5.</t>
  </si>
  <si>
    <t xml:space="preserve">2.3.6.</t>
  </si>
  <si>
    <t xml:space="preserve">2.3.7.</t>
  </si>
  <si>
    <t xml:space="preserve">ГСО медь (стандарт)</t>
  </si>
  <si>
    <t xml:space="preserve">2.3.8.</t>
  </si>
  <si>
    <t xml:space="preserve">2.3.9.</t>
  </si>
  <si>
    <t xml:space="preserve">2.3.10.</t>
  </si>
  <si>
    <t xml:space="preserve">ГСО никель (стандарт)</t>
  </si>
  <si>
    <t xml:space="preserve">2.3.11.</t>
  </si>
  <si>
    <t xml:space="preserve">ГСО кобальт (стандарт)</t>
  </si>
  <si>
    <t xml:space="preserve">2.3.12.</t>
  </si>
  <si>
    <t xml:space="preserve">Серебро азотнокислое</t>
  </si>
  <si>
    <t xml:space="preserve">2.3.13.</t>
  </si>
  <si>
    <t xml:space="preserve">ГСО алюминий (стандарт)</t>
  </si>
  <si>
    <t xml:space="preserve">2.3.14.</t>
  </si>
  <si>
    <t xml:space="preserve">ГСО железо (стандарт)</t>
  </si>
  <si>
    <t xml:space="preserve">2.3.15.</t>
  </si>
  <si>
    <t xml:space="preserve">ГСО марганец (стандарт)</t>
  </si>
  <si>
    <t xml:space="preserve">2.3.16.</t>
  </si>
  <si>
    <t xml:space="preserve">РДХ ацетальдегид (стандарт)</t>
  </si>
  <si>
    <t xml:space="preserve">2.3.17.</t>
  </si>
  <si>
    <t xml:space="preserve">РДХ ацетон (стандарт)</t>
  </si>
  <si>
    <t xml:space="preserve">2.3.18.</t>
  </si>
  <si>
    <t xml:space="preserve">2.3.19.</t>
  </si>
  <si>
    <t xml:space="preserve">РДХ бензол (стандарт)</t>
  </si>
  <si>
    <t xml:space="preserve">2.3.21.</t>
  </si>
  <si>
    <t xml:space="preserve">РДХ бутилакрилат (стандарт)</t>
  </si>
  <si>
    <t xml:space="preserve">2.3.22.</t>
  </si>
  <si>
    <t xml:space="preserve">РДХ винилацетат (стандарт)</t>
  </si>
  <si>
    <t xml:space="preserve">РДХ диоктил дибутил фталаты (стандарт)</t>
  </si>
  <si>
    <t xml:space="preserve">РДХдиметилтерефталат (стандарт)</t>
  </si>
  <si>
    <t xml:space="preserve">РДХ ксилола (стандарт)</t>
  </si>
  <si>
    <t xml:space="preserve">2.3.28.</t>
  </si>
  <si>
    <t xml:space="preserve">РДХ метилакрилат (стандарт)</t>
  </si>
  <si>
    <t xml:space="preserve">РДХ бутанол (стандарт)</t>
  </si>
  <si>
    <t xml:space="preserve">Метанол</t>
  </si>
  <si>
    <t xml:space="preserve">2.3.32.</t>
  </si>
  <si>
    <t xml:space="preserve">РДХ пропилового спирта (стандарт)</t>
  </si>
  <si>
    <t xml:space="preserve">2.3.33.</t>
  </si>
  <si>
    <t xml:space="preserve">РДХ изопропилового спирта (стандарт)</t>
  </si>
  <si>
    <t xml:space="preserve">2.3.34.</t>
  </si>
  <si>
    <t xml:space="preserve">РДХ толуола (стандарт)</t>
  </si>
  <si>
    <t xml:space="preserve">РДХ стирола (стандарт)</t>
  </si>
  <si>
    <t xml:space="preserve">стандарт хлористого винила</t>
  </si>
  <si>
    <t xml:space="preserve">феррацианид калия уп.500г</t>
  </si>
  <si>
    <t xml:space="preserve">ГСО фенол(стандарт)</t>
  </si>
  <si>
    <t xml:space="preserve">2.3.38.</t>
  </si>
  <si>
    <t xml:space="preserve">2.3.40.</t>
  </si>
  <si>
    <t xml:space="preserve">РДХ этилацетат (стандарты)</t>
  </si>
  <si>
    <t xml:space="preserve">ампула Эколюм</t>
  </si>
  <si>
    <t xml:space="preserve">2.3.43.</t>
  </si>
  <si>
    <t xml:space="preserve">2.3.44.</t>
  </si>
  <si>
    <t xml:space="preserve">2.4.</t>
  </si>
  <si>
    <t xml:space="preserve">2.4.1.</t>
  </si>
  <si>
    <t xml:space="preserve">2.4.2.</t>
  </si>
  <si>
    <t xml:space="preserve">буферный раствор</t>
  </si>
  <si>
    <t xml:space="preserve">2.4.3.</t>
  </si>
  <si>
    <t xml:space="preserve">2.4.4.</t>
  </si>
  <si>
    <t xml:space="preserve">натрий сернистый</t>
  </si>
  <si>
    <t xml:space="preserve">ГСО  (стандарт)</t>
  </si>
  <si>
    <t xml:space="preserve">2.4.5.</t>
  </si>
  <si>
    <t xml:space="preserve">ГСО кадмий (стандарт)</t>
  </si>
  <si>
    <t xml:space="preserve">2.4.6.</t>
  </si>
  <si>
    <t xml:space="preserve">2.4.7.</t>
  </si>
  <si>
    <t xml:space="preserve">ГСО ртуть (стандарт)</t>
  </si>
  <si>
    <t xml:space="preserve">2.4.8.</t>
  </si>
  <si>
    <t xml:space="preserve">стандарты</t>
  </si>
  <si>
    <t xml:space="preserve">2.4.9.</t>
  </si>
  <si>
    <t xml:space="preserve">2.4.10.</t>
  </si>
  <si>
    <t xml:space="preserve">кролик </t>
  </si>
  <si>
    <t xml:space="preserve">2.4.11.</t>
  </si>
  <si>
    <t xml:space="preserve">2.4.12.</t>
  </si>
  <si>
    <t xml:space="preserve">2.4.13.</t>
  </si>
  <si>
    <t xml:space="preserve">2.4.14.</t>
  </si>
  <si>
    <t xml:space="preserve">2.4.16.</t>
  </si>
  <si>
    <t xml:space="preserve">фосфат натрия 2 замещенный</t>
  </si>
  <si>
    <t xml:space="preserve">2.4.17.</t>
  </si>
  <si>
    <t xml:space="preserve">кролик</t>
  </si>
  <si>
    <t xml:space="preserve">2.4.18.</t>
  </si>
  <si>
    <t xml:space="preserve">2.4.19.</t>
  </si>
  <si>
    <t xml:space="preserve">2.4.20.</t>
  </si>
  <si>
    <t xml:space="preserve">морские свинки</t>
  </si>
  <si>
    <t xml:space="preserve">2.4.21.</t>
  </si>
  <si>
    <t xml:space="preserve">Определение  среднесмертельной концентрации ЛК50 паров вещества на белых мышах при статической затравке</t>
  </si>
  <si>
    <t xml:space="preserve">2.4.22.</t>
  </si>
  <si>
    <t xml:space="preserve">2.4.23.</t>
  </si>
  <si>
    <t xml:space="preserve">2.5.2.</t>
  </si>
  <si>
    <t xml:space="preserve">стаедарт  аммиак</t>
  </si>
  <si>
    <t xml:space="preserve">2.5.3.</t>
  </si>
  <si>
    <t xml:space="preserve">2.5.4.</t>
  </si>
  <si>
    <t xml:space="preserve">2.5.5.</t>
  </si>
  <si>
    <t xml:space="preserve">2.5.6.</t>
  </si>
  <si>
    <t xml:space="preserve">2.5.7.</t>
  </si>
  <si>
    <t xml:space="preserve">РДХ бутилметакрилат (стандарт)</t>
  </si>
  <si>
    <t xml:space="preserve">2.5.8.</t>
  </si>
  <si>
    <t xml:space="preserve">РДХ бутилацетат (стандарт)</t>
  </si>
  <si>
    <t xml:space="preserve">2.5.10.</t>
  </si>
  <si>
    <t xml:space="preserve">РДХ гексаметилендиамин (стандарт)</t>
  </si>
  <si>
    <t xml:space="preserve">РДХ диоктил дибутилфталат (стандарт)</t>
  </si>
  <si>
    <t xml:space="preserve">2.5.12.</t>
  </si>
  <si>
    <t xml:space="preserve">2.5.13.</t>
  </si>
  <si>
    <t xml:space="preserve">РДХ изопропанол (стандарт)</t>
  </si>
  <si>
    <t xml:space="preserve">2.5.15.</t>
  </si>
  <si>
    <t xml:space="preserve">роданид ртути</t>
  </si>
  <si>
    <t xml:space="preserve">РДХ диметилформамид (стандарт)</t>
  </si>
  <si>
    <t xml:space="preserve">капролактам</t>
  </si>
  <si>
    <t xml:space="preserve">гидрооксид натрия</t>
  </si>
  <si>
    <t xml:space="preserve">РДХ ксилол (стандарты)</t>
  </si>
  <si>
    <t xml:space="preserve">2.5.21.</t>
  </si>
  <si>
    <t xml:space="preserve">стандарты хлористого углерода</t>
  </si>
  <si>
    <t xml:space="preserve">2.5.22.</t>
  </si>
  <si>
    <t xml:space="preserve">метилметакрилат</t>
  </si>
  <si>
    <t xml:space="preserve">2.5.23.</t>
  </si>
  <si>
    <t xml:space="preserve">уксусный аммоний</t>
  </si>
  <si>
    <t xml:space="preserve">ацетат натрия</t>
  </si>
  <si>
    <t xml:space="preserve">стандарт толуилендиизоцианата</t>
  </si>
  <si>
    <t xml:space="preserve">2.5.25.</t>
  </si>
  <si>
    <t xml:space="preserve">натрий азотнокислый</t>
  </si>
  <si>
    <t xml:space="preserve">пара-нитроанилин</t>
  </si>
  <si>
    <t xml:space="preserve">ГСО фенол( стандарт)</t>
  </si>
  <si>
    <t xml:space="preserve">2.5.26.</t>
  </si>
  <si>
    <t xml:space="preserve">ГСО формальдегид( стандарт)</t>
  </si>
  <si>
    <t xml:space="preserve">ацетилацетон</t>
  </si>
  <si>
    <t xml:space="preserve">эпихлогидрин</t>
  </si>
  <si>
    <t xml:space="preserve">2.5.29.</t>
  </si>
  <si>
    <t xml:space="preserve">стандарт окись этилена</t>
  </si>
  <si>
    <t xml:space="preserve">Определение асбеста в строительных материалах</t>
  </si>
  <si>
    <t xml:space="preserve">стандарты фталевого ангидрида</t>
  </si>
  <si>
    <t xml:space="preserve">2.5.33.</t>
  </si>
  <si>
    <t xml:space="preserve">фенолфталин</t>
  </si>
  <si>
    <t xml:space="preserve">гидроикись калия</t>
  </si>
  <si>
    <t xml:space="preserve">гидрооксид натрий</t>
  </si>
  <si>
    <t xml:space="preserve">роданит аммония</t>
  </si>
  <si>
    <t xml:space="preserve">Определение органических растворителей</t>
  </si>
  <si>
    <t xml:space="preserve">2.6.1.</t>
  </si>
  <si>
    <t xml:space="preserve">2.6.2.</t>
  </si>
  <si>
    <t xml:space="preserve">2.6.3.</t>
  </si>
  <si>
    <t xml:space="preserve">2.6.4.</t>
  </si>
  <si>
    <t xml:space="preserve">2.6.5.</t>
  </si>
  <si>
    <t xml:space="preserve">2.6.6.</t>
  </si>
  <si>
    <t xml:space="preserve">стандарты акриловой кислоты</t>
  </si>
  <si>
    <t xml:space="preserve">2.6.7.</t>
  </si>
  <si>
    <t xml:space="preserve">2.6.8.</t>
  </si>
  <si>
    <t xml:space="preserve">2.6.9.</t>
  </si>
  <si>
    <t xml:space="preserve">2.6.10.</t>
  </si>
  <si>
    <t xml:space="preserve">2.6.11.</t>
  </si>
  <si>
    <t xml:space="preserve">2.6.12.</t>
  </si>
  <si>
    <t xml:space="preserve">РДХ диметилформамид (стандарты)</t>
  </si>
  <si>
    <t xml:space="preserve">2.6.13.</t>
  </si>
  <si>
    <t xml:space="preserve">2.6.14.</t>
  </si>
  <si>
    <t xml:space="preserve">стандарты аммиак</t>
  </si>
  <si>
    <t xml:space="preserve">2.6.15.</t>
  </si>
  <si>
    <t xml:space="preserve">2.6.16.</t>
  </si>
  <si>
    <t xml:space="preserve">2.6.17.</t>
  </si>
  <si>
    <t xml:space="preserve">ГСО свинец стандарт</t>
  </si>
  <si>
    <t xml:space="preserve">2.6.18.</t>
  </si>
  <si>
    <t xml:space="preserve">ГСО медь стандарты</t>
  </si>
  <si>
    <t xml:space="preserve">2.6.19.</t>
  </si>
  <si>
    <t xml:space="preserve">2.6.20.</t>
  </si>
  <si>
    <t xml:space="preserve">2.6.21.</t>
  </si>
  <si>
    <t xml:space="preserve">2.6.22.</t>
  </si>
  <si>
    <t xml:space="preserve">2.6.23.</t>
  </si>
  <si>
    <t xml:space="preserve">2.6.24.</t>
  </si>
  <si>
    <t xml:space="preserve">кролики</t>
  </si>
  <si>
    <t xml:space="preserve">2.6.25.</t>
  </si>
  <si>
    <t xml:space="preserve">2.6.26.</t>
  </si>
  <si>
    <t xml:space="preserve">2.6.27.</t>
  </si>
  <si>
    <t xml:space="preserve">Определение среднесмертельной дозы (ЛД50) вещества на белых крысах развернутым способом</t>
  </si>
  <si>
    <t xml:space="preserve">2.6.28.</t>
  </si>
  <si>
    <t xml:space="preserve">2.7.1.</t>
  </si>
  <si>
    <t xml:space="preserve">2.7.3.</t>
  </si>
  <si>
    <t xml:space="preserve">2.7.4.</t>
  </si>
  <si>
    <t xml:space="preserve">2.7.5.</t>
  </si>
  <si>
    <t xml:space="preserve">ГСО формальдигид</t>
  </si>
  <si>
    <t xml:space="preserve">613,44</t>
  </si>
  <si>
    <t xml:space="preserve">2.7.6.</t>
  </si>
  <si>
    <t xml:space="preserve">резорцин</t>
  </si>
  <si>
    <t xml:space="preserve">2.7.7.</t>
  </si>
  <si>
    <t xml:space="preserve">2.7.8.</t>
  </si>
  <si>
    <t xml:space="preserve">2.7.9.</t>
  </si>
  <si>
    <t xml:space="preserve">МСО ионов металлов</t>
  </si>
  <si>
    <t xml:space="preserve">2.7.10.</t>
  </si>
  <si>
    <t xml:space="preserve">Химические вещества и их композиции, пестициды, агрохимикаты, дезинфицирующие, дезинсекционные и дератизационные средства, удобрение </t>
  </si>
  <si>
    <t xml:space="preserve">2.8.1.</t>
  </si>
  <si>
    <t xml:space="preserve">2.8.2.</t>
  </si>
  <si>
    <t xml:space="preserve">2.8.3.</t>
  </si>
  <si>
    <t xml:space="preserve">2.8.4.</t>
  </si>
  <si>
    <t xml:space="preserve">2.8.5.</t>
  </si>
  <si>
    <t xml:space="preserve">2.8.6.</t>
  </si>
  <si>
    <t xml:space="preserve">2.8.7.</t>
  </si>
  <si>
    <t xml:space="preserve">2.8.8.</t>
  </si>
  <si>
    <t xml:space="preserve">2.8.9.</t>
  </si>
  <si>
    <t xml:space="preserve">2.8.10.</t>
  </si>
  <si>
    <t xml:space="preserve">2.8.11.</t>
  </si>
  <si>
    <t xml:space="preserve">2.9.1.</t>
  </si>
  <si>
    <t xml:space="preserve">2.9.2.</t>
  </si>
  <si>
    <t xml:space="preserve">пара</t>
  </si>
  <si>
    <t xml:space="preserve">одноразовый фильтр АПА-РСП-10</t>
  </si>
  <si>
    <t xml:space="preserve">Атмосферный воздух, осадки, оседающая пыль </t>
  </si>
  <si>
    <t xml:space="preserve">никель азотнокислый</t>
  </si>
  <si>
    <t xml:space="preserve">калий железистосинеродный</t>
  </si>
  <si>
    <t xml:space="preserve">аммоний иодистый</t>
  </si>
  <si>
    <t xml:space="preserve">сурьма треххлористая</t>
  </si>
  <si>
    <t xml:space="preserve">Фильтр "синяя  лента"</t>
  </si>
  <si>
    <t xml:space="preserve">цезий азотно.кислый</t>
  </si>
  <si>
    <t xml:space="preserve">стронций азотнокислый</t>
  </si>
  <si>
    <t xml:space="preserve">иттрий азотнокислый</t>
  </si>
  <si>
    <t xml:space="preserve">Фильтр "синяя лента"</t>
  </si>
  <si>
    <t xml:space="preserve">железо хлорное 6-водное</t>
  </si>
  <si>
    <t xml:space="preserve">фильтр "белая лента"</t>
  </si>
  <si>
    <t xml:space="preserve">гидроксиламин</t>
  </si>
  <si>
    <t xml:space="preserve">Добывающие предприятия, организации использующие ИИИ</t>
  </si>
  <si>
    <t xml:space="preserve">Жидкий азот</t>
  </si>
  <si>
    <t xml:space="preserve">фильтровальная бумага </t>
  </si>
  <si>
    <t xml:space="preserve">Итого </t>
  </si>
  <si>
    <t xml:space="preserve">определение удельной эффективной активности радионуклидов</t>
  </si>
  <si>
    <t xml:space="preserve">Пищевый продукты, Лекарственные растения ,(сухие, жидкие, бальзамы, настойки), древесное сырье (спектрометрическим методом)</t>
  </si>
  <si>
    <t xml:space="preserve">арсеназо  III</t>
  </si>
  <si>
    <t xml:space="preserve">фильтр бумага "синяя лента"</t>
  </si>
  <si>
    <t xml:space="preserve">торий азотнокислый</t>
  </si>
  <si>
    <t xml:space="preserve">азотнокислый уранил</t>
  </si>
  <si>
    <t xml:space="preserve">цинк гранулированный металлический </t>
  </si>
  <si>
    <t xml:space="preserve">индикаторная бумага </t>
  </si>
  <si>
    <t xml:space="preserve">маска </t>
  </si>
  <si>
    <t xml:space="preserve">фильтр</t>
  </si>
  <si>
    <t xml:space="preserve">шт </t>
  </si>
  <si>
    <t xml:space="preserve">МПА</t>
  </si>
  <si>
    <t xml:space="preserve">чашки Петри</t>
  </si>
  <si>
    <t xml:space="preserve">пипетки</t>
  </si>
  <si>
    <t xml:space="preserve">Эйкмана</t>
  </si>
  <si>
    <t xml:space="preserve">ПЖЛ</t>
  </si>
  <si>
    <t xml:space="preserve">среда Эндо</t>
  </si>
  <si>
    <t xml:space="preserve">окраска по Граму</t>
  </si>
  <si>
    <t xml:space="preserve">оксидазный тест</t>
  </si>
  <si>
    <t xml:space="preserve">пробирки</t>
  </si>
  <si>
    <t xml:space="preserve">бактериологическая петля</t>
  </si>
  <si>
    <t xml:space="preserve">агар для клостридий</t>
  </si>
  <si>
    <t xml:space="preserve">анаэроген</t>
  </si>
  <si>
    <t xml:space="preserve">селенит.б-он</t>
  </si>
  <si>
    <t xml:space="preserve">ср.Раппопорта</t>
  </si>
  <si>
    <t xml:space="preserve">SS-агар</t>
  </si>
  <si>
    <t xml:space="preserve">агар Левина</t>
  </si>
  <si>
    <t xml:space="preserve">висмут-сульфит агар</t>
  </si>
  <si>
    <t xml:space="preserve">трехсахарный агар </t>
  </si>
  <si>
    <t xml:space="preserve">среды Гисса с угл.</t>
  </si>
  <si>
    <t xml:space="preserve">малонат натрия</t>
  </si>
  <si>
    <t xml:space="preserve">цитратная среда</t>
  </si>
  <si>
    <t xml:space="preserve">ср. с мочевиной</t>
  </si>
  <si>
    <t xml:space="preserve">агар с фенилаланином</t>
  </si>
  <si>
    <t xml:space="preserve">среда с аминокислотами</t>
  </si>
  <si>
    <t xml:space="preserve">нитратная среда</t>
  </si>
  <si>
    <t xml:space="preserve">глюкозофосфатный бульон</t>
  </si>
  <si>
    <t xml:space="preserve">тест на образование индола</t>
  </si>
  <si>
    <t xml:space="preserve">реактив на фенилаланин</t>
  </si>
  <si>
    <t xml:space="preserve">реактив на нитраты</t>
  </si>
  <si>
    <t xml:space="preserve">тест</t>
  </si>
  <si>
    <t xml:space="preserve">реактив на ацетоин</t>
  </si>
  <si>
    <t xml:space="preserve">бактериофаг</t>
  </si>
  <si>
    <t xml:space="preserve">сыв.диагностич для РА</t>
  </si>
  <si>
    <t xml:space="preserve">штатив для пробирок</t>
  </si>
  <si>
    <t xml:space="preserve">питательный бульон</t>
  </si>
  <si>
    <t xml:space="preserve">тест-культура E.coli</t>
  </si>
  <si>
    <t xml:space="preserve">солевой бульон</t>
  </si>
  <si>
    <t xml:space="preserve">среда Баэрда Паркера</t>
  </si>
  <si>
    <t xml:space="preserve">кроличья плазма</t>
  </si>
  <si>
    <t xml:space="preserve">эмульсия яичного желтка</t>
  </si>
  <si>
    <t xml:space="preserve">ср.обогащения СП</t>
  </si>
  <si>
    <t xml:space="preserve">0,9% раствор NaCl</t>
  </si>
  <si>
    <t xml:space="preserve">ср.Кесслера (б-он МакКонки)</t>
  </si>
  <si>
    <t xml:space="preserve">пакет для гомогенизатора</t>
  </si>
  <si>
    <t xml:space="preserve">латозный бульон</t>
  </si>
  <si>
    <t xml:space="preserve">среда Гисса с маннитом</t>
  </si>
  <si>
    <t xml:space="preserve">NaCl</t>
  </si>
  <si>
    <t xml:space="preserve">псевдомонадный агар</t>
  </si>
  <si>
    <t xml:space="preserve">среда Вильсон-Блера</t>
  </si>
  <si>
    <t xml:space="preserve">ср.Фрейзера с добавкой</t>
  </si>
  <si>
    <t xml:space="preserve">среда Oxford</t>
  </si>
  <si>
    <t xml:space="preserve">среда PALCAM</t>
  </si>
  <si>
    <t xml:space="preserve">желточная ср.с углем</t>
  </si>
  <si>
    <t xml:space="preserve">МПА с глюкозой</t>
  </si>
  <si>
    <t xml:space="preserve">Т.Ц.Ж.С агар (Тиосульфат-Цитрат- Желчь-Сахарозный)</t>
  </si>
  <si>
    <t xml:space="preserve">пептон</t>
  </si>
  <si>
    <t xml:space="preserve">МПА </t>
  </si>
  <si>
    <t xml:space="preserve">реактив на ацетоин (360 опр.)</t>
  </si>
  <si>
    <t xml:space="preserve">метил красный</t>
  </si>
  <si>
    <t xml:space="preserve">каталазный тест (перекись водорода)</t>
  </si>
  <si>
    <t xml:space="preserve">желчно-эскулиновый агар</t>
  </si>
  <si>
    <t xml:space="preserve">азидно-глюкозный бульон</t>
  </si>
  <si>
    <t xml:space="preserve">агар Сабуро</t>
  </si>
  <si>
    <t xml:space="preserve">маннит-желточно-полимиксиновая среда (MYP)</t>
  </si>
  <si>
    <t xml:space="preserve">тиогликолевая среда</t>
  </si>
  <si>
    <t xml:space="preserve">бульон Сабуро</t>
  </si>
  <si>
    <t xml:space="preserve">СрРогозаЖидкая</t>
  </si>
  <si>
    <t xml:space="preserve">Ср.МРС жидкая</t>
  </si>
  <si>
    <t xml:space="preserve">агар Манна Рогоза, Шарпа</t>
  </si>
  <si>
    <t xml:space="preserve">Определение лейконосток.классический бактериологический метод</t>
  </si>
  <si>
    <t xml:space="preserve">бифидум среда</t>
  </si>
  <si>
    <t xml:space="preserve">пептон ферментативный</t>
  </si>
  <si>
    <t xml:space="preserve">молоко обезжиренное</t>
  </si>
  <si>
    <t xml:space="preserve">пенициллин</t>
  </si>
  <si>
    <t xml:space="preserve">мг</t>
  </si>
  <si>
    <t xml:space="preserve">тест-культура S.thermophilus</t>
  </si>
  <si>
    <t xml:space="preserve">цельная кровь</t>
  </si>
  <si>
    <t xml:space="preserve">эталон антибиотика</t>
  </si>
  <si>
    <t xml:space="preserve">тест-культура </t>
  </si>
  <si>
    <t xml:space="preserve">тест система SureFood GMO 4 plex 35S/NOS/FMV/IAC</t>
  </si>
  <si>
    <t xml:space="preserve">микропробирки 1,5 мл</t>
  </si>
  <si>
    <t xml:space="preserve">наконечники д/дозатора</t>
  </si>
  <si>
    <t xml:space="preserve">микрогомогенизатор</t>
  </si>
  <si>
    <t xml:space="preserve">микрошпатель пласт.</t>
  </si>
  <si>
    <t xml:space="preserve">фарфоровая ступка</t>
  </si>
  <si>
    <t xml:space="preserve">контейнер  для сбора использованного инструмента </t>
  </si>
  <si>
    <t xml:space="preserve">штатив для микропробирок</t>
  </si>
  <si>
    <t xml:space="preserve">SureFood®GM O SCREEN 4plex BAR/NPTII/P AT/ CTP2:CP4 EPSPS</t>
  </si>
  <si>
    <t xml:space="preserve">тест система SureFood GMO </t>
  </si>
  <si>
    <t xml:space="preserve">панель контрольных образцов</t>
  </si>
  <si>
    <t xml:space="preserve">набор</t>
  </si>
  <si>
    <t xml:space="preserve">Определение анаэробных и аэробных микроорганизмов (метод мембранной фильтрации)</t>
  </si>
  <si>
    <t xml:space="preserve">фильтродержатель</t>
  </si>
  <si>
    <t xml:space="preserve">Агар с брилиантовым зеленым</t>
  </si>
  <si>
    <t xml:space="preserve">селек.добавка для выдел сальмонелл</t>
  </si>
  <si>
    <t xml:space="preserve">фл</t>
  </si>
  <si>
    <t xml:space="preserve">пептонно-буферная среда</t>
  </si>
  <si>
    <t xml:space="preserve">дезоксихолат цитратный агар</t>
  </si>
  <si>
    <t xml:space="preserve">ксилозо-лизин-дезоксихолатный агар</t>
  </si>
  <si>
    <t xml:space="preserve">Определение Salmonella метод мембранной фильтрации</t>
  </si>
  <si>
    <t xml:space="preserve">б-он МакКонки</t>
  </si>
  <si>
    <t xml:space="preserve">агар Мак Конки</t>
  </si>
  <si>
    <t xml:space="preserve">Определение E.coli метод мембранной фильтрации</t>
  </si>
  <si>
    <t xml:space="preserve">казеиново-соевый бульон</t>
  </si>
  <si>
    <t xml:space="preserve">цетримид агар</t>
  </si>
  <si>
    <t xml:space="preserve">сел.добав. с налидиксовой кислотой</t>
  </si>
  <si>
    <t xml:space="preserve">Определение плесневых грибов и дрожжей классический бактериологический метод</t>
  </si>
  <si>
    <t xml:space="preserve">МПБ</t>
  </si>
  <si>
    <t xml:space="preserve">ср.Кода</t>
  </si>
  <si>
    <t xml:space="preserve">одноразовый тампон</t>
  </si>
  <si>
    <t xml:space="preserve">фосфатный буфер</t>
  </si>
  <si>
    <t xml:space="preserve">теллурит калия 2%</t>
  </si>
  <si>
    <t xml:space="preserve">агар Сабуро с ТТХ</t>
  </si>
  <si>
    <t xml:space="preserve">молоко обезжиренное стерильное</t>
  </si>
  <si>
    <t xml:space="preserve">рульон</t>
  </si>
  <si>
    <t xml:space="preserve">сыворотка КРС</t>
  </si>
  <si>
    <t xml:space="preserve">твин-80</t>
  </si>
  <si>
    <t xml:space="preserve">тест-культура S.aureus</t>
  </si>
  <si>
    <t xml:space="preserve">тест-культура Ps.aeruginosa</t>
  </si>
  <si>
    <t xml:space="preserve">тест-культура Candida albicans</t>
  </si>
  <si>
    <t xml:space="preserve">стандарт мутности по МакФарланду</t>
  </si>
  <si>
    <t xml:space="preserve">сыворотка КРС упак 100 мл</t>
  </si>
  <si>
    <t xml:space="preserve">тест-культура B.cereus</t>
  </si>
  <si>
    <t xml:space="preserve">Набор реагентов"Азопирам-СК"</t>
  </si>
  <si>
    <t xml:space="preserve">Этиловый спирт</t>
  </si>
  <si>
    <t xml:space="preserve">Флаконы</t>
  </si>
  <si>
    <t xml:space="preserve">Пипетки</t>
  </si>
  <si>
    <t xml:space="preserve">Вата</t>
  </si>
  <si>
    <t xml:space="preserve">Маска</t>
  </si>
  <si>
    <t xml:space="preserve">Эндо</t>
  </si>
  <si>
    <t xml:space="preserve">Левина</t>
  </si>
  <si>
    <t xml:space="preserve">ВСА</t>
  </si>
  <si>
    <t xml:space="preserve">цитратная ср.</t>
  </si>
  <si>
    <t xml:space="preserve">ср.с мочевиной</t>
  </si>
  <si>
    <t xml:space="preserve">агар с фенилал.</t>
  </si>
  <si>
    <t xml:space="preserve">среда с аминокисл.</t>
  </si>
  <si>
    <t xml:space="preserve">глюкозофосфатн. б-н</t>
  </si>
  <si>
    <t xml:space="preserve">тест на обр-е индола</t>
  </si>
  <si>
    <t xml:space="preserve">реактив на фенилал.</t>
  </si>
  <si>
    <t xml:space="preserve">сыв.диагн. для РА</t>
  </si>
  <si>
    <t xml:space="preserve">ср/Гисса с угл.</t>
  </si>
  <si>
    <t xml:space="preserve">глюкозофосфатн.б-н</t>
  </si>
  <si>
    <t xml:space="preserve">окс.тест</t>
  </si>
  <si>
    <t xml:space="preserve">окр.по Гр.</t>
  </si>
  <si>
    <t xml:space="preserve">ч/Петри</t>
  </si>
  <si>
    <t xml:space="preserve">аг.Мюллера-Хинтона</t>
  </si>
  <si>
    <t xml:space="preserve">одноразовый стакан</t>
  </si>
  <si>
    <t xml:space="preserve">ср.Тинсдейла</t>
  </si>
  <si>
    <t xml:space="preserve">селект.добавка FD073</t>
  </si>
  <si>
    <t xml:space="preserve">ОТДМ</t>
  </si>
  <si>
    <t xml:space="preserve">ср.Пизу</t>
  </si>
  <si>
    <t xml:space="preserve">селект.доб.Тинсдейла</t>
  </si>
  <si>
    <t xml:space="preserve">среды с углеводами</t>
  </si>
  <si>
    <t xml:space="preserve">мальтоза</t>
  </si>
  <si>
    <t xml:space="preserve">пептон 1%</t>
  </si>
  <si>
    <t xml:space="preserve">антитоксическая сыв.</t>
  </si>
  <si>
    <t xml:space="preserve">метиленовый синий</t>
  </si>
  <si>
    <t xml:space="preserve">стерил.тампон</t>
  </si>
  <si>
    <t xml:space="preserve">МПА  глюкозой, желчью</t>
  </si>
  <si>
    <t xml:space="preserve">каталазный тест </t>
  </si>
  <si>
    <t xml:space="preserve">Сыв.менингококковая (13типов)</t>
  </si>
  <si>
    <t xml:space="preserve">КУА </t>
  </si>
  <si>
    <t xml:space="preserve">ср.Борде-Жангу</t>
  </si>
  <si>
    <t xml:space="preserve">МПА с 5% кровью</t>
  </si>
  <si>
    <t xml:space="preserve">гемоглобин кристалич ("шокол." агар)</t>
  </si>
  <si>
    <t xml:space="preserve">эскулиновая среда</t>
  </si>
  <si>
    <t xml:space="preserve">ср.с АК</t>
  </si>
  <si>
    <t xml:space="preserve">реактив фосфатаза</t>
  </si>
  <si>
    <t xml:space="preserve">каталаза</t>
  </si>
  <si>
    <t xml:space="preserve">ср.Баэрда-Паркера</t>
  </si>
  <si>
    <t xml:space="preserve">эмульсия яичн.желт.</t>
  </si>
  <si>
    <t xml:space="preserve">среда с АК</t>
  </si>
  <si>
    <t xml:space="preserve">стреп.сыв.для РА</t>
  </si>
  <si>
    <t xml:space="preserve">агар Кармали</t>
  </si>
  <si>
    <t xml:space="preserve">бульон Престона</t>
  </si>
  <si>
    <t xml:space="preserve">Колумбия агар</t>
  </si>
  <si>
    <t xml:space="preserve">агар МакКонки</t>
  </si>
  <si>
    <t xml:space="preserve">добавка в агару Кармали</t>
  </si>
  <si>
    <t xml:space="preserve">б-он Сабуро</t>
  </si>
  <si>
    <t xml:space="preserve">дисбактериоз классический бактериологический метод</t>
  </si>
  <si>
    <t xml:space="preserve">среда с аминок-ми</t>
  </si>
  <si>
    <t xml:space="preserve">аг.Манна,Рогоза,Шарпа</t>
  </si>
  <si>
    <t xml:space="preserve">диски с АБ</t>
  </si>
  <si>
    <t xml:space="preserve">Определение антибиотикорезистентности выделенных микроорганизмов полуколичественный метод ТПК</t>
  </si>
  <si>
    <t xml:space="preserve">б-н Мюллера-Хинтона</t>
  </si>
  <si>
    <t xml:space="preserve">тест ТПК</t>
  </si>
  <si>
    <t xml:space="preserve">наконечник </t>
  </si>
  <si>
    <t xml:space="preserve">Исследование биоматериала на присутствие ДНК патогенных микроорганизмов качественный метод (классическая ПЦР)</t>
  </si>
  <si>
    <t xml:space="preserve">тест система</t>
  </si>
  <si>
    <t xml:space="preserve">наконечники </t>
  </si>
  <si>
    <t xml:space="preserve">набор для э/фореза</t>
  </si>
  <si>
    <t xml:space="preserve">наб.</t>
  </si>
  <si>
    <t xml:space="preserve"> Итого</t>
  </si>
  <si>
    <t xml:space="preserve">эритроц. Диагн-м  Vi-антиген</t>
  </si>
  <si>
    <t xml:space="preserve">эритр.диагн-м </t>
  </si>
  <si>
    <t xml:space="preserve"> </t>
  </si>
  <si>
    <t xml:space="preserve">диаг-м эритр. Дифтер.</t>
  </si>
  <si>
    <t xml:space="preserve">диагн-м эритр. Столбн.</t>
  </si>
  <si>
    <t xml:space="preserve">ИФА на разные микроорганизмы</t>
  </si>
  <si>
    <t xml:space="preserve">ИФА тест-система</t>
  </si>
  <si>
    <t xml:space="preserve">набор фагов</t>
  </si>
  <si>
    <t xml:space="preserve">Коректік орталар
Питательные среды</t>
  </si>
  <si>
    <t xml:space="preserve">ДопПрейскурант</t>
  </si>
  <si>
    <t xml:space="preserve">Средство дезинфицирующее  "Sterisol" с изопропанолом 0,7л.</t>
  </si>
  <si>
    <t xml:space="preserve">Жидкое мыло "Sterisol" 0,7л.</t>
  </si>
  <si>
    <t xml:space="preserve">Перчатки стерильные, нитриловые, без талька S, M в индивид.упак. </t>
  </si>
  <si>
    <t xml:space="preserve">Маска с клапоном(Респиратор N 95) одноразовый</t>
  </si>
  <si>
    <t xml:space="preserve">спирт этиловый (фасовка - 1000 мл)</t>
  </si>
  <si>
    <t xml:space="preserve">вата - уп - 100 гр</t>
  </si>
  <si>
    <t xml:space="preserve">г </t>
  </si>
  <si>
    <t xml:space="preserve">Одноразовые петля</t>
  </si>
  <si>
    <t xml:space="preserve">Одноразовые чашка-уп (20шт)</t>
  </si>
  <si>
    <t xml:space="preserve">карта на VITEK2 AST </t>
  </si>
  <si>
    <t xml:space="preserve">Saline solution Суспендиальные раствор Saline Solition (3х500ml) 3шт/500мл</t>
  </si>
  <si>
    <t xml:space="preserve">Наконечники для дозатора Pipette Tips 100-1000ul</t>
  </si>
  <si>
    <t xml:space="preserve">Наконечники для дозатора Pipette Tips 0,5-250ul</t>
  </si>
  <si>
    <t xml:space="preserve">Полистироловые пробирки 12х75</t>
  </si>
  <si>
    <t xml:space="preserve">фл/500гр</t>
  </si>
  <si>
    <t xml:space="preserve">75003 ComASP Colistin / Piperacillin-tazobactam,75004 ComASP Ceftolozane-tazobactam /Ceftazidime-avibactam</t>
  </si>
  <si>
    <t xml:space="preserve">наконечники 50мкл стерильные (упак1000шт)</t>
  </si>
  <si>
    <t xml:space="preserve">перчатки медицинские (одноразовые) - уп (50 пар)</t>
  </si>
  <si>
    <t xml:space="preserve">маска - уп 100 шт</t>
  </si>
  <si>
    <t xml:space="preserve">Пробирки с закручивающими крышками, одноразовые</t>
  </si>
  <si>
    <t xml:space="preserve">Эндо Агар</t>
  </si>
  <si>
    <t xml:space="preserve">Баэрда-Паркера</t>
  </si>
  <si>
    <t xml:space="preserve">Агар Сабуро</t>
  </si>
  <si>
    <t xml:space="preserve">окраска по Грамму</t>
  </si>
  <si>
    <t xml:space="preserve">Левина агар</t>
  </si>
  <si>
    <t xml:space="preserve">Висмут сульфит агар</t>
  </si>
  <si>
    <t xml:space="preserve">Агар для дифтерии</t>
  </si>
  <si>
    <t xml:space="preserve">Среда коринетоксагар</t>
  </si>
  <si>
    <t xml:space="preserve">Рибо-преп (для выделения нуклеиновых кислот). (Набор 100 выделений).</t>
  </si>
  <si>
    <t xml:space="preserve">100 выделений</t>
  </si>
  <si>
    <t xml:space="preserve">Набор реагентов для определения ДНК Listeria monocytogenes в биологическом материале методом ПЦР "АмплиСенс  Listeria monocytogenes-скрин/монитор-FL", R-B14-50-F</t>
  </si>
  <si>
    <t xml:space="preserve">накоечники с фильтром 100 мкл стерильные </t>
  </si>
  <si>
    <t xml:space="preserve">наконечники 2-100мкл нестерильные</t>
  </si>
  <si>
    <t xml:space="preserve">наконечники с фильтром 50-1000мкл</t>
  </si>
  <si>
    <t xml:space="preserve">наконечники 1000мкл универсальные свободные от ДНК РНК стерильные</t>
  </si>
  <si>
    <t xml:space="preserve">Пробирки 2 мл, Eppendorf (уп=500 шт)</t>
  </si>
  <si>
    <t xml:space="preserve">Микропробирки 0,2мл стерильные свободные от РНК ДНК </t>
  </si>
  <si>
    <t xml:space="preserve">криопробирки 2мл</t>
  </si>
  <si>
    <t xml:space="preserve">ДНК-сорб-В (для выделения нуклеиновых кислот). (Набор 100 выделений).</t>
  </si>
  <si>
    <t xml:space="preserve">Набор реагентовй "АмплиСенс® Shigella spp. и EIEC/Salmonella spp./Campylobacter spp.-FL" (набор 55 тестов). </t>
  </si>
  <si>
    <t xml:space="preserve">наконечники с фильтром 100 мкл стерильные </t>
  </si>
  <si>
    <t xml:space="preserve">Бактериальный калибровочный стандарт</t>
  </si>
  <si>
    <t xml:space="preserve">Готовый OS (basic organic solvent)</t>
  </si>
  <si>
    <t xml:space="preserve">Тампон для взятия смывов и мазков, 2,5*150 мм, пластиковая ручка (Германия) (уп=100шт)</t>
  </si>
  <si>
    <t xml:space="preserve">Транспортный раствор для хранения и транспортировки клинического материала, упаковка 100 пробирок</t>
  </si>
  <si>
    <t xml:space="preserve">VITEK2   GP</t>
  </si>
  <si>
    <t xml:space="preserve">B. cereus штамм</t>
  </si>
  <si>
    <t xml:space="preserve">Тиогликолевый бульон</t>
  </si>
  <si>
    <t xml:space="preserve">флакон</t>
  </si>
  <si>
    <t xml:space="preserve">Пробирка центрифужная</t>
  </si>
  <si>
    <t xml:space="preserve">RIDA Xtract</t>
  </si>
  <si>
    <t xml:space="preserve">250 выделений</t>
  </si>
  <si>
    <t xml:space="preserve">Набор MRSA/SA ELITEeMGB</t>
  </si>
  <si>
    <t xml:space="preserve">100 реакций</t>
  </si>
  <si>
    <t xml:space="preserve">MRSA/SA ELITEeMGB полож контроль</t>
  </si>
  <si>
    <t xml:space="preserve">ПАРАЗИТОЛОГИЯ</t>
  </si>
  <si>
    <t xml:space="preserve">предметные стекла</t>
  </si>
  <si>
    <t xml:space="preserve">покровные стекла </t>
  </si>
  <si>
    <t xml:space="preserve">шт (уп. 1000 шт)</t>
  </si>
  <si>
    <t xml:space="preserve">пипетка одноразовая</t>
  </si>
  <si>
    <t xml:space="preserve">перчатки хирургические</t>
  </si>
  <si>
    <t xml:space="preserve">дез средства</t>
  </si>
  <si>
    <t xml:space="preserve">таблетка (в коробке 300таб)</t>
  </si>
  <si>
    <t xml:space="preserve">маска процедурная</t>
  </si>
  <si>
    <t xml:space="preserve">стеклянные палочки</t>
  </si>
  <si>
    <t xml:space="preserve">набор для исследования фекалий </t>
  </si>
  <si>
    <t xml:space="preserve">шт (в упаковке 500шт)</t>
  </si>
  <si>
    <t xml:space="preserve">перчатки медицинские (одноразовые)</t>
  </si>
  <si>
    <t xml:space="preserve">таблетка (в каробке 300таб)</t>
  </si>
  <si>
    <t xml:space="preserve">азотнокислий натрый</t>
  </si>
  <si>
    <t xml:space="preserve">покровные стекла</t>
  </si>
  <si>
    <t xml:space="preserve">перчатки нитриловые</t>
  </si>
  <si>
    <t xml:space="preserve">Хлорид натрия </t>
  </si>
  <si>
    <t xml:space="preserve">Модернизированный метод  формалин-эфирного осаждения</t>
  </si>
  <si>
    <t xml:space="preserve">Mini Parasep SF концентратор  фекальных паразитов </t>
  </si>
  <si>
    <t xml:space="preserve">шт (в упаковке 40шт )</t>
  </si>
  <si>
    <t xml:space="preserve">маска медицинская</t>
  </si>
  <si>
    <t xml:space="preserve">раствор Люголя</t>
  </si>
  <si>
    <t xml:space="preserve">чашка Петри</t>
  </si>
  <si>
    <t xml:space="preserve">шт (в упаковке 10 шт)</t>
  </si>
  <si>
    <t xml:space="preserve">мг (в упаковке 1000 мг)</t>
  </si>
  <si>
    <t xml:space="preserve">иммерсионное масло</t>
  </si>
  <si>
    <t xml:space="preserve">шт ( в упаковке 10 шт)</t>
  </si>
  <si>
    <t xml:space="preserve">Тест-система Векто Токсо - Ig М</t>
  </si>
  <si>
    <t xml:space="preserve">шт (набор 12*8)</t>
  </si>
  <si>
    <t xml:space="preserve">шт (уп 1000 шт)</t>
  </si>
  <si>
    <t xml:space="preserve">пробирка Eppendorf</t>
  </si>
  <si>
    <t xml:space="preserve">шт (в упаковке 1000шт)</t>
  </si>
  <si>
    <t xml:space="preserve">Тест-система Векто Токсо - IgG</t>
  </si>
  <si>
    <t xml:space="preserve">Тест-система Лямблия-антитела-ИФА-Бест</t>
  </si>
  <si>
    <t xml:space="preserve">Тест-система Лямблия-Ig М - ИФА-Бест</t>
  </si>
  <si>
    <t xml:space="preserve">Тест-система Эхинококк - Ig G - ИФА-Бест</t>
  </si>
  <si>
    <t xml:space="preserve">Тест-система Описторх -  Ig М -стрип</t>
  </si>
  <si>
    <t xml:space="preserve">Тест-система Описторх -  Ig G  - ИФА - Бест</t>
  </si>
  <si>
    <t xml:space="preserve">Тест-система Трихинелла - Ig М - ИФА -стрип</t>
  </si>
  <si>
    <t xml:space="preserve">Тест-система Трихинелла - Ig G - ИФА -стрип</t>
  </si>
  <si>
    <t xml:space="preserve">Тест-система Токсокара - Ig G - ИФА -стрип</t>
  </si>
  <si>
    <t xml:space="preserve">Тест-система Аскарида -  Ig G - ИФА -стрип</t>
  </si>
  <si>
    <t xml:space="preserve">Тест-системаГельминты Ig G - ИФА-Бест</t>
  </si>
  <si>
    <t xml:space="preserve">Набор для взятия проб на энтеробиоз по методу Рабиновича</t>
  </si>
  <si>
    <t xml:space="preserve">шт (уп. 10 шт)</t>
  </si>
  <si>
    <t xml:space="preserve">пробирки центрифужные</t>
  </si>
  <si>
    <t xml:space="preserve">шт (уп. 40 шт)</t>
  </si>
  <si>
    <t xml:space="preserve">сульфат железа</t>
  </si>
  <si>
    <t xml:space="preserve">азотнокислый натрий</t>
  </si>
  <si>
    <t xml:space="preserve">фильтр дисковый мембранный</t>
  </si>
  <si>
    <t xml:space="preserve">шт (уп. 25 шт)</t>
  </si>
  <si>
    <t xml:space="preserve">мл (фл -100 мл)</t>
  </si>
  <si>
    <t xml:space="preserve">таблетка (в каробке 300 таб)</t>
  </si>
  <si>
    <t xml:space="preserve">Исследование смывов методом Рамоненко</t>
  </si>
  <si>
    <t xml:space="preserve">Азотнокислый натрий</t>
  </si>
  <si>
    <t xml:space="preserve">шт (уп 10 шт)</t>
  </si>
  <si>
    <t xml:space="preserve">Апли Сенс вирусы гриппа А/В, ПЦР тест система с учетом результатов в режиме реального времени</t>
  </si>
  <si>
    <t xml:space="preserve">набор -55 анализов</t>
  </si>
  <si>
    <t xml:space="preserve">МР "Лабораторная диагностика гриппа" утв. КГСЭН МЗ РК,  приказ  № 207 от 20.08.2012 г ", согласно прилагаемой инструкции, МР "Метод полимеразной цепной реакции в диагностике вирусных инфекций" утв. КГСЭН мЗ РК от 25.12.2012г.№315</t>
  </si>
  <si>
    <t xml:space="preserve"> Набор реагентов для автоматического выделения ДНК и РНК из сыворотки (плазмы) крови, лейкоцитарной фракции крови, биоптатов, ликвора мочи, фекалий, соскобов эпителиальных клеток. 96 определений</t>
  </si>
  <si>
    <t xml:space="preserve">набор -96 анализов</t>
  </si>
  <si>
    <t xml:space="preserve">Набор реагентов для амплификации кДНК (обратной транскрипции)</t>
  </si>
  <si>
    <t xml:space="preserve">набор -100 анализов</t>
  </si>
  <si>
    <t xml:space="preserve">Набор реагентов для идентификации вируса гриппа свиней А/H1.</t>
  </si>
  <si>
    <t xml:space="preserve">Набор реагентов Influenza virus A-тип</t>
  </si>
  <si>
    <t xml:space="preserve">наконечники  с фильтром объемом-200мкл (стерильные)</t>
  </si>
  <si>
    <t xml:space="preserve">уп(шт)</t>
  </si>
  <si>
    <t xml:space="preserve">пробирки типа Эппендорф 1,5 мл</t>
  </si>
  <si>
    <t xml:space="preserve">уп (500шт)</t>
  </si>
  <si>
    <t xml:space="preserve">пробирки типа Эппендорф 0,2 мл</t>
  </si>
  <si>
    <t xml:space="preserve">уп (1000шт)</t>
  </si>
  <si>
    <t xml:space="preserve">Питательная среда Игла МЕМ</t>
  </si>
  <si>
    <t xml:space="preserve">фл (мл)</t>
  </si>
  <si>
    <t xml:space="preserve">Раствор Хенкса</t>
  </si>
  <si>
    <t xml:space="preserve">Планшеты для предварительного разведения жидкостей, U образное дно, 96 лунок, стерильные</t>
  </si>
  <si>
    <t xml:space="preserve">уп/50 штук</t>
  </si>
  <si>
    <t xml:space="preserve">уп (шт)</t>
  </si>
  <si>
    <t xml:space="preserve">Раствор антибиотиков (стрептомицин-пенициллин)</t>
  </si>
  <si>
    <t xml:space="preserve">Матрацы для культивирования клеток с зеленой невентилируемой крышкой, наклонное горлышко ,50 мл (уп - 10 шт)</t>
  </si>
  <si>
    <t xml:space="preserve">Пробирки KryiPure 1,8 мл с нешней резьбой</t>
  </si>
  <si>
    <t xml:space="preserve">уп (500 шт)</t>
  </si>
  <si>
    <t xml:space="preserve">наконечники  с фильтром объемом 1-200мкл (стерильные)</t>
  </si>
  <si>
    <t xml:space="preserve"> Пробирка PS, 16*110 мм, 3 мл со скошенным дном, поверх. культивир. 5.5 см2 с закручивающейся крышкой, стерильные( уп 75 шт)</t>
  </si>
  <si>
    <t xml:space="preserve">Набор реагентов для выявления возбудителей ОРВИ человека</t>
  </si>
  <si>
    <t xml:space="preserve">Наконечники с фильтром,  объем 10мкл-1000 мкл (стерильные) </t>
  </si>
  <si>
    <t xml:space="preserve">в упаковке 1000 шт </t>
  </si>
  <si>
    <t xml:space="preserve">ИТОГО</t>
  </si>
  <si>
    <t xml:space="preserve">Руководство по вирусологическим исследованиям полиомиелита, ВОЗ Москва 1998 г. Методы лабораторной диагностики полиомиелита и других энтеровирусных инфекций  утв КГСЭН МЗ РК от 20.04.10 г. приказ № 120 </t>
  </si>
  <si>
    <t xml:space="preserve">Фетальная сыворотка КРС уп/100 мл</t>
  </si>
  <si>
    <t xml:space="preserve">Раствор Трипсина уп/5х100мл</t>
  </si>
  <si>
    <t xml:space="preserve">Наконечники с фильтром,  объем 1-200 мкл (стерильные) </t>
  </si>
  <si>
    <t xml:space="preserve">уп (1000 шт)</t>
  </si>
  <si>
    <t xml:space="preserve">Набора реагентов для выявления РНК энтеровирусов человека (Human enterovirus).</t>
  </si>
  <si>
    <t xml:space="preserve"> МР "Метод полимеразной цепной реакции в диагностике вирусных инфекций" утв. КГСЭН мЗ РК от 25.12.2012г.№315, . Методы лабораторной диагностики полиомиелита и других энтеровирусных инфекций  утв КГСЭН МЗ РК от 20.04.10 г. приказ № 120 </t>
  </si>
  <si>
    <t xml:space="preserve">набор -120 анализов</t>
  </si>
  <si>
    <t xml:space="preserve">Руководство по вирусологическим исследованиям полиомиелита, ВОЗ Москва 1998 г. МР "Методы санитарно-вирусологических исследований воды водных объектов" утв. КГСЭН МЗ РК от 20.04.10г.  </t>
  </si>
  <si>
    <t xml:space="preserve">Фетальная сыворотка плода коровы 100 ил</t>
  </si>
  <si>
    <t xml:space="preserve">Раствор Трипсина-ЭДТА </t>
  </si>
  <si>
    <t xml:space="preserve">Фетальная сыворотка КРС флакон 100мл</t>
  </si>
  <si>
    <t xml:space="preserve">фл (100мл)</t>
  </si>
  <si>
    <t xml:space="preserve">Раствор Трипсина флакон 450 мл</t>
  </si>
  <si>
    <t xml:space="preserve">Тест система Вектогеп А антитела IgM</t>
  </si>
  <si>
    <t xml:space="preserve">набор - 96 анализов</t>
  </si>
  <si>
    <t xml:space="preserve">МР "Иммуноферментный анализ вирусных инфекций" утв. МЗ РК РСЭС, НЦГиЭ им. Х.Жуматова от 31.10.08г. </t>
  </si>
  <si>
    <t xml:space="preserve">наконечники  без фильтра объемом-200мкл (стерильные)</t>
  </si>
  <si>
    <t xml:space="preserve">Обнаружение антигена вируса гепатита А в фекалиях, пробах окружающей среды (вода сточная, питьевая, </t>
  </si>
  <si>
    <t xml:space="preserve">Тест система ВГА-антиген-ИФА-БЕСТ</t>
  </si>
  <si>
    <t xml:space="preserve">Пробирки KryoPure 1,8 мл с нешней резьбой</t>
  </si>
  <si>
    <t xml:space="preserve">HBsAg </t>
  </si>
  <si>
    <t xml:space="preserve">HBsAg- подтверждаюший .</t>
  </si>
  <si>
    <t xml:space="preserve">HBeAg</t>
  </si>
  <si>
    <t xml:space="preserve">aHBcor-IgM  </t>
  </si>
  <si>
    <t xml:space="preserve">aHBcor-total </t>
  </si>
  <si>
    <t xml:space="preserve">aHBs-total</t>
  </si>
  <si>
    <t xml:space="preserve">aHBe-IgG </t>
  </si>
  <si>
    <t xml:space="preserve">Тест система Векто Бест              гепатит В  НВsAg </t>
  </si>
  <si>
    <t xml:space="preserve">Тест система Векто Бест              гепатит В  НВsAg с подтверждающим</t>
  </si>
  <si>
    <t xml:space="preserve">Тест система Векто Бест              гепатит В  НВе антиген</t>
  </si>
  <si>
    <t xml:space="preserve">Тест система Векто Бест              гепатит В  НВсоr total антитела</t>
  </si>
  <si>
    <t xml:space="preserve">Тест система Векто Бест              гепатит В  НВсоr IgM антитела</t>
  </si>
  <si>
    <t xml:space="preserve">Тест система ВектоБест               гепатит В  НВs total антитела</t>
  </si>
  <si>
    <t xml:space="preserve">Тест система Векто Бест               гепатит В  НВе антитела</t>
  </si>
  <si>
    <t xml:space="preserve">тест-система для обнаружения ДНК вируса гепатита В  </t>
  </si>
  <si>
    <t xml:space="preserve"> МР "Метод полимеразной цепной реакции в диагностике вирусных инфекций" утв. КГСЭН мЗ РК от 25.12.2012г.№315</t>
  </si>
  <si>
    <t xml:space="preserve">тест-система для обнаружения ДНК вируса гепатита В (количественный анализ) </t>
  </si>
  <si>
    <t xml:space="preserve">набор -  48 анализов</t>
  </si>
  <si>
    <t xml:space="preserve">Набор реагентов для качественного вывления гепатита С и дифференциации 1/6,2,3 генотипов</t>
  </si>
  <si>
    <t xml:space="preserve">набор -48 анализов</t>
  </si>
  <si>
    <t xml:space="preserve"> МР "Метод полимеразной цепной реакции в диагностике вирусных инфекций" утв. КГСЭН мЗ РК от 25.12.2012г.№327</t>
  </si>
  <si>
    <t xml:space="preserve">Набор реагентов для качественного вывления гепатита С и дифференциации 4,5,7 генотипов</t>
  </si>
  <si>
    <t xml:space="preserve">Набор для проведения одношаговой ПЦР с обратной транскрипцией</t>
  </si>
  <si>
    <t xml:space="preserve">набор/100</t>
  </si>
  <si>
    <t xml:space="preserve"> МР "Метод полимеразной цепной реакции в диагностике вирусных инфекций" утв. КГСЭН мЗ РК от 25.12.2012г.№328</t>
  </si>
  <si>
    <t xml:space="preserve">Набор для секвенирования на 100 определений BigDyeTerminator v3.1 Cycle Sequencing </t>
  </si>
  <si>
    <t xml:space="preserve">набор/101</t>
  </si>
  <si>
    <t xml:space="preserve">Набор для очистки секвинирования </t>
  </si>
  <si>
    <t xml:space="preserve">набор/55</t>
  </si>
  <si>
    <t xml:space="preserve">Полимер РОР</t>
  </si>
  <si>
    <t xml:space="preserve">набор/284</t>
  </si>
  <si>
    <t xml:space="preserve">Тест система Векто Бест               гепатит Дельта иммуноглоблины Ig М</t>
  </si>
  <si>
    <t xml:space="preserve">тест-система для обнаружения РНК вируса гепатита Д </t>
  </si>
  <si>
    <t xml:space="preserve">набор - 48 анализов</t>
  </si>
  <si>
    <t xml:space="preserve">тест-система для обнаружения РНК вируса гепатита    (количественный анализ)</t>
  </si>
  <si>
    <t xml:space="preserve">набор -  80 анализов</t>
  </si>
  <si>
    <t xml:space="preserve">пробирки Эппендорф 1,5 мл</t>
  </si>
  <si>
    <t xml:space="preserve">Тест система Векто Бест гепатит HCV вирус</t>
  </si>
  <si>
    <t xml:space="preserve">Тест система Векто Бест гепатит HCV вирус потверждающий тест</t>
  </si>
  <si>
    <t xml:space="preserve">тест-система для обнаружения РНК вируса гепатита С  </t>
  </si>
  <si>
    <t xml:space="preserve">набор - 112 анализов</t>
  </si>
  <si>
    <t xml:space="preserve">тест-система для обнаружения РНК вируса гепатита С   (количественный анализ)</t>
  </si>
  <si>
    <t xml:space="preserve">набор -96анализов</t>
  </si>
  <si>
    <t xml:space="preserve">Тест система Векто Бест ротавирусный антиген </t>
  </si>
  <si>
    <t xml:space="preserve">Набор реагентов для выявления и дифференциации РНК ротавирусов группы А, из объектов окружающей среды и клинического материала</t>
  </si>
  <si>
    <t xml:space="preserve">набор - 55 анализов</t>
  </si>
  <si>
    <t xml:space="preserve">Векто Бест корь IgM </t>
  </si>
  <si>
    <t xml:space="preserve">Векто Бест корь IgG</t>
  </si>
  <si>
    <t xml:space="preserve">Векто Бест Рубелла Ig М</t>
  </si>
  <si>
    <t xml:space="preserve">Векто Бест Рубелла Ig G</t>
  </si>
  <si>
    <t xml:space="preserve">Векто Бест Рубелла авидность    Ig G</t>
  </si>
  <si>
    <t xml:space="preserve"> МР "Метод полимеразной цепной реакции в диагностике вирусных инфекций" утв. КГСЭН мЗ РК от 25.12.2012г.№323</t>
  </si>
  <si>
    <t xml:space="preserve">фл(мл)</t>
  </si>
  <si>
    <t xml:space="preserve">Фетальная сыв-ка  плода коровы фл-100 мл</t>
  </si>
  <si>
    <t xml:space="preserve">Хепес фл/500мл</t>
  </si>
  <si>
    <t xml:space="preserve">Ратвор трипсина фл/5х100</t>
  </si>
  <si>
    <t xml:space="preserve">Пастеровские пипетки</t>
  </si>
  <si>
    <t xml:space="preserve">уп/500 шт</t>
  </si>
  <si>
    <t xml:space="preserve">Исследование дезинфицирующих средств на вирусологическую активность </t>
  </si>
  <si>
    <t xml:space="preserve">Фетальная сыворотка КРС флакон 100 мл</t>
  </si>
  <si>
    <t xml:space="preserve">Исследование дезинфицирующих средств на вирусологическую активность (погружение с белковой нагрузкой, безбелковой нагрузкой)</t>
  </si>
  <si>
    <t xml:space="preserve">"Методические указания 
по проведению  лабораторных предрегистрационных испытаний
средств дезинфекции, предстерилизационной очистки, 
стерилизации и антисептиков" Приказ МЗ РК 133 от 04 ноября</t>
  </si>
  <si>
    <t xml:space="preserve">Набор реагентов для выявления вируса SARSCoV_x0002_2 в биологическом материале методом полимеразной цепной реакции (ОТ-ПЦР), в режиме реального времени в комплекте с набором для экстракции (выделения) РНК (набор не менее 96 определений)</t>
  </si>
  <si>
    <t xml:space="preserve">Набор реагентов для иммуноферментного выявления иммуноглобулинов класса M к SARS-Cov-2</t>
  </si>
  <si>
    <t xml:space="preserve">Набор реагентов для иммуноферментного выявления иммуноглобулинов класса G к SARS-Cov-2</t>
  </si>
  <si>
    <t xml:space="preserve">наконечники с фильтромобъемом 1-200мкл (стерильные)</t>
  </si>
  <si>
    <t xml:space="preserve">Раствор Трипсина 100 мл</t>
  </si>
  <si>
    <t xml:space="preserve">Пробирки CryoPure 5.0 мл с вненей резьбой </t>
  </si>
  <si>
    <t xml:space="preserve">ЛАБОРАТОРИЯ ОСОБО- ОПАСНЫХ ИНФЕКЦИИ</t>
  </si>
  <si>
    <t xml:space="preserve"> Исследование материала  на холеру (бактериологический метод)</t>
  </si>
  <si>
    <t xml:space="preserve">Щелочная пептонная вода</t>
  </si>
  <si>
    <t xml:space="preserve">500 гр</t>
  </si>
  <si>
    <t xml:space="preserve">Питательный агар</t>
  </si>
  <si>
    <t xml:space="preserve">400 гр</t>
  </si>
  <si>
    <t xml:space="preserve">цена за 250 </t>
  </si>
  <si>
    <t xml:space="preserve">агар ТСВS</t>
  </si>
  <si>
    <t xml:space="preserve">250г</t>
  </si>
  <si>
    <t xml:space="preserve">теллурит калия </t>
  </si>
  <si>
    <t xml:space="preserve">предметное стекла</t>
  </si>
  <si>
    <t xml:space="preserve">уп/50</t>
  </si>
  <si>
    <t xml:space="preserve">шт (уп. 100 шт)</t>
  </si>
  <si>
    <t xml:space="preserve">Набор красителей дифференциального окрашивания микроорганизмов по Граму</t>
  </si>
  <si>
    <t xml:space="preserve">Однарозовые пробирки </t>
  </si>
  <si>
    <t xml:space="preserve">штук</t>
  </si>
  <si>
    <t xml:space="preserve">сыворотка диагностическая холерная "О"</t>
  </si>
  <si>
    <t xml:space="preserve">комп (10 мл)</t>
  </si>
  <si>
    <t xml:space="preserve">сыворотка холерная Огава   </t>
  </si>
  <si>
    <t xml:space="preserve">сыворотка диагностическая холерная "О139"</t>
  </si>
  <si>
    <t xml:space="preserve">сыворотка диагностическая холерная Инаба</t>
  </si>
  <si>
    <t xml:space="preserve">Рессель</t>
  </si>
  <si>
    <t xml:space="preserve">Сахароза </t>
  </si>
  <si>
    <t xml:space="preserve">Флак/25 дисков</t>
  </si>
  <si>
    <t xml:space="preserve">пара ( уп 100 пар)</t>
  </si>
  <si>
    <t xml:space="preserve">чашки одноразовые</t>
  </si>
  <si>
    <t xml:space="preserve">шт, (уп/20шт)</t>
  </si>
  <si>
    <t xml:space="preserve">петли одноразовые</t>
  </si>
  <si>
    <t xml:space="preserve">уп/5шт</t>
  </si>
  <si>
    <t xml:space="preserve">комплект защитной одежды одноразовый</t>
  </si>
  <si>
    <t xml:space="preserve">мешок для биоотходов автоклавируемый</t>
  </si>
  <si>
    <t xml:space="preserve">Маска респиратор N95</t>
  </si>
  <si>
    <t xml:space="preserve">7.1.2.</t>
  </si>
  <si>
    <t xml:space="preserve">комп2фл (72 мл)</t>
  </si>
  <si>
    <t xml:space="preserve">сыворотка диагностическая холерная Огава </t>
  </si>
  <si>
    <t xml:space="preserve">сыворотка диагностическая холерная RO</t>
  </si>
  <si>
    <t xml:space="preserve">сыворотка диагностическая холерная O139</t>
  </si>
  <si>
    <t xml:space="preserve">бактериофаг "С", "эльтор"</t>
  </si>
  <si>
    <t xml:space="preserve">Бактериофаги диагностические холерные эльтор СТХ+ и СТХ-, раствор для дц (фаги ctx+ и ctx-) 2мл №10, упак</t>
  </si>
  <si>
    <t xml:space="preserve">комп (2 мл)</t>
  </si>
  <si>
    <t xml:space="preserve">Ферментация маннозы </t>
  </si>
  <si>
    <t xml:space="preserve">Ферментация сахарозы </t>
  </si>
  <si>
    <t xml:space="preserve">Ферментация арабинозы</t>
  </si>
  <si>
    <t xml:space="preserve">Набор для приготовления щелочно_x0002_полимиксиновой среды (на 0,1 л среды).</t>
  </si>
  <si>
    <t xml:space="preserve">упак. На 100 мл среды</t>
  </si>
  <si>
    <t xml:space="preserve">Среда Кларка </t>
  </si>
  <si>
    <t xml:space="preserve">Индол</t>
  </si>
  <si>
    <t xml:space="preserve">Глюкоза </t>
  </si>
  <si>
    <t xml:space="preserve">Лактоза</t>
  </si>
  <si>
    <t xml:space="preserve">Маннит</t>
  </si>
  <si>
    <t xml:space="preserve">инозит </t>
  </si>
  <si>
    <t xml:space="preserve">Лизин</t>
  </si>
  <si>
    <t xml:space="preserve">Флак/25 дисков </t>
  </si>
  <si>
    <t xml:space="preserve">Аргинин</t>
  </si>
  <si>
    <t xml:space="preserve">Орнитин </t>
  </si>
  <si>
    <t xml:space="preserve">Основа фенолового красного</t>
  </si>
  <si>
    <t xml:space="preserve">пара (уп 100шт)</t>
  </si>
  <si>
    <t xml:space="preserve">уп/20шт</t>
  </si>
  <si>
    <t xml:space="preserve">уп/10шт</t>
  </si>
  <si>
    <t xml:space="preserve">7.1.3.</t>
  </si>
  <si>
    <t xml:space="preserve">Исследование материала на холеру (РИВ, МФА)</t>
  </si>
  <si>
    <t xml:space="preserve">сыворотка</t>
  </si>
  <si>
    <t xml:space="preserve">Комплект 5 флаконов по 2 м</t>
  </si>
  <si>
    <t xml:space="preserve">Однарозовые пробирки (уп.1000 шт)</t>
  </si>
  <si>
    <t xml:space="preserve">7.1.4.</t>
  </si>
  <si>
    <t xml:space="preserve">Исследование материала на холеру (РПГА с первой пептонной воды)</t>
  </si>
  <si>
    <t xml:space="preserve">диагностикум эритроцитарный холерный иммуноглобулиновый</t>
  </si>
  <si>
    <t xml:space="preserve">2фл/12мл</t>
  </si>
  <si>
    <t xml:space="preserve">наконечники</t>
  </si>
  <si>
    <t xml:space="preserve">уп/1000 шт</t>
  </si>
  <si>
    <t xml:space="preserve">7.1.5.</t>
  </si>
  <si>
    <t xml:space="preserve">Исследование материала на холеру (метод полимеразной цепной реакции)</t>
  </si>
  <si>
    <t xml:space="preserve">АмплиСенс    Vibrio choltrae-FL</t>
  </si>
  <si>
    <t xml:space="preserve">набор/60</t>
  </si>
  <si>
    <t xml:space="preserve">наконечники с фильтром в штативе</t>
  </si>
  <si>
    <t xml:space="preserve">Микропробирки</t>
  </si>
  <si>
    <t xml:space="preserve">упк                          (1000 шт)</t>
  </si>
  <si>
    <t xml:space="preserve">Исследование материала на сибирскую язву (бактериологический метод)</t>
  </si>
  <si>
    <t xml:space="preserve">Сибиреязвенный агар с добавками</t>
  </si>
  <si>
    <t xml:space="preserve">250 гр</t>
  </si>
  <si>
    <t xml:space="preserve">питательный агар</t>
  </si>
  <si>
    <t xml:space="preserve">Бульон Хоттингера</t>
  </si>
  <si>
    <t xml:space="preserve">фл/100</t>
  </si>
  <si>
    <t xml:space="preserve">500г</t>
  </si>
  <si>
    <t xml:space="preserve">Бактериофаг сибиреязвенный диагн.</t>
  </si>
  <si>
    <t xml:space="preserve">10амп/100мл </t>
  </si>
  <si>
    <t xml:space="preserve">желатин</t>
  </si>
  <si>
    <t xml:space="preserve">нормальная лошадиная сыворотка 100мл.</t>
  </si>
  <si>
    <t xml:space="preserve">100мл</t>
  </si>
  <si>
    <t xml:space="preserve">Тетранатриевая соль фенолфталеина биофосфата </t>
  </si>
  <si>
    <t xml:space="preserve">5 гр</t>
  </si>
  <si>
    <t xml:space="preserve">Гемолизированная кровь барана</t>
  </si>
  <si>
    <t xml:space="preserve">уп/10амп по 5 мл</t>
  </si>
  <si>
    <t xml:space="preserve">Ледяная уксусная кислота</t>
  </si>
  <si>
    <t xml:space="preserve">Предметные стекла</t>
  </si>
  <si>
    <t xml:space="preserve">Набор для окраски спор</t>
  </si>
  <si>
    <t xml:space="preserve">7.2.2.</t>
  </si>
  <si>
    <t xml:space="preserve">Исследование материала на сибирскую язву (серологический метод)</t>
  </si>
  <si>
    <t xml:space="preserve">Диагностикум эритроцитарный сибиреязвенный иммуноглобулиновый, сухой</t>
  </si>
  <si>
    <t xml:space="preserve">2 фл. д-ма 10% по 3 мл и 3 фл. ингредиентов</t>
  </si>
  <si>
    <t xml:space="preserve">7.2.3.</t>
  </si>
  <si>
    <t xml:space="preserve">Исследование материалана на сибирскую язву (биологический метод)</t>
  </si>
  <si>
    <t xml:space="preserve">белая мышь вес 17 гр</t>
  </si>
  <si>
    <t xml:space="preserve">10амп/2мл </t>
  </si>
  <si>
    <t xml:space="preserve">Трилон Б чда .уп 1кг</t>
  </si>
  <si>
    <t xml:space="preserve">Дефибринированная кровь барана</t>
  </si>
  <si>
    <t xml:space="preserve">7.2.4.</t>
  </si>
  <si>
    <t xml:space="preserve">Исследование материала на сибирскую язву (метод полимеразной цепной рекции)</t>
  </si>
  <si>
    <t xml:space="preserve">АмплиСенс Bacillusanthracis-FRT TR-B41(RG)</t>
  </si>
  <si>
    <t xml:space="preserve">комп (50 проб)</t>
  </si>
  <si>
    <t xml:space="preserve">уп1000 шт</t>
  </si>
  <si>
    <t xml:space="preserve">микропробирки 0,2 мл</t>
  </si>
  <si>
    <t xml:space="preserve">упк                          1000 шт</t>
  </si>
  <si>
    <t xml:space="preserve">перчатки неопудренные</t>
  </si>
  <si>
    <t xml:space="preserve">Бруцеллез</t>
  </si>
  <si>
    <t xml:space="preserve">7.3.1.</t>
  </si>
  <si>
    <t xml:space="preserve">Исследование материала на бруцеллез (бактериологический метод)</t>
  </si>
  <si>
    <t xml:space="preserve">Основа агара для бруцелл с добавками</t>
  </si>
  <si>
    <t xml:space="preserve">Сыворотка поливалентная</t>
  </si>
  <si>
    <t xml:space="preserve">комп амп(10)</t>
  </si>
  <si>
    <t xml:space="preserve">Сыворотки бруцеллёзные моноспецифические "Антиабортус" </t>
  </si>
  <si>
    <t xml:space="preserve">5амп./1мл</t>
  </si>
  <si>
    <t xml:space="preserve">Сыворотки бруцеллёзные моноспецифические "Антимелитензис"</t>
  </si>
  <si>
    <t xml:space="preserve">Транспортная среда для бруцелл</t>
  </si>
  <si>
    <t xml:space="preserve">5фл/2мл</t>
  </si>
  <si>
    <t xml:space="preserve">Фуксин</t>
  </si>
  <si>
    <t xml:space="preserve">Тионин</t>
  </si>
  <si>
    <t xml:space="preserve">250гр</t>
  </si>
  <si>
    <t xml:space="preserve">7.3.2.</t>
  </si>
  <si>
    <t xml:space="preserve">Исследование материала на бруцеллез (серологический (р. Хеддльсона, р.Райта)</t>
  </si>
  <si>
    <t xml:space="preserve">Диагностикум бруцеллёзный антигенный дл РА жидкий</t>
  </si>
  <si>
    <t xml:space="preserve">комп4фл (15 мл)</t>
  </si>
  <si>
    <t xml:space="preserve">уп (96 шт)</t>
  </si>
  <si>
    <t xml:space="preserve">7.3.3.</t>
  </si>
  <si>
    <t xml:space="preserve">Исследование материала на бруцеллез серологическим методом  (р. Хеддльсона)</t>
  </si>
  <si>
    <t xml:space="preserve">7.3.4.</t>
  </si>
  <si>
    <t xml:space="preserve">Исследование материала на бруцеллез серологическим методом  (р. Райта)</t>
  </si>
  <si>
    <t xml:space="preserve">штук(1000)</t>
  </si>
  <si>
    <t xml:space="preserve">7.3.5.</t>
  </si>
  <si>
    <t xml:space="preserve">Исследование материала на бруцеллез (метод полимеразной цепной реакции)</t>
  </si>
  <si>
    <t xml:space="preserve"> АмплиСенс Brucella spp-FL</t>
  </si>
  <si>
    <t xml:space="preserve">микропробирки</t>
  </si>
  <si>
    <t xml:space="preserve">7.3.6.</t>
  </si>
  <si>
    <t xml:space="preserve">Исследование материала  на бруцеллез (РПГА)</t>
  </si>
  <si>
    <t xml:space="preserve">4фл/15 мл</t>
  </si>
  <si>
    <t xml:space="preserve">7.3.7.</t>
  </si>
  <si>
    <t xml:space="preserve">единый бруцеллезный диагностикум</t>
  </si>
  <si>
    <t xml:space="preserve">7.3.8.</t>
  </si>
  <si>
    <t xml:space="preserve">Исследование материала на бруцеллез (серологический (Роз-Бенгал)</t>
  </si>
  <si>
    <t xml:space="preserve">Антиген "Роз Бенгал"для диагност. бруцеллеза у жив -х, фл, 20 см3</t>
  </si>
  <si>
    <t xml:space="preserve">комп 5фл (20 мл)</t>
  </si>
  <si>
    <t xml:space="preserve">Исследование  на бруцеллёз методом  ИФА (Ig A,  Ig G)</t>
  </si>
  <si>
    <t xml:space="preserve">тест-система Бруцелла </t>
  </si>
  <si>
    <t xml:space="preserve">12*8</t>
  </si>
  <si>
    <t xml:space="preserve">наконечники с фильтром в штативе (96)</t>
  </si>
  <si>
    <t xml:space="preserve">7.3.10.</t>
  </si>
  <si>
    <t xml:space="preserve">Исследование  на бруцеллёз методом  ИФА (Ig М,  Ig G)</t>
  </si>
  <si>
    <t xml:space="preserve">тест-система Бруцелла  </t>
  </si>
  <si>
    <t xml:space="preserve">штук(500)</t>
  </si>
  <si>
    <t xml:space="preserve">7.3.11.</t>
  </si>
  <si>
    <t xml:space="preserve">микропробирки 0,2</t>
  </si>
  <si>
    <t xml:space="preserve">микропробирки 1,5</t>
  </si>
  <si>
    <t xml:space="preserve">упк                          (500 шт)</t>
  </si>
  <si>
    <t xml:space="preserve">упк</t>
  </si>
  <si>
    <t xml:space="preserve">Пастереллез</t>
  </si>
  <si>
    <t xml:space="preserve">7.4.1.</t>
  </si>
  <si>
    <t xml:space="preserve">бульон Хоттингера</t>
  </si>
  <si>
    <t xml:space="preserve">200 гр</t>
  </si>
  <si>
    <t xml:space="preserve">фл/250г</t>
  </si>
  <si>
    <t xml:space="preserve">Гемоглобин сухой, растворимый</t>
  </si>
  <si>
    <t xml:space="preserve">100г</t>
  </si>
  <si>
    <t xml:space="preserve">штук(200)</t>
  </si>
  <si>
    <t xml:space="preserve">индол </t>
  </si>
  <si>
    <t xml:space="preserve">25 полосок</t>
  </si>
  <si>
    <t xml:space="preserve">Флак/50 дисков </t>
  </si>
  <si>
    <t xml:space="preserve">MYP агар Желточный агар с маннитом и феноловым красным (1 банка с основой по 250 г +8 фл. СД)</t>
  </si>
  <si>
    <t xml:space="preserve">Фенилаланин </t>
  </si>
  <si>
    <t xml:space="preserve">500гр</t>
  </si>
  <si>
    <t xml:space="preserve">Набор №2 для опред. фермент.: сахарозы, маннозы, арабинозы, глюкозы (192 опр), набор</t>
  </si>
  <si>
    <t xml:space="preserve">7.4.2.</t>
  </si>
  <si>
    <t xml:space="preserve">Исследование материала на пастереллез (биологический метод)</t>
  </si>
  <si>
    <t xml:space="preserve">0.200мл 0.400мл</t>
  </si>
  <si>
    <t xml:space="preserve">Однарозовые пробирки (50мл)</t>
  </si>
  <si>
    <t xml:space="preserve">штук(25)</t>
  </si>
  <si>
    <t xml:space="preserve">Однарозовые пробирки (15мл)</t>
  </si>
  <si>
    <t xml:space="preserve">7.4.3.</t>
  </si>
  <si>
    <t xml:space="preserve">Исследование материала на пастереллез (серологический метод)</t>
  </si>
  <si>
    <t xml:space="preserve">Диагностикум эритроцитарный</t>
  </si>
  <si>
    <t xml:space="preserve">2фл/12мл </t>
  </si>
  <si>
    <t xml:space="preserve">7.5.1.</t>
  </si>
  <si>
    <t xml:space="preserve">Исследование материала на туляремию (бактериологический метод)</t>
  </si>
  <si>
    <t xml:space="preserve">FT агар</t>
  </si>
  <si>
    <t xml:space="preserve">Глицерин</t>
  </si>
  <si>
    <t xml:space="preserve">Мак-Коя </t>
  </si>
  <si>
    <t xml:space="preserve">шт/10</t>
  </si>
  <si>
    <t xml:space="preserve">Антибиотики</t>
  </si>
  <si>
    <t xml:space="preserve">диски/100</t>
  </si>
  <si>
    <t xml:space="preserve">эритромицин  15 диски</t>
  </si>
  <si>
    <t xml:space="preserve">диски/15</t>
  </si>
  <si>
    <t xml:space="preserve">7.5.2.</t>
  </si>
  <si>
    <t xml:space="preserve">20 мл, 16х150 мм, с пробкой, стерильная, п/с,Aptaca; уп. 200/800 шт</t>
  </si>
  <si>
    <t xml:space="preserve">7.5.3.</t>
  </si>
  <si>
    <t xml:space="preserve">Исследование материала на туляремию (РПГА)</t>
  </si>
  <si>
    <t xml:space="preserve">5фл/12мл</t>
  </si>
  <si>
    <t xml:space="preserve">7.5.4.</t>
  </si>
  <si>
    <t xml:space="preserve">Исследование материала на туляремию (реакция агглютинации РА)</t>
  </si>
  <si>
    <t xml:space="preserve">Диагностикум туляремийный сухой</t>
  </si>
  <si>
    <t xml:space="preserve">7.5.5.</t>
  </si>
  <si>
    <t xml:space="preserve">Исследование материала  на туляремию (ИФА)</t>
  </si>
  <si>
    <t xml:space="preserve">тест-система </t>
  </si>
  <si>
    <t xml:space="preserve">комп (96 проб)</t>
  </si>
  <si>
    <t xml:space="preserve">упк             (500 шт)</t>
  </si>
  <si>
    <t xml:space="preserve">7.5.6.</t>
  </si>
  <si>
    <t xml:space="preserve">тест-система АмплиСенс </t>
  </si>
  <si>
    <t xml:space="preserve">комп (100 проб)</t>
  </si>
  <si>
    <t xml:space="preserve">7.5.7.</t>
  </si>
  <si>
    <t xml:space="preserve">Исследование материала на туляремию (метод люминесцентной микроскопии)</t>
  </si>
  <si>
    <t xml:space="preserve">Иммуноглобулины диагностические флуоресцирующие туляремийные сухие ("РИФ-Тул-СтавНИПЧИ"), упак</t>
  </si>
  <si>
    <t xml:space="preserve">упаковка</t>
  </si>
  <si>
    <t xml:space="preserve">7.5.8.</t>
  </si>
  <si>
    <t xml:space="preserve">комп ( 50 проб)</t>
  </si>
  <si>
    <t xml:space="preserve">Иерсинниоз</t>
  </si>
  <si>
    <t xml:space="preserve"> 7.6.1.</t>
  </si>
  <si>
    <t xml:space="preserve">Исследование материала на иерсиниоз (бактериологический метод)</t>
  </si>
  <si>
    <t xml:space="preserve">Агар Эндо</t>
  </si>
  <si>
    <t xml:space="preserve">0,200 мл 0,400мл</t>
  </si>
  <si>
    <t xml:space="preserve">Двойной сахарный агар Ресселя</t>
  </si>
  <si>
    <t xml:space="preserve">100г     500г</t>
  </si>
  <si>
    <t xml:space="preserve">Мочевина 40%</t>
  </si>
  <si>
    <t xml:space="preserve">фл/10</t>
  </si>
  <si>
    <t xml:space="preserve">Цитратный агар Кристенсена</t>
  </si>
  <si>
    <t xml:space="preserve">Ферментация угловодов и спиртов:</t>
  </si>
  <si>
    <t xml:space="preserve"> глицерин.</t>
  </si>
  <si>
    <t xml:space="preserve">7.6.2.</t>
  </si>
  <si>
    <t xml:space="preserve">Диагностикум кишечноиерсиниозный (О3) №5, компл</t>
  </si>
  <si>
    <t xml:space="preserve">комплект</t>
  </si>
  <si>
    <t xml:space="preserve">Диагностикум кишечноиерсиниозный (О9) №5, компл</t>
  </si>
  <si>
    <t xml:space="preserve">Диагностикум эритроцитарный псевдотуберкулезный антигенный, сухой №5 компл.</t>
  </si>
  <si>
    <t xml:space="preserve">7.6.3.</t>
  </si>
  <si>
    <t xml:space="preserve">7.6.4.</t>
  </si>
  <si>
    <t xml:space="preserve">Исследование материала   на иерсиниоз (ИФА)</t>
  </si>
  <si>
    <t xml:space="preserve">DAT-Иерсиниоз-G</t>
  </si>
  <si>
    <t xml:space="preserve">комп/96</t>
  </si>
  <si>
    <t xml:space="preserve">7.7.1.</t>
  </si>
  <si>
    <t xml:space="preserve">Бульон Фрейзера, основа Селективный бульон для обогащения листерий сухой (1 банка с основой по 250 г +5 фл.СД+5 фл. ИД)</t>
  </si>
  <si>
    <t xml:space="preserve">Добавка Фрезера</t>
  </si>
  <si>
    <t xml:space="preserve">10мл/5фл</t>
  </si>
  <si>
    <t xml:space="preserve">ПАЛКАМ -агар Питательная среда для селективного выделения и идентификации листерий, сухая (1 банка с основой по 250 г +4 фл. СД)</t>
  </si>
  <si>
    <t xml:space="preserve">Мальтоза</t>
  </si>
  <si>
    <t xml:space="preserve">Среда Хью-Лейфсона</t>
  </si>
  <si>
    <t xml:space="preserve">500 г</t>
  </si>
  <si>
    <t xml:space="preserve">7.7.2.</t>
  </si>
  <si>
    <t xml:space="preserve">Исследование материала на листериоз   (серологический метод)</t>
  </si>
  <si>
    <t xml:space="preserve">Диагностикум листериозный</t>
  </si>
  <si>
    <t xml:space="preserve">7.7.3.</t>
  </si>
  <si>
    <t xml:space="preserve">Набор реагентов для определения ДНК Listeria monocytogenes в биологическом материале методом полимеразной цепной реакции (ПЦР) "АмплиСенс® Listeria monocytogenes_x0002_скрин/монитор-FL" по ТУ 9398-216-01897593- 2014 в полной комлпектации с набором для выделения РНК/ДНК «РИБО-преп»</t>
  </si>
  <si>
    <t xml:space="preserve">7.7.4.</t>
  </si>
  <si>
    <t xml:space="preserve">Исследование материала  на листериоз  (ИФА)</t>
  </si>
  <si>
    <t xml:space="preserve">DAT - Листерия О-G</t>
  </si>
  <si>
    <t xml:space="preserve">набор/96</t>
  </si>
  <si>
    <t xml:space="preserve">7.8.1.</t>
  </si>
  <si>
    <t xml:space="preserve">Исследование материала на лептоспироз (бактериологический метод)</t>
  </si>
  <si>
    <t xml:space="preserve">7.8.2.</t>
  </si>
  <si>
    <t xml:space="preserve">Исследование материала на лептоспироз (РПГА)</t>
  </si>
  <si>
    <t xml:space="preserve">диагностикум лептоспирозный</t>
  </si>
  <si>
    <t xml:space="preserve">2фл/4мл</t>
  </si>
  <si>
    <t xml:space="preserve">7.8.3.</t>
  </si>
  <si>
    <t xml:space="preserve">Исследование материала  на лептоспироз (ИФА)</t>
  </si>
  <si>
    <t xml:space="preserve">Лептоспироз </t>
  </si>
  <si>
    <t xml:space="preserve">7.8.4.</t>
  </si>
  <si>
    <t xml:space="preserve">Исследование материала на лептоспироз (метод полимеразной цепной реакции)</t>
  </si>
  <si>
    <t xml:space="preserve">АмплиСенс Leptospira-FL</t>
  </si>
  <si>
    <t xml:space="preserve">7.9.1.</t>
  </si>
  <si>
    <t xml:space="preserve">Исследование материала на сыпной тиф (РСК)</t>
  </si>
  <si>
    <t xml:space="preserve">Диагностикум риккетсиозный Провачека для РСК (амп. 0,5мл №10+амп. 0,1мл №3), компл</t>
  </si>
  <si>
    <t xml:space="preserve">7.9.2.</t>
  </si>
  <si>
    <t xml:space="preserve">Исследование материала на сыпной тиф (ИФА)</t>
  </si>
  <si>
    <t xml:space="preserve">Тест-система</t>
  </si>
  <si>
    <t xml:space="preserve">7.9.3.</t>
  </si>
  <si>
    <t xml:space="preserve">Исследование материала на сыпной тиф  (метод полимеразной цепной реакции)</t>
  </si>
  <si>
    <t xml:space="preserve">7.10.1.</t>
  </si>
  <si>
    <t xml:space="preserve">Исследование материала на крысиный сыпной тиф (РСК)</t>
  </si>
  <si>
    <t xml:space="preserve">Диагностикум риккетсиозный</t>
  </si>
  <si>
    <t xml:space="preserve">аурамедик</t>
  </si>
  <si>
    <t xml:space="preserve">наконечники с фильтром в штативе </t>
  </si>
  <si>
    <t xml:space="preserve">упк (96 шт)</t>
  </si>
  <si>
    <t xml:space="preserve">7.10.2.</t>
  </si>
  <si>
    <t xml:space="preserve">Исследование материала на крысиный сыпной тиф (ИФА)</t>
  </si>
  <si>
    <t xml:space="preserve">7.10.3.</t>
  </si>
  <si>
    <t xml:space="preserve">7.11.1.</t>
  </si>
  <si>
    <t xml:space="preserve">Исследование материала  на клещевой сыпной тиф (РСК)</t>
  </si>
  <si>
    <t xml:space="preserve">7.11.2.</t>
  </si>
  <si>
    <t xml:space="preserve">Исследование материала на клещевой сыпной тиф (ИФА)</t>
  </si>
  <si>
    <t xml:space="preserve">7.11.3.</t>
  </si>
  <si>
    <t xml:space="preserve">7.12.1.</t>
  </si>
  <si>
    <t xml:space="preserve">Исследование материала на Ку-лихорадку (ИФА)</t>
  </si>
  <si>
    <t xml:space="preserve">Тест система </t>
  </si>
  <si>
    <t xml:space="preserve">7.12.2.</t>
  </si>
  <si>
    <t xml:space="preserve">Исследование материала на Ку-лихорадку (метод полимеразной цепной реакции)</t>
  </si>
  <si>
    <t xml:space="preserve">7.13.1.</t>
  </si>
  <si>
    <t xml:space="preserve">Исследование материала на боррелиоз (метод полимеразной цепной реакции)</t>
  </si>
  <si>
    <t xml:space="preserve">АмплиСенс Borellia</t>
  </si>
  <si>
    <t xml:space="preserve">7.13.2.</t>
  </si>
  <si>
    <t xml:space="preserve">Исследование материала на боррелиоз (ИФА)</t>
  </si>
  <si>
    <t xml:space="preserve">Тест-система для выделения бореллёза </t>
  </si>
  <si>
    <t xml:space="preserve">набор/12*8</t>
  </si>
  <si>
    <t xml:space="preserve">7.14.1.</t>
  </si>
  <si>
    <t xml:space="preserve">упк                          (25 шт)</t>
  </si>
  <si>
    <t xml:space="preserve">7.14.2.</t>
  </si>
  <si>
    <t xml:space="preserve"> Исследование материала на другие риккетсии (метод полимеразной цепной реакции)</t>
  </si>
  <si>
    <t xml:space="preserve">Тест-система для выделения бореллёза</t>
  </si>
  <si>
    <t xml:space="preserve">7.14.3.</t>
  </si>
  <si>
    <t xml:space="preserve">Легионеллез</t>
  </si>
  <si>
    <t xml:space="preserve">7.15.1.</t>
  </si>
  <si>
    <t xml:space="preserve">Легионелбакагар Питательная среда для выделения и культивирования легионелл, сухая (1 банка по 250 г основы +8 фл. СД + 8 фл. РД)</t>
  </si>
  <si>
    <t xml:space="preserve">250 г</t>
  </si>
  <si>
    <t xml:space="preserve">Оксидаза</t>
  </si>
  <si>
    <t xml:space="preserve">упак/50диск</t>
  </si>
  <si>
    <t xml:space="preserve">Каталаза</t>
  </si>
  <si>
    <t xml:space="preserve">упак/100диск</t>
  </si>
  <si>
    <t xml:space="preserve">7.15.2.</t>
  </si>
  <si>
    <t xml:space="preserve">АмплиСенс Legionella</t>
  </si>
  <si>
    <t xml:space="preserve">Крым-конго геморрагическая лихорадка (ККГЛ)</t>
  </si>
  <si>
    <t xml:space="preserve">7.16.1.</t>
  </si>
  <si>
    <t xml:space="preserve">АмплиСенс ККГЛ</t>
  </si>
  <si>
    <t xml:space="preserve">7.16.2.</t>
  </si>
  <si>
    <t xml:space="preserve">Тест-система ККГЛ </t>
  </si>
  <si>
    <t xml:space="preserve">Геморрагическая лихорадка с почечным синдромом(ГЛПС)</t>
  </si>
  <si>
    <t xml:space="preserve">7.17.1.</t>
  </si>
  <si>
    <t xml:space="preserve">7.17.2.</t>
  </si>
  <si>
    <t xml:space="preserve">Исследование материала на ГЛПС (серологический метод)</t>
  </si>
  <si>
    <t xml:space="preserve">Набор реагентов «Диагностикум геморрагической лихорадки с почечным синдром культ уральный, поливалентный для непрямого метода иммунофлюоресценции» – «Диагностикум ГЛПС»</t>
  </si>
  <si>
    <t xml:space="preserve">7.17.3.</t>
  </si>
  <si>
    <t xml:space="preserve">Исследование материала на ГЛПС (ИФА)_</t>
  </si>
  <si>
    <t xml:space="preserve">Тест-система ГЛПС IgM, G</t>
  </si>
  <si>
    <t xml:space="preserve">Лихорадка неясной этиологии (ЛНЭ)</t>
  </si>
  <si>
    <t xml:space="preserve">7.18.1.</t>
  </si>
  <si>
    <t xml:space="preserve">Тест-система ЛНЭ</t>
  </si>
  <si>
    <t xml:space="preserve">7.18.2.</t>
  </si>
  <si>
    <t xml:space="preserve"> Исследование материала на ЛНЭ (ИФА)</t>
  </si>
  <si>
    <t xml:space="preserve">Лихорадка Денге(ЛД)</t>
  </si>
  <si>
    <t xml:space="preserve">7.19.1.</t>
  </si>
  <si>
    <t xml:space="preserve">Исследование материала на Лихоради Денге (ПЦР)</t>
  </si>
  <si>
    <t xml:space="preserve">Тест-система ЛД</t>
  </si>
  <si>
    <t xml:space="preserve">7.19.2.</t>
  </si>
  <si>
    <t xml:space="preserve">Исследование материала на Лихоради Денге (ИФА)</t>
  </si>
  <si>
    <t xml:space="preserve">7.20.1.</t>
  </si>
  <si>
    <t xml:space="preserve">Исследование материала на Лихорадки Западного Нила (ПЦР)</t>
  </si>
  <si>
    <t xml:space="preserve">Тест-система ЛЗД</t>
  </si>
  <si>
    <t xml:space="preserve">7.20.2.</t>
  </si>
  <si>
    <t xml:space="preserve">Исследование материала на Лихорадки Западного Нила (ИФА)</t>
  </si>
  <si>
    <t xml:space="preserve">Тест-система ЛЗД IgM</t>
  </si>
  <si>
    <t xml:space="preserve">Тест-система ЛЗД IgG</t>
  </si>
  <si>
    <t xml:space="preserve">Лихорадка Зика(ЛЗ)</t>
  </si>
  <si>
    <t xml:space="preserve">7.21.1.</t>
  </si>
  <si>
    <t xml:space="preserve">Исследование материала на Лихорадка Зика (ПЦР)</t>
  </si>
  <si>
    <t xml:space="preserve">Тест-система ЛЗ</t>
  </si>
  <si>
    <t xml:space="preserve">7.21.2.</t>
  </si>
  <si>
    <t xml:space="preserve">Исследование материала на Лихорадка Зика (ИФА)</t>
  </si>
  <si>
    <t xml:space="preserve">Лихорадка Чукугунья(ЛЧ)</t>
  </si>
  <si>
    <t xml:space="preserve">7.22.1.</t>
  </si>
  <si>
    <t xml:space="preserve">Исследование материала на Лихорадка Чукугунья (ПЦР)</t>
  </si>
  <si>
    <t xml:space="preserve">Тест-система ЛЧ</t>
  </si>
  <si>
    <t xml:space="preserve">7.22.2.</t>
  </si>
  <si>
    <t xml:space="preserve">Исследование материала на Лихорадка Чукугунья (ИФА)</t>
  </si>
  <si>
    <t xml:space="preserve">Хламидиоз(орнитоз)</t>
  </si>
  <si>
    <t xml:space="preserve">7.23.1.</t>
  </si>
  <si>
    <t xml:space="preserve">Тест-система на хламидиоз</t>
  </si>
  <si>
    <t xml:space="preserve">упак 100 шт</t>
  </si>
  <si>
    <t xml:space="preserve">7.23.2.</t>
  </si>
  <si>
    <t xml:space="preserve">Исследование материала на хламидии (ИФА)</t>
  </si>
  <si>
    <t xml:space="preserve">Тест-система на хламидиоз IgG, </t>
  </si>
  <si>
    <t xml:space="preserve">Тест-система на хламидиоз IgM</t>
  </si>
  <si>
    <t xml:space="preserve">набор/13</t>
  </si>
  <si>
    <t xml:space="preserve">Клещевой энцефалит(КЭ)</t>
  </si>
  <si>
    <t xml:space="preserve">7.24.1.</t>
  </si>
  <si>
    <t xml:space="preserve">Тест-система на КЭ</t>
  </si>
  <si>
    <t xml:space="preserve">7.24.2.</t>
  </si>
  <si>
    <t xml:space="preserve">Исследование материала  на КЭ (ИФА)</t>
  </si>
  <si>
    <t xml:space="preserve">Тест-система на КЭ </t>
  </si>
  <si>
    <t xml:space="preserve">7.25.1.</t>
  </si>
  <si>
    <t xml:space="preserve">Исследование материала на клещевые инфекции методом ПЦР (мутиплексная реакция)</t>
  </si>
  <si>
    <t xml:space="preserve">Тест-система на КИ</t>
  </si>
  <si>
    <t xml:space="preserve">7.25.2.</t>
  </si>
  <si>
    <t xml:space="preserve">Определение родовой, видовой принадлежности клещей</t>
  </si>
  <si>
    <t xml:space="preserve">Лошадиная сыворотка</t>
  </si>
  <si>
    <t xml:space="preserve">натрия хлорид</t>
  </si>
  <si>
    <t xml:space="preserve">пробирки с пробками</t>
  </si>
  <si>
    <t xml:space="preserve">250 гр </t>
  </si>
  <si>
    <t xml:space="preserve">Питательная среда для выделения возбудителя сибирской язвы сухая (1 банка по 250 г пит.среды + 6 фл. СД)</t>
  </si>
  <si>
    <t xml:space="preserve">уп/0,25 кг</t>
  </si>
  <si>
    <t xml:space="preserve">сибиреязвенная агар с добавкой </t>
  </si>
  <si>
    <t xml:space="preserve">TCBS агар</t>
  </si>
  <si>
    <t xml:space="preserve">FT -агар «Питательная среда для культивирования и выделения туляремийного микроба сухая» (1 банка по 250 г пит.среды + 1фл. ГВД +7 фл.СД)</t>
  </si>
  <si>
    <t xml:space="preserve">Эмульсия яичного желтка</t>
  </si>
  <si>
    <t xml:space="preserve">5фл/5мл</t>
  </si>
  <si>
    <t xml:space="preserve">Левенштейна-Йенсена</t>
  </si>
  <si>
    <t xml:space="preserve">закручивающие пробирки</t>
  </si>
  <si>
    <t xml:space="preserve">7.26.6.</t>
  </si>
  <si>
    <t xml:space="preserve">Исследование активности дезсредств к возбудителям  зоонозных инфекции </t>
  </si>
  <si>
    <t xml:space="preserve">7.26.7.</t>
  </si>
  <si>
    <t xml:space="preserve">егионелбакагар Питательная среда для выделения и культивирования легионелл, сухая (1 банка по 250 г основы +8 фл. СД + 8 фл. РД)</t>
  </si>
  <si>
    <t xml:space="preserve">7.26.8.</t>
  </si>
  <si>
    <t xml:space="preserve">Исследование активности дезсредств к возбудителям  зоонозных инфекции (кишечный иерсиниоз)</t>
  </si>
  <si>
    <t xml:space="preserve">Иерсиния -агар «Питательная среда для выделения возбудителей кишечного иерсиниоза и псевдотуберкулеза сухая»</t>
  </si>
  <si>
    <t xml:space="preserve">0,250 г</t>
  </si>
  <si>
    <t xml:space="preserve">Основа селективного агара для иерсиний</t>
  </si>
  <si>
    <t xml:space="preserve">Агар для выделения иерсиний</t>
  </si>
  <si>
    <t xml:space="preserve">Основа дрожжевого бульона с бенгальским розовым </t>
  </si>
  <si>
    <t xml:space="preserve">Исселодование антимикробной активности лекарственных препаратов к возбудителям ООИ (кишечный иерсиниоз)</t>
  </si>
  <si>
    <t xml:space="preserve">7.26.9.</t>
  </si>
  <si>
    <t xml:space="preserve">Исселодование анктивности дезсредств к возбудителям зоонозных инфекций (псевдотуберкулез)</t>
  </si>
  <si>
    <t xml:space="preserve">7.26.10.</t>
  </si>
  <si>
    <t xml:space="preserve">Исследование активности дезсредств к возбудителям зоонозных инфекций (листериоз)</t>
  </si>
  <si>
    <t xml:space="preserve">Листериозный  агар</t>
  </si>
  <si>
    <t xml:space="preserve">пробирки (уп.1000шт)</t>
  </si>
  <si>
    <t xml:space="preserve">Исследование антимикробной активности лекарственных препаратов к возбудителям ООИ  (листериоз)</t>
  </si>
  <si>
    <t xml:space="preserve">7.27.1.</t>
  </si>
  <si>
    <t xml:space="preserve">Определение ростовых, дифференцирующих и ингибирующих свойств питательных сред (бактериологический метод)</t>
  </si>
  <si>
    <t xml:space="preserve">200г</t>
  </si>
  <si>
    <t xml:space="preserve">Питательный бульон</t>
  </si>
  <si>
    <t xml:space="preserve">7.28.</t>
  </si>
  <si>
    <t xml:space="preserve">Определение антибиотиков  чувствительности микрофлоры</t>
  </si>
  <si>
    <t xml:space="preserve">Диски с антибиотиками </t>
  </si>
  <si>
    <t xml:space="preserve">1 фл/100 дисков</t>
  </si>
  <si>
    <t xml:space="preserve">Бактериологическая транспортная система для посева крови на гемокультуру при бруцеллезе жидкая</t>
  </si>
  <si>
    <t xml:space="preserve">пеницилиновые пробирки</t>
  </si>
  <si>
    <t xml:space="preserve">Выдача заключения по итогам проведенных лабораторных испытаний на особо опасные и зоонозые инфекций</t>
  </si>
  <si>
    <t xml:space="preserve">Научные по итогам научных исследований на особо опасных и зоонозные инфекций</t>
  </si>
  <si>
    <t xml:space="preserve">Определение резистентности противомикробных препаратов методом дисков  (на один вид инфеекции) на особо опасных инфекций</t>
  </si>
  <si>
    <t xml:space="preserve">диски антибиотики (10 наименовании)</t>
  </si>
  <si>
    <t xml:space="preserve">Определение резистентности противомикробных препаратов методом дисков  (на один вид инфеекции) на зоонозные  инфекций</t>
  </si>
  <si>
    <t xml:space="preserve">Определение резистентности противомикробных препаратов методом серийных разведений   (на один вид инфеекции) на особо опасных инфекций</t>
  </si>
  <si>
    <t xml:space="preserve">Определение резистентности противомикробных препаратов методом серийных разведений   (на один вид инфеекции) на зоонозные  инфекций</t>
  </si>
  <si>
    <t xml:space="preserve">диски антибиотики (15наименовании)</t>
  </si>
  <si>
    <t xml:space="preserve">Бумага А4</t>
  </si>
  <si>
    <t xml:space="preserve">лист</t>
  </si>
  <si>
    <t xml:space="preserve">Ручка шариковая</t>
  </si>
  <si>
    <t xml:space="preserve">Карандаш </t>
  </si>
  <si>
    <t xml:space="preserve">бромдиолон</t>
  </si>
  <si>
    <t xml:space="preserve">клерат</t>
  </si>
  <si>
    <t xml:space="preserve">индан дуст</t>
  </si>
  <si>
    <t xml:space="preserve">индафлюид на 1 кг</t>
  </si>
  <si>
    <t xml:space="preserve">ланират на 1 кг</t>
  </si>
  <si>
    <t xml:space="preserve">крупа на 1м2</t>
  </si>
  <si>
    <t xml:space="preserve">синузан на 1 м 2 </t>
  </si>
  <si>
    <t xml:space="preserve">сумитион на 1 м2</t>
  </si>
  <si>
    <t xml:space="preserve">гель Чистый дом на 1м2</t>
  </si>
  <si>
    <t xml:space="preserve">гель Асолют на 1м2</t>
  </si>
  <si>
    <t xml:space="preserve">дельтометрин на 1 м 2</t>
  </si>
  <si>
    <t xml:space="preserve">алмафос</t>
  </si>
  <si>
    <t xml:space="preserve">хлорофос</t>
  </si>
  <si>
    <t xml:space="preserve">бумага для фасовки на 1м2</t>
  </si>
  <si>
    <t xml:space="preserve">бумага А4</t>
  </si>
  <si>
    <t xml:space="preserve">картридж</t>
  </si>
  <si>
    <t xml:space="preserve">карандаш </t>
  </si>
  <si>
    <t xml:space="preserve">Корректирующая ручка</t>
  </si>
  <si>
    <t xml:space="preserve">скоросшиватель</t>
  </si>
  <si>
    <t xml:space="preserve">регистратор А4 50мм</t>
  </si>
  <si>
    <t xml:space="preserve">ручка шариковая</t>
  </si>
  <si>
    <t xml:space="preserve">услуги :</t>
  </si>
  <si>
    <t xml:space="preserve">услуги интернета</t>
  </si>
  <si>
    <t xml:space="preserve">Гб</t>
  </si>
  <si>
    <t xml:space="preserve">изучение нормативно-правовых документов в технической библтиотеке</t>
  </si>
  <si>
    <t xml:space="preserve">посещение</t>
  </si>
  <si>
    <t xml:space="preserve">запрака картриджа</t>
  </si>
  <si>
    <t xml:space="preserve">Методология диагностики малярии</t>
  </si>
  <si>
    <t xml:space="preserve">Иммерсионное масло </t>
  </si>
  <si>
    <t xml:space="preserve">Перчатки медицинские (одноразовые)</t>
  </si>
  <si>
    <t xml:space="preserve">г (уп. 100 г)</t>
  </si>
  <si>
    <t xml:space="preserve">17.2</t>
  </si>
  <si>
    <t xml:space="preserve">ПЦР диагностика бактериальных инфекций</t>
  </si>
  <si>
    <t xml:space="preserve">Основы методом ПЦР, лабораторный тренинг</t>
  </si>
  <si>
    <t xml:space="preserve">Plant X S1006</t>
  </si>
  <si>
    <t xml:space="preserve">на 50 пробподготовок</t>
  </si>
  <si>
    <t xml:space="preserve">4 plex 35S/NOS/FMV+IAC S 2126</t>
  </si>
  <si>
    <t xml:space="preserve">2*50реакций</t>
  </si>
  <si>
    <t xml:space="preserve">Дозатор</t>
  </si>
  <si>
    <t xml:space="preserve">Наконечники</t>
  </si>
  <si>
    <t xml:space="preserve">упак-1000шт</t>
  </si>
  <si>
    <t xml:space="preserve">17.3</t>
  </si>
  <si>
    <t xml:space="preserve">ИФА исследования в диагностике бактериальных инфекций</t>
  </si>
  <si>
    <t xml:space="preserve">Исследование материала на бруцеллёз (метод ИФА)</t>
  </si>
  <si>
    <t xml:space="preserve">Тест-система Бруцелла IgМ</t>
  </si>
  <si>
    <t xml:space="preserve">Тест-система Бруцелла IgG</t>
  </si>
  <si>
    <t xml:space="preserve">Тест-система Бруцелла IgА</t>
  </si>
  <si>
    <t xml:space="preserve">Наконечники с фильтром в штативе (96)</t>
  </si>
  <si>
    <t xml:space="preserve">упк (1000 шт)</t>
  </si>
  <si>
    <t xml:space="preserve">Комплект защитной одежды одноразовый</t>
  </si>
  <si>
    <t xml:space="preserve">Исследование материала отлюдей и материала из внешней среды на листериоз  (ИФА)</t>
  </si>
  <si>
    <t xml:space="preserve">Наконечники с фильтром в штативе </t>
  </si>
  <si>
    <t xml:space="preserve">Лептоспироз IgG</t>
  </si>
  <si>
    <t xml:space="preserve">Тест-система ККГЛ IgM</t>
  </si>
  <si>
    <t xml:space="preserve">12х8</t>
  </si>
  <si>
    <t xml:space="preserve">Тест-система ККГЛ IgG</t>
  </si>
  <si>
    <t xml:space="preserve">упк 1000 шт)</t>
  </si>
  <si>
    <t xml:space="preserve">17.4</t>
  </si>
  <si>
    <t xml:space="preserve">Радиотехнические объекты, сотовая радиосвязь</t>
  </si>
  <si>
    <t xml:space="preserve">Метод проведения инструментальных замеров плотности потока электромагнитной энергии СВЧ-диапазона и напряженности электромагнитного поля</t>
  </si>
  <si>
    <t xml:space="preserve">Марля</t>
  </si>
  <si>
    <t xml:space="preserve">17.5</t>
  </si>
  <si>
    <t xml:space="preserve">Современные аспекты безопасной эксплуатации электробытовой техники </t>
  </si>
  <si>
    <t xml:space="preserve">Методика проведения интрументальных замеров напряженности электромагнитного поля и электростатического поля</t>
  </si>
  <si>
    <t xml:space="preserve">17.6</t>
  </si>
  <si>
    <t xml:space="preserve">Обеспечение радиационной безопасности</t>
  </si>
  <si>
    <t xml:space="preserve">17.6.1.</t>
  </si>
  <si>
    <t xml:space="preserve">На территории жилой застрой, при отводе земельных участков под строительство, в жилых и общественных зданиях</t>
  </si>
  <si>
    <t xml:space="preserve">Перчатки</t>
  </si>
  <si>
    <t xml:space="preserve">Одноразовый фильтр АПА-РСП-10</t>
  </si>
  <si>
    <t xml:space="preserve">17.6.2.</t>
  </si>
  <si>
    <t xml:space="preserve">Определение мощности дозы гамма ренгеновское излучения на рабочих местах</t>
  </si>
  <si>
    <t xml:space="preserve">17.7</t>
  </si>
  <si>
    <t xml:space="preserve">Радиациционный контроль. Дозиметрия.</t>
  </si>
  <si>
    <t xml:space="preserve">17.7.1.</t>
  </si>
  <si>
    <t xml:space="preserve">Изделия из меттала , отходы черного и цветного металлов</t>
  </si>
  <si>
    <t xml:space="preserve">Определение  гамма- излучения </t>
  </si>
  <si>
    <t xml:space="preserve">Определния плотности потока альфа- частиц </t>
  </si>
  <si>
    <t xml:space="preserve">Определния плотности потока  бета - частиц </t>
  </si>
  <si>
    <t xml:space="preserve">17.7.2.</t>
  </si>
  <si>
    <t xml:space="preserve">17.8</t>
  </si>
  <si>
    <t xml:space="preserve">Спектрометрия, методы контроля радиоактивности объектов окружающей среды</t>
  </si>
  <si>
    <t xml:space="preserve">Пищевый продукты, Лекарственные растения , древесное сырье, строительные материалы, отходы и т.д. (спектрометрическим методом)</t>
  </si>
  <si>
    <t xml:space="preserve">17.9</t>
  </si>
  <si>
    <t xml:space="preserve">Радиохимия, методы контроля радиоактивности объектов окружающей среды </t>
  </si>
  <si>
    <t xml:space="preserve">17.9.1.</t>
  </si>
  <si>
    <t xml:space="preserve">Исследование воды, пищевых продуктов, атмосферного воздуха, осадков и т.д. (радиохимическим методом)</t>
  </si>
  <si>
    <t xml:space="preserve">Индикаторная бумага</t>
  </si>
  <si>
    <t xml:space="preserve">Никель азотнокислый</t>
  </si>
  <si>
    <t xml:space="preserve">Калий железистосинеродный</t>
  </si>
  <si>
    <t xml:space="preserve">Аммоний иодистый</t>
  </si>
  <si>
    <t xml:space="preserve">Сурьма треххлористая</t>
  </si>
  <si>
    <t xml:space="preserve">Спирт</t>
  </si>
  <si>
    <t xml:space="preserve">Цезий азотно.кислый</t>
  </si>
  <si>
    <t xml:space="preserve">Стронций азотнокислый</t>
  </si>
  <si>
    <t xml:space="preserve">Иттрий азотнокислый</t>
  </si>
  <si>
    <t xml:space="preserve">Аммиак</t>
  </si>
  <si>
    <t xml:space="preserve">Лантан азотнокислый</t>
  </si>
  <si>
    <t xml:space="preserve">Аммоний щавелевокислый</t>
  </si>
  <si>
    <t xml:space="preserve">Калий сернокислый</t>
  </si>
  <si>
    <t xml:space="preserve">Ортофосфорная кислота</t>
  </si>
  <si>
    <t xml:space="preserve">Щавелевая кислота</t>
  </si>
  <si>
    <t xml:space="preserve">Арсеназо  III</t>
  </si>
  <si>
    <t xml:space="preserve">Фильтр бумага "синяя лента"</t>
  </si>
  <si>
    <t xml:space="preserve">Торий азотнокислый</t>
  </si>
  <si>
    <t xml:space="preserve">Серная кислота,чда</t>
  </si>
  <si>
    <t xml:space="preserve">Барий хлористый,2-х водный, чда</t>
  </si>
  <si>
    <t xml:space="preserve">Азотнокислый уранил</t>
  </si>
  <si>
    <t xml:space="preserve">Цинк гранулированный металлический </t>
  </si>
  <si>
    <t xml:space="preserve">Железо хлорное 6-водное</t>
  </si>
  <si>
    <t xml:space="preserve">Индикаторная бумага </t>
  </si>
  <si>
    <t xml:space="preserve">Фильтр "белая лента"</t>
  </si>
  <si>
    <t xml:space="preserve">Измерение радона </t>
  </si>
  <si>
    <t xml:space="preserve">Маска </t>
  </si>
  <si>
    <t xml:space="preserve">Фильтр</t>
  </si>
  <si>
    <t xml:space="preserve">17.9.2.</t>
  </si>
  <si>
    <t xml:space="preserve">Определения факта облучения пищевых продуктов</t>
  </si>
  <si>
    <t xml:space="preserve">17.10</t>
  </si>
  <si>
    <t xml:space="preserve">Иммуноферментный анализ в лабораторной диагностике вирусных инфекций</t>
  </si>
  <si>
    <t xml:space="preserve">Наконечники  0.1- 20 мкл</t>
  </si>
  <si>
    <t xml:space="preserve">Наконечники 50- 1000 мкл</t>
  </si>
  <si>
    <t xml:space="preserve">17.11</t>
  </si>
  <si>
    <t xml:space="preserve">Молекулярно-генетические методы в диагностике вирусных инфекций </t>
  </si>
  <si>
    <t xml:space="preserve">Маски - 1 упак. ( 50 шт.)</t>
  </si>
  <si>
    <t xml:space="preserve">Криопробирки -2 мл</t>
  </si>
  <si>
    <t xml:space="preserve">Ампли  Сенс  вирус пандемического  гриппа А1 ( Н1N1pmd)09, ПЦР тест система с учетом реультатов в режиме реального времени</t>
  </si>
  <si>
    <t xml:space="preserve">Ампли  Сенс  вирусы гриппа А (сезонного),субтипов Н1,Н3, ПЦР тест система с учетом реультатов в режиме реального времени</t>
  </si>
  <si>
    <t xml:space="preserve">Комплект реагентов для получения кДНК на матрице РНК "РЕВЕРТА-L" </t>
  </si>
  <si>
    <t xml:space="preserve">Комплект реагентов для выделения РНК/ДНК из клинического материала "РИБО-сорб"</t>
  </si>
  <si>
    <t xml:space="preserve">Наконечники с фильтром,  объем 10мкл-100 мкл (стерильные) </t>
  </si>
  <si>
    <t xml:space="preserve">Пробирки Эппендорф 1,5 мл</t>
  </si>
  <si>
    <t xml:space="preserve">уп /500шт</t>
  </si>
  <si>
    <t xml:space="preserve">1,5 мкл</t>
  </si>
  <si>
    <t xml:space="preserve">0,2 мкл</t>
  </si>
  <si>
    <t xml:space="preserve">0,1 мкл</t>
  </si>
  <si>
    <t xml:space="preserve">Тест-система для обнаружения РНК вируса гепатита Д   (количественный анализ)</t>
  </si>
  <si>
    <t xml:space="preserve">17.12</t>
  </si>
  <si>
    <t xml:space="preserve">Вирусологический метод энтеровирусных инфекций </t>
  </si>
  <si>
    <t xml:space="preserve">Среда Игла с двойным набором аминокислот и витаминов </t>
  </si>
  <si>
    <t xml:space="preserve">Хэнкс</t>
  </si>
  <si>
    <t xml:space="preserve">Матрасы для культуры клеток</t>
  </si>
  <si>
    <t xml:space="preserve">Криопробирки</t>
  </si>
  <si>
    <t xml:space="preserve">уп (100 шт)</t>
  </si>
  <si>
    <t xml:space="preserve">Тампоны для забора мазков</t>
  </si>
  <si>
    <t xml:space="preserve">Сыворотка диагностическая A1 (H1N1)</t>
  </si>
  <si>
    <t xml:space="preserve">амп (мл)</t>
  </si>
  <si>
    <t xml:space="preserve">Сыворотка диагностическая A3 (H3N2)</t>
  </si>
  <si>
    <t xml:space="preserve">Сыворотка диагностическая B</t>
  </si>
  <si>
    <t xml:space="preserve">уп/1000</t>
  </si>
  <si>
    <t xml:space="preserve">17.13</t>
  </si>
  <si>
    <t xml:space="preserve">Выделение  культуры клеток</t>
  </si>
  <si>
    <t xml:space="preserve">Среда Игла МЕМ</t>
  </si>
  <si>
    <t xml:space="preserve">Фетальная сыв-ка  плода коровы фл-500мл</t>
  </si>
  <si>
    <t xml:space="preserve">Пипетки,10мл. 5мл</t>
  </si>
  <si>
    <t xml:space="preserve">Мед. перчатки</t>
  </si>
  <si>
    <t xml:space="preserve">пар</t>
  </si>
  <si>
    <t xml:space="preserve">Маски</t>
  </si>
  <si>
    <t xml:space="preserve">Культур. пластик флакон 1(уп-5шт)</t>
  </si>
  <si>
    <t xml:space="preserve">17.14</t>
  </si>
  <si>
    <t xml:space="preserve">Лабораторная диагностика особо опасных и зоонозных инфекций </t>
  </si>
  <si>
    <t xml:space="preserve">17.15</t>
  </si>
  <si>
    <t xml:space="preserve">Лабораторная диагностика трансмиссивных инфекций методом ПЦР и ИФА (ККГЛ, ВКЭ, ГЛПС, риккетсий)</t>
  </si>
  <si>
    <t xml:space="preserve">17.16</t>
  </si>
  <si>
    <t xml:space="preserve">Метод полимеразной цепной реакции (ПЦР) в диагностике ООИ </t>
  </si>
  <si>
    <t xml:space="preserve">Метод ПЦР и ИФА</t>
  </si>
  <si>
    <t xml:space="preserve">АмплиСенс Brucella spp-FL</t>
  </si>
  <si>
    <t xml:space="preserve">Наконечники с фильтром в штативе</t>
  </si>
  <si>
    <t xml:space="preserve">17.17</t>
  </si>
  <si>
    <t xml:space="preserve">Информационные технологии в  эпидемиологическом надзоре</t>
  </si>
  <si>
    <t xml:space="preserve">17.18</t>
  </si>
  <si>
    <t xml:space="preserve">Хроматографические методы определения остаточных количеств пестицидов в объектах окружающей среды</t>
  </si>
  <si>
    <t xml:space="preserve">Определение группы 2,4 Д методом газожидкостной хроматографии (ГЖХ)</t>
  </si>
  <si>
    <t xml:space="preserve">Диэтиловый эфир</t>
  </si>
  <si>
    <t xml:space="preserve">Фосфорно-вольфрамовая кислота</t>
  </si>
  <si>
    <t xml:space="preserve">Бикарбанат натрия</t>
  </si>
  <si>
    <t xml:space="preserve">Натрий сульфат безводный </t>
  </si>
  <si>
    <t xml:space="preserve">Соляная кислота </t>
  </si>
  <si>
    <t xml:space="preserve">Стандарт</t>
  </si>
  <si>
    <t xml:space="preserve">Спирт этиловый </t>
  </si>
  <si>
    <t xml:space="preserve">Оппределение ртутьсодержащих пестицидов методом газожидкостной хроматографии (ГЖХ)</t>
  </si>
  <si>
    <t xml:space="preserve">Едкие натрий </t>
  </si>
  <si>
    <t xml:space="preserve">Гипасульфат натрия</t>
  </si>
  <si>
    <t xml:space="preserve">Дитизон</t>
  </si>
  <si>
    <t xml:space="preserve">L-цестиин</t>
  </si>
  <si>
    <t xml:space="preserve">Хлористый натрий </t>
  </si>
  <si>
    <t xml:space="preserve">Определение группы симм-триазинов методов ГЖХ</t>
  </si>
  <si>
    <t xml:space="preserve">Ацетонитрил</t>
  </si>
  <si>
    <t xml:space="preserve">Безводный сульфат натрия</t>
  </si>
  <si>
    <t xml:space="preserve">Определение группы симм-триазинов методов ВЭЖХ</t>
  </si>
  <si>
    <t xml:space="preserve">17.19</t>
  </si>
  <si>
    <t xml:space="preserve">Методы определения токсичности  полимеров и других химических веществ</t>
  </si>
  <si>
    <t xml:space="preserve">Лекционные и семинарные занятия</t>
  </si>
  <si>
    <t xml:space="preserve">файл</t>
  </si>
  <si>
    <t xml:space="preserve">Обеспечение радиационной безопасности </t>
  </si>
  <si>
    <t xml:space="preserve">Тонер Canon/C-EXV54/ черный к  МФУ  Canon 3025i</t>
  </si>
  <si>
    <t xml:space="preserve">21</t>
  </si>
  <si>
    <t xml:space="preserve">Опилка древессная автоклавированная</t>
  </si>
  <si>
    <t xml:space="preserve">СанПиН "Санитарные правила по устройству, оборудованию и содержанию  экспериментально-биологических клиник/вивариев", Алматы, 1997 г.</t>
  </si>
  <si>
    <t xml:space="preserve">Перчатки нитриловые</t>
  </si>
  <si>
    <t xml:space="preserve">Мешки для отходов </t>
  </si>
  <si>
    <t xml:space="preserve">Питание</t>
  </si>
  <si>
    <t xml:space="preserve">Глютекс дезинфицирующее средство</t>
  </si>
  <si>
    <t xml:space="preserve">22,4</t>
  </si>
  <si>
    <t xml:space="preserve">ТАРИФИКАЦИОННЫЙ СПИСОК</t>
  </si>
  <si>
    <t xml:space="preserve">работников  Филиала  "Научно-практический центр санитарно-эпидемиологической экспертизы и мониторинга"РГП на ПХВ"НЦОЗ" МЗ РК</t>
  </si>
  <si>
    <t xml:space="preserve">Наименование должностей</t>
  </si>
  <si>
    <t xml:space="preserve">Итого ФЗП *)</t>
  </si>
  <si>
    <t xml:space="preserve">Стоимость часа **)</t>
  </si>
  <si>
    <t xml:space="preserve">Стоимость минуты ***)</t>
  </si>
  <si>
    <t xml:space="preserve">Норма времени ****)</t>
  </si>
  <si>
    <t xml:space="preserve">Сумма заработной платы  *****)</t>
  </si>
  <si>
    <t xml:space="preserve">Врач </t>
  </si>
  <si>
    <t xml:space="preserve">Средний медицинский персонал</t>
  </si>
  <si>
    <t xml:space="preserve">Прочий персонал</t>
  </si>
  <si>
    <t xml:space="preserve"> Референс-лаборатория по контролю  химических веществ и остаточных количеств пестицидов в объектах окружающей среды</t>
  </si>
  <si>
    <t xml:space="preserve">Лаборатория токсикологии полимеров и других химческих веществ</t>
  </si>
  <si>
    <t xml:space="preserve">Приложение №5 к приказу                              Министерства здравоохранения РК                      №____________________                                                   "_____" _____________2001г.                                         </t>
  </si>
  <si>
    <t xml:space="preserve">Форма 2.3</t>
  </si>
  <si>
    <t xml:space="preserve">Расшифровка по статье "Износ основных средств (активов)"</t>
  </si>
  <si>
    <t xml:space="preserve">Филиал "Научно-практический центр санитарно-эпидемиологической экспертизы и мониторинга" РГП на ПХв "НЦОЗ" МЗ РК</t>
  </si>
  <si>
    <t xml:space="preserve"> на проведение санитарно-химических, бактериологических, паразитологических, вирусологических, радиологических и токсикологических, особо-опасных лабораторных исследований, замеров электромагнитных полей и других факторов среды обитания человека, проведение дезинфекционных и дезинсекционных мероприятий, разработку нормативно-правовых актов, разработку методических указаний, экспертизу проектных и предпроектных документов, реализацию печатной продукции</t>
  </si>
  <si>
    <t xml:space="preserve">№</t>
  </si>
  <si>
    <t xml:space="preserve">Наименование услуги</t>
  </si>
  <si>
    <t xml:space="preserve">Наименование оборудования</t>
  </si>
  <si>
    <t xml:space="preserve">Год закупа</t>
  </si>
  <si>
    <t xml:space="preserve">Ввод в эксплуатацию</t>
  </si>
  <si>
    <t xml:space="preserve">Первоначальная стоимость</t>
  </si>
  <si>
    <t xml:space="preserve">Годовая норма износа</t>
  </si>
  <si>
    <t xml:space="preserve">Износ с начала поступления</t>
  </si>
  <si>
    <t xml:space="preserve">Остаточная стоимость</t>
  </si>
  <si>
    <t xml:space="preserve">Сумма износа (годовая) на отчетный период</t>
  </si>
  <si>
    <t xml:space="preserve">Сумма износа ( часовая)на отчетный период</t>
  </si>
  <si>
    <t xml:space="preserve">Норма времени (минуты)</t>
  </si>
  <si>
    <t xml:space="preserve">Сумма износа за норматив.времени соотв услуги</t>
  </si>
  <si>
    <t xml:space="preserve">Определение запах при 20, 60 градусах Цельсия </t>
  </si>
  <si>
    <t xml:space="preserve">Фотоэлетроколориметр</t>
  </si>
  <si>
    <t xml:space="preserve">Определение привкуса  </t>
  </si>
  <si>
    <t xml:space="preserve">Определение цветности  </t>
  </si>
  <si>
    <t xml:space="preserve">Определение  мутности </t>
  </si>
  <si>
    <t xml:space="preserve">Иономер</t>
  </si>
  <si>
    <t xml:space="preserve">Определение сухого остатка  </t>
  </si>
  <si>
    <t xml:space="preserve">Анализатор жидкости лабораторный</t>
  </si>
  <si>
    <t xml:space="preserve">Весы электронные</t>
  </si>
  <si>
    <t xml:space="preserve">Сушильный шкаф</t>
  </si>
  <si>
    <t xml:space="preserve">Определение нитратов </t>
  </si>
  <si>
    <t xml:space="preserve">Определение нитритов </t>
  </si>
  <si>
    <t xml:space="preserve">Определение азот аммонийный (по азоту) </t>
  </si>
  <si>
    <t xml:space="preserve">Определение сульфатов </t>
  </si>
  <si>
    <t xml:space="preserve">Флюорат</t>
  </si>
  <si>
    <t xml:space="preserve">Газовый хроматограф с тройным квадруполем (тандемной масс-спектрометрией</t>
  </si>
  <si>
    <t xml:space="preserve">Определение  свинца</t>
  </si>
  <si>
    <t xml:space="preserve">СТА</t>
  </si>
  <si>
    <t xml:space="preserve">1.1.38.</t>
  </si>
  <si>
    <t xml:space="preserve"> Определение кадмия</t>
  </si>
  <si>
    <t xml:space="preserve">1.1.45.</t>
  </si>
  <si>
    <t xml:space="preserve">Отбор проб воды</t>
  </si>
  <si>
    <t xml:space="preserve">2. Воды питьевые, минеральные природные и искусственно-минерализованные воды, расфасованные в емкости </t>
  </si>
  <si>
    <t xml:space="preserve">1.2.26.</t>
  </si>
  <si>
    <t xml:space="preserve">определение бора</t>
  </si>
  <si>
    <t xml:space="preserve">Определение кобальта</t>
  </si>
  <si>
    <t xml:space="preserve">Определение фосфара</t>
  </si>
  <si>
    <t xml:space="preserve"> 1.3.15</t>
  </si>
  <si>
    <t xml:space="preserve">комплек пробоподготовки темос-экспресс</t>
  </si>
  <si>
    <t xml:space="preserve">визульный</t>
  </si>
  <si>
    <t xml:space="preserve">органалептический</t>
  </si>
  <si>
    <t xml:space="preserve">Оборудование учебно-лабораторное (Многопрофильный анализатор рН метрии) инв. № 380596516</t>
  </si>
  <si>
    <t xml:space="preserve">Аквадистиллятор электрический АЭ-25 МО инв. № 135001101</t>
  </si>
  <si>
    <t xml:space="preserve">Весы электронные лабораторные AR 2140 инв. № 135001291 </t>
  </si>
  <si>
    <t xml:space="preserve">Термостат электрический суховоздушный ТС-1/80 инв. № 0135001375</t>
  </si>
  <si>
    <t xml:space="preserve">Рефрактометр ИРФ-454 инв. № 133001293</t>
  </si>
  <si>
    <t xml:space="preserve">Термостат электрический суховоздушный ТС-1/80 инв. № 135001375</t>
  </si>
  <si>
    <t xml:space="preserve">Весы электронные лабораторные BL-620S инв. № 0135013780</t>
  </si>
  <si>
    <t xml:space="preserve">Низкотемпературная лабораторная электропечь SNOL 58/350                                                            инв. № 380594667</t>
  </si>
  <si>
    <t xml:space="preserve">Фотометр фотоэлектрический КФК-3              инв. № 380594668 </t>
  </si>
  <si>
    <t xml:space="preserve">Газовый хроматограф «Agilent 6850», инв. № 134001359 </t>
  </si>
  <si>
    <t xml:space="preserve">Система очитки воды MicroPure UV/UF инв. № 380595220</t>
  </si>
  <si>
    <t xml:space="preserve">Аквадистиллятор электрический АЭ-25 МО инв. № 1350011001</t>
  </si>
  <si>
    <t xml:space="preserve">150</t>
  </si>
  <si>
    <t xml:space="preserve">Аквадистиллятор электрический АЭ-25 МО инв. № 0130011001</t>
  </si>
  <si>
    <t xml:space="preserve">Электрическая плитка</t>
  </si>
  <si>
    <t xml:space="preserve">Баня водяная</t>
  </si>
  <si>
    <t xml:space="preserve">Сушильный шкаф СЭШ-3</t>
  </si>
  <si>
    <t xml:space="preserve">КФК</t>
  </si>
  <si>
    <t xml:space="preserve">Муфельная печь (ЭКПС-10)</t>
  </si>
  <si>
    <t xml:space="preserve">Центрифуга</t>
  </si>
  <si>
    <t xml:space="preserve">15.11</t>
  </si>
  <si>
    <t xml:space="preserve">Термостат</t>
  </si>
  <si>
    <t xml:space="preserve">Минотавр</t>
  </si>
  <si>
    <t xml:space="preserve">Шкаф сушильный </t>
  </si>
  <si>
    <t xml:space="preserve">Мешалка магнитная</t>
  </si>
  <si>
    <t xml:space="preserve">1.533</t>
  </si>
  <si>
    <t xml:space="preserve">1.534</t>
  </si>
  <si>
    <t xml:space="preserve">Баня водяня</t>
  </si>
  <si>
    <t xml:space="preserve">рефрактометр ИРФ</t>
  </si>
  <si>
    <t xml:space="preserve">рефроктометр</t>
  </si>
  <si>
    <t xml:space="preserve">1.6.23.</t>
  </si>
  <si>
    <t xml:space="preserve"> Определение свинца </t>
  </si>
  <si>
    <t xml:space="preserve"> Определение ртути</t>
  </si>
  <si>
    <t xml:space="preserve">хроматографии« Waters»</t>
  </si>
  <si>
    <t xml:space="preserve">хроматография</t>
  </si>
  <si>
    <t xml:space="preserve">рефрактометр</t>
  </si>
  <si>
    <t xml:space="preserve">Электро мельноца</t>
  </si>
  <si>
    <t xml:space="preserve">Спектрофотометр</t>
  </si>
  <si>
    <t xml:space="preserve">Колонка хроматографическая</t>
  </si>
  <si>
    <t xml:space="preserve">Холодильник бытовой</t>
  </si>
  <si>
    <t xml:space="preserve">Магнитная мешалка</t>
  </si>
  <si>
    <t xml:space="preserve"> Зерно (семена) мукомольно-крупяные и хлебобулочные изделия </t>
  </si>
  <si>
    <t xml:space="preserve">вытяжной шкаф</t>
  </si>
  <si>
    <t xml:space="preserve">хроматограф «Waters»</t>
  </si>
  <si>
    <t xml:space="preserve">1.8.17.</t>
  </si>
  <si>
    <t xml:space="preserve">хроматограф)</t>
  </si>
  <si>
    <t xml:space="preserve">1.8.20.</t>
  </si>
  <si>
    <t xml:space="preserve">1.8.23.</t>
  </si>
  <si>
    <t xml:space="preserve">Весы аналитические</t>
  </si>
  <si>
    <t xml:space="preserve">хроматограф</t>
  </si>
  <si>
    <t xml:space="preserve">йод (при йодировании) титриметрический</t>
  </si>
  <si>
    <t xml:space="preserve">Весы аналитические </t>
  </si>
  <si>
    <t xml:space="preserve">прибор журавлева</t>
  </si>
  <si>
    <t xml:space="preserve">1.9.1.</t>
  </si>
  <si>
    <t xml:space="preserve">19.6</t>
  </si>
  <si>
    <t xml:space="preserve"> МЕД натуральный</t>
  </si>
  <si>
    <t xml:space="preserve">1.10.4.</t>
  </si>
  <si>
    <t xml:space="preserve">Плодоовощная продукция, консервы овощные, фруктовые, ягодные и грибные</t>
  </si>
  <si>
    <t xml:space="preserve">1.11.4.</t>
  </si>
  <si>
    <t xml:space="preserve">1.11.5.</t>
  </si>
  <si>
    <t xml:space="preserve">1.11.13.</t>
  </si>
  <si>
    <t xml:space="preserve">Шкаф сушильный</t>
  </si>
  <si>
    <t xml:space="preserve"> Напитки, алкогольная и безалкогольная продукция </t>
  </si>
  <si>
    <t xml:space="preserve">Газовый хроматограф</t>
  </si>
  <si>
    <t xml:space="preserve">Шкаф сушельный</t>
  </si>
  <si>
    <t xml:space="preserve">1.16.26</t>
  </si>
  <si>
    <t xml:space="preserve"> манометрический</t>
  </si>
  <si>
    <t xml:space="preserve">1.13.34.</t>
  </si>
  <si>
    <t xml:space="preserve"> Соль пищевая </t>
  </si>
  <si>
    <t xml:space="preserve">1.14.11.</t>
  </si>
  <si>
    <t xml:space="preserve">1.14.16.</t>
  </si>
  <si>
    <t xml:space="preserve">  Чай черный, зеленый </t>
  </si>
  <si>
    <t xml:space="preserve">1.15.8.</t>
  </si>
  <si>
    <t xml:space="preserve">1.15.14.</t>
  </si>
  <si>
    <t xml:space="preserve">1.15.16.</t>
  </si>
  <si>
    <t xml:space="preserve">визуально</t>
  </si>
  <si>
    <t xml:space="preserve">ситовой</t>
  </si>
  <si>
    <t xml:space="preserve">1.16.5.</t>
  </si>
  <si>
    <t xml:space="preserve">рН-метр</t>
  </si>
  <si>
    <t xml:space="preserve">1.16.6.</t>
  </si>
  <si>
    <t xml:space="preserve">1.16.7.</t>
  </si>
  <si>
    <t xml:space="preserve">Шкаф сушилный</t>
  </si>
  <si>
    <t xml:space="preserve">1.16.10.</t>
  </si>
  <si>
    <t xml:space="preserve">1.16.11.</t>
  </si>
  <si>
    <t xml:space="preserve">1.16.14.</t>
  </si>
  <si>
    <t xml:space="preserve"> Какао, какао порошок </t>
  </si>
  <si>
    <t xml:space="preserve">1.17.4.</t>
  </si>
  <si>
    <t xml:space="preserve">1.17.9.</t>
  </si>
  <si>
    <t xml:space="preserve">Специи и пряности</t>
  </si>
  <si>
    <t xml:space="preserve">1.18.5.</t>
  </si>
  <si>
    <t xml:space="preserve">1.18.6.</t>
  </si>
  <si>
    <t xml:space="preserve">1.18.8.</t>
  </si>
  <si>
    <t xml:space="preserve">Жира по Герберу</t>
  </si>
  <si>
    <t xml:space="preserve">метеометр МЭС-200 инв№380594344</t>
  </si>
  <si>
    <t xml:space="preserve">Люксметр "TESTO-545" инв №380595451</t>
  </si>
  <si>
    <t xml:space="preserve">Аспиратор М-822№</t>
  </si>
  <si>
    <t xml:space="preserve">Весы аналитические №135000991</t>
  </si>
  <si>
    <t xml:space="preserve">Определение вредного вещества (одно исследования) экспресс методом в воздухе рабочей зоне </t>
  </si>
  <si>
    <t xml:space="preserve">Аспиратор силфонный </t>
  </si>
  <si>
    <t xml:space="preserve">Газоанализатор м/г аммиак №134001327</t>
  </si>
  <si>
    <t xml:space="preserve">Газоанализатор Каскад-Н 511,1 № 134001474</t>
  </si>
  <si>
    <t xml:space="preserve">Газоанализатор озона №134001380</t>
  </si>
  <si>
    <t xml:space="preserve"> КФК- 4 №380594668</t>
  </si>
  <si>
    <t xml:space="preserve">Аспиратор М-822</t>
  </si>
  <si>
    <t xml:space="preserve">Определение цинка  </t>
  </si>
  <si>
    <t xml:space="preserve"> КФК- 4</t>
  </si>
  <si>
    <t xml:space="preserve">1.23.8.</t>
  </si>
  <si>
    <t xml:space="preserve">Аспиратор ПУ инв№134001376</t>
  </si>
  <si>
    <t xml:space="preserve">Определение массовой концентрации диоксид серы  в  атмосферном воздухе населенных мест </t>
  </si>
  <si>
    <t xml:space="preserve">Определение массовой концентрации фториды твердые в  атмосферном воздухе населенных мест  </t>
  </si>
  <si>
    <t xml:space="preserve">Определение массовой концентрации железо,кадмий,кобальт,магний,марганец,медь,никель,свинец,хром,цинк   в  атмосферном воздухе населенных мест   </t>
  </si>
  <si>
    <t xml:space="preserve">Определение массовой концентрации алюминия  в атмосферном воздухе населенных мест </t>
  </si>
  <si>
    <t xml:space="preserve">1.25.</t>
  </si>
  <si>
    <t xml:space="preserve">магнитная мешалка MSH-300 инв.№ 135001653</t>
  </si>
  <si>
    <t xml:space="preserve">ультразвуковая ванна Elma инв.№ 135001550</t>
  </si>
  <si>
    <t xml:space="preserve">ротационный испаритель IKA инв.№ 135001294</t>
  </si>
  <si>
    <t xml:space="preserve">Холодильник бытовой LG инв.№ 138001240</t>
  </si>
  <si>
    <t xml:space="preserve">Хроматограф газовый Кристаллюкс 4000М  инвентарный №  135001066</t>
  </si>
  <si>
    <t xml:space="preserve">бидистилятор инв.№ 380594669</t>
  </si>
  <si>
    <t xml:space="preserve">Хромато-масс-спектрометр Agilent 7890A  инвентарный № 380594391</t>
  </si>
  <si>
    <t xml:space="preserve">Хроматограф жидкостный Agilent 1260 ДМД инвентарный № 380594390</t>
  </si>
  <si>
    <t xml:space="preserve">Хроматограф жидкостный Agilent 1260 УФ инвентарный № 380594392</t>
  </si>
  <si>
    <t xml:space="preserve">Определение производных карбоновых кислот</t>
  </si>
  <si>
    <t xml:space="preserve">Иономер И-160МИ</t>
  </si>
  <si>
    <t xml:space="preserve">НитратомерИТ-1201</t>
  </si>
  <si>
    <t xml:space="preserve">Определение производных  карбаминовых кислот</t>
  </si>
  <si>
    <t xml:space="preserve">Определение группы 2,4-Д </t>
  </si>
  <si>
    <t xml:space="preserve">Определение  пиретроидов</t>
  </si>
  <si>
    <t xml:space="preserve">1.41</t>
  </si>
  <si>
    <t xml:space="preserve">магнитная мешалка IKA</t>
  </si>
  <si>
    <t xml:space="preserve">весы Shimadzu EL</t>
  </si>
  <si>
    <t xml:space="preserve">ультразвуковая ванна</t>
  </si>
  <si>
    <t xml:space="preserve">1.55.29</t>
  </si>
  <si>
    <t xml:space="preserve">измеритель уровней электромагнитных излучений П3-31 (133001452)</t>
  </si>
  <si>
    <t xml:space="preserve">измеритель уровней электромагнитных излучений П3-41</t>
  </si>
  <si>
    <t xml:space="preserve">измеритель напряженности поля малогабаритный микропроцессорный ИПМ-101М (133001344)</t>
  </si>
  <si>
    <t xml:space="preserve">измеритель напряженности поля промышленной частоты П3-50 ( )</t>
  </si>
  <si>
    <t xml:space="preserve">измеритель параметров электрического и магнитного полей ВЕ-МЕТР-АТ-002 (133001195)</t>
  </si>
  <si>
    <t xml:space="preserve">измеритель напряженности электростатического поля СТ-01 (133001453)</t>
  </si>
  <si>
    <t xml:space="preserve">радиометры ультрафиолетовый УФ-А "Аргус-04", УФ-В "Аргус-05", УФ-С "Аргус-06"  </t>
  </si>
  <si>
    <t xml:space="preserve">радиометр неселективный "Аргус-03"</t>
  </si>
  <si>
    <t xml:space="preserve">дозиметр для контроля лазерного излучения "Ладин"</t>
  </si>
  <si>
    <t xml:space="preserve">шумомер-анализатор спектров "Октава-101А", шумомер интегрирующий-виброметр "ШИ-01В" (135001568)</t>
  </si>
  <si>
    <t xml:space="preserve">шумомер-анализатор спектров "Октава-101А", шумомер интегрирующий-виброметр "ШИ-01В" (134001395)</t>
  </si>
  <si>
    <t xml:space="preserve">шумомер-анализатор спектров "Октава-101А", шумомер интегрирующий-виброметр "ШИ-01В"</t>
  </si>
  <si>
    <t xml:space="preserve">шумомер-анализатор спектров виброметр портативный "Октава-110А"</t>
  </si>
  <si>
    <t xml:space="preserve">измеритель общей и локальной вибрации портативный "Октава-110/101Вм" (135001566)</t>
  </si>
  <si>
    <t xml:space="preserve">измеритель общей и локальной вибрации портативный "Октава-110/101Вм"</t>
  </si>
  <si>
    <t xml:space="preserve">счетчик аэроионов малогабаритный МАС-01 (135001566)</t>
  </si>
  <si>
    <t xml:space="preserve">Компьютерное оборудование</t>
  </si>
  <si>
    <t xml:space="preserve">ПОЛИМЕРЫ</t>
  </si>
  <si>
    <t xml:space="preserve">разрывная машина</t>
  </si>
  <si>
    <t xml:space="preserve">спектрофотометр</t>
  </si>
  <si>
    <t xml:space="preserve"> СТА (инв 133000001)</t>
  </si>
  <si>
    <t xml:space="preserve"> СТА</t>
  </si>
  <si>
    <t xml:space="preserve">Определение солей тяжелых металлов  (кадмий)</t>
  </si>
  <si>
    <t xml:space="preserve">спектрофотометр ( инв 135001420)</t>
  </si>
  <si>
    <t xml:space="preserve">2.1.13.</t>
  </si>
  <si>
    <t xml:space="preserve">газожидкостной хроматограф ( 013501359)</t>
  </si>
  <si>
    <t xml:space="preserve">газожидкостной хроматограф</t>
  </si>
  <si>
    <t xml:space="preserve">АТ-05</t>
  </si>
  <si>
    <t xml:space="preserve">Определение  дифенилгуанидина </t>
  </si>
  <si>
    <t xml:space="preserve">2.2.24.</t>
  </si>
  <si>
    <t xml:space="preserve">токсикологический</t>
  </si>
  <si>
    <t xml:space="preserve">2.4.15.</t>
  </si>
  <si>
    <t xml:space="preserve">Оценка ингаляционной опасности</t>
  </si>
  <si>
    <t xml:space="preserve"> Определение хлористый винила</t>
  </si>
  <si>
    <t xml:space="preserve">Оценка иналяционной опаности </t>
  </si>
  <si>
    <t xml:space="preserve">разрывная машинка</t>
  </si>
  <si>
    <t xml:space="preserve">хромотограф Криста Люкс -4000</t>
  </si>
  <si>
    <t xml:space="preserve">Дозиметер радиометр ДКС96 </t>
  </si>
  <si>
    <t xml:space="preserve">Рамон-Радон-02</t>
  </si>
  <si>
    <t xml:space="preserve">дозиметр ренгеновского излучения клинический ДРК -1</t>
  </si>
  <si>
    <t xml:space="preserve">Альфа-Бета радиометр УМФ-2000</t>
  </si>
  <si>
    <t xml:space="preserve">образцовые  меры для УМФ-2000</t>
  </si>
  <si>
    <t xml:space="preserve">Пробоотборник Эпрам</t>
  </si>
  <si>
    <t xml:space="preserve">весы</t>
  </si>
  <si>
    <t xml:space="preserve">Муфельная печь</t>
  </si>
  <si>
    <t xml:space="preserve">плита электрическая</t>
  </si>
  <si>
    <t xml:space="preserve">Шкаф сушильный СНОЛ</t>
  </si>
  <si>
    <t xml:space="preserve">Определение  цезия - 137  (радиохимический метод)</t>
  </si>
  <si>
    <t xml:space="preserve">дистелятор</t>
  </si>
  <si>
    <t xml:space="preserve">3.5.8.</t>
  </si>
  <si>
    <t xml:space="preserve">Гамма спектрометр "CANBERRA", </t>
  </si>
  <si>
    <t xml:space="preserve">Щековая дробилка ЩД -6</t>
  </si>
  <si>
    <t xml:space="preserve">Гамма спектрометр , "Мультирад"</t>
  </si>
  <si>
    <t xml:space="preserve">Мультирад</t>
  </si>
  <si>
    <t xml:space="preserve">муфельная печь</t>
  </si>
  <si>
    <t xml:space="preserve">Фотоколориметр</t>
  </si>
  <si>
    <t xml:space="preserve">Определение содерджания: Урана 238 (фотоколориметрическим методом )</t>
  </si>
  <si>
    <t xml:space="preserve">диски из нержавеющей стали</t>
  </si>
  <si>
    <t xml:space="preserve">3.10.1.</t>
  </si>
  <si>
    <t xml:space="preserve">Дозиметр  термолюминесцентный ДВГ-02, </t>
  </si>
  <si>
    <t xml:space="preserve">индивидуальный дозиметр</t>
  </si>
  <si>
    <t xml:space="preserve">2015</t>
  </si>
  <si>
    <t xml:space="preserve">8110</t>
  </si>
  <si>
    <t xml:space="preserve">Электропарамагнитный резонанс ЭПР</t>
  </si>
  <si>
    <t xml:space="preserve">термостат</t>
  </si>
  <si>
    <t xml:space="preserve">сухожаровой шкаф</t>
  </si>
  <si>
    <t xml:space="preserve">дистиллятор</t>
  </si>
  <si>
    <t xml:space="preserve">рНметр</t>
  </si>
  <si>
    <t xml:space="preserve">автоклав</t>
  </si>
  <si>
    <t xml:space="preserve">эл.весы</t>
  </si>
  <si>
    <t xml:space="preserve">вакуумный прибор</t>
  </si>
  <si>
    <t xml:space="preserve">микроскоп</t>
  </si>
  <si>
    <t xml:space="preserve">магнитная мешалка с подогревом</t>
  </si>
  <si>
    <t xml:space="preserve">гомогенизатор</t>
  </si>
  <si>
    <t xml:space="preserve">термостат 37°С</t>
  </si>
  <si>
    <t xml:space="preserve">термостат 43°С</t>
  </si>
  <si>
    <t xml:space="preserve">водяная баня</t>
  </si>
  <si>
    <t xml:space="preserve">термостат 25°С</t>
  </si>
  <si>
    <t xml:space="preserve">термостат 30°С</t>
  </si>
  <si>
    <t xml:space="preserve">термостат 55°С</t>
  </si>
  <si>
    <t xml:space="preserve">центрифуга</t>
  </si>
  <si>
    <t xml:space="preserve">клетка с поилкой 
д/мышей</t>
  </si>
  <si>
    <t xml:space="preserve">анаэростат</t>
  </si>
  <si>
    <t xml:space="preserve">Определение генетически-модифицированных организмов (ГМО) растительного проихождения в продуктах питания и пищевом сырье методом полимеразно-цепной реакции в режиме реального времени (качественный).</t>
  </si>
  <si>
    <t xml:space="preserve">ламинарный бокс</t>
  </si>
  <si>
    <t xml:space="preserve">микроцентрифуга</t>
  </si>
  <si>
    <t xml:space="preserve">вортекс</t>
  </si>
  <si>
    <t xml:space="preserve">термостат с т/блок</t>
  </si>
  <si>
    <t xml:space="preserve">амплификатор </t>
  </si>
  <si>
    <t xml:space="preserve">пипеточный дозатор (9 шт)</t>
  </si>
  <si>
    <t xml:space="preserve">морозильная камера</t>
  </si>
  <si>
    <t xml:space="preserve">Прибор для проведения полимеразной целной реакции в режиме реального времени  CFX96 TOUCH</t>
  </si>
  <si>
    <t xml:space="preserve">Определение генетически-модифицированных организмов (ГМО) растительного проихождения в продуктах питания и пищевом сырье методом полимеразно-цепной реакции в режиме реального времени (количественный).</t>
  </si>
  <si>
    <t xml:space="preserve">термостат </t>
  </si>
  <si>
    <t xml:space="preserve">пробоотборник возд.</t>
  </si>
  <si>
    <t xml:space="preserve">термостат, 25°С</t>
  </si>
  <si>
    <t xml:space="preserve">термостат, 37°С</t>
  </si>
  <si>
    <t xml:space="preserve">термостат, 30°С</t>
  </si>
  <si>
    <t xml:space="preserve">денситометр</t>
  </si>
  <si>
    <t xml:space="preserve">стереомикроскоп</t>
  </si>
  <si>
    <t xml:space="preserve">Определение антибиотикорезистентности выделенных микроорганизмов диско-диффузионный метод</t>
  </si>
  <si>
    <t xml:space="preserve">дозатор</t>
  </si>
  <si>
    <r>
      <rPr>
        <sz val="11"/>
        <rFont val="Times New Roman"/>
        <family val="1"/>
        <charset val="204"/>
      </rPr>
      <t xml:space="preserve">Исследование биоматериала на присутствие ДНК патогенных микроорганизмов качественный метод </t>
    </r>
    <r>
      <rPr>
        <sz val="11"/>
        <color rgb="FF00B050"/>
        <rFont val="Times New Roman"/>
        <family val="1"/>
        <charset val="204"/>
      </rPr>
      <t xml:space="preserve"> </t>
    </r>
    <r>
      <rPr>
        <sz val="11"/>
        <rFont val="Times New Roman"/>
        <family val="1"/>
        <charset val="204"/>
      </rPr>
      <t xml:space="preserve">ПЦР реал-тайм </t>
    </r>
  </si>
  <si>
    <t xml:space="preserve">пипеточный дозатор</t>
  </si>
  <si>
    <t xml:space="preserve">амплификатор ПЦР</t>
  </si>
  <si>
    <t xml:space="preserve">4.12.1.</t>
  </si>
  <si>
    <t xml:space="preserve">ДОПпрейскурант</t>
  </si>
  <si>
    <t xml:space="preserve">Vitek 2 Автоматический микробиологический анализатор</t>
  </si>
  <si>
    <t xml:space="preserve">Термостат КВ-115</t>
  </si>
  <si>
    <t xml:space="preserve">Автоклав ВК-75</t>
  </si>
  <si>
    <t xml:space="preserve">Масс-спектрометр Maldi Toff</t>
  </si>
  <si>
    <t xml:space="preserve">Аппаратный комплекс "Leica"</t>
  </si>
  <si>
    <t xml:space="preserve">центрифуга СМ-6М</t>
  </si>
  <si>
    <t xml:space="preserve">Система для сбора и обработки паразитов в образцах кала</t>
  </si>
  <si>
    <t xml:space="preserve">Микроскоп  "Leicа" DM медицинский лабораторный</t>
  </si>
  <si>
    <t xml:space="preserve">Стереоскопический микроскоп "Leica"</t>
  </si>
  <si>
    <t xml:space="preserve">Подтверждение яиц гельминтов и цист патогенных простейших в макропрепаратах</t>
  </si>
  <si>
    <t xml:space="preserve">центрифуга ОС-6М</t>
  </si>
  <si>
    <t xml:space="preserve">Микропланшетный фотометр /вошер</t>
  </si>
  <si>
    <t xml:space="preserve">Аппарат фильтрационный АФ-142</t>
  </si>
  <si>
    <t xml:space="preserve">трихинеллоскоп</t>
  </si>
  <si>
    <t xml:space="preserve">ББШ (шкаф биол. безопасности)</t>
  </si>
  <si>
    <t xml:space="preserve">миницентрифуга</t>
  </si>
  <si>
    <t xml:space="preserve">настольный термостат</t>
  </si>
  <si>
    <t xml:space="preserve">термоциклер</t>
  </si>
  <si>
    <t xml:space="preserve">медицинский отсос</t>
  </si>
  <si>
    <t xml:space="preserve">ПЦР бокс</t>
  </si>
  <si>
    <t xml:space="preserve">Rotor Gene 6000</t>
  </si>
  <si>
    <t xml:space="preserve">принтер (цветной)</t>
  </si>
  <si>
    <t xml:space="preserve">рефрижератор -70ºС</t>
  </si>
  <si>
    <t xml:space="preserve">термостат "МЕММЕРТ"</t>
  </si>
  <si>
    <t xml:space="preserve">рефрижератор -20ºС</t>
  </si>
  <si>
    <t xml:space="preserve">Обнаружение РНК ОРВИ-скрин в мазках из зева и носа, секционном материале методом ПЦР</t>
  </si>
  <si>
    <t xml:space="preserve">Исследования на  энтеровирусные инфекции. Определение возбудителя вирусологическим методом положительный результат </t>
  </si>
  <si>
    <t xml:space="preserve">бидистиллятор</t>
  </si>
  <si>
    <t xml:space="preserve">термостат с подачей СО2</t>
  </si>
  <si>
    <t xml:space="preserve">микроскоп бинокулярный</t>
  </si>
  <si>
    <t xml:space="preserve">центрифуга на 6 тыс.оборотов</t>
  </si>
  <si>
    <t xml:space="preserve">центрифуга рефрижераторная</t>
  </si>
  <si>
    <t xml:space="preserve">морозильник -70°</t>
  </si>
  <si>
    <t xml:space="preserve">весы 0-100 гр</t>
  </si>
  <si>
    <t xml:space="preserve">магнит. Мешалка с магнитом</t>
  </si>
  <si>
    <t xml:space="preserve">Бидистиллятор</t>
  </si>
  <si>
    <t xml:space="preserve">Термошейкер</t>
  </si>
  <si>
    <t xml:space="preserve">Вошер</t>
  </si>
  <si>
    <t xml:space="preserve">Риддер</t>
  </si>
  <si>
    <t xml:space="preserve">Холодильник</t>
  </si>
  <si>
    <t xml:space="preserve">Обнаружение антигена вируса гепатита А в фекалиях, пробах окружающей среды (вода сточная, питьевая, открытых водоемов, плавательных бассейнов) методом  ИФА</t>
  </si>
  <si>
    <t xml:space="preserve">Определение генотипов A, B, C и D вируса гепатита B методом ПЦР</t>
  </si>
  <si>
    <t xml:space="preserve">Обнаружение РНК вируса гепатита Д (качественный анализ) Методом  ПЦР</t>
  </si>
  <si>
    <t xml:space="preserve">Обнаружение РНК вируса гепатита Д (количественный анализ) Методом  ПЦР</t>
  </si>
  <si>
    <t xml:space="preserve">Выявления  антител к вирусу гепатита С</t>
  </si>
  <si>
    <t xml:space="preserve">Определение генотипа вируса гепатита C (1a, 1b, 2, 3a,4) Методом ПЦР</t>
  </si>
  <si>
    <t xml:space="preserve">7.1.1.</t>
  </si>
  <si>
    <t xml:space="preserve">Исследование материала на холеру (бактериологический метод)</t>
  </si>
  <si>
    <t xml:space="preserve">термостат на 37°</t>
  </si>
  <si>
    <t xml:space="preserve">микроскоп </t>
  </si>
  <si>
    <t xml:space="preserve">холодильник LG</t>
  </si>
  <si>
    <t xml:space="preserve">Исследование материала на холеру (ориентировочная реакция агглютинации (ОРА)</t>
  </si>
  <si>
    <t xml:space="preserve">дозатор ( набор)</t>
  </si>
  <si>
    <t xml:space="preserve">инактиватор на 56º (термостат бактр.ВD 53)</t>
  </si>
  <si>
    <t xml:space="preserve">Ламинарный шкаф</t>
  </si>
  <si>
    <t xml:space="preserve">ПЦР-оборудование</t>
  </si>
  <si>
    <t xml:space="preserve">7.2.1.</t>
  </si>
  <si>
    <t xml:space="preserve">ШББ</t>
  </si>
  <si>
    <t xml:space="preserve">Микроскоп ЛЮМ </t>
  </si>
  <si>
    <t xml:space="preserve">Микроскоп </t>
  </si>
  <si>
    <t xml:space="preserve">Исследование материала на сибирскую язву (биологический метод)</t>
  </si>
  <si>
    <t xml:space="preserve">СО2 термостат </t>
  </si>
  <si>
    <t xml:space="preserve">микроскоп   </t>
  </si>
  <si>
    <t xml:space="preserve">Исследование материала на бруцеллез (серологический (р. Хеддльсона, р. Райта)</t>
  </si>
  <si>
    <t xml:space="preserve">холодильник</t>
  </si>
  <si>
    <t xml:space="preserve">Исследование материала на бруцеллез РПГА</t>
  </si>
  <si>
    <t xml:space="preserve">7.3.9.</t>
  </si>
  <si>
    <t xml:space="preserve">ИФА-оборудование </t>
  </si>
  <si>
    <t xml:space="preserve">Исследование материала на туляремию (ИФА)</t>
  </si>
  <si>
    <t xml:space="preserve">7.6.1.</t>
  </si>
  <si>
    <t xml:space="preserve">Исследование материала  на иерсиниоз (ИФА)</t>
  </si>
  <si>
    <t xml:space="preserve">Исследование материала на листериоз  (ИФА)</t>
  </si>
  <si>
    <t xml:space="preserve">Исследование материала на лептоспироз (ИФА)</t>
  </si>
  <si>
    <t xml:space="preserve">Эпидемический сыпной тиф(болезнь Брилла)</t>
  </si>
  <si>
    <t xml:space="preserve">Исследование материала на клещевой сыпной тиф (РСК)</t>
  </si>
  <si>
    <t xml:space="preserve">Исследование материала на Ку-лихорадку (серологический метод)</t>
  </si>
  <si>
    <t xml:space="preserve">Другие реккетсиозы</t>
  </si>
  <si>
    <t xml:space="preserve">Легтонеллез</t>
  </si>
  <si>
    <t xml:space="preserve">Исследование материала на легионеллез (ПЦР метод)</t>
  </si>
  <si>
    <t xml:space="preserve">Исследование материала на ККГЛ (метод полимеразной цепной реакции)</t>
  </si>
  <si>
    <t xml:space="preserve"> Исследование материала на ГЛПС (метод полимеразной цепной реакции)</t>
  </si>
  <si>
    <t xml:space="preserve"> Исследование материала на ГЛПС (ИФА)</t>
  </si>
  <si>
    <t xml:space="preserve">Исследование материала на ЛНЭ (метод полимеразной цепной реакции)</t>
  </si>
  <si>
    <t xml:space="preserve">Исследование материала на ЛНЭ (ИФА)</t>
  </si>
  <si>
    <t xml:space="preserve">7.26.1.</t>
  </si>
  <si>
    <t xml:space="preserve">7.26.2.</t>
  </si>
  <si>
    <t xml:space="preserve">7.26.3.</t>
  </si>
  <si>
    <t xml:space="preserve">7.26.4.</t>
  </si>
  <si>
    <t xml:space="preserve">7.26.5.</t>
  </si>
  <si>
    <t xml:space="preserve">Определение ростовых, дифференцирующих и ингибирующих свойств пиатетльных сред (бактериологический метод)</t>
  </si>
  <si>
    <t xml:space="preserve">Монитор инвентарный 380594610</t>
  </si>
  <si>
    <t xml:space="preserve">Системный блог инвентарный 380594549</t>
  </si>
  <si>
    <t xml:space="preserve">МФУ инвентарный 380595234</t>
  </si>
  <si>
    <t xml:space="preserve">компьютер</t>
  </si>
  <si>
    <t xml:space="preserve">Ксерокс</t>
  </si>
  <si>
    <t xml:space="preserve">сканер</t>
  </si>
  <si>
    <t xml:space="preserve">Дезинфекци. Дератизация. Дезинсекция</t>
  </si>
  <si>
    <t xml:space="preserve">халат</t>
  </si>
  <si>
    <t xml:space="preserve">респираторы</t>
  </si>
  <si>
    <t xml:space="preserve">сапоги</t>
  </si>
  <si>
    <t xml:space="preserve">ранцевые опрыскователь</t>
  </si>
  <si>
    <t xml:space="preserve">опрыскователь ручной</t>
  </si>
  <si>
    <t xml:space="preserve">ручной дустор</t>
  </si>
  <si>
    <t xml:space="preserve">Сканер</t>
  </si>
  <si>
    <t xml:space="preserve">Ламинарный бокс</t>
  </si>
  <si>
    <t xml:space="preserve">Вортекс</t>
  </si>
  <si>
    <t xml:space="preserve">Термостат с т/блок</t>
  </si>
  <si>
    <t xml:space="preserve">Амплификатор </t>
  </si>
  <si>
    <t xml:space="preserve">Бактерицид.лампа</t>
  </si>
  <si>
    <t xml:space="preserve">Печь СВЧ</t>
  </si>
  <si>
    <t xml:space="preserve">Эл.весы</t>
  </si>
  <si>
    <t xml:space="preserve">Пипеточный дозатор</t>
  </si>
  <si>
    <t xml:space="preserve">Морозильная камера</t>
  </si>
  <si>
    <t xml:space="preserve">Холодильник LG</t>
  </si>
  <si>
    <t xml:space="preserve">Дозатор ( набор)</t>
  </si>
  <si>
    <t xml:space="preserve">ПЦР-оборудование (комплект), в т.ч:</t>
  </si>
  <si>
    <t xml:space="preserve">Весы</t>
  </si>
  <si>
    <t xml:space="preserve">Измеритель уровней электромагнитных излучений ПЗ-41</t>
  </si>
  <si>
    <t xml:space="preserve">Измеритель напряженности поля промышленной частоты ПЗ-50</t>
  </si>
  <si>
    <t xml:space="preserve">Измеритель напряженности электростатического поля СТ-01 </t>
  </si>
  <si>
    <t xml:space="preserve">Интерцептор</t>
  </si>
  <si>
    <t xml:space="preserve">Дозиметр ренгеновского излучения клинический ДРК -1</t>
  </si>
  <si>
    <t xml:space="preserve">РК СОЛО-01,    </t>
  </si>
  <si>
    <t xml:space="preserve">Плита электрическая</t>
  </si>
  <si>
    <t xml:space="preserve">Образцовые  меры для УМФ-2000</t>
  </si>
  <si>
    <t xml:space="preserve">Дистелятор</t>
  </si>
  <si>
    <t xml:space="preserve">Диски из нержавеющей стали</t>
  </si>
  <si>
    <t xml:space="preserve">ИФА оборудование в комплекте</t>
  </si>
  <si>
    <t xml:space="preserve">Проектор</t>
  </si>
  <si>
    <t xml:space="preserve">ПЦР оборудование в комплекте</t>
  </si>
  <si>
    <t xml:space="preserve">Рефрижиратор</t>
  </si>
  <si>
    <t xml:space="preserve">Микроскоп</t>
  </si>
  <si>
    <t xml:space="preserve">Термостат </t>
  </si>
  <si>
    <t xml:space="preserve">Рефрижератор</t>
  </si>
  <si>
    <t xml:space="preserve">Термостат СО2</t>
  </si>
  <si>
    <t xml:space="preserve">Ультразвуковая ванна</t>
  </si>
  <si>
    <t xml:space="preserve">Ротационный испаритель ИР-1М2</t>
  </si>
  <si>
    <t xml:space="preserve">Хром.система ВЭЖХ Уотерс</t>
  </si>
  <si>
    <t xml:space="preserve">Магитная мешалка IKA</t>
  </si>
  <si>
    <t xml:space="preserve">Весы Shimadzu EL</t>
  </si>
  <si>
    <t xml:space="preserve">Хромотограф Криста Люкс-4000</t>
  </si>
  <si>
    <t xml:space="preserve">Клетки в количестве 3 штук</t>
  </si>
  <si>
    <t xml:space="preserve">Кондиционер </t>
  </si>
  <si>
    <t xml:space="preserve">Обогреватель маслянный </t>
  </si>
  <si>
    <t xml:space="preserve">Приложение №7</t>
  </si>
  <si>
    <t xml:space="preserve">к приказу Министерства здравоохранения РК</t>
  </si>
  <si>
    <t xml:space="preserve">Согласовано:</t>
  </si>
  <si>
    <t xml:space="preserve">Форма 3</t>
  </si>
  <si>
    <t xml:space="preserve">__________________
руководитель структурного подразделения уполномоченного органа в области охраны здоровья населения)</t>
  </si>
  <si>
    <t xml:space="preserve">Филиал  "Научно-практический центр санитарно-эпидемиологической экспертизы и мониторинга" РГП на ПХВ "НЦОЗ" МЗ РК                                                                                                                    </t>
  </si>
  <si>
    <t xml:space="preserve">Проведение санитарно-химических, бактериологических, паразитологических, вирусологических, радиологических и токсикологических, особо-опасных лабораторных исследований, замеры электромагнитных полей и других факторов среды обитания человека, проведение дезинфекционных и дезинсекционных мероприятий, разработка нормативно-правовых актов, разработка методических указаний, экспертиза проектных и предпроектных документов, реализация печатной продукции</t>
  </si>
  <si>
    <t xml:space="preserve">Наименование</t>
  </si>
  <si>
    <t xml:space="preserve">Ед. измерения</t>
  </si>
  <si>
    <t xml:space="preserve">Всего</t>
  </si>
  <si>
    <t xml:space="preserve">Норма времени работы (в минутах)</t>
  </si>
  <si>
    <t xml:space="preserve">в том числе: работников</t>
  </si>
  <si>
    <t xml:space="preserve">оборудования ( инженер)</t>
  </si>
  <si>
    <t xml:space="preserve">Инженер, техник-дозиметрист</t>
  </si>
  <si>
    <t xml:space="preserve">Прочие</t>
  </si>
  <si>
    <t xml:space="preserve">приказ</t>
  </si>
  <si>
    <t xml:space="preserve">длительность исследование</t>
  </si>
  <si>
    <t xml:space="preserve">Определение массовой доли поваренной соли</t>
  </si>
  <si>
    <t xml:space="preserve">анализ</t>
  </si>
  <si>
    <t xml:space="preserve">приказ № 210 от 28.08.2012 г. п.4.1</t>
  </si>
  <si>
    <t xml:space="preserve">приказ № 210 от 28.08.2012 г. п.4.2</t>
  </si>
  <si>
    <t xml:space="preserve">приказ № 210 от 28.08.2012 г. п.4.7</t>
  </si>
  <si>
    <t xml:space="preserve">приказ № 210 от 28.08.2012 г. п.4.9</t>
  </si>
  <si>
    <t xml:space="preserve">приказ № 210 от 28.08.2012 г. п.416</t>
  </si>
  <si>
    <t xml:space="preserve">приказ № 210 от 28.08.2012 г. п.4.17</t>
  </si>
  <si>
    <t xml:space="preserve">приказ № 210 от 28.08.2012 г. п.4.18</t>
  </si>
  <si>
    <t xml:space="preserve">приказ № 210 от 28.08.2012 г. п.4.19</t>
  </si>
  <si>
    <t xml:space="preserve">приказ № 210 от 28.08.2012 г. п.4.20</t>
  </si>
  <si>
    <t xml:space="preserve">приказ № 210 от 28.08.2012 г. п.4.21</t>
  </si>
  <si>
    <t xml:space="preserve">приказ № 210 от 28.08.2012 г. п.4.23</t>
  </si>
  <si>
    <t xml:space="preserve">приказ № 210 от 28.08.2012 г. п.4.24</t>
  </si>
  <si>
    <t xml:space="preserve">приказ № 210 от 28.08.2012 г. п.4.25</t>
  </si>
  <si>
    <t xml:space="preserve">приказ № 210 от 28.08.2012 г. п.4.26</t>
  </si>
  <si>
    <t xml:space="preserve">приказ № 210 от 28.08.2012 г. п.4.27</t>
  </si>
  <si>
    <t xml:space="preserve">приказ № 210 от 28.08.2012 г. п.4.36.</t>
  </si>
  <si>
    <t xml:space="preserve">приказ № 210 от 28.08.2012 г. п.4.31.33</t>
  </si>
  <si>
    <t xml:space="preserve">приказ № 210 от 28.08.2012 г. п.4.32.34.</t>
  </si>
  <si>
    <t xml:space="preserve">приказ № 210 от 28.08.2012 г. п.4.43</t>
  </si>
  <si>
    <t xml:space="preserve">приказ № 210 от 28.08.2012 г. п.4.46.</t>
  </si>
  <si>
    <t xml:space="preserve">приказ № 210 от 28.08.2012 г. п.4.49</t>
  </si>
  <si>
    <t xml:space="preserve">приказ № 210 от 28.08.2012 г. п.4.51</t>
  </si>
  <si>
    <t xml:space="preserve">приказ № 210 от 28.08.2012 г. п.4.69</t>
  </si>
  <si>
    <t xml:space="preserve">приказ № 210 от 28.08.2012 г. п.4.74</t>
  </si>
  <si>
    <t xml:space="preserve">приказ №210 п.6.1</t>
  </si>
  <si>
    <t xml:space="preserve">приказ №210 п.6.2</t>
  </si>
  <si>
    <t xml:space="preserve">приказ №210 п.6.6</t>
  </si>
  <si>
    <t xml:space="preserve">приказ №210 п.6.3</t>
  </si>
  <si>
    <t xml:space="preserve">приказ №210 п.6.4</t>
  </si>
  <si>
    <t xml:space="preserve">приказ №210 п.6.5</t>
  </si>
  <si>
    <t xml:space="preserve">приказ №210 п.6.7</t>
  </si>
  <si>
    <t xml:space="preserve">приказ №210 п.6.8</t>
  </si>
  <si>
    <t xml:space="preserve">приказ №210 п.6.9</t>
  </si>
  <si>
    <t xml:space="preserve">приказ №210 п.6.10</t>
  </si>
  <si>
    <t xml:space="preserve">приказ №210 п.6.11</t>
  </si>
  <si>
    <t xml:space="preserve">5 дня</t>
  </si>
  <si>
    <t xml:space="preserve">приказ №210 п.6.12</t>
  </si>
  <si>
    <t xml:space="preserve">приказ №210 п.6.13</t>
  </si>
  <si>
    <t xml:space="preserve">приказ №210 п.6.14</t>
  </si>
  <si>
    <t xml:space="preserve">приказ №210 п.6.15</t>
  </si>
  <si>
    <t xml:space="preserve">приказ №210 п.6.16</t>
  </si>
  <si>
    <t xml:space="preserve">приказ №210 п.6.18</t>
  </si>
  <si>
    <t xml:space="preserve">приказ №210 п.6.19</t>
  </si>
  <si>
    <t xml:space="preserve">приказ №210 п.6.20</t>
  </si>
  <si>
    <t xml:space="preserve">приказ №210 п.6.21</t>
  </si>
  <si>
    <t xml:space="preserve">приказ №210 п.6.22</t>
  </si>
  <si>
    <t xml:space="preserve">приказ №210 п.6.23</t>
  </si>
  <si>
    <t xml:space="preserve">приказ №210 п.6.24</t>
  </si>
  <si>
    <t xml:space="preserve">приказ №210 п.6.25</t>
  </si>
  <si>
    <t xml:space="preserve">приказ №210 п.6.26</t>
  </si>
  <si>
    <t xml:space="preserve">приказ №210 п.6.27</t>
  </si>
  <si>
    <t xml:space="preserve">приказ №210 п.6.28</t>
  </si>
  <si>
    <t xml:space="preserve">приказ №210 п.6.30</t>
  </si>
  <si>
    <t xml:space="preserve">приказ №210 п.6.31</t>
  </si>
  <si>
    <t xml:space="preserve">приказ №210 п.6.32</t>
  </si>
  <si>
    <t xml:space="preserve">2 дня</t>
  </si>
  <si>
    <t xml:space="preserve">приказ №210 п.6.17</t>
  </si>
  <si>
    <t xml:space="preserve">приказ №210 п.6.33</t>
  </si>
  <si>
    <t xml:space="preserve">8 дня</t>
  </si>
  <si>
    <t xml:space="preserve">приказ №210 п.6.34</t>
  </si>
  <si>
    <t xml:space="preserve">приказ №210 п.6.35</t>
  </si>
  <si>
    <t xml:space="preserve">приказ №210 п.6.36</t>
  </si>
  <si>
    <t xml:space="preserve">приказ №210 п.6.37</t>
  </si>
  <si>
    <t xml:space="preserve">приказ №210 п.6.38</t>
  </si>
  <si>
    <t xml:space="preserve">приказ №210 п.6.39</t>
  </si>
  <si>
    <t xml:space="preserve">приказ №210 п.6.40</t>
  </si>
  <si>
    <t xml:space="preserve">приказ №210 п.6.41</t>
  </si>
  <si>
    <t xml:space="preserve">приказ №210 п.6.42</t>
  </si>
  <si>
    <t xml:space="preserve">приказ №210 п.6.43</t>
  </si>
  <si>
    <t xml:space="preserve">приказ №210 п.6.44</t>
  </si>
  <si>
    <t xml:space="preserve">приказ №210 п.6.45</t>
  </si>
  <si>
    <t xml:space="preserve">приказ №210 п.6.46</t>
  </si>
  <si>
    <t xml:space="preserve">приказ №210 п.6.47</t>
  </si>
  <si>
    <t xml:space="preserve">приказ №210 п.6.48</t>
  </si>
  <si>
    <t xml:space="preserve">приказ №210 п.6.49</t>
  </si>
  <si>
    <t xml:space="preserve">приказ №210 п.6.50</t>
  </si>
  <si>
    <t xml:space="preserve">приказ №210 п.6.51</t>
  </si>
  <si>
    <t xml:space="preserve">приказ №210 п.6.52</t>
  </si>
  <si>
    <t xml:space="preserve">приказ №210 п.6.53</t>
  </si>
  <si>
    <t xml:space="preserve">3дня</t>
  </si>
  <si>
    <t xml:space="preserve">приказ №210 п.6.54</t>
  </si>
  <si>
    <t xml:space="preserve">приказ №210 п.6.55</t>
  </si>
  <si>
    <t xml:space="preserve">приказ №210 п.6.56</t>
  </si>
  <si>
    <t xml:space="preserve">приказ №210 п.6.57</t>
  </si>
  <si>
    <t xml:space="preserve">приказ №210 п.6.58</t>
  </si>
  <si>
    <t xml:space="preserve">приказ №210 п.6.59</t>
  </si>
  <si>
    <t xml:space="preserve">приказ №210 п.6.60</t>
  </si>
  <si>
    <t xml:space="preserve">приказ №210 п.6.61</t>
  </si>
  <si>
    <t xml:space="preserve">приказ №210 п.6.62</t>
  </si>
  <si>
    <t xml:space="preserve">приказ №210 п.6.63</t>
  </si>
  <si>
    <t xml:space="preserve">10 дней</t>
  </si>
  <si>
    <t xml:space="preserve">приказ №210 п.6.64</t>
  </si>
  <si>
    <t xml:space="preserve">приказ №210 п.6.65</t>
  </si>
  <si>
    <t xml:space="preserve">приказ №210 п.6.66</t>
  </si>
  <si>
    <t xml:space="preserve">МУ РК № 10.05.031.97 п 1.4.</t>
  </si>
  <si>
    <t xml:space="preserve">приказ №210 п.6.67</t>
  </si>
  <si>
    <t xml:space="preserve">приказ №210 п.6.68</t>
  </si>
  <si>
    <t xml:space="preserve">приказ №210 п.6.69</t>
  </si>
  <si>
    <t xml:space="preserve">приказ №210 п.6.70</t>
  </si>
  <si>
    <t xml:space="preserve">5дня</t>
  </si>
  <si>
    <t xml:space="preserve">приказ №210 п.6.71</t>
  </si>
  <si>
    <t xml:space="preserve">приказ №210 п.6.72</t>
  </si>
  <si>
    <t xml:space="preserve">приказ №210 п.6.73</t>
  </si>
  <si>
    <t xml:space="preserve">приказ №210 п.6.77</t>
  </si>
  <si>
    <t xml:space="preserve">приказ №210 п.6.74</t>
  </si>
  <si>
    <t xml:space="preserve">приказ №210 п.6.75</t>
  </si>
  <si>
    <t xml:space="preserve">приказ №210 п.6.78</t>
  </si>
  <si>
    <t xml:space="preserve">приказ №210 п.6.79</t>
  </si>
  <si>
    <t xml:space="preserve">приказ №210 п.6.76</t>
  </si>
  <si>
    <t xml:space="preserve">кв.м</t>
  </si>
  <si>
    <t xml:space="preserve">Оформление протокола исследования </t>
  </si>
  <si>
    <t xml:space="preserve">мин</t>
  </si>
  <si>
    <t xml:space="preserve">17.8.1</t>
  </si>
  <si>
    <t xml:space="preserve">Лекционные и семинарные занятия по эпидемиологии и лабораторной диагностике особо опасных инфекций</t>
  </si>
  <si>
    <t xml:space="preserve">Лекционные, семинарские и практические занятия по эпидемиологии и лабораторной диагностике трансмиссивных инфекций</t>
  </si>
  <si>
    <t xml:space="preserve">Общие правила эксплуатации компьютерных программ. Организация и поддержка локальной сети и почтового сервера. Работа с базами данных. Общие принципы защиты информации;
 Комплекс программ АСУ «Санпидслужба» (введение);
 Статистические (агломерированные) прикладные программы эпидемиологического мониторинга;
 Програмный комплекс «Электронная интегрированная система надзора заболеваний»</t>
  </si>
  <si>
    <t xml:space="preserve">2 кредита</t>
  </si>
  <si>
    <t xml:space="preserve">теоретическое занятие</t>
  </si>
  <si>
    <t xml:space="preserve">3 кредита</t>
  </si>
  <si>
    <t xml:space="preserve">4 кредита </t>
  </si>
  <si>
    <t xml:space="preserve">5 кредитов</t>
  </si>
  <si>
    <t xml:space="preserve">Занятия с учетом материальных затрат</t>
  </si>
  <si>
    <t xml:space="preserve">Врач зоолог</t>
  </si>
  <si>
    <t xml:space="preserve">Младший мед.персонал</t>
  </si>
  <si>
    <t xml:space="preserve">Рабочий</t>
  </si>
  <si>
    <t xml:space="preserve">Расшифровка накладных расходов  </t>
  </si>
  <si>
    <t xml:space="preserve">  Филиала "НПЦСЭЭиМ" РГП на ПХВ "НЦОЗ" МЗ РК</t>
  </si>
  <si>
    <t xml:space="preserve">согласно финансовому плану, предусмотренному в плане развития на 2024 год по платным услугам</t>
  </si>
  <si>
    <t xml:space="preserve">(тыс. тенге)</t>
  </si>
  <si>
    <t xml:space="preserve">Перечень затрат</t>
  </si>
  <si>
    <t xml:space="preserve">План на 2024 год</t>
  </si>
  <si>
    <t xml:space="preserve">Проектируемые данные для расчета цены (30%)</t>
  </si>
  <si>
    <t xml:space="preserve">Приобретение прочих запасов</t>
  </si>
  <si>
    <t xml:space="preserve">Оплата коммунальных услуг</t>
  </si>
  <si>
    <t xml:space="preserve">Оплата услуг связи</t>
  </si>
  <si>
    <t xml:space="preserve">Оплата прочих услуг и работ</t>
  </si>
  <si>
    <t xml:space="preserve">Накладные расходы в к ФОТ работников организации в  % ***)</t>
  </si>
  <si>
    <t xml:space="preserve">Фонд заработной платы работников Организации **)</t>
  </si>
  <si>
    <t xml:space="preserve">Всего накладные расходы *)</t>
  </si>
  <si>
    <t xml:space="preserve">*) В перечень затрат, составляющих накладные расходы,  включаются затраты, связанные с управлением и обслуживанием организации, согласно финансовому плану, предусмотренному в плане развития на соответствующий год</t>
  </si>
  <si>
    <t xml:space="preserve">**) Фонд заработной платы работников организации принимается согласно финансовому плану, предусмотренному  в смете расходов  на соответствующий год </t>
  </si>
  <si>
    <t xml:space="preserve">***) % накладных расходов  к ФОТ определяются путем деления всех накладных расходов на Фонд заработной платы работников организации</t>
  </si>
  <si>
    <t xml:space="preserve">И.о. директора филиала</t>
  </si>
  <si>
    <t xml:space="preserve">Руководитель УЭиБУ</t>
  </si>
  <si>
    <t xml:space="preserve">Расчет расходов  на служебные командировки внутри страны </t>
  </si>
  <si>
    <t xml:space="preserve">МРП на 2024 год</t>
  </si>
  <si>
    <t xml:space="preserve">Должность</t>
  </si>
  <si>
    <t xml:space="preserve">Город, обл, район</t>
  </si>
  <si>
    <t xml:space="preserve">Кол-во человек</t>
  </si>
  <si>
    <t xml:space="preserve">Кол-во дней</t>
  </si>
  <si>
    <t xml:space="preserve">Цена проезда</t>
  </si>
  <si>
    <t xml:space="preserve">Сумма проезда (гр.5*гр.8*2)</t>
  </si>
  <si>
    <t xml:space="preserve">Суточные  (гр.5*гр.6*2 МРП)</t>
  </si>
  <si>
    <t xml:space="preserve">Проживание  (гр.5*гр.7*гр.11 *МРП)</t>
  </si>
  <si>
    <t xml:space="preserve">ИТОГО   (гр.8+гр.10+гр.11)</t>
  </si>
  <si>
    <t xml:space="preserve">Кол-во выездов</t>
  </si>
  <si>
    <t xml:space="preserve">Всего расходов, тыс. тенге  (гр.12*гр.13)</t>
  </si>
  <si>
    <t xml:space="preserve">для суточных</t>
  </si>
  <si>
    <t xml:space="preserve">для проживания</t>
  </si>
  <si>
    <t xml:space="preserve">размер</t>
  </si>
  <si>
    <t xml:space="preserve">Эксперты, аудитор</t>
  </si>
  <si>
    <t xml:space="preserve">Кызылординская область</t>
  </si>
  <si>
    <t xml:space="preserve">Мангистауская область</t>
  </si>
  <si>
    <t xml:space="preserve">Директор</t>
  </si>
  <si>
    <t xml:space="preserve">Куатбаева А.</t>
  </si>
  <si>
    <t xml:space="preserve">Отеулиева К.</t>
  </si>
  <si>
    <t xml:space="preserve">Главный экономист</t>
  </si>
  <si>
    <t xml:space="preserve">Телгараева К.</t>
  </si>
</sst>
</file>

<file path=xl/styles.xml><?xml version="1.0" encoding="utf-8"?>
<styleSheet xmlns="http://schemas.openxmlformats.org/spreadsheetml/2006/main">
  <numFmts count="47">
    <numFmt numFmtId="164" formatCode="General"/>
    <numFmt numFmtId="165" formatCode="_-* ###,0\.00\$_-;\-* ###,0\.00\$_-;_-* \-??\$_-;_-@_-"/>
    <numFmt numFmtId="166" formatCode="_(* ##,#0\.0_);_(* \(###,0\.00\);_(* \-??_);_(@_)"/>
    <numFmt numFmtId="167" formatCode="General_)"/>
    <numFmt numFmtId="168" formatCode="0\.000"/>
    <numFmt numFmtId="169" formatCode="&quot;fl&quot;#,##0_);&quot;(fl&quot;#,##0\)"/>
    <numFmt numFmtId="170" formatCode="&quot;fl&quot;#,##0_);[RED]&quot;(fl&quot;#,##0\)"/>
    <numFmt numFmtId="171" formatCode="&quot;fl&quot;###,0\.00_);&quot;(fl&quot;###,0\.00\)"/>
    <numFmt numFmtId="172" formatCode="dd/mm/yyyy"/>
    <numFmt numFmtId="173" formatCode="#,##0_р_.;[RED]\-#,##0_р_."/>
    <numFmt numFmtId="174" formatCode="_-* #,##0_?_._-;\-* #,##0_?_._-;_-* \-_?_._-;_-@_-"/>
    <numFmt numFmtId="175" formatCode="_-* ###,0\.00_?_._-;\-* ###,0\.00_?_._-;_-* \-??_?_._-;_-@_-"/>
    <numFmt numFmtId="176" formatCode="&quot;fl&quot;###,0\.00_);[RED]&quot;(fl&quot;###,0\.00\)"/>
    <numFmt numFmtId="177" formatCode="@"/>
    <numFmt numFmtId="178" formatCode="_(&quot;fl&quot;* #,##0_);_(&quot;fl&quot;* \(#,##0\);_(&quot;fl&quot;* \-_);_(@_)"/>
    <numFmt numFmtId="179" formatCode="_-* #,##0.00&quot;р.&quot;_-;\-* #,##0.00&quot;р.&quot;_-;_-* \-??&quot;р.&quot;_-;_-@_-"/>
    <numFmt numFmtId="180" formatCode="_-* #,##0&quot;р.&quot;_-;\-* #,##0&quot;р.&quot;_-;_-* &quot;-р.&quot;_-;_-@_-"/>
    <numFmt numFmtId="181" formatCode="0%"/>
    <numFmt numFmtId="182" formatCode="#,##0\.;[RED]\-#,##0\."/>
    <numFmt numFmtId="183" formatCode="#,##0.00\.;[RED]\-#,##0.00\."/>
    <numFmt numFmtId="184" formatCode="_-* #,##0.00_р_._-;\-* #,##0.00_р_._-;_-* \-??_р_._-;_-@_-"/>
    <numFmt numFmtId="185" formatCode="#,##0;[RED]#,##0"/>
    <numFmt numFmtId="186" formatCode="&quot;fl&quot;###,0\.00_);&quot;(fl&quot;###,0\.00\)"/>
    <numFmt numFmtId="187" formatCode="_-* #,##0.00_р_._-;\-* #,##0.00_р_._-;_-* \-??_р_._-;_-@_-"/>
    <numFmt numFmtId="188" formatCode="_-* #,##0.00\ _₽_-;\-* #,##0.00\ _₽_-;_-* \-??\ _₽_-;_-@_-"/>
    <numFmt numFmtId="189" formatCode="0"/>
    <numFmt numFmtId="190" formatCode="#,##0"/>
    <numFmt numFmtId="191" formatCode="_(* #,##0_);_(* \(#,##0\);_(* \-??_);_(@_)"/>
    <numFmt numFmtId="192" formatCode="_(* #,##0.00_);_(* \(#,##0.00\);_(* \-??_);_(@_)"/>
    <numFmt numFmtId="193" formatCode="0.00"/>
    <numFmt numFmtId="194" formatCode="0.0"/>
    <numFmt numFmtId="195" formatCode="0.0%"/>
    <numFmt numFmtId="196" formatCode="General"/>
    <numFmt numFmtId="197" formatCode="0.000"/>
    <numFmt numFmtId="198" formatCode="0.0000"/>
    <numFmt numFmtId="199" formatCode="#,##0.00"/>
    <numFmt numFmtId="200" formatCode="#,##0.0"/>
    <numFmt numFmtId="201" formatCode="#,##0.000"/>
    <numFmt numFmtId="202" formatCode="#,##0.0000000"/>
    <numFmt numFmtId="203" formatCode="#,##0.0000"/>
    <numFmt numFmtId="204" formatCode="#,##0.00000"/>
    <numFmt numFmtId="205" formatCode="0.00000"/>
    <numFmt numFmtId="206" formatCode="0.000000"/>
    <numFmt numFmtId="207" formatCode="_(* #,##0.0_);_(* \(#,##0.0\);_(* \-??_);_(@_)"/>
    <numFmt numFmtId="208" formatCode="_-* #,##0_р_._-;\-* #,##0_р_._-;_-* \-??_р_._-;_-@_-"/>
    <numFmt numFmtId="209" formatCode="#,##0_ ;\-#,##0\ "/>
    <numFmt numFmtId="210" formatCode="_-* #,##0.0_р_._-;\-* #,##0.0_р_._-;_-* \-??_р_._-;_-@_-"/>
  </numFmts>
  <fonts count="81">
    <font>
      <sz val="11"/>
      <color theme="1"/>
      <name val="Calibri"/>
      <family val="2"/>
      <charset val="1"/>
    </font>
    <font>
      <sz val="10"/>
      <name val="Arial"/>
      <family val="0"/>
      <charset val="204"/>
    </font>
    <font>
      <sz val="10"/>
      <name val="Arial"/>
      <family val="0"/>
      <charset val="204"/>
    </font>
    <font>
      <sz val="10"/>
      <name val="Arial"/>
      <family val="0"/>
      <charset val="204"/>
    </font>
    <font>
      <sz val="10"/>
      <name val="Arial Cyr"/>
      <family val="0"/>
      <charset val="204"/>
    </font>
    <font>
      <sz val="10"/>
      <name val="Arial"/>
      <family val="2"/>
      <charset val="204"/>
    </font>
    <font>
      <sz val="10"/>
      <name val="Arial Cyr"/>
      <family val="2"/>
      <charset val="204"/>
    </font>
    <font>
      <sz val="11"/>
      <color rgb="FF000000"/>
      <name val="Calibri"/>
      <family val="2"/>
      <charset val="204"/>
    </font>
    <font>
      <sz val="11"/>
      <color rgb="FFFFFFFF"/>
      <name val="Calibri"/>
      <family val="2"/>
      <charset val="204"/>
    </font>
    <font>
      <sz val="10"/>
      <name val="Arial"/>
      <family val="0"/>
      <charset val="1"/>
    </font>
    <font>
      <sz val="9"/>
      <name val="Times New Roman"/>
      <family val="1"/>
      <charset val="1"/>
    </font>
    <font>
      <sz val="10"/>
      <color rgb="FF000000"/>
      <name val="Arial"/>
      <family val="2"/>
      <charset val="1"/>
    </font>
    <font>
      <sz val="10"/>
      <name val="MS Sans Serif"/>
      <family val="2"/>
      <charset val="204"/>
    </font>
    <font>
      <b val="true"/>
      <sz val="12"/>
      <name val="Arial"/>
      <family val="2"/>
      <charset val="1"/>
    </font>
    <font>
      <b val="true"/>
      <sz val="14"/>
      <name val="Arial"/>
      <family val="2"/>
      <charset val="204"/>
    </font>
    <font>
      <b val="true"/>
      <sz val="12"/>
      <name val="Arial"/>
      <family val="2"/>
      <charset val="204"/>
    </font>
    <font>
      <i val="true"/>
      <sz val="12"/>
      <name val="Arial"/>
      <family val="2"/>
      <charset val="204"/>
    </font>
    <font>
      <sz val="12"/>
      <name val="Arial"/>
      <family val="2"/>
      <charset val="204"/>
    </font>
    <font>
      <b val="true"/>
      <sz val="10"/>
      <name val="Arial"/>
      <family val="2"/>
      <charset val="204"/>
    </font>
    <font>
      <i val="true"/>
      <sz val="10"/>
      <name val="Arial"/>
      <family val="2"/>
      <charset val="204"/>
    </font>
    <font>
      <u val="single"/>
      <sz val="8"/>
      <color rgb="FF0000FF"/>
      <name val="Times New Roman"/>
      <family val="1"/>
      <charset val="204"/>
    </font>
    <font>
      <b val="true"/>
      <i val="true"/>
      <sz val="10"/>
      <name val="Arial"/>
      <family val="2"/>
      <charset val="204"/>
    </font>
    <font>
      <sz val="11"/>
      <color rgb="FF333399"/>
      <name val="Calibri"/>
      <family val="2"/>
      <charset val="204"/>
    </font>
    <font>
      <b val="true"/>
      <sz val="11"/>
      <color rgb="FF333333"/>
      <name val="Calibri"/>
      <family val="2"/>
      <charset val="204"/>
    </font>
    <font>
      <b val="true"/>
      <sz val="11"/>
      <color rgb="FFFF9900"/>
      <name val="Calibri"/>
      <family val="2"/>
      <charset val="204"/>
    </font>
    <font>
      <u val="single"/>
      <sz val="10"/>
      <color rgb="FF0000FF"/>
      <name val="Arial"/>
      <family val="2"/>
      <charset val="204"/>
    </font>
    <font>
      <b val="true"/>
      <sz val="15"/>
      <color rgb="FF003366"/>
      <name val="Calibri"/>
      <family val="2"/>
      <charset val="204"/>
    </font>
    <font>
      <b val="true"/>
      <sz val="13"/>
      <color rgb="FF003366"/>
      <name val="Calibri"/>
      <family val="2"/>
      <charset val="204"/>
    </font>
    <font>
      <b val="true"/>
      <sz val="11"/>
      <color rgb="FF003366"/>
      <name val="Calibri"/>
      <family val="2"/>
      <charset val="204"/>
    </font>
    <font>
      <b val="true"/>
      <sz val="11"/>
      <color rgb="FF000000"/>
      <name val="Calibri"/>
      <family val="2"/>
      <charset val="204"/>
    </font>
    <font>
      <b val="true"/>
      <sz val="11"/>
      <color rgb="FFFFFFFF"/>
      <name val="Calibri"/>
      <family val="2"/>
      <charset val="204"/>
    </font>
    <font>
      <b val="true"/>
      <sz val="18"/>
      <color rgb="FF003366"/>
      <name val="Cambria"/>
      <family val="2"/>
      <charset val="204"/>
    </font>
    <font>
      <sz val="11"/>
      <color rgb="FF993300"/>
      <name val="Calibri"/>
      <family val="2"/>
      <charset val="204"/>
    </font>
    <font>
      <sz val="11"/>
      <color theme="1"/>
      <name val="Calibri"/>
      <family val="2"/>
      <charset val="204"/>
    </font>
    <font>
      <i val="true"/>
      <sz val="10"/>
      <name val="Sylfaen"/>
      <family val="1"/>
      <charset val="204"/>
    </font>
    <font>
      <sz val="10"/>
      <name val="Baltica"/>
      <family val="0"/>
      <charset val="204"/>
    </font>
    <font>
      <sz val="8"/>
      <name val="Arial"/>
      <family val="0"/>
      <charset val="204"/>
    </font>
    <font>
      <sz val="11"/>
      <color rgb="FF800080"/>
      <name val="Calibri"/>
      <family val="2"/>
      <charset val="204"/>
    </font>
    <font>
      <i val="true"/>
      <sz val="11"/>
      <color rgb="FF808080"/>
      <name val="Calibri"/>
      <family val="2"/>
      <charset val="204"/>
    </font>
    <font>
      <sz val="11"/>
      <color rgb="FFFF9900"/>
      <name val="Calibri"/>
      <family val="2"/>
      <charset val="204"/>
    </font>
    <font>
      <sz val="11"/>
      <color rgb="FFFF0000"/>
      <name val="Calibri"/>
      <family val="2"/>
      <charset val="204"/>
    </font>
    <font>
      <sz val="11"/>
      <color rgb="FF008000"/>
      <name val="Calibri"/>
      <family val="2"/>
      <charset val="204"/>
    </font>
    <font>
      <b val="true"/>
      <sz val="11"/>
      <color theme="1"/>
      <name val="Times New Roman"/>
      <family val="1"/>
      <charset val="204"/>
    </font>
    <font>
      <sz val="11"/>
      <color theme="1"/>
      <name val="Times New Roman"/>
      <family val="1"/>
      <charset val="204"/>
    </font>
    <font>
      <i val="true"/>
      <sz val="11"/>
      <color theme="1"/>
      <name val="Times New Roman"/>
      <family val="1"/>
      <charset val="204"/>
    </font>
    <font>
      <b val="true"/>
      <sz val="11"/>
      <name val="Times New Roman"/>
      <family val="1"/>
      <charset val="204"/>
    </font>
    <font>
      <sz val="11"/>
      <name val="Times New Roman"/>
      <family val="1"/>
      <charset val="204"/>
    </font>
    <font>
      <b val="true"/>
      <sz val="11"/>
      <color rgb="FF000000"/>
      <name val="Times New Roman"/>
      <family val="1"/>
      <charset val="204"/>
    </font>
    <font>
      <sz val="11"/>
      <color rgb="FF000000"/>
      <name val="Times New Roman"/>
      <family val="1"/>
      <charset val="204"/>
    </font>
    <font>
      <sz val="11"/>
      <color rgb="FFFF0000"/>
      <name val="Times New Roman"/>
      <family val="1"/>
      <charset val="204"/>
    </font>
    <font>
      <b val="true"/>
      <sz val="11"/>
      <color rgb="FFFF0000"/>
      <name val="Times New Roman"/>
      <family val="1"/>
      <charset val="204"/>
    </font>
    <font>
      <b val="true"/>
      <i val="true"/>
      <sz val="11"/>
      <color theme="1"/>
      <name val="Times New Roman"/>
      <family val="1"/>
      <charset val="204"/>
    </font>
    <font>
      <b val="true"/>
      <i val="true"/>
      <sz val="11"/>
      <color rgb="FF000000"/>
      <name val="Times New Roman"/>
      <family val="1"/>
      <charset val="204"/>
    </font>
    <font>
      <b val="true"/>
      <u val="single"/>
      <sz val="11"/>
      <name val="Times New Roman"/>
      <family val="1"/>
      <charset val="204"/>
    </font>
    <font>
      <u val="single"/>
      <sz val="11"/>
      <name val="Times New Roman"/>
      <family val="1"/>
      <charset val="204"/>
    </font>
    <font>
      <b val="true"/>
      <sz val="11"/>
      <color theme="1"/>
      <name val="Calibri"/>
      <family val="2"/>
      <charset val="204"/>
    </font>
    <font>
      <sz val="11"/>
      <color rgb="FF333333"/>
      <name val="Times New Roman"/>
      <family val="1"/>
      <charset val="204"/>
    </font>
    <font>
      <sz val="12"/>
      <name val="Times New Roman"/>
      <family val="1"/>
      <charset val="204"/>
    </font>
    <font>
      <b val="true"/>
      <sz val="12"/>
      <name val="Times New Roman"/>
      <family val="1"/>
      <charset val="204"/>
    </font>
    <font>
      <sz val="14"/>
      <name val="Times New Roman"/>
      <family val="1"/>
      <charset val="204"/>
    </font>
    <font>
      <i val="true"/>
      <sz val="11"/>
      <name val="Times New Roman"/>
      <family val="1"/>
      <charset val="204"/>
    </font>
    <font>
      <b val="true"/>
      <i val="true"/>
      <sz val="11"/>
      <name val="Times New Roman"/>
      <family val="1"/>
      <charset val="204"/>
    </font>
    <font>
      <sz val="10"/>
      <name val="Times New Roman"/>
      <family val="1"/>
      <charset val="204"/>
    </font>
    <font>
      <b val="true"/>
      <sz val="10"/>
      <name val="Times New Roman"/>
      <family val="1"/>
      <charset val="204"/>
    </font>
    <font>
      <sz val="11"/>
      <color rgb="FF444444"/>
      <name val="Times New Roman"/>
      <family val="1"/>
      <charset val="204"/>
    </font>
    <font>
      <b val="true"/>
      <sz val="11"/>
      <name val="Arial"/>
      <family val="2"/>
      <charset val="204"/>
    </font>
    <font>
      <vertAlign val="subscript"/>
      <sz val="11"/>
      <name val="Times New Roman"/>
      <family val="1"/>
      <charset val="204"/>
    </font>
    <font>
      <sz val="11"/>
      <color theme="3" tint="0.7999"/>
      <name val="Times New Roman"/>
      <family val="1"/>
      <charset val="204"/>
    </font>
    <font>
      <sz val="10"/>
      <name val="Calibri"/>
      <family val="2"/>
      <charset val="204"/>
    </font>
    <font>
      <b val="true"/>
      <i val="true"/>
      <sz val="12"/>
      <name val="Times New Roman"/>
      <family val="1"/>
      <charset val="204"/>
    </font>
    <font>
      <sz val="11"/>
      <color rgb="FF00B050"/>
      <name val="Times New Roman"/>
      <family val="1"/>
      <charset val="204"/>
    </font>
    <font>
      <sz val="11"/>
      <name val="Arial"/>
      <family val="2"/>
      <charset val="204"/>
    </font>
    <font>
      <b val="true"/>
      <sz val="14"/>
      <name val="Times New Roman"/>
      <family val="1"/>
      <charset val="204"/>
    </font>
    <font>
      <i val="true"/>
      <sz val="12"/>
      <name val="Times New Roman"/>
      <family val="1"/>
      <charset val="204"/>
    </font>
    <font>
      <sz val="14"/>
      <color theme="1"/>
      <name val="Times New Roman"/>
      <family val="1"/>
      <charset val="204"/>
    </font>
    <font>
      <b val="true"/>
      <sz val="10"/>
      <color theme="1"/>
      <name val="Times New Roman"/>
      <family val="1"/>
      <charset val="204"/>
    </font>
    <font>
      <b val="true"/>
      <sz val="14"/>
      <color theme="1"/>
      <name val="Times New Roman"/>
      <family val="1"/>
      <charset val="204"/>
    </font>
    <font>
      <sz val="10"/>
      <color theme="1"/>
      <name val="Times New Roman"/>
      <family val="1"/>
      <charset val="204"/>
    </font>
    <font>
      <sz val="12"/>
      <color rgb="FFFF0000"/>
      <name val="Times New Roman"/>
      <family val="1"/>
      <charset val="204"/>
    </font>
    <font>
      <b val="true"/>
      <sz val="12"/>
      <color rgb="FFFF0000"/>
      <name val="Times New Roman"/>
      <family val="1"/>
      <charset val="204"/>
    </font>
    <font>
      <sz val="12"/>
      <color rgb="FF000000"/>
      <name val="Times New Roman"/>
      <family val="1"/>
      <charset val="204"/>
    </font>
  </fonts>
  <fills count="33">
    <fill>
      <patternFill patternType="none"/>
    </fill>
    <fill>
      <patternFill patternType="gray125"/>
    </fill>
    <fill>
      <patternFill patternType="solid">
        <fgColor rgb="FFCCCCFF"/>
        <bgColor rgb="FFC6D9F1"/>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CC"/>
      </patternFill>
    </fill>
    <fill>
      <patternFill patternType="solid">
        <fgColor rgb="FFFFCC99"/>
        <bgColor rgb="FFFAC090"/>
      </patternFill>
    </fill>
    <fill>
      <patternFill patternType="solid">
        <fgColor rgb="FF99CCFF"/>
        <bgColor rgb="FF8EB4E3"/>
      </patternFill>
    </fill>
    <fill>
      <patternFill patternType="solid">
        <fgColor rgb="FFFF8080"/>
        <bgColor rgb="FFFF99CC"/>
      </patternFill>
    </fill>
    <fill>
      <patternFill patternType="solid">
        <fgColor rgb="FF00FF00"/>
        <bgColor rgb="FF00B050"/>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FFFF"/>
      </patternFill>
    </fill>
    <fill>
      <patternFill patternType="solid">
        <fgColor rgb="FFFF9900"/>
        <bgColor rgb="FFFFCC00"/>
      </patternFill>
    </fill>
    <fill>
      <patternFill patternType="solid">
        <fgColor rgb="FF333399"/>
        <bgColor rgb="FF444444"/>
      </patternFill>
    </fill>
    <fill>
      <patternFill patternType="solid">
        <fgColor rgb="FFFF0000"/>
        <bgColor rgb="FF993300"/>
      </patternFill>
    </fill>
    <fill>
      <patternFill patternType="solid">
        <fgColor rgb="FF339966"/>
        <bgColor rgb="FF00B050"/>
      </patternFill>
    </fill>
    <fill>
      <patternFill patternType="solid">
        <fgColor rgb="FFFF6600"/>
        <bgColor rgb="FFFF9900"/>
      </patternFill>
    </fill>
    <fill>
      <patternFill patternType="solid">
        <fgColor rgb="FFC0C0C0"/>
        <bgColor rgb="FFCCC1DA"/>
      </patternFill>
    </fill>
    <fill>
      <patternFill patternType="solid">
        <fgColor rgb="FF969696"/>
        <bgColor rgb="FF808080"/>
      </patternFill>
    </fill>
    <fill>
      <patternFill patternType="solid">
        <fgColor rgb="FFFFFF99"/>
        <bgColor rgb="FFFFFFCC"/>
      </patternFill>
    </fill>
    <fill>
      <patternFill patternType="solid">
        <fgColor rgb="FFFFFFCC"/>
        <bgColor rgb="FFFFFFFF"/>
      </patternFill>
    </fill>
    <fill>
      <patternFill patternType="solid">
        <fgColor theme="7" tint="0.5999"/>
        <bgColor rgb="FFC0C0C0"/>
      </patternFill>
    </fill>
    <fill>
      <patternFill patternType="solid">
        <fgColor rgb="FFFFFF00"/>
        <bgColor rgb="FFFFCC00"/>
      </patternFill>
    </fill>
    <fill>
      <patternFill patternType="solid">
        <fgColor rgb="FF92D050"/>
        <bgColor rgb="FFC3D69B"/>
      </patternFill>
    </fill>
    <fill>
      <patternFill patternType="solid">
        <fgColor theme="0"/>
        <bgColor rgb="FFFFFFCC"/>
      </patternFill>
    </fill>
    <fill>
      <patternFill patternType="solid">
        <fgColor theme="3" tint="0.5999"/>
        <bgColor rgb="FF95B3D7"/>
      </patternFill>
    </fill>
    <fill>
      <patternFill patternType="solid">
        <fgColor theme="9" tint="0.3999"/>
        <bgColor rgb="FFFFCC99"/>
      </patternFill>
    </fill>
    <fill>
      <patternFill patternType="solid">
        <fgColor theme="6" tint="0.3999"/>
        <bgColor rgb="FFCCC085"/>
      </patternFill>
    </fill>
    <fill>
      <patternFill patternType="solid">
        <fgColor theme="4" tint="0.3999"/>
        <bgColor rgb="FF8EB4E3"/>
      </patternFill>
    </fill>
    <fill>
      <patternFill patternType="solid">
        <fgColor theme="9" tint="0.5999"/>
        <bgColor rgb="FFFFCC99"/>
      </patternFill>
    </fill>
  </fills>
  <borders count="26">
    <border diagonalUp="false" diagonalDown="false">
      <left/>
      <right/>
      <top/>
      <bottom/>
      <diagonal/>
    </border>
    <border diagonalUp="false" diagonalDown="false">
      <left/>
      <right/>
      <top style="double"/>
      <bottom style="double"/>
      <diagonal/>
    </border>
    <border diagonalUp="false" diagonalDown="false">
      <left/>
      <right/>
      <top style="medium"/>
      <bottom style="medium"/>
      <diagonal/>
    </border>
    <border diagonalUp="false" diagonalDown="false">
      <left/>
      <right/>
      <top style="thin"/>
      <bottom style="thin"/>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thin">
        <color rgb="FF333333"/>
      </left>
      <right style="thin">
        <color rgb="FF333333"/>
      </right>
      <top style="thin">
        <color rgb="FF333333"/>
      </top>
      <bottom style="thin">
        <color rgb="FF333333"/>
      </bottom>
      <diagonal/>
    </border>
    <border diagonalUp="false" diagonalDown="false">
      <left/>
      <right/>
      <top/>
      <bottom style="thick">
        <color rgb="FF333399"/>
      </bottom>
      <diagonal/>
    </border>
    <border diagonalUp="false" diagonalDown="false">
      <left/>
      <right/>
      <top/>
      <bottom style="thick">
        <color rgb="FFC0C0C0"/>
      </bottom>
      <diagonal/>
    </border>
    <border diagonalUp="false" diagonalDown="false">
      <left/>
      <right/>
      <top/>
      <bottom style="medium">
        <color rgb="FF0066CC"/>
      </bottom>
      <diagonal/>
    </border>
    <border diagonalUp="false" diagonalDown="false">
      <left/>
      <right/>
      <top style="thin">
        <color rgb="FF333399"/>
      </top>
      <bottom style="double">
        <color rgb="FF333399"/>
      </bottom>
      <diagonal/>
    </border>
    <border diagonalUp="false" diagonalDown="false">
      <left style="double">
        <color rgb="FF333333"/>
      </left>
      <right style="double">
        <color rgb="FF333333"/>
      </right>
      <top style="double">
        <color rgb="FF333333"/>
      </top>
      <bottom style="double">
        <color rgb="FF333333"/>
      </bottom>
      <diagonal/>
    </border>
    <border diagonalUp="false" diagonalDown="false">
      <left style="thin">
        <color rgb="FFC0C0C0"/>
      </left>
      <right style="thin">
        <color rgb="FFC0C0C0"/>
      </right>
      <top style="thin">
        <color rgb="FFC0C0C0"/>
      </top>
      <bottom style="thin">
        <color rgb="FFC0C0C0"/>
      </bottom>
      <diagonal/>
    </border>
    <border diagonalUp="false" diagonalDown="false">
      <left/>
      <right/>
      <top/>
      <bottom style="double">
        <color rgb="FFFF9900"/>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right style="thin"/>
      <top style="thin"/>
      <bottom/>
      <diagonal/>
    </border>
    <border diagonalUp="false" diagonalDown="false">
      <left/>
      <right style="thin"/>
      <top/>
      <bottom style="thin"/>
      <diagonal/>
    </border>
    <border diagonalUp="false" diagonalDown="false">
      <left style="thin"/>
      <right/>
      <top/>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style="thin"/>
      <right style="thin"/>
      <top/>
      <bottom/>
      <diagonal/>
    </border>
    <border diagonalUp="false" diagonalDown="false">
      <left style="thin">
        <color rgb="FFCCC085"/>
      </left>
      <right style="thin">
        <color rgb="FFCCC085"/>
      </right>
      <top style="thin">
        <color rgb="FFCCC085"/>
      </top>
      <bottom style="thin">
        <color rgb="FFCCC085"/>
      </bottom>
      <diagonal/>
    </border>
    <border diagonalUp="false" diagonalDown="false">
      <left/>
      <right/>
      <top/>
      <bottom style="thin"/>
      <diagonal/>
    </border>
    <border diagonalUp="false" diagonalDown="false">
      <left style="thin">
        <color rgb="FF9999FF"/>
      </left>
      <right style="thin">
        <color rgb="FF9999FF"/>
      </right>
      <top style="thin">
        <color rgb="FF9999FF"/>
      </top>
      <bottom style="thin">
        <color rgb="FF9999FF"/>
      </bottom>
      <diagonal/>
    </border>
    <border diagonalUp="false" diagonalDown="false">
      <left style="thin"/>
      <right/>
      <top/>
      <bottom/>
      <diagonal/>
    </border>
  </borders>
  <cellStyleXfs count="3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88"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7" fillId="2" borderId="0" applyFont="true" applyBorder="false" applyAlignment="true" applyProtection="false">
      <alignment horizontal="general" vertical="bottom" textRotation="0" wrapText="false" indent="0" shrinkToFit="false"/>
    </xf>
    <xf numFmtId="164" fontId="7" fillId="3" borderId="0" applyFont="true" applyBorder="false" applyAlignment="true" applyProtection="false">
      <alignment horizontal="general" vertical="bottom" textRotation="0" wrapText="false" indent="0" shrinkToFit="false"/>
    </xf>
    <xf numFmtId="164" fontId="7" fillId="4" borderId="0" applyFont="true" applyBorder="false" applyAlignment="true" applyProtection="false">
      <alignment horizontal="general" vertical="bottom" textRotation="0" wrapText="false" indent="0" shrinkToFit="false"/>
    </xf>
    <xf numFmtId="164" fontId="7" fillId="5" borderId="0" applyFont="true" applyBorder="false" applyAlignment="true" applyProtection="false">
      <alignment horizontal="general" vertical="bottom" textRotation="0" wrapText="false" indent="0" shrinkToFit="false"/>
    </xf>
    <xf numFmtId="164" fontId="7" fillId="6" borderId="0" applyFont="true" applyBorder="false" applyAlignment="true" applyProtection="false">
      <alignment horizontal="general" vertical="bottom" textRotation="0" wrapText="false" indent="0" shrinkToFit="false"/>
    </xf>
    <xf numFmtId="164" fontId="7" fillId="7" borderId="0" applyFont="true" applyBorder="false" applyAlignment="true" applyProtection="false">
      <alignment horizontal="general" vertical="bottom" textRotation="0" wrapText="false" indent="0" shrinkToFit="false"/>
    </xf>
    <xf numFmtId="164" fontId="7" fillId="8" borderId="0" applyFont="true" applyBorder="false" applyAlignment="true" applyProtection="false">
      <alignment horizontal="general" vertical="bottom" textRotation="0" wrapText="false" indent="0" shrinkToFit="false"/>
    </xf>
    <xf numFmtId="164" fontId="7" fillId="9" borderId="0" applyFont="true" applyBorder="false" applyAlignment="true" applyProtection="false">
      <alignment horizontal="general" vertical="bottom" textRotation="0" wrapText="false" indent="0" shrinkToFit="false"/>
    </xf>
    <xf numFmtId="164" fontId="7" fillId="10" borderId="0" applyFont="true" applyBorder="false" applyAlignment="true" applyProtection="false">
      <alignment horizontal="general" vertical="bottom" textRotation="0" wrapText="false" indent="0" shrinkToFit="false"/>
    </xf>
    <xf numFmtId="164" fontId="7" fillId="5" borderId="0" applyFont="true" applyBorder="false" applyAlignment="true" applyProtection="false">
      <alignment horizontal="general" vertical="bottom" textRotation="0" wrapText="false" indent="0" shrinkToFit="false"/>
    </xf>
    <xf numFmtId="164" fontId="7" fillId="8" borderId="0" applyFont="true" applyBorder="false" applyAlignment="true" applyProtection="false">
      <alignment horizontal="general" vertical="bottom" textRotation="0" wrapText="false" indent="0" shrinkToFit="false"/>
    </xf>
    <xf numFmtId="164" fontId="7" fillId="11" borderId="0" applyFont="true" applyBorder="false" applyAlignment="true" applyProtection="false">
      <alignment horizontal="general" vertical="bottom" textRotation="0" wrapText="false" indent="0" shrinkToFit="false"/>
    </xf>
    <xf numFmtId="164" fontId="8" fillId="12" borderId="0" applyFont="true" applyBorder="false" applyAlignment="true" applyProtection="false">
      <alignment horizontal="general" vertical="bottom" textRotation="0" wrapText="false" indent="0" shrinkToFit="false"/>
    </xf>
    <xf numFmtId="164" fontId="8" fillId="9" borderId="0" applyFont="true" applyBorder="false" applyAlignment="true" applyProtection="false">
      <alignment horizontal="general" vertical="bottom" textRotation="0" wrapText="false" indent="0" shrinkToFit="false"/>
    </xf>
    <xf numFmtId="164" fontId="8" fillId="10" borderId="0" applyFont="true" applyBorder="false" applyAlignment="true" applyProtection="false">
      <alignment horizontal="general" vertical="bottom" textRotation="0" wrapText="false" indent="0" shrinkToFit="false"/>
    </xf>
    <xf numFmtId="164" fontId="8" fillId="13" borderId="0" applyFont="true" applyBorder="false" applyAlignment="true" applyProtection="false">
      <alignment horizontal="general" vertical="bottom" textRotation="0" wrapText="false" indent="0" shrinkToFit="false"/>
    </xf>
    <xf numFmtId="164" fontId="8" fillId="14" borderId="0" applyFont="true" applyBorder="false" applyAlignment="true" applyProtection="false">
      <alignment horizontal="general" vertical="bottom" textRotation="0" wrapText="false" indent="0" shrinkToFit="false"/>
    </xf>
    <xf numFmtId="164" fontId="8" fillId="15" borderId="0" applyFont="true" applyBorder="false" applyAlignment="true" applyProtection="false">
      <alignment horizontal="general" vertical="bottom" textRotation="0" wrapText="false" indent="0" shrinkToFit="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center" vertical="bottom" textRotation="0" wrapText="false" indent="0" shrinkToFit="false"/>
      <protection locked="true" hidden="false"/>
    </xf>
    <xf numFmtId="164" fontId="4" fillId="0" borderId="0" applyFont="true" applyBorder="true" applyAlignment="true" applyProtection="true">
      <alignment horizontal="center" vertical="bottom" textRotation="0" wrapText="false" indent="0" shrinkToFit="false"/>
      <protection locked="true" hidden="false"/>
    </xf>
    <xf numFmtId="164" fontId="1" fillId="0" borderId="0" applyFont="true" applyBorder="true" applyAlignment="true" applyProtection="true">
      <alignment horizontal="general" vertical="bottom" textRotation="0" wrapText="false" indent="0" shrinkToFit="false"/>
      <protection locked="true" hidden="false"/>
    </xf>
    <xf numFmtId="164" fontId="1"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1" fillId="0" borderId="0" applyFont="true" applyBorder="true" applyAlignment="true" applyProtection="true">
      <alignment horizontal="general" vertical="bottom" textRotation="0" wrapText="false" indent="0" shrinkToFit="false"/>
      <protection locked="true" hidden="false"/>
    </xf>
    <xf numFmtId="165" fontId="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8" fontId="10" fillId="0" borderId="0" applyFont="true" applyBorder="false" applyAlignment="true" applyProtection="true">
      <alignment horizontal="general" vertical="bottom" textRotation="0" wrapText="false" indent="0" shrinkToFit="false"/>
      <protection locked="true" hidden="false"/>
    </xf>
    <xf numFmtId="169" fontId="10" fillId="0" borderId="0" applyFont="true" applyBorder="false" applyAlignment="true" applyProtection="true">
      <alignment horizontal="general" vertical="bottom" textRotation="0" wrapText="false" indent="0" shrinkToFit="false"/>
      <protection locked="true" hidden="false"/>
    </xf>
    <xf numFmtId="170" fontId="10" fillId="0" borderId="0" applyFont="true" applyBorder="false" applyAlignment="true" applyProtection="true">
      <alignment horizontal="general" vertical="bottom" textRotation="0" wrapText="false" indent="0" shrinkToFit="false"/>
      <protection locked="true" hidden="false"/>
    </xf>
    <xf numFmtId="166" fontId="10" fillId="0" borderId="0" applyFont="true" applyBorder="false" applyAlignment="true" applyProtection="true">
      <alignment horizontal="general" vertical="bottom" textRotation="0" wrapText="false" indent="0" shrinkToFit="false"/>
      <protection locked="true" hidden="false"/>
    </xf>
    <xf numFmtId="171"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11" fillId="0" borderId="0" applyFont="true" applyBorder="false" applyAlignment="true" applyProtection="true">
      <alignment horizontal="general" vertical="bottom" textRotation="0" wrapText="false" indent="0" shrinkToFit="false"/>
      <protection locked="true" hidden="false"/>
    </xf>
    <xf numFmtId="173" fontId="12" fillId="0" borderId="1" applyFont="true" applyBorder="true" applyAlignment="true" applyProtection="true">
      <alignment horizontal="general" vertical="center" textRotation="0" wrapText="false" indent="0" shrinkToFit="false"/>
      <protection locked="true" hidden="false"/>
    </xf>
    <xf numFmtId="166"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6" fontId="10" fillId="0" borderId="0" applyFont="true" applyBorder="false" applyAlignment="true" applyProtection="true">
      <alignment horizontal="general" vertical="bottom" textRotation="0" wrapText="false" indent="0" shrinkToFit="false"/>
      <protection locked="true" hidden="false"/>
    </xf>
    <xf numFmtId="171"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13" fillId="0" borderId="2" applyFont="true" applyBorder="true" applyAlignment="true" applyProtection="false">
      <alignment horizontal="general" vertical="bottom" textRotation="0" wrapText="false" indent="0" shrinkToFit="false"/>
    </xf>
    <xf numFmtId="164" fontId="13" fillId="0" borderId="3" applyFont="true" applyBorder="true" applyAlignment="true" applyProtection="true">
      <alignment horizontal="left" vertical="center" textRotation="0" wrapText="false" indent="0" shrinkToFit="false"/>
      <protection locked="true" hidden="false"/>
    </xf>
    <xf numFmtId="164" fontId="14"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true" applyAlignment="true" applyProtection="true">
      <alignment horizontal="general" vertical="bottom" textRotation="0" wrapText="false" indent="0" shrinkToFit="false"/>
      <protection locked="true" hidden="false"/>
    </xf>
    <xf numFmtId="164" fontId="16"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8" fillId="0" borderId="0" applyFont="true" applyBorder="true" applyAlignment="true" applyProtection="true">
      <alignment horizontal="general" vertical="bottom" textRotation="0" wrapText="false" indent="0" shrinkToFit="false"/>
      <protection locked="true" hidden="false"/>
    </xf>
    <xf numFmtId="164" fontId="19"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center" vertical="bottom" textRotation="0" wrapText="false" indent="0" shrinkToFit="false"/>
      <protection locked="true" hidden="false"/>
    </xf>
    <xf numFmtId="164" fontId="2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6"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6" fontId="10" fillId="0" borderId="0" applyFont="true" applyBorder="false" applyAlignment="true" applyProtection="true">
      <alignment horizontal="general" vertical="bottom" textRotation="0" wrapText="false" indent="0" shrinkToFit="false"/>
      <protection locked="true" hidden="false"/>
    </xf>
    <xf numFmtId="171"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center"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74"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6" fontId="10" fillId="0" borderId="0" applyFont="true" applyBorder="false" applyAlignment="true" applyProtection="true">
      <alignment horizontal="general" vertical="bottom" textRotation="0" wrapText="false" indent="0" shrinkToFit="false"/>
      <protection locked="true" hidden="false"/>
    </xf>
    <xf numFmtId="171" fontId="10" fillId="0" borderId="0" applyFont="true" applyBorder="false" applyAlignment="true" applyProtection="true">
      <alignment horizontal="general" vertical="bottom" textRotation="0" wrapText="false" indent="0" shrinkToFit="false"/>
      <protection locked="true" hidden="false"/>
    </xf>
    <xf numFmtId="167" fontId="10" fillId="0" borderId="0" applyFont="true" applyBorder="fals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77" fontId="11" fillId="0" borderId="0" applyFont="true" applyBorder="false" applyAlignment="true" applyProtection="true">
      <alignment horizontal="general" vertical="bottom" textRotation="0" wrapText="false" indent="0" shrinkToFit="false"/>
      <protection locked="true" hidden="false"/>
    </xf>
    <xf numFmtId="176" fontId="10" fillId="0" borderId="0" applyFont="true" applyBorder="false" applyAlignment="true" applyProtection="true">
      <alignment horizontal="general" vertical="bottom" textRotation="0" wrapText="false" indent="0" shrinkToFit="false"/>
      <protection locked="true" hidden="false"/>
    </xf>
    <xf numFmtId="178" fontId="10" fillId="0" borderId="0" applyFont="true" applyBorder="fals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center" vertical="bottom" textRotation="90" wrapText="false" indent="0" shrinkToFit="false"/>
      <protection locked="true" hidden="false"/>
    </xf>
    <xf numFmtId="164" fontId="8" fillId="16" borderId="0" applyFont="true" applyBorder="false" applyAlignment="true" applyProtection="false">
      <alignment horizontal="general" vertical="bottom" textRotation="0" wrapText="false" indent="0" shrinkToFit="false"/>
    </xf>
    <xf numFmtId="164" fontId="8" fillId="17" borderId="0" applyFont="true" applyBorder="false" applyAlignment="true" applyProtection="false">
      <alignment horizontal="general" vertical="bottom" textRotation="0" wrapText="false" indent="0" shrinkToFit="false"/>
    </xf>
    <xf numFmtId="164" fontId="8" fillId="18" borderId="0" applyFont="true" applyBorder="false" applyAlignment="true" applyProtection="false">
      <alignment horizontal="general" vertical="bottom" textRotation="0" wrapText="false" indent="0" shrinkToFit="false"/>
    </xf>
    <xf numFmtId="164" fontId="8" fillId="13" borderId="0" applyFont="true" applyBorder="false" applyAlignment="true" applyProtection="false">
      <alignment horizontal="general" vertical="bottom" textRotation="0" wrapText="false" indent="0" shrinkToFit="false"/>
    </xf>
    <xf numFmtId="164" fontId="8" fillId="14" borderId="0" applyFont="true" applyBorder="false" applyAlignment="true" applyProtection="false">
      <alignment horizontal="general" vertical="bottom" textRotation="0" wrapText="false" indent="0" shrinkToFit="false"/>
    </xf>
    <xf numFmtId="164" fontId="8" fillId="19" borderId="0" applyFont="true" applyBorder="false" applyAlignment="true" applyProtection="false">
      <alignment horizontal="general" vertical="bottom" textRotation="0" wrapText="false" indent="0" shrinkToFit="false"/>
    </xf>
    <xf numFmtId="164" fontId="22" fillId="7" borderId="4" applyFont="true" applyBorder="true" applyAlignment="true" applyProtection="false">
      <alignment horizontal="general" vertical="bottom" textRotation="0" wrapText="false" indent="0" shrinkToFit="false"/>
    </xf>
    <xf numFmtId="164" fontId="23" fillId="20" borderId="5" applyFont="true" applyBorder="true" applyAlignment="true" applyProtection="false">
      <alignment horizontal="general" vertical="bottom" textRotation="0" wrapText="false" indent="0" shrinkToFit="false"/>
    </xf>
    <xf numFmtId="164" fontId="24" fillId="20" borderId="4" applyFont="true" applyBorder="true" applyAlignment="true" applyProtection="false">
      <alignment horizontal="general" vertical="bottom" textRotation="0" wrapText="false" indent="0" shrinkToFit="false"/>
    </xf>
    <xf numFmtId="164" fontId="25" fillId="0" borderId="0" applyFont="true" applyBorder="false" applyAlignment="true" applyProtection="false">
      <alignment horizontal="general" vertical="bottom" textRotation="0" wrapText="false" indent="0" shrinkToFit="false"/>
    </xf>
    <xf numFmtId="179" fontId="0" fillId="0" borderId="0" applyFont="true" applyBorder="false" applyAlignment="true" applyProtection="false">
      <alignment horizontal="general" vertical="bottom" textRotation="0" wrapText="false" indent="0" shrinkToFit="false"/>
    </xf>
    <xf numFmtId="179" fontId="0" fillId="0" borderId="0" applyFont="true" applyBorder="false" applyAlignment="true" applyProtection="false">
      <alignment horizontal="general" vertical="bottom" textRotation="0" wrapText="false" indent="0" shrinkToFit="false"/>
    </xf>
    <xf numFmtId="180" fontId="0" fillId="0" borderId="0" applyFont="true" applyBorder="false" applyAlignment="true" applyProtection="false">
      <alignment horizontal="general" vertical="bottom" textRotation="0" wrapText="false" indent="0" shrinkToFit="false"/>
    </xf>
    <xf numFmtId="164" fontId="26" fillId="0" borderId="6" applyFont="true" applyBorder="true" applyAlignment="true" applyProtection="false">
      <alignment horizontal="general" vertical="bottom" textRotation="0" wrapText="false" indent="0" shrinkToFit="false"/>
    </xf>
    <xf numFmtId="164" fontId="27" fillId="0" borderId="7" applyFont="true" applyBorder="true" applyAlignment="true" applyProtection="false">
      <alignment horizontal="general" vertical="bottom" textRotation="0" wrapText="false" indent="0" shrinkToFit="false"/>
    </xf>
    <xf numFmtId="164" fontId="28" fillId="0" borderId="8" applyFont="true" applyBorder="true" applyAlignment="true" applyProtection="false">
      <alignment horizontal="general" vertical="bottom" textRotation="0" wrapText="false" indent="0" shrinkToFit="false"/>
    </xf>
    <xf numFmtId="164" fontId="28" fillId="0" borderId="0" applyFont="true" applyBorder="false" applyAlignment="true" applyProtection="false">
      <alignment horizontal="general" vertical="bottom" textRotation="0" wrapText="false" indent="0" shrinkToFit="false"/>
    </xf>
    <xf numFmtId="164" fontId="29" fillId="0" borderId="9" applyFont="true" applyBorder="tru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30" fillId="21" borderId="10" applyFont="true" applyBorder="true" applyAlignment="true" applyProtection="false">
      <alignment horizontal="general" vertical="bottom" textRotation="0" wrapText="false" indent="0" shrinkToFit="false"/>
    </xf>
    <xf numFmtId="164" fontId="31" fillId="0" borderId="0" applyFont="true" applyBorder="false" applyAlignment="true" applyProtection="false">
      <alignment horizontal="general" vertical="bottom" textRotation="0" wrapText="false" indent="0" shrinkToFit="false"/>
    </xf>
    <xf numFmtId="164" fontId="32" fillId="22" borderId="0" applyFont="true" applyBorder="false" applyAlignment="true" applyProtection="false">
      <alignment horizontal="general" vertical="bottom" textRotation="0" wrapText="false" indent="0" shrinkToFit="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3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4"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center" vertical="bottom" textRotation="0" wrapText="false" indent="0" shrinkToFit="false"/>
      <protection locked="true" hidden="false"/>
    </xf>
    <xf numFmtId="164" fontId="4" fillId="0" borderId="0" applyFont="true" applyBorder="true" applyAlignment="true" applyProtection="true">
      <alignment horizontal="center"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33"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35"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36" fillId="0" borderId="0" applyFont="true" applyBorder="true" applyAlignment="true" applyProtection="true">
      <alignment horizontal="general" vertical="bottom" textRotation="0" wrapText="false" indent="0" shrinkToFit="false"/>
      <protection locked="true" hidden="false"/>
    </xf>
    <xf numFmtId="164" fontId="37" fillId="3" borderId="0" applyFont="true" applyBorder="false" applyAlignment="true" applyProtection="false">
      <alignment horizontal="general" vertical="bottom" textRotation="0" wrapText="false" indent="0" shrinkToFit="false"/>
    </xf>
    <xf numFmtId="164" fontId="38" fillId="0" borderId="0" applyFont="true" applyBorder="false" applyAlignment="true" applyProtection="false">
      <alignment horizontal="general" vertical="bottom" textRotation="0" wrapText="false" indent="0" shrinkToFit="false"/>
    </xf>
    <xf numFmtId="164" fontId="0" fillId="23" borderId="11" applyFont="true" applyBorder="true" applyAlignment="true" applyProtection="false">
      <alignment horizontal="general" vertical="bottom" textRotation="0" wrapText="false" indent="0" shrinkToFit="false"/>
    </xf>
    <xf numFmtId="181" fontId="0" fillId="0" borderId="0" applyFont="true" applyBorder="false" applyAlignment="true" applyProtection="false">
      <alignment horizontal="general" vertical="bottom" textRotation="0" wrapText="false" indent="0" shrinkToFit="false"/>
    </xf>
    <xf numFmtId="181" fontId="0" fillId="0" borderId="0" applyFont="true" applyBorder="false" applyAlignment="true" applyProtection="false">
      <alignment horizontal="general" vertical="bottom" textRotation="0" wrapText="false" indent="0" shrinkToFit="false"/>
    </xf>
    <xf numFmtId="164" fontId="39" fillId="0" borderId="12" applyFont="true" applyBorder="tru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40" fillId="0" borderId="0" applyFont="true" applyBorder="false" applyAlignment="true" applyProtection="false">
      <alignment horizontal="general" vertical="bottom" textRotation="0" wrapText="false" indent="0" shrinkToFit="false"/>
    </xf>
    <xf numFmtId="182" fontId="0" fillId="0" borderId="0" applyFont="true" applyBorder="false" applyAlignment="true" applyProtection="false">
      <alignment horizontal="general" vertical="bottom" textRotation="0" wrapText="false" indent="0" shrinkToFit="false"/>
    </xf>
    <xf numFmtId="183"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86" fontId="6" fillId="0" borderId="0" applyFont="true" applyBorder="false" applyAlignment="true" applyProtection="false">
      <alignment horizontal="general" vertical="bottom" textRotation="0" wrapText="false" indent="0" shrinkToFit="false"/>
    </xf>
    <xf numFmtId="187" fontId="6"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8"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8" fontId="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8"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84" fontId="0" fillId="0" borderId="0" applyFont="true" applyBorder="false" applyAlignment="true" applyProtection="false">
      <alignment horizontal="general" vertical="bottom" textRotation="0" wrapText="false" indent="0" shrinkToFit="false"/>
    </xf>
    <xf numFmtId="164" fontId="41" fillId="4" borderId="0" applyFont="true" applyBorder="false" applyAlignment="true" applyProtection="false">
      <alignment horizontal="general" vertical="bottom" textRotation="0" wrapText="false" indent="0" shrinkToFit="false"/>
    </xf>
  </cellStyleXfs>
  <cellXfs count="1917">
    <xf numFmtId="164" fontId="0" fillId="0" borderId="0" xfId="0" applyFont="false" applyBorder="false" applyAlignment="false" applyProtection="false">
      <alignment horizontal="general" vertical="bottom" textRotation="0" wrapText="false" indent="0" shrinkToFit="false"/>
      <protection locked="true" hidden="false"/>
    </xf>
    <xf numFmtId="164" fontId="42" fillId="0" borderId="0" xfId="187" applyFont="true" applyBorder="false" applyAlignment="true" applyProtection="false">
      <alignment horizontal="center" vertical="top" textRotation="0" wrapText="false" indent="0" shrinkToFit="false"/>
      <protection locked="true" hidden="false"/>
    </xf>
    <xf numFmtId="164" fontId="43" fillId="0" borderId="0" xfId="187" applyFont="true" applyBorder="false" applyAlignment="true" applyProtection="false">
      <alignment horizontal="general" vertical="top" textRotation="0" wrapText="false" indent="0" shrinkToFit="false"/>
      <protection locked="true" hidden="false"/>
    </xf>
    <xf numFmtId="164" fontId="43" fillId="0" borderId="0" xfId="187" applyFont="true" applyBorder="false" applyAlignment="true" applyProtection="false">
      <alignment horizontal="center" vertical="top" textRotation="0" wrapText="false" indent="0" shrinkToFit="false"/>
      <protection locked="true" hidden="false"/>
    </xf>
    <xf numFmtId="164" fontId="43" fillId="0" borderId="0" xfId="187" applyFont="true" applyBorder="false" applyAlignment="true" applyProtection="false">
      <alignment horizontal="right" vertical="top" textRotation="0" wrapText="false" indent="0" shrinkToFit="false"/>
      <protection locked="true" hidden="false"/>
    </xf>
    <xf numFmtId="164" fontId="44" fillId="0" borderId="0" xfId="187" applyFont="true" applyBorder="false" applyAlignment="true" applyProtection="false">
      <alignment horizontal="center" vertical="top" textRotation="0" wrapText="false" indent="0" shrinkToFit="false"/>
      <protection locked="true" hidden="false"/>
    </xf>
    <xf numFmtId="164" fontId="42" fillId="0" borderId="0" xfId="187" applyFont="true" applyBorder="true" applyAlignment="true" applyProtection="false">
      <alignment horizontal="center" vertical="top" textRotation="0" wrapText="false" indent="0" shrinkToFit="false"/>
      <protection locked="true" hidden="false"/>
    </xf>
    <xf numFmtId="164" fontId="43" fillId="0" borderId="13" xfId="187" applyFont="true" applyBorder="true" applyAlignment="true" applyProtection="false">
      <alignment horizontal="center" vertical="top" textRotation="0" wrapText="false" indent="0" shrinkToFit="false"/>
      <protection locked="true" hidden="false"/>
    </xf>
    <xf numFmtId="164" fontId="43" fillId="0" borderId="13" xfId="187" applyFont="true" applyBorder="true" applyAlignment="true" applyProtection="false">
      <alignment horizontal="center" vertical="top" textRotation="0" wrapText="true" indent="0" shrinkToFit="false"/>
      <protection locked="true" hidden="false"/>
    </xf>
    <xf numFmtId="164" fontId="43" fillId="24" borderId="13" xfId="187" applyFont="true" applyBorder="true" applyAlignment="true" applyProtection="false">
      <alignment horizontal="center" vertical="top" textRotation="0" wrapText="true" indent="0" shrinkToFit="false"/>
      <protection locked="true" hidden="false"/>
    </xf>
    <xf numFmtId="177" fontId="45" fillId="25" borderId="13" xfId="267" applyFont="true" applyBorder="true" applyAlignment="true" applyProtection="false">
      <alignment horizontal="center" vertical="top" textRotation="0" wrapText="true" indent="0" shrinkToFit="false"/>
      <protection locked="true" hidden="false"/>
    </xf>
    <xf numFmtId="164" fontId="45" fillId="25" borderId="13" xfId="0" applyFont="true" applyBorder="true" applyAlignment="true" applyProtection="false">
      <alignment horizontal="left" vertical="top" textRotation="0" wrapText="true" indent="0" shrinkToFit="false"/>
      <protection locked="true" hidden="false"/>
    </xf>
    <xf numFmtId="164" fontId="43" fillId="25" borderId="13" xfId="187" applyFont="true" applyBorder="true" applyAlignment="true" applyProtection="false">
      <alignment horizontal="center" vertical="top" textRotation="0" wrapText="true" indent="0" shrinkToFit="false"/>
      <protection locked="true" hidden="false"/>
    </xf>
    <xf numFmtId="164" fontId="43" fillId="25" borderId="13" xfId="187" applyFont="true" applyBorder="true" applyAlignment="true" applyProtection="false">
      <alignment horizontal="right" vertical="top" textRotation="0" wrapText="false" indent="0" shrinkToFit="false"/>
      <protection locked="true" hidden="false"/>
    </xf>
    <xf numFmtId="164" fontId="43" fillId="25" borderId="13" xfId="187" applyFont="true" applyBorder="true" applyAlignment="true" applyProtection="false">
      <alignment horizontal="general" vertical="top" textRotation="0" wrapText="false" indent="0" shrinkToFit="false"/>
      <protection locked="true" hidden="false"/>
    </xf>
    <xf numFmtId="177" fontId="45" fillId="26" borderId="13" xfId="0" applyFont="true" applyBorder="true" applyAlignment="true" applyProtection="false">
      <alignment horizontal="center" vertical="top" textRotation="0" wrapText="true" indent="0" shrinkToFit="false"/>
      <protection locked="true" hidden="false"/>
    </xf>
    <xf numFmtId="189" fontId="45" fillId="26" borderId="13" xfId="0" applyFont="true" applyBorder="true" applyAlignment="true" applyProtection="false">
      <alignment horizontal="left" vertical="top" textRotation="0" wrapText="true" indent="0" shrinkToFit="false"/>
      <protection locked="true" hidden="false"/>
    </xf>
    <xf numFmtId="164" fontId="43" fillId="26" borderId="13" xfId="187" applyFont="true" applyBorder="true" applyAlignment="true" applyProtection="false">
      <alignment horizontal="center" vertical="top" textRotation="0" wrapText="true" indent="0" shrinkToFit="false"/>
      <protection locked="true" hidden="false"/>
    </xf>
    <xf numFmtId="164" fontId="43" fillId="26" borderId="13" xfId="187" applyFont="true" applyBorder="true" applyAlignment="true" applyProtection="false">
      <alignment horizontal="right" vertical="top" textRotation="0" wrapText="false" indent="0" shrinkToFit="false"/>
      <protection locked="true" hidden="false"/>
    </xf>
    <xf numFmtId="164" fontId="43" fillId="26" borderId="13" xfId="187" applyFont="true" applyBorder="true" applyAlignment="true" applyProtection="false">
      <alignment horizontal="general" vertical="top" textRotation="0" wrapText="false" indent="0" shrinkToFit="false"/>
      <protection locked="true" hidden="false"/>
    </xf>
    <xf numFmtId="177" fontId="45" fillId="0" borderId="13" xfId="0" applyFont="true" applyBorder="true" applyAlignment="true" applyProtection="false">
      <alignment horizontal="center" vertical="top" textRotation="0" wrapText="true" indent="0" shrinkToFit="false"/>
      <protection locked="true" hidden="false"/>
    </xf>
    <xf numFmtId="164" fontId="46" fillId="0" borderId="13" xfId="269" applyFont="true" applyBorder="true" applyAlignment="true" applyProtection="false">
      <alignment horizontal="general" vertical="top" textRotation="0" wrapText="true" indent="0" shrinkToFit="false"/>
      <protection locked="true" hidden="false"/>
    </xf>
    <xf numFmtId="190" fontId="43" fillId="0" borderId="13" xfId="187" applyFont="true" applyBorder="true" applyAlignment="true" applyProtection="false">
      <alignment horizontal="center" vertical="top" textRotation="0" wrapText="true" indent="0" shrinkToFit="false"/>
      <protection locked="true" hidden="false"/>
    </xf>
    <xf numFmtId="190" fontId="43" fillId="0" borderId="13" xfId="187" applyFont="true" applyBorder="true" applyAlignment="true" applyProtection="false">
      <alignment horizontal="right" vertical="top" textRotation="0" wrapText="false" indent="0" shrinkToFit="false"/>
      <protection locked="true" hidden="false"/>
    </xf>
    <xf numFmtId="190" fontId="43" fillId="0" borderId="13" xfId="187" applyFont="true" applyBorder="true" applyAlignment="true" applyProtection="false">
      <alignment horizontal="center" vertical="top" textRotation="0" wrapText="false" indent="0" shrinkToFit="false"/>
      <protection locked="true" hidden="false"/>
    </xf>
    <xf numFmtId="164" fontId="46" fillId="0" borderId="13" xfId="0" applyFont="true" applyBorder="true" applyAlignment="true" applyProtection="true">
      <alignment horizontal="left" vertical="top" textRotation="0" wrapText="true" indent="0" shrinkToFit="false"/>
      <protection locked="false" hidden="false"/>
    </xf>
    <xf numFmtId="190" fontId="46" fillId="0" borderId="13" xfId="187" applyFont="true" applyBorder="true" applyAlignment="true" applyProtection="false">
      <alignment horizontal="center" vertical="top" textRotation="0" wrapText="true" indent="0" shrinkToFit="false"/>
      <protection locked="true" hidden="false"/>
    </xf>
    <xf numFmtId="190" fontId="46" fillId="27" borderId="13" xfId="187" applyFont="true" applyBorder="true" applyAlignment="true" applyProtection="false">
      <alignment horizontal="right" vertical="top" textRotation="0" wrapText="false" indent="0" shrinkToFit="false"/>
      <protection locked="true" hidden="false"/>
    </xf>
    <xf numFmtId="177" fontId="45" fillId="27" borderId="13" xfId="0" applyFont="true" applyBorder="true" applyAlignment="true" applyProtection="false">
      <alignment horizontal="center" vertical="top" textRotation="0" wrapText="true" indent="0" shrinkToFit="false"/>
      <protection locked="true" hidden="false"/>
    </xf>
    <xf numFmtId="189" fontId="46" fillId="27" borderId="13" xfId="0" applyFont="true" applyBorder="true" applyAlignment="true" applyProtection="false">
      <alignment horizontal="left" vertical="top" textRotation="0" wrapText="true" indent="0" shrinkToFit="false"/>
      <protection locked="true" hidden="false"/>
    </xf>
    <xf numFmtId="191" fontId="46" fillId="0" borderId="13" xfId="15" applyFont="true" applyBorder="true" applyAlignment="true" applyProtection="true">
      <alignment horizontal="general" vertical="top" textRotation="0" wrapText="false" indent="0" shrinkToFit="false"/>
      <protection locked="true" hidden="false"/>
    </xf>
    <xf numFmtId="191" fontId="43" fillId="0" borderId="13" xfId="15" applyFont="true" applyBorder="true" applyAlignment="true" applyProtection="true">
      <alignment horizontal="general" vertical="top" textRotation="0" wrapText="false" indent="0" shrinkToFit="false"/>
      <protection locked="true" hidden="false"/>
    </xf>
    <xf numFmtId="190" fontId="43" fillId="26" borderId="13" xfId="187" applyFont="true" applyBorder="true" applyAlignment="true" applyProtection="false">
      <alignment horizontal="center" vertical="top" textRotation="0" wrapText="true" indent="0" shrinkToFit="false"/>
      <protection locked="true" hidden="false"/>
    </xf>
    <xf numFmtId="190" fontId="43" fillId="26" borderId="13" xfId="187" applyFont="true" applyBorder="true" applyAlignment="true" applyProtection="false">
      <alignment horizontal="right" vertical="top" textRotation="0" wrapText="false" indent="0" shrinkToFit="false"/>
      <protection locked="true" hidden="false"/>
    </xf>
    <xf numFmtId="190" fontId="43" fillId="26" borderId="13" xfId="187" applyFont="true" applyBorder="true" applyAlignment="true" applyProtection="false">
      <alignment horizontal="center" vertical="top" textRotation="0" wrapText="false" indent="0" shrinkToFit="false"/>
      <protection locked="true" hidden="false"/>
    </xf>
    <xf numFmtId="190" fontId="43" fillId="0" borderId="14" xfId="187" applyFont="true" applyBorder="true" applyAlignment="true" applyProtection="false">
      <alignment horizontal="center" vertical="top" textRotation="0" wrapText="false" indent="0" shrinkToFit="false"/>
      <protection locked="true" hidden="false"/>
    </xf>
    <xf numFmtId="189" fontId="46" fillId="0" borderId="13" xfId="269" applyFont="true" applyBorder="true" applyAlignment="true" applyProtection="false">
      <alignment horizontal="center" vertical="top" textRotation="0" wrapText="true" indent="0" shrinkToFit="false"/>
      <protection locked="true" hidden="false"/>
    </xf>
    <xf numFmtId="189" fontId="46" fillId="0" borderId="13" xfId="269" applyFont="true" applyBorder="true" applyAlignment="true" applyProtection="false">
      <alignment horizontal="right" vertical="top" textRotation="0" wrapText="true" indent="0" shrinkToFit="false"/>
      <protection locked="true" hidden="false"/>
    </xf>
    <xf numFmtId="164" fontId="46" fillId="0" borderId="13" xfId="269" applyFont="true" applyBorder="true" applyAlignment="true" applyProtection="false">
      <alignment horizontal="center" vertical="top" textRotation="0" wrapText="true" indent="0" shrinkToFit="false"/>
      <protection locked="true" hidden="false"/>
    </xf>
    <xf numFmtId="190" fontId="43" fillId="26" borderId="14" xfId="187" applyFont="true" applyBorder="true" applyAlignment="true" applyProtection="false">
      <alignment horizontal="center" vertical="top" textRotation="0" wrapText="false" indent="0" shrinkToFit="false"/>
      <protection locked="true" hidden="false"/>
    </xf>
    <xf numFmtId="164" fontId="46" fillId="27" borderId="13" xfId="0" applyFont="true" applyBorder="true" applyAlignment="true" applyProtection="false">
      <alignment horizontal="left" vertical="top" textRotation="0" wrapText="true" indent="0" shrinkToFit="false"/>
      <protection locked="true" hidden="false"/>
    </xf>
    <xf numFmtId="164" fontId="46" fillId="27" borderId="13" xfId="269" applyFont="true" applyBorder="true" applyAlignment="true" applyProtection="false">
      <alignment horizontal="general" vertical="top" textRotation="0" wrapText="true" indent="0" shrinkToFit="false"/>
      <protection locked="true" hidden="false"/>
    </xf>
    <xf numFmtId="164" fontId="42" fillId="26" borderId="13" xfId="187" applyFont="true" applyBorder="true" applyAlignment="true" applyProtection="false">
      <alignment horizontal="general" vertical="top" textRotation="0" wrapText="true" indent="0" shrinkToFit="false"/>
      <protection locked="true" hidden="false"/>
    </xf>
    <xf numFmtId="177" fontId="47" fillId="0" borderId="13" xfId="187" applyFont="true" applyBorder="true" applyAlignment="true" applyProtection="false">
      <alignment horizontal="center" vertical="top" textRotation="0" wrapText="true" indent="0" shrinkToFit="false"/>
      <protection locked="true" hidden="false"/>
    </xf>
    <xf numFmtId="164" fontId="48" fillId="0" borderId="13" xfId="187" applyFont="true" applyBorder="true" applyAlignment="true" applyProtection="false">
      <alignment horizontal="general" vertical="top" textRotation="0" wrapText="true" indent="0" shrinkToFit="false"/>
      <protection locked="true" hidden="false"/>
    </xf>
    <xf numFmtId="164" fontId="46" fillId="0" borderId="0" xfId="0" applyFont="true" applyBorder="false" applyAlignment="true" applyProtection="false">
      <alignment horizontal="general" vertical="top" textRotation="0" wrapText="true" indent="0" shrinkToFit="false"/>
      <protection locked="true" hidden="false"/>
    </xf>
    <xf numFmtId="164" fontId="48" fillId="27" borderId="13" xfId="187" applyFont="true" applyBorder="true" applyAlignment="true" applyProtection="false">
      <alignment horizontal="general" vertical="top" textRotation="0" wrapText="true" indent="0" shrinkToFit="false"/>
      <protection locked="true" hidden="false"/>
    </xf>
    <xf numFmtId="189" fontId="46" fillId="0" borderId="13" xfId="0" applyFont="true" applyBorder="true" applyAlignment="true" applyProtection="false">
      <alignment horizontal="left" vertical="top" textRotation="0" wrapText="true" indent="0" shrinkToFit="false"/>
      <protection locked="true" hidden="false"/>
    </xf>
    <xf numFmtId="190" fontId="43" fillId="27" borderId="13" xfId="187" applyFont="true" applyBorder="true" applyAlignment="true" applyProtection="false">
      <alignment horizontal="center" vertical="top" textRotation="0" wrapText="true" indent="0" shrinkToFit="false"/>
      <protection locked="true" hidden="false"/>
    </xf>
    <xf numFmtId="164" fontId="43" fillId="0" borderId="13" xfId="187" applyFont="true" applyBorder="true" applyAlignment="true" applyProtection="false">
      <alignment horizontal="general" vertical="top" textRotation="0" wrapText="true" indent="0" shrinkToFit="false"/>
      <protection locked="true" hidden="false"/>
    </xf>
    <xf numFmtId="164" fontId="46" fillId="27" borderId="13" xfId="266" applyFont="true" applyBorder="true" applyAlignment="true" applyProtection="true">
      <alignment horizontal="general" vertical="top" textRotation="0" wrapText="true" indent="0" shrinkToFit="false"/>
      <protection locked="false" hidden="false"/>
    </xf>
    <xf numFmtId="164" fontId="46" fillId="27" borderId="13" xfId="0" applyFont="true" applyBorder="true" applyAlignment="true" applyProtection="true">
      <alignment horizontal="left" vertical="top" textRotation="0" wrapText="true" indent="0" shrinkToFit="false"/>
      <protection locked="false" hidden="false"/>
    </xf>
    <xf numFmtId="164" fontId="46" fillId="27" borderId="13" xfId="266" applyFont="true" applyBorder="true" applyAlignment="true" applyProtection="false">
      <alignment horizontal="left" vertical="top" textRotation="0" wrapText="true" indent="0" shrinkToFit="false"/>
      <protection locked="true" hidden="false"/>
    </xf>
    <xf numFmtId="189" fontId="46" fillId="27" borderId="13" xfId="269" applyFont="true" applyBorder="true" applyAlignment="true" applyProtection="false">
      <alignment horizontal="left" vertical="top" textRotation="0" wrapText="true" indent="0" shrinkToFit="false"/>
      <protection locked="true" hidden="false"/>
    </xf>
    <xf numFmtId="164" fontId="45" fillId="26" borderId="13" xfId="0" applyFont="true" applyBorder="true" applyAlignment="true" applyProtection="false">
      <alignment horizontal="left" vertical="top" textRotation="0" wrapText="true" indent="0" shrinkToFit="false"/>
      <protection locked="true" hidden="false"/>
    </xf>
    <xf numFmtId="164" fontId="43" fillId="27" borderId="13" xfId="187" applyFont="true" applyBorder="true" applyAlignment="true" applyProtection="false">
      <alignment horizontal="center" vertical="top" textRotation="0" wrapText="true" indent="0" shrinkToFit="false"/>
      <protection locked="true" hidden="false"/>
    </xf>
    <xf numFmtId="190" fontId="43" fillId="27" borderId="13" xfId="187" applyFont="true" applyBorder="true" applyAlignment="true" applyProtection="false">
      <alignment horizontal="right" vertical="top" textRotation="0" wrapText="false" indent="0" shrinkToFit="false"/>
      <protection locked="true" hidden="false"/>
    </xf>
    <xf numFmtId="190" fontId="43" fillId="27" borderId="13" xfId="187" applyFont="true" applyBorder="true" applyAlignment="true" applyProtection="false">
      <alignment horizontal="center" vertical="top" textRotation="0" wrapText="false" indent="0" shrinkToFit="false"/>
      <protection locked="true" hidden="false"/>
    </xf>
    <xf numFmtId="190" fontId="43" fillId="27" borderId="14" xfId="187" applyFont="true" applyBorder="true" applyAlignment="true" applyProtection="false">
      <alignment horizontal="center" vertical="top" textRotation="0" wrapText="false" indent="0" shrinkToFit="false"/>
      <protection locked="true" hidden="false"/>
    </xf>
    <xf numFmtId="164" fontId="46" fillId="27" borderId="13" xfId="269" applyFont="true" applyBorder="true" applyAlignment="true" applyProtection="false">
      <alignment horizontal="left" vertical="top" textRotation="0" wrapText="true" indent="0" shrinkToFit="false"/>
      <protection locked="true" hidden="false"/>
    </xf>
    <xf numFmtId="164" fontId="43" fillId="27" borderId="13" xfId="187" applyFont="true" applyBorder="true" applyAlignment="true" applyProtection="false">
      <alignment horizontal="general" vertical="top" textRotation="0" wrapText="true" indent="0" shrinkToFit="false"/>
      <protection locked="true" hidden="false"/>
    </xf>
    <xf numFmtId="190" fontId="43" fillId="0" borderId="13" xfId="187" applyFont="true" applyBorder="true" applyAlignment="true" applyProtection="false">
      <alignment horizontal="right" vertical="top" textRotation="0" wrapText="true" indent="0" shrinkToFit="false"/>
      <protection locked="true" hidden="false"/>
    </xf>
    <xf numFmtId="164" fontId="43" fillId="0" borderId="13" xfId="187" applyFont="true" applyBorder="true" applyAlignment="true" applyProtection="false">
      <alignment horizontal="general" vertical="top" textRotation="0" wrapText="false" indent="0" shrinkToFit="false"/>
      <protection locked="true" hidden="false"/>
    </xf>
    <xf numFmtId="164" fontId="43" fillId="0" borderId="14" xfId="187" applyFont="true" applyBorder="true" applyAlignment="true" applyProtection="false">
      <alignment horizontal="general" vertical="top" textRotation="0" wrapText="false" indent="0" shrinkToFit="false"/>
      <protection locked="true" hidden="false"/>
    </xf>
    <xf numFmtId="191" fontId="43" fillId="0" borderId="13" xfId="15" applyFont="true" applyBorder="true" applyAlignment="true" applyProtection="true">
      <alignment horizontal="right" vertical="top" textRotation="0" wrapText="false" indent="0" shrinkToFit="false"/>
      <protection locked="true" hidden="false"/>
    </xf>
    <xf numFmtId="164" fontId="43" fillId="28" borderId="0" xfId="187" applyFont="true" applyBorder="false" applyAlignment="true" applyProtection="false">
      <alignment horizontal="general" vertical="top" textRotation="0" wrapText="false" indent="0" shrinkToFit="false"/>
      <protection locked="true" hidden="false"/>
    </xf>
    <xf numFmtId="164" fontId="46" fillId="27" borderId="13" xfId="187" applyFont="true" applyBorder="true" applyAlignment="true" applyProtection="false">
      <alignment horizontal="general" vertical="top" textRotation="0" wrapText="true" indent="0" shrinkToFit="false"/>
      <protection locked="true" hidden="false"/>
    </xf>
    <xf numFmtId="164" fontId="47" fillId="26" borderId="13" xfId="0" applyFont="true" applyBorder="true" applyAlignment="true" applyProtection="false">
      <alignment horizontal="left" vertical="top" textRotation="0" wrapText="true" indent="0" shrinkToFit="false"/>
      <protection locked="true" hidden="false"/>
    </xf>
    <xf numFmtId="177" fontId="45" fillId="25" borderId="13" xfId="0" applyFont="true" applyBorder="true" applyAlignment="true" applyProtection="false">
      <alignment horizontal="center" vertical="top" textRotation="0" wrapText="true" indent="0" shrinkToFit="false"/>
      <protection locked="true" hidden="false"/>
    </xf>
    <xf numFmtId="190" fontId="43" fillId="25" borderId="13" xfId="187" applyFont="true" applyBorder="true" applyAlignment="true" applyProtection="false">
      <alignment horizontal="center" vertical="top" textRotation="0" wrapText="true" indent="0" shrinkToFit="false"/>
      <protection locked="true" hidden="false"/>
    </xf>
    <xf numFmtId="190" fontId="43" fillId="25" borderId="13" xfId="187" applyFont="true" applyBorder="true" applyAlignment="true" applyProtection="false">
      <alignment horizontal="right" vertical="top" textRotation="0" wrapText="false" indent="0" shrinkToFit="false"/>
      <protection locked="true" hidden="false"/>
    </xf>
    <xf numFmtId="190" fontId="43" fillId="25" borderId="13" xfId="187" applyFont="true" applyBorder="true" applyAlignment="true" applyProtection="false">
      <alignment horizontal="center" vertical="top" textRotation="0" wrapText="false" indent="0" shrinkToFit="false"/>
      <protection locked="true" hidden="false"/>
    </xf>
    <xf numFmtId="164" fontId="46" fillId="27" borderId="13" xfId="229" applyFont="true" applyBorder="true" applyAlignment="true" applyProtection="false">
      <alignment horizontal="left" vertical="top" textRotation="0" wrapText="true" indent="0" shrinkToFit="false"/>
      <protection locked="true" hidden="false"/>
    </xf>
    <xf numFmtId="190" fontId="46" fillId="0" borderId="13" xfId="187" applyFont="true" applyBorder="true" applyAlignment="true" applyProtection="false">
      <alignment horizontal="right" vertical="top" textRotation="0" wrapText="false" indent="0" shrinkToFit="false"/>
      <protection locked="true" hidden="false"/>
    </xf>
    <xf numFmtId="190" fontId="46" fillId="0" borderId="13" xfId="187" applyFont="true" applyBorder="true" applyAlignment="true" applyProtection="false">
      <alignment horizontal="center" vertical="top" textRotation="0" wrapText="false" indent="0" shrinkToFit="false"/>
      <protection locked="true" hidden="false"/>
    </xf>
    <xf numFmtId="164" fontId="46" fillId="0" borderId="0" xfId="187" applyFont="true" applyBorder="false" applyAlignment="true" applyProtection="false">
      <alignment horizontal="general" vertical="top" textRotation="0" wrapText="false" indent="0" shrinkToFit="false"/>
      <protection locked="true" hidden="false"/>
    </xf>
    <xf numFmtId="164" fontId="47" fillId="25" borderId="13" xfId="0" applyFont="true" applyBorder="true" applyAlignment="true" applyProtection="false">
      <alignment horizontal="left" vertical="top" textRotation="0" wrapText="true" indent="0" shrinkToFit="false"/>
      <protection locked="true" hidden="false"/>
    </xf>
    <xf numFmtId="177" fontId="45" fillId="26" borderId="0" xfId="0" applyFont="true" applyBorder="false" applyAlignment="true" applyProtection="false">
      <alignment horizontal="center" vertical="top" textRotation="0" wrapText="true" indent="0" shrinkToFit="false"/>
      <protection locked="true" hidden="false"/>
    </xf>
    <xf numFmtId="177" fontId="46" fillId="27" borderId="13" xfId="0" applyFont="true" applyBorder="true" applyAlignment="true" applyProtection="false">
      <alignment horizontal="left" vertical="top" textRotation="0" wrapText="true" indent="0" shrinkToFit="false"/>
      <protection locked="true" hidden="false"/>
    </xf>
    <xf numFmtId="164" fontId="45" fillId="26" borderId="0" xfId="0" applyFont="true" applyBorder="false" applyAlignment="true" applyProtection="false">
      <alignment horizontal="general" vertical="top" textRotation="0" wrapText="false" indent="0" shrinkToFit="false"/>
      <protection locked="true" hidden="false"/>
    </xf>
    <xf numFmtId="189" fontId="46" fillId="27" borderId="15" xfId="0" applyFont="true" applyBorder="true" applyAlignment="true" applyProtection="false">
      <alignment horizontal="left" vertical="top" textRotation="0" wrapText="true" indent="0" shrinkToFit="false"/>
      <protection locked="true" hidden="false"/>
    </xf>
    <xf numFmtId="177" fontId="46" fillId="27" borderId="15" xfId="0" applyFont="true" applyBorder="true" applyAlignment="true" applyProtection="false">
      <alignment horizontal="left" vertical="top" textRotation="0" wrapText="true" indent="0" shrinkToFit="false"/>
      <protection locked="true" hidden="false"/>
    </xf>
    <xf numFmtId="164" fontId="46" fillId="27" borderId="15" xfId="0" applyFont="true" applyBorder="true" applyAlignment="true" applyProtection="false">
      <alignment horizontal="left" vertical="top" textRotation="0" wrapText="true" indent="0" shrinkToFit="false"/>
      <protection locked="true" hidden="false"/>
    </xf>
    <xf numFmtId="164" fontId="45" fillId="26" borderId="0" xfId="0" applyFont="true" applyBorder="false" applyAlignment="true" applyProtection="false">
      <alignment horizontal="left" vertical="top" textRotation="0" wrapText="true" indent="0" shrinkToFit="false"/>
      <protection locked="true" hidden="false"/>
    </xf>
    <xf numFmtId="189" fontId="45" fillId="26" borderId="15" xfId="0" applyFont="true" applyBorder="true" applyAlignment="true" applyProtection="false">
      <alignment horizontal="left" vertical="top" textRotation="0" wrapText="true" indent="0" shrinkToFit="false"/>
      <protection locked="true" hidden="false"/>
    </xf>
    <xf numFmtId="177" fontId="46" fillId="27" borderId="16" xfId="0" applyFont="true" applyBorder="true" applyAlignment="true" applyProtection="false">
      <alignment horizontal="left" vertical="top" textRotation="0" wrapText="true" indent="0" shrinkToFit="false"/>
      <protection locked="true" hidden="false"/>
    </xf>
    <xf numFmtId="164" fontId="45" fillId="26" borderId="13" xfId="0" applyFont="true" applyBorder="true" applyAlignment="true" applyProtection="false">
      <alignment horizontal="justify" vertical="top" textRotation="0" wrapText="true" indent="0" shrinkToFit="false"/>
      <protection locked="true" hidden="false"/>
    </xf>
    <xf numFmtId="189" fontId="46" fillId="27" borderId="17" xfId="0" applyFont="true" applyBorder="true" applyAlignment="true" applyProtection="false">
      <alignment horizontal="left" vertical="top" textRotation="0" wrapText="true" indent="0" shrinkToFit="false"/>
      <protection locked="true" hidden="false"/>
    </xf>
    <xf numFmtId="177" fontId="45" fillId="26" borderId="13" xfId="0" applyFont="true" applyBorder="true" applyAlignment="true" applyProtection="false">
      <alignment horizontal="left" vertical="top" textRotation="0" wrapText="true" indent="0" shrinkToFit="false"/>
      <protection locked="true" hidden="false"/>
    </xf>
    <xf numFmtId="177" fontId="45" fillId="26" borderId="0" xfId="0" applyFont="true" applyBorder="true" applyAlignment="true" applyProtection="false">
      <alignment horizontal="center" vertical="top" textRotation="0" wrapText="true" indent="0" shrinkToFit="false"/>
      <protection locked="true" hidden="false"/>
    </xf>
    <xf numFmtId="177" fontId="45" fillId="26" borderId="13" xfId="0" applyFont="true" applyBorder="true" applyAlignment="true" applyProtection="false">
      <alignment horizontal="general" vertical="top" textRotation="0" wrapText="true" indent="0" shrinkToFit="false"/>
      <protection locked="true" hidden="false"/>
    </xf>
    <xf numFmtId="177" fontId="42" fillId="25" borderId="13" xfId="187" applyFont="true" applyBorder="true" applyAlignment="true" applyProtection="false">
      <alignment horizontal="center" vertical="top" textRotation="0" wrapText="false" indent="0" shrinkToFit="false"/>
      <protection locked="true" hidden="false"/>
    </xf>
    <xf numFmtId="164" fontId="42" fillId="25" borderId="13" xfId="187" applyFont="true" applyBorder="true" applyAlignment="true" applyProtection="false">
      <alignment horizontal="general" vertical="top" textRotation="0" wrapText="true" indent="0" shrinkToFit="false"/>
      <protection locked="true" hidden="false"/>
    </xf>
    <xf numFmtId="164" fontId="42" fillId="25" borderId="13" xfId="187" applyFont="true" applyBorder="true" applyAlignment="true" applyProtection="false">
      <alignment horizontal="center" vertical="top" textRotation="0" wrapText="false" indent="0" shrinkToFit="false"/>
      <protection locked="true" hidden="false"/>
    </xf>
    <xf numFmtId="190" fontId="42" fillId="25" borderId="13" xfId="15" applyFont="true" applyBorder="true" applyAlignment="true" applyProtection="true">
      <alignment horizontal="center" vertical="top" textRotation="0" wrapText="false" indent="0" shrinkToFit="false"/>
      <protection locked="true" hidden="false"/>
    </xf>
    <xf numFmtId="164" fontId="42" fillId="26" borderId="13" xfId="187" applyFont="true" applyBorder="true" applyAlignment="true" applyProtection="false">
      <alignment horizontal="center" vertical="top" textRotation="0" wrapText="false" indent="0" shrinkToFit="false"/>
      <protection locked="true" hidden="false"/>
    </xf>
    <xf numFmtId="190" fontId="42" fillId="26" borderId="13" xfId="15" applyFont="true" applyBorder="true" applyAlignment="true" applyProtection="true">
      <alignment horizontal="center" vertical="top" textRotation="0" wrapText="false" indent="0" shrinkToFit="false"/>
      <protection locked="true" hidden="false"/>
    </xf>
    <xf numFmtId="164" fontId="43" fillId="27" borderId="0" xfId="187" applyFont="true" applyBorder="false" applyAlignment="true" applyProtection="false">
      <alignment horizontal="general" vertical="top" textRotation="0" wrapText="false" indent="0" shrinkToFit="false"/>
      <protection locked="true" hidden="false"/>
    </xf>
    <xf numFmtId="190" fontId="43" fillId="0" borderId="13" xfId="15" applyFont="true" applyBorder="true" applyAlignment="true" applyProtection="true">
      <alignment horizontal="center" vertical="top" textRotation="0" wrapText="false" indent="0" shrinkToFit="false"/>
      <protection locked="true" hidden="false"/>
    </xf>
    <xf numFmtId="177" fontId="46" fillId="0" borderId="13" xfId="0" applyFont="true" applyBorder="true" applyAlignment="true" applyProtection="false">
      <alignment horizontal="left" vertical="top" textRotation="0" wrapText="true" indent="0" shrinkToFit="false"/>
      <protection locked="true" hidden="false"/>
    </xf>
    <xf numFmtId="164" fontId="43" fillId="26" borderId="13" xfId="187" applyFont="true" applyBorder="true" applyAlignment="true" applyProtection="false">
      <alignment horizontal="center" vertical="top" textRotation="0" wrapText="false" indent="0" shrinkToFit="false"/>
      <protection locked="true" hidden="false"/>
    </xf>
    <xf numFmtId="190" fontId="43" fillId="26" borderId="13" xfId="15" applyFont="true" applyBorder="true" applyAlignment="true" applyProtection="true">
      <alignment horizontal="center" vertical="top" textRotation="0" wrapText="false" indent="0" shrinkToFit="false"/>
      <protection locked="true" hidden="false"/>
    </xf>
    <xf numFmtId="190" fontId="43" fillId="27" borderId="13" xfId="15" applyFont="true" applyBorder="true" applyAlignment="true" applyProtection="true">
      <alignment horizontal="center" vertical="top" textRotation="0" wrapText="false" indent="0" shrinkToFit="false"/>
      <protection locked="true" hidden="false"/>
    </xf>
    <xf numFmtId="164" fontId="42" fillId="26" borderId="13" xfId="187" applyFont="true" applyBorder="true" applyAlignment="true" applyProtection="false">
      <alignment horizontal="general" vertical="top" textRotation="0" wrapText="false" indent="0" shrinkToFit="false"/>
      <protection locked="true" hidden="false"/>
    </xf>
    <xf numFmtId="177" fontId="46" fillId="27" borderId="13" xfId="181" applyFont="true" applyBorder="true" applyAlignment="true" applyProtection="false">
      <alignment horizontal="left" vertical="top" textRotation="0" wrapText="true" indent="0" shrinkToFit="false"/>
      <protection locked="true" hidden="false"/>
    </xf>
    <xf numFmtId="164" fontId="43" fillId="27" borderId="13" xfId="181" applyFont="true" applyBorder="true" applyAlignment="true" applyProtection="false">
      <alignment horizontal="left" vertical="top" textRotation="0" wrapText="true" indent="0" shrinkToFit="false"/>
      <protection locked="true" hidden="false"/>
    </xf>
    <xf numFmtId="164" fontId="43" fillId="27" borderId="13" xfId="181" applyFont="true" applyBorder="true" applyAlignment="true" applyProtection="false">
      <alignment horizontal="general" vertical="top" textRotation="0" wrapText="true" indent="0" shrinkToFit="false"/>
      <protection locked="true" hidden="false"/>
    </xf>
    <xf numFmtId="189" fontId="46" fillId="27" borderId="13" xfId="187" applyFont="true" applyBorder="true" applyAlignment="true" applyProtection="false">
      <alignment horizontal="general" vertical="top" textRotation="0" wrapText="true" indent="0" shrinkToFit="false"/>
      <protection locked="true" hidden="false"/>
    </xf>
    <xf numFmtId="164" fontId="48" fillId="27" borderId="13" xfId="0" applyFont="true" applyBorder="true" applyAlignment="true" applyProtection="false">
      <alignment horizontal="left" vertical="top" textRotation="0" wrapText="true" indent="0" shrinkToFit="false"/>
      <protection locked="true" hidden="false"/>
    </xf>
    <xf numFmtId="177" fontId="45" fillId="25" borderId="0" xfId="0" applyFont="true" applyBorder="false" applyAlignment="true" applyProtection="false">
      <alignment horizontal="center" vertical="top" textRotation="0" wrapText="true" indent="0" shrinkToFit="false"/>
      <protection locked="true" hidden="false"/>
    </xf>
    <xf numFmtId="164" fontId="43" fillId="25" borderId="13" xfId="187" applyFont="true" applyBorder="true" applyAlignment="true" applyProtection="false">
      <alignment horizontal="center" vertical="top" textRotation="0" wrapText="false" indent="0" shrinkToFit="false"/>
      <protection locked="true" hidden="false"/>
    </xf>
    <xf numFmtId="190" fontId="46" fillId="25" borderId="13" xfId="0" applyFont="true" applyBorder="true" applyAlignment="true" applyProtection="false">
      <alignment horizontal="center" vertical="top" textRotation="0" wrapText="true" indent="0" shrinkToFit="false"/>
      <protection locked="true" hidden="false"/>
    </xf>
    <xf numFmtId="190" fontId="46" fillId="27" borderId="13" xfId="0" applyFont="true" applyBorder="true" applyAlignment="true" applyProtection="false">
      <alignment horizontal="center" vertical="top" textRotation="0" wrapText="true" indent="0" shrinkToFit="false"/>
      <protection locked="true" hidden="false"/>
    </xf>
    <xf numFmtId="191" fontId="43" fillId="0" borderId="14" xfId="15" applyFont="true" applyBorder="true" applyAlignment="true" applyProtection="true">
      <alignment horizontal="right" vertical="top" textRotation="0" wrapText="false" indent="0" shrinkToFit="false"/>
      <protection locked="true" hidden="false"/>
    </xf>
    <xf numFmtId="164" fontId="43" fillId="27" borderId="13" xfId="0" applyFont="true" applyBorder="true" applyAlignment="true" applyProtection="false">
      <alignment horizontal="general" vertical="top" textRotation="0" wrapText="true" indent="0" shrinkToFit="false"/>
      <protection locked="true" hidden="false"/>
    </xf>
    <xf numFmtId="190" fontId="46" fillId="27" borderId="13" xfId="0" applyFont="true" applyBorder="true" applyAlignment="true" applyProtection="false">
      <alignment horizontal="right" vertical="top" textRotation="0" wrapText="true" indent="0" shrinkToFit="false"/>
      <protection locked="true" hidden="false"/>
    </xf>
    <xf numFmtId="190" fontId="46" fillId="0" borderId="13" xfId="0" applyFont="true" applyBorder="true" applyAlignment="true" applyProtection="false">
      <alignment horizontal="center" vertical="top" textRotation="0" wrapText="false" indent="0" shrinkToFit="false"/>
      <protection locked="true" hidden="false"/>
    </xf>
    <xf numFmtId="164" fontId="46" fillId="0" borderId="0" xfId="0" applyFont="true" applyBorder="false" applyAlignment="true" applyProtection="false">
      <alignment horizontal="general" vertical="top" textRotation="0" wrapText="false" indent="0" shrinkToFit="false"/>
      <protection locked="true" hidden="false"/>
    </xf>
    <xf numFmtId="164" fontId="46" fillId="0" borderId="13" xfId="0" applyFont="true" applyBorder="true" applyAlignment="true" applyProtection="false">
      <alignment horizontal="left" vertical="top" textRotation="0" wrapText="true" indent="0" shrinkToFit="false"/>
      <protection locked="true" hidden="false"/>
    </xf>
    <xf numFmtId="190" fontId="46" fillId="0" borderId="13" xfId="0" applyFont="true" applyBorder="true" applyAlignment="true" applyProtection="false">
      <alignment horizontal="right" vertical="top" textRotation="0" wrapText="false" indent="0" shrinkToFit="false"/>
      <protection locked="true" hidden="false"/>
    </xf>
    <xf numFmtId="190" fontId="46" fillId="0" borderId="13" xfId="267" applyFont="true" applyBorder="true" applyAlignment="true" applyProtection="false">
      <alignment horizontal="right" vertical="top" textRotation="0" wrapText="true" indent="0" shrinkToFit="false"/>
      <protection locked="true" hidden="false"/>
    </xf>
    <xf numFmtId="190" fontId="46" fillId="0" borderId="13" xfId="267" applyFont="true" applyBorder="true" applyAlignment="true" applyProtection="false">
      <alignment horizontal="center" vertical="top" textRotation="0" wrapText="true" indent="0" shrinkToFit="false"/>
      <protection locked="true" hidden="false"/>
    </xf>
    <xf numFmtId="164" fontId="46" fillId="0" borderId="0" xfId="0" applyFont="true" applyBorder="false" applyAlignment="true" applyProtection="false">
      <alignment horizontal="center" vertical="top" textRotation="0" wrapText="true" indent="0" shrinkToFit="false"/>
      <protection locked="true" hidden="false"/>
    </xf>
    <xf numFmtId="164" fontId="48" fillId="0" borderId="13" xfId="0" applyFont="true" applyBorder="true" applyAlignment="true" applyProtection="false">
      <alignment horizontal="left" vertical="top" textRotation="0" wrapText="true" indent="0" shrinkToFit="false"/>
      <protection locked="true" hidden="false"/>
    </xf>
    <xf numFmtId="190" fontId="46" fillId="27" borderId="0" xfId="0" applyFont="true" applyBorder="true" applyAlignment="true" applyProtection="false">
      <alignment horizontal="left" vertical="top" textRotation="0" wrapText="true" indent="0" shrinkToFit="false"/>
      <protection locked="true" hidden="false"/>
    </xf>
    <xf numFmtId="164" fontId="47" fillId="25" borderId="13" xfId="260" applyFont="true" applyBorder="true" applyAlignment="true" applyProtection="false">
      <alignment horizontal="left" vertical="top" textRotation="0" wrapText="true" indent="0" shrinkToFit="false"/>
      <protection locked="true" hidden="false"/>
    </xf>
    <xf numFmtId="190" fontId="46" fillId="26" borderId="13" xfId="0" applyFont="true" applyBorder="true" applyAlignment="true" applyProtection="false">
      <alignment horizontal="center" vertical="top" textRotation="0" wrapText="true" indent="0" shrinkToFit="false"/>
      <protection locked="true" hidden="false"/>
    </xf>
    <xf numFmtId="177" fontId="45" fillId="26" borderId="14" xfId="0" applyFont="true" applyBorder="true" applyAlignment="true" applyProtection="false">
      <alignment horizontal="center" vertical="top" textRotation="0" wrapText="true" indent="0" shrinkToFit="false"/>
      <protection locked="true" hidden="false"/>
    </xf>
    <xf numFmtId="189" fontId="45" fillId="26" borderId="14" xfId="0" applyFont="true" applyBorder="true" applyAlignment="true" applyProtection="false">
      <alignment horizontal="general" vertical="top" textRotation="0" wrapText="true" indent="0" shrinkToFit="false"/>
      <protection locked="true" hidden="false"/>
    </xf>
    <xf numFmtId="177" fontId="45" fillId="26" borderId="3" xfId="0" applyFont="true" applyBorder="true" applyAlignment="true" applyProtection="false">
      <alignment horizontal="center" vertical="top" textRotation="0" wrapText="true" indent="0" shrinkToFit="false"/>
      <protection locked="true" hidden="false"/>
    </xf>
    <xf numFmtId="189" fontId="45" fillId="26" borderId="3" xfId="0" applyFont="true" applyBorder="true" applyAlignment="true" applyProtection="false">
      <alignment horizontal="general" vertical="top" textRotation="0" wrapText="true" indent="0" shrinkToFit="false"/>
      <protection locked="true" hidden="false"/>
    </xf>
    <xf numFmtId="177" fontId="45" fillId="26" borderId="3" xfId="0" applyFont="true" applyBorder="true" applyAlignment="true" applyProtection="false">
      <alignment horizontal="general" vertical="top" textRotation="0" wrapText="true" indent="0" shrinkToFit="false"/>
      <protection locked="true" hidden="false"/>
    </xf>
    <xf numFmtId="164" fontId="45" fillId="26" borderId="14" xfId="0" applyFont="true" applyBorder="true" applyAlignment="true" applyProtection="false">
      <alignment horizontal="left" vertical="top" textRotation="0" wrapText="true" indent="0" shrinkToFit="false"/>
      <protection locked="true" hidden="false"/>
    </xf>
    <xf numFmtId="177" fontId="45" fillId="27" borderId="14" xfId="0" applyFont="true" applyBorder="true" applyAlignment="true" applyProtection="false">
      <alignment horizontal="center" vertical="top" textRotation="0" wrapText="true" indent="0" shrinkToFit="false"/>
      <protection locked="true" hidden="false"/>
    </xf>
    <xf numFmtId="189" fontId="46" fillId="27" borderId="13" xfId="0" applyFont="true" applyBorder="true" applyAlignment="true" applyProtection="false">
      <alignment horizontal="general" vertical="top" textRotation="0" wrapText="true" indent="0" shrinkToFit="false"/>
      <protection locked="true" hidden="false"/>
    </xf>
    <xf numFmtId="189" fontId="45" fillId="27" borderId="13" xfId="0" applyFont="true" applyBorder="true" applyAlignment="true" applyProtection="false">
      <alignment horizontal="center" vertical="top" textRotation="0" wrapText="true" indent="0" shrinkToFit="false"/>
      <protection locked="true" hidden="false"/>
    </xf>
    <xf numFmtId="189" fontId="45" fillId="0" borderId="13" xfId="0" applyFont="true" applyBorder="true" applyAlignment="true" applyProtection="false">
      <alignment horizontal="center" vertical="top" textRotation="0" wrapText="true" indent="0" shrinkToFit="false"/>
      <protection locked="true" hidden="false"/>
    </xf>
    <xf numFmtId="192" fontId="46" fillId="27" borderId="13" xfId="15" applyFont="true" applyBorder="true" applyAlignment="true" applyProtection="true">
      <alignment horizontal="left" vertical="top" textRotation="0" wrapText="true" indent="0" shrinkToFit="false"/>
      <protection locked="true" hidden="false"/>
    </xf>
    <xf numFmtId="177" fontId="42" fillId="25" borderId="14" xfId="187" applyFont="true" applyBorder="true" applyAlignment="true" applyProtection="false">
      <alignment horizontal="center" vertical="top" textRotation="0" wrapText="false" indent="0" shrinkToFit="false"/>
      <protection locked="true" hidden="false"/>
    </xf>
    <xf numFmtId="191" fontId="42" fillId="25" borderId="13" xfId="15" applyFont="true" applyBorder="true" applyAlignment="true" applyProtection="true">
      <alignment horizontal="center" vertical="top" textRotation="0" wrapText="false" indent="0" shrinkToFit="false"/>
      <protection locked="true" hidden="false"/>
    </xf>
    <xf numFmtId="191" fontId="42" fillId="25" borderId="13" xfId="15" applyFont="true" applyBorder="true" applyAlignment="true" applyProtection="true">
      <alignment horizontal="right" vertical="top" textRotation="0" wrapText="false" indent="0" shrinkToFit="false"/>
      <protection locked="true" hidden="false"/>
    </xf>
    <xf numFmtId="191" fontId="42" fillId="25" borderId="13" xfId="15" applyFont="true" applyBorder="true" applyAlignment="true" applyProtection="true">
      <alignment horizontal="general" vertical="top" textRotation="0" wrapText="false" indent="0" shrinkToFit="false"/>
      <protection locked="true" hidden="false"/>
    </xf>
    <xf numFmtId="177" fontId="43" fillId="0" borderId="14" xfId="187" applyFont="true" applyBorder="true" applyAlignment="true" applyProtection="false">
      <alignment horizontal="center" vertical="top" textRotation="0" wrapText="false" indent="0" shrinkToFit="false"/>
      <protection locked="true" hidden="false"/>
    </xf>
    <xf numFmtId="191" fontId="43" fillId="0" borderId="13" xfId="15" applyFont="true" applyBorder="true" applyAlignment="true" applyProtection="true">
      <alignment horizontal="center" vertical="top" textRotation="0" wrapText="false" indent="0" shrinkToFit="false"/>
      <protection locked="true" hidden="false"/>
    </xf>
    <xf numFmtId="191" fontId="46" fillId="0" borderId="13" xfId="15" applyFont="true" applyBorder="true" applyAlignment="true" applyProtection="true">
      <alignment horizontal="right" vertical="top" textRotation="0" wrapText="false" indent="0" shrinkToFit="false"/>
      <protection locked="true" hidden="false"/>
    </xf>
    <xf numFmtId="191" fontId="49" fillId="0" borderId="13" xfId="15" applyFont="true" applyBorder="true" applyAlignment="true" applyProtection="true">
      <alignment horizontal="general" vertical="top" textRotation="0" wrapText="false" indent="0" shrinkToFit="false"/>
      <protection locked="true" hidden="false"/>
    </xf>
    <xf numFmtId="191" fontId="45" fillId="25" borderId="13" xfId="15" applyFont="true" applyBorder="true" applyAlignment="true" applyProtection="true">
      <alignment horizontal="right" vertical="top" textRotation="0" wrapText="false" indent="0" shrinkToFit="false"/>
      <protection locked="true" hidden="false"/>
    </xf>
    <xf numFmtId="191" fontId="50" fillId="25" borderId="13" xfId="15" applyFont="true" applyBorder="true" applyAlignment="true" applyProtection="true">
      <alignment horizontal="general" vertical="top" textRotation="0" wrapText="false" indent="0" shrinkToFit="false"/>
      <protection locked="true" hidden="false"/>
    </xf>
    <xf numFmtId="164" fontId="42" fillId="27" borderId="14" xfId="187" applyFont="true" applyBorder="true" applyAlignment="true" applyProtection="false">
      <alignment horizontal="center" vertical="top" textRotation="0" wrapText="false" indent="0" shrinkToFit="false"/>
      <protection locked="true" hidden="false"/>
    </xf>
    <xf numFmtId="164" fontId="42" fillId="27" borderId="13" xfId="187" applyFont="true" applyBorder="true" applyAlignment="true" applyProtection="false">
      <alignment horizontal="general" vertical="top" textRotation="0" wrapText="true" indent="0" shrinkToFit="false"/>
      <protection locked="true" hidden="false"/>
    </xf>
    <xf numFmtId="191" fontId="43" fillId="27" borderId="13" xfId="15" applyFont="true" applyBorder="true" applyAlignment="true" applyProtection="true">
      <alignment horizontal="center" vertical="top" textRotation="0" wrapText="false" indent="0" shrinkToFit="false"/>
      <protection locked="true" hidden="false"/>
    </xf>
    <xf numFmtId="191" fontId="43" fillId="27" borderId="13" xfId="15" applyFont="true" applyBorder="true" applyAlignment="true" applyProtection="true">
      <alignment horizontal="right" vertical="top" textRotation="0" wrapText="false" indent="0" shrinkToFit="false"/>
      <protection locked="true" hidden="false"/>
    </xf>
    <xf numFmtId="177" fontId="42" fillId="25" borderId="0" xfId="187" applyFont="true" applyBorder="false" applyAlignment="true" applyProtection="false">
      <alignment horizontal="center" vertical="top" textRotation="0" wrapText="false" indent="0" shrinkToFit="false"/>
      <protection locked="true" hidden="false"/>
    </xf>
    <xf numFmtId="164" fontId="45" fillId="25" borderId="13" xfId="266" applyFont="true" applyBorder="true" applyAlignment="true" applyProtection="false">
      <alignment horizontal="left" vertical="top" textRotation="0" wrapText="false" indent="0" shrinkToFit="false"/>
      <protection locked="true" hidden="false"/>
    </xf>
    <xf numFmtId="191" fontId="43" fillId="25" borderId="13" xfId="15" applyFont="true" applyBorder="true" applyAlignment="true" applyProtection="true">
      <alignment horizontal="right" vertical="top" textRotation="0" wrapText="false" indent="0" shrinkToFit="false"/>
      <protection locked="true" hidden="false"/>
    </xf>
    <xf numFmtId="191" fontId="43" fillId="25" borderId="13" xfId="15" applyFont="true" applyBorder="true" applyAlignment="true" applyProtection="true">
      <alignment horizontal="general" vertical="top" textRotation="0" wrapText="false" indent="0" shrinkToFit="false"/>
      <protection locked="true" hidden="false"/>
    </xf>
    <xf numFmtId="177" fontId="45" fillId="27" borderId="14" xfId="261" applyFont="true" applyBorder="true" applyAlignment="true" applyProtection="false">
      <alignment horizontal="center" vertical="top" textRotation="0" wrapText="true" indent="0" shrinkToFit="false"/>
      <protection locked="true" hidden="false"/>
    </xf>
    <xf numFmtId="164" fontId="45" fillId="27" borderId="13" xfId="261" applyFont="true" applyBorder="true" applyAlignment="true" applyProtection="false">
      <alignment horizontal="center" vertical="top" textRotation="0" wrapText="true" indent="0" shrinkToFit="false"/>
      <protection locked="true" hidden="false"/>
    </xf>
    <xf numFmtId="164" fontId="42" fillId="27" borderId="13" xfId="187" applyFont="true" applyBorder="true" applyAlignment="true" applyProtection="false">
      <alignment horizontal="center" vertical="top" textRotation="0" wrapText="true" indent="0" shrinkToFit="false"/>
      <protection locked="true" hidden="false"/>
    </xf>
    <xf numFmtId="191" fontId="42" fillId="27" borderId="13" xfId="15" applyFont="true" applyBorder="true" applyAlignment="true" applyProtection="true">
      <alignment horizontal="center" vertical="top" textRotation="0" wrapText="true" indent="0" shrinkToFit="false"/>
      <protection locked="true" hidden="false"/>
    </xf>
    <xf numFmtId="164" fontId="43" fillId="27" borderId="13" xfId="187" applyFont="true" applyBorder="true" applyAlignment="true" applyProtection="false">
      <alignment horizontal="right" vertical="top" textRotation="0" wrapText="false" indent="0" shrinkToFit="false"/>
      <protection locked="true" hidden="false"/>
    </xf>
    <xf numFmtId="164" fontId="43" fillId="27" borderId="13" xfId="187" applyFont="true" applyBorder="true" applyAlignment="true" applyProtection="false">
      <alignment horizontal="general" vertical="top" textRotation="0" wrapText="false" indent="0" shrinkToFit="false"/>
      <protection locked="true" hidden="false"/>
    </xf>
    <xf numFmtId="177" fontId="46" fillId="27" borderId="14" xfId="187" applyFont="true" applyBorder="true" applyAlignment="true" applyProtection="false">
      <alignment horizontal="center" vertical="top" textRotation="0" wrapText="true" indent="0" shrinkToFit="false"/>
      <protection locked="true" hidden="false"/>
    </xf>
    <xf numFmtId="193" fontId="46" fillId="27" borderId="13" xfId="187" applyFont="true" applyBorder="true" applyAlignment="true" applyProtection="false">
      <alignment horizontal="left" vertical="top" textRotation="0" wrapText="true" indent="0" shrinkToFit="false"/>
      <protection locked="true" hidden="false"/>
    </xf>
    <xf numFmtId="189" fontId="43" fillId="27" borderId="13" xfId="187" applyFont="true" applyBorder="true" applyAlignment="true" applyProtection="false">
      <alignment horizontal="center" vertical="top" textRotation="0" wrapText="false" indent="0" shrinkToFit="false"/>
      <protection locked="true" hidden="false"/>
    </xf>
    <xf numFmtId="190" fontId="43" fillId="27" borderId="13" xfId="15" applyFont="true" applyBorder="true" applyAlignment="true" applyProtection="true">
      <alignment horizontal="right" vertical="top" textRotation="0" wrapText="false" indent="0" shrinkToFit="false"/>
      <protection locked="true" hidden="false"/>
    </xf>
    <xf numFmtId="193" fontId="43" fillId="27" borderId="13" xfId="187" applyFont="true" applyBorder="true" applyAlignment="true" applyProtection="false">
      <alignment horizontal="general" vertical="top" textRotation="0" wrapText="false" indent="0" shrinkToFit="false"/>
      <protection locked="true" hidden="false"/>
    </xf>
    <xf numFmtId="177" fontId="45" fillId="25" borderId="14" xfId="187" applyFont="true" applyBorder="true" applyAlignment="true" applyProtection="false">
      <alignment horizontal="center" vertical="top" textRotation="0" wrapText="true" indent="0" shrinkToFit="false"/>
      <protection locked="true" hidden="false"/>
    </xf>
    <xf numFmtId="193" fontId="45" fillId="25" borderId="13" xfId="187" applyFont="true" applyBorder="true" applyAlignment="true" applyProtection="false">
      <alignment horizontal="left" vertical="top" textRotation="0" wrapText="true" indent="0" shrinkToFit="false"/>
      <protection locked="true" hidden="false"/>
    </xf>
    <xf numFmtId="189" fontId="43" fillId="25" borderId="13" xfId="187" applyFont="true" applyBorder="true" applyAlignment="true" applyProtection="false">
      <alignment horizontal="center" vertical="top" textRotation="0" wrapText="false" indent="0" shrinkToFit="false"/>
      <protection locked="true" hidden="false"/>
    </xf>
    <xf numFmtId="191" fontId="43" fillId="25" borderId="13" xfId="15" applyFont="true" applyBorder="true" applyAlignment="true" applyProtection="true">
      <alignment horizontal="center" vertical="top" textRotation="0" wrapText="false" indent="0" shrinkToFit="false"/>
      <protection locked="true" hidden="false"/>
    </xf>
    <xf numFmtId="177" fontId="45" fillId="27" borderId="14" xfId="187" applyFont="true" applyBorder="true" applyAlignment="true" applyProtection="false">
      <alignment horizontal="center" vertical="top" textRotation="0" wrapText="true" indent="0" shrinkToFit="false"/>
      <protection locked="true" hidden="false"/>
    </xf>
    <xf numFmtId="193" fontId="45" fillId="27" borderId="13" xfId="187" applyFont="true" applyBorder="true" applyAlignment="true" applyProtection="false">
      <alignment horizontal="left" vertical="top" textRotation="0" wrapText="true" indent="0" shrinkToFit="false"/>
      <protection locked="true" hidden="false"/>
    </xf>
    <xf numFmtId="189" fontId="42" fillId="27" borderId="13" xfId="187" applyFont="true" applyBorder="true" applyAlignment="true" applyProtection="false">
      <alignment horizontal="center" vertical="top" textRotation="0" wrapText="false" indent="0" shrinkToFit="false"/>
      <protection locked="true" hidden="false"/>
    </xf>
    <xf numFmtId="191" fontId="42" fillId="27" borderId="13" xfId="15" applyFont="true" applyBorder="true" applyAlignment="true" applyProtection="true">
      <alignment horizontal="center" vertical="top" textRotation="0" wrapText="false" indent="0" shrinkToFit="false"/>
      <protection locked="true" hidden="false"/>
    </xf>
    <xf numFmtId="191" fontId="43" fillId="27" borderId="13" xfId="15" applyFont="true" applyBorder="true" applyAlignment="true" applyProtection="true">
      <alignment horizontal="general" vertical="top" textRotation="0" wrapText="false" indent="0" shrinkToFit="false"/>
      <protection locked="true" hidden="false"/>
    </xf>
    <xf numFmtId="189" fontId="43" fillId="27" borderId="13" xfId="187" applyFont="true" applyBorder="true" applyAlignment="true" applyProtection="false">
      <alignment horizontal="right" vertical="top" textRotation="0" wrapText="false" indent="0" shrinkToFit="false"/>
      <protection locked="true" hidden="false"/>
    </xf>
    <xf numFmtId="191" fontId="46" fillId="27" borderId="13" xfId="15" applyFont="true" applyBorder="true" applyAlignment="true" applyProtection="true">
      <alignment horizontal="center" vertical="top" textRotation="0" wrapText="false" indent="0" shrinkToFit="false"/>
      <protection locked="true" hidden="false"/>
    </xf>
    <xf numFmtId="177" fontId="45" fillId="27" borderId="13" xfId="187" applyFont="true" applyBorder="true" applyAlignment="true" applyProtection="false">
      <alignment horizontal="center" vertical="top" textRotation="0" wrapText="true" indent="0" shrinkToFit="false"/>
      <protection locked="true" hidden="false"/>
    </xf>
    <xf numFmtId="191" fontId="43" fillId="27" borderId="13" xfId="317" applyFont="true" applyBorder="true" applyAlignment="true" applyProtection="true">
      <alignment horizontal="center" vertical="top" textRotation="0" wrapText="false" indent="0" shrinkToFit="false"/>
      <protection locked="true" hidden="false"/>
    </xf>
    <xf numFmtId="164" fontId="43" fillId="0" borderId="13" xfId="0" applyFont="true" applyBorder="true" applyAlignment="true" applyProtection="false">
      <alignment horizontal="right" vertical="top" textRotation="0" wrapText="false" indent="0" shrinkToFit="false"/>
      <protection locked="true" hidden="false"/>
    </xf>
    <xf numFmtId="164" fontId="43" fillId="0" borderId="13" xfId="0" applyFont="true" applyBorder="true" applyAlignment="true" applyProtection="false">
      <alignment horizontal="general" vertical="top" textRotation="0" wrapText="false" indent="0" shrinkToFit="false"/>
      <protection locked="true" hidden="false"/>
    </xf>
    <xf numFmtId="164" fontId="43" fillId="0" borderId="0" xfId="0" applyFont="true" applyBorder="false" applyAlignment="true" applyProtection="false">
      <alignment horizontal="general" vertical="top" textRotation="0" wrapText="false" indent="0" shrinkToFit="false"/>
      <protection locked="true" hidden="false"/>
    </xf>
    <xf numFmtId="177" fontId="46" fillId="27" borderId="13" xfId="187" applyFont="true" applyBorder="true" applyAlignment="true" applyProtection="false">
      <alignment horizontal="center" vertical="top" textRotation="0" wrapText="true" indent="0" shrinkToFit="false"/>
      <protection locked="true" hidden="false"/>
    </xf>
    <xf numFmtId="189" fontId="43" fillId="0" borderId="13" xfId="0" applyFont="true" applyBorder="true" applyAlignment="true" applyProtection="false">
      <alignment horizontal="right" vertical="top" textRotation="0" wrapText="false" indent="0" shrinkToFit="false"/>
      <protection locked="true" hidden="false"/>
    </xf>
    <xf numFmtId="191" fontId="43" fillId="27" borderId="13" xfId="317" applyFont="true" applyBorder="true" applyAlignment="true" applyProtection="true">
      <alignment horizontal="right" vertical="top" textRotation="0" wrapText="false" indent="0" shrinkToFit="false"/>
      <protection locked="true" hidden="false"/>
    </xf>
    <xf numFmtId="191" fontId="43" fillId="27" borderId="13" xfId="317" applyFont="true" applyBorder="true" applyAlignment="true" applyProtection="true">
      <alignment horizontal="center" vertical="top" textRotation="0" wrapText="true" indent="0" shrinkToFit="false"/>
      <protection locked="true" hidden="false"/>
    </xf>
    <xf numFmtId="191" fontId="43" fillId="27" borderId="13" xfId="317" applyFont="true" applyBorder="true" applyAlignment="true" applyProtection="true">
      <alignment horizontal="right" vertical="top" textRotation="0" wrapText="true" indent="0" shrinkToFit="false"/>
      <protection locked="true" hidden="false"/>
    </xf>
    <xf numFmtId="177" fontId="42" fillId="0" borderId="13" xfId="0" applyFont="true" applyBorder="true" applyAlignment="true" applyProtection="false">
      <alignment horizontal="center" vertical="top" textRotation="0" wrapText="false" indent="0" shrinkToFit="false"/>
      <protection locked="true" hidden="false"/>
    </xf>
    <xf numFmtId="164" fontId="43" fillId="0" borderId="13" xfId="0" applyFont="true" applyBorder="true" applyAlignment="true" applyProtection="false">
      <alignment horizontal="center" vertical="top" textRotation="0" wrapText="false" indent="0" shrinkToFit="false"/>
      <protection locked="true" hidden="false"/>
    </xf>
    <xf numFmtId="164" fontId="43" fillId="0" borderId="13" xfId="0" applyFont="true" applyBorder="true" applyAlignment="true" applyProtection="false">
      <alignment horizontal="general" vertical="top" textRotation="0" wrapText="true" indent="0" shrinkToFit="false"/>
      <protection locked="true" hidden="false"/>
    </xf>
    <xf numFmtId="190" fontId="43" fillId="0" borderId="13" xfId="0" applyFont="true" applyBorder="true" applyAlignment="true" applyProtection="false">
      <alignment horizontal="center" vertical="top" textRotation="0" wrapText="false" indent="0" shrinkToFit="false"/>
      <protection locked="true" hidden="false"/>
    </xf>
    <xf numFmtId="164" fontId="42" fillId="25" borderId="18" xfId="187" applyFont="true" applyBorder="true" applyAlignment="true" applyProtection="false">
      <alignment horizontal="center" vertical="top" textRotation="0" wrapText="false" indent="0" shrinkToFit="false"/>
      <protection locked="true" hidden="false"/>
    </xf>
    <xf numFmtId="164" fontId="42" fillId="25" borderId="13" xfId="187" applyFont="true" applyBorder="true" applyAlignment="true" applyProtection="false">
      <alignment horizontal="center" vertical="top" textRotation="0" wrapText="true" indent="0" shrinkToFit="false"/>
      <protection locked="true" hidden="false"/>
    </xf>
    <xf numFmtId="164" fontId="42" fillId="0" borderId="14" xfId="187" applyFont="true" applyBorder="true" applyAlignment="true" applyProtection="false">
      <alignment horizontal="center" vertical="top" textRotation="0" wrapText="false" indent="0" shrinkToFit="false"/>
      <protection locked="true" hidden="false"/>
    </xf>
    <xf numFmtId="164" fontId="42" fillId="0" borderId="13" xfId="187" applyFont="true" applyBorder="true" applyAlignment="true" applyProtection="false">
      <alignment horizontal="center" vertical="top" textRotation="0" wrapText="true" indent="0" shrinkToFit="false"/>
      <protection locked="true" hidden="false"/>
    </xf>
    <xf numFmtId="191" fontId="42" fillId="0" borderId="13" xfId="15" applyFont="true" applyBorder="true" applyAlignment="true" applyProtection="true">
      <alignment horizontal="center" vertical="top" textRotation="0" wrapText="true" indent="0" shrinkToFit="false"/>
      <protection locked="true" hidden="false"/>
    </xf>
    <xf numFmtId="191" fontId="42" fillId="0" borderId="13" xfId="15" applyFont="true" applyBorder="true" applyAlignment="true" applyProtection="true">
      <alignment horizontal="right" vertical="top" textRotation="0" wrapText="true" indent="0" shrinkToFit="false"/>
      <protection locked="true" hidden="false"/>
    </xf>
    <xf numFmtId="164" fontId="43" fillId="0" borderId="13" xfId="187" applyFont="true" applyBorder="true" applyAlignment="true" applyProtection="false">
      <alignment horizontal="left" vertical="top" textRotation="0" wrapText="true" indent="0" shrinkToFit="false"/>
      <protection locked="true" hidden="false"/>
    </xf>
    <xf numFmtId="189" fontId="43" fillId="0" borderId="13" xfId="187" applyFont="true" applyBorder="true" applyAlignment="true" applyProtection="false">
      <alignment horizontal="center" vertical="top" textRotation="0" wrapText="false" indent="0" shrinkToFit="false"/>
      <protection locked="true" hidden="false"/>
    </xf>
    <xf numFmtId="191" fontId="43" fillId="0" borderId="13" xfId="15" applyFont="true" applyBorder="true" applyAlignment="true" applyProtection="true">
      <alignment horizontal="center" vertical="top" textRotation="0" wrapText="true" indent="0" shrinkToFit="false"/>
      <protection locked="true" hidden="false"/>
    </xf>
    <xf numFmtId="191" fontId="43" fillId="0" borderId="0" xfId="187" applyFont="true" applyBorder="false" applyAlignment="true" applyProtection="false">
      <alignment horizontal="general" vertical="top" textRotation="0" wrapText="false" indent="0" shrinkToFit="false"/>
      <protection locked="true" hidden="false"/>
    </xf>
    <xf numFmtId="164" fontId="42" fillId="25" borderId="0" xfId="187" applyFont="true" applyBorder="false" applyAlignment="true" applyProtection="false">
      <alignment horizontal="center" vertical="top" textRotation="0" wrapText="false" indent="0" shrinkToFit="false"/>
      <protection locked="true" hidden="false"/>
    </xf>
    <xf numFmtId="164" fontId="42" fillId="0" borderId="13" xfId="187" applyFont="true" applyBorder="true" applyAlignment="true" applyProtection="false">
      <alignment horizontal="general" vertical="top" textRotation="0" wrapText="false" indent="0" shrinkToFit="false"/>
      <protection locked="true" hidden="false"/>
    </xf>
    <xf numFmtId="164" fontId="43" fillId="0" borderId="0" xfId="187" applyFont="true" applyBorder="false" applyAlignment="true" applyProtection="false">
      <alignment horizontal="general" vertical="top" textRotation="0" wrapText="true" indent="0" shrinkToFit="false"/>
      <protection locked="true" hidden="false"/>
    </xf>
    <xf numFmtId="191" fontId="43" fillId="0" borderId="13" xfId="15" applyFont="true" applyBorder="true" applyAlignment="true" applyProtection="true">
      <alignment horizontal="right" vertical="top" textRotation="0" wrapText="true" indent="0" shrinkToFit="false"/>
      <protection locked="true" hidden="false"/>
    </xf>
    <xf numFmtId="189" fontId="43" fillId="0" borderId="13" xfId="187" applyFont="true" applyBorder="true" applyAlignment="true" applyProtection="false">
      <alignment horizontal="general" vertical="top" textRotation="0" wrapText="false" indent="0" shrinkToFit="false"/>
      <protection locked="true" hidden="false"/>
    </xf>
    <xf numFmtId="164" fontId="42" fillId="25" borderId="14" xfId="187" applyFont="true" applyBorder="true" applyAlignment="true" applyProtection="false">
      <alignment horizontal="center" vertical="top" textRotation="0" wrapText="false" indent="0" shrinkToFit="false"/>
      <protection locked="true" hidden="false"/>
    </xf>
    <xf numFmtId="164" fontId="43" fillId="0" borderId="14" xfId="187" applyFont="true" applyBorder="true" applyAlignment="true" applyProtection="false">
      <alignment horizontal="center" vertical="top" textRotation="0" wrapText="false" indent="0" shrinkToFit="false"/>
      <protection locked="true" hidden="false"/>
    </xf>
    <xf numFmtId="164" fontId="42" fillId="0" borderId="13" xfId="187" applyFont="true" applyBorder="true" applyAlignment="true" applyProtection="false">
      <alignment horizontal="right" vertical="top" textRotation="0" wrapText="true" indent="0" shrinkToFit="false"/>
      <protection locked="true" hidden="false"/>
    </xf>
    <xf numFmtId="177" fontId="43" fillId="27" borderId="14" xfId="187" applyFont="true" applyBorder="true" applyAlignment="true" applyProtection="false">
      <alignment horizontal="center" vertical="top" textRotation="0" wrapText="false" indent="0" shrinkToFit="false"/>
      <protection locked="true" hidden="false"/>
    </xf>
    <xf numFmtId="164" fontId="42" fillId="25" borderId="13" xfId="187" applyFont="true" applyBorder="true" applyAlignment="true" applyProtection="false">
      <alignment horizontal="left" vertical="top" textRotation="0" wrapText="true" indent="0" shrinkToFit="false"/>
      <protection locked="true" hidden="false"/>
    </xf>
    <xf numFmtId="164" fontId="42" fillId="0" borderId="14" xfId="187" applyFont="true" applyBorder="true" applyAlignment="true" applyProtection="false">
      <alignment horizontal="center" vertical="top" textRotation="0" wrapText="true" indent="0" shrinkToFit="false"/>
      <protection locked="true" hidden="false"/>
    </xf>
    <xf numFmtId="164" fontId="42" fillId="0" borderId="14" xfId="187" applyFont="true" applyBorder="true" applyAlignment="true" applyProtection="false">
      <alignment horizontal="general" vertical="top" textRotation="0" wrapText="true" indent="0" shrinkToFit="false"/>
      <protection locked="true" hidden="false"/>
    </xf>
    <xf numFmtId="164" fontId="42" fillId="0" borderId="3" xfId="187" applyFont="true" applyBorder="true" applyAlignment="true" applyProtection="false">
      <alignment horizontal="general" vertical="top" textRotation="0" wrapText="true" indent="0" shrinkToFit="false"/>
      <protection locked="true" hidden="false"/>
    </xf>
    <xf numFmtId="164" fontId="42" fillId="0" borderId="15" xfId="187" applyFont="true" applyBorder="true" applyAlignment="true" applyProtection="false">
      <alignment horizontal="center" vertical="top" textRotation="0" wrapText="true" indent="0" shrinkToFit="false"/>
      <protection locked="true" hidden="false"/>
    </xf>
    <xf numFmtId="177" fontId="46" fillId="27" borderId="13" xfId="0" applyFont="true" applyBorder="true" applyAlignment="true" applyProtection="false">
      <alignment horizontal="center" vertical="top" textRotation="0" wrapText="true" indent="0" shrinkToFit="false"/>
      <protection locked="true" hidden="false"/>
    </xf>
    <xf numFmtId="193" fontId="46" fillId="27" borderId="13" xfId="267" applyFont="true" applyBorder="true" applyAlignment="true" applyProtection="false">
      <alignment horizontal="left" vertical="top" textRotation="0" wrapText="true" indent="0" shrinkToFit="false"/>
      <protection locked="true" hidden="false"/>
    </xf>
    <xf numFmtId="189" fontId="43" fillId="0" borderId="13" xfId="187" applyFont="true" applyBorder="true" applyAlignment="true" applyProtection="false">
      <alignment horizontal="center" vertical="top" textRotation="0" wrapText="true" indent="0" shrinkToFit="false"/>
      <protection locked="true" hidden="false"/>
    </xf>
    <xf numFmtId="189" fontId="42" fillId="0" borderId="13" xfId="187" applyFont="true" applyBorder="true" applyAlignment="true" applyProtection="false">
      <alignment horizontal="right" vertical="top" textRotation="0" wrapText="true" indent="0" shrinkToFit="false"/>
      <protection locked="true" hidden="false"/>
    </xf>
    <xf numFmtId="189" fontId="43" fillId="0" borderId="0" xfId="187" applyFont="true" applyBorder="false" applyAlignment="true" applyProtection="false">
      <alignment horizontal="center" vertical="top" textRotation="0" wrapText="false" indent="0" shrinkToFit="false"/>
      <protection locked="true" hidden="false"/>
    </xf>
    <xf numFmtId="177" fontId="46" fillId="27" borderId="14" xfId="0" applyFont="true" applyBorder="true" applyAlignment="true" applyProtection="false">
      <alignment horizontal="center" vertical="top" textRotation="0" wrapText="true" indent="0" shrinkToFit="false"/>
      <protection locked="true" hidden="false"/>
    </xf>
    <xf numFmtId="164" fontId="43" fillId="0" borderId="13" xfId="187" applyFont="true" applyBorder="true" applyAlignment="true" applyProtection="false">
      <alignment horizontal="right" vertical="top" textRotation="0" wrapText="true" indent="0" shrinkToFit="false"/>
      <protection locked="true" hidden="false"/>
    </xf>
    <xf numFmtId="164" fontId="42" fillId="25" borderId="13" xfId="187" applyFont="true" applyBorder="true" applyAlignment="true" applyProtection="false">
      <alignment horizontal="left" vertical="top" textRotation="0" wrapText="false" indent="0" shrinkToFit="false"/>
      <protection locked="true" hidden="false"/>
    </xf>
    <xf numFmtId="164" fontId="43" fillId="0" borderId="13" xfId="187" applyFont="true" applyBorder="true" applyAlignment="true" applyProtection="false">
      <alignment horizontal="right" vertical="top" textRotation="0" wrapText="false" indent="0" shrinkToFit="false"/>
      <protection locked="true" hidden="false"/>
    </xf>
    <xf numFmtId="177" fontId="45" fillId="25" borderId="18" xfId="187" applyFont="true" applyBorder="true" applyAlignment="true" applyProtection="false">
      <alignment horizontal="center" vertical="top" textRotation="0" wrapText="true" indent="0" shrinkToFit="false"/>
      <protection locked="true" hidden="false"/>
    </xf>
    <xf numFmtId="189" fontId="43" fillId="25" borderId="13" xfId="187" applyFont="true" applyBorder="true" applyAlignment="true" applyProtection="false">
      <alignment horizontal="center" vertical="top" textRotation="0" wrapText="true" indent="0" shrinkToFit="false"/>
      <protection locked="true" hidden="false"/>
    </xf>
    <xf numFmtId="193" fontId="43" fillId="25" borderId="13" xfId="187" applyFont="true" applyBorder="true" applyAlignment="true" applyProtection="false">
      <alignment horizontal="general" vertical="top" textRotation="0" wrapText="false" indent="0" shrinkToFit="false"/>
      <protection locked="true" hidden="false"/>
    </xf>
    <xf numFmtId="193" fontId="42" fillId="25" borderId="13" xfId="187" applyFont="true" applyBorder="true" applyAlignment="true" applyProtection="false">
      <alignment horizontal="general" vertical="top" textRotation="0" wrapText="false" indent="0" shrinkToFit="false"/>
      <protection locked="true" hidden="false"/>
    </xf>
    <xf numFmtId="177" fontId="45" fillId="0" borderId="18" xfId="187" applyFont="true" applyBorder="true" applyAlignment="true" applyProtection="false">
      <alignment horizontal="center" vertical="top" textRotation="0" wrapText="true" indent="0" shrinkToFit="false"/>
      <protection locked="true" hidden="false"/>
    </xf>
    <xf numFmtId="177" fontId="45" fillId="0" borderId="14" xfId="187" applyFont="true" applyBorder="true" applyAlignment="true" applyProtection="false">
      <alignment horizontal="center" vertical="top" textRotation="0" wrapText="true" indent="0" shrinkToFit="false"/>
      <protection locked="true" hidden="false"/>
    </xf>
    <xf numFmtId="193" fontId="46" fillId="0" borderId="13" xfId="187" applyFont="true" applyBorder="true" applyAlignment="true" applyProtection="false">
      <alignment horizontal="left" vertical="top" textRotation="0" wrapText="true" indent="0" shrinkToFit="false"/>
      <protection locked="true" hidden="false"/>
    </xf>
    <xf numFmtId="193" fontId="45" fillId="25" borderId="13" xfId="187" applyFont="true" applyBorder="true" applyAlignment="true" applyProtection="false">
      <alignment horizontal="center" vertical="top" textRotation="0" wrapText="true" indent="0" shrinkToFit="false"/>
      <protection locked="true" hidden="false"/>
    </xf>
    <xf numFmtId="189" fontId="42" fillId="27" borderId="13" xfId="187" applyFont="true" applyBorder="true" applyAlignment="true" applyProtection="false">
      <alignment horizontal="center" vertical="top" textRotation="0" wrapText="true" indent="0" shrinkToFit="false"/>
      <protection locked="true" hidden="false"/>
    </xf>
    <xf numFmtId="191" fontId="42" fillId="27" borderId="13" xfId="15" applyFont="true" applyBorder="true" applyAlignment="true" applyProtection="true">
      <alignment horizontal="right" vertical="top" textRotation="0" wrapText="true" indent="0" shrinkToFit="false"/>
      <protection locked="true" hidden="false"/>
    </xf>
    <xf numFmtId="193" fontId="42" fillId="27" borderId="13" xfId="187" applyFont="true" applyBorder="true" applyAlignment="true" applyProtection="false">
      <alignment horizontal="general" vertical="top" textRotation="0" wrapText="true" indent="0" shrinkToFit="false"/>
      <protection locked="true" hidden="false"/>
    </xf>
    <xf numFmtId="193" fontId="42" fillId="27" borderId="13" xfId="187" applyFont="true" applyBorder="true" applyAlignment="true" applyProtection="false">
      <alignment horizontal="general" vertical="top" textRotation="0" wrapText="false" indent="0" shrinkToFit="false"/>
      <protection locked="true" hidden="false"/>
    </xf>
    <xf numFmtId="164" fontId="42" fillId="25" borderId="0" xfId="187" applyFont="true" applyBorder="false" applyAlignment="true" applyProtection="false">
      <alignment horizontal="general" vertical="top" textRotation="0" wrapText="false" indent="0" shrinkToFit="false"/>
      <protection locked="true" hidden="false"/>
    </xf>
    <xf numFmtId="164" fontId="42" fillId="0" borderId="13" xfId="187" applyFont="true" applyBorder="true" applyAlignment="true" applyProtection="false">
      <alignment horizontal="center" vertical="top" textRotation="0" wrapText="false" indent="0" shrinkToFit="false"/>
      <protection locked="true" hidden="false"/>
    </xf>
    <xf numFmtId="164" fontId="47" fillId="0" borderId="13" xfId="0" applyFont="true" applyBorder="true" applyAlignment="true" applyProtection="false">
      <alignment horizontal="left" vertical="top" textRotation="0" wrapText="true" indent="0" shrinkToFit="false"/>
      <protection locked="true" hidden="false"/>
    </xf>
    <xf numFmtId="177" fontId="51" fillId="0" borderId="13" xfId="187" applyFont="true" applyBorder="true" applyAlignment="true" applyProtection="false">
      <alignment horizontal="center" vertical="top" textRotation="0" wrapText="false" indent="0" shrinkToFit="false"/>
      <protection locked="true" hidden="false"/>
    </xf>
    <xf numFmtId="164" fontId="52" fillId="0" borderId="13" xfId="0" applyFont="true" applyBorder="true" applyAlignment="true" applyProtection="false">
      <alignment horizontal="left" vertical="top" textRotation="0" wrapText="true" indent="0" shrinkToFit="false"/>
      <protection locked="true" hidden="false"/>
    </xf>
    <xf numFmtId="164" fontId="47" fillId="0" borderId="13" xfId="0" applyFont="true" applyBorder="true" applyAlignment="true" applyProtection="false">
      <alignment horizontal="center" vertical="top" textRotation="0" wrapText="true" indent="0" shrinkToFit="false"/>
      <protection locked="true" hidden="false"/>
    </xf>
    <xf numFmtId="164" fontId="47" fillId="0" borderId="13" xfId="0" applyFont="true" applyBorder="true" applyAlignment="true" applyProtection="false">
      <alignment horizontal="right" vertical="top" textRotation="0" wrapText="true" indent="0" shrinkToFit="false"/>
      <protection locked="true" hidden="false"/>
    </xf>
    <xf numFmtId="164" fontId="48" fillId="0" borderId="13" xfId="0" applyFont="true" applyBorder="true" applyAlignment="true" applyProtection="false">
      <alignment horizontal="general" vertical="top" textRotation="0" wrapText="false" indent="0" shrinkToFit="false"/>
      <protection locked="true" hidden="false"/>
    </xf>
    <xf numFmtId="164" fontId="48" fillId="0" borderId="13" xfId="0" applyFont="true" applyBorder="true" applyAlignment="true" applyProtection="false">
      <alignment horizontal="general" vertical="top" textRotation="0" wrapText="true" indent="0" shrinkToFit="false"/>
      <protection locked="true" hidden="false"/>
    </xf>
    <xf numFmtId="164" fontId="48" fillId="0" borderId="13" xfId="0" applyFont="true" applyBorder="true" applyAlignment="true" applyProtection="false">
      <alignment horizontal="center" vertical="top" textRotation="0" wrapText="true" indent="0" shrinkToFit="false"/>
      <protection locked="true" hidden="false"/>
    </xf>
    <xf numFmtId="164" fontId="42" fillId="0" borderId="19" xfId="187" applyFont="true" applyBorder="true" applyAlignment="true" applyProtection="false">
      <alignment horizontal="center" vertical="top" textRotation="0" wrapText="false" indent="0" shrinkToFit="false"/>
      <protection locked="true" hidden="false"/>
    </xf>
    <xf numFmtId="164" fontId="48" fillId="0" borderId="19" xfId="0" applyFont="true" applyBorder="true" applyAlignment="true" applyProtection="false">
      <alignment horizontal="left" vertical="top" textRotation="0" wrapText="true" indent="0" shrinkToFit="false"/>
      <protection locked="true" hidden="false"/>
    </xf>
    <xf numFmtId="164" fontId="48" fillId="0" borderId="19" xfId="0" applyFont="true" applyBorder="true" applyAlignment="true" applyProtection="false">
      <alignment horizontal="center" vertical="top" textRotation="0" wrapText="true" indent="0" shrinkToFit="false"/>
      <protection locked="true" hidden="false"/>
    </xf>
    <xf numFmtId="164" fontId="48" fillId="0" borderId="19" xfId="0" applyFont="true" applyBorder="true" applyAlignment="true" applyProtection="false">
      <alignment horizontal="justify" vertical="top" textRotation="0" wrapText="true" indent="0" shrinkToFit="false"/>
      <protection locked="true" hidden="false"/>
    </xf>
    <xf numFmtId="190" fontId="43" fillId="0" borderId="20" xfId="187" applyFont="true" applyBorder="true" applyAlignment="true" applyProtection="false">
      <alignment horizontal="right" vertical="top" textRotation="0" wrapText="false" indent="0" shrinkToFit="false"/>
      <protection locked="true" hidden="false"/>
    </xf>
    <xf numFmtId="164" fontId="43" fillId="0" borderId="20" xfId="187" applyFont="true" applyBorder="true" applyAlignment="true" applyProtection="false">
      <alignment horizontal="center" vertical="top" textRotation="0" wrapText="false" indent="0" shrinkToFit="false"/>
      <protection locked="true" hidden="false"/>
    </xf>
    <xf numFmtId="164" fontId="42" fillId="0" borderId="18" xfId="187" applyFont="true" applyBorder="true" applyAlignment="true" applyProtection="false">
      <alignment horizontal="center" vertical="top" textRotation="0" wrapText="false" indent="0" shrinkToFit="false"/>
      <protection locked="true" hidden="false"/>
    </xf>
    <xf numFmtId="164" fontId="48" fillId="0" borderId="13" xfId="0" applyFont="true" applyBorder="true" applyAlignment="true" applyProtection="false">
      <alignment horizontal="justify" vertical="top" textRotation="0" wrapText="true" indent="0" shrinkToFit="false"/>
      <protection locked="true" hidden="false"/>
    </xf>
    <xf numFmtId="164" fontId="48" fillId="27" borderId="13" xfId="0" applyFont="true" applyBorder="true" applyAlignment="true" applyProtection="false">
      <alignment horizontal="center" vertical="top" textRotation="0" wrapText="true" indent="0" shrinkToFit="false"/>
      <protection locked="true" hidden="false"/>
    </xf>
    <xf numFmtId="177" fontId="51" fillId="0" borderId="19" xfId="187" applyFont="true" applyBorder="true" applyAlignment="true" applyProtection="false">
      <alignment horizontal="center" vertical="top" textRotation="0" wrapText="false" indent="0" shrinkToFit="false"/>
      <protection locked="true" hidden="false"/>
    </xf>
    <xf numFmtId="164" fontId="52" fillId="0" borderId="21" xfId="0" applyFont="true" applyBorder="true" applyAlignment="true" applyProtection="false">
      <alignment horizontal="justify" vertical="top" textRotation="0" wrapText="true" indent="0" shrinkToFit="false"/>
      <protection locked="true" hidden="false"/>
    </xf>
    <xf numFmtId="164" fontId="48" fillId="0" borderId="21" xfId="0" applyFont="true" applyBorder="true" applyAlignment="true" applyProtection="false">
      <alignment horizontal="justify" vertical="top" textRotation="0" wrapText="true" indent="0" shrinkToFit="false"/>
      <protection locked="true" hidden="false"/>
    </xf>
    <xf numFmtId="164" fontId="48" fillId="27" borderId="19" xfId="0" applyFont="true" applyBorder="true" applyAlignment="true" applyProtection="false">
      <alignment horizontal="center" vertical="top" textRotation="0" wrapText="false" indent="0" shrinkToFit="false"/>
      <protection locked="true" hidden="false"/>
    </xf>
    <xf numFmtId="164" fontId="43" fillId="0" borderId="20" xfId="187" applyFont="true" applyBorder="true" applyAlignment="true" applyProtection="false">
      <alignment horizontal="right" vertical="top" textRotation="0" wrapText="false" indent="0" shrinkToFit="false"/>
      <protection locked="true" hidden="false"/>
    </xf>
    <xf numFmtId="164" fontId="48" fillId="27" borderId="19" xfId="0" applyFont="true" applyBorder="true" applyAlignment="true" applyProtection="false">
      <alignment horizontal="center" vertical="top" textRotation="0" wrapText="true" indent="0" shrinkToFit="false"/>
      <protection locked="true" hidden="false"/>
    </xf>
    <xf numFmtId="190" fontId="43" fillId="0" borderId="21" xfId="187" applyFont="true" applyBorder="true" applyAlignment="true" applyProtection="false">
      <alignment horizontal="right" vertical="top" textRotation="0" wrapText="false" indent="0" shrinkToFit="false"/>
      <protection locked="true" hidden="false"/>
    </xf>
    <xf numFmtId="164" fontId="43" fillId="0" borderId="21" xfId="187" applyFont="true" applyBorder="true" applyAlignment="true" applyProtection="false">
      <alignment horizontal="center" vertical="top" textRotation="0" wrapText="false" indent="0" shrinkToFit="false"/>
      <protection locked="true" hidden="false"/>
    </xf>
    <xf numFmtId="164" fontId="48" fillId="0" borderId="13" xfId="0" applyFont="true" applyBorder="true" applyAlignment="true" applyProtection="false">
      <alignment horizontal="center" vertical="top" textRotation="0" wrapText="false" indent="0" shrinkToFit="false"/>
      <protection locked="true" hidden="false"/>
    </xf>
    <xf numFmtId="164" fontId="42" fillId="0" borderId="20" xfId="187" applyFont="true" applyBorder="true" applyAlignment="true" applyProtection="false">
      <alignment horizontal="center" vertical="top" textRotation="0" wrapText="false" indent="0" shrinkToFit="false"/>
      <protection locked="true" hidden="false"/>
    </xf>
    <xf numFmtId="164" fontId="48" fillId="0" borderId="20" xfId="0" applyFont="true" applyBorder="true" applyAlignment="true" applyProtection="false">
      <alignment horizontal="justify" vertical="top" textRotation="0" wrapText="true" indent="0" shrinkToFit="false"/>
      <protection locked="true" hidden="false"/>
    </xf>
    <xf numFmtId="164" fontId="48" fillId="27" borderId="20" xfId="0" applyFont="true" applyBorder="true" applyAlignment="true" applyProtection="false">
      <alignment horizontal="center" vertical="top" textRotation="0" wrapText="true" indent="0" shrinkToFit="false"/>
      <protection locked="true" hidden="false"/>
    </xf>
    <xf numFmtId="164" fontId="43" fillId="0" borderId="20" xfId="187" applyFont="true" applyBorder="true" applyAlignment="true" applyProtection="false">
      <alignment horizontal="general" vertical="top" textRotation="0" wrapText="false" indent="0" shrinkToFit="false"/>
      <protection locked="true" hidden="false"/>
    </xf>
    <xf numFmtId="164" fontId="48" fillId="0" borderId="13" xfId="0" applyFont="true" applyBorder="true" applyAlignment="true" applyProtection="false">
      <alignment horizontal="left" vertical="top" textRotation="0" wrapText="true" indent="0" shrinkToFit="false"/>
      <protection locked="true" hidden="false"/>
    </xf>
    <xf numFmtId="164" fontId="43" fillId="0" borderId="20" xfId="187" applyFont="true" applyBorder="true" applyAlignment="true" applyProtection="false">
      <alignment horizontal="general" vertical="top" textRotation="0" wrapText="true" indent="0" shrinkToFit="false"/>
      <protection locked="true" hidden="false"/>
    </xf>
    <xf numFmtId="164" fontId="52" fillId="0" borderId="20" xfId="0" applyFont="true" applyBorder="true" applyAlignment="true" applyProtection="false">
      <alignment horizontal="justify" vertical="top" textRotation="0" wrapText="true" indent="0" shrinkToFit="false"/>
      <protection locked="true" hidden="false"/>
    </xf>
    <xf numFmtId="164" fontId="48" fillId="0" borderId="20" xfId="0" applyFont="true" applyBorder="true" applyAlignment="true" applyProtection="false">
      <alignment horizontal="general" vertical="top" textRotation="0" wrapText="true" indent="0" shrinkToFit="false"/>
      <protection locked="true" hidden="false"/>
    </xf>
    <xf numFmtId="164" fontId="48" fillId="0" borderId="20" xfId="0" applyFont="true" applyBorder="true" applyAlignment="true" applyProtection="false">
      <alignment horizontal="center" vertical="top" textRotation="0" wrapText="false" indent="0" shrinkToFit="false"/>
      <protection locked="true" hidden="false"/>
    </xf>
    <xf numFmtId="190" fontId="43" fillId="0" borderId="0" xfId="187" applyFont="true" applyBorder="false" applyAlignment="true" applyProtection="false">
      <alignment horizontal="right" vertical="top" textRotation="0" wrapText="false" indent="0" shrinkToFit="false"/>
      <protection locked="true" hidden="false"/>
    </xf>
    <xf numFmtId="164" fontId="51" fillId="0" borderId="19" xfId="187" applyFont="true" applyBorder="true" applyAlignment="true" applyProtection="false">
      <alignment horizontal="center" vertical="top" textRotation="0" wrapText="false" indent="0" shrinkToFit="false"/>
      <protection locked="true" hidden="false"/>
    </xf>
    <xf numFmtId="164" fontId="52" fillId="0" borderId="19" xfId="0" applyFont="true" applyBorder="true" applyAlignment="true" applyProtection="false">
      <alignment horizontal="justify" vertical="top" textRotation="0" wrapText="true" indent="0" shrinkToFit="false"/>
      <protection locked="true" hidden="false"/>
    </xf>
    <xf numFmtId="190" fontId="43" fillId="0" borderId="19" xfId="187" applyFont="true" applyBorder="true" applyAlignment="true" applyProtection="false">
      <alignment horizontal="center" vertical="top" textRotation="0" wrapText="false" indent="0" shrinkToFit="false"/>
      <protection locked="true" hidden="false"/>
    </xf>
    <xf numFmtId="164" fontId="43" fillId="0" borderId="19" xfId="187" applyFont="true" applyBorder="true" applyAlignment="true" applyProtection="false">
      <alignment horizontal="right" vertical="top" textRotation="0" wrapText="false" indent="0" shrinkToFit="false"/>
      <protection locked="true" hidden="false"/>
    </xf>
    <xf numFmtId="164" fontId="43" fillId="0" borderId="19" xfId="187" applyFont="true" applyBorder="true" applyAlignment="true" applyProtection="false">
      <alignment horizontal="general" vertical="top" textRotation="0" wrapText="false" indent="0" shrinkToFit="false"/>
      <protection locked="true" hidden="false"/>
    </xf>
    <xf numFmtId="193" fontId="45" fillId="25" borderId="14" xfId="187" applyFont="true" applyBorder="true" applyAlignment="true" applyProtection="false">
      <alignment horizontal="center" vertical="top" textRotation="0" wrapText="true" indent="0" shrinkToFit="false"/>
      <protection locked="true" hidden="false"/>
    </xf>
    <xf numFmtId="177" fontId="42" fillId="26" borderId="14" xfId="187" applyFont="true" applyBorder="true" applyAlignment="true" applyProtection="false">
      <alignment horizontal="center" vertical="top" textRotation="0" wrapText="false" indent="0" shrinkToFit="false"/>
      <protection locked="true" hidden="false"/>
    </xf>
    <xf numFmtId="164" fontId="42" fillId="26" borderId="13" xfId="187" applyFont="true" applyBorder="true" applyAlignment="true" applyProtection="false">
      <alignment horizontal="left" vertical="top" textRotation="0" wrapText="true" indent="0" shrinkToFit="false"/>
      <protection locked="true" hidden="false"/>
    </xf>
    <xf numFmtId="191" fontId="42" fillId="27" borderId="13" xfId="15" applyFont="true" applyBorder="true" applyAlignment="true" applyProtection="true">
      <alignment horizontal="right" vertical="top" textRotation="0" wrapText="false" indent="0" shrinkToFit="false"/>
      <protection locked="true" hidden="false"/>
    </xf>
    <xf numFmtId="177" fontId="43" fillId="27" borderId="13" xfId="187" applyFont="true" applyBorder="true" applyAlignment="true" applyProtection="false">
      <alignment horizontal="center" vertical="top" textRotation="0" wrapText="false" indent="0" shrinkToFit="false"/>
      <protection locked="true" hidden="false"/>
    </xf>
    <xf numFmtId="191" fontId="42" fillId="27" borderId="15" xfId="15" applyFont="true" applyBorder="true" applyAlignment="true" applyProtection="true">
      <alignment horizontal="right" vertical="top" textRotation="0" wrapText="false" indent="0" shrinkToFit="false"/>
      <protection locked="true" hidden="false"/>
    </xf>
    <xf numFmtId="191" fontId="42" fillId="27" borderId="0" xfId="15" applyFont="true" applyBorder="true" applyAlignment="true" applyProtection="true">
      <alignment horizontal="right" vertical="top" textRotation="0" wrapText="false" indent="0" shrinkToFit="false"/>
      <protection locked="true" hidden="false"/>
    </xf>
    <xf numFmtId="164" fontId="43" fillId="0" borderId="0" xfId="187" applyFont="true" applyBorder="true" applyAlignment="true" applyProtection="false">
      <alignment horizontal="general" vertical="top" textRotation="0" wrapText="false" indent="0" shrinkToFit="false"/>
      <protection locked="true" hidden="false"/>
    </xf>
    <xf numFmtId="177" fontId="43" fillId="26" borderId="13" xfId="187" applyFont="true" applyBorder="true" applyAlignment="true" applyProtection="false">
      <alignment horizontal="center" vertical="top" textRotation="0" wrapText="false" indent="0" shrinkToFit="false"/>
      <protection locked="true" hidden="false"/>
    </xf>
    <xf numFmtId="164" fontId="43" fillId="26" borderId="13" xfId="187" applyFont="true" applyBorder="true" applyAlignment="true" applyProtection="false">
      <alignment horizontal="general" vertical="top" textRotation="0" wrapText="true" indent="0" shrinkToFit="false"/>
      <protection locked="true" hidden="false"/>
    </xf>
    <xf numFmtId="164" fontId="53" fillId="0" borderId="0" xfId="0" applyFont="true" applyBorder="false" applyAlignment="true" applyProtection="false">
      <alignment horizontal="left" vertical="top" textRotation="0" wrapText="false" indent="0" shrinkToFit="false"/>
      <protection locked="true" hidden="false"/>
    </xf>
    <xf numFmtId="164" fontId="46" fillId="0" borderId="0" xfId="0" applyFont="true" applyBorder="true" applyAlignment="true" applyProtection="false">
      <alignment horizontal="general" vertical="top" textRotation="0" wrapText="false" indent="0" shrinkToFit="false"/>
      <protection locked="true" hidden="false"/>
    </xf>
    <xf numFmtId="164" fontId="46" fillId="0" borderId="0" xfId="0" applyFont="true" applyBorder="false" applyAlignment="true" applyProtection="false">
      <alignment horizontal="center" vertical="top" textRotation="0" wrapText="false" indent="0" shrinkToFit="false"/>
      <protection locked="true" hidden="false"/>
    </xf>
    <xf numFmtId="164" fontId="43" fillId="0" borderId="0" xfId="0" applyFont="true" applyBorder="true" applyAlignment="true" applyProtection="false">
      <alignment horizontal="left" vertical="top" textRotation="0" wrapText="true" indent="0" shrinkToFit="false"/>
      <protection locked="true" hidden="false"/>
    </xf>
    <xf numFmtId="164" fontId="43" fillId="0" borderId="0" xfId="187" applyFont="true" applyBorder="false" applyAlignment="true" applyProtection="false">
      <alignment horizontal="left" vertical="top" textRotation="0" wrapText="false" indent="0" shrinkToFit="false"/>
      <protection locked="true" hidden="false"/>
    </xf>
    <xf numFmtId="164" fontId="43" fillId="27" borderId="0" xfId="187" applyFont="true" applyBorder="true" applyAlignment="true" applyProtection="false">
      <alignment horizontal="left" vertical="top" textRotation="0" wrapText="true" indent="0" shrinkToFit="false"/>
      <protection locked="true" hidden="false"/>
    </xf>
    <xf numFmtId="164" fontId="43" fillId="0" borderId="0" xfId="187" applyFont="true" applyBorder="true" applyAlignment="true" applyProtection="false">
      <alignment horizontal="left" vertical="top" textRotation="0" wrapText="true" indent="0" shrinkToFit="false"/>
      <protection locked="true" hidden="false"/>
    </xf>
    <xf numFmtId="164" fontId="42" fillId="0" borderId="0" xfId="187" applyFont="true" applyBorder="false" applyAlignment="true" applyProtection="false">
      <alignment horizontal="general" vertical="top" textRotation="0" wrapText="false" indent="0" shrinkToFit="false"/>
      <protection locked="true" hidden="false"/>
    </xf>
    <xf numFmtId="164" fontId="42" fillId="0" borderId="0" xfId="187" applyFont="true" applyBorder="false" applyAlignment="true" applyProtection="false">
      <alignment horizontal="right" vertical="top" textRotation="0" wrapText="false" indent="0" shrinkToFit="false"/>
      <protection locked="true" hidden="false"/>
    </xf>
    <xf numFmtId="164" fontId="42" fillId="0" borderId="0" xfId="0" applyFont="true" applyBorder="false" applyAlignment="true" applyProtection="false">
      <alignment horizontal="left" vertical="top" textRotation="0" wrapText="false" indent="0" shrinkToFit="false"/>
      <protection locked="true" hidden="false"/>
    </xf>
    <xf numFmtId="164" fontId="42" fillId="0" borderId="0" xfId="187" applyFont="true" applyBorder="false" applyAlignment="true" applyProtection="false">
      <alignment horizontal="left" vertical="top" textRotation="0" wrapText="true" indent="0" shrinkToFit="false"/>
      <protection locked="true" hidden="false"/>
    </xf>
    <xf numFmtId="164" fontId="42" fillId="0" borderId="0" xfId="187" applyFont="true" applyBorder="false" applyAlignment="true" applyProtection="false">
      <alignment horizontal="left" vertical="top" textRotation="0" wrapText="false" indent="0" shrinkToFit="false"/>
      <protection locked="true" hidden="false"/>
    </xf>
    <xf numFmtId="164" fontId="42" fillId="0" borderId="0" xfId="187" applyFont="true" applyBorder="false" applyAlignment="true" applyProtection="false">
      <alignment horizontal="general" vertical="top" textRotation="0" wrapText="true" indent="0" shrinkToFit="false"/>
      <protection locked="true" hidden="false"/>
    </xf>
    <xf numFmtId="164" fontId="44" fillId="0" borderId="0" xfId="187" applyFont="true" applyBorder="false" applyAlignment="true" applyProtection="false">
      <alignment horizontal="right" vertical="top" textRotation="0" wrapText="false" indent="0" shrinkToFit="false"/>
      <protection locked="true" hidden="false"/>
    </xf>
    <xf numFmtId="164" fontId="55" fillId="25" borderId="13" xfId="0" applyFont="true" applyBorder="true" applyAlignment="true" applyProtection="false">
      <alignment horizontal="center" vertical="center" textRotation="0" wrapText="false" indent="0" shrinkToFit="false"/>
      <protection locked="true" hidden="false"/>
    </xf>
    <xf numFmtId="164" fontId="55" fillId="25" borderId="13" xfId="0" applyFont="true" applyBorder="true" applyAlignment="true" applyProtection="false">
      <alignment horizontal="center" vertical="bottom" textRotation="0" wrapText="false" indent="0" shrinkToFit="false"/>
      <protection locked="true" hidden="false"/>
    </xf>
    <xf numFmtId="177" fontId="0" fillId="0" borderId="13" xfId="0" applyFont="true" applyBorder="true" applyAlignment="true" applyProtection="false">
      <alignment horizontal="center" vertical="center" textRotation="0" wrapText="false" indent="0" shrinkToFit="false"/>
      <protection locked="true" hidden="false"/>
    </xf>
    <xf numFmtId="164" fontId="0" fillId="0" borderId="13" xfId="0" applyFont="true" applyBorder="true" applyAlignment="true" applyProtection="false">
      <alignment horizontal="center" vertical="center" textRotation="0" wrapText="false" indent="0" shrinkToFit="false"/>
      <protection locked="true" hidden="false"/>
    </xf>
    <xf numFmtId="190" fontId="0" fillId="0" borderId="13" xfId="0" applyFont="false" applyBorder="true" applyAlignment="true" applyProtection="false">
      <alignment horizontal="center" vertical="center" textRotation="0" wrapText="false" indent="0" shrinkToFit="false"/>
      <protection locked="true" hidden="false"/>
    </xf>
    <xf numFmtId="177" fontId="46" fillId="27" borderId="0" xfId="0" applyFont="true" applyBorder="false" applyAlignment="true" applyProtection="false">
      <alignment horizontal="center" vertical="top" textRotation="0" wrapText="true" indent="0" shrinkToFit="false"/>
      <protection locked="true" hidden="false"/>
    </xf>
    <xf numFmtId="164" fontId="46" fillId="27" borderId="0" xfId="0" applyFont="true" applyBorder="false" applyAlignment="true" applyProtection="false">
      <alignment horizontal="general" vertical="top" textRotation="0" wrapText="true" indent="0" shrinkToFit="false"/>
      <protection locked="true" hidden="false"/>
    </xf>
    <xf numFmtId="164" fontId="46" fillId="27" borderId="0" xfId="0" applyFont="true" applyBorder="false" applyAlignment="true" applyProtection="false">
      <alignment horizontal="center" vertical="top" textRotation="0" wrapText="true" indent="0" shrinkToFit="false"/>
      <protection locked="true" hidden="false"/>
    </xf>
    <xf numFmtId="189" fontId="46" fillId="27" borderId="0" xfId="0" applyFont="true" applyBorder="false" applyAlignment="true" applyProtection="false">
      <alignment horizontal="center" vertical="top" textRotation="0" wrapText="true" indent="0" shrinkToFit="false"/>
      <protection locked="true" hidden="false"/>
    </xf>
    <xf numFmtId="164" fontId="45" fillId="27" borderId="0" xfId="0" applyFont="true" applyBorder="true" applyAlignment="true" applyProtection="false">
      <alignment horizontal="center" vertical="bottom" textRotation="0" wrapText="false" indent="0" shrinkToFit="false"/>
      <protection locked="true" hidden="false"/>
    </xf>
    <xf numFmtId="164" fontId="45" fillId="27" borderId="0" xfId="0" applyFont="true" applyBorder="true" applyAlignment="true" applyProtection="false">
      <alignment horizontal="center" vertical="bottom" textRotation="0" wrapText="true" indent="0" shrinkToFit="false"/>
      <protection locked="true" hidden="false"/>
    </xf>
    <xf numFmtId="164" fontId="45" fillId="27" borderId="0" xfId="0" applyFont="true" applyBorder="false" applyAlignment="true" applyProtection="false">
      <alignment horizontal="center" vertical="top" textRotation="0" wrapText="true" indent="0" shrinkToFit="false"/>
      <protection locked="true" hidden="false"/>
    </xf>
    <xf numFmtId="164" fontId="46" fillId="27" borderId="13" xfId="0" applyFont="true" applyBorder="true" applyAlignment="true" applyProtection="false">
      <alignment horizontal="center" vertical="top" textRotation="0" wrapText="true" indent="0" shrinkToFit="false"/>
      <protection locked="true" hidden="false"/>
    </xf>
    <xf numFmtId="189" fontId="46" fillId="27" borderId="13" xfId="0" applyFont="true" applyBorder="true" applyAlignment="true" applyProtection="false">
      <alignment horizontal="center" vertical="top" textRotation="0" wrapText="true" indent="0" shrinkToFit="false"/>
      <protection locked="true" hidden="false"/>
    </xf>
    <xf numFmtId="164" fontId="45" fillId="25" borderId="13" xfId="0" applyFont="true" applyBorder="true" applyAlignment="true" applyProtection="false">
      <alignment horizontal="left" vertical="center" textRotation="0" wrapText="true" indent="0" shrinkToFit="false"/>
      <protection locked="true" hidden="false"/>
    </xf>
    <xf numFmtId="164" fontId="46" fillId="25" borderId="19" xfId="0" applyFont="true" applyBorder="true" applyAlignment="true" applyProtection="false">
      <alignment horizontal="center" vertical="top" textRotation="0" wrapText="true" indent="0" shrinkToFit="false"/>
      <protection locked="true" hidden="false"/>
    </xf>
    <xf numFmtId="189" fontId="46" fillId="25" borderId="19" xfId="0" applyFont="true" applyBorder="true" applyAlignment="true" applyProtection="false">
      <alignment horizontal="center" vertical="top" textRotation="0" wrapText="true" indent="0" shrinkToFit="false"/>
      <protection locked="true" hidden="false"/>
    </xf>
    <xf numFmtId="164" fontId="46" fillId="26" borderId="19" xfId="0" applyFont="true" applyBorder="true" applyAlignment="true" applyProtection="false">
      <alignment horizontal="center" vertical="top" textRotation="0" wrapText="true" indent="0" shrinkToFit="false"/>
      <protection locked="true" hidden="false"/>
    </xf>
    <xf numFmtId="189" fontId="46" fillId="26" borderId="19" xfId="0" applyFont="true" applyBorder="true" applyAlignment="true" applyProtection="false">
      <alignment horizontal="center" vertical="top" textRotation="0" wrapText="true" indent="0" shrinkToFit="false"/>
      <protection locked="true" hidden="false"/>
    </xf>
    <xf numFmtId="164" fontId="46" fillId="27" borderId="19" xfId="0" applyFont="true" applyBorder="true" applyAlignment="true" applyProtection="false">
      <alignment horizontal="center" vertical="top" textRotation="0" wrapText="true" indent="0" shrinkToFit="false"/>
      <protection locked="true" hidden="false"/>
    </xf>
    <xf numFmtId="190" fontId="46" fillId="27" borderId="19" xfId="0" applyFont="true" applyBorder="true" applyAlignment="true" applyProtection="false">
      <alignment horizontal="center" vertical="top" textRotation="0" wrapText="true" indent="0" shrinkToFit="false"/>
      <protection locked="true" hidden="false"/>
    </xf>
    <xf numFmtId="164" fontId="46" fillId="0" borderId="13" xfId="0" applyFont="true" applyBorder="true" applyAlignment="true" applyProtection="true">
      <alignment horizontal="left" vertical="center" textRotation="0" wrapText="true" indent="0" shrinkToFit="false"/>
      <protection locked="false" hidden="false"/>
    </xf>
    <xf numFmtId="164" fontId="46" fillId="0" borderId="13" xfId="0" applyFont="true" applyBorder="true" applyAlignment="true" applyProtection="true">
      <alignment horizontal="left" vertical="bottom" textRotation="0" wrapText="true" indent="0" shrinkToFit="false"/>
      <protection locked="false" hidden="false"/>
    </xf>
    <xf numFmtId="177" fontId="45" fillId="27" borderId="13" xfId="0" applyFont="true" applyBorder="true" applyAlignment="true" applyProtection="false">
      <alignment horizontal="center" vertical="center" textRotation="0" wrapText="true" indent="0" shrinkToFit="false"/>
      <protection locked="true" hidden="false"/>
    </xf>
    <xf numFmtId="189" fontId="46" fillId="27" borderId="13" xfId="0" applyFont="true" applyBorder="true" applyAlignment="true" applyProtection="false">
      <alignment horizontal="left" vertical="center" textRotation="0" wrapText="true" indent="0" shrinkToFit="false"/>
      <protection locked="true" hidden="false"/>
    </xf>
    <xf numFmtId="190" fontId="46" fillId="26" borderId="19" xfId="0" applyFont="true" applyBorder="true" applyAlignment="true" applyProtection="false">
      <alignment horizontal="center" vertical="top" textRotation="0" wrapText="true" indent="0" shrinkToFit="false"/>
      <protection locked="true" hidden="false"/>
    </xf>
    <xf numFmtId="164" fontId="42" fillId="26" borderId="0" xfId="187" applyFont="true" applyBorder="false" applyAlignment="true" applyProtection="false">
      <alignment horizontal="general" vertical="top" textRotation="0" wrapText="true" indent="0" shrinkToFit="false"/>
      <protection locked="true" hidden="false"/>
    </xf>
    <xf numFmtId="177" fontId="48" fillId="0" borderId="13" xfId="187" applyFont="true" applyBorder="true" applyAlignment="true" applyProtection="false">
      <alignment horizontal="center" vertical="bottom" textRotation="0" wrapText="true" indent="0" shrinkToFit="false"/>
      <protection locked="true" hidden="false"/>
    </xf>
    <xf numFmtId="164" fontId="48" fillId="0" borderId="13" xfId="187" applyFont="true" applyBorder="true" applyAlignment="true" applyProtection="false">
      <alignment horizontal="general" vertical="bottom" textRotation="0" wrapText="true" indent="0" shrinkToFit="false"/>
      <protection locked="true" hidden="false"/>
    </xf>
    <xf numFmtId="164" fontId="56" fillId="0" borderId="0" xfId="0" applyFont="true" applyBorder="false" applyAlignment="true" applyProtection="false">
      <alignment horizontal="general" vertical="bottom" textRotation="0" wrapText="true" indent="0" shrinkToFit="false"/>
      <protection locked="true" hidden="false"/>
    </xf>
    <xf numFmtId="177" fontId="47" fillId="0" borderId="13" xfId="187" applyFont="true" applyBorder="true" applyAlignment="true" applyProtection="false">
      <alignment horizontal="center" vertical="bottom" textRotation="0" wrapText="true" indent="0" shrinkToFit="false"/>
      <protection locked="true" hidden="false"/>
    </xf>
    <xf numFmtId="164" fontId="43" fillId="0" borderId="13" xfId="187" applyFont="true" applyBorder="true" applyAlignment="true" applyProtection="false">
      <alignment horizontal="general" vertical="bottom" textRotation="0" wrapText="true" indent="0" shrinkToFit="false"/>
      <protection locked="true" hidden="false"/>
    </xf>
    <xf numFmtId="164" fontId="46" fillId="27" borderId="13" xfId="266" applyFont="true" applyBorder="true" applyAlignment="true" applyProtection="true">
      <alignment horizontal="general" vertical="center" textRotation="0" wrapText="true" indent="0" shrinkToFit="false"/>
      <protection locked="false" hidden="false"/>
    </xf>
    <xf numFmtId="164" fontId="46" fillId="27" borderId="13" xfId="0" applyFont="true" applyBorder="true" applyAlignment="true" applyProtection="true">
      <alignment horizontal="left" vertical="center" textRotation="0" wrapText="true" indent="0" shrinkToFit="false"/>
      <protection locked="false" hidden="false"/>
    </xf>
    <xf numFmtId="164" fontId="46" fillId="27" borderId="13" xfId="266" applyFont="true" applyBorder="true" applyAlignment="true" applyProtection="false">
      <alignment horizontal="left" vertical="center" textRotation="0" wrapText="true" indent="0" shrinkToFit="false"/>
      <protection locked="true" hidden="false"/>
    </xf>
    <xf numFmtId="189" fontId="45" fillId="26" borderId="13" xfId="0" applyFont="true" applyBorder="true" applyAlignment="true" applyProtection="false">
      <alignment horizontal="center" vertical="center" textRotation="0" wrapText="true" indent="0" shrinkToFit="false"/>
      <protection locked="true" hidden="false"/>
    </xf>
    <xf numFmtId="164" fontId="46" fillId="0" borderId="13" xfId="187" applyFont="true" applyBorder="true" applyAlignment="true" applyProtection="false">
      <alignment horizontal="general" vertical="bottom" textRotation="0" wrapText="true" indent="0" shrinkToFit="false"/>
      <protection locked="true" hidden="false"/>
    </xf>
    <xf numFmtId="164" fontId="42" fillId="0" borderId="13" xfId="187" applyFont="true" applyBorder="true" applyAlignment="true" applyProtection="false">
      <alignment horizontal="center" vertical="center" textRotation="0" wrapText="false" indent="0" shrinkToFit="false"/>
      <protection locked="true" hidden="false"/>
    </xf>
    <xf numFmtId="164" fontId="43" fillId="0" borderId="13" xfId="187" applyFont="true" applyBorder="true" applyAlignment="true" applyProtection="false">
      <alignment horizontal="center" vertical="center" textRotation="0" wrapText="false" indent="0" shrinkToFit="false"/>
      <protection locked="true" hidden="false"/>
    </xf>
    <xf numFmtId="177" fontId="45" fillId="25" borderId="13" xfId="0" applyFont="true" applyBorder="true" applyAlignment="true" applyProtection="false">
      <alignment horizontal="center" vertical="center" textRotation="0" wrapText="true" indent="0" shrinkToFit="false"/>
      <protection locked="true" hidden="false"/>
    </xf>
    <xf numFmtId="190" fontId="46" fillId="25" borderId="19" xfId="0" applyFont="true" applyBorder="true" applyAlignment="true" applyProtection="false">
      <alignment horizontal="center" vertical="top" textRotation="0" wrapText="true" indent="0" shrinkToFit="false"/>
      <protection locked="true" hidden="false"/>
    </xf>
    <xf numFmtId="164" fontId="47" fillId="25" borderId="13" xfId="0" applyFont="true" applyBorder="true" applyAlignment="true" applyProtection="false">
      <alignment horizontal="left" vertical="center" textRotation="0" wrapText="true" indent="0" shrinkToFit="false"/>
      <protection locked="true" hidden="false"/>
    </xf>
    <xf numFmtId="164" fontId="45" fillId="26" borderId="13" xfId="0" applyFont="true" applyBorder="true" applyAlignment="true" applyProtection="false">
      <alignment horizontal="left" vertical="center" textRotation="0" wrapText="true" indent="0" shrinkToFit="false"/>
      <protection locked="true" hidden="false"/>
    </xf>
    <xf numFmtId="164" fontId="45" fillId="26" borderId="0" xfId="0" applyFont="true" applyBorder="false" applyAlignment="false" applyProtection="false">
      <alignment horizontal="general" vertical="bottom" textRotation="0" wrapText="false" indent="0" shrinkToFit="false"/>
      <protection locked="true" hidden="false"/>
    </xf>
    <xf numFmtId="164" fontId="45" fillId="26" borderId="0" xfId="0" applyFont="true" applyBorder="false" applyAlignment="true" applyProtection="false">
      <alignment horizontal="left" vertical="center" textRotation="0" wrapText="true" indent="0" shrinkToFit="false"/>
      <protection locked="true" hidden="false"/>
    </xf>
    <xf numFmtId="164" fontId="45" fillId="26" borderId="13" xfId="0" applyFont="true" applyBorder="true" applyAlignment="true" applyProtection="false">
      <alignment horizontal="justify" vertical="center" textRotation="0" wrapText="true" indent="0" shrinkToFit="false"/>
      <protection locked="true" hidden="false"/>
    </xf>
    <xf numFmtId="177" fontId="45" fillId="26" borderId="13" xfId="0" applyFont="true" applyBorder="true" applyAlignment="true" applyProtection="false">
      <alignment horizontal="center" vertical="center" textRotation="0" wrapText="true" indent="0" shrinkToFit="false"/>
      <protection locked="true" hidden="false"/>
    </xf>
    <xf numFmtId="177" fontId="45" fillId="26" borderId="0" xfId="0" applyFont="true" applyBorder="true" applyAlignment="true" applyProtection="false">
      <alignment horizontal="center" vertical="center" textRotation="0" wrapText="true" indent="0" shrinkToFit="false"/>
      <protection locked="true" hidden="false"/>
    </xf>
    <xf numFmtId="177" fontId="45" fillId="28" borderId="13" xfId="0" applyFont="true" applyBorder="true" applyAlignment="true" applyProtection="false">
      <alignment horizontal="center" vertical="center" textRotation="0" wrapText="true" indent="0" shrinkToFit="false"/>
      <protection locked="true" hidden="false"/>
    </xf>
    <xf numFmtId="164" fontId="46" fillId="28" borderId="13" xfId="0" applyFont="true" applyBorder="true" applyAlignment="true" applyProtection="false">
      <alignment horizontal="left" vertical="top" textRotation="0" wrapText="true" indent="0" shrinkToFit="false"/>
      <protection locked="true" hidden="false"/>
    </xf>
    <xf numFmtId="190" fontId="46" fillId="28" borderId="19" xfId="0" applyFont="true" applyBorder="true" applyAlignment="true" applyProtection="false">
      <alignment horizontal="center" vertical="top" textRotation="0" wrapText="true" indent="0" shrinkToFit="false"/>
      <protection locked="true" hidden="false"/>
    </xf>
    <xf numFmtId="164" fontId="46" fillId="28" borderId="0" xfId="0" applyFont="true" applyBorder="false" applyAlignment="true" applyProtection="false">
      <alignment horizontal="general" vertical="top" textRotation="0" wrapText="true" indent="0" shrinkToFit="false"/>
      <protection locked="true" hidden="false"/>
    </xf>
    <xf numFmtId="177" fontId="42" fillId="25" borderId="13" xfId="187" applyFont="true" applyBorder="true" applyAlignment="true" applyProtection="false">
      <alignment horizontal="center" vertical="center" textRotation="0" wrapText="false" indent="0" shrinkToFit="false"/>
      <protection locked="true" hidden="false"/>
    </xf>
    <xf numFmtId="164" fontId="42" fillId="25" borderId="13" xfId="187" applyFont="true" applyBorder="true" applyAlignment="true" applyProtection="false">
      <alignment horizontal="general" vertical="center" textRotation="0" wrapText="true" indent="0" shrinkToFit="false"/>
      <protection locked="true" hidden="false"/>
    </xf>
    <xf numFmtId="164" fontId="46" fillId="27" borderId="0" xfId="0" applyFont="true" applyBorder="false" applyAlignment="true" applyProtection="false">
      <alignment horizontal="general" vertical="bottom" textRotation="0" wrapText="true" indent="0" shrinkToFit="false"/>
      <protection locked="true" hidden="false"/>
    </xf>
    <xf numFmtId="190" fontId="46" fillId="26" borderId="13" xfId="0" applyFont="true" applyBorder="true" applyAlignment="true" applyProtection="false">
      <alignment horizontal="center" vertical="bottom" textRotation="0" wrapText="true" indent="0" shrinkToFit="false"/>
      <protection locked="true" hidden="false"/>
    </xf>
    <xf numFmtId="190" fontId="46" fillId="27" borderId="13" xfId="0" applyFont="true" applyBorder="true" applyAlignment="true" applyProtection="false">
      <alignment horizontal="center" vertical="bottom" textRotation="0" wrapText="true" indent="0" shrinkToFit="false"/>
      <protection locked="true" hidden="false"/>
    </xf>
    <xf numFmtId="190" fontId="46" fillId="27" borderId="13" xfId="0" applyFont="true" applyBorder="true" applyAlignment="true" applyProtection="false">
      <alignment horizontal="center" vertical="center" textRotation="0" wrapText="true" indent="0" shrinkToFit="false"/>
      <protection locked="true" hidden="false"/>
    </xf>
    <xf numFmtId="190" fontId="46" fillId="27" borderId="19" xfId="0" applyFont="true" applyBorder="true" applyAlignment="true" applyProtection="false">
      <alignment horizontal="center" vertical="center" textRotation="0" wrapText="true" indent="0" shrinkToFit="false"/>
      <protection locked="true" hidden="false"/>
    </xf>
    <xf numFmtId="190" fontId="46" fillId="0" borderId="13" xfId="0" applyFont="true" applyBorder="true" applyAlignment="true" applyProtection="false">
      <alignment horizontal="center" vertical="bottom" textRotation="0" wrapText="true" indent="0" shrinkToFit="false"/>
      <protection locked="true" hidden="false"/>
    </xf>
    <xf numFmtId="190" fontId="46" fillId="26" borderId="13" xfId="0" applyFont="true" applyBorder="true" applyAlignment="true" applyProtection="false">
      <alignment horizontal="center" vertical="center" textRotation="0" wrapText="true" indent="0" shrinkToFit="false"/>
      <protection locked="true" hidden="false"/>
    </xf>
    <xf numFmtId="190" fontId="46" fillId="26" borderId="19" xfId="0" applyFont="true" applyBorder="true" applyAlignment="true" applyProtection="false">
      <alignment horizontal="center" vertical="center" textRotation="0" wrapText="true" indent="0" shrinkToFit="false"/>
      <protection locked="true" hidden="false"/>
    </xf>
    <xf numFmtId="190" fontId="45" fillId="0" borderId="13" xfId="0" applyFont="true" applyBorder="true" applyAlignment="true" applyProtection="false">
      <alignment horizontal="center" vertical="center" textRotation="0" wrapText="true" indent="0" shrinkToFit="false"/>
      <protection locked="true" hidden="false"/>
    </xf>
    <xf numFmtId="164" fontId="46" fillId="27" borderId="0" xfId="0" applyFont="true" applyBorder="false" applyAlignment="true" applyProtection="false">
      <alignment horizontal="general" vertical="center" textRotation="0" wrapText="true" indent="0" shrinkToFit="false"/>
      <protection locked="true" hidden="false"/>
    </xf>
    <xf numFmtId="190" fontId="45" fillId="0" borderId="13" xfId="0" applyFont="true" applyBorder="true" applyAlignment="true" applyProtection="false">
      <alignment horizontal="center" vertical="bottom" textRotation="0" wrapText="true" indent="0" shrinkToFit="false"/>
      <protection locked="true" hidden="false"/>
    </xf>
    <xf numFmtId="190" fontId="46" fillId="0" borderId="13" xfId="0" applyFont="true" applyBorder="true" applyAlignment="true" applyProtection="false">
      <alignment horizontal="center" vertical="center" textRotation="0" wrapText="true" indent="0" shrinkToFit="false"/>
      <protection locked="true" hidden="false"/>
    </xf>
    <xf numFmtId="177" fontId="46" fillId="26" borderId="13" xfId="0" applyFont="true" applyBorder="true" applyAlignment="true" applyProtection="false">
      <alignment horizontal="left" vertical="top" textRotation="0" wrapText="true" indent="0" shrinkToFit="false"/>
      <protection locked="true" hidden="false"/>
    </xf>
    <xf numFmtId="164" fontId="42" fillId="26" borderId="13" xfId="187" applyFont="true" applyBorder="true" applyAlignment="false" applyProtection="false">
      <alignment horizontal="general" vertical="bottom" textRotation="0" wrapText="false" indent="0" shrinkToFit="false"/>
      <protection locked="true" hidden="false"/>
    </xf>
    <xf numFmtId="164" fontId="43" fillId="27" borderId="13" xfId="181" applyFont="true" applyBorder="true" applyAlignment="true" applyProtection="false">
      <alignment horizontal="left" vertical="bottom" textRotation="0" wrapText="true" indent="0" shrinkToFit="false"/>
      <protection locked="true" hidden="false"/>
    </xf>
    <xf numFmtId="164" fontId="43" fillId="27" borderId="13" xfId="181" applyFont="true" applyBorder="true" applyAlignment="true" applyProtection="false">
      <alignment horizontal="general" vertical="bottom" textRotation="0" wrapText="true" indent="0" shrinkToFit="false"/>
      <protection locked="true" hidden="false"/>
    </xf>
    <xf numFmtId="164" fontId="48" fillId="27" borderId="13" xfId="0" applyFont="true" applyBorder="true" applyAlignment="true" applyProtection="false">
      <alignment horizontal="left" vertical="center" textRotation="0" wrapText="true" indent="0" shrinkToFit="false"/>
      <protection locked="true" hidden="false"/>
    </xf>
    <xf numFmtId="177" fontId="45" fillId="25" borderId="0" xfId="0" applyFont="true" applyBorder="false" applyAlignment="true" applyProtection="false">
      <alignment horizontal="center" vertical="center" textRotation="0" wrapText="true" indent="0" shrinkToFit="false"/>
      <protection locked="true" hidden="false"/>
    </xf>
    <xf numFmtId="190" fontId="46" fillId="25" borderId="13" xfId="0" applyFont="true" applyBorder="true" applyAlignment="true" applyProtection="false">
      <alignment horizontal="center" vertical="bottom" textRotation="0" wrapText="true" indent="0" shrinkToFit="false"/>
      <protection locked="true" hidden="false"/>
    </xf>
    <xf numFmtId="190" fontId="46" fillId="25" borderId="13" xfId="0" applyFont="true" applyBorder="true" applyAlignment="true" applyProtection="false">
      <alignment horizontal="center" vertical="center" textRotation="0" wrapText="true" indent="0" shrinkToFit="false"/>
      <protection locked="true" hidden="false"/>
    </xf>
    <xf numFmtId="190" fontId="46" fillId="25" borderId="19" xfId="0" applyFont="true" applyBorder="true" applyAlignment="true" applyProtection="false">
      <alignment horizontal="center" vertical="center" textRotation="0" wrapText="true" indent="0" shrinkToFit="false"/>
      <protection locked="true" hidden="false"/>
    </xf>
    <xf numFmtId="164" fontId="43" fillId="27" borderId="13" xfId="0" applyFont="true" applyBorder="true" applyAlignment="true" applyProtection="false">
      <alignment horizontal="general" vertical="center" textRotation="0" wrapText="true" indent="0" shrinkToFit="false"/>
      <protection locked="true" hidden="false"/>
    </xf>
    <xf numFmtId="177" fontId="45" fillId="0" borderId="13" xfId="0" applyFont="true" applyBorder="true" applyAlignment="true" applyProtection="false">
      <alignment horizontal="center" vertical="center" textRotation="0" wrapText="true" indent="0" shrinkToFit="false"/>
      <protection locked="true" hidden="false"/>
    </xf>
    <xf numFmtId="164" fontId="46" fillId="0" borderId="14" xfId="0" applyFont="true" applyBorder="true" applyAlignment="true" applyProtection="false">
      <alignment horizontal="left" vertical="top" textRotation="0" wrapText="true" indent="0" shrinkToFit="false"/>
      <protection locked="true" hidden="false"/>
    </xf>
    <xf numFmtId="189" fontId="46" fillId="0" borderId="13" xfId="187" applyFont="true" applyBorder="true" applyAlignment="true" applyProtection="false">
      <alignment horizontal="general" vertical="top" textRotation="0" wrapText="true" indent="0" shrinkToFit="false"/>
      <protection locked="true" hidden="false"/>
    </xf>
    <xf numFmtId="189" fontId="46" fillId="27" borderId="13" xfId="268" applyFont="true" applyBorder="true" applyAlignment="true" applyProtection="false">
      <alignment horizontal="general" vertical="center" textRotation="0" wrapText="true" indent="0" shrinkToFit="false"/>
      <protection locked="true" hidden="false"/>
    </xf>
    <xf numFmtId="189" fontId="46" fillId="27" borderId="13" xfId="268" applyFont="true" applyBorder="true" applyAlignment="true" applyProtection="false">
      <alignment horizontal="left" vertical="center" textRotation="0" wrapText="true" indent="0" shrinkToFit="false"/>
      <protection locked="true" hidden="false"/>
    </xf>
    <xf numFmtId="164" fontId="47" fillId="25" borderId="13" xfId="260" applyFont="true" applyBorder="true" applyAlignment="true" applyProtection="false">
      <alignment horizontal="left" vertical="center" textRotation="0" wrapText="true" indent="0" shrinkToFit="false"/>
      <protection locked="true" hidden="false"/>
    </xf>
    <xf numFmtId="164" fontId="46" fillId="25" borderId="13" xfId="0" applyFont="true" applyBorder="true" applyAlignment="true" applyProtection="false">
      <alignment horizontal="center" vertical="top" textRotation="0" wrapText="true" indent="0" shrinkToFit="false"/>
      <protection locked="true" hidden="false"/>
    </xf>
    <xf numFmtId="164" fontId="46" fillId="26" borderId="13" xfId="0" applyFont="true" applyBorder="true" applyAlignment="true" applyProtection="false">
      <alignment horizontal="center" vertical="top" textRotation="0" wrapText="true" indent="0" shrinkToFit="false"/>
      <protection locked="true" hidden="false"/>
    </xf>
    <xf numFmtId="177" fontId="45" fillId="26" borderId="14" xfId="0" applyFont="true" applyBorder="true" applyAlignment="true" applyProtection="false">
      <alignment horizontal="center" vertical="center" textRotation="0" wrapText="true" indent="0" shrinkToFit="false"/>
      <protection locked="true" hidden="false"/>
    </xf>
    <xf numFmtId="177" fontId="45" fillId="26" borderId="3" xfId="0" applyFont="true" applyBorder="true" applyAlignment="true" applyProtection="false">
      <alignment horizontal="center" vertical="center" textRotation="0" wrapText="true" indent="0" shrinkToFit="false"/>
      <protection locked="true" hidden="false"/>
    </xf>
    <xf numFmtId="177" fontId="45" fillId="27" borderId="14" xfId="0" applyFont="true" applyBorder="true" applyAlignment="true" applyProtection="false">
      <alignment horizontal="center" vertical="center" textRotation="0" wrapText="true" indent="0" shrinkToFit="false"/>
      <protection locked="true" hidden="false"/>
    </xf>
    <xf numFmtId="189" fontId="45" fillId="27" borderId="13" xfId="0" applyFont="true" applyBorder="true" applyAlignment="true" applyProtection="false">
      <alignment horizontal="center" vertical="center" textRotation="0" wrapText="true" indent="0" shrinkToFit="false"/>
      <protection locked="true" hidden="false"/>
    </xf>
    <xf numFmtId="189" fontId="45" fillId="0" borderId="13" xfId="0" applyFont="true" applyBorder="true" applyAlignment="true" applyProtection="false">
      <alignment horizontal="center" vertical="center" textRotation="0" wrapText="true" indent="0" shrinkToFit="false"/>
      <protection locked="true" hidden="false"/>
    </xf>
    <xf numFmtId="164" fontId="48" fillId="27" borderId="14" xfId="0" applyFont="true" applyBorder="true" applyAlignment="true" applyProtection="false">
      <alignment horizontal="left" vertical="top" textRotation="0" wrapText="true" indent="0" shrinkToFit="false"/>
      <protection locked="true" hidden="false"/>
    </xf>
    <xf numFmtId="164" fontId="45" fillId="25" borderId="13" xfId="266" applyFont="true" applyBorder="true" applyAlignment="true" applyProtection="false">
      <alignment horizontal="center" vertical="top" textRotation="0" wrapText="true" indent="0" shrinkToFit="false"/>
      <protection locked="true" hidden="false"/>
    </xf>
    <xf numFmtId="164" fontId="45" fillId="25" borderId="13" xfId="266" applyFont="true" applyBorder="true" applyAlignment="true" applyProtection="false">
      <alignment horizontal="left" vertical="top" textRotation="0" wrapText="true" indent="0" shrinkToFit="false"/>
      <protection locked="true" hidden="false"/>
    </xf>
    <xf numFmtId="177" fontId="57" fillId="27" borderId="14" xfId="187" applyFont="true" applyBorder="true" applyAlignment="true" applyProtection="false">
      <alignment horizontal="center" vertical="top" textRotation="0" wrapText="true" indent="0" shrinkToFit="false"/>
      <protection locked="true" hidden="false"/>
    </xf>
    <xf numFmtId="193" fontId="58" fillId="27" borderId="13" xfId="187" applyFont="true" applyBorder="true" applyAlignment="true" applyProtection="false">
      <alignment horizontal="left" vertical="top" textRotation="0" wrapText="true" indent="0" shrinkToFit="false"/>
      <protection locked="true" hidden="false"/>
    </xf>
    <xf numFmtId="193" fontId="57" fillId="27" borderId="13" xfId="187" applyFont="true" applyBorder="true" applyAlignment="true" applyProtection="false">
      <alignment horizontal="left" vertical="top" textRotation="0" wrapText="true" indent="0" shrinkToFit="false"/>
      <protection locked="true" hidden="false"/>
    </xf>
    <xf numFmtId="177" fontId="58" fillId="25" borderId="14" xfId="187" applyFont="true" applyBorder="true" applyAlignment="true" applyProtection="false">
      <alignment horizontal="center" vertical="top" textRotation="0" wrapText="true" indent="0" shrinkToFit="false"/>
      <protection locked="true" hidden="false"/>
    </xf>
    <xf numFmtId="193" fontId="58" fillId="25" borderId="13" xfId="187" applyFont="true" applyBorder="true" applyAlignment="true" applyProtection="false">
      <alignment horizontal="center" vertical="top" textRotation="0" wrapText="true" indent="0" shrinkToFit="false"/>
      <protection locked="true" hidden="false"/>
    </xf>
    <xf numFmtId="193" fontId="58" fillId="25" borderId="13" xfId="187" applyFont="true" applyBorder="true" applyAlignment="true" applyProtection="false">
      <alignment horizontal="left" vertical="top" textRotation="0" wrapText="true" indent="0" shrinkToFit="false"/>
      <protection locked="true" hidden="false"/>
    </xf>
    <xf numFmtId="189" fontId="42" fillId="25" borderId="13" xfId="187" applyFont="true" applyBorder="true" applyAlignment="true" applyProtection="false">
      <alignment horizontal="center" vertical="top" textRotation="0" wrapText="false" indent="0" shrinkToFit="false"/>
      <protection locked="true" hidden="false"/>
    </xf>
    <xf numFmtId="189" fontId="43" fillId="27" borderId="13" xfId="187" applyFont="true" applyBorder="true" applyAlignment="true" applyProtection="false">
      <alignment horizontal="general" vertical="top" textRotation="0" wrapText="false" indent="0" shrinkToFit="false"/>
      <protection locked="true" hidden="false"/>
    </xf>
    <xf numFmtId="191" fontId="43" fillId="27" borderId="13" xfId="317" applyFont="true" applyBorder="true" applyAlignment="true" applyProtection="true">
      <alignment horizontal="center" vertical="center" textRotation="0" wrapText="false" indent="0" shrinkToFit="false"/>
      <protection locked="true" hidden="false"/>
    </xf>
    <xf numFmtId="164" fontId="43" fillId="27" borderId="13" xfId="0" applyFont="true" applyBorder="true" applyAlignment="false" applyProtection="false">
      <alignment horizontal="general" vertical="bottom" textRotation="0" wrapText="false" indent="0" shrinkToFit="false"/>
      <protection locked="true" hidden="false"/>
    </xf>
    <xf numFmtId="189" fontId="43" fillId="27" borderId="13" xfId="0" applyFont="true" applyBorder="true" applyAlignment="false" applyProtection="false">
      <alignment horizontal="general" vertical="bottom" textRotation="0" wrapText="false" indent="0" shrinkToFit="false"/>
      <protection locked="true" hidden="false"/>
    </xf>
    <xf numFmtId="188" fontId="43" fillId="27" borderId="13" xfId="187" applyFont="true" applyBorder="true" applyAlignment="true" applyProtection="false">
      <alignment horizontal="general" vertical="top" textRotation="0" wrapText="false" indent="0" shrinkToFit="false"/>
      <protection locked="true" hidden="false"/>
    </xf>
    <xf numFmtId="191" fontId="43" fillId="27" borderId="13" xfId="317" applyFont="true" applyBorder="true" applyAlignment="true" applyProtection="true">
      <alignment horizontal="right" vertical="center" textRotation="0" wrapText="false" indent="0" shrinkToFit="false"/>
      <protection locked="true" hidden="false"/>
    </xf>
    <xf numFmtId="177" fontId="46" fillId="27" borderId="13" xfId="187" applyFont="true" applyBorder="true" applyAlignment="true" applyProtection="false">
      <alignment horizontal="center" vertical="center" textRotation="0" wrapText="true" indent="0" shrinkToFit="false"/>
      <protection locked="true" hidden="false"/>
    </xf>
    <xf numFmtId="193" fontId="46" fillId="27" borderId="13" xfId="187" applyFont="true" applyBorder="true" applyAlignment="true" applyProtection="false">
      <alignment horizontal="left" vertical="center" textRotation="0" wrapText="true" indent="0" shrinkToFit="false"/>
      <protection locked="true" hidden="false"/>
    </xf>
    <xf numFmtId="189" fontId="43" fillId="27" borderId="13" xfId="187" applyFont="true" applyBorder="true" applyAlignment="true" applyProtection="false">
      <alignment horizontal="center" vertical="center" textRotation="0" wrapText="false" indent="0" shrinkToFit="false"/>
      <protection locked="true" hidden="false"/>
    </xf>
    <xf numFmtId="164" fontId="43" fillId="27" borderId="13" xfId="0" applyFont="true" applyBorder="true" applyAlignment="true" applyProtection="false">
      <alignment horizontal="general" vertical="center" textRotation="0" wrapText="false" indent="0" shrinkToFit="false"/>
      <protection locked="true" hidden="false"/>
    </xf>
    <xf numFmtId="189" fontId="43" fillId="27" borderId="13" xfId="187" applyFont="true" applyBorder="true" applyAlignment="true" applyProtection="false">
      <alignment horizontal="center" vertical="top" textRotation="0" wrapText="true" indent="0" shrinkToFit="false"/>
      <protection locked="true" hidden="false"/>
    </xf>
    <xf numFmtId="191" fontId="43" fillId="27" borderId="13" xfId="317" applyFont="true" applyBorder="true" applyAlignment="true" applyProtection="true">
      <alignment horizontal="center" vertical="center" textRotation="0" wrapText="true" indent="0" shrinkToFit="false"/>
      <protection locked="true" hidden="false"/>
    </xf>
    <xf numFmtId="191" fontId="43" fillId="27" borderId="13" xfId="317" applyFont="true" applyBorder="true" applyAlignment="true" applyProtection="true">
      <alignment horizontal="right" vertical="center" textRotation="0" wrapText="true" indent="0" shrinkToFit="false"/>
      <protection locked="true" hidden="false"/>
    </xf>
    <xf numFmtId="177" fontId="42" fillId="0" borderId="13" xfId="0" applyFont="true" applyBorder="true" applyAlignment="true" applyProtection="false">
      <alignment horizontal="center" vertical="center" textRotation="0" wrapText="false" indent="0" shrinkToFit="false"/>
      <protection locked="true" hidden="false"/>
    </xf>
    <xf numFmtId="164" fontId="43" fillId="27" borderId="13" xfId="0" applyFont="true" applyBorder="true" applyAlignment="true" applyProtection="false">
      <alignment horizontal="center" vertical="center" textRotation="0" wrapText="false" indent="0" shrinkToFit="false"/>
      <protection locked="true" hidden="false"/>
    </xf>
    <xf numFmtId="164" fontId="43" fillId="27" borderId="13" xfId="0" applyFont="true" applyBorder="true" applyAlignment="true" applyProtection="false">
      <alignment horizontal="right" vertical="center" textRotation="0" wrapText="false" indent="0" shrinkToFit="false"/>
      <protection locked="true" hidden="false"/>
    </xf>
    <xf numFmtId="164" fontId="43" fillId="0" borderId="13" xfId="0" applyFont="true" applyBorder="true" applyAlignment="true" applyProtection="false">
      <alignment horizontal="general" vertical="center" textRotation="0" wrapText="false" indent="0" shrinkToFit="false"/>
      <protection locked="true" hidden="false"/>
    </xf>
    <xf numFmtId="190" fontId="43" fillId="27" borderId="13" xfId="0" applyFont="true" applyBorder="true" applyAlignment="true" applyProtection="false">
      <alignment horizontal="right" vertical="center" textRotation="0" wrapText="false" indent="0" shrinkToFit="false"/>
      <protection locked="true" hidden="false"/>
    </xf>
    <xf numFmtId="177" fontId="58" fillId="27" borderId="18" xfId="187" applyFont="true" applyBorder="true" applyAlignment="true" applyProtection="false">
      <alignment horizontal="center" vertical="top" textRotation="0" wrapText="true" indent="0" shrinkToFit="false"/>
      <protection locked="true" hidden="false"/>
    </xf>
    <xf numFmtId="164" fontId="43" fillId="27" borderId="13" xfId="187" applyFont="true" applyBorder="true" applyAlignment="true" applyProtection="false">
      <alignment horizontal="left" vertical="top" textRotation="0" wrapText="true" indent="0" shrinkToFit="false"/>
      <protection locked="true" hidden="false"/>
    </xf>
    <xf numFmtId="164" fontId="42" fillId="27" borderId="13" xfId="187" applyFont="true" applyBorder="true" applyAlignment="true" applyProtection="false">
      <alignment horizontal="left" vertical="top" textRotation="0" wrapText="true" indent="0" shrinkToFit="false"/>
      <protection locked="true" hidden="false"/>
    </xf>
    <xf numFmtId="164" fontId="42" fillId="27" borderId="13" xfId="187" applyFont="true" applyBorder="true" applyAlignment="true" applyProtection="false">
      <alignment horizontal="center" vertical="top" textRotation="0" wrapText="false" indent="0" shrinkToFit="false"/>
      <protection locked="true" hidden="false"/>
    </xf>
    <xf numFmtId="164" fontId="43" fillId="27" borderId="13" xfId="187" applyFont="true" applyBorder="true" applyAlignment="true" applyProtection="false">
      <alignment horizontal="center" vertical="top" textRotation="0" wrapText="false" indent="0" shrinkToFit="false"/>
      <protection locked="true" hidden="false"/>
    </xf>
    <xf numFmtId="177" fontId="42" fillId="27" borderId="0" xfId="187" applyFont="true" applyBorder="false" applyAlignment="true" applyProtection="false">
      <alignment horizontal="center" vertical="top" textRotation="0" wrapText="false" indent="0" shrinkToFit="false"/>
      <protection locked="true" hidden="false"/>
    </xf>
    <xf numFmtId="177" fontId="57" fillId="27" borderId="13" xfId="0" applyFont="true" applyBorder="true" applyAlignment="true" applyProtection="false">
      <alignment horizontal="center" vertical="top" textRotation="0" wrapText="true" indent="0" shrinkToFit="false"/>
      <protection locked="true" hidden="false"/>
    </xf>
    <xf numFmtId="164" fontId="59" fillId="27" borderId="13" xfId="0" applyFont="true" applyBorder="true" applyAlignment="true" applyProtection="false">
      <alignment horizontal="center" vertical="center" textRotation="0" wrapText="true" indent="0" shrinkToFit="false"/>
      <protection locked="true" hidden="false"/>
    </xf>
    <xf numFmtId="189" fontId="46" fillId="27" borderId="13" xfId="267" applyFont="true" applyBorder="true" applyAlignment="true" applyProtection="false">
      <alignment horizontal="center" vertical="top" textRotation="0" wrapText="true" indent="0" shrinkToFit="false"/>
      <protection locked="true" hidden="false"/>
    </xf>
    <xf numFmtId="189" fontId="57" fillId="27" borderId="13" xfId="0" applyFont="true" applyBorder="true" applyAlignment="true" applyProtection="false">
      <alignment horizontal="left" vertical="top" textRotation="0" wrapText="true" indent="0" shrinkToFit="false"/>
      <protection locked="true" hidden="false"/>
    </xf>
    <xf numFmtId="177" fontId="57" fillId="27" borderId="14" xfId="0" applyFont="true" applyBorder="true" applyAlignment="true" applyProtection="false">
      <alignment horizontal="center" vertical="top" textRotation="0" wrapText="true" indent="0" shrinkToFit="false"/>
      <protection locked="true" hidden="false"/>
    </xf>
    <xf numFmtId="193" fontId="57" fillId="27" borderId="13" xfId="267" applyFont="true" applyBorder="true" applyAlignment="true" applyProtection="false">
      <alignment horizontal="left" vertical="top" textRotation="0" wrapText="true" indent="0" shrinkToFit="false"/>
      <protection locked="true" hidden="false"/>
    </xf>
    <xf numFmtId="164" fontId="46" fillId="27" borderId="13" xfId="0" applyFont="true" applyBorder="true" applyAlignment="true" applyProtection="false">
      <alignment horizontal="left" vertical="center" textRotation="0" wrapText="true" indent="0" shrinkToFit="false"/>
      <protection locked="true" hidden="false"/>
    </xf>
    <xf numFmtId="189" fontId="46" fillId="25" borderId="13" xfId="0" applyFont="true" applyBorder="true" applyAlignment="true" applyProtection="false">
      <alignment horizontal="center" vertical="top" textRotation="0" wrapText="true" indent="0" shrinkToFit="false"/>
      <protection locked="true" hidden="false"/>
    </xf>
    <xf numFmtId="177" fontId="57" fillId="0" borderId="18" xfId="187" applyFont="true" applyBorder="true" applyAlignment="true" applyProtection="false">
      <alignment horizontal="center" vertical="top" textRotation="0" wrapText="true" indent="0" shrinkToFit="false"/>
      <protection locked="true" hidden="false"/>
    </xf>
    <xf numFmtId="191" fontId="43" fillId="0" borderId="13" xfId="15" applyFont="true" applyBorder="true" applyAlignment="true" applyProtection="true">
      <alignment horizontal="general" vertical="center" textRotation="0" wrapText="false" indent="0" shrinkToFit="false"/>
      <protection locked="true" hidden="false"/>
    </xf>
    <xf numFmtId="193" fontId="43" fillId="27" borderId="13" xfId="187" applyFont="true" applyBorder="true" applyAlignment="true" applyProtection="false">
      <alignment horizontal="general" vertical="center" textRotation="0" wrapText="false" indent="0" shrinkToFit="false"/>
      <protection locked="true" hidden="false"/>
    </xf>
    <xf numFmtId="190" fontId="43" fillId="27" borderId="13" xfId="187" applyFont="true" applyBorder="true" applyAlignment="true" applyProtection="false">
      <alignment horizontal="general" vertical="top" textRotation="0" wrapText="false" indent="0" shrinkToFit="false"/>
      <protection locked="true" hidden="false"/>
    </xf>
    <xf numFmtId="177" fontId="57" fillId="0" borderId="14" xfId="187" applyFont="true" applyBorder="true" applyAlignment="true" applyProtection="false">
      <alignment horizontal="center" vertical="top" textRotation="0" wrapText="true" indent="0" shrinkToFit="false"/>
      <protection locked="true" hidden="false"/>
    </xf>
    <xf numFmtId="193" fontId="57" fillId="0" borderId="13" xfId="187" applyFont="true" applyBorder="true" applyAlignment="true" applyProtection="false">
      <alignment horizontal="left" vertical="top" textRotation="0" wrapText="true" indent="0" shrinkToFit="false"/>
      <protection locked="true" hidden="false"/>
    </xf>
    <xf numFmtId="191" fontId="43" fillId="27" borderId="13" xfId="187" applyFont="true" applyBorder="true" applyAlignment="true" applyProtection="false">
      <alignment horizontal="general" vertical="top" textRotation="0" wrapText="false" indent="0" shrinkToFit="false"/>
      <protection locked="true" hidden="false"/>
    </xf>
    <xf numFmtId="177" fontId="58" fillId="25" borderId="18" xfId="187" applyFont="true" applyBorder="true" applyAlignment="true" applyProtection="false">
      <alignment horizontal="center" vertical="top" textRotation="0" wrapText="true" indent="0" shrinkToFit="false"/>
      <protection locked="true" hidden="false"/>
    </xf>
    <xf numFmtId="190" fontId="43" fillId="25" borderId="13" xfId="187" applyFont="true" applyBorder="true" applyAlignment="true" applyProtection="false">
      <alignment horizontal="general" vertical="top" textRotation="0" wrapText="false" indent="0" shrinkToFit="false"/>
      <protection locked="true" hidden="false"/>
    </xf>
    <xf numFmtId="191" fontId="43" fillId="25" borderId="13" xfId="187" applyFont="true" applyBorder="true" applyAlignment="true" applyProtection="false">
      <alignment horizontal="general" vertical="top" textRotation="0" wrapText="false" indent="0" shrinkToFit="false"/>
      <protection locked="true" hidden="false"/>
    </xf>
    <xf numFmtId="177" fontId="45" fillId="0" borderId="0" xfId="0" applyFont="true" applyBorder="true" applyAlignment="true" applyProtection="false">
      <alignment horizontal="center" vertical="center" textRotation="0" wrapText="true" indent="0" shrinkToFit="false"/>
      <protection locked="true" hidden="false"/>
    </xf>
    <xf numFmtId="189" fontId="46" fillId="0" borderId="0" xfId="0" applyFont="true" applyBorder="true" applyAlignment="true" applyProtection="false">
      <alignment horizontal="center" vertical="center" textRotation="0" wrapText="true" indent="0" shrinkToFit="false"/>
      <protection locked="true" hidden="false"/>
    </xf>
    <xf numFmtId="194" fontId="46" fillId="0" borderId="0" xfId="0" applyFont="true" applyBorder="true" applyAlignment="true" applyProtection="false">
      <alignment horizontal="center" vertical="center" textRotation="0" wrapText="true" indent="0" shrinkToFit="false"/>
      <protection locked="true" hidden="false"/>
    </xf>
    <xf numFmtId="195" fontId="46" fillId="0" borderId="0" xfId="0" applyFont="true" applyBorder="true" applyAlignment="true" applyProtection="false">
      <alignment horizontal="center" vertical="center" textRotation="0" wrapText="true" indent="0" shrinkToFit="false"/>
      <protection locked="true" hidden="false"/>
    </xf>
    <xf numFmtId="181" fontId="46" fillId="0" borderId="0" xfId="0" applyFont="true" applyBorder="true" applyAlignment="true" applyProtection="false">
      <alignment horizontal="center" vertical="center" textRotation="0" wrapText="true" indent="0" shrinkToFit="false"/>
      <protection locked="true" hidden="false"/>
    </xf>
    <xf numFmtId="194" fontId="46" fillId="0" borderId="0" xfId="0" applyFont="true" applyBorder="false" applyAlignment="true" applyProtection="false">
      <alignment horizontal="center" vertical="center" textRotation="0" wrapText="true" indent="0" shrinkToFit="false"/>
      <protection locked="true" hidden="false"/>
    </xf>
    <xf numFmtId="164" fontId="46" fillId="0" borderId="0" xfId="0" applyFont="true" applyBorder="fals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81" fontId="46" fillId="0" borderId="0" xfId="0" applyFont="true" applyBorder="false" applyAlignment="true" applyProtection="false">
      <alignment horizontal="center" vertical="center" textRotation="0" wrapText="true" indent="0" shrinkToFit="false"/>
      <protection locked="true" hidden="false"/>
    </xf>
    <xf numFmtId="189" fontId="46" fillId="0" borderId="0" xfId="0" applyFont="true" applyBorder="false" applyAlignment="true" applyProtection="false">
      <alignment horizontal="center" vertical="center" textRotation="0" wrapText="true" indent="0" shrinkToFit="false"/>
      <protection locked="true" hidden="false"/>
    </xf>
    <xf numFmtId="194" fontId="60" fillId="0" borderId="0" xfId="0" applyFont="true" applyBorder="false" applyAlignment="true" applyProtection="false">
      <alignment horizontal="center" vertical="center" textRotation="0" wrapText="true" indent="0" shrinkToFit="false"/>
      <protection locked="true" hidden="false"/>
    </xf>
    <xf numFmtId="177" fontId="46" fillId="0" borderId="13" xfId="267" applyFont="true" applyBorder="true" applyAlignment="true" applyProtection="false">
      <alignment horizontal="center" vertical="center" textRotation="0" wrapText="true" indent="0" shrinkToFit="false"/>
      <protection locked="true" hidden="false"/>
    </xf>
    <xf numFmtId="189" fontId="46" fillId="0" borderId="13" xfId="267" applyFont="true" applyBorder="true" applyAlignment="true" applyProtection="false">
      <alignment horizontal="center" vertical="center" textRotation="0" wrapText="true" indent="0" shrinkToFit="false"/>
      <protection locked="true" hidden="false"/>
    </xf>
    <xf numFmtId="194" fontId="46" fillId="0" borderId="13" xfId="267" applyFont="true" applyBorder="true" applyAlignment="true" applyProtection="false">
      <alignment horizontal="center" vertical="center" textRotation="0" wrapText="true" indent="0" shrinkToFit="false"/>
      <protection locked="true" hidden="false"/>
    </xf>
    <xf numFmtId="193" fontId="46" fillId="0" borderId="13" xfId="267" applyFont="true" applyBorder="true" applyAlignment="true" applyProtection="false">
      <alignment horizontal="center" vertical="center" textRotation="0" wrapText="true" indent="0" shrinkToFit="false"/>
      <protection locked="true" hidden="false"/>
    </xf>
    <xf numFmtId="181" fontId="46" fillId="0" borderId="13" xfId="267" applyFont="true" applyBorder="true" applyAlignment="true" applyProtection="false">
      <alignment horizontal="center" vertical="center" textRotation="0" wrapText="true" indent="0" shrinkToFit="false"/>
      <protection locked="true" hidden="false"/>
    </xf>
    <xf numFmtId="164" fontId="46" fillId="0" borderId="0" xfId="267" applyFont="true" applyBorder="false" applyAlignment="true" applyProtection="false">
      <alignment horizontal="center" vertical="center" textRotation="0" wrapText="true" indent="0" shrinkToFit="false"/>
      <protection locked="true" hidden="false"/>
    </xf>
    <xf numFmtId="195" fontId="46" fillId="0" borderId="13" xfId="267" applyFont="true" applyBorder="true" applyAlignment="true" applyProtection="false">
      <alignment horizontal="center" vertical="center" textRotation="0" wrapText="true" indent="0" shrinkToFit="false"/>
      <protection locked="true" hidden="false"/>
    </xf>
    <xf numFmtId="177" fontId="45" fillId="25" borderId="13" xfId="267" applyFont="true" applyBorder="true" applyAlignment="true" applyProtection="false">
      <alignment horizontal="center" vertical="center" textRotation="0" wrapText="true" indent="0" shrinkToFit="false"/>
      <protection locked="true" hidden="false"/>
    </xf>
    <xf numFmtId="189" fontId="46" fillId="25" borderId="19" xfId="267" applyFont="true" applyBorder="true" applyAlignment="true" applyProtection="false">
      <alignment horizontal="center" vertical="center" textRotation="0" wrapText="true" indent="0" shrinkToFit="false"/>
      <protection locked="true" hidden="false"/>
    </xf>
    <xf numFmtId="177" fontId="46" fillId="25" borderId="19" xfId="267" applyFont="true" applyBorder="true" applyAlignment="true" applyProtection="false">
      <alignment horizontal="center" vertical="center" textRotation="0" wrapText="true" indent="0" shrinkToFit="false"/>
      <protection locked="true" hidden="false"/>
    </xf>
    <xf numFmtId="194" fontId="46" fillId="25" borderId="19" xfId="267" applyFont="true" applyBorder="true" applyAlignment="true" applyProtection="false">
      <alignment horizontal="center" vertical="center" textRotation="0" wrapText="true" indent="0" shrinkToFit="false"/>
      <protection locked="true" hidden="false"/>
    </xf>
    <xf numFmtId="189" fontId="45" fillId="26" borderId="13" xfId="0" applyFont="true" applyBorder="true" applyAlignment="true" applyProtection="false">
      <alignment horizontal="left" vertical="center" textRotation="0" wrapText="true" indent="0" shrinkToFit="false"/>
      <protection locked="true" hidden="false"/>
    </xf>
    <xf numFmtId="189" fontId="46" fillId="26" borderId="19" xfId="267" applyFont="true" applyBorder="true" applyAlignment="true" applyProtection="false">
      <alignment horizontal="center" vertical="center" textRotation="0" wrapText="true" indent="0" shrinkToFit="false"/>
      <protection locked="true" hidden="false"/>
    </xf>
    <xf numFmtId="177" fontId="46" fillId="26" borderId="19" xfId="267" applyFont="true" applyBorder="true" applyAlignment="true" applyProtection="false">
      <alignment horizontal="center" vertical="center" textRotation="0" wrapText="true" indent="0" shrinkToFit="false"/>
      <protection locked="true" hidden="false"/>
    </xf>
    <xf numFmtId="194" fontId="46" fillId="26" borderId="19" xfId="267" applyFont="true" applyBorder="true" applyAlignment="true" applyProtection="false">
      <alignment horizontal="center" vertical="center" textRotation="0" wrapText="true" indent="0" shrinkToFit="false"/>
      <protection locked="true" hidden="false"/>
    </xf>
    <xf numFmtId="164" fontId="46" fillId="0" borderId="13" xfId="269" applyFont="true" applyBorder="true" applyAlignment="true" applyProtection="false">
      <alignment horizontal="general" vertical="center" textRotation="0" wrapText="true" indent="0" shrinkToFit="false"/>
      <protection locked="true" hidden="false"/>
    </xf>
    <xf numFmtId="189" fontId="46" fillId="0" borderId="19" xfId="267" applyFont="true" applyBorder="true" applyAlignment="true" applyProtection="false">
      <alignment horizontal="center" vertical="center" textRotation="0" wrapText="true" indent="0" shrinkToFit="false"/>
      <protection locked="true" hidden="false"/>
    </xf>
    <xf numFmtId="190" fontId="46" fillId="0" borderId="13" xfId="267" applyFont="true" applyBorder="true" applyAlignment="true" applyProtection="false">
      <alignment horizontal="center" vertical="center" textRotation="0" wrapText="true" indent="0" shrinkToFit="false"/>
      <protection locked="true" hidden="false"/>
    </xf>
    <xf numFmtId="190" fontId="46" fillId="26" borderId="13" xfId="267" applyFont="true" applyBorder="true" applyAlignment="true" applyProtection="false">
      <alignment horizontal="center" vertical="center" textRotation="0" wrapText="true" indent="0" shrinkToFit="false"/>
      <protection locked="true" hidden="false"/>
    </xf>
    <xf numFmtId="195" fontId="46" fillId="26" borderId="13" xfId="267" applyFont="true" applyBorder="true" applyAlignment="true" applyProtection="false">
      <alignment horizontal="center" vertical="center" textRotation="0" wrapText="true" indent="0" shrinkToFit="false"/>
      <protection locked="true" hidden="false"/>
    </xf>
    <xf numFmtId="164" fontId="46" fillId="27" borderId="13" xfId="269" applyFont="true" applyBorder="true" applyAlignment="true" applyProtection="false">
      <alignment horizontal="general" vertical="center" textRotation="0" wrapText="true" indent="0" shrinkToFit="false"/>
      <protection locked="true" hidden="false"/>
    </xf>
    <xf numFmtId="177" fontId="45" fillId="26" borderId="20" xfId="0" applyFont="true" applyBorder="true" applyAlignment="true" applyProtection="false">
      <alignment horizontal="center" vertical="center" textRotation="0" wrapText="true" indent="0" shrinkToFit="false"/>
      <protection locked="true" hidden="false"/>
    </xf>
    <xf numFmtId="164" fontId="42" fillId="26" borderId="0" xfId="187" applyFont="true" applyBorder="false" applyAlignment="true" applyProtection="false">
      <alignment horizontal="general" vertical="center" textRotation="0" wrapText="true" indent="0" shrinkToFit="false"/>
      <protection locked="true" hidden="false"/>
    </xf>
    <xf numFmtId="177" fontId="48" fillId="0" borderId="13" xfId="187" applyFont="true" applyBorder="true" applyAlignment="true" applyProtection="false">
      <alignment horizontal="center" vertical="center" textRotation="0" wrapText="true" indent="0" shrinkToFit="false"/>
      <protection locked="true" hidden="false"/>
    </xf>
    <xf numFmtId="164" fontId="48" fillId="0" borderId="13" xfId="187" applyFont="true" applyBorder="true" applyAlignment="true" applyProtection="false">
      <alignment horizontal="general" vertical="center" textRotation="0" wrapText="true" indent="0" shrinkToFit="false"/>
      <protection locked="true" hidden="false"/>
    </xf>
    <xf numFmtId="164" fontId="56" fillId="0" borderId="0" xfId="0" applyFont="true" applyBorder="false" applyAlignment="true" applyProtection="false">
      <alignment horizontal="general" vertical="center" textRotation="0" wrapText="true" indent="0" shrinkToFit="false"/>
      <protection locked="true" hidden="false"/>
    </xf>
    <xf numFmtId="177" fontId="48" fillId="27" borderId="13" xfId="187" applyFont="true" applyBorder="true" applyAlignment="true" applyProtection="false">
      <alignment horizontal="center" vertical="center" textRotation="0" wrapText="true" indent="0" shrinkToFit="false"/>
      <protection locked="true" hidden="false"/>
    </xf>
    <xf numFmtId="164" fontId="48" fillId="27" borderId="13" xfId="187" applyFont="true" applyBorder="true" applyAlignment="true" applyProtection="false">
      <alignment horizontal="general" vertical="center" textRotation="0" wrapText="true" indent="0" shrinkToFit="false"/>
      <protection locked="true" hidden="false"/>
    </xf>
    <xf numFmtId="189" fontId="46" fillId="27" borderId="19" xfId="267" applyFont="true" applyBorder="true" applyAlignment="true" applyProtection="false">
      <alignment horizontal="center" vertical="center" textRotation="0" wrapText="true" indent="0" shrinkToFit="false"/>
      <protection locked="true" hidden="false"/>
    </xf>
    <xf numFmtId="164" fontId="46" fillId="27" borderId="0" xfId="267" applyFont="true" applyBorder="false" applyAlignment="true" applyProtection="false">
      <alignment horizontal="center" vertical="center" textRotation="0" wrapText="true" indent="0" shrinkToFit="false"/>
      <protection locked="true" hidden="false"/>
    </xf>
    <xf numFmtId="177" fontId="47" fillId="0" borderId="13" xfId="187" applyFont="true" applyBorder="true" applyAlignment="true" applyProtection="false">
      <alignment horizontal="center" vertical="center" textRotation="0" wrapText="true" indent="0" shrinkToFit="false"/>
      <protection locked="true" hidden="false"/>
    </xf>
    <xf numFmtId="189" fontId="46" fillId="0" borderId="13" xfId="0" applyFont="true" applyBorder="true" applyAlignment="true" applyProtection="false">
      <alignment horizontal="left" vertical="center" textRotation="0" wrapText="true" indent="0" shrinkToFit="false"/>
      <protection locked="true" hidden="false"/>
    </xf>
    <xf numFmtId="164" fontId="43" fillId="0" borderId="13" xfId="187" applyFont="true" applyBorder="true" applyAlignment="true" applyProtection="false">
      <alignment horizontal="general" vertical="center" textRotation="0" wrapText="true" indent="0" shrinkToFit="false"/>
      <protection locked="true" hidden="false"/>
    </xf>
    <xf numFmtId="189" fontId="46" fillId="27" borderId="13" xfId="269" applyFont="true" applyBorder="true" applyAlignment="true" applyProtection="false">
      <alignment horizontal="left" vertical="center" textRotation="0" wrapText="true" indent="0" shrinkToFit="false"/>
      <protection locked="true" hidden="false"/>
    </xf>
    <xf numFmtId="190" fontId="46" fillId="26" borderId="19" xfId="267" applyFont="true" applyBorder="true" applyAlignment="true" applyProtection="false">
      <alignment horizontal="center" vertical="center" textRotation="0" wrapText="true" indent="0" shrinkToFit="false"/>
      <protection locked="true" hidden="false"/>
    </xf>
    <xf numFmtId="195" fontId="46" fillId="26" borderId="19" xfId="267" applyFont="true" applyBorder="true" applyAlignment="true" applyProtection="false">
      <alignment horizontal="center" vertical="center" textRotation="0" wrapText="true" indent="0" shrinkToFit="false"/>
      <protection locked="true" hidden="false"/>
    </xf>
    <xf numFmtId="164" fontId="46" fillId="27" borderId="13" xfId="269" applyFont="true" applyBorder="true" applyAlignment="true" applyProtection="false">
      <alignment horizontal="left" vertical="center" textRotation="0" wrapText="true" indent="0" shrinkToFit="false"/>
      <protection locked="true" hidden="false"/>
    </xf>
    <xf numFmtId="164" fontId="43" fillId="27" borderId="13" xfId="187" applyFont="true" applyBorder="true" applyAlignment="true" applyProtection="false">
      <alignment horizontal="general" vertical="center" textRotation="0" wrapText="true" indent="0" shrinkToFit="false"/>
      <protection locked="true" hidden="false"/>
    </xf>
    <xf numFmtId="164" fontId="46" fillId="0" borderId="13" xfId="187" applyFont="true" applyBorder="true" applyAlignment="true" applyProtection="false">
      <alignment horizontal="general" vertical="center" textRotation="0" wrapText="true" indent="0" shrinkToFit="false"/>
      <protection locked="true" hidden="false"/>
    </xf>
    <xf numFmtId="164" fontId="47" fillId="26" borderId="13" xfId="0" applyFont="true" applyBorder="true" applyAlignment="true" applyProtection="false">
      <alignment horizontal="left" vertical="center" textRotation="0" wrapText="true" indent="0" shrinkToFit="false"/>
      <protection locked="true" hidden="false"/>
    </xf>
    <xf numFmtId="190" fontId="46" fillId="25" borderId="19" xfId="267" applyFont="true" applyBorder="true" applyAlignment="true" applyProtection="false">
      <alignment horizontal="center" vertical="center" textRotation="0" wrapText="true" indent="0" shrinkToFit="false"/>
      <protection locked="true" hidden="false"/>
    </xf>
    <xf numFmtId="195" fontId="46" fillId="25" borderId="19" xfId="267" applyFont="true" applyBorder="true" applyAlignment="true" applyProtection="false">
      <alignment horizontal="center" vertical="center" textRotation="0" wrapText="true" indent="0" shrinkToFit="false"/>
      <protection locked="true" hidden="false"/>
    </xf>
    <xf numFmtId="164" fontId="46" fillId="27" borderId="13" xfId="229" applyFont="true" applyBorder="true" applyAlignment="true" applyProtection="false">
      <alignment horizontal="left" vertical="center" textRotation="0" wrapText="true" indent="0" shrinkToFit="false"/>
      <protection locked="true" hidden="false"/>
    </xf>
    <xf numFmtId="177" fontId="45" fillId="26" borderId="0" xfId="0" applyFont="true" applyBorder="false" applyAlignment="true" applyProtection="false">
      <alignment horizontal="center" vertical="center" textRotation="0" wrapText="true" indent="0" shrinkToFit="false"/>
      <protection locked="true" hidden="false"/>
    </xf>
    <xf numFmtId="177" fontId="46" fillId="27" borderId="13" xfId="0" applyFont="true" applyBorder="true" applyAlignment="true" applyProtection="false">
      <alignment horizontal="left" vertical="center" textRotation="0" wrapText="true" indent="0" shrinkToFit="false"/>
      <protection locked="true" hidden="false"/>
    </xf>
    <xf numFmtId="164" fontId="45" fillId="26" borderId="0" xfId="0" applyFont="true" applyBorder="false" applyAlignment="true" applyProtection="false">
      <alignment horizontal="general" vertical="center" textRotation="0" wrapText="false" indent="0" shrinkToFit="false"/>
      <protection locked="true" hidden="false"/>
    </xf>
    <xf numFmtId="189" fontId="46" fillId="27" borderId="15" xfId="0" applyFont="true" applyBorder="true" applyAlignment="true" applyProtection="false">
      <alignment horizontal="left" vertical="center" textRotation="0" wrapText="true" indent="0" shrinkToFit="false"/>
      <protection locked="true" hidden="false"/>
    </xf>
    <xf numFmtId="177" fontId="46" fillId="27" borderId="15" xfId="0" applyFont="true" applyBorder="true" applyAlignment="true" applyProtection="false">
      <alignment horizontal="left" vertical="center" textRotation="0" wrapText="true" indent="0" shrinkToFit="false"/>
      <protection locked="true" hidden="false"/>
    </xf>
    <xf numFmtId="164" fontId="46" fillId="27" borderId="15" xfId="0" applyFont="true" applyBorder="true" applyAlignment="true" applyProtection="false">
      <alignment horizontal="left" vertical="center" textRotation="0" wrapText="true" indent="0" shrinkToFit="false"/>
      <protection locked="true" hidden="false"/>
    </xf>
    <xf numFmtId="189" fontId="45" fillId="26" borderId="15" xfId="0" applyFont="true" applyBorder="true" applyAlignment="true" applyProtection="false">
      <alignment horizontal="left" vertical="center" textRotation="0" wrapText="true" indent="0" shrinkToFit="false"/>
      <protection locked="true" hidden="false"/>
    </xf>
    <xf numFmtId="177" fontId="46" fillId="27" borderId="16" xfId="0" applyFont="true" applyBorder="true" applyAlignment="true" applyProtection="false">
      <alignment horizontal="left" vertical="center" textRotation="0" wrapText="true" indent="0" shrinkToFit="false"/>
      <protection locked="true" hidden="false"/>
    </xf>
    <xf numFmtId="189" fontId="46" fillId="27" borderId="17" xfId="0" applyFont="true" applyBorder="true" applyAlignment="true" applyProtection="false">
      <alignment horizontal="left" vertical="center" textRotation="0" wrapText="true" indent="0" shrinkToFit="false"/>
      <protection locked="true" hidden="false"/>
    </xf>
    <xf numFmtId="190" fontId="46" fillId="0" borderId="19" xfId="267" applyFont="true" applyBorder="true" applyAlignment="true" applyProtection="false">
      <alignment horizontal="center" vertical="center" textRotation="0" wrapText="true" indent="0" shrinkToFit="false"/>
      <protection locked="true" hidden="false"/>
    </xf>
    <xf numFmtId="177" fontId="45" fillId="26" borderId="13" xfId="0" applyFont="true" applyBorder="true" applyAlignment="true" applyProtection="false">
      <alignment horizontal="left" vertical="center" textRotation="0" wrapText="true" indent="0" shrinkToFit="false"/>
      <protection locked="true" hidden="false"/>
    </xf>
    <xf numFmtId="177" fontId="45" fillId="26" borderId="13" xfId="0" applyFont="true" applyBorder="true" applyAlignment="true" applyProtection="false">
      <alignment horizontal="general" vertical="center" textRotation="0" wrapText="true" indent="0" shrinkToFit="false"/>
      <protection locked="true" hidden="false"/>
    </xf>
    <xf numFmtId="189" fontId="46" fillId="26" borderId="13" xfId="267" applyFont="true" applyBorder="true" applyAlignment="true" applyProtection="false">
      <alignment horizontal="center" vertical="center" textRotation="0" wrapText="true" indent="0" shrinkToFit="false"/>
      <protection locked="true" hidden="false"/>
    </xf>
    <xf numFmtId="164" fontId="46" fillId="28" borderId="0" xfId="267" applyFont="true" applyBorder="false" applyAlignment="true" applyProtection="false">
      <alignment horizontal="center" vertical="center" textRotation="0" wrapText="true" indent="0" shrinkToFit="false"/>
      <protection locked="true" hidden="false"/>
    </xf>
    <xf numFmtId="164" fontId="46" fillId="28" borderId="13" xfId="267" applyFont="true" applyBorder="true" applyAlignment="true" applyProtection="false">
      <alignment horizontal="left" vertical="center" textRotation="0" wrapText="true" indent="0" shrinkToFit="false"/>
      <protection locked="true" hidden="false"/>
    </xf>
    <xf numFmtId="196" fontId="46" fillId="28" borderId="13" xfId="267" applyFont="true" applyBorder="true" applyAlignment="true" applyProtection="false">
      <alignment horizontal="center" vertical="center" textRotation="0" wrapText="true" indent="0" shrinkToFit="false"/>
      <protection locked="true" hidden="false"/>
    </xf>
    <xf numFmtId="177" fontId="42" fillId="25" borderId="14" xfId="187" applyFont="true" applyBorder="true" applyAlignment="true" applyProtection="false">
      <alignment horizontal="center" vertical="center" textRotation="0" wrapText="false" indent="0" shrinkToFit="false"/>
      <protection locked="true" hidden="false"/>
    </xf>
    <xf numFmtId="190" fontId="45" fillId="25" borderId="13" xfId="0" applyFont="true" applyBorder="true" applyAlignment="true" applyProtection="false">
      <alignment horizontal="center" vertical="center" textRotation="0" wrapText="true" indent="0" shrinkToFit="false"/>
      <protection locked="true" hidden="false"/>
    </xf>
    <xf numFmtId="190" fontId="45" fillId="25" borderId="13" xfId="267" applyFont="true" applyBorder="true" applyAlignment="true" applyProtection="false">
      <alignment horizontal="center" vertical="center" textRotation="0" wrapText="true" indent="0" shrinkToFit="false"/>
      <protection locked="true" hidden="false"/>
    </xf>
    <xf numFmtId="195" fontId="45" fillId="25" borderId="13" xfId="267" applyFont="true" applyBorder="true" applyAlignment="true" applyProtection="false">
      <alignment horizontal="center" vertical="center" textRotation="0" wrapText="true" indent="0" shrinkToFit="false"/>
      <protection locked="true" hidden="false"/>
    </xf>
    <xf numFmtId="190" fontId="45" fillId="26" borderId="13" xfId="0" applyFont="true" applyBorder="true" applyAlignment="true" applyProtection="false">
      <alignment horizontal="center" vertical="center" textRotation="0" wrapText="true" indent="0" shrinkToFit="false"/>
      <protection locked="true" hidden="false"/>
    </xf>
    <xf numFmtId="190" fontId="45" fillId="26" borderId="13" xfId="267" applyFont="true" applyBorder="true" applyAlignment="true" applyProtection="false">
      <alignment horizontal="center" vertical="center" textRotation="0" wrapText="true" indent="0" shrinkToFit="false"/>
      <protection locked="true" hidden="false"/>
    </xf>
    <xf numFmtId="195" fontId="45" fillId="26" borderId="13" xfId="267" applyFont="true" applyBorder="true" applyAlignment="true" applyProtection="false">
      <alignment horizontal="center" vertical="center" textRotation="0" wrapText="true" indent="0" shrinkToFit="false"/>
      <protection locked="true" hidden="false"/>
    </xf>
    <xf numFmtId="177" fontId="46" fillId="0" borderId="13" xfId="0" applyFont="true" applyBorder="true" applyAlignment="true" applyProtection="false">
      <alignment horizontal="left" vertical="center" textRotation="0" wrapText="true" indent="0" shrinkToFit="false"/>
      <protection locked="true" hidden="false"/>
    </xf>
    <xf numFmtId="164" fontId="45" fillId="0" borderId="0" xfId="0" applyFont="true" applyBorder="false" applyAlignment="true" applyProtection="false">
      <alignment horizontal="center" vertical="center" textRotation="0" wrapText="true" indent="0" shrinkToFit="false"/>
      <protection locked="true" hidden="false"/>
    </xf>
    <xf numFmtId="164" fontId="42" fillId="26" borderId="13" xfId="187" applyFont="true" applyBorder="true" applyAlignment="true" applyProtection="false">
      <alignment horizontal="general" vertical="center" textRotation="0" wrapText="false" indent="0" shrinkToFit="false"/>
      <protection locked="true" hidden="false"/>
    </xf>
    <xf numFmtId="177" fontId="46" fillId="27" borderId="13" xfId="181" applyFont="true" applyBorder="true" applyAlignment="true" applyProtection="false">
      <alignment horizontal="left" vertical="center" textRotation="0" wrapText="true" indent="0" shrinkToFit="false"/>
      <protection locked="true" hidden="false"/>
    </xf>
    <xf numFmtId="164" fontId="43" fillId="27" borderId="13" xfId="181" applyFont="true" applyBorder="true" applyAlignment="true" applyProtection="false">
      <alignment horizontal="left" vertical="center" textRotation="0" wrapText="true" indent="0" shrinkToFit="false"/>
      <protection locked="true" hidden="false"/>
    </xf>
    <xf numFmtId="164" fontId="43" fillId="27" borderId="13" xfId="181" applyFont="true" applyBorder="true" applyAlignment="true" applyProtection="false">
      <alignment horizontal="general" vertical="center" textRotation="0" wrapText="true" indent="0" shrinkToFit="false"/>
      <protection locked="true" hidden="false"/>
    </xf>
    <xf numFmtId="189" fontId="46" fillId="27" borderId="13" xfId="187" applyFont="true" applyBorder="true" applyAlignment="true" applyProtection="false">
      <alignment horizontal="general" vertical="center" textRotation="0" wrapText="true" indent="0" shrinkToFit="false"/>
      <protection locked="true" hidden="false"/>
    </xf>
    <xf numFmtId="190" fontId="46" fillId="25" borderId="13" xfId="267" applyFont="true" applyBorder="true" applyAlignment="true" applyProtection="false">
      <alignment horizontal="center" vertical="center" textRotation="0" wrapText="true" indent="0" shrinkToFit="false"/>
      <protection locked="true" hidden="false"/>
    </xf>
    <xf numFmtId="195" fontId="46" fillId="25" borderId="13" xfId="267" applyFont="true" applyBorder="true" applyAlignment="true" applyProtection="false">
      <alignment horizontal="center" vertical="center" textRotation="0" wrapText="true" indent="0" shrinkToFit="false"/>
      <protection locked="true" hidden="false"/>
    </xf>
    <xf numFmtId="164" fontId="46" fillId="27" borderId="0" xfId="0" applyFont="true" applyBorder="false" applyAlignment="true" applyProtection="false">
      <alignment horizontal="center" vertical="center" textRotation="0" wrapText="true" indent="0" shrinkToFit="false"/>
      <protection locked="true" hidden="false"/>
    </xf>
    <xf numFmtId="164" fontId="46" fillId="0" borderId="13" xfId="0" applyFont="true" applyBorder="true" applyAlignment="true" applyProtection="false">
      <alignment horizontal="left" vertical="center" textRotation="0" wrapText="true" indent="0" shrinkToFit="false"/>
      <protection locked="true" hidden="false"/>
    </xf>
    <xf numFmtId="164" fontId="48" fillId="0" borderId="13" xfId="0" applyFont="true" applyBorder="true" applyAlignment="true" applyProtection="false">
      <alignment horizontal="left" vertical="center" textRotation="0" wrapText="true" indent="0" shrinkToFit="false"/>
      <protection locked="true" hidden="false"/>
    </xf>
    <xf numFmtId="194" fontId="46" fillId="25" borderId="13" xfId="0" applyFont="true" applyBorder="true" applyAlignment="true" applyProtection="false">
      <alignment horizontal="center" vertical="center" textRotation="0" wrapText="true" indent="0" shrinkToFit="false"/>
      <protection locked="true" hidden="false"/>
    </xf>
    <xf numFmtId="195" fontId="46" fillId="25" borderId="13" xfId="0" applyFont="true" applyBorder="true" applyAlignment="true" applyProtection="false">
      <alignment horizontal="center" vertical="center" textRotation="0" wrapText="true" indent="0" shrinkToFit="false"/>
      <protection locked="true" hidden="false"/>
    </xf>
    <xf numFmtId="181" fontId="46" fillId="25" borderId="13" xfId="0" applyFont="true" applyBorder="true" applyAlignment="true" applyProtection="false">
      <alignment horizontal="center" vertical="center" textRotation="0" wrapText="true" indent="0" shrinkToFit="false"/>
      <protection locked="true" hidden="false"/>
    </xf>
    <xf numFmtId="189" fontId="46" fillId="25" borderId="13" xfId="0" applyFont="true" applyBorder="true" applyAlignment="true" applyProtection="false">
      <alignment horizontal="center" vertical="center" textRotation="0" wrapText="true" indent="0" shrinkToFit="false"/>
      <protection locked="true" hidden="false"/>
    </xf>
    <xf numFmtId="194" fontId="46" fillId="26" borderId="13" xfId="0" applyFont="true" applyBorder="true" applyAlignment="true" applyProtection="false">
      <alignment horizontal="center" vertical="center" textRotation="0" wrapText="true" indent="0" shrinkToFit="false"/>
      <protection locked="true" hidden="false"/>
    </xf>
    <xf numFmtId="195" fontId="46" fillId="26" borderId="13" xfId="0" applyFont="true" applyBorder="true" applyAlignment="true" applyProtection="false">
      <alignment horizontal="center" vertical="center" textRotation="0" wrapText="true" indent="0" shrinkToFit="false"/>
      <protection locked="true" hidden="false"/>
    </xf>
    <xf numFmtId="181" fontId="46" fillId="26" borderId="13" xfId="0" applyFont="true" applyBorder="true" applyAlignment="true" applyProtection="false">
      <alignment horizontal="center" vertical="center" textRotation="0" wrapText="true" indent="0" shrinkToFit="false"/>
      <protection locked="true" hidden="false"/>
    </xf>
    <xf numFmtId="189" fontId="46" fillId="26" borderId="13" xfId="0" applyFont="true" applyBorder="true" applyAlignment="true" applyProtection="false">
      <alignment horizontal="center" vertical="center" textRotation="0" wrapText="true" indent="0" shrinkToFit="false"/>
      <protection locked="true" hidden="false"/>
    </xf>
    <xf numFmtId="194" fontId="46" fillId="0" borderId="13" xfId="0" applyFont="true" applyBorder="true" applyAlignment="true" applyProtection="false">
      <alignment horizontal="center" vertical="center" textRotation="0" wrapText="true" indent="0" shrinkToFit="false"/>
      <protection locked="true" hidden="false"/>
    </xf>
    <xf numFmtId="189" fontId="45" fillId="26" borderId="14" xfId="0" applyFont="true" applyBorder="true" applyAlignment="true" applyProtection="false">
      <alignment horizontal="general" vertical="center" textRotation="0" wrapText="true" indent="0" shrinkToFit="false"/>
      <protection locked="true" hidden="false"/>
    </xf>
    <xf numFmtId="189" fontId="45" fillId="26" borderId="3" xfId="0" applyFont="true" applyBorder="true" applyAlignment="true" applyProtection="false">
      <alignment horizontal="general" vertical="center" textRotation="0" wrapText="true" indent="0" shrinkToFit="false"/>
      <protection locked="true" hidden="false"/>
    </xf>
    <xf numFmtId="177" fontId="45" fillId="26" borderId="3" xfId="0" applyFont="true" applyBorder="true" applyAlignment="true" applyProtection="false">
      <alignment horizontal="general" vertical="center" textRotation="0" wrapText="true" indent="0" shrinkToFit="false"/>
      <protection locked="true" hidden="false"/>
    </xf>
    <xf numFmtId="164" fontId="45" fillId="26" borderId="14" xfId="0" applyFont="true" applyBorder="true" applyAlignment="true" applyProtection="false">
      <alignment horizontal="left" vertical="center" textRotation="0" wrapText="true" indent="0" shrinkToFit="false"/>
      <protection locked="true" hidden="false"/>
    </xf>
    <xf numFmtId="189" fontId="46" fillId="27" borderId="13" xfId="0" applyFont="true" applyBorder="true" applyAlignment="true" applyProtection="false">
      <alignment horizontal="general" vertical="center" textRotation="0" wrapText="true" indent="0" shrinkToFit="false"/>
      <protection locked="true" hidden="false"/>
    </xf>
    <xf numFmtId="192" fontId="46" fillId="27" borderId="13" xfId="15" applyFont="true" applyBorder="true" applyAlignment="true" applyProtection="true">
      <alignment horizontal="left" vertical="center" textRotation="0" wrapText="true" indent="0" shrinkToFit="false"/>
      <protection locked="true" hidden="false"/>
    </xf>
    <xf numFmtId="164" fontId="47" fillId="26" borderId="14" xfId="0" applyFont="true" applyBorder="true" applyAlignment="true" applyProtection="false">
      <alignment horizontal="left" vertical="center" textRotation="0" wrapText="true" indent="0" shrinkToFit="false"/>
      <protection locked="true" hidden="false"/>
    </xf>
    <xf numFmtId="194" fontId="45" fillId="26" borderId="13" xfId="0" applyFont="true" applyBorder="true" applyAlignment="true" applyProtection="false">
      <alignment horizontal="center" vertical="center" textRotation="0" wrapText="true" indent="0" shrinkToFit="false"/>
      <protection locked="true" hidden="false"/>
    </xf>
    <xf numFmtId="164" fontId="42" fillId="25" borderId="13" xfId="187" applyFont="true" applyBorder="true" applyAlignment="true" applyProtection="false">
      <alignment horizontal="center" vertical="center" textRotation="0" wrapText="true" indent="0" shrinkToFit="false"/>
      <protection locked="true" hidden="false"/>
    </xf>
    <xf numFmtId="194" fontId="46" fillId="27" borderId="13" xfId="0" applyFont="true" applyBorder="true" applyAlignment="true" applyProtection="false">
      <alignment horizontal="center" vertical="center" textRotation="0" wrapText="true" indent="0" shrinkToFit="false"/>
      <protection locked="true" hidden="false"/>
    </xf>
    <xf numFmtId="195" fontId="46" fillId="27" borderId="13" xfId="267" applyFont="true" applyBorder="true" applyAlignment="true" applyProtection="false">
      <alignment horizontal="center" vertical="center" textRotation="0" wrapText="true" indent="0" shrinkToFit="false"/>
      <protection locked="true" hidden="false"/>
    </xf>
    <xf numFmtId="190" fontId="46" fillId="27" borderId="13" xfId="267" applyFont="true" applyBorder="true" applyAlignment="true" applyProtection="false">
      <alignment horizontal="center" vertical="center" textRotation="0" wrapText="true" indent="0" shrinkToFit="false"/>
      <protection locked="true" hidden="false"/>
    </xf>
    <xf numFmtId="189" fontId="61" fillId="27" borderId="13" xfId="0" applyFont="true" applyBorder="true" applyAlignment="true" applyProtection="false">
      <alignment horizontal="left" vertical="center" textRotation="0" wrapText="true" indent="0" shrinkToFit="false"/>
      <protection locked="true" hidden="false"/>
    </xf>
    <xf numFmtId="193" fontId="46" fillId="27" borderId="13" xfId="187" applyFont="true" applyBorder="true" applyAlignment="true" applyProtection="false">
      <alignment horizontal="center" vertical="center" textRotation="0" wrapText="true" indent="0" shrinkToFit="false"/>
      <protection locked="true" hidden="false"/>
    </xf>
    <xf numFmtId="193" fontId="45" fillId="25" borderId="13" xfId="187" applyFont="true" applyBorder="true" applyAlignment="true" applyProtection="false">
      <alignment horizontal="center" vertical="center" textRotation="0" wrapText="true" indent="0" shrinkToFit="false"/>
      <protection locked="true" hidden="false"/>
    </xf>
    <xf numFmtId="193" fontId="45" fillId="27" borderId="13" xfId="187" applyFont="true" applyBorder="true" applyAlignment="true" applyProtection="false">
      <alignment horizontal="center" vertical="center" textRotation="0" wrapText="true" indent="0" shrinkToFit="false"/>
      <protection locked="true" hidden="false"/>
    </xf>
    <xf numFmtId="164" fontId="42" fillId="25" borderId="13" xfId="187" applyFont="true" applyBorder="true" applyAlignment="true" applyProtection="false">
      <alignment horizontal="center" vertical="center" textRotation="0" wrapText="false" indent="0" shrinkToFit="false"/>
      <protection locked="true" hidden="false"/>
    </xf>
    <xf numFmtId="164" fontId="43" fillId="27" borderId="13" xfId="187" applyFont="true" applyBorder="true" applyAlignment="true" applyProtection="false">
      <alignment horizontal="center" vertical="center" textRotation="0" wrapText="false" indent="0" shrinkToFit="false"/>
      <protection locked="true" hidden="false"/>
    </xf>
    <xf numFmtId="193" fontId="43" fillId="27" borderId="20" xfId="187" applyFont="true" applyBorder="true" applyAlignment="true" applyProtection="false">
      <alignment horizontal="center" vertical="center" textRotation="0" wrapText="true" indent="0" shrinkToFit="false"/>
      <protection locked="true" hidden="false"/>
    </xf>
    <xf numFmtId="164" fontId="43" fillId="27" borderId="0" xfId="187" applyFont="true" applyBorder="false" applyAlignment="true" applyProtection="false">
      <alignment horizontal="center" vertical="center" textRotation="0" wrapText="false" indent="0" shrinkToFit="false"/>
      <protection locked="true" hidden="false"/>
    </xf>
    <xf numFmtId="196" fontId="43" fillId="27" borderId="20" xfId="187" applyFont="true" applyBorder="true" applyAlignment="true" applyProtection="false">
      <alignment horizontal="center" vertical="center" textRotation="0" wrapText="true" indent="0" shrinkToFit="false"/>
      <protection locked="true" hidden="false"/>
    </xf>
    <xf numFmtId="177" fontId="42" fillId="27" borderId="13" xfId="187" applyFont="true" applyBorder="true" applyAlignment="true" applyProtection="false">
      <alignment horizontal="center" vertical="top" textRotation="0" wrapText="false" indent="0" shrinkToFit="false"/>
      <protection locked="true" hidden="false"/>
    </xf>
    <xf numFmtId="164" fontId="42" fillId="27" borderId="13" xfId="187" applyFont="true" applyBorder="true" applyAlignment="true" applyProtection="false">
      <alignment horizontal="center" vertical="center" textRotation="0" wrapText="true" indent="0" shrinkToFit="false"/>
      <protection locked="true" hidden="false"/>
    </xf>
    <xf numFmtId="164" fontId="46" fillId="27" borderId="20" xfId="0" applyFont="true" applyBorder="true" applyAlignment="true" applyProtection="false">
      <alignment horizontal="left" vertical="center" textRotation="0" wrapText="true" indent="0" shrinkToFit="false"/>
      <protection locked="true" hidden="false"/>
    </xf>
    <xf numFmtId="195" fontId="46" fillId="0" borderId="13" xfId="0" applyFont="true" applyBorder="true" applyAlignment="true" applyProtection="false">
      <alignment horizontal="center" vertical="center" textRotation="0" wrapText="true" indent="0" shrinkToFit="false"/>
      <protection locked="true" hidden="false"/>
    </xf>
    <xf numFmtId="181" fontId="46" fillId="0" borderId="13" xfId="0" applyFont="true" applyBorder="true" applyAlignment="true" applyProtection="false">
      <alignment horizontal="center" vertical="center" textRotation="0" wrapText="true" indent="0" shrinkToFit="false"/>
      <protection locked="true" hidden="false"/>
    </xf>
    <xf numFmtId="189" fontId="46" fillId="0" borderId="13" xfId="0" applyFont="true" applyBorder="true" applyAlignment="true" applyProtection="false">
      <alignment horizontal="center" vertical="center" textRotation="0" wrapText="true" indent="0" shrinkToFit="false"/>
      <protection locked="true" hidden="false"/>
    </xf>
    <xf numFmtId="177" fontId="46" fillId="27" borderId="20" xfId="0" applyFont="true" applyBorder="true" applyAlignment="true" applyProtection="false">
      <alignment horizontal="center" vertical="center" textRotation="0" wrapText="true" indent="0" shrinkToFit="false"/>
      <protection locked="true" hidden="false"/>
    </xf>
    <xf numFmtId="177" fontId="46" fillId="27" borderId="13" xfId="0" applyFont="true" applyBorder="true" applyAlignment="true" applyProtection="false">
      <alignment horizontal="center" vertical="center" textRotation="0" wrapText="true" indent="0" shrinkToFit="false"/>
      <protection locked="true" hidden="false"/>
    </xf>
    <xf numFmtId="177" fontId="58" fillId="0" borderId="18" xfId="187" applyFont="true" applyBorder="true" applyAlignment="true" applyProtection="false">
      <alignment horizontal="center" vertical="top" textRotation="0" wrapText="true" indent="0" shrinkToFit="false"/>
      <protection locked="true" hidden="false"/>
    </xf>
    <xf numFmtId="193" fontId="58" fillId="0" borderId="13" xfId="187" applyFont="true" applyBorder="true" applyAlignment="true" applyProtection="false">
      <alignment horizontal="left" vertical="top" textRotation="0" wrapText="true" indent="0" shrinkToFit="false"/>
      <protection locked="true" hidden="false"/>
    </xf>
    <xf numFmtId="189" fontId="43" fillId="0" borderId="13" xfId="187" applyFont="true" applyBorder="true" applyAlignment="true" applyProtection="false">
      <alignment horizontal="center" vertical="center" textRotation="0" wrapText="false" indent="0" shrinkToFit="false"/>
      <protection locked="true" hidden="false"/>
    </xf>
    <xf numFmtId="191" fontId="43" fillId="0" borderId="13" xfId="15" applyFont="true" applyBorder="true" applyAlignment="true" applyProtection="true">
      <alignment horizontal="center" vertical="center" textRotation="0" wrapText="false" indent="0" shrinkToFit="false"/>
      <protection locked="true" hidden="false"/>
    </xf>
    <xf numFmtId="177" fontId="58" fillId="0" borderId="14" xfId="187" applyFont="true" applyBorder="true" applyAlignment="true" applyProtection="false">
      <alignment horizontal="center" vertical="top" textRotation="0" wrapText="true" indent="0" shrinkToFit="false"/>
      <protection locked="true" hidden="false"/>
    </xf>
    <xf numFmtId="164" fontId="42" fillId="0" borderId="13" xfId="187" applyFont="true" applyBorder="true" applyAlignment="true" applyProtection="false">
      <alignment horizontal="general" vertical="center" textRotation="0" wrapText="false" indent="0" shrinkToFit="false"/>
      <protection locked="true" hidden="false"/>
    </xf>
    <xf numFmtId="177" fontId="46" fillId="27" borderId="0" xfId="0" applyFont="true" applyBorder="true" applyAlignment="true" applyProtection="false">
      <alignment horizontal="center" vertical="center" textRotation="0" wrapText="true" indent="0" shrinkToFit="false"/>
      <protection locked="true" hidden="false"/>
    </xf>
    <xf numFmtId="177" fontId="46" fillId="27" borderId="0" xfId="0" applyFont="true" applyBorder="true" applyAlignment="true" applyProtection="false">
      <alignment horizontal="left" vertical="center" textRotation="0" wrapText="true" indent="0" shrinkToFit="false"/>
      <protection locked="true" hidden="false"/>
    </xf>
    <xf numFmtId="164" fontId="46" fillId="27" borderId="0" xfId="0" applyFont="true" applyBorder="true" applyAlignment="true" applyProtection="false">
      <alignment horizontal="general" vertical="center" textRotation="0" wrapText="true" indent="0" shrinkToFit="false"/>
      <protection locked="true" hidden="false"/>
    </xf>
    <xf numFmtId="164" fontId="46" fillId="27" borderId="0" xfId="0" applyFont="true" applyBorder="true" applyAlignment="true" applyProtection="false">
      <alignment horizontal="center" vertical="center" textRotation="0" wrapText="true" indent="0" shrinkToFit="false"/>
      <protection locked="true" hidden="false"/>
    </xf>
    <xf numFmtId="193" fontId="46" fillId="27" borderId="0" xfId="0" applyFont="true" applyBorder="true" applyAlignment="true" applyProtection="false">
      <alignment horizontal="general" vertical="center" textRotation="0" wrapText="true" indent="0" shrinkToFit="false"/>
      <protection locked="true" hidden="false"/>
    </xf>
    <xf numFmtId="193" fontId="46" fillId="27" borderId="0" xfId="0" applyFont="true" applyBorder="true" applyAlignment="true" applyProtection="false">
      <alignment horizontal="center" vertical="center" textRotation="0" wrapText="true" indent="0" shrinkToFit="false"/>
      <protection locked="true" hidden="false"/>
    </xf>
    <xf numFmtId="197" fontId="46" fillId="27" borderId="0" xfId="0" applyFont="true" applyBorder="true" applyAlignment="true" applyProtection="false">
      <alignment horizontal="left" vertical="center" textRotation="0" wrapText="true" indent="0" shrinkToFit="false"/>
      <protection locked="true" hidden="false"/>
    </xf>
    <xf numFmtId="164" fontId="45" fillId="27" borderId="0" xfId="267" applyFont="true" applyBorder="true" applyAlignment="true" applyProtection="false">
      <alignment horizontal="center" vertical="center" textRotation="0" wrapText="true" indent="0" shrinkToFit="false"/>
      <protection locked="true" hidden="false"/>
    </xf>
    <xf numFmtId="177" fontId="46" fillId="27" borderId="0" xfId="267" applyFont="true" applyBorder="true" applyAlignment="true" applyProtection="false">
      <alignment horizontal="center" vertical="center" textRotation="0" wrapText="true" indent="0" shrinkToFit="false"/>
      <protection locked="true" hidden="false"/>
    </xf>
    <xf numFmtId="177" fontId="46" fillId="27" borderId="0" xfId="267" applyFont="true" applyBorder="true" applyAlignment="true" applyProtection="false">
      <alignment horizontal="left" vertical="center" textRotation="0" wrapText="true" indent="0" shrinkToFit="false"/>
      <protection locked="true" hidden="false"/>
    </xf>
    <xf numFmtId="164" fontId="46" fillId="27" borderId="0" xfId="267" applyFont="true" applyBorder="true" applyAlignment="true" applyProtection="false">
      <alignment horizontal="general" vertical="center" textRotation="0" wrapText="true" indent="0" shrinkToFit="false"/>
      <protection locked="true" hidden="false"/>
    </xf>
    <xf numFmtId="164" fontId="46" fillId="27" borderId="0" xfId="267" applyFont="true" applyBorder="true" applyAlignment="true" applyProtection="false">
      <alignment horizontal="center" vertical="center" textRotation="0" wrapText="true" indent="0" shrinkToFit="false"/>
      <protection locked="true" hidden="false"/>
    </xf>
    <xf numFmtId="193" fontId="46" fillId="27" borderId="0" xfId="267" applyFont="true" applyBorder="true" applyAlignment="true" applyProtection="false">
      <alignment horizontal="general" vertical="center" textRotation="0" wrapText="true" indent="0" shrinkToFit="false"/>
      <protection locked="true" hidden="false"/>
    </xf>
    <xf numFmtId="164" fontId="45" fillId="27" borderId="0" xfId="0" applyFont="true" applyBorder="true" applyAlignment="true" applyProtection="false">
      <alignment horizontal="center" vertical="center" textRotation="0" wrapText="true" indent="0" shrinkToFit="false"/>
      <protection locked="true" hidden="false"/>
    </xf>
    <xf numFmtId="177" fontId="46" fillId="27" borderId="13" xfId="267" applyFont="true" applyBorder="true" applyAlignment="true" applyProtection="false">
      <alignment horizontal="center" vertical="center" textRotation="0" wrapText="true" indent="0" shrinkToFit="false"/>
      <protection locked="true" hidden="false"/>
    </xf>
    <xf numFmtId="164" fontId="46" fillId="27" borderId="13" xfId="267" applyFont="true" applyBorder="true" applyAlignment="true" applyProtection="false">
      <alignment horizontal="center" vertical="center" textRotation="0" wrapText="true" indent="0" shrinkToFit="false"/>
      <protection locked="true" hidden="false"/>
    </xf>
    <xf numFmtId="164" fontId="46" fillId="27" borderId="13" xfId="267" applyFont="true" applyBorder="true" applyAlignment="true" applyProtection="false">
      <alignment horizontal="general" vertical="center" textRotation="0" wrapText="true" indent="0" shrinkToFit="false"/>
      <protection locked="true" hidden="false"/>
    </xf>
    <xf numFmtId="177" fontId="46" fillId="27" borderId="13" xfId="267" applyFont="true" applyBorder="true" applyAlignment="true" applyProtection="false">
      <alignment horizontal="general" vertical="center" textRotation="0" wrapText="true" indent="0" shrinkToFit="false"/>
      <protection locked="true" hidden="false"/>
    </xf>
    <xf numFmtId="177" fontId="46" fillId="25" borderId="13" xfId="267" applyFont="true" applyBorder="true" applyAlignment="true" applyProtection="false">
      <alignment horizontal="center" vertical="center" textRotation="0" wrapText="true" indent="0" shrinkToFit="false"/>
      <protection locked="true" hidden="false"/>
    </xf>
    <xf numFmtId="189" fontId="45" fillId="25" borderId="13" xfId="267" applyFont="true" applyBorder="true" applyAlignment="true" applyProtection="false">
      <alignment horizontal="left" vertical="center" textRotation="0" wrapText="true" indent="0" shrinkToFit="false"/>
      <protection locked="true" hidden="false"/>
    </xf>
    <xf numFmtId="177" fontId="45" fillId="25" borderId="13" xfId="267" applyFont="true" applyBorder="true" applyAlignment="true" applyProtection="false">
      <alignment horizontal="general" vertical="center" textRotation="0" wrapText="true" indent="0" shrinkToFit="false"/>
      <protection locked="true" hidden="false"/>
    </xf>
    <xf numFmtId="177" fontId="46" fillId="26" borderId="13" xfId="0" applyFont="true" applyBorder="true" applyAlignment="true" applyProtection="false">
      <alignment horizontal="center" vertical="center" textRotation="0" wrapText="true" indent="0" shrinkToFit="false"/>
      <protection locked="true" hidden="false"/>
    </xf>
    <xf numFmtId="164" fontId="46" fillId="26" borderId="13" xfId="0" applyFont="true" applyBorder="true" applyAlignment="true" applyProtection="false">
      <alignment horizontal="center" vertical="center" textRotation="0" wrapText="true" indent="0" shrinkToFit="false"/>
      <protection locked="true" hidden="false"/>
    </xf>
    <xf numFmtId="164" fontId="46" fillId="26" borderId="13" xfId="0" applyFont="true" applyBorder="true" applyAlignment="true" applyProtection="false">
      <alignment horizontal="general" vertical="center" textRotation="0" wrapText="true" indent="0" shrinkToFit="false"/>
      <protection locked="true" hidden="false"/>
    </xf>
    <xf numFmtId="164" fontId="48" fillId="27" borderId="13" xfId="0" applyFont="true" applyBorder="true" applyAlignment="true" applyProtection="false">
      <alignment horizontal="center" vertical="center" textRotation="0" wrapText="true" indent="0" shrinkToFit="false"/>
      <protection locked="true" hidden="false"/>
    </xf>
    <xf numFmtId="164" fontId="48" fillId="27" borderId="13" xfId="0" applyFont="true" applyBorder="true" applyAlignment="true" applyProtection="false">
      <alignment horizontal="general" vertical="center" textRotation="0" wrapText="true" indent="0" shrinkToFit="false"/>
      <protection locked="true" hidden="false"/>
    </xf>
    <xf numFmtId="190" fontId="48" fillId="27" borderId="13" xfId="0" applyFont="true" applyBorder="true" applyAlignment="true" applyProtection="false">
      <alignment horizontal="right" vertical="center" textRotation="0" wrapText="true" indent="0" shrinkToFit="false"/>
      <protection locked="true" hidden="false"/>
    </xf>
    <xf numFmtId="190" fontId="48" fillId="27" borderId="13" xfId="269" applyFont="true" applyBorder="true" applyAlignment="true" applyProtection="false">
      <alignment horizontal="general" vertical="center" textRotation="0" wrapText="true" indent="0" shrinkToFit="false"/>
      <protection locked="true" hidden="false"/>
    </xf>
    <xf numFmtId="164" fontId="46" fillId="27" borderId="13" xfId="0" applyFont="true" applyBorder="true" applyAlignment="true" applyProtection="false">
      <alignment horizontal="center" vertical="center" textRotation="0" wrapText="true" indent="0" shrinkToFit="false"/>
      <protection locked="true" hidden="false"/>
    </xf>
    <xf numFmtId="190" fontId="48" fillId="27" borderId="13" xfId="269" applyFont="true" applyBorder="true" applyAlignment="true" applyProtection="false">
      <alignment horizontal="right" vertical="center" textRotation="0" wrapText="true" indent="0" shrinkToFit="false"/>
      <protection locked="true" hidden="false"/>
    </xf>
    <xf numFmtId="177" fontId="45" fillId="27" borderId="13" xfId="0" applyFont="true" applyBorder="true" applyAlignment="true" applyProtection="false">
      <alignment horizontal="left" vertical="center" textRotation="0" wrapText="true" indent="0" shrinkToFit="false"/>
      <protection locked="true" hidden="false"/>
    </xf>
    <xf numFmtId="164" fontId="45" fillId="27" borderId="13" xfId="0" applyFont="true" applyBorder="true" applyAlignment="true" applyProtection="false">
      <alignment horizontal="general" vertical="center" textRotation="0" wrapText="true" indent="0" shrinkToFit="false"/>
      <protection locked="true" hidden="false"/>
    </xf>
    <xf numFmtId="164" fontId="45" fillId="27" borderId="13" xfId="0" applyFont="true" applyBorder="true" applyAlignment="true" applyProtection="false">
      <alignment horizontal="center" vertical="center" textRotation="0" wrapText="true" indent="0" shrinkToFit="false"/>
      <protection locked="true" hidden="false"/>
    </xf>
    <xf numFmtId="198" fontId="45" fillId="27" borderId="13" xfId="0" applyFont="true" applyBorder="true" applyAlignment="true" applyProtection="false">
      <alignment horizontal="center" vertical="center" textRotation="0" wrapText="true" indent="0" shrinkToFit="false"/>
      <protection locked="true" hidden="false"/>
    </xf>
    <xf numFmtId="190" fontId="45" fillId="27" borderId="13" xfId="0" applyFont="true" applyBorder="true" applyAlignment="true" applyProtection="false">
      <alignment horizontal="center" vertical="center" textRotation="0" wrapText="true" indent="0" shrinkToFit="false"/>
      <protection locked="true" hidden="false"/>
    </xf>
    <xf numFmtId="190" fontId="45" fillId="27" borderId="13" xfId="0" applyFont="true" applyBorder="true" applyAlignment="true" applyProtection="false">
      <alignment horizontal="general" vertical="center" textRotation="0" wrapText="true" indent="0" shrinkToFit="false"/>
      <protection locked="true" hidden="false"/>
    </xf>
    <xf numFmtId="164" fontId="46" fillId="27" borderId="13" xfId="0" applyFont="true" applyBorder="true" applyAlignment="true" applyProtection="false">
      <alignment horizontal="general" vertical="center" textRotation="0" wrapText="true" indent="0" shrinkToFit="false"/>
      <protection locked="true" hidden="false"/>
    </xf>
    <xf numFmtId="190" fontId="46" fillId="27" borderId="13" xfId="0" applyFont="true" applyBorder="true" applyAlignment="true" applyProtection="false">
      <alignment horizontal="general" vertical="center" textRotation="0" wrapText="true" indent="0" shrinkToFit="false"/>
      <protection locked="true" hidden="false"/>
    </xf>
    <xf numFmtId="198" fontId="46" fillId="27" borderId="13" xfId="0" applyFont="true" applyBorder="true" applyAlignment="true" applyProtection="false">
      <alignment horizontal="general" vertical="center" textRotation="0" wrapText="true" indent="0" shrinkToFit="false"/>
      <protection locked="true" hidden="false"/>
    </xf>
    <xf numFmtId="190" fontId="46" fillId="27" borderId="13" xfId="0" applyFont="true" applyBorder="true" applyAlignment="true" applyProtection="false">
      <alignment horizontal="right" vertical="center" textRotation="0" wrapText="true" indent="0" shrinkToFit="false"/>
      <protection locked="true" hidden="false"/>
    </xf>
    <xf numFmtId="164" fontId="45" fillId="27" borderId="13" xfId="267" applyFont="true" applyBorder="true" applyAlignment="true" applyProtection="false">
      <alignment horizontal="center" vertical="center" textRotation="0" wrapText="true" indent="0" shrinkToFit="false"/>
      <protection locked="true" hidden="false"/>
    </xf>
    <xf numFmtId="190" fontId="48" fillId="27" borderId="13" xfId="269" applyFont="true" applyBorder="true" applyAlignment="true" applyProtection="false">
      <alignment horizontal="center" vertical="center" textRotation="0" wrapText="true" indent="0" shrinkToFit="false"/>
      <protection locked="true" hidden="false"/>
    </xf>
    <xf numFmtId="190" fontId="47" fillId="27" borderId="13" xfId="269" applyFont="true" applyBorder="true" applyAlignment="true" applyProtection="false">
      <alignment horizontal="general" vertical="center" textRotation="0" wrapText="true" indent="0" shrinkToFit="false"/>
      <protection locked="true" hidden="false"/>
    </xf>
    <xf numFmtId="164" fontId="48" fillId="27" borderId="13" xfId="20" applyFont="true" applyBorder="true" applyAlignment="true" applyProtection="false">
      <alignment horizontal="left" vertical="center" textRotation="0" wrapText="true" indent="0" shrinkToFit="false"/>
      <protection locked="true" hidden="false"/>
    </xf>
    <xf numFmtId="198" fontId="46" fillId="27" borderId="13" xfId="0" applyFont="true" applyBorder="true" applyAlignment="true" applyProtection="false">
      <alignment horizontal="center" vertical="center" textRotation="0" wrapText="true" indent="0" shrinkToFit="false"/>
      <protection locked="true" hidden="false"/>
    </xf>
    <xf numFmtId="190" fontId="45" fillId="27" borderId="13" xfId="0" applyFont="true" applyBorder="true" applyAlignment="true" applyProtection="true">
      <alignment horizontal="general" vertical="center" textRotation="0" wrapText="true" indent="0" shrinkToFit="false"/>
      <protection locked="false" hidden="false"/>
    </xf>
    <xf numFmtId="164" fontId="48" fillId="27" borderId="13" xfId="0" applyFont="true" applyBorder="true" applyAlignment="true" applyProtection="false">
      <alignment horizontal="general" vertical="center" textRotation="0" wrapText="false" indent="0" shrinkToFit="false"/>
      <protection locked="true" hidden="false"/>
    </xf>
    <xf numFmtId="190" fontId="46" fillId="27" borderId="22" xfId="0" applyFont="true" applyBorder="true" applyAlignment="true" applyProtection="false">
      <alignment horizontal="right" vertical="center" textRotation="0" wrapText="true" indent="0" shrinkToFit="false"/>
      <protection locked="true" hidden="false"/>
    </xf>
    <xf numFmtId="177" fontId="48" fillId="27" borderId="13" xfId="269" applyFont="true" applyBorder="true" applyAlignment="true" applyProtection="false">
      <alignment horizontal="right" vertical="center" textRotation="0" wrapText="true" indent="0" shrinkToFit="false"/>
      <protection locked="true" hidden="false"/>
    </xf>
    <xf numFmtId="194" fontId="46" fillId="27" borderId="13" xfId="0" applyFont="true" applyBorder="true" applyAlignment="true" applyProtection="false">
      <alignment horizontal="general" vertical="center" textRotation="0" wrapText="true" indent="0" shrinkToFit="false"/>
      <protection locked="true" hidden="false"/>
    </xf>
    <xf numFmtId="164" fontId="48" fillId="27" borderId="13" xfId="0" applyFont="true" applyBorder="true" applyAlignment="true" applyProtection="false">
      <alignment horizontal="center" vertical="center" textRotation="0" wrapText="false" indent="0" shrinkToFit="false"/>
      <protection locked="true" hidden="false"/>
    </xf>
    <xf numFmtId="177" fontId="46" fillId="27" borderId="13" xfId="0" applyFont="true" applyBorder="true" applyAlignment="true" applyProtection="false">
      <alignment horizontal="general" vertical="center" textRotation="0" wrapText="true" indent="0" shrinkToFit="false"/>
      <protection locked="true" hidden="false"/>
    </xf>
    <xf numFmtId="177" fontId="46" fillId="27" borderId="13" xfId="0" applyFont="true" applyBorder="true" applyAlignment="true" applyProtection="false">
      <alignment horizontal="right" vertical="center" textRotation="0" wrapText="true" indent="0" shrinkToFit="false"/>
      <protection locked="true" hidden="false"/>
    </xf>
    <xf numFmtId="177" fontId="47" fillId="27" borderId="13" xfId="269" applyFont="true" applyBorder="true" applyAlignment="true" applyProtection="false">
      <alignment horizontal="general" vertical="center" textRotation="0" wrapText="true" indent="0" shrinkToFit="false"/>
      <protection locked="true" hidden="false"/>
    </xf>
    <xf numFmtId="177" fontId="46" fillId="27" borderId="13" xfId="0" applyFont="true" applyBorder="true" applyAlignment="true" applyProtection="true">
      <alignment horizontal="left" vertical="center" textRotation="0" wrapText="true" indent="0" shrinkToFit="false"/>
      <protection locked="false" hidden="false"/>
    </xf>
    <xf numFmtId="177" fontId="48" fillId="27" borderId="13" xfId="0" applyFont="true" applyBorder="true" applyAlignment="true" applyProtection="false">
      <alignment horizontal="general" vertical="center" textRotation="0" wrapText="true" indent="0" shrinkToFit="false"/>
      <protection locked="true" hidden="false"/>
    </xf>
    <xf numFmtId="177" fontId="48" fillId="27" borderId="13" xfId="0" applyFont="true" applyBorder="true" applyAlignment="true" applyProtection="false">
      <alignment horizontal="center" vertical="center" textRotation="0" wrapText="false" indent="0" shrinkToFit="false"/>
      <protection locked="true" hidden="false"/>
    </xf>
    <xf numFmtId="177" fontId="48" fillId="27" borderId="13" xfId="0" applyFont="true" applyBorder="true" applyAlignment="true" applyProtection="false">
      <alignment horizontal="general" vertical="center" textRotation="0" wrapText="false" indent="0" shrinkToFit="false"/>
      <protection locked="true" hidden="false"/>
    </xf>
    <xf numFmtId="177" fontId="48" fillId="27" borderId="13" xfId="269" applyFont="true" applyBorder="true" applyAlignment="true" applyProtection="false">
      <alignment horizontal="general" vertical="center" textRotation="0" wrapText="true" indent="0" shrinkToFit="false"/>
      <protection locked="true" hidden="false"/>
    </xf>
    <xf numFmtId="177" fontId="48" fillId="27" borderId="13" xfId="0" applyFont="true" applyBorder="true" applyAlignment="true" applyProtection="false">
      <alignment horizontal="center" vertical="center" textRotation="0" wrapText="true" indent="0" shrinkToFit="false"/>
      <protection locked="true" hidden="false"/>
    </xf>
    <xf numFmtId="177" fontId="48" fillId="27" borderId="13" xfId="0" applyFont="true" applyBorder="true" applyAlignment="true" applyProtection="false">
      <alignment horizontal="left" vertical="center" textRotation="0" wrapText="true" indent="0" shrinkToFit="false"/>
      <protection locked="true" hidden="false"/>
    </xf>
    <xf numFmtId="177" fontId="48" fillId="27" borderId="13" xfId="0" applyFont="true" applyBorder="true" applyAlignment="true" applyProtection="false">
      <alignment horizontal="right" vertical="center" textRotation="0" wrapText="true" indent="0" shrinkToFit="false"/>
      <protection locked="true" hidden="false"/>
    </xf>
    <xf numFmtId="177" fontId="45" fillId="27" borderId="13" xfId="0" applyFont="true" applyBorder="true" applyAlignment="true" applyProtection="false">
      <alignment horizontal="general" vertical="center" textRotation="0" wrapText="true" indent="0" shrinkToFit="false"/>
      <protection locked="true" hidden="false"/>
    </xf>
    <xf numFmtId="177" fontId="46" fillId="27" borderId="22" xfId="0" applyFont="true" applyBorder="true" applyAlignment="true" applyProtection="false">
      <alignment horizontal="right" vertical="center" textRotation="0" wrapText="true" indent="0" shrinkToFit="false"/>
      <protection locked="true" hidden="false"/>
    </xf>
    <xf numFmtId="177" fontId="49" fillId="27" borderId="13" xfId="0" applyFont="true" applyBorder="true" applyAlignment="true" applyProtection="false">
      <alignment horizontal="left" vertical="center" textRotation="0" wrapText="true" indent="0" shrinkToFit="false"/>
      <protection locked="true" hidden="false"/>
    </xf>
    <xf numFmtId="177" fontId="45" fillId="27" borderId="13" xfId="0" applyFont="true" applyBorder="true" applyAlignment="true" applyProtection="false">
      <alignment horizontal="right" vertical="center" textRotation="0" wrapText="true" indent="0" shrinkToFit="false"/>
      <protection locked="true" hidden="false"/>
    </xf>
    <xf numFmtId="177" fontId="46" fillId="27" borderId="13" xfId="266" applyFont="true" applyBorder="true" applyAlignment="true" applyProtection="false">
      <alignment horizontal="right" vertical="center" textRotation="0" wrapText="true" indent="0" shrinkToFit="false"/>
      <protection locked="true" hidden="false"/>
    </xf>
    <xf numFmtId="177" fontId="46" fillId="27" borderId="13" xfId="269" applyFont="true" applyBorder="true" applyAlignment="true" applyProtection="false">
      <alignment horizontal="right" vertical="center" textRotation="0" wrapText="true" indent="0" shrinkToFit="false"/>
      <protection locked="true" hidden="false"/>
    </xf>
    <xf numFmtId="177" fontId="48" fillId="27" borderId="13" xfId="20" applyFont="true" applyBorder="true" applyAlignment="true" applyProtection="false">
      <alignment horizontal="left" vertical="center" textRotation="0" wrapText="true" indent="0" shrinkToFit="false"/>
      <protection locked="true" hidden="false"/>
    </xf>
    <xf numFmtId="177" fontId="46" fillId="27" borderId="13" xfId="269" applyFont="true" applyBorder="true" applyAlignment="true" applyProtection="false">
      <alignment horizontal="general" vertical="center" textRotation="0" wrapText="true" indent="0" shrinkToFit="false"/>
      <protection locked="true" hidden="false"/>
    </xf>
    <xf numFmtId="177" fontId="48" fillId="27" borderId="13" xfId="0" applyFont="true" applyBorder="true" applyAlignment="true" applyProtection="false">
      <alignment horizontal="right" vertical="center" textRotation="0" wrapText="false" indent="0" shrinkToFit="false"/>
      <protection locked="true" hidden="false"/>
    </xf>
    <xf numFmtId="177" fontId="0" fillId="27" borderId="0" xfId="0" applyFont="true" applyBorder="false" applyAlignment="true" applyProtection="false">
      <alignment horizontal="general" vertical="center" textRotation="0" wrapText="false" indent="0" shrinkToFit="false"/>
      <protection locked="true" hidden="false"/>
    </xf>
    <xf numFmtId="177" fontId="46" fillId="27" borderId="13" xfId="265" applyFont="true" applyBorder="true" applyAlignment="true" applyProtection="false">
      <alignment horizontal="left" vertical="center" textRotation="0" wrapText="true" indent="0" shrinkToFit="false"/>
      <protection locked="true" hidden="false"/>
    </xf>
    <xf numFmtId="164" fontId="45" fillId="27" borderId="0" xfId="0" applyFont="true" applyBorder="false" applyAlignment="true" applyProtection="false">
      <alignment horizontal="center" vertical="center" textRotation="0" wrapText="true" indent="0" shrinkToFit="false"/>
      <protection locked="true" hidden="false"/>
    </xf>
    <xf numFmtId="177" fontId="46" fillId="27" borderId="13" xfId="266" applyFont="true" applyBorder="true" applyAlignment="true" applyProtection="false">
      <alignment horizontal="center" vertical="center" textRotation="0" wrapText="true" indent="0" shrinkToFit="false"/>
      <protection locked="true" hidden="false"/>
    </xf>
    <xf numFmtId="177" fontId="46" fillId="27" borderId="13" xfId="266" applyFont="true" applyBorder="true" applyAlignment="true" applyProtection="false">
      <alignment horizontal="general" vertical="center" textRotation="0" wrapText="true" indent="0" shrinkToFit="false"/>
      <protection locked="true" hidden="false"/>
    </xf>
    <xf numFmtId="177" fontId="46" fillId="27" borderId="13" xfId="269" applyFont="true" applyBorder="true" applyAlignment="true" applyProtection="false">
      <alignment horizontal="center" vertical="center" textRotation="0" wrapText="true" indent="0" shrinkToFit="false"/>
      <protection locked="true" hidden="false"/>
    </xf>
    <xf numFmtId="177" fontId="46" fillId="27" borderId="13" xfId="266" applyFont="true" applyBorder="true" applyAlignment="true" applyProtection="false">
      <alignment horizontal="left" vertical="center" textRotation="0" wrapText="true" indent="0" shrinkToFit="false"/>
      <protection locked="true" hidden="false"/>
    </xf>
    <xf numFmtId="177" fontId="46" fillId="27" borderId="13" xfId="266" applyFont="true" applyBorder="true" applyAlignment="true" applyProtection="false">
      <alignment horizontal="center" vertical="center" textRotation="0" wrapText="false" indent="0" shrinkToFit="false"/>
      <protection locked="true" hidden="false"/>
    </xf>
    <xf numFmtId="177" fontId="48" fillId="27" borderId="13" xfId="269" applyFont="true" applyBorder="true" applyAlignment="true" applyProtection="false">
      <alignment horizontal="left" vertical="center" textRotation="0" wrapText="true" indent="0" shrinkToFit="false"/>
      <protection locked="true" hidden="false"/>
    </xf>
    <xf numFmtId="177" fontId="46" fillId="27" borderId="13" xfId="266" applyFont="true" applyBorder="true" applyAlignment="true" applyProtection="false">
      <alignment horizontal="general" vertical="center" textRotation="0" wrapText="false" indent="0" shrinkToFit="false"/>
      <protection locked="true" hidden="false"/>
    </xf>
    <xf numFmtId="177" fontId="46" fillId="27" borderId="13" xfId="266" applyFont="true" applyBorder="true" applyAlignment="true" applyProtection="false">
      <alignment horizontal="right" vertical="center" textRotation="0" wrapText="false" indent="0" shrinkToFit="false"/>
      <protection locked="true" hidden="false"/>
    </xf>
    <xf numFmtId="189" fontId="46" fillId="27" borderId="13" xfId="0" applyFont="true" applyBorder="true" applyAlignment="true" applyProtection="false">
      <alignment horizontal="right" vertical="center" textRotation="0" wrapText="true" indent="0" shrinkToFit="false"/>
      <protection locked="true" hidden="false"/>
    </xf>
    <xf numFmtId="193" fontId="46" fillId="27" borderId="13" xfId="0" applyFont="true" applyBorder="true" applyAlignment="true" applyProtection="false">
      <alignment horizontal="right" vertical="center" textRotation="0" wrapText="true" indent="0" shrinkToFit="false"/>
      <protection locked="true" hidden="false"/>
    </xf>
    <xf numFmtId="164" fontId="62" fillId="27" borderId="13" xfId="0" applyFont="true" applyBorder="true" applyAlignment="true" applyProtection="false">
      <alignment horizontal="center" vertical="top" textRotation="0" wrapText="true" indent="0" shrinkToFit="false"/>
      <protection locked="true" hidden="false"/>
    </xf>
    <xf numFmtId="164" fontId="57" fillId="27" borderId="0" xfId="0" applyFont="true" applyBorder="false" applyAlignment="true" applyProtection="false">
      <alignment horizontal="center" vertical="top" textRotation="0" wrapText="true" indent="0" shrinkToFit="false"/>
      <protection locked="true" hidden="false"/>
    </xf>
    <xf numFmtId="197" fontId="46" fillId="27" borderId="13" xfId="0" applyFont="true" applyBorder="true" applyAlignment="true" applyProtection="false">
      <alignment horizontal="right" vertical="center" textRotation="0" wrapText="true" indent="0" shrinkToFit="false"/>
      <protection locked="true" hidden="false"/>
    </xf>
    <xf numFmtId="177" fontId="46" fillId="27" borderId="13" xfId="0" applyFont="true" applyBorder="true" applyAlignment="true" applyProtection="false">
      <alignment horizontal="right" vertical="center" textRotation="0" wrapText="false" indent="0" shrinkToFit="false"/>
      <protection locked="true" hidden="false"/>
    </xf>
    <xf numFmtId="189" fontId="63" fillId="27" borderId="13" xfId="0" applyFont="true" applyBorder="true" applyAlignment="true" applyProtection="false">
      <alignment horizontal="center" vertical="top" textRotation="0" wrapText="true" indent="0" shrinkToFit="false"/>
      <protection locked="true" hidden="false"/>
    </xf>
    <xf numFmtId="189" fontId="45" fillId="27" borderId="13" xfId="0" applyFont="true" applyBorder="true" applyAlignment="true" applyProtection="false">
      <alignment horizontal="right" vertical="center" textRotation="0" wrapText="true" indent="0" shrinkToFit="false"/>
      <protection locked="true" hidden="false"/>
    </xf>
    <xf numFmtId="164" fontId="48" fillId="27" borderId="13" xfId="0" applyFont="true" applyBorder="true" applyAlignment="true" applyProtection="false">
      <alignment horizontal="left" vertical="center" textRotation="0" wrapText="true" indent="0" shrinkToFit="false"/>
      <protection locked="true" hidden="false"/>
    </xf>
    <xf numFmtId="177" fontId="64" fillId="27" borderId="0" xfId="0" applyFont="true" applyBorder="false" applyAlignment="true" applyProtection="false">
      <alignment horizontal="general" vertical="center" textRotation="0" wrapText="true" indent="0" shrinkToFit="false"/>
      <protection locked="true" hidden="false"/>
    </xf>
    <xf numFmtId="177" fontId="64" fillId="27" borderId="0" xfId="0" applyFont="true" applyBorder="false" applyAlignment="true" applyProtection="false">
      <alignment horizontal="general" vertical="center" textRotation="0" wrapText="false" indent="0" shrinkToFit="false"/>
      <protection locked="true" hidden="false"/>
    </xf>
    <xf numFmtId="199" fontId="48" fillId="27" borderId="13" xfId="0" applyFont="true" applyBorder="true" applyAlignment="true" applyProtection="false">
      <alignment horizontal="general" vertical="center" textRotation="0" wrapText="true" indent="0" shrinkToFit="false"/>
      <protection locked="true" hidden="false"/>
    </xf>
    <xf numFmtId="199" fontId="48" fillId="27" borderId="13" xfId="0" applyFont="true" applyBorder="true" applyAlignment="true" applyProtection="false">
      <alignment horizontal="left" vertical="center" textRotation="0" wrapText="true" indent="0" shrinkToFit="false"/>
      <protection locked="true" hidden="false"/>
    </xf>
    <xf numFmtId="200" fontId="46" fillId="27" borderId="13" xfId="0" applyFont="true" applyBorder="true" applyAlignment="true" applyProtection="false">
      <alignment horizontal="left" vertical="center" textRotation="0" wrapText="true" indent="0" shrinkToFit="false"/>
      <protection locked="true" hidden="false"/>
    </xf>
    <xf numFmtId="200" fontId="48" fillId="27" borderId="13" xfId="0" applyFont="true" applyBorder="true" applyAlignment="true" applyProtection="false">
      <alignment horizontal="left" vertical="center" textRotation="0" wrapText="true" indent="0" shrinkToFit="false"/>
      <protection locked="true" hidden="false"/>
    </xf>
    <xf numFmtId="201" fontId="45" fillId="27" borderId="13" xfId="0" applyFont="true" applyBorder="true" applyAlignment="true" applyProtection="false">
      <alignment horizontal="left" vertical="center" textRotation="0" wrapText="true" indent="0" shrinkToFit="false"/>
      <protection locked="true" hidden="false"/>
    </xf>
    <xf numFmtId="199" fontId="46" fillId="27" borderId="13" xfId="0" applyFont="true" applyBorder="true" applyAlignment="true" applyProtection="false">
      <alignment horizontal="left" vertical="center" textRotation="0" wrapText="true" indent="0" shrinkToFit="false"/>
      <protection locked="true" hidden="false"/>
    </xf>
    <xf numFmtId="201" fontId="45" fillId="27" borderId="13" xfId="0" applyFont="true" applyBorder="true" applyAlignment="true" applyProtection="false">
      <alignment horizontal="general" vertical="center" textRotation="0" wrapText="true" indent="0" shrinkToFit="false"/>
      <protection locked="true" hidden="false"/>
    </xf>
    <xf numFmtId="177" fontId="46" fillId="27" borderId="13" xfId="264" applyFont="true" applyBorder="true" applyAlignment="true" applyProtection="false">
      <alignment horizontal="general" vertical="center" textRotation="0" wrapText="true" indent="0" shrinkToFit="false"/>
      <protection locked="true" hidden="false"/>
    </xf>
    <xf numFmtId="164" fontId="46" fillId="0" borderId="13" xfId="0" applyFont="true" applyBorder="true" applyAlignment="true" applyProtection="false">
      <alignment horizontal="center" vertical="center" textRotation="0" wrapText="true" indent="0" shrinkToFit="false"/>
      <protection locked="true" hidden="false"/>
    </xf>
    <xf numFmtId="193" fontId="46" fillId="0" borderId="13" xfId="0" applyFont="true" applyBorder="true" applyAlignment="true" applyProtection="false">
      <alignment horizontal="left" vertical="center" textRotation="0" wrapText="true" indent="0" shrinkToFit="false"/>
      <protection locked="true" hidden="false"/>
    </xf>
    <xf numFmtId="190" fontId="46" fillId="0" borderId="13" xfId="0" applyFont="true" applyBorder="true" applyAlignment="true" applyProtection="false">
      <alignment horizontal="right" vertical="center" textRotation="0" wrapText="true" indent="0" shrinkToFit="false"/>
      <protection locked="true" hidden="false"/>
    </xf>
    <xf numFmtId="164" fontId="46" fillId="24" borderId="13" xfId="0" applyFont="true" applyBorder="true" applyAlignment="true" applyProtection="false">
      <alignment horizontal="center" vertical="center" textRotation="0" wrapText="true" indent="0" shrinkToFit="false"/>
      <protection locked="true" hidden="false"/>
    </xf>
    <xf numFmtId="164" fontId="48" fillId="24" borderId="13" xfId="0" applyFont="true" applyBorder="true" applyAlignment="true" applyProtection="false">
      <alignment horizontal="left" vertical="center" textRotation="0" wrapText="true" indent="0" shrinkToFit="false"/>
      <protection locked="true" hidden="false"/>
    </xf>
    <xf numFmtId="190" fontId="46" fillId="24" borderId="13" xfId="0" applyFont="true" applyBorder="true" applyAlignment="true" applyProtection="false">
      <alignment horizontal="right" vertical="center" textRotation="0" wrapText="true" indent="0" shrinkToFit="false"/>
      <protection locked="true" hidden="false"/>
    </xf>
    <xf numFmtId="199" fontId="46" fillId="27" borderId="13" xfId="0" applyFont="true" applyBorder="true" applyAlignment="true" applyProtection="false">
      <alignment horizontal="general" vertical="center" textRotation="0" wrapText="true" indent="0" shrinkToFit="false"/>
      <protection locked="true" hidden="false"/>
    </xf>
    <xf numFmtId="199" fontId="46" fillId="27" borderId="13" xfId="0" applyFont="true" applyBorder="true" applyAlignment="true" applyProtection="false">
      <alignment horizontal="right" vertical="center" textRotation="0" wrapText="true" indent="0" shrinkToFit="false"/>
      <protection locked="true" hidden="false"/>
    </xf>
    <xf numFmtId="199" fontId="48" fillId="27" borderId="13" xfId="269" applyFont="true" applyBorder="true" applyAlignment="true" applyProtection="false">
      <alignment horizontal="general" vertical="center" textRotation="0" wrapText="true" indent="0" shrinkToFit="false"/>
      <protection locked="true" hidden="false"/>
    </xf>
    <xf numFmtId="199" fontId="48" fillId="27" borderId="13" xfId="0" applyFont="true" applyBorder="true" applyAlignment="true" applyProtection="false">
      <alignment horizontal="general" vertical="center" textRotation="0" wrapText="false" indent="0" shrinkToFit="false"/>
      <protection locked="true" hidden="false"/>
    </xf>
    <xf numFmtId="199" fontId="48" fillId="27" borderId="13" xfId="269" applyFont="true" applyBorder="true" applyAlignment="true" applyProtection="false">
      <alignment horizontal="right" vertical="center" textRotation="0" wrapText="true" indent="0" shrinkToFit="false"/>
      <protection locked="true" hidden="false"/>
    </xf>
    <xf numFmtId="199" fontId="48" fillId="27" borderId="13" xfId="0" applyFont="true" applyBorder="true" applyAlignment="true" applyProtection="false">
      <alignment horizontal="right" vertical="center" textRotation="0" wrapText="true" indent="0" shrinkToFit="false"/>
      <protection locked="true" hidden="false"/>
    </xf>
    <xf numFmtId="199" fontId="45" fillId="27" borderId="13" xfId="0" applyFont="true" applyBorder="true" applyAlignment="true" applyProtection="false">
      <alignment horizontal="general" vertical="center" textRotation="0" wrapText="true" indent="0" shrinkToFit="false"/>
      <protection locked="true" hidden="false"/>
    </xf>
    <xf numFmtId="199" fontId="45" fillId="27" borderId="13" xfId="0" applyFont="true" applyBorder="true" applyAlignment="true" applyProtection="false">
      <alignment horizontal="right" vertical="center" textRotation="0" wrapText="true" indent="0" shrinkToFit="false"/>
      <protection locked="true" hidden="false"/>
    </xf>
    <xf numFmtId="177" fontId="45" fillId="29" borderId="13" xfId="0" applyFont="true" applyBorder="true" applyAlignment="true" applyProtection="false">
      <alignment horizontal="center" vertical="center" textRotation="0" wrapText="true" indent="0" shrinkToFit="false"/>
      <protection locked="true" hidden="false"/>
    </xf>
    <xf numFmtId="164" fontId="47" fillId="29" borderId="13" xfId="187" applyFont="true" applyBorder="true" applyAlignment="true" applyProtection="false">
      <alignment horizontal="general" vertical="center" textRotation="0" wrapText="true" indent="0" shrinkToFit="false"/>
      <protection locked="true" hidden="false"/>
    </xf>
    <xf numFmtId="164" fontId="65" fillId="29" borderId="13" xfId="0" applyFont="true" applyBorder="true" applyAlignment="true" applyProtection="false">
      <alignment horizontal="general" vertical="center" textRotation="0" wrapText="true" indent="0" shrinkToFit="false"/>
      <protection locked="true" hidden="false"/>
    </xf>
    <xf numFmtId="164" fontId="65" fillId="29" borderId="13" xfId="0" applyFont="true" applyBorder="true" applyAlignment="true" applyProtection="false">
      <alignment horizontal="center" vertical="center" textRotation="0" wrapText="true" indent="0" shrinkToFit="false"/>
      <protection locked="true" hidden="false"/>
    </xf>
    <xf numFmtId="190" fontId="46" fillId="27" borderId="13" xfId="269" applyFont="true" applyBorder="true" applyAlignment="true" applyProtection="false">
      <alignment horizontal="center" vertical="center" textRotation="0" wrapText="true" indent="0" shrinkToFit="false"/>
      <protection locked="true" hidden="false"/>
    </xf>
    <xf numFmtId="190" fontId="48" fillId="27" borderId="13" xfId="0" applyFont="true" applyBorder="true" applyAlignment="true" applyProtection="false">
      <alignment horizontal="center" vertical="center" textRotation="0" wrapText="true" indent="0" shrinkToFit="false"/>
      <protection locked="true" hidden="false"/>
    </xf>
    <xf numFmtId="164" fontId="48" fillId="27" borderId="13" xfId="269" applyFont="true" applyBorder="true" applyAlignment="true" applyProtection="false">
      <alignment horizontal="center" vertical="center" textRotation="0" wrapText="true" indent="0" shrinkToFit="false"/>
      <protection locked="true" hidden="false"/>
    </xf>
    <xf numFmtId="164" fontId="43" fillId="27" borderId="0" xfId="0" applyFont="true" applyBorder="false" applyAlignment="true" applyProtection="false">
      <alignment horizontal="general" vertical="center" textRotation="0" wrapText="true" indent="0" shrinkToFit="false"/>
      <protection locked="true" hidden="false"/>
    </xf>
    <xf numFmtId="177" fontId="48" fillId="27" borderId="13" xfId="187" applyFont="true" applyBorder="true" applyAlignment="true" applyProtection="false">
      <alignment horizontal="center" vertical="center" textRotation="0" wrapText="false" indent="0" shrinkToFit="false"/>
      <protection locked="true" hidden="false"/>
    </xf>
    <xf numFmtId="193" fontId="46" fillId="27" borderId="13" xfId="0" applyFont="true" applyBorder="true" applyAlignment="true" applyProtection="false">
      <alignment horizontal="center" vertical="center" textRotation="0" wrapText="true" indent="0" shrinkToFit="false"/>
      <protection locked="true" hidden="false"/>
    </xf>
    <xf numFmtId="190" fontId="43" fillId="27" borderId="0" xfId="0" applyFont="true" applyBorder="false" applyAlignment="true" applyProtection="false">
      <alignment horizontal="center" vertical="center" textRotation="0" wrapText="false" indent="0" shrinkToFit="false"/>
      <protection locked="true" hidden="false"/>
    </xf>
    <xf numFmtId="164" fontId="46" fillId="27" borderId="13" xfId="0" applyFont="true" applyBorder="true" applyAlignment="true" applyProtection="false">
      <alignment horizontal="center" vertical="center" textRotation="0" wrapText="true" indent="0" shrinkToFit="false"/>
      <protection locked="true" hidden="false"/>
    </xf>
    <xf numFmtId="197" fontId="46" fillId="27" borderId="13" xfId="0" applyFont="true" applyBorder="true" applyAlignment="true" applyProtection="false">
      <alignment horizontal="center" vertical="center" textRotation="0" wrapText="true" indent="0" shrinkToFit="false"/>
      <protection locked="true" hidden="false"/>
    </xf>
    <xf numFmtId="164" fontId="49" fillId="27" borderId="13" xfId="187" applyFont="true" applyBorder="true" applyAlignment="true" applyProtection="false">
      <alignment horizontal="general" vertical="center" textRotation="0" wrapText="true" indent="0" shrinkToFit="false"/>
      <protection locked="true" hidden="false"/>
    </xf>
    <xf numFmtId="177" fontId="46" fillId="0" borderId="13" xfId="0" applyFont="true" applyBorder="true" applyAlignment="true" applyProtection="false">
      <alignment horizontal="center" vertical="center" textRotation="0" wrapText="true" indent="0" shrinkToFit="false"/>
      <protection locked="true" hidden="false"/>
    </xf>
    <xf numFmtId="177" fontId="45" fillId="0" borderId="13" xfId="0" applyFont="true" applyBorder="true" applyAlignment="true" applyProtection="false">
      <alignment horizontal="left" vertical="center" textRotation="0" wrapText="true" indent="0" shrinkToFit="false"/>
      <protection locked="true" hidden="false"/>
    </xf>
    <xf numFmtId="164" fontId="46" fillId="0" borderId="13" xfId="0" applyFont="true" applyBorder="true" applyAlignment="true" applyProtection="false">
      <alignment horizontal="general" vertical="center" textRotation="0" wrapText="true" indent="0" shrinkToFit="false"/>
      <protection locked="true" hidden="false"/>
    </xf>
    <xf numFmtId="198" fontId="46" fillId="0" borderId="13" xfId="0" applyFont="true" applyBorder="true" applyAlignment="true" applyProtection="false">
      <alignment horizontal="center" vertical="center" textRotation="0" wrapText="true" indent="0" shrinkToFit="false"/>
      <protection locked="true" hidden="false"/>
    </xf>
    <xf numFmtId="190" fontId="45" fillId="0" borderId="13" xfId="0" applyFont="true" applyBorder="true" applyAlignment="true" applyProtection="false">
      <alignment horizontal="general" vertical="center" textRotation="0" wrapText="true" indent="0" shrinkToFit="false"/>
      <protection locked="true" hidden="false"/>
    </xf>
    <xf numFmtId="189" fontId="46" fillId="26" borderId="13" xfId="0" applyFont="true" applyBorder="true" applyAlignment="true" applyProtection="false">
      <alignment horizontal="general" vertical="center" textRotation="0" wrapText="true" indent="0" shrinkToFit="false"/>
      <protection locked="true" hidden="false"/>
    </xf>
    <xf numFmtId="190" fontId="46" fillId="26" borderId="13" xfId="0" applyFont="true" applyBorder="true" applyAlignment="true" applyProtection="false">
      <alignment horizontal="general" vertical="center" textRotation="0" wrapText="true" indent="0" shrinkToFit="false"/>
      <protection locked="true" hidden="false"/>
    </xf>
    <xf numFmtId="189" fontId="45" fillId="27" borderId="13" xfId="0" applyFont="true" applyBorder="true" applyAlignment="true" applyProtection="false">
      <alignment horizontal="general" vertical="center" textRotation="0" wrapText="true" indent="0" shrinkToFit="false"/>
      <protection locked="true" hidden="false"/>
    </xf>
    <xf numFmtId="193" fontId="46" fillId="0" borderId="13" xfId="0" applyFont="true" applyBorder="true" applyAlignment="true" applyProtection="false">
      <alignment horizontal="center" vertical="center" textRotation="0" wrapText="true" indent="0" shrinkToFit="false"/>
      <protection locked="true" hidden="false"/>
    </xf>
    <xf numFmtId="190" fontId="46" fillId="0" borderId="13" xfId="0" applyFont="true" applyBorder="true" applyAlignment="true" applyProtection="false">
      <alignment horizontal="general" vertical="center" textRotation="0" wrapText="true" indent="0" shrinkToFit="false"/>
      <protection locked="true" hidden="false"/>
    </xf>
    <xf numFmtId="190" fontId="48" fillId="0" borderId="13" xfId="269" applyFont="true" applyBorder="true" applyAlignment="true" applyProtection="false">
      <alignment horizontal="center" vertical="center" textRotation="0" wrapText="true" indent="0" shrinkToFit="false"/>
      <protection locked="true" hidden="false"/>
    </xf>
    <xf numFmtId="164" fontId="45" fillId="0" borderId="13" xfId="0" applyFont="true" applyBorder="true" applyAlignment="true" applyProtection="false">
      <alignment horizontal="general" vertical="center" textRotation="0" wrapText="true" indent="0" shrinkToFit="false"/>
      <protection locked="true" hidden="false"/>
    </xf>
    <xf numFmtId="164" fontId="45" fillId="0" borderId="13" xfId="0" applyFont="true" applyBorder="true" applyAlignment="true" applyProtection="false">
      <alignment horizontal="center" vertical="center" textRotation="0" wrapText="true" indent="0" shrinkToFit="false"/>
      <protection locked="true" hidden="false"/>
    </xf>
    <xf numFmtId="193" fontId="45" fillId="0" borderId="13" xfId="0" applyFont="true" applyBorder="true" applyAlignment="true" applyProtection="false">
      <alignment horizontal="center" vertical="center" textRotation="0" wrapText="true" indent="0" shrinkToFit="false"/>
      <protection locked="true" hidden="false"/>
    </xf>
    <xf numFmtId="190" fontId="46" fillId="0" borderId="13" xfId="266" applyFont="true" applyBorder="true" applyAlignment="true" applyProtection="false">
      <alignment horizontal="center" vertical="center" textRotation="0" wrapText="true" indent="0" shrinkToFit="false"/>
      <protection locked="true" hidden="false"/>
    </xf>
    <xf numFmtId="198" fontId="45" fillId="0" borderId="13" xfId="0" applyFont="true" applyBorder="true" applyAlignment="true" applyProtection="false">
      <alignment horizontal="center" vertical="center" textRotation="0" wrapText="true" indent="0" shrinkToFit="false"/>
      <protection locked="true" hidden="false"/>
    </xf>
    <xf numFmtId="190" fontId="46" fillId="0" borderId="13" xfId="0" applyFont="true" applyBorder="true" applyAlignment="true" applyProtection="false">
      <alignment horizontal="center" vertical="center" textRotation="0" wrapText="false" indent="0" shrinkToFit="false"/>
      <protection locked="true" hidden="false"/>
    </xf>
    <xf numFmtId="190" fontId="48" fillId="0" borderId="13" xfId="0" applyFont="true" applyBorder="true" applyAlignment="true" applyProtection="false">
      <alignment horizontal="center" vertical="center" textRotation="0" wrapText="false" indent="0" shrinkToFit="false"/>
      <protection locked="true" hidden="false"/>
    </xf>
    <xf numFmtId="197" fontId="46" fillId="0" borderId="13" xfId="0" applyFont="true" applyBorder="true" applyAlignment="true" applyProtection="false">
      <alignment horizontal="center" vertical="center" textRotation="0" wrapText="true" indent="0" shrinkToFit="false"/>
      <protection locked="true" hidden="false"/>
    </xf>
    <xf numFmtId="201" fontId="46" fillId="0" borderId="13" xfId="266" applyFont="true" applyBorder="true" applyAlignment="true" applyProtection="false">
      <alignment horizontal="center" vertical="center" textRotation="0" wrapText="true" indent="0" shrinkToFit="false"/>
      <protection locked="true" hidden="false"/>
    </xf>
    <xf numFmtId="190" fontId="46" fillId="0" borderId="13" xfId="266" applyFont="true" applyBorder="true" applyAlignment="true" applyProtection="false">
      <alignment horizontal="general" vertical="center" textRotation="0" wrapText="true" indent="0" shrinkToFit="false"/>
      <protection locked="true" hidden="false"/>
    </xf>
    <xf numFmtId="164" fontId="46" fillId="0" borderId="13" xfId="266" applyFont="true" applyBorder="true" applyAlignment="true" applyProtection="false">
      <alignment horizontal="center" vertical="center" textRotation="0" wrapText="true" indent="0" shrinkToFit="false"/>
      <protection locked="true" hidden="false"/>
    </xf>
    <xf numFmtId="190" fontId="46" fillId="0" borderId="13" xfId="269" applyFont="true" applyBorder="true" applyAlignment="true" applyProtection="false">
      <alignment horizontal="center" vertical="center" textRotation="0" wrapText="true" indent="0" shrinkToFit="false"/>
      <protection locked="true" hidden="false"/>
    </xf>
    <xf numFmtId="199" fontId="46" fillId="0" borderId="13" xfId="0" applyFont="true" applyBorder="true" applyAlignment="true" applyProtection="false">
      <alignment horizontal="center" vertical="center" textRotation="0" wrapText="true" indent="0" shrinkToFit="false"/>
      <protection locked="true" hidden="false"/>
    </xf>
    <xf numFmtId="201" fontId="46" fillId="0" borderId="13" xfId="0" applyFont="true" applyBorder="true" applyAlignment="true" applyProtection="false">
      <alignment horizontal="center" vertical="center" textRotation="0" wrapText="true" indent="0" shrinkToFit="false"/>
      <protection locked="true" hidden="false"/>
    </xf>
    <xf numFmtId="201" fontId="45" fillId="0" borderId="13" xfId="0" applyFont="true" applyBorder="true" applyAlignment="true" applyProtection="false">
      <alignment horizontal="center" vertical="center" textRotation="0" wrapText="true" indent="0" shrinkToFit="false"/>
      <protection locked="true" hidden="false"/>
    </xf>
    <xf numFmtId="199" fontId="46" fillId="0" borderId="13" xfId="266" applyFont="true" applyBorder="true" applyAlignment="true" applyProtection="false">
      <alignment horizontal="center" vertical="center" textRotation="0" wrapText="true" indent="0" shrinkToFit="false"/>
      <protection locked="true" hidden="false"/>
    </xf>
    <xf numFmtId="200" fontId="46" fillId="0" borderId="13" xfId="266" applyFont="true" applyBorder="true" applyAlignment="true" applyProtection="false">
      <alignment horizontal="center" vertical="center" textRotation="0" wrapText="true" indent="0" shrinkToFit="false"/>
      <protection locked="true" hidden="false"/>
    </xf>
    <xf numFmtId="190" fontId="45" fillId="0" borderId="20" xfId="263" applyFont="true" applyBorder="true" applyAlignment="true" applyProtection="false">
      <alignment horizontal="general" vertical="center" textRotation="0" wrapText="true" indent="0" shrinkToFit="false"/>
      <protection locked="true" hidden="false"/>
    </xf>
    <xf numFmtId="193" fontId="46" fillId="0" borderId="13" xfId="266" applyFont="true" applyBorder="true" applyAlignment="true" applyProtection="false">
      <alignment horizontal="center" vertical="center" textRotation="0" wrapText="true" indent="0" shrinkToFit="false"/>
      <protection locked="true" hidden="false"/>
    </xf>
    <xf numFmtId="164" fontId="46" fillId="0" borderId="13" xfId="269" applyFont="true" applyBorder="true" applyAlignment="true" applyProtection="false">
      <alignment horizontal="center" vertical="center" textRotation="0" wrapText="true" indent="0" shrinkToFit="false"/>
      <protection locked="true" hidden="false"/>
    </xf>
    <xf numFmtId="202" fontId="46" fillId="0" borderId="13" xfId="269" applyFont="true" applyBorder="true" applyAlignment="true" applyProtection="false">
      <alignment horizontal="center" vertical="center" textRotation="0" wrapText="true" indent="0" shrinkToFit="false"/>
      <protection locked="true" hidden="false"/>
    </xf>
    <xf numFmtId="190" fontId="45" fillId="0" borderId="13" xfId="269" applyFont="true" applyBorder="true" applyAlignment="true" applyProtection="false">
      <alignment horizontal="general" vertical="center" textRotation="0" wrapText="true" indent="0" shrinkToFit="false"/>
      <protection locked="true" hidden="false"/>
    </xf>
    <xf numFmtId="197" fontId="46" fillId="0" borderId="13" xfId="266" applyFont="true" applyBorder="true" applyAlignment="true" applyProtection="false">
      <alignment horizontal="center" vertical="center" textRotation="0" wrapText="true" indent="0" shrinkToFit="false"/>
      <protection locked="true" hidden="false"/>
    </xf>
    <xf numFmtId="203" fontId="46" fillId="0" borderId="13" xfId="266" applyFont="true" applyBorder="true" applyAlignment="true" applyProtection="false">
      <alignment horizontal="center" vertical="center" textRotation="0" wrapText="true" indent="0" shrinkToFit="false"/>
      <protection locked="true" hidden="false"/>
    </xf>
    <xf numFmtId="177" fontId="46" fillId="0" borderId="0" xfId="0" applyFont="true" applyBorder="false" applyAlignment="true" applyProtection="false">
      <alignment horizontal="center" vertical="center" textRotation="0" wrapText="true" indent="0" shrinkToFit="false"/>
      <protection locked="true" hidden="false"/>
    </xf>
    <xf numFmtId="164" fontId="46" fillId="0" borderId="13" xfId="263" applyFont="true" applyBorder="true" applyAlignment="true" applyProtection="false">
      <alignment horizontal="left" vertical="center" textRotation="0" wrapText="true" indent="0" shrinkToFit="false"/>
      <protection locked="true" hidden="false"/>
    </xf>
    <xf numFmtId="201" fontId="46" fillId="0" borderId="15" xfId="263" applyFont="true" applyBorder="true" applyAlignment="true" applyProtection="false">
      <alignment horizontal="center" vertical="center" textRotation="0" wrapText="true" indent="0" shrinkToFit="false"/>
      <protection locked="true" hidden="false"/>
    </xf>
    <xf numFmtId="201" fontId="46" fillId="0" borderId="13" xfId="269" applyFont="true" applyBorder="true" applyAlignment="true" applyProtection="false">
      <alignment horizontal="center" vertical="center" textRotation="0" wrapText="true" indent="0" shrinkToFit="false"/>
      <protection locked="true" hidden="false"/>
    </xf>
    <xf numFmtId="203" fontId="46" fillId="0" borderId="13" xfId="269" applyFont="true" applyBorder="true" applyAlignment="true" applyProtection="false">
      <alignment horizontal="center" vertical="center" textRotation="0" wrapText="true" indent="0" shrinkToFit="false"/>
      <protection locked="true" hidden="false"/>
    </xf>
    <xf numFmtId="164" fontId="46" fillId="0" borderId="15" xfId="0" applyFont="true" applyBorder="true" applyAlignment="true" applyProtection="false">
      <alignment horizontal="left" vertical="center" textRotation="0" wrapText="true" indent="0" shrinkToFit="false"/>
      <protection locked="true" hidden="false"/>
    </xf>
    <xf numFmtId="190" fontId="46" fillId="0" borderId="13" xfId="266" applyFont="true" applyBorder="true" applyAlignment="true" applyProtection="false">
      <alignment horizontal="center" vertical="center" textRotation="0" wrapText="false" indent="0" shrinkToFit="false"/>
      <protection locked="true" hidden="false"/>
    </xf>
    <xf numFmtId="199" fontId="46" fillId="0" borderId="13" xfId="269" applyFont="true" applyBorder="true" applyAlignment="true" applyProtection="false">
      <alignment horizontal="center" vertical="center" textRotation="0" wrapText="true" indent="0" shrinkToFit="false"/>
      <protection locked="true" hidden="false"/>
    </xf>
    <xf numFmtId="199" fontId="46" fillId="0" borderId="15" xfId="263" applyFont="true" applyBorder="true" applyAlignment="true" applyProtection="false">
      <alignment horizontal="center" vertical="center" textRotation="0" wrapText="true" indent="0" shrinkToFit="false"/>
      <protection locked="true" hidden="false"/>
    </xf>
    <xf numFmtId="189" fontId="45" fillId="26" borderId="13" xfId="0" applyFont="true" applyBorder="true" applyAlignment="true" applyProtection="false">
      <alignment horizontal="general" vertical="center" textRotation="0" wrapText="true" indent="0" shrinkToFit="false"/>
      <protection locked="true" hidden="false"/>
    </xf>
    <xf numFmtId="198" fontId="45" fillId="26" borderId="13" xfId="0" applyFont="true" applyBorder="true" applyAlignment="true" applyProtection="false">
      <alignment horizontal="center" vertical="center" textRotation="0" wrapText="true" indent="0" shrinkToFit="false"/>
      <protection locked="true" hidden="false"/>
    </xf>
    <xf numFmtId="190" fontId="45" fillId="26" borderId="13" xfId="0" applyFont="true" applyBorder="true" applyAlignment="true" applyProtection="false">
      <alignment horizontal="general" vertical="center" textRotation="0" wrapText="true" indent="0" shrinkToFit="false"/>
      <protection locked="true" hidden="false"/>
    </xf>
    <xf numFmtId="189" fontId="45" fillId="0" borderId="13" xfId="0" applyFont="true" applyBorder="true" applyAlignment="true" applyProtection="false">
      <alignment horizontal="general" vertical="center" textRotation="0" wrapText="true" indent="0" shrinkToFit="false"/>
      <protection locked="true" hidden="false"/>
    </xf>
    <xf numFmtId="197" fontId="45" fillId="0" borderId="13" xfId="0" applyFont="true" applyBorder="true" applyAlignment="true" applyProtection="false">
      <alignment horizontal="center" vertical="center" textRotation="0" wrapText="true" indent="0" shrinkToFit="false"/>
      <protection locked="true" hidden="false"/>
    </xf>
    <xf numFmtId="204" fontId="46" fillId="0" borderId="13" xfId="266" applyFont="true" applyBorder="true" applyAlignment="true" applyProtection="false">
      <alignment horizontal="center" vertical="center" textRotation="0" wrapText="true" indent="0" shrinkToFit="false"/>
      <protection locked="true" hidden="false"/>
    </xf>
    <xf numFmtId="164" fontId="46" fillId="0" borderId="13" xfId="266" applyFont="true" applyBorder="true" applyAlignment="true" applyProtection="false">
      <alignment horizontal="center" vertical="center" textRotation="0" wrapText="false" indent="0" shrinkToFit="false"/>
      <protection locked="true" hidden="false"/>
    </xf>
    <xf numFmtId="201" fontId="46" fillId="0" borderId="13" xfId="266" applyFont="true" applyBorder="true" applyAlignment="true" applyProtection="false">
      <alignment horizontal="center" vertical="center" textRotation="0" wrapText="false" indent="0" shrinkToFit="false"/>
      <protection locked="true" hidden="false"/>
    </xf>
    <xf numFmtId="202" fontId="46" fillId="0" borderId="13" xfId="266" applyFont="true" applyBorder="true" applyAlignment="true" applyProtection="false">
      <alignment horizontal="center" vertical="center" textRotation="0" wrapText="true" indent="0" shrinkToFit="false"/>
      <protection locked="true" hidden="false"/>
    </xf>
    <xf numFmtId="190" fontId="45" fillId="0" borderId="13" xfId="266" applyFont="true" applyBorder="true" applyAlignment="true" applyProtection="false">
      <alignment horizontal="general" vertical="center" textRotation="0" wrapText="true" indent="0" shrinkToFit="false"/>
      <protection locked="true" hidden="false"/>
    </xf>
    <xf numFmtId="190" fontId="46" fillId="0" borderId="20" xfId="263" applyFont="true" applyBorder="true" applyAlignment="true" applyProtection="false">
      <alignment horizontal="general" vertical="center" textRotation="0" wrapText="true" indent="0" shrinkToFit="false"/>
      <protection locked="true" hidden="false"/>
    </xf>
    <xf numFmtId="164" fontId="46" fillId="0" borderId="13" xfId="266" applyFont="true" applyBorder="true" applyAlignment="true" applyProtection="false">
      <alignment horizontal="left" vertical="center" textRotation="0" wrapText="true" indent="0" shrinkToFit="false"/>
      <protection locked="true" hidden="false"/>
    </xf>
    <xf numFmtId="164" fontId="46" fillId="0" borderId="15" xfId="266" applyFont="true" applyBorder="true" applyAlignment="true" applyProtection="false">
      <alignment horizontal="center" vertical="center" textRotation="0" wrapText="true" indent="0" shrinkToFit="false"/>
      <protection locked="true" hidden="false"/>
    </xf>
    <xf numFmtId="190" fontId="45" fillId="0" borderId="20" xfId="266" applyFont="true" applyBorder="true" applyAlignment="true" applyProtection="false">
      <alignment horizontal="general" vertical="center" textRotation="0" wrapText="true" indent="0" shrinkToFit="false"/>
      <protection locked="true" hidden="false"/>
    </xf>
    <xf numFmtId="190" fontId="46" fillId="0" borderId="13" xfId="269" applyFont="true" applyBorder="true" applyAlignment="true" applyProtection="false">
      <alignment horizontal="general" vertical="center" textRotation="0" wrapText="true" indent="0" shrinkToFit="false"/>
      <protection locked="true" hidden="false"/>
    </xf>
    <xf numFmtId="203" fontId="46" fillId="0" borderId="15" xfId="263" applyFont="true" applyBorder="true" applyAlignment="true" applyProtection="false">
      <alignment horizontal="center" vertical="center" textRotation="0" wrapText="true" indent="0" shrinkToFit="false"/>
      <protection locked="true" hidden="false"/>
    </xf>
    <xf numFmtId="190" fontId="45" fillId="0" borderId="13" xfId="15" applyFont="true" applyBorder="true" applyAlignment="true" applyProtection="true">
      <alignment horizontal="general" vertical="center" textRotation="0" wrapText="true" indent="0" shrinkToFit="false"/>
      <protection locked="true" hidden="false"/>
    </xf>
    <xf numFmtId="190" fontId="46" fillId="0" borderId="13" xfId="15" applyFont="true" applyBorder="true" applyAlignment="true" applyProtection="true">
      <alignment horizontal="general" vertical="center" textRotation="0" wrapText="true" indent="0" shrinkToFit="false"/>
      <protection locked="true" hidden="false"/>
    </xf>
    <xf numFmtId="190" fontId="46" fillId="0" borderId="13" xfId="15" applyFont="true" applyBorder="true" applyAlignment="true" applyProtection="true">
      <alignment horizontal="center" vertical="center" textRotation="0" wrapText="true" indent="0" shrinkToFit="false"/>
      <protection locked="true" hidden="false"/>
    </xf>
    <xf numFmtId="190" fontId="46" fillId="0" borderId="13" xfId="0" applyFont="true" applyBorder="true" applyAlignment="true" applyProtection="false">
      <alignment horizontal="general" vertical="center" textRotation="0" wrapText="false" indent="0" shrinkToFit="false"/>
      <protection locked="true" hidden="false"/>
    </xf>
    <xf numFmtId="189" fontId="45" fillId="0" borderId="13" xfId="0" applyFont="true" applyBorder="true" applyAlignment="true" applyProtection="false">
      <alignment horizontal="left" vertical="center" textRotation="0" wrapText="true" indent="0" shrinkToFit="false"/>
      <protection locked="true" hidden="false"/>
    </xf>
    <xf numFmtId="164" fontId="46" fillId="0" borderId="19" xfId="0" applyFont="true" applyBorder="true" applyAlignment="true" applyProtection="false">
      <alignment horizontal="center" vertical="center" textRotation="0" wrapText="true" indent="0" shrinkToFit="false"/>
      <protection locked="true" hidden="false"/>
    </xf>
    <xf numFmtId="203" fontId="46" fillId="0" borderId="13" xfId="0" applyFont="true" applyBorder="true" applyAlignment="true" applyProtection="false">
      <alignment horizontal="center" vertical="center" textRotation="0" wrapText="true" indent="0" shrinkToFit="false"/>
      <protection locked="true" hidden="false"/>
    </xf>
    <xf numFmtId="177" fontId="46" fillId="0" borderId="15" xfId="0" applyFont="true" applyBorder="true" applyAlignment="true" applyProtection="false">
      <alignment horizontal="center" vertical="center" textRotation="0" wrapText="true" indent="0" shrinkToFit="false"/>
      <protection locked="true" hidden="false"/>
    </xf>
    <xf numFmtId="164" fontId="46" fillId="0" borderId="20" xfId="0" applyFont="true" applyBorder="true" applyAlignment="true" applyProtection="false">
      <alignment horizontal="left" vertical="center" textRotation="0" wrapText="true" indent="0" shrinkToFit="false"/>
      <protection locked="true" hidden="false"/>
    </xf>
    <xf numFmtId="203" fontId="46" fillId="0" borderId="20" xfId="0" applyFont="true" applyBorder="true" applyAlignment="true" applyProtection="false">
      <alignment horizontal="center" vertical="center" textRotation="0" wrapText="true" indent="0" shrinkToFit="false"/>
      <protection locked="true" hidden="false"/>
    </xf>
    <xf numFmtId="190" fontId="46" fillId="0" borderId="20" xfId="0" applyFont="true" applyBorder="true" applyAlignment="true" applyProtection="false">
      <alignment horizontal="center" vertical="center" textRotation="0" wrapText="true" indent="0" shrinkToFit="false"/>
      <protection locked="true" hidden="false"/>
    </xf>
    <xf numFmtId="190" fontId="46" fillId="0" borderId="20" xfId="0" applyFont="true" applyBorder="true" applyAlignment="true" applyProtection="false">
      <alignment horizontal="general" vertical="center" textRotation="0" wrapText="true" indent="0" shrinkToFit="false"/>
      <protection locked="true" hidden="false"/>
    </xf>
    <xf numFmtId="164" fontId="46" fillId="0" borderId="19" xfId="269" applyFont="true" applyBorder="true" applyAlignment="true" applyProtection="false">
      <alignment horizontal="general" vertical="center" textRotation="0" wrapText="true" indent="0" shrinkToFit="false"/>
      <protection locked="true" hidden="false"/>
    </xf>
    <xf numFmtId="203" fontId="46" fillId="0" borderId="19" xfId="0" applyFont="true" applyBorder="true" applyAlignment="true" applyProtection="false">
      <alignment horizontal="center" vertical="center" textRotation="0" wrapText="true" indent="0" shrinkToFit="false"/>
      <protection locked="true" hidden="false"/>
    </xf>
    <xf numFmtId="190" fontId="46" fillId="0" borderId="19" xfId="269" applyFont="true" applyBorder="true" applyAlignment="true" applyProtection="false">
      <alignment horizontal="center" vertical="center" textRotation="0" wrapText="true" indent="0" shrinkToFit="false"/>
      <protection locked="true" hidden="false"/>
    </xf>
    <xf numFmtId="190" fontId="46" fillId="0" borderId="19" xfId="269" applyFont="true" applyBorder="true" applyAlignment="true" applyProtection="false">
      <alignment horizontal="general" vertical="center" textRotation="0" wrapText="true" indent="0" shrinkToFit="false"/>
      <protection locked="true" hidden="false"/>
    </xf>
    <xf numFmtId="200" fontId="45" fillId="0" borderId="13" xfId="0" applyFont="true" applyBorder="true" applyAlignment="true" applyProtection="false">
      <alignment horizontal="center" vertical="center" textRotation="0" wrapText="true" indent="0" shrinkToFit="false"/>
      <protection locked="true" hidden="false"/>
    </xf>
    <xf numFmtId="200" fontId="46" fillId="0" borderId="15" xfId="263" applyFont="true" applyBorder="true" applyAlignment="true" applyProtection="false">
      <alignment horizontal="center" vertical="center" textRotation="0" wrapText="true" indent="0" shrinkToFit="false"/>
      <protection locked="true" hidden="false"/>
    </xf>
    <xf numFmtId="164" fontId="45" fillId="0" borderId="13" xfId="0" applyFont="true" applyBorder="true" applyAlignment="true" applyProtection="false">
      <alignment horizontal="left" vertical="center" textRotation="0" wrapText="true" indent="0" shrinkToFit="false"/>
      <protection locked="true" hidden="false"/>
    </xf>
    <xf numFmtId="164" fontId="46" fillId="0" borderId="14" xfId="0" applyFont="true" applyBorder="true" applyAlignment="true" applyProtection="false">
      <alignment horizontal="left" vertical="center" textRotation="0" wrapText="true" indent="0" shrinkToFit="false"/>
      <protection locked="true" hidden="false"/>
    </xf>
    <xf numFmtId="190" fontId="46" fillId="0" borderId="18" xfId="0" applyFont="true" applyBorder="true" applyAlignment="true" applyProtection="false">
      <alignment horizontal="general" vertical="center" textRotation="0" wrapText="true" indent="0" shrinkToFit="false"/>
      <protection locked="true" hidden="false"/>
    </xf>
    <xf numFmtId="164" fontId="45" fillId="0" borderId="14" xfId="0" applyFont="true" applyBorder="true" applyAlignment="true" applyProtection="false">
      <alignment horizontal="left" vertical="center" textRotation="0" wrapText="true" indent="0" shrinkToFit="false"/>
      <protection locked="true" hidden="false"/>
    </xf>
    <xf numFmtId="164" fontId="46" fillId="26" borderId="0" xfId="0" applyFont="true" applyBorder="true" applyAlignment="true" applyProtection="false">
      <alignment horizontal="general" vertical="center" textRotation="0" wrapText="true" indent="0" shrinkToFit="false"/>
      <protection locked="true" hidden="false"/>
    </xf>
    <xf numFmtId="164" fontId="45" fillId="26" borderId="13" xfId="0" applyFont="true" applyBorder="true" applyAlignment="true" applyProtection="false">
      <alignment horizontal="center" vertical="center" textRotation="0" wrapText="true" indent="0" shrinkToFit="false"/>
      <protection locked="true" hidden="false"/>
    </xf>
    <xf numFmtId="202" fontId="46" fillId="26" borderId="13" xfId="269" applyFont="true" applyBorder="true" applyAlignment="true" applyProtection="false">
      <alignment horizontal="center" vertical="center" textRotation="0" wrapText="true" indent="0" shrinkToFit="false"/>
      <protection locked="true" hidden="false"/>
    </xf>
    <xf numFmtId="190" fontId="46" fillId="26" borderId="13" xfId="269" applyFont="true" applyBorder="true" applyAlignment="true" applyProtection="false">
      <alignment horizontal="center" vertical="center" textRotation="0" wrapText="true" indent="0" shrinkToFit="false"/>
      <protection locked="true" hidden="false"/>
    </xf>
    <xf numFmtId="190" fontId="46" fillId="26" borderId="13" xfId="269" applyFont="true" applyBorder="true" applyAlignment="true" applyProtection="false">
      <alignment horizontal="general" vertical="center" textRotation="0" wrapText="true" indent="0" shrinkToFit="false"/>
      <protection locked="true" hidden="false"/>
    </xf>
    <xf numFmtId="164" fontId="46" fillId="0" borderId="0" xfId="0" applyFont="true" applyBorder="true" applyAlignment="true" applyProtection="false">
      <alignment horizontal="general" vertical="center" textRotation="0" wrapText="true" indent="0" shrinkToFit="false"/>
      <protection locked="true" hidden="false"/>
    </xf>
    <xf numFmtId="189" fontId="46" fillId="0" borderId="13" xfId="269" applyFont="true" applyBorder="true" applyAlignment="true" applyProtection="false">
      <alignment horizontal="left" vertical="center" textRotation="0" wrapText="true" indent="0" shrinkToFit="false"/>
      <protection locked="true" hidden="false"/>
    </xf>
    <xf numFmtId="164" fontId="46" fillId="0" borderId="13" xfId="269" applyFont="true" applyBorder="true" applyAlignment="true" applyProtection="false">
      <alignment horizontal="left" vertical="center" textRotation="0" wrapText="true" indent="0" shrinkToFit="false"/>
      <protection locked="true" hidden="false"/>
    </xf>
    <xf numFmtId="190" fontId="46" fillId="27" borderId="13" xfId="266" applyFont="true" applyBorder="true" applyAlignment="true" applyProtection="false">
      <alignment horizontal="center" vertical="center" textRotation="0" wrapText="true" indent="0" shrinkToFit="false"/>
      <protection locked="true" hidden="false"/>
    </xf>
    <xf numFmtId="177" fontId="46" fillId="0" borderId="0" xfId="0" applyFont="true" applyBorder="true" applyAlignment="true" applyProtection="false">
      <alignment horizontal="center" vertical="center" textRotation="0" wrapText="true" indent="0" shrinkToFit="false"/>
      <protection locked="true" hidden="false"/>
    </xf>
    <xf numFmtId="190" fontId="46" fillId="27" borderId="13" xfId="266" applyFont="true" applyBorder="true" applyAlignment="true" applyProtection="false">
      <alignment horizontal="general" vertical="center" textRotation="0" wrapText="true" indent="0" shrinkToFit="false"/>
      <protection locked="true" hidden="false"/>
    </xf>
    <xf numFmtId="164" fontId="45" fillId="27" borderId="13" xfId="0" applyFont="true" applyBorder="true" applyAlignment="true" applyProtection="true">
      <alignment horizontal="left" vertical="center" textRotation="0" wrapText="true" indent="0" shrinkToFit="false"/>
      <protection locked="false" hidden="false"/>
    </xf>
    <xf numFmtId="201" fontId="46" fillId="0" borderId="13" xfId="0" applyFont="true" applyBorder="true" applyAlignment="true" applyProtection="false">
      <alignment horizontal="center" vertical="center" textRotation="0" wrapText="false" indent="0" shrinkToFit="false"/>
      <protection locked="true" hidden="false"/>
    </xf>
    <xf numFmtId="164" fontId="46" fillId="0" borderId="13" xfId="0" applyFont="true" applyBorder="true" applyAlignment="true" applyProtection="false">
      <alignment horizontal="center" vertical="center" textRotation="0" wrapText="false" indent="0" shrinkToFit="false"/>
      <protection locked="true" hidden="false"/>
    </xf>
    <xf numFmtId="190" fontId="46" fillId="27" borderId="13" xfId="0" applyFont="true" applyBorder="true" applyAlignment="true" applyProtection="false">
      <alignment horizontal="general" vertical="center" textRotation="0" wrapText="false" indent="0" shrinkToFit="false"/>
      <protection locked="true" hidden="false"/>
    </xf>
    <xf numFmtId="164" fontId="46" fillId="27" borderId="13" xfId="266" applyFont="true" applyBorder="true" applyAlignment="true" applyProtection="false">
      <alignment horizontal="center" vertical="center" textRotation="0" wrapText="false" indent="0" shrinkToFit="false"/>
      <protection locked="true" hidden="false"/>
    </xf>
    <xf numFmtId="203" fontId="46" fillId="27" borderId="13" xfId="266" applyFont="true" applyBorder="true" applyAlignment="true" applyProtection="false">
      <alignment horizontal="center" vertical="center" textRotation="0" wrapText="false" indent="0" shrinkToFit="false"/>
      <protection locked="true" hidden="false"/>
    </xf>
    <xf numFmtId="190" fontId="46" fillId="27" borderId="13" xfId="266" applyFont="true" applyBorder="true" applyAlignment="true" applyProtection="false">
      <alignment horizontal="center" vertical="center" textRotation="0" wrapText="false" indent="0" shrinkToFit="false"/>
      <protection locked="true" hidden="false"/>
    </xf>
    <xf numFmtId="190" fontId="45" fillId="0" borderId="13" xfId="269" applyFont="true" applyBorder="true" applyAlignment="true" applyProtection="false">
      <alignment horizontal="center" vertical="center" textRotation="0" wrapText="true" indent="0" shrinkToFit="false"/>
      <protection locked="true" hidden="false"/>
    </xf>
    <xf numFmtId="190" fontId="45" fillId="27" borderId="13" xfId="269" applyFont="true" applyBorder="true" applyAlignment="true" applyProtection="false">
      <alignment horizontal="center" vertical="center" textRotation="0" wrapText="true" indent="0" shrinkToFit="false"/>
      <protection locked="true" hidden="false"/>
    </xf>
    <xf numFmtId="190" fontId="45" fillId="27" borderId="20" xfId="263" applyFont="true" applyBorder="true" applyAlignment="true" applyProtection="false">
      <alignment horizontal="general" vertical="center" textRotation="0" wrapText="true" indent="0" shrinkToFit="false"/>
      <protection locked="true" hidden="false"/>
    </xf>
    <xf numFmtId="194" fontId="45" fillId="27" borderId="13" xfId="0" applyFont="true" applyBorder="true" applyAlignment="true" applyProtection="false">
      <alignment horizontal="center" vertical="center" textRotation="0" wrapText="true" indent="0" shrinkToFit="false"/>
      <protection locked="true" hidden="false"/>
    </xf>
    <xf numFmtId="164" fontId="45" fillId="26" borderId="13" xfId="0" applyFont="true" applyBorder="true" applyAlignment="true" applyProtection="false">
      <alignment horizontal="general" vertical="center" textRotation="0" wrapText="true" indent="0" shrinkToFit="false"/>
      <protection locked="true" hidden="false"/>
    </xf>
    <xf numFmtId="201" fontId="46" fillId="27" borderId="13" xfId="266" applyFont="true" applyBorder="true" applyAlignment="true" applyProtection="false">
      <alignment horizontal="center" vertical="center" textRotation="0" wrapText="true" indent="0" shrinkToFit="false"/>
      <protection locked="true" hidden="false"/>
    </xf>
    <xf numFmtId="200" fontId="46" fillId="0" borderId="13" xfId="269" applyFont="true" applyBorder="true" applyAlignment="true" applyProtection="false">
      <alignment horizontal="center" vertical="center" textRotation="0" wrapText="true" indent="0" shrinkToFit="false"/>
      <protection locked="true" hidden="false"/>
    </xf>
    <xf numFmtId="200" fontId="46" fillId="0" borderId="13" xfId="0" applyFont="true" applyBorder="true" applyAlignment="true" applyProtection="false">
      <alignment horizontal="center" vertical="center" textRotation="0" wrapText="true" indent="0" shrinkToFit="false"/>
      <protection locked="true" hidden="false"/>
    </xf>
    <xf numFmtId="164" fontId="46" fillId="0" borderId="19" xfId="0" applyFont="true" applyBorder="true" applyAlignment="true" applyProtection="false">
      <alignment horizontal="left" vertical="center" textRotation="0" wrapText="true" indent="0" shrinkToFit="false"/>
      <protection locked="true" hidden="false"/>
    </xf>
    <xf numFmtId="201" fontId="46" fillId="0" borderId="19" xfId="0" applyFont="true" applyBorder="true" applyAlignment="true" applyProtection="false">
      <alignment horizontal="center" vertical="center" textRotation="0" wrapText="true" indent="0" shrinkToFit="false"/>
      <protection locked="true" hidden="false"/>
    </xf>
    <xf numFmtId="190" fontId="46" fillId="0" borderId="19" xfId="0" applyFont="true" applyBorder="true" applyAlignment="true" applyProtection="false">
      <alignment horizontal="center" vertical="center" textRotation="0" wrapText="true" indent="0" shrinkToFit="false"/>
      <protection locked="true" hidden="false"/>
    </xf>
    <xf numFmtId="193" fontId="45" fillId="26" borderId="13" xfId="0" applyFont="true" applyBorder="true" applyAlignment="true" applyProtection="false">
      <alignment horizontal="general" vertical="center" textRotation="0" wrapText="true" indent="0" shrinkToFit="false"/>
      <protection locked="true" hidden="false"/>
    </xf>
    <xf numFmtId="193" fontId="46" fillId="27" borderId="13" xfId="0" applyFont="true" applyBorder="true" applyAlignment="true" applyProtection="false">
      <alignment horizontal="general" vertical="center" textRotation="0" wrapText="true" indent="0" shrinkToFit="false"/>
      <protection locked="true" hidden="false"/>
    </xf>
    <xf numFmtId="164" fontId="46" fillId="27" borderId="13" xfId="269" applyFont="true" applyBorder="true" applyAlignment="true" applyProtection="false">
      <alignment horizontal="center" vertical="center" textRotation="0" wrapText="true" indent="0" shrinkToFit="false"/>
      <protection locked="true" hidden="false"/>
    </xf>
    <xf numFmtId="201" fontId="45" fillId="27" borderId="13" xfId="0" applyFont="true" applyBorder="true" applyAlignment="true" applyProtection="false">
      <alignment horizontal="center" vertical="center" textRotation="0" wrapText="true" indent="0" shrinkToFit="false"/>
      <protection locked="true" hidden="false"/>
    </xf>
    <xf numFmtId="201" fontId="46" fillId="27" borderId="13" xfId="0" applyFont="true" applyBorder="true" applyAlignment="true" applyProtection="false">
      <alignment horizontal="center" vertical="center" textRotation="0" wrapText="true" indent="0" shrinkToFit="false"/>
      <protection locked="true" hidden="false"/>
    </xf>
    <xf numFmtId="164" fontId="46" fillId="27" borderId="13" xfId="266" applyFont="true" applyBorder="true" applyAlignment="true" applyProtection="false">
      <alignment horizontal="center" vertical="center" textRotation="0" wrapText="true" indent="0" shrinkToFit="false"/>
      <protection locked="true" hidden="false"/>
    </xf>
    <xf numFmtId="202" fontId="46" fillId="27" borderId="13" xfId="266" applyFont="true" applyBorder="true" applyAlignment="true" applyProtection="false">
      <alignment horizontal="center" vertical="center" textRotation="0" wrapText="true" indent="0" shrinkToFit="false"/>
      <protection locked="true" hidden="false"/>
    </xf>
    <xf numFmtId="199" fontId="46" fillId="27" borderId="13" xfId="269" applyFont="true" applyBorder="true" applyAlignment="true" applyProtection="false">
      <alignment horizontal="center" vertical="center" textRotation="0" wrapText="true" indent="0" shrinkToFit="false"/>
      <protection locked="true" hidden="false"/>
    </xf>
    <xf numFmtId="190" fontId="45" fillId="27" borderId="13" xfId="269" applyFont="true" applyBorder="true" applyAlignment="true" applyProtection="false">
      <alignment horizontal="general" vertical="center" textRotation="0" wrapText="true" indent="0" shrinkToFit="false"/>
      <protection locked="true" hidden="false"/>
    </xf>
    <xf numFmtId="202" fontId="46" fillId="27" borderId="13" xfId="0" applyFont="true" applyBorder="true" applyAlignment="true" applyProtection="false">
      <alignment horizontal="center" vertical="center" textRotation="0" wrapText="true" indent="0" shrinkToFit="false"/>
      <protection locked="true" hidden="false"/>
    </xf>
    <xf numFmtId="201" fontId="46" fillId="27" borderId="13" xfId="269" applyFont="true" applyBorder="true" applyAlignment="true" applyProtection="false">
      <alignment horizontal="center" vertical="center" textRotation="0" wrapText="true" indent="0" shrinkToFit="false"/>
      <protection locked="true" hidden="false"/>
    </xf>
    <xf numFmtId="190" fontId="45" fillId="27" borderId="13" xfId="266" applyFont="true" applyBorder="true" applyAlignment="true" applyProtection="false">
      <alignment horizontal="general" vertical="center" textRotation="0" wrapText="true" indent="0" shrinkToFit="false"/>
      <protection locked="true" hidden="false"/>
    </xf>
    <xf numFmtId="202" fontId="46" fillId="27" borderId="13" xfId="269" applyFont="true" applyBorder="true" applyAlignment="true" applyProtection="false">
      <alignment horizontal="center" vertical="center" textRotation="0" wrapText="true" indent="0" shrinkToFit="false"/>
      <protection locked="true" hidden="false"/>
    </xf>
    <xf numFmtId="199" fontId="46" fillId="27" borderId="13" xfId="266" applyFont="true" applyBorder="true" applyAlignment="true" applyProtection="false">
      <alignment horizontal="center" vertical="center" textRotation="0" wrapText="true" indent="0" shrinkToFit="false"/>
      <protection locked="true" hidden="false"/>
    </xf>
    <xf numFmtId="203" fontId="46" fillId="27" borderId="13" xfId="269" applyFont="true" applyBorder="true" applyAlignment="true" applyProtection="false">
      <alignment horizontal="center" vertical="center" textRotation="0" wrapText="true" indent="0" shrinkToFit="false"/>
      <protection locked="true" hidden="false"/>
    </xf>
    <xf numFmtId="203" fontId="45" fillId="27" borderId="13" xfId="0" applyFont="true" applyBorder="true" applyAlignment="true" applyProtection="false">
      <alignment horizontal="center" vertical="center" textRotation="0" wrapText="true" indent="0" shrinkToFit="false"/>
      <protection locked="true" hidden="false"/>
    </xf>
    <xf numFmtId="203" fontId="46" fillId="27" borderId="13" xfId="0" applyFont="true" applyBorder="true" applyAlignment="true" applyProtection="false">
      <alignment horizontal="center" vertical="center" textRotation="0" wrapText="true" indent="0" shrinkToFit="false"/>
      <protection locked="true" hidden="false"/>
    </xf>
    <xf numFmtId="203" fontId="46" fillId="27" borderId="13" xfId="266" applyFont="true" applyBorder="true" applyAlignment="true" applyProtection="false">
      <alignment horizontal="center" vertical="center" textRotation="0" wrapText="true" indent="0" shrinkToFit="false"/>
      <protection locked="true" hidden="false"/>
    </xf>
    <xf numFmtId="193" fontId="46" fillId="27" borderId="13" xfId="266" applyFont="true" applyBorder="true" applyAlignment="true" applyProtection="false">
      <alignment horizontal="right" vertical="center" textRotation="0" wrapText="true" indent="0" shrinkToFit="false"/>
      <protection locked="true" hidden="false"/>
    </xf>
    <xf numFmtId="164" fontId="46" fillId="27" borderId="13" xfId="266" applyFont="true" applyBorder="true" applyAlignment="true" applyProtection="false">
      <alignment horizontal="right" vertical="center" textRotation="0" wrapText="true" indent="0" shrinkToFit="false"/>
      <protection locked="true" hidden="false"/>
    </xf>
    <xf numFmtId="164" fontId="46" fillId="27" borderId="13" xfId="269" applyFont="true" applyBorder="true" applyAlignment="true" applyProtection="false">
      <alignment horizontal="right" vertical="center" textRotation="0" wrapText="true" indent="0" shrinkToFit="false"/>
      <protection locked="true" hidden="false"/>
    </xf>
    <xf numFmtId="201" fontId="46" fillId="27" borderId="13" xfId="266" applyFont="true" applyBorder="true" applyAlignment="true" applyProtection="false">
      <alignment horizontal="center" vertical="center" textRotation="0" wrapText="false" indent="0" shrinkToFit="false"/>
      <protection locked="true" hidden="false"/>
    </xf>
    <xf numFmtId="193" fontId="46" fillId="27" borderId="13" xfId="271" applyFont="true" applyBorder="true" applyAlignment="true" applyProtection="true">
      <alignment horizontal="general" vertical="center" textRotation="0" wrapText="true" indent="0" shrinkToFit="false"/>
      <protection locked="false" hidden="false"/>
    </xf>
    <xf numFmtId="201" fontId="48" fillId="27" borderId="13" xfId="0" applyFont="true" applyBorder="true" applyAlignment="true" applyProtection="false">
      <alignment horizontal="center" vertical="center" textRotation="0" wrapText="true" indent="0" shrinkToFit="false"/>
      <protection locked="true" hidden="false"/>
    </xf>
    <xf numFmtId="164" fontId="49" fillId="27" borderId="13" xfId="266" applyFont="true" applyBorder="true" applyAlignment="true" applyProtection="false">
      <alignment horizontal="left" vertical="center" textRotation="0" wrapText="true" indent="0" shrinkToFit="false"/>
      <protection locked="true" hidden="false"/>
    </xf>
    <xf numFmtId="198" fontId="46" fillId="26" borderId="13" xfId="0" applyFont="true" applyBorder="true" applyAlignment="true" applyProtection="false">
      <alignment horizontal="center" vertical="center" textRotation="0" wrapText="true" indent="0" shrinkToFit="false"/>
      <protection locked="true" hidden="false"/>
    </xf>
    <xf numFmtId="199" fontId="46" fillId="27" borderId="13" xfId="0" applyFont="true" applyBorder="true" applyAlignment="true" applyProtection="false">
      <alignment horizontal="center" vertical="center" textRotation="0" wrapText="true" indent="0" shrinkToFit="false"/>
      <protection locked="true" hidden="false"/>
    </xf>
    <xf numFmtId="203" fontId="46" fillId="26" borderId="13" xfId="0" applyFont="true" applyBorder="true" applyAlignment="true" applyProtection="false">
      <alignment horizontal="center" vertical="center" textRotation="0" wrapText="true" indent="0" shrinkToFit="false"/>
      <protection locked="true" hidden="false"/>
    </xf>
    <xf numFmtId="164" fontId="46" fillId="27" borderId="13" xfId="0" applyFont="true" applyBorder="true" applyAlignment="true" applyProtection="false">
      <alignment horizontal="center" vertical="center" textRotation="0" wrapText="false" indent="0" shrinkToFit="false"/>
      <protection locked="true" hidden="false"/>
    </xf>
    <xf numFmtId="201" fontId="46" fillId="27" borderId="13" xfId="0" applyFont="true" applyBorder="true" applyAlignment="true" applyProtection="false">
      <alignment horizontal="center" vertical="center" textRotation="0" wrapText="false" indent="0" shrinkToFit="false"/>
      <protection locked="true" hidden="false"/>
    </xf>
    <xf numFmtId="190" fontId="45" fillId="27" borderId="13" xfId="0" applyFont="true" applyBorder="true" applyAlignment="true" applyProtection="false">
      <alignment horizontal="general" vertical="center" textRotation="0" wrapText="false" indent="0" shrinkToFit="false"/>
      <protection locked="true" hidden="false"/>
    </xf>
    <xf numFmtId="190" fontId="46" fillId="27" borderId="13" xfId="0" applyFont="true" applyBorder="true" applyAlignment="true" applyProtection="false">
      <alignment horizontal="center" vertical="center" textRotation="0" wrapText="false" indent="0" shrinkToFit="false"/>
      <protection locked="true" hidden="false"/>
    </xf>
    <xf numFmtId="190" fontId="46" fillId="27" borderId="13" xfId="269" applyFont="true" applyBorder="true" applyAlignment="true" applyProtection="false">
      <alignment horizontal="general" vertical="center" textRotation="0" wrapText="true" indent="0" shrinkToFit="false"/>
      <protection locked="true" hidden="false"/>
    </xf>
    <xf numFmtId="199" fontId="46" fillId="27" borderId="13" xfId="266" applyFont="true" applyBorder="true" applyAlignment="true" applyProtection="false">
      <alignment horizontal="center" vertical="center" textRotation="0" wrapText="false" indent="0" shrinkToFit="false"/>
      <protection locked="true" hidden="false"/>
    </xf>
    <xf numFmtId="202" fontId="46" fillId="27" borderId="13" xfId="0" applyFont="true" applyBorder="true" applyAlignment="true" applyProtection="false">
      <alignment horizontal="center" vertical="center" textRotation="0" wrapText="false" indent="0" shrinkToFit="false"/>
      <protection locked="true" hidden="false"/>
    </xf>
    <xf numFmtId="203" fontId="46" fillId="27" borderId="13" xfId="0" applyFont="true" applyBorder="true" applyAlignment="true" applyProtection="false">
      <alignment horizontal="center" vertical="center" textRotation="0" wrapText="false" indent="0" shrinkToFit="false"/>
      <protection locked="true" hidden="false"/>
    </xf>
    <xf numFmtId="164" fontId="45" fillId="26" borderId="13" xfId="267" applyFont="true" applyBorder="true" applyAlignment="true" applyProtection="false">
      <alignment horizontal="left" vertical="center" textRotation="0" wrapText="true" indent="0" shrinkToFit="false"/>
      <protection locked="true" hidden="false"/>
    </xf>
    <xf numFmtId="164" fontId="46" fillId="27" borderId="13" xfId="0" applyFont="true" applyBorder="true" applyAlignment="true" applyProtection="false">
      <alignment horizontal="general" vertical="top" textRotation="0" wrapText="true" indent="0" shrinkToFit="false"/>
      <protection locked="true" hidden="false"/>
    </xf>
    <xf numFmtId="164" fontId="46" fillId="27" borderId="13" xfId="267" applyFont="true" applyBorder="true" applyAlignment="true" applyProtection="false">
      <alignment horizontal="left" vertical="center" textRotation="0" wrapText="true" indent="0" shrinkToFit="false"/>
      <protection locked="true" hidden="false"/>
    </xf>
    <xf numFmtId="190" fontId="46" fillId="0" borderId="13" xfId="0" applyFont="true" applyBorder="true" applyAlignment="true" applyProtection="false">
      <alignment horizontal="right" vertical="top" textRotation="0" wrapText="true" indent="0" shrinkToFit="false"/>
      <protection locked="true" hidden="false"/>
    </xf>
    <xf numFmtId="197" fontId="46" fillId="27" borderId="13" xfId="0" applyFont="true" applyBorder="true" applyAlignment="true" applyProtection="false">
      <alignment horizontal="general" vertical="center" textRotation="0" wrapText="true" indent="0" shrinkToFit="false"/>
      <protection locked="true" hidden="false"/>
    </xf>
    <xf numFmtId="164" fontId="48" fillId="27" borderId="13" xfId="0" applyFont="true" applyBorder="true" applyAlignment="true" applyProtection="false">
      <alignment horizontal="left" vertical="bottom" textRotation="0" wrapText="true" indent="0" shrinkToFit="false"/>
      <protection locked="true" hidden="false"/>
    </xf>
    <xf numFmtId="164" fontId="46" fillId="0" borderId="13" xfId="0" applyFont="true" applyBorder="true" applyAlignment="true" applyProtection="false">
      <alignment horizontal="general" vertical="top" textRotation="0" wrapText="true" indent="0" shrinkToFit="false"/>
      <protection locked="true" hidden="false"/>
    </xf>
    <xf numFmtId="164" fontId="46" fillId="27" borderId="15" xfId="0" applyFont="true" applyBorder="true" applyAlignment="true" applyProtection="false">
      <alignment horizontal="general" vertical="top" textRotation="0" wrapText="true" indent="0" shrinkToFit="false"/>
      <protection locked="true" hidden="false"/>
    </xf>
    <xf numFmtId="164" fontId="45" fillId="27" borderId="13" xfId="269" applyFont="true" applyBorder="true" applyAlignment="true" applyProtection="false">
      <alignment horizontal="general" vertical="center" textRotation="0" wrapText="true" indent="0" shrinkToFit="false"/>
      <protection locked="true" hidden="false"/>
    </xf>
    <xf numFmtId="164" fontId="45" fillId="27" borderId="13" xfId="269" applyFont="true" applyBorder="true" applyAlignment="true" applyProtection="false">
      <alignment horizontal="center" vertical="center" textRotation="0" wrapText="true" indent="0" shrinkToFit="false"/>
      <protection locked="true" hidden="false"/>
    </xf>
    <xf numFmtId="164" fontId="45" fillId="27" borderId="13" xfId="267" applyFont="true" applyBorder="true" applyAlignment="true" applyProtection="false">
      <alignment horizontal="left" vertical="center" textRotation="0" wrapText="true" indent="0" shrinkToFit="false"/>
      <protection locked="true" hidden="false"/>
    </xf>
    <xf numFmtId="193" fontId="46" fillId="0" borderId="13" xfId="0" applyFont="true" applyBorder="true" applyAlignment="true" applyProtection="false">
      <alignment horizontal="general" vertical="center" textRotation="0" wrapText="true" indent="0" shrinkToFit="false"/>
      <protection locked="true" hidden="false"/>
    </xf>
    <xf numFmtId="197" fontId="46" fillId="0" borderId="13" xfId="0" applyFont="true" applyBorder="true" applyAlignment="true" applyProtection="false">
      <alignment horizontal="general" vertical="center" textRotation="0" wrapText="true" indent="0" shrinkToFit="false"/>
      <protection locked="true" hidden="false"/>
    </xf>
    <xf numFmtId="164" fontId="48" fillId="0" borderId="13" xfId="0" applyFont="true" applyBorder="true" applyAlignment="true" applyProtection="false">
      <alignment horizontal="left" vertical="bottom" textRotation="0" wrapText="true" indent="0" shrinkToFit="false"/>
      <protection locked="true" hidden="false"/>
    </xf>
    <xf numFmtId="164" fontId="48" fillId="0" borderId="13" xfId="0" applyFont="true" applyBorder="true" applyAlignment="true" applyProtection="false">
      <alignment horizontal="center" vertical="center" textRotation="0" wrapText="true" indent="0" shrinkToFit="false"/>
      <protection locked="true" hidden="false"/>
    </xf>
    <xf numFmtId="164" fontId="48" fillId="0" borderId="13" xfId="0" applyFont="true" applyBorder="true" applyAlignment="true" applyProtection="false">
      <alignment horizontal="general" vertical="center" textRotation="0" wrapText="true" indent="0" shrinkToFit="false"/>
      <protection locked="true" hidden="false"/>
    </xf>
    <xf numFmtId="190" fontId="48" fillId="0" borderId="13" xfId="0" applyFont="true" applyBorder="true" applyAlignment="true" applyProtection="false">
      <alignment horizontal="right" vertical="center" textRotation="0" wrapText="true" indent="0" shrinkToFit="false"/>
      <protection locked="true" hidden="false"/>
    </xf>
    <xf numFmtId="190" fontId="48" fillId="0" borderId="13" xfId="269" applyFont="true" applyBorder="true" applyAlignment="true" applyProtection="false">
      <alignment horizontal="right" vertical="center" textRotation="0" wrapText="true" indent="0" shrinkToFit="false"/>
      <protection locked="true" hidden="false"/>
    </xf>
    <xf numFmtId="164" fontId="48" fillId="0" borderId="13" xfId="0" applyFont="true" applyBorder="true" applyAlignment="true" applyProtection="false">
      <alignment horizontal="general" vertical="bottom" textRotation="0" wrapText="true" indent="0" shrinkToFit="false"/>
      <protection locked="true" hidden="false"/>
    </xf>
    <xf numFmtId="200" fontId="46" fillId="27" borderId="13" xfId="0" applyFont="true" applyBorder="true" applyAlignment="true" applyProtection="false">
      <alignment horizontal="general" vertical="center" textRotation="0" wrapText="true" indent="0" shrinkToFit="false"/>
      <protection locked="true" hidden="false"/>
    </xf>
    <xf numFmtId="164" fontId="46" fillId="27" borderId="13" xfId="269" applyFont="true" applyBorder="true" applyAlignment="true" applyProtection="false">
      <alignment horizontal="center" vertical="top" textRotation="0" wrapText="true" indent="0" shrinkToFit="false"/>
      <protection locked="true" hidden="false"/>
    </xf>
    <xf numFmtId="190" fontId="46" fillId="27" borderId="13" xfId="269" applyFont="true" applyBorder="true" applyAlignment="true" applyProtection="false">
      <alignment horizontal="right" vertical="top" textRotation="0" wrapText="true" indent="0" shrinkToFit="false"/>
      <protection locked="true" hidden="false"/>
    </xf>
    <xf numFmtId="189" fontId="43" fillId="0" borderId="13" xfId="187" applyFont="true" applyBorder="true" applyAlignment="true" applyProtection="false">
      <alignment horizontal="left" vertical="center" textRotation="0" wrapText="false" indent="0" shrinkToFit="false"/>
      <protection locked="true" hidden="false"/>
    </xf>
    <xf numFmtId="164" fontId="46" fillId="0" borderId="13" xfId="0" applyFont="true" applyBorder="true" applyAlignment="true" applyProtection="false">
      <alignment horizontal="center" vertical="top" textRotation="0" wrapText="true" indent="0" shrinkToFit="false"/>
      <protection locked="true" hidden="false"/>
    </xf>
    <xf numFmtId="164" fontId="46" fillId="0" borderId="15" xfId="0" applyFont="true" applyBorder="true" applyAlignment="true" applyProtection="false">
      <alignment horizontal="general" vertical="top" textRotation="0" wrapText="true" indent="0" shrinkToFit="false"/>
      <protection locked="true" hidden="false"/>
    </xf>
    <xf numFmtId="198" fontId="46" fillId="27" borderId="13" xfId="0" applyFont="true" applyBorder="true" applyAlignment="true" applyProtection="false">
      <alignment horizontal="general" vertical="top" textRotation="0" wrapText="true" indent="0" shrinkToFit="false"/>
      <protection locked="true" hidden="false"/>
    </xf>
    <xf numFmtId="164" fontId="46" fillId="0" borderId="13" xfId="267" applyFont="true" applyBorder="true" applyAlignment="true" applyProtection="false">
      <alignment horizontal="left" vertical="center" textRotation="0" wrapText="true" indent="0" shrinkToFit="false"/>
      <protection locked="true" hidden="false"/>
    </xf>
    <xf numFmtId="164" fontId="46" fillId="27" borderId="13" xfId="0" applyFont="true" applyBorder="true" applyAlignment="true" applyProtection="false">
      <alignment horizontal="general" vertical="bottom" textRotation="0" wrapText="true" indent="0" shrinkToFit="false"/>
      <protection locked="true" hidden="false"/>
    </xf>
    <xf numFmtId="164" fontId="46" fillId="27" borderId="13" xfId="0" applyFont="true" applyBorder="true" applyAlignment="true" applyProtection="false">
      <alignment horizontal="center" vertical="bottom" textRotation="0" wrapText="true" indent="0" shrinkToFit="false"/>
      <protection locked="true" hidden="false"/>
    </xf>
    <xf numFmtId="190" fontId="46" fillId="27" borderId="13" xfId="269" applyFont="true" applyBorder="true" applyAlignment="true" applyProtection="false">
      <alignment horizontal="right" vertical="center" textRotation="0" wrapText="true" indent="0" shrinkToFit="false"/>
      <protection locked="true" hidden="false"/>
    </xf>
    <xf numFmtId="164" fontId="46" fillId="0" borderId="13" xfId="0" applyFont="true" applyBorder="true" applyAlignment="true" applyProtection="false">
      <alignment horizontal="left" vertical="bottom" textRotation="0" wrapText="true" indent="0" shrinkToFit="false"/>
      <protection locked="true" hidden="false"/>
    </xf>
    <xf numFmtId="164" fontId="46" fillId="0" borderId="13" xfId="0" applyFont="true" applyBorder="true" applyAlignment="true" applyProtection="false">
      <alignment horizontal="general" vertical="bottom" textRotation="0" wrapText="true" indent="0" shrinkToFit="false"/>
      <protection locked="true" hidden="false"/>
    </xf>
    <xf numFmtId="190" fontId="46" fillId="0" borderId="13" xfId="269" applyFont="true" applyBorder="true" applyAlignment="true" applyProtection="false">
      <alignment horizontal="right" vertical="center" textRotation="0" wrapText="true" indent="0" shrinkToFit="false"/>
      <protection locked="true" hidden="false"/>
    </xf>
    <xf numFmtId="164" fontId="46" fillId="26" borderId="13" xfId="0" applyFont="true" applyBorder="true" applyAlignment="true" applyProtection="false">
      <alignment horizontal="left" vertical="center" textRotation="0" wrapText="true" indent="0" shrinkToFit="false"/>
      <protection locked="true" hidden="false"/>
    </xf>
    <xf numFmtId="164" fontId="45" fillId="27" borderId="13" xfId="0" applyFont="true" applyBorder="true" applyAlignment="true" applyProtection="false">
      <alignment horizontal="left" vertical="center" textRotation="0" wrapText="true" indent="0" shrinkToFit="false"/>
      <protection locked="true" hidden="false"/>
    </xf>
    <xf numFmtId="193" fontId="46" fillId="27" borderId="13" xfId="0" applyFont="true" applyBorder="true" applyAlignment="true" applyProtection="false">
      <alignment horizontal="left" vertical="center" textRotation="0" wrapText="true" indent="0" shrinkToFit="false"/>
      <protection locked="true" hidden="false"/>
    </xf>
    <xf numFmtId="164" fontId="46" fillId="30" borderId="13" xfId="0" applyFont="true" applyBorder="true" applyAlignment="true" applyProtection="false">
      <alignment horizontal="right" vertical="top" textRotation="0" wrapText="true" indent="0" shrinkToFit="false"/>
      <protection locked="true" hidden="false"/>
    </xf>
    <xf numFmtId="164" fontId="46" fillId="27" borderId="13" xfId="0" applyFont="true" applyBorder="true" applyAlignment="true" applyProtection="false">
      <alignment horizontal="right" vertical="top" textRotation="0" wrapText="true" indent="0" shrinkToFit="false"/>
      <protection locked="true" hidden="false"/>
    </xf>
    <xf numFmtId="164" fontId="46" fillId="26" borderId="13" xfId="0" applyFont="true" applyBorder="true" applyAlignment="true" applyProtection="false">
      <alignment horizontal="general" vertical="top" textRotation="0" wrapText="true" indent="0" shrinkToFit="false"/>
      <protection locked="true" hidden="false"/>
    </xf>
    <xf numFmtId="190" fontId="46" fillId="26" borderId="13" xfId="0" applyFont="true" applyBorder="true" applyAlignment="true" applyProtection="false">
      <alignment horizontal="right" vertical="top" textRotation="0" wrapText="true" indent="0" shrinkToFit="false"/>
      <protection locked="true" hidden="false"/>
    </xf>
    <xf numFmtId="190" fontId="46" fillId="27" borderId="13" xfId="0" applyFont="true" applyBorder="true" applyAlignment="true" applyProtection="false">
      <alignment horizontal="general" vertical="top" textRotation="0" wrapText="true" indent="0" shrinkToFit="false"/>
      <protection locked="true" hidden="false"/>
    </xf>
    <xf numFmtId="164" fontId="48" fillId="27" borderId="13" xfId="0" applyFont="true" applyBorder="true" applyAlignment="true" applyProtection="false">
      <alignment horizontal="general" vertical="top" textRotation="0" wrapText="true" indent="0" shrinkToFit="false"/>
      <protection locked="true" hidden="false"/>
    </xf>
    <xf numFmtId="190" fontId="45" fillId="27" borderId="13" xfId="269" applyFont="true" applyBorder="true" applyAlignment="true" applyProtection="false">
      <alignment horizontal="general" vertical="top" textRotation="0" wrapText="true" indent="0" shrinkToFit="false"/>
      <protection locked="true" hidden="false"/>
    </xf>
    <xf numFmtId="190" fontId="46" fillId="0" borderId="13" xfId="0" applyFont="true" applyBorder="true" applyAlignment="true" applyProtection="false">
      <alignment horizontal="general" vertical="top" textRotation="0" wrapText="true" indent="0" shrinkToFit="false"/>
      <protection locked="true" hidden="false"/>
    </xf>
    <xf numFmtId="200" fontId="46" fillId="0" borderId="13" xfId="0" applyFont="true" applyBorder="true" applyAlignment="true" applyProtection="false">
      <alignment horizontal="general" vertical="top" textRotation="0" wrapText="true" indent="0" shrinkToFit="false"/>
      <protection locked="true" hidden="false"/>
    </xf>
    <xf numFmtId="194" fontId="46" fillId="0" borderId="13" xfId="0" applyFont="true" applyBorder="true" applyAlignment="true" applyProtection="false">
      <alignment horizontal="general" vertical="center" textRotation="0" wrapText="true" indent="0" shrinkToFit="false"/>
      <protection locked="true" hidden="false"/>
    </xf>
    <xf numFmtId="164" fontId="49" fillId="27" borderId="13" xfId="0" applyFont="true" applyBorder="true" applyAlignment="true" applyProtection="false">
      <alignment horizontal="left" vertical="center" textRotation="0" wrapText="true" indent="0" shrinkToFit="false"/>
      <protection locked="true" hidden="false"/>
    </xf>
    <xf numFmtId="164" fontId="46" fillId="0" borderId="13" xfId="0" applyFont="true" applyBorder="true" applyAlignment="true" applyProtection="false">
      <alignment horizontal="left" vertical="center" textRotation="0" wrapText="false" indent="0" shrinkToFit="false"/>
      <protection locked="true" hidden="false"/>
    </xf>
    <xf numFmtId="164" fontId="46" fillId="0" borderId="13" xfId="0" applyFont="true" applyBorder="true" applyAlignment="true" applyProtection="false">
      <alignment horizontal="right" vertical="top" textRotation="0" wrapText="true" indent="0" shrinkToFit="false"/>
      <protection locked="true" hidden="false"/>
    </xf>
    <xf numFmtId="193" fontId="46" fillId="27" borderId="13" xfId="0" applyFont="true" applyBorder="true" applyAlignment="true" applyProtection="false">
      <alignment horizontal="general" vertical="top" textRotation="0" wrapText="true" indent="0" shrinkToFit="false"/>
      <protection locked="true" hidden="false"/>
    </xf>
    <xf numFmtId="190" fontId="46" fillId="0" borderId="13" xfId="269" applyFont="true" applyBorder="true" applyAlignment="true" applyProtection="false">
      <alignment horizontal="right" vertical="top" textRotation="0" wrapText="true" indent="0" shrinkToFit="false"/>
      <protection locked="true" hidden="false"/>
    </xf>
    <xf numFmtId="193" fontId="45" fillId="27" borderId="13" xfId="269" applyFont="true" applyBorder="true" applyAlignment="true" applyProtection="false">
      <alignment horizontal="left" vertical="center" textRotation="0" wrapText="true" indent="0" shrinkToFit="false"/>
      <protection locked="true" hidden="false"/>
    </xf>
    <xf numFmtId="164" fontId="45" fillId="26" borderId="13" xfId="0" applyFont="true" applyBorder="true" applyAlignment="true" applyProtection="false">
      <alignment horizontal="general" vertical="top" textRotation="0" wrapText="true" indent="0" shrinkToFit="false"/>
      <protection locked="true" hidden="false"/>
    </xf>
    <xf numFmtId="164" fontId="45" fillId="26" borderId="13" xfId="0" applyFont="true" applyBorder="true" applyAlignment="true" applyProtection="false">
      <alignment horizontal="center" vertical="top" textRotation="0" wrapText="true" indent="0" shrinkToFit="false"/>
      <protection locked="true" hidden="false"/>
    </xf>
    <xf numFmtId="190" fontId="45" fillId="26" borderId="13" xfId="0" applyFont="true" applyBorder="true" applyAlignment="true" applyProtection="false">
      <alignment horizontal="right" vertical="top" textRotation="0" wrapText="true" indent="0" shrinkToFit="false"/>
      <protection locked="true" hidden="false"/>
    </xf>
    <xf numFmtId="164" fontId="46" fillId="27" borderId="15" xfId="0" applyFont="true" applyBorder="true" applyAlignment="true" applyProtection="false">
      <alignment horizontal="general" vertical="center" textRotation="0" wrapText="true" indent="0" shrinkToFit="false"/>
      <protection locked="true" hidden="false"/>
    </xf>
    <xf numFmtId="164" fontId="46" fillId="27" borderId="19" xfId="0" applyFont="true" applyBorder="true" applyAlignment="true" applyProtection="false">
      <alignment horizontal="general" vertical="center" textRotation="0" wrapText="true" indent="0" shrinkToFit="false"/>
      <protection locked="true" hidden="false"/>
    </xf>
    <xf numFmtId="205" fontId="46" fillId="27" borderId="13" xfId="0" applyFont="true" applyBorder="true" applyAlignment="true" applyProtection="false">
      <alignment horizontal="center" vertical="center" textRotation="0" wrapText="true" indent="0" shrinkToFit="false"/>
      <protection locked="true" hidden="false"/>
    </xf>
    <xf numFmtId="189" fontId="46" fillId="27" borderId="13" xfId="0" applyFont="true" applyBorder="true" applyAlignment="true" applyProtection="false">
      <alignment horizontal="center" vertical="center" textRotation="0" wrapText="true" indent="0" shrinkToFit="false"/>
      <protection locked="true" hidden="false"/>
    </xf>
    <xf numFmtId="177" fontId="45" fillId="0" borderId="13" xfId="0" applyFont="true" applyBorder="true" applyAlignment="true" applyProtection="false">
      <alignment horizontal="general" vertical="center" textRotation="0" wrapText="true" indent="0" shrinkToFit="false"/>
      <protection locked="true" hidden="false"/>
    </xf>
    <xf numFmtId="190" fontId="47" fillId="27" borderId="19" xfId="269" applyFont="true" applyBorder="true" applyAlignment="true" applyProtection="false">
      <alignment horizontal="general" vertical="center" textRotation="0" wrapText="true" indent="0" shrinkToFit="false"/>
      <protection locked="true" hidden="false"/>
    </xf>
    <xf numFmtId="177" fontId="46" fillId="0" borderId="13" xfId="0" applyFont="true" applyBorder="true" applyAlignment="true" applyProtection="false">
      <alignment horizontal="general" vertical="center" textRotation="0" wrapText="true" indent="0" shrinkToFit="false"/>
      <protection locked="true" hidden="false"/>
    </xf>
    <xf numFmtId="197" fontId="46" fillId="27" borderId="13" xfId="0" applyFont="true" applyBorder="true" applyAlignment="true" applyProtection="false">
      <alignment horizontal="general" vertical="top" textRotation="0" wrapText="true" indent="0" shrinkToFit="false"/>
      <protection locked="true" hidden="false"/>
    </xf>
    <xf numFmtId="164" fontId="45" fillId="25" borderId="13" xfId="0" applyFont="true" applyBorder="true" applyAlignment="true" applyProtection="false">
      <alignment horizontal="general" vertical="center" textRotation="0" wrapText="true" indent="0" shrinkToFit="false"/>
      <protection locked="true" hidden="false"/>
    </xf>
    <xf numFmtId="164" fontId="45" fillId="25" borderId="13" xfId="0" applyFont="true" applyBorder="true" applyAlignment="true" applyProtection="false">
      <alignment horizontal="center" vertical="center" textRotation="0" wrapText="true" indent="0" shrinkToFit="false"/>
      <protection locked="true" hidden="false"/>
    </xf>
    <xf numFmtId="190" fontId="45" fillId="25" borderId="13" xfId="0" applyFont="true" applyBorder="true" applyAlignment="true" applyProtection="false">
      <alignment horizontal="general" vertical="center" textRotation="0" wrapText="true" indent="0" shrinkToFit="false"/>
      <protection locked="true" hidden="false"/>
    </xf>
    <xf numFmtId="194" fontId="46" fillId="27" borderId="13" xfId="269" applyFont="true" applyBorder="true" applyAlignment="true" applyProtection="false">
      <alignment horizontal="center" vertical="center" textRotation="0" wrapText="true" indent="0" shrinkToFit="false"/>
      <protection locked="true" hidden="false"/>
    </xf>
    <xf numFmtId="164" fontId="46" fillId="27" borderId="0" xfId="269" applyFont="true" applyBorder="false" applyAlignment="true" applyProtection="false">
      <alignment horizontal="general" vertical="center" textRotation="0" wrapText="true" indent="0" shrinkToFit="false"/>
      <protection locked="true" hidden="false"/>
    </xf>
    <xf numFmtId="190" fontId="46" fillId="0" borderId="14" xfId="0" applyFont="true" applyBorder="true" applyAlignment="true" applyProtection="false">
      <alignment horizontal="general" vertical="center" textRotation="0" wrapText="true" indent="0" shrinkToFit="false"/>
      <protection locked="true" hidden="false"/>
    </xf>
    <xf numFmtId="190" fontId="48" fillId="0" borderId="14" xfId="203" applyFont="true" applyBorder="true" applyAlignment="true" applyProtection="false">
      <alignment horizontal="center" vertical="center" textRotation="0" wrapText="true" indent="0" shrinkToFit="false"/>
      <protection locked="true" hidden="false"/>
    </xf>
    <xf numFmtId="190" fontId="45" fillId="0" borderId="14" xfId="0" applyFont="true" applyBorder="true" applyAlignment="true" applyProtection="false">
      <alignment horizontal="general" vertical="center" textRotation="0" wrapText="true" indent="0" shrinkToFit="false"/>
      <protection locked="true" hidden="false"/>
    </xf>
    <xf numFmtId="190" fontId="45" fillId="27" borderId="14" xfId="0" applyFont="true" applyBorder="true" applyAlignment="true" applyProtection="false">
      <alignment horizontal="general" vertical="center" textRotation="0" wrapText="true" indent="0" shrinkToFit="false"/>
      <protection locked="true" hidden="false"/>
    </xf>
    <xf numFmtId="190" fontId="46" fillId="27" borderId="14" xfId="0" applyFont="true" applyBorder="true" applyAlignment="true" applyProtection="false">
      <alignment horizontal="general" vertical="center" textRotation="0" wrapText="true" indent="0" shrinkToFit="false"/>
      <protection locked="true" hidden="false"/>
    </xf>
    <xf numFmtId="190" fontId="48" fillId="27" borderId="14" xfId="203" applyFont="true" applyBorder="true" applyAlignment="true" applyProtection="false">
      <alignment horizontal="center" vertical="center" textRotation="0" wrapText="true" indent="0" shrinkToFit="false"/>
      <protection locked="true" hidden="false"/>
    </xf>
    <xf numFmtId="177" fontId="46" fillId="27" borderId="0" xfId="0" applyFont="true" applyBorder="false" applyAlignment="true" applyProtection="false">
      <alignment horizontal="center" vertical="center" textRotation="0" wrapText="true" indent="0" shrinkToFit="false"/>
      <protection locked="true" hidden="false"/>
    </xf>
    <xf numFmtId="190" fontId="48" fillId="27" borderId="0" xfId="0" applyFont="true" applyBorder="false" applyAlignment="true" applyProtection="false">
      <alignment horizontal="center" vertical="center" textRotation="0" wrapText="true" indent="0" shrinkToFit="false"/>
      <protection locked="true" hidden="false"/>
    </xf>
    <xf numFmtId="164" fontId="45" fillId="0" borderId="13" xfId="269" applyFont="true" applyBorder="true" applyAlignment="true" applyProtection="false">
      <alignment horizontal="center" vertical="center" textRotation="0" wrapText="true" indent="0" shrinkToFit="false"/>
      <protection locked="true" hidden="false"/>
    </xf>
    <xf numFmtId="190" fontId="47" fillId="0" borderId="14" xfId="203" applyFont="true" applyBorder="true" applyAlignment="true" applyProtection="false">
      <alignment horizontal="center" vertical="center" textRotation="0" wrapText="true" indent="0" shrinkToFit="false"/>
      <protection locked="true" hidden="false"/>
    </xf>
    <xf numFmtId="190" fontId="48" fillId="27" borderId="13" xfId="203" applyFont="true" applyBorder="true" applyAlignment="true" applyProtection="false">
      <alignment horizontal="center" vertical="center" textRotation="0" wrapText="true" indent="0" shrinkToFit="false"/>
      <protection locked="true" hidden="false"/>
    </xf>
    <xf numFmtId="190" fontId="48" fillId="27" borderId="0" xfId="0" applyFont="true" applyBorder="false" applyAlignment="true" applyProtection="false">
      <alignment horizontal="center" vertical="center" textRotation="0" wrapText="false" indent="0" shrinkToFit="false"/>
      <protection locked="true" hidden="false"/>
    </xf>
    <xf numFmtId="193" fontId="45" fillId="27" borderId="13" xfId="0" applyFont="true" applyBorder="true" applyAlignment="true" applyProtection="false">
      <alignment horizontal="general" vertical="center" textRotation="0" wrapText="true" indent="0" shrinkToFit="false"/>
      <protection locked="true" hidden="false"/>
    </xf>
    <xf numFmtId="193" fontId="45" fillId="27" borderId="13" xfId="0" applyFont="true" applyBorder="true" applyAlignment="true" applyProtection="false">
      <alignment horizontal="center" vertical="center" textRotation="0" wrapText="true" indent="0" shrinkToFit="false"/>
      <protection locked="true" hidden="false"/>
    </xf>
    <xf numFmtId="190" fontId="48" fillId="0" borderId="13" xfId="0" applyFont="true" applyBorder="true" applyAlignment="true" applyProtection="false">
      <alignment horizontal="center" vertical="center" textRotation="0" wrapText="true" indent="0" shrinkToFit="false"/>
      <protection locked="true" hidden="false"/>
    </xf>
    <xf numFmtId="190" fontId="48" fillId="0" borderId="14" xfId="0" applyFont="true" applyBorder="true" applyAlignment="true" applyProtection="false">
      <alignment horizontal="center" vertical="center" textRotation="0" wrapText="true" indent="0" shrinkToFit="false"/>
      <protection locked="true" hidden="false"/>
    </xf>
    <xf numFmtId="190" fontId="48" fillId="0" borderId="0" xfId="0" applyFont="true" applyBorder="true" applyAlignment="true" applyProtection="false">
      <alignment horizontal="center" vertical="center" textRotation="0" wrapText="true" indent="0" shrinkToFit="false"/>
      <protection locked="true" hidden="false"/>
    </xf>
    <xf numFmtId="177" fontId="46" fillId="31" borderId="13" xfId="0" applyFont="true" applyBorder="true" applyAlignment="true" applyProtection="false">
      <alignment horizontal="left" vertical="center" textRotation="0" wrapText="true" indent="0" shrinkToFit="false"/>
      <protection locked="true" hidden="false"/>
    </xf>
    <xf numFmtId="190" fontId="48" fillId="27" borderId="14" xfId="0" applyFont="true" applyBorder="true" applyAlignment="true" applyProtection="false">
      <alignment horizontal="center" vertical="center" textRotation="0" wrapText="true" indent="0" shrinkToFit="false"/>
      <protection locked="true" hidden="false"/>
    </xf>
    <xf numFmtId="190" fontId="45" fillId="27" borderId="14" xfId="0" applyFont="true" applyBorder="true" applyAlignment="true" applyProtection="false">
      <alignment horizontal="center" vertical="center" textRotation="0" wrapText="true" indent="0" shrinkToFit="false"/>
      <protection locked="true" hidden="false"/>
    </xf>
    <xf numFmtId="190" fontId="47" fillId="27" borderId="14" xfId="203" applyFont="true" applyBorder="true" applyAlignment="true" applyProtection="false">
      <alignment horizontal="center" vertical="center" textRotation="0" wrapText="true" indent="0" shrinkToFit="false"/>
      <protection locked="true" hidden="false"/>
    </xf>
    <xf numFmtId="193" fontId="45" fillId="25" borderId="13" xfId="0" applyFont="true" applyBorder="true" applyAlignment="true" applyProtection="false">
      <alignment horizontal="center" vertical="center" textRotation="0" wrapText="true" indent="0" shrinkToFit="false"/>
      <protection locked="true" hidden="false"/>
    </xf>
    <xf numFmtId="193" fontId="45" fillId="25" borderId="13" xfId="0" applyFont="true" applyBorder="true" applyAlignment="true" applyProtection="false">
      <alignment horizontal="general" vertical="center" textRotation="0" wrapText="true" indent="0" shrinkToFit="false"/>
      <protection locked="true" hidden="false"/>
    </xf>
    <xf numFmtId="193" fontId="45" fillId="26" borderId="13" xfId="0" applyFont="true" applyBorder="true" applyAlignment="true" applyProtection="false">
      <alignment horizontal="center" vertical="center" textRotation="0" wrapText="true" indent="0" shrinkToFit="false"/>
      <protection locked="true" hidden="false"/>
    </xf>
    <xf numFmtId="190" fontId="47" fillId="27" borderId="13" xfId="0" applyFont="true" applyBorder="true" applyAlignment="true" applyProtection="false">
      <alignment horizontal="center" vertical="center" textRotation="0" wrapText="true" indent="0" shrinkToFit="false"/>
      <protection locked="true" hidden="false"/>
    </xf>
    <xf numFmtId="190" fontId="47" fillId="27" borderId="13" xfId="0" applyFont="true" applyBorder="true" applyAlignment="true" applyProtection="false">
      <alignment horizontal="general" vertical="center" textRotation="0" wrapText="true" indent="0" shrinkToFit="false"/>
      <protection locked="true" hidden="false"/>
    </xf>
    <xf numFmtId="190" fontId="48" fillId="27" borderId="13" xfId="0" applyFont="true" applyBorder="true" applyAlignment="true" applyProtection="false">
      <alignment horizontal="general" vertical="center" textRotation="0" wrapText="true" indent="0" shrinkToFit="false"/>
      <protection locked="true" hidden="false"/>
    </xf>
    <xf numFmtId="190" fontId="47" fillId="26" borderId="13" xfId="0" applyFont="true" applyBorder="true" applyAlignment="true" applyProtection="false">
      <alignment horizontal="center" vertical="center" textRotation="0" wrapText="true" indent="0" shrinkToFit="false"/>
      <protection locked="true" hidden="false"/>
    </xf>
    <xf numFmtId="190" fontId="47" fillId="26" borderId="13" xfId="0" applyFont="true" applyBorder="true" applyAlignment="true" applyProtection="false">
      <alignment horizontal="general" vertical="center" textRotation="0" wrapText="true" indent="0" shrinkToFit="false"/>
      <protection locked="true" hidden="false"/>
    </xf>
    <xf numFmtId="164" fontId="45" fillId="26" borderId="13" xfId="267" applyFont="true" applyBorder="true" applyAlignment="true" applyProtection="false">
      <alignment horizontal="center" vertical="center" textRotation="0" wrapText="true" indent="0" shrinkToFit="false"/>
      <protection locked="true" hidden="false"/>
    </xf>
    <xf numFmtId="177" fontId="45" fillId="27" borderId="0" xfId="0" applyFont="true" applyBorder="true" applyAlignment="true" applyProtection="false">
      <alignment horizontal="center" vertical="center" textRotation="0" wrapText="true" indent="0" shrinkToFit="false"/>
      <protection locked="true" hidden="false"/>
    </xf>
    <xf numFmtId="177" fontId="45" fillId="25" borderId="13" xfId="0" applyFont="true" applyBorder="true" applyAlignment="true" applyProtection="false">
      <alignment horizontal="general" vertical="center" textRotation="0" wrapText="true" indent="0" shrinkToFit="false"/>
      <protection locked="true" hidden="false"/>
    </xf>
    <xf numFmtId="164" fontId="46" fillId="27" borderId="13" xfId="0" applyFont="true" applyBorder="true" applyAlignment="true" applyProtection="false">
      <alignment horizontal="right" vertical="center" textRotation="0" wrapText="true" indent="0" shrinkToFit="false"/>
      <protection locked="true" hidden="false"/>
    </xf>
    <xf numFmtId="200" fontId="46" fillId="27" borderId="13" xfId="0" applyFont="true" applyBorder="true" applyAlignment="true" applyProtection="false">
      <alignment horizontal="right" vertical="center" textRotation="0" wrapText="true" indent="0" shrinkToFit="false"/>
      <protection locked="true" hidden="false"/>
    </xf>
    <xf numFmtId="200" fontId="46" fillId="27" borderId="13" xfId="269" applyFont="true" applyBorder="true" applyAlignment="true" applyProtection="false">
      <alignment horizontal="right" vertical="center" textRotation="0" wrapText="true" indent="0" shrinkToFit="false"/>
      <protection locked="true" hidden="false"/>
    </xf>
    <xf numFmtId="177" fontId="43" fillId="27" borderId="13" xfId="187" applyFont="true" applyBorder="true" applyAlignment="true" applyProtection="false">
      <alignment horizontal="general" vertical="center" textRotation="0" wrapText="false" indent="0" shrinkToFit="false"/>
      <protection locked="true" hidden="false"/>
    </xf>
    <xf numFmtId="194" fontId="46" fillId="27" borderId="13" xfId="0" applyFont="true" applyBorder="true" applyAlignment="true" applyProtection="false">
      <alignment horizontal="right" vertical="center" textRotation="0" wrapText="true" indent="0" shrinkToFit="false"/>
      <protection locked="true" hidden="false"/>
    </xf>
    <xf numFmtId="193" fontId="46" fillId="27" borderId="13" xfId="269" applyFont="true" applyBorder="true" applyAlignment="true" applyProtection="false">
      <alignment horizontal="right" vertical="center" textRotation="0" wrapText="true" indent="0" shrinkToFit="false"/>
      <protection locked="true" hidden="false"/>
    </xf>
    <xf numFmtId="177" fontId="43" fillId="0" borderId="13" xfId="187" applyFont="true" applyBorder="true" applyAlignment="true" applyProtection="false">
      <alignment horizontal="center" vertical="center" textRotation="0" wrapText="false" indent="0" shrinkToFit="false"/>
      <protection locked="true" hidden="false"/>
    </xf>
    <xf numFmtId="177" fontId="43" fillId="0" borderId="13" xfId="187" applyFont="true" applyBorder="true" applyAlignment="true" applyProtection="false">
      <alignment horizontal="general" vertical="center" textRotation="0" wrapText="false" indent="0" shrinkToFit="false"/>
      <protection locked="true" hidden="false"/>
    </xf>
    <xf numFmtId="193" fontId="45" fillId="27" borderId="13" xfId="269" applyFont="true" applyBorder="true" applyAlignment="true" applyProtection="false">
      <alignment horizontal="center" vertical="center" textRotation="0" wrapText="true" indent="0" shrinkToFit="false"/>
      <protection locked="true" hidden="false"/>
    </xf>
    <xf numFmtId="189" fontId="45" fillId="27" borderId="13" xfId="0" applyFont="true" applyBorder="true" applyAlignment="true" applyProtection="false">
      <alignment horizontal="left" vertical="center" textRotation="0" wrapText="true" indent="0" shrinkToFit="false"/>
      <protection locked="true" hidden="false"/>
    </xf>
    <xf numFmtId="164" fontId="45" fillId="0" borderId="13" xfId="0" applyFont="true" applyBorder="true" applyAlignment="true" applyProtection="false">
      <alignment horizontal="general" vertical="top" textRotation="0" wrapText="true" indent="0" shrinkToFit="false"/>
      <protection locked="true" hidden="false"/>
    </xf>
    <xf numFmtId="164" fontId="45" fillId="27" borderId="13" xfId="0" applyFont="true" applyBorder="true" applyAlignment="true" applyProtection="false">
      <alignment horizontal="center" vertical="top" textRotation="0" wrapText="true" indent="0" shrinkToFit="false"/>
      <protection locked="true" hidden="false"/>
    </xf>
    <xf numFmtId="164" fontId="45" fillId="27" borderId="13" xfId="0" applyFont="true" applyBorder="true" applyAlignment="true" applyProtection="false">
      <alignment horizontal="right" vertical="center" textRotation="0" wrapText="true" indent="0" shrinkToFit="false"/>
      <protection locked="true" hidden="false"/>
    </xf>
    <xf numFmtId="190" fontId="45" fillId="27" borderId="13" xfId="0" applyFont="true" applyBorder="true" applyAlignment="true" applyProtection="false">
      <alignment horizontal="right" vertical="center" textRotation="0" wrapText="true" indent="0" shrinkToFit="false"/>
      <protection locked="true" hidden="false"/>
    </xf>
    <xf numFmtId="198" fontId="46" fillId="27" borderId="13" xfId="0" applyFont="true" applyBorder="true" applyAlignment="true" applyProtection="false">
      <alignment horizontal="right" vertical="center" textRotation="0" wrapText="true" indent="0" shrinkToFit="false"/>
      <protection locked="true" hidden="false"/>
    </xf>
    <xf numFmtId="198" fontId="45" fillId="27" borderId="13" xfId="0" applyFont="true" applyBorder="true" applyAlignment="true" applyProtection="false">
      <alignment horizontal="right" vertical="center" textRotation="0" wrapText="true" indent="0" shrinkToFit="false"/>
      <protection locked="true" hidden="false"/>
    </xf>
    <xf numFmtId="197" fontId="46" fillId="27" borderId="13" xfId="269" applyFont="true" applyBorder="true" applyAlignment="true" applyProtection="false">
      <alignment horizontal="right" vertical="center" textRotation="0" wrapText="true" indent="0" shrinkToFit="false"/>
      <protection locked="true" hidden="false"/>
    </xf>
    <xf numFmtId="177" fontId="45" fillId="27" borderId="13" xfId="0" applyFont="true" applyBorder="true" applyAlignment="true" applyProtection="false">
      <alignment horizontal="left" vertical="top" textRotation="0" wrapText="true" indent="0" shrinkToFit="false"/>
      <protection locked="true" hidden="false"/>
    </xf>
    <xf numFmtId="189" fontId="45" fillId="27" borderId="13" xfId="0" applyFont="true" applyBorder="true" applyAlignment="true" applyProtection="false">
      <alignment horizontal="left" vertical="top" textRotation="0" wrapText="true" indent="0" shrinkToFit="false"/>
      <protection locked="true" hidden="false"/>
    </xf>
    <xf numFmtId="190" fontId="46" fillId="25" borderId="13" xfId="0" applyFont="true" applyBorder="true" applyAlignment="true" applyProtection="false">
      <alignment horizontal="right" vertical="center" textRotation="0" wrapText="true" indent="0" shrinkToFit="false"/>
      <protection locked="true" hidden="false"/>
    </xf>
    <xf numFmtId="189" fontId="46" fillId="0" borderId="13" xfId="0" applyFont="true" applyBorder="true" applyAlignment="true" applyProtection="false">
      <alignment horizontal="general" vertical="top" textRotation="0" wrapText="true" indent="0" shrinkToFit="false"/>
      <protection locked="true" hidden="false"/>
    </xf>
    <xf numFmtId="164" fontId="46" fillId="27" borderId="13" xfId="0" applyFont="true" applyBorder="true" applyAlignment="true" applyProtection="false">
      <alignment horizontal="right" vertical="center" textRotation="0" wrapText="true" indent="0" shrinkToFit="false"/>
      <protection locked="true" hidden="false"/>
    </xf>
    <xf numFmtId="193" fontId="46" fillId="0" borderId="13" xfId="0" applyFont="true" applyBorder="true" applyAlignment="true" applyProtection="false">
      <alignment horizontal="right" vertical="center" textRotation="0" wrapText="true" indent="0" shrinkToFit="false"/>
      <protection locked="true" hidden="false"/>
    </xf>
    <xf numFmtId="189" fontId="46" fillId="27" borderId="13" xfId="269" applyFont="true" applyBorder="true" applyAlignment="true" applyProtection="false">
      <alignment horizontal="right" vertical="center" textRotation="0" wrapText="true" indent="0" shrinkToFit="false"/>
      <protection locked="true" hidden="false"/>
    </xf>
    <xf numFmtId="164" fontId="48" fillId="0" borderId="13" xfId="0" applyFont="true" applyBorder="true" applyAlignment="true" applyProtection="false">
      <alignment horizontal="general" vertical="top" textRotation="0" wrapText="true" indent="0" shrinkToFit="false"/>
      <protection locked="true" hidden="false"/>
    </xf>
    <xf numFmtId="193" fontId="48" fillId="27" borderId="13" xfId="0" applyFont="true" applyBorder="true" applyAlignment="true" applyProtection="false">
      <alignment horizontal="right" vertical="center" textRotation="0" wrapText="true" indent="0" shrinkToFit="false"/>
      <protection locked="true" hidden="false"/>
    </xf>
    <xf numFmtId="177" fontId="47" fillId="27" borderId="13" xfId="0" applyFont="true" applyBorder="true" applyAlignment="true" applyProtection="false">
      <alignment horizontal="left" vertical="center" textRotation="0" wrapText="true" indent="0" shrinkToFit="false"/>
      <protection locked="true" hidden="false"/>
    </xf>
    <xf numFmtId="164" fontId="47" fillId="0" borderId="13" xfId="0" applyFont="true" applyBorder="true" applyAlignment="true" applyProtection="false">
      <alignment horizontal="general" vertical="top" textRotation="0" wrapText="true" indent="0" shrinkToFit="false"/>
      <protection locked="true" hidden="false"/>
    </xf>
    <xf numFmtId="164" fontId="47" fillId="27" borderId="13" xfId="0" applyFont="true" applyBorder="true" applyAlignment="true" applyProtection="false">
      <alignment horizontal="center" vertical="top" textRotation="0" wrapText="true" indent="0" shrinkToFit="false"/>
      <protection locked="true" hidden="false"/>
    </xf>
    <xf numFmtId="198" fontId="47" fillId="27" borderId="13" xfId="0" applyFont="true" applyBorder="true" applyAlignment="true" applyProtection="false">
      <alignment horizontal="right" vertical="center" textRotation="0" wrapText="true" indent="0" shrinkToFit="false"/>
      <protection locked="true" hidden="false"/>
    </xf>
    <xf numFmtId="190" fontId="47" fillId="27" borderId="13" xfId="0" applyFont="true" applyBorder="true" applyAlignment="true" applyProtection="false">
      <alignment horizontal="right" vertical="center" textRotation="0" wrapText="true" indent="0" shrinkToFit="false"/>
      <protection locked="true" hidden="false"/>
    </xf>
    <xf numFmtId="189" fontId="48" fillId="0" borderId="13" xfId="0" applyFont="true" applyBorder="true" applyAlignment="true" applyProtection="false">
      <alignment horizontal="general" vertical="top" textRotation="0" wrapText="true" indent="0" shrinkToFit="false"/>
      <protection locked="true" hidden="false"/>
    </xf>
    <xf numFmtId="189" fontId="48" fillId="27" borderId="13" xfId="0" applyFont="true" applyBorder="true" applyAlignment="true" applyProtection="false">
      <alignment horizontal="center" vertical="top" textRotation="0" wrapText="true" indent="0" shrinkToFit="false"/>
      <protection locked="true" hidden="false"/>
    </xf>
    <xf numFmtId="189" fontId="48" fillId="27" borderId="13" xfId="0" applyFont="true" applyBorder="true" applyAlignment="true" applyProtection="false">
      <alignment horizontal="left" vertical="center" textRotation="0" wrapText="true" indent="0" shrinkToFit="false"/>
      <protection locked="true" hidden="false"/>
    </xf>
    <xf numFmtId="164" fontId="48" fillId="0" borderId="13" xfId="0" applyFont="true" applyBorder="true" applyAlignment="true" applyProtection="false">
      <alignment horizontal="center" vertical="top" textRotation="0" wrapText="true" indent="0" shrinkToFit="false"/>
      <protection locked="true" hidden="false"/>
    </xf>
    <xf numFmtId="193" fontId="48" fillId="0" borderId="13" xfId="0" applyFont="true" applyBorder="true" applyAlignment="true" applyProtection="false">
      <alignment horizontal="right" vertical="center" textRotation="0" wrapText="true" indent="0" shrinkToFit="false"/>
      <protection locked="true" hidden="false"/>
    </xf>
    <xf numFmtId="190" fontId="48" fillId="0" borderId="13" xfId="0" applyFont="true" applyBorder="true" applyAlignment="true" applyProtection="false">
      <alignment horizontal="general" vertical="center" textRotation="0" wrapText="true" indent="0" shrinkToFit="false"/>
      <protection locked="true" hidden="false"/>
    </xf>
    <xf numFmtId="177" fontId="48" fillId="0" borderId="13" xfId="0" applyFont="true" applyBorder="true" applyAlignment="true" applyProtection="false">
      <alignment horizontal="left" vertical="center" textRotation="0" wrapText="true" indent="0" shrinkToFit="false"/>
      <protection locked="true" hidden="false"/>
    </xf>
    <xf numFmtId="190" fontId="47" fillId="0" borderId="13" xfId="0" applyFont="true" applyBorder="true" applyAlignment="true" applyProtection="false">
      <alignment horizontal="general" vertical="center" textRotation="0" wrapText="true" indent="0" shrinkToFit="false"/>
      <protection locked="true" hidden="false"/>
    </xf>
    <xf numFmtId="190" fontId="45" fillId="0" borderId="14" xfId="315" applyFont="true" applyBorder="true" applyAlignment="true" applyProtection="true">
      <alignment horizontal="general" vertical="center" textRotation="0" wrapText="true" indent="0" shrinkToFit="false"/>
      <protection locked="true" hidden="false"/>
    </xf>
    <xf numFmtId="193" fontId="46" fillId="26" borderId="13" xfId="0" applyFont="true" applyBorder="true" applyAlignment="true" applyProtection="false">
      <alignment horizontal="center" vertical="center" textRotation="0" wrapText="true" indent="0" shrinkToFit="false"/>
      <protection locked="true" hidden="false"/>
    </xf>
    <xf numFmtId="190" fontId="46" fillId="26" borderId="14" xfId="0" applyFont="true" applyBorder="true" applyAlignment="true" applyProtection="false">
      <alignment horizontal="general" vertical="center" textRotation="0" wrapText="true" indent="0" shrinkToFit="false"/>
      <protection locked="true" hidden="false"/>
    </xf>
    <xf numFmtId="164" fontId="48" fillId="0" borderId="13" xfId="181" applyFont="true" applyBorder="true" applyAlignment="true" applyProtection="false">
      <alignment horizontal="general" vertical="bottom" textRotation="0" wrapText="true" indent="0" shrinkToFit="false"/>
      <protection locked="true" hidden="false"/>
    </xf>
    <xf numFmtId="164" fontId="48" fillId="27" borderId="13" xfId="181" applyFont="true" applyBorder="true" applyAlignment="true" applyProtection="false">
      <alignment horizontal="center" vertical="center" textRotation="0" wrapText="false" indent="0" shrinkToFit="false"/>
      <protection locked="true" hidden="false"/>
    </xf>
    <xf numFmtId="164" fontId="48" fillId="27" borderId="13" xfId="181" applyFont="true" applyBorder="true" applyAlignment="true" applyProtection="false">
      <alignment horizontal="right" vertical="center" textRotation="0" wrapText="false" indent="0" shrinkToFit="false"/>
      <protection locked="true" hidden="false"/>
    </xf>
    <xf numFmtId="190" fontId="48" fillId="27" borderId="13" xfId="315" applyFont="true" applyBorder="true" applyAlignment="true" applyProtection="true">
      <alignment horizontal="right" vertical="center" textRotation="0" wrapText="false" indent="0" shrinkToFit="false"/>
      <protection locked="true" hidden="false"/>
    </xf>
    <xf numFmtId="164" fontId="48" fillId="0" borderId="13" xfId="181" applyFont="true" applyBorder="true" applyAlignment="true" applyProtection="false">
      <alignment horizontal="general" vertical="top" textRotation="0" wrapText="true" indent="0" shrinkToFit="false"/>
      <protection locked="true" hidden="false"/>
    </xf>
    <xf numFmtId="164" fontId="46" fillId="0" borderId="13" xfId="181" applyFont="true" applyBorder="true" applyAlignment="true" applyProtection="false">
      <alignment horizontal="general" vertical="top" textRotation="0" wrapText="true" indent="0" shrinkToFit="false"/>
      <protection locked="true" hidden="false"/>
    </xf>
    <xf numFmtId="164" fontId="46" fillId="27" borderId="13" xfId="181" applyFont="true" applyBorder="true" applyAlignment="true" applyProtection="false">
      <alignment horizontal="center" vertical="top" textRotation="0" wrapText="true" indent="0" shrinkToFit="false"/>
      <protection locked="true" hidden="false"/>
    </xf>
    <xf numFmtId="164" fontId="46" fillId="27" borderId="13" xfId="181" applyFont="true" applyBorder="true" applyAlignment="true" applyProtection="false">
      <alignment horizontal="right" vertical="center" textRotation="0" wrapText="true" indent="0" shrinkToFit="false"/>
      <protection locked="true" hidden="false"/>
    </xf>
    <xf numFmtId="190" fontId="46" fillId="27" borderId="13" xfId="181" applyFont="true" applyBorder="true" applyAlignment="true" applyProtection="false">
      <alignment horizontal="right" vertical="center" textRotation="0" wrapText="true" indent="0" shrinkToFit="false"/>
      <protection locked="true" hidden="false"/>
    </xf>
    <xf numFmtId="190" fontId="46" fillId="0" borderId="13" xfId="181" applyFont="true" applyBorder="true" applyAlignment="true" applyProtection="false">
      <alignment horizontal="right" vertical="center" textRotation="0" wrapText="true" indent="0" shrinkToFit="false"/>
      <protection locked="true" hidden="false"/>
    </xf>
    <xf numFmtId="199" fontId="46" fillId="0" borderId="13" xfId="279" applyFont="true" applyBorder="true" applyAlignment="true" applyProtection="false">
      <alignment horizontal="left" vertical="top" textRotation="0" wrapText="true" indent="0" shrinkToFit="false"/>
      <protection locked="true" hidden="false"/>
    </xf>
    <xf numFmtId="164" fontId="46" fillId="0" borderId="13" xfId="181" applyFont="true" applyBorder="true" applyAlignment="true" applyProtection="false">
      <alignment horizontal="left" vertical="top" textRotation="0" wrapText="true" indent="0" shrinkToFit="false"/>
      <protection locked="true" hidden="false"/>
    </xf>
    <xf numFmtId="164" fontId="43" fillId="0" borderId="13" xfId="181" applyFont="true" applyBorder="true" applyAlignment="false" applyProtection="false">
      <alignment horizontal="general" vertical="bottom" textRotation="0" wrapText="false" indent="0" shrinkToFit="false"/>
      <protection locked="true" hidden="false"/>
    </xf>
    <xf numFmtId="164" fontId="43" fillId="27" borderId="13" xfId="181" applyFont="true" applyBorder="true" applyAlignment="true" applyProtection="false">
      <alignment horizontal="center" vertical="bottom" textRotation="0" wrapText="false" indent="0" shrinkToFit="false"/>
      <protection locked="true" hidden="false"/>
    </xf>
    <xf numFmtId="164" fontId="43" fillId="27" borderId="13" xfId="181" applyFont="true" applyBorder="true" applyAlignment="true" applyProtection="false">
      <alignment horizontal="right" vertical="center" textRotation="0" wrapText="false" indent="0" shrinkToFit="false"/>
      <protection locked="true" hidden="false"/>
    </xf>
    <xf numFmtId="190" fontId="43" fillId="27" borderId="13" xfId="315" applyFont="true" applyBorder="true" applyAlignment="true" applyProtection="true">
      <alignment horizontal="right" vertical="center" textRotation="0" wrapText="false" indent="0" shrinkToFit="false"/>
      <protection locked="true" hidden="false"/>
    </xf>
    <xf numFmtId="190" fontId="45" fillId="27" borderId="14" xfId="315" applyFont="true" applyBorder="true" applyAlignment="true" applyProtection="true">
      <alignment horizontal="general" vertical="center" textRotation="0" wrapText="true" indent="0" shrinkToFit="false"/>
      <protection locked="true" hidden="false"/>
    </xf>
    <xf numFmtId="164" fontId="46" fillId="0" borderId="13" xfId="181" applyFont="true" applyBorder="true" applyAlignment="true" applyProtection="false">
      <alignment horizontal="general" vertical="bottom" textRotation="0" wrapText="true" indent="0" shrinkToFit="false"/>
      <protection locked="true" hidden="false"/>
    </xf>
    <xf numFmtId="164" fontId="43" fillId="0" borderId="13" xfId="181" applyFont="true" applyBorder="true" applyAlignment="true" applyProtection="false">
      <alignment horizontal="general" vertical="bottom" textRotation="0" wrapText="true" indent="0" shrinkToFit="false"/>
      <protection locked="true" hidden="false"/>
    </xf>
    <xf numFmtId="164" fontId="43" fillId="27" borderId="13" xfId="181" applyFont="true" applyBorder="true" applyAlignment="true" applyProtection="false">
      <alignment horizontal="general" vertical="center" textRotation="0" wrapText="false" indent="0" shrinkToFit="false"/>
      <protection locked="true" hidden="false"/>
    </xf>
    <xf numFmtId="190" fontId="42" fillId="27" borderId="14" xfId="181" applyFont="true" applyBorder="true" applyAlignment="true" applyProtection="false">
      <alignment horizontal="general" vertical="center" textRotation="0" wrapText="false" indent="0" shrinkToFit="false"/>
      <protection locked="true" hidden="false"/>
    </xf>
    <xf numFmtId="164" fontId="43" fillId="27" borderId="13" xfId="181" applyFont="true" applyBorder="true" applyAlignment="true" applyProtection="false">
      <alignment horizontal="center" vertical="bottom" textRotation="0" wrapText="true" indent="0" shrinkToFit="false"/>
      <protection locked="true" hidden="false"/>
    </xf>
    <xf numFmtId="164" fontId="42" fillId="27" borderId="13" xfId="181" applyFont="true" applyBorder="true" applyAlignment="true" applyProtection="false">
      <alignment horizontal="general" vertical="center" textRotation="0" wrapText="false" indent="0" shrinkToFit="false"/>
      <protection locked="true" hidden="false"/>
    </xf>
    <xf numFmtId="164" fontId="43" fillId="0" borderId="13" xfId="181" applyFont="true" applyBorder="true" applyAlignment="true" applyProtection="false">
      <alignment horizontal="general" vertical="center" textRotation="0" wrapText="false" indent="0" shrinkToFit="false"/>
      <protection locked="true" hidden="false"/>
    </xf>
    <xf numFmtId="164" fontId="43" fillId="27" borderId="13" xfId="181" applyFont="true" applyBorder="true" applyAlignment="true" applyProtection="false">
      <alignment horizontal="center" vertical="center" textRotation="0" wrapText="false" indent="0" shrinkToFit="false"/>
      <protection locked="true" hidden="false"/>
    </xf>
    <xf numFmtId="190" fontId="43" fillId="27" borderId="13" xfId="315" applyFont="true" applyBorder="true" applyAlignment="true" applyProtection="true">
      <alignment horizontal="center" vertical="center" textRotation="0" wrapText="false" indent="0" shrinkToFit="false"/>
      <protection locked="true" hidden="false"/>
    </xf>
    <xf numFmtId="190" fontId="42" fillId="0" borderId="14" xfId="181" applyFont="true" applyBorder="true" applyAlignment="true" applyProtection="false">
      <alignment horizontal="general" vertical="center" textRotation="0" wrapText="false" indent="0" shrinkToFit="false"/>
      <protection locked="true" hidden="false"/>
    </xf>
    <xf numFmtId="164" fontId="48" fillId="27" borderId="13" xfId="0" applyFont="true" applyBorder="true" applyAlignment="true" applyProtection="false">
      <alignment horizontal="right" vertical="center" textRotation="0" wrapText="false" indent="0" shrinkToFit="false"/>
      <protection locked="true" hidden="false"/>
    </xf>
    <xf numFmtId="190" fontId="48" fillId="27" borderId="13" xfId="15" applyFont="true" applyBorder="true" applyAlignment="true" applyProtection="true">
      <alignment horizontal="right" vertical="center" textRotation="0" wrapText="false" indent="0" shrinkToFit="false"/>
      <protection locked="true" hidden="false"/>
    </xf>
    <xf numFmtId="190" fontId="45" fillId="27" borderId="13" xfId="15" applyFont="true" applyBorder="true" applyAlignment="true" applyProtection="true">
      <alignment horizontal="general" vertical="center" textRotation="0" wrapText="true" indent="0" shrinkToFit="false"/>
      <protection locked="true" hidden="false"/>
    </xf>
    <xf numFmtId="164" fontId="45" fillId="27" borderId="13" xfId="268" applyFont="true" applyBorder="true" applyAlignment="true" applyProtection="false">
      <alignment horizontal="center" vertical="center" textRotation="0" wrapText="true" indent="0" shrinkToFit="false"/>
      <protection locked="true" hidden="false"/>
    </xf>
    <xf numFmtId="164" fontId="46" fillId="0" borderId="13" xfId="268" applyFont="true" applyBorder="true" applyAlignment="true" applyProtection="false">
      <alignment horizontal="left" vertical="top" textRotation="0" wrapText="true" indent="0" shrinkToFit="false"/>
      <protection locked="true" hidden="false"/>
    </xf>
    <xf numFmtId="164" fontId="46" fillId="27" borderId="13" xfId="268" applyFont="true" applyBorder="true" applyAlignment="true" applyProtection="false">
      <alignment horizontal="center" vertical="center" textRotation="0" wrapText="true" indent="0" shrinkToFit="false"/>
      <protection locked="true" hidden="false"/>
    </xf>
    <xf numFmtId="164" fontId="46" fillId="27" borderId="13" xfId="268" applyFont="true" applyBorder="true" applyAlignment="true" applyProtection="false">
      <alignment horizontal="right" vertical="center" textRotation="0" wrapText="true" indent="0" shrinkToFit="false"/>
      <protection locked="true" hidden="false"/>
    </xf>
    <xf numFmtId="190" fontId="46" fillId="27" borderId="13" xfId="15" applyFont="true" applyBorder="true" applyAlignment="true" applyProtection="true">
      <alignment horizontal="right" vertical="center" textRotation="0" wrapText="true" indent="0" shrinkToFit="false"/>
      <protection locked="true" hidden="false"/>
    </xf>
    <xf numFmtId="164" fontId="46" fillId="0" borderId="13" xfId="268" applyFont="true" applyBorder="true" applyAlignment="true" applyProtection="false">
      <alignment horizontal="left" vertical="center" textRotation="0" wrapText="true" indent="0" shrinkToFit="false"/>
      <protection locked="true" hidden="false"/>
    </xf>
    <xf numFmtId="190" fontId="46" fillId="27" borderId="13" xfId="15" applyFont="true" applyBorder="true" applyAlignment="true" applyProtection="true">
      <alignment horizontal="center" vertical="center" textRotation="0" wrapText="true" indent="0" shrinkToFit="false"/>
      <protection locked="true" hidden="false"/>
    </xf>
    <xf numFmtId="177" fontId="43" fillId="27" borderId="13" xfId="187" applyFont="true" applyBorder="true" applyAlignment="true" applyProtection="false">
      <alignment horizontal="left" vertical="center" textRotation="0" wrapText="true" indent="0" shrinkToFit="false"/>
      <protection locked="true" hidden="false"/>
    </xf>
    <xf numFmtId="190" fontId="42" fillId="0" borderId="13" xfId="0" applyFont="true" applyBorder="true" applyAlignment="true" applyProtection="false">
      <alignment horizontal="general" vertical="center" textRotation="0" wrapText="false" indent="0" shrinkToFit="false"/>
      <protection locked="true" hidden="false"/>
    </xf>
    <xf numFmtId="164" fontId="43" fillId="0" borderId="13" xfId="0" applyFont="true" applyBorder="true" applyAlignment="true" applyProtection="false">
      <alignment horizontal="general" vertical="bottom" textRotation="0" wrapText="true" indent="0" shrinkToFit="false"/>
      <protection locked="true" hidden="false"/>
    </xf>
    <xf numFmtId="164" fontId="43" fillId="27" borderId="13" xfId="0" applyFont="true" applyBorder="true" applyAlignment="true" applyProtection="false">
      <alignment horizontal="center" vertical="bottom" textRotation="0" wrapText="false" indent="0" shrinkToFit="false"/>
      <protection locked="true" hidden="false"/>
    </xf>
    <xf numFmtId="190" fontId="43" fillId="27" borderId="13" xfId="15" applyFont="true" applyBorder="true" applyAlignment="true" applyProtection="true">
      <alignment horizontal="right" vertical="center" textRotation="0" wrapText="false" indent="0" shrinkToFit="false"/>
      <protection locked="true" hidden="false"/>
    </xf>
    <xf numFmtId="177" fontId="45" fillId="25" borderId="0" xfId="0" applyFont="true" applyBorder="false" applyAlignment="true" applyProtection="false">
      <alignment horizontal="left" vertical="center" textRotation="0" wrapText="true" indent="0" shrinkToFit="false"/>
      <protection locked="true" hidden="false"/>
    </xf>
    <xf numFmtId="177" fontId="45" fillId="25" borderId="0" xfId="0" applyFont="true" applyBorder="false" applyAlignment="true" applyProtection="false">
      <alignment horizontal="general" vertical="center" textRotation="0" wrapText="true" indent="0" shrinkToFit="false"/>
      <protection locked="true" hidden="false"/>
    </xf>
    <xf numFmtId="164" fontId="43" fillId="27" borderId="13" xfId="0" applyFont="true" applyBorder="true" applyAlignment="true" applyProtection="false">
      <alignment horizontal="center" vertical="center" textRotation="0" wrapText="true" indent="0" shrinkToFit="false"/>
      <protection locked="true" hidden="false"/>
    </xf>
    <xf numFmtId="190" fontId="43" fillId="27" borderId="13" xfId="0" applyFont="true" applyBorder="true" applyAlignment="true" applyProtection="false">
      <alignment horizontal="center" vertical="center" textRotation="0" wrapText="true" indent="0" shrinkToFit="false"/>
      <protection locked="true" hidden="false"/>
    </xf>
    <xf numFmtId="190" fontId="43" fillId="27" borderId="13" xfId="0" applyFont="true" applyBorder="true" applyAlignment="true" applyProtection="false">
      <alignment horizontal="general" vertical="center" textRotation="0" wrapText="true" indent="0" shrinkToFit="false"/>
      <protection locked="true" hidden="false"/>
    </xf>
    <xf numFmtId="164" fontId="49" fillId="27" borderId="13" xfId="0" applyFont="true" applyBorder="true" applyAlignment="true" applyProtection="false">
      <alignment horizontal="center" vertical="center" textRotation="0" wrapText="true" indent="0" shrinkToFit="false"/>
      <protection locked="true" hidden="false"/>
    </xf>
    <xf numFmtId="201" fontId="43" fillId="27" borderId="13" xfId="0" applyFont="true" applyBorder="true" applyAlignment="true" applyProtection="false">
      <alignment horizontal="center" vertical="center" textRotation="0" wrapText="true" indent="0" shrinkToFit="false"/>
      <protection locked="true" hidden="false"/>
    </xf>
    <xf numFmtId="164" fontId="43" fillId="0" borderId="13" xfId="0" applyFont="true" applyBorder="true" applyAlignment="true" applyProtection="false">
      <alignment horizontal="general" vertical="center" textRotation="0" wrapText="true" indent="0" shrinkToFit="false"/>
      <protection locked="true" hidden="false"/>
    </xf>
    <xf numFmtId="164" fontId="45" fillId="27" borderId="20" xfId="0" applyFont="true" applyBorder="true" applyAlignment="true" applyProtection="false">
      <alignment horizontal="center" vertical="center" textRotation="0" wrapText="true" indent="0" shrinkToFit="false"/>
      <protection locked="true" hidden="false"/>
    </xf>
    <xf numFmtId="190" fontId="45" fillId="27" borderId="20" xfId="0" applyFont="true" applyBorder="true" applyAlignment="true" applyProtection="false">
      <alignment horizontal="center" vertical="center" textRotation="0" wrapText="true" indent="0" shrinkToFit="false"/>
      <protection locked="true" hidden="false"/>
    </xf>
    <xf numFmtId="190" fontId="45" fillId="27" borderId="20" xfId="0" applyFont="true" applyBorder="true" applyAlignment="true" applyProtection="false">
      <alignment horizontal="general" vertical="center" textRotation="0" wrapText="true" indent="0" shrinkToFit="false"/>
      <protection locked="true" hidden="false"/>
    </xf>
    <xf numFmtId="190" fontId="46" fillId="27" borderId="0" xfId="0" applyFont="true" applyBorder="false" applyAlignment="true" applyProtection="false">
      <alignment horizontal="center" vertical="center" textRotation="0" wrapText="true" indent="0" shrinkToFit="false"/>
      <protection locked="true" hidden="false"/>
    </xf>
    <xf numFmtId="190" fontId="46" fillId="27" borderId="13" xfId="269" applyFont="true" applyBorder="true" applyAlignment="true" applyProtection="false">
      <alignment horizontal="center" vertical="top" textRotation="0" wrapText="true" indent="0" shrinkToFit="false"/>
      <protection locked="true" hidden="false"/>
    </xf>
    <xf numFmtId="190" fontId="46" fillId="27" borderId="13" xfId="269" applyFont="true" applyBorder="true" applyAlignment="true" applyProtection="false">
      <alignment horizontal="general" vertical="top" textRotation="0" wrapText="true" indent="0" shrinkToFit="false"/>
      <protection locked="true" hidden="false"/>
    </xf>
    <xf numFmtId="164" fontId="48" fillId="27" borderId="13" xfId="0" applyFont="true" applyBorder="true" applyAlignment="true" applyProtection="false">
      <alignment horizontal="center" vertical="top" textRotation="0" wrapText="false" indent="0" shrinkToFit="false"/>
      <protection locked="true" hidden="false"/>
    </xf>
    <xf numFmtId="164" fontId="45" fillId="27" borderId="13" xfId="0" applyFont="true" applyBorder="true" applyAlignment="true" applyProtection="false">
      <alignment horizontal="left" vertical="top" textRotation="0" wrapText="true" indent="0" shrinkToFit="false"/>
      <protection locked="true" hidden="false"/>
    </xf>
    <xf numFmtId="190" fontId="45" fillId="27" borderId="13" xfId="269" applyFont="true" applyBorder="true" applyAlignment="true" applyProtection="false">
      <alignment horizontal="center" vertical="top" textRotation="0" wrapText="true" indent="0" shrinkToFit="false"/>
      <protection locked="true" hidden="false"/>
    </xf>
    <xf numFmtId="190" fontId="45" fillId="27" borderId="13" xfId="0" applyFont="true" applyBorder="true" applyAlignment="true" applyProtection="false">
      <alignment horizontal="general" vertical="top" textRotation="0" wrapText="true" indent="0" shrinkToFit="false"/>
      <protection locked="true" hidden="false"/>
    </xf>
    <xf numFmtId="190" fontId="46" fillId="27" borderId="13" xfId="278" applyFont="true" applyBorder="true" applyAlignment="true" applyProtection="false">
      <alignment horizontal="center" vertical="top" textRotation="0" wrapText="true" indent="0" shrinkToFit="false"/>
      <protection locked="true" hidden="false"/>
    </xf>
    <xf numFmtId="164" fontId="45" fillId="27" borderId="13" xfId="269" applyFont="true" applyBorder="true" applyAlignment="true" applyProtection="false">
      <alignment horizontal="left" vertical="top" textRotation="0" wrapText="true" indent="0" shrinkToFit="false"/>
      <protection locked="true" hidden="false"/>
    </xf>
    <xf numFmtId="164" fontId="45" fillId="27" borderId="13" xfId="269" applyFont="true" applyBorder="true" applyAlignment="true" applyProtection="false">
      <alignment horizontal="center" vertical="top" textRotation="0" wrapText="true" indent="0" shrinkToFit="false"/>
      <protection locked="true" hidden="false"/>
    </xf>
    <xf numFmtId="164" fontId="46" fillId="27" borderId="13" xfId="266" applyFont="true" applyBorder="true" applyAlignment="true" applyProtection="false">
      <alignment horizontal="center" vertical="top" textRotation="0" wrapText="true" indent="0" shrinkToFit="false"/>
      <protection locked="true" hidden="false"/>
    </xf>
    <xf numFmtId="164" fontId="45" fillId="27" borderId="13" xfId="0" applyFont="true" applyBorder="true" applyAlignment="true" applyProtection="false">
      <alignment horizontal="center" vertical="top" textRotation="0" wrapText="false" indent="0" shrinkToFit="false"/>
      <protection locked="true" hidden="false"/>
    </xf>
    <xf numFmtId="164" fontId="45" fillId="27" borderId="13" xfId="266" applyFont="true" applyBorder="true" applyAlignment="true" applyProtection="false">
      <alignment horizontal="left" vertical="top" textRotation="0" wrapText="true" indent="0" shrinkToFit="false"/>
      <protection locked="true" hidden="false"/>
    </xf>
    <xf numFmtId="164" fontId="47" fillId="27" borderId="13" xfId="0" applyFont="true" applyBorder="true" applyAlignment="true" applyProtection="false">
      <alignment horizontal="center" vertical="top" textRotation="0" wrapText="false" indent="0" shrinkToFit="false"/>
      <protection locked="true" hidden="false"/>
    </xf>
    <xf numFmtId="164" fontId="45" fillId="27" borderId="13" xfId="266" applyFont="true" applyBorder="true" applyAlignment="true" applyProtection="false">
      <alignment horizontal="center" vertical="top" textRotation="0" wrapText="true" indent="0" shrinkToFit="false"/>
      <protection locked="true" hidden="false"/>
    </xf>
    <xf numFmtId="164" fontId="46" fillId="27" borderId="14" xfId="0" applyFont="true" applyBorder="true" applyAlignment="true" applyProtection="false">
      <alignment horizontal="left" vertical="top" textRotation="0" wrapText="true" indent="0" shrinkToFit="false"/>
      <protection locked="true" hidden="false"/>
    </xf>
    <xf numFmtId="164" fontId="46" fillId="27" borderId="14" xfId="269" applyFont="true" applyBorder="true" applyAlignment="true" applyProtection="false">
      <alignment horizontal="left" vertical="top" textRotation="0" wrapText="true" indent="0" shrinkToFit="false"/>
      <protection locked="true" hidden="false"/>
    </xf>
    <xf numFmtId="164" fontId="47" fillId="27" borderId="13" xfId="0" applyFont="true" applyBorder="true" applyAlignment="true" applyProtection="false">
      <alignment horizontal="left" vertical="top" textRotation="0" wrapText="true" indent="0" shrinkToFit="false"/>
      <protection locked="true" hidden="false"/>
    </xf>
    <xf numFmtId="190" fontId="48" fillId="27" borderId="13" xfId="15" applyFont="true" applyBorder="true" applyAlignment="true" applyProtection="true">
      <alignment horizontal="center" vertical="top" textRotation="0" wrapText="true" indent="0" shrinkToFit="false"/>
      <protection locked="true" hidden="false"/>
    </xf>
    <xf numFmtId="164" fontId="46" fillId="27" borderId="19" xfId="269" applyFont="true" applyBorder="true" applyAlignment="true" applyProtection="false">
      <alignment horizontal="center" vertical="top" textRotation="0" wrapText="true" indent="0" shrinkToFit="false"/>
      <protection locked="true" hidden="false"/>
    </xf>
    <xf numFmtId="164" fontId="46" fillId="27" borderId="13" xfId="186" applyFont="true" applyBorder="true" applyAlignment="true" applyProtection="false">
      <alignment horizontal="left" vertical="center" textRotation="0" wrapText="true" indent="0" shrinkToFit="false"/>
      <protection locked="true" hidden="false"/>
    </xf>
    <xf numFmtId="164" fontId="46" fillId="27" borderId="21" xfId="269" applyFont="true" applyBorder="true" applyAlignment="true" applyProtection="false">
      <alignment horizontal="center" vertical="top" textRotation="0" wrapText="true" indent="0" shrinkToFit="false"/>
      <protection locked="true" hidden="false"/>
    </xf>
    <xf numFmtId="164" fontId="46" fillId="27" borderId="20" xfId="269" applyFont="true" applyBorder="true" applyAlignment="true" applyProtection="false">
      <alignment horizontal="general" vertical="top" textRotation="0" wrapText="true" indent="0" shrinkToFit="false"/>
      <protection locked="true" hidden="false"/>
    </xf>
    <xf numFmtId="164" fontId="48" fillId="0" borderId="13" xfId="0" applyFont="true" applyBorder="true" applyAlignment="true" applyProtection="false">
      <alignment horizontal="center" vertical="center" textRotation="0" wrapText="false" indent="0" shrinkToFit="false"/>
      <protection locked="true" hidden="false"/>
    </xf>
    <xf numFmtId="164" fontId="48" fillId="0" borderId="13" xfId="0" applyFont="true" applyBorder="true" applyAlignment="true" applyProtection="false">
      <alignment horizontal="left" vertical="center" textRotation="0" wrapText="true" indent="0" shrinkToFit="false"/>
      <protection locked="true" hidden="false"/>
    </xf>
    <xf numFmtId="164" fontId="45" fillId="0" borderId="13" xfId="266" applyFont="true" applyBorder="true" applyAlignment="true" applyProtection="false">
      <alignment horizontal="left" vertical="center" textRotation="0" wrapText="true" indent="0" shrinkToFit="false"/>
      <protection locked="true" hidden="false"/>
    </xf>
    <xf numFmtId="164" fontId="47" fillId="0" borderId="13" xfId="0" applyFont="true" applyBorder="true" applyAlignment="true" applyProtection="false">
      <alignment horizontal="center" vertical="center" textRotation="0" wrapText="false" indent="0" shrinkToFit="false"/>
      <protection locked="true" hidden="false"/>
    </xf>
    <xf numFmtId="164" fontId="45" fillId="0" borderId="13" xfId="266" applyFont="true" applyBorder="true" applyAlignment="true" applyProtection="false">
      <alignment horizontal="center" vertical="center" textRotation="0" wrapText="true" indent="0" shrinkToFit="false"/>
      <protection locked="true" hidden="false"/>
    </xf>
    <xf numFmtId="164" fontId="47" fillId="0" borderId="13" xfId="0" applyFont="true" applyBorder="true" applyAlignment="true" applyProtection="false">
      <alignment horizontal="left" vertical="center" textRotation="0" wrapText="true" indent="0" shrinkToFit="false"/>
      <protection locked="true" hidden="false"/>
    </xf>
    <xf numFmtId="164" fontId="47" fillId="0" borderId="13" xfId="0" applyFont="true" applyBorder="true" applyAlignment="true" applyProtection="false">
      <alignment horizontal="center" vertical="center" textRotation="0" wrapText="true" indent="0" shrinkToFit="false"/>
      <protection locked="true" hidden="false"/>
    </xf>
    <xf numFmtId="164" fontId="45" fillId="0" borderId="13" xfId="269" applyFont="true" applyBorder="true" applyAlignment="true" applyProtection="false">
      <alignment horizontal="left" vertical="center" textRotation="0" wrapText="true" indent="0" shrinkToFit="false"/>
      <protection locked="true" hidden="false"/>
    </xf>
    <xf numFmtId="164" fontId="46" fillId="27" borderId="18" xfId="269" applyFont="true" applyBorder="true" applyAlignment="true" applyProtection="false">
      <alignment horizontal="center" vertical="top" textRotation="0" wrapText="true" indent="0" shrinkToFit="false"/>
      <protection locked="true" hidden="false"/>
    </xf>
    <xf numFmtId="189" fontId="43" fillId="27" borderId="13" xfId="187" applyFont="true" applyBorder="true" applyAlignment="true" applyProtection="false">
      <alignment horizontal="general" vertical="top" textRotation="0" wrapText="true" indent="0" shrinkToFit="false"/>
      <protection locked="true" hidden="false"/>
    </xf>
    <xf numFmtId="164" fontId="43" fillId="27" borderId="0" xfId="0" applyFont="true" applyBorder="false" applyAlignment="true" applyProtection="false">
      <alignment horizontal="general" vertical="top" textRotation="0" wrapText="true" indent="0" shrinkToFit="false"/>
      <protection locked="true" hidden="false"/>
    </xf>
    <xf numFmtId="164" fontId="57" fillId="27" borderId="13" xfId="186" applyFont="true" applyBorder="true" applyAlignment="true" applyProtection="false">
      <alignment horizontal="left" vertical="top" textRotation="0" wrapText="true" indent="0" shrinkToFit="false"/>
      <protection locked="true" hidden="false"/>
    </xf>
    <xf numFmtId="189" fontId="46" fillId="27" borderId="13" xfId="268" applyFont="true" applyBorder="true" applyAlignment="true" applyProtection="false">
      <alignment horizontal="left" vertical="top" textRotation="0" wrapText="true" indent="0" shrinkToFit="false"/>
      <protection locked="true" hidden="false"/>
    </xf>
    <xf numFmtId="190" fontId="43" fillId="0" borderId="13" xfId="0" applyFont="true" applyBorder="true" applyAlignment="true" applyProtection="false">
      <alignment horizontal="right" vertical="center" textRotation="0" wrapText="true" indent="0" shrinkToFit="false"/>
      <protection locked="true" hidden="false"/>
    </xf>
    <xf numFmtId="164" fontId="46" fillId="0" borderId="13" xfId="228" applyFont="true" applyBorder="true" applyAlignment="true" applyProtection="false">
      <alignment horizontal="general" vertical="center" textRotation="0" wrapText="true" indent="0" shrinkToFit="false"/>
      <protection locked="true" hidden="false"/>
    </xf>
    <xf numFmtId="164" fontId="46" fillId="0" borderId="13" xfId="228" applyFont="true" applyBorder="true" applyAlignment="true" applyProtection="false">
      <alignment horizontal="center" vertical="center" textRotation="0" wrapText="true" indent="0" shrinkToFit="false"/>
      <protection locked="true" hidden="false"/>
    </xf>
    <xf numFmtId="190" fontId="46" fillId="0" borderId="13" xfId="228" applyFont="true" applyBorder="true" applyAlignment="true" applyProtection="false">
      <alignment horizontal="right" vertical="center" textRotation="0" wrapText="true" indent="0" shrinkToFit="false"/>
      <protection locked="true" hidden="false"/>
    </xf>
    <xf numFmtId="164" fontId="43" fillId="0" borderId="13" xfId="0" applyFont="true" applyBorder="true" applyAlignment="true" applyProtection="false">
      <alignment horizontal="general" vertical="center" textRotation="0" wrapText="false" indent="0" shrinkToFit="false"/>
      <protection locked="true" hidden="false"/>
    </xf>
    <xf numFmtId="164" fontId="43" fillId="0" borderId="13" xfId="0" applyFont="true" applyBorder="true" applyAlignment="true" applyProtection="false">
      <alignment horizontal="center" vertical="center" textRotation="0" wrapText="false" indent="0" shrinkToFit="false"/>
      <protection locked="true" hidden="false"/>
    </xf>
    <xf numFmtId="190" fontId="43" fillId="0" borderId="13" xfId="318" applyFont="true" applyBorder="true" applyAlignment="true" applyProtection="true">
      <alignment horizontal="center" vertical="center" textRotation="0" wrapText="false" indent="0" shrinkToFit="false"/>
      <protection locked="true" hidden="false"/>
    </xf>
    <xf numFmtId="164" fontId="46" fillId="0" borderId="13" xfId="0" applyFont="true" applyBorder="true" applyAlignment="true" applyProtection="false">
      <alignment horizontal="right" vertical="center" textRotation="0" wrapText="true" indent="0" shrinkToFit="false"/>
      <protection locked="true" hidden="false"/>
    </xf>
    <xf numFmtId="164" fontId="46" fillId="0" borderId="13" xfId="267" applyFont="true" applyBorder="true" applyAlignment="true" applyProtection="false">
      <alignment horizontal="center" vertical="center" textRotation="0" wrapText="true" indent="0" shrinkToFit="false"/>
      <protection locked="true" hidden="false"/>
    </xf>
    <xf numFmtId="164" fontId="62" fillId="27" borderId="13" xfId="0" applyFont="true" applyBorder="true" applyAlignment="true" applyProtection="false">
      <alignment horizontal="center" vertical="center" textRotation="0" wrapText="true" indent="0" shrinkToFit="false"/>
      <protection locked="true" hidden="false"/>
    </xf>
    <xf numFmtId="190" fontId="43" fillId="27" borderId="13" xfId="318" applyFont="true" applyBorder="true" applyAlignment="true" applyProtection="true">
      <alignment horizontal="center" vertical="center" textRotation="0" wrapText="false" indent="0" shrinkToFit="false"/>
      <protection locked="true" hidden="false"/>
    </xf>
    <xf numFmtId="164" fontId="46" fillId="27" borderId="13" xfId="228" applyFont="true" applyBorder="true" applyAlignment="true" applyProtection="false">
      <alignment horizontal="general" vertical="center" textRotation="0" wrapText="true" indent="0" shrinkToFit="false"/>
      <protection locked="true" hidden="false"/>
    </xf>
    <xf numFmtId="164" fontId="46" fillId="27" borderId="13" xfId="228" applyFont="true" applyBorder="true" applyAlignment="true" applyProtection="false">
      <alignment horizontal="center" vertical="center" textRotation="0" wrapText="true" indent="0" shrinkToFit="false"/>
      <protection locked="true" hidden="false"/>
    </xf>
    <xf numFmtId="190" fontId="46" fillId="27" borderId="13" xfId="228" applyFont="true" applyBorder="true" applyAlignment="true" applyProtection="false">
      <alignment horizontal="right" vertical="center" textRotation="0" wrapText="true" indent="0" shrinkToFit="false"/>
      <protection locked="true" hidden="false"/>
    </xf>
    <xf numFmtId="190" fontId="43" fillId="27" borderId="13" xfId="0" applyFont="true" applyBorder="true" applyAlignment="true" applyProtection="false">
      <alignment horizontal="right" vertical="center" textRotation="0" wrapText="true" indent="0" shrinkToFit="false"/>
      <protection locked="true" hidden="false"/>
    </xf>
    <xf numFmtId="164" fontId="62" fillId="0" borderId="13" xfId="0" applyFont="true" applyBorder="true" applyAlignment="true" applyProtection="false">
      <alignment horizontal="center" vertical="center" textRotation="0" wrapText="true" indent="0" shrinkToFit="false"/>
      <protection locked="true" hidden="false"/>
    </xf>
    <xf numFmtId="164" fontId="45" fillId="26" borderId="13" xfId="269" applyFont="true" applyBorder="true" applyAlignment="true" applyProtection="false">
      <alignment horizontal="left" vertical="center" textRotation="0" wrapText="true" indent="0" shrinkToFit="false"/>
      <protection locked="true" hidden="false"/>
    </xf>
    <xf numFmtId="190" fontId="46" fillId="27" borderId="13" xfId="228" applyFont="true" applyBorder="true" applyAlignment="true" applyProtection="false">
      <alignment horizontal="general" vertical="center" textRotation="0" wrapText="true" indent="0" shrinkToFit="false"/>
      <protection locked="true" hidden="false"/>
    </xf>
    <xf numFmtId="177" fontId="45" fillId="26" borderId="13" xfId="269" applyFont="true" applyBorder="true" applyAlignment="true" applyProtection="false">
      <alignment horizontal="general" vertical="center" textRotation="0" wrapText="true" indent="0" shrinkToFit="false"/>
      <protection locked="true" hidden="false"/>
    </xf>
    <xf numFmtId="177" fontId="45" fillId="0" borderId="13" xfId="269" applyFont="true" applyBorder="true" applyAlignment="true" applyProtection="false">
      <alignment horizontal="center" vertical="center" textRotation="0" wrapText="true" indent="0" shrinkToFit="false"/>
      <protection locked="true" hidden="false"/>
    </xf>
    <xf numFmtId="189" fontId="46" fillId="0" borderId="13" xfId="0" applyFont="true" applyBorder="true" applyAlignment="true" applyProtection="false">
      <alignment horizontal="general" vertical="center" textRotation="0" wrapText="true" indent="0" shrinkToFit="false"/>
      <protection locked="true" hidden="false"/>
    </xf>
    <xf numFmtId="177" fontId="45" fillId="0" borderId="13" xfId="269" applyFont="true" applyBorder="true" applyAlignment="true" applyProtection="false">
      <alignment horizontal="general" vertical="center" textRotation="0" wrapText="true" indent="0" shrinkToFit="false"/>
      <protection locked="true" hidden="false"/>
    </xf>
    <xf numFmtId="164" fontId="43" fillId="0" borderId="13" xfId="269" applyFont="true" applyBorder="true" applyAlignment="true" applyProtection="false">
      <alignment horizontal="general" vertical="center" textRotation="0" wrapText="true" indent="0" shrinkToFit="false"/>
      <protection locked="true" hidden="false"/>
    </xf>
    <xf numFmtId="164" fontId="43" fillId="0" borderId="13" xfId="269" applyFont="true" applyBorder="true" applyAlignment="true" applyProtection="false">
      <alignment horizontal="left" vertical="center" textRotation="0" wrapText="true" indent="0" shrinkToFit="false"/>
      <protection locked="true" hidden="false"/>
    </xf>
    <xf numFmtId="164" fontId="43" fillId="0" borderId="13" xfId="0" applyFont="true" applyBorder="true" applyAlignment="true" applyProtection="false">
      <alignment horizontal="center" vertical="center" textRotation="0" wrapText="true" indent="0" shrinkToFit="false"/>
      <protection locked="true" hidden="false"/>
    </xf>
    <xf numFmtId="164" fontId="67" fillId="0" borderId="13" xfId="0" applyFont="true" applyBorder="true" applyAlignment="true" applyProtection="false">
      <alignment horizontal="center" vertical="center" textRotation="0" wrapText="true" indent="0" shrinkToFit="false"/>
      <protection locked="true" hidden="false"/>
    </xf>
    <xf numFmtId="164" fontId="67" fillId="0" borderId="0" xfId="0" applyFont="true" applyBorder="false" applyAlignment="true" applyProtection="false">
      <alignment horizontal="center" vertical="center" textRotation="0" wrapText="true" indent="0" shrinkToFit="false"/>
      <protection locked="true" hidden="false"/>
    </xf>
    <xf numFmtId="190" fontId="42" fillId="27" borderId="13" xfId="0" applyFont="true" applyBorder="true" applyAlignment="true" applyProtection="false">
      <alignment horizontal="general" vertical="center" textRotation="0" wrapText="true" indent="0" shrinkToFit="false"/>
      <protection locked="true" hidden="false"/>
    </xf>
    <xf numFmtId="164" fontId="43" fillId="27" borderId="13" xfId="0" applyFont="true" applyBorder="true" applyAlignment="true" applyProtection="false">
      <alignment horizontal="right" vertical="center" textRotation="0" wrapText="true" indent="0" shrinkToFit="false"/>
      <protection locked="true" hidden="false"/>
    </xf>
    <xf numFmtId="190" fontId="0" fillId="0" borderId="0" xfId="0" applyFont="false" applyBorder="false" applyAlignment="true" applyProtection="false">
      <alignment horizontal="general" vertical="center" textRotation="0" wrapText="false" indent="0" shrinkToFit="false"/>
      <protection locked="true" hidden="false"/>
    </xf>
    <xf numFmtId="190" fontId="46" fillId="26" borderId="13" xfId="0" applyFont="true" applyBorder="true" applyAlignment="true" applyProtection="false">
      <alignment horizontal="right" vertical="center" textRotation="0" wrapText="true" indent="0" shrinkToFit="false"/>
      <protection locked="true" hidden="false"/>
    </xf>
    <xf numFmtId="192" fontId="46" fillId="0" borderId="13" xfId="15" applyFont="true" applyBorder="true" applyAlignment="true" applyProtection="true">
      <alignment horizontal="left" vertical="center" textRotation="0" wrapText="true" indent="0" shrinkToFit="false"/>
      <protection locked="true" hidden="false"/>
    </xf>
    <xf numFmtId="200" fontId="46" fillId="0" borderId="13" xfId="0" applyFont="true" applyBorder="true" applyAlignment="true" applyProtection="false">
      <alignment horizontal="general" vertical="center" textRotation="0" wrapText="true" indent="0" shrinkToFit="false"/>
      <protection locked="true" hidden="false"/>
    </xf>
    <xf numFmtId="198" fontId="45" fillId="0" borderId="13" xfId="0" applyFont="true" applyBorder="true" applyAlignment="true" applyProtection="false">
      <alignment horizontal="general" vertical="center" textRotation="0" wrapText="true" indent="0" shrinkToFit="false"/>
      <protection locked="true" hidden="false"/>
    </xf>
    <xf numFmtId="190" fontId="45" fillId="0" borderId="13" xfId="0" applyFont="true" applyBorder="true" applyAlignment="true" applyProtection="false">
      <alignment horizontal="right" vertical="center" textRotation="0" wrapText="true" indent="0" shrinkToFit="false"/>
      <protection locked="true" hidden="false"/>
    </xf>
    <xf numFmtId="177" fontId="46" fillId="0" borderId="13" xfId="269" applyFont="true" applyBorder="true" applyAlignment="true" applyProtection="false">
      <alignment horizontal="general" vertical="center" textRotation="0" wrapText="true" indent="0" shrinkToFit="false"/>
      <protection locked="true" hidden="false"/>
    </xf>
    <xf numFmtId="190" fontId="45" fillId="26" borderId="13" xfId="0" applyFont="true" applyBorder="true" applyAlignment="true" applyProtection="false">
      <alignment horizontal="right" vertical="center" textRotation="0" wrapText="true" indent="0" shrinkToFit="false"/>
      <protection locked="true" hidden="false"/>
    </xf>
    <xf numFmtId="164" fontId="62" fillId="27" borderId="13" xfId="0" applyFont="true" applyBorder="true" applyAlignment="true" applyProtection="false">
      <alignment horizontal="left" vertical="top" textRotation="0" wrapText="true" indent="0" shrinkToFit="false"/>
      <protection locked="true" hidden="false"/>
    </xf>
    <xf numFmtId="193" fontId="62" fillId="27" borderId="13" xfId="0" applyFont="true" applyBorder="true" applyAlignment="true" applyProtection="false">
      <alignment horizontal="general" vertical="top" textRotation="0" wrapText="true" indent="0" shrinkToFit="false"/>
      <protection locked="true" hidden="false"/>
    </xf>
    <xf numFmtId="193" fontId="63" fillId="27" borderId="13" xfId="0" applyFont="true" applyBorder="true" applyAlignment="true" applyProtection="false">
      <alignment horizontal="general" vertical="top" textRotation="0" wrapText="true" indent="0" shrinkToFit="false"/>
      <protection locked="true" hidden="false"/>
    </xf>
    <xf numFmtId="177" fontId="46" fillId="0" borderId="14" xfId="0" applyFont="true" applyBorder="true" applyAlignment="true" applyProtection="false">
      <alignment horizontal="center" vertical="center" textRotation="0" wrapText="true" indent="0" shrinkToFit="false"/>
      <protection locked="true" hidden="false"/>
    </xf>
    <xf numFmtId="164" fontId="62" fillId="27" borderId="13" xfId="0" applyFont="true" applyBorder="true" applyAlignment="true" applyProtection="false">
      <alignment horizontal="general" vertical="top" textRotation="0" wrapText="true" indent="0" shrinkToFit="false"/>
      <protection locked="true" hidden="false"/>
    </xf>
    <xf numFmtId="198" fontId="62" fillId="27" borderId="13" xfId="0" applyFont="true" applyBorder="true" applyAlignment="true" applyProtection="false">
      <alignment horizontal="general" vertical="top" textRotation="0" wrapText="true" indent="0" shrinkToFit="false"/>
      <protection locked="true" hidden="false"/>
    </xf>
    <xf numFmtId="194" fontId="62" fillId="27" borderId="13" xfId="0" applyFont="true" applyBorder="true" applyAlignment="true" applyProtection="false">
      <alignment horizontal="right" vertical="top" textRotation="0" wrapText="true" indent="0" shrinkToFit="false"/>
      <protection locked="true" hidden="false"/>
    </xf>
    <xf numFmtId="164" fontId="63" fillId="27" borderId="13" xfId="0" applyFont="true" applyBorder="true" applyAlignment="true" applyProtection="false">
      <alignment horizontal="center" vertical="top" textRotation="0" wrapText="true" indent="0" shrinkToFit="false"/>
      <protection locked="true" hidden="false"/>
    </xf>
    <xf numFmtId="177" fontId="63" fillId="27" borderId="13" xfId="0" applyFont="true" applyBorder="true" applyAlignment="true" applyProtection="false">
      <alignment horizontal="center" vertical="center" textRotation="0" wrapText="true" indent="0" shrinkToFit="false"/>
      <protection locked="true" hidden="false"/>
    </xf>
    <xf numFmtId="177" fontId="63" fillId="27" borderId="13" xfId="0" applyFont="true" applyBorder="true" applyAlignment="true" applyProtection="false">
      <alignment horizontal="left" vertical="top" textRotation="0" wrapText="true" indent="0" shrinkToFit="false"/>
      <protection locked="true" hidden="false"/>
    </xf>
    <xf numFmtId="197" fontId="62" fillId="27" borderId="13" xfId="0" applyFont="true" applyBorder="true" applyAlignment="true" applyProtection="false">
      <alignment horizontal="general" vertical="top" textRotation="0" wrapText="true" indent="0" shrinkToFit="false"/>
      <protection locked="true" hidden="false"/>
    </xf>
    <xf numFmtId="205" fontId="62" fillId="27" borderId="13" xfId="0" applyFont="true" applyBorder="true" applyAlignment="true" applyProtection="false">
      <alignment horizontal="general" vertical="top" textRotation="0" wrapText="true" indent="0" shrinkToFit="false"/>
      <protection locked="true" hidden="false"/>
    </xf>
    <xf numFmtId="164" fontId="63" fillId="27" borderId="13" xfId="0" applyFont="true" applyBorder="true" applyAlignment="true" applyProtection="false">
      <alignment horizontal="general" vertical="top" textRotation="0" wrapText="true" indent="0" shrinkToFit="false"/>
      <protection locked="true" hidden="false"/>
    </xf>
    <xf numFmtId="197" fontId="63" fillId="27" borderId="13" xfId="0" applyFont="true" applyBorder="true" applyAlignment="true" applyProtection="false">
      <alignment horizontal="general" vertical="top" textRotation="0" wrapText="true" indent="0" shrinkToFit="false"/>
      <protection locked="true" hidden="false"/>
    </xf>
    <xf numFmtId="194" fontId="63" fillId="27" borderId="13" xfId="0" applyFont="true" applyBorder="true" applyAlignment="true" applyProtection="false">
      <alignment horizontal="right" vertical="top" textRotation="0" wrapText="true" indent="0" shrinkToFit="false"/>
      <protection locked="true" hidden="false"/>
    </xf>
    <xf numFmtId="177" fontId="62" fillId="27" borderId="13" xfId="0" applyFont="true" applyBorder="true" applyAlignment="true" applyProtection="false">
      <alignment horizontal="center" vertical="center" textRotation="0" wrapText="true" indent="0" shrinkToFit="false"/>
      <protection locked="true" hidden="false"/>
    </xf>
    <xf numFmtId="177" fontId="62" fillId="27" borderId="13" xfId="0" applyFont="true" applyBorder="true" applyAlignment="true" applyProtection="false">
      <alignment horizontal="left" vertical="top" textRotation="0" wrapText="true" indent="0" shrinkToFit="false"/>
      <protection locked="true" hidden="false"/>
    </xf>
    <xf numFmtId="189" fontId="62" fillId="27" borderId="13" xfId="0" applyFont="true" applyBorder="true" applyAlignment="true" applyProtection="false">
      <alignment horizontal="right" vertical="top" textRotation="0" wrapText="true" indent="0" shrinkToFit="false"/>
      <protection locked="true" hidden="false"/>
    </xf>
    <xf numFmtId="164" fontId="63" fillId="27" borderId="13" xfId="267" applyFont="true" applyBorder="true" applyAlignment="true" applyProtection="false">
      <alignment horizontal="center" vertical="top" textRotation="0" wrapText="true" indent="0" shrinkToFit="false"/>
      <protection locked="true" hidden="false"/>
    </xf>
    <xf numFmtId="164" fontId="58" fillId="25" borderId="13" xfId="266" applyFont="true" applyBorder="true" applyAlignment="true" applyProtection="false">
      <alignment horizontal="general" vertical="top" textRotation="0" wrapText="true" indent="0" shrinkToFit="false"/>
      <protection locked="true" hidden="false"/>
    </xf>
    <xf numFmtId="164" fontId="58" fillId="25" borderId="13" xfId="266" applyFont="true" applyBorder="true" applyAlignment="true" applyProtection="false">
      <alignment horizontal="general" vertical="top" textRotation="0" wrapText="false" indent="0" shrinkToFit="false"/>
      <protection locked="true" hidden="false"/>
    </xf>
    <xf numFmtId="164" fontId="62" fillId="27" borderId="13" xfId="0" applyFont="true" applyBorder="true" applyAlignment="true" applyProtection="false">
      <alignment horizontal="right" vertical="top" textRotation="0" wrapText="true" indent="0" shrinkToFit="false"/>
      <protection locked="true" hidden="false"/>
    </xf>
    <xf numFmtId="177" fontId="57" fillId="27" borderId="13" xfId="187" applyFont="true" applyBorder="true" applyAlignment="true" applyProtection="false">
      <alignment horizontal="center" vertical="top" textRotation="0" wrapText="true" indent="0" shrinkToFit="false"/>
      <protection locked="true" hidden="false"/>
    </xf>
    <xf numFmtId="164" fontId="46" fillId="0" borderId="18" xfId="0" applyFont="true" applyBorder="true" applyAlignment="true" applyProtection="false">
      <alignment horizontal="center" vertical="center" textRotation="0" wrapText="true" indent="0" shrinkToFit="false"/>
      <protection locked="true" hidden="false"/>
    </xf>
    <xf numFmtId="190" fontId="45" fillId="0" borderId="18" xfId="0" applyFont="true" applyBorder="true" applyAlignment="true" applyProtection="false">
      <alignment horizontal="general" vertical="center" textRotation="0" wrapText="true" indent="0" shrinkToFit="false"/>
      <protection locked="true" hidden="false"/>
    </xf>
    <xf numFmtId="193" fontId="58" fillId="25" borderId="13" xfId="187" applyFont="true" applyBorder="true" applyAlignment="true" applyProtection="false">
      <alignment horizontal="general" vertical="top" textRotation="0" wrapText="true" indent="0" shrinkToFit="false"/>
      <protection locked="true" hidden="false"/>
    </xf>
    <xf numFmtId="177" fontId="63" fillId="27" borderId="13" xfId="0" applyFont="true" applyBorder="true" applyAlignment="true" applyProtection="false">
      <alignment horizontal="center" vertical="top" textRotation="0" wrapText="true" indent="0" shrinkToFit="false"/>
      <protection locked="true" hidden="false"/>
    </xf>
    <xf numFmtId="189" fontId="63" fillId="27" borderId="13" xfId="0" applyFont="true" applyBorder="true" applyAlignment="true" applyProtection="false">
      <alignment horizontal="left" vertical="top" textRotation="0" wrapText="true" indent="0" shrinkToFit="false"/>
      <protection locked="true" hidden="false"/>
    </xf>
    <xf numFmtId="177" fontId="62" fillId="27" borderId="13" xfId="0" applyFont="true" applyBorder="true" applyAlignment="true" applyProtection="false">
      <alignment horizontal="center" vertical="top" textRotation="0" wrapText="true" indent="0" shrinkToFit="false"/>
      <protection locked="true" hidden="false"/>
    </xf>
    <xf numFmtId="164" fontId="68" fillId="27" borderId="13" xfId="0" applyFont="true" applyBorder="true" applyAlignment="true" applyProtection="false">
      <alignment horizontal="center" vertical="top" textRotation="0" wrapText="true" indent="0" shrinkToFit="false"/>
      <protection locked="true" hidden="false"/>
    </xf>
    <xf numFmtId="164" fontId="42" fillId="25" borderId="13" xfId="187" applyFont="true" applyBorder="true" applyAlignment="true" applyProtection="false">
      <alignment horizontal="general" vertical="top" textRotation="0" wrapText="false" indent="0" shrinkToFit="false"/>
      <protection locked="true" hidden="false"/>
    </xf>
    <xf numFmtId="177" fontId="45" fillId="32" borderId="20" xfId="267" applyFont="true" applyBorder="true" applyAlignment="true" applyProtection="false">
      <alignment horizontal="center" vertical="center" textRotation="0" wrapText="true" indent="0" shrinkToFit="false"/>
      <protection locked="true" hidden="false"/>
    </xf>
    <xf numFmtId="193" fontId="45" fillId="32" borderId="13" xfId="267" applyFont="true" applyBorder="true" applyAlignment="true" applyProtection="false">
      <alignment horizontal="left" vertical="top" textRotation="0" wrapText="true" indent="0" shrinkToFit="false"/>
      <protection locked="true" hidden="false"/>
    </xf>
    <xf numFmtId="164" fontId="45" fillId="32" borderId="13" xfId="267" applyFont="true" applyBorder="true" applyAlignment="true" applyProtection="false">
      <alignment horizontal="center" vertical="center" textRotation="0" wrapText="true" indent="0" shrinkToFit="false"/>
      <protection locked="true" hidden="false"/>
    </xf>
    <xf numFmtId="189" fontId="45" fillId="32" borderId="13" xfId="267" applyFont="true" applyBorder="true" applyAlignment="true" applyProtection="false">
      <alignment horizontal="general" vertical="center" textRotation="0" wrapText="true" indent="0" shrinkToFit="false"/>
      <protection locked="true" hidden="false"/>
    </xf>
    <xf numFmtId="164" fontId="57" fillId="0" borderId="0" xfId="0" applyFont="true" applyBorder="false" applyAlignment="true" applyProtection="false">
      <alignment horizontal="center" vertical="center" textRotation="0" wrapText="true" indent="0" shrinkToFit="false"/>
      <protection locked="true" hidden="false"/>
    </xf>
    <xf numFmtId="164" fontId="57" fillId="0" borderId="0" xfId="267" applyFont="true" applyBorder="false" applyAlignment="true" applyProtection="false">
      <alignment horizontal="center" vertical="center" textRotation="0" wrapText="true" indent="0" shrinkToFit="false"/>
      <protection locked="true" hidden="false"/>
    </xf>
    <xf numFmtId="177" fontId="46" fillId="27" borderId="20" xfId="267" applyFont="true" applyBorder="true" applyAlignment="true" applyProtection="false">
      <alignment horizontal="center" vertical="center" textRotation="0" wrapText="true" indent="0" shrinkToFit="false"/>
      <protection locked="true" hidden="false"/>
    </xf>
    <xf numFmtId="193" fontId="45" fillId="27" borderId="13" xfId="0" applyFont="true" applyBorder="true" applyAlignment="true" applyProtection="false">
      <alignment horizontal="left" vertical="top" textRotation="0" wrapText="true" indent="0" shrinkToFit="false"/>
      <protection locked="true" hidden="false"/>
    </xf>
    <xf numFmtId="193" fontId="46" fillId="27" borderId="13" xfId="0" applyFont="true" applyBorder="true" applyAlignment="true" applyProtection="false">
      <alignment horizontal="left" vertical="top" textRotation="0" wrapText="true" indent="0" shrinkToFit="false"/>
      <protection locked="true" hidden="false"/>
    </xf>
    <xf numFmtId="193" fontId="46" fillId="27" borderId="13" xfId="0" applyFont="true" applyBorder="true" applyAlignment="true" applyProtection="false">
      <alignment horizontal="center" vertical="top" textRotation="0" wrapText="true" indent="0" shrinkToFit="false"/>
      <protection locked="true" hidden="false"/>
    </xf>
    <xf numFmtId="193" fontId="46" fillId="27" borderId="20" xfId="267" applyFont="true" applyBorder="true" applyAlignment="true" applyProtection="false">
      <alignment horizontal="left" vertical="top" textRotation="0" wrapText="true" indent="0" shrinkToFit="false"/>
      <protection locked="true" hidden="false"/>
    </xf>
    <xf numFmtId="193" fontId="45" fillId="32" borderId="20" xfId="267" applyFont="true" applyBorder="true" applyAlignment="true" applyProtection="false">
      <alignment horizontal="left" vertical="top" textRotation="0" wrapText="true" indent="0" shrinkToFit="false"/>
      <protection locked="true" hidden="false"/>
    </xf>
    <xf numFmtId="164" fontId="45" fillId="32" borderId="20" xfId="267" applyFont="true" applyBorder="true" applyAlignment="true" applyProtection="false">
      <alignment horizontal="center" vertical="center" textRotation="0" wrapText="true" indent="0" shrinkToFit="false"/>
      <protection locked="true" hidden="false"/>
    </xf>
    <xf numFmtId="189" fontId="45" fillId="32" borderId="20" xfId="267" applyFont="true" applyBorder="true" applyAlignment="true" applyProtection="false">
      <alignment horizontal="general" vertical="center" textRotation="0" wrapText="true" indent="0" shrinkToFit="false"/>
      <protection locked="true" hidden="false"/>
    </xf>
    <xf numFmtId="164" fontId="57" fillId="27" borderId="13" xfId="0" applyFont="true" applyBorder="true" applyAlignment="true" applyProtection="false">
      <alignment horizontal="general" vertical="center" textRotation="0" wrapText="true" indent="0" shrinkToFit="false"/>
      <protection locked="true" hidden="false"/>
    </xf>
    <xf numFmtId="189" fontId="69" fillId="27" borderId="13" xfId="267" applyFont="true" applyBorder="true" applyAlignment="true" applyProtection="false">
      <alignment horizontal="center" vertical="top" textRotation="0" wrapText="true" indent="0" shrinkToFit="false"/>
      <protection locked="true" hidden="false"/>
    </xf>
    <xf numFmtId="189" fontId="58" fillId="27" borderId="13" xfId="267" applyFont="true" applyBorder="true" applyAlignment="true" applyProtection="false">
      <alignment horizontal="general" vertical="center" textRotation="0" wrapText="true" indent="0" shrinkToFit="false"/>
      <protection locked="true" hidden="false"/>
    </xf>
    <xf numFmtId="164" fontId="46" fillId="27" borderId="20" xfId="267" applyFont="true" applyBorder="true" applyAlignment="true" applyProtection="false">
      <alignment horizontal="center" vertical="center" textRotation="0" wrapText="true" indent="0" shrinkToFit="false"/>
      <protection locked="true" hidden="false"/>
    </xf>
    <xf numFmtId="189" fontId="46" fillId="27" borderId="20" xfId="267" applyFont="true" applyBorder="true" applyAlignment="true" applyProtection="false">
      <alignment horizontal="general" vertical="center" textRotation="0" wrapText="true" indent="0" shrinkToFit="false"/>
      <protection locked="true" hidden="false"/>
    </xf>
    <xf numFmtId="164" fontId="57" fillId="0" borderId="13" xfId="267" applyFont="true" applyBorder="true" applyAlignment="true" applyProtection="false">
      <alignment horizontal="general" vertical="center" textRotation="0" wrapText="true" indent="0" shrinkToFit="false"/>
      <protection locked="true" hidden="false"/>
    </xf>
    <xf numFmtId="193" fontId="45" fillId="27" borderId="20" xfId="267" applyFont="true" applyBorder="true" applyAlignment="true" applyProtection="false">
      <alignment horizontal="left" vertical="top" textRotation="0" wrapText="true" indent="0" shrinkToFit="false"/>
      <protection locked="true" hidden="false"/>
    </xf>
    <xf numFmtId="164" fontId="57" fillId="0" borderId="13" xfId="0" applyFont="true" applyBorder="true" applyAlignment="true" applyProtection="false">
      <alignment horizontal="general" vertical="center" textRotation="0" wrapText="true" indent="0" shrinkToFit="false"/>
      <protection locked="true" hidden="false"/>
    </xf>
    <xf numFmtId="206" fontId="46" fillId="27" borderId="13" xfId="0" applyFont="true" applyBorder="true" applyAlignment="true" applyProtection="false">
      <alignment horizontal="general" vertical="center" textRotation="0" wrapText="true" indent="0" shrinkToFit="false"/>
      <protection locked="true" hidden="false"/>
    </xf>
    <xf numFmtId="205" fontId="46" fillId="27" borderId="13" xfId="0" applyFont="true" applyBorder="true" applyAlignment="true" applyProtection="false">
      <alignment horizontal="general" vertical="center" textRotation="0" wrapText="true" indent="0" shrinkToFit="false"/>
      <protection locked="true" hidden="false"/>
    </xf>
    <xf numFmtId="193" fontId="46" fillId="32" borderId="13" xfId="0" applyFont="true" applyBorder="true" applyAlignment="true" applyProtection="false">
      <alignment horizontal="left" vertical="top" textRotation="0" wrapText="true" indent="0" shrinkToFit="false"/>
      <protection locked="true" hidden="false"/>
    </xf>
    <xf numFmtId="193" fontId="46" fillId="32" borderId="13" xfId="0" applyFont="true" applyBorder="true" applyAlignment="true" applyProtection="false">
      <alignment horizontal="center" vertical="top" textRotation="0" wrapText="true" indent="0" shrinkToFit="false"/>
      <protection locked="true" hidden="false"/>
    </xf>
    <xf numFmtId="194" fontId="46" fillId="32" borderId="13" xfId="0" applyFont="true" applyBorder="true" applyAlignment="true" applyProtection="false">
      <alignment horizontal="general" vertical="center" textRotation="0" wrapText="true" indent="0" shrinkToFit="false"/>
      <protection locked="true" hidden="false"/>
    </xf>
    <xf numFmtId="189" fontId="46" fillId="32" borderId="13" xfId="0" applyFont="true" applyBorder="true" applyAlignment="true" applyProtection="false">
      <alignment horizontal="general" vertical="center" textRotation="0" wrapText="true" indent="0" shrinkToFit="false"/>
      <protection locked="true" hidden="false"/>
    </xf>
    <xf numFmtId="193" fontId="46" fillId="32" borderId="13" xfId="0" applyFont="true" applyBorder="true" applyAlignment="true" applyProtection="false">
      <alignment horizontal="general" vertical="center" textRotation="0" wrapText="true" indent="0" shrinkToFit="false"/>
      <protection locked="true" hidden="false"/>
    </xf>
    <xf numFmtId="177" fontId="45" fillId="27" borderId="20" xfId="267" applyFont="true" applyBorder="true" applyAlignment="true" applyProtection="false">
      <alignment horizontal="center" vertical="center" textRotation="0" wrapText="true" indent="0" shrinkToFit="false"/>
      <protection locked="true" hidden="false"/>
    </xf>
    <xf numFmtId="193" fontId="46" fillId="27" borderId="13" xfId="269" applyFont="true" applyBorder="true" applyAlignment="true" applyProtection="false">
      <alignment horizontal="left" vertical="top" textRotation="0" wrapText="true" indent="0" shrinkToFit="false"/>
      <protection locked="true" hidden="false"/>
    </xf>
    <xf numFmtId="177" fontId="45" fillId="27" borderId="13" xfId="267" applyFont="true" applyBorder="true" applyAlignment="true" applyProtection="false">
      <alignment horizontal="center" vertical="center" textRotation="0" wrapText="true" indent="0" shrinkToFit="false"/>
      <protection locked="true" hidden="false"/>
    </xf>
    <xf numFmtId="193" fontId="45" fillId="27" borderId="13" xfId="267" applyFont="true" applyBorder="true" applyAlignment="true" applyProtection="false">
      <alignment horizontal="left" vertical="top" textRotation="0" wrapText="true" indent="0" shrinkToFit="false"/>
      <protection locked="true" hidden="false"/>
    </xf>
    <xf numFmtId="189" fontId="58" fillId="27" borderId="13" xfId="0" applyFont="true" applyBorder="true" applyAlignment="true" applyProtection="false">
      <alignment horizontal="center" vertical="center" textRotation="0" wrapText="true" indent="0" shrinkToFit="false"/>
      <protection locked="true" hidden="false"/>
    </xf>
    <xf numFmtId="164" fontId="57" fillId="27" borderId="13" xfId="0" applyFont="true" applyBorder="true" applyAlignment="true" applyProtection="false">
      <alignment horizontal="general" vertical="top" textRotation="0" wrapText="true" indent="0" shrinkToFit="false"/>
      <protection locked="true" hidden="false"/>
    </xf>
    <xf numFmtId="164" fontId="58" fillId="27" borderId="13" xfId="0" applyFont="true" applyBorder="true" applyAlignment="true" applyProtection="false">
      <alignment horizontal="center" vertical="top" textRotation="0" wrapText="true" indent="0" shrinkToFit="false"/>
      <protection locked="true" hidden="false"/>
    </xf>
    <xf numFmtId="164" fontId="58" fillId="27" borderId="13" xfId="0" applyFont="true" applyBorder="true" applyAlignment="true" applyProtection="false">
      <alignment horizontal="general" vertical="center" textRotation="0" wrapText="true" indent="0" shrinkToFit="false"/>
      <protection locked="true" hidden="false"/>
    </xf>
    <xf numFmtId="164" fontId="57" fillId="0" borderId="0" xfId="0" applyFont="true" applyBorder="false" applyAlignment="true" applyProtection="false">
      <alignment horizontal="general" vertical="top" textRotation="0" wrapText="true" indent="0" shrinkToFit="false"/>
      <protection locked="true" hidden="false"/>
    </xf>
    <xf numFmtId="164" fontId="57" fillId="0" borderId="0" xfId="0" applyFont="true" applyBorder="false" applyAlignment="true" applyProtection="false">
      <alignment horizontal="center" vertical="top" textRotation="0" wrapText="true" indent="0" shrinkToFit="false"/>
      <protection locked="true" hidden="false"/>
    </xf>
    <xf numFmtId="164" fontId="42" fillId="27" borderId="13" xfId="187" applyFont="true" applyBorder="true" applyAlignment="true" applyProtection="false">
      <alignment horizontal="general" vertical="top" textRotation="0" wrapText="false" indent="0" shrinkToFit="false"/>
      <protection locked="true" hidden="false"/>
    </xf>
    <xf numFmtId="164" fontId="57" fillId="27" borderId="0" xfId="0" applyFont="true" applyBorder="false" applyAlignment="true" applyProtection="false">
      <alignment horizontal="general" vertical="top" textRotation="0" wrapText="true" indent="0" shrinkToFit="false"/>
      <protection locked="true" hidden="false"/>
    </xf>
    <xf numFmtId="164" fontId="57" fillId="0" borderId="13" xfId="0" applyFont="true" applyBorder="true" applyAlignment="true" applyProtection="false">
      <alignment horizontal="center" vertical="top" textRotation="0" wrapText="true" indent="0" shrinkToFit="false"/>
      <protection locked="true" hidden="false"/>
    </xf>
    <xf numFmtId="177" fontId="58" fillId="0" borderId="13" xfId="0" applyFont="true" applyBorder="true" applyAlignment="true" applyProtection="false">
      <alignment horizontal="left" vertical="top" textRotation="0" wrapText="true" indent="0" shrinkToFit="false"/>
      <protection locked="true" hidden="false"/>
    </xf>
    <xf numFmtId="164" fontId="58" fillId="27" borderId="13" xfId="0" applyFont="true" applyBorder="true" applyAlignment="true" applyProtection="false">
      <alignment horizontal="general" vertical="top" textRotation="0" wrapText="true" indent="0" shrinkToFit="false"/>
      <protection locked="true" hidden="false"/>
    </xf>
    <xf numFmtId="177" fontId="58" fillId="0" borderId="13" xfId="0" applyFont="true" applyBorder="true" applyAlignment="true" applyProtection="false">
      <alignment horizontal="general" vertical="top" textRotation="0" wrapText="true" indent="0" shrinkToFit="false"/>
      <protection locked="true" hidden="false"/>
    </xf>
    <xf numFmtId="194" fontId="58" fillId="27" borderId="13" xfId="0" applyFont="true" applyBorder="true" applyAlignment="true" applyProtection="false">
      <alignment horizontal="general" vertical="top" textRotation="0" wrapText="true" indent="0" shrinkToFit="false"/>
      <protection locked="true" hidden="false"/>
    </xf>
    <xf numFmtId="164" fontId="58" fillId="27" borderId="13" xfId="0" applyFont="true" applyBorder="true" applyAlignment="true" applyProtection="false">
      <alignment horizontal="right" vertical="top" textRotation="0" wrapText="true" indent="0" shrinkToFit="false"/>
      <protection locked="true" hidden="false"/>
    </xf>
    <xf numFmtId="177" fontId="43" fillId="0" borderId="13" xfId="187" applyFont="true" applyBorder="true" applyAlignment="true" applyProtection="false">
      <alignment horizontal="center" vertical="top" textRotation="0" wrapText="false" indent="0" shrinkToFit="false"/>
      <protection locked="true" hidden="false"/>
    </xf>
    <xf numFmtId="177" fontId="42" fillId="27" borderId="20" xfId="187" applyFont="true" applyBorder="true" applyAlignment="true" applyProtection="false">
      <alignment horizontal="center" vertical="top" textRotation="0" wrapText="false" indent="0" shrinkToFit="false"/>
      <protection locked="true" hidden="false"/>
    </xf>
    <xf numFmtId="164" fontId="42" fillId="27" borderId="20" xfId="187" applyFont="true" applyBorder="true" applyAlignment="true" applyProtection="false">
      <alignment horizontal="left" vertical="top" textRotation="0" wrapText="true" indent="0" shrinkToFit="false"/>
      <protection locked="true" hidden="false"/>
    </xf>
    <xf numFmtId="189" fontId="58" fillId="27" borderId="13" xfId="0" applyFont="true" applyBorder="true" applyAlignment="true" applyProtection="false">
      <alignment horizontal="right" vertical="center" textRotation="0" wrapText="true" indent="0" shrinkToFit="false"/>
      <protection locked="true" hidden="false"/>
    </xf>
    <xf numFmtId="177" fontId="62" fillId="27" borderId="20" xfId="0" applyFont="true" applyBorder="true" applyAlignment="true" applyProtection="false">
      <alignment horizontal="center" vertical="top" textRotation="0" wrapText="true" indent="0" shrinkToFit="false"/>
      <protection locked="true" hidden="false"/>
    </xf>
    <xf numFmtId="164" fontId="62" fillId="27" borderId="20" xfId="0" applyFont="true" applyBorder="true" applyAlignment="true" applyProtection="false">
      <alignment horizontal="center" vertical="top" textRotation="0" wrapText="true" indent="0" shrinkToFit="false"/>
      <protection locked="true" hidden="false"/>
    </xf>
    <xf numFmtId="177" fontId="45" fillId="25" borderId="13" xfId="0" applyFont="true" applyBorder="true" applyAlignment="true" applyProtection="false">
      <alignment horizontal="left" vertical="center" textRotation="0" wrapText="true" indent="0" shrinkToFit="false"/>
      <protection locked="true" hidden="false"/>
    </xf>
    <xf numFmtId="164" fontId="46" fillId="25" borderId="13" xfId="0" applyFont="true" applyBorder="true" applyAlignment="true" applyProtection="false">
      <alignment horizontal="general" vertical="center" textRotation="0" wrapText="true" indent="0" shrinkToFit="false"/>
      <protection locked="true" hidden="false"/>
    </xf>
    <xf numFmtId="164" fontId="46" fillId="25" borderId="13" xfId="0" applyFont="true" applyBorder="true" applyAlignment="true" applyProtection="false">
      <alignment horizontal="center" vertical="center" textRotation="0" wrapText="true" indent="0" shrinkToFit="false"/>
      <protection locked="true" hidden="false"/>
    </xf>
    <xf numFmtId="164" fontId="46" fillId="25" borderId="13" xfId="0" applyFont="true" applyBorder="true" applyAlignment="true" applyProtection="false">
      <alignment horizontal="right" vertical="center" textRotation="0" wrapText="true" indent="0" shrinkToFit="false"/>
      <protection locked="true" hidden="false"/>
    </xf>
    <xf numFmtId="193" fontId="46" fillId="25" borderId="13" xfId="0" applyFont="true" applyBorder="true" applyAlignment="true" applyProtection="false">
      <alignment horizontal="general" vertical="center" textRotation="0" wrapText="true" indent="0" shrinkToFit="false"/>
      <protection locked="true" hidden="false"/>
    </xf>
    <xf numFmtId="164" fontId="46" fillId="27" borderId="19" xfId="0" applyFont="true" applyBorder="true" applyAlignment="true" applyProtection="false">
      <alignment horizontal="center" vertical="center" textRotation="0" wrapText="true" indent="0" shrinkToFit="false"/>
      <protection locked="true" hidden="false"/>
    </xf>
    <xf numFmtId="164" fontId="46" fillId="27" borderId="21" xfId="0" applyFont="true" applyBorder="true" applyAlignment="true" applyProtection="false">
      <alignment horizontal="center" vertical="center" textRotation="0" wrapText="true" indent="0" shrinkToFit="false"/>
      <protection locked="true" hidden="false"/>
    </xf>
    <xf numFmtId="164" fontId="46" fillId="27" borderId="20" xfId="0" applyFont="true" applyBorder="true" applyAlignment="true" applyProtection="false">
      <alignment horizontal="center" vertical="center" textRotation="0" wrapText="true" indent="0" shrinkToFit="false"/>
      <protection locked="true" hidden="false"/>
    </xf>
    <xf numFmtId="164" fontId="46" fillId="27" borderId="21" xfId="0" applyFont="true" applyBorder="true" applyAlignment="true" applyProtection="false">
      <alignment horizontal="general" vertical="center" textRotation="0" wrapText="true" indent="0" shrinkToFit="false"/>
      <protection locked="true" hidden="false"/>
    </xf>
    <xf numFmtId="164" fontId="46" fillId="27" borderId="20" xfId="0" applyFont="true" applyBorder="true" applyAlignment="true" applyProtection="false">
      <alignment horizontal="general" vertical="center" textRotation="0" wrapText="true" indent="0" shrinkToFit="false"/>
      <protection locked="true" hidden="false"/>
    </xf>
    <xf numFmtId="193" fontId="45" fillId="25" borderId="13" xfId="0" applyFont="true" applyBorder="true" applyAlignment="true" applyProtection="false">
      <alignment horizontal="left" vertical="top" textRotation="0" wrapText="true" indent="0" shrinkToFit="false"/>
      <protection locked="true" hidden="false"/>
    </xf>
    <xf numFmtId="189" fontId="45" fillId="25" borderId="13" xfId="0" applyFont="true" applyBorder="true" applyAlignment="true" applyProtection="false">
      <alignment horizontal="general" vertical="top" textRotation="0" wrapText="true" indent="0" shrinkToFit="false"/>
      <protection locked="true" hidden="false"/>
    </xf>
    <xf numFmtId="164" fontId="57" fillId="27" borderId="0" xfId="0" applyFont="true" applyBorder="false" applyAlignment="true" applyProtection="false">
      <alignment horizontal="left" vertical="top" textRotation="0" wrapText="true" indent="0" shrinkToFit="false"/>
      <protection locked="true" hidden="false"/>
    </xf>
    <xf numFmtId="189" fontId="45" fillId="27" borderId="13" xfId="0" applyFont="true" applyBorder="true" applyAlignment="true" applyProtection="false">
      <alignment horizontal="general" vertical="top" textRotation="0" wrapText="true" indent="0" shrinkToFit="false"/>
      <protection locked="true" hidden="false"/>
    </xf>
    <xf numFmtId="193" fontId="46" fillId="25" borderId="13" xfId="0" applyFont="true" applyBorder="true" applyAlignment="true" applyProtection="false">
      <alignment horizontal="left" vertical="top" textRotation="0" wrapText="true" indent="0" shrinkToFit="false"/>
      <protection locked="true" hidden="false"/>
    </xf>
    <xf numFmtId="189" fontId="46" fillId="25" borderId="13" xfId="0" applyFont="true" applyBorder="true" applyAlignment="true" applyProtection="false">
      <alignment horizontal="general" vertical="top" textRotation="0" wrapText="true" indent="0" shrinkToFit="false"/>
      <protection locked="true" hidden="false"/>
    </xf>
    <xf numFmtId="164" fontId="46" fillId="27" borderId="0" xfId="0" applyFont="true" applyBorder="true" applyAlignment="true" applyProtection="false">
      <alignment horizontal="left" vertical="center" textRotation="0" wrapText="true" indent="0" shrinkToFit="false"/>
      <protection locked="true" hidden="false"/>
    </xf>
    <xf numFmtId="164" fontId="46" fillId="27" borderId="0" xfId="0" applyFont="true" applyBorder="false" applyAlignment="true" applyProtection="false">
      <alignment horizontal="right" vertical="center" textRotation="0" wrapText="false" indent="0" shrinkToFit="false"/>
      <protection locked="true" hidden="false"/>
    </xf>
    <xf numFmtId="193" fontId="46" fillId="27" borderId="0" xfId="0" applyFont="true" applyBorder="true" applyAlignment="true" applyProtection="false">
      <alignment horizontal="right" vertical="center" textRotation="0" wrapText="true" indent="0" shrinkToFit="false"/>
      <protection locked="true" hidden="false"/>
    </xf>
    <xf numFmtId="194" fontId="45" fillId="27" borderId="0" xfId="267" applyFont="true" applyBorder="true" applyAlignment="true" applyProtection="false">
      <alignment horizontal="center" vertical="center" textRotation="0" wrapText="true" indent="0" shrinkToFit="false"/>
      <protection locked="true" hidden="false"/>
    </xf>
    <xf numFmtId="189" fontId="45" fillId="27" borderId="0" xfId="267" applyFont="true" applyBorder="true" applyAlignment="true" applyProtection="false">
      <alignment horizontal="center" vertical="center" textRotation="0" wrapText="true" indent="0" shrinkToFit="false"/>
      <protection locked="true" hidden="false"/>
    </xf>
    <xf numFmtId="164" fontId="45" fillId="27" borderId="23" xfId="0" applyFont="true" applyBorder="true" applyAlignment="true" applyProtection="false">
      <alignment horizontal="center" vertical="center" textRotation="0" wrapText="true" indent="0" shrinkToFit="false"/>
      <protection locked="true" hidden="false"/>
    </xf>
    <xf numFmtId="164" fontId="45" fillId="27" borderId="23" xfId="0" applyFont="true" applyBorder="true" applyAlignment="true" applyProtection="false">
      <alignment horizontal="right" vertical="center" textRotation="0" wrapText="true" indent="0" shrinkToFit="false"/>
      <protection locked="true" hidden="false"/>
    </xf>
    <xf numFmtId="164" fontId="45" fillId="27" borderId="0" xfId="0" applyFont="true" applyBorder="true" applyAlignment="true" applyProtection="false">
      <alignment horizontal="right" vertical="center" textRotation="0" wrapText="true" indent="0" shrinkToFit="false"/>
      <protection locked="true" hidden="false"/>
    </xf>
    <xf numFmtId="164" fontId="46" fillId="27" borderId="0" xfId="0" applyFont="true" applyBorder="false" applyAlignment="true" applyProtection="false">
      <alignment horizontal="right" vertical="center" textRotation="0" wrapText="true" indent="0" shrinkToFit="false"/>
      <protection locked="true" hidden="false"/>
    </xf>
    <xf numFmtId="164" fontId="45" fillId="27" borderId="13" xfId="203" applyFont="true" applyBorder="true" applyAlignment="true" applyProtection="false">
      <alignment horizontal="right" vertical="center" textRotation="0" wrapText="true" indent="0" shrinkToFit="false"/>
      <protection locked="true" hidden="false"/>
    </xf>
    <xf numFmtId="194" fontId="45" fillId="27" borderId="13" xfId="0" applyFont="true" applyBorder="true" applyAlignment="true" applyProtection="false">
      <alignment horizontal="right" vertical="center" textRotation="0" wrapText="true" indent="0" shrinkToFit="false"/>
      <protection locked="true" hidden="false"/>
    </xf>
    <xf numFmtId="164" fontId="47" fillId="27" borderId="13" xfId="0" applyFont="true" applyBorder="true" applyAlignment="true" applyProtection="false">
      <alignment horizontal="right" vertical="center" textRotation="0" wrapText="true" indent="0" shrinkToFit="false"/>
      <protection locked="true" hidden="false"/>
    </xf>
    <xf numFmtId="164" fontId="45" fillId="27" borderId="14" xfId="203" applyFont="true" applyBorder="true" applyAlignment="true" applyProtection="false">
      <alignment horizontal="right" vertical="center" textRotation="0" wrapText="true" indent="0" shrinkToFit="false"/>
      <protection locked="true" hidden="false"/>
    </xf>
    <xf numFmtId="164" fontId="45" fillId="27" borderId="13" xfId="203" applyFont="true" applyBorder="true" applyAlignment="true" applyProtection="false">
      <alignment horizontal="right" vertical="center" textRotation="0" wrapText="true" indent="0" shrinkToFit="true"/>
      <protection locked="true" hidden="false"/>
    </xf>
    <xf numFmtId="189" fontId="46" fillId="27" borderId="0" xfId="267" applyFont="true" applyBorder="true" applyAlignment="true" applyProtection="false">
      <alignment horizontal="center" vertical="center" textRotation="0" wrapText="true" indent="0" shrinkToFit="false"/>
      <protection locked="true" hidden="false"/>
    </xf>
    <xf numFmtId="189" fontId="46" fillId="27" borderId="0" xfId="267" applyFont="true" applyBorder="false" applyAlignment="true" applyProtection="false">
      <alignment horizontal="center" vertical="center" textRotation="0" wrapText="true" indent="0" shrinkToFit="false"/>
      <protection locked="true" hidden="false"/>
    </xf>
    <xf numFmtId="189" fontId="45" fillId="27" borderId="13" xfId="267" applyFont="true" applyBorder="true" applyAlignment="true" applyProtection="false">
      <alignment horizontal="center" vertical="center" textRotation="0" wrapText="true" indent="0" shrinkToFit="false"/>
      <protection locked="true" hidden="false"/>
    </xf>
    <xf numFmtId="164" fontId="45" fillId="27" borderId="13" xfId="269" applyFont="true" applyBorder="true" applyAlignment="true" applyProtection="false">
      <alignment horizontal="right" vertical="center" textRotation="0" wrapText="true" indent="0" shrinkToFit="false"/>
      <protection locked="true" hidden="false"/>
    </xf>
    <xf numFmtId="190" fontId="45" fillId="27" borderId="13" xfId="269" applyFont="true" applyBorder="true" applyAlignment="true" applyProtection="false">
      <alignment horizontal="right" vertical="center" textRotation="0" wrapText="true" indent="0" shrinkToFit="false"/>
      <protection locked="true" hidden="false"/>
    </xf>
    <xf numFmtId="190" fontId="45" fillId="27" borderId="13" xfId="267" applyFont="true" applyBorder="true" applyAlignment="true" applyProtection="false">
      <alignment horizontal="right" vertical="center" textRotation="0" wrapText="true" indent="0" shrinkToFit="false"/>
      <protection locked="true" hidden="false"/>
    </xf>
    <xf numFmtId="189" fontId="45" fillId="25" borderId="13" xfId="267" applyFont="true" applyBorder="true" applyAlignment="true" applyProtection="false">
      <alignment horizontal="general" vertical="center" textRotation="0" wrapText="true" indent="0" shrinkToFit="false"/>
      <protection locked="true" hidden="false"/>
    </xf>
    <xf numFmtId="189" fontId="45" fillId="25" borderId="13" xfId="267" applyFont="true" applyBorder="true" applyAlignment="true" applyProtection="false">
      <alignment horizontal="right" vertical="center" textRotation="0" wrapText="true" indent="0" shrinkToFit="false"/>
      <protection locked="true" hidden="false"/>
    </xf>
    <xf numFmtId="190" fontId="45" fillId="25" borderId="13" xfId="267" applyFont="true" applyBorder="true" applyAlignment="true" applyProtection="false">
      <alignment horizontal="right" vertical="center" textRotation="0" wrapText="true" indent="0" shrinkToFit="false"/>
      <protection locked="true" hidden="false"/>
    </xf>
    <xf numFmtId="189" fontId="45" fillId="26" borderId="14" xfId="0" applyFont="true" applyBorder="true" applyAlignment="true" applyProtection="false">
      <alignment horizontal="left" vertical="center" textRotation="0" wrapText="true" indent="0" shrinkToFit="false"/>
      <protection locked="true" hidden="false"/>
    </xf>
    <xf numFmtId="189" fontId="45" fillId="26" borderId="13" xfId="0" applyFont="true" applyBorder="true" applyAlignment="true" applyProtection="false">
      <alignment horizontal="right" vertical="center" textRotation="0" wrapText="true" indent="0" shrinkToFit="false"/>
      <protection locked="true" hidden="false"/>
    </xf>
    <xf numFmtId="189" fontId="45" fillId="26" borderId="15" xfId="0" applyFont="true" applyBorder="true" applyAlignment="true" applyProtection="false">
      <alignment horizontal="right" vertical="center" textRotation="0" wrapText="true" indent="0" shrinkToFit="false"/>
      <protection locked="true" hidden="false"/>
    </xf>
    <xf numFmtId="164" fontId="46" fillId="26" borderId="13" xfId="0" applyFont="true" applyBorder="true" applyAlignment="true" applyProtection="false">
      <alignment horizontal="right" vertical="center" textRotation="0" wrapText="true" indent="0" shrinkToFit="false"/>
      <protection locked="true" hidden="false"/>
    </xf>
    <xf numFmtId="200" fontId="46" fillId="26" borderId="13" xfId="0" applyFont="true" applyBorder="true" applyAlignment="true" applyProtection="false">
      <alignment horizontal="right" vertical="center" textRotation="0" wrapText="true" indent="0" shrinkToFit="false"/>
      <protection locked="true" hidden="false"/>
    </xf>
    <xf numFmtId="193" fontId="45" fillId="26" borderId="13" xfId="0" applyFont="true" applyBorder="true" applyAlignment="true" applyProtection="false">
      <alignment horizontal="right" vertical="center" textRotation="0" wrapText="true" indent="0" shrinkToFit="false"/>
      <protection locked="true" hidden="false"/>
    </xf>
    <xf numFmtId="193" fontId="46" fillId="27" borderId="0" xfId="267" applyFont="true" applyBorder="true" applyAlignment="true" applyProtection="false">
      <alignment horizontal="center" vertical="center" textRotation="0" wrapText="true" indent="0" shrinkToFit="false"/>
      <protection locked="true" hidden="false"/>
    </xf>
    <xf numFmtId="164" fontId="49" fillId="27" borderId="13" xfId="0" applyFont="true" applyBorder="true" applyAlignment="true" applyProtection="false">
      <alignment horizontal="right" vertical="center" textRotation="0" wrapText="true" indent="0" shrinkToFit="false"/>
      <protection locked="true" hidden="false"/>
    </xf>
    <xf numFmtId="164" fontId="45" fillId="26" borderId="13" xfId="0" applyFont="true" applyBorder="true" applyAlignment="true" applyProtection="false">
      <alignment horizontal="right" vertical="center" textRotation="0" wrapText="true" indent="0" shrinkToFit="false"/>
      <protection locked="true" hidden="false"/>
    </xf>
    <xf numFmtId="200" fontId="45" fillId="26" borderId="13" xfId="0" applyFont="true" applyBorder="true" applyAlignment="true" applyProtection="false">
      <alignment horizontal="right" vertical="center" textRotation="0" wrapText="true" indent="0" shrinkToFit="false"/>
      <protection locked="true" hidden="false"/>
    </xf>
    <xf numFmtId="189" fontId="46" fillId="26" borderId="13" xfId="0" applyFont="true" applyBorder="true" applyAlignment="true" applyProtection="false">
      <alignment horizontal="right" vertical="center" textRotation="0" wrapText="true" indent="0" shrinkToFit="false"/>
      <protection locked="true" hidden="false"/>
    </xf>
    <xf numFmtId="164" fontId="47" fillId="26" borderId="13" xfId="187" applyFont="true" applyBorder="true" applyAlignment="true" applyProtection="false">
      <alignment horizontal="general" vertical="center" textRotation="0" wrapText="true" indent="0" shrinkToFit="false"/>
      <protection locked="true" hidden="false"/>
    </xf>
    <xf numFmtId="164" fontId="46" fillId="0" borderId="0" xfId="0" applyFont="true" applyBorder="true" applyAlignment="true" applyProtection="false">
      <alignment horizontal="center" vertical="center" textRotation="0" wrapText="true" indent="0" shrinkToFit="false"/>
      <protection locked="true" hidden="false"/>
    </xf>
    <xf numFmtId="164" fontId="46" fillId="28" borderId="13" xfId="0" applyFont="true" applyBorder="true" applyAlignment="true" applyProtection="false">
      <alignment horizontal="right" vertical="center" textRotation="0" wrapText="true" indent="0" shrinkToFit="false"/>
      <protection locked="true" hidden="false"/>
    </xf>
    <xf numFmtId="193" fontId="46" fillId="26" borderId="13" xfId="0" applyFont="true" applyBorder="true" applyAlignment="true" applyProtection="false">
      <alignment horizontal="right" vertical="center" textRotation="0" wrapText="true" indent="0" shrinkToFit="false"/>
      <protection locked="true" hidden="false"/>
    </xf>
    <xf numFmtId="164" fontId="43" fillId="0" borderId="13" xfId="187" applyFont="true" applyBorder="true" applyAlignment="true" applyProtection="false">
      <alignment horizontal="left" vertical="center" textRotation="0" wrapText="false" indent="0" shrinkToFit="false"/>
      <protection locked="true" hidden="false"/>
    </xf>
    <xf numFmtId="164" fontId="45" fillId="25" borderId="13" xfId="0" applyFont="true" applyBorder="true" applyAlignment="true" applyProtection="false">
      <alignment horizontal="right" vertical="center" textRotation="0" wrapText="true" indent="0" shrinkToFit="false"/>
      <protection locked="true" hidden="false"/>
    </xf>
    <xf numFmtId="200" fontId="45" fillId="25" borderId="13" xfId="0" applyFont="true" applyBorder="true" applyAlignment="true" applyProtection="false">
      <alignment horizontal="right" vertical="center" textRotation="0" wrapText="true" indent="0" shrinkToFit="false"/>
      <protection locked="true" hidden="false"/>
    </xf>
    <xf numFmtId="193" fontId="45" fillId="25" borderId="13" xfId="0" applyFont="true" applyBorder="true" applyAlignment="true" applyProtection="false">
      <alignment horizontal="right" vertical="center" textRotation="0" wrapText="true" indent="0" shrinkToFit="false"/>
      <protection locked="true" hidden="false"/>
    </xf>
    <xf numFmtId="189" fontId="45" fillId="25" borderId="13" xfId="0" applyFont="true" applyBorder="true" applyAlignment="true" applyProtection="false">
      <alignment horizontal="right" vertical="center" textRotation="0" wrapText="true" indent="0" shrinkToFit="false"/>
      <protection locked="true" hidden="false"/>
    </xf>
    <xf numFmtId="189" fontId="45" fillId="25" borderId="13" xfId="0" applyFont="true" applyBorder="true" applyAlignment="true" applyProtection="false">
      <alignment horizontal="left" vertical="center" textRotation="0" wrapText="true" indent="0" shrinkToFit="false"/>
      <protection locked="true" hidden="false"/>
    </xf>
    <xf numFmtId="189" fontId="46" fillId="28" borderId="13" xfId="0" applyFont="true" applyBorder="true" applyAlignment="true" applyProtection="false">
      <alignment horizontal="left" vertical="center" textRotation="0" wrapText="true" indent="0" shrinkToFit="false"/>
      <protection locked="true" hidden="false"/>
    </xf>
    <xf numFmtId="200" fontId="46" fillId="28" borderId="13" xfId="0" applyFont="true" applyBorder="true" applyAlignment="true" applyProtection="false">
      <alignment horizontal="right" vertical="center" textRotation="0" wrapText="true" indent="0" shrinkToFit="false"/>
      <protection locked="true" hidden="false"/>
    </xf>
    <xf numFmtId="193" fontId="46" fillId="28" borderId="13" xfId="0" applyFont="true" applyBorder="true" applyAlignment="true" applyProtection="false">
      <alignment horizontal="right" vertical="center" textRotation="0" wrapText="true" indent="0" shrinkToFit="false"/>
      <protection locked="true" hidden="false"/>
    </xf>
    <xf numFmtId="189" fontId="46" fillId="28" borderId="13" xfId="0" applyFont="true" applyBorder="true" applyAlignment="true" applyProtection="false">
      <alignment horizontal="right" vertical="center" textRotation="0" wrapText="true" indent="0" shrinkToFit="false"/>
      <protection locked="true" hidden="false"/>
    </xf>
    <xf numFmtId="164" fontId="46" fillId="28" borderId="0" xfId="0" applyFont="true" applyBorder="true" applyAlignment="true" applyProtection="false">
      <alignment horizontal="center" vertical="center" textRotation="0" wrapText="true" indent="0" shrinkToFit="false"/>
      <protection locked="true" hidden="false"/>
    </xf>
    <xf numFmtId="164" fontId="46" fillId="28" borderId="0" xfId="0" applyFont="true" applyBorder="false" applyAlignment="true" applyProtection="false">
      <alignment horizontal="center" vertical="center" textRotation="0" wrapText="true" indent="0" shrinkToFit="false"/>
      <protection locked="true" hidden="false"/>
    </xf>
    <xf numFmtId="200" fontId="46" fillId="27" borderId="13" xfId="0" applyFont="true" applyBorder="true" applyAlignment="true" applyProtection="false">
      <alignment horizontal="right" vertical="top" textRotation="0" wrapText="true" indent="0" shrinkToFit="false"/>
      <protection locked="true" hidden="false"/>
    </xf>
    <xf numFmtId="193" fontId="46" fillId="27" borderId="13" xfId="0" applyFont="true" applyBorder="true" applyAlignment="true" applyProtection="false">
      <alignment horizontal="right" vertical="top" textRotation="0" wrapText="true" indent="0" shrinkToFit="false"/>
      <protection locked="true" hidden="false"/>
    </xf>
    <xf numFmtId="164" fontId="46" fillId="27" borderId="0" xfId="0" applyFont="true" applyBorder="true" applyAlignment="true" applyProtection="false">
      <alignment horizontal="center" vertical="top" textRotation="0" wrapText="true" indent="0" shrinkToFit="false"/>
      <protection locked="true" hidden="false"/>
    </xf>
    <xf numFmtId="177" fontId="46" fillId="26" borderId="13" xfId="0" applyFont="true" applyBorder="true" applyAlignment="true" applyProtection="false">
      <alignment horizontal="left" vertical="center" textRotation="0" wrapText="true" indent="0" shrinkToFit="false"/>
      <protection locked="true" hidden="false"/>
    </xf>
    <xf numFmtId="200" fontId="46" fillId="0" borderId="13" xfId="0" applyFont="true" applyBorder="true" applyAlignment="true" applyProtection="false">
      <alignment horizontal="right" vertical="center" textRotation="0" wrapText="true" indent="0" shrinkToFit="false"/>
      <protection locked="true" hidden="false"/>
    </xf>
    <xf numFmtId="189" fontId="46" fillId="0" borderId="13" xfId="0" applyFont="true" applyBorder="true" applyAlignment="true" applyProtection="false">
      <alignment horizontal="right" vertical="center" textRotation="0" wrapText="true" indent="0" shrinkToFit="false"/>
      <protection locked="true" hidden="false"/>
    </xf>
    <xf numFmtId="189" fontId="46" fillId="0" borderId="13" xfId="187" applyFont="true" applyBorder="true" applyAlignment="true" applyProtection="false">
      <alignment horizontal="general" vertical="center" textRotation="0" wrapText="true" indent="0" shrinkToFit="false"/>
      <protection locked="true" hidden="false"/>
    </xf>
    <xf numFmtId="164" fontId="46" fillId="27" borderId="13" xfId="0" applyFont="true" applyBorder="true" applyAlignment="true" applyProtection="false">
      <alignment horizontal="right" vertical="center" textRotation="0" wrapText="false" indent="0" shrinkToFit="false"/>
      <protection locked="true" hidden="false"/>
    </xf>
    <xf numFmtId="164" fontId="48" fillId="27" borderId="14" xfId="0" applyFont="true" applyBorder="true" applyAlignment="true" applyProtection="false">
      <alignment horizontal="left" vertical="center" textRotation="0" wrapText="true" indent="0" shrinkToFit="false"/>
      <protection locked="true" hidden="false"/>
    </xf>
    <xf numFmtId="164" fontId="42" fillId="25" borderId="13" xfId="187" applyFont="true" applyBorder="true" applyAlignment="true" applyProtection="false">
      <alignment horizontal="right" vertical="center" textRotation="0" wrapText="true" indent="0" shrinkToFit="false"/>
      <protection locked="true" hidden="false"/>
    </xf>
    <xf numFmtId="189" fontId="42" fillId="25" borderId="13" xfId="187" applyFont="true" applyBorder="true" applyAlignment="true" applyProtection="false">
      <alignment horizontal="right" vertical="center" textRotation="0" wrapText="true" indent="0" shrinkToFit="false"/>
      <protection locked="true" hidden="false"/>
    </xf>
    <xf numFmtId="177" fontId="43" fillId="0" borderId="14" xfId="187" applyFont="true" applyBorder="true" applyAlignment="true" applyProtection="false">
      <alignment horizontal="center" vertical="center" textRotation="0" wrapText="false" indent="0" shrinkToFit="false"/>
      <protection locked="true" hidden="false"/>
    </xf>
    <xf numFmtId="207" fontId="46" fillId="27" borderId="13" xfId="15" applyFont="true" applyBorder="true" applyAlignment="true" applyProtection="true">
      <alignment horizontal="right" vertical="center" textRotation="0" wrapText="true" indent="0" shrinkToFit="false"/>
      <protection locked="true" hidden="false"/>
    </xf>
    <xf numFmtId="200" fontId="45" fillId="27" borderId="13" xfId="0" applyFont="true" applyBorder="true" applyAlignment="true" applyProtection="false">
      <alignment horizontal="right" vertical="center" textRotation="0" wrapText="true" indent="0" shrinkToFit="false"/>
      <protection locked="true" hidden="false"/>
    </xf>
    <xf numFmtId="193" fontId="45" fillId="27" borderId="13" xfId="0" applyFont="true" applyBorder="true" applyAlignment="true" applyProtection="false">
      <alignment horizontal="right" vertical="center" textRotation="0" wrapText="true" indent="0" shrinkToFit="false"/>
      <protection locked="true" hidden="false"/>
    </xf>
    <xf numFmtId="164" fontId="45" fillId="25" borderId="13" xfId="266" applyFont="true" applyBorder="true" applyAlignment="true" applyProtection="false">
      <alignment horizontal="center" vertical="center" textRotation="0" wrapText="true" indent="0" shrinkToFit="false"/>
      <protection locked="true" hidden="false"/>
    </xf>
    <xf numFmtId="164" fontId="45" fillId="25" borderId="13" xfId="266" applyFont="true" applyBorder="true" applyAlignment="true" applyProtection="false">
      <alignment horizontal="left" vertical="center" textRotation="0" wrapText="true" indent="0" shrinkToFit="false"/>
      <protection locked="true" hidden="false"/>
    </xf>
    <xf numFmtId="164" fontId="45" fillId="25" borderId="13" xfId="266" applyFont="true" applyBorder="true" applyAlignment="true" applyProtection="false">
      <alignment horizontal="right" vertical="center" textRotation="0" wrapText="true" indent="0" shrinkToFit="false"/>
      <protection locked="true" hidden="false"/>
    </xf>
    <xf numFmtId="189" fontId="45" fillId="25" borderId="13" xfId="266" applyFont="true" applyBorder="true" applyAlignment="true" applyProtection="false">
      <alignment horizontal="right" vertical="center" textRotation="0" wrapText="true" indent="0" shrinkToFit="false"/>
      <protection locked="true" hidden="false"/>
    </xf>
    <xf numFmtId="177" fontId="46" fillId="27" borderId="14" xfId="187" applyFont="true" applyBorder="true" applyAlignment="true" applyProtection="false">
      <alignment horizontal="center" vertical="center" textRotation="0" wrapText="true" indent="0" shrinkToFit="false"/>
      <protection locked="true" hidden="false"/>
    </xf>
    <xf numFmtId="177" fontId="45" fillId="25" borderId="14" xfId="187" applyFont="true" applyBorder="true" applyAlignment="true" applyProtection="false">
      <alignment horizontal="center" vertical="center" textRotation="0" wrapText="true" indent="0" shrinkToFit="false"/>
      <protection locked="true" hidden="false"/>
    </xf>
    <xf numFmtId="193" fontId="45" fillId="25" borderId="13" xfId="187" applyFont="true" applyBorder="true" applyAlignment="true" applyProtection="false">
      <alignment horizontal="right" vertical="center" textRotation="0" wrapText="true" indent="0" shrinkToFit="false"/>
      <protection locked="true" hidden="false"/>
    </xf>
    <xf numFmtId="200" fontId="63" fillId="27" borderId="13" xfId="0" applyFont="true" applyBorder="true" applyAlignment="true" applyProtection="false">
      <alignment horizontal="center" vertical="top" textRotation="0" wrapText="true" indent="0" shrinkToFit="false"/>
      <protection locked="true" hidden="false"/>
    </xf>
    <xf numFmtId="193" fontId="63" fillId="27" borderId="13" xfId="0" applyFont="true" applyBorder="true" applyAlignment="true" applyProtection="false">
      <alignment horizontal="center" vertical="top" textRotation="0" wrapText="true" indent="0" shrinkToFit="false"/>
      <protection locked="true" hidden="false"/>
    </xf>
    <xf numFmtId="193" fontId="62" fillId="27" borderId="13" xfId="0" applyFont="true" applyBorder="true" applyAlignment="true" applyProtection="false">
      <alignment horizontal="center" vertical="top" textRotation="0" wrapText="true" indent="0" shrinkToFit="false"/>
      <protection locked="true" hidden="false"/>
    </xf>
    <xf numFmtId="177" fontId="45" fillId="25" borderId="13" xfId="187" applyFont="true" applyBorder="true" applyAlignment="true" applyProtection="false">
      <alignment horizontal="center" vertical="center" textRotation="0" wrapText="true" indent="0" shrinkToFit="false"/>
      <protection locked="true" hidden="false"/>
    </xf>
    <xf numFmtId="193" fontId="45" fillId="25" borderId="13" xfId="187" applyFont="true" applyBorder="true" applyAlignment="true" applyProtection="false">
      <alignment horizontal="left" vertical="center" textRotation="0" wrapText="true" indent="0" shrinkToFit="false"/>
      <protection locked="true" hidden="false"/>
    </xf>
    <xf numFmtId="177" fontId="45" fillId="25" borderId="13" xfId="187" applyFont="true" applyBorder="true" applyAlignment="true" applyProtection="false">
      <alignment horizontal="right" vertical="center" textRotation="0" wrapText="true" indent="0" shrinkToFit="false"/>
      <protection locked="true" hidden="false"/>
    </xf>
    <xf numFmtId="189" fontId="45" fillId="25" borderId="13" xfId="187" applyFont="true" applyBorder="true" applyAlignment="true" applyProtection="false">
      <alignment horizontal="right" vertical="center" textRotation="0" wrapText="true" indent="0" shrinkToFit="false"/>
      <protection locked="true" hidden="false"/>
    </xf>
    <xf numFmtId="177" fontId="45" fillId="27" borderId="14" xfId="187" applyFont="true" applyBorder="true" applyAlignment="true" applyProtection="false">
      <alignment horizontal="center" vertical="center" textRotation="0" wrapText="true" indent="0" shrinkToFit="false"/>
      <protection locked="true" hidden="false"/>
    </xf>
    <xf numFmtId="189" fontId="46" fillId="27" borderId="13" xfId="267" applyFont="true" applyBorder="true" applyAlignment="true" applyProtection="false">
      <alignment horizontal="left" vertical="center" textRotation="0" wrapText="true" indent="0" shrinkToFit="false"/>
      <protection locked="true" hidden="false"/>
    </xf>
    <xf numFmtId="164" fontId="42" fillId="25" borderId="13" xfId="187" applyFont="true" applyBorder="true" applyAlignment="true" applyProtection="false">
      <alignment horizontal="right" vertical="center" textRotation="0" wrapText="false" indent="0" shrinkToFit="false"/>
      <protection locked="true" hidden="false"/>
    </xf>
    <xf numFmtId="189" fontId="42" fillId="25" borderId="13" xfId="187" applyFont="true" applyBorder="true" applyAlignment="true" applyProtection="false">
      <alignment horizontal="right" vertical="center" textRotation="0" wrapText="false" indent="0" shrinkToFit="false"/>
      <protection locked="true" hidden="false"/>
    </xf>
    <xf numFmtId="164" fontId="43" fillId="27" borderId="13" xfId="187" applyFont="true" applyBorder="true" applyAlignment="true" applyProtection="false">
      <alignment horizontal="right" vertical="center" textRotation="0" wrapText="false" indent="0" shrinkToFit="false"/>
      <protection locked="true" hidden="false"/>
    </xf>
    <xf numFmtId="164" fontId="43" fillId="27" borderId="13" xfId="187" applyFont="true" applyBorder="true" applyAlignment="true" applyProtection="false">
      <alignment horizontal="right" vertical="center" textRotation="0" wrapText="true" indent="0" shrinkToFit="false"/>
      <protection locked="true" hidden="false"/>
    </xf>
    <xf numFmtId="164" fontId="42" fillId="25" borderId="14" xfId="187" applyFont="true" applyBorder="true" applyAlignment="true" applyProtection="false">
      <alignment horizontal="center" vertical="center" textRotation="0" wrapText="false" indent="0" shrinkToFit="false"/>
      <protection locked="true" hidden="false"/>
    </xf>
    <xf numFmtId="164" fontId="42" fillId="25" borderId="13" xfId="187" applyFont="true" applyBorder="true" applyAlignment="true" applyProtection="false">
      <alignment horizontal="left" vertical="center" textRotation="0" wrapText="true" indent="0" shrinkToFit="false"/>
      <protection locked="true" hidden="false"/>
    </xf>
    <xf numFmtId="177" fontId="42" fillId="25" borderId="13" xfId="187" applyFont="true" applyBorder="true" applyAlignment="true" applyProtection="false">
      <alignment horizontal="right" vertical="center" textRotation="0" wrapText="false" indent="0" shrinkToFit="false"/>
      <protection locked="true" hidden="false"/>
    </xf>
    <xf numFmtId="177" fontId="42" fillId="27" borderId="13" xfId="187" applyFont="true" applyBorder="true" applyAlignment="true" applyProtection="false">
      <alignment horizontal="center" vertical="center" textRotation="0" wrapText="false" indent="0" shrinkToFit="false"/>
      <protection locked="true" hidden="false"/>
    </xf>
    <xf numFmtId="164" fontId="42" fillId="27" borderId="13" xfId="187" applyFont="true" applyBorder="true" applyAlignment="true" applyProtection="false">
      <alignment horizontal="left" vertical="center" textRotation="0" wrapText="true" indent="0" shrinkToFit="false"/>
      <protection locked="true" hidden="false"/>
    </xf>
    <xf numFmtId="177" fontId="42" fillId="27" borderId="13" xfId="187" applyFont="true" applyBorder="true" applyAlignment="true" applyProtection="false">
      <alignment horizontal="right" vertical="center" textRotation="0" wrapText="false" indent="0" shrinkToFit="false"/>
      <protection locked="true" hidden="false"/>
    </xf>
    <xf numFmtId="164" fontId="42" fillId="27" borderId="13" xfId="187" applyFont="true" applyBorder="true" applyAlignment="true" applyProtection="false">
      <alignment horizontal="right" vertical="center" textRotation="0" wrapText="true" indent="0" shrinkToFit="false"/>
      <protection locked="true" hidden="false"/>
    </xf>
    <xf numFmtId="199" fontId="46" fillId="27" borderId="13" xfId="267" applyFont="true" applyBorder="true" applyAlignment="true" applyProtection="false">
      <alignment horizontal="right" vertical="center" textRotation="0" wrapText="true" indent="0" shrinkToFit="false"/>
      <protection locked="true" hidden="false"/>
    </xf>
    <xf numFmtId="190" fontId="46" fillId="27" borderId="13" xfId="267" applyFont="true" applyBorder="true" applyAlignment="true" applyProtection="false">
      <alignment horizontal="right" vertical="center" textRotation="0" wrapText="true" indent="0" shrinkToFit="false"/>
      <protection locked="true" hidden="false"/>
    </xf>
    <xf numFmtId="189" fontId="46" fillId="0" borderId="0" xfId="267" applyFont="true" applyBorder="true" applyAlignment="true" applyProtection="false">
      <alignment horizontal="center" vertical="center" textRotation="0" wrapText="true" indent="0" shrinkToFit="false"/>
      <protection locked="true" hidden="false"/>
    </xf>
    <xf numFmtId="189" fontId="46" fillId="0" borderId="0" xfId="267" applyFont="true" applyBorder="false" applyAlignment="true" applyProtection="false">
      <alignment horizontal="center" vertical="center" textRotation="0" wrapText="true" indent="0" shrinkToFit="false"/>
      <protection locked="true" hidden="false"/>
    </xf>
    <xf numFmtId="193" fontId="46" fillId="27" borderId="13" xfId="267" applyFont="true" applyBorder="true" applyAlignment="true" applyProtection="false">
      <alignment horizontal="left" vertical="center" textRotation="0" wrapText="true" indent="0" shrinkToFit="false"/>
      <protection locked="true" hidden="false"/>
    </xf>
    <xf numFmtId="194" fontId="46" fillId="27" borderId="13" xfId="0" applyFont="true" applyBorder="true" applyAlignment="true" applyProtection="false">
      <alignment horizontal="right" vertical="center" textRotation="0" wrapText="false" indent="0" shrinkToFit="false"/>
      <protection locked="true" hidden="false"/>
    </xf>
    <xf numFmtId="177" fontId="46" fillId="0" borderId="14" xfId="187" applyFont="true" applyBorder="true" applyAlignment="true" applyProtection="false">
      <alignment horizontal="center" vertical="center" textRotation="0" wrapText="true" indent="0" shrinkToFit="false"/>
      <protection locked="true" hidden="false"/>
    </xf>
    <xf numFmtId="193" fontId="46" fillId="0" borderId="13" xfId="187" applyFont="true" applyBorder="true" applyAlignment="true" applyProtection="false">
      <alignment horizontal="left" vertical="center" textRotation="0" wrapText="true" indent="0" shrinkToFit="false"/>
      <protection locked="true" hidden="false"/>
    </xf>
    <xf numFmtId="207" fontId="46" fillId="0" borderId="13" xfId="15" applyFont="true" applyBorder="true" applyAlignment="true" applyProtection="true">
      <alignment horizontal="right" vertical="center" textRotation="0" wrapText="true" indent="0" shrinkToFit="false"/>
      <protection locked="true" hidden="false"/>
    </xf>
    <xf numFmtId="164" fontId="43" fillId="27" borderId="0" xfId="187" applyFont="true" applyBorder="false" applyAlignment="true" applyProtection="false">
      <alignment horizontal="general" vertical="center" textRotation="0" wrapText="false" indent="0" shrinkToFit="false"/>
      <protection locked="true" hidden="false"/>
    </xf>
    <xf numFmtId="189" fontId="46" fillId="25" borderId="14" xfId="0" applyFont="true" applyBorder="true" applyAlignment="true" applyProtection="false">
      <alignment horizontal="right" vertical="center" textRotation="0" wrapText="true" indent="0" shrinkToFit="false"/>
      <protection locked="true" hidden="false"/>
    </xf>
    <xf numFmtId="193" fontId="46" fillId="25" borderId="13" xfId="0" applyFont="true" applyBorder="true" applyAlignment="true" applyProtection="false">
      <alignment horizontal="right" vertical="center" textRotation="0" wrapText="true" indent="0" shrinkToFit="false"/>
      <protection locked="true" hidden="false"/>
    </xf>
    <xf numFmtId="177" fontId="57" fillId="25" borderId="14" xfId="187" applyFont="true" applyBorder="true" applyAlignment="true" applyProtection="false">
      <alignment horizontal="center" vertical="top" textRotation="0" wrapText="true" indent="0" shrinkToFit="false"/>
      <protection locked="true" hidden="false"/>
    </xf>
    <xf numFmtId="193" fontId="57" fillId="25" borderId="13" xfId="187" applyFont="true" applyBorder="true" applyAlignment="true" applyProtection="false">
      <alignment horizontal="left" vertical="top" textRotation="0" wrapText="true" indent="0" shrinkToFit="false"/>
      <protection locked="true" hidden="false"/>
    </xf>
    <xf numFmtId="189" fontId="46" fillId="27" borderId="0" xfId="0" applyFont="true" applyBorder="true" applyAlignment="true" applyProtection="false">
      <alignment horizontal="left" vertical="center" textRotation="0" wrapText="true" indent="0" shrinkToFit="false"/>
      <protection locked="true" hidden="false"/>
    </xf>
    <xf numFmtId="164" fontId="46" fillId="27" borderId="0" xfId="0" applyFont="true" applyBorder="true" applyAlignment="true" applyProtection="false">
      <alignment horizontal="right" vertical="center" textRotation="0" wrapText="true" indent="0" shrinkToFit="false"/>
      <protection locked="true" hidden="false"/>
    </xf>
    <xf numFmtId="200" fontId="46" fillId="0" borderId="0" xfId="0" applyFont="true" applyBorder="true" applyAlignment="true" applyProtection="false">
      <alignment horizontal="right" vertical="center" textRotation="0" wrapText="true" indent="0" shrinkToFit="false"/>
      <protection locked="true" hidden="false"/>
    </xf>
    <xf numFmtId="193" fontId="46" fillId="0" borderId="0" xfId="0" applyFont="true" applyBorder="true" applyAlignment="true" applyProtection="false">
      <alignment horizontal="right" vertical="center" textRotation="0" wrapText="true" indent="0" shrinkToFit="false"/>
      <protection locked="true" hidden="false"/>
    </xf>
    <xf numFmtId="177" fontId="45" fillId="27" borderId="0" xfId="0" applyFont="true" applyBorder="true" applyAlignment="true" applyProtection="false">
      <alignment horizontal="center" vertical="top" textRotation="0" wrapText="true" indent="0" shrinkToFit="false"/>
      <protection locked="true" hidden="false"/>
    </xf>
    <xf numFmtId="177" fontId="46" fillId="27" borderId="0" xfId="0" applyFont="true" applyBorder="true" applyAlignment="true" applyProtection="false">
      <alignment horizontal="left" vertical="top" textRotation="0" wrapText="true" indent="0" shrinkToFit="false"/>
      <protection locked="true" hidden="false"/>
    </xf>
    <xf numFmtId="193" fontId="46" fillId="27" borderId="0" xfId="0" applyFont="true" applyBorder="true" applyAlignment="true" applyProtection="false">
      <alignment horizontal="left" vertical="top" textRotation="0" wrapText="true" indent="0" shrinkToFit="false"/>
      <protection locked="true" hidden="false"/>
    </xf>
    <xf numFmtId="189" fontId="46" fillId="27" borderId="0" xfId="0" applyFont="true" applyBorder="true" applyAlignment="true" applyProtection="false">
      <alignment horizontal="center" vertical="top" textRotation="0" wrapText="true" indent="0" shrinkToFit="false"/>
      <protection locked="true" hidden="false"/>
    </xf>
    <xf numFmtId="189" fontId="46" fillId="27" borderId="0" xfId="0" applyFont="true" applyBorder="true" applyAlignment="true" applyProtection="false">
      <alignment horizontal="right" vertical="top" textRotation="0" wrapText="true" indent="0" shrinkToFit="false"/>
      <protection locked="true" hidden="false"/>
    </xf>
    <xf numFmtId="181" fontId="46" fillId="27" borderId="0" xfId="0" applyFont="true" applyBorder="true" applyAlignment="true" applyProtection="false">
      <alignment horizontal="right" vertical="top" textRotation="0" wrapText="true" indent="0" shrinkToFit="false"/>
      <protection locked="true" hidden="false"/>
    </xf>
    <xf numFmtId="193" fontId="46" fillId="27" borderId="0" xfId="0" applyFont="true" applyBorder="true" applyAlignment="true" applyProtection="false">
      <alignment horizontal="right" vertical="top" textRotation="0" wrapText="true" indent="0" shrinkToFit="false"/>
      <protection locked="true" hidden="false"/>
    </xf>
    <xf numFmtId="177" fontId="45" fillId="27" borderId="0" xfId="267" applyFont="true" applyBorder="true" applyAlignment="true" applyProtection="false">
      <alignment horizontal="center" vertical="top" textRotation="0" wrapText="true" indent="0" shrinkToFit="false"/>
      <protection locked="true" hidden="false"/>
    </xf>
    <xf numFmtId="177" fontId="46" fillId="27" borderId="0" xfId="267" applyFont="true" applyBorder="true" applyAlignment="true" applyProtection="false">
      <alignment horizontal="left" vertical="top" textRotation="0" wrapText="true" indent="0" shrinkToFit="false"/>
      <protection locked="true" hidden="false"/>
    </xf>
    <xf numFmtId="193" fontId="46" fillId="27" borderId="0" xfId="267" applyFont="true" applyBorder="true" applyAlignment="true" applyProtection="false">
      <alignment horizontal="left" vertical="top" textRotation="0" wrapText="true" indent="0" shrinkToFit="false"/>
      <protection locked="true" hidden="false"/>
    </xf>
    <xf numFmtId="189" fontId="46" fillId="27" borderId="0" xfId="267" applyFont="true" applyBorder="true" applyAlignment="true" applyProtection="false">
      <alignment horizontal="center" vertical="top" textRotation="0" wrapText="true" indent="0" shrinkToFit="false"/>
      <protection locked="true" hidden="false"/>
    </xf>
    <xf numFmtId="189" fontId="46" fillId="27" borderId="0" xfId="267" applyFont="true" applyBorder="true" applyAlignment="true" applyProtection="false">
      <alignment horizontal="right" vertical="top" textRotation="0" wrapText="true" indent="0" shrinkToFit="false"/>
      <protection locked="true" hidden="false"/>
    </xf>
    <xf numFmtId="181" fontId="46" fillId="27" borderId="0" xfId="267" applyFont="true" applyBorder="true" applyAlignment="true" applyProtection="false">
      <alignment horizontal="right" vertical="top" textRotation="0" wrapText="true" indent="0" shrinkToFit="false"/>
      <protection locked="true" hidden="false"/>
    </xf>
    <xf numFmtId="189" fontId="46" fillId="27" borderId="0" xfId="267" applyFont="true" applyBorder="true" applyAlignment="true" applyProtection="false">
      <alignment horizontal="left" vertical="top" textRotation="0" wrapText="true" indent="0" shrinkToFit="false"/>
      <protection locked="true" hidden="false"/>
    </xf>
    <xf numFmtId="164" fontId="46" fillId="27" borderId="0" xfId="267" applyFont="true" applyBorder="false" applyAlignment="true" applyProtection="false">
      <alignment horizontal="center" vertical="top" textRotation="0" wrapText="true" indent="0" shrinkToFit="false"/>
      <protection locked="true" hidden="false"/>
    </xf>
    <xf numFmtId="193" fontId="46" fillId="27" borderId="0" xfId="267" applyFont="true" applyBorder="true" applyAlignment="true" applyProtection="false">
      <alignment horizontal="center" vertical="top" textRotation="0" wrapText="true" indent="0" shrinkToFit="false"/>
      <protection locked="true" hidden="false"/>
    </xf>
    <xf numFmtId="193" fontId="45" fillId="27" borderId="0" xfId="267" applyFont="true" applyBorder="true" applyAlignment="true" applyProtection="false">
      <alignment horizontal="center" vertical="top" textRotation="0" wrapText="true" indent="0" shrinkToFit="false"/>
      <protection locked="true" hidden="false"/>
    </xf>
    <xf numFmtId="164" fontId="46" fillId="27" borderId="0" xfId="267" applyFont="true" applyBorder="true" applyAlignment="true" applyProtection="false">
      <alignment horizontal="center" vertical="top" textRotation="0" wrapText="true" indent="0" shrinkToFit="false"/>
      <protection locked="true" hidden="false"/>
    </xf>
    <xf numFmtId="164" fontId="45" fillId="27" borderId="0" xfId="0" applyFont="true" applyBorder="true" applyAlignment="true" applyProtection="false">
      <alignment horizontal="center" vertical="center" textRotation="0" wrapText="true" indent="0" shrinkToFit="false"/>
      <protection locked="true" hidden="false"/>
    </xf>
    <xf numFmtId="193" fontId="46" fillId="27" borderId="0" xfId="267" applyFont="true" applyBorder="true" applyAlignment="true" applyProtection="false">
      <alignment horizontal="right" vertical="top" textRotation="0" wrapText="true" indent="0" shrinkToFit="false"/>
      <protection locked="true" hidden="false"/>
    </xf>
    <xf numFmtId="177" fontId="46" fillId="27" borderId="13" xfId="267" applyFont="true" applyBorder="true" applyAlignment="true" applyProtection="false">
      <alignment horizontal="center" vertical="top" textRotation="0" wrapText="true" indent="0" shrinkToFit="false"/>
      <protection locked="true" hidden="false"/>
    </xf>
    <xf numFmtId="177" fontId="46" fillId="27" borderId="13" xfId="267" applyFont="true" applyBorder="true" applyAlignment="true" applyProtection="false">
      <alignment horizontal="left" vertical="top" textRotation="0" wrapText="true" indent="0" shrinkToFit="false"/>
      <protection locked="true" hidden="false"/>
    </xf>
    <xf numFmtId="181" fontId="46" fillId="27" borderId="13" xfId="0" applyFont="true" applyBorder="true" applyAlignment="true" applyProtection="false">
      <alignment horizontal="center" vertical="top" textRotation="0" wrapText="true" indent="0" shrinkToFit="false"/>
      <protection locked="true" hidden="false"/>
    </xf>
    <xf numFmtId="189" fontId="45" fillId="25" borderId="13" xfId="267" applyFont="true" applyBorder="true" applyAlignment="true" applyProtection="false">
      <alignment horizontal="left" vertical="top" textRotation="0" wrapText="true" indent="0" shrinkToFit="false"/>
      <protection locked="true" hidden="false"/>
    </xf>
    <xf numFmtId="177" fontId="45" fillId="25" borderId="13" xfId="267" applyFont="true" applyBorder="true" applyAlignment="true" applyProtection="false">
      <alignment horizontal="left" vertical="top" textRotation="0" wrapText="true" indent="0" shrinkToFit="false"/>
      <protection locked="true" hidden="false"/>
    </xf>
    <xf numFmtId="177" fontId="45" fillId="25" borderId="13" xfId="267" applyFont="true" applyBorder="true" applyAlignment="true" applyProtection="false">
      <alignment horizontal="general" vertical="top" textRotation="0" wrapText="true" indent="0" shrinkToFit="false"/>
      <protection locked="true" hidden="false"/>
    </xf>
    <xf numFmtId="177" fontId="45" fillId="25" borderId="13" xfId="267" applyFont="true" applyBorder="true" applyAlignment="true" applyProtection="false">
      <alignment horizontal="right" vertical="top" textRotation="0" wrapText="true" indent="0" shrinkToFit="false"/>
      <protection locked="true" hidden="false"/>
    </xf>
    <xf numFmtId="177" fontId="45" fillId="26" borderId="13" xfId="267" applyFont="true" applyBorder="true" applyAlignment="true" applyProtection="false">
      <alignment horizontal="center" vertical="top" textRotation="0" wrapText="true" indent="0" shrinkToFit="false"/>
      <protection locked="true" hidden="false"/>
    </xf>
    <xf numFmtId="177" fontId="45" fillId="26" borderId="13" xfId="267" applyFont="true" applyBorder="true" applyAlignment="true" applyProtection="false">
      <alignment horizontal="left" vertical="top" textRotation="0" wrapText="true" indent="0" shrinkToFit="false"/>
      <protection locked="true" hidden="false"/>
    </xf>
    <xf numFmtId="177" fontId="45" fillId="26" borderId="13" xfId="267" applyFont="true" applyBorder="true" applyAlignment="true" applyProtection="false">
      <alignment horizontal="general" vertical="top" textRotation="0" wrapText="true" indent="0" shrinkToFit="false"/>
      <protection locked="true" hidden="false"/>
    </xf>
    <xf numFmtId="177" fontId="45" fillId="26" borderId="13" xfId="267" applyFont="true" applyBorder="true" applyAlignment="true" applyProtection="false">
      <alignment horizontal="right" vertical="top" textRotation="0" wrapText="true" indent="0" shrinkToFit="false"/>
      <protection locked="true" hidden="false"/>
    </xf>
    <xf numFmtId="200" fontId="46" fillId="27" borderId="13" xfId="0" applyFont="true" applyBorder="true" applyAlignment="true" applyProtection="false">
      <alignment horizontal="center" vertical="top" textRotation="0" wrapText="true" indent="0" shrinkToFit="false"/>
      <protection locked="true" hidden="false"/>
    </xf>
    <xf numFmtId="181" fontId="46" fillId="27" borderId="13" xfId="0" applyFont="true" applyBorder="true" applyAlignment="true" applyProtection="false">
      <alignment horizontal="right" vertical="top" textRotation="0" wrapText="true" indent="0" shrinkToFit="false"/>
      <protection locked="true" hidden="false"/>
    </xf>
    <xf numFmtId="189" fontId="46" fillId="27" borderId="13" xfId="0" applyFont="true" applyBorder="true" applyAlignment="true" applyProtection="false">
      <alignment horizontal="right" vertical="top" textRotation="0" wrapText="true" indent="0" shrinkToFit="false"/>
      <protection locked="true" hidden="false"/>
    </xf>
    <xf numFmtId="193" fontId="45" fillId="27" borderId="13" xfId="0" applyFont="true" applyBorder="true" applyAlignment="true" applyProtection="false">
      <alignment horizontal="right" vertical="top" textRotation="0" wrapText="true" indent="0" shrinkToFit="false"/>
      <protection locked="true" hidden="false"/>
    </xf>
    <xf numFmtId="194" fontId="48" fillId="27" borderId="13" xfId="0" applyFont="true" applyBorder="true" applyAlignment="true" applyProtection="false">
      <alignment horizontal="center" vertical="center" textRotation="0" wrapText="false" indent="0" shrinkToFit="false"/>
      <protection locked="true" hidden="false"/>
    </xf>
    <xf numFmtId="193" fontId="46" fillId="27" borderId="0" xfId="0" applyFont="true" applyBorder="false" applyAlignment="true" applyProtection="false">
      <alignment horizontal="center" vertical="top" textRotation="0" wrapText="true" indent="0" shrinkToFit="false"/>
      <protection locked="true" hidden="false"/>
    </xf>
    <xf numFmtId="177" fontId="46" fillId="27" borderId="0" xfId="0" applyFont="true" applyBorder="true" applyAlignment="true" applyProtection="false">
      <alignment horizontal="center" vertical="top" textRotation="0" wrapText="true" indent="0" shrinkToFit="false"/>
      <protection locked="true" hidden="false"/>
    </xf>
    <xf numFmtId="189" fontId="45" fillId="27" borderId="13" xfId="0" applyFont="true" applyBorder="true" applyAlignment="true" applyProtection="false">
      <alignment horizontal="right" vertical="top" textRotation="0" wrapText="true" indent="0" shrinkToFit="false"/>
      <protection locked="true" hidden="false"/>
    </xf>
    <xf numFmtId="164" fontId="46" fillId="27" borderId="13" xfId="0" applyFont="true" applyBorder="true" applyAlignment="true" applyProtection="true">
      <alignment horizontal="left" vertical="bottom" textRotation="0" wrapText="true" indent="0" shrinkToFit="false"/>
      <protection locked="false" hidden="false"/>
    </xf>
    <xf numFmtId="181" fontId="45" fillId="27" borderId="13" xfId="0" applyFont="true" applyBorder="true" applyAlignment="true" applyProtection="false">
      <alignment horizontal="right" vertical="top" textRotation="0" wrapText="true" indent="0" shrinkToFit="false"/>
      <protection locked="true" hidden="false"/>
    </xf>
    <xf numFmtId="189" fontId="62" fillId="27" borderId="13" xfId="0" applyFont="true" applyBorder="true" applyAlignment="true" applyProtection="false">
      <alignment horizontal="left" vertical="top" textRotation="0" wrapText="true" indent="0" shrinkToFit="false"/>
      <protection locked="true" hidden="false"/>
    </xf>
    <xf numFmtId="193" fontId="62" fillId="27" borderId="13" xfId="0" applyFont="true" applyBorder="true" applyAlignment="true" applyProtection="false">
      <alignment horizontal="left" vertical="top" textRotation="0" wrapText="true" indent="0" shrinkToFit="false"/>
      <protection locked="true" hidden="false"/>
    </xf>
    <xf numFmtId="189" fontId="62" fillId="27" borderId="13" xfId="0" applyFont="true" applyBorder="true" applyAlignment="true" applyProtection="false">
      <alignment horizontal="center" vertical="top" textRotation="0" wrapText="true" indent="0" shrinkToFit="false"/>
      <protection locked="true" hidden="false"/>
    </xf>
    <xf numFmtId="181" fontId="62" fillId="27" borderId="13" xfId="0" applyFont="true" applyBorder="true" applyAlignment="true" applyProtection="false">
      <alignment horizontal="right" vertical="top" textRotation="0" wrapText="true" indent="0" shrinkToFit="false"/>
      <protection locked="true" hidden="false"/>
    </xf>
    <xf numFmtId="193" fontId="62" fillId="27" borderId="13" xfId="0" applyFont="true" applyBorder="true" applyAlignment="true" applyProtection="false">
      <alignment horizontal="right" vertical="top" textRotation="0" wrapText="true" indent="0" shrinkToFit="false"/>
      <protection locked="true" hidden="false"/>
    </xf>
    <xf numFmtId="164" fontId="62" fillId="27" borderId="0" xfId="0" applyFont="true" applyBorder="false" applyAlignment="true" applyProtection="false">
      <alignment horizontal="center" vertical="top" textRotation="0" wrapText="true" indent="0" shrinkToFit="false"/>
      <protection locked="true" hidden="false"/>
    </xf>
    <xf numFmtId="177" fontId="62" fillId="27" borderId="0" xfId="0" applyFont="true" applyBorder="true" applyAlignment="true" applyProtection="false">
      <alignment horizontal="center" vertical="top" textRotation="0" wrapText="true" indent="0" shrinkToFit="false"/>
      <protection locked="true" hidden="false"/>
    </xf>
    <xf numFmtId="200" fontId="62" fillId="27" borderId="13" xfId="0" applyFont="true" applyBorder="true" applyAlignment="true" applyProtection="false">
      <alignment horizontal="center" vertical="top" textRotation="0" wrapText="true" indent="0" shrinkToFit="false"/>
      <protection locked="true" hidden="false"/>
    </xf>
    <xf numFmtId="193" fontId="63" fillId="27" borderId="13" xfId="0" applyFont="true" applyBorder="true" applyAlignment="true" applyProtection="false">
      <alignment horizontal="left" vertical="top" textRotation="0" wrapText="true" indent="0" shrinkToFit="false"/>
      <protection locked="true" hidden="false"/>
    </xf>
    <xf numFmtId="181" fontId="63" fillId="27" borderId="13" xfId="0" applyFont="true" applyBorder="true" applyAlignment="true" applyProtection="false">
      <alignment horizontal="right" vertical="top" textRotation="0" wrapText="true" indent="0" shrinkToFit="false"/>
      <protection locked="true" hidden="false"/>
    </xf>
    <xf numFmtId="189" fontId="63" fillId="27" borderId="13" xfId="0" applyFont="true" applyBorder="true" applyAlignment="true" applyProtection="false">
      <alignment horizontal="right" vertical="top" textRotation="0" wrapText="true" indent="0" shrinkToFit="false"/>
      <protection locked="true" hidden="false"/>
    </xf>
    <xf numFmtId="193" fontId="63" fillId="27" borderId="13" xfId="0" applyFont="true" applyBorder="true" applyAlignment="true" applyProtection="false">
      <alignment horizontal="right" vertical="top" textRotation="0" wrapText="true" indent="0" shrinkToFit="false"/>
      <protection locked="true" hidden="false"/>
    </xf>
    <xf numFmtId="164" fontId="62" fillId="27" borderId="13" xfId="269" applyFont="true" applyBorder="true" applyAlignment="true" applyProtection="false">
      <alignment horizontal="general" vertical="top" textRotation="0" wrapText="true" indent="0" shrinkToFit="false"/>
      <protection locked="true" hidden="false"/>
    </xf>
    <xf numFmtId="164" fontId="62" fillId="27" borderId="13" xfId="0" applyFont="true" applyBorder="true" applyAlignment="true" applyProtection="true">
      <alignment horizontal="left" vertical="center" textRotation="0" wrapText="true" indent="0" shrinkToFit="false"/>
      <protection locked="false" hidden="false"/>
    </xf>
    <xf numFmtId="193" fontId="45" fillId="26" borderId="13" xfId="0" applyFont="true" applyBorder="true" applyAlignment="true" applyProtection="false">
      <alignment horizontal="left" vertical="top" textRotation="0" wrapText="true" indent="0" shrinkToFit="false"/>
      <protection locked="true" hidden="false"/>
    </xf>
    <xf numFmtId="189" fontId="45" fillId="26" borderId="13" xfId="0" applyFont="true" applyBorder="true" applyAlignment="true" applyProtection="false">
      <alignment horizontal="center" vertical="top" textRotation="0" wrapText="true" indent="0" shrinkToFit="false"/>
      <protection locked="true" hidden="false"/>
    </xf>
    <xf numFmtId="189" fontId="46" fillId="26" borderId="13" xfId="0" applyFont="true" applyBorder="true" applyAlignment="true" applyProtection="false">
      <alignment horizontal="center" vertical="top" textRotation="0" wrapText="true" indent="0" shrinkToFit="false"/>
      <protection locked="true" hidden="false"/>
    </xf>
    <xf numFmtId="189" fontId="45" fillId="26" borderId="13" xfId="0" applyFont="true" applyBorder="true" applyAlignment="true" applyProtection="false">
      <alignment horizontal="right" vertical="top" textRotation="0" wrapText="true" indent="0" shrinkToFit="false"/>
      <protection locked="true" hidden="false"/>
    </xf>
    <xf numFmtId="181" fontId="45" fillId="26" borderId="13" xfId="0" applyFont="true" applyBorder="true" applyAlignment="true" applyProtection="false">
      <alignment horizontal="right" vertical="top" textRotation="0" wrapText="true" indent="0" shrinkToFit="false"/>
      <protection locked="true" hidden="false"/>
    </xf>
    <xf numFmtId="193" fontId="45" fillId="26" borderId="13" xfId="0" applyFont="true" applyBorder="true" applyAlignment="true" applyProtection="false">
      <alignment horizontal="right" vertical="top" textRotation="0" wrapText="true" indent="0" shrinkToFit="false"/>
      <protection locked="true" hidden="false"/>
    </xf>
    <xf numFmtId="164" fontId="47" fillId="26" borderId="13" xfId="187" applyFont="true" applyBorder="true" applyAlignment="true" applyProtection="false">
      <alignment horizontal="general" vertical="bottom" textRotation="0" wrapText="true" indent="0" shrinkToFit="false"/>
      <protection locked="true" hidden="false"/>
    </xf>
    <xf numFmtId="194" fontId="46" fillId="27" borderId="13" xfId="0" applyFont="true" applyBorder="true" applyAlignment="true" applyProtection="false">
      <alignment horizontal="right" vertical="top" textRotation="0" wrapText="true" indent="0" shrinkToFit="false"/>
      <protection locked="true" hidden="false"/>
    </xf>
    <xf numFmtId="164" fontId="46" fillId="27" borderId="13" xfId="0" applyFont="true" applyBorder="true" applyAlignment="false" applyProtection="false">
      <alignment horizontal="general" vertical="bottom" textRotation="0" wrapText="false" indent="0" shrinkToFit="false"/>
      <protection locked="true" hidden="false"/>
    </xf>
    <xf numFmtId="177" fontId="48" fillId="27" borderId="13" xfId="187" applyFont="true" applyBorder="true" applyAlignment="true" applyProtection="false">
      <alignment horizontal="center" vertical="bottom" textRotation="0" wrapText="false" indent="0" shrinkToFit="false"/>
      <protection locked="true" hidden="false"/>
    </xf>
    <xf numFmtId="177" fontId="47" fillId="27" borderId="13" xfId="187" applyFont="true" applyBorder="true" applyAlignment="true" applyProtection="false">
      <alignment horizontal="center" vertical="bottom" textRotation="0" wrapText="false" indent="0" shrinkToFit="false"/>
      <protection locked="true" hidden="false"/>
    </xf>
    <xf numFmtId="164" fontId="47" fillId="27" borderId="13" xfId="187" applyFont="true" applyBorder="true" applyAlignment="true" applyProtection="false">
      <alignment horizontal="general" vertical="bottom" textRotation="0" wrapText="true" indent="0" shrinkToFit="false"/>
      <protection locked="true" hidden="false"/>
    </xf>
    <xf numFmtId="164" fontId="48" fillId="27" borderId="13" xfId="187" applyFont="true" applyBorder="true" applyAlignment="true" applyProtection="false">
      <alignment horizontal="general" vertical="bottom" textRotation="0" wrapText="true" indent="0" shrinkToFit="false"/>
      <protection locked="true" hidden="false"/>
    </xf>
    <xf numFmtId="177" fontId="48" fillId="27" borderId="13" xfId="187" applyFont="true" applyBorder="true" applyAlignment="true" applyProtection="false">
      <alignment horizontal="center" vertical="bottom" textRotation="0" wrapText="true" indent="0" shrinkToFit="false"/>
      <protection locked="true" hidden="false"/>
    </xf>
    <xf numFmtId="164" fontId="46" fillId="27" borderId="0" xfId="0" applyFont="true" applyBorder="false" applyAlignment="true" applyProtection="false">
      <alignment horizontal="center" vertical="bottom" textRotation="0" wrapText="true" indent="0" shrinkToFit="false"/>
      <protection locked="true" hidden="false"/>
    </xf>
    <xf numFmtId="177" fontId="46" fillId="27" borderId="15" xfId="0" applyFont="true" applyBorder="true" applyAlignment="true" applyProtection="false">
      <alignment horizontal="center" vertical="top" textRotation="0" wrapText="true" indent="0" shrinkToFit="false"/>
      <protection locked="true" hidden="false"/>
    </xf>
    <xf numFmtId="177" fontId="46" fillId="0" borderId="13" xfId="0" applyFont="true" applyBorder="true" applyAlignment="true" applyProtection="false">
      <alignment horizontal="center" vertical="top" textRotation="0" wrapText="true" indent="0" shrinkToFit="false"/>
      <protection locked="true" hidden="false"/>
    </xf>
    <xf numFmtId="193" fontId="46" fillId="0" borderId="13" xfId="0" applyFont="true" applyBorder="true" applyAlignment="true" applyProtection="false">
      <alignment horizontal="left" vertical="top" textRotation="0" wrapText="true" indent="0" shrinkToFit="false"/>
      <protection locked="true" hidden="false"/>
    </xf>
    <xf numFmtId="189" fontId="46" fillId="0" borderId="13" xfId="0" applyFont="true" applyBorder="true" applyAlignment="true" applyProtection="false">
      <alignment horizontal="center" vertical="top" textRotation="0" wrapText="true" indent="0" shrinkToFit="false"/>
      <protection locked="true" hidden="false"/>
    </xf>
    <xf numFmtId="200" fontId="46" fillId="0" borderId="13" xfId="0" applyFont="true" applyBorder="true" applyAlignment="true" applyProtection="false">
      <alignment horizontal="center" vertical="top" textRotation="0" wrapText="true" indent="0" shrinkToFit="false"/>
      <protection locked="true" hidden="false"/>
    </xf>
    <xf numFmtId="181" fontId="46" fillId="0" borderId="13" xfId="0" applyFont="true" applyBorder="true" applyAlignment="true" applyProtection="false">
      <alignment horizontal="right" vertical="top" textRotation="0" wrapText="true" indent="0" shrinkToFit="false"/>
      <protection locked="true" hidden="false"/>
    </xf>
    <xf numFmtId="193" fontId="46" fillId="0" borderId="13" xfId="0" applyFont="true" applyBorder="true" applyAlignment="true" applyProtection="false">
      <alignment horizontal="right" vertical="top" textRotation="0" wrapText="true" indent="0" shrinkToFit="false"/>
      <protection locked="true" hidden="false"/>
    </xf>
    <xf numFmtId="164" fontId="46" fillId="0" borderId="0" xfId="0" applyFont="true" applyBorder="false" applyAlignment="true" applyProtection="false">
      <alignment horizontal="general" vertical="bottom" textRotation="0" wrapText="true" indent="0" shrinkToFit="false"/>
      <protection locked="true" hidden="false"/>
    </xf>
    <xf numFmtId="189" fontId="46" fillId="0" borderId="13" xfId="0" applyFont="true" applyBorder="true" applyAlignment="true" applyProtection="false">
      <alignment horizontal="right" vertical="top" textRotation="0" wrapText="true" indent="0" shrinkToFit="false"/>
      <protection locked="true" hidden="false"/>
    </xf>
    <xf numFmtId="193" fontId="45" fillId="0" borderId="13" xfId="0" applyFont="true" applyBorder="true" applyAlignment="true" applyProtection="false">
      <alignment horizontal="right" vertical="top" textRotation="0" wrapText="true" indent="0" shrinkToFit="false"/>
      <protection locked="true" hidden="false"/>
    </xf>
    <xf numFmtId="181" fontId="45" fillId="26" borderId="13" xfId="0" applyFont="true" applyBorder="true" applyAlignment="true" applyProtection="false">
      <alignment horizontal="general" vertical="center" textRotation="0" wrapText="true" indent="0" shrinkToFit="false"/>
      <protection locked="true" hidden="false"/>
    </xf>
    <xf numFmtId="181" fontId="46" fillId="27" borderId="13" xfId="0" applyFont="true" applyBorder="true" applyAlignment="true" applyProtection="false">
      <alignment horizontal="general" vertical="center" textRotation="0" wrapText="true" indent="0" shrinkToFit="false"/>
      <protection locked="true" hidden="false"/>
    </xf>
    <xf numFmtId="181" fontId="45" fillId="27" borderId="13" xfId="0" applyFont="true" applyBorder="true" applyAlignment="true" applyProtection="false">
      <alignment horizontal="general" vertical="center" textRotation="0" wrapText="true" indent="0" shrinkToFit="false"/>
      <protection locked="true" hidden="false"/>
    </xf>
    <xf numFmtId="177" fontId="45" fillId="26" borderId="13" xfId="267" applyFont="true" applyBorder="true" applyAlignment="true" applyProtection="false">
      <alignment horizontal="center" vertical="center" textRotation="0" wrapText="true" indent="0" shrinkToFit="false"/>
      <protection locked="true" hidden="false"/>
    </xf>
    <xf numFmtId="177" fontId="45" fillId="26" borderId="13" xfId="267" applyFont="true" applyBorder="true" applyAlignment="true" applyProtection="false">
      <alignment horizontal="general" vertical="center" textRotation="0" wrapText="true" indent="0" shrinkToFit="false"/>
      <protection locked="true" hidden="false"/>
    </xf>
    <xf numFmtId="164" fontId="45" fillId="27" borderId="13" xfId="0" applyFont="true" applyBorder="true" applyAlignment="true" applyProtection="false">
      <alignment horizontal="general" vertical="top" textRotation="0" wrapText="true" indent="0" shrinkToFit="false"/>
      <protection locked="true" hidden="false"/>
    </xf>
    <xf numFmtId="181" fontId="46" fillId="27" borderId="13" xfId="0" applyFont="true" applyBorder="true" applyAlignment="true" applyProtection="false">
      <alignment horizontal="center" vertical="center" textRotation="0" wrapText="true" indent="0" shrinkToFit="false"/>
      <protection locked="true" hidden="false"/>
    </xf>
    <xf numFmtId="164" fontId="46" fillId="27" borderId="19" xfId="0" applyFont="true" applyBorder="true" applyAlignment="true" applyProtection="false">
      <alignment horizontal="left" vertical="top" textRotation="0" wrapText="true" indent="0" shrinkToFit="false"/>
      <protection locked="true" hidden="false"/>
    </xf>
    <xf numFmtId="200" fontId="46" fillId="27" borderId="19" xfId="0" applyFont="true" applyBorder="true" applyAlignment="true" applyProtection="false">
      <alignment horizontal="right" vertical="center" textRotation="0" wrapText="true" indent="0" shrinkToFit="false"/>
      <protection locked="true" hidden="false"/>
    </xf>
    <xf numFmtId="200" fontId="45" fillId="27" borderId="13" xfId="0" applyFont="true" applyBorder="true" applyAlignment="true" applyProtection="false">
      <alignment horizontal="general" vertical="center" textRotation="0" wrapText="true" indent="0" shrinkToFit="false"/>
      <protection locked="true" hidden="false"/>
    </xf>
    <xf numFmtId="189" fontId="45" fillId="27" borderId="0" xfId="0" applyFont="true" applyBorder="true" applyAlignment="true" applyProtection="false">
      <alignment horizontal="general" vertical="center" textRotation="0" wrapText="true" indent="0" shrinkToFit="false"/>
      <protection locked="true" hidden="false"/>
    </xf>
    <xf numFmtId="189" fontId="45" fillId="27" borderId="0" xfId="0" applyFont="true" applyBorder="true" applyAlignment="true" applyProtection="false">
      <alignment horizontal="left" vertical="top" textRotation="0" wrapText="true" indent="0" shrinkToFit="false"/>
      <protection locked="true" hidden="false"/>
    </xf>
    <xf numFmtId="190" fontId="46" fillId="27" borderId="20" xfId="0" applyFont="true" applyBorder="true" applyAlignment="true" applyProtection="false">
      <alignment horizontal="center" vertical="center" textRotation="0" wrapText="true" indent="0" shrinkToFit="false"/>
      <protection locked="true" hidden="false"/>
    </xf>
    <xf numFmtId="200" fontId="46" fillId="27" borderId="20" xfId="0" applyFont="true" applyBorder="true" applyAlignment="true" applyProtection="false">
      <alignment horizontal="right" vertical="center" textRotation="0" wrapText="true" indent="0" shrinkToFit="false"/>
      <protection locked="true" hidden="false"/>
    </xf>
    <xf numFmtId="181" fontId="46" fillId="27" borderId="20" xfId="0" applyFont="true" applyBorder="true" applyAlignment="true" applyProtection="false">
      <alignment horizontal="center" vertical="center" textRotation="0" wrapText="true" indent="0" shrinkToFit="false"/>
      <protection locked="true" hidden="false"/>
    </xf>
    <xf numFmtId="189" fontId="46" fillId="27" borderId="20" xfId="0" applyFont="true" applyBorder="true" applyAlignment="true" applyProtection="false">
      <alignment horizontal="general" vertical="center" textRotation="0" wrapText="true" indent="0" shrinkToFit="false"/>
      <protection locked="true" hidden="false"/>
    </xf>
    <xf numFmtId="189" fontId="46" fillId="27" borderId="20" xfId="0" applyFont="true" applyBorder="true" applyAlignment="true" applyProtection="false">
      <alignment horizontal="center" vertical="top" textRotation="0" wrapText="true" indent="0" shrinkToFit="false"/>
      <protection locked="true" hidden="false"/>
    </xf>
    <xf numFmtId="189" fontId="46" fillId="27" borderId="20" xfId="0" applyFont="true" applyBorder="true" applyAlignment="true" applyProtection="false">
      <alignment horizontal="right" vertical="center" textRotation="0" wrapText="true" indent="0" shrinkToFit="false"/>
      <protection locked="true" hidden="false"/>
    </xf>
    <xf numFmtId="181" fontId="45" fillId="26" borderId="13" xfId="0" applyFont="true" applyBorder="true" applyAlignment="true" applyProtection="false">
      <alignment horizontal="center" vertical="center" textRotation="0" wrapText="true" indent="0" shrinkToFit="false"/>
      <protection locked="true" hidden="false"/>
    </xf>
    <xf numFmtId="200" fontId="45" fillId="26" borderId="13" xfId="0" applyFont="true" applyBorder="true" applyAlignment="true" applyProtection="false">
      <alignment horizontal="general" vertical="center" textRotation="0" wrapText="true" indent="0" shrinkToFit="false"/>
      <protection locked="true" hidden="false"/>
    </xf>
    <xf numFmtId="200" fontId="46" fillId="27" borderId="3" xfId="0" applyFont="true" applyBorder="true" applyAlignment="true" applyProtection="false">
      <alignment horizontal="right" vertical="center" textRotation="0" wrapText="true" indent="0" shrinkToFit="false"/>
      <protection locked="true" hidden="false"/>
    </xf>
    <xf numFmtId="189" fontId="45" fillId="26" borderId="20" xfId="0" applyFont="true" applyBorder="true" applyAlignment="true" applyProtection="false">
      <alignment horizontal="left" vertical="top" textRotation="0" wrapText="true" indent="0" shrinkToFit="false"/>
      <protection locked="true" hidden="false"/>
    </xf>
    <xf numFmtId="164" fontId="45" fillId="26" borderId="20" xfId="0" applyFont="true" applyBorder="true" applyAlignment="true" applyProtection="false">
      <alignment horizontal="left" vertical="top" textRotation="0" wrapText="true" indent="0" shrinkToFit="false"/>
      <protection locked="true" hidden="false"/>
    </xf>
    <xf numFmtId="190" fontId="45" fillId="26" borderId="20" xfId="0" applyFont="true" applyBorder="true" applyAlignment="true" applyProtection="false">
      <alignment horizontal="center" vertical="center" textRotation="0" wrapText="true" indent="0" shrinkToFit="false"/>
      <protection locked="true" hidden="false"/>
    </xf>
    <xf numFmtId="200" fontId="45" fillId="26" borderId="20" xfId="0" applyFont="true" applyBorder="true" applyAlignment="true" applyProtection="false">
      <alignment horizontal="right" vertical="center" textRotation="0" wrapText="true" indent="0" shrinkToFit="false"/>
      <protection locked="true" hidden="false"/>
    </xf>
    <xf numFmtId="181" fontId="45" fillId="26" borderId="20" xfId="0" applyFont="true" applyBorder="true" applyAlignment="true" applyProtection="false">
      <alignment horizontal="center" vertical="center" textRotation="0" wrapText="true" indent="0" shrinkToFit="false"/>
      <protection locked="true" hidden="false"/>
    </xf>
    <xf numFmtId="189" fontId="45" fillId="26" borderId="20" xfId="0" applyFont="true" applyBorder="true" applyAlignment="true" applyProtection="false">
      <alignment horizontal="general" vertical="center" textRotation="0" wrapText="true" indent="0" shrinkToFit="false"/>
      <protection locked="true" hidden="false"/>
    </xf>
    <xf numFmtId="200" fontId="45" fillId="26" borderId="20" xfId="0" applyFont="true" applyBorder="true" applyAlignment="true" applyProtection="false">
      <alignment horizontal="general" vertical="center" textRotation="0" wrapText="true" indent="0" shrinkToFit="false"/>
      <protection locked="true" hidden="false"/>
    </xf>
    <xf numFmtId="193" fontId="45" fillId="26" borderId="20" xfId="0" applyFont="true" applyBorder="true" applyAlignment="true" applyProtection="false">
      <alignment horizontal="general" vertical="center" textRotation="0" wrapText="true" indent="0" shrinkToFit="false"/>
      <protection locked="true" hidden="false"/>
    </xf>
    <xf numFmtId="200" fontId="46" fillId="27" borderId="15" xfId="0" applyFont="true" applyBorder="true" applyAlignment="true" applyProtection="false">
      <alignment horizontal="right" vertical="center" textRotation="0" wrapText="true" indent="0" shrinkToFit="false"/>
      <protection locked="true" hidden="false"/>
    </xf>
    <xf numFmtId="190" fontId="46" fillId="27" borderId="14" xfId="0" applyFont="true" applyBorder="true" applyAlignment="true" applyProtection="false">
      <alignment horizontal="center" vertical="center" textRotation="0" wrapText="true" indent="0" shrinkToFit="false"/>
      <protection locked="true" hidden="false"/>
    </xf>
    <xf numFmtId="189" fontId="46" fillId="27" borderId="15" xfId="0" applyFont="true" applyBorder="true" applyAlignment="true" applyProtection="false">
      <alignment horizontal="right" vertical="center" textRotation="0" wrapText="true" indent="0" shrinkToFit="false"/>
      <protection locked="true" hidden="false"/>
    </xf>
    <xf numFmtId="181" fontId="46" fillId="0" borderId="13" xfId="0" applyFont="true" applyBorder="true" applyAlignment="true" applyProtection="false">
      <alignment horizontal="general" vertical="center" textRotation="0" wrapText="true" indent="0" shrinkToFit="false"/>
      <protection locked="true" hidden="false"/>
    </xf>
    <xf numFmtId="194" fontId="46" fillId="0" borderId="13" xfId="0" applyFont="true" applyBorder="true" applyAlignment="true" applyProtection="false">
      <alignment horizontal="right" vertical="top" textRotation="0" wrapText="true" indent="0" shrinkToFit="false"/>
      <protection locked="true" hidden="false"/>
    </xf>
    <xf numFmtId="164" fontId="46" fillId="0" borderId="0" xfId="0" applyFont="true" applyBorder="false" applyAlignment="true" applyProtection="false">
      <alignment horizontal="general" vertical="bottom" textRotation="0" wrapText="true" indent="0" shrinkToFit="false"/>
      <protection locked="true" hidden="false"/>
    </xf>
    <xf numFmtId="189" fontId="46" fillId="0" borderId="13" xfId="0" applyFont="true" applyBorder="true" applyAlignment="true" applyProtection="false">
      <alignment horizontal="center" vertical="bottom" textRotation="0" wrapText="true" indent="0" shrinkToFit="false"/>
      <protection locked="true" hidden="false"/>
    </xf>
    <xf numFmtId="181" fontId="46" fillId="0" borderId="13" xfId="0" applyFont="true" applyBorder="true" applyAlignment="true" applyProtection="false">
      <alignment horizontal="general" vertical="bottom" textRotation="0" wrapText="true" indent="0" shrinkToFit="false"/>
      <protection locked="true" hidden="false"/>
    </xf>
    <xf numFmtId="189" fontId="46" fillId="27" borderId="13" xfId="0" applyFont="true" applyBorder="true" applyAlignment="true" applyProtection="false">
      <alignment horizontal="general" vertical="bottom" textRotation="0" wrapText="true" indent="0" shrinkToFit="false"/>
      <protection locked="true" hidden="false"/>
    </xf>
    <xf numFmtId="164" fontId="45" fillId="0" borderId="13" xfId="0" applyFont="true" applyBorder="true" applyAlignment="true" applyProtection="false">
      <alignment horizontal="left" vertical="top" textRotation="0" wrapText="true" indent="0" shrinkToFit="false"/>
      <protection locked="true" hidden="false"/>
    </xf>
    <xf numFmtId="164" fontId="43" fillId="0" borderId="13" xfId="187" applyFont="true" applyBorder="true" applyAlignment="true" applyProtection="false">
      <alignment horizontal="center" vertical="center" textRotation="0" wrapText="true" indent="0" shrinkToFit="false"/>
      <protection locked="true" hidden="false"/>
    </xf>
    <xf numFmtId="164" fontId="45" fillId="25" borderId="13" xfId="0" applyFont="true" applyBorder="true" applyAlignment="true" applyProtection="false">
      <alignment horizontal="center" vertical="top" textRotation="0" wrapText="true" indent="0" shrinkToFit="false"/>
      <protection locked="true" hidden="false"/>
    </xf>
    <xf numFmtId="164" fontId="45" fillId="25" borderId="13" xfId="0" applyFont="true" applyBorder="true" applyAlignment="true" applyProtection="false">
      <alignment horizontal="right" vertical="top" textRotation="0" wrapText="true" indent="0" shrinkToFit="false"/>
      <protection locked="true" hidden="false"/>
    </xf>
    <xf numFmtId="181" fontId="45" fillId="25" borderId="13" xfId="0" applyFont="true" applyBorder="true" applyAlignment="true" applyProtection="false">
      <alignment horizontal="right" vertical="top" textRotation="0" wrapText="true" indent="0" shrinkToFit="false"/>
      <protection locked="true" hidden="false"/>
    </xf>
    <xf numFmtId="189" fontId="45" fillId="25" borderId="13" xfId="0" applyFont="true" applyBorder="true" applyAlignment="true" applyProtection="false">
      <alignment horizontal="right" vertical="top" textRotation="0" wrapText="true" indent="0" shrinkToFit="false"/>
      <protection locked="true" hidden="false"/>
    </xf>
    <xf numFmtId="193" fontId="45" fillId="25" borderId="13" xfId="0" applyFont="true" applyBorder="true" applyAlignment="true" applyProtection="false">
      <alignment horizontal="right" vertical="top" textRotation="0" wrapText="true" indent="0" shrinkToFit="false"/>
      <protection locked="true" hidden="false"/>
    </xf>
    <xf numFmtId="208" fontId="46" fillId="27" borderId="13" xfId="15" applyFont="true" applyBorder="true" applyAlignment="true" applyProtection="true">
      <alignment horizontal="general" vertical="center" textRotation="0" wrapText="true" indent="0" shrinkToFit="false"/>
      <protection locked="true" hidden="false"/>
    </xf>
    <xf numFmtId="209" fontId="46" fillId="27" borderId="13" xfId="0" applyFont="true" applyBorder="true" applyAlignment="true" applyProtection="false">
      <alignment horizontal="center" vertical="center" textRotation="0" wrapText="true" indent="0" shrinkToFit="false"/>
      <protection locked="true" hidden="false"/>
    </xf>
    <xf numFmtId="177" fontId="46" fillId="27" borderId="19" xfId="0" applyFont="true" applyBorder="true" applyAlignment="true" applyProtection="false">
      <alignment horizontal="general" vertical="top" textRotation="0" wrapText="true" indent="0" shrinkToFit="false"/>
      <protection locked="true" hidden="false"/>
    </xf>
    <xf numFmtId="190" fontId="46" fillId="27" borderId="13" xfId="229" applyFont="true" applyBorder="true" applyAlignment="true" applyProtection="false">
      <alignment horizontal="center" vertical="center" textRotation="0" wrapText="true" indent="0" shrinkToFit="false"/>
      <protection locked="true" hidden="false"/>
    </xf>
    <xf numFmtId="164" fontId="46" fillId="27" borderId="0" xfId="269" applyFont="true" applyBorder="false" applyAlignment="true" applyProtection="false">
      <alignment horizontal="general" vertical="top" textRotation="0" wrapText="true" indent="0" shrinkToFit="false"/>
      <protection locked="true" hidden="false"/>
    </xf>
    <xf numFmtId="199" fontId="46" fillId="0" borderId="24" xfId="0" applyFont="true" applyBorder="true" applyAlignment="true" applyProtection="false">
      <alignment horizontal="right" vertical="top" textRotation="0" wrapText="false" indent="0" shrinkToFit="false"/>
      <protection locked="true" hidden="false"/>
    </xf>
    <xf numFmtId="200" fontId="46" fillId="27" borderId="13" xfId="229" applyFont="true" applyBorder="true" applyAlignment="true" applyProtection="false">
      <alignment horizontal="general" vertical="center" textRotation="0" wrapText="true" indent="0" shrinkToFit="false"/>
      <protection locked="true" hidden="false"/>
    </xf>
    <xf numFmtId="177" fontId="45" fillId="25" borderId="0" xfId="0" applyFont="true" applyBorder="true" applyAlignment="true" applyProtection="false">
      <alignment horizontal="center" vertical="top" textRotation="0" wrapText="true" indent="0" shrinkToFit="false"/>
      <protection locked="true" hidden="false"/>
    </xf>
    <xf numFmtId="189" fontId="45" fillId="25" borderId="13" xfId="0" applyFont="true" applyBorder="true" applyAlignment="true" applyProtection="false">
      <alignment horizontal="left" vertical="top" textRotation="0" wrapText="true" indent="0" shrinkToFit="false"/>
      <protection locked="true" hidden="false"/>
    </xf>
    <xf numFmtId="177" fontId="45" fillId="26" borderId="13" xfId="0" applyFont="true" applyBorder="true" applyAlignment="true" applyProtection="false">
      <alignment horizontal="right" vertical="top" textRotation="0" wrapText="true" indent="0" shrinkToFit="false"/>
      <protection locked="true" hidden="false"/>
    </xf>
    <xf numFmtId="177" fontId="46" fillId="27" borderId="13" xfId="0" applyFont="true" applyBorder="true" applyAlignment="true" applyProtection="false">
      <alignment horizontal="general" vertical="top" textRotation="0" wrapText="true" indent="0" shrinkToFit="false"/>
      <protection locked="true" hidden="false"/>
    </xf>
    <xf numFmtId="177" fontId="46" fillId="31" borderId="13" xfId="0" applyFont="true" applyBorder="true" applyAlignment="true" applyProtection="false">
      <alignment horizontal="left" vertical="top" textRotation="0" wrapText="true" indent="0" shrinkToFit="false"/>
      <protection locked="true" hidden="false"/>
    </xf>
    <xf numFmtId="164" fontId="46" fillId="31" borderId="13" xfId="0" applyFont="true" applyBorder="true" applyAlignment="true" applyProtection="false">
      <alignment horizontal="left" vertical="top" textRotation="0" wrapText="true" indent="0" shrinkToFit="false"/>
      <protection locked="true" hidden="false"/>
    </xf>
    <xf numFmtId="189" fontId="45" fillId="26" borderId="13" xfId="0" applyFont="true" applyBorder="true" applyAlignment="true" applyProtection="false">
      <alignment horizontal="general" vertical="top" textRotation="0" wrapText="true" indent="0" shrinkToFit="false"/>
      <protection locked="true" hidden="false"/>
    </xf>
    <xf numFmtId="193" fontId="46" fillId="26" borderId="13" xfId="0" applyFont="true" applyBorder="true" applyAlignment="true" applyProtection="false">
      <alignment horizontal="left" vertical="top" textRotation="0" wrapText="true" indent="0" shrinkToFit="false"/>
      <protection locked="true" hidden="false"/>
    </xf>
    <xf numFmtId="181" fontId="46" fillId="26" borderId="13" xfId="0" applyFont="true" applyBorder="true" applyAlignment="true" applyProtection="false">
      <alignment horizontal="general" vertical="center" textRotation="0" wrapText="true" indent="0" shrinkToFit="false"/>
      <protection locked="true" hidden="false"/>
    </xf>
    <xf numFmtId="189" fontId="46" fillId="31" borderId="13" xfId="0" applyFont="true" applyBorder="true" applyAlignment="true" applyProtection="false">
      <alignment horizontal="left" vertical="top" textRotation="0" wrapText="true" indent="0" shrinkToFit="false"/>
      <protection locked="true" hidden="false"/>
    </xf>
    <xf numFmtId="193" fontId="45" fillId="25" borderId="0" xfId="0" applyFont="true" applyBorder="true" applyAlignment="true" applyProtection="false">
      <alignment horizontal="left" vertical="top" textRotation="0" wrapText="true" indent="0" shrinkToFit="false"/>
      <protection locked="true" hidden="false"/>
    </xf>
    <xf numFmtId="164" fontId="45" fillId="25" borderId="20" xfId="0" applyFont="true" applyBorder="true" applyAlignment="true" applyProtection="false">
      <alignment horizontal="center" vertical="top" textRotation="0" wrapText="true" indent="0" shrinkToFit="false"/>
      <protection locked="true" hidden="false"/>
    </xf>
    <xf numFmtId="164" fontId="45" fillId="25" borderId="20" xfId="0" applyFont="true" applyBorder="true" applyAlignment="true" applyProtection="false">
      <alignment horizontal="right" vertical="top" textRotation="0" wrapText="true" indent="0" shrinkToFit="false"/>
      <protection locked="true" hidden="false"/>
    </xf>
    <xf numFmtId="164" fontId="45" fillId="25" borderId="18" xfId="0" applyFont="true" applyBorder="true" applyAlignment="true" applyProtection="false">
      <alignment horizontal="center" vertical="top" textRotation="0" wrapText="true" indent="0" shrinkToFit="false"/>
      <protection locked="true" hidden="false"/>
    </xf>
    <xf numFmtId="164" fontId="45" fillId="25" borderId="13" xfId="0" applyFont="true" applyBorder="true" applyAlignment="true" applyProtection="false">
      <alignment horizontal="general" vertical="bottom" textRotation="0" wrapText="true" indent="0" shrinkToFit="false"/>
      <protection locked="true" hidden="false"/>
    </xf>
    <xf numFmtId="189" fontId="46" fillId="27" borderId="14" xfId="0" applyFont="true" applyBorder="true" applyAlignment="true" applyProtection="false">
      <alignment horizontal="center" vertical="top" textRotation="0" wrapText="true" indent="0" shrinkToFit="false"/>
      <protection locked="true" hidden="false"/>
    </xf>
    <xf numFmtId="189" fontId="48" fillId="27" borderId="13" xfId="0" applyFont="true" applyBorder="true" applyAlignment="false" applyProtection="false">
      <alignment horizontal="general" vertical="bottom" textRotation="0" wrapText="false" indent="0" shrinkToFit="false"/>
      <protection locked="true" hidden="false"/>
    </xf>
    <xf numFmtId="164" fontId="45" fillId="26" borderId="14" xfId="0" applyFont="true" applyBorder="true" applyAlignment="true" applyProtection="false">
      <alignment horizontal="center" vertical="top" textRotation="0" wrapText="true" indent="0" shrinkToFit="false"/>
      <protection locked="true" hidden="false"/>
    </xf>
    <xf numFmtId="164" fontId="47" fillId="26" borderId="13" xfId="0" applyFont="true" applyBorder="true" applyAlignment="false" applyProtection="false">
      <alignment horizontal="general" vertical="bottom" textRotation="0" wrapText="false" indent="0" shrinkToFit="false"/>
      <protection locked="true" hidden="false"/>
    </xf>
    <xf numFmtId="164" fontId="46" fillId="27" borderId="14" xfId="0" applyFont="true" applyBorder="true" applyAlignment="true" applyProtection="false">
      <alignment horizontal="center" vertical="top" textRotation="0" wrapText="true" indent="0" shrinkToFit="false"/>
      <protection locked="true" hidden="false"/>
    </xf>
    <xf numFmtId="164" fontId="48" fillId="27" borderId="13" xfId="0" applyFont="true" applyBorder="true" applyAlignment="false" applyProtection="false">
      <alignment horizontal="general" vertical="bottom" textRotation="0" wrapText="false" indent="0" shrinkToFit="false"/>
      <protection locked="true" hidden="false"/>
    </xf>
    <xf numFmtId="189" fontId="45" fillId="26" borderId="14" xfId="0" applyFont="true" applyBorder="true" applyAlignment="true" applyProtection="false">
      <alignment horizontal="center" vertical="top" textRotation="0" wrapText="true" indent="0" shrinkToFit="false"/>
      <protection locked="true" hidden="false"/>
    </xf>
    <xf numFmtId="164" fontId="46" fillId="27" borderId="13" xfId="0" applyFont="true" applyBorder="true" applyAlignment="true" applyProtection="false">
      <alignment horizontal="center" vertical="top" textRotation="0" wrapText="true" indent="0" shrinkToFit="false"/>
      <protection locked="true" hidden="false"/>
    </xf>
    <xf numFmtId="177" fontId="45" fillId="25" borderId="19" xfId="0" applyFont="true" applyBorder="true" applyAlignment="true" applyProtection="false">
      <alignment horizontal="left" vertical="top" textRotation="0" wrapText="true" indent="0" shrinkToFit="false"/>
      <protection locked="true" hidden="false"/>
    </xf>
    <xf numFmtId="177" fontId="45" fillId="25" borderId="19" xfId="0" applyFont="true" applyBorder="true" applyAlignment="true" applyProtection="false">
      <alignment horizontal="general" vertical="top" textRotation="0" wrapText="true" indent="0" shrinkToFit="false"/>
      <protection locked="true" hidden="false"/>
    </xf>
    <xf numFmtId="177" fontId="45" fillId="25" borderId="19" xfId="0" applyFont="true" applyBorder="true" applyAlignment="true" applyProtection="false">
      <alignment horizontal="right" vertical="top" textRotation="0" wrapText="true" indent="0" shrinkToFit="false"/>
      <protection locked="true" hidden="false"/>
    </xf>
    <xf numFmtId="164" fontId="45" fillId="27" borderId="13" xfId="0" applyFont="true" applyBorder="true" applyAlignment="true" applyProtection="false">
      <alignment horizontal="right" vertical="top" textRotation="0" wrapText="true" indent="0" shrinkToFit="false"/>
      <protection locked="true" hidden="false"/>
    </xf>
    <xf numFmtId="189" fontId="45" fillId="0" borderId="13" xfId="0" applyFont="true" applyBorder="true" applyAlignment="true" applyProtection="false">
      <alignment horizontal="left" vertical="top" textRotation="0" wrapText="true" indent="0" shrinkToFit="false"/>
      <protection locked="true" hidden="false"/>
    </xf>
    <xf numFmtId="164" fontId="45" fillId="0" borderId="13" xfId="0" applyFont="true" applyBorder="true" applyAlignment="true" applyProtection="false">
      <alignment horizontal="center" vertical="top" textRotation="0" wrapText="true" indent="0" shrinkToFit="false"/>
      <protection locked="true" hidden="false"/>
    </xf>
    <xf numFmtId="164" fontId="45" fillId="0" borderId="13" xfId="0" applyFont="true" applyBorder="true" applyAlignment="true" applyProtection="false">
      <alignment horizontal="right" vertical="top" textRotation="0" wrapText="true" indent="0" shrinkToFit="false"/>
      <protection locked="true" hidden="false"/>
    </xf>
    <xf numFmtId="181" fontId="45" fillId="0" borderId="13" xfId="0" applyFont="true" applyBorder="true" applyAlignment="true" applyProtection="false">
      <alignment horizontal="right" vertical="top" textRotation="0" wrapText="true" indent="0" shrinkToFit="false"/>
      <protection locked="true" hidden="false"/>
    </xf>
    <xf numFmtId="164" fontId="46" fillId="0" borderId="13" xfId="269" applyFont="true" applyBorder="true" applyAlignment="true" applyProtection="false">
      <alignment horizontal="left" vertical="top" textRotation="0" wrapText="true" indent="0" shrinkToFit="false"/>
      <protection locked="true" hidden="false"/>
    </xf>
    <xf numFmtId="177" fontId="45" fillId="27" borderId="13" xfId="0" applyFont="true" applyBorder="true" applyAlignment="true" applyProtection="false">
      <alignment horizontal="general" vertical="top" textRotation="0" wrapText="true" indent="0" shrinkToFit="false"/>
      <protection locked="true" hidden="false"/>
    </xf>
    <xf numFmtId="164" fontId="42" fillId="26" borderId="13" xfId="187" applyFont="true" applyBorder="true" applyAlignment="true" applyProtection="false">
      <alignment horizontal="general" vertical="bottom" textRotation="0" wrapText="true" indent="0" shrinkToFit="false"/>
      <protection locked="true" hidden="false"/>
    </xf>
    <xf numFmtId="164" fontId="43" fillId="26" borderId="13" xfId="187" applyFont="true" applyBorder="true" applyAlignment="true" applyProtection="false">
      <alignment horizontal="center" vertical="center" textRotation="0" wrapText="false" indent="0" shrinkToFit="false"/>
      <protection locked="true" hidden="false"/>
    </xf>
    <xf numFmtId="191" fontId="43" fillId="26" borderId="13" xfId="15" applyFont="true" applyBorder="true" applyAlignment="true" applyProtection="true">
      <alignment horizontal="general" vertical="bottom" textRotation="0" wrapText="false" indent="0" shrinkToFit="false"/>
      <protection locked="true" hidden="false"/>
    </xf>
    <xf numFmtId="164" fontId="45" fillId="26" borderId="13" xfId="0" applyFont="true" applyBorder="true" applyAlignment="true" applyProtection="false">
      <alignment horizontal="right" vertical="top" textRotation="0" wrapText="true" indent="0" shrinkToFit="false"/>
      <protection locked="true" hidden="false"/>
    </xf>
    <xf numFmtId="164" fontId="48" fillId="27" borderId="13" xfId="181" applyFont="true" applyBorder="true" applyAlignment="true" applyProtection="false">
      <alignment horizontal="general" vertical="bottom" textRotation="0" wrapText="true" indent="0" shrinkToFit="false"/>
      <protection locked="true" hidden="false"/>
    </xf>
    <xf numFmtId="164" fontId="48" fillId="0" borderId="13" xfId="228" applyFont="true" applyBorder="true" applyAlignment="true" applyProtection="false">
      <alignment horizontal="left" vertical="center" textRotation="0" wrapText="true" indent="0" shrinkToFit="false"/>
      <protection locked="true" hidden="false"/>
    </xf>
    <xf numFmtId="164" fontId="48" fillId="0" borderId="20" xfId="228" applyFont="true" applyBorder="true" applyAlignment="true" applyProtection="false">
      <alignment horizontal="center" vertical="center" textRotation="0" wrapText="false" indent="0" shrinkToFit="false"/>
      <protection locked="true" hidden="false"/>
    </xf>
    <xf numFmtId="210" fontId="48" fillId="0" borderId="20" xfId="319" applyFont="true" applyBorder="true" applyAlignment="true" applyProtection="true">
      <alignment horizontal="center" vertical="center" textRotation="0" wrapText="false" indent="0" shrinkToFit="false"/>
      <protection locked="true" hidden="false"/>
    </xf>
    <xf numFmtId="181" fontId="48" fillId="0" borderId="20" xfId="228" applyFont="true" applyBorder="true" applyAlignment="true" applyProtection="false">
      <alignment horizontal="center" vertical="center" textRotation="0" wrapText="false" indent="0" shrinkToFit="false"/>
      <protection locked="true" hidden="false"/>
    </xf>
    <xf numFmtId="210" fontId="48" fillId="0" borderId="13" xfId="319" applyFont="true" applyBorder="true" applyAlignment="true" applyProtection="true">
      <alignment horizontal="center" vertical="center" textRotation="0" wrapText="false" indent="0" shrinkToFit="false"/>
      <protection locked="true" hidden="false"/>
    </xf>
    <xf numFmtId="177" fontId="42" fillId="26" borderId="13" xfId="187" applyFont="true" applyBorder="true" applyAlignment="true" applyProtection="false">
      <alignment horizontal="center" vertical="bottom" textRotation="0" wrapText="false" indent="0" shrinkToFit="false"/>
      <protection locked="true" hidden="false"/>
    </xf>
    <xf numFmtId="177" fontId="46" fillId="26" borderId="13" xfId="0" applyFont="true" applyBorder="true" applyAlignment="true" applyProtection="false">
      <alignment horizontal="right" vertical="center" textRotation="0" wrapText="true" indent="0" shrinkToFit="false"/>
      <protection locked="true" hidden="false"/>
    </xf>
    <xf numFmtId="164" fontId="46" fillId="26" borderId="13" xfId="0" applyFont="true" applyBorder="true" applyAlignment="true" applyProtection="false">
      <alignment horizontal="left" vertical="top" textRotation="0" wrapText="true" indent="0" shrinkToFit="false"/>
      <protection locked="true" hidden="false"/>
    </xf>
    <xf numFmtId="164" fontId="46" fillId="26" borderId="13" xfId="0" applyFont="true" applyBorder="true" applyAlignment="true" applyProtection="false">
      <alignment horizontal="right" vertical="top" textRotation="0" wrapText="true" indent="0" shrinkToFit="false"/>
      <protection locked="true" hidden="false"/>
    </xf>
    <xf numFmtId="193" fontId="46" fillId="26" borderId="13" xfId="0" applyFont="true" applyBorder="true" applyAlignment="true" applyProtection="false">
      <alignment horizontal="right" vertical="top" textRotation="0" wrapText="true" indent="0" shrinkToFit="false"/>
      <protection locked="true" hidden="false"/>
    </xf>
    <xf numFmtId="189" fontId="46" fillId="26" borderId="13" xfId="0" applyFont="true" applyBorder="true" applyAlignment="true" applyProtection="false">
      <alignment horizontal="right" vertical="top" textRotation="0" wrapText="true" indent="0" shrinkToFit="false"/>
      <protection locked="true" hidden="false"/>
    </xf>
    <xf numFmtId="181" fontId="46" fillId="26" borderId="13" xfId="0" applyFont="true" applyBorder="true" applyAlignment="true" applyProtection="false">
      <alignment horizontal="right" vertical="top" textRotation="0" wrapText="true" indent="0" shrinkToFit="false"/>
      <protection locked="true" hidden="false"/>
    </xf>
    <xf numFmtId="177" fontId="49" fillId="27" borderId="13" xfId="0" applyFont="true" applyBorder="true" applyAlignment="true" applyProtection="false">
      <alignment horizontal="left" vertical="top" textRotation="0" wrapText="true" indent="0" shrinkToFit="false"/>
      <protection locked="true" hidden="false"/>
    </xf>
    <xf numFmtId="164" fontId="46" fillId="27" borderId="13" xfId="269" applyFont="true" applyBorder="true" applyAlignment="true" applyProtection="false">
      <alignment horizontal="right" vertical="top" textRotation="0" wrapText="true" indent="0" shrinkToFit="false"/>
      <protection locked="true" hidden="false"/>
    </xf>
    <xf numFmtId="164" fontId="45" fillId="27" borderId="13" xfId="269" applyFont="true" applyBorder="true" applyAlignment="true" applyProtection="false">
      <alignment horizontal="right" vertical="top" textRotation="0" wrapText="true" indent="0" shrinkToFit="false"/>
      <protection locked="true" hidden="false"/>
    </xf>
    <xf numFmtId="164" fontId="46" fillId="0" borderId="13" xfId="269" applyFont="true" applyBorder="true" applyAlignment="true" applyProtection="false">
      <alignment horizontal="right" vertical="top" textRotation="0" wrapText="true" indent="0" shrinkToFit="false"/>
      <protection locked="true" hidden="false"/>
    </xf>
    <xf numFmtId="177" fontId="70" fillId="27" borderId="13" xfId="0" applyFont="true" applyBorder="true" applyAlignment="true" applyProtection="false">
      <alignment horizontal="left" vertical="top" textRotation="0" wrapText="true" indent="0" shrinkToFit="false"/>
      <protection locked="true" hidden="false"/>
    </xf>
    <xf numFmtId="164" fontId="48" fillId="0" borderId="13" xfId="185" applyFont="true" applyBorder="true" applyAlignment="true" applyProtection="false">
      <alignment horizontal="left" vertical="center" textRotation="0" wrapText="true" indent="0" shrinkToFit="false"/>
      <protection locked="true" hidden="false"/>
    </xf>
    <xf numFmtId="164" fontId="48" fillId="0" borderId="20" xfId="185" applyFont="true" applyBorder="true" applyAlignment="true" applyProtection="false">
      <alignment horizontal="center" vertical="center" textRotation="0" wrapText="false" indent="0" shrinkToFit="false"/>
      <protection locked="true" hidden="false"/>
    </xf>
    <xf numFmtId="210" fontId="48" fillId="0" borderId="20" xfId="316" applyFont="true" applyBorder="true" applyAlignment="true" applyProtection="true">
      <alignment horizontal="center" vertical="center" textRotation="0" wrapText="false" indent="0" shrinkToFit="false"/>
      <protection locked="true" hidden="false"/>
    </xf>
    <xf numFmtId="181" fontId="48" fillId="0" borderId="20" xfId="185" applyFont="true" applyBorder="true" applyAlignment="true" applyProtection="false">
      <alignment horizontal="center" vertical="center" textRotation="0" wrapText="false" indent="0" shrinkToFit="false"/>
      <protection locked="true" hidden="false"/>
    </xf>
    <xf numFmtId="210" fontId="48" fillId="0" borderId="13" xfId="316" applyFont="true" applyBorder="true" applyAlignment="true" applyProtection="true">
      <alignment horizontal="center" vertical="center" textRotation="0" wrapText="false" indent="0" shrinkToFit="false"/>
      <protection locked="true" hidden="false"/>
    </xf>
    <xf numFmtId="164" fontId="46" fillId="27" borderId="20" xfId="0" applyFont="true" applyBorder="true" applyAlignment="true" applyProtection="false">
      <alignment horizontal="center" vertical="top" textRotation="0" wrapText="true" indent="0" shrinkToFit="false"/>
      <protection locked="true" hidden="false"/>
    </xf>
    <xf numFmtId="164" fontId="46" fillId="27" borderId="20" xfId="0" applyFont="true" applyBorder="true" applyAlignment="true" applyProtection="false">
      <alignment horizontal="right" vertical="top" textRotation="0" wrapText="true" indent="0" shrinkToFit="false"/>
      <protection locked="true" hidden="false"/>
    </xf>
    <xf numFmtId="181" fontId="46" fillId="27" borderId="20" xfId="0" applyFont="true" applyBorder="true" applyAlignment="true" applyProtection="false">
      <alignment horizontal="right" vertical="top" textRotation="0" wrapText="true" indent="0" shrinkToFit="false"/>
      <protection locked="true" hidden="false"/>
    </xf>
    <xf numFmtId="177" fontId="49" fillId="27" borderId="13" xfId="267" applyFont="true" applyBorder="true" applyAlignment="true" applyProtection="false">
      <alignment horizontal="center" vertical="top" textRotation="0" wrapText="true" indent="0" shrinkToFit="false"/>
      <protection locked="true" hidden="false"/>
    </xf>
    <xf numFmtId="210" fontId="42" fillId="0" borderId="13" xfId="316" applyFont="true" applyBorder="true" applyAlignment="true" applyProtection="true">
      <alignment horizontal="center" vertical="center" textRotation="0" wrapText="false" indent="0" shrinkToFit="false"/>
      <protection locked="true" hidden="false"/>
    </xf>
    <xf numFmtId="164" fontId="48" fillId="0" borderId="13" xfId="185" applyFont="true" applyBorder="true" applyAlignment="true" applyProtection="false">
      <alignment horizontal="center" vertical="center" textRotation="0" wrapText="false" indent="0" shrinkToFit="false"/>
      <protection locked="true" hidden="false"/>
    </xf>
    <xf numFmtId="181" fontId="48" fillId="0" borderId="13" xfId="185" applyFont="true" applyBorder="true" applyAlignment="true" applyProtection="false">
      <alignment horizontal="center" vertical="center" textRotation="0" wrapText="false" indent="0" shrinkToFit="false"/>
      <protection locked="true" hidden="false"/>
    </xf>
    <xf numFmtId="164" fontId="42" fillId="27" borderId="13" xfId="181" applyFont="true" applyBorder="true" applyAlignment="true" applyProtection="false">
      <alignment horizontal="general" vertical="bottom" textRotation="0" wrapText="true" indent="0" shrinkToFit="false"/>
      <protection locked="true" hidden="false"/>
    </xf>
    <xf numFmtId="164" fontId="43" fillId="0" borderId="13" xfId="185" applyFont="true" applyBorder="true" applyAlignment="true" applyProtection="false">
      <alignment horizontal="left" vertical="center" textRotation="0" wrapText="false" indent="0" shrinkToFit="false"/>
      <protection locked="true" hidden="false"/>
    </xf>
    <xf numFmtId="164" fontId="43" fillId="0" borderId="13" xfId="185" applyFont="true" applyBorder="true" applyAlignment="true" applyProtection="false">
      <alignment horizontal="center" vertical="center" textRotation="0" wrapText="false" indent="0" shrinkToFit="false"/>
      <protection locked="true" hidden="false"/>
    </xf>
    <xf numFmtId="164" fontId="42" fillId="27" borderId="20" xfId="181" applyFont="true" applyBorder="true" applyAlignment="true" applyProtection="false">
      <alignment horizontal="general" vertical="bottom" textRotation="0" wrapText="true" indent="0" shrinkToFit="false"/>
      <protection locked="true" hidden="false"/>
    </xf>
    <xf numFmtId="189" fontId="46" fillId="27" borderId="20" xfId="268" applyFont="true" applyBorder="true" applyAlignment="true" applyProtection="false">
      <alignment horizontal="center" vertical="center" textRotation="0" wrapText="true" indent="0" shrinkToFit="false"/>
      <protection locked="true" hidden="false"/>
    </xf>
    <xf numFmtId="164" fontId="48" fillId="0" borderId="13" xfId="0" applyFont="true" applyBorder="true" applyAlignment="true" applyProtection="false">
      <alignment horizontal="center" vertical="center" textRotation="0" wrapText="true" indent="0" shrinkToFit="false"/>
      <protection locked="true" hidden="false"/>
    </xf>
    <xf numFmtId="164" fontId="48" fillId="0" borderId="20" xfId="0" applyFont="true" applyBorder="true" applyAlignment="true" applyProtection="false">
      <alignment horizontal="center" vertical="center" textRotation="0" wrapText="false" indent="0" shrinkToFit="false"/>
      <protection locked="true" hidden="false"/>
    </xf>
    <xf numFmtId="210" fontId="48" fillId="0" borderId="20" xfId="15" applyFont="true" applyBorder="true" applyAlignment="true" applyProtection="true">
      <alignment horizontal="center" vertical="center" textRotation="0" wrapText="false" indent="0" shrinkToFit="false"/>
      <protection locked="true" hidden="false"/>
    </xf>
    <xf numFmtId="181" fontId="48" fillId="0" borderId="20" xfId="0" applyFont="true" applyBorder="true" applyAlignment="true" applyProtection="false">
      <alignment horizontal="center" vertical="center" textRotation="0" wrapText="false" indent="0" shrinkToFit="false"/>
      <protection locked="true" hidden="false"/>
    </xf>
    <xf numFmtId="210" fontId="48" fillId="0" borderId="13" xfId="15" applyFont="true" applyBorder="true" applyAlignment="true" applyProtection="true">
      <alignment horizontal="center" vertical="center" textRotation="0" wrapText="false" indent="0" shrinkToFit="false"/>
      <protection locked="true" hidden="false"/>
    </xf>
    <xf numFmtId="189" fontId="45" fillId="27" borderId="20" xfId="268" applyFont="true" applyBorder="true" applyAlignment="true" applyProtection="false">
      <alignment horizontal="left" vertical="center" textRotation="0" wrapText="true" indent="0" shrinkToFit="false"/>
      <protection locked="true" hidden="false"/>
    </xf>
    <xf numFmtId="164" fontId="47" fillId="0" borderId="13" xfId="0" applyFont="true" applyBorder="true" applyAlignment="true" applyProtection="false">
      <alignment horizontal="center" vertical="center" textRotation="0" wrapText="false" indent="0" shrinkToFit="false"/>
      <protection locked="true" hidden="false"/>
    </xf>
    <xf numFmtId="164" fontId="48" fillId="0" borderId="13" xfId="0" applyFont="true" applyBorder="true" applyAlignment="true" applyProtection="false">
      <alignment horizontal="center" vertical="center" textRotation="0" wrapText="false" indent="0" shrinkToFit="false"/>
      <protection locked="true" hidden="false"/>
    </xf>
    <xf numFmtId="210" fontId="47" fillId="0" borderId="13" xfId="15" applyFont="true" applyBorder="true" applyAlignment="true" applyProtection="true">
      <alignment horizontal="center" vertical="center" textRotation="0" wrapText="false" indent="0" shrinkToFit="false"/>
      <protection locked="true" hidden="false"/>
    </xf>
    <xf numFmtId="210" fontId="42" fillId="0" borderId="13" xfId="15" applyFont="true" applyBorder="true" applyAlignment="true" applyProtection="true">
      <alignment horizontal="center" vertical="center" textRotation="0" wrapText="false" indent="0" shrinkToFit="false"/>
      <protection locked="true" hidden="false"/>
    </xf>
    <xf numFmtId="193" fontId="45" fillId="25" borderId="13" xfId="0" applyFont="true" applyBorder="true" applyAlignment="true" applyProtection="false">
      <alignment horizontal="general" vertical="top" textRotation="0" wrapText="true" indent="0" shrinkToFit="false"/>
      <protection locked="true" hidden="false"/>
    </xf>
    <xf numFmtId="189" fontId="45" fillId="25" borderId="13" xfId="0" applyFont="true" applyBorder="true" applyAlignment="true" applyProtection="false">
      <alignment horizontal="center" vertical="center" textRotation="0" wrapText="true" indent="0" shrinkToFit="false"/>
      <protection locked="true" hidden="false"/>
    </xf>
    <xf numFmtId="177" fontId="45" fillId="27" borderId="13" xfId="267" applyFont="true" applyBorder="true" applyAlignment="true" applyProtection="false">
      <alignment horizontal="left" vertical="top" textRotation="0" wrapText="true" indent="0" shrinkToFit="false"/>
      <protection locked="true" hidden="false"/>
    </xf>
    <xf numFmtId="189" fontId="45" fillId="27" borderId="13" xfId="267" applyFont="true" applyBorder="true" applyAlignment="true" applyProtection="false">
      <alignment horizontal="center" vertical="top" textRotation="0" wrapText="true" indent="0" shrinkToFit="false"/>
      <protection locked="true" hidden="false"/>
    </xf>
    <xf numFmtId="189" fontId="45" fillId="27" borderId="13" xfId="267" applyFont="true" applyBorder="true" applyAlignment="true" applyProtection="false">
      <alignment horizontal="right" vertical="top" textRotation="0" wrapText="true" indent="0" shrinkToFit="false"/>
      <protection locked="true" hidden="false"/>
    </xf>
    <xf numFmtId="181" fontId="45" fillId="27" borderId="13" xfId="267" applyFont="true" applyBorder="true" applyAlignment="true" applyProtection="false">
      <alignment horizontal="right" vertical="top" textRotation="0" wrapText="true" indent="0" shrinkToFit="false"/>
      <protection locked="true" hidden="false"/>
    </xf>
    <xf numFmtId="193" fontId="45" fillId="27" borderId="13" xfId="267" applyFont="true" applyBorder="true" applyAlignment="true" applyProtection="false">
      <alignment horizontal="right" vertical="top" textRotation="0" wrapText="true" indent="0" shrinkToFit="false"/>
      <protection locked="true" hidden="false"/>
    </xf>
    <xf numFmtId="177" fontId="46" fillId="27" borderId="19" xfId="0" applyFont="true" applyBorder="true" applyAlignment="true" applyProtection="false">
      <alignment horizontal="center" vertical="center" textRotation="0" wrapText="true" indent="0" shrinkToFit="false"/>
      <protection locked="true" hidden="false"/>
    </xf>
    <xf numFmtId="177" fontId="45" fillId="25" borderId="19" xfId="267" applyFont="true" applyBorder="true" applyAlignment="true" applyProtection="false">
      <alignment horizontal="left" vertical="top" textRotation="0" wrapText="true" indent="0" shrinkToFit="false"/>
      <protection locked="true" hidden="false"/>
    </xf>
    <xf numFmtId="177" fontId="45" fillId="25" borderId="19" xfId="267" applyFont="true" applyBorder="true" applyAlignment="true" applyProtection="false">
      <alignment horizontal="general" vertical="top" textRotation="0" wrapText="true" indent="0" shrinkToFit="false"/>
      <protection locked="true" hidden="false"/>
    </xf>
    <xf numFmtId="177" fontId="45" fillId="25" borderId="19" xfId="267" applyFont="true" applyBorder="true" applyAlignment="true" applyProtection="false">
      <alignment horizontal="right" vertical="top" textRotation="0" wrapText="true" indent="0" shrinkToFit="false"/>
      <protection locked="true" hidden="false"/>
    </xf>
    <xf numFmtId="177" fontId="45" fillId="0" borderId="13" xfId="0" applyFont="true" applyBorder="true" applyAlignment="true" applyProtection="false">
      <alignment horizontal="left" vertical="top" textRotation="0" wrapText="true" indent="0" shrinkToFit="false"/>
      <protection locked="true" hidden="false"/>
    </xf>
    <xf numFmtId="193" fontId="45" fillId="0" borderId="13" xfId="0" applyFont="true" applyBorder="true" applyAlignment="true" applyProtection="false">
      <alignment horizontal="general" vertical="center" textRotation="0" wrapText="true" indent="0" shrinkToFit="false"/>
      <protection locked="true" hidden="false"/>
    </xf>
    <xf numFmtId="177" fontId="46" fillId="0" borderId="13" xfId="0" applyFont="true" applyBorder="true" applyAlignment="true" applyProtection="false">
      <alignment horizontal="general" vertical="top" textRotation="0" wrapText="true" indent="0" shrinkToFit="false"/>
      <protection locked="true" hidden="false"/>
    </xf>
    <xf numFmtId="164" fontId="46" fillId="0" borderId="13" xfId="0" applyFont="true" applyBorder="true" applyAlignment="true" applyProtection="false">
      <alignment horizontal="center" vertical="top" textRotation="0" wrapText="false" indent="0" shrinkToFit="false"/>
      <protection locked="true" hidden="false"/>
    </xf>
    <xf numFmtId="164" fontId="46" fillId="0" borderId="13" xfId="0" applyFont="true" applyBorder="true" applyAlignment="true" applyProtection="false">
      <alignment horizontal="left" vertical="top" textRotation="0" wrapText="false" indent="0" shrinkToFit="false"/>
      <protection locked="true" hidden="false"/>
    </xf>
    <xf numFmtId="164" fontId="47" fillId="0" borderId="13" xfId="0" applyFont="true" applyBorder="true" applyAlignment="true" applyProtection="false">
      <alignment horizontal="left" vertical="top" textRotation="0" wrapText="true" indent="0" shrinkToFit="false"/>
      <protection locked="true" hidden="false"/>
    </xf>
    <xf numFmtId="177" fontId="46" fillId="0" borderId="0" xfId="0" applyFont="true" applyBorder="true" applyAlignment="true" applyProtection="false">
      <alignment horizontal="center" vertical="top" textRotation="0" wrapText="true" indent="0" shrinkToFit="false"/>
      <protection locked="true" hidden="false"/>
    </xf>
    <xf numFmtId="177" fontId="46" fillId="0" borderId="13" xfId="187" applyFont="true" applyBorder="true" applyAlignment="true" applyProtection="false">
      <alignment horizontal="center" vertical="top" textRotation="0" wrapText="false" indent="0" shrinkToFit="false"/>
      <protection locked="true" hidden="false"/>
    </xf>
    <xf numFmtId="177" fontId="45" fillId="25" borderId="13" xfId="0" applyFont="true" applyBorder="true" applyAlignment="true" applyProtection="false">
      <alignment horizontal="left" vertical="top" textRotation="0" wrapText="true" indent="0" shrinkToFit="false"/>
      <protection locked="true" hidden="false"/>
    </xf>
    <xf numFmtId="177" fontId="45" fillId="25" borderId="13" xfId="0" applyFont="true" applyBorder="true" applyAlignment="true" applyProtection="false">
      <alignment horizontal="general" vertical="top" textRotation="0" wrapText="true" indent="0" shrinkToFit="false"/>
      <protection locked="true" hidden="false"/>
    </xf>
    <xf numFmtId="177" fontId="45" fillId="25" borderId="13" xfId="0" applyFont="true" applyBorder="true" applyAlignment="true" applyProtection="false">
      <alignment horizontal="right" vertical="top" textRotation="0" wrapText="true" indent="0" shrinkToFit="false"/>
      <protection locked="true" hidden="false"/>
    </xf>
    <xf numFmtId="193" fontId="49" fillId="27" borderId="13" xfId="0" applyFont="true" applyBorder="true" applyAlignment="true" applyProtection="false">
      <alignment horizontal="left" vertical="top" textRotation="0" wrapText="true" indent="0" shrinkToFit="false"/>
      <protection locked="true" hidden="false"/>
    </xf>
    <xf numFmtId="193" fontId="45" fillId="26" borderId="13" xfId="0" applyFont="true" applyBorder="true" applyAlignment="true" applyProtection="false">
      <alignment horizontal="left" vertical="center" textRotation="0" wrapText="true" indent="0" shrinkToFit="false"/>
      <protection locked="true" hidden="false"/>
    </xf>
    <xf numFmtId="181" fontId="45" fillId="26" borderId="13" xfId="0" applyFont="true" applyBorder="true" applyAlignment="true" applyProtection="false">
      <alignment horizontal="right" vertical="center" textRotation="0" wrapText="true" indent="0" shrinkToFit="false"/>
      <protection locked="true" hidden="false"/>
    </xf>
    <xf numFmtId="189" fontId="50" fillId="27" borderId="13" xfId="0" applyFont="true" applyBorder="true" applyAlignment="true" applyProtection="false">
      <alignment horizontal="center" vertical="top" textRotation="0" wrapText="true" indent="0" shrinkToFit="false"/>
      <protection locked="true" hidden="false"/>
    </xf>
    <xf numFmtId="177" fontId="45" fillId="26" borderId="13" xfId="0" applyFont="true" applyBorder="true" applyAlignment="true" applyProtection="false">
      <alignment horizontal="right" vertical="center" textRotation="0" wrapText="true" indent="0" shrinkToFit="false"/>
      <protection locked="true" hidden="false"/>
    </xf>
    <xf numFmtId="164" fontId="46" fillId="27" borderId="19" xfId="269" applyFont="true" applyBorder="true" applyAlignment="true" applyProtection="false">
      <alignment horizontal="left" vertical="top" textRotation="0" wrapText="true" indent="0" shrinkToFit="false"/>
      <protection locked="true" hidden="false"/>
    </xf>
    <xf numFmtId="177" fontId="45" fillId="26" borderId="13" xfId="269" applyFont="true" applyBorder="true" applyAlignment="true" applyProtection="false">
      <alignment horizontal="center" vertical="center" textRotation="0" wrapText="true" indent="0" shrinkToFit="false"/>
      <protection locked="true" hidden="false"/>
    </xf>
    <xf numFmtId="177" fontId="45" fillId="26" borderId="13" xfId="269" applyFont="true" applyBorder="true" applyAlignment="true" applyProtection="false">
      <alignment horizontal="left" vertical="center" textRotation="0" wrapText="true" indent="0" shrinkToFit="false"/>
      <protection locked="true" hidden="false"/>
    </xf>
    <xf numFmtId="164" fontId="46" fillId="27" borderId="20" xfId="0" applyFont="true" applyBorder="true" applyAlignment="true" applyProtection="false">
      <alignment horizontal="left" vertical="top" textRotation="0" wrapText="true" indent="0" shrinkToFit="false"/>
      <protection locked="true" hidden="false"/>
    </xf>
    <xf numFmtId="189" fontId="45" fillId="27" borderId="20" xfId="0" applyFont="true" applyBorder="true" applyAlignment="true" applyProtection="false">
      <alignment horizontal="general" vertical="top" textRotation="0" wrapText="true" indent="0" shrinkToFit="false"/>
      <protection locked="true" hidden="false"/>
    </xf>
    <xf numFmtId="189" fontId="45" fillId="27" borderId="20" xfId="0" applyFont="true" applyBorder="true" applyAlignment="true" applyProtection="false">
      <alignment horizontal="right" vertical="top" textRotation="0" wrapText="true" indent="0" shrinkToFit="false"/>
      <protection locked="true" hidden="false"/>
    </xf>
    <xf numFmtId="181" fontId="45" fillId="27" borderId="20" xfId="0" applyFont="true" applyBorder="true" applyAlignment="true" applyProtection="false">
      <alignment horizontal="right" vertical="top" textRotation="0" wrapText="true" indent="0" shrinkToFit="false"/>
      <protection locked="true" hidden="false"/>
    </xf>
    <xf numFmtId="193" fontId="45" fillId="27" borderId="20" xfId="0" applyFont="true" applyBorder="true" applyAlignment="true" applyProtection="false">
      <alignment horizontal="right" vertical="top" textRotation="0" wrapText="true" indent="0" shrinkToFit="false"/>
      <protection locked="true" hidden="false"/>
    </xf>
    <xf numFmtId="181" fontId="46" fillId="27" borderId="13" xfId="0" applyFont="true" applyBorder="true" applyAlignment="true" applyProtection="false">
      <alignment horizontal="right" vertical="center" textRotation="0" wrapText="true" indent="0" shrinkToFit="false"/>
      <protection locked="true" hidden="false"/>
    </xf>
    <xf numFmtId="177" fontId="45" fillId="27" borderId="20" xfId="0" applyFont="true" applyBorder="true" applyAlignment="true" applyProtection="false">
      <alignment horizontal="center" vertical="top" textRotation="0" wrapText="true" indent="0" shrinkToFit="false"/>
      <protection locked="true" hidden="false"/>
    </xf>
    <xf numFmtId="192" fontId="46" fillId="27" borderId="20" xfId="15" applyFont="true" applyBorder="true" applyAlignment="true" applyProtection="true">
      <alignment horizontal="left" vertical="top" textRotation="0" wrapText="true" indent="0" shrinkToFit="false"/>
      <protection locked="true" hidden="false"/>
    </xf>
    <xf numFmtId="189" fontId="45" fillId="27" borderId="20" xfId="0" applyFont="true" applyBorder="true" applyAlignment="true" applyProtection="false">
      <alignment horizontal="center" vertical="top" textRotation="0" wrapText="true" indent="0" shrinkToFit="false"/>
      <protection locked="true" hidden="false"/>
    </xf>
    <xf numFmtId="164" fontId="45" fillId="27" borderId="20" xfId="0" applyFont="true" applyBorder="true" applyAlignment="true" applyProtection="false">
      <alignment horizontal="right" vertical="top" textRotation="0" wrapText="true" indent="0" shrinkToFit="false"/>
      <protection locked="true" hidden="false"/>
    </xf>
    <xf numFmtId="164" fontId="46" fillId="26" borderId="13" xfId="269" applyFont="true" applyBorder="true" applyAlignment="true" applyProtection="false">
      <alignment horizontal="left" vertical="top" textRotation="0" wrapText="true" indent="0" shrinkToFit="false"/>
      <protection locked="true" hidden="false"/>
    </xf>
    <xf numFmtId="164" fontId="46" fillId="29" borderId="0" xfId="0" applyFont="true" applyBorder="false" applyAlignment="true" applyProtection="false">
      <alignment horizontal="center" vertical="top" textRotation="0" wrapText="true" indent="0" shrinkToFit="false"/>
      <protection locked="true" hidden="false"/>
    </xf>
    <xf numFmtId="177" fontId="42" fillId="27" borderId="14" xfId="187" applyFont="true" applyBorder="true" applyAlignment="true" applyProtection="false">
      <alignment horizontal="center" vertical="top" textRotation="0" wrapText="false" indent="0" shrinkToFit="false"/>
      <protection locked="true" hidden="false"/>
    </xf>
    <xf numFmtId="193" fontId="42" fillId="25" borderId="13" xfId="187" applyFont="true" applyBorder="true" applyAlignment="true" applyProtection="false">
      <alignment horizontal="general" vertical="top" textRotation="0" wrapText="true" indent="0" shrinkToFit="false"/>
      <protection locked="true" hidden="false"/>
    </xf>
    <xf numFmtId="193" fontId="43" fillId="0" borderId="13" xfId="187" applyFont="true" applyBorder="true" applyAlignment="true" applyProtection="false">
      <alignment horizontal="general" vertical="top" textRotation="0" wrapText="true" indent="0" shrinkToFit="false"/>
      <protection locked="true" hidden="false"/>
    </xf>
    <xf numFmtId="164" fontId="42" fillId="0" borderId="13" xfId="187" applyFont="true" applyBorder="true" applyAlignment="true" applyProtection="false">
      <alignment horizontal="general" vertical="top" textRotation="0" wrapText="true" indent="0" shrinkToFit="false"/>
      <protection locked="true" hidden="false"/>
    </xf>
    <xf numFmtId="177" fontId="46" fillId="27" borderId="14" xfId="0" applyFont="true" applyBorder="true" applyAlignment="true" applyProtection="false">
      <alignment horizontal="left" vertical="top" textRotation="0" wrapText="true" indent="0" shrinkToFit="false"/>
      <protection locked="true" hidden="false"/>
    </xf>
    <xf numFmtId="189" fontId="45" fillId="27" borderId="0" xfId="0" applyFont="true" applyBorder="true" applyAlignment="true" applyProtection="false">
      <alignment horizontal="right" vertical="top" textRotation="0" wrapText="true" indent="0" shrinkToFit="false"/>
      <protection locked="true" hidden="false"/>
    </xf>
    <xf numFmtId="193" fontId="45" fillId="27" borderId="0" xfId="0" applyFont="true" applyBorder="true" applyAlignment="true" applyProtection="false">
      <alignment horizontal="right" vertical="top" textRotation="0" wrapText="true" indent="0" shrinkToFit="false"/>
      <protection locked="true" hidden="false"/>
    </xf>
    <xf numFmtId="189" fontId="46" fillId="25" borderId="13" xfId="0" applyFont="true" applyBorder="true" applyAlignment="true" applyProtection="false">
      <alignment horizontal="right" vertical="top" textRotation="0" wrapText="true" indent="0" shrinkToFit="false"/>
      <protection locked="true" hidden="false"/>
    </xf>
    <xf numFmtId="193" fontId="46" fillId="25" borderId="13" xfId="0" applyFont="true" applyBorder="true" applyAlignment="true" applyProtection="false">
      <alignment horizontal="center" vertical="top" textRotation="0" wrapText="true" indent="0" shrinkToFit="false"/>
      <protection locked="true" hidden="false"/>
    </xf>
    <xf numFmtId="189" fontId="46" fillId="25" borderId="14" xfId="0" applyFont="true" applyBorder="true" applyAlignment="true" applyProtection="false">
      <alignment horizontal="center" vertical="top" textRotation="0" wrapText="true" indent="0" shrinkToFit="false"/>
      <protection locked="true" hidden="false"/>
    </xf>
    <xf numFmtId="194" fontId="45" fillId="25" borderId="13" xfId="0" applyFont="true" applyBorder="true" applyAlignment="true" applyProtection="false">
      <alignment horizontal="right" vertical="top" textRotation="0" wrapText="true" indent="0" shrinkToFit="false"/>
      <protection locked="true" hidden="false"/>
    </xf>
    <xf numFmtId="164" fontId="42" fillId="25" borderId="18" xfId="187" applyFont="true" applyBorder="true" applyAlignment="true" applyProtection="false">
      <alignment horizontal="left" vertical="top" textRotation="0" wrapText="false" indent="0" shrinkToFit="false"/>
      <protection locked="true" hidden="false"/>
    </xf>
    <xf numFmtId="164" fontId="46" fillId="27" borderId="0" xfId="267" applyFont="true" applyBorder="false" applyAlignment="true" applyProtection="false">
      <alignment horizontal="general" vertical="top" textRotation="0" wrapText="true" indent="0" shrinkToFit="false"/>
      <protection locked="true" hidden="false"/>
    </xf>
    <xf numFmtId="177" fontId="45" fillId="32" borderId="13" xfId="267" applyFont="true" applyBorder="true" applyAlignment="true" applyProtection="false">
      <alignment horizontal="center" vertical="center" textRotation="0" wrapText="true" indent="0" shrinkToFit="false"/>
      <protection locked="true" hidden="false"/>
    </xf>
    <xf numFmtId="189" fontId="46" fillId="32" borderId="13" xfId="0" applyFont="true" applyBorder="true" applyAlignment="true" applyProtection="false">
      <alignment horizontal="center" vertical="top" textRotation="0" wrapText="true" indent="0" shrinkToFit="false"/>
      <protection locked="true" hidden="false"/>
    </xf>
    <xf numFmtId="189" fontId="46" fillId="32" borderId="13" xfId="267" applyFont="true" applyBorder="true" applyAlignment="true" applyProtection="false">
      <alignment horizontal="center" vertical="top" textRotation="0" wrapText="true" indent="0" shrinkToFit="false"/>
      <protection locked="true" hidden="false"/>
    </xf>
    <xf numFmtId="189" fontId="45" fillId="32" borderId="13" xfId="0" applyFont="true" applyBorder="true" applyAlignment="true" applyProtection="false">
      <alignment horizontal="center" vertical="center" textRotation="0" wrapText="true" indent="0" shrinkToFit="false"/>
      <protection locked="true" hidden="false"/>
    </xf>
    <xf numFmtId="189" fontId="46" fillId="27" borderId="13" xfId="267" applyFont="true" applyBorder="true" applyAlignment="true" applyProtection="false">
      <alignment horizontal="general" vertical="center" textRotation="0" wrapText="true" indent="0" shrinkToFit="false"/>
      <protection locked="true" hidden="false"/>
    </xf>
    <xf numFmtId="189" fontId="45" fillId="27" borderId="13" xfId="267" applyFont="true" applyBorder="true" applyAlignment="true" applyProtection="false">
      <alignment horizontal="general" vertical="center" textRotation="0" wrapText="true" indent="0" shrinkToFit="false"/>
      <protection locked="true" hidden="false"/>
    </xf>
    <xf numFmtId="177" fontId="61" fillId="27" borderId="13" xfId="267" applyFont="true" applyBorder="true" applyAlignment="true" applyProtection="false">
      <alignment horizontal="center" vertical="top" textRotation="0" wrapText="true" indent="0" shrinkToFit="false"/>
      <protection locked="true" hidden="false"/>
    </xf>
    <xf numFmtId="189" fontId="48" fillId="27" borderId="13" xfId="0" applyFont="true" applyBorder="true" applyAlignment="true" applyProtection="false">
      <alignment horizontal="left" vertical="top" textRotation="0" wrapText="true" indent="0" shrinkToFit="false"/>
      <protection locked="true" hidden="false"/>
    </xf>
    <xf numFmtId="189" fontId="48" fillId="27" borderId="13" xfId="0" applyFont="true" applyBorder="true" applyAlignment="true" applyProtection="false">
      <alignment horizontal="general" vertical="center" textRotation="0" wrapText="true" indent="0" shrinkToFit="false"/>
      <protection locked="true" hidden="false"/>
    </xf>
    <xf numFmtId="189" fontId="46" fillId="32" borderId="14" xfId="267" applyFont="true" applyBorder="true" applyAlignment="true" applyProtection="false">
      <alignment horizontal="center" vertical="top" textRotation="0" wrapText="true" indent="0" shrinkToFit="false"/>
      <protection locked="true" hidden="false"/>
    </xf>
    <xf numFmtId="189" fontId="46" fillId="27" borderId="14" xfId="267" applyFont="true" applyBorder="true" applyAlignment="true" applyProtection="false">
      <alignment horizontal="center" vertical="top" textRotation="0" wrapText="true" indent="0" shrinkToFit="false"/>
      <protection locked="true" hidden="false"/>
    </xf>
    <xf numFmtId="164" fontId="46" fillId="27" borderId="13" xfId="0" applyFont="true" applyBorder="true" applyAlignment="true" applyProtection="false">
      <alignment horizontal="left" vertical="top" textRotation="0" wrapText="true" indent="0" shrinkToFit="false"/>
      <protection locked="true" hidden="false"/>
    </xf>
    <xf numFmtId="164" fontId="45" fillId="27" borderId="0" xfId="0" applyFont="true" applyBorder="false" applyAlignment="true" applyProtection="false">
      <alignment horizontal="general" vertical="top" textRotation="0" wrapText="true" indent="0" shrinkToFit="false"/>
      <protection locked="true" hidden="false"/>
    </xf>
    <xf numFmtId="177" fontId="45" fillId="27" borderId="13" xfId="267" applyFont="true" applyBorder="true" applyAlignment="true" applyProtection="false">
      <alignment horizontal="general" vertical="center" textRotation="0" wrapText="true" indent="0" shrinkToFit="false"/>
      <protection locked="true" hidden="false"/>
    </xf>
    <xf numFmtId="193" fontId="45" fillId="32" borderId="13" xfId="0" applyFont="true" applyBorder="true" applyAlignment="true" applyProtection="false">
      <alignment horizontal="right" vertical="center" textRotation="0" wrapText="true" indent="0" shrinkToFit="false"/>
      <protection locked="true" hidden="false"/>
    </xf>
    <xf numFmtId="164" fontId="42" fillId="27" borderId="13" xfId="187" applyFont="true" applyBorder="true" applyAlignment="true" applyProtection="false">
      <alignment horizontal="right" vertical="top" textRotation="0" wrapText="false" indent="0" shrinkToFit="false"/>
      <protection locked="true" hidden="false"/>
    </xf>
    <xf numFmtId="164" fontId="46" fillId="27" borderId="0" xfId="267" applyFont="true" applyBorder="true" applyAlignment="true" applyProtection="false">
      <alignment horizontal="general" vertical="top" textRotation="0" wrapText="true" indent="0" shrinkToFit="false"/>
      <protection locked="true" hidden="false"/>
    </xf>
    <xf numFmtId="164" fontId="46" fillId="0" borderId="0" xfId="0" applyFont="true" applyBorder="false" applyAlignment="true" applyProtection="false">
      <alignment horizontal="general" vertical="center" textRotation="0" wrapText="false" indent="0" shrinkToFit="false"/>
      <protection locked="true" hidden="false"/>
    </xf>
    <xf numFmtId="193" fontId="45" fillId="25" borderId="13" xfId="0" applyFont="true" applyBorder="true" applyAlignment="true" applyProtection="false">
      <alignment horizontal="left" vertical="center" textRotation="0" wrapText="true" indent="0" shrinkToFit="false"/>
      <protection locked="true" hidden="false"/>
    </xf>
    <xf numFmtId="194" fontId="45" fillId="27" borderId="13" xfId="0" applyFont="true" applyBorder="true" applyAlignment="true" applyProtection="false">
      <alignment horizontal="right" vertical="top" textRotation="0" wrapText="true" indent="0" shrinkToFit="false"/>
      <protection locked="true" hidden="false"/>
    </xf>
    <xf numFmtId="193" fontId="46" fillId="25" borderId="13" xfId="0" applyFont="true" applyBorder="true" applyAlignment="true" applyProtection="false">
      <alignment horizontal="center" vertical="center" textRotation="0" wrapText="true" indent="0" shrinkToFit="false"/>
      <protection locked="true" hidden="false"/>
    </xf>
    <xf numFmtId="189" fontId="46" fillId="25" borderId="13" xfId="0" applyFont="true" applyBorder="true" applyAlignment="true" applyProtection="false">
      <alignment horizontal="general" vertical="center" textRotation="0" wrapText="true" indent="0" shrinkToFit="false"/>
      <protection locked="true" hidden="false"/>
    </xf>
    <xf numFmtId="181" fontId="46" fillId="25" borderId="13" xfId="0" applyFont="true" applyBorder="true" applyAlignment="true" applyProtection="false">
      <alignment horizontal="general" vertical="center" textRotation="0" wrapText="true" indent="0" shrinkToFit="false"/>
      <protection locked="true" hidden="false"/>
    </xf>
    <xf numFmtId="177" fontId="46" fillId="0" borderId="14" xfId="187" applyFont="true" applyBorder="true" applyAlignment="true" applyProtection="false">
      <alignment horizontal="center" vertical="top" textRotation="0" wrapText="true" indent="0" shrinkToFit="false"/>
      <protection locked="true" hidden="false"/>
    </xf>
    <xf numFmtId="189" fontId="46" fillId="25" borderId="13" xfId="267" applyFont="true" applyBorder="true" applyAlignment="true" applyProtection="false">
      <alignment horizontal="general" vertical="center" textRotation="0" wrapText="true" indent="0" shrinkToFit="false"/>
      <protection locked="true" hidden="false"/>
    </xf>
    <xf numFmtId="189" fontId="46" fillId="25" borderId="13" xfId="0" applyFont="true" applyBorder="true" applyAlignment="true" applyProtection="false">
      <alignment horizontal="left" vertical="top" textRotation="0" wrapText="true" indent="0" shrinkToFit="false"/>
      <protection locked="true" hidden="false"/>
    </xf>
    <xf numFmtId="164" fontId="46" fillId="25" borderId="13" xfId="267" applyFont="true" applyBorder="true" applyAlignment="true" applyProtection="false">
      <alignment horizontal="general" vertical="top" textRotation="0" wrapText="true" indent="0" shrinkToFit="false"/>
      <protection locked="true" hidden="false"/>
    </xf>
    <xf numFmtId="177" fontId="45" fillId="0" borderId="0" xfId="0" applyFont="true" applyBorder="true" applyAlignment="true" applyProtection="false">
      <alignment horizontal="center" vertical="top" textRotation="0" wrapText="true" indent="0" shrinkToFit="false"/>
      <protection locked="true" hidden="false"/>
    </xf>
    <xf numFmtId="189" fontId="45" fillId="0" borderId="0" xfId="0" applyFont="true" applyBorder="true" applyAlignment="true" applyProtection="false">
      <alignment horizontal="left" vertical="top" textRotation="0" wrapText="true" indent="0" shrinkToFit="false"/>
      <protection locked="true" hidden="false"/>
    </xf>
    <xf numFmtId="189" fontId="46" fillId="0" borderId="0" xfId="0" applyFont="true" applyBorder="true" applyAlignment="true" applyProtection="false">
      <alignment horizontal="general" vertical="center" textRotation="0" wrapText="true" indent="0" shrinkToFit="false"/>
      <protection locked="true" hidden="false"/>
    </xf>
    <xf numFmtId="177" fontId="45" fillId="0" borderId="0" xfId="267" applyFont="true" applyBorder="true" applyAlignment="true" applyProtection="false">
      <alignment horizontal="center" vertical="top" textRotation="0" wrapText="true" indent="0" shrinkToFit="false"/>
      <protection locked="true" hidden="false"/>
    </xf>
    <xf numFmtId="189" fontId="45" fillId="0" borderId="0" xfId="267" applyFont="true" applyBorder="true" applyAlignment="true" applyProtection="false">
      <alignment horizontal="left" vertical="top" textRotation="0" wrapText="true" indent="0" shrinkToFit="false"/>
      <protection locked="true" hidden="false"/>
    </xf>
    <xf numFmtId="189" fontId="46" fillId="0" borderId="0" xfId="267" applyFont="true" applyBorder="true" applyAlignment="true" applyProtection="false">
      <alignment horizontal="general" vertical="center" textRotation="0" wrapText="true" indent="0" shrinkToFit="false"/>
      <protection locked="true" hidden="false"/>
    </xf>
    <xf numFmtId="164" fontId="46" fillId="0" borderId="0" xfId="203" applyFont="true" applyBorder="false" applyAlignment="true" applyProtection="false">
      <alignment horizontal="center" vertical="center" textRotation="0" wrapText="true" indent="0" shrinkToFit="false"/>
      <protection locked="true" hidden="false"/>
    </xf>
    <xf numFmtId="164" fontId="46" fillId="0" borderId="0" xfId="203" applyFont="true" applyBorder="true" applyAlignment="true" applyProtection="false">
      <alignment horizontal="center" vertical="center" textRotation="0" wrapText="true" indent="0" shrinkToFit="false"/>
      <protection locked="true" hidden="false"/>
    </xf>
    <xf numFmtId="177" fontId="45" fillId="0" borderId="0" xfId="267" applyFont="true" applyBorder="true" applyAlignment="true" applyProtection="false">
      <alignment horizontal="general" vertical="top" textRotation="0" wrapText="true" indent="0" shrinkToFit="false"/>
      <protection locked="true" hidden="false"/>
    </xf>
    <xf numFmtId="189" fontId="46" fillId="0" borderId="0" xfId="267" applyFont="true" applyBorder="true" applyAlignment="true" applyProtection="false">
      <alignment horizontal="left" vertical="top" textRotation="0" wrapText="true" indent="0" shrinkToFit="false"/>
      <protection locked="true" hidden="false"/>
    </xf>
    <xf numFmtId="189" fontId="45" fillId="0" borderId="0" xfId="267" applyFont="true" applyBorder="true" applyAlignment="true" applyProtection="false">
      <alignment horizontal="general" vertical="center" textRotation="0" wrapText="true" indent="0" shrinkToFit="false"/>
      <protection locked="true" hidden="false"/>
    </xf>
    <xf numFmtId="189" fontId="46" fillId="0" borderId="0" xfId="267" applyFont="true" applyBorder="true" applyAlignment="true" applyProtection="false">
      <alignment horizontal="center" vertical="top" textRotation="0" wrapText="true" indent="0" shrinkToFit="false"/>
      <protection locked="true" hidden="false"/>
    </xf>
    <xf numFmtId="164" fontId="45" fillId="0" borderId="0" xfId="0" applyFont="true" applyBorder="true" applyAlignment="true" applyProtection="false">
      <alignment horizontal="center" vertical="top" textRotation="0" wrapText="true" indent="0" shrinkToFit="false"/>
      <protection locked="true" hidden="false"/>
    </xf>
    <xf numFmtId="164" fontId="46" fillId="0" borderId="0" xfId="267" applyFont="true" applyBorder="true" applyAlignment="true" applyProtection="false">
      <alignment horizontal="center" vertical="center" textRotation="0" wrapText="true" indent="0" shrinkToFit="false"/>
      <protection locked="true" hidden="false"/>
    </xf>
    <xf numFmtId="164" fontId="46" fillId="0" borderId="0" xfId="267" applyFont="true" applyBorder="true" applyAlignment="true" applyProtection="false">
      <alignment horizontal="center" vertical="top" textRotation="0" wrapText="true" indent="0" shrinkToFit="false"/>
      <protection locked="true" hidden="false"/>
    </xf>
    <xf numFmtId="164" fontId="46" fillId="0" borderId="0" xfId="267" applyFont="true" applyBorder="false" applyAlignment="true" applyProtection="false">
      <alignment horizontal="center" vertical="top" textRotation="0" wrapText="true" indent="0" shrinkToFit="false"/>
      <protection locked="true" hidden="false"/>
    </xf>
    <xf numFmtId="164" fontId="0" fillId="0" borderId="0" xfId="0" applyFont="true" applyBorder="true" applyAlignment="true" applyProtection="false">
      <alignment horizontal="center" vertical="center" textRotation="0" wrapText="true" indent="0" shrinkToFit="false"/>
      <protection locked="true" hidden="false"/>
    </xf>
    <xf numFmtId="189" fontId="45" fillId="0" borderId="0" xfId="267" applyFont="true" applyBorder="true" applyAlignment="true" applyProtection="false">
      <alignment horizontal="center" vertical="center" textRotation="0" wrapText="true" indent="0" shrinkToFit="false"/>
      <protection locked="true" hidden="false"/>
    </xf>
    <xf numFmtId="177" fontId="45" fillId="0" borderId="13" xfId="267" applyFont="true" applyBorder="true" applyAlignment="true" applyProtection="false">
      <alignment horizontal="center" vertical="top" textRotation="0" wrapText="true" indent="0" shrinkToFit="false"/>
      <protection locked="true" hidden="false"/>
    </xf>
    <xf numFmtId="189" fontId="46" fillId="0" borderId="13" xfId="267" applyFont="true" applyBorder="true" applyAlignment="true" applyProtection="false">
      <alignment horizontal="center" vertical="top" textRotation="0" wrapText="true" indent="0" shrinkToFit="false"/>
      <protection locked="true" hidden="false"/>
    </xf>
    <xf numFmtId="189" fontId="46" fillId="0" borderId="13" xfId="267" applyFont="true" applyBorder="true" applyAlignment="true" applyProtection="false">
      <alignment horizontal="general" vertical="center" textRotation="0" wrapText="true" indent="0" shrinkToFit="false"/>
      <protection locked="true" hidden="false"/>
    </xf>
    <xf numFmtId="189" fontId="46" fillId="0" borderId="14" xfId="267" applyFont="true" applyBorder="true" applyAlignment="true" applyProtection="false">
      <alignment horizontal="center" vertical="center" textRotation="0" wrapText="true" indent="0" shrinkToFit="false"/>
      <protection locked="true" hidden="false"/>
    </xf>
    <xf numFmtId="164" fontId="0" fillId="0" borderId="13" xfId="0" applyFont="true" applyBorder="true" applyAlignment="true" applyProtection="false">
      <alignment horizontal="center" vertical="center" textRotation="0" wrapText="true" indent="0" shrinkToFit="false"/>
      <protection locked="true" hidden="false"/>
    </xf>
    <xf numFmtId="189" fontId="45" fillId="0" borderId="14" xfId="0" applyFont="true" applyBorder="true" applyAlignment="true" applyProtection="false">
      <alignment horizontal="center" vertical="center" textRotation="0" wrapText="true" indent="0" shrinkToFit="false"/>
      <protection locked="true" hidden="false"/>
    </xf>
    <xf numFmtId="164" fontId="45" fillId="0" borderId="13" xfId="203" applyFont="true" applyBorder="true" applyAlignment="true" applyProtection="false">
      <alignment horizontal="general" vertical="center" textRotation="0" wrapText="true" indent="0" shrinkToFit="false"/>
      <protection locked="true" hidden="false"/>
    </xf>
    <xf numFmtId="164" fontId="45" fillId="0" borderId="13" xfId="203" applyFont="true" applyBorder="true" applyAlignment="true" applyProtection="false">
      <alignment horizontal="center" vertical="center" textRotation="0" wrapText="true" indent="0" shrinkToFit="false"/>
      <protection locked="true" hidden="false"/>
    </xf>
    <xf numFmtId="177" fontId="46" fillId="0" borderId="13" xfId="267" applyFont="true" applyBorder="true" applyAlignment="true" applyProtection="false">
      <alignment horizontal="center" vertical="top" textRotation="0" wrapText="true" indent="0" shrinkToFit="false"/>
      <protection locked="true" hidden="false"/>
    </xf>
    <xf numFmtId="177" fontId="46" fillId="0" borderId="13" xfId="267" applyFont="true" applyBorder="true" applyAlignment="true" applyProtection="false">
      <alignment horizontal="general" vertical="center" textRotation="0" wrapText="true" indent="0" shrinkToFit="false"/>
      <protection locked="true" hidden="false"/>
    </xf>
    <xf numFmtId="189" fontId="45" fillId="25" borderId="13" xfId="267" applyFont="true" applyBorder="true" applyAlignment="true" applyProtection="false">
      <alignment horizontal="center" vertical="center" textRotation="0" wrapText="true" indent="0" shrinkToFit="false"/>
      <protection locked="true" hidden="false"/>
    </xf>
    <xf numFmtId="177" fontId="45" fillId="29" borderId="13" xfId="0" applyFont="true" applyBorder="true" applyAlignment="true" applyProtection="false">
      <alignment horizontal="center" vertical="top" textRotation="0" wrapText="true" indent="0" shrinkToFit="false"/>
      <protection locked="true" hidden="false"/>
    </xf>
    <xf numFmtId="189" fontId="45" fillId="29" borderId="13" xfId="0" applyFont="true" applyBorder="true" applyAlignment="true" applyProtection="false">
      <alignment horizontal="left" vertical="top" textRotation="0" wrapText="true" indent="0" shrinkToFit="false"/>
      <protection locked="true" hidden="false"/>
    </xf>
    <xf numFmtId="189" fontId="45" fillId="29" borderId="13" xfId="0" applyFont="true" applyBorder="true" applyAlignment="true" applyProtection="false">
      <alignment horizontal="center" vertical="center" textRotation="0" wrapText="true" indent="0" shrinkToFit="false"/>
      <protection locked="true" hidden="false"/>
    </xf>
    <xf numFmtId="189" fontId="45" fillId="29" borderId="13" xfId="0" applyFont="true" applyBorder="true" applyAlignment="true" applyProtection="false">
      <alignment horizontal="general" vertical="center" textRotation="0" wrapText="true" indent="0" shrinkToFit="false"/>
      <protection locked="true" hidden="false"/>
    </xf>
    <xf numFmtId="164" fontId="46" fillId="29" borderId="13" xfId="0" applyFont="true" applyBorder="true" applyAlignment="true" applyProtection="false">
      <alignment horizontal="center" vertical="center" textRotation="0" wrapText="true" indent="0" shrinkToFit="false"/>
      <protection locked="true" hidden="false"/>
    </xf>
    <xf numFmtId="189" fontId="59" fillId="0" borderId="13" xfId="0" applyFont="true" applyBorder="true" applyAlignment="true" applyProtection="false">
      <alignment horizontal="general" vertical="center" textRotation="0" wrapText="true" indent="0" shrinkToFit="false"/>
      <protection locked="true" hidden="false"/>
    </xf>
    <xf numFmtId="189" fontId="59" fillId="27" borderId="13" xfId="0" applyFont="true" applyBorder="true" applyAlignment="true" applyProtection="false">
      <alignment horizontal="general" vertical="center" textRotation="0" wrapText="true" indent="0" shrinkToFit="false"/>
      <protection locked="true" hidden="false"/>
    </xf>
    <xf numFmtId="189" fontId="59" fillId="27" borderId="13" xfId="0" applyFont="true" applyBorder="true" applyAlignment="true" applyProtection="false">
      <alignment horizontal="center" vertical="top" textRotation="0" wrapText="true" indent="0" shrinkToFit="false"/>
      <protection locked="true" hidden="false"/>
    </xf>
    <xf numFmtId="164" fontId="46" fillId="29" borderId="0" xfId="0" applyFont="true" applyBorder="false" applyAlignment="true" applyProtection="false">
      <alignment horizontal="general" vertical="center" textRotation="0" wrapText="true" indent="0" shrinkToFit="false"/>
      <protection locked="true" hidden="false"/>
    </xf>
    <xf numFmtId="177" fontId="48" fillId="0" borderId="13" xfId="187" applyFont="true" applyBorder="true" applyAlignment="true" applyProtection="false">
      <alignment horizontal="center" vertical="top" textRotation="0" wrapText="true" indent="0" shrinkToFit="false"/>
      <protection locked="true" hidden="false"/>
    </xf>
    <xf numFmtId="164" fontId="56" fillId="0" borderId="0" xfId="0" applyFont="true" applyBorder="true" applyAlignment="true" applyProtection="false">
      <alignment horizontal="general" vertical="top" textRotation="0" wrapText="true" indent="0" shrinkToFit="false"/>
      <protection locked="true" hidden="false"/>
    </xf>
    <xf numFmtId="164" fontId="48" fillId="25" borderId="13" xfId="187" applyFont="true" applyBorder="true" applyAlignment="true" applyProtection="false">
      <alignment horizontal="general" vertical="top" textRotation="0" wrapText="true" indent="0" shrinkToFit="false"/>
      <protection locked="true" hidden="false"/>
    </xf>
    <xf numFmtId="189" fontId="46" fillId="29" borderId="13" xfId="0" applyFont="true" applyBorder="true" applyAlignment="true" applyProtection="false">
      <alignment horizontal="general" vertical="center" textRotation="0" wrapText="true" indent="0" shrinkToFit="false"/>
      <protection locked="true" hidden="false"/>
    </xf>
    <xf numFmtId="189" fontId="46" fillId="27" borderId="13" xfId="269" applyFont="true" applyBorder="true" applyAlignment="true" applyProtection="false">
      <alignment horizontal="general" vertical="center" textRotation="0" wrapText="true" indent="0" shrinkToFit="false"/>
      <protection locked="true" hidden="false"/>
    </xf>
    <xf numFmtId="189" fontId="46" fillId="27" borderId="0" xfId="0" applyFont="true" applyBorder="true" applyAlignment="true" applyProtection="false">
      <alignment horizontal="center" vertical="center" textRotation="0" wrapText="true" indent="0" shrinkToFit="false"/>
      <protection locked="true" hidden="false"/>
    </xf>
    <xf numFmtId="189" fontId="46" fillId="29" borderId="13" xfId="0" applyFont="true" applyBorder="true" applyAlignment="true" applyProtection="false">
      <alignment horizontal="center" vertical="center" textRotation="0" wrapText="true" indent="0" shrinkToFit="false"/>
      <protection locked="true" hidden="false"/>
    </xf>
    <xf numFmtId="189" fontId="46" fillId="27" borderId="19" xfId="0" applyFont="true" applyBorder="true" applyAlignment="true" applyProtection="false">
      <alignment horizontal="general" vertical="center" textRotation="0" wrapText="true" indent="0" shrinkToFit="false"/>
      <protection locked="true" hidden="false"/>
    </xf>
    <xf numFmtId="189" fontId="46" fillId="27" borderId="19" xfId="0" applyFont="true" applyBorder="true" applyAlignment="true" applyProtection="false">
      <alignment horizontal="center" vertical="center" textRotation="0" wrapText="true" indent="0" shrinkToFit="false"/>
      <protection locked="true" hidden="false"/>
    </xf>
    <xf numFmtId="189" fontId="46" fillId="27" borderId="20" xfId="0" applyFont="true" applyBorder="true" applyAlignment="true" applyProtection="false">
      <alignment horizontal="center" vertical="center" textRotation="0" wrapText="true" indent="0" shrinkToFit="false"/>
      <protection locked="true" hidden="false"/>
    </xf>
    <xf numFmtId="164" fontId="46" fillId="0" borderId="20" xfId="0" applyFont="true" applyBorder="true" applyAlignment="true" applyProtection="false">
      <alignment horizontal="center" vertical="center" textRotation="0" wrapText="true" indent="0" shrinkToFit="false"/>
      <protection locked="true" hidden="false"/>
    </xf>
    <xf numFmtId="164" fontId="45" fillId="29" borderId="13" xfId="0" applyFont="true" applyBorder="true" applyAlignment="true" applyProtection="false">
      <alignment horizontal="left" vertical="top" textRotation="0" wrapText="true" indent="0" shrinkToFit="false"/>
      <protection locked="true" hidden="false"/>
    </xf>
    <xf numFmtId="164" fontId="45" fillId="29" borderId="13" xfId="0" applyFont="true" applyBorder="true" applyAlignment="true" applyProtection="false">
      <alignment horizontal="center" vertical="center" textRotation="0" wrapText="true" indent="0" shrinkToFit="false"/>
      <protection locked="true" hidden="false"/>
    </xf>
    <xf numFmtId="189" fontId="46" fillId="0" borderId="20" xfId="0" applyFont="true" applyBorder="true" applyAlignment="true" applyProtection="false">
      <alignment horizontal="general" vertical="center" textRotation="0" wrapText="true" indent="0" shrinkToFit="false"/>
      <protection locked="true" hidden="false"/>
    </xf>
    <xf numFmtId="189" fontId="46" fillId="0" borderId="20" xfId="0" applyFont="true" applyBorder="true" applyAlignment="true" applyProtection="false">
      <alignment horizontal="center" vertical="center" textRotation="0" wrapText="true" indent="0" shrinkToFit="false"/>
      <protection locked="true" hidden="false"/>
    </xf>
    <xf numFmtId="189" fontId="46" fillId="0" borderId="19" xfId="0" applyFont="true" applyBorder="true" applyAlignment="true" applyProtection="false">
      <alignment horizontal="general" vertical="center" textRotation="0" wrapText="true" indent="0" shrinkToFit="false"/>
      <protection locked="true" hidden="false"/>
    </xf>
    <xf numFmtId="189" fontId="46" fillId="0" borderId="19" xfId="0" applyFont="true" applyBorder="true" applyAlignment="true" applyProtection="false">
      <alignment horizontal="center" vertical="center" textRotation="0" wrapText="true" indent="0" shrinkToFit="false"/>
      <protection locked="true" hidden="false"/>
    </xf>
    <xf numFmtId="164" fontId="46" fillId="27" borderId="14" xfId="0" applyFont="true" applyBorder="true" applyAlignment="true" applyProtection="false">
      <alignment horizontal="center" vertical="center" textRotation="0" wrapText="true" indent="0" shrinkToFit="false"/>
      <protection locked="true" hidden="false"/>
    </xf>
    <xf numFmtId="189" fontId="46" fillId="0" borderId="21" xfId="0" applyFont="true" applyBorder="true" applyAlignment="true" applyProtection="false">
      <alignment horizontal="general" vertical="center" textRotation="0" wrapText="true" indent="0" shrinkToFit="false"/>
      <protection locked="true" hidden="false"/>
    </xf>
    <xf numFmtId="189" fontId="46" fillId="0" borderId="21" xfId="0" applyFont="true" applyBorder="true" applyAlignment="true" applyProtection="false">
      <alignment horizontal="center" vertical="center" textRotation="0" wrapText="true" indent="0" shrinkToFit="false"/>
      <protection locked="true" hidden="false"/>
    </xf>
    <xf numFmtId="164" fontId="46" fillId="0" borderId="13" xfId="187" applyFont="true" applyBorder="true" applyAlignment="true" applyProtection="false">
      <alignment horizontal="general" vertical="top" textRotation="0" wrapText="true" indent="0" shrinkToFit="false"/>
      <protection locked="true" hidden="false"/>
    </xf>
    <xf numFmtId="189" fontId="46" fillId="29" borderId="20" xfId="0" applyFont="true" applyBorder="true" applyAlignment="true" applyProtection="false">
      <alignment horizontal="general" vertical="center" textRotation="0" wrapText="true" indent="0" shrinkToFit="false"/>
      <protection locked="true" hidden="false"/>
    </xf>
    <xf numFmtId="189" fontId="46" fillId="29" borderId="20" xfId="0" applyFont="true" applyBorder="true" applyAlignment="true" applyProtection="false">
      <alignment horizontal="center" vertical="center" textRotation="0" wrapText="true" indent="0" shrinkToFit="false"/>
      <protection locked="true" hidden="false"/>
    </xf>
    <xf numFmtId="164" fontId="43" fillId="0" borderId="13" xfId="187" applyFont="true" applyBorder="true" applyAlignment="true" applyProtection="false">
      <alignment horizontal="left" vertical="center" textRotation="0" wrapText="true" indent="0" shrinkToFit="false"/>
      <protection locked="true" hidden="false"/>
    </xf>
    <xf numFmtId="164" fontId="45" fillId="25" borderId="13" xfId="269" applyFont="true" applyBorder="true" applyAlignment="true" applyProtection="false">
      <alignment horizontal="center" vertical="center" textRotation="0" wrapText="true" indent="0" shrinkToFit="false"/>
      <protection locked="true" hidden="false"/>
    </xf>
    <xf numFmtId="164" fontId="45" fillId="25" borderId="13" xfId="269" applyFont="true" applyBorder="true" applyAlignment="true" applyProtection="false">
      <alignment horizontal="general" vertical="center" textRotation="0" wrapText="true" indent="0" shrinkToFit="false"/>
      <protection locked="true" hidden="false"/>
    </xf>
    <xf numFmtId="189" fontId="46" fillId="25" borderId="0" xfId="0" applyFont="true" applyBorder="false" applyAlignment="true" applyProtection="false">
      <alignment horizontal="center" vertical="center" textRotation="0" wrapText="true" indent="0" shrinkToFit="false"/>
      <protection locked="true" hidden="false"/>
    </xf>
    <xf numFmtId="189" fontId="46" fillId="25" borderId="19" xfId="0" applyFont="true" applyBorder="true" applyAlignment="true" applyProtection="false">
      <alignment horizontal="general" vertical="center" textRotation="0" wrapText="true" indent="0" shrinkToFit="false"/>
      <protection locked="true" hidden="false"/>
    </xf>
    <xf numFmtId="189" fontId="45" fillId="25" borderId="19" xfId="0" applyFont="true" applyBorder="true" applyAlignment="true" applyProtection="false">
      <alignment horizontal="general" vertical="center" textRotation="0" wrapText="true" indent="0" shrinkToFit="false"/>
      <protection locked="true" hidden="false"/>
    </xf>
    <xf numFmtId="189" fontId="45" fillId="25" borderId="19" xfId="0" applyFont="true" applyBorder="true" applyAlignment="true" applyProtection="false">
      <alignment horizontal="center" vertical="center" textRotation="0" wrapText="true" indent="0" shrinkToFit="false"/>
      <protection locked="true" hidden="false"/>
    </xf>
    <xf numFmtId="164" fontId="46" fillId="25" borderId="19" xfId="0" applyFont="true" applyBorder="true" applyAlignment="true" applyProtection="false">
      <alignment horizontal="center" vertical="center" textRotation="0" wrapText="true" indent="0" shrinkToFit="false"/>
      <protection locked="true" hidden="false"/>
    </xf>
    <xf numFmtId="164" fontId="45" fillId="26" borderId="13" xfId="0" applyFont="true" applyBorder="true" applyAlignment="true" applyProtection="false">
      <alignment horizontal="general" vertical="top" textRotation="0" wrapText="false" indent="0" shrinkToFit="false"/>
      <protection locked="true" hidden="false"/>
    </xf>
    <xf numFmtId="189" fontId="46" fillId="27" borderId="21" xfId="0" applyFont="true" applyBorder="true" applyAlignment="true" applyProtection="false">
      <alignment horizontal="general" vertical="center" textRotation="0" wrapText="true" indent="0" shrinkToFit="false"/>
      <protection locked="true" hidden="false"/>
    </xf>
    <xf numFmtId="189" fontId="49" fillId="26" borderId="13" xfId="0" applyFont="true" applyBorder="true" applyAlignment="true" applyProtection="false">
      <alignment horizontal="center" vertical="center" textRotation="0" wrapText="true" indent="0" shrinkToFit="false"/>
      <protection locked="true" hidden="false"/>
    </xf>
    <xf numFmtId="189" fontId="46" fillId="27" borderId="14" xfId="0" applyFont="true" applyBorder="true" applyAlignment="true" applyProtection="false">
      <alignment horizontal="center" vertical="center" textRotation="0" wrapText="true" indent="0" shrinkToFit="false"/>
      <protection locked="true" hidden="false"/>
    </xf>
    <xf numFmtId="189" fontId="46" fillId="0" borderId="14" xfId="0" applyFont="true" applyBorder="true" applyAlignment="true" applyProtection="false">
      <alignment horizontal="center" vertical="center" textRotation="0" wrapText="true" indent="0" shrinkToFit="false"/>
      <protection locked="true" hidden="false"/>
    </xf>
    <xf numFmtId="189" fontId="46" fillId="0" borderId="14" xfId="0" applyFont="true" applyBorder="true" applyAlignment="true" applyProtection="false">
      <alignment horizontal="center" vertical="top" textRotation="0" wrapText="true" indent="0" shrinkToFit="false"/>
      <protection locked="true" hidden="false"/>
    </xf>
    <xf numFmtId="189" fontId="45" fillId="25" borderId="13" xfId="0" applyFont="true" applyBorder="true" applyAlignment="true" applyProtection="false">
      <alignment horizontal="general" vertical="center" textRotation="0" wrapText="true" indent="0" shrinkToFit="false"/>
      <protection locked="true" hidden="false"/>
    </xf>
    <xf numFmtId="189" fontId="46" fillId="25" borderId="14" xfId="0" applyFont="true" applyBorder="true" applyAlignment="true" applyProtection="false">
      <alignment horizontal="center" vertical="center" textRotation="0" wrapText="true" indent="0" shrinkToFit="false"/>
      <protection locked="true" hidden="false"/>
    </xf>
    <xf numFmtId="190" fontId="43" fillId="0" borderId="13" xfId="187" applyFont="true" applyBorder="true" applyAlignment="true" applyProtection="false">
      <alignment horizontal="general" vertical="center" textRotation="0" wrapText="false" indent="0" shrinkToFit="false"/>
      <protection locked="true" hidden="false"/>
    </xf>
    <xf numFmtId="190" fontId="43" fillId="0" borderId="13" xfId="187" applyFont="true" applyBorder="true" applyAlignment="true" applyProtection="false">
      <alignment horizontal="center" vertical="center" textRotation="0" wrapText="false" indent="0" shrinkToFit="false"/>
      <protection locked="true" hidden="false"/>
    </xf>
    <xf numFmtId="190" fontId="46" fillId="27" borderId="0" xfId="0" applyFont="true" applyBorder="true" applyAlignment="true" applyProtection="false">
      <alignment horizontal="general" vertical="center" textRotation="0" wrapText="true" indent="0" shrinkToFit="false"/>
      <protection locked="true" hidden="false"/>
    </xf>
    <xf numFmtId="164" fontId="43" fillId="0" borderId="0" xfId="187" applyFont="true" applyBorder="false" applyAlignment="true" applyProtection="false">
      <alignment horizontal="general" vertical="center" textRotation="0" wrapText="false" indent="0" shrinkToFit="false"/>
      <protection locked="true" hidden="false"/>
    </xf>
    <xf numFmtId="189" fontId="45" fillId="26" borderId="3" xfId="0" applyFont="true" applyBorder="true" applyAlignment="true" applyProtection="false">
      <alignment horizontal="center" vertical="center" textRotation="0" wrapText="true" indent="0" shrinkToFit="false"/>
      <protection locked="true" hidden="false"/>
    </xf>
    <xf numFmtId="189" fontId="46" fillId="26" borderId="3" xfId="0" applyFont="true" applyBorder="true" applyAlignment="true" applyProtection="false">
      <alignment horizontal="center" vertical="center" textRotation="0" wrapText="true" indent="0" shrinkToFit="false"/>
      <protection locked="true" hidden="false"/>
    </xf>
    <xf numFmtId="189" fontId="46" fillId="26" borderId="3" xfId="0" applyFont="true" applyBorder="true" applyAlignment="true" applyProtection="false">
      <alignment horizontal="general" vertical="center" textRotation="0" wrapText="true" indent="0" shrinkToFit="false"/>
      <protection locked="true" hidden="false"/>
    </xf>
    <xf numFmtId="177" fontId="65" fillId="26" borderId="3" xfId="0" applyFont="true" applyBorder="true" applyAlignment="true" applyProtection="false">
      <alignment horizontal="center" vertical="center" textRotation="0" wrapText="true" indent="0" shrinkToFit="false"/>
      <protection locked="true" hidden="false"/>
    </xf>
    <xf numFmtId="177" fontId="65" fillId="26" borderId="3" xfId="0" applyFont="true" applyBorder="true" applyAlignment="true" applyProtection="false">
      <alignment horizontal="general" vertical="center" textRotation="0" wrapText="true" indent="0" shrinkToFit="false"/>
      <protection locked="true" hidden="false"/>
    </xf>
    <xf numFmtId="189" fontId="71" fillId="27" borderId="13" xfId="0" applyFont="true" applyBorder="true" applyAlignment="true" applyProtection="false">
      <alignment horizontal="center" vertical="center" textRotation="0" wrapText="true" indent="0" shrinkToFit="false"/>
      <protection locked="true" hidden="false"/>
    </xf>
    <xf numFmtId="189" fontId="65" fillId="27" borderId="13" xfId="0" applyFont="true" applyBorder="true" applyAlignment="true" applyProtection="false">
      <alignment horizontal="center" vertical="center" textRotation="0" wrapText="true" indent="0" shrinkToFit="false"/>
      <protection locked="true" hidden="false"/>
    </xf>
    <xf numFmtId="189" fontId="71" fillId="27" borderId="14" xfId="0" applyFont="true" applyBorder="true" applyAlignment="true" applyProtection="false">
      <alignment horizontal="center" vertical="center" textRotation="0" wrapText="true" indent="0" shrinkToFit="false"/>
      <protection locked="true" hidden="false"/>
    </xf>
    <xf numFmtId="177" fontId="65" fillId="27" borderId="13" xfId="0" applyFont="true" applyBorder="true" applyAlignment="true" applyProtection="false">
      <alignment horizontal="center" vertical="center" textRotation="0" wrapText="true" indent="0" shrinkToFit="false"/>
      <protection locked="true" hidden="false"/>
    </xf>
    <xf numFmtId="189" fontId="65" fillId="26" borderId="3" xfId="0" applyFont="true" applyBorder="true" applyAlignment="true" applyProtection="false">
      <alignment horizontal="center" vertical="center" textRotation="0" wrapText="true" indent="0" shrinkToFit="false"/>
      <protection locked="true" hidden="false"/>
    </xf>
    <xf numFmtId="189" fontId="65" fillId="26" borderId="3" xfId="0" applyFont="true" applyBorder="true" applyAlignment="true" applyProtection="false">
      <alignment horizontal="general" vertical="center" textRotation="0" wrapText="true" indent="0" shrinkToFit="false"/>
      <protection locked="true" hidden="false"/>
    </xf>
    <xf numFmtId="189" fontId="46" fillId="26" borderId="14" xfId="0" applyFont="true" applyBorder="true" applyAlignment="true" applyProtection="false">
      <alignment horizontal="center" vertical="center" textRotation="0" wrapText="true" indent="0" shrinkToFit="false"/>
      <protection locked="true" hidden="false"/>
    </xf>
    <xf numFmtId="189" fontId="59" fillId="27" borderId="13" xfId="0" applyFont="true" applyBorder="true" applyAlignment="true" applyProtection="false">
      <alignment horizontal="center" vertical="center" textRotation="0" wrapText="true" indent="0" shrinkToFit="false"/>
      <protection locked="true" hidden="false"/>
    </xf>
    <xf numFmtId="164" fontId="58" fillId="25" borderId="13" xfId="266" applyFont="true" applyBorder="true" applyAlignment="true" applyProtection="false">
      <alignment horizontal="center" vertical="center" textRotation="0" wrapText="true" indent="0" shrinkToFit="false"/>
      <protection locked="true" hidden="false"/>
    </xf>
    <xf numFmtId="164" fontId="58" fillId="25" borderId="13" xfId="266" applyFont="true" applyBorder="true" applyAlignment="true" applyProtection="false">
      <alignment horizontal="left" vertical="top" textRotation="0" wrapText="true" indent="0" shrinkToFit="false"/>
      <protection locked="true" hidden="false"/>
    </xf>
    <xf numFmtId="164" fontId="58" fillId="25" borderId="13" xfId="266" applyFont="true" applyBorder="true" applyAlignment="true" applyProtection="false">
      <alignment horizontal="center" vertical="center" textRotation="0" wrapText="false" indent="0" shrinkToFit="false"/>
      <protection locked="true" hidden="false"/>
    </xf>
    <xf numFmtId="164" fontId="58" fillId="25" borderId="13" xfId="266" applyFont="true" applyBorder="true" applyAlignment="true" applyProtection="false">
      <alignment horizontal="general" vertical="center" textRotation="0" wrapText="false" indent="0" shrinkToFit="false"/>
      <protection locked="true" hidden="false"/>
    </xf>
    <xf numFmtId="164" fontId="58" fillId="25" borderId="13" xfId="266" applyFont="true" applyBorder="true" applyAlignment="true" applyProtection="false">
      <alignment horizontal="general" vertical="center" textRotation="0" wrapText="true" indent="0" shrinkToFit="false"/>
      <protection locked="true" hidden="false"/>
    </xf>
    <xf numFmtId="189" fontId="43" fillId="25" borderId="13" xfId="187" applyFont="true" applyBorder="true" applyAlignment="true" applyProtection="false">
      <alignment horizontal="center" vertical="center" textRotation="0" wrapText="false" indent="0" shrinkToFit="false"/>
      <protection locked="true" hidden="false"/>
    </xf>
    <xf numFmtId="191" fontId="43" fillId="25" borderId="13" xfId="15" applyFont="true" applyBorder="true" applyAlignment="true" applyProtection="true">
      <alignment horizontal="general" vertical="center" textRotation="0" wrapText="false" indent="0" shrinkToFit="false"/>
      <protection locked="true" hidden="false"/>
    </xf>
    <xf numFmtId="191" fontId="43" fillId="25" borderId="13" xfId="15" applyFont="true" applyBorder="true" applyAlignment="true" applyProtection="true">
      <alignment horizontal="center" vertical="center" textRotation="0" wrapText="false" indent="0" shrinkToFit="false"/>
      <protection locked="true" hidden="false"/>
    </xf>
    <xf numFmtId="177" fontId="72" fillId="27" borderId="13" xfId="0" applyFont="true" applyBorder="true" applyAlignment="true" applyProtection="false">
      <alignment horizontal="center" vertical="center" textRotation="0" wrapText="true" indent="0" shrinkToFit="false"/>
      <protection locked="true" hidden="false"/>
    </xf>
    <xf numFmtId="164" fontId="72" fillId="27" borderId="14" xfId="266" applyFont="true" applyBorder="true" applyAlignment="true" applyProtection="false">
      <alignment horizontal="general" vertical="center" textRotation="0" wrapText="false" indent="0" shrinkToFit="false"/>
      <protection locked="true" hidden="false"/>
    </xf>
    <xf numFmtId="189" fontId="59" fillId="27" borderId="13" xfId="0" applyFont="true" applyBorder="true" applyAlignment="true" applyProtection="false">
      <alignment horizontal="right" vertical="top" textRotation="0" wrapText="true" indent="0" shrinkToFit="false"/>
      <protection locked="true" hidden="false"/>
    </xf>
    <xf numFmtId="189" fontId="58" fillId="25" borderId="13" xfId="267" applyFont="true" applyBorder="true" applyAlignment="true" applyProtection="false">
      <alignment horizontal="center" vertical="center" textRotation="0" wrapText="true" indent="0" shrinkToFit="false"/>
      <protection locked="true" hidden="false"/>
    </xf>
    <xf numFmtId="164" fontId="42" fillId="27" borderId="25" xfId="187" applyFont="true" applyBorder="true" applyAlignment="true" applyProtection="false">
      <alignment horizontal="center" vertical="top" textRotation="0" wrapText="false" indent="0" shrinkToFit="false"/>
      <protection locked="true" hidden="false"/>
    </xf>
    <xf numFmtId="164" fontId="43" fillId="27" borderId="19" xfId="187" applyFont="true" applyBorder="true" applyAlignment="true" applyProtection="false">
      <alignment horizontal="left" vertical="top" textRotation="0" wrapText="true" indent="0" shrinkToFit="false"/>
      <protection locked="true" hidden="false"/>
    </xf>
    <xf numFmtId="196" fontId="42" fillId="27" borderId="13" xfId="187" applyFont="true" applyBorder="true" applyAlignment="true" applyProtection="false">
      <alignment horizontal="general" vertical="center" textRotation="0" wrapText="true" indent="0" shrinkToFit="false"/>
      <protection locked="true" hidden="false"/>
    </xf>
    <xf numFmtId="189" fontId="58" fillId="27" borderId="13" xfId="267" applyFont="true" applyBorder="true" applyAlignment="true" applyProtection="false">
      <alignment horizontal="center" vertical="center" textRotation="0" wrapText="true" indent="0" shrinkToFit="false"/>
      <protection locked="true" hidden="false"/>
    </xf>
    <xf numFmtId="164" fontId="42" fillId="27" borderId="19" xfId="187" applyFont="true" applyBorder="true" applyAlignment="true" applyProtection="false">
      <alignment horizontal="center" vertical="top" textRotation="0" wrapText="true" indent="0" shrinkToFit="false"/>
      <protection locked="true" hidden="false"/>
    </xf>
    <xf numFmtId="177" fontId="58" fillId="32" borderId="19" xfId="267" applyFont="true" applyBorder="true" applyAlignment="true" applyProtection="false">
      <alignment horizontal="center" vertical="center" textRotation="0" wrapText="true" indent="0" shrinkToFit="false"/>
      <protection locked="true" hidden="false"/>
    </xf>
    <xf numFmtId="189" fontId="58" fillId="32" borderId="19" xfId="267" applyFont="true" applyBorder="true" applyAlignment="true" applyProtection="false">
      <alignment horizontal="general" vertical="top" textRotation="0" wrapText="true" indent="0" shrinkToFit="false"/>
      <protection locked="true" hidden="false"/>
    </xf>
    <xf numFmtId="189" fontId="57" fillId="32" borderId="13" xfId="267" applyFont="true" applyBorder="true" applyAlignment="true" applyProtection="false">
      <alignment horizontal="center" vertical="center" textRotation="0" wrapText="true" indent="0" shrinkToFit="false"/>
      <protection locked="true" hidden="false"/>
    </xf>
    <xf numFmtId="189" fontId="58" fillId="32" borderId="13" xfId="267" applyFont="true" applyBorder="true" applyAlignment="true" applyProtection="false">
      <alignment horizontal="general" vertical="center" textRotation="0" wrapText="true" indent="0" shrinkToFit="false"/>
      <protection locked="true" hidden="false"/>
    </xf>
    <xf numFmtId="189" fontId="58" fillId="32" borderId="13" xfId="267" applyFont="true" applyBorder="true" applyAlignment="true" applyProtection="false">
      <alignment horizontal="center" vertical="center" textRotation="0" wrapText="true" indent="0" shrinkToFit="false"/>
      <protection locked="true" hidden="false"/>
    </xf>
    <xf numFmtId="193" fontId="73" fillId="27" borderId="13" xfId="0" applyFont="true" applyBorder="true" applyAlignment="true" applyProtection="false">
      <alignment horizontal="left" vertical="top" textRotation="0" wrapText="true" indent="0" shrinkToFit="false"/>
      <protection locked="true" hidden="false"/>
    </xf>
    <xf numFmtId="189" fontId="57" fillId="27" borderId="13" xfId="267" applyFont="true" applyBorder="true" applyAlignment="true" applyProtection="false">
      <alignment horizontal="center" vertical="center" textRotation="0" wrapText="true" indent="0" shrinkToFit="false"/>
      <protection locked="true" hidden="false"/>
    </xf>
    <xf numFmtId="189" fontId="73" fillId="27" borderId="13" xfId="0" applyFont="true" applyBorder="true" applyAlignment="true" applyProtection="false">
      <alignment horizontal="general" vertical="center" textRotation="0" wrapText="true" indent="0" shrinkToFit="false"/>
      <protection locked="true" hidden="false"/>
    </xf>
    <xf numFmtId="189" fontId="73" fillId="27" borderId="13" xfId="0" applyFont="true" applyBorder="true" applyAlignment="true" applyProtection="false">
      <alignment horizontal="center" vertical="center" textRotation="0" wrapText="true" indent="0" shrinkToFit="false"/>
      <protection locked="true" hidden="false"/>
    </xf>
    <xf numFmtId="189" fontId="58" fillId="32" borderId="19" xfId="267" applyFont="true" applyBorder="true" applyAlignment="true" applyProtection="false">
      <alignment horizontal="left" vertical="top" textRotation="0" wrapText="true" indent="0" shrinkToFit="false"/>
      <protection locked="true" hidden="false"/>
    </xf>
    <xf numFmtId="177" fontId="58" fillId="27" borderId="13" xfId="267" applyFont="true" applyBorder="true" applyAlignment="true" applyProtection="false">
      <alignment horizontal="general" vertical="center" textRotation="0" wrapText="true" indent="0" shrinkToFit="false"/>
      <protection locked="true" hidden="false"/>
    </xf>
    <xf numFmtId="177" fontId="58" fillId="27" borderId="19" xfId="267" applyFont="true" applyBorder="true" applyAlignment="true" applyProtection="false">
      <alignment horizontal="center" vertical="center" textRotation="0" wrapText="true" indent="0" shrinkToFit="false"/>
      <protection locked="true" hidden="false"/>
    </xf>
    <xf numFmtId="193" fontId="73" fillId="27" borderId="13" xfId="0" applyFont="true" applyBorder="true" applyAlignment="true" applyProtection="false">
      <alignment horizontal="center" vertical="center" textRotation="0" wrapText="true" indent="0" shrinkToFit="false"/>
      <protection locked="true" hidden="false"/>
    </xf>
    <xf numFmtId="196" fontId="58" fillId="32" borderId="13" xfId="0" applyFont="true" applyBorder="true" applyAlignment="true" applyProtection="false">
      <alignment horizontal="general" vertical="center" textRotation="0" wrapText="true" indent="0" shrinkToFit="false"/>
      <protection locked="true" hidden="false"/>
    </xf>
    <xf numFmtId="164" fontId="58" fillId="32" borderId="13" xfId="0" applyFont="true" applyBorder="true" applyAlignment="true" applyProtection="false">
      <alignment horizontal="center" vertical="center" textRotation="0" wrapText="true" indent="0" shrinkToFit="false"/>
      <protection locked="true" hidden="false"/>
    </xf>
    <xf numFmtId="189" fontId="73" fillId="27" borderId="13" xfId="267" applyFont="true" applyBorder="true" applyAlignment="true" applyProtection="false">
      <alignment horizontal="center" vertical="center" textRotation="0" wrapText="true" indent="0" shrinkToFit="false"/>
      <protection locked="true" hidden="false"/>
    </xf>
    <xf numFmtId="189" fontId="73" fillId="27" borderId="13" xfId="267" applyFont="true" applyBorder="true" applyAlignment="true" applyProtection="false">
      <alignment horizontal="general" vertical="center" textRotation="0" wrapText="true" indent="0" shrinkToFit="false"/>
      <protection locked="true" hidden="false"/>
    </xf>
    <xf numFmtId="164" fontId="73" fillId="27" borderId="13" xfId="0" applyFont="true" applyBorder="true" applyAlignment="true" applyProtection="false">
      <alignment horizontal="general" vertical="center" textRotation="0" wrapText="true" indent="0" shrinkToFit="false"/>
      <protection locked="true" hidden="false"/>
    </xf>
    <xf numFmtId="189" fontId="58" fillId="32" borderId="19" xfId="267" applyFont="true" applyBorder="true" applyAlignment="true" applyProtection="false">
      <alignment horizontal="center" vertical="center" textRotation="0" wrapText="true" indent="0" shrinkToFit="false"/>
      <protection locked="true" hidden="false"/>
    </xf>
    <xf numFmtId="189" fontId="58" fillId="32" borderId="19" xfId="267" applyFont="true" applyBorder="true" applyAlignment="true" applyProtection="false">
      <alignment horizontal="general" vertical="center" textRotation="0" wrapText="true" indent="0" shrinkToFit="false"/>
      <protection locked="true" hidden="false"/>
    </xf>
    <xf numFmtId="177" fontId="57" fillId="27" borderId="19" xfId="267" applyFont="true" applyBorder="true" applyAlignment="true" applyProtection="false">
      <alignment horizontal="center" vertical="center" textRotation="0" wrapText="true" indent="0" shrinkToFit="false"/>
      <protection locked="true" hidden="false"/>
    </xf>
    <xf numFmtId="193" fontId="58" fillId="27" borderId="19" xfId="0" applyFont="true" applyBorder="true" applyAlignment="true" applyProtection="false">
      <alignment horizontal="left" vertical="top" textRotation="0" wrapText="true" indent="0" shrinkToFit="false"/>
      <protection locked="true" hidden="false"/>
    </xf>
    <xf numFmtId="177" fontId="58" fillId="32" borderId="13" xfId="0" applyFont="true" applyBorder="true" applyAlignment="true" applyProtection="false">
      <alignment horizontal="left" vertical="top" textRotation="0" wrapText="true" indent="0" shrinkToFit="false"/>
      <protection locked="true" hidden="false"/>
    </xf>
    <xf numFmtId="193" fontId="58" fillId="32" borderId="13" xfId="0" applyFont="true" applyBorder="true" applyAlignment="true" applyProtection="false">
      <alignment horizontal="left" vertical="top" textRotation="0" wrapText="true" indent="0" shrinkToFit="false"/>
      <protection locked="true" hidden="false"/>
    </xf>
    <xf numFmtId="189" fontId="58" fillId="32" borderId="13" xfId="0" applyFont="true" applyBorder="true" applyAlignment="true" applyProtection="false">
      <alignment horizontal="center" vertical="center" textRotation="0" wrapText="true" indent="0" shrinkToFit="false"/>
      <protection locked="true" hidden="false"/>
    </xf>
    <xf numFmtId="189" fontId="58" fillId="32" borderId="13" xfId="0" applyFont="true" applyBorder="true" applyAlignment="true" applyProtection="false">
      <alignment horizontal="general" vertical="center" textRotation="0" wrapText="true" indent="0" shrinkToFit="false"/>
      <protection locked="true" hidden="false"/>
    </xf>
    <xf numFmtId="193" fontId="73" fillId="27" borderId="19" xfId="0" applyFont="true" applyBorder="true" applyAlignment="true" applyProtection="false">
      <alignment horizontal="left" vertical="top" textRotation="0" wrapText="true" indent="0" shrinkToFit="false"/>
      <protection locked="true" hidden="false"/>
    </xf>
    <xf numFmtId="177" fontId="57" fillId="27" borderId="13" xfId="267" applyFont="true" applyBorder="true" applyAlignment="true" applyProtection="false">
      <alignment horizontal="center" vertical="center" textRotation="0" wrapText="true" indent="0" shrinkToFit="false"/>
      <protection locked="true" hidden="false"/>
    </xf>
    <xf numFmtId="193" fontId="57" fillId="27" borderId="13" xfId="0" applyFont="true" applyBorder="true" applyAlignment="true" applyProtection="false">
      <alignment horizontal="left" vertical="top" textRotation="0" wrapText="true" indent="0" shrinkToFit="false"/>
      <protection locked="true" hidden="false"/>
    </xf>
    <xf numFmtId="177" fontId="58" fillId="32" borderId="13" xfId="267" applyFont="true" applyBorder="true" applyAlignment="true" applyProtection="false">
      <alignment horizontal="center" vertical="center" textRotation="0" wrapText="true" indent="0" shrinkToFit="false"/>
      <protection locked="true" hidden="false"/>
    </xf>
    <xf numFmtId="193" fontId="58" fillId="32" borderId="13" xfId="0" applyFont="true" applyBorder="true" applyAlignment="true" applyProtection="false">
      <alignment horizontal="center" vertical="center" textRotation="0" wrapText="true" indent="0" shrinkToFit="false"/>
      <protection locked="true" hidden="false"/>
    </xf>
    <xf numFmtId="193" fontId="57" fillId="27" borderId="13" xfId="0" applyFont="true" applyBorder="true" applyAlignment="true" applyProtection="false">
      <alignment horizontal="center" vertical="center" textRotation="0" wrapText="true" indent="0" shrinkToFit="false"/>
      <protection locked="true" hidden="false"/>
    </xf>
    <xf numFmtId="189" fontId="57" fillId="27" borderId="13" xfId="0" applyFont="true" applyBorder="true" applyAlignment="true" applyProtection="false">
      <alignment horizontal="general" vertical="center" textRotation="0" wrapText="true" indent="0" shrinkToFit="false"/>
      <protection locked="true" hidden="false"/>
    </xf>
    <xf numFmtId="193" fontId="57" fillId="27" borderId="19" xfId="0" applyFont="true" applyBorder="true" applyAlignment="true" applyProtection="false">
      <alignment horizontal="left" vertical="top" textRotation="0" wrapText="true" indent="0" shrinkToFit="false"/>
      <protection locked="true" hidden="false"/>
    </xf>
    <xf numFmtId="189" fontId="57" fillId="27" borderId="13" xfId="267" applyFont="true" applyBorder="true" applyAlignment="true" applyProtection="false">
      <alignment horizontal="general" vertical="center" textRotation="0" wrapText="true" indent="0" shrinkToFit="false"/>
      <protection locked="true" hidden="false"/>
    </xf>
    <xf numFmtId="164" fontId="73" fillId="27" borderId="13" xfId="0" applyFont="true" applyBorder="true" applyAlignment="true" applyProtection="false">
      <alignment horizontal="left" vertical="center" textRotation="0" wrapText="true" indent="0" shrinkToFit="false"/>
      <protection locked="true" hidden="false"/>
    </xf>
    <xf numFmtId="164" fontId="73" fillId="27" borderId="13" xfId="0" applyFont="true" applyBorder="true" applyAlignment="true" applyProtection="false">
      <alignment horizontal="center" vertical="center" textRotation="0" wrapText="true" indent="0" shrinkToFit="false"/>
      <protection locked="true" hidden="false"/>
    </xf>
    <xf numFmtId="193" fontId="58" fillId="32" borderId="13" xfId="0" applyFont="true" applyBorder="true" applyAlignment="true" applyProtection="false">
      <alignment horizontal="general" vertical="center" textRotation="0" wrapText="true" indent="0" shrinkToFit="false"/>
      <protection locked="true" hidden="false"/>
    </xf>
    <xf numFmtId="177" fontId="58" fillId="27" borderId="13" xfId="267" applyFont="true" applyBorder="true" applyAlignment="true" applyProtection="false">
      <alignment horizontal="center" vertical="center" textRotation="0" wrapText="true" indent="0" shrinkToFit="false"/>
      <protection locked="true" hidden="false"/>
    </xf>
    <xf numFmtId="164" fontId="60" fillId="27" borderId="0" xfId="0" applyFont="true" applyBorder="false" applyAlignment="true" applyProtection="false">
      <alignment horizontal="center" vertical="top" textRotation="0" wrapText="true" indent="0" shrinkToFit="false"/>
      <protection locked="true" hidden="false"/>
    </xf>
    <xf numFmtId="177" fontId="69" fillId="27" borderId="13" xfId="267" applyFont="true" applyBorder="true" applyAlignment="true" applyProtection="false">
      <alignment horizontal="center" vertical="center" textRotation="0" wrapText="true" indent="0" shrinkToFit="false"/>
      <protection locked="true" hidden="false"/>
    </xf>
    <xf numFmtId="193" fontId="60" fillId="27" borderId="13" xfId="0" applyFont="true" applyBorder="true" applyAlignment="true" applyProtection="false">
      <alignment horizontal="left" vertical="top" textRotation="0" wrapText="true" indent="0" shrinkToFit="false"/>
      <protection locked="true" hidden="false"/>
    </xf>
    <xf numFmtId="164" fontId="69" fillId="27" borderId="13" xfId="0" applyFont="true" applyBorder="true" applyAlignment="true" applyProtection="false">
      <alignment horizontal="general" vertical="center" textRotation="0" wrapText="true" indent="0" shrinkToFit="false"/>
      <protection locked="true" hidden="false"/>
    </xf>
    <xf numFmtId="193" fontId="69" fillId="27" borderId="13" xfId="0" applyFont="true" applyBorder="true" applyAlignment="true" applyProtection="false">
      <alignment horizontal="left" vertical="top" textRotation="0" wrapText="true" indent="0" shrinkToFit="false"/>
      <protection locked="true" hidden="false"/>
    </xf>
    <xf numFmtId="164" fontId="69" fillId="27" borderId="13" xfId="0" applyFont="true" applyBorder="true" applyAlignment="true" applyProtection="false">
      <alignment horizontal="center" vertical="center" textRotation="0" wrapText="true" indent="0" shrinkToFit="false"/>
      <protection locked="true" hidden="false"/>
    </xf>
    <xf numFmtId="193" fontId="60" fillId="32" borderId="13" xfId="0" applyFont="true" applyBorder="true" applyAlignment="true" applyProtection="false">
      <alignment horizontal="left" vertical="top" textRotation="0" wrapText="true" indent="0" shrinkToFit="false"/>
      <protection locked="true" hidden="false"/>
    </xf>
    <xf numFmtId="177" fontId="58" fillId="32" borderId="13" xfId="267" applyFont="true" applyBorder="true" applyAlignment="true" applyProtection="false">
      <alignment horizontal="general" vertical="center" textRotation="0" wrapText="true" indent="0" shrinkToFit="false"/>
      <protection locked="true" hidden="false"/>
    </xf>
    <xf numFmtId="193" fontId="58" fillId="32" borderId="13" xfId="0" applyFont="true" applyBorder="true" applyAlignment="true" applyProtection="false">
      <alignment horizontal="center" vertical="top" textRotation="0" wrapText="true" indent="0" shrinkToFit="false"/>
      <protection locked="true" hidden="false"/>
    </xf>
    <xf numFmtId="164" fontId="43" fillId="25" borderId="13" xfId="187" applyFont="true" applyBorder="true" applyAlignment="true" applyProtection="false">
      <alignment horizontal="center" vertical="center" textRotation="0" wrapText="false" indent="0" shrinkToFit="false"/>
      <protection locked="true" hidden="false"/>
    </xf>
    <xf numFmtId="164" fontId="42" fillId="25" borderId="0" xfId="187" applyFont="true" applyBorder="false" applyAlignment="true" applyProtection="false">
      <alignment horizontal="center" vertical="center" textRotation="0" wrapText="false" indent="0" shrinkToFit="false"/>
      <protection locked="true" hidden="false"/>
    </xf>
    <xf numFmtId="164" fontId="42" fillId="27" borderId="0" xfId="187" applyFont="true" applyBorder="false" applyAlignment="true" applyProtection="false">
      <alignment horizontal="center" vertical="top" textRotation="0" wrapText="false" indent="0" shrinkToFit="false"/>
      <protection locked="true" hidden="false"/>
    </xf>
    <xf numFmtId="191" fontId="43" fillId="27" borderId="13" xfId="15" applyFont="true" applyBorder="true" applyAlignment="true" applyProtection="true">
      <alignment horizontal="general" vertical="center" textRotation="0" wrapText="false" indent="0" shrinkToFit="false"/>
      <protection locked="true" hidden="false"/>
    </xf>
    <xf numFmtId="164" fontId="42" fillId="27" borderId="13" xfId="187" applyFont="true" applyBorder="true" applyAlignment="true" applyProtection="false">
      <alignment horizontal="center" vertical="center" textRotation="0" wrapText="false" indent="0" shrinkToFit="false"/>
      <protection locked="true" hidden="false"/>
    </xf>
    <xf numFmtId="164" fontId="43" fillId="27" borderId="14" xfId="187" applyFont="true" applyBorder="true" applyAlignment="true" applyProtection="false">
      <alignment horizontal="center" vertical="center" textRotation="0" wrapText="false" indent="0" shrinkToFit="false"/>
      <protection locked="true" hidden="false"/>
    </xf>
    <xf numFmtId="191" fontId="43" fillId="27" borderId="13" xfId="15" applyFont="true" applyBorder="true" applyAlignment="true" applyProtection="true">
      <alignment horizontal="center" vertical="center" textRotation="0" wrapText="false" indent="0" shrinkToFit="false"/>
      <protection locked="true" hidden="false"/>
    </xf>
    <xf numFmtId="177" fontId="69" fillId="27" borderId="13" xfId="0" applyFont="true" applyBorder="true" applyAlignment="true" applyProtection="false">
      <alignment horizontal="center" vertical="center" textRotation="0" wrapText="true" indent="0" shrinkToFit="false"/>
      <protection locked="true" hidden="false"/>
    </xf>
    <xf numFmtId="164" fontId="51" fillId="27" borderId="13" xfId="187" applyFont="true" applyBorder="true" applyAlignment="true" applyProtection="false">
      <alignment horizontal="general" vertical="top" textRotation="0" wrapText="true" indent="0" shrinkToFit="false"/>
      <protection locked="true" hidden="false"/>
    </xf>
    <xf numFmtId="189" fontId="60" fillId="27" borderId="13" xfId="0" applyFont="true" applyBorder="true" applyAlignment="true" applyProtection="false">
      <alignment horizontal="center" vertical="center" textRotation="0" wrapText="true" indent="0" shrinkToFit="false"/>
      <protection locked="true" hidden="false"/>
    </xf>
    <xf numFmtId="189" fontId="60" fillId="27" borderId="14" xfId="0" applyFont="true" applyBorder="true" applyAlignment="true" applyProtection="false">
      <alignment horizontal="center" vertical="center" textRotation="0" wrapText="true" indent="0" shrinkToFit="false"/>
      <protection locked="true" hidden="false"/>
    </xf>
    <xf numFmtId="164" fontId="60" fillId="27" borderId="13" xfId="0" applyFont="true" applyBorder="true" applyAlignment="true" applyProtection="false">
      <alignment horizontal="center" vertical="center" textRotation="0" wrapText="true" indent="0" shrinkToFit="false"/>
      <protection locked="true" hidden="false"/>
    </xf>
    <xf numFmtId="164" fontId="58" fillId="0" borderId="0" xfId="0" applyFont="true" applyBorder="false" applyAlignment="true" applyProtection="false">
      <alignment horizontal="general" vertical="top" textRotation="0" wrapText="true" indent="0" shrinkToFit="false"/>
      <protection locked="true" hidden="false"/>
    </xf>
    <xf numFmtId="164" fontId="58" fillId="27" borderId="0" xfId="0" applyFont="true" applyBorder="false" applyAlignment="true" applyProtection="false">
      <alignment horizontal="general" vertical="top" textRotation="0" wrapText="true" indent="0" shrinkToFit="false"/>
      <protection locked="true" hidden="false"/>
    </xf>
    <xf numFmtId="164" fontId="58" fillId="0" borderId="13" xfId="0" applyFont="true" applyBorder="true" applyAlignment="true" applyProtection="false">
      <alignment horizontal="center" vertical="center" textRotation="0" wrapText="true" indent="0" shrinkToFit="false"/>
      <protection locked="true" hidden="false"/>
    </xf>
    <xf numFmtId="193" fontId="59" fillId="27" borderId="13" xfId="267" applyFont="true" applyBorder="true" applyAlignment="true" applyProtection="false">
      <alignment horizontal="left" vertical="top" textRotation="0" wrapText="true" indent="0" shrinkToFit="false"/>
      <protection locked="true" hidden="false"/>
    </xf>
    <xf numFmtId="164" fontId="58" fillId="0" borderId="21" xfId="0" applyFont="true" applyBorder="true" applyAlignment="true" applyProtection="false">
      <alignment horizontal="center" vertical="center" textRotation="0" wrapText="true" indent="0" shrinkToFit="false"/>
      <protection locked="true" hidden="false"/>
    </xf>
    <xf numFmtId="189" fontId="57" fillId="27" borderId="20" xfId="267" applyFont="true" applyBorder="true" applyAlignment="true" applyProtection="false">
      <alignment horizontal="center" vertical="center" textRotation="0" wrapText="true" indent="0" shrinkToFit="false"/>
      <protection locked="true" hidden="false"/>
    </xf>
    <xf numFmtId="177" fontId="45" fillId="25" borderId="18" xfId="187" applyFont="true" applyBorder="true" applyAlignment="true" applyProtection="false">
      <alignment horizontal="general" vertical="center" textRotation="0" wrapText="true" indent="0" shrinkToFit="false"/>
      <protection locked="true" hidden="false"/>
    </xf>
    <xf numFmtId="189" fontId="59" fillId="0" borderId="13" xfId="0" applyFont="true" applyBorder="true" applyAlignment="true" applyProtection="false">
      <alignment horizontal="center" vertical="center" textRotation="0" wrapText="true" indent="0" shrinkToFit="false"/>
      <protection locked="true" hidden="false"/>
    </xf>
    <xf numFmtId="177" fontId="45" fillId="27" borderId="18" xfId="187" applyFont="true" applyBorder="true" applyAlignment="true" applyProtection="false">
      <alignment horizontal="center" vertical="top" textRotation="0" wrapText="true" indent="0" shrinkToFit="false"/>
      <protection locked="true" hidden="false"/>
    </xf>
    <xf numFmtId="189" fontId="59" fillId="25" borderId="13" xfId="0" applyFont="true" applyBorder="true" applyAlignment="true" applyProtection="false">
      <alignment horizontal="general" vertical="center" textRotation="0" wrapText="true" indent="0" shrinkToFit="false"/>
      <protection locked="true" hidden="false"/>
    </xf>
    <xf numFmtId="189" fontId="59" fillId="25" borderId="13" xfId="0" applyFont="true" applyBorder="true" applyAlignment="true" applyProtection="false">
      <alignment horizontal="center" vertical="center" textRotation="0" wrapText="true" indent="0" shrinkToFit="false"/>
      <protection locked="true" hidden="false"/>
    </xf>
    <xf numFmtId="164" fontId="46" fillId="27" borderId="0" xfId="0" applyFont="true" applyBorder="true" applyAlignment="true" applyProtection="false">
      <alignment horizontal="left" vertical="top" textRotation="0" wrapText="true" indent="0" shrinkToFit="false"/>
      <protection locked="true" hidden="false"/>
    </xf>
    <xf numFmtId="189" fontId="46" fillId="27" borderId="0" xfId="0" applyFont="true" applyBorder="true" applyAlignment="true" applyProtection="false">
      <alignment horizontal="general" vertical="center" textRotation="0" wrapText="true" indent="0" shrinkToFit="false"/>
      <protection locked="true" hidden="false"/>
    </xf>
    <xf numFmtId="177" fontId="45" fillId="0" borderId="0" xfId="0" applyFont="true" applyBorder="false" applyAlignment="true" applyProtection="false">
      <alignment horizontal="center" vertical="top" textRotation="0" wrapText="true" indent="0" shrinkToFit="false"/>
      <protection locked="true" hidden="false"/>
    </xf>
    <xf numFmtId="189" fontId="46" fillId="0" borderId="0" xfId="0" applyFont="true" applyBorder="false" applyAlignment="true" applyProtection="false">
      <alignment horizontal="left" vertical="top" textRotation="0" wrapText="true" indent="0" shrinkToFit="false"/>
      <protection locked="true" hidden="false"/>
    </xf>
    <xf numFmtId="189" fontId="46" fillId="0" borderId="0" xfId="0" applyFont="true" applyBorder="false" applyAlignment="true" applyProtection="false">
      <alignment horizontal="general" vertical="center" textRotation="0" wrapText="true" indent="0" shrinkToFit="false"/>
      <protection locked="true" hidden="false"/>
    </xf>
    <xf numFmtId="164" fontId="45" fillId="0" borderId="0" xfId="0" applyFont="true" applyBorder="false" applyAlignment="true" applyProtection="false">
      <alignment horizontal="left" vertical="top" textRotation="0" wrapText="true" indent="0" shrinkToFit="false"/>
      <protection locked="true" hidden="false"/>
    </xf>
    <xf numFmtId="164" fontId="45" fillId="0" borderId="0" xfId="0" applyFont="true" applyBorder="false" applyAlignment="true" applyProtection="false">
      <alignment horizontal="general" vertical="center" textRotation="0" wrapText="true" indent="0" shrinkToFit="false"/>
      <protection locked="true" hidden="false"/>
    </xf>
    <xf numFmtId="164" fontId="45" fillId="0" borderId="0" xfId="0" applyFont="true" applyBorder="true" applyAlignment="true" applyProtection="false">
      <alignment horizontal="center" vertical="center" textRotation="0" wrapText="true" indent="0" shrinkToFit="false"/>
      <protection locked="true" hidden="false"/>
    </xf>
    <xf numFmtId="193" fontId="46" fillId="0" borderId="0" xfId="0" applyFont="true" applyBorder="false" applyAlignment="true" applyProtection="false">
      <alignment horizontal="center" vertical="center" textRotation="0" wrapText="true" indent="0" shrinkToFit="false"/>
      <protection locked="true" hidden="false"/>
    </xf>
    <xf numFmtId="164" fontId="45" fillId="0" borderId="0" xfId="0" applyFont="true" applyBorder="true" applyAlignment="true" applyProtection="false">
      <alignment horizontal="left" vertical="top" textRotation="0" wrapText="true" indent="0" shrinkToFit="false"/>
      <protection locked="true" hidden="false"/>
    </xf>
    <xf numFmtId="164" fontId="60" fillId="27" borderId="0" xfId="0" applyFont="true" applyBorder="false" applyAlignment="true" applyProtection="false">
      <alignment horizontal="center" vertical="center" textRotation="0" wrapText="true" indent="0" shrinkToFit="false"/>
      <protection locked="true" hidden="false"/>
    </xf>
    <xf numFmtId="164" fontId="59" fillId="0" borderId="0" xfId="214" applyFont="true" applyBorder="false" applyAlignment="true" applyProtection="false">
      <alignment horizontal="general" vertical="top" textRotation="0" wrapText="true" indent="0" shrinkToFit="false"/>
      <protection locked="true" hidden="false"/>
    </xf>
    <xf numFmtId="164" fontId="59" fillId="0" borderId="0" xfId="214" applyFont="true" applyBorder="false" applyAlignment="true" applyProtection="false">
      <alignment horizontal="right" vertical="top" textRotation="0" wrapText="true" indent="0" shrinkToFit="false"/>
      <protection locked="true" hidden="false"/>
    </xf>
    <xf numFmtId="164" fontId="72" fillId="0" borderId="0" xfId="214" applyFont="true" applyBorder="true" applyAlignment="true" applyProtection="false">
      <alignment horizontal="center" vertical="center" textRotation="0" wrapText="true" indent="0" shrinkToFit="false"/>
      <protection locked="true" hidden="false"/>
    </xf>
    <xf numFmtId="164" fontId="72" fillId="0" borderId="0" xfId="214" applyFont="true" applyBorder="true" applyAlignment="true" applyProtection="false">
      <alignment horizontal="center" vertical="top" textRotation="0" wrapText="true" indent="0" shrinkToFit="false"/>
      <protection locked="true" hidden="false"/>
    </xf>
    <xf numFmtId="164" fontId="59" fillId="0" borderId="0" xfId="214" applyFont="true" applyBorder="true" applyAlignment="true" applyProtection="false">
      <alignment horizontal="center" vertical="top" textRotation="0" wrapText="true" indent="0" shrinkToFit="false"/>
      <protection locked="true" hidden="false"/>
    </xf>
    <xf numFmtId="164" fontId="72" fillId="0" borderId="13" xfId="214" applyFont="true" applyBorder="true" applyAlignment="true" applyProtection="false">
      <alignment horizontal="center" vertical="top" textRotation="0" wrapText="true" indent="0" shrinkToFit="false"/>
      <protection locked="true" hidden="false"/>
    </xf>
    <xf numFmtId="164" fontId="72" fillId="0" borderId="0" xfId="214" applyFont="true" applyBorder="false" applyAlignment="true" applyProtection="false">
      <alignment horizontal="general" vertical="top" textRotation="0" wrapText="true" indent="0" shrinkToFit="false"/>
      <protection locked="true" hidden="false"/>
    </xf>
    <xf numFmtId="164" fontId="59" fillId="0" borderId="13" xfId="0" applyFont="true" applyBorder="true" applyAlignment="true" applyProtection="false">
      <alignment horizontal="center" vertical="bottom" textRotation="0" wrapText="false" indent="0" shrinkToFit="false"/>
      <protection locked="true" hidden="false"/>
    </xf>
    <xf numFmtId="164" fontId="59" fillId="0" borderId="13" xfId="0" applyFont="true" applyBorder="true" applyAlignment="false" applyProtection="false">
      <alignment horizontal="general" vertical="bottom" textRotation="0" wrapText="false" indent="0" shrinkToFit="false"/>
      <protection locked="true" hidden="false"/>
    </xf>
    <xf numFmtId="196" fontId="59" fillId="0" borderId="0" xfId="0" applyFont="true" applyBorder="false" applyAlignment="false" applyProtection="false">
      <alignment horizontal="general" vertical="bottom" textRotation="0" wrapText="false" indent="0" shrinkToFit="false"/>
      <protection locked="true" hidden="false"/>
    </xf>
    <xf numFmtId="188" fontId="59" fillId="0" borderId="13" xfId="15" applyFont="true" applyBorder="true" applyAlignment="true" applyProtection="true">
      <alignment horizontal="right" vertical="top" textRotation="0" wrapText="true" indent="0" shrinkToFit="false"/>
      <protection locked="true" hidden="false"/>
    </xf>
    <xf numFmtId="164" fontId="74" fillId="0" borderId="0" xfId="0" applyFont="true" applyBorder="false" applyAlignment="false" applyProtection="false">
      <alignment horizontal="general" vertical="bottom" textRotation="0" wrapText="false" indent="0" shrinkToFit="false"/>
      <protection locked="true" hidden="false"/>
    </xf>
    <xf numFmtId="200" fontId="59" fillId="0" borderId="13" xfId="0" applyFont="true" applyBorder="true" applyAlignment="true" applyProtection="false">
      <alignment horizontal="right" vertical="center" textRotation="0" wrapText="true" indent="0" shrinkToFit="false"/>
      <protection locked="true" hidden="false"/>
    </xf>
    <xf numFmtId="164" fontId="59" fillId="0" borderId="13" xfId="0" applyFont="true" applyBorder="true" applyAlignment="false" applyProtection="false">
      <alignment horizontal="general" vertical="bottom" textRotation="0" wrapText="false" indent="0" shrinkToFit="false"/>
      <protection locked="true" hidden="false"/>
    </xf>
    <xf numFmtId="164" fontId="72" fillId="0" borderId="13" xfId="0" applyFont="true" applyBorder="true" applyAlignment="false" applyProtection="false">
      <alignment horizontal="general" vertical="bottom" textRotation="0" wrapText="false" indent="0" shrinkToFit="false"/>
      <protection locked="true" hidden="false"/>
    </xf>
    <xf numFmtId="200" fontId="72" fillId="0" borderId="13" xfId="0" applyFont="true" applyBorder="true" applyAlignment="true" applyProtection="false">
      <alignment horizontal="center" vertical="bottom" textRotation="0" wrapText="false" indent="0" shrinkToFit="false"/>
      <protection locked="true" hidden="false"/>
    </xf>
    <xf numFmtId="200" fontId="72" fillId="0" borderId="13" xfId="0" applyFont="true" applyBorder="true" applyAlignment="true" applyProtection="false">
      <alignment horizontal="right" vertical="bottom" textRotation="0" wrapText="false" indent="0" shrinkToFit="false"/>
      <protection locked="true" hidden="false"/>
    </xf>
    <xf numFmtId="164" fontId="59" fillId="0" borderId="0" xfId="214" applyFont="true" applyBorder="true" applyAlignment="true" applyProtection="false">
      <alignment horizontal="left" vertical="top" textRotation="0" wrapText="true" indent="0" shrinkToFit="false"/>
      <protection locked="true" hidden="false"/>
    </xf>
    <xf numFmtId="195" fontId="72" fillId="25" borderId="0" xfId="214" applyFont="true" applyBorder="false" applyAlignment="true" applyProtection="false">
      <alignment horizontal="center" vertical="center" textRotation="0" wrapText="true" indent="0" shrinkToFit="false"/>
      <protection locked="true" hidden="false"/>
    </xf>
    <xf numFmtId="164" fontId="59" fillId="0" borderId="0" xfId="214" applyFont="true" applyBorder="true" applyAlignment="true" applyProtection="false">
      <alignment horizontal="general" vertical="top" textRotation="0" wrapText="true" indent="0" shrinkToFit="false"/>
      <protection locked="true" hidden="false"/>
    </xf>
    <xf numFmtId="200" fontId="59" fillId="0" borderId="0" xfId="214" applyFont="true" applyBorder="false" applyAlignment="true" applyProtection="false">
      <alignment horizontal="center" vertical="center" textRotation="0" wrapText="true" indent="0" shrinkToFit="false"/>
      <protection locked="true" hidden="false"/>
    </xf>
    <xf numFmtId="164" fontId="59" fillId="0" borderId="0" xfId="214" applyFont="true" applyBorder="false" applyAlignment="true" applyProtection="false">
      <alignment horizontal="left" vertical="top" textRotation="0" wrapText="true" indent="0" shrinkToFit="false"/>
      <protection locked="true" hidden="false"/>
    </xf>
    <xf numFmtId="164" fontId="75" fillId="0" borderId="0" xfId="0" applyFont="true" applyBorder="false" applyAlignment="false" applyProtection="false">
      <alignment horizontal="general" vertical="bottom" textRotation="0" wrapText="false" indent="0" shrinkToFit="false"/>
      <protection locked="true" hidden="false"/>
    </xf>
    <xf numFmtId="164" fontId="76" fillId="0" borderId="0" xfId="0" applyFont="true" applyBorder="false" applyAlignment="true" applyProtection="false">
      <alignment horizontal="general" vertical="top" textRotation="0" wrapText="false" indent="0" shrinkToFit="false"/>
      <protection locked="true" hidden="false"/>
    </xf>
    <xf numFmtId="164" fontId="76" fillId="0" borderId="0" xfId="0" applyFont="true" applyBorder="false" applyAlignment="true" applyProtection="false">
      <alignment horizontal="left" vertical="bottom" textRotation="0" wrapText="false" indent="0" shrinkToFit="false"/>
      <protection locked="true" hidden="false"/>
    </xf>
    <xf numFmtId="164" fontId="76" fillId="0" borderId="0" xfId="0" applyFont="true" applyBorder="false" applyAlignment="false" applyProtection="false">
      <alignment horizontal="general" vertical="bottom" textRotation="0" wrapText="false" indent="0" shrinkToFit="false"/>
      <protection locked="true" hidden="false"/>
    </xf>
    <xf numFmtId="164" fontId="77" fillId="27" borderId="0" xfId="0" applyFont="true" applyBorder="false" applyAlignment="true" applyProtection="false">
      <alignment horizontal="center" vertical="center" textRotation="0" wrapText="false" indent="0" shrinkToFit="false"/>
      <protection locked="true" hidden="false"/>
    </xf>
    <xf numFmtId="164" fontId="74" fillId="27" borderId="0" xfId="0" applyFont="true" applyBorder="false" applyAlignment="false" applyProtection="false">
      <alignment horizontal="general" vertical="bottom" textRotation="0" wrapText="false" indent="0" shrinkToFit="false"/>
      <protection locked="true" hidden="false"/>
    </xf>
    <xf numFmtId="164" fontId="74" fillId="27" borderId="0" xfId="0" applyFont="true" applyBorder="false" applyAlignment="true" applyProtection="false">
      <alignment horizontal="left" vertical="bottom" textRotation="0" wrapText="true" indent="0" shrinkToFit="false"/>
      <protection locked="true" hidden="false"/>
    </xf>
    <xf numFmtId="164" fontId="77" fillId="27" borderId="0" xfId="0" applyFont="true" applyBorder="false" applyAlignment="false" applyProtection="false">
      <alignment horizontal="general" vertical="bottom" textRotation="0" wrapText="false" indent="0" shrinkToFit="false"/>
      <protection locked="true" hidden="false"/>
    </xf>
    <xf numFmtId="164" fontId="57" fillId="27" borderId="0" xfId="262" applyFont="true" applyBorder="false" applyAlignment="true" applyProtection="false">
      <alignment horizontal="center" vertical="top" textRotation="0" wrapText="true" indent="0" shrinkToFit="false"/>
      <protection locked="true" hidden="false"/>
    </xf>
    <xf numFmtId="164" fontId="57" fillId="27" borderId="0" xfId="262" applyFont="true" applyBorder="false" applyAlignment="true" applyProtection="false">
      <alignment horizontal="general" vertical="top" textRotation="0" wrapText="true" indent="0" shrinkToFit="false"/>
      <protection locked="true" hidden="false"/>
    </xf>
    <xf numFmtId="164" fontId="57" fillId="0" borderId="0" xfId="262" applyFont="true" applyBorder="false" applyAlignment="true" applyProtection="false">
      <alignment horizontal="left" vertical="top" textRotation="0" wrapText="true" indent="0" shrinkToFit="false"/>
      <protection locked="true" hidden="false"/>
    </xf>
    <xf numFmtId="200" fontId="57" fillId="27" borderId="0" xfId="262" applyFont="true" applyBorder="false" applyAlignment="true" applyProtection="false">
      <alignment horizontal="general" vertical="top" textRotation="0" wrapText="true" indent="0" shrinkToFit="false"/>
      <protection locked="true" hidden="false"/>
    </xf>
    <xf numFmtId="164" fontId="78" fillId="27" borderId="0" xfId="262" applyFont="true" applyBorder="false" applyAlignment="true" applyProtection="false">
      <alignment horizontal="general" vertical="top" textRotation="0" wrapText="true" indent="0" shrinkToFit="false"/>
      <protection locked="true" hidden="false"/>
    </xf>
    <xf numFmtId="199" fontId="57" fillId="27" borderId="0" xfId="262" applyFont="true" applyBorder="false" applyAlignment="true" applyProtection="false">
      <alignment horizontal="right" vertical="top" textRotation="0" wrapText="true" indent="0" shrinkToFit="false"/>
      <protection locked="true" hidden="false"/>
    </xf>
    <xf numFmtId="189" fontId="58" fillId="27" borderId="0" xfId="207" applyFont="true" applyBorder="false" applyAlignment="true" applyProtection="false">
      <alignment horizontal="general" vertical="top" textRotation="0" wrapText="true" indent="0" shrinkToFit="false"/>
      <protection locked="true" hidden="false"/>
    </xf>
    <xf numFmtId="164" fontId="58" fillId="27" borderId="0" xfId="207" applyFont="true" applyBorder="true" applyAlignment="true" applyProtection="false">
      <alignment horizontal="center" vertical="top" textRotation="0" wrapText="true" indent="0" shrinkToFit="false"/>
      <protection locked="true" hidden="false"/>
    </xf>
    <xf numFmtId="164" fontId="58" fillId="0" borderId="0" xfId="262" applyFont="true" applyBorder="false" applyAlignment="true" applyProtection="false">
      <alignment horizontal="left" vertical="top" textRotation="0" wrapText="true" indent="0" shrinkToFit="false"/>
      <protection locked="true" hidden="false"/>
    </xf>
    <xf numFmtId="164" fontId="58" fillId="27" borderId="23" xfId="262" applyFont="true" applyBorder="true" applyAlignment="true" applyProtection="false">
      <alignment horizontal="center" vertical="top" textRotation="0" wrapText="true" indent="0" shrinkToFit="false"/>
      <protection locked="true" hidden="false"/>
    </xf>
    <xf numFmtId="164" fontId="58" fillId="27" borderId="0" xfId="262" applyFont="true" applyBorder="false" applyAlignment="true" applyProtection="false">
      <alignment horizontal="right" vertical="top" textRotation="0" wrapText="true" indent="0" shrinkToFit="false"/>
      <protection locked="true" hidden="false"/>
    </xf>
    <xf numFmtId="189" fontId="57" fillId="27" borderId="0" xfId="262" applyFont="true" applyBorder="false" applyAlignment="true" applyProtection="false">
      <alignment horizontal="general" vertical="top" textRotation="0" wrapText="true" indent="0" shrinkToFit="false"/>
      <protection locked="true" hidden="false"/>
    </xf>
    <xf numFmtId="199" fontId="58" fillId="27" borderId="0" xfId="262" applyFont="true" applyBorder="false" applyAlignment="true" applyProtection="false">
      <alignment horizontal="right" vertical="top" textRotation="0" wrapText="true" indent="0" shrinkToFit="false"/>
      <protection locked="true" hidden="false"/>
    </xf>
    <xf numFmtId="164" fontId="57" fillId="27" borderId="13" xfId="262" applyFont="true" applyBorder="true" applyAlignment="true" applyProtection="false">
      <alignment horizontal="center" vertical="top" textRotation="0" wrapText="true" indent="0" shrinkToFit="false"/>
      <protection locked="true" hidden="false"/>
    </xf>
    <xf numFmtId="164" fontId="57" fillId="0" borderId="13" xfId="262" applyFont="true" applyBorder="true" applyAlignment="true" applyProtection="false">
      <alignment horizontal="left" vertical="top" textRotation="0" wrapText="true" indent="0" shrinkToFit="false"/>
      <protection locked="true" hidden="false"/>
    </xf>
    <xf numFmtId="200" fontId="57" fillId="27" borderId="13" xfId="262" applyFont="true" applyBorder="true" applyAlignment="true" applyProtection="false">
      <alignment horizontal="center" vertical="top" textRotation="0" wrapText="true" indent="0" shrinkToFit="false"/>
      <protection locked="true" hidden="false"/>
    </xf>
    <xf numFmtId="164" fontId="57" fillId="0" borderId="13" xfId="262" applyFont="true" applyBorder="true" applyAlignment="true" applyProtection="false">
      <alignment horizontal="center" vertical="top" textRotation="0" wrapText="true" indent="0" shrinkToFit="false"/>
      <protection locked="true" hidden="false"/>
    </xf>
    <xf numFmtId="190" fontId="57" fillId="27" borderId="13" xfId="262" applyFont="true" applyBorder="true" applyAlignment="true" applyProtection="false">
      <alignment horizontal="center" vertical="top" textRotation="0" wrapText="true" indent="0" shrinkToFit="false"/>
      <protection locked="true" hidden="false"/>
    </xf>
    <xf numFmtId="164" fontId="58" fillId="27" borderId="13" xfId="262" applyFont="true" applyBorder="true" applyAlignment="true" applyProtection="false">
      <alignment horizontal="general" vertical="top" textRotation="0" wrapText="true" indent="0" shrinkToFit="false"/>
      <protection locked="true" hidden="false"/>
    </xf>
    <xf numFmtId="189" fontId="58" fillId="27" borderId="13" xfId="262" applyFont="true" applyBorder="true" applyAlignment="true" applyProtection="false">
      <alignment horizontal="center" vertical="top" textRotation="0" wrapText="true" indent="0" shrinkToFit="false"/>
      <protection locked="true" hidden="false"/>
    </xf>
    <xf numFmtId="164" fontId="57" fillId="27" borderId="13" xfId="262" applyFont="true" applyBorder="true" applyAlignment="true" applyProtection="false">
      <alignment horizontal="general" vertical="top" textRotation="0" wrapText="true" indent="0" shrinkToFit="false"/>
      <protection locked="true" hidden="false"/>
    </xf>
    <xf numFmtId="200" fontId="58" fillId="27" borderId="13" xfId="262" applyFont="true" applyBorder="true" applyAlignment="true" applyProtection="false">
      <alignment horizontal="center" vertical="top" textRotation="0" wrapText="true" indent="0" shrinkToFit="false"/>
      <protection locked="true" hidden="false"/>
    </xf>
    <xf numFmtId="193" fontId="79" fillId="27" borderId="13" xfId="262" applyFont="true" applyBorder="true" applyAlignment="true" applyProtection="false">
      <alignment horizontal="general" vertical="top" textRotation="0" wrapText="true" indent="0" shrinkToFit="false"/>
      <protection locked="true" hidden="false"/>
    </xf>
    <xf numFmtId="199" fontId="57" fillId="27" borderId="13" xfId="262" applyFont="true" applyBorder="true" applyAlignment="true" applyProtection="false">
      <alignment horizontal="center" vertical="top" textRotation="0" wrapText="false" indent="0" shrinkToFit="false"/>
      <protection locked="true" hidden="false"/>
    </xf>
    <xf numFmtId="199" fontId="57" fillId="27" borderId="13" xfId="262" applyFont="true" applyBorder="true" applyAlignment="true" applyProtection="false">
      <alignment horizontal="center" vertical="top" textRotation="0" wrapText="true" indent="0" shrinkToFit="false"/>
      <protection locked="true" hidden="false"/>
    </xf>
    <xf numFmtId="199" fontId="57" fillId="27" borderId="13" xfId="207" applyFont="true" applyBorder="true" applyAlignment="true" applyProtection="false">
      <alignment horizontal="center" vertical="top" textRotation="0" wrapText="true" indent="0" shrinkToFit="false"/>
      <protection locked="true" hidden="false"/>
    </xf>
    <xf numFmtId="164" fontId="57" fillId="27" borderId="13" xfId="262" applyFont="true" applyBorder="true" applyAlignment="true" applyProtection="false">
      <alignment horizontal="center" vertical="top" textRotation="0" wrapText="false" indent="0" shrinkToFit="false"/>
      <protection locked="true" hidden="false"/>
    </xf>
    <xf numFmtId="199" fontId="57" fillId="27" borderId="13" xfId="262" applyFont="true" applyBorder="true" applyAlignment="true" applyProtection="false">
      <alignment horizontal="right" vertical="top" textRotation="0" wrapText="true" indent="0" shrinkToFit="false"/>
      <protection locked="true" hidden="false"/>
    </xf>
    <xf numFmtId="164" fontId="57" fillId="0" borderId="13" xfId="262" applyFont="true" applyBorder="true" applyAlignment="true" applyProtection="false">
      <alignment horizontal="left" vertical="top" textRotation="0" wrapText="false" indent="0" shrinkToFit="false"/>
      <protection locked="true" hidden="false"/>
    </xf>
    <xf numFmtId="164" fontId="57" fillId="27" borderId="0" xfId="262" applyFont="true" applyBorder="false" applyAlignment="true" applyProtection="false">
      <alignment horizontal="center" vertical="top" textRotation="0" wrapText="false" indent="0" shrinkToFit="false"/>
      <protection locked="true" hidden="false"/>
    </xf>
    <xf numFmtId="199" fontId="57" fillId="27" borderId="0" xfId="262" applyFont="true" applyBorder="false" applyAlignment="true" applyProtection="false">
      <alignment horizontal="center" vertical="top" textRotation="0" wrapText="false" indent="0" shrinkToFit="false"/>
      <protection locked="true" hidden="false"/>
    </xf>
    <xf numFmtId="200" fontId="57" fillId="27" borderId="0" xfId="262" applyFont="true" applyBorder="false" applyAlignment="true" applyProtection="false">
      <alignment horizontal="center" vertical="top" textRotation="0" wrapText="true" indent="0" shrinkToFit="false"/>
      <protection locked="true" hidden="false"/>
    </xf>
    <xf numFmtId="199" fontId="57" fillId="27" borderId="0" xfId="207" applyFont="true" applyBorder="false" applyAlignment="true" applyProtection="false">
      <alignment horizontal="center" vertical="top" textRotation="0" wrapText="true" indent="0" shrinkToFit="false"/>
      <protection locked="true" hidden="false"/>
    </xf>
    <xf numFmtId="199" fontId="57" fillId="27" borderId="0" xfId="262" applyFont="true" applyBorder="false" applyAlignment="true" applyProtection="false">
      <alignment horizontal="center" vertical="top" textRotation="0" wrapText="true" indent="0" shrinkToFit="false"/>
      <protection locked="true" hidden="false"/>
    </xf>
    <xf numFmtId="164" fontId="58" fillId="0" borderId="0" xfId="21" applyFont="true" applyBorder="false" applyAlignment="true" applyProtection="false">
      <alignment horizontal="left" vertical="top" textRotation="0" wrapText="true" indent="0" shrinkToFit="false"/>
      <protection locked="true" hidden="false"/>
    </xf>
    <xf numFmtId="164" fontId="63" fillId="0" borderId="0" xfId="211" applyFont="true" applyBorder="true" applyAlignment="true" applyProtection="false">
      <alignment horizontal="general" vertical="top" textRotation="0" wrapText="true" indent="0" shrinkToFit="false"/>
      <protection locked="true" hidden="false"/>
    </xf>
    <xf numFmtId="190" fontId="58" fillId="0" borderId="0" xfId="29" applyFont="true" applyBorder="true" applyAlignment="true" applyProtection="false">
      <alignment horizontal="center" vertical="top" textRotation="0" wrapText="true" indent="0" shrinkToFit="false"/>
      <protection locked="true" hidden="false"/>
    </xf>
    <xf numFmtId="164" fontId="57" fillId="0" borderId="0" xfId="21" applyFont="true" applyBorder="false" applyAlignment="true" applyProtection="false">
      <alignment horizontal="left" vertical="top" textRotation="0" wrapText="true" indent="0" shrinkToFit="false"/>
      <protection locked="true" hidden="false"/>
    </xf>
    <xf numFmtId="164" fontId="80" fillId="0" borderId="0" xfId="182" applyFont="true" applyBorder="false" applyAlignment="true" applyProtection="false">
      <alignment horizontal="center" vertical="top" textRotation="0" wrapText="false" indent="0" shrinkToFit="false"/>
      <protection locked="true" hidden="false"/>
    </xf>
    <xf numFmtId="190" fontId="57" fillId="0" borderId="0" xfId="29" applyFont="true" applyBorder="false" applyAlignment="true" applyProtection="false">
      <alignment horizontal="center" vertical="top" textRotation="0" wrapText="true" indent="0" shrinkToFit="false"/>
      <protection locked="true" hidden="false"/>
    </xf>
    <xf numFmtId="164" fontId="58" fillId="0" borderId="0" xfId="211" applyFont="true" applyBorder="true" applyAlignment="true" applyProtection="false">
      <alignment horizontal="general" vertical="top" textRotation="0" wrapText="true" indent="0" shrinkToFit="false"/>
      <protection locked="true" hidden="false"/>
    </xf>
    <xf numFmtId="164" fontId="58" fillId="0" borderId="0" xfId="211" applyFont="true" applyBorder="true" applyAlignment="true" applyProtection="false">
      <alignment horizontal="center" vertical="top" textRotation="0" wrapText="true" indent="0" shrinkToFit="false"/>
      <protection locked="true" hidden="false"/>
    </xf>
    <xf numFmtId="164" fontId="58" fillId="27" borderId="0" xfId="262" applyFont="true" applyBorder="false" applyAlignment="true" applyProtection="false">
      <alignment horizontal="general" vertical="top" textRotation="0" wrapText="true" indent="0" shrinkToFit="false"/>
      <protection locked="true" hidden="false"/>
    </xf>
    <xf numFmtId="164" fontId="63" fillId="0" borderId="0" xfId="211" applyFont="true" applyBorder="true" applyAlignment="true" applyProtection="false">
      <alignment horizontal="left" vertical="top" textRotation="0" wrapText="true" indent="0" shrinkToFit="false"/>
      <protection locked="true" hidden="false"/>
    </xf>
    <xf numFmtId="164" fontId="57" fillId="0" borderId="0" xfId="29" applyFont="true" applyBorder="false" applyAlignment="true" applyProtection="false">
      <alignment horizontal="general" vertical="top" textRotation="0" wrapText="true" indent="0" shrinkToFit="false"/>
      <protection locked="true" hidden="false"/>
    </xf>
    <xf numFmtId="199" fontId="58" fillId="27" borderId="0" xfId="262" applyFont="true" applyBorder="false" applyAlignment="true" applyProtection="false">
      <alignment horizontal="general" vertical="top" textRotation="0" wrapText="true" indent="0" shrinkToFit="false"/>
      <protection locked="true" hidden="false"/>
    </xf>
    <xf numFmtId="164" fontId="58" fillId="0" borderId="0" xfId="211" applyFont="true" applyBorder="true" applyAlignment="true" applyProtection="false">
      <alignment horizontal="center" vertical="center" textRotation="0" wrapText="true" indent="0" shrinkToFit="false"/>
      <protection locked="true" hidden="false"/>
    </xf>
    <xf numFmtId="199" fontId="57" fillId="27" borderId="0" xfId="262" applyFont="true" applyBorder="false" applyAlignment="true" applyProtection="false">
      <alignment horizontal="left" vertical="top" textRotation="0" wrapText="true" indent="0" shrinkToFit="false"/>
      <protection locked="true" hidden="false"/>
    </xf>
    <xf numFmtId="164" fontId="58" fillId="0" borderId="0" xfId="270" applyFont="true" applyBorder="false" applyAlignment="true" applyProtection="false">
      <alignment horizontal="general" vertical="bottom" textRotation="0" wrapText="false" indent="0" shrinkToFit="false"/>
      <protection locked="true" hidden="false"/>
    </xf>
    <xf numFmtId="164" fontId="73" fillId="0" borderId="0" xfId="227" applyFont="true" applyBorder="false" applyAlignment="true" applyProtection="false">
      <alignment horizontal="general" vertical="top" textRotation="0" wrapText="true" indent="0" shrinkToFit="false"/>
      <protection locked="true" hidden="false"/>
    </xf>
    <xf numFmtId="164" fontId="58" fillId="0" borderId="0" xfId="270" applyFont="true" applyBorder="false" applyAlignment="false" applyProtection="false">
      <alignment horizontal="general" vertical="bottom" textRotation="0" wrapText="false" indent="0" shrinkToFit="false"/>
      <protection locked="true" hidden="false"/>
    </xf>
    <xf numFmtId="164" fontId="73" fillId="27" borderId="0" xfId="227" applyFont="true" applyBorder="false" applyAlignment="true" applyProtection="false">
      <alignment horizontal="general" vertical="top" textRotation="0" wrapText="true" indent="0" shrinkToFit="false"/>
      <protection locked="true" hidden="false"/>
    </xf>
    <xf numFmtId="164" fontId="58" fillId="0" borderId="0" xfId="270" applyFont="true" applyBorder="false" applyAlignment="true" applyProtection="false">
      <alignment horizontal="general" vertical="center" textRotation="0" wrapText="false" indent="0" shrinkToFit="false"/>
      <protection locked="true" hidden="false"/>
    </xf>
    <xf numFmtId="164" fontId="73" fillId="0" borderId="0" xfId="227" applyFont="true" applyBorder="false" applyAlignment="true" applyProtection="false">
      <alignment horizontal="general" vertical="top" textRotation="0" wrapText="true" indent="0" shrinkToFit="false"/>
      <protection locked="true" hidden="false"/>
    </xf>
    <xf numFmtId="164" fontId="57" fillId="0" borderId="0" xfId="188" applyFont="true" applyBorder="false" applyAlignment="true" applyProtection="false">
      <alignment horizontal="general" vertical="top" textRotation="0" wrapText="true" indent="0" shrinkToFit="false"/>
      <protection locked="true" hidden="false"/>
    </xf>
    <xf numFmtId="164" fontId="58" fillId="0" borderId="0" xfId="188" applyFont="true" applyBorder="false" applyAlignment="true" applyProtection="false">
      <alignment horizontal="general" vertical="top" textRotation="0" wrapText="true" indent="0" shrinkToFit="false"/>
      <protection locked="true" hidden="false"/>
    </xf>
    <xf numFmtId="164" fontId="58" fillId="0" borderId="0" xfId="188" applyFont="true" applyBorder="false" applyAlignment="true" applyProtection="false">
      <alignment horizontal="left" vertical="top" textRotation="0" wrapText="true" indent="0" shrinkToFit="false"/>
      <protection locked="true" hidden="false"/>
    </xf>
    <xf numFmtId="164" fontId="58" fillId="27" borderId="0" xfId="207" applyFont="true" applyBorder="false" applyAlignment="true" applyProtection="false">
      <alignment horizontal="general" vertical="top" textRotation="0" wrapText="true" indent="0" shrinkToFit="false"/>
      <protection locked="true" hidden="false"/>
    </xf>
    <xf numFmtId="164" fontId="57" fillId="27" borderId="0" xfId="207" applyFont="true" applyBorder="false" applyAlignment="true" applyProtection="false">
      <alignment horizontal="left" vertical="top" textRotation="0" wrapText="true" indent="0" shrinkToFit="false"/>
      <protection locked="true" hidden="false"/>
    </xf>
    <xf numFmtId="164" fontId="57" fillId="27" borderId="0" xfId="207" applyFont="true" applyBorder="false" applyAlignment="true" applyProtection="false">
      <alignment horizontal="general" vertical="top" textRotation="0" wrapText="false" indent="0" shrinkToFit="false"/>
      <protection locked="true" hidden="false"/>
    </xf>
    <xf numFmtId="164" fontId="57" fillId="27" borderId="0" xfId="207" applyFont="true" applyBorder="false" applyAlignment="true" applyProtection="false">
      <alignment horizontal="general" vertical="top" textRotation="0" wrapText="true" indent="0" shrinkToFit="false"/>
      <protection locked="true" hidden="false"/>
    </xf>
    <xf numFmtId="164" fontId="58" fillId="27" borderId="0" xfId="207" applyFont="true" applyBorder="true" applyAlignment="true" applyProtection="false">
      <alignment horizontal="general" vertical="top" textRotation="0" wrapText="true" indent="0" shrinkToFit="false"/>
      <protection locked="true" hidden="false"/>
    </xf>
    <xf numFmtId="164" fontId="58" fillId="27" borderId="0" xfId="207" applyFont="true" applyBorder="true" applyAlignment="true" applyProtection="false">
      <alignment horizontal="left" vertical="top" textRotation="0" wrapText="false" indent="0" shrinkToFit="false"/>
      <protection locked="true" hidden="false"/>
    </xf>
    <xf numFmtId="164" fontId="58" fillId="27" borderId="0" xfId="207" applyFont="true" applyBorder="false" applyAlignment="true" applyProtection="false">
      <alignment horizontal="general" vertical="top" textRotation="0" wrapText="false" indent="0" shrinkToFit="false"/>
      <protection locked="true" hidden="false"/>
    </xf>
    <xf numFmtId="164" fontId="58" fillId="27" borderId="0" xfId="262" applyFont="true" applyBorder="false" applyAlignment="true" applyProtection="false">
      <alignment horizontal="left" vertical="top" textRotation="0" wrapText="true" indent="0" shrinkToFit="false"/>
      <protection locked="true" hidden="false"/>
    </xf>
    <xf numFmtId="164" fontId="58" fillId="27" borderId="0" xfId="262" applyFont="true" applyBorder="true" applyAlignment="true" applyProtection="false">
      <alignment horizontal="left" vertical="top" textRotation="0" wrapText="true" indent="0" shrinkToFit="false"/>
      <protection locked="true" hidden="false"/>
    </xf>
  </cellXfs>
  <cellStyles count="307">
    <cellStyle name="Normal" xfId="0" builtinId="0"/>
    <cellStyle name="Comma" xfId="15" builtinId="3"/>
    <cellStyle name="Comma [0]" xfId="16" builtinId="6"/>
    <cellStyle name="Currency" xfId="17" builtinId="4"/>
    <cellStyle name="Currency [0]" xfId="18" builtinId="7"/>
    <cellStyle name="Percent" xfId="19" builtinId="5"/>
    <cellStyle name="_x0005__x001c_" xfId="20"/>
    <cellStyle name="_x0005__x001c_ 2" xfId="21"/>
    <cellStyle name="_x0005__x001c_ 3" xfId="22"/>
    <cellStyle name="_x0005__x001c__2012г.  Бюджет (006,021,022) н" xfId="23"/>
    <cellStyle name="_x0005__x001c__2Формы 1" xfId="24"/>
    <cellStyle name="_x0005__x001c__Бюджет 2012" xfId="25"/>
    <cellStyle name="_x0005__x001c__Книга1" xfId="26"/>
    <cellStyle name="_x0005__x001c__Копия Смета на  2013 Астана" xfId="27"/>
    <cellStyle name="_x0005__x001c__Поверка жд" xfId="28"/>
    <cellStyle name="_x0005__x001c__Приложение 1 - копия" xfId="29"/>
    <cellStyle name="_x0005__x001c__Формы" xfId="30"/>
    <cellStyle name="_x0005__x001c__Формы спец 132 ." xfId="31"/>
    <cellStyle name="_x0005__x001c__медикаменты 2013г. посл" xfId="32"/>
    <cellStyle name="20% - Акцент1 2" xfId="33"/>
    <cellStyle name="20% - Акцент2 2" xfId="34"/>
    <cellStyle name="20% - Акцент3 2" xfId="35"/>
    <cellStyle name="20% - Акцент4 2" xfId="36"/>
    <cellStyle name="20% - Акцент5 2" xfId="37"/>
    <cellStyle name="20% - Акцент6 2" xfId="38"/>
    <cellStyle name="40% - Акцент1 2" xfId="39"/>
    <cellStyle name="40% - Акцент2 2" xfId="40"/>
    <cellStyle name="40% - Акцент3 2" xfId="41"/>
    <cellStyle name="40% - Акцент4 2" xfId="42"/>
    <cellStyle name="40% - Акцент5 2" xfId="43"/>
    <cellStyle name="40% - Акцент6 2" xfId="44"/>
    <cellStyle name="60% - Акцент1 2" xfId="45"/>
    <cellStyle name="60% - Акцент2 2" xfId="46"/>
    <cellStyle name="60% - Акцент3 2" xfId="47"/>
    <cellStyle name="60% - Акцент4 2" xfId="48"/>
    <cellStyle name="60% - Акцент5 2" xfId="49"/>
    <cellStyle name="60% - Акцент6 2" xfId="50"/>
    <cellStyle name="_149" xfId="51"/>
    <cellStyle name="_151,," xfId="52"/>
    <cellStyle name="_2012г.  Бюджет (006,021,022) н" xfId="53"/>
    <cellStyle name="_2012г.  Бюджет (006,021,022) н_Смета на  2013 Астана" xfId="54"/>
    <cellStyle name="_2012г.  Бюджет (006,021,022) н_Смета на  2013 Астана_1" xfId="55"/>
    <cellStyle name="_2012г.  Бюджет (006,021,022) н_Смета на  2013 год Астана с изменениями" xfId="56"/>
    <cellStyle name="_БЗ 2010" xfId="57"/>
    <cellStyle name="_БЗ 2010_Смета на  2013 Астана" xfId="58"/>
    <cellStyle name="_БЗ 2010_Смета на  2013 Астана_1" xfId="59"/>
    <cellStyle name="_БЗ 2010_Смета на  2013 год Астана с изменениями" xfId="60"/>
    <cellStyle name="_Жамбыл" xfId="61"/>
    <cellStyle name="_Заявка на оборудование Астана" xfId="62"/>
    <cellStyle name="_Заявка на оборудование Астана_2012 базовый-1" xfId="63"/>
    <cellStyle name="_Заявка на оборудование Астана_2013 базовый" xfId="64"/>
    <cellStyle name="_Заявка на оборудование Астана_2014 базовый" xfId="65"/>
    <cellStyle name="_Заявка на оборудование Астана_2014прог-целев" xfId="66"/>
    <cellStyle name="_Заявка на оборудование Астана_Абдирасилова" xfId="67"/>
    <cellStyle name="_Копия расшифровка св 411 ЦСЭЭ на тр." xfId="68"/>
    <cellStyle name="_Поверка жд" xfId="69"/>
    <cellStyle name="_Поверка жд 2" xfId="70"/>
    <cellStyle name="_Поверка жд_Смета на  2013 Астана" xfId="71"/>
    <cellStyle name="_Поверка жд_Смета на  2013 Астана_1" xfId="72"/>
    <cellStyle name="_Поверка жд_Смета на  2013 год Астана с изменениями" xfId="73"/>
    <cellStyle name="_Уточненый бюджет на 2011" xfId="74"/>
    <cellStyle name="_Уточненый бюджет на 2011_2012 изменение в зпПАППААП" xfId="75"/>
    <cellStyle name="_Уточненый бюджет на 2011_2012-свод" xfId="76"/>
    <cellStyle name="_Уточненый бюджет на 2011_2013-свод" xfId="77"/>
    <cellStyle name="_Уточненый бюджет на 2011_2013-своллллд" xfId="78"/>
    <cellStyle name="_Уточненый бюджет на 2011_Последний 2013-свод" xfId="79"/>
    <cellStyle name="_Уточненый бюджет на 2011_ллллллллллллллл" xfId="80"/>
    <cellStyle name="_Шаблон бюджетки" xfId="81"/>
    <cellStyle name="_Шаблон бюджетки_2012 базовый-1" xfId="82"/>
    <cellStyle name="_Шаблон бюджетки_2013 базовый" xfId="83"/>
    <cellStyle name="_Шаблон бюджетки_2014 базовый" xfId="84"/>
    <cellStyle name="_Шаблон бюджетки_2014прог-целев" xfId="85"/>
    <cellStyle name="_Шаблон бюджетки_Абдирасилова" xfId="86"/>
    <cellStyle name="_Шаблон для ЦСЭЭ, ПЧС, дезст, РСЭС" xfId="87"/>
    <cellStyle name="_Шаблон для ЦСЭЭ, ПЧС, дезст, РСЭС_Смета на  2013 Астана" xfId="88"/>
    <cellStyle name="_Шаблон для ЦСЭЭ, ПЧС, дезст, РСЭС_Смета на  2013 Астана_1" xfId="89"/>
    <cellStyle name="_Шаблон для ЦСЭЭ, ПЧС, дезст, РСЭС_Смета на  2013 год Астана с изменениями" xfId="90"/>
    <cellStyle name="_кап ремонт 2007" xfId="91"/>
    <cellStyle name="_кап ремонт 2007 2" xfId="92"/>
    <cellStyle name="_кап.рем 2004-2007 СКО" xfId="93"/>
    <cellStyle name="_мат.тех оснащ 2007" xfId="94"/>
    <cellStyle name="_форма 14 прог" xfId="95"/>
    <cellStyle name="_формы по среднесроч плану" xfId="96"/>
    <cellStyle name="Aaia?iue_laroux" xfId="97"/>
    <cellStyle name="Calc Currency (0)" xfId="98"/>
    <cellStyle name="Calc Currency (2)" xfId="99"/>
    <cellStyle name="Calc Percent (0)" xfId="100"/>
    <cellStyle name="Calc Percent (1)" xfId="101"/>
    <cellStyle name="Calc Percent (2)" xfId="102"/>
    <cellStyle name="Calc Units (0)" xfId="103"/>
    <cellStyle name="Calc Units (1)" xfId="104"/>
    <cellStyle name="Calc Units (2)" xfId="105"/>
    <cellStyle name="Comma [00]" xfId="106"/>
    <cellStyle name="Comma [0]_#6 Temps &amp; Contractors" xfId="107"/>
    <cellStyle name="Comma_#6 Temps &amp; Contractors" xfId="108"/>
    <cellStyle name="Currency [00]" xfId="109"/>
    <cellStyle name="Currency [0]_#6 Temps &amp; Contractors" xfId="110"/>
    <cellStyle name="Currency_#6 Temps &amp; Contractors" xfId="111"/>
    <cellStyle name="Date Short" xfId="112"/>
    <cellStyle name="DELTA" xfId="113"/>
    <cellStyle name="Enter Currency (0)" xfId="114"/>
    <cellStyle name="Enter Currency (2)" xfId="115"/>
    <cellStyle name="Enter Units (0)" xfId="116"/>
    <cellStyle name="Enter Units (1)" xfId="117"/>
    <cellStyle name="Enter Units (2)" xfId="118"/>
    <cellStyle name="Flag" xfId="119"/>
    <cellStyle name="Header1" xfId="120"/>
    <cellStyle name="Header2" xfId="121"/>
    <cellStyle name="Заголовок 1" xfId="122"/>
    <cellStyle name="Heading2" xfId="123"/>
    <cellStyle name="Heading3" xfId="124"/>
    <cellStyle name="Heading4" xfId="125"/>
    <cellStyle name="Heading5" xfId="126"/>
    <cellStyle name="Heading6" xfId="127"/>
    <cellStyle name="Horizontal" xfId="128"/>
    <cellStyle name="Hyperlink 1" xfId="129"/>
    <cellStyle name="Iau?iue_23_1 " xfId="130"/>
    <cellStyle name="Link Currency (0)" xfId="131"/>
    <cellStyle name="Link Currency (2)" xfId="132"/>
    <cellStyle name="Link Units (0)" xfId="133"/>
    <cellStyle name="Link Units (1)" xfId="134"/>
    <cellStyle name="Link Units (2)" xfId="135"/>
    <cellStyle name="Matrix" xfId="136"/>
    <cellStyle name="Normal_# 41-Market &amp;Trends" xfId="137"/>
    <cellStyle name="Note 2" xfId="138"/>
    <cellStyle name="Oeiainiaue [0]_laroux" xfId="139"/>
    <cellStyle name="Oeiainiaue_laroux" xfId="140"/>
    <cellStyle name="Option" xfId="141"/>
    <cellStyle name="OptionHeading" xfId="142"/>
    <cellStyle name="Percent [00]" xfId="143"/>
    <cellStyle name="Percent [0]" xfId="144"/>
    <cellStyle name="Percent_#6 Temps &amp; Contractors" xfId="145"/>
    <cellStyle name="PrePop Currency (0)" xfId="146"/>
    <cellStyle name="PrePop Currency (2)" xfId="147"/>
    <cellStyle name="PrePop Units (0)" xfId="148"/>
    <cellStyle name="PrePop Units (1)" xfId="149"/>
    <cellStyle name="PrePop Units (2)" xfId="150"/>
    <cellStyle name="Price" xfId="151"/>
    <cellStyle name="Text Indent A" xfId="152"/>
    <cellStyle name="Text Indent B" xfId="153"/>
    <cellStyle name="Text Indent C" xfId="154"/>
    <cellStyle name="Unit" xfId="155"/>
    <cellStyle name="Vertical" xfId="156"/>
    <cellStyle name="Акцент1 2" xfId="157"/>
    <cellStyle name="Акцент2 2" xfId="158"/>
    <cellStyle name="Акцент3 2" xfId="159"/>
    <cellStyle name="Акцент4 2" xfId="160"/>
    <cellStyle name="Акцент5 2" xfId="161"/>
    <cellStyle name="Акцент6 2" xfId="162"/>
    <cellStyle name="Ввод  2" xfId="163"/>
    <cellStyle name="Вывод 2" xfId="164"/>
    <cellStyle name="Вычисление 2" xfId="165"/>
    <cellStyle name="Гиперссылка 2" xfId="166"/>
    <cellStyle name="Денежный 2" xfId="167"/>
    <cellStyle name="Денежный 2 2" xfId="168"/>
    <cellStyle name="Денежный [0] 2" xfId="169"/>
    <cellStyle name="Заголовок 1 2" xfId="170"/>
    <cellStyle name="Заголовок 2 2" xfId="171"/>
    <cellStyle name="Заголовок 3 2" xfId="172"/>
    <cellStyle name="Заголовок 4 2" xfId="173"/>
    <cellStyle name="Итог 2" xfId="174"/>
    <cellStyle name="КАНДАГАЧ тел3-33-96" xfId="175"/>
    <cellStyle name="Контрольная ячейка 2" xfId="176"/>
    <cellStyle name="Название 2" xfId="177"/>
    <cellStyle name="Нейтральный 2" xfId="178"/>
    <cellStyle name="Обычный 10" xfId="179"/>
    <cellStyle name="Обычный 10 2" xfId="180"/>
    <cellStyle name="Обычный 10 2 2" xfId="181"/>
    <cellStyle name="Обычный 10 2 2 10 6 2 12" xfId="182"/>
    <cellStyle name="Обычный 10 2 2 3" xfId="183"/>
    <cellStyle name="Обычный 10 2 2 3 2" xfId="184"/>
    <cellStyle name="Обычный 10 2 2 3 2 3" xfId="185"/>
    <cellStyle name="Обычный 10 3 10" xfId="186"/>
    <cellStyle name="Обычный 10 4 2" xfId="187"/>
    <cellStyle name="Обычный 11" xfId="188"/>
    <cellStyle name="Обычный 12" xfId="189"/>
    <cellStyle name="Обычный 12 4" xfId="190"/>
    <cellStyle name="Обычный 13" xfId="191"/>
    <cellStyle name="Обычный 13 2" xfId="192"/>
    <cellStyle name="Обычный 14" xfId="193"/>
    <cellStyle name="Обычный 15" xfId="194"/>
    <cellStyle name="Обычный 15 2" xfId="195"/>
    <cellStyle name="Обычный 16" xfId="196"/>
    <cellStyle name="Обычный 17" xfId="197"/>
    <cellStyle name="Обычный 17 2" xfId="198"/>
    <cellStyle name="Обычный 18" xfId="199"/>
    <cellStyle name="Обычный 18 2" xfId="200"/>
    <cellStyle name="Обычный 19" xfId="201"/>
    <cellStyle name="Обычный 19 2" xfId="202"/>
    <cellStyle name="Обычный 2" xfId="203"/>
    <cellStyle name="Обычный 2 2" xfId="204"/>
    <cellStyle name="Обычный 2 2 2" xfId="205"/>
    <cellStyle name="Обычный 2 2 2 2" xfId="206"/>
    <cellStyle name="Обычный 2 2 2 2 2 2" xfId="207"/>
    <cellStyle name="Обычный 2 2 2 3" xfId="208"/>
    <cellStyle name="Обычный 2 2 3" xfId="209"/>
    <cellStyle name="Обычный 2 3" xfId="210"/>
    <cellStyle name="Обычный 2 3 2 2" xfId="211"/>
    <cellStyle name="Обычный 2 4" xfId="212"/>
    <cellStyle name="Обычный 2 4 2" xfId="213"/>
    <cellStyle name="Обычный 2 8 2" xfId="214"/>
    <cellStyle name="Обычный 20" xfId="215"/>
    <cellStyle name="Обычный 20 2" xfId="216"/>
    <cellStyle name="Обычный 21" xfId="217"/>
    <cellStyle name="Обычный 21 2" xfId="218"/>
    <cellStyle name="Обычный 21 2 2" xfId="219"/>
    <cellStyle name="Обычный 21 2 2 2" xfId="220"/>
    <cellStyle name="Обычный 21 2 3" xfId="221"/>
    <cellStyle name="Обычный 21 3" xfId="222"/>
    <cellStyle name="Обычный 21 3 2" xfId="223"/>
    <cellStyle name="Обычный 21 4" xfId="224"/>
    <cellStyle name="Обычный 22" xfId="225"/>
    <cellStyle name="Обычный 22 2" xfId="226"/>
    <cellStyle name="Обычный 23" xfId="227"/>
    <cellStyle name="Обычный 24" xfId="228"/>
    <cellStyle name="Обычный 3" xfId="229"/>
    <cellStyle name="Обычный 3 10" xfId="230"/>
    <cellStyle name="Обычный 3 2" xfId="231"/>
    <cellStyle name="Обычный 3 3" xfId="232"/>
    <cellStyle name="Обычный 3_коммунальные" xfId="233"/>
    <cellStyle name="Обычный 4" xfId="234"/>
    <cellStyle name="Обычный 4 2" xfId="235"/>
    <cellStyle name="Обычный 4 2 2" xfId="236"/>
    <cellStyle name="Обычный 4 3" xfId="237"/>
    <cellStyle name="Обычный 5" xfId="238"/>
    <cellStyle name="Обычный 5 2" xfId="239"/>
    <cellStyle name="Обычный 5 3" xfId="240"/>
    <cellStyle name="Обычный 6" xfId="241"/>
    <cellStyle name="Обычный 7" xfId="242"/>
    <cellStyle name="Обычный 7 10" xfId="243"/>
    <cellStyle name="Обычный 7 11" xfId="244"/>
    <cellStyle name="Обычный 7 12" xfId="245"/>
    <cellStyle name="Обычный 7 13" xfId="246"/>
    <cellStyle name="Обычный 7 14" xfId="247"/>
    <cellStyle name="Обычный 7 15" xfId="248"/>
    <cellStyle name="Обычный 7 16" xfId="249"/>
    <cellStyle name="Обычный 7 2" xfId="250"/>
    <cellStyle name="Обычный 7 3" xfId="251"/>
    <cellStyle name="Обычный 7 4" xfId="252"/>
    <cellStyle name="Обычный 7 5" xfId="253"/>
    <cellStyle name="Обычный 7 6" xfId="254"/>
    <cellStyle name="Обычный 7 7" xfId="255"/>
    <cellStyle name="Обычный 7 8" xfId="256"/>
    <cellStyle name="Обычный 7 9" xfId="257"/>
    <cellStyle name="Обычный 7_Формы-2013г" xfId="258"/>
    <cellStyle name="Обычный 8" xfId="259"/>
    <cellStyle name="Обычный 9" xfId="260"/>
    <cellStyle name="Обычный 9 2" xfId="261"/>
    <cellStyle name="Обычный_151 готов-2010" xfId="262"/>
    <cellStyle name="Обычный_3вар.Доп. к ПРЕЙСКУРАНТУ 2012г.Астана" xfId="263"/>
    <cellStyle name="Обычный_POLTAR5" xfId="264"/>
    <cellStyle name="Обычный_Лист1" xfId="265"/>
    <cellStyle name="Обычный_ПРЕЙСКУРАНТ ЦЕН на 2011 год РГКП ЦСЭЭ г.Астана" xfId="266"/>
    <cellStyle name="Обычный_Прейскурант цне 2007г КНЦКЗИ" xfId="267"/>
    <cellStyle name="Обычный_Пример калькуляции" xfId="268"/>
    <cellStyle name="Обычный_Расчеты прямые и количество" xfId="269"/>
    <cellStyle name="Обычный_Шаблон для ЦСЭЭ, ПЧС, дезст, РСЭС" xfId="270"/>
    <cellStyle name="Обычный_прейскурант новый материалы" xfId="271"/>
    <cellStyle name="Плохой 2" xfId="272"/>
    <cellStyle name="Пояснение 2" xfId="273"/>
    <cellStyle name="Примечание 2" xfId="274"/>
    <cellStyle name="Процентный 2" xfId="275"/>
    <cellStyle name="Процентный 3" xfId="276"/>
    <cellStyle name="Связанная ячейка 2" xfId="277"/>
    <cellStyle name="Стиль 1" xfId="278"/>
    <cellStyle name="Стиль 1 2" xfId="279"/>
    <cellStyle name="Стиль 1 3" xfId="280"/>
    <cellStyle name="Стиль 1_алмат.цсээ (1)" xfId="281"/>
    <cellStyle name="Текст предупреждения 2" xfId="282"/>
    <cellStyle name="Тысячи [0]_Dbf_25" xfId="283"/>
    <cellStyle name="Тысячи_Dbf_25" xfId="284"/>
    <cellStyle name="Финансовый 2" xfId="285"/>
    <cellStyle name="Финансовый 2 2" xfId="286"/>
    <cellStyle name="Финансовый 2 2 2" xfId="287"/>
    <cellStyle name="Финансовый 2 2 3" xfId="288"/>
    <cellStyle name="Финансовый 2 2 4" xfId="289"/>
    <cellStyle name="Финансовый 2 3" xfId="290"/>
    <cellStyle name="Финансовый 2 3 2" xfId="291"/>
    <cellStyle name="Финансовый 2 4" xfId="292"/>
    <cellStyle name="Финансовый 27" xfId="293"/>
    <cellStyle name="Финансовый 3" xfId="294"/>
    <cellStyle name="Финансовый 3 10" xfId="295"/>
    <cellStyle name="Финансовый 3 11" xfId="296"/>
    <cellStyle name="Финансовый 3 12" xfId="297"/>
    <cellStyle name="Финансовый 3 13" xfId="298"/>
    <cellStyle name="Финансовый 3 14" xfId="299"/>
    <cellStyle name="Финансовый 3 15" xfId="300"/>
    <cellStyle name="Финансовый 3 16" xfId="301"/>
    <cellStyle name="Финансовый 3 17" xfId="302"/>
    <cellStyle name="Финансовый 3 2" xfId="303"/>
    <cellStyle name="Финансовый 3 3" xfId="304"/>
    <cellStyle name="Финансовый 3 4" xfId="305"/>
    <cellStyle name="Финансовый 3 5" xfId="306"/>
    <cellStyle name="Финансовый 3 6" xfId="307"/>
    <cellStyle name="Финансовый 3 7" xfId="308"/>
    <cellStyle name="Финансовый 3 8" xfId="309"/>
    <cellStyle name="Финансовый 3 9" xfId="310"/>
    <cellStyle name="Финансовый 4" xfId="311"/>
    <cellStyle name="Финансовый 5" xfId="312"/>
    <cellStyle name="Финансовый 6" xfId="313"/>
    <cellStyle name="Финансовый 6 2" xfId="314"/>
    <cellStyle name="Финансовый 6 2 2" xfId="315"/>
    <cellStyle name="Финансовый 6 2 3" xfId="316"/>
    <cellStyle name="Финансовый 7" xfId="317"/>
    <cellStyle name="Финансовый 8" xfId="318"/>
    <cellStyle name="Финансовый 9" xfId="319"/>
    <cellStyle name="Хороший 2" xfId="320"/>
  </cellStyles>
  <dxfs count="13">
    <dxf>
      <fill>
        <patternFill patternType="solid">
          <fgColor rgb="FF92D050"/>
          <bgColor rgb="FF000000"/>
        </patternFill>
      </fill>
    </dxf>
    <dxf>
      <fill>
        <patternFill patternType="solid">
          <fgColor rgb="FFFFFF00"/>
          <bgColor rgb="FF000000"/>
        </patternFill>
      </fill>
    </dxf>
    <dxf>
      <fill>
        <patternFill patternType="solid">
          <fgColor rgb="FFFFFFFF"/>
          <bgColor rgb="FF000000"/>
        </patternFill>
      </fill>
    </dxf>
    <dxf>
      <fill>
        <patternFill patternType="solid">
          <bgColor rgb="FF000000"/>
        </patternFill>
      </fill>
    </dxf>
    <dxf>
      <fill>
        <patternFill patternType="solid">
          <fgColor rgb="FF000000"/>
          <bgColor rgb="FF000000"/>
        </patternFill>
      </fill>
    </dxf>
    <dxf>
      <fill>
        <patternFill patternType="solid">
          <fgColor rgb="FFCCC1DA"/>
          <bgColor rgb="FF000000"/>
        </patternFill>
      </fill>
    </dxf>
    <dxf>
      <fill>
        <patternFill patternType="solid">
          <fgColor rgb="FF8EB4E3"/>
          <bgColor rgb="FF000000"/>
        </patternFill>
      </fill>
    </dxf>
    <dxf>
      <fill>
        <patternFill patternType="solid">
          <fgColor rgb="FF333333"/>
          <bgColor rgb="FF000000"/>
        </patternFill>
      </fill>
    </dxf>
    <dxf>
      <fill>
        <patternFill patternType="solid">
          <fgColor rgb="FFFF0000"/>
          <bgColor rgb="FF000000"/>
        </patternFill>
      </fill>
    </dxf>
    <dxf>
      <fill>
        <patternFill patternType="solid">
          <fgColor rgb="FFFCD5B5"/>
          <bgColor rgb="FF000000"/>
        </patternFill>
      </fill>
    </dxf>
    <dxf>
      <fill>
        <patternFill patternType="solid">
          <fgColor rgb="FF95B3D7"/>
          <bgColor rgb="FF000000"/>
        </patternFill>
      </fill>
    </dxf>
    <dxf>
      <fill>
        <patternFill patternType="solid">
          <fgColor rgb="FF00B050"/>
          <bgColor rgb="FF000000"/>
        </patternFill>
      </fill>
    </dxf>
    <dxf>
      <fill>
        <patternFill patternType="solid">
          <fgColor rgb="FFFAC090"/>
          <bgColor rgb="FF0000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CCC085"/>
      <rgbColor rgb="FF800080"/>
      <rgbColor rgb="FF00B050"/>
      <rgbColor rgb="FFC0C0C0"/>
      <rgbColor rgb="FF808080"/>
      <rgbColor rgb="FF9999FF"/>
      <rgbColor rgb="FFCCC1DA"/>
      <rgbColor rgb="FFFFFFCC"/>
      <rgbColor rgb="FFCCFFFF"/>
      <rgbColor rgb="FF660066"/>
      <rgbColor rgb="FFFF8080"/>
      <rgbColor rgb="FF0066CC"/>
      <rgbColor rgb="FFCCCCFF"/>
      <rgbColor rgb="FF000080"/>
      <rgbColor rgb="FFFF00FF"/>
      <rgbColor rgb="FFFAC090"/>
      <rgbColor rgb="FF00FFFF"/>
      <rgbColor rgb="FF800080"/>
      <rgbColor rgb="FF800000"/>
      <rgbColor rgb="FF008080"/>
      <rgbColor rgb="FF0000FF"/>
      <rgbColor rgb="FFC3D69B"/>
      <rgbColor rgb="FFC6D9F1"/>
      <rgbColor rgb="FFCCFFCC"/>
      <rgbColor rgb="FFFFFF99"/>
      <rgbColor rgb="FF99CCFF"/>
      <rgbColor rgb="FFFF99CC"/>
      <rgbColor rgb="FFCC99FF"/>
      <rgbColor rgb="FFFFCC99"/>
      <rgbColor rgb="FF8EB4E3"/>
      <rgbColor rgb="FF33CCCC"/>
      <rgbColor rgb="FF92D050"/>
      <rgbColor rgb="FFFFCC00"/>
      <rgbColor rgb="FFFF9900"/>
      <rgbColor rgb="FFFF6600"/>
      <rgbColor rgb="FF95B3D7"/>
      <rgbColor rgb="FF969696"/>
      <rgbColor rgb="FF003366"/>
      <rgbColor rgb="FF339966"/>
      <rgbColor rgb="FF003300"/>
      <rgbColor rgb="FF444444"/>
      <rgbColor rgb="FF993300"/>
      <rgbColor rgb="FFFCD5B5"/>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externalLink" Target="externalLinks/externalLink1.xml"/><Relationship Id="rId14" Type="http://schemas.openxmlformats.org/officeDocument/2006/relationships/externalLink" Target="externalLinks/externalLink2.xml"/><Relationship Id="rId15" Type="http://schemas.openxmlformats.org/officeDocument/2006/relationships/externalLink" Target="externalLinks/externalLink3.xml"/><Relationship Id="rId16" Type="http://schemas.openxmlformats.org/officeDocument/2006/relationships/externalLink" Target="externalLinks/externalLink4.xml"/><Relationship Id="rId17" Type="http://schemas.openxmlformats.org/officeDocument/2006/relationships/externalLink" Target="externalLinks/externalLink5.xml"/><Relationship Id="rId18" Type="http://schemas.openxmlformats.org/officeDocument/2006/relationships/externalLink" Target="externalLinks/externalLink6.xml"/><Relationship Id="rId19" Type="http://schemas.openxmlformats.org/officeDocument/2006/relationships/externalLink" Target="externalLinks/externalLink7.xml"/><Relationship Id="rId20"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Users/NCOZ/Desktop/&#1050;&#1072;&#1083;&#1100;&#1082;&#1091;&#1083;&#1103;&#1094;&#1080;&#1103;%20&#1085;&#1072;%20&#1046;&#1091;&#1084;&#1072;&#1090;&#1086;&#1074;&#1072;/&#1050;&#1072;&#1083;&#1100;&#1082;.%20&#1046;&#1091;&#1084;&#1072;&#1090;&#1086;&#1074;&#1072;%202024&#1075;.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Users/NCOZ/Desktop/&#1050;&#1072;&#1083;&#1100;&#1082;&#1091;&#1083;&#1103;&#1094;&#1080;&#1103;%20&#1085;&#1072;%20&#1046;&#1091;&#1084;&#1072;&#1090;&#1086;&#1074;&#1072;/&#1057;&#1047;%20&#8470;211/&#1050;&#1072;&#1083;&#1100;&#1082;&#1091;&#1083;&#1103;&#1094;&#1080;&#1103;%20&#1051;&#1072;&#1073;&#1086;&#1088;&#1072;&#1090;&#1086;&#1088;&#1080;&#1080;%20&#1080;&#1084;&#1084;&#1091;&#1085;&#1086;&#1083;&#1086;&#1075;&#1080;&#1080;%20&#1080;%20&#1074;&#1072;&#1082;&#1094;&#1080;&#1085;&#1086;&#1083;&#1086;&#1075;&#1080;&#1080;.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Users/Ncoz/Desktop/&#1053;&#1086;&#1074;&#1072;&#1103;%20&#1087;&#1072;&#1087;&#1082;&#1072;%20(2)/&#1054;&#1073;&#1091;&#1095;&#1077;&#1085;&#1080;&#1077;/&#1054;&#1073;&#1091;&#1095;&#1077;&#1085;&#1080;&#1077;%202024%20&#1075;.%20&#1085;&#1072;%20&#1088;&#1072;&#1073;.&#1084;&#1077;&#1089;&#1090;&#1077;.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Users/buh2/Downloads/&#1089;&#1072;&#1085;&#1093;&#1080;&#1084;%20&#1085;&#1086;&#1074;&#1099;&#1077;/&#1082;&#1086;&#1084;&#1084;&#1091;&#1085;&#1072;&#1083;&#1100;&#1085;&#1072;&#1103;%20&#1075;&#1080;&#1075;&#1080;&#1077;&#1085;&#1072;.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Users/buh2/Downloads/&#1089;&#1072;&#1085;&#1093;&#1080;&#1084;%20&#1085;&#1086;&#1074;&#1099;&#1077;/_&#1043;&#1080;&#1075;&#1080;&#1077;&#1085;&#1072;%20&#1087;&#1080;&#1090;&#1072;&#1085;&#1080;&#1103;%20(&#1040;&#1074;&#1090;&#1086;&#1089;&#1086;&#1093;&#1088;&#1072;&#1085;&#1077;&#1085;&#1085;&#1099;&#1081;).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Users/Economist3/Downloads/&#1072;&#1085;&#1085;&#1072;%20&#1055;&#1045;&#1057;&#1058;&#1048;&#1062;&#1048;&#1044;&#1067;.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Users/buh2/Downloads/&#1088;&#1072;&#1076;&#1080;&#1086;&#1083;%20&#1055;&#1088;&#1077;&#1081;&#1089;&#1082;&#1091;&#1088;&#1072;&#1085;&#1090;%20&#1076;&#1083;&#1103;%20&#1088;&#1072;&#1073;&#1086;&#1090;&#109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Общая калькуляция"/>
      <sheetName val="Платные услуги"/>
      <sheetName val="Тарификация"/>
      <sheetName val="Норма времени"/>
      <sheetName val="Тарификация 2"/>
      <sheetName val="Мат.затраты"/>
    </sheetNames>
    <sheetDataSet>
      <sheetData sheetId="0"/>
      <sheetData sheetId="1">
        <row r="8">
          <cell r="F8">
            <v>808242.709045021</v>
          </cell>
        </row>
        <row r="9">
          <cell r="F9">
            <v>323297.083618008</v>
          </cell>
        </row>
        <row r="10">
          <cell r="F10">
            <v>808242.709045021</v>
          </cell>
        </row>
        <row r="11">
          <cell r="F11">
            <v>323297.083618008</v>
          </cell>
        </row>
        <row r="12">
          <cell r="F12">
            <v>323297.083618008</v>
          </cell>
        </row>
        <row r="13">
          <cell r="F13">
            <v>323297.083618008</v>
          </cell>
        </row>
        <row r="14">
          <cell r="F14">
            <v>808242.709045021</v>
          </cell>
        </row>
        <row r="16">
          <cell r="F16">
            <v>404121.354522511</v>
          </cell>
        </row>
        <row r="17">
          <cell r="F17">
            <v>808242.709045021</v>
          </cell>
        </row>
        <row r="18">
          <cell r="F18">
            <v>323297.083618008</v>
          </cell>
        </row>
        <row r="19">
          <cell r="F19">
            <v>323297.083618008</v>
          </cell>
        </row>
        <row r="20">
          <cell r="F20">
            <v>323297.083618008</v>
          </cell>
        </row>
        <row r="21">
          <cell r="F21">
            <v>323297.083618008</v>
          </cell>
        </row>
        <row r="22">
          <cell r="F22">
            <v>323297.083618008</v>
          </cell>
        </row>
        <row r="23">
          <cell r="F23">
            <v>808242.709045021</v>
          </cell>
        </row>
        <row r="25">
          <cell r="F25">
            <v>323297.083618008</v>
          </cell>
        </row>
        <row r="26">
          <cell r="F26">
            <v>323297.083618008</v>
          </cell>
        </row>
        <row r="27">
          <cell r="F27">
            <v>323297.083618008</v>
          </cell>
        </row>
        <row r="28">
          <cell r="F28">
            <v>808242.709045021</v>
          </cell>
        </row>
        <row r="29">
          <cell r="F29">
            <v>323297.083618008</v>
          </cell>
        </row>
        <row r="30">
          <cell r="F30">
            <v>323297.083618008</v>
          </cell>
        </row>
        <row r="31">
          <cell r="F31">
            <v>808242.709045021</v>
          </cell>
        </row>
        <row r="33">
          <cell r="F33">
            <v>808242.709045021</v>
          </cell>
        </row>
        <row r="34">
          <cell r="F34">
            <v>1212364.06356753</v>
          </cell>
        </row>
        <row r="35">
          <cell r="F35">
            <v>404121.354522511</v>
          </cell>
        </row>
        <row r="37">
          <cell r="F37">
            <v>808242.709045021</v>
          </cell>
        </row>
        <row r="39">
          <cell r="F39">
            <v>646594.167236017</v>
          </cell>
        </row>
        <row r="40">
          <cell r="F40">
            <v>161648.541809004</v>
          </cell>
        </row>
      </sheetData>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латные услуги"/>
      <sheetName val="Общая калькуляция"/>
      <sheetName val="Стоимость анализов"/>
      <sheetName val="Тарификация"/>
      <sheetName val="Норма времени"/>
      <sheetName val="Тарификация 2"/>
      <sheetName val="Мат.затраты"/>
    </sheetNames>
    <sheetDataSet>
      <sheetData sheetId="0"/>
      <sheetData sheetId="1">
        <row r="9">
          <cell r="M9">
            <v>109793.143301087</v>
          </cell>
        </row>
        <row r="10">
          <cell r="M10">
            <v>18933.1602994012</v>
          </cell>
        </row>
        <row r="11">
          <cell r="M11">
            <v>16562.497506232</v>
          </cell>
        </row>
      </sheetData>
      <sheetData sheetId="2">
        <row r="7">
          <cell r="H7">
            <v>4018.42904481977</v>
          </cell>
        </row>
        <row r="8">
          <cell r="H8">
            <v>4018.42904481977</v>
          </cell>
        </row>
        <row r="9">
          <cell r="H9">
            <v>800.872680664671</v>
          </cell>
        </row>
        <row r="10">
          <cell r="H10">
            <v>700.593644513613</v>
          </cell>
        </row>
        <row r="11">
          <cell r="H11">
            <v>700.593644513613</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Прейскурант"/>
      <sheetName val="Свод"/>
      <sheetName val="Калькуляция 54 час"/>
      <sheetName val="Расшифровка материальных затрат"/>
      <sheetName val="Тарификация"/>
      <sheetName val="Амортизация"/>
      <sheetName val="Расшифровка накладных расходов"/>
      <sheetName val="Норма времени"/>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ОБЩИЙ ПРЕЙСКУРАНТ"/>
      <sheetName val="сводные данные "/>
      <sheetName val="ОБЩ.КАЛЬКУЛЯЦИЯ"/>
      <sheetName val="аморт."/>
      <sheetName val="Расшифровка мат-ых затрат"/>
      <sheetName val="тариф-ия"/>
      <sheetName val="расш.накл.расх."/>
      <sheetName val="норма времени"/>
    </sheetNames>
    <sheetDataSet>
      <sheetData sheetId="0"/>
      <sheetData sheetId="1"/>
      <sheetData sheetId="2"/>
      <sheetData sheetId="3"/>
      <sheetData sheetId="4"/>
      <sheetData sheetId="5"/>
      <sheetData sheetId="6"/>
      <sheetData sheetId="7">
        <row r="15">
          <cell r="B15" t="str">
            <v>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v>
          </cell>
        </row>
        <row r="16">
          <cell r="B16" t="str">
            <v>Определение запаха</v>
          </cell>
        </row>
        <row r="17">
          <cell r="B17" t="str">
            <v>Определение привкуса</v>
          </cell>
        </row>
        <row r="18">
          <cell r="B18" t="str">
            <v>Определение цветности</v>
          </cell>
        </row>
        <row r="19">
          <cell r="B19" t="str">
            <v>Определения мутности </v>
          </cell>
        </row>
        <row r="20">
          <cell r="B20" t="str">
            <v>Определение водородного показателя рН </v>
          </cell>
        </row>
        <row r="21">
          <cell r="B21" t="str">
            <v>Определение общей минерализаци (сухой остаток)</v>
          </cell>
        </row>
        <row r="22">
          <cell r="B22" t="str">
            <v>Определение перманганатной окисляемости </v>
          </cell>
        </row>
        <row r="23">
          <cell r="B23" t="str">
            <v>Определение плавающих веществ</v>
          </cell>
        </row>
        <row r="24">
          <cell r="B24" t="str">
            <v>Определение взвешенных веществ</v>
          </cell>
        </row>
        <row r="25">
          <cell r="B25" t="str">
            <v>Определение общей щелочности</v>
          </cell>
        </row>
        <row r="26">
          <cell r="B26" t="str">
            <v>Определение общей жесткости </v>
          </cell>
        </row>
        <row r="27">
          <cell r="B27" t="str">
            <v>Определение хлоридов </v>
          </cell>
        </row>
        <row r="28">
          <cell r="B28" t="str">
            <v>Определение нитратов</v>
          </cell>
        </row>
        <row r="29">
          <cell r="B29" t="str">
            <v>Определение нитритов</v>
          </cell>
        </row>
        <row r="30">
          <cell r="B30" t="str">
            <v>Определение азота аммиака </v>
          </cell>
        </row>
        <row r="31">
          <cell r="B31" t="str">
            <v>Определение сульфатов</v>
          </cell>
        </row>
        <row r="32">
          <cell r="B32" t="str">
            <v>Определение фтора</v>
          </cell>
        </row>
        <row r="33">
          <cell r="B33" t="str">
            <v>Определение калий и натрий</v>
          </cell>
        </row>
        <row r="34">
          <cell r="B34" t="str">
            <v>Определение кальция</v>
          </cell>
        </row>
        <row r="35">
          <cell r="B35" t="str">
            <v>Определение магния</v>
          </cell>
        </row>
        <row r="36">
          <cell r="B36" t="str">
            <v>Определение гидрокарбоната</v>
          </cell>
        </row>
        <row r="37">
          <cell r="B37" t="str">
            <v>Определение активного хлора</v>
          </cell>
        </row>
        <row r="38">
          <cell r="B38" t="str">
            <v>Определение остаточного хлора при хлорировании </v>
          </cell>
        </row>
        <row r="39">
          <cell r="B39" t="str">
            <v>Определение остаточного свободного хлора </v>
          </cell>
        </row>
        <row r="40">
          <cell r="B40" t="str">
            <v>Определение остаточного связанного хлора</v>
          </cell>
        </row>
        <row r="41">
          <cell r="B41" t="str">
            <v>Определение остаточного озона при озонировании</v>
          </cell>
        </row>
        <row r="42">
          <cell r="B42" t="str">
            <v>Определение растворенного кислорода</v>
          </cell>
        </row>
        <row r="43">
          <cell r="B43" t="str">
            <v>Определение химического потребления кислорода (ХПК)</v>
          </cell>
        </row>
        <row r="44">
          <cell r="B44" t="str">
            <v>Определение биохимического потребления кислорода (БПК 5)</v>
          </cell>
        </row>
        <row r="45">
          <cell r="B45" t="str">
            <v>Определение биохимического потребления кислорода (БПК 20)</v>
          </cell>
        </row>
        <row r="46">
          <cell r="B46" t="str">
            <v>Определение содержания концентрации анионных поверхностно -активных веществ (СПАВ) </v>
          </cell>
        </row>
        <row r="47">
          <cell r="B47" t="str">
            <v>Определение алюминия</v>
          </cell>
        </row>
        <row r="48">
          <cell r="B48" t="str">
            <v>Определение бора</v>
          </cell>
        </row>
        <row r="49">
          <cell r="B49" t="str">
            <v>Определение бенз(а)пирена</v>
          </cell>
        </row>
        <row r="50">
          <cell r="B50" t="str">
            <v>Определение железо</v>
          </cell>
        </row>
        <row r="51">
          <cell r="B51" t="str">
            <v>Определение хрома </v>
          </cell>
        </row>
        <row r="52">
          <cell r="B52" t="str">
            <v>Определение свинца (вольтамперометрический)</v>
          </cell>
        </row>
        <row r="53">
          <cell r="B53" t="str">
            <v>Определение свинца (атомно-абсорбционный)</v>
          </cell>
        </row>
        <row r="54">
          <cell r="B54" t="str">
            <v>Определение кадмия (вольтамперометрический)</v>
          </cell>
        </row>
        <row r="55">
          <cell r="B55" t="str">
            <v>Определение кадмия (атомно-абсорбционный)</v>
          </cell>
        </row>
        <row r="56">
          <cell r="B56" t="str">
            <v>Определение цинка (вольтамперометрический)</v>
          </cell>
        </row>
        <row r="57">
          <cell r="B57" t="str">
            <v>Определение цинка (атомно-абсорбционный)</v>
          </cell>
        </row>
        <row r="58">
          <cell r="B58" t="str">
            <v>Определение меди (вольтамперометрический)</v>
          </cell>
        </row>
        <row r="59">
          <cell r="B59" t="str">
            <v>Определение меди (атомно-абсорбционный)</v>
          </cell>
        </row>
        <row r="60">
          <cell r="B60" t="str">
            <v>Определение мышьяка (вольтамперометрический)</v>
          </cell>
        </row>
        <row r="61">
          <cell r="B61" t="str">
            <v>Определение мышьяка  (атомно-абсорбционный)</v>
          </cell>
        </row>
        <row r="62">
          <cell r="B62" t="str">
            <v>Определение ртути (вольтамперометрический)</v>
          </cell>
        </row>
        <row r="63">
          <cell r="B63" t="str">
            <v>Определение ртути (атомно-абсорбционный)</v>
          </cell>
        </row>
        <row r="64">
          <cell r="B64" t="str">
            <v>Определение марганца (фотометрический)</v>
          </cell>
        </row>
        <row r="65">
          <cell r="B65" t="str">
            <v>Определение марганца (атомно-абсорбционный)</v>
          </cell>
        </row>
        <row r="66">
          <cell r="B66" t="str">
            <v>Определение кобальта  </v>
          </cell>
        </row>
        <row r="67">
          <cell r="B67" t="str">
            <v>Определение молибдена</v>
          </cell>
        </row>
        <row r="68">
          <cell r="B68" t="str">
            <v>Определение никеля</v>
          </cell>
        </row>
        <row r="69">
          <cell r="B69" t="str">
            <v>Определение фенола (флуориметрический)</v>
          </cell>
        </row>
        <row r="70">
          <cell r="B70" t="str">
            <v>Определение фенола (газохроматографический)</v>
          </cell>
        </row>
        <row r="71">
          <cell r="B71" t="str">
            <v>Определение сероводорода</v>
          </cell>
        </row>
        <row r="72">
          <cell r="B72" t="str">
            <v>Определение полифосфатов</v>
          </cell>
        </row>
        <row r="73">
          <cell r="B73" t="str">
            <v>Определение селена</v>
          </cell>
        </row>
        <row r="74">
          <cell r="B74" t="str">
            <v>Определение нефтепродуктов </v>
          </cell>
        </row>
        <row r="75">
          <cell r="B75" t="str">
            <v>Определение органического углерода</v>
          </cell>
        </row>
        <row r="76">
          <cell r="B76" t="str">
            <v>Определение калия</v>
          </cell>
        </row>
        <row r="77">
          <cell r="B77" t="str">
            <v>Определение натрия</v>
          </cell>
        </row>
        <row r="78">
          <cell r="B78" t="str">
            <v>отбор проб воды</v>
          </cell>
        </row>
        <row r="79">
          <cell r="B79" t="str">
            <v>Воды питьевые, минеральные природные и искусственно-минерализованные воды, расфасованные в емкости </v>
          </cell>
        </row>
        <row r="80">
          <cell r="B80" t="str">
            <v>Определение запаха </v>
          </cell>
        </row>
        <row r="81">
          <cell r="B81" t="str">
            <v>Определение привкуса </v>
          </cell>
        </row>
        <row r="82">
          <cell r="B82" t="str">
            <v>Определение цветности</v>
          </cell>
        </row>
        <row r="83">
          <cell r="B83" t="str">
            <v>Определения мутности </v>
          </cell>
        </row>
        <row r="84">
          <cell r="B84" t="str">
            <v>Определение водородного показателя рН </v>
          </cell>
        </row>
        <row r="85">
          <cell r="B85" t="str">
            <v>Определение общей минерализаци (сухой остаток)</v>
          </cell>
        </row>
        <row r="86">
          <cell r="B86" t="str">
            <v>Определение перманганатной окисляемости </v>
          </cell>
        </row>
        <row r="87">
          <cell r="B87" t="str">
            <v>Определение щелочности</v>
          </cell>
        </row>
        <row r="88">
          <cell r="B88" t="str">
            <v>Определение жесткости</v>
          </cell>
        </row>
        <row r="89">
          <cell r="B89" t="str">
            <v>Определение хлоридов </v>
          </cell>
        </row>
        <row r="90">
          <cell r="B90" t="str">
            <v>Определение нитратов</v>
          </cell>
        </row>
        <row r="91">
          <cell r="B91" t="str">
            <v>Определение нитритов</v>
          </cell>
        </row>
        <row r="92">
          <cell r="B92" t="str">
            <v>Определение азота аммиака </v>
          </cell>
        </row>
        <row r="93">
          <cell r="B93" t="str">
            <v>Определение сульфата</v>
          </cell>
        </row>
        <row r="94">
          <cell r="B94" t="str">
            <v>Определение фтора</v>
          </cell>
        </row>
        <row r="95">
          <cell r="B95" t="str">
            <v>Определение калий и натрий</v>
          </cell>
        </row>
        <row r="96">
          <cell r="B96" t="str">
            <v>Определение кальция</v>
          </cell>
        </row>
        <row r="97">
          <cell r="B97" t="str">
            <v>Определение магния</v>
          </cell>
        </row>
        <row r="98">
          <cell r="B98" t="str">
            <v>Определение гидрокарбоната</v>
          </cell>
        </row>
        <row r="99">
          <cell r="B99" t="str">
            <v>Определение остаточного свободного хлора </v>
          </cell>
        </row>
        <row r="100">
          <cell r="B100" t="str">
            <v> Определение остаточного связного хлора </v>
          </cell>
        </row>
        <row r="101">
          <cell r="B101" t="str">
            <v>Определение остаточного озона при озонировании</v>
          </cell>
        </row>
        <row r="102">
          <cell r="B102" t="str">
            <v>Определение кислорода</v>
          </cell>
        </row>
        <row r="103">
          <cell r="B103" t="str">
            <v>Определение содержания концентрации анионных поверхностно -активных веществ (СПАВ) </v>
          </cell>
        </row>
        <row r="104">
          <cell r="B104" t="str">
            <v>Определение алюминия</v>
          </cell>
        </row>
        <row r="105">
          <cell r="B105" t="str">
            <v>Определение бора</v>
          </cell>
        </row>
        <row r="106">
          <cell r="B106" t="str">
            <v>Определение бенз(а)пирена</v>
          </cell>
        </row>
        <row r="107">
          <cell r="B107" t="str">
            <v>Определение железо</v>
          </cell>
        </row>
        <row r="108">
          <cell r="B108" t="str">
            <v>Определение хрома</v>
          </cell>
        </row>
        <row r="109">
          <cell r="B109" t="str">
            <v>Определение свинца (вольтамперометрический)</v>
          </cell>
        </row>
        <row r="110">
          <cell r="B110" t="str">
            <v>Определение свинца (атомно-абсорбционный)</v>
          </cell>
        </row>
        <row r="111">
          <cell r="B111" t="str">
            <v>Определение кадмия (вольтамперометрический)</v>
          </cell>
        </row>
        <row r="112">
          <cell r="B112" t="str">
            <v>Определение кадмия (атомно-абсорбционный)</v>
          </cell>
        </row>
        <row r="113">
          <cell r="B113" t="str">
            <v>Определение цинка (вольтамперометрический)</v>
          </cell>
        </row>
        <row r="114">
          <cell r="B114" t="str">
            <v>Определение цинка (атомно-абсорбционный)</v>
          </cell>
        </row>
        <row r="115">
          <cell r="B115" t="str">
            <v>Определение меди (вольтамперометрический)</v>
          </cell>
        </row>
        <row r="116">
          <cell r="B116" t="str">
            <v>Определение меди (атомно-абсорбционный)</v>
          </cell>
        </row>
        <row r="117">
          <cell r="B117" t="str">
            <v>Определение мышьяка (вольтамперометрический)</v>
          </cell>
        </row>
        <row r="118">
          <cell r="B118" t="str">
            <v>Определение мышьяка  (атомно-абсорбционный)</v>
          </cell>
        </row>
        <row r="119">
          <cell r="B119" t="str">
            <v>Определение ртути (вольтамперометрический)</v>
          </cell>
        </row>
        <row r="120">
          <cell r="B120" t="str">
            <v>Определение ртути (атомно-абсорбционный)</v>
          </cell>
        </row>
        <row r="121">
          <cell r="B121" t="str">
            <v>Определение марганца (фотометрический)</v>
          </cell>
        </row>
        <row r="122">
          <cell r="B122" t="str">
            <v>Определение марганца (атомно-абсорбционный)</v>
          </cell>
        </row>
        <row r="123">
          <cell r="B123" t="str">
            <v>Определение кобальта  </v>
          </cell>
        </row>
        <row r="124">
          <cell r="B124" t="str">
            <v>Определение молибдена</v>
          </cell>
        </row>
        <row r="125">
          <cell r="B125" t="str">
            <v>Определение никеля</v>
          </cell>
        </row>
        <row r="128">
          <cell r="B128" t="str">
            <v>Определение сероводорода</v>
          </cell>
        </row>
        <row r="129">
          <cell r="B129" t="str">
            <v>Определение полифосфатов</v>
          </cell>
        </row>
        <row r="130">
          <cell r="B130" t="str">
            <v>Определение селена</v>
          </cell>
        </row>
        <row r="131">
          <cell r="B131" t="str">
            <v>Определение нефтепродуктов</v>
          </cell>
        </row>
        <row r="132">
          <cell r="B132" t="str">
            <v>Определение органического углерода</v>
          </cell>
        </row>
        <row r="133">
          <cell r="B133" t="str">
            <v>Определение йода</v>
          </cell>
        </row>
        <row r="134">
          <cell r="B134" t="str">
            <v>Определение калия</v>
          </cell>
        </row>
        <row r="135">
          <cell r="B135" t="str">
            <v>Определение натрия</v>
          </cell>
        </row>
        <row r="136">
          <cell r="B136" t="str">
            <v>Определение двуокись углерода</v>
          </cell>
        </row>
        <row r="137">
          <cell r="B137" t="str">
            <v>ПОЧВА</v>
          </cell>
        </row>
        <row r="138">
          <cell r="B138" t="str">
            <v>Определение влажности</v>
          </cell>
        </row>
        <row r="139">
          <cell r="B139" t="str">
            <v>Определение водородного показателя</v>
          </cell>
        </row>
        <row r="140">
          <cell r="B140" t="str">
            <v>Определение плотного остатка</v>
          </cell>
        </row>
        <row r="141">
          <cell r="B141" t="str">
            <v>Определение нитратов</v>
          </cell>
        </row>
        <row r="142">
          <cell r="B142" t="str">
            <v>Определение органического вещества</v>
          </cell>
        </row>
        <row r="143">
          <cell r="B143" t="str">
            <v>Определение обменного аммония </v>
          </cell>
        </row>
        <row r="144">
          <cell r="B144" t="str">
            <v>Определение азота</v>
          </cell>
        </row>
        <row r="146">
          <cell r="B146" t="str">
            <v>Определение кальций и магний</v>
          </cell>
        </row>
        <row r="147">
          <cell r="B147" t="str">
            <v>Определение хлорида</v>
          </cell>
        </row>
        <row r="148">
          <cell r="B148" t="str">
            <v>Определение сульфата</v>
          </cell>
        </row>
        <row r="151">
          <cell r="B151" t="str">
            <v>Определение марганца, никеля, кобальта, железа, селена, ртути, мышьяка</v>
          </cell>
        </row>
        <row r="152">
          <cell r="B152" t="str">
            <v>Определение свинца, кадмия, цинка и меди (вольтамперометрический)</v>
          </cell>
        </row>
        <row r="153">
          <cell r="B153" t="str">
            <v>Определение свинца, кадмия, цинка и меди                                 (атомно-абсорбционный)</v>
          </cell>
        </row>
        <row r="154">
          <cell r="B154" t="str">
            <v>приготовление вытяжки для определения валового содержания цинка, кадмия, свинца, меди, марганца, никеля, кобальта, железа, мышьяка, селена, ртути в почве</v>
          </cell>
        </row>
        <row r="155">
          <cell r="B155" t="str">
            <v>приготовления солевой вытяжки из почв</v>
          </cell>
        </row>
        <row r="156">
          <cell r="B156" t="str">
            <v>отбор проб почвы (выезд)</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ОБЩИЙ ПРЕЙСКУРАНТ"/>
      <sheetName val="сводные данные "/>
      <sheetName val="ОБЩ.КАЛЬКУЛЯЦИЯ"/>
      <sheetName val="аморт."/>
      <sheetName val="Расшифровка мат-ых затрат"/>
      <sheetName val="тариф-ия"/>
      <sheetName val="расш.накл.расх."/>
      <sheetName val="норма времени"/>
      <sheetName val="Лист1"/>
      <sheetName val="Лист2"/>
    </sheetNames>
    <sheetDataSet>
      <sheetData sheetId="0"/>
      <sheetData sheetId="1"/>
      <sheetData sheetId="2"/>
      <sheetData sheetId="3"/>
      <sheetData sheetId="4"/>
      <sheetData sheetId="5"/>
      <sheetData sheetId="6"/>
      <sheetData sheetId="7">
        <row r="14">
          <cell r="B14" t="str">
            <v>Мясо и мясопродукты: птица, яйца, и продукты их переработки, консервы из мяса и мяса птицы</v>
          </cell>
        </row>
        <row r="15">
          <cell r="B15" t="str">
            <v> Определение органолептических показателей</v>
          </cell>
        </row>
        <row r="16">
          <cell r="B16" t="str">
            <v>Определение посторонних примесей</v>
          </cell>
        </row>
        <row r="17">
          <cell r="B17" t="str">
            <v>Определение водородного  показателя</v>
          </cell>
        </row>
        <row r="18">
          <cell r="B18" t="str">
            <v>Определение влаги арбитражным методом</v>
          </cell>
        </row>
        <row r="19">
          <cell r="B19" t="str">
            <v>Определение поваренной соли</v>
          </cell>
        </row>
        <row r="20">
          <cell r="B20" t="str">
            <v>Определение нитрита натрия </v>
          </cell>
        </row>
        <row r="21">
          <cell r="B21" t="str">
            <v>Определение крахмала (при применении) </v>
          </cell>
        </row>
        <row r="22">
          <cell r="B22" t="str">
            <v>Определение белка в пищевых продуктах </v>
          </cell>
        </row>
        <row r="23">
          <cell r="B23" t="str">
            <v>Определение зольных веществ </v>
          </cell>
        </row>
        <row r="24">
          <cell r="B24" t="str">
            <v>Определение массовой доли жира ( по Герберу)</v>
          </cell>
        </row>
        <row r="25">
          <cell r="B25" t="str">
            <v>Определение массовой доли жира (по Сокслету)</v>
          </cell>
        </row>
        <row r="26">
          <cell r="B26" t="str">
            <v>Определение общего фосфора ( по показаниям) </v>
          </cell>
        </row>
        <row r="27">
          <cell r="B27" t="str">
            <v>Определение остаточной  активности кислой фосфатазы (по показаниям) </v>
          </cell>
        </row>
        <row r="28">
          <cell r="B28" t="str">
            <v>Определение кислотного числа  в мясе птицы </v>
          </cell>
        </row>
        <row r="29">
          <cell r="B29" t="str">
            <v>Определение перекисного числа в мясе птицы </v>
          </cell>
        </row>
        <row r="30">
          <cell r="B30" t="str">
            <v>Определение свинца ААС</v>
          </cell>
        </row>
        <row r="31">
          <cell r="B31" t="str">
            <v>Определение свинца методом ИВ</v>
          </cell>
        </row>
        <row r="32">
          <cell r="B32" t="str">
            <v>Определение кадмияААС</v>
          </cell>
        </row>
        <row r="33">
          <cell r="B33" t="str">
            <v>Определение кадмия методом ИВ</v>
          </cell>
        </row>
        <row r="34">
          <cell r="B34" t="str">
            <v>Определение меди (для консервов)ААС</v>
          </cell>
        </row>
        <row r="35">
          <cell r="B35" t="str">
            <v>Определение меди (для консервов) методом ИВ</v>
          </cell>
        </row>
        <row r="36">
          <cell r="B36" t="str">
            <v>Определение цинка (для консервов) ААС</v>
          </cell>
        </row>
        <row r="37">
          <cell r="B37" t="str">
            <v>Определение цинка (для консервов) методом ИВ</v>
          </cell>
        </row>
        <row r="38">
          <cell r="B38" t="str">
            <v>Определение мышьяка ААС</v>
          </cell>
        </row>
        <row r="39">
          <cell r="B39" t="str">
            <v>Определение мышьяка методом ИВ</v>
          </cell>
        </row>
        <row r="40">
          <cell r="B40" t="str">
            <v>Определение ртути ( по показаниям)ААС</v>
          </cell>
        </row>
        <row r="41">
          <cell r="B41" t="str">
            <v>Определение ртути ( по показаниям)  методом ИВ</v>
          </cell>
        </row>
        <row r="42">
          <cell r="B42" t="str">
            <v>Определение олова (для консервов в сборной жестяной таре)</v>
          </cell>
        </row>
        <row r="43">
          <cell r="B43" t="str">
            <v>Определение хрома (для консервов в сборной хромированной таре) </v>
          </cell>
        </row>
        <row r="44">
          <cell r="B44" t="str">
            <v>Определение нитрозаминов для копченых продуктов и консервов с добавлением нитрата натрия </v>
          </cell>
        </row>
        <row r="45">
          <cell r="B45" t="str">
            <v>Определение бенз(а)пирина для копченых продуктов </v>
          </cell>
        </row>
        <row r="46">
          <cell r="B46" t="str">
            <v>Определение  левомецетиновой  группы</v>
          </cell>
        </row>
        <row r="47">
          <cell r="B47" t="str">
            <v>Определение  тетрациклиновой  группы</v>
          </cell>
        </row>
        <row r="48">
          <cell r="B48" t="str">
            <v>Определение массовой доли хлеба</v>
          </cell>
        </row>
        <row r="49">
          <cell r="B49" t="str">
            <v>Молоко и молочные продукты, молочные консервы</v>
          </cell>
        </row>
        <row r="50">
          <cell r="B50" t="str">
            <v> Определение органолептических показателей</v>
          </cell>
        </row>
        <row r="51">
          <cell r="B51" t="str">
            <v> Определение пастеризации </v>
          </cell>
        </row>
        <row r="52">
          <cell r="B52" t="str">
            <v> Определение кислотности</v>
          </cell>
        </row>
        <row r="53">
          <cell r="B53" t="str">
            <v> Определение плотности  (ареометром):</v>
          </cell>
        </row>
        <row r="54">
          <cell r="B54" t="str">
            <v> Определение плотности на рефрактометре</v>
          </cell>
        </row>
        <row r="55">
          <cell r="B55" t="str">
            <v> Определение фурозина</v>
          </cell>
        </row>
        <row r="56">
          <cell r="B56" t="str">
            <v> Определение соды</v>
          </cell>
        </row>
        <row r="57">
          <cell r="B57" t="str">
            <v> Определение аммиака</v>
          </cell>
        </row>
        <row r="58">
          <cell r="B58" t="str">
            <v> Определение нитратов и нитритов </v>
          </cell>
        </row>
        <row r="59">
          <cell r="B59" t="str">
            <v> Определение влаги</v>
          </cell>
        </row>
        <row r="60">
          <cell r="B60" t="str">
            <v> Определение влаги арбитражным методом, СОМО .</v>
          </cell>
        </row>
        <row r="61">
          <cell r="B61" t="str">
            <v> Определение сахара (фотометрическим методом)</v>
          </cell>
        </row>
        <row r="62">
          <cell r="B62" t="str">
            <v> Определение сахара (титрометрическим методом)</v>
          </cell>
        </row>
        <row r="63">
          <cell r="B63" t="str">
            <v> Определение перекиси водорода </v>
          </cell>
        </row>
        <row r="64">
          <cell r="B64" t="str">
            <v> Определение жира ( по Герберу)</v>
          </cell>
        </row>
        <row r="65">
          <cell r="B65" t="str">
            <v> Определение жира (по Сокслету)</v>
          </cell>
        </row>
        <row r="66">
          <cell r="B66" t="str">
            <v> Определение кислотного числа жира </v>
          </cell>
        </row>
        <row r="67">
          <cell r="B67" t="str">
            <v> Определение активности фосфатазы </v>
          </cell>
        </row>
        <row r="68">
          <cell r="B68" t="str">
            <v> Определение массовой доли сахарозы </v>
          </cell>
        </row>
        <row r="69">
          <cell r="B69" t="str">
            <v> Определение сухих веществ</v>
          </cell>
        </row>
        <row r="70">
          <cell r="B70" t="str">
            <v> Определение кадмия  (ИВ)</v>
          </cell>
        </row>
        <row r="71">
          <cell r="B71" t="str">
            <v> Определение кадмия  (ААС)</v>
          </cell>
        </row>
        <row r="72">
          <cell r="B72" t="str">
            <v> Определение свинца (ААС)</v>
          </cell>
        </row>
        <row r="73">
          <cell r="B73" t="str">
            <v> Определение свинца (ИВ)</v>
          </cell>
        </row>
        <row r="74">
          <cell r="B74" t="str">
            <v> Определение олова (для консервов в сборной жестяной таре) </v>
          </cell>
        </row>
        <row r="75">
          <cell r="B75" t="str">
            <v> Определение хрома (для консервов в сборной хромированной таре) </v>
          </cell>
        </row>
        <row r="76">
          <cell r="B76" t="str">
            <v> Определение мышьяка (ААС)</v>
          </cell>
        </row>
        <row r="77">
          <cell r="B77" t="str">
            <v> Определение мышьяка (ИВ)</v>
          </cell>
        </row>
        <row r="78">
          <cell r="B78" t="str">
            <v> Определение ртути (ААС)</v>
          </cell>
        </row>
        <row r="79">
          <cell r="B79" t="str">
            <v> Определение ртути (СТА)</v>
          </cell>
        </row>
        <row r="80">
          <cell r="B80" t="str">
            <v> Определение микотоксина (афлатоксин М1) </v>
          </cell>
        </row>
        <row r="81">
          <cell r="B81" t="str">
            <v>Определение антибиотиков в пищевых продуктов методом ВЭЖХ</v>
          </cell>
        </row>
        <row r="82">
          <cell r="B82" t="str">
            <v>Кальций</v>
          </cell>
        </row>
        <row r="83">
          <cell r="B83" t="str">
            <v>Калий</v>
          </cell>
        </row>
        <row r="84">
          <cell r="B84" t="str">
            <v>Магний</v>
          </cell>
        </row>
        <row r="85">
          <cell r="B85" t="str">
            <v>Меламин</v>
          </cell>
        </row>
        <row r="86">
          <cell r="B86" t="str">
            <v>Определение витаминов в пищевых продуктах методом ВЭЖХ. </v>
          </cell>
        </row>
        <row r="87">
          <cell r="B87" t="str">
            <v>Определение витаминов в пищевых продуктах колориметрическим методом.</v>
          </cell>
        </row>
        <row r="88">
          <cell r="B88" t="str">
            <v>Жирнокислотный состав</v>
          </cell>
        </row>
        <row r="89">
          <cell r="B89" t="str">
            <v>Степень чистоты</v>
          </cell>
        </row>
        <row r="90">
          <cell r="B90" t="str">
            <v>Стерины</v>
          </cell>
        </row>
        <row r="91">
          <cell r="B91" t="str">
            <v>Йод (при йодировании)</v>
          </cell>
        </row>
        <row r="92">
          <cell r="B92" t="str">
            <v>Натрий хлористый</v>
          </cell>
        </row>
        <row r="93">
          <cell r="B93" t="str">
            <v> Рыба, нерыбные объекты промысла и продукты, вырабатываемые из них, консервы и пресервы рыбные</v>
          </cell>
        </row>
        <row r="94">
          <cell r="B94" t="str">
            <v> Определение органолептических показателей</v>
          </cell>
        </row>
        <row r="95">
          <cell r="B95" t="str">
            <v>Определение поваренной соли</v>
          </cell>
        </row>
        <row r="96">
          <cell r="B96" t="str">
            <v> Определение влаги  ускоренным методом</v>
          </cell>
        </row>
        <row r="97">
          <cell r="B97" t="str">
            <v> Определение влаги  арбитражным методом</v>
          </cell>
        </row>
        <row r="98">
          <cell r="B98" t="str">
            <v> Определение жира ( по Герберу)</v>
          </cell>
        </row>
        <row r="99">
          <cell r="B99" t="str">
            <v> Определение жира (по Сокслету)</v>
          </cell>
        </row>
        <row r="100">
          <cell r="B100" t="str">
            <v> Определение кислотности (в перерасчете на яблочную кислоту) </v>
          </cell>
        </row>
        <row r="101">
          <cell r="B101" t="str">
            <v> Определение свинца (ААС)</v>
          </cell>
        </row>
        <row r="102">
          <cell r="B102" t="str">
            <v> Определение свинца (ИВ)</v>
          </cell>
        </row>
        <row r="103">
          <cell r="B103" t="str">
            <v> Определение кадмия  (ААС)</v>
          </cell>
        </row>
        <row r="104">
          <cell r="B104" t="str">
            <v> Определение кадмия  (ИВ)</v>
          </cell>
        </row>
        <row r="105">
          <cell r="B105" t="str">
            <v> Определение сухих веществ</v>
          </cell>
        </row>
        <row r="106">
          <cell r="B106" t="str">
            <v> Определение олова (для консервов в сборной жестяной таре)</v>
          </cell>
        </row>
        <row r="107">
          <cell r="B107" t="str">
            <v> Определение хрома (для консервов в сборной хромированной таре) </v>
          </cell>
        </row>
        <row r="108">
          <cell r="B108" t="str">
            <v> Определение мышьяка (ААС)</v>
          </cell>
        </row>
        <row r="109">
          <cell r="B109" t="str">
            <v> Определение мышьяка (ИВ)</v>
          </cell>
        </row>
        <row r="110">
          <cell r="B110" t="str">
            <v> Определение ртути (ААС)</v>
          </cell>
        </row>
        <row r="111">
          <cell r="B111" t="str">
            <v> Определение ртути (СТА)</v>
          </cell>
        </row>
        <row r="112">
          <cell r="B112" t="str">
            <v> Определение гистамина (скумбриевые, тунцовые, сельдевые, лососевые) </v>
          </cell>
        </row>
        <row r="113">
          <cell r="B113" t="str">
            <v> Определение нитрозаминов </v>
          </cell>
        </row>
        <row r="114">
          <cell r="B114" t="str">
            <v> Определение бенз(а)пирина для копченых продуктов </v>
          </cell>
        </row>
        <row r="115">
          <cell r="B115" t="str">
            <v>Определение бензойнокислого натрия (по показанию)</v>
          </cell>
        </row>
        <row r="116">
          <cell r="B116" t="str">
            <v>Определение домоевой кислоты</v>
          </cell>
        </row>
        <row r="117">
          <cell r="B117" t="str">
            <v>Определение посторонних примесей</v>
          </cell>
        </row>
        <row r="118">
          <cell r="B118" t="str">
            <v>Определение составных частей</v>
          </cell>
        </row>
        <row r="119">
          <cell r="B119" t="str">
            <v>Определение отстоя к массе рыб</v>
          </cell>
        </row>
        <row r="120">
          <cell r="B120" t="str">
            <v> Определение белоковых веществ (сырой протеин)</v>
          </cell>
        </row>
        <row r="121">
          <cell r="B121" t="str">
            <v>Зерно (семена) мукомольно-крупяные и хлебобулочные изделия </v>
          </cell>
        </row>
        <row r="122">
          <cell r="B122" t="str">
            <v> Определение органолептических показателей</v>
          </cell>
        </row>
        <row r="123">
          <cell r="B123" t="str">
            <v>Определение металломагнитных и минеральных примесей </v>
          </cell>
        </row>
        <row r="124">
          <cell r="B124" t="str">
            <v> Определение влаги  ускоренным методом</v>
          </cell>
        </row>
        <row r="125">
          <cell r="B125" t="str">
            <v> Определение влаги  арбитражным методом</v>
          </cell>
        </row>
        <row r="126">
          <cell r="B126" t="str">
            <v>Определение кислотности </v>
          </cell>
        </row>
        <row r="127">
          <cell r="B127" t="str">
            <v>Определение пористости </v>
          </cell>
        </row>
        <row r="128">
          <cell r="B128" t="str">
            <v> Определение жира ( по Герберу)</v>
          </cell>
        </row>
        <row r="129">
          <cell r="B129" t="str">
            <v> Определение жира (по Сокслету)</v>
          </cell>
        </row>
        <row r="130">
          <cell r="B130" t="str">
            <v>Определение массовой доли сахара (фотометрическим методом)</v>
          </cell>
        </row>
        <row r="131">
          <cell r="B131" t="str">
            <v>Определение массовой доли сахара (титрометрическим методом)</v>
          </cell>
        </row>
        <row r="132">
          <cell r="B132" t="str">
            <v>Определение поваренной соли</v>
          </cell>
        </row>
        <row r="133">
          <cell r="B133" t="str">
            <v>Определение кадмия</v>
          </cell>
        </row>
        <row r="134">
          <cell r="B134" t="str">
            <v>Определение свинца </v>
          </cell>
        </row>
        <row r="135">
          <cell r="B135" t="str">
            <v>Определение мышьяка </v>
          </cell>
        </row>
        <row r="136">
          <cell r="B136" t="str">
            <v>Определение ртути </v>
          </cell>
        </row>
        <row r="137">
          <cell r="B137" t="str">
            <v>Определение микотоксинов афлатоксин В1</v>
          </cell>
        </row>
        <row r="138">
          <cell r="B138" t="str">
            <v>Определение дезоксиниваленола</v>
          </cell>
        </row>
        <row r="139">
          <cell r="B139" t="str">
            <v>Определение Т-2 токсина</v>
          </cell>
        </row>
        <row r="140">
          <cell r="B140" t="str">
            <v>Определение зераленона</v>
          </cell>
        </row>
        <row r="141">
          <cell r="B141" t="str">
            <v>Определение нитрозамина  </v>
          </cell>
        </row>
        <row r="142">
          <cell r="B142" t="str">
            <v>развариваемость</v>
          </cell>
        </row>
        <row r="143">
          <cell r="B143" t="str">
            <v>зольность</v>
          </cell>
        </row>
        <row r="144">
          <cell r="B144" t="str">
            <v>фумонизины В1,В2</v>
          </cell>
        </row>
        <row r="145">
          <cell r="B145" t="str">
            <v>охратоксин А</v>
          </cell>
        </row>
        <row r="146">
          <cell r="B146" t="str">
            <v>йод (при йодировании)</v>
          </cell>
        </row>
        <row r="147">
          <cell r="B147" t="str">
            <v>сорная примесь</v>
          </cell>
        </row>
        <row r="148">
          <cell r="B148" t="str">
            <v>зараженность вредителями хлебных запасов</v>
          </cell>
        </row>
        <row r="149">
          <cell r="B149" t="str">
            <v>бенз(а)пирен </v>
          </cell>
        </row>
        <row r="150">
          <cell r="B150" t="str">
            <v>олигосахара</v>
          </cell>
        </row>
        <row r="151">
          <cell r="B151" t="str">
            <v>определение клейковины</v>
          </cell>
        </row>
        <row r="152">
          <cell r="B152" t="str">
            <v>Сахар и кондитерские изделия </v>
          </cell>
        </row>
        <row r="153">
          <cell r="B153" t="str">
            <v> Определение органолептических показателей</v>
          </cell>
        </row>
        <row r="154">
          <cell r="B154" t="str">
            <v> Определение влаги  ускоренным методом</v>
          </cell>
        </row>
        <row r="155">
          <cell r="B155" t="str">
            <v> Определение влаги  арбитражным методом</v>
          </cell>
        </row>
        <row r="156">
          <cell r="B156" t="str">
            <v>Определение кислотности и щелочноси титрометрическим методом:</v>
          </cell>
        </row>
        <row r="157">
          <cell r="B157" t="str">
            <v> Определение жира ( по Герберу)</v>
          </cell>
        </row>
        <row r="158">
          <cell r="B158" t="str">
            <v> Определение жира (по Сокслету)</v>
          </cell>
        </row>
        <row r="159">
          <cell r="B159" t="str">
            <v>Определение сухих веществ</v>
          </cell>
        </row>
        <row r="160">
          <cell r="B160" t="str">
            <v>Определение цветности</v>
          </cell>
        </row>
        <row r="161">
          <cell r="B161" t="str">
            <v> Определение сахарозы </v>
          </cell>
        </row>
        <row r="162">
          <cell r="B162" t="str">
            <v>Определение массовой доли сахара  (фотометрическим методом)</v>
          </cell>
        </row>
        <row r="163">
          <cell r="B163" t="str">
            <v> Определение массовой доли сахара (титрометрическим методом)</v>
          </cell>
        </row>
        <row r="164">
          <cell r="B164" t="str">
            <v> Определение золы </v>
          </cell>
        </row>
        <row r="165">
          <cell r="B165" t="str">
            <v>Определение редуцирующих веществ </v>
          </cell>
        </row>
        <row r="166">
          <cell r="B166" t="str">
            <v>Определение массовой доли сернистой кислоты </v>
          </cell>
        </row>
        <row r="167">
          <cell r="B167" t="str">
            <v>Определение свинца </v>
          </cell>
        </row>
        <row r="168">
          <cell r="B168" t="str">
            <v>Определение кадмия</v>
          </cell>
        </row>
        <row r="169">
          <cell r="B169" t="str">
            <v>Определение мышьяка</v>
          </cell>
        </row>
        <row r="170">
          <cell r="B170" t="str">
            <v>Определение ртути </v>
          </cell>
        </row>
        <row r="171">
          <cell r="B171" t="str">
            <v>Определение афлатоксин В1- для изделий содержащих орехи </v>
          </cell>
        </row>
        <row r="172">
          <cell r="B172" t="str">
            <v>Определение дезоксиниваленола</v>
          </cell>
        </row>
        <row r="173">
          <cell r="B173" t="str">
            <v>сорбиновая кислота </v>
          </cell>
        </row>
        <row r="174">
          <cell r="B174" t="str">
            <v>намокаемость</v>
          </cell>
        </row>
        <row r="182">
          <cell r="B182" t="str">
            <v>МЕД натуральный</v>
          </cell>
        </row>
        <row r="183">
          <cell r="B183" t="str">
            <v> Определение влаги  ускоренным методом</v>
          </cell>
        </row>
        <row r="184">
          <cell r="B184" t="str">
            <v> Определение влаги  арбитражным методом</v>
          </cell>
        </row>
        <row r="185">
          <cell r="B185" t="str">
            <v>Определение массовой доли редуцирующих веществ сахара и сахарозы</v>
          </cell>
        </row>
        <row r="186">
          <cell r="B186" t="str">
            <v> Определение диастазного числа</v>
          </cell>
        </row>
        <row r="187">
          <cell r="B187" t="str">
            <v>Определение механических примесей</v>
          </cell>
        </row>
        <row r="188">
          <cell r="B188" t="str">
            <v>Определение общей кислотности</v>
          </cell>
        </row>
        <row r="189">
          <cell r="B189" t="str">
            <v>Определение оксиметилфурфурола</v>
          </cell>
        </row>
        <row r="190">
          <cell r="B190" t="str">
            <v>Определение свинца </v>
          </cell>
        </row>
        <row r="191">
          <cell r="B191" t="str">
            <v>Определение кадмия</v>
          </cell>
        </row>
        <row r="192">
          <cell r="B192" t="str">
            <v>Определение мышьяка</v>
          </cell>
        </row>
        <row r="193">
          <cell r="B193" t="str">
            <v>Органолептические показатели</v>
          </cell>
        </row>
        <row r="194">
          <cell r="B194" t="str">
            <v>Признаки брожения</v>
          </cell>
        </row>
        <row r="195">
          <cell r="B195" t="str">
            <v>Наличие пыльцевых зерен</v>
          </cell>
        </row>
        <row r="196">
          <cell r="B196" t="str">
            <v>определение массовой доли воды</v>
          </cell>
        </row>
        <row r="197">
          <cell r="B197" t="str">
            <v> Плодоовощная продукция, консервы овощные, фруктовые, ягодные и грибные</v>
          </cell>
        </row>
        <row r="198">
          <cell r="B198" t="str">
            <v> Определение органолептических показателей</v>
          </cell>
        </row>
        <row r="199">
          <cell r="B199" t="str">
            <v> Определение влаги  ускоренным методом</v>
          </cell>
        </row>
        <row r="200">
          <cell r="B200" t="str">
            <v> Определение влаги  арбитражным методом</v>
          </cell>
        </row>
        <row r="201">
          <cell r="B201" t="str">
            <v> Определение титруемой кислотности  </v>
          </cell>
        </row>
        <row r="202">
          <cell r="B202" t="str">
            <v> Определение жира ( по Герберу)</v>
          </cell>
        </row>
        <row r="203">
          <cell r="B203" t="str">
            <v> Определение жира (по Сокслету)</v>
          </cell>
        </row>
        <row r="204">
          <cell r="B204" t="str">
            <v>Определение сухих веществ</v>
          </cell>
        </row>
        <row r="205">
          <cell r="B205" t="str">
            <v>Определение  массовой доли хлоридов </v>
          </cell>
        </row>
        <row r="206">
          <cell r="B206" t="str">
            <v>Определение массовой доли сахара (фотометрическим методом)</v>
          </cell>
        </row>
        <row r="207">
          <cell r="B207" t="str">
            <v>Определение  массовой доли сахара (титрометрическим методом)</v>
          </cell>
        </row>
        <row r="208">
          <cell r="B208" t="str">
            <v>Определение  свинца </v>
          </cell>
        </row>
        <row r="209">
          <cell r="B209" t="str">
            <v>Определение кадмия</v>
          </cell>
        </row>
        <row r="210">
          <cell r="B210" t="str">
            <v> Определение мышьяка </v>
          </cell>
        </row>
        <row r="211">
          <cell r="B211" t="str">
            <v>Определение  ртути</v>
          </cell>
        </row>
        <row r="212">
          <cell r="B212" t="str">
            <v>Определение патулина</v>
          </cell>
        </row>
        <row r="213">
          <cell r="B213" t="str">
            <v>Определение олова (для консервов в сборной жестяной таре) </v>
          </cell>
        </row>
        <row r="214">
          <cell r="B214" t="str">
            <v>Определение хрома (для консервов в сборной хромированной таре)</v>
          </cell>
        </row>
        <row r="215">
          <cell r="B215" t="str">
            <v>сорбиновая и бензонной кислот</v>
          </cell>
        </row>
        <row r="216">
          <cell r="B216" t="str">
            <v>диоксид серы</v>
          </cell>
        </row>
        <row r="217">
          <cell r="B217" t="str">
            <v>Масличные сырье жировые продукты, майонезы </v>
          </cell>
        </row>
        <row r="218">
          <cell r="B218" t="str">
            <v> Определение органолептических показателей</v>
          </cell>
        </row>
        <row r="219">
          <cell r="B219" t="str">
            <v> Определение массовой доли фосфорсодержащих вещества  </v>
          </cell>
        </row>
        <row r="220">
          <cell r="B220" t="str">
            <v> Определение  кислотности </v>
          </cell>
        </row>
        <row r="221">
          <cell r="B221" t="str">
            <v> Определение кислотного числа  </v>
          </cell>
        </row>
        <row r="222">
          <cell r="B222" t="str">
            <v> Определение  цветного числа  ( по показаниям)</v>
          </cell>
        </row>
        <row r="223">
          <cell r="B223" t="str">
            <v> Определение влаги  ускоренным методом</v>
          </cell>
        </row>
        <row r="224">
          <cell r="B224" t="str">
            <v> Определение влаги  арбитражным методом</v>
          </cell>
        </row>
        <row r="225">
          <cell r="B225" t="str">
            <v> Определение массовой доли поваренной соли</v>
          </cell>
        </row>
        <row r="226">
          <cell r="B226" t="str">
            <v> Определение массовой доли жира ( по Герберу)</v>
          </cell>
        </row>
        <row r="227">
          <cell r="B227" t="str">
            <v> Определение жира (по Сокслету)</v>
          </cell>
        </row>
        <row r="228">
          <cell r="B228" t="str">
            <v> Определение  йодного числа (по показаниям) </v>
          </cell>
        </row>
        <row r="229">
          <cell r="B229" t="str">
            <v> Определение перекисного числа </v>
          </cell>
        </row>
        <row r="230">
          <cell r="B230" t="str">
            <v>Определение  свинца </v>
          </cell>
        </row>
        <row r="231">
          <cell r="B231" t="str">
            <v>Определение кадмия</v>
          </cell>
        </row>
        <row r="232">
          <cell r="B232" t="str">
            <v> Определение мышьяка </v>
          </cell>
        </row>
        <row r="233">
          <cell r="B233" t="str">
            <v>Определение  ртути</v>
          </cell>
        </row>
        <row r="234">
          <cell r="B234" t="str">
            <v>Определение  меди ( для поставляемых на хранение) </v>
          </cell>
        </row>
        <row r="235">
          <cell r="B235" t="str">
            <v>Определение афлотоксина В1</v>
          </cell>
        </row>
        <row r="236">
          <cell r="B236" t="str">
            <v>Показатель преломления</v>
          </cell>
        </row>
        <row r="237">
          <cell r="B237" t="str">
            <v>Отстой</v>
          </cell>
        </row>
        <row r="238">
          <cell r="B238" t="str">
            <v>Зола</v>
          </cell>
        </row>
        <row r="239">
          <cell r="B239" t="str">
            <v>Прозрачность</v>
          </cell>
        </row>
        <row r="240">
          <cell r="B240" t="str">
            <v>Напитки, алкогольная и безалкогольная продукция </v>
          </cell>
        </row>
        <row r="241">
          <cell r="B241" t="str">
            <v> Определение органолептических показателей</v>
          </cell>
        </row>
        <row r="242">
          <cell r="B242" t="str">
            <v>Определение титруемой кислотности </v>
          </cell>
        </row>
        <row r="243">
          <cell r="B243" t="str">
            <v>Определение сахара фотометрическим методом</v>
          </cell>
        </row>
        <row r="244">
          <cell r="B244" t="str">
            <v>Определение сахара титрометрическим методом</v>
          </cell>
        </row>
        <row r="245">
          <cell r="B245" t="str">
            <v>Определение метилового спирта </v>
          </cell>
        </row>
        <row r="246">
          <cell r="B246" t="str">
            <v>Определение свободной и общей сернистой кислоты </v>
          </cell>
        </row>
        <row r="247">
          <cell r="B247" t="str">
            <v>Определение относительной плотности </v>
          </cell>
        </row>
        <row r="248">
          <cell r="B248" t="str">
            <v>Определение сложных эфиров </v>
          </cell>
        </row>
        <row r="249">
          <cell r="B249" t="str">
            <v>Определение кислотности</v>
          </cell>
        </row>
        <row r="250">
          <cell r="B250" t="str">
            <v>Определение летучих кислот </v>
          </cell>
        </row>
        <row r="251">
          <cell r="B251" t="str">
            <v>Определение крепости </v>
          </cell>
        </row>
        <row r="252">
          <cell r="B252" t="str">
            <v>Определение окисляемости</v>
          </cell>
        </row>
        <row r="253">
          <cell r="B253" t="str">
            <v>Определение сивушных масел </v>
          </cell>
        </row>
        <row r="254">
          <cell r="B254" t="str">
            <v>Определение массовой концентрации общего экстракта </v>
          </cell>
        </row>
        <row r="255">
          <cell r="B255" t="str">
            <v>Определение фурфурола</v>
          </cell>
        </row>
        <row r="256">
          <cell r="B256" t="str">
            <v>Определение альдегидов </v>
          </cell>
        </row>
        <row r="257">
          <cell r="B257" t="str">
            <v>Определение цветности </v>
          </cell>
        </row>
        <row r="258">
          <cell r="B258" t="str">
            <v>Определение сухих веществ </v>
          </cell>
        </row>
        <row r="259">
          <cell r="B259" t="str">
            <v>Определение  свинца </v>
          </cell>
        </row>
        <row r="260">
          <cell r="B260" t="str">
            <v>Определение кадмия</v>
          </cell>
        </row>
        <row r="261">
          <cell r="B261" t="str">
            <v>Определение меди </v>
          </cell>
        </row>
        <row r="262">
          <cell r="B262" t="str">
            <v>Определение железа </v>
          </cell>
        </row>
        <row r="263">
          <cell r="B263" t="str">
            <v> Определение мышьяка </v>
          </cell>
        </row>
        <row r="264">
          <cell r="B264" t="str">
            <v>Определение  ртути</v>
          </cell>
        </row>
        <row r="265">
          <cell r="B265" t="str">
            <v>Определение патулина</v>
          </cell>
        </row>
        <row r="266">
          <cell r="B266" t="str">
            <v>Определение нитрозаминов (пиво) </v>
          </cell>
        </row>
        <row r="267">
          <cell r="B267" t="str">
            <v>Определение кофеина ( по показаниям)</v>
          </cell>
        </row>
        <row r="268">
          <cell r="B268" t="str">
            <v>Определение герметичности укупорки</v>
          </cell>
        </row>
        <row r="269">
          <cell r="B269" t="str">
            <v>определение  спирта</v>
          </cell>
        </row>
        <row r="270">
          <cell r="B270" t="str">
            <v>определение двуокиси углерода</v>
          </cell>
        </row>
        <row r="271">
          <cell r="B271" t="str">
            <v>Определение общего  экстракта</v>
          </cell>
        </row>
        <row r="272">
          <cell r="B272" t="str">
            <v>Определение  спирта в пиве</v>
          </cell>
        </row>
        <row r="273">
          <cell r="B273" t="str">
            <v>Определение  сухих веществ в сусле</v>
          </cell>
        </row>
        <row r="274">
          <cell r="B274" t="str">
            <v>Определение свинца (Рb)  в пищевых продуктах</v>
          </cell>
        </row>
        <row r="275">
          <cell r="B275" t="str">
            <v>Определение  кобальта</v>
          </cell>
        </row>
        <row r="276">
          <cell r="B276" t="str">
            <v>Определение олова Sn в пищевых продуктах </v>
          </cell>
        </row>
        <row r="277">
          <cell r="B277" t="str">
            <v>Определение хрома (Cr)  в напитках</v>
          </cell>
        </row>
        <row r="278">
          <cell r="B278" t="str">
            <v>Определение хинина</v>
          </cell>
        </row>
        <row r="279">
          <cell r="B279" t="str">
            <v>Определение селена</v>
          </cell>
        </row>
        <row r="280">
          <cell r="B280" t="str">
            <v>Соль пищевая </v>
          </cell>
        </row>
        <row r="281">
          <cell r="B281" t="str">
            <v> Определение органолептических показателей, гранулометрический состав</v>
          </cell>
        </row>
        <row r="282">
          <cell r="B282" t="str">
            <v> Определение влаги  ускоренным методом</v>
          </cell>
        </row>
        <row r="283">
          <cell r="B283" t="str">
            <v> Определение влаги  арбитражным методом</v>
          </cell>
        </row>
        <row r="284">
          <cell r="B284" t="str">
            <v>Определение ионов кальция</v>
          </cell>
        </row>
        <row r="285">
          <cell r="B285" t="str">
            <v>Определение нерастворимого в воде остатка </v>
          </cell>
        </row>
        <row r="286">
          <cell r="B286" t="str">
            <v>Определение магний-иона </v>
          </cell>
        </row>
        <row r="287">
          <cell r="B287" t="str">
            <v>Определение сульфат-иона</v>
          </cell>
        </row>
        <row r="288">
          <cell r="B288" t="str">
            <v>Определение калия йодистого в соли</v>
          </cell>
        </row>
        <row r="289">
          <cell r="B289" t="str">
            <v>Определение оксида железа </v>
          </cell>
        </row>
        <row r="290">
          <cell r="B290" t="str">
            <v>Определение хлор-иона </v>
          </cell>
        </row>
        <row r="291">
          <cell r="B291" t="str">
            <v>Определение свинца </v>
          </cell>
        </row>
        <row r="292">
          <cell r="B292" t="str">
            <v> Определение мышьяка </v>
          </cell>
        </row>
        <row r="293">
          <cell r="B293" t="str">
            <v>Определение кадмия</v>
          </cell>
        </row>
        <row r="294">
          <cell r="B294" t="str">
            <v>Определение  ртути</v>
          </cell>
        </row>
        <row r="295">
          <cell r="B295" t="str">
            <v>йод</v>
          </cell>
        </row>
        <row r="296">
          <cell r="B296" t="str">
            <v>массовая доля хлористого натрия</v>
          </cell>
        </row>
        <row r="297">
          <cell r="B297" t="str">
            <v>Чай черный, зеленый </v>
          </cell>
        </row>
        <row r="298">
          <cell r="B298" t="str">
            <v> Определение органолептических показателей</v>
          </cell>
        </row>
        <row r="299">
          <cell r="B299" t="str">
            <v> Определение влаги  ускоренным методом</v>
          </cell>
        </row>
        <row r="300">
          <cell r="B300" t="str">
            <v> Определение влаги  арбитражным методом</v>
          </cell>
        </row>
        <row r="301">
          <cell r="B301" t="str">
            <v> Определение золы </v>
          </cell>
        </row>
        <row r="302">
          <cell r="B302" t="str">
            <v> Определение танина</v>
          </cell>
        </row>
        <row r="303">
          <cell r="B303" t="str">
            <v> Определение кофеина</v>
          </cell>
        </row>
        <row r="304">
          <cell r="B304" t="str">
            <v> Определение массовой доли мелочи и металломагнитных примесей </v>
          </cell>
        </row>
        <row r="305">
          <cell r="B305" t="str">
            <v> Определение массовой доли водорастворимых веществ </v>
          </cell>
        </row>
        <row r="306">
          <cell r="B306" t="str">
            <v> Определение сырой клечатки</v>
          </cell>
        </row>
        <row r="307">
          <cell r="B307" t="str">
            <v> Определение экстрактивных веществ </v>
          </cell>
        </row>
        <row r="308">
          <cell r="B308" t="str">
            <v>Определение свинца </v>
          </cell>
        </row>
        <row r="309">
          <cell r="B309" t="str">
            <v> Определение мышьяка </v>
          </cell>
        </row>
        <row r="310">
          <cell r="B310" t="str">
            <v>Определение кадмия</v>
          </cell>
        </row>
        <row r="311">
          <cell r="B311" t="str">
            <v>Определение  ртути</v>
          </cell>
        </row>
        <row r="312">
          <cell r="B312" t="str">
            <v>Определение афлотоксина </v>
          </cell>
        </row>
        <row r="313">
          <cell r="B313" t="str">
            <v>Посторонние примеси</v>
          </cell>
        </row>
        <row r="314">
          <cell r="B314" t="str">
            <v>Дисперсность </v>
          </cell>
        </row>
        <row r="315">
          <cell r="B315" t="str">
            <v>Жир</v>
          </cell>
        </row>
        <row r="316">
          <cell r="B316" t="str">
            <v>Кофе</v>
          </cell>
        </row>
        <row r="317">
          <cell r="B317" t="str">
            <v> Определение органолептических показателей</v>
          </cell>
        </row>
        <row r="318">
          <cell r="B318" t="str">
            <v> Определение влаги  ускоренным методом</v>
          </cell>
        </row>
        <row r="319">
          <cell r="B319" t="str">
            <v> Определение влаги  арбитражным методом</v>
          </cell>
        </row>
        <row r="320">
          <cell r="B320" t="str">
            <v> Определение золы </v>
          </cell>
        </row>
        <row r="321">
          <cell r="B321" t="str">
            <v>Определение водородного показателя</v>
          </cell>
        </row>
        <row r="322">
          <cell r="B322" t="str">
            <v> Определение кофеина</v>
          </cell>
        </row>
        <row r="323">
          <cell r="B323" t="str">
            <v> Определение массовой доли  металломагнитных примесей </v>
          </cell>
        </row>
        <row r="324">
          <cell r="B324" t="str">
            <v>Определение полной растворимости </v>
          </cell>
        </row>
        <row r="325">
          <cell r="B325" t="str">
            <v>Определение экстрактивных веществ </v>
          </cell>
        </row>
        <row r="326">
          <cell r="B326" t="str">
            <v>Определение свинца </v>
          </cell>
        </row>
        <row r="327">
          <cell r="B327" t="str">
            <v> Определение мышьяка </v>
          </cell>
        </row>
        <row r="328">
          <cell r="B328" t="str">
            <v>Определение кадмия</v>
          </cell>
        </row>
        <row r="329">
          <cell r="B329" t="str">
            <v>Определение  ртути</v>
          </cell>
        </row>
        <row r="330">
          <cell r="B330" t="str">
            <v>Микотоксины</v>
          </cell>
        </row>
        <row r="331">
          <cell r="B331" t="str">
            <v> Какао,какао порошок </v>
          </cell>
        </row>
        <row r="332">
          <cell r="B332" t="str">
            <v> Определение органолептических показателей</v>
          </cell>
        </row>
        <row r="333">
          <cell r="B333" t="str">
            <v> Определение влаги  ускоренным методом</v>
          </cell>
        </row>
        <row r="334">
          <cell r="B334" t="str">
            <v> Определение влаги  арбитражным методом</v>
          </cell>
        </row>
        <row r="335">
          <cell r="B335" t="str">
            <v> Определение массовой доли жира ( по Герберу)</v>
          </cell>
        </row>
        <row r="336">
          <cell r="B336" t="str">
            <v> Определение жира (по Сокслету)</v>
          </cell>
        </row>
        <row r="337">
          <cell r="B337" t="str">
            <v>Определение водородного показателя</v>
          </cell>
        </row>
        <row r="338">
          <cell r="B338" t="str">
            <v> Определение золы </v>
          </cell>
        </row>
        <row r="339">
          <cell r="B339" t="str">
            <v> Определение массовой доли  металломагнитных примесей </v>
          </cell>
        </row>
        <row r="340">
          <cell r="B340" t="str">
            <v>Определение свинца </v>
          </cell>
        </row>
        <row r="341">
          <cell r="B341" t="str">
            <v> Определение мышьяка </v>
          </cell>
        </row>
        <row r="342">
          <cell r="B342" t="str">
            <v>Определение кадмия</v>
          </cell>
        </row>
        <row r="343">
          <cell r="B343" t="str">
            <v>Определение  ртути</v>
          </cell>
        </row>
        <row r="344">
          <cell r="B344" t="str">
            <v>Специи и пряности , ( в том числе дрожжи)</v>
          </cell>
        </row>
        <row r="345">
          <cell r="B345" t="str">
            <v> Определение органолептических показателей</v>
          </cell>
        </row>
        <row r="346">
          <cell r="B346" t="str">
            <v> Определение влаги  ускоренным методом</v>
          </cell>
        </row>
        <row r="347">
          <cell r="B347" t="str">
            <v> Определение влаги  арбитражным методом</v>
          </cell>
        </row>
        <row r="348">
          <cell r="B348" t="str">
            <v> Определение золы </v>
          </cell>
        </row>
        <row r="349">
          <cell r="B349" t="str">
            <v>Определение свинца </v>
          </cell>
        </row>
        <row r="350">
          <cell r="B350" t="str">
            <v> Определение мышьяка </v>
          </cell>
        </row>
        <row r="351">
          <cell r="B351" t="str">
            <v>Определение кадмия</v>
          </cell>
        </row>
        <row r="352">
          <cell r="B352" t="str">
            <v>Определение  ртути</v>
          </cell>
        </row>
        <row r="353">
          <cell r="B353" t="str">
            <v>  ДДУ, школы, специальный технические учебные заведения, больничные организации, организация охраны материнства и детства, предприятия общественого питания</v>
          </cell>
        </row>
        <row r="354">
          <cell r="B354" t="str">
            <v>Определение качества. термической обработки (варка, жарка, мясных и рыбных блюд) </v>
          </cell>
        </row>
        <row r="355">
          <cell r="B355" t="str">
            <v>Определение витамина С, лимонная кислота</v>
          </cell>
        </row>
        <row r="356">
          <cell r="B356" t="str">
            <v>Определение фритюрных жиров </v>
          </cell>
        </row>
        <row r="357">
          <cell r="B357" t="str">
            <v>Определение калорийности готовых блюд </v>
          </cell>
        </row>
        <row r="358">
          <cell r="B358" t="str">
            <v>(по показаниям ) Табак и табачные изделия, сигареты</v>
          </cell>
        </row>
        <row r="359">
          <cell r="B359" t="str">
            <v> Определение органолептических показателей</v>
          </cell>
        </row>
        <row r="360">
          <cell r="B360" t="str">
            <v>Определение влаги </v>
          </cell>
        </row>
        <row r="361">
          <cell r="B361" t="str">
            <v>Определение алкалоидов</v>
          </cell>
        </row>
        <row r="362">
          <cell r="B362" t="str">
            <v>Определение пыли</v>
          </cell>
        </row>
        <row r="363">
          <cell r="B363" t="str">
            <v>Определение никотина</v>
          </cell>
        </row>
        <row r="364">
          <cell r="B364" t="str">
            <v>БАДы</v>
          </cell>
        </row>
        <row r="365">
          <cell r="B365" t="str">
            <v>Определеие СТМ методом ИВ</v>
          </cell>
        </row>
        <row r="366">
          <cell r="B366" t="str">
            <v>Определеие СТМ методом ААС</v>
          </cell>
        </row>
        <row r="367">
          <cell r="B367" t="str">
            <v>Определение витаминов в пищевых продуктах методом ВЭЖХ. </v>
          </cell>
        </row>
        <row r="368">
          <cell r="B368" t="str">
            <v>Определение витаминов в пищевых продуктах колориметрическим методом.</v>
          </cell>
        </row>
        <row r="369">
          <cell r="B369" t="str">
            <v>Белка</v>
          </cell>
        </row>
        <row r="370">
          <cell r="B370" t="str">
            <v>Жира по Сокслету</v>
          </cell>
        </row>
        <row r="371">
          <cell r="B371" t="str">
            <v>Жира</v>
          </cell>
        </row>
        <row r="372">
          <cell r="B372" t="str">
            <v>Оксиметилфурфурол</v>
          </cell>
        </row>
        <row r="373">
          <cell r="B373" t="str">
            <v>Йод</v>
          </cell>
        </row>
        <row r="374">
          <cell r="B374" t="str">
            <v>Афлотоксин</v>
          </cell>
        </row>
        <row r="375">
          <cell r="B375" t="str">
            <v>Охратоксин</v>
          </cell>
        </row>
        <row r="376">
          <cell r="B376" t="str">
            <v>Зеараленон</v>
          </cell>
        </row>
        <row r="377">
          <cell r="B377" t="str">
            <v>Дезоксиваленол</v>
          </cell>
        </row>
      </sheetData>
      <sheetData sheetId="8"/>
      <sheetData sheetId="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ОБЩИЙ прейскурант"/>
      <sheetName val="сводн.данные"/>
      <sheetName val="общ.калькуляция"/>
      <sheetName val="мат.затр"/>
      <sheetName val="тарификация"/>
      <sheetName val="амортизация"/>
      <sheetName val="норма времени"/>
      <sheetName val="накл расходы"/>
    </sheetNames>
    <sheetDataSet>
      <sheetData sheetId="0"/>
      <sheetData sheetId="1"/>
      <sheetData sheetId="2"/>
      <sheetData sheetId="3"/>
      <sheetData sheetId="4"/>
      <sheetData sheetId="5"/>
      <sheetData sheetId="6">
        <row r="646">
          <cell r="D646">
            <v>90</v>
          </cell>
        </row>
        <row r="647">
          <cell r="D647">
            <v>340</v>
          </cell>
        </row>
        <row r="648">
          <cell r="D648">
            <v>310</v>
          </cell>
        </row>
        <row r="649">
          <cell r="D649">
            <v>260</v>
          </cell>
        </row>
        <row r="650">
          <cell r="D650">
            <v>320</v>
          </cell>
        </row>
        <row r="651">
          <cell r="D651">
            <v>280</v>
          </cell>
        </row>
        <row r="652">
          <cell r="D652">
            <v>260</v>
          </cell>
        </row>
        <row r="653">
          <cell r="D653">
            <v>260</v>
          </cell>
        </row>
        <row r="654">
          <cell r="D654">
            <v>280</v>
          </cell>
        </row>
        <row r="655">
          <cell r="D655">
            <v>270</v>
          </cell>
        </row>
        <row r="657">
          <cell r="D657">
            <v>340</v>
          </cell>
        </row>
        <row r="658">
          <cell r="D658">
            <v>310</v>
          </cell>
        </row>
        <row r="659">
          <cell r="D659">
            <v>260</v>
          </cell>
        </row>
        <row r="660">
          <cell r="D660">
            <v>280</v>
          </cell>
        </row>
        <row r="661">
          <cell r="D661">
            <v>260</v>
          </cell>
        </row>
        <row r="662">
          <cell r="D662">
            <v>280</v>
          </cell>
        </row>
        <row r="663">
          <cell r="D663">
            <v>280</v>
          </cell>
        </row>
        <row r="664">
          <cell r="D664">
            <v>340</v>
          </cell>
        </row>
        <row r="666">
          <cell r="D666">
            <v>260</v>
          </cell>
        </row>
        <row r="668">
          <cell r="D668">
            <v>260</v>
          </cell>
        </row>
        <row r="669">
          <cell r="D669">
            <v>260</v>
          </cell>
        </row>
        <row r="670">
          <cell r="D670">
            <v>320</v>
          </cell>
        </row>
        <row r="671">
          <cell r="D671">
            <v>330</v>
          </cell>
        </row>
        <row r="673">
          <cell r="D673">
            <v>260</v>
          </cell>
        </row>
        <row r="674">
          <cell r="D674">
            <v>260</v>
          </cell>
        </row>
        <row r="675">
          <cell r="D675">
            <v>260</v>
          </cell>
        </row>
        <row r="677">
          <cell r="D677">
            <v>260</v>
          </cell>
        </row>
        <row r="679">
          <cell r="D679">
            <v>260</v>
          </cell>
        </row>
        <row r="680">
          <cell r="D680">
            <v>260</v>
          </cell>
        </row>
        <row r="681">
          <cell r="D681">
            <v>260</v>
          </cell>
        </row>
        <row r="683">
          <cell r="D683">
            <v>260</v>
          </cell>
        </row>
        <row r="684">
          <cell r="D684">
            <v>280</v>
          </cell>
        </row>
        <row r="685">
          <cell r="D685">
            <v>290</v>
          </cell>
        </row>
        <row r="686">
          <cell r="D686">
            <v>260</v>
          </cell>
        </row>
        <row r="687">
          <cell r="D687">
            <v>320</v>
          </cell>
        </row>
        <row r="688">
          <cell r="D688">
            <v>280</v>
          </cell>
        </row>
        <row r="689">
          <cell r="D689">
            <v>310</v>
          </cell>
        </row>
        <row r="690">
          <cell r="D690">
            <v>260</v>
          </cell>
        </row>
        <row r="691">
          <cell r="D691">
            <v>290</v>
          </cell>
        </row>
        <row r="692">
          <cell r="D692">
            <v>280</v>
          </cell>
        </row>
        <row r="693">
          <cell r="D693">
            <v>340</v>
          </cell>
        </row>
        <row r="695">
          <cell r="D695">
            <v>25</v>
          </cell>
        </row>
        <row r="696">
          <cell r="D696">
            <v>30</v>
          </cell>
        </row>
        <row r="697">
          <cell r="D697">
            <v>260</v>
          </cell>
        </row>
        <row r="698">
          <cell r="D698">
            <v>30</v>
          </cell>
        </row>
        <row r="700">
          <cell r="D700">
            <v>280</v>
          </cell>
        </row>
        <row r="701">
          <cell r="D701">
            <v>260</v>
          </cell>
        </row>
        <row r="702">
          <cell r="D702">
            <v>260</v>
          </cell>
        </row>
        <row r="703">
          <cell r="D703">
            <v>260</v>
          </cell>
        </row>
        <row r="705">
          <cell r="D705">
            <v>280</v>
          </cell>
        </row>
        <row r="706">
          <cell r="D706">
            <v>340</v>
          </cell>
        </row>
        <row r="708">
          <cell r="D708">
            <v>310</v>
          </cell>
        </row>
        <row r="710">
          <cell r="D710">
            <v>340</v>
          </cell>
        </row>
        <row r="712">
          <cell r="D712">
            <v>340</v>
          </cell>
        </row>
        <row r="713">
          <cell r="D713">
            <v>260</v>
          </cell>
        </row>
        <row r="714">
          <cell r="D714">
            <v>260</v>
          </cell>
        </row>
        <row r="715">
          <cell r="D715">
            <v>340</v>
          </cell>
        </row>
        <row r="716">
          <cell r="D716">
            <v>310</v>
          </cell>
        </row>
        <row r="718">
          <cell r="D718">
            <v>340</v>
          </cell>
        </row>
        <row r="720">
          <cell r="D720">
            <v>280</v>
          </cell>
        </row>
      </sheetData>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ОБЩИЙ ПРЕЙСКУРАНТ"/>
      <sheetName val="сводные данные "/>
      <sheetName val="ОБЩ.КАЛЬКУЛЯЦИЯ"/>
      <sheetName val="тариф-ия"/>
      <sheetName val="расш.накл.расх."/>
      <sheetName val="аморт."/>
      <sheetName val="Расшифровка мат-ых затрат"/>
      <sheetName val="норма времени"/>
    </sheetNames>
    <sheetDataSet>
      <sheetData sheetId="0"/>
      <sheetData sheetId="1"/>
      <sheetData sheetId="2"/>
      <sheetData sheetId="3"/>
      <sheetData sheetId="4"/>
      <sheetData sheetId="5"/>
      <sheetData sheetId="6"/>
      <sheetData sheetId="7">
        <row r="15">
          <cell r="B15" t="str">
            <v>на территории жилой застрой, при отводе земельных участков под строительство, в жилых и общественных зданиях</v>
          </cell>
        </row>
        <row r="16">
          <cell r="B16" t="str">
            <v>Определение мощности дозы гамма излучения </v>
          </cell>
        </row>
        <row r="16">
          <cell r="D16">
            <v>16</v>
          </cell>
        </row>
        <row r="17">
          <cell r="B17" t="str">
            <v>Определение плотность потока радона и ДПР </v>
          </cell>
        </row>
        <row r="17">
          <cell r="D17">
            <v>90</v>
          </cell>
        </row>
        <row r="18">
          <cell r="B18" t="str">
            <v>Ренгенские кабинеты, кабинеты лучевой диагностики и терапии, организации использующие открытые ИИИ, рабочих мест</v>
          </cell>
        </row>
        <row r="19">
          <cell r="B19" t="str">
            <v>определение мощности дозы гамма ренгеновское излучения на рабочих местах</v>
          </cell>
        </row>
        <row r="19">
          <cell r="D19">
            <v>51</v>
          </cell>
        </row>
        <row r="20">
          <cell r="B20" t="str">
            <v>Измерения произведения поглощенной дозы на площадь рентгеновского излучения на выходе рентгеновского аппарата определения расчетным путем эффективной дозы</v>
          </cell>
        </row>
        <row r="20">
          <cell r="D20">
            <v>120</v>
          </cell>
        </row>
        <row r="22">
          <cell r="B22" t="str">
            <v>Воздух промышленных предприятий,  воздух рабочей зоны</v>
          </cell>
        </row>
        <row r="23">
          <cell r="B23" t="str">
            <v>Измерения уровни концентрации радона , ДПР торона</v>
          </cell>
        </row>
        <row r="23">
          <cell r="D23">
            <v>25</v>
          </cell>
        </row>
        <row r="24">
          <cell r="B24" t="str">
            <v>Определение суммарной альфа-бета активности</v>
          </cell>
        </row>
        <row r="24">
          <cell r="D24">
            <v>180</v>
          </cell>
        </row>
        <row r="25">
          <cell r="B25" t="str">
            <v>Атмосферный воздух, осадки, оседающая пыль (Мониторинг окружающей среды)</v>
          </cell>
        </row>
        <row r="26">
          <cell r="B26" t="str">
            <v>Определение суммарной альфа-бета активности</v>
          </cell>
        </row>
        <row r="26">
          <cell r="D26">
            <v>190</v>
          </cell>
        </row>
        <row r="27">
          <cell r="B27" t="str">
            <v>Определение  цезия - 137 </v>
          </cell>
        </row>
        <row r="27">
          <cell r="D27">
            <v>570</v>
          </cell>
        </row>
        <row r="28">
          <cell r="B28" t="str">
            <v>Определение стронция -90 </v>
          </cell>
        </row>
        <row r="28">
          <cell r="D28">
            <v>750</v>
          </cell>
        </row>
        <row r="29">
          <cell r="B29" t="str">
            <v>Определения свинца -210</v>
          </cell>
        </row>
        <row r="29">
          <cell r="D29">
            <v>540</v>
          </cell>
        </row>
        <row r="30">
          <cell r="B30" t="str">
            <v>Определения радия -226</v>
          </cell>
        </row>
        <row r="30">
          <cell r="D30">
            <v>550</v>
          </cell>
        </row>
        <row r="31">
          <cell r="B31" t="str">
            <v> Горнодобывающее,  Уранодобывающие предприятия, организации использующие ИИИ</v>
          </cell>
        </row>
        <row r="32">
          <cell r="B32" t="str">
            <v>Измерения массовой концентрации аэрозолей</v>
          </cell>
        </row>
        <row r="32">
          <cell r="D32">
            <v>90</v>
          </cell>
        </row>
        <row r="33">
          <cell r="B33" t="str">
            <v>Измерения альфа - излучения</v>
          </cell>
        </row>
        <row r="33">
          <cell r="D33">
            <v>20</v>
          </cell>
        </row>
        <row r="34">
          <cell r="B34" t="str">
            <v>Измерения гамма- излучения</v>
          </cell>
        </row>
        <row r="34">
          <cell r="D34">
            <v>16</v>
          </cell>
        </row>
        <row r="35">
          <cell r="B35" t="str">
            <v>Измерения бета - излучения</v>
          </cell>
        </row>
        <row r="35">
          <cell r="D35">
            <v>20</v>
          </cell>
        </row>
        <row r="36">
          <cell r="B36" t="str">
            <v>Измерение нейтронного излучения</v>
          </cell>
        </row>
        <row r="36">
          <cell r="D36">
            <v>16</v>
          </cell>
        </row>
        <row r="37">
          <cell r="B37" t="str">
            <v>Измерения рентгеновского излучения</v>
          </cell>
        </row>
        <row r="37">
          <cell r="D37">
            <v>25</v>
          </cell>
        </row>
        <row r="38">
          <cell r="B38" t="str">
            <v>Определение общей альфа - бета активности (методом мазков)</v>
          </cell>
        </row>
        <row r="38">
          <cell r="D38">
            <v>180</v>
          </cell>
        </row>
        <row r="39">
          <cell r="B39" t="str">
            <v>Определения отдельных радионуклидов в зависимости от типа загрязнения-гамма спектометрия</v>
          </cell>
        </row>
        <row r="39">
          <cell r="D39">
            <v>180</v>
          </cell>
        </row>
        <row r="40">
          <cell r="B40" t="str">
            <v>Определения отдельных радионуклидов в зависимости от типа загрязнения-бетта спектометрия</v>
          </cell>
        </row>
        <row r="40">
          <cell r="D40">
            <v>180</v>
          </cell>
        </row>
        <row r="41">
          <cell r="B41" t="str">
            <v>Топливное сырье; Нефть продукты ее переработки и промышленные отходы; сырье , материалы и изделия; Минеральные удобрения; Строительные материалы; Ювилирные изделия</v>
          </cell>
        </row>
        <row r="42">
          <cell r="B42" t="str">
            <v>Определение удельной активности радионуклидов</v>
          </cell>
        </row>
        <row r="43">
          <cell r="B43" t="str">
            <v>Пищевый продукты, Лекарственные растения , (сухие, жидкие, бальзамы, настойки), древесное сырье (спектрометрическим методом)</v>
          </cell>
        </row>
        <row r="44">
          <cell r="B44" t="str">
            <v>Определение цезия -137</v>
          </cell>
        </row>
        <row r="44">
          <cell r="D44">
            <v>50</v>
          </cell>
        </row>
        <row r="45">
          <cell r="B45" t="str">
            <v>Определение стронций-90</v>
          </cell>
        </row>
        <row r="45">
          <cell r="D45">
            <v>50</v>
          </cell>
        </row>
        <row r="46">
          <cell r="B46" t="str">
            <v>Почва</v>
          </cell>
        </row>
        <row r="47">
          <cell r="B47" t="str">
            <v>Определениеудельной активности радионуклидов ( цезия -137, калия -40, тория -232, радия -226)</v>
          </cell>
        </row>
        <row r="47">
          <cell r="D47">
            <v>50</v>
          </cell>
        </row>
        <row r="48">
          <cell r="B48" t="str">
            <v>Определение суммарной альфа-бета активности</v>
          </cell>
        </row>
        <row r="48">
          <cell r="D48">
            <v>190</v>
          </cell>
        </row>
        <row r="54">
          <cell r="B54" t="str">
            <v>Исследование воды (вода открытых источников,водоемов, подземных вод, вода из скважин, вода питьевая)</v>
          </cell>
        </row>
        <row r="55">
          <cell r="B55" t="str">
            <v>Определение суммарной альфа и бета активности  радионуклидов:</v>
          </cell>
        </row>
        <row r="55">
          <cell r="D55">
            <v>180</v>
          </cell>
        </row>
        <row r="56">
          <cell r="B56" t="str">
            <v>Определение  цезия - 137 </v>
          </cell>
        </row>
        <row r="57">
          <cell r="B57" t="str">
            <v>Определение стронция -90 </v>
          </cell>
        </row>
        <row r="59">
          <cell r="B59" t="str">
            <v>Определение  тория 232, фотоколориметрическим методом</v>
          </cell>
        </row>
        <row r="59">
          <cell r="D59">
            <v>180</v>
          </cell>
        </row>
        <row r="60">
          <cell r="B60" t="str">
            <v>Определение радия (226) </v>
          </cell>
        </row>
        <row r="61">
          <cell r="B61" t="str">
            <v>Определение радия (228) </v>
          </cell>
        </row>
        <row r="63">
          <cell r="B63" t="str">
            <v>Определение содерджания: Урана (фотоколориметрическим методом )</v>
          </cell>
        </row>
        <row r="63">
          <cell r="D63">
            <v>150</v>
          </cell>
        </row>
        <row r="64">
          <cell r="B64" t="str">
            <v>Определение удельной активности  полония-210 </v>
          </cell>
        </row>
        <row r="64">
          <cell r="D64">
            <v>650</v>
          </cell>
        </row>
        <row r="65">
          <cell r="B65" t="str">
            <v>Определение удельной активности  свинца210 </v>
          </cell>
        </row>
        <row r="66">
          <cell r="B66" t="str">
            <v>измерение радона </v>
          </cell>
        </row>
        <row r="66">
          <cell r="D66">
            <v>55</v>
          </cell>
        </row>
        <row r="71">
          <cell r="B71" t="str">
            <v>Определение доз облучения персонала </v>
          </cell>
        </row>
        <row r="72">
          <cell r="B72" t="str">
            <v>Измерение индивидуальной дозы облучения персонала</v>
          </cell>
        </row>
        <row r="80">
          <cell r="B80" t="str">
            <v>Пищевые продукты</v>
          </cell>
        </row>
        <row r="81">
          <cell r="B81" t="str">
            <v>определения факта облучения пищевых продуктов</v>
          </cell>
        </row>
        <row r="81">
          <cell r="D81">
            <v>80</v>
          </cell>
        </row>
      </sheetData>
    </sheetDataSet>
  </externalBook>
</externalLink>
</file>

<file path=xl/theme/theme1.xml><?xml version="1.0" encoding="utf-8"?>
<a:theme xmlns:a="http://schemas.openxmlformats.org/drawingml/2006/main" xmlns:r="http://schemas.openxmlformats.org/officeDocument/2006/relationships"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vmlDrawing" Target="../drawings/vmlDrawing1.vml"/>
</Relationships>
</file>

<file path=xl/worksheets/_rels/sheet6.xml.rels><?xml version="1.0" encoding="UTF-8"?>
<Relationships xmlns="http://schemas.openxmlformats.org/package/2006/relationships"><Relationship Id="rId1" Type="http://schemas.openxmlformats.org/officeDocument/2006/relationships/drawing" Target="../drawings/drawing2.xml"/>
</Relationships>
</file>

<file path=xl/worksheets/_rels/sheet7.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L168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4" topLeftCell="A1583" activePane="bottomLeft" state="frozen"/>
      <selection pane="topLeft" activeCell="A1" activeCellId="0" sqref="A1"/>
      <selection pane="bottomLeft" activeCell="A1655" activeCellId="0" sqref="A1655"/>
    </sheetView>
  </sheetViews>
  <sheetFormatPr defaultColWidth="9.1484375" defaultRowHeight="15" zeroHeight="false" outlineLevelRow="0" outlineLevelCol="0"/>
  <cols>
    <col collapsed="false" customWidth="true" hidden="false" outlineLevel="0" max="1" min="1" style="1" width="9.71"/>
    <col collapsed="false" customWidth="true" hidden="false" outlineLevel="0" max="2" min="2" style="2" width="51.42"/>
    <col collapsed="false" customWidth="true" hidden="false" outlineLevel="0" max="3" min="3" style="3" width="31.86"/>
    <col collapsed="false" customWidth="true" hidden="false" outlineLevel="0" max="4" min="4" style="3" width="38.86"/>
    <col collapsed="false" customWidth="true" hidden="true" outlineLevel="0" max="5" min="5" style="4" width="19"/>
    <col collapsed="false" customWidth="true" hidden="true" outlineLevel="0" max="6" min="6" style="2" width="22.86"/>
    <col collapsed="false" customWidth="true" hidden="true" outlineLevel="0" max="7" min="7" style="2" width="23"/>
    <col collapsed="false" customWidth="true" hidden="false" outlineLevel="0" max="8" min="8" style="2" width="14.42"/>
    <col collapsed="false" customWidth="false" hidden="false" outlineLevel="0" max="16384" min="9" style="2" width="9.14"/>
  </cols>
  <sheetData>
    <row r="1" customFormat="false" ht="15" hidden="false" customHeight="false" outlineLevel="0" collapsed="false">
      <c r="D1" s="5" t="s">
        <v>0</v>
      </c>
    </row>
    <row r="2" customFormat="false" ht="15" hidden="false" customHeight="false" outlineLevel="0" collapsed="false">
      <c r="A2" s="6" t="s">
        <v>1</v>
      </c>
      <c r="B2" s="6"/>
      <c r="C2" s="6"/>
      <c r="D2" s="6"/>
    </row>
    <row r="3" customFormat="false" ht="17.25" hidden="false" customHeight="true" outlineLevel="0" collapsed="false">
      <c r="A3" s="6" t="s">
        <v>2</v>
      </c>
      <c r="B3" s="6"/>
      <c r="C3" s="6"/>
      <c r="D3" s="6"/>
    </row>
    <row r="4" customFormat="false" ht="44.25" hidden="false" customHeight="true" outlineLevel="0" collapsed="false">
      <c r="A4" s="7" t="s">
        <v>3</v>
      </c>
      <c r="B4" s="7" t="s">
        <v>4</v>
      </c>
      <c r="C4" s="8" t="s">
        <v>5</v>
      </c>
      <c r="D4" s="9" t="s">
        <v>6</v>
      </c>
      <c r="E4" s="8" t="s">
        <v>7</v>
      </c>
      <c r="F4" s="8" t="s">
        <v>8</v>
      </c>
      <c r="G4" s="8" t="s">
        <v>9</v>
      </c>
    </row>
    <row r="5" customFormat="false" ht="42.75" hidden="false" customHeight="false" outlineLevel="0" collapsed="false">
      <c r="A5" s="10" t="n">
        <v>1</v>
      </c>
      <c r="B5" s="11" t="s">
        <v>10</v>
      </c>
      <c r="C5" s="12"/>
      <c r="D5" s="12"/>
      <c r="E5" s="13"/>
      <c r="F5" s="14"/>
      <c r="G5" s="14"/>
    </row>
    <row r="6" customFormat="false" ht="128.25" hidden="false" customHeight="true" outlineLevel="0" collapsed="false">
      <c r="A6" s="15" t="s">
        <v>11</v>
      </c>
      <c r="B6" s="16" t="s">
        <v>12</v>
      </c>
      <c r="C6" s="17"/>
      <c r="D6" s="17"/>
      <c r="E6" s="18"/>
      <c r="F6" s="19"/>
      <c r="G6" s="19"/>
    </row>
    <row r="7" customFormat="false" ht="15" hidden="false" customHeight="false" outlineLevel="0" collapsed="false">
      <c r="A7" s="20" t="s">
        <v>13</v>
      </c>
      <c r="B7" s="21" t="s">
        <v>14</v>
      </c>
      <c r="C7" s="8" t="s">
        <v>15</v>
      </c>
      <c r="D7" s="22" t="e">
        <f aca="false">сводн.данные!n12</f>
        <v>#NAME?</v>
      </c>
      <c r="E7" s="23" t="n">
        <v>364.953198357098</v>
      </c>
      <c r="F7" s="24" t="n">
        <v>270</v>
      </c>
      <c r="G7" s="24" t="e">
        <f aca="false">D7-E7</f>
        <v>#NAME?</v>
      </c>
    </row>
    <row r="8" customFormat="false" ht="15" hidden="false" customHeight="false" outlineLevel="0" collapsed="false">
      <c r="A8" s="20" t="s">
        <v>16</v>
      </c>
      <c r="B8" s="21" t="s">
        <v>17</v>
      </c>
      <c r="C8" s="8" t="s">
        <v>15</v>
      </c>
      <c r="D8" s="22" t="e">
        <f aca="false">сводн.данные!n13</f>
        <v>#NAME?</v>
      </c>
      <c r="E8" s="23" t="n">
        <v>364.953198357098</v>
      </c>
      <c r="F8" s="24" t="n">
        <v>270</v>
      </c>
      <c r="G8" s="24" t="e">
        <f aca="false">D8-E8</f>
        <v>#NAME?</v>
      </c>
    </row>
    <row r="9" customFormat="false" ht="15" hidden="false" customHeight="false" outlineLevel="0" collapsed="false">
      <c r="A9" s="20" t="s">
        <v>18</v>
      </c>
      <c r="B9" s="21" t="s">
        <v>19</v>
      </c>
      <c r="C9" s="8" t="s">
        <v>15</v>
      </c>
      <c r="D9" s="22" t="e">
        <f aca="false">сводн.данные!n14</f>
        <v>#NAME?</v>
      </c>
      <c r="E9" s="23" t="n">
        <v>427.826275058141</v>
      </c>
      <c r="F9" s="24" t="n">
        <v>750</v>
      </c>
      <c r="G9" s="24" t="e">
        <f aca="false">D9-E9</f>
        <v>#NAME?</v>
      </c>
    </row>
    <row r="10" customFormat="false" ht="15" hidden="false" customHeight="false" outlineLevel="0" collapsed="false">
      <c r="A10" s="20" t="s">
        <v>20</v>
      </c>
      <c r="B10" s="21" t="s">
        <v>21</v>
      </c>
      <c r="C10" s="8" t="s">
        <v>15</v>
      </c>
      <c r="D10" s="22" t="e">
        <f aca="false">сводн.данные!n15</f>
        <v>#NAME?</v>
      </c>
      <c r="E10" s="23" t="n">
        <v>1767.41704271</v>
      </c>
      <c r="F10" s="24" t="n">
        <v>375</v>
      </c>
      <c r="G10" s="24" t="e">
        <f aca="false">D10-E10</f>
        <v>#NAME?</v>
      </c>
    </row>
    <row r="11" customFormat="false" ht="15" hidden="false" customHeight="false" outlineLevel="0" collapsed="false">
      <c r="A11" s="20" t="s">
        <v>22</v>
      </c>
      <c r="B11" s="21" t="s">
        <v>23</v>
      </c>
      <c r="C11" s="8" t="s">
        <v>15</v>
      </c>
      <c r="D11" s="22" t="e">
        <f aca="false">сводн.данные!n16</f>
        <v>#NAME?</v>
      </c>
      <c r="E11" s="23" t="n">
        <v>1288.25208220318</v>
      </c>
      <c r="F11" s="24" t="n">
        <v>750</v>
      </c>
      <c r="G11" s="24" t="e">
        <f aca="false">D11-E11</f>
        <v>#NAME?</v>
      </c>
    </row>
    <row r="12" customFormat="false" ht="15" hidden="false" customHeight="false" outlineLevel="0" collapsed="false">
      <c r="A12" s="20" t="s">
        <v>24</v>
      </c>
      <c r="B12" s="21" t="s">
        <v>25</v>
      </c>
      <c r="C12" s="8" t="s">
        <v>15</v>
      </c>
      <c r="D12" s="22" t="e">
        <f aca="false">сводн.данные!n17</f>
        <v>#NAME?</v>
      </c>
      <c r="E12" s="23" t="n">
        <v>1429.68102268058</v>
      </c>
      <c r="F12" s="24" t="n">
        <v>1810</v>
      </c>
      <c r="G12" s="24" t="e">
        <f aca="false">D12-E12</f>
        <v>#NAME?</v>
      </c>
    </row>
    <row r="13" customFormat="false" ht="15" hidden="false" customHeight="false" outlineLevel="0" collapsed="false">
      <c r="A13" s="20" t="s">
        <v>26</v>
      </c>
      <c r="B13" s="25" t="s">
        <v>27</v>
      </c>
      <c r="C13" s="8" t="s">
        <v>15</v>
      </c>
      <c r="D13" s="22" t="e">
        <f aca="false">сводн.данные!n18</f>
        <v>#NAME?</v>
      </c>
      <c r="E13" s="23" t="n">
        <v>1749</v>
      </c>
      <c r="F13" s="24" t="n">
        <v>470</v>
      </c>
      <c r="G13" s="24" t="e">
        <f aca="false">D13-E13</f>
        <v>#NAME?</v>
      </c>
    </row>
    <row r="14" customFormat="false" ht="15" hidden="false" customHeight="false" outlineLevel="0" collapsed="false">
      <c r="A14" s="20" t="s">
        <v>28</v>
      </c>
      <c r="B14" s="25" t="s">
        <v>29</v>
      </c>
      <c r="C14" s="8" t="s">
        <v>15</v>
      </c>
      <c r="D14" s="22" t="e">
        <f aca="false">сводн.данные!n19</f>
        <v>#NAME?</v>
      </c>
      <c r="E14" s="23" t="n">
        <v>1625.81866015404</v>
      </c>
      <c r="F14" s="24" t="n">
        <v>385</v>
      </c>
      <c r="G14" s="24" t="e">
        <f aca="false">D14-E14</f>
        <v>#NAME?</v>
      </c>
    </row>
    <row r="15" customFormat="false" ht="15" hidden="false" customHeight="false" outlineLevel="0" collapsed="false">
      <c r="A15" s="20" t="s">
        <v>30</v>
      </c>
      <c r="B15" s="25" t="s">
        <v>31</v>
      </c>
      <c r="C15" s="8" t="s">
        <v>15</v>
      </c>
      <c r="D15" s="22" t="e">
        <f aca="false">сводн.данные!n20</f>
        <v>#NAME?</v>
      </c>
      <c r="E15" s="23" t="n">
        <v>1353.86866111619</v>
      </c>
      <c r="F15" s="24" t="n">
        <v>1200</v>
      </c>
      <c r="G15" s="24" t="e">
        <f aca="false">D15-E15</f>
        <v>#NAME?</v>
      </c>
    </row>
    <row r="16" customFormat="false" ht="15" hidden="false" customHeight="false" outlineLevel="0" collapsed="false">
      <c r="A16" s="20" t="s">
        <v>32</v>
      </c>
      <c r="B16" s="25" t="s">
        <v>33</v>
      </c>
      <c r="C16" s="8" t="s">
        <v>15</v>
      </c>
      <c r="D16" s="22" t="e">
        <f aca="false">сводн.данные!n21</f>
        <v>#NAME?</v>
      </c>
      <c r="E16" s="23" t="n">
        <v>1556.8468675766</v>
      </c>
      <c r="F16" s="24" t="n">
        <v>350</v>
      </c>
      <c r="G16" s="24" t="e">
        <f aca="false">D16-E16</f>
        <v>#NAME?</v>
      </c>
    </row>
    <row r="17" customFormat="false" ht="15" hidden="false" customHeight="false" outlineLevel="0" collapsed="false">
      <c r="A17" s="20" t="s">
        <v>34</v>
      </c>
      <c r="B17" s="25" t="s">
        <v>35</v>
      </c>
      <c r="C17" s="8" t="s">
        <v>15</v>
      </c>
      <c r="D17" s="22" t="e">
        <f aca="false">сводн.данные!n22</f>
        <v>#NAME?</v>
      </c>
      <c r="E17" s="23" t="n">
        <v>1313.47994427764</v>
      </c>
      <c r="F17" s="24" t="n">
        <v>950</v>
      </c>
      <c r="G17" s="24" t="e">
        <f aca="false">D17-E17</f>
        <v>#NAME?</v>
      </c>
    </row>
    <row r="18" customFormat="false" ht="15" hidden="false" customHeight="false" outlineLevel="0" collapsed="false">
      <c r="A18" s="20" t="s">
        <v>36</v>
      </c>
      <c r="B18" s="25" t="s">
        <v>37</v>
      </c>
      <c r="C18" s="8" t="s">
        <v>15</v>
      </c>
      <c r="D18" s="22" t="e">
        <f aca="false">сводн.данные!n23</f>
        <v>#NAME?</v>
      </c>
      <c r="E18" s="23" t="n">
        <v>1543.12517438077</v>
      </c>
      <c r="F18" s="24" t="n">
        <v>565</v>
      </c>
      <c r="G18" s="24" t="e">
        <f aca="false">D18-E18</f>
        <v>#NAME?</v>
      </c>
    </row>
    <row r="19" customFormat="false" ht="15" hidden="false" customHeight="false" outlineLevel="0" collapsed="false">
      <c r="A19" s="20" t="s">
        <v>38</v>
      </c>
      <c r="B19" s="25" t="s">
        <v>39</v>
      </c>
      <c r="C19" s="8" t="s">
        <v>15</v>
      </c>
      <c r="D19" s="22" t="e">
        <f aca="false">сводн.данные!n24</f>
        <v>#NAME?</v>
      </c>
      <c r="E19" s="23" t="n">
        <v>2345.23606304726</v>
      </c>
      <c r="F19" s="24" t="n">
        <v>1200</v>
      </c>
      <c r="G19" s="24" t="e">
        <f aca="false">D19-E19</f>
        <v>#NAME?</v>
      </c>
    </row>
    <row r="20" customFormat="false" ht="15" hidden="false" customHeight="false" outlineLevel="0" collapsed="false">
      <c r="A20" s="20" t="s">
        <v>40</v>
      </c>
      <c r="B20" s="25" t="s">
        <v>41</v>
      </c>
      <c r="C20" s="8" t="s">
        <v>15</v>
      </c>
      <c r="D20" s="22" t="e">
        <f aca="false">сводн.данные!n25</f>
        <v>#NAME?</v>
      </c>
      <c r="E20" s="23" t="n">
        <v>1957</v>
      </c>
      <c r="F20" s="24" t="n">
        <v>380</v>
      </c>
      <c r="G20" s="24" t="e">
        <f aca="false">D20-E20</f>
        <v>#NAME?</v>
      </c>
    </row>
    <row r="21" customFormat="false" ht="15" hidden="false" customHeight="false" outlineLevel="0" collapsed="false">
      <c r="A21" s="20" t="s">
        <v>42</v>
      </c>
      <c r="B21" s="25" t="s">
        <v>43</v>
      </c>
      <c r="C21" s="8" t="s">
        <v>15</v>
      </c>
      <c r="D21" s="22" t="e">
        <f aca="false">сводн.данные!n26</f>
        <v>#NAME?</v>
      </c>
      <c r="E21" s="23" t="n">
        <v>1567.13998746872</v>
      </c>
      <c r="F21" s="24" t="n">
        <v>605</v>
      </c>
      <c r="G21" s="24" t="e">
        <f aca="false">D21-E21</f>
        <v>#NAME?</v>
      </c>
    </row>
    <row r="22" customFormat="false" ht="15" hidden="false" customHeight="false" outlineLevel="0" collapsed="false">
      <c r="A22" s="20" t="s">
        <v>44</v>
      </c>
      <c r="B22" s="25" t="s">
        <v>45</v>
      </c>
      <c r="C22" s="8" t="s">
        <v>15</v>
      </c>
      <c r="D22" s="22" t="e">
        <f aca="false">сводн.данные!n27</f>
        <v>#NAME?</v>
      </c>
      <c r="E22" s="23" t="n">
        <v>1836.72452613996</v>
      </c>
      <c r="F22" s="24" t="n">
        <v>770</v>
      </c>
      <c r="G22" s="24" t="e">
        <f aca="false">D22-E22</f>
        <v>#NAME?</v>
      </c>
    </row>
    <row r="23" customFormat="false" ht="15" hidden="false" customHeight="false" outlineLevel="0" collapsed="false">
      <c r="A23" s="20" t="s">
        <v>46</v>
      </c>
      <c r="B23" s="25" t="s">
        <v>47</v>
      </c>
      <c r="C23" s="8" t="s">
        <v>15</v>
      </c>
      <c r="D23" s="22" t="e">
        <f aca="false">сводн.данные!n28</f>
        <v>#NAME?</v>
      </c>
      <c r="E23" s="23" t="n">
        <v>1591.48088866649</v>
      </c>
      <c r="F23" s="24" t="n">
        <v>1380</v>
      </c>
      <c r="G23" s="24" t="e">
        <f aca="false">D23-E23</f>
        <v>#NAME?</v>
      </c>
    </row>
    <row r="24" customFormat="false" ht="15" hidden="false" customHeight="false" outlineLevel="0" collapsed="false">
      <c r="A24" s="20" t="s">
        <v>48</v>
      </c>
      <c r="B24" s="25" t="s">
        <v>49</v>
      </c>
      <c r="C24" s="8" t="s">
        <v>15</v>
      </c>
      <c r="D24" s="22" t="e">
        <f aca="false">сводн.данные!n29</f>
        <v>#NAME?</v>
      </c>
      <c r="E24" s="23" t="n">
        <v>1301.73958175111</v>
      </c>
      <c r="F24" s="24" t="n">
        <v>515</v>
      </c>
      <c r="G24" s="24" t="e">
        <f aca="false">D24-E24</f>
        <v>#NAME?</v>
      </c>
    </row>
    <row r="25" customFormat="false" ht="15" hidden="false" customHeight="false" outlineLevel="0" collapsed="false">
      <c r="A25" s="20" t="s">
        <v>50</v>
      </c>
      <c r="B25" s="25" t="s">
        <v>51</v>
      </c>
      <c r="C25" s="8" t="s">
        <v>15</v>
      </c>
      <c r="D25" s="22" t="e">
        <f aca="false">сводн.данные!n30</f>
        <v>#NAME?</v>
      </c>
      <c r="E25" s="23" t="n">
        <v>2110.82978798912</v>
      </c>
      <c r="F25" s="24" t="n">
        <v>515</v>
      </c>
      <c r="G25" s="24" t="e">
        <f aca="false">D25-E25</f>
        <v>#NAME?</v>
      </c>
    </row>
    <row r="26" customFormat="false" ht="15" hidden="false" customHeight="false" outlineLevel="0" collapsed="false">
      <c r="A26" s="20" t="s">
        <v>52</v>
      </c>
      <c r="B26" s="25" t="s">
        <v>53</v>
      </c>
      <c r="C26" s="8" t="s">
        <v>15</v>
      </c>
      <c r="D26" s="22" t="e">
        <f aca="false">сводн.данные!n31</f>
        <v>#NAME?</v>
      </c>
      <c r="E26" s="23" t="n">
        <v>1485.89902097869</v>
      </c>
      <c r="F26" s="24" t="n">
        <v>540</v>
      </c>
      <c r="G26" s="24" t="e">
        <f aca="false">D26-E26</f>
        <v>#NAME?</v>
      </c>
    </row>
    <row r="27" customFormat="false" ht="15" hidden="false" customHeight="false" outlineLevel="0" collapsed="false">
      <c r="A27" s="20" t="s">
        <v>54</v>
      </c>
      <c r="B27" s="25" t="s">
        <v>55</v>
      </c>
      <c r="C27" s="8" t="s">
        <v>15</v>
      </c>
      <c r="D27" s="26" t="e">
        <f aca="false">сводн.данные!n32</f>
        <v>#NAME?</v>
      </c>
      <c r="E27" s="23" t="n">
        <v>2188.70363458703</v>
      </c>
      <c r="F27" s="24" t="n">
        <v>410</v>
      </c>
      <c r="G27" s="24" t="e">
        <f aca="false">D27-E27</f>
        <v>#NAME?</v>
      </c>
    </row>
    <row r="28" customFormat="false" ht="15" hidden="false" customHeight="false" outlineLevel="0" collapsed="false">
      <c r="A28" s="20" t="s">
        <v>56</v>
      </c>
      <c r="B28" s="25" t="s">
        <v>57</v>
      </c>
      <c r="C28" s="8" t="s">
        <v>15</v>
      </c>
      <c r="D28" s="26" t="e">
        <f aca="false">сводн.данные!n33</f>
        <v>#NAME?</v>
      </c>
      <c r="E28" s="23" t="n">
        <v>1530.83902097869</v>
      </c>
      <c r="F28" s="24" t="n">
        <v>550</v>
      </c>
      <c r="G28" s="24" t="e">
        <f aca="false">D28-E28</f>
        <v>#NAME?</v>
      </c>
    </row>
    <row r="29" customFormat="false" ht="15" hidden="false" customHeight="false" outlineLevel="0" collapsed="false">
      <c r="A29" s="20" t="s">
        <v>58</v>
      </c>
      <c r="B29" s="25" t="s">
        <v>59</v>
      </c>
      <c r="C29" s="8" t="s">
        <v>15</v>
      </c>
      <c r="D29" s="26" t="e">
        <f aca="false">сводн.данные!n34</f>
        <v>#NAME?</v>
      </c>
      <c r="E29" s="23" t="n">
        <v>2085.94517438077</v>
      </c>
      <c r="F29" s="24" t="n">
        <v>550</v>
      </c>
      <c r="G29" s="24" t="e">
        <f aca="false">D29-E29</f>
        <v>#NAME?</v>
      </c>
    </row>
    <row r="30" customFormat="false" ht="15" hidden="false" customHeight="false" outlineLevel="0" collapsed="false">
      <c r="A30" s="20" t="s">
        <v>60</v>
      </c>
      <c r="B30" s="25" t="s">
        <v>61</v>
      </c>
      <c r="C30" s="8" t="s">
        <v>15</v>
      </c>
      <c r="D30" s="26" t="e">
        <f aca="false">сводн.данные!n35</f>
        <v>#NAME?</v>
      </c>
      <c r="E30" s="23" t="n">
        <v>1847.23748118494</v>
      </c>
      <c r="F30" s="24" t="n">
        <v>550</v>
      </c>
      <c r="G30" s="24" t="e">
        <f aca="false">D30-E30</f>
        <v>#NAME?</v>
      </c>
    </row>
    <row r="31" customFormat="false" ht="15" hidden="false" customHeight="false" outlineLevel="0" collapsed="false">
      <c r="A31" s="20" t="s">
        <v>62</v>
      </c>
      <c r="B31" s="25" t="s">
        <v>63</v>
      </c>
      <c r="C31" s="8" t="s">
        <v>15</v>
      </c>
      <c r="D31" s="26" t="e">
        <f aca="false">сводн.данные!n36</f>
        <v>#NAME?</v>
      </c>
      <c r="E31" s="23" t="n">
        <v>2116.10517438077</v>
      </c>
      <c r="F31" s="24" t="n">
        <v>550</v>
      </c>
      <c r="G31" s="24" t="e">
        <f aca="false">D31-E31</f>
        <v>#NAME?</v>
      </c>
    </row>
    <row r="32" customFormat="false" ht="15" hidden="false" customHeight="false" outlineLevel="0" collapsed="false">
      <c r="A32" s="20" t="s">
        <v>64</v>
      </c>
      <c r="B32" s="25" t="s">
        <v>65</v>
      </c>
      <c r="C32" s="8" t="s">
        <v>15</v>
      </c>
      <c r="D32" s="26" t="e">
        <f aca="false">сводн.данные!n37</f>
        <v>#NAME?</v>
      </c>
      <c r="E32" s="23" t="n">
        <v>1838.45132842429</v>
      </c>
      <c r="F32" s="24" t="n">
        <v>550</v>
      </c>
      <c r="G32" s="24" t="e">
        <f aca="false">D32-E32</f>
        <v>#NAME?</v>
      </c>
    </row>
    <row r="33" customFormat="false" ht="15" hidden="false" customHeight="false" outlineLevel="0" collapsed="false">
      <c r="A33" s="20" t="s">
        <v>66</v>
      </c>
      <c r="B33" s="25" t="s">
        <v>67</v>
      </c>
      <c r="C33" s="8" t="s">
        <v>15</v>
      </c>
      <c r="D33" s="26" t="e">
        <f aca="false">сводн.данные!n38</f>
        <v>#NAME?</v>
      </c>
      <c r="E33" s="23" t="n">
        <v>3583.75440288032</v>
      </c>
      <c r="F33" s="24" t="n">
        <v>620</v>
      </c>
      <c r="G33" s="24" t="e">
        <f aca="false">D33-E33</f>
        <v>#NAME?</v>
      </c>
    </row>
    <row r="34" customFormat="false" ht="15" hidden="false" customHeight="false" outlineLevel="0" collapsed="false">
      <c r="A34" s="20" t="s">
        <v>68</v>
      </c>
      <c r="B34" s="25" t="s">
        <v>69</v>
      </c>
      <c r="C34" s="8" t="s">
        <v>15</v>
      </c>
      <c r="D34" s="22" t="e">
        <f aca="false">сводн.данные!n39</f>
        <v>#NAME?</v>
      </c>
      <c r="E34" s="27" t="n">
        <v>5051.1922246174</v>
      </c>
      <c r="F34" s="24" t="n">
        <v>1470</v>
      </c>
      <c r="G34" s="24" t="e">
        <f aca="false">D34-E34</f>
        <v>#NAME?</v>
      </c>
    </row>
    <row r="35" customFormat="false" ht="15" hidden="false" customHeight="false" outlineLevel="0" collapsed="false">
      <c r="A35" s="20" t="s">
        <v>70</v>
      </c>
      <c r="B35" s="25" t="s">
        <v>71</v>
      </c>
      <c r="C35" s="8" t="s">
        <v>15</v>
      </c>
      <c r="D35" s="22" t="e">
        <f aca="false">сводн.данные!n40</f>
        <v>#NAME?</v>
      </c>
      <c r="E35" s="27" t="n">
        <v>4302.59978510268</v>
      </c>
      <c r="F35" s="24" t="n">
        <v>1370</v>
      </c>
      <c r="G35" s="24" t="e">
        <f aca="false">D35-E35</f>
        <v>#NAME?</v>
      </c>
    </row>
    <row r="36" customFormat="false" ht="15" hidden="false" customHeight="false" outlineLevel="0" collapsed="false">
      <c r="A36" s="20" t="s">
        <v>72</v>
      </c>
      <c r="B36" s="25" t="s">
        <v>73</v>
      </c>
      <c r="C36" s="8" t="s">
        <v>15</v>
      </c>
      <c r="D36" s="22" t="e">
        <f aca="false">сводн.данные!n41</f>
        <v>#NAME?</v>
      </c>
      <c r="E36" s="27" t="n">
        <v>4302.59978510268</v>
      </c>
      <c r="F36" s="24" t="n">
        <v>1370</v>
      </c>
      <c r="G36" s="24" t="e">
        <f aca="false">D36-E36</f>
        <v>#NAME?</v>
      </c>
    </row>
    <row r="37" customFormat="false" ht="30" hidden="false" customHeight="false" outlineLevel="0" collapsed="false">
      <c r="A37" s="20" t="s">
        <v>74</v>
      </c>
      <c r="B37" s="25" t="s">
        <v>75</v>
      </c>
      <c r="C37" s="8" t="s">
        <v>15</v>
      </c>
      <c r="D37" s="22" t="e">
        <f aca="false">сводн.данные!n42</f>
        <v>#NAME?</v>
      </c>
      <c r="E37" s="27" t="n">
        <v>7050.9013093047</v>
      </c>
      <c r="F37" s="24" t="n">
        <v>1585</v>
      </c>
      <c r="G37" s="24" t="e">
        <f aca="false">D37-E37</f>
        <v>#NAME?</v>
      </c>
    </row>
    <row r="38" customFormat="false" ht="15" hidden="false" customHeight="false" outlineLevel="0" collapsed="false">
      <c r="A38" s="20" t="s">
        <v>76</v>
      </c>
      <c r="B38" s="25" t="s">
        <v>77</v>
      </c>
      <c r="C38" s="8" t="s">
        <v>15</v>
      </c>
      <c r="D38" s="22" t="e">
        <f aca="false">сводн.данные!n43</f>
        <v>#NAME?</v>
      </c>
      <c r="E38" s="27" t="n">
        <v>4150.21221420434</v>
      </c>
      <c r="F38" s="24" t="n">
        <v>760</v>
      </c>
      <c r="G38" s="24" t="e">
        <f aca="false">D38-E38</f>
        <v>#NAME?</v>
      </c>
    </row>
    <row r="39" customFormat="false" ht="15" hidden="false" customHeight="false" outlineLevel="0" collapsed="false">
      <c r="A39" s="20" t="s">
        <v>78</v>
      </c>
      <c r="B39" s="25" t="s">
        <v>79</v>
      </c>
      <c r="C39" s="8" t="s">
        <v>15</v>
      </c>
      <c r="D39" s="22" t="e">
        <f aca="false">сводн.данные!n44</f>
        <v>#NAME?</v>
      </c>
      <c r="E39" s="27" t="n">
        <v>3677.76809989896</v>
      </c>
      <c r="F39" s="24" t="n">
        <v>1400</v>
      </c>
      <c r="G39" s="24" t="e">
        <f aca="false">D39-E39</f>
        <v>#NAME?</v>
      </c>
    </row>
    <row r="40" customFormat="false" ht="15" hidden="false" customHeight="false" outlineLevel="0" collapsed="false">
      <c r="A40" s="20" t="s">
        <v>80</v>
      </c>
      <c r="B40" s="25" t="s">
        <v>81</v>
      </c>
      <c r="C40" s="8" t="s">
        <v>15</v>
      </c>
      <c r="D40" s="22" t="e">
        <f aca="false">сводн.данные!n45</f>
        <v>#NAME?</v>
      </c>
      <c r="E40" s="27" t="n">
        <v>25086.0209893932</v>
      </c>
      <c r="F40" s="24" t="n">
        <v>0</v>
      </c>
      <c r="G40" s="24" t="e">
        <f aca="false">D40-E40</f>
        <v>#NAME?</v>
      </c>
    </row>
    <row r="41" customFormat="false" ht="15" hidden="false" customHeight="false" outlineLevel="0" collapsed="false">
      <c r="A41" s="20" t="s">
        <v>82</v>
      </c>
      <c r="B41" s="25" t="s">
        <v>83</v>
      </c>
      <c r="C41" s="8" t="s">
        <v>15</v>
      </c>
      <c r="D41" s="22" t="e">
        <f aca="false">сводн.данные!n46</f>
        <v>#NAME?</v>
      </c>
      <c r="E41" s="27" t="n">
        <v>2589.60567809882</v>
      </c>
      <c r="F41" s="24" t="n">
        <v>970</v>
      </c>
      <c r="G41" s="24" t="e">
        <f aca="false">D41-E41</f>
        <v>#NAME?</v>
      </c>
    </row>
    <row r="42" customFormat="false" ht="15" hidden="false" customHeight="false" outlineLevel="0" collapsed="false">
      <c r="A42" s="20" t="s">
        <v>84</v>
      </c>
      <c r="B42" s="25" t="s">
        <v>85</v>
      </c>
      <c r="C42" s="8" t="s">
        <v>15</v>
      </c>
      <c r="D42" s="22" t="e">
        <f aca="false">сводн.данные!n47</f>
        <v>#NAME?</v>
      </c>
      <c r="E42" s="27" t="n">
        <v>3735.93683294413</v>
      </c>
      <c r="F42" s="24" t="n">
        <v>490</v>
      </c>
      <c r="G42" s="24" t="e">
        <f aca="false">D42-E42</f>
        <v>#NAME?</v>
      </c>
    </row>
    <row r="43" customFormat="false" ht="15" hidden="false" customHeight="false" outlineLevel="0" collapsed="false">
      <c r="A43" s="20" t="s">
        <v>86</v>
      </c>
      <c r="B43" s="25" t="s">
        <v>87</v>
      </c>
      <c r="C43" s="8" t="s">
        <v>15</v>
      </c>
      <c r="D43" s="22" t="e">
        <f aca="false">сводн.данные!n48</f>
        <v>#NAME?</v>
      </c>
      <c r="E43" s="27" t="n">
        <v>6528.28966036921</v>
      </c>
      <c r="F43" s="24" t="n">
        <v>940</v>
      </c>
      <c r="G43" s="24" t="e">
        <f aca="false">D43-E43</f>
        <v>#NAME?</v>
      </c>
    </row>
    <row r="44" customFormat="false" ht="15" hidden="false" customHeight="false" outlineLevel="0" collapsed="false">
      <c r="A44" s="20" t="s">
        <v>88</v>
      </c>
      <c r="B44" s="25" t="s">
        <v>89</v>
      </c>
      <c r="C44" s="8" t="s">
        <v>15</v>
      </c>
      <c r="D44" s="22" t="e">
        <f aca="false">сводн.данные!n49</f>
        <v>#NAME?</v>
      </c>
      <c r="E44" s="27" t="n">
        <v>7617.94199111828</v>
      </c>
      <c r="F44" s="24" t="n">
        <v>1320</v>
      </c>
      <c r="G44" s="24" t="e">
        <f aca="false">D44-E44</f>
        <v>#NAME?</v>
      </c>
    </row>
    <row r="45" customFormat="false" ht="15" hidden="false" customHeight="false" outlineLevel="0" collapsed="false">
      <c r="A45" s="20" t="s">
        <v>90</v>
      </c>
      <c r="B45" s="25" t="s">
        <v>91</v>
      </c>
      <c r="C45" s="8" t="s">
        <v>15</v>
      </c>
      <c r="D45" s="22" t="e">
        <f aca="false">сводн.данные!n50</f>
        <v>#NAME?</v>
      </c>
      <c r="E45" s="27" t="n">
        <v>5515.15043026608</v>
      </c>
      <c r="F45" s="24" t="n">
        <v>945</v>
      </c>
      <c r="G45" s="24" t="e">
        <f aca="false">D45-E45</f>
        <v>#NAME?</v>
      </c>
    </row>
    <row r="46" customFormat="false" ht="15" hidden="false" customHeight="false" outlineLevel="0" collapsed="false">
      <c r="A46" s="20" t="s">
        <v>92</v>
      </c>
      <c r="B46" s="25" t="s">
        <v>93</v>
      </c>
      <c r="C46" s="8" t="s">
        <v>15</v>
      </c>
      <c r="D46" s="22" t="e">
        <f aca="false">сводн.данные!n51</f>
        <v>#NAME?</v>
      </c>
      <c r="E46" s="27" t="n">
        <v>6592.14599111828</v>
      </c>
      <c r="F46" s="24" t="n">
        <v>1515</v>
      </c>
      <c r="G46" s="24" t="e">
        <f aca="false">D46-E46</f>
        <v>#NAME?</v>
      </c>
    </row>
    <row r="47" customFormat="false" ht="15" hidden="false" customHeight="false" outlineLevel="0" collapsed="false">
      <c r="A47" s="20" t="s">
        <v>94</v>
      </c>
      <c r="B47" s="25" t="s">
        <v>95</v>
      </c>
      <c r="C47" s="8" t="s">
        <v>15</v>
      </c>
      <c r="D47" s="22" t="e">
        <f aca="false">сводн.данные!n52</f>
        <v>#NAME?</v>
      </c>
      <c r="E47" s="27" t="n">
        <v>5564.23043026608</v>
      </c>
      <c r="F47" s="24" t="n">
        <v>805</v>
      </c>
      <c r="G47" s="24" t="e">
        <f aca="false">D47-E47</f>
        <v>#NAME?</v>
      </c>
    </row>
    <row r="48" customFormat="false" ht="15" hidden="false" customHeight="false" outlineLevel="0" collapsed="false">
      <c r="A48" s="20" t="s">
        <v>96</v>
      </c>
      <c r="B48" s="25" t="s">
        <v>97</v>
      </c>
      <c r="C48" s="8" t="s">
        <v>15</v>
      </c>
      <c r="D48" s="22" t="e">
        <f aca="false">сводн.данные!n53</f>
        <v>#NAME?</v>
      </c>
      <c r="E48" s="23" t="n">
        <v>6437.20199111828</v>
      </c>
      <c r="F48" s="24" t="n">
        <v>1320</v>
      </c>
      <c r="G48" s="24" t="e">
        <f aca="false">D48-E48</f>
        <v>#NAME?</v>
      </c>
    </row>
    <row r="49" customFormat="false" ht="15" hidden="false" customHeight="false" outlineLevel="0" collapsed="false">
      <c r="A49" s="20" t="s">
        <v>98</v>
      </c>
      <c r="B49" s="25" t="s">
        <v>99</v>
      </c>
      <c r="C49" s="8" t="s">
        <v>15</v>
      </c>
      <c r="D49" s="22" t="e">
        <f aca="false">сводн.данные!n54</f>
        <v>#NAME?</v>
      </c>
      <c r="E49" s="23" t="n">
        <v>5607.37043026608</v>
      </c>
      <c r="F49" s="24" t="n">
        <v>675</v>
      </c>
      <c r="G49" s="24" t="e">
        <f aca="false">D49-E49</f>
        <v>#NAME?</v>
      </c>
    </row>
    <row r="50" customFormat="false" ht="15" hidden="false" customHeight="false" outlineLevel="0" collapsed="false">
      <c r="A50" s="20" t="s">
        <v>100</v>
      </c>
      <c r="B50" s="25" t="s">
        <v>101</v>
      </c>
      <c r="C50" s="8" t="s">
        <v>15</v>
      </c>
      <c r="D50" s="22" t="e">
        <f aca="false">сводн.данные!n55</f>
        <v>#NAME?</v>
      </c>
      <c r="E50" s="23" t="n">
        <v>6718.41506974362</v>
      </c>
      <c r="F50" s="24" t="n">
        <v>1550</v>
      </c>
      <c r="G50" s="24" t="e">
        <f aca="false">D50-E50</f>
        <v>#NAME?</v>
      </c>
    </row>
    <row r="51" customFormat="false" ht="15" hidden="false" customHeight="false" outlineLevel="0" collapsed="false">
      <c r="A51" s="20" t="s">
        <v>102</v>
      </c>
      <c r="B51" s="25" t="s">
        <v>103</v>
      </c>
      <c r="C51" s="8" t="s">
        <v>15</v>
      </c>
      <c r="D51" s="22" t="e">
        <f aca="false">сводн.данные!n56</f>
        <v>#NAME?</v>
      </c>
      <c r="E51" s="23" t="n">
        <v>6818.72312105654</v>
      </c>
      <c r="F51" s="24" t="n">
        <v>595</v>
      </c>
      <c r="G51" s="24" t="e">
        <f aca="false">D51-E51</f>
        <v>#NAME?</v>
      </c>
    </row>
    <row r="52" customFormat="false" ht="15" hidden="false" customHeight="false" outlineLevel="0" collapsed="false">
      <c r="A52" s="20" t="s">
        <v>104</v>
      </c>
      <c r="B52" s="25" t="s">
        <v>105</v>
      </c>
      <c r="C52" s="8" t="s">
        <v>15</v>
      </c>
      <c r="D52" s="22" t="e">
        <f aca="false">сводн.данные!n57</f>
        <v>#NAME?</v>
      </c>
      <c r="E52" s="23" t="n">
        <v>6779.40275909086</v>
      </c>
      <c r="F52" s="24" t="n">
        <v>1640</v>
      </c>
      <c r="G52" s="24" t="e">
        <f aca="false">D52-E52</f>
        <v>#NAME?</v>
      </c>
    </row>
    <row r="53" customFormat="false" ht="15" hidden="false" customHeight="false" outlineLevel="0" collapsed="false">
      <c r="A53" s="20" t="s">
        <v>106</v>
      </c>
      <c r="B53" s="25" t="s">
        <v>107</v>
      </c>
      <c r="C53" s="8" t="s">
        <v>15</v>
      </c>
      <c r="D53" s="22" t="e">
        <f aca="false">сводн.данные!n58</f>
        <v>#NAME?</v>
      </c>
      <c r="E53" s="23" t="n">
        <v>6239.60312105654</v>
      </c>
      <c r="F53" s="24" t="n">
        <v>850</v>
      </c>
      <c r="G53" s="24" t="e">
        <f aca="false">D53-E53</f>
        <v>#NAME?</v>
      </c>
    </row>
    <row r="54" customFormat="false" ht="15" hidden="false" customHeight="false" outlineLevel="0" collapsed="false">
      <c r="A54" s="20" t="s">
        <v>108</v>
      </c>
      <c r="B54" s="25" t="s">
        <v>109</v>
      </c>
      <c r="C54" s="8" t="s">
        <v>15</v>
      </c>
      <c r="D54" s="22" t="e">
        <f aca="false">сводн.данные!n59</f>
        <v>#NAME?</v>
      </c>
      <c r="E54" s="23" t="n">
        <v>6712.25399111828</v>
      </c>
      <c r="F54" s="24" t="n">
        <v>1540</v>
      </c>
      <c r="G54" s="24" t="e">
        <f aca="false">D54-E54</f>
        <v>#NAME?</v>
      </c>
    </row>
    <row r="55" customFormat="false" ht="15" hidden="false" customHeight="false" outlineLevel="0" collapsed="false">
      <c r="A55" s="20" t="s">
        <v>110</v>
      </c>
      <c r="B55" s="21" t="s">
        <v>111</v>
      </c>
      <c r="C55" s="8" t="s">
        <v>15</v>
      </c>
      <c r="D55" s="22" t="e">
        <f aca="false">сводн.данные!n60</f>
        <v>#NAME?</v>
      </c>
      <c r="E55" s="23" t="n">
        <v>3671.73452325352</v>
      </c>
      <c r="F55" s="24" t="n">
        <v>0</v>
      </c>
      <c r="G55" s="24" t="e">
        <f aca="false">D55-E55</f>
        <v>#NAME?</v>
      </c>
    </row>
    <row r="56" customFormat="false" ht="15" hidden="false" customHeight="false" outlineLevel="0" collapsed="false">
      <c r="A56" s="20" t="s">
        <v>112</v>
      </c>
      <c r="B56" s="21" t="s">
        <v>113</v>
      </c>
      <c r="C56" s="8" t="s">
        <v>15</v>
      </c>
      <c r="D56" s="22" t="e">
        <f aca="false">сводн.данные!n61</f>
        <v>#NAME?</v>
      </c>
      <c r="E56" s="23" t="n">
        <v>5797.11968720055</v>
      </c>
      <c r="F56" s="24" t="n">
        <v>1550</v>
      </c>
      <c r="G56" s="24" t="e">
        <f aca="false">D56-E56</f>
        <v>#NAME?</v>
      </c>
    </row>
    <row r="57" customFormat="false" ht="15" hidden="false" customHeight="false" outlineLevel="0" collapsed="false">
      <c r="A57" s="20" t="s">
        <v>114</v>
      </c>
      <c r="B57" s="21" t="s">
        <v>115</v>
      </c>
      <c r="C57" s="8" t="s">
        <v>15</v>
      </c>
      <c r="D57" s="22" t="e">
        <f aca="false">сводн.данные!n62</f>
        <v>#NAME?</v>
      </c>
      <c r="E57" s="23" t="n">
        <v>6326.15661017879</v>
      </c>
      <c r="F57" s="24" t="n">
        <v>940</v>
      </c>
      <c r="G57" s="24" t="e">
        <f aca="false">D57-E57</f>
        <v>#NAME?</v>
      </c>
    </row>
    <row r="58" customFormat="false" ht="15" hidden="false" customHeight="false" outlineLevel="0" collapsed="false">
      <c r="A58" s="20" t="s">
        <v>116</v>
      </c>
      <c r="B58" s="25" t="s">
        <v>117</v>
      </c>
      <c r="C58" s="8" t="s">
        <v>15</v>
      </c>
      <c r="D58" s="22" t="e">
        <f aca="false">сводн.данные!n63</f>
        <v>#NAME?</v>
      </c>
      <c r="E58" s="23" t="n">
        <v>6496.01067376916</v>
      </c>
      <c r="F58" s="24" t="n">
        <v>1950</v>
      </c>
      <c r="G58" s="24" t="e">
        <f aca="false">D58-E58</f>
        <v>#NAME?</v>
      </c>
    </row>
    <row r="59" customFormat="false" ht="15" hidden="false" customHeight="false" outlineLevel="0" collapsed="false">
      <c r="A59" s="20" t="s">
        <v>118</v>
      </c>
      <c r="B59" s="21" t="s">
        <v>119</v>
      </c>
      <c r="C59" s="8" t="s">
        <v>15</v>
      </c>
      <c r="D59" s="22" t="e">
        <f aca="false">сводн.данные!n64</f>
        <v>#NAME?</v>
      </c>
      <c r="E59" s="23" t="n">
        <v>5827.60836407855</v>
      </c>
      <c r="F59" s="24" t="n">
        <v>940</v>
      </c>
      <c r="G59" s="24" t="e">
        <f aca="false">D59-E59</f>
        <v>#NAME?</v>
      </c>
    </row>
    <row r="60" customFormat="false" ht="15" hidden="false" customHeight="false" outlineLevel="0" collapsed="false">
      <c r="A60" s="20" t="s">
        <v>120</v>
      </c>
      <c r="B60" s="21" t="s">
        <v>121</v>
      </c>
      <c r="C60" s="8" t="s">
        <v>15</v>
      </c>
      <c r="D60" s="22" t="e">
        <f aca="false">сводн.данные!n65</f>
        <v>#NAME?</v>
      </c>
      <c r="E60" s="23" t="n">
        <v>5396.64809412608</v>
      </c>
      <c r="F60" s="24" t="n">
        <v>1450</v>
      </c>
      <c r="G60" s="24" t="e">
        <f aca="false">D60-E60</f>
        <v>#NAME?</v>
      </c>
    </row>
    <row r="61" customFormat="false" ht="15" hidden="false" customHeight="false" outlineLevel="0" collapsed="false">
      <c r="A61" s="20" t="s">
        <v>122</v>
      </c>
      <c r="B61" s="21" t="s">
        <v>123</v>
      </c>
      <c r="C61" s="8" t="s">
        <v>15</v>
      </c>
      <c r="D61" s="22" t="e">
        <f aca="false">сводн.данные!n66</f>
        <v>#NAME?</v>
      </c>
      <c r="E61" s="23" t="n">
        <v>6749.39975755819</v>
      </c>
      <c r="F61" s="24" t="n">
        <v>2200</v>
      </c>
      <c r="G61" s="24" t="e">
        <f aca="false">D61-E61</f>
        <v>#NAME?</v>
      </c>
    </row>
    <row r="62" customFormat="false" ht="15" hidden="false" customHeight="false" outlineLevel="0" collapsed="false">
      <c r="A62" s="20" t="s">
        <v>124</v>
      </c>
      <c r="B62" s="25" t="s">
        <v>125</v>
      </c>
      <c r="C62" s="8" t="s">
        <v>15</v>
      </c>
      <c r="D62" s="22" t="e">
        <f aca="false">сводн.данные!n67</f>
        <v>#NAME?</v>
      </c>
      <c r="E62" s="23" t="n">
        <v>3827.82070329596</v>
      </c>
      <c r="F62" s="24" t="n">
        <v>0</v>
      </c>
      <c r="G62" s="24" t="e">
        <f aca="false">D62-E62</f>
        <v>#NAME?</v>
      </c>
    </row>
    <row r="63" customFormat="false" ht="15" hidden="false" customHeight="false" outlineLevel="0" collapsed="false">
      <c r="A63" s="20" t="s">
        <v>126</v>
      </c>
      <c r="B63" s="25" t="s">
        <v>127</v>
      </c>
      <c r="C63" s="8" t="s">
        <v>15</v>
      </c>
      <c r="D63" s="22" t="e">
        <f aca="false">сводн.данные!n68</f>
        <v>#NAME?</v>
      </c>
      <c r="E63" s="23" t="n">
        <v>3612</v>
      </c>
      <c r="F63" s="24" t="n">
        <v>1280</v>
      </c>
      <c r="G63" s="24" t="e">
        <f aca="false">D63-E63</f>
        <v>#NAME?</v>
      </c>
    </row>
    <row r="64" customFormat="false" ht="15" hidden="false" customHeight="false" outlineLevel="0" collapsed="false">
      <c r="A64" s="20" t="s">
        <v>128</v>
      </c>
      <c r="B64" s="25" t="s">
        <v>129</v>
      </c>
      <c r="C64" s="8" t="s">
        <v>15</v>
      </c>
      <c r="D64" s="22" t="e">
        <f aca="false">сводн.данные!n69</f>
        <v>#NAME?</v>
      </c>
      <c r="E64" s="23" t="n">
        <v>3236.55667259669</v>
      </c>
      <c r="F64" s="24" t="n">
        <v>1755</v>
      </c>
      <c r="G64" s="24" t="e">
        <f aca="false">D64-E64</f>
        <v>#NAME?</v>
      </c>
    </row>
    <row r="65" customFormat="false" ht="15" hidden="false" customHeight="false" outlineLevel="0" collapsed="false">
      <c r="A65" s="20" t="s">
        <v>130</v>
      </c>
      <c r="B65" s="25" t="s">
        <v>131</v>
      </c>
      <c r="C65" s="8" t="s">
        <v>15</v>
      </c>
      <c r="D65" s="22" t="e">
        <f aca="false">сводн.данные!n70</f>
        <v>#NAME?</v>
      </c>
      <c r="E65" s="23" t="n">
        <v>3808.94542716448</v>
      </c>
      <c r="F65" s="24" t="n">
        <v>2000</v>
      </c>
      <c r="G65" s="24" t="e">
        <f aca="false">D65-E65</f>
        <v>#NAME?</v>
      </c>
    </row>
    <row r="66" customFormat="false" ht="15" hidden="false" customHeight="false" outlineLevel="0" collapsed="false">
      <c r="A66" s="20" t="s">
        <v>132</v>
      </c>
      <c r="B66" s="21" t="s">
        <v>133</v>
      </c>
      <c r="C66" s="8" t="s">
        <v>15</v>
      </c>
      <c r="D66" s="22" t="e">
        <f aca="false">сводн.данные!n71</f>
        <v>#NAME?</v>
      </c>
      <c r="E66" s="23" t="n">
        <v>6243.26052553077</v>
      </c>
      <c r="F66" s="24" t="n">
        <v>0</v>
      </c>
      <c r="G66" s="24" t="e">
        <f aca="false">D66-E66</f>
        <v>#NAME?</v>
      </c>
    </row>
    <row r="67" customFormat="false" ht="15" hidden="false" customHeight="false" outlineLevel="0" collapsed="false">
      <c r="A67" s="20" t="s">
        <v>134</v>
      </c>
      <c r="B67" s="21" t="s">
        <v>135</v>
      </c>
      <c r="C67" s="8" t="s">
        <v>15</v>
      </c>
      <c r="D67" s="22" t="e">
        <f aca="false">сводн.данные!n72</f>
        <v>#NAME?</v>
      </c>
      <c r="E67" s="23" t="n">
        <v>6056.90611358499</v>
      </c>
      <c r="F67" s="24" t="n">
        <v>0</v>
      </c>
      <c r="G67" s="24" t="e">
        <f aca="false">D67-E67</f>
        <v>#NAME?</v>
      </c>
    </row>
    <row r="68" customFormat="false" ht="15" hidden="false" customHeight="false" outlineLevel="0" collapsed="false">
      <c r="A68" s="20" t="s">
        <v>136</v>
      </c>
      <c r="B68" s="21" t="s">
        <v>137</v>
      </c>
      <c r="C68" s="8" t="s">
        <v>15</v>
      </c>
      <c r="D68" s="22" t="e">
        <f aca="false">сводн.данные!n73</f>
        <v>#NAME?</v>
      </c>
      <c r="E68" s="23" t="n">
        <v>6056.90611358499</v>
      </c>
      <c r="F68" s="24" t="n">
        <v>0</v>
      </c>
      <c r="G68" s="24" t="e">
        <f aca="false">D68-E68</f>
        <v>#NAME?</v>
      </c>
    </row>
    <row r="69" customFormat="false" ht="15" hidden="false" customHeight="false" outlineLevel="0" collapsed="false">
      <c r="A69" s="20" t="s">
        <v>138</v>
      </c>
      <c r="B69" s="21" t="s">
        <v>139</v>
      </c>
      <c r="C69" s="8" t="s">
        <v>15</v>
      </c>
      <c r="D69" s="22" t="e">
        <f aca="false">сводн.данные!n74</f>
        <v>#NAME?</v>
      </c>
      <c r="E69" s="23" t="n">
        <v>992.330767010431</v>
      </c>
      <c r="F69" s="24" t="n">
        <v>500</v>
      </c>
      <c r="G69" s="24" t="e">
        <f aca="false">D69-E69</f>
        <v>#NAME?</v>
      </c>
    </row>
    <row r="70" customFormat="false" ht="15" hidden="false" customHeight="false" outlineLevel="0" collapsed="false">
      <c r="A70" s="28" t="s">
        <v>140</v>
      </c>
      <c r="B70" s="29" t="s">
        <v>141</v>
      </c>
      <c r="C70" s="8" t="s">
        <v>15</v>
      </c>
      <c r="D70" s="22" t="e">
        <f aca="false">сводн.данные!n75</f>
        <v>#NAME?</v>
      </c>
      <c r="E70" s="23" t="n">
        <v>0</v>
      </c>
      <c r="F70" s="24"/>
      <c r="G70" s="24" t="e">
        <f aca="false">D70-E70</f>
        <v>#NAME?</v>
      </c>
    </row>
    <row r="71" customFormat="false" ht="15" hidden="false" customHeight="false" outlineLevel="0" collapsed="false">
      <c r="A71" s="28" t="s">
        <v>142</v>
      </c>
      <c r="B71" s="29" t="s">
        <v>143</v>
      </c>
      <c r="C71" s="8" t="s">
        <v>15</v>
      </c>
      <c r="D71" s="22" t="e">
        <f aca="false">сводн.данные!n76</f>
        <v>#NAME?</v>
      </c>
      <c r="E71" s="30" t="n">
        <v>3922.03403626426</v>
      </c>
      <c r="F71" s="24"/>
      <c r="G71" s="24"/>
    </row>
    <row r="72" customFormat="false" ht="15" hidden="false" customHeight="false" outlineLevel="0" collapsed="false">
      <c r="A72" s="28" t="s">
        <v>144</v>
      </c>
      <c r="B72" s="29" t="s">
        <v>145</v>
      </c>
      <c r="C72" s="8" t="s">
        <v>15</v>
      </c>
      <c r="D72" s="22" t="e">
        <f aca="false">сводн.данные!n77</f>
        <v>#NAME?</v>
      </c>
      <c r="E72" s="31" t="n">
        <v>6518.71043026608</v>
      </c>
      <c r="F72" s="24"/>
      <c r="G72" s="24"/>
    </row>
    <row r="73" customFormat="false" ht="15" hidden="false" customHeight="false" outlineLevel="0" collapsed="false">
      <c r="A73" s="28" t="s">
        <v>146</v>
      </c>
      <c r="B73" s="29" t="s">
        <v>147</v>
      </c>
      <c r="C73" s="8" t="s">
        <v>15</v>
      </c>
      <c r="D73" s="22" t="e">
        <f aca="false">сводн.данные!n78</f>
        <v>#NAME?</v>
      </c>
      <c r="E73" s="23" t="n">
        <v>0</v>
      </c>
      <c r="F73" s="24"/>
      <c r="G73" s="24"/>
    </row>
    <row r="74" customFormat="false" ht="15" hidden="false" customHeight="false" outlineLevel="0" collapsed="false">
      <c r="A74" s="28" t="s">
        <v>148</v>
      </c>
      <c r="B74" s="29" t="s">
        <v>149</v>
      </c>
      <c r="C74" s="8" t="s">
        <v>15</v>
      </c>
      <c r="D74" s="22" t="e">
        <f aca="false">сводн.данные!n79</f>
        <v>#NAME?</v>
      </c>
      <c r="E74" s="31" t="n">
        <v>5960.33802223979</v>
      </c>
      <c r="F74" s="24"/>
      <c r="G74" s="24"/>
    </row>
    <row r="75" customFormat="false" ht="15" hidden="false" customHeight="false" outlineLevel="0" collapsed="false">
      <c r="A75" s="28" t="s">
        <v>150</v>
      </c>
      <c r="B75" s="29" t="s">
        <v>151</v>
      </c>
      <c r="C75" s="8" t="s">
        <v>15</v>
      </c>
      <c r="D75" s="22" t="e">
        <f aca="false">сводн.данные!n80</f>
        <v>#NAME?</v>
      </c>
      <c r="E75" s="31" t="n">
        <v>3983</v>
      </c>
      <c r="F75" s="24"/>
      <c r="G75" s="24"/>
    </row>
    <row r="76" customFormat="false" ht="28.5" hidden="false" customHeight="false" outlineLevel="0" collapsed="false">
      <c r="A76" s="15" t="s">
        <v>152</v>
      </c>
      <c r="B76" s="16" t="s">
        <v>153</v>
      </c>
      <c r="C76" s="17"/>
      <c r="D76" s="32"/>
      <c r="E76" s="33"/>
      <c r="F76" s="34"/>
      <c r="G76" s="34"/>
    </row>
    <row r="77" customFormat="false" ht="15" hidden="false" customHeight="false" outlineLevel="0" collapsed="false">
      <c r="A77" s="28" t="s">
        <v>154</v>
      </c>
      <c r="B77" s="21" t="s">
        <v>14</v>
      </c>
      <c r="C77" s="8" t="s">
        <v>15</v>
      </c>
      <c r="D77" s="22" t="e">
        <f aca="false">сводн.данные!n82</f>
        <v>#NAME?</v>
      </c>
      <c r="E77" s="23" t="n">
        <v>364.953198357098</v>
      </c>
      <c r="F77" s="24" t="n">
        <v>270</v>
      </c>
      <c r="G77" s="24" t="e">
        <f aca="false">D77-E77</f>
        <v>#NAME?</v>
      </c>
    </row>
    <row r="78" customFormat="false" ht="15" hidden="false" customHeight="false" outlineLevel="0" collapsed="false">
      <c r="A78" s="28" t="s">
        <v>155</v>
      </c>
      <c r="B78" s="21" t="s">
        <v>17</v>
      </c>
      <c r="C78" s="8" t="s">
        <v>15</v>
      </c>
      <c r="D78" s="22" t="e">
        <f aca="false">сводн.данные!n83</f>
        <v>#NAME?</v>
      </c>
      <c r="E78" s="23" t="n">
        <v>364.953198357098</v>
      </c>
      <c r="F78" s="24" t="n">
        <v>270</v>
      </c>
      <c r="G78" s="24" t="e">
        <f aca="false">D78-E78</f>
        <v>#NAME?</v>
      </c>
    </row>
    <row r="79" customFormat="false" ht="15" hidden="false" customHeight="false" outlineLevel="0" collapsed="false">
      <c r="A79" s="28" t="s">
        <v>156</v>
      </c>
      <c r="B79" s="21" t="s">
        <v>19</v>
      </c>
      <c r="C79" s="8" t="s">
        <v>15</v>
      </c>
      <c r="D79" s="22" t="e">
        <f aca="false">сводн.данные!n84</f>
        <v>#NAME?</v>
      </c>
      <c r="E79" s="23" t="n">
        <v>470.186275058141</v>
      </c>
      <c r="F79" s="24" t="n">
        <v>750</v>
      </c>
      <c r="G79" s="24" t="e">
        <f aca="false">D79-E79</f>
        <v>#NAME?</v>
      </c>
    </row>
    <row r="80" customFormat="false" ht="15" hidden="false" customHeight="false" outlineLevel="0" collapsed="false">
      <c r="A80" s="28" t="s">
        <v>157</v>
      </c>
      <c r="B80" s="21" t="s">
        <v>21</v>
      </c>
      <c r="C80" s="8" t="s">
        <v>15</v>
      </c>
      <c r="D80" s="22" t="e">
        <f aca="false">сводн.данные!n85</f>
        <v>#NAME?</v>
      </c>
      <c r="E80" s="23" t="n">
        <v>1820.61781196544</v>
      </c>
      <c r="F80" s="24" t="n">
        <v>375</v>
      </c>
      <c r="G80" s="24" t="e">
        <f aca="false">D80-E80</f>
        <v>#NAME?</v>
      </c>
    </row>
    <row r="81" customFormat="false" ht="15" hidden="false" customHeight="false" outlineLevel="0" collapsed="false">
      <c r="A81" s="28" t="s">
        <v>158</v>
      </c>
      <c r="B81" s="21" t="s">
        <v>23</v>
      </c>
      <c r="C81" s="8" t="s">
        <v>15</v>
      </c>
      <c r="D81" s="22" t="e">
        <f aca="false">сводн.данные!n86</f>
        <v>#NAME?</v>
      </c>
      <c r="E81" s="23" t="n">
        <v>1292.46169789617</v>
      </c>
      <c r="F81" s="24" t="n">
        <v>750</v>
      </c>
      <c r="G81" s="24" t="e">
        <f aca="false">D81-E81</f>
        <v>#NAME?</v>
      </c>
    </row>
    <row r="82" customFormat="false" ht="15" hidden="false" customHeight="false" outlineLevel="0" collapsed="false">
      <c r="A82" s="28" t="s">
        <v>159</v>
      </c>
      <c r="B82" s="21" t="s">
        <v>25</v>
      </c>
      <c r="C82" s="8" t="s">
        <v>15</v>
      </c>
      <c r="D82" s="22" t="e">
        <f aca="false">сводн.данные!n87</f>
        <v>#NAME?</v>
      </c>
      <c r="E82" s="23" t="n">
        <v>1479.83640714794</v>
      </c>
      <c r="F82" s="24" t="n">
        <v>1810</v>
      </c>
      <c r="G82" s="24" t="e">
        <f aca="false">D82-E82</f>
        <v>#NAME?</v>
      </c>
    </row>
    <row r="83" customFormat="false" ht="15" hidden="false" customHeight="false" outlineLevel="0" collapsed="false">
      <c r="A83" s="28" t="s">
        <v>160</v>
      </c>
      <c r="B83" s="25" t="s">
        <v>27</v>
      </c>
      <c r="C83" s="8" t="s">
        <v>15</v>
      </c>
      <c r="D83" s="22" t="e">
        <f aca="false">сводн.данные!n88</f>
        <v>#NAME?</v>
      </c>
      <c r="E83" s="23" t="n">
        <v>1749</v>
      </c>
      <c r="F83" s="24" t="n">
        <v>490</v>
      </c>
      <c r="G83" s="24" t="e">
        <f aca="false">D83-E83</f>
        <v>#NAME?</v>
      </c>
    </row>
    <row r="84" customFormat="false" ht="15" hidden="false" customHeight="false" outlineLevel="0" collapsed="false">
      <c r="A84" s="28" t="s">
        <v>161</v>
      </c>
      <c r="B84" s="21" t="s">
        <v>162</v>
      </c>
      <c r="C84" s="8" t="s">
        <v>15</v>
      </c>
      <c r="D84" s="22" t="e">
        <f aca="false">сводн.данные!n89</f>
        <v>#NAME?</v>
      </c>
      <c r="E84" s="23" t="n">
        <v>1598.05440544605</v>
      </c>
      <c r="F84" s="24" t="n">
        <v>0</v>
      </c>
      <c r="G84" s="24" t="e">
        <f aca="false">D84-E84</f>
        <v>#NAME?</v>
      </c>
    </row>
    <row r="85" customFormat="false" ht="15" hidden="false" customHeight="false" outlineLevel="0" collapsed="false">
      <c r="A85" s="28" t="s">
        <v>163</v>
      </c>
      <c r="B85" s="21" t="s">
        <v>164</v>
      </c>
      <c r="C85" s="8" t="s">
        <v>15</v>
      </c>
      <c r="D85" s="22" t="e">
        <f aca="false">сводн.данные!n90</f>
        <v>#NAME?</v>
      </c>
      <c r="E85" s="23" t="n">
        <v>1323.11132970715</v>
      </c>
      <c r="F85" s="24" t="n">
        <v>945</v>
      </c>
      <c r="G85" s="24" t="e">
        <f aca="false">D85-E85</f>
        <v>#NAME?</v>
      </c>
    </row>
    <row r="86" customFormat="false" ht="15" hidden="false" customHeight="false" outlineLevel="0" collapsed="false">
      <c r="A86" s="28" t="s">
        <v>165</v>
      </c>
      <c r="B86" s="25" t="s">
        <v>37</v>
      </c>
      <c r="C86" s="8" t="s">
        <v>15</v>
      </c>
      <c r="D86" s="22" t="e">
        <f aca="false">сводн.данные!n91</f>
        <v>#NAME?</v>
      </c>
      <c r="E86" s="23" t="n">
        <v>1543.12517438077</v>
      </c>
      <c r="F86" s="24" t="n">
        <v>560</v>
      </c>
      <c r="G86" s="24" t="e">
        <f aca="false">D86-E86</f>
        <v>#NAME?</v>
      </c>
    </row>
    <row r="87" customFormat="false" ht="15" hidden="false" customHeight="false" outlineLevel="0" collapsed="false">
      <c r="A87" s="28" t="s">
        <v>166</v>
      </c>
      <c r="B87" s="25" t="s">
        <v>39</v>
      </c>
      <c r="C87" s="8" t="s">
        <v>15</v>
      </c>
      <c r="D87" s="22" t="e">
        <f aca="false">сводн.данные!n92</f>
        <v>#NAME?</v>
      </c>
      <c r="E87" s="23" t="n">
        <v>2245.30375624309</v>
      </c>
      <c r="F87" s="24" t="n">
        <v>1200</v>
      </c>
      <c r="G87" s="24" t="e">
        <f aca="false">D87-E87</f>
        <v>#NAME?</v>
      </c>
    </row>
    <row r="88" customFormat="false" ht="15" hidden="false" customHeight="false" outlineLevel="0" collapsed="false">
      <c r="A88" s="28" t="s">
        <v>167</v>
      </c>
      <c r="B88" s="25" t="s">
        <v>41</v>
      </c>
      <c r="C88" s="8" t="s">
        <v>15</v>
      </c>
      <c r="D88" s="22" t="e">
        <f aca="false">сводн.данные!n93</f>
        <v>#NAME?</v>
      </c>
      <c r="E88" s="23" t="n">
        <v>1957</v>
      </c>
      <c r="F88" s="24" t="n">
        <v>750</v>
      </c>
      <c r="G88" s="24" t="e">
        <f aca="false">D88-E88</f>
        <v>#NAME?</v>
      </c>
    </row>
    <row r="89" customFormat="false" ht="15" hidden="false" customHeight="false" outlineLevel="0" collapsed="false">
      <c r="A89" s="28" t="s">
        <v>168</v>
      </c>
      <c r="B89" s="25" t="s">
        <v>43</v>
      </c>
      <c r="C89" s="8" t="s">
        <v>15</v>
      </c>
      <c r="D89" s="22" t="e">
        <f aca="false">сводн.данные!n94</f>
        <v>#NAME?</v>
      </c>
      <c r="E89" s="23" t="n">
        <v>1500.27812613996</v>
      </c>
      <c r="F89" s="24" t="n">
        <v>605</v>
      </c>
      <c r="G89" s="24" t="e">
        <f aca="false">D89-E89</f>
        <v>#NAME?</v>
      </c>
    </row>
    <row r="90" customFormat="false" ht="15" hidden="false" customHeight="false" outlineLevel="0" collapsed="false">
      <c r="A90" s="28" t="s">
        <v>169</v>
      </c>
      <c r="B90" s="25" t="s">
        <v>170</v>
      </c>
      <c r="C90" s="8" t="s">
        <v>15</v>
      </c>
      <c r="D90" s="22" t="e">
        <f aca="false">сводн.данные!n95</f>
        <v>#NAME?</v>
      </c>
      <c r="E90" s="23" t="n">
        <v>1836.72452613996</v>
      </c>
      <c r="F90" s="24" t="n">
        <v>905</v>
      </c>
      <c r="G90" s="24" t="e">
        <f aca="false">D90-E90</f>
        <v>#NAME?</v>
      </c>
    </row>
    <row r="91" customFormat="false" ht="15" hidden="false" customHeight="false" outlineLevel="0" collapsed="false">
      <c r="A91" s="28" t="s">
        <v>171</v>
      </c>
      <c r="B91" s="25" t="s">
        <v>172</v>
      </c>
      <c r="C91" s="8" t="s">
        <v>15</v>
      </c>
      <c r="D91" s="22" t="e">
        <f aca="false">сводн.данные!n96</f>
        <v>#NAME?</v>
      </c>
      <c r="E91" s="23" t="n">
        <v>1632.6745271021</v>
      </c>
      <c r="F91" s="24" t="n">
        <v>840</v>
      </c>
      <c r="G91" s="24" t="e">
        <f aca="false">D91-E91</f>
        <v>#NAME?</v>
      </c>
    </row>
    <row r="92" customFormat="false" ht="15" hidden="false" customHeight="false" outlineLevel="0" collapsed="false">
      <c r="A92" s="28" t="s">
        <v>173</v>
      </c>
      <c r="B92" s="25" t="s">
        <v>49</v>
      </c>
      <c r="C92" s="8" t="s">
        <v>15</v>
      </c>
      <c r="D92" s="22" t="e">
        <f aca="false">сводн.данные!n97</f>
        <v>#NAME?</v>
      </c>
      <c r="E92" s="23" t="n">
        <v>1322.07132778286</v>
      </c>
      <c r="F92" s="24" t="n">
        <v>390</v>
      </c>
      <c r="G92" s="24" t="e">
        <f aca="false">D92-E92</f>
        <v>#NAME?</v>
      </c>
    </row>
    <row r="93" customFormat="false" ht="15" hidden="false" customHeight="false" outlineLevel="0" collapsed="false">
      <c r="A93" s="28" t="s">
        <v>174</v>
      </c>
      <c r="B93" s="25" t="s">
        <v>51</v>
      </c>
      <c r="C93" s="8" t="s">
        <v>15</v>
      </c>
      <c r="D93" s="22" t="e">
        <f aca="false">сводн.данные!n98</f>
        <v>#NAME?</v>
      </c>
      <c r="E93" s="23" t="n">
        <v>2169.59440288032</v>
      </c>
      <c r="F93" s="24" t="n">
        <v>0</v>
      </c>
      <c r="G93" s="24" t="e">
        <f aca="false">D93-E93</f>
        <v>#NAME?</v>
      </c>
    </row>
    <row r="94" customFormat="false" ht="15" hidden="false" customHeight="false" outlineLevel="0" collapsed="false">
      <c r="A94" s="28" t="s">
        <v>175</v>
      </c>
      <c r="B94" s="25" t="s">
        <v>53</v>
      </c>
      <c r="C94" s="8" t="s">
        <v>15</v>
      </c>
      <c r="D94" s="22" t="e">
        <f aca="false">сводн.данные!n99</f>
        <v>#NAME?</v>
      </c>
      <c r="E94" s="23" t="n">
        <v>1536.05440544605</v>
      </c>
      <c r="F94" s="24" t="n">
        <v>0</v>
      </c>
      <c r="G94" s="24" t="e">
        <f aca="false">D94-E94</f>
        <v>#NAME?</v>
      </c>
    </row>
    <row r="95" customFormat="false" ht="15" hidden="false" customHeight="false" outlineLevel="0" collapsed="false">
      <c r="A95" s="28" t="s">
        <v>176</v>
      </c>
      <c r="B95" s="25" t="s">
        <v>177</v>
      </c>
      <c r="C95" s="8" t="s">
        <v>15</v>
      </c>
      <c r="D95" s="22" t="e">
        <f aca="false">сводн.данные!n100</f>
        <v>#NAME?</v>
      </c>
      <c r="E95" s="23" t="n">
        <v>2188.70363458703</v>
      </c>
      <c r="F95" s="24" t="n">
        <v>560</v>
      </c>
      <c r="G95" s="24" t="e">
        <f aca="false">D95-E95</f>
        <v>#NAME?</v>
      </c>
    </row>
    <row r="96" customFormat="false" ht="15" hidden="false" customHeight="true" outlineLevel="0" collapsed="false">
      <c r="A96" s="28" t="s">
        <v>178</v>
      </c>
      <c r="B96" s="25" t="s">
        <v>61</v>
      </c>
      <c r="C96" s="8" t="s">
        <v>15</v>
      </c>
      <c r="D96" s="22" t="e">
        <f aca="false">сводн.данные!n101</f>
        <v>#NAME?</v>
      </c>
      <c r="E96" s="23" t="n">
        <v>1978.48055692384</v>
      </c>
      <c r="F96" s="24" t="n">
        <v>0</v>
      </c>
      <c r="G96" s="24" t="e">
        <f aca="false">D96-E96</f>
        <v>#NAME?</v>
      </c>
    </row>
    <row r="97" customFormat="false" ht="17.25" hidden="false" customHeight="true" outlineLevel="0" collapsed="false">
      <c r="A97" s="28" t="s">
        <v>179</v>
      </c>
      <c r="B97" s="25" t="s">
        <v>63</v>
      </c>
      <c r="C97" s="8" t="s">
        <v>15</v>
      </c>
      <c r="D97" s="22" t="e">
        <f aca="false">сводн.данные!n102</f>
        <v>#NAME?</v>
      </c>
      <c r="E97" s="23" t="n">
        <v>2199.65401953547</v>
      </c>
      <c r="F97" s="24" t="n">
        <v>0</v>
      </c>
      <c r="G97" s="35" t="e">
        <f aca="false">D97-E97</f>
        <v>#NAME?</v>
      </c>
    </row>
    <row r="98" customFormat="false" ht="17.25" hidden="false" customHeight="true" outlineLevel="0" collapsed="false">
      <c r="A98" s="28" t="s">
        <v>180</v>
      </c>
      <c r="B98" s="25" t="s">
        <v>65</v>
      </c>
      <c r="C98" s="8" t="s">
        <v>15</v>
      </c>
      <c r="D98" s="22" t="e">
        <f aca="false">сводн.данные!n103</f>
        <v>#NAME?</v>
      </c>
      <c r="E98" s="23" t="n">
        <v>1883.55902097869</v>
      </c>
      <c r="F98" s="24" t="n">
        <v>0</v>
      </c>
      <c r="G98" s="35" t="e">
        <f aca="false">D98-E98</f>
        <v>#NAME?</v>
      </c>
    </row>
    <row r="99" customFormat="false" ht="17.25" hidden="false" customHeight="true" outlineLevel="0" collapsed="false">
      <c r="A99" s="28" t="s">
        <v>181</v>
      </c>
      <c r="B99" s="21" t="s">
        <v>182</v>
      </c>
      <c r="C99" s="8" t="s">
        <v>15</v>
      </c>
      <c r="D99" s="22" t="e">
        <f aca="false">сводн.данные!n104</f>
        <v>#NAME?</v>
      </c>
      <c r="E99" s="23" t="n">
        <v>3932.86978414053</v>
      </c>
      <c r="F99" s="24" t="n">
        <v>0</v>
      </c>
      <c r="G99" s="35" t="e">
        <f aca="false">D99-E99</f>
        <v>#NAME?</v>
      </c>
    </row>
    <row r="100" customFormat="false" ht="31.5" hidden="false" customHeight="true" outlineLevel="0" collapsed="false">
      <c r="A100" s="28" t="s">
        <v>183</v>
      </c>
      <c r="B100" s="25" t="s">
        <v>184</v>
      </c>
      <c r="C100" s="8" t="s">
        <v>15</v>
      </c>
      <c r="D100" s="22" t="e">
        <f aca="false">сводн.данные!n105</f>
        <v>#NAME?</v>
      </c>
      <c r="E100" s="23" t="n">
        <v>7072.54720442251</v>
      </c>
      <c r="F100" s="24" t="n">
        <v>3395</v>
      </c>
      <c r="G100" s="35" t="e">
        <f aca="false">D100-E100</f>
        <v>#NAME?</v>
      </c>
    </row>
    <row r="101" customFormat="false" ht="17.25" hidden="false" customHeight="true" outlineLevel="0" collapsed="false">
      <c r="A101" s="28" t="s">
        <v>185</v>
      </c>
      <c r="B101" s="25" t="s">
        <v>77</v>
      </c>
      <c r="C101" s="8" t="s">
        <v>15</v>
      </c>
      <c r="D101" s="22" t="e">
        <f aca="false">сводн.данные!n106</f>
        <v>#NAME?</v>
      </c>
      <c r="E101" s="23" t="n">
        <v>4275.08221388362</v>
      </c>
      <c r="F101" s="24" t="n">
        <v>615</v>
      </c>
      <c r="G101" s="35" t="e">
        <f aca="false">D101-E101</f>
        <v>#NAME?</v>
      </c>
    </row>
    <row r="102" customFormat="false" ht="17.25" hidden="false" customHeight="true" outlineLevel="0" collapsed="false">
      <c r="A102" s="28" t="s">
        <v>186</v>
      </c>
      <c r="B102" s="25" t="s">
        <v>187</v>
      </c>
      <c r="C102" s="8" t="s">
        <v>15</v>
      </c>
      <c r="D102" s="22" t="e">
        <f aca="false">сводн.данные!n107</f>
        <v>#NAME?</v>
      </c>
      <c r="E102" s="23" t="n">
        <v>3720.96809989896</v>
      </c>
      <c r="F102" s="24" t="n">
        <v>1400</v>
      </c>
      <c r="G102" s="35" t="e">
        <f aca="false">D102-E102</f>
        <v>#NAME?</v>
      </c>
    </row>
    <row r="103" customFormat="false" ht="14.25" hidden="false" customHeight="true" outlineLevel="0" collapsed="false">
      <c r="A103" s="28" t="s">
        <v>188</v>
      </c>
      <c r="B103" s="25" t="s">
        <v>81</v>
      </c>
      <c r="C103" s="8" t="s">
        <v>15</v>
      </c>
      <c r="D103" s="22" t="e">
        <f aca="false">сводн.данные!n108</f>
        <v>#NAME?</v>
      </c>
      <c r="E103" s="23" t="n">
        <v>26924.1740672488</v>
      </c>
      <c r="F103" s="24" t="n">
        <v>2370</v>
      </c>
      <c r="G103" s="35" t="e">
        <f aca="false">D103-E103</f>
        <v>#NAME?</v>
      </c>
    </row>
    <row r="104" customFormat="false" ht="16.5" hidden="false" customHeight="true" outlineLevel="0" collapsed="false">
      <c r="A104" s="28" t="s">
        <v>189</v>
      </c>
      <c r="B104" s="25" t="s">
        <v>83</v>
      </c>
      <c r="C104" s="8" t="s">
        <v>15</v>
      </c>
      <c r="D104" s="22" t="e">
        <f aca="false">сводн.данные!n109</f>
        <v>#NAME?</v>
      </c>
      <c r="E104" s="23" t="n">
        <v>2802.76606208511</v>
      </c>
      <c r="F104" s="24" t="n">
        <v>450</v>
      </c>
      <c r="G104" s="35" t="e">
        <f aca="false">D104-E104</f>
        <v>#NAME?</v>
      </c>
    </row>
    <row r="105" customFormat="false" ht="15" hidden="false" customHeight="false" outlineLevel="0" collapsed="false">
      <c r="A105" s="28" t="s">
        <v>190</v>
      </c>
      <c r="B105" s="25" t="s">
        <v>191</v>
      </c>
      <c r="C105" s="8" t="s">
        <v>15</v>
      </c>
      <c r="D105" s="22" t="e">
        <f aca="false">сводн.данные!n110</f>
        <v>#NAME?</v>
      </c>
      <c r="E105" s="23" t="n">
        <v>3752.43375463951</v>
      </c>
      <c r="F105" s="24" t="n">
        <v>950</v>
      </c>
      <c r="G105" s="35" t="e">
        <f aca="false">D105-E105</f>
        <v>#NAME?</v>
      </c>
    </row>
    <row r="106" customFormat="false" ht="15" hidden="false" customHeight="false" outlineLevel="0" collapsed="false">
      <c r="A106" s="28" t="s">
        <v>192</v>
      </c>
      <c r="B106" s="25" t="s">
        <v>87</v>
      </c>
      <c r="C106" s="8" t="s">
        <v>15</v>
      </c>
      <c r="D106" s="22" t="e">
        <f aca="false">сводн.данные!n111</f>
        <v>#NAME?</v>
      </c>
      <c r="E106" s="23" t="n">
        <v>6693.61312137726</v>
      </c>
      <c r="F106" s="24" t="n">
        <v>950</v>
      </c>
      <c r="G106" s="35" t="e">
        <f aca="false">D106-E106</f>
        <v>#NAME?</v>
      </c>
    </row>
    <row r="107" customFormat="false" ht="17.25" hidden="false" customHeight="true" outlineLevel="0" collapsed="false">
      <c r="A107" s="28" t="s">
        <v>193</v>
      </c>
      <c r="B107" s="25" t="s">
        <v>89</v>
      </c>
      <c r="C107" s="8" t="s">
        <v>15</v>
      </c>
      <c r="D107" s="22" t="e">
        <f aca="false">сводн.данные!n112</f>
        <v>#NAME?</v>
      </c>
      <c r="E107" s="23" t="n">
        <v>7937.59737237849</v>
      </c>
      <c r="F107" s="24" t="n">
        <v>1320</v>
      </c>
      <c r="G107" s="35" t="e">
        <f aca="false">D107-E107</f>
        <v>#NAME?</v>
      </c>
    </row>
    <row r="108" customFormat="false" ht="15" hidden="false" customHeight="false" outlineLevel="0" collapsed="false">
      <c r="A108" s="28" t="s">
        <v>194</v>
      </c>
      <c r="B108" s="25" t="s">
        <v>195</v>
      </c>
      <c r="C108" s="8" t="s">
        <v>15</v>
      </c>
      <c r="D108" s="22" t="e">
        <f aca="false">сводн.данные!n113</f>
        <v>#NAME?</v>
      </c>
      <c r="E108" s="23" t="n">
        <v>6029.24312105654</v>
      </c>
      <c r="F108" s="24" t="n">
        <v>950</v>
      </c>
      <c r="G108" s="35" t="e">
        <f aca="false">D108-E108</f>
        <v>#NAME?</v>
      </c>
    </row>
    <row r="109" customFormat="false" ht="15" hidden="false" customHeight="false" outlineLevel="0" collapsed="false">
      <c r="A109" s="28" t="s">
        <v>196</v>
      </c>
      <c r="B109" s="25" t="s">
        <v>197</v>
      </c>
      <c r="C109" s="8" t="s">
        <v>15</v>
      </c>
      <c r="D109" s="22" t="e">
        <f aca="false">сводн.данные!n114</f>
        <v>#NAME?</v>
      </c>
      <c r="E109" s="23" t="n">
        <v>7018.46675909086</v>
      </c>
      <c r="F109" s="24" t="n">
        <v>1510</v>
      </c>
      <c r="G109" s="35" t="e">
        <f aca="false">D109-E109</f>
        <v>#NAME?</v>
      </c>
    </row>
    <row r="110" customFormat="false" ht="15" hidden="false" customHeight="false" outlineLevel="0" collapsed="false">
      <c r="A110" s="28" t="s">
        <v>198</v>
      </c>
      <c r="B110" s="25" t="s">
        <v>199</v>
      </c>
      <c r="C110" s="8" t="s">
        <v>15</v>
      </c>
      <c r="D110" s="22" t="e">
        <f aca="false">сводн.данные!n115</f>
        <v>#NAME?</v>
      </c>
      <c r="E110" s="23" t="n">
        <v>6078.32312105654</v>
      </c>
      <c r="F110" s="24" t="n">
        <v>805</v>
      </c>
      <c r="G110" s="35" t="e">
        <f aca="false">D110-E110</f>
        <v>#NAME?</v>
      </c>
    </row>
    <row r="111" customFormat="false" ht="15" hidden="false" customHeight="false" outlineLevel="0" collapsed="false">
      <c r="A111" s="28" t="s">
        <v>200</v>
      </c>
      <c r="B111" s="25" t="s">
        <v>201</v>
      </c>
      <c r="C111" s="8" t="s">
        <v>15</v>
      </c>
      <c r="D111" s="22" t="e">
        <f aca="false">сводн.данные!n116</f>
        <v>#NAME?</v>
      </c>
      <c r="E111" s="23" t="n">
        <v>6440.26183970463</v>
      </c>
      <c r="F111" s="24" t="n">
        <v>1320</v>
      </c>
      <c r="G111" s="35" t="e">
        <f aca="false">D111-E111</f>
        <v>#NAME?</v>
      </c>
    </row>
    <row r="112" customFormat="false" ht="15" hidden="false" customHeight="false" outlineLevel="0" collapsed="false">
      <c r="A112" s="28" t="s">
        <v>202</v>
      </c>
      <c r="B112" s="25" t="s">
        <v>99</v>
      </c>
      <c r="C112" s="8" t="s">
        <v>15</v>
      </c>
      <c r="D112" s="22" t="e">
        <f aca="false">сводн.данные!n117</f>
        <v>#NAME?</v>
      </c>
      <c r="E112" s="23" t="n">
        <v>6121.46312105654</v>
      </c>
      <c r="F112" s="24" t="n">
        <v>680</v>
      </c>
      <c r="G112" s="35" t="e">
        <f aca="false">D112-E112</f>
        <v>#NAME?</v>
      </c>
    </row>
    <row r="113" customFormat="false" ht="15" hidden="false" customHeight="false" outlineLevel="0" collapsed="false">
      <c r="A113" s="28" t="s">
        <v>203</v>
      </c>
      <c r="B113" s="25" t="s">
        <v>101</v>
      </c>
      <c r="C113" s="8" t="s">
        <v>15</v>
      </c>
      <c r="D113" s="22" t="e">
        <f aca="false">сводн.данные!n118</f>
        <v>#NAME?</v>
      </c>
      <c r="E113" s="23" t="n">
        <v>6364.53045805956</v>
      </c>
      <c r="F113" s="24" t="n">
        <v>1550</v>
      </c>
      <c r="G113" s="35" t="e">
        <f aca="false">D113-E113</f>
        <v>#NAME?</v>
      </c>
    </row>
    <row r="114" customFormat="false" ht="15" hidden="false" customHeight="false" outlineLevel="0" collapsed="false">
      <c r="A114" s="28" t="s">
        <v>204</v>
      </c>
      <c r="B114" s="25" t="s">
        <v>103</v>
      </c>
      <c r="C114" s="8" t="s">
        <v>15</v>
      </c>
      <c r="D114" s="22" t="e">
        <f aca="false">сводн.данные!n119</f>
        <v>#NAME?</v>
      </c>
      <c r="E114" s="23" t="n">
        <v>6818.72312105654</v>
      </c>
      <c r="F114" s="24" t="n">
        <v>590</v>
      </c>
      <c r="G114" s="35" t="e">
        <f aca="false">D114-E114</f>
        <v>#NAME?</v>
      </c>
    </row>
    <row r="115" customFormat="false" ht="15" hidden="false" customHeight="false" outlineLevel="0" collapsed="false">
      <c r="A115" s="28" t="s">
        <v>205</v>
      </c>
      <c r="B115" s="25" t="s">
        <v>105</v>
      </c>
      <c r="C115" s="8" t="s">
        <v>15</v>
      </c>
      <c r="D115" s="22" t="e">
        <f aca="false">сводн.данные!n120</f>
        <v>#NAME?</v>
      </c>
      <c r="E115" s="23" t="n">
        <v>7017.00275909086</v>
      </c>
      <c r="F115" s="24" t="n">
        <v>1640</v>
      </c>
      <c r="G115" s="35" t="e">
        <f aca="false">D115-E115</f>
        <v>#NAME?</v>
      </c>
    </row>
    <row r="116" customFormat="false" ht="15" hidden="false" customHeight="false" outlineLevel="0" collapsed="false">
      <c r="A116" s="28" t="s">
        <v>206</v>
      </c>
      <c r="B116" s="25" t="s">
        <v>107</v>
      </c>
      <c r="C116" s="8" t="s">
        <v>15</v>
      </c>
      <c r="D116" s="22" t="e">
        <f aca="false">сводн.данные!n121</f>
        <v>#NAME?</v>
      </c>
      <c r="E116" s="23" t="n">
        <v>6340.40312105654</v>
      </c>
      <c r="F116" s="24" t="n">
        <v>850</v>
      </c>
      <c r="G116" s="35" t="e">
        <f aca="false">D116-E116</f>
        <v>#NAME?</v>
      </c>
    </row>
    <row r="117" customFormat="false" ht="15" hidden="false" customHeight="false" outlineLevel="0" collapsed="false">
      <c r="A117" s="28" t="s">
        <v>207</v>
      </c>
      <c r="B117" s="25" t="s">
        <v>109</v>
      </c>
      <c r="C117" s="8" t="s">
        <v>15</v>
      </c>
      <c r="D117" s="22" t="e">
        <f aca="false">сводн.данные!n122</f>
        <v>#NAME?</v>
      </c>
      <c r="E117" s="23" t="n">
        <v>6801.28199111828</v>
      </c>
      <c r="F117" s="24" t="n">
        <v>1540</v>
      </c>
      <c r="G117" s="35" t="e">
        <f aca="false">D117-E117</f>
        <v>#NAME?</v>
      </c>
    </row>
    <row r="118" customFormat="false" ht="15" hidden="false" customHeight="false" outlineLevel="0" collapsed="false">
      <c r="A118" s="28" t="s">
        <v>208</v>
      </c>
      <c r="B118" s="21" t="s">
        <v>111</v>
      </c>
      <c r="C118" s="8" t="s">
        <v>15</v>
      </c>
      <c r="D118" s="22" t="e">
        <f aca="false">сводн.данные!n123</f>
        <v>#NAME?</v>
      </c>
      <c r="E118" s="23" t="n">
        <v>3671.73452325352</v>
      </c>
      <c r="F118" s="24" t="n">
        <v>1785</v>
      </c>
      <c r="G118" s="35" t="e">
        <f aca="false">D118-E118</f>
        <v>#NAME?</v>
      </c>
    </row>
    <row r="119" customFormat="false" ht="15" hidden="false" customHeight="false" outlineLevel="0" collapsed="false">
      <c r="A119" s="28" t="s">
        <v>209</v>
      </c>
      <c r="B119" s="21" t="s">
        <v>113</v>
      </c>
      <c r="C119" s="8" t="s">
        <v>15</v>
      </c>
      <c r="D119" s="22" t="e">
        <f aca="false">сводн.данные!n124</f>
        <v>#NAME?</v>
      </c>
      <c r="E119" s="23" t="n">
        <v>5975.31968720055</v>
      </c>
      <c r="F119" s="24" t="n">
        <v>1550</v>
      </c>
      <c r="G119" s="35" t="e">
        <f aca="false">D119-E119</f>
        <v>#NAME?</v>
      </c>
    </row>
    <row r="120" customFormat="false" ht="15" hidden="false" customHeight="false" outlineLevel="0" collapsed="false">
      <c r="A120" s="28" t="s">
        <v>210</v>
      </c>
      <c r="B120" s="21" t="s">
        <v>115</v>
      </c>
      <c r="C120" s="8" t="s">
        <v>15</v>
      </c>
      <c r="D120" s="22" t="e">
        <f aca="false">сводн.данные!n125</f>
        <v>#NAME?</v>
      </c>
      <c r="E120" s="23" t="n">
        <v>6325.76045645599</v>
      </c>
      <c r="F120" s="24" t="n">
        <v>940</v>
      </c>
      <c r="G120" s="35" t="e">
        <f aca="false">D120-E120</f>
        <v>#NAME?</v>
      </c>
    </row>
    <row r="121" customFormat="false" ht="15" hidden="false" customHeight="false" outlineLevel="0" collapsed="false">
      <c r="A121" s="28" t="s">
        <v>211</v>
      </c>
      <c r="B121" s="25" t="s">
        <v>117</v>
      </c>
      <c r="C121" s="8" t="s">
        <v>15</v>
      </c>
      <c r="D121" s="22" t="e">
        <f aca="false">сводн.данные!n126</f>
        <v>#NAME?</v>
      </c>
      <c r="E121" s="23" t="n">
        <v>6568.65682909554</v>
      </c>
      <c r="F121" s="24" t="n">
        <v>1035</v>
      </c>
      <c r="G121" s="35" t="e">
        <f aca="false">D121-E121</f>
        <v>#NAME?</v>
      </c>
    </row>
    <row r="122" customFormat="false" ht="13.5" hidden="false" customHeight="true" outlineLevel="0" collapsed="false">
      <c r="A122" s="28" t="s">
        <v>212</v>
      </c>
      <c r="B122" s="21" t="s">
        <v>119</v>
      </c>
      <c r="C122" s="8" t="s">
        <v>15</v>
      </c>
      <c r="D122" s="22" t="e">
        <f aca="false">сводн.данные!n127</f>
        <v>#NAME?</v>
      </c>
      <c r="E122" s="23" t="n">
        <v>6279.00682428481</v>
      </c>
      <c r="F122" s="24" t="n">
        <v>940</v>
      </c>
      <c r="G122" s="35" t="e">
        <f aca="false">D122-E122</f>
        <v>#NAME?</v>
      </c>
    </row>
    <row r="123" customFormat="false" ht="15" hidden="false" customHeight="false" outlineLevel="0" collapsed="false">
      <c r="A123" s="28" t="s">
        <v>213</v>
      </c>
      <c r="B123" s="21" t="s">
        <v>121</v>
      </c>
      <c r="C123" s="8" t="s">
        <v>15</v>
      </c>
      <c r="D123" s="36" t="e">
        <f aca="false">сводн.данные!n128</f>
        <v>#NAME?</v>
      </c>
      <c r="E123" s="37" t="n">
        <v>5468.86347923487</v>
      </c>
      <c r="F123" s="38" t="n">
        <v>1450</v>
      </c>
      <c r="G123" s="35" t="e">
        <f aca="false">D123-E123</f>
        <v>#NAME?</v>
      </c>
    </row>
    <row r="124" customFormat="false" ht="15" hidden="false" customHeight="true" outlineLevel="0" collapsed="false">
      <c r="A124" s="28" t="s">
        <v>214</v>
      </c>
      <c r="B124" s="21" t="s">
        <v>123</v>
      </c>
      <c r="C124" s="8" t="s">
        <v>15</v>
      </c>
      <c r="D124" s="36" t="e">
        <f aca="false">сводн.данные!n129</f>
        <v>#NAME?</v>
      </c>
      <c r="E124" s="37" t="n">
        <v>20017.6035974211</v>
      </c>
      <c r="F124" s="38" t="n">
        <v>2200</v>
      </c>
      <c r="G124" s="35" t="e">
        <f aca="false">D124-E124</f>
        <v>#NAME?</v>
      </c>
    </row>
    <row r="125" customFormat="false" ht="15" hidden="false" customHeight="false" outlineLevel="0" collapsed="false">
      <c r="A125" s="28" t="s">
        <v>215</v>
      </c>
      <c r="B125" s="25" t="s">
        <v>125</v>
      </c>
      <c r="C125" s="8" t="s">
        <v>15</v>
      </c>
      <c r="D125" s="22" t="e">
        <f aca="false">сводн.данные!n130</f>
        <v>#NAME?</v>
      </c>
      <c r="E125" s="23" t="n">
        <v>3827.82070329596</v>
      </c>
      <c r="F125" s="24" t="n">
        <v>915</v>
      </c>
      <c r="G125" s="35" t="e">
        <f aca="false">D125-E125</f>
        <v>#NAME?</v>
      </c>
    </row>
    <row r="126" customFormat="false" ht="15" hidden="false" customHeight="false" outlineLevel="0" collapsed="false">
      <c r="A126" s="28" t="s">
        <v>216</v>
      </c>
      <c r="B126" s="25" t="s">
        <v>127</v>
      </c>
      <c r="C126" s="8" t="s">
        <v>15</v>
      </c>
      <c r="D126" s="22" t="e">
        <f aca="false">сводн.данные!n131</f>
        <v>#NAME?</v>
      </c>
      <c r="E126" s="23" t="n">
        <v>3612</v>
      </c>
      <c r="F126" s="24" t="n">
        <v>615</v>
      </c>
      <c r="G126" s="35" t="e">
        <f aca="false">D126-E126</f>
        <v>#NAME?</v>
      </c>
    </row>
    <row r="127" customFormat="false" ht="15" hidden="false" customHeight="false" outlineLevel="0" collapsed="false">
      <c r="A127" s="28" t="s">
        <v>217</v>
      </c>
      <c r="B127" s="25" t="s">
        <v>129</v>
      </c>
      <c r="C127" s="8" t="s">
        <v>15</v>
      </c>
      <c r="D127" s="22" t="e">
        <f aca="false">сводн.данные!n132</f>
        <v>#NAME?</v>
      </c>
      <c r="E127" s="23" t="n">
        <v>3323.36397988194</v>
      </c>
      <c r="F127" s="24" t="n">
        <v>1260</v>
      </c>
      <c r="G127" s="35" t="e">
        <f aca="false">D127-E127</f>
        <v>#NAME?</v>
      </c>
    </row>
    <row r="128" customFormat="false" ht="15" hidden="false" customHeight="false" outlineLevel="0" collapsed="false">
      <c r="A128" s="28" t="s">
        <v>218</v>
      </c>
      <c r="B128" s="25" t="s">
        <v>131</v>
      </c>
      <c r="C128" s="8" t="s">
        <v>15</v>
      </c>
      <c r="D128" s="22" t="e">
        <f aca="false">сводн.данные!n133</f>
        <v>#NAME?</v>
      </c>
      <c r="E128" s="23" t="n">
        <v>3893.23965774868</v>
      </c>
      <c r="F128" s="24" t="n">
        <v>2000</v>
      </c>
      <c r="G128" s="35" t="e">
        <f aca="false">D128-E128</f>
        <v>#NAME?</v>
      </c>
    </row>
    <row r="129" customFormat="false" ht="15" hidden="false" customHeight="false" outlineLevel="0" collapsed="false">
      <c r="A129" s="28" t="s">
        <v>219</v>
      </c>
      <c r="B129" s="25" t="s">
        <v>133</v>
      </c>
      <c r="C129" s="8" t="s">
        <v>15</v>
      </c>
      <c r="D129" s="22" t="e">
        <f aca="false">сводн.данные!n134</f>
        <v>#NAME?</v>
      </c>
      <c r="E129" s="23" t="n">
        <v>6707.72052553077</v>
      </c>
      <c r="F129" s="24" t="n">
        <v>0</v>
      </c>
      <c r="G129" s="35" t="e">
        <f aca="false">D129-E129</f>
        <v>#NAME?</v>
      </c>
    </row>
    <row r="130" customFormat="false" ht="15" hidden="false" customHeight="false" outlineLevel="0" collapsed="false">
      <c r="A130" s="28" t="s">
        <v>220</v>
      </c>
      <c r="B130" s="25" t="s">
        <v>221</v>
      </c>
      <c r="C130" s="8" t="s">
        <v>15</v>
      </c>
      <c r="D130" s="22" t="e">
        <f aca="false">сводн.данные!n135</f>
        <v>#NAME?</v>
      </c>
      <c r="E130" s="23" t="n">
        <v>4614.3437523945</v>
      </c>
      <c r="F130" s="24" t="n">
        <v>590</v>
      </c>
      <c r="G130" s="35" t="e">
        <f aca="false">D130-E130</f>
        <v>#NAME?</v>
      </c>
    </row>
    <row r="131" customFormat="false" ht="15" hidden="false" customHeight="false" outlineLevel="0" collapsed="false">
      <c r="A131" s="28" t="s">
        <v>222</v>
      </c>
      <c r="B131" s="25" t="s">
        <v>135</v>
      </c>
      <c r="C131" s="8" t="s">
        <v>15</v>
      </c>
      <c r="D131" s="22" t="e">
        <f aca="false">сводн.данные!n136</f>
        <v>#NAME?</v>
      </c>
      <c r="E131" s="23" t="n">
        <v>6228.59995761718</v>
      </c>
      <c r="F131" s="24" t="n">
        <v>0</v>
      </c>
      <c r="G131" s="35" t="e">
        <f aca="false">D131-E131</f>
        <v>#NAME?</v>
      </c>
    </row>
    <row r="132" customFormat="false" ht="15" hidden="false" customHeight="false" outlineLevel="0" collapsed="false">
      <c r="A132" s="28" t="s">
        <v>223</v>
      </c>
      <c r="B132" s="25" t="s">
        <v>137</v>
      </c>
      <c r="C132" s="8" t="s">
        <v>15</v>
      </c>
      <c r="D132" s="22" t="e">
        <f aca="false">сводн.данные!n137</f>
        <v>#NAME?</v>
      </c>
      <c r="E132" s="23" t="n">
        <v>6228.59995761718</v>
      </c>
      <c r="F132" s="24" t="n">
        <v>0</v>
      </c>
      <c r="G132" s="35" t="e">
        <f aca="false">D132-E132</f>
        <v>#NAME?</v>
      </c>
    </row>
    <row r="133" customFormat="false" ht="15" hidden="false" customHeight="false" outlineLevel="0" collapsed="false">
      <c r="A133" s="28" t="s">
        <v>224</v>
      </c>
      <c r="B133" s="21" t="s">
        <v>225</v>
      </c>
      <c r="C133" s="8" t="s">
        <v>15</v>
      </c>
      <c r="D133" s="22" t="e">
        <f aca="false">сводн.данные!n138</f>
        <v>#NAME?</v>
      </c>
      <c r="E133" s="23" t="n">
        <v>2953.71160159746</v>
      </c>
      <c r="F133" s="24" t="n">
        <v>510</v>
      </c>
      <c r="G133" s="35" t="e">
        <f aca="false">D133-E133</f>
        <v>#NAME?</v>
      </c>
    </row>
    <row r="134" customFormat="false" ht="15" hidden="false" customHeight="false" outlineLevel="0" collapsed="false">
      <c r="A134" s="15" t="s">
        <v>226</v>
      </c>
      <c r="B134" s="16" t="s">
        <v>227</v>
      </c>
      <c r="C134" s="17"/>
      <c r="D134" s="32"/>
      <c r="E134" s="33"/>
      <c r="F134" s="34"/>
      <c r="G134" s="39"/>
    </row>
    <row r="135" customFormat="false" ht="15" hidden="false" customHeight="false" outlineLevel="0" collapsed="false">
      <c r="A135" s="28" t="s">
        <v>228</v>
      </c>
      <c r="B135" s="25" t="s">
        <v>229</v>
      </c>
      <c r="C135" s="8" t="s">
        <v>15</v>
      </c>
      <c r="D135" s="22" t="e">
        <f aca="false">сводн.данные!n140</f>
        <v>#NAME?</v>
      </c>
      <c r="E135" s="23" t="n">
        <v>1868.35735190665</v>
      </c>
      <c r="F135" s="24" t="n">
        <v>285</v>
      </c>
      <c r="G135" s="35" t="e">
        <f aca="false">D135-E135</f>
        <v>#NAME?</v>
      </c>
    </row>
    <row r="136" customFormat="false" ht="15" hidden="false" customHeight="false" outlineLevel="0" collapsed="false">
      <c r="A136" s="28" t="s">
        <v>230</v>
      </c>
      <c r="B136" s="25" t="s">
        <v>231</v>
      </c>
      <c r="C136" s="8" t="s">
        <v>15</v>
      </c>
      <c r="D136" s="22" t="e">
        <f aca="false">сводн.данные!n141</f>
        <v>#NAME?</v>
      </c>
      <c r="E136" s="23" t="n">
        <v>1437.63477395578</v>
      </c>
      <c r="F136" s="24" t="n">
        <v>535</v>
      </c>
      <c r="G136" s="35" t="e">
        <f aca="false">D136-E136</f>
        <v>#NAME?</v>
      </c>
    </row>
    <row r="137" customFormat="false" ht="15" hidden="false" customHeight="false" outlineLevel="0" collapsed="false">
      <c r="A137" s="28" t="s">
        <v>232</v>
      </c>
      <c r="B137" s="25" t="s">
        <v>233</v>
      </c>
      <c r="C137" s="8" t="s">
        <v>15</v>
      </c>
      <c r="D137" s="22" t="e">
        <f aca="false">сводн.данные!n142</f>
        <v>#NAME?</v>
      </c>
      <c r="E137" s="23" t="n">
        <v>2054.06671032593</v>
      </c>
      <c r="F137" s="24" t="n">
        <v>280</v>
      </c>
      <c r="G137" s="35" t="e">
        <f aca="false">D137-E137</f>
        <v>#NAME?</v>
      </c>
    </row>
    <row r="138" customFormat="false" ht="15" hidden="false" customHeight="false" outlineLevel="0" collapsed="false">
      <c r="A138" s="28" t="s">
        <v>234</v>
      </c>
      <c r="B138" s="25" t="s">
        <v>39</v>
      </c>
      <c r="C138" s="8" t="s">
        <v>15</v>
      </c>
      <c r="D138" s="22" t="e">
        <f aca="false">сводн.данные!n143</f>
        <v>#NAME?</v>
      </c>
      <c r="E138" s="23" t="n">
        <v>2015.94760252028</v>
      </c>
      <c r="F138" s="24" t="n">
        <v>700</v>
      </c>
      <c r="G138" s="35" t="e">
        <f aca="false">D138-E138</f>
        <v>#NAME?</v>
      </c>
    </row>
    <row r="139" customFormat="false" ht="15" hidden="false" customHeight="false" outlineLevel="0" collapsed="false">
      <c r="A139" s="28" t="s">
        <v>235</v>
      </c>
      <c r="B139" s="25" t="s">
        <v>236</v>
      </c>
      <c r="C139" s="8" t="s">
        <v>15</v>
      </c>
      <c r="D139" s="22" t="e">
        <f aca="false">сводн.данные!n144</f>
        <v>#NAME?</v>
      </c>
      <c r="E139" s="23" t="n">
        <v>1763.78991156946</v>
      </c>
      <c r="F139" s="24" t="n">
        <v>1400</v>
      </c>
      <c r="G139" s="35" t="e">
        <f aca="false">D139-E139</f>
        <v>#NAME?</v>
      </c>
    </row>
    <row r="140" customFormat="false" ht="15" hidden="false" customHeight="false" outlineLevel="0" collapsed="false">
      <c r="A140" s="28" t="s">
        <v>237</v>
      </c>
      <c r="B140" s="25" t="s">
        <v>238</v>
      </c>
      <c r="C140" s="8" t="s">
        <v>15</v>
      </c>
      <c r="D140" s="22" t="e">
        <f aca="false">сводн.данные!n145</f>
        <v>#NAME?</v>
      </c>
      <c r="E140" s="23" t="n">
        <v>3288.74529603683</v>
      </c>
      <c r="F140" s="24" t="n">
        <v>1345</v>
      </c>
      <c r="G140" s="35" t="e">
        <f aca="false">D140-E140</f>
        <v>#NAME?</v>
      </c>
    </row>
    <row r="141" customFormat="false" ht="15" hidden="false" customHeight="false" outlineLevel="0" collapsed="false">
      <c r="A141" s="28" t="s">
        <v>239</v>
      </c>
      <c r="B141" s="25" t="s">
        <v>240</v>
      </c>
      <c r="C141" s="8" t="s">
        <v>15</v>
      </c>
      <c r="D141" s="22" t="e">
        <f aca="false">сводн.данные!n146</f>
        <v>#NAME?</v>
      </c>
      <c r="E141" s="23" t="n">
        <v>2011.21144943891</v>
      </c>
      <c r="F141" s="24" t="n">
        <v>1355</v>
      </c>
      <c r="G141" s="35" t="e">
        <f aca="false">D141-E141</f>
        <v>#NAME?</v>
      </c>
    </row>
    <row r="142" customFormat="false" ht="15" hidden="false" customHeight="false" outlineLevel="0" collapsed="false">
      <c r="A142" s="28" t="s">
        <v>241</v>
      </c>
      <c r="B142" s="25" t="s">
        <v>242</v>
      </c>
      <c r="C142" s="8" t="s">
        <v>15</v>
      </c>
      <c r="D142" s="22" t="e">
        <f aca="false">сводн.данные!n147</f>
        <v>#NAME?</v>
      </c>
      <c r="E142" s="23" t="n">
        <v>2960.69440159746</v>
      </c>
      <c r="F142" s="24" t="n">
        <v>410</v>
      </c>
      <c r="G142" s="35" t="e">
        <f aca="false">D142-E142</f>
        <v>#NAME?</v>
      </c>
    </row>
    <row r="143" customFormat="false" ht="15" hidden="false" customHeight="false" outlineLevel="0" collapsed="false">
      <c r="A143" s="28" t="s">
        <v>243</v>
      </c>
      <c r="B143" s="25" t="s">
        <v>244</v>
      </c>
      <c r="C143" s="8" t="s">
        <v>15</v>
      </c>
      <c r="D143" s="22" t="e">
        <f aca="false">сводн.данные!n148</f>
        <v>#NAME?</v>
      </c>
      <c r="E143" s="23" t="n">
        <v>2116.26825011967</v>
      </c>
      <c r="F143" s="24" t="n">
        <v>545</v>
      </c>
      <c r="G143" s="35" t="e">
        <f aca="false">D143-E143</f>
        <v>#NAME?</v>
      </c>
    </row>
    <row r="144" customFormat="false" ht="15" hidden="false" customHeight="false" outlineLevel="0" collapsed="false">
      <c r="A144" s="28" t="s">
        <v>245</v>
      </c>
      <c r="B144" s="25" t="s">
        <v>246</v>
      </c>
      <c r="C144" s="8" t="s">
        <v>15</v>
      </c>
      <c r="D144" s="22" t="e">
        <f aca="false">сводн.данные!n149</f>
        <v>#NAME?</v>
      </c>
      <c r="E144" s="23" t="n">
        <v>1820.54671225022</v>
      </c>
      <c r="F144" s="24" t="n">
        <v>565</v>
      </c>
      <c r="G144" s="35" t="e">
        <f aca="false">D144-E144</f>
        <v>#NAME?</v>
      </c>
    </row>
    <row r="145" customFormat="false" ht="15" hidden="false" customHeight="false" outlineLevel="0" collapsed="false">
      <c r="A145" s="28" t="s">
        <v>247</v>
      </c>
      <c r="B145" s="25" t="s">
        <v>170</v>
      </c>
      <c r="C145" s="8" t="s">
        <v>15</v>
      </c>
      <c r="D145" s="22" t="e">
        <f aca="false">сводн.данные!n150</f>
        <v>#NAME?</v>
      </c>
      <c r="E145" s="23" t="n">
        <v>1731.69785947329</v>
      </c>
      <c r="F145" s="24" t="n">
        <v>285</v>
      </c>
      <c r="G145" s="35" t="e">
        <f aca="false">D145-E145</f>
        <v>#NAME?</v>
      </c>
    </row>
    <row r="146" customFormat="false" ht="15" hidden="false" customHeight="false" outlineLevel="0" collapsed="false">
      <c r="A146" s="28" t="s">
        <v>248</v>
      </c>
      <c r="B146" s="25" t="s">
        <v>249</v>
      </c>
      <c r="C146" s="8" t="s">
        <v>15</v>
      </c>
      <c r="D146" s="22" t="e">
        <f aca="false">сводн.данные!n151</f>
        <v>#NAME?</v>
      </c>
      <c r="E146" s="23" t="n">
        <v>2718.65298730836</v>
      </c>
      <c r="F146" s="24" t="n">
        <v>1375</v>
      </c>
      <c r="G146" s="35" t="n">
        <v>476.147533941985</v>
      </c>
    </row>
    <row r="147" customFormat="false" ht="15" hidden="false" customHeight="false" outlineLevel="0" collapsed="false">
      <c r="A147" s="28" t="s">
        <v>250</v>
      </c>
      <c r="B147" s="25" t="s">
        <v>131</v>
      </c>
      <c r="C147" s="8" t="s">
        <v>15</v>
      </c>
      <c r="D147" s="22" t="e">
        <f aca="false">сводн.данные!n152</f>
        <v>#NAME?</v>
      </c>
      <c r="E147" s="23" t="n">
        <v>3302.76927472454</v>
      </c>
      <c r="F147" s="24" t="n">
        <v>920</v>
      </c>
      <c r="G147" s="35" t="n">
        <v>632.36027577083</v>
      </c>
    </row>
    <row r="148" customFormat="false" ht="30" hidden="false" customHeight="false" outlineLevel="0" collapsed="false">
      <c r="A148" s="28" t="s">
        <v>251</v>
      </c>
      <c r="B148" s="25" t="s">
        <v>252</v>
      </c>
      <c r="C148" s="8" t="s">
        <v>15</v>
      </c>
      <c r="D148" s="22" t="e">
        <f aca="false">сводн.данные!n153</f>
        <v>#NAME?</v>
      </c>
      <c r="E148" s="23" t="n">
        <v>39856.1437943277</v>
      </c>
      <c r="F148" s="24" t="n">
        <v>1065</v>
      </c>
      <c r="G148" s="35" t="e">
        <f aca="false">D148-E148</f>
        <v>#NAME?</v>
      </c>
    </row>
    <row r="149" customFormat="false" ht="30" hidden="false" customHeight="false" outlineLevel="0" collapsed="false">
      <c r="A149" s="28" t="s">
        <v>253</v>
      </c>
      <c r="B149" s="25" t="s">
        <v>254</v>
      </c>
      <c r="C149" s="8" t="s">
        <v>15</v>
      </c>
      <c r="D149" s="22" t="e">
        <f aca="false">сводн.данные!n154</f>
        <v>#NAME?</v>
      </c>
      <c r="E149" s="23" t="n">
        <v>21905.457735627</v>
      </c>
      <c r="F149" s="24" t="n">
        <v>1060</v>
      </c>
      <c r="G149" s="35" t="e">
        <f aca="false">D149-E149</f>
        <v>#NAME?</v>
      </c>
    </row>
    <row r="150" customFormat="false" ht="30" hidden="false" customHeight="false" outlineLevel="0" collapsed="false">
      <c r="A150" s="28" t="s">
        <v>255</v>
      </c>
      <c r="B150" s="25" t="s">
        <v>256</v>
      </c>
      <c r="C150" s="8" t="s">
        <v>15</v>
      </c>
      <c r="D150" s="22" t="e">
        <f aca="false">сводн.данные!n155</f>
        <v>#NAME?</v>
      </c>
      <c r="E150" s="23" t="n">
        <v>25113.4896708441</v>
      </c>
      <c r="F150" s="24" t="n">
        <v>1425</v>
      </c>
      <c r="G150" s="35" t="e">
        <f aca="false">D150-E150</f>
        <v>#NAME?</v>
      </c>
    </row>
    <row r="151" customFormat="false" ht="48.75" hidden="false" customHeight="true" outlineLevel="0" collapsed="false">
      <c r="A151" s="28" t="s">
        <v>257</v>
      </c>
      <c r="B151" s="40" t="s">
        <v>258</v>
      </c>
      <c r="C151" s="8" t="s">
        <v>15</v>
      </c>
      <c r="D151" s="22" t="e">
        <f aca="false">сводн.данные!n156</f>
        <v>#NAME?</v>
      </c>
      <c r="E151" s="23" t="n">
        <v>2007.36982289935</v>
      </c>
      <c r="F151" s="24" t="n">
        <v>1065</v>
      </c>
      <c r="G151" s="35" t="e">
        <f aca="false">D151-E151</f>
        <v>#NAME?</v>
      </c>
    </row>
    <row r="152" customFormat="false" ht="15" hidden="false" customHeight="false" outlineLevel="0" collapsed="false">
      <c r="A152" s="28" t="s">
        <v>259</v>
      </c>
      <c r="B152" s="40" t="s">
        <v>260</v>
      </c>
      <c r="C152" s="8" t="s">
        <v>15</v>
      </c>
      <c r="D152" s="22" t="e">
        <f aca="false">сводн.данные!n157</f>
        <v>#NAME?</v>
      </c>
      <c r="E152" s="23" t="n">
        <v>2027.34709623651</v>
      </c>
      <c r="F152" s="24" t="n">
        <v>0</v>
      </c>
      <c r="G152" s="35" t="e">
        <f aca="false">D152-E152</f>
        <v>#NAME?</v>
      </c>
    </row>
    <row r="153" customFormat="false" ht="15" hidden="false" customHeight="false" outlineLevel="0" collapsed="false">
      <c r="A153" s="28" t="s">
        <v>261</v>
      </c>
      <c r="B153" s="41" t="s">
        <v>262</v>
      </c>
      <c r="C153" s="8" t="s">
        <v>15</v>
      </c>
      <c r="D153" s="22" t="e">
        <f aca="false">сводн.данные!n158</f>
        <v>#NAME?</v>
      </c>
      <c r="E153" s="23" t="n">
        <v>1021.37671321237</v>
      </c>
      <c r="F153" s="24" t="n">
        <v>500</v>
      </c>
      <c r="G153" s="35" t="e">
        <f aca="false">D153-E153</f>
        <v>#NAME?</v>
      </c>
    </row>
    <row r="154" customFormat="false" ht="105" hidden="false" customHeight="true" outlineLevel="0" collapsed="false">
      <c r="A154" s="15" t="s">
        <v>263</v>
      </c>
      <c r="B154" s="42" t="s">
        <v>264</v>
      </c>
      <c r="C154" s="17"/>
      <c r="D154" s="17"/>
      <c r="E154" s="33"/>
      <c r="F154" s="34"/>
      <c r="G154" s="39"/>
    </row>
    <row r="155" customFormat="false" ht="15" hidden="false" customHeight="false" outlineLevel="0" collapsed="false">
      <c r="A155" s="43" t="s">
        <v>265</v>
      </c>
      <c r="B155" s="44" t="s">
        <v>266</v>
      </c>
      <c r="D155" s="22" t="e">
        <f aca="false">сводн.данные!n160</f>
        <v>#NAME?</v>
      </c>
      <c r="E155" s="23" t="n">
        <v>465.373076059612</v>
      </c>
      <c r="F155" s="24" t="n">
        <v>280</v>
      </c>
      <c r="G155" s="35" t="e">
        <f aca="false">D155-E155</f>
        <v>#NAME?</v>
      </c>
    </row>
    <row r="156" customFormat="false" ht="15" hidden="false" customHeight="false" outlineLevel="0" collapsed="false">
      <c r="A156" s="43" t="s">
        <v>267</v>
      </c>
      <c r="B156" s="44" t="s">
        <v>19</v>
      </c>
      <c r="D156" s="22" t="e">
        <f aca="false">сводн.данные!n161</f>
        <v>#NAME?</v>
      </c>
      <c r="E156" s="23" t="n">
        <v>448.654614570491</v>
      </c>
      <c r="F156" s="24" t="n">
        <v>280</v>
      </c>
      <c r="G156" s="35" t="e">
        <f aca="false">D156-E156</f>
        <v>#NAME?</v>
      </c>
    </row>
    <row r="157" customFormat="false" ht="15" hidden="false" customHeight="false" outlineLevel="0" collapsed="false">
      <c r="A157" s="43" t="s">
        <v>268</v>
      </c>
      <c r="B157" s="44" t="s">
        <v>14</v>
      </c>
      <c r="D157" s="22" t="e">
        <f aca="false">сводн.данные!n162</f>
        <v>#NAME?</v>
      </c>
      <c r="E157" s="23" t="n">
        <v>448.654614570491</v>
      </c>
      <c r="F157" s="24" t="n">
        <v>280</v>
      </c>
      <c r="G157" s="35" t="e">
        <f aca="false">D157-E157</f>
        <v>#NAME?</v>
      </c>
    </row>
    <row r="158" customFormat="false" ht="15.75" hidden="false" customHeight="true" outlineLevel="0" collapsed="false">
      <c r="A158" s="43" t="s">
        <v>269</v>
      </c>
      <c r="B158" s="45" t="s">
        <v>270</v>
      </c>
      <c r="C158" s="8" t="s">
        <v>15</v>
      </c>
      <c r="D158" s="22" t="e">
        <f aca="false">сводн.данные!n163</f>
        <v>#NAME?</v>
      </c>
      <c r="E158" s="23" t="n">
        <v>1745.76708075996</v>
      </c>
      <c r="F158" s="24" t="n">
        <v>515</v>
      </c>
      <c r="G158" s="35" t="e">
        <f aca="false">D158-E158</f>
        <v>#NAME?</v>
      </c>
    </row>
    <row r="159" customFormat="false" ht="15" hidden="false" customHeight="false" outlineLevel="0" collapsed="false">
      <c r="A159" s="43" t="s">
        <v>271</v>
      </c>
      <c r="B159" s="44" t="s">
        <v>272</v>
      </c>
      <c r="C159" s="8" t="s">
        <v>15</v>
      </c>
      <c r="D159" s="22" t="e">
        <f aca="false">сводн.данные!n164</f>
        <v>#NAME?</v>
      </c>
      <c r="E159" s="23" t="n">
        <v>473.732306804173</v>
      </c>
      <c r="F159" s="24" t="n">
        <v>1290</v>
      </c>
      <c r="G159" s="35" t="e">
        <f aca="false">D159-E159</f>
        <v>#NAME?</v>
      </c>
    </row>
    <row r="160" customFormat="false" ht="15" hidden="false" customHeight="false" outlineLevel="0" collapsed="false">
      <c r="A160" s="43" t="s">
        <v>273</v>
      </c>
      <c r="B160" s="44" t="s">
        <v>274</v>
      </c>
      <c r="C160" s="8" t="s">
        <v>15</v>
      </c>
      <c r="D160" s="22" t="e">
        <f aca="false">сводн.данные!n165</f>
        <v>#NAME?</v>
      </c>
      <c r="E160" s="23" t="n">
        <v>493.350357824581</v>
      </c>
      <c r="F160" s="24" t="n">
        <v>0</v>
      </c>
      <c r="G160" s="35" t="e">
        <f aca="false">D160-E160</f>
        <v>#NAME?</v>
      </c>
    </row>
    <row r="161" customFormat="false" ht="15" hidden="false" customHeight="false" outlineLevel="0" collapsed="false">
      <c r="A161" s="43" t="s">
        <v>275</v>
      </c>
      <c r="B161" s="44" t="s">
        <v>276</v>
      </c>
      <c r="C161" s="8" t="s">
        <v>15</v>
      </c>
      <c r="D161" s="22" t="e">
        <f aca="false">сводн.данные!n166</f>
        <v>#NAME?</v>
      </c>
      <c r="E161" s="23"/>
      <c r="F161" s="24"/>
      <c r="G161" s="35" t="e">
        <f aca="false">D161-E161</f>
        <v>#NAME?</v>
      </c>
    </row>
    <row r="162" customFormat="false" ht="15" hidden="false" customHeight="false" outlineLevel="0" collapsed="false">
      <c r="A162" s="43" t="s">
        <v>277</v>
      </c>
      <c r="B162" s="44" t="s">
        <v>278</v>
      </c>
      <c r="C162" s="8" t="s">
        <v>15</v>
      </c>
      <c r="D162" s="22" t="e">
        <f aca="false">сводн.данные!n167</f>
        <v>#NAME?</v>
      </c>
      <c r="E162" s="23"/>
      <c r="F162" s="24"/>
      <c r="G162" s="35" t="e">
        <f aca="false">D162-E162</f>
        <v>#NAME?</v>
      </c>
    </row>
    <row r="163" customFormat="false" ht="48.75" hidden="false" customHeight="true" outlineLevel="0" collapsed="false">
      <c r="A163" s="43" t="s">
        <v>279</v>
      </c>
      <c r="B163" s="44" t="s">
        <v>280</v>
      </c>
      <c r="C163" s="8" t="s">
        <v>15</v>
      </c>
      <c r="D163" s="22" t="e">
        <f aca="false">сводн.данные!n168</f>
        <v>#NAME?</v>
      </c>
      <c r="E163" s="23"/>
      <c r="F163" s="24"/>
      <c r="G163" s="35" t="e">
        <f aca="false">D163-E163</f>
        <v>#NAME?</v>
      </c>
    </row>
    <row r="164" customFormat="false" ht="45" hidden="false" customHeight="false" outlineLevel="0" collapsed="false">
      <c r="A164" s="43" t="s">
        <v>281</v>
      </c>
      <c r="B164" s="44" t="s">
        <v>282</v>
      </c>
      <c r="C164" s="8" t="s">
        <v>15</v>
      </c>
      <c r="D164" s="22" t="e">
        <f aca="false">сводн.данные!n169</f>
        <v>#NAME?</v>
      </c>
      <c r="E164" s="23" t="n">
        <v>4107.09132200998</v>
      </c>
      <c r="F164" s="24" t="n">
        <v>720</v>
      </c>
      <c r="G164" s="35" t="e">
        <f aca="false">D164-E164</f>
        <v>#NAME?</v>
      </c>
    </row>
    <row r="165" customFormat="false" ht="30" hidden="false" customHeight="false" outlineLevel="0" collapsed="false">
      <c r="A165" s="43" t="s">
        <v>283</v>
      </c>
      <c r="B165" s="44" t="s">
        <v>284</v>
      </c>
      <c r="C165" s="8" t="s">
        <v>15</v>
      </c>
      <c r="D165" s="22" t="e">
        <f aca="false">сводн.данные!n170</f>
        <v>#NAME?</v>
      </c>
      <c r="E165" s="23" t="n">
        <v>4107.09132200998</v>
      </c>
      <c r="F165" s="24" t="n">
        <v>720</v>
      </c>
      <c r="G165" s="35" t="e">
        <f aca="false">D165-E165</f>
        <v>#NAME?</v>
      </c>
    </row>
    <row r="166" customFormat="false" ht="15" hidden="false" customHeight="false" outlineLevel="0" collapsed="false">
      <c r="A166" s="43" t="s">
        <v>285</v>
      </c>
      <c r="B166" s="44" t="s">
        <v>286</v>
      </c>
      <c r="C166" s="8" t="s">
        <v>15</v>
      </c>
      <c r="D166" s="22" t="e">
        <f aca="false">сводн.данные!n171</f>
        <v>#NAME?</v>
      </c>
      <c r="E166" s="23" t="n">
        <v>4494.46978414053</v>
      </c>
      <c r="F166" s="24" t="n">
        <v>550</v>
      </c>
      <c r="G166" s="35" t="e">
        <f aca="false">D166-E166</f>
        <v>#NAME?</v>
      </c>
    </row>
    <row r="167" customFormat="false" ht="15" hidden="false" customHeight="false" outlineLevel="0" collapsed="false">
      <c r="A167" s="43" t="s">
        <v>287</v>
      </c>
      <c r="B167" s="44" t="s">
        <v>288</v>
      </c>
      <c r="C167" s="8" t="s">
        <v>15</v>
      </c>
      <c r="D167" s="22" t="e">
        <f aca="false">сводн.данные!n172</f>
        <v>#NAME?</v>
      </c>
      <c r="E167" s="23" t="n">
        <v>4360.66978414053</v>
      </c>
      <c r="F167" s="24" t="n">
        <v>445</v>
      </c>
      <c r="G167" s="35" t="e">
        <f aca="false">D167-E167</f>
        <v>#NAME?</v>
      </c>
    </row>
    <row r="168" customFormat="false" ht="15" hidden="false" customHeight="false" outlineLevel="0" collapsed="false">
      <c r="A168" s="43" t="s">
        <v>289</v>
      </c>
      <c r="B168" s="44" t="s">
        <v>290</v>
      </c>
      <c r="C168" s="8" t="s">
        <v>15</v>
      </c>
      <c r="D168" s="22" t="e">
        <f aca="false">сводн.данные!n173</f>
        <v>#NAME?</v>
      </c>
      <c r="E168" s="23" t="n">
        <v>4648.1744003146</v>
      </c>
      <c r="F168" s="24" t="n">
        <v>550</v>
      </c>
      <c r="G168" s="35" t="e">
        <f aca="false">D168-E168</f>
        <v>#NAME?</v>
      </c>
    </row>
    <row r="169" customFormat="false" ht="15" hidden="false" customHeight="false" outlineLevel="0" collapsed="false">
      <c r="A169" s="43" t="s">
        <v>291</v>
      </c>
      <c r="B169" s="44" t="s">
        <v>292</v>
      </c>
      <c r="C169" s="8" t="s">
        <v>15</v>
      </c>
      <c r="D169" s="22" t="e">
        <f aca="false">сводн.данные!n174</f>
        <v>#NAME?</v>
      </c>
      <c r="E169" s="23" t="n">
        <v>3838.42516860789</v>
      </c>
      <c r="F169" s="24" t="n">
        <v>420</v>
      </c>
      <c r="G169" s="35" t="e">
        <f aca="false">D169-E169</f>
        <v>#NAME?</v>
      </c>
    </row>
    <row r="170" customFormat="false" ht="18" hidden="false" customHeight="true" outlineLevel="0" collapsed="false">
      <c r="A170" s="43" t="s">
        <v>293</v>
      </c>
      <c r="B170" s="44" t="s">
        <v>294</v>
      </c>
      <c r="C170" s="8" t="s">
        <v>15</v>
      </c>
      <c r="D170" s="22" t="e">
        <f aca="false">сводн.данные!n175</f>
        <v>#NAME?</v>
      </c>
      <c r="E170" s="23" t="n">
        <v>4413.82516860789</v>
      </c>
      <c r="F170" s="24" t="n">
        <v>550</v>
      </c>
      <c r="G170" s="35" t="e">
        <f aca="false">D170-E170</f>
        <v>#NAME?</v>
      </c>
    </row>
    <row r="171" customFormat="false" ht="30" hidden="false" customHeight="false" outlineLevel="0" collapsed="false">
      <c r="A171" s="43" t="s">
        <v>295</v>
      </c>
      <c r="B171" s="44" t="s">
        <v>296</v>
      </c>
      <c r="C171" s="8" t="s">
        <v>15</v>
      </c>
      <c r="D171" s="22" t="e">
        <f aca="false">сводн.данные!n176</f>
        <v>#NAME?</v>
      </c>
      <c r="E171" s="23" t="n">
        <v>4067.62516860789</v>
      </c>
      <c r="F171" s="24" t="n">
        <v>0</v>
      </c>
      <c r="G171" s="35" t="e">
        <f aca="false">D171-E171</f>
        <v>#NAME?</v>
      </c>
    </row>
    <row r="172" customFormat="false" ht="30" hidden="false" customHeight="false" outlineLevel="0" collapsed="false">
      <c r="A172" s="43" t="s">
        <v>297</v>
      </c>
      <c r="B172" s="44" t="s">
        <v>298</v>
      </c>
      <c r="C172" s="8" t="s">
        <v>15</v>
      </c>
      <c r="D172" s="22" t="e">
        <f aca="false">сводн.данные!n177</f>
        <v>#NAME?</v>
      </c>
      <c r="E172" s="23" t="n">
        <v>5933.10132104783</v>
      </c>
      <c r="F172" s="24" t="n">
        <v>850</v>
      </c>
      <c r="G172" s="35" t="e">
        <f aca="false">D172-E172</f>
        <v>#NAME?</v>
      </c>
    </row>
    <row r="173" customFormat="false" ht="30" hidden="false" customHeight="false" outlineLevel="0" collapsed="false">
      <c r="A173" s="43" t="s">
        <v>299</v>
      </c>
      <c r="B173" s="44" t="s">
        <v>300</v>
      </c>
      <c r="C173" s="8" t="s">
        <v>15</v>
      </c>
      <c r="D173" s="22" t="e">
        <f aca="false">сводн.данные!n178</f>
        <v>#NAME?</v>
      </c>
      <c r="E173" s="23" t="n">
        <v>5946.30132104783</v>
      </c>
      <c r="F173" s="24" t="n">
        <v>605</v>
      </c>
      <c r="G173" s="35" t="e">
        <f aca="false">D173-E173</f>
        <v>#NAME?</v>
      </c>
    </row>
    <row r="174" customFormat="false" ht="30" hidden="false" customHeight="false" outlineLevel="0" collapsed="false">
      <c r="A174" s="43" t="s">
        <v>301</v>
      </c>
      <c r="B174" s="44" t="s">
        <v>302</v>
      </c>
      <c r="C174" s="8" t="s">
        <v>15</v>
      </c>
      <c r="D174" s="22" t="e">
        <f aca="false">сводн.данные!n179</f>
        <v>#NAME?</v>
      </c>
      <c r="E174" s="23" t="n">
        <v>4200.77990675873</v>
      </c>
      <c r="F174" s="24" t="n">
        <v>550</v>
      </c>
      <c r="G174" s="35" t="e">
        <f aca="false">D174-E174</f>
        <v>#NAME?</v>
      </c>
    </row>
    <row r="175" customFormat="false" ht="30" hidden="false" customHeight="false" outlineLevel="0" collapsed="false">
      <c r="A175" s="43" t="s">
        <v>303</v>
      </c>
      <c r="B175" s="44" t="s">
        <v>304</v>
      </c>
      <c r="C175" s="8" t="s">
        <v>15</v>
      </c>
      <c r="D175" s="22" t="e">
        <f aca="false">сводн.данные!n180</f>
        <v>#NAME?</v>
      </c>
      <c r="E175" s="23" t="n">
        <v>4098.17990675873</v>
      </c>
      <c r="F175" s="24" t="n">
        <v>0</v>
      </c>
      <c r="G175" s="35" t="e">
        <f aca="false">D175-E175</f>
        <v>#NAME?</v>
      </c>
    </row>
    <row r="176" customFormat="false" ht="30" hidden="false" customHeight="false" outlineLevel="0" collapsed="false">
      <c r="A176" s="43" t="s">
        <v>305</v>
      </c>
      <c r="B176" s="44" t="s">
        <v>306</v>
      </c>
      <c r="C176" s="8" t="s">
        <v>15</v>
      </c>
      <c r="D176" s="22" t="e">
        <f aca="false">сводн.данные!n181</f>
        <v>#NAME?</v>
      </c>
      <c r="E176" s="23" t="n">
        <v>23229.6974145502</v>
      </c>
      <c r="F176" s="24" t="n">
        <v>0</v>
      </c>
      <c r="G176" s="35" t="e">
        <f aca="false">D176-E176</f>
        <v>#NAME?</v>
      </c>
    </row>
    <row r="177" customFormat="false" ht="30" hidden="false" customHeight="false" outlineLevel="0" collapsed="false">
      <c r="A177" s="43" t="s">
        <v>307</v>
      </c>
      <c r="B177" s="44" t="s">
        <v>308</v>
      </c>
      <c r="C177" s="8" t="s">
        <v>15</v>
      </c>
      <c r="D177" s="22" t="e">
        <f aca="false">сводн.данные!n182</f>
        <v>#NAME?</v>
      </c>
      <c r="E177" s="23" t="n">
        <v>20529.6974145502</v>
      </c>
      <c r="F177" s="24" t="n">
        <v>0</v>
      </c>
      <c r="G177" s="35" t="e">
        <f aca="false">D177-E177</f>
        <v>#NAME?</v>
      </c>
    </row>
    <row r="178" customFormat="false" ht="30" hidden="false" customHeight="false" outlineLevel="0" collapsed="false">
      <c r="A178" s="43" t="s">
        <v>309</v>
      </c>
      <c r="B178" s="44" t="s">
        <v>310</v>
      </c>
      <c r="C178" s="8" t="s">
        <v>15</v>
      </c>
      <c r="D178" s="22" t="e">
        <f aca="false">сводн.данные!n183</f>
        <v>#NAME?</v>
      </c>
      <c r="E178" s="23" t="n">
        <v>24069.6974145502</v>
      </c>
      <c r="F178" s="24" t="n">
        <v>0</v>
      </c>
      <c r="G178" s="35" t="e">
        <f aca="false">D178-E178</f>
        <v>#NAME?</v>
      </c>
    </row>
    <row r="179" customFormat="false" ht="30" hidden="false" customHeight="false" outlineLevel="0" collapsed="false">
      <c r="A179" s="43" t="s">
        <v>311</v>
      </c>
      <c r="B179" s="44" t="s">
        <v>312</v>
      </c>
      <c r="C179" s="8" t="s">
        <v>15</v>
      </c>
      <c r="D179" s="22" t="e">
        <f aca="false">сводн.данные!n184</f>
        <v>#NAME?</v>
      </c>
      <c r="E179" s="23" t="n">
        <v>21275.0358805293</v>
      </c>
      <c r="F179" s="24" t="n">
        <v>0</v>
      </c>
      <c r="G179" s="35" t="e">
        <f aca="false">D179-E179</f>
        <v>#NAME?</v>
      </c>
    </row>
    <row r="180" customFormat="false" ht="30" hidden="false" customHeight="false" outlineLevel="0" collapsed="false">
      <c r="A180" s="43" t="s">
        <v>313</v>
      </c>
      <c r="B180" s="44" t="s">
        <v>314</v>
      </c>
      <c r="C180" s="8" t="s">
        <v>15</v>
      </c>
      <c r="D180" s="22" t="e">
        <f aca="false">сводн.данные!n185</f>
        <v>#NAME?</v>
      </c>
      <c r="E180" s="23" t="n">
        <v>21275.0358805293</v>
      </c>
      <c r="F180" s="24" t="n">
        <v>0</v>
      </c>
      <c r="G180" s="35" t="e">
        <f aca="false">D180-E180</f>
        <v>#NAME?</v>
      </c>
    </row>
    <row r="181" customFormat="false" ht="45" hidden="false" customHeight="false" outlineLevel="0" collapsed="false">
      <c r="A181" s="43" t="s">
        <v>315</v>
      </c>
      <c r="B181" s="46" t="s">
        <v>316</v>
      </c>
      <c r="C181" s="8" t="s">
        <v>15</v>
      </c>
      <c r="D181" s="22" t="e">
        <f aca="false">сводн.данные!n186</f>
        <v>#NAME?</v>
      </c>
      <c r="E181" s="23" t="n">
        <v>7482.03451748064</v>
      </c>
      <c r="F181" s="24" t="n">
        <v>0</v>
      </c>
      <c r="G181" s="35" t="e">
        <f aca="false">D181-E181</f>
        <v>#NAME?</v>
      </c>
    </row>
    <row r="182" customFormat="false" ht="64.5" hidden="false" customHeight="true" outlineLevel="0" collapsed="false">
      <c r="A182" s="43" t="s">
        <v>317</v>
      </c>
      <c r="B182" s="44" t="s">
        <v>318</v>
      </c>
      <c r="C182" s="8" t="s">
        <v>15</v>
      </c>
      <c r="D182" s="22" t="e">
        <f aca="false">сводн.данные!n187</f>
        <v>#NAME?</v>
      </c>
      <c r="E182" s="23"/>
      <c r="F182" s="24"/>
      <c r="G182" s="35" t="e">
        <f aca="false">D182-E182</f>
        <v>#NAME?</v>
      </c>
    </row>
    <row r="183" customFormat="false" ht="30" hidden="false" customHeight="false" outlineLevel="0" collapsed="false">
      <c r="A183" s="43" t="s">
        <v>319</v>
      </c>
      <c r="B183" s="44" t="s">
        <v>320</v>
      </c>
      <c r="C183" s="8" t="s">
        <v>15</v>
      </c>
      <c r="D183" s="22" t="e">
        <f aca="false">сводн.данные!n188</f>
        <v>#NAME?</v>
      </c>
      <c r="E183" s="23"/>
      <c r="F183" s="24"/>
      <c r="G183" s="35" t="e">
        <f aca="false">D183-E183</f>
        <v>#NAME?</v>
      </c>
    </row>
    <row r="184" customFormat="false" ht="29.25" hidden="false" customHeight="true" outlineLevel="0" collapsed="false">
      <c r="A184" s="43" t="s">
        <v>321</v>
      </c>
      <c r="B184" s="44" t="s">
        <v>322</v>
      </c>
      <c r="C184" s="8" t="s">
        <v>323</v>
      </c>
      <c r="D184" s="22" t="e">
        <f aca="false">сводн.данные!n189</f>
        <v>#NAME?</v>
      </c>
      <c r="E184" s="23"/>
      <c r="F184" s="24"/>
      <c r="G184" s="35" t="e">
        <f aca="false">D184-E184</f>
        <v>#NAME?</v>
      </c>
    </row>
    <row r="185" customFormat="false" ht="31.5" hidden="false" customHeight="true" outlineLevel="0" collapsed="false">
      <c r="A185" s="15" t="s">
        <v>324</v>
      </c>
      <c r="B185" s="16" t="s">
        <v>325</v>
      </c>
      <c r="C185" s="17"/>
      <c r="D185" s="17"/>
      <c r="E185" s="33"/>
      <c r="F185" s="34"/>
      <c r="G185" s="39"/>
    </row>
    <row r="186" customFormat="false" ht="15" hidden="false" customHeight="false" outlineLevel="0" collapsed="false">
      <c r="A186" s="20" t="s">
        <v>326</v>
      </c>
      <c r="B186" s="47" t="s">
        <v>327</v>
      </c>
      <c r="C186" s="8" t="s">
        <v>15</v>
      </c>
      <c r="D186" s="22" t="e">
        <f aca="false">сводн.данные!n191</f>
        <v>#NAME?</v>
      </c>
      <c r="E186" s="23" t="n">
        <v>629.279409016629</v>
      </c>
      <c r="F186" s="24" t="n">
        <v>280</v>
      </c>
      <c r="G186" s="35" t="e">
        <f aca="false">D186-E186</f>
        <v>#NAME?</v>
      </c>
    </row>
    <row r="187" customFormat="false" ht="15" hidden="false" customHeight="false" outlineLevel="0" collapsed="false">
      <c r="A187" s="20" t="s">
        <v>328</v>
      </c>
      <c r="B187" s="47" t="s">
        <v>329</v>
      </c>
      <c r="C187" s="8" t="s">
        <v>15</v>
      </c>
      <c r="D187" s="22" t="e">
        <f aca="false">сводн.данные!n192</f>
        <v>#NAME?</v>
      </c>
      <c r="E187" s="23" t="n">
        <v>622.932276929252</v>
      </c>
      <c r="F187" s="24" t="n">
        <v>280</v>
      </c>
      <c r="G187" s="35" t="e">
        <f aca="false">D187-E187</f>
        <v>#NAME?</v>
      </c>
    </row>
    <row r="188" customFormat="false" ht="15" hidden="false" customHeight="false" outlineLevel="0" collapsed="false">
      <c r="A188" s="20" t="s">
        <v>330</v>
      </c>
      <c r="B188" s="47" t="s">
        <v>231</v>
      </c>
      <c r="C188" s="8" t="s">
        <v>15</v>
      </c>
      <c r="D188" s="22" t="e">
        <f aca="false">сводн.данные!n193</f>
        <v>#NAME?</v>
      </c>
      <c r="E188" s="23" t="n">
        <v>2060.71107438513</v>
      </c>
      <c r="F188" s="24" t="n">
        <v>515</v>
      </c>
      <c r="G188" s="35" t="e">
        <f aca="false">D188-E188</f>
        <v>#NAME?</v>
      </c>
    </row>
    <row r="189" customFormat="false" ht="15" hidden="false" customHeight="false" outlineLevel="0" collapsed="false">
      <c r="A189" s="20" t="s">
        <v>331</v>
      </c>
      <c r="B189" s="47" t="s">
        <v>332</v>
      </c>
      <c r="C189" s="8" t="s">
        <v>15</v>
      </c>
      <c r="D189" s="22" t="e">
        <f aca="false">сводн.данные!n194</f>
        <v>#NAME?</v>
      </c>
      <c r="E189" s="23" t="n">
        <v>2529.88793289143</v>
      </c>
      <c r="F189" s="24" t="n">
        <v>390</v>
      </c>
      <c r="G189" s="35" t="e">
        <f aca="false">D189-E189</f>
        <v>#NAME?</v>
      </c>
    </row>
    <row r="190" customFormat="false" ht="15" hidden="false" customHeight="false" outlineLevel="0" collapsed="false">
      <c r="A190" s="20" t="s">
        <v>333</v>
      </c>
      <c r="B190" s="47" t="s">
        <v>334</v>
      </c>
      <c r="C190" s="8" t="s">
        <v>15</v>
      </c>
      <c r="D190" s="22" t="e">
        <f aca="false">сводн.данные!n195</f>
        <v>#NAME?</v>
      </c>
      <c r="E190" s="23" t="n">
        <v>1510.35255291408</v>
      </c>
      <c r="F190" s="24" t="n">
        <v>1290</v>
      </c>
      <c r="G190" s="35" t="e">
        <f aca="false">D190-E190</f>
        <v>#NAME?</v>
      </c>
    </row>
    <row r="191" customFormat="false" ht="15" hidden="false" customHeight="false" outlineLevel="0" collapsed="false">
      <c r="A191" s="20" t="s">
        <v>335</v>
      </c>
      <c r="B191" s="47" t="s">
        <v>336</v>
      </c>
      <c r="C191" s="8" t="s">
        <v>15</v>
      </c>
      <c r="D191" s="22" t="e">
        <f aca="false">сводн.данные!n196</f>
        <v>#NAME?</v>
      </c>
      <c r="E191" s="23" t="n">
        <v>3958.43727395888</v>
      </c>
      <c r="F191" s="24" t="n">
        <v>1200</v>
      </c>
      <c r="G191" s="35" t="e">
        <f aca="false">D191-E191</f>
        <v>#NAME?</v>
      </c>
    </row>
    <row r="192" customFormat="false" ht="15" hidden="false" customHeight="false" outlineLevel="0" collapsed="false">
      <c r="A192" s="20" t="s">
        <v>337</v>
      </c>
      <c r="B192" s="47" t="s">
        <v>338</v>
      </c>
      <c r="C192" s="8" t="s">
        <v>15</v>
      </c>
      <c r="D192" s="22" t="e">
        <f aca="false">сводн.данные!n197</f>
        <v>#NAME?</v>
      </c>
      <c r="E192" s="23" t="n">
        <v>6434.65734016025</v>
      </c>
      <c r="F192" s="24" t="n">
        <v>1100</v>
      </c>
      <c r="G192" s="35" t="e">
        <f aca="false">D192-E192</f>
        <v>#NAME?</v>
      </c>
    </row>
    <row r="193" customFormat="false" ht="15" hidden="false" customHeight="false" outlineLevel="0" collapsed="false">
      <c r="A193" s="20" t="s">
        <v>339</v>
      </c>
      <c r="B193" s="47" t="s">
        <v>340</v>
      </c>
      <c r="C193" s="8" t="s">
        <v>15</v>
      </c>
      <c r="D193" s="22" t="e">
        <f aca="false">сводн.данные!n198</f>
        <v>#NAME?</v>
      </c>
      <c r="E193" s="23" t="n">
        <v>6787.80580132865</v>
      </c>
      <c r="F193" s="24" t="n">
        <v>2015</v>
      </c>
      <c r="G193" s="35" t="e">
        <f aca="false">D193-E193</f>
        <v>#NAME?</v>
      </c>
    </row>
    <row r="194" customFormat="false" ht="15" hidden="false" customHeight="false" outlineLevel="0" collapsed="false">
      <c r="A194" s="20" t="s">
        <v>341</v>
      </c>
      <c r="B194" s="47" t="s">
        <v>342</v>
      </c>
      <c r="C194" s="8" t="s">
        <v>15</v>
      </c>
      <c r="D194" s="22" t="e">
        <f aca="false">сводн.данные!n199</f>
        <v>#NAME?</v>
      </c>
      <c r="E194" s="23" t="n">
        <v>2717.80502348027</v>
      </c>
      <c r="F194" s="24" t="n">
        <v>365</v>
      </c>
      <c r="G194" s="35" t="e">
        <f aca="false">D194-E194</f>
        <v>#NAME?</v>
      </c>
    </row>
    <row r="195" customFormat="false" ht="15" hidden="false" customHeight="false" outlineLevel="0" collapsed="false">
      <c r="A195" s="20" t="s">
        <v>343</v>
      </c>
      <c r="B195" s="47" t="s">
        <v>344</v>
      </c>
      <c r="C195" s="8" t="s">
        <v>15</v>
      </c>
      <c r="D195" s="22" t="e">
        <f aca="false">сводн.данные!n200</f>
        <v>#NAME?</v>
      </c>
      <c r="E195" s="23" t="n">
        <v>3223.05944196414</v>
      </c>
      <c r="F195" s="24" t="n">
        <v>700</v>
      </c>
      <c r="G195" s="35" t="e">
        <f aca="false">D195-E195</f>
        <v>#NAME?</v>
      </c>
    </row>
    <row r="196" customFormat="false" ht="30" hidden="false" customHeight="false" outlineLevel="0" collapsed="false">
      <c r="A196" s="20" t="s">
        <v>345</v>
      </c>
      <c r="B196" s="47" t="s">
        <v>346</v>
      </c>
      <c r="C196" s="8" t="s">
        <v>15</v>
      </c>
      <c r="D196" s="22" t="e">
        <f aca="false">сводн.данные!n201</f>
        <v>#NAME?</v>
      </c>
      <c r="E196" s="23" t="n">
        <v>3434.34952082504</v>
      </c>
      <c r="F196" s="24" t="n">
        <v>0</v>
      </c>
      <c r="G196" s="35" t="e">
        <f aca="false">D196-E196</f>
        <v>#NAME?</v>
      </c>
    </row>
    <row r="197" customFormat="false" ht="15" hidden="false" customHeight="false" outlineLevel="0" collapsed="false">
      <c r="A197" s="20" t="s">
        <v>347</v>
      </c>
      <c r="B197" s="47" t="s">
        <v>348</v>
      </c>
      <c r="C197" s="8" t="s">
        <v>15</v>
      </c>
      <c r="D197" s="22" t="e">
        <f aca="false">сводн.данные!n202</f>
        <v>#NAME?</v>
      </c>
      <c r="E197" s="23" t="n">
        <v>3880.02922359631</v>
      </c>
      <c r="F197" s="24" t="n">
        <v>910</v>
      </c>
      <c r="G197" s="35" t="e">
        <f aca="false">D197-E197</f>
        <v>#NAME?</v>
      </c>
    </row>
    <row r="198" customFormat="false" ht="30" hidden="false" customHeight="false" outlineLevel="0" collapsed="false">
      <c r="A198" s="20" t="s">
        <v>349</v>
      </c>
      <c r="B198" s="47" t="s">
        <v>350</v>
      </c>
      <c r="C198" s="8" t="s">
        <v>15</v>
      </c>
      <c r="D198" s="22" t="e">
        <f aca="false">сводн.данные!n203</f>
        <v>#NAME?</v>
      </c>
      <c r="E198" s="23" t="n">
        <v>4150.45725903583</v>
      </c>
      <c r="F198" s="24" t="n">
        <v>1675</v>
      </c>
      <c r="G198" s="35" t="e">
        <f aca="false">D198-E198</f>
        <v>#NAME?</v>
      </c>
    </row>
    <row r="199" customFormat="false" ht="18.75" hidden="false" customHeight="true" outlineLevel="0" collapsed="false">
      <c r="A199" s="20" t="s">
        <v>351</v>
      </c>
      <c r="B199" s="47" t="s">
        <v>352</v>
      </c>
      <c r="C199" s="8" t="s">
        <v>15</v>
      </c>
      <c r="D199" s="22" t="e">
        <f aca="false">сводн.данные!n204</f>
        <v>#NAME?</v>
      </c>
      <c r="E199" s="23" t="n">
        <v>2445.5084274449</v>
      </c>
      <c r="F199" s="24" t="n">
        <v>640</v>
      </c>
      <c r="G199" s="35" t="e">
        <f aca="false">D199-E199</f>
        <v>#NAME?</v>
      </c>
    </row>
    <row r="200" customFormat="false" ht="15.75" hidden="false" customHeight="true" outlineLevel="0" collapsed="false">
      <c r="A200" s="20" t="s">
        <v>353</v>
      </c>
      <c r="B200" s="47" t="s">
        <v>354</v>
      </c>
      <c r="C200" s="8" t="s">
        <v>15</v>
      </c>
      <c r="D200" s="22" t="e">
        <f aca="false">сводн.данные!n205</f>
        <v>#NAME?</v>
      </c>
      <c r="E200" s="23" t="n">
        <v>2209.88159830392</v>
      </c>
      <c r="F200" s="24" t="n">
        <v>800</v>
      </c>
      <c r="G200" s="35" t="e">
        <f aca="false">D200-E200</f>
        <v>#NAME?</v>
      </c>
    </row>
    <row r="201" customFormat="false" ht="15" hidden="false" customHeight="false" outlineLevel="0" collapsed="false">
      <c r="A201" s="20" t="s">
        <v>355</v>
      </c>
      <c r="B201" s="29" t="s">
        <v>356</v>
      </c>
      <c r="C201" s="8" t="s">
        <v>15</v>
      </c>
      <c r="D201" s="22" t="e">
        <f aca="false">сводн.данные!n206</f>
        <v>#NAME?</v>
      </c>
      <c r="E201" s="23" t="n">
        <v>7900.85224880135</v>
      </c>
      <c r="F201" s="24" t="n">
        <v>1295</v>
      </c>
      <c r="G201" s="35" t="e">
        <f aca="false">D201-E201</f>
        <v>#NAME?</v>
      </c>
    </row>
    <row r="202" customFormat="false" ht="15" hidden="false" customHeight="false" outlineLevel="0" collapsed="false">
      <c r="A202" s="20" t="s">
        <v>357</v>
      </c>
      <c r="B202" s="29" t="s">
        <v>358</v>
      </c>
      <c r="C202" s="8" t="s">
        <v>15</v>
      </c>
      <c r="D202" s="22" t="e">
        <f aca="false">сводн.данные!n207</f>
        <v>#NAME?</v>
      </c>
      <c r="E202" s="23" t="n">
        <v>6578.74470629039</v>
      </c>
      <c r="F202" s="24" t="n">
        <v>1525</v>
      </c>
      <c r="G202" s="35" t="e">
        <f aca="false">D202-E202</f>
        <v>#NAME?</v>
      </c>
    </row>
    <row r="203" customFormat="false" ht="15" hidden="false" customHeight="false" outlineLevel="0" collapsed="false">
      <c r="A203" s="20" t="s">
        <v>359</v>
      </c>
      <c r="B203" s="29" t="s">
        <v>360</v>
      </c>
      <c r="C203" s="8" t="s">
        <v>15</v>
      </c>
      <c r="D203" s="48" t="e">
        <f aca="false">сводн.данные!n208</f>
        <v>#NAME?</v>
      </c>
      <c r="E203" s="23" t="n">
        <v>7517.4684733669</v>
      </c>
      <c r="F203" s="24" t="n">
        <v>1325</v>
      </c>
      <c r="G203" s="35" t="e">
        <f aca="false">D203-E203</f>
        <v>#NAME?</v>
      </c>
    </row>
    <row r="204" customFormat="false" ht="15" hidden="false" customHeight="false" outlineLevel="0" collapsed="false">
      <c r="A204" s="20" t="s">
        <v>361</v>
      </c>
      <c r="B204" s="29" t="s">
        <v>362</v>
      </c>
      <c r="C204" s="8" t="s">
        <v>15</v>
      </c>
      <c r="D204" s="48" t="e">
        <f aca="false">сводн.данные!n209</f>
        <v>#NAME?</v>
      </c>
      <c r="E204" s="23" t="n">
        <v>6616.49239820336</v>
      </c>
      <c r="F204" s="24" t="n">
        <v>1525</v>
      </c>
      <c r="G204" s="35" t="e">
        <f aca="false">D204-E204</f>
        <v>#NAME?</v>
      </c>
    </row>
    <row r="205" customFormat="false" ht="15" hidden="false" customHeight="false" outlineLevel="0" collapsed="false">
      <c r="A205" s="20" t="s">
        <v>363</v>
      </c>
      <c r="B205" s="29" t="s">
        <v>364</v>
      </c>
      <c r="C205" s="8" t="s">
        <v>15</v>
      </c>
      <c r="D205" s="48" t="e">
        <f aca="false">сводн.данные!n210</f>
        <v>#NAME?</v>
      </c>
      <c r="E205" s="23" t="n">
        <v>7500.06781717369</v>
      </c>
      <c r="F205" s="24" t="n">
        <v>0</v>
      </c>
      <c r="G205" s="35" t="e">
        <f aca="false">D205-E205</f>
        <v>#NAME?</v>
      </c>
    </row>
    <row r="206" customFormat="false" ht="15" hidden="false" customHeight="false" outlineLevel="0" collapsed="false">
      <c r="A206" s="20" t="s">
        <v>365</v>
      </c>
      <c r="B206" s="29" t="s">
        <v>366</v>
      </c>
      <c r="C206" s="8" t="s">
        <v>15</v>
      </c>
      <c r="D206" s="48" t="e">
        <f aca="false">сводн.данные!n211</f>
        <v>#NAME?</v>
      </c>
      <c r="E206" s="23" t="n">
        <v>6346.16009139919</v>
      </c>
      <c r="F206" s="24" t="n">
        <v>1525</v>
      </c>
      <c r="G206" s="35" t="e">
        <f aca="false">D206-E206</f>
        <v>#NAME?</v>
      </c>
    </row>
    <row r="207" customFormat="false" ht="15" hidden="false" customHeight="false" outlineLevel="0" collapsed="false">
      <c r="A207" s="20" t="s">
        <v>367</v>
      </c>
      <c r="B207" s="29" t="s">
        <v>368</v>
      </c>
      <c r="C207" s="8" t="s">
        <v>15</v>
      </c>
      <c r="D207" s="48" t="e">
        <f aca="false">сводн.данные!n212</f>
        <v>#NAME?</v>
      </c>
      <c r="E207" s="23" t="n">
        <v>7917.87736707619</v>
      </c>
      <c r="F207" s="24" t="n">
        <v>1320</v>
      </c>
      <c r="G207" s="35" t="e">
        <f aca="false">D207-E207</f>
        <v>#NAME?</v>
      </c>
    </row>
    <row r="208" customFormat="false" ht="15" hidden="false" customHeight="false" outlineLevel="0" collapsed="false">
      <c r="A208" s="20" t="s">
        <v>369</v>
      </c>
      <c r="B208" s="29" t="s">
        <v>370</v>
      </c>
      <c r="C208" s="8" t="s">
        <v>15</v>
      </c>
      <c r="D208" s="48" t="e">
        <f aca="false">сводн.данные!n213</f>
        <v>#NAME?</v>
      </c>
      <c r="E208" s="23" t="n">
        <v>5796.29616526213</v>
      </c>
      <c r="F208" s="24" t="n">
        <v>805</v>
      </c>
      <c r="G208" s="35" t="e">
        <f aca="false">D208-E208</f>
        <v>#NAME?</v>
      </c>
    </row>
    <row r="209" customFormat="false" ht="15" hidden="false" customHeight="false" outlineLevel="0" collapsed="false">
      <c r="A209" s="20" t="s">
        <v>371</v>
      </c>
      <c r="B209" s="29" t="s">
        <v>372</v>
      </c>
      <c r="C209" s="8" t="s">
        <v>15</v>
      </c>
      <c r="D209" s="48" t="e">
        <f aca="false">сводн.данные!n214</f>
        <v>#NAME?</v>
      </c>
      <c r="E209" s="23" t="n">
        <v>7754.15701074633</v>
      </c>
      <c r="F209" s="24" t="n">
        <v>1640</v>
      </c>
      <c r="G209" s="35" t="e">
        <f aca="false">D209-E209</f>
        <v>#NAME?</v>
      </c>
    </row>
    <row r="210" customFormat="false" ht="15" hidden="false" customHeight="false" outlineLevel="0" collapsed="false">
      <c r="A210" s="20" t="s">
        <v>373</v>
      </c>
      <c r="B210" s="29" t="s">
        <v>374</v>
      </c>
      <c r="C210" s="8" t="s">
        <v>15</v>
      </c>
      <c r="D210" s="48" t="e">
        <f aca="false">сводн.данные!n215</f>
        <v>#NAME?</v>
      </c>
      <c r="E210" s="23" t="n">
        <v>6254.02685840962</v>
      </c>
      <c r="F210" s="24" t="n">
        <v>1140</v>
      </c>
      <c r="G210" s="35" t="e">
        <f aca="false">D210-E210</f>
        <v>#NAME?</v>
      </c>
    </row>
    <row r="211" customFormat="false" ht="15" hidden="false" customHeight="false" outlineLevel="0" collapsed="false">
      <c r="A211" s="20" t="s">
        <v>375</v>
      </c>
      <c r="B211" s="29" t="s">
        <v>376</v>
      </c>
      <c r="C211" s="8" t="s">
        <v>15</v>
      </c>
      <c r="D211" s="48" t="e">
        <f aca="false">сводн.данные!n216</f>
        <v>#NAME?</v>
      </c>
      <c r="E211" s="23" t="n">
        <v>8788.15487360575</v>
      </c>
      <c r="F211" s="24" t="n">
        <v>1540</v>
      </c>
      <c r="G211" s="35" t="e">
        <f aca="false">D211-E211</f>
        <v>#NAME?</v>
      </c>
    </row>
    <row r="212" customFormat="false" ht="30" hidden="false" customHeight="false" outlineLevel="0" collapsed="false">
      <c r="A212" s="20" t="s">
        <v>377</v>
      </c>
      <c r="B212" s="29" t="s">
        <v>378</v>
      </c>
      <c r="C212" s="8" t="s">
        <v>15</v>
      </c>
      <c r="D212" s="48" t="e">
        <f aca="false">сводн.данные!n217</f>
        <v>#NAME?</v>
      </c>
      <c r="E212" s="23" t="n">
        <v>6190.91240205195</v>
      </c>
      <c r="F212" s="24" t="n">
        <v>1525</v>
      </c>
      <c r="G212" s="35" t="e">
        <f aca="false">D212-E212</f>
        <v>#NAME?</v>
      </c>
    </row>
    <row r="213" customFormat="false" ht="30" hidden="false" customHeight="false" outlineLevel="0" collapsed="false">
      <c r="A213" s="20" t="s">
        <v>379</v>
      </c>
      <c r="B213" s="29" t="s">
        <v>380</v>
      </c>
      <c r="C213" s="8" t="s">
        <v>15</v>
      </c>
      <c r="D213" s="48" t="e">
        <f aca="false">сводн.данные!n218</f>
        <v>#NAME?</v>
      </c>
      <c r="E213" s="23" t="n">
        <v>5532.17274876638</v>
      </c>
      <c r="F213" s="24" t="n">
        <v>1320</v>
      </c>
      <c r="G213" s="35" t="e">
        <f aca="false">D213-E213</f>
        <v>#NAME?</v>
      </c>
    </row>
    <row r="214" customFormat="false" ht="30" hidden="false" customHeight="false" outlineLevel="0" collapsed="false">
      <c r="A214" s="20" t="s">
        <v>381</v>
      </c>
      <c r="B214" s="29" t="s">
        <v>382</v>
      </c>
      <c r="C214" s="8" t="s">
        <v>15</v>
      </c>
      <c r="D214" s="22" t="e">
        <f aca="false">сводн.данные!n219</f>
        <v>#NAME?</v>
      </c>
      <c r="E214" s="23" t="n">
        <v>4925.45511588318</v>
      </c>
      <c r="F214" s="24" t="n">
        <v>1320</v>
      </c>
      <c r="G214" s="35" t="e">
        <f aca="false">D214-E214</f>
        <v>#NAME?</v>
      </c>
    </row>
    <row r="215" customFormat="false" ht="30" hidden="false" customHeight="false" outlineLevel="0" collapsed="false">
      <c r="A215" s="20" t="s">
        <v>383</v>
      </c>
      <c r="B215" s="29" t="s">
        <v>384</v>
      </c>
      <c r="C215" s="8" t="s">
        <v>15</v>
      </c>
      <c r="D215" s="22" t="e">
        <f aca="false">сводн.данные!n220</f>
        <v>#NAME?</v>
      </c>
      <c r="E215" s="23" t="n">
        <v>19923.4106411674</v>
      </c>
      <c r="F215" s="24" t="n">
        <v>3960</v>
      </c>
      <c r="G215" s="35" t="e">
        <f aca="false">D215-E215</f>
        <v>#NAME?</v>
      </c>
    </row>
    <row r="216" customFormat="false" ht="15" hidden="false" customHeight="false" outlineLevel="0" collapsed="false">
      <c r="A216" s="20" t="s">
        <v>385</v>
      </c>
      <c r="B216" s="29" t="s">
        <v>386</v>
      </c>
      <c r="C216" s="8" t="s">
        <v>15</v>
      </c>
      <c r="D216" s="22" t="e">
        <f aca="false">сводн.данные!n221</f>
        <v>#NAME?</v>
      </c>
      <c r="E216" s="23" t="n">
        <v>25653.140005009</v>
      </c>
      <c r="F216" s="24" t="n">
        <v>2880</v>
      </c>
      <c r="G216" s="35" t="e">
        <f aca="false">D216-E216</f>
        <v>#NAME?</v>
      </c>
    </row>
    <row r="217" customFormat="false" ht="15" hidden="false" customHeight="false" outlineLevel="0" collapsed="false">
      <c r="A217" s="20" t="s">
        <v>387</v>
      </c>
      <c r="B217" s="40" t="s">
        <v>388</v>
      </c>
      <c r="C217" s="8" t="s">
        <v>15</v>
      </c>
      <c r="D217" s="22" t="e">
        <f aca="false">сводн.данные!n222</f>
        <v>#NAME?</v>
      </c>
      <c r="E217" s="23" t="n">
        <v>24275.5517704366</v>
      </c>
      <c r="F217" s="24" t="n">
        <v>2960</v>
      </c>
      <c r="G217" s="35" t="e">
        <f aca="false">D217-E217</f>
        <v>#NAME?</v>
      </c>
    </row>
    <row r="218" customFormat="false" ht="15" hidden="false" customHeight="false" outlineLevel="0" collapsed="false">
      <c r="A218" s="20" t="s">
        <v>389</v>
      </c>
      <c r="B218" s="40" t="s">
        <v>390</v>
      </c>
      <c r="C218" s="8" t="s">
        <v>15</v>
      </c>
      <c r="D218" s="22" t="e">
        <f aca="false">сводн.данные!n223</f>
        <v>#NAME?</v>
      </c>
      <c r="E218" s="23" t="n">
        <v>24139.8776327275</v>
      </c>
      <c r="F218" s="24" t="n">
        <v>3170</v>
      </c>
      <c r="G218" s="35" t="e">
        <f aca="false">D218-E218</f>
        <v>#NAME?</v>
      </c>
    </row>
    <row r="219" customFormat="false" ht="15" hidden="false" customHeight="false" outlineLevel="0" collapsed="false">
      <c r="A219" s="20" t="s">
        <v>391</v>
      </c>
      <c r="B219" s="40" t="s">
        <v>392</v>
      </c>
      <c r="C219" s="8" t="s">
        <v>15</v>
      </c>
      <c r="D219" s="22" t="e">
        <f aca="false">сводн.данные!n224</f>
        <v>#NAME?</v>
      </c>
      <c r="E219" s="23" t="n">
        <v>3853.50194529169</v>
      </c>
      <c r="F219" s="24" t="n">
        <v>280</v>
      </c>
      <c r="G219" s="35" t="e">
        <f aca="false">D219-E219</f>
        <v>#NAME?</v>
      </c>
    </row>
    <row r="220" customFormat="false" ht="14.25" hidden="false" customHeight="true" outlineLevel="0" collapsed="false">
      <c r="A220" s="15" t="s">
        <v>393</v>
      </c>
      <c r="B220" s="16" t="s">
        <v>394</v>
      </c>
      <c r="C220" s="17"/>
      <c r="D220" s="32"/>
      <c r="E220" s="33"/>
      <c r="F220" s="34"/>
      <c r="G220" s="39"/>
    </row>
    <row r="221" customFormat="false" ht="16.5" hidden="false" customHeight="true" outlineLevel="0" collapsed="false">
      <c r="A221" s="28" t="s">
        <v>395</v>
      </c>
      <c r="B221" s="29" t="s">
        <v>327</v>
      </c>
      <c r="C221" s="8" t="s">
        <v>15</v>
      </c>
      <c r="D221" s="22" t="e">
        <f aca="false">сводн.данные!n226</f>
        <v>#NAME?</v>
      </c>
      <c r="E221" s="23" t="n">
        <v>906.198280956735</v>
      </c>
      <c r="F221" s="24" t="n">
        <v>285</v>
      </c>
      <c r="G221" s="35" t="e">
        <f aca="false">D221-E221</f>
        <v>#NAME?</v>
      </c>
    </row>
    <row r="222" customFormat="false" ht="15" hidden="false" customHeight="false" outlineLevel="0" collapsed="false">
      <c r="A222" s="28" t="s">
        <v>396</v>
      </c>
      <c r="B222" s="47" t="s">
        <v>397</v>
      </c>
      <c r="C222" s="8" t="s">
        <v>15</v>
      </c>
      <c r="D222" s="22" t="e">
        <f aca="false">сводн.данные!n227</f>
        <v>#NAME?</v>
      </c>
      <c r="E222" s="23" t="n">
        <v>1878.74663313052</v>
      </c>
      <c r="F222" s="24" t="n">
        <v>315</v>
      </c>
      <c r="G222" s="35" t="e">
        <f aca="false">D222-E222</f>
        <v>#NAME?</v>
      </c>
    </row>
    <row r="223" customFormat="false" ht="15" hidden="false" customHeight="false" outlineLevel="0" collapsed="false">
      <c r="A223" s="28" t="s">
        <v>398</v>
      </c>
      <c r="B223" s="47" t="s">
        <v>399</v>
      </c>
      <c r="C223" s="8" t="s">
        <v>15</v>
      </c>
      <c r="D223" s="22" t="e">
        <f aca="false">сводн.данные!n228</f>
        <v>#NAME?</v>
      </c>
      <c r="E223" s="23" t="n">
        <v>1740.06349853261</v>
      </c>
      <c r="F223" s="24" t="n">
        <v>1710</v>
      </c>
      <c r="G223" s="35" t="e">
        <f aca="false">D223-E223</f>
        <v>#NAME?</v>
      </c>
    </row>
    <row r="224" customFormat="false" ht="15" hidden="false" customHeight="false" outlineLevel="0" collapsed="false">
      <c r="A224" s="28" t="s">
        <v>400</v>
      </c>
      <c r="B224" s="47" t="s">
        <v>401</v>
      </c>
      <c r="C224" s="8" t="s">
        <v>15</v>
      </c>
      <c r="D224" s="22" t="e">
        <f aca="false">сводн.данные!n229</f>
        <v>#NAME?</v>
      </c>
      <c r="E224" s="23" t="n">
        <v>1245.32809751051</v>
      </c>
      <c r="F224" s="24" t="n">
        <v>1290</v>
      </c>
      <c r="G224" s="35" t="e">
        <f aca="false">D224-E224</f>
        <v>#NAME?</v>
      </c>
    </row>
    <row r="225" customFormat="false" ht="15" hidden="false" customHeight="false" outlineLevel="0" collapsed="false">
      <c r="A225" s="28" t="s">
        <v>402</v>
      </c>
      <c r="B225" s="47" t="s">
        <v>403</v>
      </c>
      <c r="C225" s="8" t="s">
        <v>15</v>
      </c>
      <c r="D225" s="22" t="e">
        <f aca="false">сводн.данные!n230</f>
        <v>#NAME?</v>
      </c>
      <c r="E225" s="23" t="n">
        <v>1444.92922721669</v>
      </c>
      <c r="F225" s="24" t="n">
        <v>1290</v>
      </c>
      <c r="G225" s="35" t="e">
        <f aca="false">D225-E225</f>
        <v>#NAME?</v>
      </c>
    </row>
    <row r="226" customFormat="false" ht="15" hidden="false" customHeight="false" outlineLevel="0" collapsed="false">
      <c r="A226" s="28" t="s">
        <v>404</v>
      </c>
      <c r="B226" s="47" t="s">
        <v>405</v>
      </c>
      <c r="C226" s="8" t="s">
        <v>15</v>
      </c>
      <c r="D226" s="22" t="e">
        <f aca="false">сводн.данные!n231</f>
        <v>#NAME?</v>
      </c>
      <c r="E226" s="23" t="n">
        <v>4087.69130554304</v>
      </c>
      <c r="F226" s="24" t="n">
        <v>2700</v>
      </c>
      <c r="G226" s="35" t="e">
        <f aca="false">D226-E226</f>
        <v>#NAME?</v>
      </c>
    </row>
    <row r="227" customFormat="false" ht="15" hidden="false" customHeight="false" outlineLevel="0" collapsed="false">
      <c r="A227" s="28" t="s">
        <v>406</v>
      </c>
      <c r="B227" s="47" t="s">
        <v>407</v>
      </c>
      <c r="C227" s="8" t="s">
        <v>15</v>
      </c>
      <c r="D227" s="22" t="e">
        <f aca="false">сводн.данные!n232</f>
        <v>#NAME?</v>
      </c>
      <c r="E227" s="23" t="n">
        <v>2147.32272863574</v>
      </c>
      <c r="F227" s="24" t="n">
        <v>295</v>
      </c>
      <c r="G227" s="35" t="e">
        <f aca="false">D227-E227</f>
        <v>#NAME?</v>
      </c>
    </row>
    <row r="228" customFormat="false" ht="15" hidden="false" customHeight="false" outlineLevel="0" collapsed="false">
      <c r="A228" s="28" t="s">
        <v>408</v>
      </c>
      <c r="B228" s="47" t="s">
        <v>409</v>
      </c>
      <c r="C228" s="8" t="s">
        <v>15</v>
      </c>
      <c r="D228" s="22" t="e">
        <f aca="false">сводн.данные!n233</f>
        <v>#NAME?</v>
      </c>
      <c r="E228" s="23" t="n">
        <v>2364.63580533678</v>
      </c>
      <c r="F228" s="24" t="n">
        <v>315</v>
      </c>
      <c r="G228" s="35" t="e">
        <f aca="false">D228-E228</f>
        <v>#NAME?</v>
      </c>
    </row>
    <row r="229" customFormat="false" ht="15" hidden="false" customHeight="false" outlineLevel="0" collapsed="false">
      <c r="A229" s="28" t="s">
        <v>410</v>
      </c>
      <c r="B229" s="47" t="s">
        <v>411</v>
      </c>
      <c r="C229" s="8" t="s">
        <v>15</v>
      </c>
      <c r="D229" s="22" t="e">
        <f aca="false">сводн.данные!n234</f>
        <v>#NAME?</v>
      </c>
      <c r="E229" s="23" t="n">
        <v>4151.87542078549</v>
      </c>
      <c r="F229" s="24" t="n">
        <v>2365</v>
      </c>
      <c r="G229" s="35" t="e">
        <f aca="false">D229-E229</f>
        <v>#NAME?</v>
      </c>
    </row>
    <row r="230" customFormat="false" ht="15" hidden="false" customHeight="false" outlineLevel="0" collapsed="false">
      <c r="A230" s="28" t="s">
        <v>412</v>
      </c>
      <c r="B230" s="47" t="s">
        <v>413</v>
      </c>
      <c r="C230" s="8" t="s">
        <v>15</v>
      </c>
      <c r="D230" s="22" t="e">
        <f aca="false">сводн.данные!n235</f>
        <v>#NAME?</v>
      </c>
      <c r="E230" s="23" t="n">
        <v>1679.21993016454</v>
      </c>
      <c r="F230" s="24" t="n">
        <v>280</v>
      </c>
      <c r="G230" s="35" t="e">
        <f aca="false">D230-E230</f>
        <v>#NAME?</v>
      </c>
    </row>
    <row r="231" customFormat="false" ht="17.25" hidden="false" customHeight="true" outlineLevel="0" collapsed="false">
      <c r="A231" s="28" t="s">
        <v>414</v>
      </c>
      <c r="B231" s="47" t="s">
        <v>415</v>
      </c>
      <c r="C231" s="8" t="s">
        <v>15</v>
      </c>
      <c r="D231" s="22" t="e">
        <f aca="false">сводн.данные!n236</f>
        <v>#NAME?</v>
      </c>
      <c r="E231" s="23" t="n">
        <v>3288.61164865276</v>
      </c>
      <c r="F231" s="24" t="n">
        <v>825</v>
      </c>
      <c r="G231" s="35" t="e">
        <f aca="false">D231-E231</f>
        <v>#NAME?</v>
      </c>
    </row>
    <row r="232" customFormat="false" ht="15" hidden="false" customHeight="false" outlineLevel="0" collapsed="false">
      <c r="A232" s="28" t="s">
        <v>416</v>
      </c>
      <c r="B232" s="47" t="s">
        <v>417</v>
      </c>
      <c r="C232" s="8" t="s">
        <v>15</v>
      </c>
      <c r="D232" s="22" t="e">
        <f aca="false">сводн.данные!n237</f>
        <v>#NAME?</v>
      </c>
      <c r="E232" s="23" t="n">
        <v>2323.34079026984</v>
      </c>
      <c r="F232" s="24" t="n">
        <v>0</v>
      </c>
      <c r="G232" s="35" t="e">
        <f aca="false">D232-E232</f>
        <v>#NAME?</v>
      </c>
    </row>
    <row r="233" customFormat="false" ht="15" hidden="false" customHeight="false" outlineLevel="0" collapsed="false">
      <c r="A233" s="28" t="s">
        <v>418</v>
      </c>
      <c r="B233" s="47" t="s">
        <v>419</v>
      </c>
      <c r="C233" s="8" t="s">
        <v>15</v>
      </c>
      <c r="D233" s="22" t="e">
        <f aca="false">сводн.данные!n238</f>
        <v>#NAME?</v>
      </c>
      <c r="E233" s="23" t="n">
        <v>2330.55238086942</v>
      </c>
      <c r="F233" s="24" t="n">
        <v>0</v>
      </c>
      <c r="G233" s="35" t="e">
        <f aca="false">D233-E233</f>
        <v>#NAME?</v>
      </c>
    </row>
    <row r="234" customFormat="false" ht="15" hidden="false" customHeight="false" outlineLevel="0" collapsed="false">
      <c r="A234" s="28" t="s">
        <v>420</v>
      </c>
      <c r="B234" s="47" t="s">
        <v>421</v>
      </c>
      <c r="C234" s="8" t="s">
        <v>15</v>
      </c>
      <c r="D234" s="22" t="e">
        <f aca="false">сводн.данные!n239</f>
        <v>#NAME?</v>
      </c>
      <c r="E234" s="23" t="n">
        <v>1928.5720519347</v>
      </c>
      <c r="F234" s="24" t="n">
        <v>285</v>
      </c>
      <c r="G234" s="35" t="e">
        <f aca="false">D234-E234</f>
        <v>#NAME?</v>
      </c>
    </row>
    <row r="235" customFormat="false" ht="15" hidden="false" customHeight="false" outlineLevel="0" collapsed="false">
      <c r="A235" s="28" t="s">
        <v>422</v>
      </c>
      <c r="B235" s="47" t="s">
        <v>423</v>
      </c>
      <c r="C235" s="8" t="s">
        <v>15</v>
      </c>
      <c r="D235" s="22" t="e">
        <f aca="false">сводн.данные!n240</f>
        <v>#NAME?</v>
      </c>
      <c r="E235" s="23" t="n">
        <v>1624.51250284052</v>
      </c>
      <c r="F235" s="24" t="n">
        <v>810</v>
      </c>
      <c r="G235" s="35" t="e">
        <f aca="false">D235-E235</f>
        <v>#NAME?</v>
      </c>
    </row>
    <row r="236" customFormat="false" ht="15" hidden="false" customHeight="false" outlineLevel="0" collapsed="false">
      <c r="A236" s="28" t="s">
        <v>424</v>
      </c>
      <c r="B236" s="47" t="s">
        <v>425</v>
      </c>
      <c r="C236" s="8" t="s">
        <v>15</v>
      </c>
      <c r="D236" s="22" t="e">
        <f aca="false">сводн.данные!n241</f>
        <v>#NAME?</v>
      </c>
      <c r="E236" s="23" t="n">
        <v>3667.03814350368</v>
      </c>
      <c r="F236" s="24" t="n">
        <v>0</v>
      </c>
      <c r="G236" s="35" t="e">
        <f aca="false">D236-E236</f>
        <v>#NAME?</v>
      </c>
    </row>
    <row r="237" customFormat="false" ht="15" hidden="false" customHeight="false" outlineLevel="0" collapsed="false">
      <c r="A237" s="28" t="s">
        <v>426</v>
      </c>
      <c r="B237" s="47" t="s">
        <v>427</v>
      </c>
      <c r="C237" s="8" t="s">
        <v>15</v>
      </c>
      <c r="D237" s="22" t="e">
        <f aca="false">сводн.данные!n242</f>
        <v>#NAME?</v>
      </c>
      <c r="E237" s="23" t="n">
        <v>2841.11195777672</v>
      </c>
      <c r="F237" s="24" t="n">
        <v>0</v>
      </c>
      <c r="G237" s="35" t="e">
        <f aca="false">D237-E237</f>
        <v>#NAME?</v>
      </c>
    </row>
    <row r="238" customFormat="false" ht="15" hidden="false" customHeight="false" outlineLevel="0" collapsed="false">
      <c r="A238" s="28" t="s">
        <v>428</v>
      </c>
      <c r="B238" s="47" t="s">
        <v>429</v>
      </c>
      <c r="C238" s="8" t="s">
        <v>15</v>
      </c>
      <c r="D238" s="22" t="e">
        <f aca="false">сводн.данные!n243</f>
        <v>#NAME?</v>
      </c>
      <c r="E238" s="23" t="n">
        <v>4755.92121816632</v>
      </c>
      <c r="F238" s="24" t="n">
        <v>425</v>
      </c>
      <c r="G238" s="35" t="e">
        <f aca="false">D238-E238</f>
        <v>#NAME?</v>
      </c>
    </row>
    <row r="239" customFormat="false" ht="15" hidden="false" customHeight="false" outlineLevel="0" collapsed="false">
      <c r="A239" s="28" t="s">
        <v>430</v>
      </c>
      <c r="B239" s="47" t="s">
        <v>431</v>
      </c>
      <c r="C239" s="8" t="s">
        <v>15</v>
      </c>
      <c r="D239" s="22" t="e">
        <f aca="false">сводн.данные!n244</f>
        <v>#NAME?</v>
      </c>
      <c r="E239" s="23" t="n">
        <v>4579.34925461672</v>
      </c>
      <c r="F239" s="24" t="n">
        <v>1730</v>
      </c>
      <c r="G239" s="35" t="e">
        <f aca="false">D239-E239</f>
        <v>#NAME?</v>
      </c>
    </row>
    <row r="240" customFormat="false" ht="15" hidden="false" customHeight="false" outlineLevel="0" collapsed="false">
      <c r="A240" s="28" t="s">
        <v>432</v>
      </c>
      <c r="B240" s="47" t="s">
        <v>433</v>
      </c>
      <c r="C240" s="8" t="s">
        <v>15</v>
      </c>
      <c r="D240" s="22" t="e">
        <f aca="false">сводн.данные!n245</f>
        <v>#NAME?</v>
      </c>
      <c r="E240" s="23" t="n">
        <v>1307.69760068463</v>
      </c>
      <c r="F240" s="24" t="n">
        <v>350</v>
      </c>
      <c r="G240" s="35" t="e">
        <f aca="false">D240-E240</f>
        <v>#NAME?</v>
      </c>
    </row>
    <row r="241" customFormat="false" ht="15" hidden="false" customHeight="false" outlineLevel="0" collapsed="false">
      <c r="A241" s="28" t="s">
        <v>434</v>
      </c>
      <c r="B241" s="29" t="s">
        <v>435</v>
      </c>
      <c r="C241" s="8" t="s">
        <v>15</v>
      </c>
      <c r="D241" s="22" t="e">
        <f aca="false">сводн.данные!n246</f>
        <v>#NAME?</v>
      </c>
      <c r="E241" s="23" t="n">
        <v>6925.75417314788</v>
      </c>
      <c r="F241" s="24" t="n">
        <v>1655</v>
      </c>
      <c r="G241" s="35" t="e">
        <f aca="false">D241-E241</f>
        <v>#NAME?</v>
      </c>
    </row>
    <row r="242" customFormat="false" ht="15" hidden="false" customHeight="false" outlineLevel="0" collapsed="false">
      <c r="A242" s="28" t="s">
        <v>436</v>
      </c>
      <c r="B242" s="29" t="s">
        <v>437</v>
      </c>
      <c r="C242" s="8" t="s">
        <v>15</v>
      </c>
      <c r="D242" s="22" t="e">
        <f aca="false">сводн.данные!n247</f>
        <v>#NAME?</v>
      </c>
      <c r="E242" s="23" t="n">
        <v>7805.88012790277</v>
      </c>
      <c r="F242" s="24" t="n">
        <v>1325</v>
      </c>
      <c r="G242" s="35" t="e">
        <f aca="false">D242-E242</f>
        <v>#NAME?</v>
      </c>
    </row>
    <row r="243" customFormat="false" ht="15" hidden="false" customHeight="false" outlineLevel="0" collapsed="false">
      <c r="A243" s="28" t="s">
        <v>438</v>
      </c>
      <c r="B243" s="29" t="s">
        <v>439</v>
      </c>
      <c r="C243" s="8" t="s">
        <v>15</v>
      </c>
      <c r="D243" s="22" t="e">
        <f aca="false">сводн.данные!n248</f>
        <v>#NAME?</v>
      </c>
      <c r="E243" s="23" t="n">
        <v>7734.70898889905</v>
      </c>
      <c r="F243" s="24" t="n">
        <v>1300</v>
      </c>
      <c r="G243" s="35" t="e">
        <f aca="false">D243-E243</f>
        <v>#NAME?</v>
      </c>
    </row>
    <row r="244" customFormat="false" ht="15" hidden="false" customHeight="false" outlineLevel="0" collapsed="false">
      <c r="A244" s="28" t="s">
        <v>440</v>
      </c>
      <c r="B244" s="29" t="s">
        <v>441</v>
      </c>
      <c r="C244" s="8" t="s">
        <v>15</v>
      </c>
      <c r="D244" s="22" t="e">
        <f aca="false">сводн.данные!n249</f>
        <v>#NAME?</v>
      </c>
      <c r="E244" s="23" t="n">
        <v>6178.29578459501</v>
      </c>
      <c r="F244" s="24" t="n">
        <v>800</v>
      </c>
      <c r="G244" s="35" t="e">
        <f aca="false">D244-E244</f>
        <v>#NAME?</v>
      </c>
    </row>
    <row r="245" customFormat="false" ht="30" hidden="false" customHeight="false" outlineLevel="0" collapsed="false">
      <c r="A245" s="28" t="s">
        <v>442</v>
      </c>
      <c r="B245" s="29" t="s">
        <v>443</v>
      </c>
      <c r="C245" s="8" t="s">
        <v>15</v>
      </c>
      <c r="D245" s="22" t="e">
        <f aca="false">сводн.данные!n250</f>
        <v>#NAME?</v>
      </c>
      <c r="E245" s="23" t="n">
        <v>5338.08889751728</v>
      </c>
      <c r="F245" s="24" t="n">
        <v>0</v>
      </c>
      <c r="G245" s="35" t="e">
        <f aca="false">D245-E245</f>
        <v>#NAME?</v>
      </c>
    </row>
    <row r="246" customFormat="false" ht="30" hidden="false" customHeight="false" outlineLevel="0" collapsed="false">
      <c r="A246" s="28" t="s">
        <v>444</v>
      </c>
      <c r="B246" s="29" t="s">
        <v>445</v>
      </c>
      <c r="C246" s="8" t="s">
        <v>15</v>
      </c>
      <c r="D246" s="22" t="e">
        <f aca="false">сводн.данные!n251</f>
        <v>#NAME?</v>
      </c>
      <c r="E246" s="23" t="n">
        <v>4986.01172291604</v>
      </c>
      <c r="F246" s="24" t="n">
        <v>0</v>
      </c>
      <c r="G246" s="35" t="e">
        <f aca="false">D246-E246</f>
        <v>#NAME?</v>
      </c>
    </row>
    <row r="247" customFormat="false" ht="15" hidden="false" customHeight="false" outlineLevel="0" collapsed="false">
      <c r="A247" s="28" t="s">
        <v>446</v>
      </c>
      <c r="B247" s="29" t="s">
        <v>447</v>
      </c>
      <c r="C247" s="8" t="s">
        <v>15</v>
      </c>
      <c r="D247" s="22" t="e">
        <f aca="false">сводн.данные!n252</f>
        <v>#NAME?</v>
      </c>
      <c r="E247" s="23" t="n">
        <v>7610.72356997328</v>
      </c>
      <c r="F247" s="24" t="n">
        <v>1640</v>
      </c>
      <c r="G247" s="35" t="e">
        <f aca="false">D247-E247</f>
        <v>#NAME?</v>
      </c>
    </row>
    <row r="248" customFormat="false" ht="15" hidden="false" customHeight="false" outlineLevel="0" collapsed="false">
      <c r="A248" s="28" t="s">
        <v>448</v>
      </c>
      <c r="B248" s="29" t="s">
        <v>449</v>
      </c>
      <c r="C248" s="8" t="s">
        <v>15</v>
      </c>
      <c r="D248" s="22" t="e">
        <f aca="false">сводн.данные!n253</f>
        <v>#NAME?</v>
      </c>
      <c r="E248" s="23" t="n">
        <v>4326.75319331913</v>
      </c>
      <c r="F248" s="24" t="n">
        <v>730</v>
      </c>
      <c r="G248" s="35" t="e">
        <f aca="false">D248-E248</f>
        <v>#NAME?</v>
      </c>
    </row>
    <row r="249" customFormat="false" ht="15" hidden="false" customHeight="false" outlineLevel="0" collapsed="false">
      <c r="A249" s="28" t="s">
        <v>450</v>
      </c>
      <c r="B249" s="29" t="s">
        <v>451</v>
      </c>
      <c r="C249" s="8" t="s">
        <v>15</v>
      </c>
      <c r="D249" s="22" t="e">
        <f aca="false">сводн.данные!n254</f>
        <v>#NAME?</v>
      </c>
      <c r="E249" s="23" t="n">
        <v>8980.88836521476</v>
      </c>
      <c r="F249" s="24" t="n">
        <v>1540</v>
      </c>
      <c r="G249" s="35" t="e">
        <f aca="false">D249-E249</f>
        <v>#NAME?</v>
      </c>
    </row>
    <row r="250" customFormat="false" ht="15" hidden="false" customHeight="false" outlineLevel="0" collapsed="false">
      <c r="A250" s="28" t="s">
        <v>452</v>
      </c>
      <c r="B250" s="29" t="s">
        <v>453</v>
      </c>
      <c r="C250" s="8" t="s">
        <v>15</v>
      </c>
      <c r="D250" s="22" t="e">
        <f aca="false">сводн.данные!n255</f>
        <v>#NAME?</v>
      </c>
      <c r="E250" s="23" t="n">
        <v>5318.49688459066</v>
      </c>
      <c r="F250" s="24" t="n">
        <v>1650</v>
      </c>
      <c r="G250" s="35" t="e">
        <f aca="false">D250-E250</f>
        <v>#NAME?</v>
      </c>
    </row>
    <row r="251" customFormat="false" ht="15" hidden="false" customHeight="false" outlineLevel="0" collapsed="false">
      <c r="A251" s="28" t="s">
        <v>454</v>
      </c>
      <c r="B251" s="29" t="s">
        <v>455</v>
      </c>
      <c r="C251" s="8" t="s">
        <v>15</v>
      </c>
      <c r="D251" s="22" t="e">
        <f aca="false">сводн.данные!n256</f>
        <v>#NAME?</v>
      </c>
      <c r="E251" s="23" t="n">
        <v>21905.1900902949</v>
      </c>
      <c r="F251" s="24" t="n">
        <v>1275</v>
      </c>
      <c r="G251" s="35" t="e">
        <f aca="false">D251-E251</f>
        <v>#NAME?</v>
      </c>
    </row>
    <row r="252" customFormat="false" ht="30" hidden="false" customHeight="false" outlineLevel="0" collapsed="false">
      <c r="A252" s="28" t="s">
        <v>456</v>
      </c>
      <c r="B252" s="40" t="s">
        <v>457</v>
      </c>
      <c r="C252" s="8" t="s">
        <v>15</v>
      </c>
      <c r="D252" s="22" t="e">
        <f aca="false">сводн.данные!n257</f>
        <v>#NAME?</v>
      </c>
      <c r="E252" s="23" t="n">
        <v>29357.8478412834</v>
      </c>
      <c r="F252" s="24" t="n">
        <v>0</v>
      </c>
      <c r="G252" s="35" t="e">
        <f aca="false">D252-E252</f>
        <v>#NAME?</v>
      </c>
    </row>
    <row r="253" customFormat="false" ht="15" hidden="false" customHeight="false" outlineLevel="0" collapsed="false">
      <c r="A253" s="28" t="s">
        <v>458</v>
      </c>
      <c r="B253" s="40" t="s">
        <v>459</v>
      </c>
      <c r="C253" s="8" t="s">
        <v>15</v>
      </c>
      <c r="D253" s="22" t="e">
        <f aca="false">сводн.данные!n258</f>
        <v>#NAME?</v>
      </c>
      <c r="E253" s="23" t="n">
        <v>6222.09918805585</v>
      </c>
      <c r="F253" s="24" t="n">
        <v>1825</v>
      </c>
      <c r="G253" s="35" t="e">
        <f aca="false">D253-E253</f>
        <v>#NAME?</v>
      </c>
    </row>
    <row r="254" customFormat="false" ht="15" hidden="false" customHeight="false" outlineLevel="0" collapsed="false">
      <c r="A254" s="28" t="s">
        <v>460</v>
      </c>
      <c r="B254" s="40" t="s">
        <v>461</v>
      </c>
      <c r="C254" s="8" t="s">
        <v>15</v>
      </c>
      <c r="D254" s="22" t="e">
        <f aca="false">сводн.данные!n259</f>
        <v>#NAME?</v>
      </c>
      <c r="E254" s="23" t="n">
        <v>6133.24145659169</v>
      </c>
      <c r="F254" s="24" t="n">
        <v>1325</v>
      </c>
      <c r="G254" s="35" t="e">
        <f aca="false">D254-E254</f>
        <v>#NAME?</v>
      </c>
    </row>
    <row r="255" customFormat="false" ht="15" hidden="false" customHeight="false" outlineLevel="0" collapsed="false">
      <c r="A255" s="28" t="s">
        <v>462</v>
      </c>
      <c r="B255" s="40" t="s">
        <v>463</v>
      </c>
      <c r="C255" s="8" t="s">
        <v>15</v>
      </c>
      <c r="D255" s="22" t="e">
        <f aca="false">сводн.данные!n260</f>
        <v>#NAME?</v>
      </c>
      <c r="E255" s="23" t="n">
        <v>5942.8586021148</v>
      </c>
      <c r="F255" s="24" t="n">
        <v>1325</v>
      </c>
      <c r="G255" s="35" t="e">
        <f aca="false">D255-E255</f>
        <v>#NAME?</v>
      </c>
    </row>
    <row r="256" customFormat="false" ht="15" hidden="false" customHeight="false" outlineLevel="0" collapsed="false">
      <c r="A256" s="28" t="s">
        <v>464</v>
      </c>
      <c r="B256" s="40" t="s">
        <v>465</v>
      </c>
      <c r="C256" s="8" t="s">
        <v>15</v>
      </c>
      <c r="D256" s="22" t="e">
        <f aca="false">сводн.данные!n261</f>
        <v>#NAME?</v>
      </c>
      <c r="E256" s="23" t="n">
        <v>22375.0037566098</v>
      </c>
      <c r="F256" s="24" t="n">
        <v>2465</v>
      </c>
      <c r="G256" s="35" t="e">
        <f aca="false">D256-E256</f>
        <v>#NAME?</v>
      </c>
    </row>
    <row r="257" customFormat="false" ht="30" hidden="false" customHeight="false" outlineLevel="0" collapsed="false">
      <c r="A257" s="28" t="s">
        <v>466</v>
      </c>
      <c r="B257" s="40" t="s">
        <v>467</v>
      </c>
      <c r="C257" s="8" t="s">
        <v>15</v>
      </c>
      <c r="D257" s="22" t="e">
        <f aca="false">сводн.данные!n262</f>
        <v>#NAME?</v>
      </c>
      <c r="E257" s="23" t="n">
        <v>20138.3587093241</v>
      </c>
      <c r="F257" s="24" t="n">
        <v>0</v>
      </c>
      <c r="G257" s="35" t="e">
        <f aca="false">D257-E257</f>
        <v>#NAME?</v>
      </c>
    </row>
    <row r="258" customFormat="false" ht="30" hidden="false" customHeight="false" outlineLevel="0" collapsed="false">
      <c r="A258" s="28" t="s">
        <v>468</v>
      </c>
      <c r="B258" s="40" t="s">
        <v>469</v>
      </c>
      <c r="C258" s="8" t="s">
        <v>15</v>
      </c>
      <c r="D258" s="22" t="e">
        <f aca="false">сводн.данные!n263</f>
        <v>#NAME?</v>
      </c>
      <c r="E258" s="23" t="n">
        <v>6367.50217095025</v>
      </c>
      <c r="F258" s="24" t="n">
        <v>640</v>
      </c>
      <c r="G258" s="35" t="e">
        <f aca="false">D258-E258</f>
        <v>#NAME?</v>
      </c>
    </row>
    <row r="259" customFormat="false" ht="15" hidden="false" customHeight="false" outlineLevel="0" collapsed="false">
      <c r="A259" s="28" t="s">
        <v>470</v>
      </c>
      <c r="B259" s="40" t="s">
        <v>471</v>
      </c>
      <c r="C259" s="8" t="s">
        <v>15</v>
      </c>
      <c r="D259" s="22" t="e">
        <f aca="false">сводн.данные!n264</f>
        <v>#NAME?</v>
      </c>
      <c r="E259" s="23" t="n">
        <v>26348.0500730362</v>
      </c>
      <c r="F259" s="24" t="n">
        <v>31715</v>
      </c>
      <c r="G259" s="35" t="e">
        <f aca="false">D259-E259</f>
        <v>#NAME?</v>
      </c>
    </row>
    <row r="260" customFormat="false" ht="15" hidden="false" customHeight="false" outlineLevel="0" collapsed="false">
      <c r="A260" s="28" t="s">
        <v>472</v>
      </c>
      <c r="B260" s="40" t="s">
        <v>473</v>
      </c>
      <c r="C260" s="8" t="s">
        <v>15</v>
      </c>
      <c r="D260" s="22" t="e">
        <f aca="false">сводн.данные!n265</f>
        <v>#NAME?</v>
      </c>
      <c r="E260" s="23" t="n">
        <v>1053.2630738146</v>
      </c>
      <c r="F260" s="24" t="n">
        <v>280</v>
      </c>
      <c r="G260" s="35" t="e">
        <f aca="false">D260-E260</f>
        <v>#NAME?</v>
      </c>
    </row>
    <row r="261" customFormat="false" ht="15" hidden="false" customHeight="false" outlineLevel="0" collapsed="false">
      <c r="A261" s="28" t="s">
        <v>474</v>
      </c>
      <c r="B261" s="40" t="s">
        <v>475</v>
      </c>
      <c r="C261" s="8" t="s">
        <v>15</v>
      </c>
      <c r="D261" s="22" t="e">
        <f aca="false">сводн.данные!n266</f>
        <v>#NAME?</v>
      </c>
      <c r="E261" s="23" t="n">
        <v>8913.11251986328</v>
      </c>
      <c r="F261" s="24" t="n">
        <v>0</v>
      </c>
      <c r="G261" s="35" t="e">
        <f aca="false">D261-E261</f>
        <v>#NAME?</v>
      </c>
    </row>
    <row r="262" customFormat="false" ht="15" hidden="false" customHeight="false" outlineLevel="0" collapsed="false">
      <c r="A262" s="28" t="s">
        <v>476</v>
      </c>
      <c r="B262" s="40" t="s">
        <v>477</v>
      </c>
      <c r="C262" s="8" t="s">
        <v>15</v>
      </c>
      <c r="D262" s="22" t="e">
        <f aca="false">сводн.данные!n267</f>
        <v>#NAME?</v>
      </c>
      <c r="E262" s="23" t="n">
        <v>2432.42196162531</v>
      </c>
      <c r="F262" s="24" t="n">
        <v>1670</v>
      </c>
      <c r="G262" s="35" t="e">
        <f aca="false">D262-E262</f>
        <v>#NAME?</v>
      </c>
    </row>
    <row r="263" customFormat="false" ht="15" hidden="false" customHeight="false" outlineLevel="0" collapsed="false">
      <c r="A263" s="28" t="s">
        <v>478</v>
      </c>
      <c r="B263" s="40" t="s">
        <v>479</v>
      </c>
      <c r="C263" s="8" t="s">
        <v>15</v>
      </c>
      <c r="D263" s="22" t="e">
        <f aca="false">сводн.данные!n268</f>
        <v>#NAME?</v>
      </c>
      <c r="E263" s="23" t="n">
        <v>2550.48636162531</v>
      </c>
      <c r="F263" s="24" t="n">
        <v>3060</v>
      </c>
      <c r="G263" s="35" t="e">
        <f aca="false">D263-E263</f>
        <v>#NAME?</v>
      </c>
    </row>
    <row r="264" customFormat="false" ht="42.75" hidden="false" customHeight="false" outlineLevel="0" collapsed="false">
      <c r="A264" s="15" t="s">
        <v>480</v>
      </c>
      <c r="B264" s="16" t="s">
        <v>481</v>
      </c>
      <c r="C264" s="17"/>
      <c r="D264" s="32"/>
      <c r="E264" s="33"/>
      <c r="F264" s="34"/>
      <c r="G264" s="39"/>
    </row>
    <row r="265" customFormat="false" ht="18" hidden="false" customHeight="true" outlineLevel="0" collapsed="false">
      <c r="A265" s="28" t="s">
        <v>482</v>
      </c>
      <c r="B265" s="29" t="s">
        <v>327</v>
      </c>
      <c r="C265" s="8" t="s">
        <v>15</v>
      </c>
      <c r="D265" s="22" t="e">
        <f aca="false">сводн.данные!n270</f>
        <v>#NAME?</v>
      </c>
      <c r="E265" s="23" t="n">
        <v>906.198280956735</v>
      </c>
      <c r="F265" s="24" t="n">
        <v>310</v>
      </c>
      <c r="G265" s="35" t="e">
        <f aca="false">D265-E265</f>
        <v>#NAME?</v>
      </c>
    </row>
    <row r="266" customFormat="false" ht="15" hidden="false" customHeight="false" outlineLevel="0" collapsed="false">
      <c r="A266" s="28" t="s">
        <v>483</v>
      </c>
      <c r="B266" s="29" t="s">
        <v>334</v>
      </c>
      <c r="C266" s="8" t="s">
        <v>15</v>
      </c>
      <c r="D266" s="22" t="e">
        <f aca="false">сводн.данные!n271</f>
        <v>#NAME?</v>
      </c>
      <c r="E266" s="23" t="n">
        <v>1951.58768934724</v>
      </c>
      <c r="F266" s="24" t="n">
        <v>1290</v>
      </c>
      <c r="G266" s="35" t="e">
        <f aca="false">D266-E266</f>
        <v>#NAME?</v>
      </c>
    </row>
    <row r="267" customFormat="false" ht="15" hidden="false" customHeight="false" outlineLevel="0" collapsed="false">
      <c r="A267" s="28" t="s">
        <v>484</v>
      </c>
      <c r="B267" s="29" t="s">
        <v>485</v>
      </c>
      <c r="C267" s="8" t="s">
        <v>15</v>
      </c>
      <c r="D267" s="22" t="e">
        <f aca="false">сводн.данные!n272</f>
        <v>#NAME?</v>
      </c>
      <c r="E267" s="23" t="n">
        <v>2280.05642585905</v>
      </c>
      <c r="F267" s="24" t="n">
        <v>0</v>
      </c>
      <c r="G267" s="35" t="e">
        <f aca="false">D267-E267</f>
        <v>#NAME?</v>
      </c>
    </row>
    <row r="268" customFormat="false" ht="15" hidden="false" customHeight="false" outlineLevel="0" collapsed="false">
      <c r="A268" s="28" t="s">
        <v>486</v>
      </c>
      <c r="B268" s="29" t="s">
        <v>332</v>
      </c>
      <c r="C268" s="8" t="s">
        <v>15</v>
      </c>
      <c r="D268" s="22" t="e">
        <f aca="false">сводн.данные!n273</f>
        <v>#NAME?</v>
      </c>
      <c r="E268" s="23" t="n">
        <v>2550.20300494129</v>
      </c>
      <c r="F268" s="24" t="n">
        <v>0</v>
      </c>
      <c r="G268" s="35" t="e">
        <f aca="false">D268-E268</f>
        <v>#NAME?</v>
      </c>
    </row>
    <row r="269" customFormat="false" ht="15" hidden="false" customHeight="false" outlineLevel="0" collapsed="false">
      <c r="A269" s="28" t="s">
        <v>487</v>
      </c>
      <c r="B269" s="29" t="s">
        <v>423</v>
      </c>
      <c r="C269" s="8" t="s">
        <v>15</v>
      </c>
      <c r="D269" s="22" t="e">
        <f aca="false">сводн.данные!n274</f>
        <v>#NAME?</v>
      </c>
      <c r="E269" s="23" t="n">
        <v>3238.20215477521</v>
      </c>
      <c r="F269" s="24" t="n">
        <v>1200</v>
      </c>
      <c r="G269" s="35" t="e">
        <f aca="false">D269-E269</f>
        <v>#NAME?</v>
      </c>
    </row>
    <row r="270" customFormat="false" ht="15" hidden="false" customHeight="false" outlineLevel="0" collapsed="false">
      <c r="A270" s="28" t="s">
        <v>488</v>
      </c>
      <c r="B270" s="29" t="s">
        <v>425</v>
      </c>
      <c r="C270" s="8" t="s">
        <v>15</v>
      </c>
      <c r="D270" s="22" t="e">
        <f aca="false">сводн.данные!n275</f>
        <v>#NAME?</v>
      </c>
      <c r="E270" s="23" t="n">
        <v>4241.26130103129</v>
      </c>
      <c r="F270" s="24" t="n">
        <v>0</v>
      </c>
      <c r="G270" s="35" t="e">
        <f aca="false">D270-E270</f>
        <v>#NAME?</v>
      </c>
    </row>
    <row r="271" customFormat="false" ht="30" hidden="false" customHeight="false" outlineLevel="0" collapsed="false">
      <c r="A271" s="28" t="s">
        <v>489</v>
      </c>
      <c r="B271" s="29" t="s">
        <v>490</v>
      </c>
      <c r="C271" s="8" t="s">
        <v>15</v>
      </c>
      <c r="D271" s="22" t="e">
        <f aca="false">сводн.данные!n276</f>
        <v>#NAME?</v>
      </c>
      <c r="E271" s="23" t="n">
        <v>1966.7179593803</v>
      </c>
      <c r="F271" s="24" t="n">
        <v>375</v>
      </c>
      <c r="G271" s="35" t="e">
        <f aca="false">D271-E271</f>
        <v>#NAME?</v>
      </c>
    </row>
    <row r="272" customFormat="false" ht="15" hidden="false" customHeight="false" outlineLevel="0" collapsed="false">
      <c r="A272" s="28" t="s">
        <v>491</v>
      </c>
      <c r="B272" s="29" t="s">
        <v>439</v>
      </c>
      <c r="C272" s="8" t="s">
        <v>15</v>
      </c>
      <c r="D272" s="22" t="e">
        <f aca="false">сводн.данные!n277</f>
        <v>#NAME?</v>
      </c>
      <c r="E272" s="23" t="n">
        <v>7510.68436887639</v>
      </c>
      <c r="F272" s="24" t="n">
        <v>1295</v>
      </c>
      <c r="G272" s="35" t="e">
        <f aca="false">D272-E272</f>
        <v>#NAME?</v>
      </c>
    </row>
    <row r="273" customFormat="false" ht="15" hidden="false" customHeight="false" outlineLevel="0" collapsed="false">
      <c r="A273" s="28" t="s">
        <v>492</v>
      </c>
      <c r="B273" s="29" t="s">
        <v>493</v>
      </c>
      <c r="C273" s="8" t="s">
        <v>15</v>
      </c>
      <c r="D273" s="22" t="e">
        <f aca="false">сводн.данные!n278</f>
        <v>#NAME?</v>
      </c>
      <c r="E273" s="23" t="n">
        <v>6062.03534332227</v>
      </c>
      <c r="F273" s="24" t="n">
        <v>1525</v>
      </c>
      <c r="G273" s="35" t="e">
        <f aca="false">D273-E273</f>
        <v>#NAME?</v>
      </c>
    </row>
    <row r="274" customFormat="false" ht="15" hidden="false" customHeight="false" outlineLevel="0" collapsed="false">
      <c r="A274" s="28" t="s">
        <v>494</v>
      </c>
      <c r="B274" s="29" t="s">
        <v>495</v>
      </c>
      <c r="C274" s="8" t="s">
        <v>15</v>
      </c>
      <c r="D274" s="22" t="e">
        <f aca="false">сводн.данные!n279</f>
        <v>#NAME?</v>
      </c>
      <c r="E274" s="23" t="n">
        <v>7611.81669313943</v>
      </c>
      <c r="F274" s="24" t="n">
        <v>1325</v>
      </c>
      <c r="G274" s="35" t="e">
        <f aca="false">D274-E274</f>
        <v>#NAME?</v>
      </c>
    </row>
    <row r="275" customFormat="false" ht="15" hidden="false" customHeight="false" outlineLevel="0" collapsed="false">
      <c r="A275" s="28" t="s">
        <v>496</v>
      </c>
      <c r="B275" s="29" t="s">
        <v>497</v>
      </c>
      <c r="C275" s="8" t="s">
        <v>15</v>
      </c>
      <c r="D275" s="22" t="e">
        <f aca="false">сводн.данные!n280</f>
        <v>#NAME?</v>
      </c>
      <c r="E275" s="23" t="n">
        <v>6463.27841906117</v>
      </c>
      <c r="F275" s="24" t="n">
        <v>1525</v>
      </c>
      <c r="G275" s="35" t="e">
        <f aca="false">D275-E275</f>
        <v>#NAME?</v>
      </c>
    </row>
    <row r="276" customFormat="false" ht="15" hidden="false" customHeight="false" outlineLevel="0" collapsed="false">
      <c r="A276" s="28" t="s">
        <v>498</v>
      </c>
      <c r="B276" s="29" t="s">
        <v>499</v>
      </c>
      <c r="C276" s="8" t="s">
        <v>15</v>
      </c>
      <c r="D276" s="22" t="e">
        <f aca="false">сводн.данные!n281</f>
        <v>#NAME?</v>
      </c>
      <c r="E276" s="23" t="n">
        <v>1625.4299074888</v>
      </c>
      <c r="F276" s="24" t="n">
        <v>350</v>
      </c>
      <c r="G276" s="35" t="e">
        <f aca="false">D276-E276</f>
        <v>#NAME?</v>
      </c>
    </row>
    <row r="277" customFormat="false" ht="30" hidden="false" customHeight="false" outlineLevel="0" collapsed="false">
      <c r="A277" s="28" t="s">
        <v>500</v>
      </c>
      <c r="B277" s="29" t="s">
        <v>443</v>
      </c>
      <c r="C277" s="8" t="s">
        <v>15</v>
      </c>
      <c r="D277" s="22" t="e">
        <f aca="false">сводн.данные!n282</f>
        <v>#NAME?</v>
      </c>
      <c r="E277" s="23" t="n">
        <v>5485.2573548371</v>
      </c>
      <c r="F277" s="24" t="n">
        <v>1320</v>
      </c>
      <c r="G277" s="35" t="e">
        <f aca="false">D277-E277</f>
        <v>#NAME?</v>
      </c>
    </row>
    <row r="278" customFormat="false" ht="30" hidden="false" customHeight="false" outlineLevel="0" collapsed="false">
      <c r="A278" s="28" t="s">
        <v>501</v>
      </c>
      <c r="B278" s="29" t="s">
        <v>445</v>
      </c>
      <c r="C278" s="8" t="s">
        <v>15</v>
      </c>
      <c r="D278" s="22" t="e">
        <f aca="false">сводн.данные!n283</f>
        <v>#NAME?</v>
      </c>
      <c r="E278" s="23" t="n">
        <v>5254.09864429071</v>
      </c>
      <c r="F278" s="24" t="n">
        <v>1320</v>
      </c>
      <c r="G278" s="35" t="e">
        <f aca="false">D278-E278</f>
        <v>#NAME?</v>
      </c>
    </row>
    <row r="279" customFormat="false" ht="15" hidden="false" customHeight="false" outlineLevel="0" collapsed="false">
      <c r="A279" s="28" t="s">
        <v>502</v>
      </c>
      <c r="B279" s="29" t="s">
        <v>447</v>
      </c>
      <c r="C279" s="8" t="s">
        <v>15</v>
      </c>
      <c r="D279" s="22" t="e">
        <f aca="false">сводн.данные!n284</f>
        <v>#NAME?</v>
      </c>
      <c r="E279" s="23" t="n">
        <v>7681.23570160375</v>
      </c>
      <c r="F279" s="24" t="n">
        <v>1640</v>
      </c>
      <c r="G279" s="35" t="e">
        <f aca="false">D279-E279</f>
        <v>#NAME?</v>
      </c>
    </row>
    <row r="280" customFormat="false" ht="15" hidden="false" customHeight="false" outlineLevel="0" collapsed="false">
      <c r="A280" s="28" t="s">
        <v>503</v>
      </c>
      <c r="B280" s="29" t="s">
        <v>504</v>
      </c>
      <c r="C280" s="8" t="s">
        <v>15</v>
      </c>
      <c r="D280" s="22" t="e">
        <f aca="false">сводн.данные!n285</f>
        <v>#NAME?</v>
      </c>
      <c r="E280" s="23" t="n">
        <v>5231.3988641825</v>
      </c>
      <c r="F280" s="24" t="n">
        <v>1380</v>
      </c>
      <c r="G280" s="35" t="e">
        <f aca="false">D280-E280</f>
        <v>#NAME?</v>
      </c>
    </row>
    <row r="281" customFormat="false" ht="15" hidden="false" customHeight="false" outlineLevel="0" collapsed="false">
      <c r="A281" s="28" t="s">
        <v>505</v>
      </c>
      <c r="B281" s="29" t="s">
        <v>506</v>
      </c>
      <c r="C281" s="8" t="s">
        <v>15</v>
      </c>
      <c r="D281" s="22" t="e">
        <f aca="false">сводн.данные!n286</f>
        <v>#NAME?</v>
      </c>
      <c r="E281" s="23" t="n">
        <v>8889.76177791317</v>
      </c>
      <c r="F281" s="24" t="n">
        <v>1540</v>
      </c>
      <c r="G281" s="35" t="e">
        <f aca="false">D281-E281</f>
        <v>#NAME?</v>
      </c>
    </row>
    <row r="282" customFormat="false" ht="15" hidden="false" customHeight="false" outlineLevel="0" collapsed="false">
      <c r="A282" s="28" t="s">
        <v>507</v>
      </c>
      <c r="B282" s="29" t="s">
        <v>508</v>
      </c>
      <c r="C282" s="8" t="s">
        <v>15</v>
      </c>
      <c r="D282" s="22" t="e">
        <f aca="false">сводн.данные!n287</f>
        <v>#NAME?</v>
      </c>
      <c r="E282" s="23" t="n">
        <v>5410.04005675704</v>
      </c>
      <c r="F282" s="24" t="n">
        <v>1525</v>
      </c>
      <c r="G282" s="35" t="e">
        <f aca="false">D282-E282</f>
        <v>#NAME?</v>
      </c>
    </row>
    <row r="283" customFormat="false" ht="30" hidden="false" customHeight="false" outlineLevel="0" collapsed="false">
      <c r="A283" s="28" t="s">
        <v>509</v>
      </c>
      <c r="B283" s="29" t="s">
        <v>510</v>
      </c>
      <c r="C283" s="8" t="s">
        <v>15</v>
      </c>
      <c r="D283" s="22" t="e">
        <f aca="false">сводн.данные!n288</f>
        <v>#NAME?</v>
      </c>
      <c r="E283" s="23" t="n">
        <v>6516.94233729653</v>
      </c>
      <c r="F283" s="24" t="n">
        <v>1245</v>
      </c>
      <c r="G283" s="35" t="e">
        <f aca="false">D283-E283</f>
        <v>#NAME?</v>
      </c>
    </row>
    <row r="284" customFormat="false" ht="15" hidden="false" customHeight="false" outlineLevel="0" collapsed="false">
      <c r="A284" s="28" t="s">
        <v>511</v>
      </c>
      <c r="B284" s="29" t="s">
        <v>512</v>
      </c>
      <c r="C284" s="8" t="s">
        <v>15</v>
      </c>
      <c r="D284" s="22" t="e">
        <f aca="false">сводн.данные!n289</f>
        <v>#NAME?</v>
      </c>
      <c r="E284" s="23" t="n">
        <v>25716.8999398054</v>
      </c>
      <c r="F284" s="24" t="n">
        <v>4910</v>
      </c>
      <c r="G284" s="35" t="e">
        <f aca="false">D284-E284</f>
        <v>#NAME?</v>
      </c>
    </row>
    <row r="285" customFormat="false" ht="15" hidden="false" customHeight="false" outlineLevel="0" collapsed="false">
      <c r="A285" s="28" t="s">
        <v>513</v>
      </c>
      <c r="B285" s="29" t="s">
        <v>386</v>
      </c>
      <c r="C285" s="8" t="s">
        <v>15</v>
      </c>
      <c r="D285" s="22" t="e">
        <f aca="false">сводн.данные!n290</f>
        <v>#NAME?</v>
      </c>
      <c r="E285" s="23" t="n">
        <v>25847.1819510417</v>
      </c>
      <c r="F285" s="24" t="n">
        <v>2880</v>
      </c>
      <c r="G285" s="35" t="e">
        <f aca="false">D285-E285</f>
        <v>#NAME?</v>
      </c>
    </row>
    <row r="286" customFormat="false" ht="17.25" hidden="false" customHeight="true" outlineLevel="0" collapsed="false">
      <c r="A286" s="28" t="s">
        <v>514</v>
      </c>
      <c r="B286" s="29" t="s">
        <v>515</v>
      </c>
      <c r="C286" s="8" t="s">
        <v>15</v>
      </c>
      <c r="D286" s="22" t="e">
        <f aca="false">сводн.данные!n291</f>
        <v>#NAME?</v>
      </c>
      <c r="E286" s="23" t="n">
        <v>3001.46680581785</v>
      </c>
      <c r="F286" s="24" t="n">
        <v>685</v>
      </c>
      <c r="G286" s="35" t="e">
        <f aca="false">D286-E286</f>
        <v>#NAME?</v>
      </c>
    </row>
    <row r="287" customFormat="false" ht="15" hidden="false" customHeight="false" outlineLevel="0" collapsed="false">
      <c r="A287" s="28" t="s">
        <v>516</v>
      </c>
      <c r="B287" s="40" t="s">
        <v>517</v>
      </c>
      <c r="C287" s="8" t="s">
        <v>15</v>
      </c>
      <c r="D287" s="22" t="e">
        <f aca="false">сводн.данные!n292</f>
        <v>#NAME?</v>
      </c>
      <c r="E287" s="23" t="n">
        <v>20788.8889576181</v>
      </c>
      <c r="F287" s="24" t="n">
        <v>3055</v>
      </c>
      <c r="G287" s="35" t="e">
        <f aca="false">D287-E287</f>
        <v>#NAME?</v>
      </c>
    </row>
    <row r="288" customFormat="false" ht="15" hidden="false" customHeight="false" outlineLevel="0" collapsed="false">
      <c r="A288" s="28" t="s">
        <v>518</v>
      </c>
      <c r="B288" s="40" t="s">
        <v>329</v>
      </c>
      <c r="C288" s="8" t="s">
        <v>15</v>
      </c>
      <c r="D288" s="22" t="e">
        <f aca="false">сводн.данные!n293</f>
        <v>#NAME?</v>
      </c>
      <c r="E288" s="23" t="n">
        <v>1355.22349853261</v>
      </c>
      <c r="F288" s="24" t="n">
        <v>280</v>
      </c>
      <c r="G288" s="35" t="e">
        <f aca="false">D288-E288</f>
        <v>#NAME?</v>
      </c>
    </row>
    <row r="289" customFormat="false" ht="15" hidden="false" customHeight="false" outlineLevel="0" collapsed="false">
      <c r="A289" s="28" t="s">
        <v>519</v>
      </c>
      <c r="B289" s="40" t="s">
        <v>520</v>
      </c>
      <c r="C289" s="8" t="s">
        <v>15</v>
      </c>
      <c r="D289" s="22" t="e">
        <f aca="false">сводн.данные!n294</f>
        <v>#NAME?</v>
      </c>
      <c r="E289" s="23" t="n">
        <v>1355.22349853261</v>
      </c>
      <c r="F289" s="24" t="n">
        <v>280</v>
      </c>
      <c r="G289" s="35" t="e">
        <f aca="false">D289-E289</f>
        <v>#NAME?</v>
      </c>
    </row>
    <row r="290" customFormat="false" ht="15" hidden="false" customHeight="false" outlineLevel="0" collapsed="false">
      <c r="A290" s="28" t="s">
        <v>521</v>
      </c>
      <c r="B290" s="40" t="s">
        <v>522</v>
      </c>
      <c r="C290" s="8" t="s">
        <v>15</v>
      </c>
      <c r="D290" s="22" t="e">
        <f aca="false">сводн.данные!n295</f>
        <v>#NAME?</v>
      </c>
      <c r="E290" s="23" t="n">
        <v>1355.22349853261</v>
      </c>
      <c r="F290" s="24" t="n">
        <v>280</v>
      </c>
      <c r="G290" s="35" t="e">
        <f aca="false">D290-E290</f>
        <v>#NAME?</v>
      </c>
    </row>
    <row r="291" customFormat="false" ht="15" hidden="false" customHeight="false" outlineLevel="0" collapsed="false">
      <c r="A291" s="28" t="s">
        <v>523</v>
      </c>
      <c r="B291" s="40" t="s">
        <v>524</v>
      </c>
      <c r="C291" s="8" t="s">
        <v>15</v>
      </c>
      <c r="D291" s="22" t="e">
        <f aca="false">сводн.данные!n296</f>
        <v>#NAME?</v>
      </c>
      <c r="E291" s="23" t="n">
        <v>8043.35619298068</v>
      </c>
      <c r="F291" s="24" t="n">
        <v>0</v>
      </c>
      <c r="G291" s="35" t="e">
        <f aca="false">D291-E291</f>
        <v>#NAME?</v>
      </c>
    </row>
    <row r="292" customFormat="false" ht="28.5" hidden="false" customHeight="false" outlineLevel="0" collapsed="false">
      <c r="A292" s="15" t="s">
        <v>525</v>
      </c>
      <c r="B292" s="16" t="s">
        <v>526</v>
      </c>
      <c r="C292" s="17"/>
      <c r="D292" s="32"/>
      <c r="E292" s="33"/>
      <c r="F292" s="34"/>
      <c r="G292" s="34"/>
    </row>
    <row r="293" customFormat="false" ht="18" hidden="false" customHeight="true" outlineLevel="0" collapsed="false">
      <c r="A293" s="28" t="s">
        <v>527</v>
      </c>
      <c r="B293" s="29" t="s">
        <v>327</v>
      </c>
      <c r="C293" s="8" t="s">
        <v>15</v>
      </c>
      <c r="D293" s="22" t="e">
        <f aca="false">сводн.данные!n298</f>
        <v>#NAME?</v>
      </c>
      <c r="E293" s="23" t="n">
        <v>905.064494108663</v>
      </c>
      <c r="F293" s="24" t="n">
        <v>280</v>
      </c>
      <c r="G293" s="35" t="e">
        <f aca="false">D293-E293</f>
        <v>#NAME?</v>
      </c>
    </row>
    <row r="294" customFormat="false" ht="17.25" hidden="false" customHeight="true" outlineLevel="0" collapsed="false">
      <c r="A294" s="28" t="s">
        <v>528</v>
      </c>
      <c r="B294" s="29" t="s">
        <v>529</v>
      </c>
      <c r="C294" s="8" t="s">
        <v>15</v>
      </c>
      <c r="D294" s="22" t="e">
        <f aca="false">сводн.данные!n299</f>
        <v>#NAME?</v>
      </c>
      <c r="E294" s="23" t="n">
        <v>1149.56381383655</v>
      </c>
      <c r="F294" s="24" t="n">
        <v>280</v>
      </c>
      <c r="G294" s="35" t="e">
        <f aca="false">D294-E294</f>
        <v>#NAME?</v>
      </c>
    </row>
    <row r="295" customFormat="false" ht="15" hidden="false" customHeight="false" outlineLevel="0" collapsed="false">
      <c r="A295" s="28" t="s">
        <v>530</v>
      </c>
      <c r="B295" s="29" t="s">
        <v>485</v>
      </c>
      <c r="C295" s="8" t="s">
        <v>15</v>
      </c>
      <c r="D295" s="22" t="e">
        <f aca="false">сводн.данные!n300</f>
        <v>#NAME?</v>
      </c>
      <c r="E295" s="23" t="n">
        <v>2516.85443255057</v>
      </c>
      <c r="F295" s="24" t="n">
        <v>350</v>
      </c>
      <c r="G295" s="35" t="e">
        <f aca="false">D295-E295</f>
        <v>#NAME?</v>
      </c>
    </row>
    <row r="296" customFormat="false" ht="15" hidden="false" customHeight="false" outlineLevel="0" collapsed="false">
      <c r="A296" s="28" t="s">
        <v>531</v>
      </c>
      <c r="B296" s="29" t="s">
        <v>332</v>
      </c>
      <c r="C296" s="8" t="s">
        <v>15</v>
      </c>
      <c r="D296" s="22" t="e">
        <f aca="false">сводн.данные!n301</f>
        <v>#NAME?</v>
      </c>
      <c r="E296" s="23" t="n">
        <v>3381.09027722419</v>
      </c>
      <c r="F296" s="24" t="n">
        <v>0</v>
      </c>
      <c r="G296" s="35" t="e">
        <f aca="false">D296-E296</f>
        <v>#NAME?</v>
      </c>
    </row>
    <row r="297" customFormat="false" ht="15" hidden="false" customHeight="false" outlineLevel="0" collapsed="false">
      <c r="A297" s="28" t="s">
        <v>532</v>
      </c>
      <c r="B297" s="29" t="s">
        <v>399</v>
      </c>
      <c r="C297" s="8" t="s">
        <v>15</v>
      </c>
      <c r="D297" s="22" t="e">
        <f aca="false">сводн.данные!n302</f>
        <v>#NAME?</v>
      </c>
      <c r="E297" s="23" t="n">
        <v>2077.31427404281</v>
      </c>
      <c r="F297" s="24" t="n">
        <v>375</v>
      </c>
      <c r="G297" s="35" t="e">
        <f aca="false">D297-E297</f>
        <v>#NAME?</v>
      </c>
    </row>
    <row r="298" customFormat="false" ht="15" hidden="false" customHeight="false" outlineLevel="0" collapsed="false">
      <c r="A298" s="28" t="s">
        <v>533</v>
      </c>
      <c r="B298" s="29" t="s">
        <v>534</v>
      </c>
      <c r="C298" s="8" t="s">
        <v>15</v>
      </c>
      <c r="D298" s="22" t="e">
        <f aca="false">сводн.данные!n303</f>
        <v>#NAME?</v>
      </c>
      <c r="E298" s="23" t="n">
        <v>1224.67458277128</v>
      </c>
      <c r="F298" s="24" t="n">
        <v>510</v>
      </c>
      <c r="G298" s="35" t="e">
        <f aca="false">D298-E298</f>
        <v>#NAME?</v>
      </c>
    </row>
    <row r="299" customFormat="false" ht="15" hidden="false" customHeight="false" outlineLevel="0" collapsed="false">
      <c r="A299" s="28" t="s">
        <v>535</v>
      </c>
      <c r="B299" s="29" t="s">
        <v>423</v>
      </c>
      <c r="C299" s="8" t="s">
        <v>15</v>
      </c>
      <c r="D299" s="22" t="e">
        <f aca="false">сводн.данные!n304</f>
        <v>#NAME?</v>
      </c>
      <c r="E299" s="23" t="n">
        <v>2918.68746078162</v>
      </c>
      <c r="F299" s="24" t="n">
        <v>1220</v>
      </c>
      <c r="G299" s="35" t="e">
        <f aca="false">D299-E299</f>
        <v>#NAME?</v>
      </c>
    </row>
    <row r="300" customFormat="false" ht="15" hidden="false" customHeight="false" outlineLevel="0" collapsed="false">
      <c r="A300" s="28" t="s">
        <v>536</v>
      </c>
      <c r="B300" s="29" t="s">
        <v>425</v>
      </c>
      <c r="C300" s="8" t="s">
        <v>15</v>
      </c>
      <c r="D300" s="22" t="e">
        <f aca="false">сводн.данные!n305</f>
        <v>#NAME?</v>
      </c>
      <c r="E300" s="23" t="n">
        <v>3612.41541867302</v>
      </c>
      <c r="F300" s="24" t="n">
        <v>0</v>
      </c>
      <c r="G300" s="35" t="e">
        <f aca="false">D300-E300</f>
        <v>#NAME?</v>
      </c>
    </row>
    <row r="301" customFormat="false" ht="30" hidden="false" customHeight="false" outlineLevel="0" collapsed="false">
      <c r="A301" s="28" t="s">
        <v>537</v>
      </c>
      <c r="B301" s="29" t="s">
        <v>538</v>
      </c>
      <c r="C301" s="8" t="s">
        <v>15</v>
      </c>
      <c r="D301" s="22" t="e">
        <f aca="false">сводн.данные!n306</f>
        <v>#NAME?</v>
      </c>
      <c r="E301" s="23" t="n">
        <v>1964.50929746661</v>
      </c>
      <c r="F301" s="24" t="n">
        <v>700</v>
      </c>
      <c r="G301" s="35" t="e">
        <f aca="false">D301-E301</f>
        <v>#NAME?</v>
      </c>
    </row>
    <row r="302" customFormat="false" ht="30" hidden="false" customHeight="false" outlineLevel="0" collapsed="false">
      <c r="A302" s="28" t="s">
        <v>539</v>
      </c>
      <c r="B302" s="29" t="s">
        <v>540</v>
      </c>
      <c r="C302" s="8" t="s">
        <v>15</v>
      </c>
      <c r="D302" s="22" t="e">
        <f aca="false">сводн.данные!n307</f>
        <v>#NAME?</v>
      </c>
      <c r="E302" s="23" t="n">
        <v>1879.02654277128</v>
      </c>
      <c r="F302" s="24" t="n">
        <v>700</v>
      </c>
      <c r="G302" s="35" t="e">
        <f aca="false">D302-E302</f>
        <v>#NAME?</v>
      </c>
    </row>
    <row r="303" customFormat="false" ht="15" hidden="false" customHeight="false" outlineLevel="0" collapsed="false">
      <c r="A303" s="28" t="s">
        <v>541</v>
      </c>
      <c r="B303" s="29" t="s">
        <v>334</v>
      </c>
      <c r="C303" s="8" t="s">
        <v>15</v>
      </c>
      <c r="D303" s="22" t="e">
        <f aca="false">сводн.данные!n308</f>
        <v>#NAME?</v>
      </c>
      <c r="E303" s="23" t="n">
        <v>1714.65304490183</v>
      </c>
      <c r="F303" s="24" t="n">
        <v>1290</v>
      </c>
      <c r="G303" s="35" t="e">
        <f aca="false">D303-E303</f>
        <v>#NAME?</v>
      </c>
    </row>
    <row r="304" customFormat="false" ht="15" hidden="false" customHeight="false" outlineLevel="0" collapsed="false">
      <c r="A304" s="28" t="s">
        <v>542</v>
      </c>
      <c r="B304" s="29" t="s">
        <v>543</v>
      </c>
      <c r="C304" s="8" t="s">
        <v>15</v>
      </c>
      <c r="D304" s="22" t="e">
        <f aca="false">сводн.данные!n309</f>
        <v>#NAME?</v>
      </c>
      <c r="E304" s="23" t="n">
        <v>7623.19641374794</v>
      </c>
      <c r="F304" s="24" t="n">
        <v>1325</v>
      </c>
      <c r="G304" s="35" t="e">
        <f aca="false">D304-E304</f>
        <v>#NAME?</v>
      </c>
    </row>
    <row r="305" customFormat="false" ht="15" hidden="false" customHeight="false" outlineLevel="0" collapsed="false">
      <c r="A305" s="28" t="s">
        <v>544</v>
      </c>
      <c r="B305" s="29" t="s">
        <v>545</v>
      </c>
      <c r="C305" s="8" t="s">
        <v>15</v>
      </c>
      <c r="D305" s="22" t="e">
        <f aca="false">сводн.данные!n310</f>
        <v>#NAME?</v>
      </c>
      <c r="E305" s="23" t="n">
        <v>7510.28939291217</v>
      </c>
      <c r="F305" s="24" t="n">
        <v>1295</v>
      </c>
      <c r="G305" s="35" t="e">
        <f aca="false">D305-E305</f>
        <v>#NAME?</v>
      </c>
    </row>
    <row r="306" customFormat="false" ht="15" hidden="false" customHeight="false" outlineLevel="0" collapsed="false">
      <c r="A306" s="28" t="s">
        <v>546</v>
      </c>
      <c r="B306" s="29" t="s">
        <v>547</v>
      </c>
      <c r="C306" s="8" t="s">
        <v>15</v>
      </c>
      <c r="D306" s="22" t="e">
        <f aca="false">сводн.данные!n311</f>
        <v>#NAME?</v>
      </c>
      <c r="E306" s="23" t="n">
        <v>7514.07375727486</v>
      </c>
      <c r="F306" s="24" t="n">
        <v>1640</v>
      </c>
      <c r="G306" s="35" t="e">
        <f aca="false">D306-E306</f>
        <v>#NAME?</v>
      </c>
    </row>
    <row r="307" customFormat="false" ht="15" hidden="false" customHeight="false" outlineLevel="0" collapsed="false">
      <c r="A307" s="28" t="s">
        <v>548</v>
      </c>
      <c r="B307" s="29" t="s">
        <v>549</v>
      </c>
      <c r="C307" s="8" t="s">
        <v>15</v>
      </c>
      <c r="D307" s="22" t="e">
        <f aca="false">сводн.данные!n312</f>
        <v>#NAME?</v>
      </c>
      <c r="E307" s="23" t="n">
        <v>7519.9415912991</v>
      </c>
      <c r="F307" s="24" t="n">
        <v>1540</v>
      </c>
      <c r="G307" s="35" t="e">
        <f aca="false">D307-E307</f>
        <v>#NAME?</v>
      </c>
    </row>
    <row r="308" customFormat="false" ht="15" hidden="false" customHeight="false" outlineLevel="0" collapsed="false">
      <c r="A308" s="28" t="s">
        <v>550</v>
      </c>
      <c r="B308" s="29" t="s">
        <v>551</v>
      </c>
      <c r="C308" s="8" t="s">
        <v>15</v>
      </c>
      <c r="D308" s="22" t="e">
        <f aca="false">сводн.данные!n313</f>
        <v>#NAME?</v>
      </c>
      <c r="E308" s="23" t="n">
        <v>20578.5703610935</v>
      </c>
      <c r="F308" s="24" t="n">
        <v>2985</v>
      </c>
      <c r="G308" s="35" t="e">
        <f aca="false">D308-E308</f>
        <v>#NAME?</v>
      </c>
    </row>
    <row r="309" customFormat="false" ht="15" hidden="false" customHeight="false" outlineLevel="0" collapsed="false">
      <c r="A309" s="28" t="s">
        <v>552</v>
      </c>
      <c r="B309" s="29" t="s">
        <v>553</v>
      </c>
      <c r="C309" s="8" t="s">
        <v>15</v>
      </c>
      <c r="D309" s="22" t="e">
        <f aca="false">сводн.данные!n314</f>
        <v>#NAME?</v>
      </c>
      <c r="E309" s="23" t="n">
        <v>29287.4308882008</v>
      </c>
      <c r="F309" s="24" t="n">
        <v>4680</v>
      </c>
      <c r="G309" s="35" t="e">
        <f aca="false">D309-E309</f>
        <v>#NAME?</v>
      </c>
    </row>
    <row r="310" customFormat="false" ht="15" hidden="false" customHeight="false" outlineLevel="0" collapsed="false">
      <c r="A310" s="28" t="s">
        <v>554</v>
      </c>
      <c r="B310" s="29" t="s">
        <v>555</v>
      </c>
      <c r="C310" s="8" t="s">
        <v>15</v>
      </c>
      <c r="D310" s="22" t="e">
        <f aca="false">сводн.данные!n315</f>
        <v>#NAME?</v>
      </c>
      <c r="E310" s="23" t="n">
        <v>24994.5472924832</v>
      </c>
      <c r="F310" s="24" t="n">
        <v>3800</v>
      </c>
      <c r="G310" s="35" t="e">
        <f aca="false">D310-E310</f>
        <v>#NAME?</v>
      </c>
    </row>
    <row r="311" customFormat="false" ht="15" hidden="false" customHeight="false" outlineLevel="0" collapsed="false">
      <c r="A311" s="28" t="s">
        <v>556</v>
      </c>
      <c r="B311" s="29" t="s">
        <v>557</v>
      </c>
      <c r="C311" s="8" t="s">
        <v>15</v>
      </c>
      <c r="D311" s="22" t="e">
        <f aca="false">сводн.данные!n316</f>
        <v>#NAME?</v>
      </c>
      <c r="E311" s="23" t="n">
        <v>21996.4473906609</v>
      </c>
      <c r="F311" s="24" t="n">
        <v>4000</v>
      </c>
      <c r="G311" s="35" t="e">
        <f aca="false">D311-E311</f>
        <v>#NAME?</v>
      </c>
    </row>
    <row r="312" customFormat="false" ht="15" hidden="false" customHeight="false" outlineLevel="0" collapsed="false">
      <c r="A312" s="28" t="s">
        <v>558</v>
      </c>
      <c r="B312" s="29" t="s">
        <v>559</v>
      </c>
      <c r="C312" s="8" t="s">
        <v>15</v>
      </c>
      <c r="D312" s="22" t="e">
        <f aca="false">сводн.данные!n317</f>
        <v>#NAME?</v>
      </c>
      <c r="E312" s="23" t="n">
        <v>20381.8376368377</v>
      </c>
      <c r="F312" s="24" t="n">
        <v>4320</v>
      </c>
      <c r="G312" s="35" t="e">
        <f aca="false">D312-E312</f>
        <v>#NAME?</v>
      </c>
    </row>
    <row r="313" customFormat="false" ht="15" hidden="false" customHeight="false" outlineLevel="0" collapsed="false">
      <c r="A313" s="28" t="s">
        <v>560</v>
      </c>
      <c r="B313" s="40" t="s">
        <v>561</v>
      </c>
      <c r="C313" s="8" t="s">
        <v>15</v>
      </c>
      <c r="D313" s="22" t="e">
        <f aca="false">сводн.данные!n318</f>
        <v>#NAME?</v>
      </c>
      <c r="E313" s="23" t="n">
        <v>874.926890858313</v>
      </c>
      <c r="F313" s="24" t="n">
        <v>400</v>
      </c>
      <c r="G313" s="35" t="e">
        <f aca="false">D313-E313</f>
        <v>#NAME?</v>
      </c>
    </row>
    <row r="314" customFormat="false" ht="15" hidden="false" customHeight="false" outlineLevel="0" collapsed="false">
      <c r="A314" s="28" t="s">
        <v>562</v>
      </c>
      <c r="B314" s="40" t="s">
        <v>563</v>
      </c>
      <c r="C314" s="8" t="s">
        <v>15</v>
      </c>
      <c r="D314" s="22" t="e">
        <f aca="false">сводн.данные!n319</f>
        <v>#NAME?</v>
      </c>
      <c r="E314" s="23" t="n">
        <v>2300.47024405656</v>
      </c>
      <c r="F314" s="24" t="n">
        <v>350</v>
      </c>
      <c r="G314" s="35" t="e">
        <f aca="false">D314-E314</f>
        <v>#NAME?</v>
      </c>
    </row>
    <row r="315" customFormat="false" ht="15" hidden="false" customHeight="false" outlineLevel="0" collapsed="false">
      <c r="A315" s="28" t="s">
        <v>564</v>
      </c>
      <c r="B315" s="40" t="s">
        <v>565</v>
      </c>
      <c r="C315" s="8" t="s">
        <v>15</v>
      </c>
      <c r="D315" s="22" t="e">
        <f aca="false">сводн.данные!n320</f>
        <v>#NAME?</v>
      </c>
      <c r="E315" s="23" t="n">
        <v>36375.2740322199</v>
      </c>
      <c r="F315" s="24" t="n">
        <v>4405</v>
      </c>
      <c r="G315" s="35" t="e">
        <f aca="false">D315-E315</f>
        <v>#NAME?</v>
      </c>
    </row>
    <row r="316" customFormat="false" ht="15" hidden="false" customHeight="false" outlineLevel="0" collapsed="false">
      <c r="A316" s="28" t="s">
        <v>566</v>
      </c>
      <c r="B316" s="40" t="s">
        <v>567</v>
      </c>
      <c r="C316" s="8" t="s">
        <v>15</v>
      </c>
      <c r="D316" s="22" t="e">
        <f aca="false">сводн.данные!n321</f>
        <v>#NAME?</v>
      </c>
      <c r="E316" s="23" t="n">
        <v>36768.1051067017</v>
      </c>
      <c r="F316" s="24" t="n">
        <v>4315</v>
      </c>
      <c r="G316" s="35" t="e">
        <f aca="false">D316-E316</f>
        <v>#NAME?</v>
      </c>
    </row>
    <row r="317" customFormat="false" ht="15" hidden="false" customHeight="false" outlineLevel="0" collapsed="false">
      <c r="A317" s="28" t="s">
        <v>568</v>
      </c>
      <c r="B317" s="40" t="s">
        <v>569</v>
      </c>
      <c r="C317" s="8" t="s">
        <v>15</v>
      </c>
      <c r="D317" s="22" t="e">
        <f aca="false">сводн.данные!n322</f>
        <v>#NAME?</v>
      </c>
      <c r="E317" s="23" t="n">
        <v>2378.34304393968</v>
      </c>
      <c r="F317" s="24" t="n">
        <v>1525</v>
      </c>
      <c r="G317" s="35" t="e">
        <f aca="false">D317-E317</f>
        <v>#NAME?</v>
      </c>
    </row>
    <row r="318" customFormat="false" ht="15" hidden="false" customHeight="false" outlineLevel="0" collapsed="false">
      <c r="A318" s="28" t="s">
        <v>570</v>
      </c>
      <c r="B318" s="40" t="s">
        <v>571</v>
      </c>
      <c r="C318" s="8" t="s">
        <v>15</v>
      </c>
      <c r="D318" s="22" t="e">
        <f aca="false">сводн.данные!n323</f>
        <v>#NAME?</v>
      </c>
      <c r="E318" s="23" t="n">
        <v>773.701506711666</v>
      </c>
      <c r="F318" s="24" t="n">
        <v>280</v>
      </c>
      <c r="G318" s="35" t="e">
        <f aca="false">D318-E318</f>
        <v>#NAME?</v>
      </c>
    </row>
    <row r="319" customFormat="false" ht="15" hidden="false" customHeight="false" outlineLevel="0" collapsed="false">
      <c r="A319" s="28" t="s">
        <v>572</v>
      </c>
      <c r="B319" s="40" t="s">
        <v>573</v>
      </c>
      <c r="C319" s="8" t="s">
        <v>15</v>
      </c>
      <c r="D319" s="22" t="e">
        <f aca="false">сводн.данные!n324</f>
        <v>#NAME?</v>
      </c>
      <c r="E319" s="23" t="n">
        <v>908.363813836554</v>
      </c>
      <c r="F319" s="24" t="n">
        <v>280</v>
      </c>
      <c r="G319" s="35" t="e">
        <f aca="false">D319-E319</f>
        <v>#NAME?</v>
      </c>
    </row>
    <row r="320" customFormat="false" ht="15" hidden="false" customHeight="false" outlineLevel="0" collapsed="false">
      <c r="A320" s="28" t="s">
        <v>574</v>
      </c>
      <c r="B320" s="40" t="s">
        <v>575</v>
      </c>
      <c r="C320" s="8" t="s">
        <v>15</v>
      </c>
      <c r="D320" s="22" t="e">
        <f aca="false">сводн.данные!n325</f>
        <v>#NAME?</v>
      </c>
      <c r="E320" s="23" t="n">
        <v>24750.5981679262</v>
      </c>
      <c r="F320" s="24" t="n">
        <v>0</v>
      </c>
      <c r="G320" s="35" t="e">
        <f aca="false">D320-E320</f>
        <v>#NAME?</v>
      </c>
    </row>
    <row r="321" customFormat="false" ht="15" hidden="false" customHeight="false" outlineLevel="0" collapsed="false">
      <c r="A321" s="28" t="s">
        <v>576</v>
      </c>
      <c r="B321" s="40" t="s">
        <v>577</v>
      </c>
      <c r="C321" s="8" t="s">
        <v>15</v>
      </c>
      <c r="D321" s="22" t="e">
        <f aca="false">сводн.данные!n326</f>
        <v>#NAME?</v>
      </c>
      <c r="E321" s="23" t="n">
        <v>6467.50705681506</v>
      </c>
      <c r="F321" s="24" t="n">
        <v>4200</v>
      </c>
      <c r="G321" s="35" t="e">
        <f aca="false">D321-E321</f>
        <v>#NAME?</v>
      </c>
    </row>
    <row r="322" customFormat="false" ht="15" hidden="false" customHeight="false" outlineLevel="0" collapsed="false">
      <c r="A322" s="28" t="s">
        <v>578</v>
      </c>
      <c r="B322" s="40" t="s">
        <v>579</v>
      </c>
      <c r="C322" s="8" t="s">
        <v>15</v>
      </c>
      <c r="D322" s="22" t="e">
        <f aca="false">сводн.данные!n327</f>
        <v>#NAME?</v>
      </c>
      <c r="E322" s="23" t="n">
        <v>2546.656118075</v>
      </c>
      <c r="F322" s="24" t="n">
        <v>280</v>
      </c>
      <c r="G322" s="35" t="e">
        <f aca="false">D322-E322</f>
        <v>#NAME?</v>
      </c>
    </row>
    <row r="323" customFormat="false" ht="15" hidden="false" customHeight="false" outlineLevel="0" collapsed="false">
      <c r="A323" s="15" t="s">
        <v>580</v>
      </c>
      <c r="B323" s="16" t="s">
        <v>581</v>
      </c>
      <c r="C323" s="17"/>
      <c r="D323" s="32"/>
      <c r="E323" s="33"/>
      <c r="F323" s="34"/>
      <c r="G323" s="39"/>
    </row>
    <row r="324" customFormat="false" ht="15" hidden="false" customHeight="false" outlineLevel="0" collapsed="false">
      <c r="A324" s="28" t="s">
        <v>582</v>
      </c>
      <c r="B324" s="29" t="s">
        <v>327</v>
      </c>
      <c r="C324" s="8" t="s">
        <v>15</v>
      </c>
      <c r="D324" s="22" t="e">
        <f aca="false">сводн.данные!n329</f>
        <v>#NAME?</v>
      </c>
      <c r="E324" s="23" t="n">
        <v>905.064494108663</v>
      </c>
      <c r="F324" s="24" t="n">
        <v>280</v>
      </c>
      <c r="G324" s="35" t="e">
        <f aca="false">D324-E324</f>
        <v>#NAME?</v>
      </c>
    </row>
    <row r="325" customFormat="false" ht="15" hidden="false" customHeight="false" outlineLevel="0" collapsed="false">
      <c r="A325" s="28" t="s">
        <v>583</v>
      </c>
      <c r="B325" s="29" t="s">
        <v>485</v>
      </c>
      <c r="C325" s="8" t="s">
        <v>15</v>
      </c>
      <c r="D325" s="22" t="e">
        <f aca="false">сводн.данные!n330</f>
        <v>#NAME?</v>
      </c>
      <c r="E325" s="23" t="n">
        <v>2826.43135488738</v>
      </c>
      <c r="F325" s="24" t="n">
        <v>350</v>
      </c>
      <c r="G325" s="35" t="e">
        <f aca="false">D325-E325</f>
        <v>#NAME?</v>
      </c>
    </row>
    <row r="326" customFormat="false" ht="15" hidden="false" customHeight="false" outlineLevel="0" collapsed="false">
      <c r="A326" s="28" t="s">
        <v>584</v>
      </c>
      <c r="B326" s="29" t="s">
        <v>332</v>
      </c>
      <c r="C326" s="8" t="s">
        <v>15</v>
      </c>
      <c r="D326" s="22" t="e">
        <f aca="false">сводн.данные!n331</f>
        <v>#NAME?</v>
      </c>
      <c r="E326" s="23" t="n">
        <v>3374.45762416296</v>
      </c>
      <c r="F326" s="24" t="n">
        <v>0</v>
      </c>
      <c r="G326" s="35" t="e">
        <f aca="false">D326-E326</f>
        <v>#NAME?</v>
      </c>
    </row>
    <row r="327" customFormat="false" ht="30" hidden="false" customHeight="false" outlineLevel="0" collapsed="false">
      <c r="A327" s="28" t="s">
        <v>585</v>
      </c>
      <c r="B327" s="29" t="s">
        <v>586</v>
      </c>
      <c r="C327" s="8" t="s">
        <v>15</v>
      </c>
      <c r="D327" s="22" t="e">
        <f aca="false">сводн.данные!n332</f>
        <v>#NAME?</v>
      </c>
      <c r="E327" s="23" t="n">
        <v>2244.79562808633</v>
      </c>
      <c r="F327" s="24" t="n">
        <v>510</v>
      </c>
      <c r="G327" s="35" t="e">
        <f aca="false">D327-E327</f>
        <v>#NAME?</v>
      </c>
    </row>
    <row r="328" customFormat="false" ht="15" hidden="false" customHeight="false" outlineLevel="0" collapsed="false">
      <c r="A328" s="28" t="s">
        <v>587</v>
      </c>
      <c r="B328" s="29" t="s">
        <v>423</v>
      </c>
      <c r="C328" s="8" t="s">
        <v>15</v>
      </c>
      <c r="D328" s="22" t="e">
        <f aca="false">сводн.данные!n333</f>
        <v>#NAME?</v>
      </c>
      <c r="E328" s="23" t="n">
        <v>2636.4101931499</v>
      </c>
      <c r="F328" s="24" t="n">
        <v>705</v>
      </c>
      <c r="G328" s="35" t="e">
        <f aca="false">D328-E328</f>
        <v>#NAME?</v>
      </c>
    </row>
    <row r="329" customFormat="false" ht="15" hidden="false" customHeight="false" outlineLevel="0" collapsed="false">
      <c r="A329" s="28" t="s">
        <v>588</v>
      </c>
      <c r="B329" s="29" t="s">
        <v>425</v>
      </c>
      <c r="C329" s="8" t="s">
        <v>15</v>
      </c>
      <c r="D329" s="22" t="e">
        <f aca="false">сводн.данные!n334</f>
        <v>#NAME?</v>
      </c>
      <c r="E329" s="23" t="n">
        <v>3383.58769019361</v>
      </c>
      <c r="F329" s="24" t="n">
        <v>1220</v>
      </c>
      <c r="G329" s="35" t="e">
        <f aca="false">D329-E329</f>
        <v>#NAME?</v>
      </c>
    </row>
    <row r="330" customFormat="false" ht="15" hidden="false" customHeight="false" outlineLevel="0" collapsed="false">
      <c r="A330" s="28" t="s">
        <v>589</v>
      </c>
      <c r="B330" s="29" t="s">
        <v>499</v>
      </c>
      <c r="C330" s="8" t="s">
        <v>15</v>
      </c>
      <c r="D330" s="22" t="e">
        <f aca="false">сводн.данные!n335</f>
        <v>#NAME?</v>
      </c>
      <c r="E330" s="23" t="n">
        <v>1852.05773481476</v>
      </c>
      <c r="F330" s="24" t="n">
        <v>1330</v>
      </c>
      <c r="G330" s="35" t="e">
        <f aca="false">D330-E330</f>
        <v>#NAME?</v>
      </c>
    </row>
    <row r="331" customFormat="false" ht="15" hidden="false" customHeight="false" outlineLevel="0" collapsed="false">
      <c r="A331" s="28" t="s">
        <v>590</v>
      </c>
      <c r="B331" s="29" t="s">
        <v>19</v>
      </c>
      <c r="C331" s="8" t="s">
        <v>15</v>
      </c>
      <c r="D331" s="22" t="e">
        <f aca="false">сводн.данные!n336</f>
        <v>#NAME?</v>
      </c>
      <c r="E331" s="23" t="n">
        <v>1277.2153653802</v>
      </c>
      <c r="F331" s="24" t="n">
        <v>330</v>
      </c>
      <c r="G331" s="35" t="e">
        <f aca="false">D331-E331</f>
        <v>#NAME?</v>
      </c>
    </row>
    <row r="332" customFormat="false" ht="15" hidden="false" customHeight="false" outlineLevel="0" collapsed="false">
      <c r="A332" s="28" t="s">
        <v>591</v>
      </c>
      <c r="B332" s="29" t="s">
        <v>592</v>
      </c>
      <c r="C332" s="8" t="s">
        <v>15</v>
      </c>
      <c r="D332" s="22" t="e">
        <f aca="false">сводн.данные!n337</f>
        <v>#NAME?</v>
      </c>
      <c r="E332" s="23" t="n">
        <v>3094.18271041434</v>
      </c>
      <c r="F332" s="24" t="n">
        <v>925</v>
      </c>
      <c r="G332" s="35" t="e">
        <f aca="false">D332-E332</f>
        <v>#NAME?</v>
      </c>
    </row>
    <row r="333" customFormat="false" ht="30" hidden="false" customHeight="false" outlineLevel="0" collapsed="false">
      <c r="A333" s="28" t="s">
        <v>593</v>
      </c>
      <c r="B333" s="29" t="s">
        <v>538</v>
      </c>
      <c r="C333" s="8" t="s">
        <v>15</v>
      </c>
      <c r="D333" s="22" t="e">
        <f aca="false">сводн.данные!n338</f>
        <v>#NAME?</v>
      </c>
      <c r="E333" s="23" t="n">
        <v>2338.56720516659</v>
      </c>
      <c r="F333" s="24" t="n">
        <v>905</v>
      </c>
      <c r="G333" s="35" t="e">
        <f aca="false">D333-E333</f>
        <v>#NAME?</v>
      </c>
    </row>
    <row r="334" customFormat="false" ht="30" hidden="false" customHeight="false" outlineLevel="0" collapsed="false">
      <c r="A334" s="28" t="s">
        <v>594</v>
      </c>
      <c r="B334" s="29" t="s">
        <v>540</v>
      </c>
      <c r="C334" s="8" t="s">
        <v>15</v>
      </c>
      <c r="D334" s="22" t="e">
        <f aca="false">сводн.данные!n339</f>
        <v>#NAME?</v>
      </c>
      <c r="E334" s="23" t="n">
        <v>1929.18192723864</v>
      </c>
      <c r="F334" s="24" t="n">
        <v>1035</v>
      </c>
      <c r="G334" s="35" t="e">
        <f aca="false">D334-E334</f>
        <v>#NAME?</v>
      </c>
    </row>
    <row r="335" customFormat="false" ht="15" hidden="false" customHeight="false" outlineLevel="0" collapsed="false">
      <c r="A335" s="28" t="s">
        <v>595</v>
      </c>
      <c r="B335" s="29" t="s">
        <v>596</v>
      </c>
      <c r="C335" s="8" t="s">
        <v>15</v>
      </c>
      <c r="D335" s="22" t="e">
        <f aca="false">сводн.данные!n340</f>
        <v>#NAME?</v>
      </c>
      <c r="E335" s="23" t="n">
        <v>2362.52310401134</v>
      </c>
      <c r="F335" s="24" t="n">
        <v>350</v>
      </c>
      <c r="G335" s="35" t="e">
        <f aca="false">D335-E335</f>
        <v>#NAME?</v>
      </c>
    </row>
    <row r="336" customFormat="false" ht="15" hidden="false" customHeight="false" outlineLevel="0" collapsed="false">
      <c r="A336" s="28" t="s">
        <v>597</v>
      </c>
      <c r="B336" s="29" t="s">
        <v>598</v>
      </c>
      <c r="C336" s="8" t="s">
        <v>15</v>
      </c>
      <c r="D336" s="22" t="e">
        <f aca="false">сводн.данные!n341</f>
        <v>#NAME?</v>
      </c>
      <c r="E336" s="23" t="n">
        <v>4012.56584813223</v>
      </c>
      <c r="F336" s="24" t="n">
        <v>0</v>
      </c>
      <c r="G336" s="35" t="e">
        <f aca="false">D336-E336</f>
        <v>#NAME?</v>
      </c>
    </row>
    <row r="337" customFormat="false" ht="15" hidden="false" customHeight="false" outlineLevel="0" collapsed="false">
      <c r="A337" s="28" t="s">
        <v>599</v>
      </c>
      <c r="B337" s="29" t="s">
        <v>600</v>
      </c>
      <c r="C337" s="8" t="s">
        <v>15</v>
      </c>
      <c r="D337" s="22" t="e">
        <f aca="false">сводн.данные!n342</f>
        <v>#NAME?</v>
      </c>
      <c r="E337" s="23" t="n">
        <v>1709.36602780529</v>
      </c>
      <c r="F337" s="24" t="n">
        <v>900</v>
      </c>
      <c r="G337" s="35" t="e">
        <f aca="false">D337-E337</f>
        <v>#NAME?</v>
      </c>
    </row>
    <row r="338" customFormat="false" ht="15" hidden="false" customHeight="false" outlineLevel="0" collapsed="false">
      <c r="A338" s="28" t="s">
        <v>601</v>
      </c>
      <c r="B338" s="29" t="s">
        <v>545</v>
      </c>
      <c r="C338" s="8" t="s">
        <v>15</v>
      </c>
      <c r="D338" s="22" t="e">
        <f aca="false">сводн.данные!n343</f>
        <v>#NAME?</v>
      </c>
      <c r="E338" s="23" t="n">
        <v>7640.05527213304</v>
      </c>
      <c r="F338" s="24" t="n">
        <v>1295</v>
      </c>
      <c r="G338" s="35" t="e">
        <f aca="false">D338-E338</f>
        <v>#NAME?</v>
      </c>
    </row>
    <row r="339" customFormat="false" ht="15" hidden="false" customHeight="false" outlineLevel="0" collapsed="false">
      <c r="A339" s="28" t="s">
        <v>602</v>
      </c>
      <c r="B339" s="29" t="s">
        <v>543</v>
      </c>
      <c r="C339" s="8" t="s">
        <v>15</v>
      </c>
      <c r="D339" s="22" t="e">
        <f aca="false">сводн.данные!n344</f>
        <v>#NAME?</v>
      </c>
      <c r="E339" s="23" t="n">
        <v>7640.05527213304</v>
      </c>
      <c r="F339" s="24" t="n">
        <v>1325</v>
      </c>
      <c r="G339" s="35" t="e">
        <f aca="false">D339-E339</f>
        <v>#NAME?</v>
      </c>
    </row>
    <row r="340" customFormat="false" ht="15" hidden="false" customHeight="false" outlineLevel="0" collapsed="false">
      <c r="A340" s="28" t="s">
        <v>603</v>
      </c>
      <c r="B340" s="29" t="s">
        <v>547</v>
      </c>
      <c r="C340" s="8" t="s">
        <v>15</v>
      </c>
      <c r="D340" s="22" t="e">
        <f aca="false">сводн.данные!n345</f>
        <v>#NAME?</v>
      </c>
      <c r="E340" s="23" t="n">
        <v>4273.07413652148</v>
      </c>
      <c r="F340" s="24" t="n">
        <v>1635</v>
      </c>
      <c r="G340" s="35" t="e">
        <f aca="false">D340-E340</f>
        <v>#NAME?</v>
      </c>
    </row>
    <row r="341" customFormat="false" ht="15" hidden="false" customHeight="false" outlineLevel="0" collapsed="false">
      <c r="A341" s="28" t="s">
        <v>604</v>
      </c>
      <c r="B341" s="29" t="s">
        <v>549</v>
      </c>
      <c r="C341" s="8" t="s">
        <v>15</v>
      </c>
      <c r="D341" s="22" t="e">
        <f aca="false">сводн.данные!n346</f>
        <v>#NAME?</v>
      </c>
      <c r="E341" s="23" t="n">
        <v>5998.15320580288</v>
      </c>
      <c r="F341" s="24" t="n">
        <v>1540</v>
      </c>
      <c r="G341" s="35" t="e">
        <f aca="false">D341-E341</f>
        <v>#NAME?</v>
      </c>
    </row>
    <row r="342" customFormat="false" ht="30" hidden="false" customHeight="false" outlineLevel="0" collapsed="false">
      <c r="A342" s="28" t="s">
        <v>605</v>
      </c>
      <c r="B342" s="29" t="s">
        <v>606</v>
      </c>
      <c r="C342" s="8" t="s">
        <v>15</v>
      </c>
      <c r="D342" s="22" t="e">
        <f aca="false">сводн.данные!n347</f>
        <v>#NAME?</v>
      </c>
      <c r="E342" s="23" t="n">
        <v>21164.595600383</v>
      </c>
      <c r="F342" s="24" t="n">
        <v>2415</v>
      </c>
      <c r="G342" s="35" t="e">
        <f aca="false">D342-E342</f>
        <v>#NAME?</v>
      </c>
    </row>
    <row r="343" customFormat="false" ht="15" hidden="false" customHeight="false" outlineLevel="0" collapsed="false">
      <c r="A343" s="28" t="s">
        <v>607</v>
      </c>
      <c r="B343" s="29" t="s">
        <v>553</v>
      </c>
      <c r="C343" s="8" t="s">
        <v>15</v>
      </c>
      <c r="D343" s="22" t="e">
        <f aca="false">сводн.данные!n348</f>
        <v>#NAME?</v>
      </c>
      <c r="E343" s="23" t="n">
        <v>28792.9630845965</v>
      </c>
      <c r="F343" s="24" t="n">
        <v>4225</v>
      </c>
      <c r="G343" s="35" t="e">
        <f aca="false">D343-E343</f>
        <v>#NAME?</v>
      </c>
    </row>
    <row r="344" customFormat="false" ht="15" hidden="false" customHeight="false" outlineLevel="0" collapsed="false">
      <c r="A344" s="28" t="s">
        <v>608</v>
      </c>
      <c r="B344" s="40" t="s">
        <v>609</v>
      </c>
      <c r="C344" s="8" t="s">
        <v>15</v>
      </c>
      <c r="D344" s="22" t="e">
        <f aca="false">сводн.данные!n349</f>
        <v>#NAME?</v>
      </c>
      <c r="E344" s="23" t="n">
        <v>22496.4639280275</v>
      </c>
      <c r="F344" s="24" t="n">
        <v>670</v>
      </c>
      <c r="G344" s="35" t="e">
        <f aca="false">D344-E344</f>
        <v>#NAME?</v>
      </c>
    </row>
    <row r="345" customFormat="false" ht="15" hidden="false" customHeight="false" outlineLevel="0" collapsed="false">
      <c r="A345" s="28" t="s">
        <v>610</v>
      </c>
      <c r="B345" s="40" t="s">
        <v>611</v>
      </c>
      <c r="C345" s="8" t="s">
        <v>15</v>
      </c>
      <c r="D345" s="22" t="e">
        <f aca="false">сводн.данные!n350</f>
        <v>#NAME?</v>
      </c>
      <c r="E345" s="23" t="n">
        <v>1510.2284274449</v>
      </c>
      <c r="F345" s="24" t="n">
        <v>280</v>
      </c>
      <c r="G345" s="35" t="e">
        <f aca="false">D345-E345</f>
        <v>#NAME?</v>
      </c>
    </row>
    <row r="346" customFormat="false" ht="15" hidden="false" customHeight="false" outlineLevel="0" collapsed="false">
      <c r="A346" s="15" t="s">
        <v>612</v>
      </c>
      <c r="B346" s="16" t="s">
        <v>613</v>
      </c>
      <c r="C346" s="17"/>
      <c r="D346" s="32"/>
      <c r="E346" s="33"/>
      <c r="F346" s="34"/>
      <c r="G346" s="39"/>
    </row>
    <row r="347" customFormat="false" ht="15" hidden="false" customHeight="false" outlineLevel="0" collapsed="false">
      <c r="A347" s="28" t="s">
        <v>614</v>
      </c>
      <c r="B347" s="49" t="s">
        <v>485</v>
      </c>
      <c r="C347" s="8" t="s">
        <v>15</v>
      </c>
      <c r="D347" s="22" t="e">
        <f aca="false">сводн.данные!n352</f>
        <v>#NAME?</v>
      </c>
      <c r="E347" s="23" t="n">
        <v>2173.08454377288</v>
      </c>
      <c r="F347" s="24" t="n">
        <v>390</v>
      </c>
      <c r="G347" s="35" t="e">
        <f aca="false">D347-E347</f>
        <v>#NAME?</v>
      </c>
    </row>
    <row r="348" customFormat="false" ht="15" hidden="false" customHeight="false" outlineLevel="0" collapsed="false">
      <c r="A348" s="28" t="s">
        <v>615</v>
      </c>
      <c r="B348" s="49" t="s">
        <v>332</v>
      </c>
      <c r="C348" s="8" t="s">
        <v>15</v>
      </c>
      <c r="D348" s="22" t="e">
        <f aca="false">сводн.данные!n353</f>
        <v>#NAME?</v>
      </c>
      <c r="E348" s="23" t="n">
        <v>3370.12884865276</v>
      </c>
      <c r="F348" s="24" t="n">
        <v>1445</v>
      </c>
      <c r="G348" s="35" t="e">
        <f aca="false">D348-E348</f>
        <v>#NAME?</v>
      </c>
    </row>
    <row r="349" customFormat="false" ht="30" hidden="false" customHeight="false" outlineLevel="0" collapsed="false">
      <c r="A349" s="28" t="s">
        <v>616</v>
      </c>
      <c r="B349" s="49" t="s">
        <v>617</v>
      </c>
      <c r="C349" s="8" t="s">
        <v>15</v>
      </c>
      <c r="D349" s="22" t="e">
        <f aca="false">сводн.данные!n354</f>
        <v>#NAME?</v>
      </c>
      <c r="E349" s="23" t="n">
        <v>3853.02669193469</v>
      </c>
      <c r="F349" s="24" t="n">
        <v>815</v>
      </c>
      <c r="G349" s="35" t="e">
        <f aca="false">D349-E349</f>
        <v>#NAME?</v>
      </c>
    </row>
    <row r="350" customFormat="false" ht="15" hidden="false" customHeight="false" outlineLevel="0" collapsed="false">
      <c r="A350" s="28" t="s">
        <v>618</v>
      </c>
      <c r="B350" s="49" t="s">
        <v>619</v>
      </c>
      <c r="C350" s="8" t="s">
        <v>15</v>
      </c>
      <c r="D350" s="22" t="e">
        <f aca="false">сводн.данные!n355</f>
        <v>#NAME?</v>
      </c>
      <c r="E350" s="23" t="n">
        <v>3000.01082504239</v>
      </c>
      <c r="F350" s="24" t="n">
        <v>780</v>
      </c>
      <c r="G350" s="35" t="e">
        <f aca="false">D350-E350</f>
        <v>#NAME?</v>
      </c>
    </row>
    <row r="351" customFormat="false" ht="15" hidden="false" customHeight="false" outlineLevel="0" collapsed="false">
      <c r="A351" s="28" t="s">
        <v>620</v>
      </c>
      <c r="B351" s="49" t="s">
        <v>621</v>
      </c>
      <c r="C351" s="8" t="s">
        <v>15</v>
      </c>
      <c r="D351" s="22" t="e">
        <f aca="false">сводн.данные!n356</f>
        <v>#NAME?</v>
      </c>
      <c r="E351" s="23" t="n">
        <v>1172.73580726107</v>
      </c>
      <c r="F351" s="24" t="n">
        <v>285</v>
      </c>
      <c r="G351" s="35" t="e">
        <f aca="false">D351-E351</f>
        <v>#NAME?</v>
      </c>
    </row>
    <row r="352" customFormat="false" ht="15" hidden="false" customHeight="false" outlineLevel="0" collapsed="false">
      <c r="A352" s="28" t="s">
        <v>622</v>
      </c>
      <c r="B352" s="49" t="s">
        <v>623</v>
      </c>
      <c r="C352" s="8" t="s">
        <v>15</v>
      </c>
      <c r="D352" s="22" t="e">
        <f aca="false">сводн.данные!n357</f>
        <v>#NAME?</v>
      </c>
      <c r="E352" s="23" t="n">
        <v>1611.86311454632</v>
      </c>
      <c r="F352" s="24" t="n">
        <v>315</v>
      </c>
      <c r="G352" s="35" t="e">
        <f aca="false">D352-E352</f>
        <v>#NAME?</v>
      </c>
    </row>
    <row r="353" customFormat="false" ht="15" hidden="false" customHeight="false" outlineLevel="0" collapsed="false">
      <c r="A353" s="28" t="s">
        <v>624</v>
      </c>
      <c r="B353" s="49" t="s">
        <v>625</v>
      </c>
      <c r="C353" s="8" t="s">
        <v>15</v>
      </c>
      <c r="D353" s="22" t="e">
        <f aca="false">сводн.данные!n358</f>
        <v>#NAME?</v>
      </c>
      <c r="E353" s="23" t="n">
        <v>30809.3504218316</v>
      </c>
      <c r="F353" s="24" t="n">
        <v>1570</v>
      </c>
      <c r="G353" s="35" t="e">
        <f aca="false">D353-E353</f>
        <v>#NAME?</v>
      </c>
    </row>
    <row r="354" customFormat="false" ht="15" hidden="false" customHeight="false" outlineLevel="0" collapsed="false">
      <c r="A354" s="28" t="s">
        <v>626</v>
      </c>
      <c r="B354" s="49" t="s">
        <v>545</v>
      </c>
      <c r="C354" s="8" t="s">
        <v>15</v>
      </c>
      <c r="D354" s="22" t="e">
        <f aca="false">сводн.данные!n359</f>
        <v>#NAME?</v>
      </c>
      <c r="E354" s="23" t="n">
        <v>7500.19306640753</v>
      </c>
      <c r="F354" s="24" t="n">
        <v>1295</v>
      </c>
      <c r="G354" s="35" t="e">
        <f aca="false">D354-E354</f>
        <v>#NAME?</v>
      </c>
    </row>
    <row r="355" customFormat="false" ht="15" hidden="false" customHeight="false" outlineLevel="0" collapsed="false">
      <c r="A355" s="28" t="s">
        <v>627</v>
      </c>
      <c r="B355" s="49" t="s">
        <v>543</v>
      </c>
      <c r="C355" s="8" t="s">
        <v>15</v>
      </c>
      <c r="D355" s="22" t="e">
        <f aca="false">сводн.данные!n360</f>
        <v>#NAME?</v>
      </c>
      <c r="E355" s="23" t="n">
        <v>7500.19306640753</v>
      </c>
      <c r="F355" s="24" t="n">
        <v>1325</v>
      </c>
      <c r="G355" s="35" t="e">
        <f aca="false">D355-E355</f>
        <v>#NAME?</v>
      </c>
    </row>
    <row r="356" customFormat="false" ht="15" hidden="false" customHeight="false" outlineLevel="0" collapsed="false">
      <c r="A356" s="28" t="s">
        <v>628</v>
      </c>
      <c r="B356" s="49" t="s">
        <v>547</v>
      </c>
      <c r="C356" s="8" t="s">
        <v>15</v>
      </c>
      <c r="D356" s="22" t="e">
        <f aca="false">сводн.данные!n361</f>
        <v>#NAME?</v>
      </c>
      <c r="E356" s="23" t="n">
        <v>5000.22493767432</v>
      </c>
      <c r="F356" s="24" t="n">
        <v>1640</v>
      </c>
      <c r="G356" s="35" t="e">
        <f aca="false">D356-E356</f>
        <v>#NAME?</v>
      </c>
    </row>
    <row r="357" customFormat="false" ht="15" hidden="false" customHeight="false" outlineLevel="0" collapsed="false">
      <c r="A357" s="28" t="s">
        <v>629</v>
      </c>
      <c r="B357" s="49" t="s">
        <v>630</v>
      </c>
      <c r="C357" s="8" t="s">
        <v>15</v>
      </c>
      <c r="D357" s="22" t="e">
        <f aca="false">сводн.данные!n362</f>
        <v>#NAME?</v>
      </c>
      <c r="E357" s="23" t="n">
        <v>689.636536426229</v>
      </c>
      <c r="F357" s="24" t="n">
        <v>280</v>
      </c>
      <c r="G357" s="35" t="e">
        <f aca="false">D357-E357</f>
        <v>#NAME?</v>
      </c>
    </row>
    <row r="358" customFormat="false" ht="15" hidden="false" customHeight="false" outlineLevel="0" collapsed="false">
      <c r="A358" s="28" t="s">
        <v>631</v>
      </c>
      <c r="B358" s="49" t="s">
        <v>632</v>
      </c>
      <c r="C358" s="8" t="s">
        <v>15</v>
      </c>
      <c r="D358" s="22" t="e">
        <f aca="false">сводн.данные!n363</f>
        <v>#NAME?</v>
      </c>
      <c r="E358" s="23" t="n">
        <v>1380.30119076629</v>
      </c>
      <c r="F358" s="24" t="n">
        <v>285</v>
      </c>
      <c r="G358" s="35" t="e">
        <f aca="false">D358-E358</f>
        <v>#NAME?</v>
      </c>
    </row>
    <row r="359" customFormat="false" ht="15" hidden="false" customHeight="false" outlineLevel="0" collapsed="false">
      <c r="A359" s="28" t="s">
        <v>633</v>
      </c>
      <c r="B359" s="49" t="s">
        <v>634</v>
      </c>
      <c r="C359" s="8" t="s">
        <v>15</v>
      </c>
      <c r="D359" s="22" t="e">
        <f aca="false">сводн.данные!n364</f>
        <v>#NAME?</v>
      </c>
      <c r="E359" s="23" t="n">
        <v>1380.30119076629</v>
      </c>
      <c r="F359" s="24" t="n">
        <v>285</v>
      </c>
      <c r="G359" s="35" t="e">
        <f aca="false">D359-E359</f>
        <v>#NAME?</v>
      </c>
    </row>
    <row r="360" customFormat="false" ht="15" hidden="false" customHeight="false" outlineLevel="0" collapsed="false">
      <c r="A360" s="28" t="s">
        <v>635</v>
      </c>
      <c r="B360" s="49" t="s">
        <v>636</v>
      </c>
      <c r="C360" s="8" t="s">
        <v>15</v>
      </c>
      <c r="D360" s="22" t="e">
        <f aca="false">сводн.данные!n365</f>
        <v>#NAME?</v>
      </c>
      <c r="E360" s="23" t="n">
        <v>1383.58146287513</v>
      </c>
      <c r="F360" s="24" t="n">
        <v>0</v>
      </c>
      <c r="G360" s="35" t="e">
        <f aca="false">D360-E360</f>
        <v>#NAME?</v>
      </c>
    </row>
    <row r="361" customFormat="false" ht="28.5" hidden="false" customHeight="false" outlineLevel="0" collapsed="false">
      <c r="A361" s="15" t="s">
        <v>637</v>
      </c>
      <c r="B361" s="16" t="s">
        <v>638</v>
      </c>
      <c r="C361" s="17"/>
      <c r="D361" s="32"/>
      <c r="E361" s="33"/>
      <c r="F361" s="34"/>
      <c r="G361" s="39"/>
    </row>
    <row r="362" customFormat="false" ht="15.75" hidden="false" customHeight="true" outlineLevel="0" collapsed="false">
      <c r="A362" s="28" t="s">
        <v>639</v>
      </c>
      <c r="B362" s="29" t="s">
        <v>327</v>
      </c>
      <c r="C362" s="8" t="s">
        <v>15</v>
      </c>
      <c r="D362" s="22" t="e">
        <f aca="false">сводн.данные!n367</f>
        <v>#NAME?</v>
      </c>
      <c r="E362" s="23" t="n">
        <v>905.064494108663</v>
      </c>
      <c r="F362" s="24" t="n">
        <v>275</v>
      </c>
      <c r="G362" s="35" t="e">
        <f aca="false">D362-E362</f>
        <v>#NAME?</v>
      </c>
    </row>
    <row r="363" customFormat="false" ht="15" hidden="false" customHeight="false" outlineLevel="0" collapsed="false">
      <c r="A363" s="28" t="s">
        <v>640</v>
      </c>
      <c r="B363" s="29" t="s">
        <v>485</v>
      </c>
      <c r="C363" s="8" t="s">
        <v>15</v>
      </c>
      <c r="D363" s="22" t="e">
        <f aca="false">сводн.данные!n368</f>
        <v>#NAME?</v>
      </c>
      <c r="E363" s="23" t="n">
        <v>2093.49089297923</v>
      </c>
      <c r="F363" s="24" t="n">
        <v>350</v>
      </c>
      <c r="G363" s="35" t="e">
        <f aca="false">D363-E363</f>
        <v>#NAME?</v>
      </c>
    </row>
    <row r="364" customFormat="false" ht="15" hidden="false" customHeight="false" outlineLevel="0" collapsed="false">
      <c r="A364" s="28" t="s">
        <v>641</v>
      </c>
      <c r="B364" s="29" t="s">
        <v>332</v>
      </c>
      <c r="C364" s="8" t="s">
        <v>15</v>
      </c>
      <c r="D364" s="22" t="e">
        <f aca="false">сводн.данные!n369</f>
        <v>#NAME?</v>
      </c>
      <c r="E364" s="23" t="n">
        <v>2982.66639502198</v>
      </c>
      <c r="F364" s="24" t="n">
        <v>0</v>
      </c>
      <c r="G364" s="35" t="e">
        <f aca="false">D364-E364</f>
        <v>#NAME?</v>
      </c>
    </row>
    <row r="365" customFormat="false" ht="15" hidden="false" customHeight="false" outlineLevel="0" collapsed="false">
      <c r="A365" s="28" t="s">
        <v>642</v>
      </c>
      <c r="B365" s="29" t="s">
        <v>643</v>
      </c>
      <c r="C365" s="8" t="s">
        <v>15</v>
      </c>
      <c r="D365" s="22" t="e">
        <f aca="false">сводн.данные!n370</f>
        <v>#NAME?</v>
      </c>
      <c r="E365" s="23" t="n">
        <v>1648.52689021688</v>
      </c>
      <c r="F365" s="24" t="n">
        <v>820</v>
      </c>
      <c r="G365" s="35" t="e">
        <f aca="false">D365-E365</f>
        <v>#NAME?</v>
      </c>
    </row>
    <row r="366" customFormat="false" ht="15" hidden="false" customHeight="false" outlineLevel="0" collapsed="false">
      <c r="A366" s="28" t="s">
        <v>644</v>
      </c>
      <c r="B366" s="29" t="s">
        <v>423</v>
      </c>
      <c r="C366" s="8" t="s">
        <v>15</v>
      </c>
      <c r="D366" s="22" t="e">
        <f aca="false">сводн.данные!n371</f>
        <v>#NAME?</v>
      </c>
      <c r="E366" s="23" t="n">
        <v>2692.09746078162</v>
      </c>
      <c r="F366" s="24" t="n">
        <v>565</v>
      </c>
      <c r="G366" s="35" t="e">
        <f aca="false">D366-E366</f>
        <v>#NAME?</v>
      </c>
    </row>
    <row r="367" customFormat="false" ht="15" hidden="false" customHeight="false" outlineLevel="0" collapsed="false">
      <c r="A367" s="28" t="s">
        <v>645</v>
      </c>
      <c r="B367" s="29" t="s">
        <v>425</v>
      </c>
      <c r="C367" s="8" t="s">
        <v>15</v>
      </c>
      <c r="D367" s="22" t="e">
        <f aca="false">сводн.данные!n372</f>
        <v>#NAME?</v>
      </c>
      <c r="E367" s="23" t="n">
        <v>3642.76484727498</v>
      </c>
      <c r="F367" s="24" t="n">
        <v>965</v>
      </c>
      <c r="G367" s="35" t="e">
        <f aca="false">D367-E367</f>
        <v>#NAME?</v>
      </c>
    </row>
    <row r="368" customFormat="false" ht="15" hidden="false" customHeight="false" outlineLevel="0" collapsed="false">
      <c r="A368" s="28" t="s">
        <v>646</v>
      </c>
      <c r="B368" s="29" t="s">
        <v>499</v>
      </c>
      <c r="C368" s="8" t="s">
        <v>15</v>
      </c>
      <c r="D368" s="22" t="e">
        <f aca="false">сводн.данные!n373</f>
        <v>#NAME?</v>
      </c>
      <c r="E368" s="23" t="n">
        <v>1615.84986213733</v>
      </c>
      <c r="F368" s="24" t="n">
        <v>885</v>
      </c>
      <c r="G368" s="35" t="e">
        <f aca="false">D368-E368</f>
        <v>#NAME?</v>
      </c>
    </row>
    <row r="369" customFormat="false" ht="15" hidden="false" customHeight="false" outlineLevel="0" collapsed="false">
      <c r="A369" s="28" t="s">
        <v>647</v>
      </c>
      <c r="B369" s="29" t="s">
        <v>648</v>
      </c>
      <c r="C369" s="8" t="s">
        <v>15</v>
      </c>
      <c r="D369" s="22" t="e">
        <f aca="false">сводн.данные!n374</f>
        <v>#NAME?</v>
      </c>
      <c r="E369" s="23" t="n">
        <v>3600.98481772763</v>
      </c>
      <c r="F369" s="24" t="n">
        <v>1290</v>
      </c>
      <c r="G369" s="35" t="e">
        <f aca="false">D369-E369</f>
        <v>#NAME?</v>
      </c>
    </row>
    <row r="370" customFormat="false" ht="30" hidden="false" customHeight="false" outlineLevel="0" collapsed="false">
      <c r="A370" s="28" t="s">
        <v>649</v>
      </c>
      <c r="B370" s="29" t="s">
        <v>538</v>
      </c>
      <c r="C370" s="8" t="s">
        <v>15</v>
      </c>
      <c r="D370" s="22" t="e">
        <f aca="false">сводн.данные!n375</f>
        <v>#NAME?</v>
      </c>
      <c r="E370" s="23" t="n">
        <v>2097.51418227483</v>
      </c>
      <c r="F370" s="24" t="n">
        <v>690</v>
      </c>
      <c r="G370" s="35" t="e">
        <f aca="false">D370-E370</f>
        <v>#NAME?</v>
      </c>
    </row>
    <row r="371" customFormat="false" ht="30" hidden="false" customHeight="false" outlineLevel="0" collapsed="false">
      <c r="A371" s="28" t="s">
        <v>650</v>
      </c>
      <c r="B371" s="29" t="s">
        <v>540</v>
      </c>
      <c r="C371" s="8" t="s">
        <v>15</v>
      </c>
      <c r="D371" s="22" t="e">
        <f aca="false">сводн.данные!n376</f>
        <v>#NAME?</v>
      </c>
      <c r="E371" s="23" t="n">
        <v>2179.95884957545</v>
      </c>
      <c r="F371" s="24" t="n">
        <v>1370</v>
      </c>
      <c r="G371" s="35" t="e">
        <f aca="false">D371-E371</f>
        <v>#NAME?</v>
      </c>
    </row>
    <row r="372" customFormat="false" ht="15" hidden="false" customHeight="false" outlineLevel="0" collapsed="false">
      <c r="A372" s="28" t="s">
        <v>651</v>
      </c>
      <c r="B372" s="29" t="s">
        <v>545</v>
      </c>
      <c r="C372" s="8" t="s">
        <v>15</v>
      </c>
      <c r="D372" s="22" t="e">
        <f aca="false">сводн.данные!n377</f>
        <v>#NAME?</v>
      </c>
      <c r="E372" s="23" t="n">
        <v>7500.05016271182</v>
      </c>
      <c r="F372" s="24" t="n">
        <v>1295</v>
      </c>
      <c r="G372" s="35" t="e">
        <f aca="false">D372-E372</f>
        <v>#NAME?</v>
      </c>
    </row>
    <row r="373" customFormat="false" ht="15" hidden="false" customHeight="false" outlineLevel="0" collapsed="false">
      <c r="A373" s="28" t="s">
        <v>652</v>
      </c>
      <c r="B373" s="29" t="s">
        <v>543</v>
      </c>
      <c r="C373" s="8" t="s">
        <v>15</v>
      </c>
      <c r="D373" s="22" t="e">
        <f aca="false">сводн.данные!n378</f>
        <v>#NAME?</v>
      </c>
      <c r="E373" s="23" t="n">
        <v>7499.89883919478</v>
      </c>
      <c r="F373" s="24" t="n">
        <v>1325</v>
      </c>
      <c r="G373" s="35" t="e">
        <f aca="false">D373-E373</f>
        <v>#NAME?</v>
      </c>
    </row>
    <row r="374" customFormat="false" ht="15" hidden="false" customHeight="false" outlineLevel="0" collapsed="false">
      <c r="A374" s="28" t="s">
        <v>653</v>
      </c>
      <c r="B374" s="29" t="s">
        <v>547</v>
      </c>
      <c r="C374" s="8" t="s">
        <v>15</v>
      </c>
      <c r="D374" s="22" t="e">
        <f aca="false">сводн.данные!n379</f>
        <v>#NAME?</v>
      </c>
      <c r="E374" s="23" t="n">
        <v>4448.61798215725</v>
      </c>
      <c r="F374" s="24" t="n">
        <v>1640</v>
      </c>
      <c r="G374" s="35" t="e">
        <f aca="false">D374-E374</f>
        <v>#NAME?</v>
      </c>
    </row>
    <row r="375" customFormat="false" ht="15" hidden="false" customHeight="false" outlineLevel="0" collapsed="false">
      <c r="A375" s="28" t="s">
        <v>654</v>
      </c>
      <c r="B375" s="29" t="s">
        <v>549</v>
      </c>
      <c r="C375" s="8" t="s">
        <v>15</v>
      </c>
      <c r="D375" s="22" t="e">
        <f aca="false">сводн.данные!n380</f>
        <v>#NAME?</v>
      </c>
      <c r="E375" s="23" t="n">
        <v>5955.21339021125</v>
      </c>
      <c r="F375" s="24" t="n">
        <v>1540</v>
      </c>
      <c r="G375" s="35" t="e">
        <f aca="false">D375-E375</f>
        <v>#NAME?</v>
      </c>
    </row>
    <row r="376" customFormat="false" ht="15" hidden="false" customHeight="false" outlineLevel="0" collapsed="false">
      <c r="A376" s="28" t="s">
        <v>655</v>
      </c>
      <c r="B376" s="29" t="s">
        <v>656</v>
      </c>
      <c r="C376" s="8" t="s">
        <v>15</v>
      </c>
      <c r="D376" s="22" t="e">
        <f aca="false">сводн.данные!n381</f>
        <v>#NAME?</v>
      </c>
      <c r="E376" s="23" t="n">
        <v>23910.1702580702</v>
      </c>
      <c r="F376" s="24" t="n">
        <v>5115</v>
      </c>
      <c r="G376" s="35" t="e">
        <f aca="false">D376-E376</f>
        <v>#NAME?</v>
      </c>
    </row>
    <row r="377" customFormat="false" ht="30" hidden="false" customHeight="false" outlineLevel="0" collapsed="false">
      <c r="A377" s="28" t="s">
        <v>657</v>
      </c>
      <c r="B377" s="29" t="s">
        <v>443</v>
      </c>
      <c r="C377" s="8" t="s">
        <v>15</v>
      </c>
      <c r="D377" s="22" t="e">
        <f aca="false">сводн.данные!n382</f>
        <v>#NAME?</v>
      </c>
      <c r="E377" s="23" t="n">
        <v>6453.37909823059</v>
      </c>
      <c r="F377" s="24" t="n">
        <v>1540</v>
      </c>
      <c r="G377" s="35" t="e">
        <f aca="false">D377-E377</f>
        <v>#NAME?</v>
      </c>
    </row>
    <row r="378" customFormat="false" ht="30" hidden="false" customHeight="false" outlineLevel="0" collapsed="false">
      <c r="A378" s="28" t="s">
        <v>658</v>
      </c>
      <c r="B378" s="29" t="s">
        <v>445</v>
      </c>
      <c r="C378" s="8" t="s">
        <v>15</v>
      </c>
      <c r="D378" s="22" t="e">
        <f aca="false">сводн.данные!n383</f>
        <v>#NAME?</v>
      </c>
      <c r="E378" s="23" t="n">
        <v>5014.7120848179</v>
      </c>
      <c r="F378" s="24" t="n">
        <v>1320</v>
      </c>
      <c r="G378" s="35" t="e">
        <f aca="false">D378-E378</f>
        <v>#NAME?</v>
      </c>
    </row>
    <row r="379" customFormat="false" ht="15" hidden="false" customHeight="false" outlineLevel="0" collapsed="false">
      <c r="A379" s="28" t="s">
        <v>659</v>
      </c>
      <c r="B379" s="40" t="s">
        <v>660</v>
      </c>
      <c r="C379" s="8" t="s">
        <v>15</v>
      </c>
      <c r="D379" s="22" t="e">
        <f aca="false">сводн.данные!n384</f>
        <v>#NAME?</v>
      </c>
      <c r="E379" s="23" t="n">
        <v>21308.0597057956</v>
      </c>
      <c r="F379" s="24" t="n">
        <v>2865</v>
      </c>
      <c r="G379" s="35" t="e">
        <f aca="false">D379-E379</f>
        <v>#NAME?</v>
      </c>
    </row>
    <row r="380" customFormat="false" ht="15" hidden="false" customHeight="false" outlineLevel="0" collapsed="false">
      <c r="A380" s="28" t="s">
        <v>661</v>
      </c>
      <c r="B380" s="40" t="s">
        <v>662</v>
      </c>
      <c r="C380" s="8" t="s">
        <v>15</v>
      </c>
      <c r="D380" s="22" t="e">
        <f aca="false">сводн.данные!n385</f>
        <v>#NAME?</v>
      </c>
      <c r="E380" s="23" t="n">
        <v>6999.59010930851</v>
      </c>
      <c r="F380" s="24" t="n">
        <v>650</v>
      </c>
      <c r="G380" s="35" t="e">
        <f aca="false">D380-E380</f>
        <v>#NAME?</v>
      </c>
    </row>
    <row r="381" customFormat="false" ht="18" hidden="false" customHeight="true" outlineLevel="0" collapsed="false">
      <c r="A381" s="15" t="s">
        <v>663</v>
      </c>
      <c r="B381" s="16" t="s">
        <v>664</v>
      </c>
      <c r="C381" s="17"/>
      <c r="D381" s="32"/>
      <c r="E381" s="33"/>
      <c r="F381" s="34"/>
      <c r="G381" s="39"/>
    </row>
    <row r="382" customFormat="false" ht="15" hidden="false" customHeight="false" outlineLevel="0" collapsed="false">
      <c r="A382" s="28" t="s">
        <v>665</v>
      </c>
      <c r="B382" s="29" t="s">
        <v>327</v>
      </c>
      <c r="C382" s="8" t="s">
        <v>15</v>
      </c>
      <c r="D382" s="22" t="e">
        <f aca="false">сводн.данные!n387</f>
        <v>#NAME?</v>
      </c>
      <c r="E382" s="23" t="n">
        <v>604.13218730449</v>
      </c>
      <c r="F382" s="24" t="n">
        <v>280</v>
      </c>
      <c r="G382" s="35" t="e">
        <f aca="false">D382-E382</f>
        <v>#NAME?</v>
      </c>
    </row>
    <row r="383" customFormat="false" ht="18.75" hidden="false" customHeight="true" outlineLevel="0" collapsed="false">
      <c r="A383" s="28" t="s">
        <v>666</v>
      </c>
      <c r="B383" s="29" t="s">
        <v>667</v>
      </c>
      <c r="C383" s="8" t="s">
        <v>15</v>
      </c>
      <c r="D383" s="22" t="e">
        <f aca="false">сводн.данные!n388</f>
        <v>#NAME?</v>
      </c>
      <c r="E383" s="23" t="n">
        <v>3769.72326168962</v>
      </c>
      <c r="F383" s="24" t="n">
        <v>1400</v>
      </c>
      <c r="G383" s="35" t="e">
        <f aca="false">D383-E383</f>
        <v>#NAME?</v>
      </c>
    </row>
    <row r="384" customFormat="false" ht="15" hidden="false" customHeight="false" outlineLevel="0" collapsed="false">
      <c r="A384" s="28" t="s">
        <v>668</v>
      </c>
      <c r="B384" s="29" t="s">
        <v>399</v>
      </c>
      <c r="C384" s="8" t="s">
        <v>15</v>
      </c>
      <c r="D384" s="22" t="e">
        <f aca="false">сводн.данные!n389</f>
        <v>#NAME?</v>
      </c>
      <c r="E384" s="23" t="n">
        <v>1772.15688925474</v>
      </c>
      <c r="F384" s="24" t="n">
        <v>930</v>
      </c>
      <c r="G384" s="35" t="e">
        <f aca="false">D384-E384</f>
        <v>#NAME?</v>
      </c>
    </row>
    <row r="385" customFormat="false" ht="15" hidden="false" customHeight="false" outlineLevel="0" collapsed="false">
      <c r="A385" s="28" t="s">
        <v>669</v>
      </c>
      <c r="B385" s="29" t="s">
        <v>670</v>
      </c>
      <c r="C385" s="8" t="s">
        <v>15</v>
      </c>
      <c r="D385" s="22" t="e">
        <f aca="false">сводн.данные!n390</f>
        <v>#NAME?</v>
      </c>
      <c r="E385" s="23" t="n">
        <v>2126.75688925474</v>
      </c>
      <c r="F385" s="24" t="n">
        <v>930</v>
      </c>
      <c r="G385" s="35" t="e">
        <f aca="false">D385-E385</f>
        <v>#NAME?</v>
      </c>
    </row>
    <row r="386" customFormat="false" ht="15" hidden="false" customHeight="false" outlineLevel="0" collapsed="false">
      <c r="A386" s="28" t="s">
        <v>671</v>
      </c>
      <c r="B386" s="29" t="s">
        <v>672</v>
      </c>
      <c r="C386" s="8" t="s">
        <v>15</v>
      </c>
      <c r="D386" s="22" t="e">
        <f aca="false">сводн.данные!n391</f>
        <v>#NAME?</v>
      </c>
      <c r="E386" s="23" t="n">
        <v>1575.26612064073</v>
      </c>
      <c r="F386" s="24" t="n">
        <v>280</v>
      </c>
      <c r="G386" s="35" t="e">
        <f aca="false">D386-E386</f>
        <v>#NAME?</v>
      </c>
    </row>
    <row r="387" customFormat="false" ht="15" hidden="false" customHeight="false" outlineLevel="0" collapsed="false">
      <c r="A387" s="28" t="s">
        <v>673</v>
      </c>
      <c r="B387" s="29" t="s">
        <v>485</v>
      </c>
      <c r="C387" s="8" t="s">
        <v>15</v>
      </c>
      <c r="D387" s="22" t="e">
        <f aca="false">сводн.данные!n392</f>
        <v>#NAME?</v>
      </c>
      <c r="E387" s="23" t="n">
        <v>2516.85443255057</v>
      </c>
      <c r="F387" s="24" t="n">
        <v>350</v>
      </c>
      <c r="G387" s="35" t="e">
        <f aca="false">D387-E387</f>
        <v>#NAME?</v>
      </c>
    </row>
    <row r="388" customFormat="false" ht="15" hidden="false" customHeight="false" outlineLevel="0" collapsed="false">
      <c r="A388" s="28" t="s">
        <v>674</v>
      </c>
      <c r="B388" s="29" t="s">
        <v>332</v>
      </c>
      <c r="C388" s="8" t="s">
        <v>15</v>
      </c>
      <c r="D388" s="22" t="e">
        <f aca="false">сводн.данные!n393</f>
        <v>#NAME?</v>
      </c>
      <c r="E388" s="23" t="n">
        <v>3381.13227722419</v>
      </c>
      <c r="F388" s="24" t="n">
        <v>0</v>
      </c>
      <c r="G388" s="35" t="e">
        <f aca="false">D388-E388</f>
        <v>#NAME?</v>
      </c>
    </row>
    <row r="389" customFormat="false" ht="15" hidden="false" customHeight="false" outlineLevel="0" collapsed="false">
      <c r="A389" s="28" t="s">
        <v>675</v>
      </c>
      <c r="B389" s="29" t="s">
        <v>676</v>
      </c>
      <c r="C389" s="8" t="s">
        <v>15</v>
      </c>
      <c r="D389" s="22" t="e">
        <f aca="false">сводн.данные!n394</f>
        <v>#NAME?</v>
      </c>
      <c r="E389" s="23" t="n">
        <v>2035.36688957545</v>
      </c>
      <c r="F389" s="24" t="n">
        <v>350</v>
      </c>
      <c r="G389" s="35" t="e">
        <f aca="false">D389-E389</f>
        <v>#NAME?</v>
      </c>
    </row>
    <row r="390" customFormat="false" ht="15" hidden="false" customHeight="false" outlineLevel="0" collapsed="false">
      <c r="A390" s="28" t="s">
        <v>677</v>
      </c>
      <c r="B390" s="29" t="s">
        <v>344</v>
      </c>
      <c r="C390" s="8" t="s">
        <v>15</v>
      </c>
      <c r="D390" s="22" t="e">
        <f aca="false">сводн.данные!n395</f>
        <v>#NAME?</v>
      </c>
      <c r="E390" s="23" t="n">
        <v>2918.89746078162</v>
      </c>
      <c r="F390" s="24" t="n">
        <v>520</v>
      </c>
      <c r="G390" s="35" t="e">
        <f aca="false">D390-E390</f>
        <v>#NAME?</v>
      </c>
    </row>
    <row r="391" customFormat="false" ht="15" hidden="false" customHeight="false" outlineLevel="0" collapsed="false">
      <c r="A391" s="28" t="s">
        <v>678</v>
      </c>
      <c r="B391" s="29" t="s">
        <v>425</v>
      </c>
      <c r="C391" s="8" t="s">
        <v>15</v>
      </c>
      <c r="D391" s="22" t="e">
        <f aca="false">сводн.данные!n396</f>
        <v>#NAME?</v>
      </c>
      <c r="E391" s="23" t="n">
        <v>3522.51979439683</v>
      </c>
      <c r="F391" s="24" t="n">
        <v>700</v>
      </c>
      <c r="G391" s="35" t="e">
        <f aca="false">D391-E391</f>
        <v>#NAME?</v>
      </c>
    </row>
    <row r="392" customFormat="false" ht="15" hidden="false" customHeight="false" outlineLevel="0" collapsed="false">
      <c r="A392" s="28" t="s">
        <v>679</v>
      </c>
      <c r="B392" s="29" t="s">
        <v>680</v>
      </c>
      <c r="C392" s="8" t="s">
        <v>15</v>
      </c>
      <c r="D392" s="22" t="e">
        <f aca="false">сводн.данные!n397</f>
        <v>#NAME?</v>
      </c>
      <c r="E392" s="23" t="n">
        <v>3962.08697796055</v>
      </c>
      <c r="F392" s="24" t="n">
        <v>2100</v>
      </c>
      <c r="G392" s="35" t="e">
        <f aca="false">D392-E392</f>
        <v>#NAME?</v>
      </c>
    </row>
    <row r="393" customFormat="false" ht="15" hidden="false" customHeight="false" outlineLevel="0" collapsed="false">
      <c r="A393" s="28" t="s">
        <v>681</v>
      </c>
      <c r="B393" s="29" t="s">
        <v>682</v>
      </c>
      <c r="C393" s="8" t="s">
        <v>15</v>
      </c>
      <c r="D393" s="22" t="e">
        <f aca="false">сводн.данные!n398</f>
        <v>#NAME?</v>
      </c>
      <c r="E393" s="23" t="n">
        <v>2616.65655720717</v>
      </c>
      <c r="F393" s="24" t="n">
        <v>935</v>
      </c>
      <c r="G393" s="35" t="e">
        <f aca="false">D393-E393</f>
        <v>#NAME?</v>
      </c>
    </row>
    <row r="394" customFormat="false" ht="15" hidden="false" customHeight="false" outlineLevel="0" collapsed="false">
      <c r="A394" s="28" t="s">
        <v>683</v>
      </c>
      <c r="B394" s="29" t="s">
        <v>545</v>
      </c>
      <c r="C394" s="8" t="s">
        <v>15</v>
      </c>
      <c r="D394" s="22" t="e">
        <f aca="false">сводн.данные!n399</f>
        <v>#NAME?</v>
      </c>
      <c r="E394" s="23" t="n">
        <v>7499.61225724435</v>
      </c>
      <c r="F394" s="24" t="n">
        <v>1295</v>
      </c>
      <c r="G394" s="35" t="e">
        <f aca="false">D394-E394</f>
        <v>#NAME?</v>
      </c>
    </row>
    <row r="395" customFormat="false" ht="15" hidden="false" customHeight="false" outlineLevel="0" collapsed="false">
      <c r="A395" s="28" t="s">
        <v>684</v>
      </c>
      <c r="B395" s="29" t="s">
        <v>543</v>
      </c>
      <c r="C395" s="8" t="s">
        <v>15</v>
      </c>
      <c r="D395" s="22" t="e">
        <f aca="false">сводн.данные!n400</f>
        <v>#NAME?</v>
      </c>
      <c r="E395" s="23" t="n">
        <v>7499.61225724435</v>
      </c>
      <c r="F395" s="24" t="n">
        <v>1325</v>
      </c>
      <c r="G395" s="35" t="e">
        <f aca="false">D395-E395</f>
        <v>#NAME?</v>
      </c>
    </row>
    <row r="396" customFormat="false" ht="15" hidden="false" customHeight="false" outlineLevel="0" collapsed="false">
      <c r="A396" s="28" t="s">
        <v>685</v>
      </c>
      <c r="B396" s="29" t="s">
        <v>547</v>
      </c>
      <c r="C396" s="8" t="s">
        <v>15</v>
      </c>
      <c r="D396" s="22" t="e">
        <f aca="false">сводн.данные!n401</f>
        <v>#NAME?</v>
      </c>
      <c r="E396" s="23" t="n">
        <v>4503.8100199711</v>
      </c>
      <c r="F396" s="24" t="n">
        <v>1640</v>
      </c>
      <c r="G396" s="35" t="e">
        <f aca="false">D396-E396</f>
        <v>#NAME?</v>
      </c>
    </row>
    <row r="397" customFormat="false" ht="15" hidden="false" customHeight="false" outlineLevel="0" collapsed="false">
      <c r="A397" s="28" t="s">
        <v>686</v>
      </c>
      <c r="B397" s="29" t="s">
        <v>549</v>
      </c>
      <c r="C397" s="8" t="s">
        <v>15</v>
      </c>
      <c r="D397" s="22" t="e">
        <f aca="false">сводн.данные!n402</f>
        <v>#NAME?</v>
      </c>
      <c r="E397" s="23" t="n">
        <v>5550.8754280251</v>
      </c>
      <c r="F397" s="24" t="n">
        <v>1540</v>
      </c>
      <c r="G397" s="35" t="e">
        <f aca="false">D397-E397</f>
        <v>#NAME?</v>
      </c>
    </row>
    <row r="398" customFormat="false" ht="18" hidden="false" customHeight="true" outlineLevel="0" collapsed="false">
      <c r="A398" s="28" t="s">
        <v>687</v>
      </c>
      <c r="B398" s="29" t="s">
        <v>688</v>
      </c>
      <c r="C398" s="8" t="s">
        <v>15</v>
      </c>
      <c r="D398" s="22" t="e">
        <f aca="false">сводн.данные!n403</f>
        <v>#NAME?</v>
      </c>
      <c r="E398" s="23" t="n">
        <v>6521.27346040484</v>
      </c>
      <c r="F398" s="24" t="n">
        <v>1540</v>
      </c>
      <c r="G398" s="35" t="e">
        <f aca="false">D398-E398</f>
        <v>#NAME?</v>
      </c>
    </row>
    <row r="399" customFormat="false" ht="15" hidden="false" customHeight="false" outlineLevel="0" collapsed="false">
      <c r="A399" s="28" t="s">
        <v>689</v>
      </c>
      <c r="B399" s="29" t="s">
        <v>690</v>
      </c>
      <c r="C399" s="8" t="s">
        <v>15</v>
      </c>
      <c r="D399" s="22" t="e">
        <f aca="false">сводн.данные!n404</f>
        <v>#NAME?</v>
      </c>
      <c r="E399" s="23" t="n">
        <v>20122.6703950491</v>
      </c>
      <c r="F399" s="24" t="n">
        <v>2875</v>
      </c>
      <c r="G399" s="35" t="e">
        <f aca="false">D399-E399</f>
        <v>#NAME?</v>
      </c>
    </row>
    <row r="400" customFormat="false" ht="15" hidden="false" customHeight="false" outlineLevel="0" collapsed="false">
      <c r="A400" s="28" t="s">
        <v>691</v>
      </c>
      <c r="B400" s="40" t="s">
        <v>692</v>
      </c>
      <c r="C400" s="8" t="s">
        <v>15</v>
      </c>
      <c r="D400" s="22" t="e">
        <f aca="false">сводн.данные!n405</f>
        <v>#NAME?</v>
      </c>
      <c r="E400" s="23" t="n">
        <v>1789.95035034739</v>
      </c>
      <c r="F400" s="24" t="n">
        <v>925</v>
      </c>
      <c r="G400" s="35" t="e">
        <f aca="false">D400-E400</f>
        <v>#NAME?</v>
      </c>
    </row>
    <row r="401" customFormat="false" ht="15" hidden="false" customHeight="false" outlineLevel="0" collapsed="false">
      <c r="A401" s="28" t="s">
        <v>693</v>
      </c>
      <c r="B401" s="40" t="s">
        <v>694</v>
      </c>
      <c r="C401" s="8" t="s">
        <v>15</v>
      </c>
      <c r="D401" s="22" t="e">
        <f aca="false">сводн.данные!n406</f>
        <v>#NAME?</v>
      </c>
      <c r="E401" s="23" t="n">
        <v>1505.6896519347</v>
      </c>
      <c r="F401" s="24" t="n">
        <v>280</v>
      </c>
      <c r="G401" s="35" t="e">
        <f aca="false">D401-E401</f>
        <v>#NAME?</v>
      </c>
    </row>
    <row r="402" customFormat="false" ht="15" hidden="false" customHeight="false" outlineLevel="0" collapsed="false">
      <c r="A402" s="28" t="s">
        <v>695</v>
      </c>
      <c r="B402" s="40" t="s">
        <v>696</v>
      </c>
      <c r="C402" s="8" t="s">
        <v>15</v>
      </c>
      <c r="D402" s="22" t="e">
        <f aca="false">сводн.данные!n407</f>
        <v>#NAME?</v>
      </c>
      <c r="E402" s="23" t="n">
        <v>2303.66841894513</v>
      </c>
      <c r="F402" s="24" t="n">
        <v>280</v>
      </c>
      <c r="G402" s="35" t="e">
        <f aca="false">D402-E402</f>
        <v>#NAME?</v>
      </c>
    </row>
    <row r="403" customFormat="false" ht="15" hidden="false" customHeight="false" outlineLevel="0" collapsed="false">
      <c r="A403" s="28" t="s">
        <v>697</v>
      </c>
      <c r="B403" s="40" t="s">
        <v>698</v>
      </c>
      <c r="C403" s="8" t="s">
        <v>15</v>
      </c>
      <c r="D403" s="22" t="e">
        <f aca="false">сводн.данные!n408</f>
        <v>#NAME?</v>
      </c>
      <c r="E403" s="23" t="n">
        <v>1205.99680091284</v>
      </c>
      <c r="F403" s="24" t="n">
        <v>350</v>
      </c>
      <c r="G403" s="35" t="e">
        <f aca="false">D403-E403</f>
        <v>#NAME?</v>
      </c>
    </row>
    <row r="404" customFormat="false" ht="15" hidden="false" customHeight="false" outlineLevel="0" collapsed="false">
      <c r="A404" s="15" t="s">
        <v>699</v>
      </c>
      <c r="B404" s="16" t="s">
        <v>700</v>
      </c>
      <c r="C404" s="17"/>
      <c r="D404" s="32"/>
      <c r="E404" s="33"/>
      <c r="F404" s="34"/>
      <c r="G404" s="39"/>
    </row>
    <row r="405" customFormat="false" ht="18" hidden="false" customHeight="true" outlineLevel="0" collapsed="false">
      <c r="A405" s="28" t="s">
        <v>701</v>
      </c>
      <c r="B405" s="29" t="s">
        <v>327</v>
      </c>
      <c r="C405" s="8" t="s">
        <v>15</v>
      </c>
      <c r="D405" s="22" t="e">
        <f aca="false">сводн.данные!n410</f>
        <v>#NAME?</v>
      </c>
      <c r="E405" s="23" t="n">
        <v>905.064494108663</v>
      </c>
      <c r="F405" s="24" t="n">
        <v>280</v>
      </c>
      <c r="G405" s="35" t="e">
        <f aca="false">D405-E405</f>
        <v>#NAME?</v>
      </c>
    </row>
    <row r="406" customFormat="false" ht="15" hidden="false" customHeight="false" outlineLevel="0" collapsed="false">
      <c r="A406" s="28" t="s">
        <v>702</v>
      </c>
      <c r="B406" s="29" t="s">
        <v>643</v>
      </c>
      <c r="C406" s="8" t="s">
        <v>15</v>
      </c>
      <c r="D406" s="22" t="e">
        <f aca="false">сводн.данные!n411</f>
        <v>#NAME?</v>
      </c>
      <c r="E406" s="23" t="n">
        <v>2142.39118980414</v>
      </c>
      <c r="F406" s="24" t="n">
        <v>880</v>
      </c>
      <c r="G406" s="35" t="e">
        <f aca="false">D406-E406</f>
        <v>#NAME?</v>
      </c>
    </row>
    <row r="407" customFormat="false" ht="15" hidden="false" customHeight="false" outlineLevel="0" collapsed="false">
      <c r="A407" s="28" t="s">
        <v>703</v>
      </c>
      <c r="B407" s="29" t="s">
        <v>704</v>
      </c>
      <c r="C407" s="8" t="s">
        <v>15</v>
      </c>
      <c r="D407" s="22" t="e">
        <f aca="false">сводн.данные!n412</f>
        <v>#NAME?</v>
      </c>
      <c r="E407" s="23" t="n">
        <v>2393.9276335688</v>
      </c>
      <c r="F407" s="24" t="n">
        <v>0</v>
      </c>
      <c r="G407" s="35" t="e">
        <f aca="false">D407-E407</f>
        <v>#NAME?</v>
      </c>
    </row>
    <row r="408" customFormat="false" ht="15" hidden="false" customHeight="false" outlineLevel="0" collapsed="false">
      <c r="A408" s="28" t="s">
        <v>705</v>
      </c>
      <c r="B408" s="29" t="s">
        <v>706</v>
      </c>
      <c r="C408" s="8" t="s">
        <v>15</v>
      </c>
      <c r="D408" s="22" t="e">
        <f aca="false">сводн.данные!n413</f>
        <v>#NAME?</v>
      </c>
      <c r="E408" s="23" t="n">
        <v>2175.42007406525</v>
      </c>
      <c r="F408" s="24" t="n">
        <v>985</v>
      </c>
      <c r="G408" s="35" t="e">
        <f aca="false">D408-E408</f>
        <v>#NAME?</v>
      </c>
    </row>
    <row r="409" customFormat="false" ht="15" hidden="false" customHeight="false" outlineLevel="0" collapsed="false">
      <c r="A409" s="28" t="s">
        <v>707</v>
      </c>
      <c r="B409" s="29" t="s">
        <v>708</v>
      </c>
      <c r="C409" s="8" t="s">
        <v>15</v>
      </c>
      <c r="D409" s="22" t="e">
        <f aca="false">сводн.данные!n414</f>
        <v>#NAME?</v>
      </c>
      <c r="E409" s="23" t="n">
        <v>21593.820187933</v>
      </c>
      <c r="F409" s="24" t="n">
        <v>505</v>
      </c>
      <c r="G409" s="35" t="e">
        <f aca="false">D409-E409</f>
        <v>#NAME?</v>
      </c>
    </row>
    <row r="410" customFormat="false" ht="15" hidden="false" customHeight="false" outlineLevel="0" collapsed="false">
      <c r="A410" s="28" t="s">
        <v>709</v>
      </c>
      <c r="B410" s="29" t="s">
        <v>710</v>
      </c>
      <c r="C410" s="8" t="s">
        <v>15</v>
      </c>
      <c r="D410" s="22" t="e">
        <f aca="false">сводн.данные!n415</f>
        <v>#NAME?</v>
      </c>
      <c r="E410" s="23" t="n">
        <v>1842.83811438596</v>
      </c>
      <c r="F410" s="24" t="n">
        <v>815</v>
      </c>
      <c r="G410" s="35" t="e">
        <f aca="false">D410-E410</f>
        <v>#NAME?</v>
      </c>
    </row>
    <row r="411" customFormat="false" ht="15" hidden="false" customHeight="false" outlineLevel="0" collapsed="false">
      <c r="A411" s="28" t="s">
        <v>711</v>
      </c>
      <c r="B411" s="29" t="s">
        <v>712</v>
      </c>
      <c r="C411" s="8" t="s">
        <v>15</v>
      </c>
      <c r="D411" s="22" t="e">
        <f aca="false">сводн.данные!n416</f>
        <v>#NAME?</v>
      </c>
      <c r="E411" s="23" t="n">
        <v>1284.96145717719</v>
      </c>
      <c r="F411" s="24" t="n">
        <v>465</v>
      </c>
      <c r="G411" s="35" t="e">
        <f aca="false">D411-E411</f>
        <v>#NAME?</v>
      </c>
    </row>
    <row r="412" customFormat="false" ht="15" hidden="false" customHeight="false" outlineLevel="0" collapsed="false">
      <c r="A412" s="28" t="s">
        <v>713</v>
      </c>
      <c r="B412" s="29" t="s">
        <v>714</v>
      </c>
      <c r="C412" s="8" t="s">
        <v>15</v>
      </c>
      <c r="D412" s="22" t="e">
        <f aca="false">сводн.данные!n417</f>
        <v>#NAME?</v>
      </c>
      <c r="E412" s="23" t="n">
        <v>2708.2542057932</v>
      </c>
      <c r="F412" s="24" t="n">
        <v>335</v>
      </c>
      <c r="G412" s="35" t="e">
        <f aca="false">D412-E412</f>
        <v>#NAME?</v>
      </c>
    </row>
    <row r="413" customFormat="false" ht="15" hidden="false" customHeight="false" outlineLevel="0" collapsed="false">
      <c r="A413" s="28" t="s">
        <v>715</v>
      </c>
      <c r="B413" s="29" t="s">
        <v>399</v>
      </c>
      <c r="C413" s="8" t="s">
        <v>15</v>
      </c>
      <c r="D413" s="22" t="e">
        <f aca="false">сводн.данные!n418</f>
        <v>#NAME?</v>
      </c>
      <c r="E413" s="23" t="n">
        <v>2122.21811374453</v>
      </c>
      <c r="F413" s="24" t="n">
        <v>880</v>
      </c>
      <c r="G413" s="35" t="e">
        <f aca="false">D413-E413</f>
        <v>#NAME?</v>
      </c>
    </row>
    <row r="414" customFormat="false" ht="15" hidden="false" customHeight="false" outlineLevel="0" collapsed="false">
      <c r="A414" s="28" t="s">
        <v>716</v>
      </c>
      <c r="B414" s="29" t="s">
        <v>717</v>
      </c>
      <c r="C414" s="8" t="s">
        <v>15</v>
      </c>
      <c r="D414" s="22" t="e">
        <f aca="false">сводн.данные!n419</f>
        <v>#NAME?</v>
      </c>
      <c r="E414" s="23" t="n">
        <v>2218.67611214095</v>
      </c>
      <c r="F414" s="24" t="n">
        <v>775</v>
      </c>
      <c r="G414" s="35" t="e">
        <f aca="false">D414-E414</f>
        <v>#NAME?</v>
      </c>
    </row>
    <row r="415" customFormat="false" ht="15" hidden="false" customHeight="false" outlineLevel="0" collapsed="false">
      <c r="A415" s="28" t="s">
        <v>718</v>
      </c>
      <c r="B415" s="29" t="s">
        <v>719</v>
      </c>
      <c r="C415" s="8" t="s">
        <v>15</v>
      </c>
      <c r="D415" s="22" t="e">
        <f aca="false">сводн.данные!n420</f>
        <v>#NAME?</v>
      </c>
      <c r="E415" s="23" t="n">
        <v>2274.62195873887</v>
      </c>
      <c r="F415" s="24"/>
      <c r="G415" s="35" t="e">
        <f aca="false">D415-E415</f>
        <v>#NAME?</v>
      </c>
    </row>
    <row r="416" customFormat="false" ht="15" hidden="false" customHeight="false" outlineLevel="0" collapsed="false">
      <c r="A416" s="28" t="s">
        <v>720</v>
      </c>
      <c r="B416" s="29" t="s">
        <v>721</v>
      </c>
      <c r="C416" s="8" t="s">
        <v>15</v>
      </c>
      <c r="D416" s="22" t="e">
        <f aca="false">сводн.данные!n421</f>
        <v>#NAME?</v>
      </c>
      <c r="E416" s="23" t="n">
        <v>1743.08188209101</v>
      </c>
      <c r="F416" s="24" t="n">
        <v>510</v>
      </c>
      <c r="G416" s="35" t="e">
        <f aca="false">D416-E416</f>
        <v>#NAME?</v>
      </c>
    </row>
    <row r="417" customFormat="false" ht="15" hidden="false" customHeight="false" outlineLevel="0" collapsed="false">
      <c r="A417" s="28" t="s">
        <v>722</v>
      </c>
      <c r="B417" s="29" t="s">
        <v>723</v>
      </c>
      <c r="C417" s="8" t="s">
        <v>15</v>
      </c>
      <c r="D417" s="22" t="e">
        <f aca="false">сводн.данные!n422</f>
        <v>#NAME?</v>
      </c>
      <c r="E417" s="23" t="n">
        <v>29484.4739108926</v>
      </c>
      <c r="F417" s="24" t="n">
        <v>5590</v>
      </c>
      <c r="G417" s="35" t="e">
        <f aca="false">D417-E417</f>
        <v>#NAME?</v>
      </c>
    </row>
    <row r="418" customFormat="false" ht="16.5" hidden="false" customHeight="true" outlineLevel="0" collapsed="false">
      <c r="A418" s="28" t="s">
        <v>724</v>
      </c>
      <c r="B418" s="29" t="s">
        <v>725</v>
      </c>
      <c r="C418" s="8" t="s">
        <v>15</v>
      </c>
      <c r="D418" s="22" t="e">
        <f aca="false">сводн.данные!n423</f>
        <v>#NAME?</v>
      </c>
      <c r="E418" s="23" t="n">
        <v>1975.3903322068</v>
      </c>
      <c r="F418" s="24" t="n">
        <v>465</v>
      </c>
      <c r="G418" s="35" t="e">
        <f aca="false">D418-E418</f>
        <v>#NAME?</v>
      </c>
    </row>
    <row r="419" customFormat="false" ht="15" hidden="false" customHeight="false" outlineLevel="0" collapsed="false">
      <c r="A419" s="28" t="s">
        <v>726</v>
      </c>
      <c r="B419" s="29" t="s">
        <v>727</v>
      </c>
      <c r="C419" s="8" t="s">
        <v>15</v>
      </c>
      <c r="D419" s="22" t="e">
        <f aca="false">сводн.данные!n424</f>
        <v>#NAME?</v>
      </c>
      <c r="E419" s="23" t="n">
        <v>14506.8948025035</v>
      </c>
      <c r="F419" s="24" t="n">
        <v>2095</v>
      </c>
      <c r="G419" s="35" t="e">
        <f aca="false">D419-E419</f>
        <v>#NAME?</v>
      </c>
    </row>
    <row r="420" customFormat="false" ht="15" hidden="false" customHeight="false" outlineLevel="0" collapsed="false">
      <c r="A420" s="28" t="s">
        <v>728</v>
      </c>
      <c r="B420" s="29" t="s">
        <v>729</v>
      </c>
      <c r="C420" s="8" t="s">
        <v>15</v>
      </c>
      <c r="D420" s="22" t="e">
        <f aca="false">сводн.данные!n425</f>
        <v>#NAME?</v>
      </c>
      <c r="E420" s="23" t="n">
        <v>2058.4769578299</v>
      </c>
      <c r="F420" s="24" t="n">
        <v>510</v>
      </c>
      <c r="G420" s="35" t="e">
        <f aca="false">D420-E420</f>
        <v>#NAME?</v>
      </c>
    </row>
    <row r="421" customFormat="false" ht="15" hidden="false" customHeight="false" outlineLevel="0" collapsed="false">
      <c r="A421" s="28" t="s">
        <v>730</v>
      </c>
      <c r="B421" s="29" t="s">
        <v>19</v>
      </c>
      <c r="C421" s="8" t="s">
        <v>15</v>
      </c>
      <c r="D421" s="22" t="e">
        <f aca="false">сводн.данные!n426</f>
        <v>#NAME?</v>
      </c>
      <c r="E421" s="23" t="n">
        <v>1687.5406465486</v>
      </c>
      <c r="F421" s="24" t="n">
        <v>280</v>
      </c>
      <c r="G421" s="35" t="e">
        <f aca="false">D421-E421</f>
        <v>#NAME?</v>
      </c>
    </row>
    <row r="422" customFormat="false" ht="15" hidden="false" customHeight="false" outlineLevel="0" collapsed="false">
      <c r="A422" s="28" t="s">
        <v>731</v>
      </c>
      <c r="B422" s="29" t="s">
        <v>499</v>
      </c>
      <c r="C422" s="8" t="s">
        <v>15</v>
      </c>
      <c r="D422" s="22" t="e">
        <f aca="false">сводн.данные!n427</f>
        <v>#NAME?</v>
      </c>
      <c r="E422" s="23" t="n">
        <v>1613.01176689923</v>
      </c>
      <c r="F422" s="24" t="n">
        <v>380</v>
      </c>
      <c r="G422" s="35" t="e">
        <f aca="false">D422-E422</f>
        <v>#NAME?</v>
      </c>
    </row>
    <row r="423" customFormat="false" ht="15" hidden="false" customHeight="false" outlineLevel="0" collapsed="false">
      <c r="A423" s="28" t="s">
        <v>732</v>
      </c>
      <c r="B423" s="29" t="s">
        <v>545</v>
      </c>
      <c r="C423" s="8" t="s">
        <v>15</v>
      </c>
      <c r="D423" s="22" t="e">
        <f aca="false">сводн.данные!n428</f>
        <v>#NAME?</v>
      </c>
      <c r="E423" s="23" t="n">
        <v>7500.25967211877</v>
      </c>
      <c r="F423" s="24" t="n">
        <v>1295</v>
      </c>
      <c r="G423" s="35" t="e">
        <f aca="false">D423-E423</f>
        <v>#NAME?</v>
      </c>
    </row>
    <row r="424" customFormat="false" ht="15" hidden="false" customHeight="false" outlineLevel="0" collapsed="false">
      <c r="A424" s="28" t="s">
        <v>733</v>
      </c>
      <c r="B424" s="29" t="s">
        <v>543</v>
      </c>
      <c r="C424" s="8" t="s">
        <v>15</v>
      </c>
      <c r="D424" s="22" t="e">
        <f aca="false">сводн.данные!n429</f>
        <v>#NAME?</v>
      </c>
      <c r="E424" s="23" t="n">
        <v>7499.79895451963</v>
      </c>
      <c r="F424" s="24" t="n">
        <v>1325</v>
      </c>
      <c r="G424" s="35" t="e">
        <f aca="false">D424-E424</f>
        <v>#NAME?</v>
      </c>
    </row>
    <row r="425" customFormat="false" ht="15" hidden="false" customHeight="false" outlineLevel="0" collapsed="false">
      <c r="A425" s="28" t="s">
        <v>734</v>
      </c>
      <c r="B425" s="29" t="s">
        <v>735</v>
      </c>
      <c r="C425" s="8" t="s">
        <v>15</v>
      </c>
      <c r="D425" s="22" t="e">
        <f aca="false">сводн.данные!n430</f>
        <v>#NAME?</v>
      </c>
      <c r="E425" s="23" t="n">
        <v>7499.79895451963</v>
      </c>
      <c r="F425" s="24" t="n">
        <v>1320</v>
      </c>
      <c r="G425" s="35" t="e">
        <f aca="false">D425-E425</f>
        <v>#NAME?</v>
      </c>
    </row>
    <row r="426" customFormat="false" ht="15" hidden="false" customHeight="false" outlineLevel="0" collapsed="false">
      <c r="A426" s="28" t="s">
        <v>736</v>
      </c>
      <c r="B426" s="29" t="s">
        <v>83</v>
      </c>
      <c r="C426" s="8" t="s">
        <v>15</v>
      </c>
      <c r="D426" s="22" t="e">
        <f aca="false">сводн.данные!n431</f>
        <v>#NAME?</v>
      </c>
      <c r="E426" s="23" t="n">
        <v>7499.87901023263</v>
      </c>
      <c r="F426" s="24" t="n">
        <v>1320</v>
      </c>
      <c r="G426" s="35" t="e">
        <f aca="false">D426-E426</f>
        <v>#NAME?</v>
      </c>
    </row>
    <row r="427" customFormat="false" ht="15" hidden="false" customHeight="false" outlineLevel="0" collapsed="false">
      <c r="A427" s="28" t="s">
        <v>737</v>
      </c>
      <c r="B427" s="29" t="s">
        <v>547</v>
      </c>
      <c r="C427" s="8" t="s">
        <v>15</v>
      </c>
      <c r="D427" s="22" t="e">
        <f aca="false">сводн.данные!n432</f>
        <v>#NAME?</v>
      </c>
      <c r="E427" s="23" t="n">
        <v>4438.55421798492</v>
      </c>
      <c r="F427" s="24" t="n">
        <v>1640</v>
      </c>
      <c r="G427" s="35" t="e">
        <f aca="false">D427-E427</f>
        <v>#NAME?</v>
      </c>
    </row>
    <row r="428" customFormat="false" ht="15" hidden="false" customHeight="false" outlineLevel="0" collapsed="false">
      <c r="A428" s="28" t="s">
        <v>738</v>
      </c>
      <c r="B428" s="29" t="s">
        <v>549</v>
      </c>
      <c r="C428" s="8" t="s">
        <v>15</v>
      </c>
      <c r="D428" s="22" t="e">
        <f aca="false">сводн.данные!n433</f>
        <v>#NAME?</v>
      </c>
      <c r="E428" s="23" t="n">
        <v>6265.90309200274</v>
      </c>
      <c r="F428" s="24" t="n">
        <v>1540</v>
      </c>
      <c r="G428" s="35" t="e">
        <f aca="false">D428-E428</f>
        <v>#NAME?</v>
      </c>
    </row>
    <row r="429" customFormat="false" ht="15" hidden="false" customHeight="false" outlineLevel="0" collapsed="false">
      <c r="A429" s="28" t="s">
        <v>739</v>
      </c>
      <c r="B429" s="29" t="s">
        <v>656</v>
      </c>
      <c r="C429" s="8" t="s">
        <v>15</v>
      </c>
      <c r="D429" s="22" t="e">
        <f aca="false">сводн.данные!n434</f>
        <v>#NAME?</v>
      </c>
      <c r="E429" s="23" t="n">
        <v>21410.1189791528</v>
      </c>
      <c r="F429" s="24" t="n">
        <v>3785</v>
      </c>
      <c r="G429" s="35" t="e">
        <f aca="false">D429-E429</f>
        <v>#NAME?</v>
      </c>
    </row>
    <row r="430" customFormat="false" ht="15" hidden="false" customHeight="false" outlineLevel="0" collapsed="false">
      <c r="A430" s="28" t="s">
        <v>740</v>
      </c>
      <c r="B430" s="29" t="s">
        <v>741</v>
      </c>
      <c r="C430" s="8" t="s">
        <v>15</v>
      </c>
      <c r="D430" s="22" t="e">
        <f aca="false">сводн.данные!n435</f>
        <v>#NAME?</v>
      </c>
      <c r="E430" s="23" t="n">
        <v>20076.1815322126</v>
      </c>
      <c r="F430" s="24" t="n">
        <v>3095</v>
      </c>
      <c r="G430" s="35" t="e">
        <f aca="false">D430-E430</f>
        <v>#NAME?</v>
      </c>
    </row>
    <row r="431" customFormat="false" ht="15" hidden="false" customHeight="false" outlineLevel="0" collapsed="false">
      <c r="A431" s="28" t="s">
        <v>742</v>
      </c>
      <c r="B431" s="29" t="s">
        <v>743</v>
      </c>
      <c r="C431" s="8" t="s">
        <v>15</v>
      </c>
      <c r="D431" s="22" t="e">
        <f aca="false">сводн.данные!n436</f>
        <v>#NAME?</v>
      </c>
      <c r="E431" s="23" t="n">
        <v>21407.9639894164</v>
      </c>
      <c r="F431" s="24" t="n">
        <v>2185</v>
      </c>
      <c r="G431" s="35" t="e">
        <f aca="false">D431-E431</f>
        <v>#NAME?</v>
      </c>
    </row>
    <row r="432" customFormat="false" ht="15" hidden="false" customHeight="false" outlineLevel="0" collapsed="false">
      <c r="A432" s="28" t="s">
        <v>744</v>
      </c>
      <c r="B432" s="50" t="s">
        <v>745</v>
      </c>
      <c r="C432" s="8" t="s">
        <v>15</v>
      </c>
      <c r="D432" s="22" t="e">
        <f aca="false">сводн.данные!n437</f>
        <v>#NAME?</v>
      </c>
      <c r="E432" s="23" t="n">
        <v>1521.37999550998</v>
      </c>
      <c r="F432" s="24" t="n">
        <v>280</v>
      </c>
      <c r="G432" s="35" t="e">
        <f aca="false">D432-E432</f>
        <v>#NAME?</v>
      </c>
    </row>
    <row r="433" customFormat="false" ht="15" hidden="false" customHeight="false" outlineLevel="0" collapsed="false">
      <c r="A433" s="28" t="s">
        <v>746</v>
      </c>
      <c r="B433" s="40" t="s">
        <v>747</v>
      </c>
      <c r="C433" s="8" t="s">
        <v>15</v>
      </c>
      <c r="D433" s="22" t="e">
        <f aca="false">сводн.данные!n438</f>
        <v>#NAME?</v>
      </c>
      <c r="E433" s="23" t="n">
        <v>2770.41371398112</v>
      </c>
      <c r="F433" s="24" t="n">
        <v>820</v>
      </c>
      <c r="G433" s="35" t="e">
        <f aca="false">D433-E433</f>
        <v>#NAME?</v>
      </c>
    </row>
    <row r="434" customFormat="false" ht="15" hidden="false" customHeight="false" outlineLevel="0" collapsed="false">
      <c r="A434" s="28" t="s">
        <v>748</v>
      </c>
      <c r="B434" s="51" t="s">
        <v>749</v>
      </c>
      <c r="C434" s="8" t="s">
        <v>15</v>
      </c>
      <c r="D434" s="22" t="e">
        <f aca="false">сводн.данные!n439</f>
        <v>#NAME?</v>
      </c>
      <c r="E434" s="23" t="n">
        <v>1165.92311518775</v>
      </c>
      <c r="F434" s="24" t="n">
        <v>465</v>
      </c>
      <c r="G434" s="35" t="e">
        <f aca="false">D434-E434</f>
        <v>#NAME?</v>
      </c>
    </row>
    <row r="435" customFormat="false" ht="15" hidden="false" customHeight="false" outlineLevel="0" collapsed="false">
      <c r="A435" s="28" t="s">
        <v>750</v>
      </c>
      <c r="B435" s="51" t="s">
        <v>751</v>
      </c>
      <c r="C435" s="8" t="s">
        <v>15</v>
      </c>
      <c r="D435" s="22" t="e">
        <f aca="false">сводн.данные!n440</f>
        <v>#NAME?</v>
      </c>
      <c r="E435" s="23" t="n">
        <v>1936.74567594245</v>
      </c>
      <c r="F435" s="24" t="n">
        <v>925</v>
      </c>
      <c r="G435" s="35" t="e">
        <f aca="false">D435-E435</f>
        <v>#NAME?</v>
      </c>
    </row>
    <row r="436" customFormat="false" ht="15" hidden="false" customHeight="false" outlineLevel="0" collapsed="false">
      <c r="A436" s="28" t="s">
        <v>752</v>
      </c>
      <c r="B436" s="40" t="s">
        <v>753</v>
      </c>
      <c r="C436" s="8" t="s">
        <v>15</v>
      </c>
      <c r="D436" s="22" t="e">
        <f aca="false">сводн.данные!n441</f>
        <v>#NAME?</v>
      </c>
      <c r="E436" s="23" t="n">
        <v>2675.86503447776</v>
      </c>
      <c r="F436" s="24" t="n">
        <v>575</v>
      </c>
      <c r="G436" s="35" t="e">
        <f aca="false">D436-E436</f>
        <v>#NAME?</v>
      </c>
    </row>
    <row r="437" customFormat="false" ht="15" hidden="false" customHeight="false" outlineLevel="0" collapsed="false">
      <c r="A437" s="28" t="s">
        <v>754</v>
      </c>
      <c r="B437" s="51" t="s">
        <v>755</v>
      </c>
      <c r="C437" s="8" t="s">
        <v>15</v>
      </c>
      <c r="D437" s="22" t="e">
        <f aca="false">сводн.данные!n442</f>
        <v>#NAME?</v>
      </c>
      <c r="E437" s="23" t="n">
        <v>1708.24499567034</v>
      </c>
      <c r="F437" s="24" t="n">
        <v>280</v>
      </c>
      <c r="G437" s="35" t="e">
        <f aca="false">D437-E437</f>
        <v>#NAME?</v>
      </c>
    </row>
    <row r="438" customFormat="false" ht="15" hidden="false" customHeight="false" outlineLevel="0" collapsed="false">
      <c r="A438" s="28" t="s">
        <v>756</v>
      </c>
      <c r="B438" s="50" t="s">
        <v>757</v>
      </c>
      <c r="C438" s="8" t="s">
        <v>15</v>
      </c>
      <c r="D438" s="22" t="e">
        <f aca="false">сводн.данные!n443</f>
        <v>#NAME?</v>
      </c>
      <c r="E438" s="23" t="n">
        <v>7524.49620797616</v>
      </c>
      <c r="F438" s="24" t="n">
        <v>1295</v>
      </c>
      <c r="G438" s="35" t="e">
        <f aca="false">D438-E438</f>
        <v>#NAME?</v>
      </c>
    </row>
    <row r="439" customFormat="false" ht="15" hidden="false" customHeight="false" outlineLevel="0" collapsed="false">
      <c r="A439" s="28" t="s">
        <v>758</v>
      </c>
      <c r="B439" s="51" t="s">
        <v>115</v>
      </c>
      <c r="C439" s="8" t="s">
        <v>15</v>
      </c>
      <c r="D439" s="22" t="e">
        <f aca="false">сводн.данные!n444</f>
        <v>#NAME?</v>
      </c>
      <c r="E439" s="23" t="n">
        <v>7500.49847157774</v>
      </c>
      <c r="F439" s="24" t="n">
        <v>1320</v>
      </c>
      <c r="G439" s="35" t="e">
        <f aca="false">D439-E439</f>
        <v>#NAME?</v>
      </c>
    </row>
    <row r="440" customFormat="false" ht="15" hidden="false" customHeight="false" outlineLevel="0" collapsed="false">
      <c r="A440" s="28" t="s">
        <v>759</v>
      </c>
      <c r="B440" s="52" t="s">
        <v>760</v>
      </c>
      <c r="C440" s="8" t="s">
        <v>15</v>
      </c>
      <c r="D440" s="22" t="e">
        <f aca="false">сводн.данные!n445</f>
        <v>#NAME?</v>
      </c>
      <c r="E440" s="23" t="n">
        <v>6743.13402665972</v>
      </c>
      <c r="F440" s="24" t="n">
        <v>1640</v>
      </c>
      <c r="G440" s="35" t="e">
        <f aca="false">D440-E440</f>
        <v>#NAME?</v>
      </c>
    </row>
    <row r="441" customFormat="false" ht="15" hidden="false" customHeight="false" outlineLevel="0" collapsed="false">
      <c r="A441" s="28" t="s">
        <v>761</v>
      </c>
      <c r="B441" s="50" t="s">
        <v>762</v>
      </c>
      <c r="C441" s="8" t="s">
        <v>15</v>
      </c>
      <c r="D441" s="22" t="e">
        <f aca="false">сводн.данные!n446</f>
        <v>#NAME?</v>
      </c>
      <c r="E441" s="23" t="n">
        <v>4972.85777671169</v>
      </c>
      <c r="F441" s="24" t="n">
        <v>1320</v>
      </c>
      <c r="G441" s="35" t="e">
        <f aca="false">D441-E441</f>
        <v>#NAME?</v>
      </c>
    </row>
    <row r="442" customFormat="false" ht="15" hidden="false" customHeight="false" outlineLevel="0" collapsed="false">
      <c r="A442" s="28" t="s">
        <v>763</v>
      </c>
      <c r="B442" s="50" t="s">
        <v>764</v>
      </c>
      <c r="C442" s="8" t="s">
        <v>15</v>
      </c>
      <c r="D442" s="22" t="e">
        <f aca="false">сводн.данные!n447</f>
        <v>#NAME?</v>
      </c>
      <c r="E442" s="23" t="n">
        <v>18591.3869516599</v>
      </c>
      <c r="F442" s="24" t="n">
        <v>3151</v>
      </c>
      <c r="G442" s="35" t="e">
        <f aca="false">D442-E442</f>
        <v>#NAME?</v>
      </c>
    </row>
    <row r="443" customFormat="false" ht="15" hidden="false" customHeight="false" outlineLevel="0" collapsed="false">
      <c r="A443" s="28" t="s">
        <v>765</v>
      </c>
      <c r="B443" s="50" t="s">
        <v>129</v>
      </c>
      <c r="C443" s="8" t="s">
        <v>15</v>
      </c>
      <c r="D443" s="48" t="e">
        <f aca="false">сводн.данные!n448</f>
        <v>#NAME?</v>
      </c>
      <c r="E443" s="23" t="n">
        <v>5151.0534182634</v>
      </c>
      <c r="F443" s="24" t="n">
        <v>1525</v>
      </c>
      <c r="G443" s="35" t="e">
        <f aca="false">D443-E443</f>
        <v>#NAME?</v>
      </c>
    </row>
    <row r="444" customFormat="false" ht="15" hidden="false" customHeight="false" outlineLevel="0" collapsed="false">
      <c r="A444" s="15" t="s">
        <v>766</v>
      </c>
      <c r="B444" s="16" t="s">
        <v>767</v>
      </c>
      <c r="C444" s="17"/>
      <c r="D444" s="32"/>
      <c r="E444" s="33"/>
      <c r="F444" s="34"/>
      <c r="G444" s="39"/>
    </row>
    <row r="445" customFormat="false" ht="30" hidden="false" customHeight="false" outlineLevel="0" collapsed="false">
      <c r="A445" s="28" t="s">
        <v>768</v>
      </c>
      <c r="B445" s="29" t="s">
        <v>769</v>
      </c>
      <c r="C445" s="8" t="s">
        <v>15</v>
      </c>
      <c r="D445" s="22" t="e">
        <f aca="false">сводн.данные!n450</f>
        <v>#NAME?</v>
      </c>
      <c r="E445" s="23" t="n">
        <v>905.064494108663</v>
      </c>
      <c r="F445" s="24" t="n">
        <v>285</v>
      </c>
      <c r="G445" s="35" t="e">
        <f aca="false">D445-E445</f>
        <v>#NAME?</v>
      </c>
    </row>
    <row r="446" customFormat="false" ht="15" hidden="false" customHeight="false" outlineLevel="0" collapsed="false">
      <c r="A446" s="28" t="s">
        <v>770</v>
      </c>
      <c r="B446" s="29" t="s">
        <v>485</v>
      </c>
      <c r="C446" s="8" t="s">
        <v>15</v>
      </c>
      <c r="D446" s="22" t="e">
        <f aca="false">сводн.данные!n451</f>
        <v>#NAME?</v>
      </c>
      <c r="E446" s="23" t="n">
        <v>2285.62331928309</v>
      </c>
      <c r="F446" s="24" t="n">
        <v>330</v>
      </c>
      <c r="G446" s="35" t="e">
        <f aca="false">D446-E446</f>
        <v>#NAME?</v>
      </c>
    </row>
    <row r="447" customFormat="false" ht="15" hidden="false" customHeight="false" outlineLevel="0" collapsed="false">
      <c r="A447" s="28" t="s">
        <v>771</v>
      </c>
      <c r="B447" s="29" t="s">
        <v>332</v>
      </c>
      <c r="C447" s="8" t="s">
        <v>15</v>
      </c>
      <c r="D447" s="22" t="e">
        <f aca="false">сводн.данные!n452</f>
        <v>#NAME?</v>
      </c>
      <c r="E447" s="23" t="n">
        <v>3371.39727722419</v>
      </c>
      <c r="F447" s="24" t="n">
        <v>0</v>
      </c>
      <c r="G447" s="35" t="e">
        <f aca="false">D447-E447</f>
        <v>#NAME?</v>
      </c>
    </row>
    <row r="448" customFormat="false" ht="15" hidden="false" customHeight="false" outlineLevel="0" collapsed="false">
      <c r="A448" s="28" t="s">
        <v>772</v>
      </c>
      <c r="B448" s="29" t="s">
        <v>773</v>
      </c>
      <c r="C448" s="8" t="s">
        <v>15</v>
      </c>
      <c r="D448" s="22" t="e">
        <f aca="false">сводн.данные!n453</f>
        <v>#NAME?</v>
      </c>
      <c r="E448" s="23" t="n">
        <v>2187.92790084699</v>
      </c>
      <c r="F448" s="24" t="n">
        <v>1500</v>
      </c>
      <c r="G448" s="35" t="e">
        <f aca="false">D448-E448</f>
        <v>#NAME?</v>
      </c>
    </row>
    <row r="449" customFormat="false" ht="15" hidden="false" customHeight="false" outlineLevel="0" collapsed="false">
      <c r="A449" s="28" t="s">
        <v>774</v>
      </c>
      <c r="B449" s="29" t="s">
        <v>775</v>
      </c>
      <c r="C449" s="8" t="s">
        <v>15</v>
      </c>
      <c r="D449" s="22" t="e">
        <f aca="false">сводн.данные!n454</f>
        <v>#NAME?</v>
      </c>
      <c r="E449" s="23" t="n">
        <v>2109.49458084698</v>
      </c>
      <c r="F449" s="24" t="n">
        <v>630</v>
      </c>
      <c r="G449" s="35" t="e">
        <f aca="false">D449-E449</f>
        <v>#NAME?</v>
      </c>
    </row>
    <row r="450" customFormat="false" ht="15" hidden="false" customHeight="false" outlineLevel="0" collapsed="false">
      <c r="A450" s="28" t="s">
        <v>776</v>
      </c>
      <c r="B450" s="29" t="s">
        <v>777</v>
      </c>
      <c r="C450" s="8" t="s">
        <v>15</v>
      </c>
      <c r="D450" s="22" t="e">
        <f aca="false">сводн.данные!n455</f>
        <v>#NAME?</v>
      </c>
      <c r="E450" s="23" t="n">
        <v>2008.65293364699</v>
      </c>
      <c r="F450" s="24" t="n">
        <v>1275</v>
      </c>
      <c r="G450" s="35" t="e">
        <f aca="false">D450-E450</f>
        <v>#NAME?</v>
      </c>
    </row>
    <row r="451" customFormat="false" ht="15" hidden="false" customHeight="false" outlineLevel="0" collapsed="false">
      <c r="A451" s="28" t="s">
        <v>778</v>
      </c>
      <c r="B451" s="29" t="s">
        <v>779</v>
      </c>
      <c r="C451" s="8" t="s">
        <v>15</v>
      </c>
      <c r="D451" s="22" t="e">
        <f aca="false">сводн.данные!n456</f>
        <v>#NAME?</v>
      </c>
      <c r="E451" s="23" t="n">
        <v>1842.0369521717</v>
      </c>
      <c r="F451" s="24" t="n">
        <v>600</v>
      </c>
      <c r="G451" s="35" t="e">
        <f aca="false">D451-E451</f>
        <v>#NAME?</v>
      </c>
    </row>
    <row r="452" customFormat="false" ht="15" hidden="false" customHeight="false" outlineLevel="0" collapsed="false">
      <c r="A452" s="28" t="s">
        <v>780</v>
      </c>
      <c r="B452" s="29" t="s">
        <v>781</v>
      </c>
      <c r="C452" s="8" t="s">
        <v>15</v>
      </c>
      <c r="D452" s="22" t="e">
        <f aca="false">сводн.данные!n457</f>
        <v>#NAME?</v>
      </c>
      <c r="E452" s="23" t="n">
        <v>2822.57031588318</v>
      </c>
      <c r="F452" s="24" t="n">
        <v>420</v>
      </c>
      <c r="G452" s="35" t="e">
        <f aca="false">D452-E452</f>
        <v>#NAME?</v>
      </c>
    </row>
    <row r="453" customFormat="false" ht="15" hidden="false" customHeight="false" outlineLevel="0" collapsed="false">
      <c r="A453" s="28" t="s">
        <v>782</v>
      </c>
      <c r="B453" s="29" t="s">
        <v>783</v>
      </c>
      <c r="C453" s="8" t="s">
        <v>15</v>
      </c>
      <c r="D453" s="22" t="e">
        <f aca="false">сводн.данные!n458</f>
        <v>#NAME?</v>
      </c>
      <c r="E453" s="23" t="n">
        <v>1994.37868770434</v>
      </c>
      <c r="F453" s="24" t="n">
        <v>495</v>
      </c>
      <c r="G453" s="35" t="e">
        <f aca="false">D453-E453</f>
        <v>#NAME?</v>
      </c>
    </row>
    <row r="454" customFormat="false" ht="15" hidden="false" customHeight="false" outlineLevel="0" collapsed="false">
      <c r="A454" s="28" t="s">
        <v>784</v>
      </c>
      <c r="B454" s="29" t="s">
        <v>785</v>
      </c>
      <c r="C454" s="8" t="s">
        <v>15</v>
      </c>
      <c r="D454" s="22" t="e">
        <f aca="false">сводн.данные!n459</f>
        <v>#NAME?</v>
      </c>
      <c r="E454" s="23" t="n">
        <v>2350.37454978171</v>
      </c>
      <c r="F454" s="24" t="n">
        <v>330</v>
      </c>
      <c r="G454" s="35" t="e">
        <f aca="false">D454-E454</f>
        <v>#NAME?</v>
      </c>
    </row>
    <row r="455" customFormat="false" ht="15" hidden="false" customHeight="false" outlineLevel="0" collapsed="false">
      <c r="A455" s="28" t="s">
        <v>786</v>
      </c>
      <c r="B455" s="29" t="s">
        <v>545</v>
      </c>
      <c r="C455" s="8" t="s">
        <v>15</v>
      </c>
      <c r="D455" s="22" t="e">
        <f aca="false">сводн.данные!n460</f>
        <v>#NAME?</v>
      </c>
      <c r="E455" s="23" t="n">
        <v>7520.41776494916</v>
      </c>
      <c r="F455" s="24" t="n">
        <v>1295</v>
      </c>
      <c r="G455" s="35" t="e">
        <f aca="false">D455-E455</f>
        <v>#NAME?</v>
      </c>
    </row>
    <row r="456" customFormat="false" ht="15" hidden="false" customHeight="false" outlineLevel="0" collapsed="false">
      <c r="A456" s="28" t="s">
        <v>787</v>
      </c>
      <c r="B456" s="29" t="s">
        <v>547</v>
      </c>
      <c r="C456" s="8" t="s">
        <v>15</v>
      </c>
      <c r="D456" s="22" t="e">
        <f aca="false">сводн.данные!n461</f>
        <v>#NAME?</v>
      </c>
      <c r="E456" s="23" t="n">
        <v>7499.56736232703</v>
      </c>
      <c r="F456" s="24" t="n">
        <v>1070</v>
      </c>
      <c r="G456" s="35" t="e">
        <f aca="false">D456-E456</f>
        <v>#NAME?</v>
      </c>
    </row>
    <row r="457" customFormat="false" ht="15" hidden="false" customHeight="false" outlineLevel="0" collapsed="false">
      <c r="A457" s="28" t="s">
        <v>788</v>
      </c>
      <c r="B457" s="29" t="s">
        <v>543</v>
      </c>
      <c r="C457" s="8" t="s">
        <v>15</v>
      </c>
      <c r="D457" s="22" t="e">
        <f aca="false">сводн.данные!n462</f>
        <v>#NAME?</v>
      </c>
      <c r="E457" s="23" t="n">
        <v>6263.40142745941</v>
      </c>
      <c r="F457" s="24" t="n">
        <v>1325</v>
      </c>
      <c r="G457" s="35" t="e">
        <f aca="false">D457-E457</f>
        <v>#NAME?</v>
      </c>
    </row>
    <row r="458" customFormat="false" ht="15" hidden="false" customHeight="false" outlineLevel="0" collapsed="false">
      <c r="A458" s="28" t="s">
        <v>789</v>
      </c>
      <c r="B458" s="29" t="s">
        <v>549</v>
      </c>
      <c r="C458" s="8" t="s">
        <v>15</v>
      </c>
      <c r="D458" s="22" t="e">
        <f aca="false">сводн.данные!n463</f>
        <v>#NAME?</v>
      </c>
      <c r="E458" s="23" t="n">
        <v>5948.58073715003</v>
      </c>
      <c r="F458" s="24" t="n">
        <v>1535</v>
      </c>
      <c r="G458" s="35" t="e">
        <f aca="false">D458-E458</f>
        <v>#NAME?</v>
      </c>
    </row>
    <row r="459" customFormat="false" ht="15" hidden="false" customHeight="false" outlineLevel="0" collapsed="false">
      <c r="A459" s="28" t="s">
        <v>790</v>
      </c>
      <c r="B459" s="40" t="s">
        <v>791</v>
      </c>
      <c r="C459" s="8" t="s">
        <v>15</v>
      </c>
      <c r="D459" s="22" t="e">
        <f aca="false">сводн.данные!n464</f>
        <v>#NAME?</v>
      </c>
      <c r="E459" s="23" t="n">
        <v>2076.06878186231</v>
      </c>
      <c r="F459" s="24" t="n">
        <v>455</v>
      </c>
      <c r="G459" s="35" t="e">
        <f aca="false">D459-E459</f>
        <v>#NAME?</v>
      </c>
    </row>
    <row r="460" customFormat="false" ht="15" hidden="false" customHeight="false" outlineLevel="0" collapsed="false">
      <c r="A460" s="28" t="s">
        <v>792</v>
      </c>
      <c r="B460" s="40" t="s">
        <v>793</v>
      </c>
      <c r="C460" s="8" t="s">
        <v>15</v>
      </c>
      <c r="D460" s="22" t="e">
        <f aca="false">сводн.данные!n465</f>
        <v>#NAME?</v>
      </c>
      <c r="E460" s="23" t="n">
        <v>3131.91919188961</v>
      </c>
      <c r="F460" s="24" t="n">
        <v>0</v>
      </c>
      <c r="G460" s="35" t="e">
        <f aca="false">D460-E460</f>
        <v>#NAME?</v>
      </c>
    </row>
    <row r="461" customFormat="false" ht="15" hidden="false" customHeight="false" outlineLevel="0" collapsed="false">
      <c r="A461" s="15" t="s">
        <v>794</v>
      </c>
      <c r="B461" s="16" t="s">
        <v>795</v>
      </c>
      <c r="C461" s="17"/>
      <c r="D461" s="32"/>
      <c r="E461" s="33"/>
      <c r="F461" s="34"/>
      <c r="G461" s="39"/>
    </row>
    <row r="462" customFormat="false" ht="18" hidden="false" customHeight="true" outlineLevel="0" collapsed="false">
      <c r="A462" s="28" t="s">
        <v>796</v>
      </c>
      <c r="B462" s="29" t="s">
        <v>327</v>
      </c>
      <c r="C462" s="8" t="s">
        <v>15</v>
      </c>
      <c r="D462" s="22" t="e">
        <f aca="false">сводн.данные!n467</f>
        <v>#NAME?</v>
      </c>
      <c r="E462" s="23" t="n">
        <v>905.064494108663</v>
      </c>
      <c r="F462" s="24" t="n">
        <v>280</v>
      </c>
      <c r="G462" s="35" t="e">
        <f aca="false">D462-E462</f>
        <v>#NAME?</v>
      </c>
    </row>
    <row r="463" customFormat="false" ht="15" hidden="false" customHeight="false" outlineLevel="0" collapsed="false">
      <c r="A463" s="28" t="s">
        <v>797</v>
      </c>
      <c r="B463" s="29" t="s">
        <v>485</v>
      </c>
      <c r="C463" s="8" t="s">
        <v>15</v>
      </c>
      <c r="D463" s="22" t="e">
        <f aca="false">сводн.данные!n468</f>
        <v>#NAME?</v>
      </c>
      <c r="E463" s="23" t="n">
        <v>2281.08454377288</v>
      </c>
      <c r="F463" s="24" t="n">
        <v>350</v>
      </c>
      <c r="G463" s="35" t="e">
        <f aca="false">D463-E463</f>
        <v>#NAME?</v>
      </c>
    </row>
    <row r="464" customFormat="false" ht="15" hidden="false" customHeight="false" outlineLevel="0" collapsed="false">
      <c r="A464" s="28" t="s">
        <v>798</v>
      </c>
      <c r="B464" s="29" t="s">
        <v>332</v>
      </c>
      <c r="C464" s="8" t="s">
        <v>15</v>
      </c>
      <c r="D464" s="22" t="e">
        <f aca="false">сводн.данные!n469</f>
        <v>#NAME?</v>
      </c>
      <c r="E464" s="23" t="n">
        <v>3084.45223408227</v>
      </c>
      <c r="F464" s="24" t="n">
        <v>0</v>
      </c>
      <c r="G464" s="35" t="e">
        <f aca="false">D464-E464</f>
        <v>#NAME?</v>
      </c>
    </row>
    <row r="465" customFormat="false" ht="15" hidden="false" customHeight="false" outlineLevel="0" collapsed="false">
      <c r="A465" s="28" t="s">
        <v>799</v>
      </c>
      <c r="B465" s="29" t="s">
        <v>596</v>
      </c>
      <c r="C465" s="8" t="s">
        <v>15</v>
      </c>
      <c r="D465" s="22" t="e">
        <f aca="false">сводн.данные!n470</f>
        <v>#NAME?</v>
      </c>
      <c r="E465" s="23" t="n">
        <v>2252.27578640839</v>
      </c>
      <c r="F465" s="24" t="n">
        <v>350</v>
      </c>
      <c r="G465" s="35" t="e">
        <f aca="false">D465-E465</f>
        <v>#NAME?</v>
      </c>
    </row>
    <row r="466" customFormat="false" ht="15" hidden="false" customHeight="false" outlineLevel="0" collapsed="false">
      <c r="A466" s="28" t="s">
        <v>800</v>
      </c>
      <c r="B466" s="29" t="s">
        <v>801</v>
      </c>
      <c r="C466" s="8" t="s">
        <v>15</v>
      </c>
      <c r="D466" s="22" t="e">
        <f aca="false">сводн.данные!n471</f>
        <v>#NAME?</v>
      </c>
      <c r="E466" s="23" t="n">
        <v>2133.1426465486</v>
      </c>
      <c r="F466" s="24" t="n">
        <v>765</v>
      </c>
      <c r="G466" s="35" t="e">
        <f aca="false">D466-E466</f>
        <v>#NAME?</v>
      </c>
    </row>
    <row r="467" customFormat="false" ht="15" hidden="false" customHeight="false" outlineLevel="0" collapsed="false">
      <c r="A467" s="28" t="s">
        <v>802</v>
      </c>
      <c r="B467" s="29" t="s">
        <v>803</v>
      </c>
      <c r="C467" s="8" t="s">
        <v>15</v>
      </c>
      <c r="D467" s="22" t="e">
        <f aca="false">сводн.данные!n472</f>
        <v>#NAME?</v>
      </c>
      <c r="E467" s="23" t="n">
        <v>20343.2486367306</v>
      </c>
      <c r="F467" s="24" t="n">
        <v>1310</v>
      </c>
      <c r="G467" s="35" t="e">
        <f aca="false">D467-E467</f>
        <v>#NAME?</v>
      </c>
    </row>
    <row r="468" customFormat="false" ht="30" hidden="false" customHeight="false" outlineLevel="0" collapsed="false">
      <c r="A468" s="28" t="s">
        <v>804</v>
      </c>
      <c r="B468" s="29" t="s">
        <v>805</v>
      </c>
      <c r="C468" s="8" t="s">
        <v>15</v>
      </c>
      <c r="D468" s="22" t="e">
        <f aca="false">сводн.данные!n473</f>
        <v>#NAME?</v>
      </c>
      <c r="E468" s="23" t="n">
        <v>1109.39250756261</v>
      </c>
      <c r="F468" s="24" t="n">
        <v>350</v>
      </c>
      <c r="G468" s="35" t="e">
        <f aca="false">D468-E468</f>
        <v>#NAME?</v>
      </c>
    </row>
    <row r="469" customFormat="false" ht="14.25" hidden="false" customHeight="true" outlineLevel="0" collapsed="false">
      <c r="A469" s="28" t="s">
        <v>806</v>
      </c>
      <c r="B469" s="29" t="s">
        <v>807</v>
      </c>
      <c r="C469" s="8" t="s">
        <v>15</v>
      </c>
      <c r="D469" s="22" t="e">
        <f aca="false">сводн.данные!n474</f>
        <v>#NAME?</v>
      </c>
      <c r="E469" s="23" t="n">
        <v>1301.36635351909</v>
      </c>
      <c r="F469" s="24" t="n">
        <v>965</v>
      </c>
      <c r="G469" s="35" t="e">
        <f aca="false">D469-E469</f>
        <v>#NAME?</v>
      </c>
    </row>
    <row r="470" customFormat="false" ht="15" hidden="false" customHeight="false" outlineLevel="0" collapsed="false">
      <c r="A470" s="28" t="s">
        <v>808</v>
      </c>
      <c r="B470" s="29" t="s">
        <v>809</v>
      </c>
      <c r="C470" s="8" t="s">
        <v>15</v>
      </c>
      <c r="D470" s="22" t="e">
        <f aca="false">сводн.данные!n475</f>
        <v>#NAME?</v>
      </c>
      <c r="E470" s="23" t="n">
        <v>3110.99140416332</v>
      </c>
      <c r="F470" s="24" t="n">
        <v>1310</v>
      </c>
      <c r="G470" s="35" t="e">
        <f aca="false">D470-E470</f>
        <v>#NAME?</v>
      </c>
    </row>
    <row r="471" customFormat="false" ht="15" hidden="false" customHeight="false" outlineLevel="0" collapsed="false">
      <c r="A471" s="28" t="s">
        <v>810</v>
      </c>
      <c r="B471" s="29" t="s">
        <v>811</v>
      </c>
      <c r="C471" s="8" t="s">
        <v>15</v>
      </c>
      <c r="D471" s="22" t="e">
        <f aca="false">сводн.данные!n476</f>
        <v>#NAME?</v>
      </c>
      <c r="E471" s="23" t="n">
        <v>2866.5494273337</v>
      </c>
      <c r="F471" s="24" t="n">
        <v>280</v>
      </c>
      <c r="G471" s="35" t="e">
        <f aca="false">D471-E471</f>
        <v>#NAME?</v>
      </c>
    </row>
    <row r="472" customFormat="false" ht="15" hidden="false" customHeight="false" outlineLevel="0" collapsed="false">
      <c r="A472" s="28" t="s">
        <v>812</v>
      </c>
      <c r="B472" s="29" t="s">
        <v>545</v>
      </c>
      <c r="C472" s="8" t="s">
        <v>15</v>
      </c>
      <c r="D472" s="22" t="e">
        <f aca="false">сводн.данные!n477</f>
        <v>#NAME?</v>
      </c>
      <c r="E472" s="23" t="n">
        <v>7499.5373653064</v>
      </c>
      <c r="F472" s="24" t="n">
        <v>1540</v>
      </c>
      <c r="G472" s="35" t="e">
        <f aca="false">D472-E472</f>
        <v>#NAME?</v>
      </c>
    </row>
    <row r="473" customFormat="false" ht="15" hidden="false" customHeight="false" outlineLevel="0" collapsed="false">
      <c r="A473" s="28" t="s">
        <v>813</v>
      </c>
      <c r="B473" s="29" t="s">
        <v>814</v>
      </c>
      <c r="C473" s="8" t="s">
        <v>15</v>
      </c>
      <c r="D473" s="22" t="e">
        <f aca="false">сводн.данные!n478</f>
        <v>#NAME?</v>
      </c>
      <c r="E473" s="23" t="n">
        <v>4281.05885601923</v>
      </c>
      <c r="F473" s="24" t="n">
        <v>1405</v>
      </c>
      <c r="G473" s="35" t="e">
        <f aca="false">D473-E473</f>
        <v>#NAME?</v>
      </c>
    </row>
    <row r="474" customFormat="false" ht="15" hidden="false" customHeight="false" outlineLevel="0" collapsed="false">
      <c r="A474" s="28" t="s">
        <v>815</v>
      </c>
      <c r="B474" s="29" t="s">
        <v>543</v>
      </c>
      <c r="C474" s="8" t="s">
        <v>15</v>
      </c>
      <c r="D474" s="22" t="e">
        <f aca="false">сводн.данные!n479</f>
        <v>#NAME?</v>
      </c>
      <c r="E474" s="23" t="n">
        <v>7499.90168412104</v>
      </c>
      <c r="F474" s="24" t="n">
        <v>1625</v>
      </c>
      <c r="G474" s="35" t="e">
        <f aca="false">D474-E474</f>
        <v>#NAME?</v>
      </c>
    </row>
    <row r="475" customFormat="false" ht="15" hidden="false" customHeight="false" outlineLevel="0" collapsed="false">
      <c r="A475" s="28" t="s">
        <v>816</v>
      </c>
      <c r="B475" s="29" t="s">
        <v>549</v>
      </c>
      <c r="C475" s="8" t="s">
        <v>15</v>
      </c>
      <c r="D475" s="22" t="e">
        <f aca="false">сводн.данные!n480</f>
        <v>#NAME?</v>
      </c>
      <c r="E475" s="23" t="n">
        <v>6113.67301905923</v>
      </c>
      <c r="F475" s="24" t="n">
        <v>1540</v>
      </c>
      <c r="G475" s="35" t="e">
        <f aca="false">D475-E475</f>
        <v>#NAME?</v>
      </c>
    </row>
    <row r="476" customFormat="false" ht="15" hidden="false" customHeight="false" outlineLevel="0" collapsed="false">
      <c r="A476" s="28" t="s">
        <v>817</v>
      </c>
      <c r="B476" s="29" t="s">
        <v>818</v>
      </c>
      <c r="C476" s="8" t="s">
        <v>15</v>
      </c>
      <c r="D476" s="22" t="e">
        <f aca="false">сводн.данные!n481</f>
        <v>#NAME?</v>
      </c>
      <c r="E476" s="23" t="n">
        <v>22387.056784131</v>
      </c>
      <c r="F476" s="24" t="n">
        <v>3145</v>
      </c>
      <c r="G476" s="35" t="e">
        <f aca="false">D476-E476</f>
        <v>#NAME?</v>
      </c>
    </row>
    <row r="477" customFormat="false" ht="15" hidden="false" customHeight="false" outlineLevel="0" collapsed="false">
      <c r="A477" s="28" t="s">
        <v>819</v>
      </c>
      <c r="B477" s="40" t="s">
        <v>820</v>
      </c>
      <c r="C477" s="8" t="s">
        <v>15</v>
      </c>
      <c r="D477" s="22" t="e">
        <f aca="false">сводн.данные!n482</f>
        <v>#NAME?</v>
      </c>
      <c r="E477" s="23" t="n">
        <v>1003.10768934724</v>
      </c>
      <c r="F477" s="24" t="n">
        <v>280</v>
      </c>
      <c r="G477" s="35" t="e">
        <f aca="false">D477-E477</f>
        <v>#NAME?</v>
      </c>
    </row>
    <row r="478" customFormat="false" ht="15" hidden="false" customHeight="false" outlineLevel="0" collapsed="false">
      <c r="A478" s="28" t="s">
        <v>821</v>
      </c>
      <c r="B478" s="40" t="s">
        <v>822</v>
      </c>
      <c r="C478" s="8" t="s">
        <v>15</v>
      </c>
      <c r="D478" s="22" t="e">
        <f aca="false">сводн.данные!n483</f>
        <v>#NAME?</v>
      </c>
      <c r="E478" s="23" t="n">
        <v>870.388115348108</v>
      </c>
      <c r="F478" s="24" t="n">
        <v>280</v>
      </c>
      <c r="G478" s="35" t="e">
        <f aca="false">D478-E478</f>
        <v>#NAME?</v>
      </c>
    </row>
    <row r="479" customFormat="false" ht="15" hidden="false" customHeight="false" outlineLevel="0" collapsed="false">
      <c r="A479" s="28" t="s">
        <v>823</v>
      </c>
      <c r="B479" s="40" t="s">
        <v>824</v>
      </c>
      <c r="C479" s="8" t="s">
        <v>15</v>
      </c>
      <c r="D479" s="22" t="e">
        <f aca="false">сводн.данные!n484</f>
        <v>#NAME?</v>
      </c>
      <c r="E479" s="23" t="n">
        <v>3483.63446350368</v>
      </c>
      <c r="F479" s="24" t="n">
        <v>965</v>
      </c>
      <c r="G479" s="35" t="e">
        <f aca="false">D479-E479</f>
        <v>#NAME?</v>
      </c>
    </row>
    <row r="480" customFormat="false" ht="15" hidden="false" customHeight="false" outlineLevel="0" collapsed="false">
      <c r="A480" s="15" t="s">
        <v>825</v>
      </c>
      <c r="B480" s="16" t="s">
        <v>826</v>
      </c>
      <c r="C480" s="17"/>
      <c r="D480" s="32"/>
      <c r="E480" s="33"/>
      <c r="F480" s="34"/>
      <c r="G480" s="39"/>
    </row>
    <row r="481" customFormat="false" ht="14.25" hidden="false" customHeight="true" outlineLevel="0" collapsed="false">
      <c r="A481" s="28" t="s">
        <v>827</v>
      </c>
      <c r="B481" s="29" t="s">
        <v>327</v>
      </c>
      <c r="C481" s="8" t="s">
        <v>15</v>
      </c>
      <c r="D481" s="22" t="e">
        <f aca="false">сводн.данные!n486</f>
        <v>#NAME?</v>
      </c>
      <c r="E481" s="23" t="n">
        <v>905.064494108663</v>
      </c>
      <c r="F481" s="24" t="n">
        <v>280</v>
      </c>
      <c r="G481" s="35" t="e">
        <f aca="false">D481-E481</f>
        <v>#NAME?</v>
      </c>
    </row>
    <row r="482" customFormat="false" ht="15" hidden="false" customHeight="false" outlineLevel="0" collapsed="false">
      <c r="A482" s="28" t="s">
        <v>828</v>
      </c>
      <c r="B482" s="29" t="s">
        <v>485</v>
      </c>
      <c r="C482" s="8" t="s">
        <v>15</v>
      </c>
      <c r="D482" s="22" t="e">
        <f aca="false">сводн.данные!n487</f>
        <v>#NAME?</v>
      </c>
      <c r="E482" s="23" t="n">
        <v>2285.62331928309</v>
      </c>
      <c r="F482" s="24" t="n">
        <v>350</v>
      </c>
      <c r="G482" s="35" t="e">
        <f aca="false">D482-E482</f>
        <v>#NAME?</v>
      </c>
    </row>
    <row r="483" customFormat="false" ht="15" hidden="false" customHeight="false" outlineLevel="0" collapsed="false">
      <c r="A483" s="28" t="s">
        <v>829</v>
      </c>
      <c r="B483" s="29" t="s">
        <v>332</v>
      </c>
      <c r="C483" s="8" t="s">
        <v>15</v>
      </c>
      <c r="D483" s="22" t="e">
        <f aca="false">сводн.данные!n488</f>
        <v>#NAME?</v>
      </c>
      <c r="E483" s="23" t="n">
        <v>3180.84174778264</v>
      </c>
      <c r="F483" s="24" t="n">
        <v>0</v>
      </c>
      <c r="G483" s="35" t="e">
        <f aca="false">D483-E483</f>
        <v>#NAME?</v>
      </c>
    </row>
    <row r="484" customFormat="false" ht="15" hidden="false" customHeight="false" outlineLevel="0" collapsed="false">
      <c r="A484" s="28" t="s">
        <v>830</v>
      </c>
      <c r="B484" s="29" t="s">
        <v>596</v>
      </c>
      <c r="C484" s="8" t="s">
        <v>15</v>
      </c>
      <c r="D484" s="22" t="e">
        <f aca="false">сводн.данные!n489</f>
        <v>#NAME?</v>
      </c>
      <c r="E484" s="23" t="n">
        <v>2319.5187525028</v>
      </c>
      <c r="F484" s="24" t="n">
        <v>350</v>
      </c>
      <c r="G484" s="35" t="e">
        <f aca="false">D484-E484</f>
        <v>#NAME?</v>
      </c>
    </row>
    <row r="485" customFormat="false" ht="15" hidden="false" customHeight="false" outlineLevel="0" collapsed="false">
      <c r="A485" s="28" t="s">
        <v>831</v>
      </c>
      <c r="B485" s="29" t="s">
        <v>231</v>
      </c>
      <c r="C485" s="8" t="s">
        <v>15</v>
      </c>
      <c r="D485" s="22" t="e">
        <f aca="false">сводн.данные!n490</f>
        <v>#NAME?</v>
      </c>
      <c r="E485" s="23" t="n">
        <v>1524.46196735226</v>
      </c>
      <c r="F485" s="24" t="n">
        <v>965</v>
      </c>
      <c r="G485" s="35" t="e">
        <f aca="false">D485-E485</f>
        <v>#NAME?</v>
      </c>
    </row>
    <row r="486" customFormat="false" ht="15" hidden="false" customHeight="false" outlineLevel="0" collapsed="false">
      <c r="A486" s="28" t="s">
        <v>832</v>
      </c>
      <c r="B486" s="29" t="s">
        <v>803</v>
      </c>
      <c r="C486" s="8" t="s">
        <v>15</v>
      </c>
      <c r="D486" s="22" t="e">
        <f aca="false">сводн.данные!n491</f>
        <v>#NAME?</v>
      </c>
      <c r="E486" s="23" t="n">
        <v>19996.6997209693</v>
      </c>
      <c r="F486" s="24" t="n">
        <v>3760</v>
      </c>
      <c r="G486" s="35" t="e">
        <f aca="false">D486-E486</f>
        <v>#NAME?</v>
      </c>
    </row>
    <row r="487" customFormat="false" ht="16.5" hidden="false" customHeight="true" outlineLevel="0" collapsed="false">
      <c r="A487" s="28" t="s">
        <v>833</v>
      </c>
      <c r="B487" s="29" t="s">
        <v>834</v>
      </c>
      <c r="C487" s="8" t="s">
        <v>15</v>
      </c>
      <c r="D487" s="22" t="e">
        <f aca="false">сводн.данные!n492</f>
        <v>#NAME?</v>
      </c>
      <c r="E487" s="23" t="n">
        <v>748.809969162933</v>
      </c>
      <c r="F487" s="24" t="n">
        <v>350</v>
      </c>
      <c r="G487" s="35" t="e">
        <f aca="false">D487-E487</f>
        <v>#NAME?</v>
      </c>
    </row>
    <row r="488" customFormat="false" ht="15" hidden="false" customHeight="false" outlineLevel="0" collapsed="false">
      <c r="A488" s="28" t="s">
        <v>835</v>
      </c>
      <c r="B488" s="29" t="s">
        <v>836</v>
      </c>
      <c r="C488" s="8" t="s">
        <v>15</v>
      </c>
      <c r="D488" s="22" t="e">
        <f aca="false">сводн.данные!n493</f>
        <v>#NAME?</v>
      </c>
      <c r="E488" s="23" t="n">
        <v>1008.67458277128</v>
      </c>
      <c r="F488" s="24" t="n">
        <v>0</v>
      </c>
      <c r="G488" s="35" t="e">
        <f aca="false">D488-E488</f>
        <v>#NAME?</v>
      </c>
    </row>
    <row r="489" customFormat="false" ht="15" hidden="false" customHeight="false" outlineLevel="0" collapsed="false">
      <c r="A489" s="28" t="s">
        <v>837</v>
      </c>
      <c r="B489" s="29" t="s">
        <v>811</v>
      </c>
      <c r="C489" s="8" t="s">
        <v>15</v>
      </c>
      <c r="D489" s="22" t="e">
        <f aca="false">сводн.данные!n494</f>
        <v>#NAME?</v>
      </c>
      <c r="E489" s="23" t="n">
        <v>2853.55435624599</v>
      </c>
      <c r="F489" s="24" t="n">
        <v>280</v>
      </c>
      <c r="G489" s="35" t="e">
        <f aca="false">D489-E489</f>
        <v>#NAME?</v>
      </c>
    </row>
    <row r="490" customFormat="false" ht="15" hidden="false" customHeight="false" outlineLevel="0" collapsed="false">
      <c r="A490" s="28" t="s">
        <v>838</v>
      </c>
      <c r="B490" s="29" t="s">
        <v>545</v>
      </c>
      <c r="C490" s="8" t="s">
        <v>15</v>
      </c>
      <c r="D490" s="22" t="e">
        <f aca="false">сводн.данные!n495</f>
        <v>#NAME?</v>
      </c>
      <c r="E490" s="23" t="n">
        <v>7499.58129894102</v>
      </c>
      <c r="F490" s="24" t="n">
        <v>1295</v>
      </c>
      <c r="G490" s="35" t="e">
        <f aca="false">D490-E490</f>
        <v>#NAME?</v>
      </c>
    </row>
    <row r="491" customFormat="false" ht="15" hidden="false" customHeight="false" outlineLevel="0" collapsed="false">
      <c r="A491" s="28" t="s">
        <v>839</v>
      </c>
      <c r="B491" s="29" t="s">
        <v>547</v>
      </c>
      <c r="C491" s="8" t="s">
        <v>15</v>
      </c>
      <c r="D491" s="22" t="e">
        <f aca="false">сводн.данные!n496</f>
        <v>#NAME?</v>
      </c>
      <c r="E491" s="23" t="n">
        <v>7390.80846600333</v>
      </c>
      <c r="F491" s="24" t="n">
        <v>1640</v>
      </c>
      <c r="G491" s="35" t="e">
        <f aca="false">D491-E491</f>
        <v>#NAME?</v>
      </c>
    </row>
    <row r="492" customFormat="false" ht="15" hidden="false" customHeight="false" outlineLevel="0" collapsed="false">
      <c r="A492" s="28" t="s">
        <v>840</v>
      </c>
      <c r="B492" s="29" t="s">
        <v>543</v>
      </c>
      <c r="C492" s="8" t="s">
        <v>15</v>
      </c>
      <c r="D492" s="22" t="e">
        <f aca="false">сводн.данные!n497</f>
        <v>#NAME?</v>
      </c>
      <c r="E492" s="23" t="n">
        <v>7499.64166791423</v>
      </c>
      <c r="F492" s="24" t="n">
        <v>1325</v>
      </c>
      <c r="G492" s="35" t="e">
        <f aca="false">D492-E492</f>
        <v>#NAME?</v>
      </c>
    </row>
    <row r="493" customFormat="false" ht="15" hidden="false" customHeight="false" outlineLevel="0" collapsed="false">
      <c r="A493" s="28" t="s">
        <v>841</v>
      </c>
      <c r="B493" s="29" t="s">
        <v>549</v>
      </c>
      <c r="C493" s="8" t="s">
        <v>15</v>
      </c>
      <c r="D493" s="22" t="e">
        <f aca="false">сводн.данные!n498</f>
        <v>#NAME?</v>
      </c>
      <c r="E493" s="23" t="n">
        <v>8587.7349357363</v>
      </c>
      <c r="F493" s="24" t="n">
        <v>1540</v>
      </c>
      <c r="G493" s="35" t="e">
        <f aca="false">D493-E493</f>
        <v>#NAME?</v>
      </c>
    </row>
    <row r="494" customFormat="false" ht="15" hidden="false" customHeight="false" outlineLevel="0" collapsed="false">
      <c r="A494" s="28" t="s">
        <v>842</v>
      </c>
      <c r="B494" s="40" t="s">
        <v>843</v>
      </c>
      <c r="C494" s="8" t="s">
        <v>15</v>
      </c>
      <c r="D494" s="22" t="e">
        <f aca="false">сводн.данные!n499</f>
        <v>#NAME?</v>
      </c>
      <c r="E494" s="23" t="n">
        <v>26112.9786070425</v>
      </c>
      <c r="F494" s="24" t="n">
        <v>0</v>
      </c>
      <c r="G494" s="35" t="e">
        <f aca="false">D494-E494</f>
        <v>#NAME?</v>
      </c>
    </row>
    <row r="495" customFormat="false" ht="15" hidden="false" customHeight="false" outlineLevel="0" collapsed="false">
      <c r="A495" s="15" t="s">
        <v>844</v>
      </c>
      <c r="B495" s="16" t="s">
        <v>845</v>
      </c>
      <c r="C495" s="17"/>
      <c r="D495" s="32"/>
      <c r="E495" s="33"/>
      <c r="F495" s="34"/>
      <c r="G495" s="39"/>
    </row>
    <row r="496" customFormat="false" ht="15" hidden="false" customHeight="false" outlineLevel="0" collapsed="false">
      <c r="A496" s="28" t="s">
        <v>846</v>
      </c>
      <c r="B496" s="29" t="s">
        <v>327</v>
      </c>
      <c r="C496" s="8" t="s">
        <v>15</v>
      </c>
      <c r="D496" s="22" t="e">
        <f aca="false">сводн.данные!n501</f>
        <v>#NAME?</v>
      </c>
      <c r="E496" s="23" t="n">
        <v>905.064494108663</v>
      </c>
      <c r="F496" s="24" t="n">
        <v>280</v>
      </c>
      <c r="G496" s="35" t="e">
        <f aca="false">D496-E496</f>
        <v>#NAME?</v>
      </c>
    </row>
    <row r="497" customFormat="false" ht="15" hidden="false" customHeight="false" outlineLevel="0" collapsed="false">
      <c r="A497" s="28" t="s">
        <v>847</v>
      </c>
      <c r="B497" s="29" t="s">
        <v>485</v>
      </c>
      <c r="C497" s="8" t="s">
        <v>15</v>
      </c>
      <c r="D497" s="22" t="e">
        <f aca="false">сводн.данные!n502</f>
        <v>#NAME?</v>
      </c>
      <c r="E497" s="23" t="n">
        <v>2285.62331928309</v>
      </c>
      <c r="F497" s="24" t="n">
        <v>350</v>
      </c>
      <c r="G497" s="35" t="e">
        <f aca="false">D497-E497</f>
        <v>#NAME?</v>
      </c>
    </row>
    <row r="498" customFormat="false" ht="15" hidden="false" customHeight="false" outlineLevel="0" collapsed="false">
      <c r="A498" s="28" t="s">
        <v>848</v>
      </c>
      <c r="B498" s="29" t="s">
        <v>332</v>
      </c>
      <c r="C498" s="8" t="s">
        <v>15</v>
      </c>
      <c r="D498" s="22" t="e">
        <f aca="false">сводн.данные!n503</f>
        <v>#NAME?</v>
      </c>
      <c r="E498" s="23" t="n">
        <v>3364.75022416297</v>
      </c>
      <c r="F498" s="24" t="n">
        <v>0</v>
      </c>
      <c r="G498" s="35" t="e">
        <f aca="false">D498-E498</f>
        <v>#NAME?</v>
      </c>
    </row>
    <row r="499" customFormat="false" ht="15" hidden="false" customHeight="false" outlineLevel="0" collapsed="false">
      <c r="A499" s="28" t="s">
        <v>849</v>
      </c>
      <c r="B499" s="29" t="s">
        <v>344</v>
      </c>
      <c r="C499" s="8" t="s">
        <v>15</v>
      </c>
      <c r="D499" s="22" t="e">
        <f aca="false">сводн.данные!n504</f>
        <v>#NAME?</v>
      </c>
      <c r="E499" s="23" t="n">
        <v>2912.2648077204</v>
      </c>
      <c r="F499" s="24" t="n">
        <v>965</v>
      </c>
      <c r="G499" s="35" t="e">
        <f aca="false">D499-E499</f>
        <v>#NAME?</v>
      </c>
    </row>
    <row r="500" customFormat="false" ht="15" hidden="false" customHeight="false" outlineLevel="0" collapsed="false">
      <c r="A500" s="28" t="s">
        <v>850</v>
      </c>
      <c r="B500" s="29" t="s">
        <v>425</v>
      </c>
      <c r="C500" s="8" t="s">
        <v>15</v>
      </c>
      <c r="D500" s="22" t="e">
        <f aca="false">сводн.данные!n505</f>
        <v>#NAME?</v>
      </c>
      <c r="E500" s="23" t="n">
        <v>3659.4843047641</v>
      </c>
      <c r="F500" s="24" t="n">
        <v>0</v>
      </c>
      <c r="G500" s="35" t="e">
        <f aca="false">D500-E500</f>
        <v>#NAME?</v>
      </c>
    </row>
    <row r="501" customFormat="false" ht="15" hidden="false" customHeight="false" outlineLevel="0" collapsed="false">
      <c r="A501" s="28" t="s">
        <v>851</v>
      </c>
      <c r="B501" s="29" t="s">
        <v>231</v>
      </c>
      <c r="C501" s="8" t="s">
        <v>15</v>
      </c>
      <c r="D501" s="22" t="e">
        <f aca="false">сводн.данные!n506</f>
        <v>#NAME?</v>
      </c>
      <c r="E501" s="23" t="n">
        <v>1474.3065828849</v>
      </c>
      <c r="F501" s="24" t="n">
        <v>0</v>
      </c>
      <c r="G501" s="35" t="e">
        <f aca="false">D501-E501</f>
        <v>#NAME?</v>
      </c>
    </row>
    <row r="502" customFormat="false" ht="15" hidden="false" customHeight="false" outlineLevel="0" collapsed="false">
      <c r="A502" s="28" t="s">
        <v>852</v>
      </c>
      <c r="B502" s="29" t="s">
        <v>596</v>
      </c>
      <c r="C502" s="8" t="s">
        <v>15</v>
      </c>
      <c r="D502" s="22" t="e">
        <f aca="false">сводн.данные!n507</f>
        <v>#NAME?</v>
      </c>
      <c r="E502" s="23" t="n">
        <v>2023.43606075019</v>
      </c>
      <c r="F502" s="24" t="n">
        <v>350</v>
      </c>
      <c r="G502" s="35" t="e">
        <f aca="false">D502-E502</f>
        <v>#NAME?</v>
      </c>
    </row>
    <row r="503" customFormat="false" ht="18" hidden="false" customHeight="true" outlineLevel="0" collapsed="false">
      <c r="A503" s="28" t="s">
        <v>853</v>
      </c>
      <c r="B503" s="29" t="s">
        <v>834</v>
      </c>
      <c r="C503" s="8" t="s">
        <v>15</v>
      </c>
      <c r="D503" s="22" t="e">
        <f aca="false">сводн.данные!n508</f>
        <v>#NAME?</v>
      </c>
      <c r="E503" s="23" t="n">
        <v>648.499200228209</v>
      </c>
      <c r="F503" s="24" t="n">
        <v>350</v>
      </c>
      <c r="G503" s="35" t="e">
        <f aca="false">D503-E503</f>
        <v>#NAME?</v>
      </c>
    </row>
    <row r="504" customFormat="false" ht="15" hidden="false" customHeight="false" outlineLevel="0" collapsed="false">
      <c r="A504" s="28" t="s">
        <v>854</v>
      </c>
      <c r="B504" s="29" t="s">
        <v>545</v>
      </c>
      <c r="C504" s="8" t="s">
        <v>15</v>
      </c>
      <c r="D504" s="22" t="e">
        <f aca="false">сводн.данные!n509</f>
        <v>#NAME?</v>
      </c>
      <c r="E504" s="23" t="n">
        <v>7499.81942052094</v>
      </c>
      <c r="F504" s="24" t="n">
        <v>1295</v>
      </c>
      <c r="G504" s="35" t="e">
        <f aca="false">D504-E504</f>
        <v>#NAME?</v>
      </c>
    </row>
    <row r="505" customFormat="false" ht="15" hidden="false" customHeight="false" outlineLevel="0" collapsed="false">
      <c r="A505" s="28" t="s">
        <v>855</v>
      </c>
      <c r="B505" s="29" t="s">
        <v>547</v>
      </c>
      <c r="C505" s="8" t="s">
        <v>15</v>
      </c>
      <c r="D505" s="22" t="e">
        <f aca="false">сводн.данные!n510</f>
        <v>#NAME?</v>
      </c>
      <c r="E505" s="23" t="n">
        <v>7290.4976970686</v>
      </c>
      <c r="F505" s="24" t="n">
        <v>1640</v>
      </c>
      <c r="G505" s="35" t="e">
        <f aca="false">D505-E505</f>
        <v>#NAME?</v>
      </c>
    </row>
    <row r="506" customFormat="false" ht="15" hidden="false" customHeight="false" outlineLevel="0" collapsed="false">
      <c r="A506" s="28" t="s">
        <v>856</v>
      </c>
      <c r="B506" s="29" t="s">
        <v>543</v>
      </c>
      <c r="C506" s="8" t="s">
        <v>15</v>
      </c>
      <c r="D506" s="22" t="e">
        <f aca="false">сводн.данные!n511</f>
        <v>#NAME?</v>
      </c>
      <c r="E506" s="23" t="n">
        <v>7499.77403554044</v>
      </c>
      <c r="F506" s="24" t="n">
        <v>1325</v>
      </c>
      <c r="G506" s="35" t="e">
        <f aca="false">D506-E506</f>
        <v>#NAME?</v>
      </c>
    </row>
    <row r="507" customFormat="false" ht="15" hidden="false" customHeight="false" outlineLevel="0" collapsed="false">
      <c r="A507" s="28" t="s">
        <v>857</v>
      </c>
      <c r="B507" s="29" t="s">
        <v>549</v>
      </c>
      <c r="C507" s="8" t="s">
        <v>15</v>
      </c>
      <c r="D507" s="22" t="e">
        <f aca="false">сводн.данные!n512</f>
        <v>#NAME?</v>
      </c>
      <c r="E507" s="23" t="n">
        <v>8587.4901357363</v>
      </c>
      <c r="F507" s="24" t="n">
        <v>1540</v>
      </c>
      <c r="G507" s="35" t="e">
        <f aca="false">D507-E507</f>
        <v>#NAME?</v>
      </c>
    </row>
    <row r="508" customFormat="false" ht="28.5" hidden="false" customHeight="false" outlineLevel="0" collapsed="false">
      <c r="A508" s="15" t="s">
        <v>858</v>
      </c>
      <c r="B508" s="16" t="s">
        <v>859</v>
      </c>
      <c r="C508" s="17"/>
      <c r="D508" s="32"/>
      <c r="E508" s="33"/>
      <c r="F508" s="34"/>
      <c r="G508" s="39"/>
    </row>
    <row r="509" customFormat="false" ht="15" hidden="false" customHeight="false" outlineLevel="0" collapsed="false">
      <c r="A509" s="28" t="s">
        <v>860</v>
      </c>
      <c r="B509" s="29" t="s">
        <v>327</v>
      </c>
      <c r="C509" s="8" t="s">
        <v>15</v>
      </c>
      <c r="D509" s="22" t="e">
        <f aca="false">сводн.данные!n514</f>
        <v>#NAME?</v>
      </c>
      <c r="E509" s="23" t="n">
        <v>905.064494108663</v>
      </c>
      <c r="F509" s="24" t="n">
        <v>280</v>
      </c>
      <c r="G509" s="35" t="e">
        <f aca="false">D509-E509</f>
        <v>#NAME?</v>
      </c>
    </row>
    <row r="510" customFormat="false" ht="15" hidden="false" customHeight="false" outlineLevel="0" collapsed="false">
      <c r="A510" s="28" t="s">
        <v>861</v>
      </c>
      <c r="B510" s="29" t="s">
        <v>485</v>
      </c>
      <c r="C510" s="8" t="s">
        <v>15</v>
      </c>
      <c r="D510" s="22" t="e">
        <f aca="false">сводн.данные!n515</f>
        <v>#NAME?</v>
      </c>
      <c r="E510" s="23" t="n">
        <v>2177.62331928309</v>
      </c>
      <c r="F510" s="24" t="n">
        <v>280</v>
      </c>
      <c r="G510" s="35" t="e">
        <f aca="false">D510-E510</f>
        <v>#NAME?</v>
      </c>
    </row>
    <row r="511" customFormat="false" ht="15" hidden="false" customHeight="false" outlineLevel="0" collapsed="false">
      <c r="A511" s="28" t="s">
        <v>862</v>
      </c>
      <c r="B511" s="29" t="s">
        <v>332</v>
      </c>
      <c r="C511" s="8" t="s">
        <v>15</v>
      </c>
      <c r="D511" s="22" t="e">
        <f aca="false">сводн.данные!n516</f>
        <v>#NAME?</v>
      </c>
      <c r="E511" s="23" t="n">
        <v>3364.74842416297</v>
      </c>
      <c r="F511" s="24" t="n">
        <v>0</v>
      </c>
      <c r="G511" s="35" t="e">
        <f aca="false">D511-E511</f>
        <v>#NAME?</v>
      </c>
    </row>
    <row r="512" customFormat="false" ht="15" hidden="false" customHeight="false" outlineLevel="0" collapsed="false">
      <c r="A512" s="28" t="s">
        <v>863</v>
      </c>
      <c r="B512" s="29" t="s">
        <v>596</v>
      </c>
      <c r="C512" s="8" t="s">
        <v>15</v>
      </c>
      <c r="D512" s="22" t="e">
        <f aca="false">сводн.данные!n517</f>
        <v>#NAME?</v>
      </c>
      <c r="E512" s="23" t="n">
        <v>2205.43050542381</v>
      </c>
      <c r="F512" s="24" t="n">
        <v>350</v>
      </c>
      <c r="G512" s="35" t="e">
        <f aca="false">D512-E512</f>
        <v>#NAME?</v>
      </c>
    </row>
    <row r="513" customFormat="false" ht="15" hidden="false" customHeight="false" outlineLevel="0" collapsed="false">
      <c r="A513" s="28" t="s">
        <v>864</v>
      </c>
      <c r="B513" s="29" t="s">
        <v>545</v>
      </c>
      <c r="C513" s="8" t="s">
        <v>15</v>
      </c>
      <c r="D513" s="22" t="e">
        <f aca="false">сводн.данные!n518</f>
        <v>#NAME?</v>
      </c>
      <c r="E513" s="23" t="n">
        <v>7500.05123293673</v>
      </c>
      <c r="F513" s="24" t="n">
        <v>1620</v>
      </c>
      <c r="G513" s="35" t="e">
        <f aca="false">D513-E513</f>
        <v>#NAME?</v>
      </c>
    </row>
    <row r="514" customFormat="false" ht="15" hidden="false" customHeight="false" outlineLevel="0" collapsed="false">
      <c r="A514" s="28" t="s">
        <v>865</v>
      </c>
      <c r="B514" s="29" t="s">
        <v>547</v>
      </c>
      <c r="C514" s="8" t="s">
        <v>15</v>
      </c>
      <c r="D514" s="22" t="e">
        <f aca="false">сводн.данные!n519</f>
        <v>#NAME?</v>
      </c>
      <c r="E514" s="23" t="n">
        <v>7499.68557288207</v>
      </c>
      <c r="F514" s="24" t="n">
        <v>1150</v>
      </c>
      <c r="G514" s="35" t="e">
        <f aca="false">D514-E514</f>
        <v>#NAME?</v>
      </c>
    </row>
    <row r="515" customFormat="false" ht="15" hidden="false" customHeight="false" outlineLevel="0" collapsed="false">
      <c r="A515" s="28" t="s">
        <v>866</v>
      </c>
      <c r="B515" s="29" t="s">
        <v>543</v>
      </c>
      <c r="C515" s="8" t="s">
        <v>15</v>
      </c>
      <c r="D515" s="22" t="e">
        <f aca="false">сводн.данные!n520</f>
        <v>#NAME?</v>
      </c>
      <c r="E515" s="23" t="n">
        <v>7500.05123293673</v>
      </c>
      <c r="F515" s="24" t="n">
        <v>1625</v>
      </c>
      <c r="G515" s="35" t="e">
        <f aca="false">D515-E515</f>
        <v>#NAME?</v>
      </c>
    </row>
    <row r="516" customFormat="false" ht="15" hidden="false" customHeight="false" outlineLevel="0" collapsed="false">
      <c r="A516" s="28" t="s">
        <v>867</v>
      </c>
      <c r="B516" s="29" t="s">
        <v>549</v>
      </c>
      <c r="C516" s="8" t="s">
        <v>15</v>
      </c>
      <c r="D516" s="22" t="e">
        <f aca="false">сводн.данные!n521</f>
        <v>#NAME?</v>
      </c>
      <c r="E516" s="23" t="n">
        <v>7499.81725631817</v>
      </c>
      <c r="F516" s="24" t="n">
        <v>1540</v>
      </c>
      <c r="G516" s="35" t="e">
        <f aca="false">D516-E516</f>
        <v>#NAME?</v>
      </c>
    </row>
    <row r="517" customFormat="false" ht="57" hidden="false" customHeight="false" outlineLevel="0" collapsed="false">
      <c r="A517" s="15" t="s">
        <v>868</v>
      </c>
      <c r="B517" s="16" t="s">
        <v>869</v>
      </c>
      <c r="C517" s="17"/>
      <c r="D517" s="32"/>
      <c r="E517" s="33"/>
      <c r="F517" s="34"/>
      <c r="G517" s="39"/>
    </row>
    <row r="518" customFormat="false" ht="30" hidden="false" customHeight="false" outlineLevel="0" collapsed="false">
      <c r="A518" s="28" t="s">
        <v>870</v>
      </c>
      <c r="B518" s="53" t="s">
        <v>871</v>
      </c>
      <c r="C518" s="8" t="s">
        <v>15</v>
      </c>
      <c r="D518" s="22" t="e">
        <f aca="false">сводн.данные!n523</f>
        <v>#NAME?</v>
      </c>
      <c r="E518" s="23" t="n">
        <v>2783.23960998797</v>
      </c>
      <c r="F518" s="24" t="n">
        <v>995</v>
      </c>
      <c r="G518" s="35" t="e">
        <f aca="false">D518-E518</f>
        <v>#NAME?</v>
      </c>
    </row>
    <row r="519" customFormat="false" ht="15" hidden="false" customHeight="false" outlineLevel="0" collapsed="false">
      <c r="A519" s="28" t="s">
        <v>872</v>
      </c>
      <c r="B519" s="53" t="s">
        <v>873</v>
      </c>
      <c r="C519" s="8" t="s">
        <v>15</v>
      </c>
      <c r="D519" s="22" t="e">
        <f aca="false">сводн.данные!n524</f>
        <v>#NAME?</v>
      </c>
      <c r="E519" s="23" t="n">
        <v>3499.93614524038</v>
      </c>
      <c r="F519" s="24" t="n">
        <v>360</v>
      </c>
      <c r="G519" s="35" t="e">
        <f aca="false">D519-E519</f>
        <v>#NAME?</v>
      </c>
    </row>
    <row r="520" customFormat="false" ht="15" hidden="false" customHeight="false" outlineLevel="0" collapsed="false">
      <c r="A520" s="28" t="s">
        <v>874</v>
      </c>
      <c r="B520" s="53" t="s">
        <v>875</v>
      </c>
      <c r="C520" s="8" t="s">
        <v>15</v>
      </c>
      <c r="D520" s="22" t="e">
        <f aca="false">сводн.данные!n525</f>
        <v>#NAME?</v>
      </c>
      <c r="E520" s="23" t="n">
        <v>2443.85619502101</v>
      </c>
      <c r="F520" s="24" t="n">
        <v>990</v>
      </c>
      <c r="G520" s="35" t="e">
        <f aca="false">D520-E520</f>
        <v>#NAME?</v>
      </c>
    </row>
    <row r="521" customFormat="false" ht="15" hidden="false" customHeight="false" outlineLevel="0" collapsed="false">
      <c r="A521" s="28" t="s">
        <v>876</v>
      </c>
      <c r="B521" s="53" t="s">
        <v>877</v>
      </c>
      <c r="C521" s="8" t="s">
        <v>15</v>
      </c>
      <c r="D521" s="22" t="e">
        <f aca="false">сводн.данные!n526</f>
        <v>#NAME?</v>
      </c>
      <c r="E521" s="23" t="n">
        <v>8499.57597063206</v>
      </c>
      <c r="F521" s="24" t="n">
        <v>1430</v>
      </c>
      <c r="G521" s="35" t="e">
        <f aca="false">D521-E521</f>
        <v>#NAME?</v>
      </c>
    </row>
    <row r="522" customFormat="false" ht="28.5" hidden="false" customHeight="false" outlineLevel="0" collapsed="false">
      <c r="A522" s="15" t="s">
        <v>878</v>
      </c>
      <c r="B522" s="16" t="s">
        <v>879</v>
      </c>
      <c r="C522" s="17"/>
      <c r="D522" s="32"/>
      <c r="E522" s="33"/>
      <c r="F522" s="34"/>
      <c r="G522" s="39"/>
    </row>
    <row r="523" customFormat="false" ht="15" hidden="false" customHeight="false" outlineLevel="0" collapsed="false">
      <c r="A523" s="28" t="s">
        <v>880</v>
      </c>
      <c r="B523" s="29" t="s">
        <v>327</v>
      </c>
      <c r="C523" s="8" t="s">
        <v>15</v>
      </c>
      <c r="D523" s="22" t="e">
        <f aca="false">сводн.данные!n528</f>
        <v>#NAME?</v>
      </c>
      <c r="E523" s="23" t="n">
        <v>686.018325230023</v>
      </c>
      <c r="F523" s="24" t="n">
        <v>250</v>
      </c>
      <c r="G523" s="35" t="e">
        <f aca="false">D523-E523</f>
        <v>#NAME?</v>
      </c>
    </row>
    <row r="524" customFormat="false" ht="15" hidden="false" customHeight="false" outlineLevel="0" collapsed="false">
      <c r="A524" s="28" t="s">
        <v>881</v>
      </c>
      <c r="B524" s="29" t="s">
        <v>413</v>
      </c>
      <c r="C524" s="8" t="s">
        <v>15</v>
      </c>
      <c r="D524" s="22" t="e">
        <f aca="false">сводн.данные!n529</f>
        <v>#NAME?</v>
      </c>
      <c r="E524" s="23" t="n">
        <v>2608.63293595193</v>
      </c>
      <c r="F524" s="24" t="n">
        <v>350</v>
      </c>
      <c r="G524" s="35" t="e">
        <f aca="false">D524-E524</f>
        <v>#NAME?</v>
      </c>
    </row>
    <row r="525" customFormat="false" ht="15" hidden="false" customHeight="false" outlineLevel="0" collapsed="false">
      <c r="A525" s="28" t="s">
        <v>882</v>
      </c>
      <c r="B525" s="29" t="s">
        <v>883</v>
      </c>
      <c r="C525" s="8" t="s">
        <v>15</v>
      </c>
      <c r="D525" s="22" t="e">
        <f aca="false">сводн.данные!n530</f>
        <v>#NAME?</v>
      </c>
      <c r="E525" s="23" t="n">
        <v>3999.80530773728</v>
      </c>
      <c r="F525" s="24" t="n">
        <v>2600</v>
      </c>
      <c r="G525" s="35" t="e">
        <f aca="false">D525-E525</f>
        <v>#NAME?</v>
      </c>
    </row>
    <row r="526" customFormat="false" ht="15" hidden="false" customHeight="false" outlineLevel="0" collapsed="false">
      <c r="A526" s="28" t="s">
        <v>884</v>
      </c>
      <c r="B526" s="29" t="s">
        <v>885</v>
      </c>
      <c r="C526" s="8" t="s">
        <v>15</v>
      </c>
      <c r="D526" s="22" t="e">
        <f aca="false">сводн.данные!n531</f>
        <v>#NAME?</v>
      </c>
      <c r="E526" s="23" t="n">
        <v>2133.76497614594</v>
      </c>
      <c r="F526" s="24" t="n">
        <v>350</v>
      </c>
      <c r="G526" s="35" t="e">
        <f aca="false">D526-E526</f>
        <v>#NAME?</v>
      </c>
    </row>
    <row r="527" customFormat="false" ht="15" hidden="false" customHeight="false" outlineLevel="0" collapsed="false">
      <c r="A527" s="28" t="s">
        <v>886</v>
      </c>
      <c r="B527" s="29" t="s">
        <v>887</v>
      </c>
      <c r="C527" s="8" t="s">
        <v>15</v>
      </c>
      <c r="D527" s="22" t="e">
        <f aca="false">сводн.данные!n532</f>
        <v>#NAME?</v>
      </c>
      <c r="E527" s="23" t="n">
        <v>4000.30876516171</v>
      </c>
      <c r="F527" s="24" t="n">
        <v>3445</v>
      </c>
      <c r="G527" s="35" t="e">
        <f aca="false">D527-E527</f>
        <v>#NAME?</v>
      </c>
    </row>
    <row r="528" customFormat="false" ht="15" hidden="false" customHeight="false" outlineLevel="0" collapsed="false">
      <c r="A528" s="15" t="s">
        <v>888</v>
      </c>
      <c r="B528" s="54" t="s">
        <v>889</v>
      </c>
      <c r="C528" s="17"/>
      <c r="D528" s="32"/>
      <c r="E528" s="33"/>
      <c r="F528" s="34"/>
      <c r="G528" s="39"/>
    </row>
    <row r="529" customFormat="false" ht="15" hidden="false" customHeight="false" outlineLevel="0" collapsed="false">
      <c r="A529" s="28" t="s">
        <v>890</v>
      </c>
      <c r="B529" s="40" t="s">
        <v>891</v>
      </c>
      <c r="C529" s="8" t="s">
        <v>15</v>
      </c>
      <c r="D529" s="22" t="e">
        <f aca="false">сводн.данные!n534</f>
        <v>#NAME?</v>
      </c>
      <c r="E529" s="23" t="n">
        <v>6999.88995947009</v>
      </c>
      <c r="F529" s="24" t="n">
        <v>0</v>
      </c>
      <c r="G529" s="35" t="e">
        <f aca="false">D529-E529</f>
        <v>#NAME?</v>
      </c>
    </row>
    <row r="530" customFormat="false" ht="15" hidden="false" customHeight="false" outlineLevel="0" collapsed="false">
      <c r="A530" s="28" t="s">
        <v>892</v>
      </c>
      <c r="B530" s="40" t="s">
        <v>893</v>
      </c>
      <c r="C530" s="8" t="s">
        <v>15</v>
      </c>
      <c r="D530" s="22" t="e">
        <f aca="false">сводн.данные!n535</f>
        <v>#NAME?</v>
      </c>
      <c r="E530" s="23" t="n">
        <v>7500.08543440766</v>
      </c>
      <c r="F530" s="24" t="n">
        <v>0</v>
      </c>
      <c r="G530" s="35" t="e">
        <f aca="false">D530-E530</f>
        <v>#NAME?</v>
      </c>
    </row>
    <row r="531" customFormat="false" ht="15" hidden="false" customHeight="false" outlineLevel="0" collapsed="false">
      <c r="A531" s="28" t="s">
        <v>894</v>
      </c>
      <c r="B531" s="40" t="s">
        <v>895</v>
      </c>
      <c r="C531" s="8" t="s">
        <v>15</v>
      </c>
      <c r="D531" s="22" t="e">
        <f aca="false">сводн.данные!n536</f>
        <v>#NAME?</v>
      </c>
      <c r="E531" s="23" t="n">
        <v>21004.7177655316</v>
      </c>
      <c r="F531" s="24" t="n">
        <v>11320</v>
      </c>
      <c r="G531" s="35" t="e">
        <f aca="false">D531-E531</f>
        <v>#NAME?</v>
      </c>
    </row>
    <row r="532" customFormat="false" ht="30" hidden="false" customHeight="false" outlineLevel="0" collapsed="false">
      <c r="A532" s="28" t="s">
        <v>896</v>
      </c>
      <c r="B532" s="40" t="s">
        <v>469</v>
      </c>
      <c r="C532" s="8" t="s">
        <v>15</v>
      </c>
      <c r="D532" s="22" t="e">
        <f aca="false">сводн.данные!n537</f>
        <v>#NAME?</v>
      </c>
      <c r="E532" s="23" t="n">
        <v>6999.85407907808</v>
      </c>
      <c r="F532" s="24" t="n">
        <v>0</v>
      </c>
      <c r="G532" s="35" t="e">
        <f aca="false">D532-E532</f>
        <v>#NAME?</v>
      </c>
    </row>
    <row r="533" customFormat="false" ht="15" hidden="false" customHeight="false" outlineLevel="0" collapsed="false">
      <c r="A533" s="28" t="s">
        <v>897</v>
      </c>
      <c r="B533" s="40" t="s">
        <v>898</v>
      </c>
      <c r="C533" s="8" t="s">
        <v>15</v>
      </c>
      <c r="D533" s="22" t="e">
        <f aca="false">сводн.данные!n538</f>
        <v>#NAME?</v>
      </c>
      <c r="E533" s="23" t="n">
        <v>6499.54284504716</v>
      </c>
      <c r="F533" s="24" t="n">
        <v>0</v>
      </c>
      <c r="G533" s="35" t="e">
        <f aca="false">D533-E533</f>
        <v>#NAME?</v>
      </c>
    </row>
    <row r="534" customFormat="false" ht="15" hidden="false" customHeight="false" outlineLevel="0" collapsed="false">
      <c r="A534" s="28" t="s">
        <v>899</v>
      </c>
      <c r="B534" s="40" t="s">
        <v>900</v>
      </c>
      <c r="C534" s="8" t="s">
        <v>15</v>
      </c>
      <c r="D534" s="22" t="e">
        <f aca="false">сводн.данные!n539</f>
        <v>#NAME?</v>
      </c>
      <c r="E534" s="23" t="n">
        <v>3396.57284808611</v>
      </c>
      <c r="F534" s="24" t="n">
        <v>0</v>
      </c>
      <c r="G534" s="35" t="e">
        <f aca="false">D534-E534</f>
        <v>#NAME?</v>
      </c>
    </row>
    <row r="535" customFormat="false" ht="15" hidden="false" customHeight="false" outlineLevel="0" collapsed="false">
      <c r="A535" s="28" t="s">
        <v>901</v>
      </c>
      <c r="B535" s="40" t="s">
        <v>824</v>
      </c>
      <c r="C535" s="8" t="s">
        <v>15</v>
      </c>
      <c r="D535" s="22" t="e">
        <f aca="false">сводн.данные!n540</f>
        <v>#NAME?</v>
      </c>
      <c r="E535" s="23" t="n">
        <v>2756.03058061878</v>
      </c>
      <c r="F535" s="24" t="n">
        <v>0</v>
      </c>
      <c r="G535" s="35" t="e">
        <f aca="false">D535-E535</f>
        <v>#NAME?</v>
      </c>
    </row>
    <row r="536" customFormat="false" ht="15" hidden="false" customHeight="false" outlineLevel="0" collapsed="false">
      <c r="A536" s="28" t="s">
        <v>902</v>
      </c>
      <c r="B536" s="40" t="s">
        <v>903</v>
      </c>
      <c r="C536" s="8" t="s">
        <v>15</v>
      </c>
      <c r="D536" s="22" t="e">
        <f aca="false">сводн.данные!n541</f>
        <v>#NAME?</v>
      </c>
      <c r="E536" s="23" t="n">
        <v>11790.6481814194</v>
      </c>
      <c r="F536" s="24" t="n">
        <v>4270</v>
      </c>
      <c r="G536" s="35" t="e">
        <f aca="false">D536-E536</f>
        <v>#NAME?</v>
      </c>
    </row>
    <row r="537" customFormat="false" ht="15" hidden="false" customHeight="false" outlineLevel="0" collapsed="false">
      <c r="A537" s="28" t="s">
        <v>904</v>
      </c>
      <c r="B537" s="40" t="s">
        <v>905</v>
      </c>
      <c r="C537" s="8" t="s">
        <v>15</v>
      </c>
      <c r="D537" s="22" t="e">
        <f aca="false">сводн.данные!n542</f>
        <v>#NAME?</v>
      </c>
      <c r="E537" s="23" t="n">
        <v>3719.51618481597</v>
      </c>
      <c r="F537" s="24" t="n">
        <v>0</v>
      </c>
      <c r="G537" s="35" t="e">
        <f aca="false">D537-E537</f>
        <v>#NAME?</v>
      </c>
    </row>
    <row r="538" customFormat="false" ht="15" hidden="false" customHeight="false" outlineLevel="0" collapsed="false">
      <c r="A538" s="28" t="s">
        <v>906</v>
      </c>
      <c r="B538" s="40" t="s">
        <v>907</v>
      </c>
      <c r="C538" s="8" t="s">
        <v>15</v>
      </c>
      <c r="D538" s="22" t="e">
        <f aca="false">сводн.данные!n543</f>
        <v>#NAME?</v>
      </c>
      <c r="E538" s="23" t="n">
        <v>25690.0237504112</v>
      </c>
      <c r="F538" s="24" t="n">
        <v>0</v>
      </c>
      <c r="G538" s="35" t="e">
        <f aca="false">D538-E538</f>
        <v>#NAME?</v>
      </c>
    </row>
    <row r="539" customFormat="false" ht="15" hidden="false" customHeight="false" outlineLevel="0" collapsed="false">
      <c r="A539" s="28" t="s">
        <v>908</v>
      </c>
      <c r="B539" s="40" t="s">
        <v>909</v>
      </c>
      <c r="C539" s="8" t="s">
        <v>15</v>
      </c>
      <c r="D539" s="22" t="e">
        <f aca="false">сводн.данные!n544</f>
        <v>#NAME?</v>
      </c>
      <c r="E539" s="23" t="n">
        <v>26759.5316153367</v>
      </c>
      <c r="F539" s="24" t="n">
        <v>0</v>
      </c>
      <c r="G539" s="35" t="e">
        <f aca="false">D539-E539</f>
        <v>#NAME?</v>
      </c>
    </row>
    <row r="540" customFormat="false" ht="15" hidden="false" customHeight="false" outlineLevel="0" collapsed="false">
      <c r="A540" s="28" t="s">
        <v>910</v>
      </c>
      <c r="B540" s="40" t="s">
        <v>911</v>
      </c>
      <c r="C540" s="8" t="s">
        <v>15</v>
      </c>
      <c r="D540" s="22" t="e">
        <f aca="false">сводн.данные!n545</f>
        <v>#NAME?</v>
      </c>
      <c r="E540" s="23" t="n">
        <v>26976.8755093264</v>
      </c>
      <c r="F540" s="24" t="n">
        <v>0</v>
      </c>
      <c r="G540" s="35" t="e">
        <f aca="false">D540-E540</f>
        <v>#NAME?</v>
      </c>
    </row>
    <row r="541" customFormat="false" ht="15" hidden="false" customHeight="false" outlineLevel="0" collapsed="false">
      <c r="A541" s="28" t="s">
        <v>912</v>
      </c>
      <c r="B541" s="40" t="s">
        <v>913</v>
      </c>
      <c r="C541" s="8" t="s">
        <v>15</v>
      </c>
      <c r="D541" s="22" t="e">
        <f aca="false">сводн.данные!n546</f>
        <v>#NAME?</v>
      </c>
      <c r="E541" s="23" t="n">
        <v>26346.0751200789</v>
      </c>
      <c r="F541" s="24" t="n">
        <v>0</v>
      </c>
      <c r="G541" s="35" t="e">
        <f aca="false">D541-E541</f>
        <v>#NAME?</v>
      </c>
    </row>
    <row r="542" customFormat="false" ht="15" hidden="false" customHeight="false" outlineLevel="0" collapsed="false">
      <c r="A542" s="15" t="s">
        <v>914</v>
      </c>
      <c r="B542" s="16" t="s">
        <v>915</v>
      </c>
      <c r="C542" s="17"/>
      <c r="D542" s="32"/>
      <c r="E542" s="33"/>
      <c r="F542" s="34"/>
      <c r="G542" s="39"/>
    </row>
    <row r="543" customFormat="false" ht="33" hidden="false" customHeight="true" outlineLevel="0" collapsed="false">
      <c r="A543" s="28" t="s">
        <v>916</v>
      </c>
      <c r="B543" s="40" t="s">
        <v>917</v>
      </c>
      <c r="C543" s="55" t="s">
        <v>15</v>
      </c>
      <c r="D543" s="48" t="e">
        <f aca="false">сводн.данные!n548</f>
        <v>#NAME?</v>
      </c>
      <c r="E543" s="56" t="n">
        <v>919</v>
      </c>
      <c r="F543" s="57" t="n">
        <v>1420</v>
      </c>
      <c r="G543" s="58" t="e">
        <f aca="false">D543-E543</f>
        <v>#NAME?</v>
      </c>
    </row>
    <row r="544" customFormat="false" ht="15.75" hidden="false" customHeight="true" outlineLevel="0" collapsed="false">
      <c r="A544" s="28" t="s">
        <v>918</v>
      </c>
      <c r="B544" s="59" t="s">
        <v>919</v>
      </c>
      <c r="C544" s="55" t="s">
        <v>15</v>
      </c>
      <c r="D544" s="48" t="e">
        <f aca="false">сводн.данные!n549</f>
        <v>#NAME?</v>
      </c>
      <c r="E544" s="56" t="n">
        <v>917</v>
      </c>
      <c r="F544" s="57" t="n">
        <v>380</v>
      </c>
      <c r="G544" s="58" t="e">
        <f aca="false">D544-E544</f>
        <v>#NAME?</v>
      </c>
    </row>
    <row r="545" customFormat="false" ht="15" hidden="false" customHeight="false" outlineLevel="0" collapsed="false">
      <c r="A545" s="28" t="s">
        <v>920</v>
      </c>
      <c r="B545" s="40" t="s">
        <v>885</v>
      </c>
      <c r="C545" s="55" t="s">
        <v>15</v>
      </c>
      <c r="D545" s="48" t="e">
        <f aca="false">сводн.данные!n550</f>
        <v>#NAME?</v>
      </c>
      <c r="E545" s="56" t="n">
        <v>2975.03653665831</v>
      </c>
      <c r="F545" s="57" t="n">
        <v>1020</v>
      </c>
      <c r="G545" s="58" t="e">
        <f aca="false">D545-E545</f>
        <v>#NAME?</v>
      </c>
    </row>
    <row r="546" customFormat="false" ht="30" hidden="false" customHeight="false" outlineLevel="0" collapsed="false">
      <c r="A546" s="28" t="s">
        <v>921</v>
      </c>
      <c r="B546" s="60" t="s">
        <v>922</v>
      </c>
      <c r="C546" s="55" t="s">
        <v>15</v>
      </c>
      <c r="D546" s="48" t="e">
        <f aca="false">сводн.данные!n551</f>
        <v>#NAME?</v>
      </c>
      <c r="E546" s="56" t="n">
        <v>3050.41713900856</v>
      </c>
      <c r="F546" s="57" t="n">
        <v>920</v>
      </c>
      <c r="G546" s="58" t="e">
        <f aca="false">D546-E546</f>
        <v>#NAME?</v>
      </c>
    </row>
    <row r="547" customFormat="false" ht="15" hidden="false" customHeight="false" outlineLevel="0" collapsed="false">
      <c r="A547" s="28" t="s">
        <v>923</v>
      </c>
      <c r="B547" s="40" t="s">
        <v>924</v>
      </c>
      <c r="C547" s="55" t="s">
        <v>15</v>
      </c>
      <c r="D547" s="48" t="e">
        <f aca="false">сводн.данные!n552</f>
        <v>#NAME?</v>
      </c>
      <c r="E547" s="56" t="n">
        <v>3819.43129327755</v>
      </c>
      <c r="F547" s="57" t="n">
        <v>985</v>
      </c>
      <c r="G547" s="58" t="e">
        <f aca="false">D547-E547</f>
        <v>#NAME?</v>
      </c>
    </row>
    <row r="548" customFormat="false" ht="15" hidden="false" customHeight="false" outlineLevel="0" collapsed="false">
      <c r="A548" s="28" t="s">
        <v>925</v>
      </c>
      <c r="B548" s="40" t="s">
        <v>926</v>
      </c>
      <c r="C548" s="55" t="s">
        <v>15</v>
      </c>
      <c r="D548" s="48" t="e">
        <f aca="false">сводн.данные!n553</f>
        <v>#NAME?</v>
      </c>
      <c r="E548" s="56" t="n">
        <v>4092.30922937306</v>
      </c>
      <c r="F548" s="57" t="n">
        <v>1020</v>
      </c>
      <c r="G548" s="58" t="e">
        <f aca="false">D548-E548</f>
        <v>#NAME?</v>
      </c>
    </row>
    <row r="549" customFormat="false" ht="15" hidden="false" customHeight="false" outlineLevel="0" collapsed="false">
      <c r="A549" s="28" t="s">
        <v>927</v>
      </c>
      <c r="B549" s="40" t="s">
        <v>735</v>
      </c>
      <c r="C549" s="55" t="s">
        <v>15</v>
      </c>
      <c r="D549" s="48" t="e">
        <f aca="false">сводн.данные!n554</f>
        <v>#NAME?</v>
      </c>
      <c r="E549" s="56" t="n">
        <v>4974.41653473402</v>
      </c>
      <c r="F549" s="57" t="n">
        <v>1020</v>
      </c>
      <c r="G549" s="58" t="e">
        <f aca="false">D549-E549</f>
        <v>#NAME?</v>
      </c>
    </row>
    <row r="550" customFormat="false" ht="30" hidden="false" customHeight="false" outlineLevel="0" collapsed="false">
      <c r="A550" s="28" t="s">
        <v>928</v>
      </c>
      <c r="B550" s="40" t="s">
        <v>929</v>
      </c>
      <c r="C550" s="55" t="s">
        <v>15</v>
      </c>
      <c r="D550" s="22" t="e">
        <f aca="false">сводн.данные!n555</f>
        <v>#NAME?</v>
      </c>
      <c r="E550" s="23" t="n">
        <v>4550.35427828535</v>
      </c>
      <c r="F550" s="24" t="n">
        <v>2060</v>
      </c>
      <c r="G550" s="35" t="e">
        <f aca="false">D550-E550</f>
        <v>#NAME?</v>
      </c>
    </row>
    <row r="551" customFormat="false" ht="15" hidden="false" customHeight="false" outlineLevel="0" collapsed="false">
      <c r="A551" s="28" t="s">
        <v>930</v>
      </c>
      <c r="B551" s="40" t="s">
        <v>409</v>
      </c>
      <c r="C551" s="55" t="s">
        <v>15</v>
      </c>
      <c r="D551" s="22" t="e">
        <f aca="false">сводн.данные!n556</f>
        <v>#NAME?</v>
      </c>
      <c r="E551" s="23" t="n">
        <v>3951.53168957932</v>
      </c>
      <c r="F551" s="24" t="n">
        <v>1020</v>
      </c>
      <c r="G551" s="35" t="e">
        <f aca="false">D551-E551</f>
        <v>#NAME?</v>
      </c>
    </row>
    <row r="552" customFormat="false" ht="15" hidden="false" customHeight="false" outlineLevel="0" collapsed="false">
      <c r="A552" s="28" t="s">
        <v>931</v>
      </c>
      <c r="B552" s="40" t="s">
        <v>932</v>
      </c>
      <c r="C552" s="55" t="s">
        <v>15</v>
      </c>
      <c r="D552" s="22" t="e">
        <f aca="false">сводн.данные!n557</f>
        <v>#NAME?</v>
      </c>
      <c r="E552" s="23" t="n">
        <v>3988.46653569616</v>
      </c>
      <c r="F552" s="24" t="n">
        <v>1020</v>
      </c>
      <c r="G552" s="35" t="e">
        <f aca="false">D552-E552</f>
        <v>#NAME?</v>
      </c>
    </row>
    <row r="553" customFormat="false" ht="15" hidden="false" customHeight="false" outlineLevel="0" collapsed="false">
      <c r="A553" s="28" t="s">
        <v>933</v>
      </c>
      <c r="B553" s="40" t="s">
        <v>934</v>
      </c>
      <c r="C553" s="55" t="s">
        <v>15</v>
      </c>
      <c r="D553" s="22" t="e">
        <f aca="false">сводн.данные!n558</f>
        <v>#NAME?</v>
      </c>
      <c r="E553" s="23" t="n">
        <v>4638.05160420445</v>
      </c>
      <c r="F553" s="24" t="n">
        <v>1020</v>
      </c>
      <c r="G553" s="35" t="e">
        <f aca="false">D553-E553</f>
        <v>#NAME?</v>
      </c>
    </row>
    <row r="554" customFormat="false" ht="15" hidden="false" customHeight="false" outlineLevel="0" collapsed="false">
      <c r="A554" s="28" t="s">
        <v>935</v>
      </c>
      <c r="B554" s="40" t="s">
        <v>936</v>
      </c>
      <c r="C554" s="55" t="s">
        <v>15</v>
      </c>
      <c r="D554" s="22" t="e">
        <f aca="false">сводн.данные!n559</f>
        <v>#NAME?</v>
      </c>
      <c r="E554" s="23" t="n">
        <v>4283.04660468552</v>
      </c>
      <c r="F554" s="24" t="n">
        <v>1020</v>
      </c>
      <c r="G554" s="35" t="e">
        <f aca="false">D554-E554</f>
        <v>#NAME?</v>
      </c>
    </row>
    <row r="555" customFormat="false" ht="15" hidden="false" customHeight="false" outlineLevel="0" collapsed="false">
      <c r="A555" s="28" t="s">
        <v>937</v>
      </c>
      <c r="B555" s="40" t="s">
        <v>938</v>
      </c>
      <c r="C555" s="55" t="s">
        <v>15</v>
      </c>
      <c r="D555" s="22" t="e">
        <f aca="false">сводн.данные!n560</f>
        <v>#NAME?</v>
      </c>
      <c r="E555" s="23" t="n">
        <v>5081.26153425294</v>
      </c>
      <c r="F555" s="24" t="n">
        <v>1020</v>
      </c>
      <c r="G555" s="35" t="e">
        <f aca="false">D555-E555</f>
        <v>#NAME?</v>
      </c>
    </row>
    <row r="556" customFormat="false" ht="15" hidden="false" customHeight="false" outlineLevel="0" collapsed="false">
      <c r="A556" s="28" t="s">
        <v>939</v>
      </c>
      <c r="B556" s="40" t="s">
        <v>125</v>
      </c>
      <c r="C556" s="55" t="s">
        <v>15</v>
      </c>
      <c r="D556" s="22" t="e">
        <f aca="false">сводн.данные!n561</f>
        <v>#NAME?</v>
      </c>
      <c r="E556" s="23" t="n">
        <v>4784.21653473402</v>
      </c>
      <c r="F556" s="24" t="n">
        <v>1020</v>
      </c>
      <c r="G556" s="35" t="e">
        <f aca="false">D556-E556</f>
        <v>#NAME?</v>
      </c>
    </row>
    <row r="557" customFormat="false" ht="15" hidden="false" customHeight="false" outlineLevel="0" collapsed="false">
      <c r="A557" s="28" t="s">
        <v>940</v>
      </c>
      <c r="B557" s="40" t="s">
        <v>941</v>
      </c>
      <c r="C557" s="55" t="s">
        <v>15</v>
      </c>
      <c r="D557" s="22" t="e">
        <f aca="false">сводн.данные!n562</f>
        <v>#NAME?</v>
      </c>
      <c r="E557" s="23" t="n">
        <v>4280.32560468552</v>
      </c>
      <c r="F557" s="24" t="n">
        <v>1020</v>
      </c>
      <c r="G557" s="35" t="e">
        <f aca="false">D557-E557</f>
        <v>#NAME?</v>
      </c>
    </row>
    <row r="558" customFormat="false" ht="15" hidden="false" customHeight="false" outlineLevel="0" collapsed="false">
      <c r="A558" s="28" t="s">
        <v>942</v>
      </c>
      <c r="B558" s="40" t="s">
        <v>943</v>
      </c>
      <c r="C558" s="55" t="s">
        <v>15</v>
      </c>
      <c r="D558" s="22" t="e">
        <f aca="false">сводн.данные!n563</f>
        <v>#NAME?</v>
      </c>
      <c r="E558" s="23" t="n">
        <v>5105.09953425294</v>
      </c>
      <c r="F558" s="24" t="n">
        <v>1020</v>
      </c>
      <c r="G558" s="35" t="e">
        <f aca="false">D558-E558</f>
        <v>#NAME?</v>
      </c>
    </row>
    <row r="559" customFormat="false" ht="18.75" hidden="false" customHeight="true" outlineLevel="0" collapsed="false">
      <c r="A559" s="28" t="s">
        <v>944</v>
      </c>
      <c r="B559" s="40" t="s">
        <v>945</v>
      </c>
      <c r="C559" s="55" t="s">
        <v>15</v>
      </c>
      <c r="D559" s="22" t="e">
        <f aca="false">сводн.данные!n564</f>
        <v>#NAME?</v>
      </c>
      <c r="E559" s="23" t="n">
        <v>4143.68653569616</v>
      </c>
      <c r="F559" s="24" t="n">
        <v>1600</v>
      </c>
      <c r="G559" s="35" t="e">
        <f aca="false">D559-E559</f>
        <v>#NAME?</v>
      </c>
    </row>
    <row r="560" customFormat="false" ht="30" hidden="false" customHeight="false" outlineLevel="0" collapsed="false">
      <c r="A560" s="28" t="s">
        <v>946</v>
      </c>
      <c r="B560" s="40" t="s">
        <v>947</v>
      </c>
      <c r="C560" s="55" t="s">
        <v>15</v>
      </c>
      <c r="D560" s="22" t="e">
        <f aca="false">сводн.данные!n565</f>
        <v>#NAME?</v>
      </c>
      <c r="E560" s="23" t="n">
        <v>4281.83653665831</v>
      </c>
      <c r="F560" s="24" t="n">
        <v>1210</v>
      </c>
      <c r="G560" s="35" t="e">
        <f aca="false">D560-E560</f>
        <v>#NAME?</v>
      </c>
    </row>
    <row r="561" customFormat="false" ht="15" hidden="false" customHeight="false" outlineLevel="0" collapsed="false">
      <c r="A561" s="28" t="s">
        <v>948</v>
      </c>
      <c r="B561" s="40" t="s">
        <v>949</v>
      </c>
      <c r="C561" s="55" t="s">
        <v>15</v>
      </c>
      <c r="D561" s="22" t="e">
        <f aca="false">сводн.данные!n566</f>
        <v>#NAME?</v>
      </c>
      <c r="E561" s="23" t="n">
        <v>4143.57853569616</v>
      </c>
      <c r="F561" s="24" t="n">
        <v>1020</v>
      </c>
      <c r="G561" s="35" t="e">
        <f aca="false">D561-E561</f>
        <v>#NAME?</v>
      </c>
    </row>
    <row r="562" customFormat="false" ht="15" hidden="false" customHeight="false" outlineLevel="0" collapsed="false">
      <c r="A562" s="28" t="s">
        <v>950</v>
      </c>
      <c r="B562" s="40" t="s">
        <v>951</v>
      </c>
      <c r="C562" s="55" t="s">
        <v>15</v>
      </c>
      <c r="D562" s="22" t="e">
        <f aca="false">сводн.данные!n567</f>
        <v>#NAME?</v>
      </c>
      <c r="E562" s="23" t="n">
        <v>3948.04153617724</v>
      </c>
      <c r="F562" s="24" t="n">
        <v>1020</v>
      </c>
      <c r="G562" s="35" t="e">
        <f aca="false">D562-E562</f>
        <v>#NAME?</v>
      </c>
    </row>
    <row r="563" customFormat="false" ht="15" hidden="false" customHeight="false" outlineLevel="0" collapsed="false">
      <c r="A563" s="28" t="s">
        <v>952</v>
      </c>
      <c r="B563" s="40" t="s">
        <v>953</v>
      </c>
      <c r="C563" s="55" t="s">
        <v>15</v>
      </c>
      <c r="D563" s="22" t="e">
        <f aca="false">сводн.данные!n568</f>
        <v>#NAME?</v>
      </c>
      <c r="E563" s="23" t="n">
        <v>4055.91313617724</v>
      </c>
      <c r="F563" s="24" t="n">
        <v>1020</v>
      </c>
      <c r="G563" s="35" t="e">
        <f aca="false">D563-E563</f>
        <v>#NAME?</v>
      </c>
    </row>
    <row r="564" customFormat="false" ht="15" hidden="false" customHeight="false" outlineLevel="0" collapsed="false">
      <c r="A564" s="28" t="s">
        <v>954</v>
      </c>
      <c r="B564" s="40" t="s">
        <v>545</v>
      </c>
      <c r="C564" s="55" t="s">
        <v>15</v>
      </c>
      <c r="D564" s="22" t="e">
        <f aca="false">сводн.данные!n569</f>
        <v>#NAME?</v>
      </c>
      <c r="E564" s="23" t="n">
        <v>4684.25653473402</v>
      </c>
      <c r="F564" s="24" t="n">
        <v>1020</v>
      </c>
      <c r="G564" s="35" t="e">
        <f aca="false">D564-E564</f>
        <v>#NAME?</v>
      </c>
    </row>
    <row r="565" customFormat="false" ht="15" hidden="false" customHeight="false" outlineLevel="0" collapsed="false">
      <c r="A565" s="28" t="s">
        <v>955</v>
      </c>
      <c r="B565" s="40" t="s">
        <v>956</v>
      </c>
      <c r="C565" s="55" t="s">
        <v>15</v>
      </c>
      <c r="D565" s="22" t="e">
        <f aca="false">сводн.данные!n570</f>
        <v>#NAME?</v>
      </c>
      <c r="E565" s="23" t="n">
        <v>4046.27053569616</v>
      </c>
      <c r="F565" s="24" t="n">
        <v>1020</v>
      </c>
      <c r="G565" s="35" t="e">
        <f aca="false">D565-E565</f>
        <v>#NAME?</v>
      </c>
    </row>
    <row r="566" customFormat="false" ht="15" hidden="false" customHeight="false" outlineLevel="0" collapsed="false">
      <c r="A566" s="28" t="s">
        <v>957</v>
      </c>
      <c r="B566" s="40" t="s">
        <v>958</v>
      </c>
      <c r="C566" s="55" t="s">
        <v>15</v>
      </c>
      <c r="D566" s="22" t="e">
        <f aca="false">сводн.данные!n571</f>
        <v>#NAME?</v>
      </c>
      <c r="E566" s="23" t="n">
        <v>5364.23653665831</v>
      </c>
      <c r="F566" s="24" t="n">
        <v>1020</v>
      </c>
      <c r="G566" s="35" t="e">
        <f aca="false">D566-E566</f>
        <v>#NAME?</v>
      </c>
    </row>
    <row r="567" customFormat="false" ht="15" hidden="false" customHeight="false" outlineLevel="0" collapsed="false">
      <c r="A567" s="28" t="s">
        <v>959</v>
      </c>
      <c r="B567" s="40" t="s">
        <v>960</v>
      </c>
      <c r="C567" s="55" t="s">
        <v>15</v>
      </c>
      <c r="D567" s="22" t="e">
        <f aca="false">сводн.данные!n572</f>
        <v>#NAME?</v>
      </c>
      <c r="E567" s="23" t="n">
        <v>5053.25653473402</v>
      </c>
      <c r="F567" s="24" t="n">
        <v>1140</v>
      </c>
      <c r="G567" s="35" t="e">
        <f aca="false">D567-E567</f>
        <v>#NAME?</v>
      </c>
    </row>
    <row r="568" customFormat="false" ht="30" hidden="false" customHeight="false" outlineLevel="0" collapsed="false">
      <c r="A568" s="28" t="s">
        <v>961</v>
      </c>
      <c r="B568" s="60" t="s">
        <v>962</v>
      </c>
      <c r="C568" s="55" t="s">
        <v>15</v>
      </c>
      <c r="D568" s="22" t="e">
        <f aca="false">сводн.данные!n573</f>
        <v>#NAME?</v>
      </c>
      <c r="E568" s="61" t="n">
        <v>4347.4008458137</v>
      </c>
      <c r="F568" s="24"/>
      <c r="G568" s="35"/>
    </row>
    <row r="569" customFormat="false" ht="15" hidden="false" customHeight="false" outlineLevel="0" collapsed="false">
      <c r="A569" s="28" t="s">
        <v>963</v>
      </c>
      <c r="B569" s="60" t="s">
        <v>964</v>
      </c>
      <c r="C569" s="55" t="s">
        <v>15</v>
      </c>
      <c r="D569" s="22" t="e">
        <f aca="false">сводн.данные!n574</f>
        <v>#NAME?</v>
      </c>
      <c r="E569" s="61" t="n">
        <v>3742.87153617724</v>
      </c>
      <c r="F569" s="24"/>
      <c r="G569" s="35"/>
    </row>
    <row r="570" customFormat="false" ht="15" hidden="false" customHeight="false" outlineLevel="0" collapsed="false">
      <c r="A570" s="28" t="s">
        <v>965</v>
      </c>
      <c r="B570" s="60" t="s">
        <v>966</v>
      </c>
      <c r="C570" s="55" t="s">
        <v>15</v>
      </c>
      <c r="D570" s="22" t="e">
        <f aca="false">сводн.данные!n575</f>
        <v>#NAME?</v>
      </c>
      <c r="E570" s="61" t="n">
        <v>4719.07300488327</v>
      </c>
      <c r="F570" s="24"/>
      <c r="G570" s="35"/>
    </row>
    <row r="571" customFormat="false" ht="15" hidden="false" customHeight="false" outlineLevel="0" collapsed="false">
      <c r="A571" s="28" t="s">
        <v>967</v>
      </c>
      <c r="B571" s="60" t="s">
        <v>968</v>
      </c>
      <c r="C571" s="55" t="s">
        <v>15</v>
      </c>
      <c r="D571" s="22" t="e">
        <f aca="false">сводн.данные!n576</f>
        <v>#NAME?</v>
      </c>
      <c r="E571" s="61" t="n">
        <v>4511.84653569616</v>
      </c>
      <c r="F571" s="62"/>
      <c r="G571" s="63"/>
    </row>
    <row r="572" customFormat="false" ht="15" hidden="false" customHeight="false" outlineLevel="0" collapsed="false">
      <c r="A572" s="28" t="s">
        <v>969</v>
      </c>
      <c r="B572" s="60" t="s">
        <v>970</v>
      </c>
      <c r="C572" s="55" t="s">
        <v>15</v>
      </c>
      <c r="D572" s="22" t="e">
        <f aca="false">сводн.данные!n577</f>
        <v>#NAME?</v>
      </c>
      <c r="E572" s="61" t="n">
        <v>4239.44653569616</v>
      </c>
      <c r="F572" s="62"/>
      <c r="G572" s="63"/>
    </row>
    <row r="573" customFormat="false" ht="15" hidden="false" customHeight="false" outlineLevel="0" collapsed="false">
      <c r="A573" s="28" t="s">
        <v>971</v>
      </c>
      <c r="B573" s="60" t="s">
        <v>972</v>
      </c>
      <c r="C573" s="55" t="s">
        <v>15</v>
      </c>
      <c r="D573" s="22" t="e">
        <f aca="false">сводн.данные!n578</f>
        <v>#NAME?</v>
      </c>
      <c r="E573" s="61" t="n">
        <v>4428.26653377187</v>
      </c>
      <c r="F573" s="62"/>
      <c r="G573" s="63"/>
    </row>
    <row r="574" customFormat="false" ht="15" hidden="false" customHeight="false" outlineLevel="0" collapsed="false">
      <c r="A574" s="28" t="s">
        <v>973</v>
      </c>
      <c r="B574" s="60" t="s">
        <v>974</v>
      </c>
      <c r="C574" s="55" t="s">
        <v>15</v>
      </c>
      <c r="D574" s="22" t="e">
        <f aca="false">сводн.данные!n579</f>
        <v>#NAME?</v>
      </c>
      <c r="E574" s="61" t="n">
        <v>3879.8395332908</v>
      </c>
      <c r="F574" s="62"/>
      <c r="G574" s="63"/>
    </row>
    <row r="575" customFormat="false" ht="15" hidden="false" customHeight="false" outlineLevel="0" collapsed="false">
      <c r="A575" s="28" t="s">
        <v>975</v>
      </c>
      <c r="B575" s="60" t="s">
        <v>976</v>
      </c>
      <c r="C575" s="55" t="s">
        <v>15</v>
      </c>
      <c r="D575" s="22" t="e">
        <f aca="false">сводн.данные!n580</f>
        <v>#NAME?</v>
      </c>
      <c r="E575" s="61" t="n">
        <v>4055.24653569616</v>
      </c>
      <c r="F575" s="62"/>
      <c r="G575" s="63"/>
    </row>
    <row r="576" customFormat="false" ht="32.25" hidden="false" customHeight="true" outlineLevel="0" collapsed="false">
      <c r="A576" s="28" t="s">
        <v>977</v>
      </c>
      <c r="B576" s="60" t="s">
        <v>978</v>
      </c>
      <c r="C576" s="55" t="s">
        <v>15</v>
      </c>
      <c r="D576" s="22" t="e">
        <f aca="false">сводн.данные!n581</f>
        <v>#NAME?</v>
      </c>
      <c r="E576" s="61" t="n">
        <v>4289.23153713938</v>
      </c>
      <c r="F576" s="62"/>
      <c r="G576" s="63"/>
    </row>
    <row r="577" customFormat="false" ht="28.5" hidden="false" customHeight="false" outlineLevel="0" collapsed="false">
      <c r="A577" s="15" t="s">
        <v>979</v>
      </c>
      <c r="B577" s="16" t="s">
        <v>980</v>
      </c>
      <c r="C577" s="17"/>
      <c r="D577" s="32"/>
      <c r="E577" s="33"/>
      <c r="F577" s="34"/>
      <c r="G577" s="39"/>
    </row>
    <row r="578" customFormat="false" ht="33.75" hidden="false" customHeight="true" outlineLevel="0" collapsed="false">
      <c r="A578" s="28" t="s">
        <v>981</v>
      </c>
      <c r="B578" s="40" t="s">
        <v>917</v>
      </c>
      <c r="C578" s="55" t="s">
        <v>15</v>
      </c>
      <c r="D578" s="48" t="e">
        <f aca="false">сводн.данные!n583</f>
        <v>#NAME?</v>
      </c>
      <c r="E578" s="56" t="n">
        <v>919</v>
      </c>
      <c r="F578" s="57" t="n">
        <v>1420</v>
      </c>
      <c r="G578" s="58" t="e">
        <f aca="false">D578-E578</f>
        <v>#NAME?</v>
      </c>
    </row>
    <row r="579" customFormat="false" ht="15" hidden="false" customHeight="false" outlineLevel="0" collapsed="false">
      <c r="A579" s="28" t="s">
        <v>982</v>
      </c>
      <c r="B579" s="40" t="s">
        <v>919</v>
      </c>
      <c r="C579" s="55" t="s">
        <v>15</v>
      </c>
      <c r="D579" s="48" t="e">
        <f aca="false">сводн.данные!n584</f>
        <v>#NAME?</v>
      </c>
      <c r="E579" s="56" t="n">
        <v>917</v>
      </c>
      <c r="F579" s="57" t="n">
        <v>380</v>
      </c>
      <c r="G579" s="58" t="e">
        <f aca="false">D579-E579</f>
        <v>#NAME?</v>
      </c>
    </row>
    <row r="580" customFormat="false" ht="15" hidden="false" customHeight="false" outlineLevel="0" collapsed="false">
      <c r="A580" s="28" t="s">
        <v>983</v>
      </c>
      <c r="B580" s="40" t="s">
        <v>885</v>
      </c>
      <c r="C580" s="55" t="s">
        <v>15</v>
      </c>
      <c r="D580" s="48" t="e">
        <f aca="false">сводн.данные!n585</f>
        <v>#NAME?</v>
      </c>
      <c r="E580" s="56" t="n">
        <v>2812.03153713938</v>
      </c>
      <c r="F580" s="57" t="n">
        <v>1020</v>
      </c>
      <c r="G580" s="58" t="e">
        <f aca="false">D580-E580</f>
        <v>#NAME?</v>
      </c>
    </row>
    <row r="581" customFormat="false" ht="34.5" hidden="false" customHeight="true" outlineLevel="0" collapsed="false">
      <c r="A581" s="28" t="s">
        <v>984</v>
      </c>
      <c r="B581" s="60" t="s">
        <v>985</v>
      </c>
      <c r="C581" s="55" t="s">
        <v>15</v>
      </c>
      <c r="D581" s="48" t="e">
        <f aca="false">сводн.данные!n586</f>
        <v>#NAME?</v>
      </c>
      <c r="E581" s="56" t="n">
        <v>3115.43652980971</v>
      </c>
      <c r="F581" s="57" t="n">
        <v>1210</v>
      </c>
      <c r="G581" s="58" t="e">
        <f aca="false">D581-E581</f>
        <v>#NAME?</v>
      </c>
    </row>
    <row r="582" customFormat="false" ht="15" hidden="false" customHeight="false" outlineLevel="0" collapsed="false">
      <c r="A582" s="28" t="s">
        <v>986</v>
      </c>
      <c r="B582" s="29" t="s">
        <v>721</v>
      </c>
      <c r="C582" s="55" t="s">
        <v>15</v>
      </c>
      <c r="D582" s="48" t="e">
        <f aca="false">сводн.данные!n587</f>
        <v>#NAME?</v>
      </c>
      <c r="E582" s="56" t="n">
        <v>4582.18666089379</v>
      </c>
      <c r="F582" s="57" t="n">
        <v>0</v>
      </c>
      <c r="G582" s="58" t="e">
        <f aca="false">D582-E582</f>
        <v>#NAME?</v>
      </c>
    </row>
    <row r="583" customFormat="false" ht="30" hidden="false" customHeight="false" outlineLevel="0" collapsed="false">
      <c r="A583" s="28" t="s">
        <v>987</v>
      </c>
      <c r="B583" s="29" t="s">
        <v>988</v>
      </c>
      <c r="C583" s="55" t="s">
        <v>15</v>
      </c>
      <c r="D583" s="22" t="e">
        <f aca="false">сводн.данные!n588</f>
        <v>#NAME?</v>
      </c>
      <c r="E583" s="23" t="n">
        <v>3915.83653665831</v>
      </c>
      <c r="F583" s="24" t="n">
        <v>1400</v>
      </c>
      <c r="G583" s="35" t="e">
        <f aca="false">D583-E583</f>
        <v>#NAME?</v>
      </c>
    </row>
    <row r="584" customFormat="false" ht="15" hidden="false" customHeight="false" outlineLevel="0" collapsed="false">
      <c r="A584" s="28" t="s">
        <v>989</v>
      </c>
      <c r="B584" s="40" t="s">
        <v>953</v>
      </c>
      <c r="C584" s="55" t="s">
        <v>15</v>
      </c>
      <c r="D584" s="22" t="e">
        <f aca="false">сводн.данные!n589</f>
        <v>#NAME?</v>
      </c>
      <c r="E584" s="23" t="n">
        <v>3389.20153617723</v>
      </c>
      <c r="F584" s="24" t="n">
        <v>1020</v>
      </c>
      <c r="G584" s="35" t="e">
        <f aca="false">D584-E584</f>
        <v>#NAME?</v>
      </c>
    </row>
    <row r="585" customFormat="false" ht="15" hidden="false" customHeight="false" outlineLevel="0" collapsed="false">
      <c r="A585" s="28" t="s">
        <v>990</v>
      </c>
      <c r="B585" s="60" t="s">
        <v>991</v>
      </c>
      <c r="C585" s="55" t="s">
        <v>15</v>
      </c>
      <c r="D585" s="22" t="e">
        <f aca="false">сводн.данные!n590</f>
        <v>#NAME?</v>
      </c>
      <c r="E585" s="64" t="n">
        <v>4203.62653762046</v>
      </c>
      <c r="F585" s="24"/>
      <c r="G585" s="35" t="e">
        <f aca="false">D585-E585</f>
        <v>#NAME?</v>
      </c>
    </row>
    <row r="586" customFormat="false" ht="15" hidden="false" customHeight="false" outlineLevel="0" collapsed="false">
      <c r="A586" s="15" t="s">
        <v>992</v>
      </c>
      <c r="B586" s="16" t="s">
        <v>993</v>
      </c>
      <c r="C586" s="17"/>
      <c r="D586" s="32"/>
      <c r="E586" s="33"/>
      <c r="F586" s="34"/>
      <c r="G586" s="34"/>
    </row>
    <row r="587" customFormat="false" ht="33.75" hidden="false" customHeight="true" outlineLevel="0" collapsed="false">
      <c r="A587" s="28" t="s">
        <v>994</v>
      </c>
      <c r="B587" s="60" t="s">
        <v>917</v>
      </c>
      <c r="C587" s="55" t="s">
        <v>15</v>
      </c>
      <c r="D587" s="48" t="e">
        <f aca="false">сводн.данные!n592</f>
        <v>#NAME?</v>
      </c>
      <c r="E587" s="56" t="n">
        <v>919</v>
      </c>
      <c r="F587" s="57" t="n">
        <v>355</v>
      </c>
      <c r="G587" s="57" t="e">
        <f aca="false">D587-E587</f>
        <v>#NAME?</v>
      </c>
    </row>
    <row r="588" customFormat="false" ht="48" hidden="false" customHeight="true" outlineLevel="0" collapsed="false">
      <c r="A588" s="28" t="s">
        <v>995</v>
      </c>
      <c r="B588" s="60" t="s">
        <v>996</v>
      </c>
      <c r="C588" s="55" t="s">
        <v>15</v>
      </c>
      <c r="D588" s="48" t="e">
        <f aca="false">сводн.данные!n593</f>
        <v>#NAME?</v>
      </c>
      <c r="E588" s="56" t="n">
        <v>3024.64546004188</v>
      </c>
      <c r="F588" s="57" t="n">
        <v>0</v>
      </c>
      <c r="G588" s="57" t="e">
        <f aca="false">D588-E588</f>
        <v>#NAME?</v>
      </c>
    </row>
    <row r="589" customFormat="false" ht="15" hidden="false" customHeight="false" outlineLevel="0" collapsed="false">
      <c r="A589" s="28" t="s">
        <v>997</v>
      </c>
      <c r="B589" s="60" t="s">
        <v>974</v>
      </c>
      <c r="C589" s="55" t="s">
        <v>15</v>
      </c>
      <c r="D589" s="48" t="e">
        <f aca="false">сводн.данные!n594</f>
        <v>#NAME?</v>
      </c>
      <c r="E589" s="56" t="n">
        <v>4731.96789802688</v>
      </c>
      <c r="F589" s="57" t="n">
        <v>1020</v>
      </c>
      <c r="G589" s="57" t="e">
        <f aca="false">D589-E589</f>
        <v>#NAME?</v>
      </c>
    </row>
    <row r="590" customFormat="false" ht="15" hidden="false" customHeight="false" outlineLevel="0" collapsed="false">
      <c r="A590" s="28" t="s">
        <v>998</v>
      </c>
      <c r="B590" s="60" t="s">
        <v>31</v>
      </c>
      <c r="C590" s="55" t="s">
        <v>15</v>
      </c>
      <c r="D590" s="48" t="e">
        <f aca="false">сводн.данные!n595</f>
        <v>#NAME?</v>
      </c>
      <c r="E590" s="56" t="n">
        <v>2904.6528994701</v>
      </c>
      <c r="F590" s="57" t="n">
        <v>565</v>
      </c>
      <c r="G590" s="57" t="e">
        <f aca="false">D590-E590</f>
        <v>#NAME?</v>
      </c>
    </row>
    <row r="591" customFormat="false" ht="15" hidden="false" customHeight="false" outlineLevel="0" collapsed="false">
      <c r="A591" s="28" t="s">
        <v>999</v>
      </c>
      <c r="B591" s="60" t="s">
        <v>1000</v>
      </c>
      <c r="C591" s="55" t="s">
        <v>15</v>
      </c>
      <c r="D591" s="48" t="e">
        <f aca="false">сводн.данные!n596</f>
        <v>#NAME?</v>
      </c>
      <c r="E591" s="56" t="n">
        <v>5155.47789706473</v>
      </c>
      <c r="F591" s="57" t="n">
        <v>1535</v>
      </c>
      <c r="G591" s="57" t="e">
        <f aca="false">D591-E591</f>
        <v>#NAME?</v>
      </c>
    </row>
    <row r="592" customFormat="false" ht="30" hidden="false" customHeight="false" outlineLevel="0" collapsed="false">
      <c r="A592" s="28" t="s">
        <v>1001</v>
      </c>
      <c r="B592" s="49" t="s">
        <v>1002</v>
      </c>
      <c r="C592" s="55" t="s">
        <v>15</v>
      </c>
      <c r="D592" s="22" t="e">
        <f aca="false">сводн.данные!n597</f>
        <v>#NAME?</v>
      </c>
      <c r="E592" s="23" t="n">
        <v>4709.6360813651</v>
      </c>
      <c r="F592" s="24" t="n">
        <v>800</v>
      </c>
      <c r="G592" s="24" t="e">
        <f aca="false">D592-E592</f>
        <v>#NAME?</v>
      </c>
    </row>
    <row r="593" customFormat="false" ht="30" hidden="false" customHeight="false" outlineLevel="0" collapsed="false">
      <c r="A593" s="28" t="s">
        <v>1003</v>
      </c>
      <c r="B593" s="49" t="s">
        <v>1004</v>
      </c>
      <c r="C593" s="55" t="s">
        <v>15</v>
      </c>
      <c r="D593" s="22" t="e">
        <f aca="false">сводн.данные!n598</f>
        <v>#NAME?</v>
      </c>
      <c r="E593" s="23" t="n">
        <v>4187.3941131031</v>
      </c>
      <c r="F593" s="24" t="n">
        <v>1400</v>
      </c>
      <c r="G593" s="24" t="e">
        <f aca="false">D593-E593</f>
        <v>#NAME?</v>
      </c>
    </row>
    <row r="594" customFormat="false" ht="30" hidden="false" customHeight="false" outlineLevel="0" collapsed="false">
      <c r="A594" s="28" t="s">
        <v>1005</v>
      </c>
      <c r="B594" s="49" t="s">
        <v>1006</v>
      </c>
      <c r="C594" s="55" t="s">
        <v>15</v>
      </c>
      <c r="D594" s="22" t="e">
        <f aca="false">сводн.данные!n599</f>
        <v>#NAME?</v>
      </c>
      <c r="E594" s="23" t="n">
        <v>4809.76561959639</v>
      </c>
      <c r="F594" s="24" t="n">
        <v>1360</v>
      </c>
      <c r="G594" s="24" t="e">
        <f aca="false">D594-E594</f>
        <v>#NAME?</v>
      </c>
    </row>
    <row r="595" customFormat="false" ht="30" hidden="false" customHeight="false" outlineLevel="0" collapsed="false">
      <c r="A595" s="28" t="s">
        <v>1007</v>
      </c>
      <c r="B595" s="49" t="s">
        <v>1008</v>
      </c>
      <c r="C595" s="55" t="s">
        <v>15</v>
      </c>
      <c r="D595" s="22" t="e">
        <f aca="false">сводн.данные!n600</f>
        <v>#NAME?</v>
      </c>
      <c r="E595" s="23" t="n">
        <v>4947.11161670995</v>
      </c>
      <c r="F595" s="24" t="n">
        <v>800</v>
      </c>
      <c r="G595" s="24" t="e">
        <f aca="false">D595-E595</f>
        <v>#NAME?</v>
      </c>
    </row>
    <row r="596" customFormat="false" ht="30" hidden="false" customHeight="false" outlineLevel="0" collapsed="false">
      <c r="A596" s="28" t="s">
        <v>1009</v>
      </c>
      <c r="B596" s="49" t="s">
        <v>1010</v>
      </c>
      <c r="C596" s="55" t="s">
        <v>15</v>
      </c>
      <c r="D596" s="22" t="e">
        <f aca="false">сводн.данные!n601</f>
        <v>#NAME?</v>
      </c>
      <c r="E596" s="23" t="n">
        <v>4117.93562055854</v>
      </c>
      <c r="F596" s="24" t="n">
        <v>610</v>
      </c>
      <c r="G596" s="24" t="e">
        <f aca="false">D596-E596</f>
        <v>#NAME?</v>
      </c>
    </row>
    <row r="597" customFormat="false" ht="30" hidden="false" customHeight="true" outlineLevel="0" collapsed="false">
      <c r="A597" s="28" t="s">
        <v>1011</v>
      </c>
      <c r="B597" s="49" t="s">
        <v>1012</v>
      </c>
      <c r="C597" s="55" t="s">
        <v>15</v>
      </c>
      <c r="D597" s="22" t="e">
        <f aca="false">сводн.данные!n602</f>
        <v>#NAME?</v>
      </c>
      <c r="E597" s="23" t="n">
        <v>4182.44404328939</v>
      </c>
      <c r="F597" s="24" t="n">
        <v>800</v>
      </c>
      <c r="G597" s="24" t="e">
        <f aca="false">D597-E597</f>
        <v>#NAME?</v>
      </c>
    </row>
    <row r="598" customFormat="false" ht="18.75" hidden="false" customHeight="true" outlineLevel="0" collapsed="false">
      <c r="A598" s="28" t="s">
        <v>1013</v>
      </c>
      <c r="B598" s="49" t="s">
        <v>1014</v>
      </c>
      <c r="C598" s="55" t="s">
        <v>15</v>
      </c>
      <c r="D598" s="22" t="e">
        <f aca="false">сводн.данные!n603</f>
        <v>#NAME?</v>
      </c>
      <c r="E598" s="23" t="n">
        <v>4919.46789802688</v>
      </c>
      <c r="F598" s="24" t="n">
        <v>2050</v>
      </c>
      <c r="G598" s="24" t="e">
        <f aca="false">D598-E598</f>
        <v>#NAME?</v>
      </c>
    </row>
    <row r="599" customFormat="false" ht="15" hidden="false" customHeight="false" outlineLevel="0" collapsed="false">
      <c r="A599" s="28" t="s">
        <v>1015</v>
      </c>
      <c r="B599" s="49" t="s">
        <v>1016</v>
      </c>
      <c r="C599" s="55" t="s">
        <v>15</v>
      </c>
      <c r="D599" s="22" t="e">
        <f aca="false">сводн.данные!n604</f>
        <v>#NAME?</v>
      </c>
      <c r="E599" s="23" t="n">
        <v>4798.20789802688</v>
      </c>
      <c r="F599" s="24" t="n">
        <v>0</v>
      </c>
      <c r="G599" s="24" t="e">
        <f aca="false">D599-E599</f>
        <v>#NAME?</v>
      </c>
    </row>
    <row r="600" customFormat="false" ht="19.5" hidden="false" customHeight="true" outlineLevel="0" collapsed="false">
      <c r="A600" s="28" t="s">
        <v>1017</v>
      </c>
      <c r="B600" s="49" t="s">
        <v>1018</v>
      </c>
      <c r="C600" s="55" t="s">
        <v>15</v>
      </c>
      <c r="D600" s="22" t="e">
        <f aca="false">сводн.данные!n605</f>
        <v>#NAME?</v>
      </c>
      <c r="E600" s="23" t="n">
        <v>4583.33827225922</v>
      </c>
      <c r="F600" s="24" t="n">
        <v>0</v>
      </c>
      <c r="G600" s="24" t="e">
        <f aca="false">D600-E600</f>
        <v>#NAME?</v>
      </c>
    </row>
    <row r="601" customFormat="false" ht="43.5" hidden="false" customHeight="true" outlineLevel="0" collapsed="false">
      <c r="A601" s="28" t="s">
        <v>1019</v>
      </c>
      <c r="B601" s="49" t="s">
        <v>1020</v>
      </c>
      <c r="C601" s="55" t="s">
        <v>15</v>
      </c>
      <c r="D601" s="22" t="e">
        <f aca="false">сводн.данные!n606</f>
        <v>#NAME?</v>
      </c>
      <c r="E601" s="23" t="n">
        <v>5023.8528994701</v>
      </c>
      <c r="F601" s="24" t="n">
        <v>1020</v>
      </c>
      <c r="G601" s="24" t="e">
        <f aca="false">D601-E601</f>
        <v>#NAME?</v>
      </c>
    </row>
    <row r="602" customFormat="false" ht="30" hidden="false" customHeight="false" outlineLevel="0" collapsed="false">
      <c r="A602" s="28" t="s">
        <v>1021</v>
      </c>
      <c r="B602" s="49" t="s">
        <v>1022</v>
      </c>
      <c r="C602" s="55" t="s">
        <v>15</v>
      </c>
      <c r="D602" s="22" t="e">
        <f aca="false">сводн.данные!n607</f>
        <v>#NAME?</v>
      </c>
      <c r="E602" s="23" t="n">
        <v>5357.64789995117</v>
      </c>
      <c r="F602" s="24" t="n">
        <v>1295</v>
      </c>
      <c r="G602" s="24" t="e">
        <f aca="false">D602-E602</f>
        <v>#NAME?</v>
      </c>
    </row>
    <row r="603" customFormat="false" ht="17.25" hidden="false" customHeight="true" outlineLevel="0" collapsed="false">
      <c r="A603" s="28" t="s">
        <v>1023</v>
      </c>
      <c r="B603" s="49" t="s">
        <v>1024</v>
      </c>
      <c r="C603" s="55" t="s">
        <v>15</v>
      </c>
      <c r="D603" s="22" t="e">
        <f aca="false">сводн.данные!n608</f>
        <v>#NAME?</v>
      </c>
      <c r="E603" s="23" t="n">
        <v>4149.21789898903</v>
      </c>
      <c r="F603" s="24" t="n">
        <v>0</v>
      </c>
      <c r="G603" s="24" t="e">
        <f aca="false">D603-E603</f>
        <v>#NAME?</v>
      </c>
    </row>
    <row r="604" customFormat="false" ht="30" hidden="false" customHeight="false" outlineLevel="0" collapsed="false">
      <c r="A604" s="28" t="s">
        <v>1025</v>
      </c>
      <c r="B604" s="49" t="s">
        <v>1026</v>
      </c>
      <c r="C604" s="55" t="s">
        <v>15</v>
      </c>
      <c r="D604" s="22" t="e">
        <f aca="false">сводн.данные!n609</f>
        <v>#NAME?</v>
      </c>
      <c r="E604" s="23" t="n">
        <v>4444.53910187547</v>
      </c>
      <c r="F604" s="24" t="n">
        <v>800</v>
      </c>
      <c r="G604" s="24" t="e">
        <f aca="false">D604-E604</f>
        <v>#NAME?</v>
      </c>
    </row>
    <row r="605" customFormat="false" ht="93" hidden="false" customHeight="true" outlineLevel="0" collapsed="false">
      <c r="A605" s="15" t="s">
        <v>1027</v>
      </c>
      <c r="B605" s="54" t="s">
        <v>1028</v>
      </c>
      <c r="C605" s="17"/>
      <c r="D605" s="32"/>
      <c r="E605" s="33"/>
      <c r="F605" s="34"/>
      <c r="G605" s="34"/>
    </row>
    <row r="606" s="65" customFormat="true" ht="15" hidden="false" customHeight="false" outlineLevel="0" collapsed="false">
      <c r="A606" s="28" t="s">
        <v>1029</v>
      </c>
      <c r="B606" s="40" t="s">
        <v>1030</v>
      </c>
      <c r="C606" s="55" t="s">
        <v>15</v>
      </c>
      <c r="D606" s="48" t="e">
        <f aca="false">сводн.данные!n611</f>
        <v>#NAME?</v>
      </c>
      <c r="E606" s="56" t="n">
        <v>3384.74223425391</v>
      </c>
      <c r="F606" s="57" t="n">
        <v>3045</v>
      </c>
      <c r="G606" s="58" t="e">
        <f aca="false">D606-E606</f>
        <v>#NAME?</v>
      </c>
    </row>
    <row r="607" s="65" customFormat="true" ht="15" hidden="false" customHeight="false" outlineLevel="0" collapsed="false">
      <c r="A607" s="28" t="s">
        <v>1031</v>
      </c>
      <c r="B607" s="40" t="s">
        <v>1032</v>
      </c>
      <c r="C607" s="55" t="s">
        <v>15</v>
      </c>
      <c r="D607" s="48" t="e">
        <f aca="false">сводн.данные!n612</f>
        <v>#NAME?</v>
      </c>
      <c r="E607" s="56" t="n">
        <v>19085.1823329248</v>
      </c>
      <c r="F607" s="57" t="n">
        <v>0</v>
      </c>
      <c r="G607" s="58" t="e">
        <f aca="false">D607-E607</f>
        <v>#NAME?</v>
      </c>
    </row>
    <row r="608" s="65" customFormat="true" ht="15.75" hidden="false" customHeight="true" outlineLevel="0" collapsed="false">
      <c r="A608" s="28" t="s">
        <v>1033</v>
      </c>
      <c r="B608" s="40" t="s">
        <v>1034</v>
      </c>
      <c r="C608" s="55" t="s">
        <v>15</v>
      </c>
      <c r="D608" s="48" t="e">
        <f aca="false">сводн.данные!n613</f>
        <v>#NAME?</v>
      </c>
      <c r="E608" s="56" t="n">
        <v>5713.24946570276</v>
      </c>
      <c r="F608" s="57" t="n">
        <v>3605</v>
      </c>
      <c r="G608" s="58" t="e">
        <f aca="false">D608-E608</f>
        <v>#NAME?</v>
      </c>
    </row>
    <row r="609" s="65" customFormat="true" ht="15" hidden="false" customHeight="false" outlineLevel="0" collapsed="false">
      <c r="A609" s="28" t="s">
        <v>1035</v>
      </c>
      <c r="B609" s="40" t="s">
        <v>1036</v>
      </c>
      <c r="C609" s="55" t="s">
        <v>15</v>
      </c>
      <c r="D609" s="48" t="e">
        <f aca="false">сводн.данные!n614</f>
        <v>#NAME?</v>
      </c>
      <c r="E609" s="56" t="n">
        <v>7015.70053887593</v>
      </c>
      <c r="F609" s="57" t="n">
        <v>5385</v>
      </c>
      <c r="G609" s="58" t="e">
        <f aca="false">D609-E609</f>
        <v>#NAME?</v>
      </c>
    </row>
    <row r="610" s="65" customFormat="true" ht="30" hidden="false" customHeight="false" outlineLevel="0" collapsed="false">
      <c r="A610" s="28" t="s">
        <v>1037</v>
      </c>
      <c r="B610" s="60" t="s">
        <v>1038</v>
      </c>
      <c r="C610" s="55" t="s">
        <v>15</v>
      </c>
      <c r="D610" s="48" t="e">
        <f aca="false">сводн.данные!n615</f>
        <v>#NAME?</v>
      </c>
      <c r="E610" s="56"/>
      <c r="F610" s="57"/>
      <c r="G610" s="58" t="e">
        <f aca="false">D610-E610</f>
        <v>#NAME?</v>
      </c>
    </row>
    <row r="611" s="65" customFormat="true" ht="15" hidden="false" customHeight="false" outlineLevel="0" collapsed="false">
      <c r="A611" s="28" t="s">
        <v>1039</v>
      </c>
      <c r="B611" s="40" t="s">
        <v>1040</v>
      </c>
      <c r="C611" s="55" t="s">
        <v>15</v>
      </c>
      <c r="D611" s="48" t="e">
        <f aca="false">сводн.данные!n616</f>
        <v>#NAME?</v>
      </c>
      <c r="E611" s="56" t="n">
        <v>5966.04823720321</v>
      </c>
      <c r="F611" s="57" t="n">
        <v>3315</v>
      </c>
      <c r="G611" s="58" t="e">
        <f aca="false">D611-E611</f>
        <v>#NAME?</v>
      </c>
    </row>
    <row r="612" s="65" customFormat="true" ht="30" hidden="false" customHeight="false" outlineLevel="0" collapsed="false">
      <c r="A612" s="28" t="s">
        <v>1041</v>
      </c>
      <c r="B612" s="60" t="s">
        <v>1042</v>
      </c>
      <c r="C612" s="55" t="s">
        <v>15</v>
      </c>
      <c r="D612" s="48" t="e">
        <f aca="false">сводн.данные!n617</f>
        <v>#NAME?</v>
      </c>
      <c r="E612" s="56" t="n">
        <v>5901.1028517737</v>
      </c>
      <c r="F612" s="57" t="n">
        <v>3315</v>
      </c>
      <c r="G612" s="58" t="e">
        <f aca="false">D612-E612</f>
        <v>#NAME?</v>
      </c>
    </row>
    <row r="613" s="65" customFormat="true" ht="45" hidden="false" customHeight="false" outlineLevel="0" collapsed="false">
      <c r="A613" s="28" t="s">
        <v>1043</v>
      </c>
      <c r="B613" s="60" t="s">
        <v>1044</v>
      </c>
      <c r="C613" s="55" t="s">
        <v>15</v>
      </c>
      <c r="D613" s="48" t="e">
        <f aca="false">сводн.данные!n618</f>
        <v>#NAME?</v>
      </c>
      <c r="E613" s="56"/>
      <c r="F613" s="57"/>
      <c r="G613" s="58" t="e">
        <f aca="false">D613-E613</f>
        <v>#NAME?</v>
      </c>
    </row>
    <row r="614" s="65" customFormat="true" ht="30" hidden="false" customHeight="false" outlineLevel="0" collapsed="false">
      <c r="A614" s="28" t="s">
        <v>1045</v>
      </c>
      <c r="B614" s="60" t="s">
        <v>1046</v>
      </c>
      <c r="C614" s="55" t="s">
        <v>15</v>
      </c>
      <c r="D614" s="48" t="e">
        <f aca="false">сводн.данные!n619</f>
        <v>#NAME?</v>
      </c>
      <c r="E614" s="56" t="n">
        <v>7436.51530870866</v>
      </c>
      <c r="F614" s="57" t="n">
        <v>0</v>
      </c>
      <c r="G614" s="58" t="e">
        <f aca="false">D614-E614</f>
        <v>#NAME?</v>
      </c>
    </row>
    <row r="615" customFormat="false" ht="42.75" hidden="false" customHeight="true" outlineLevel="0" collapsed="false">
      <c r="A615" s="15" t="s">
        <v>1047</v>
      </c>
      <c r="B615" s="54" t="s">
        <v>1048</v>
      </c>
      <c r="C615" s="17"/>
      <c r="D615" s="32"/>
      <c r="E615" s="33"/>
      <c r="F615" s="34"/>
      <c r="G615" s="39"/>
    </row>
    <row r="616" s="65" customFormat="true" ht="15" hidden="false" customHeight="false" outlineLevel="0" collapsed="false">
      <c r="A616" s="28" t="s">
        <v>1049</v>
      </c>
      <c r="B616" s="40" t="s">
        <v>1030</v>
      </c>
      <c r="C616" s="55" t="s">
        <v>15</v>
      </c>
      <c r="D616" s="48" t="e">
        <f aca="false">сводн.данные!n621</f>
        <v>#NAME?</v>
      </c>
      <c r="E616" s="56" t="n">
        <v>4114.23577340622</v>
      </c>
      <c r="F616" s="57" t="n">
        <v>2925</v>
      </c>
      <c r="G616" s="58" t="e">
        <f aca="false">D616-E616</f>
        <v>#NAME?</v>
      </c>
    </row>
    <row r="617" s="65" customFormat="true" ht="30" hidden="false" customHeight="false" outlineLevel="0" collapsed="false">
      <c r="A617" s="28" t="s">
        <v>1050</v>
      </c>
      <c r="B617" s="40" t="s">
        <v>1051</v>
      </c>
      <c r="C617" s="55" t="s">
        <v>15</v>
      </c>
      <c r="D617" s="48" t="e">
        <f aca="false">сводн.данные!n622</f>
        <v>#NAME?</v>
      </c>
      <c r="E617" s="56" t="n">
        <v>6919.75899972362</v>
      </c>
      <c r="F617" s="57" t="n">
        <v>2995</v>
      </c>
      <c r="G617" s="58" t="e">
        <f aca="false">D617-E617</f>
        <v>#NAME?</v>
      </c>
    </row>
    <row r="618" s="65" customFormat="true" ht="17.25" hidden="false" customHeight="true" outlineLevel="0" collapsed="false">
      <c r="A618" s="28" t="s">
        <v>1052</v>
      </c>
      <c r="B618" s="40" t="s">
        <v>1053</v>
      </c>
      <c r="C618" s="55" t="s">
        <v>15</v>
      </c>
      <c r="D618" s="48" t="e">
        <f aca="false">сводн.данные!n623</f>
        <v>#NAME?</v>
      </c>
      <c r="E618" s="56" t="n">
        <v>7431.84438258741</v>
      </c>
      <c r="F618" s="57" t="n">
        <v>0</v>
      </c>
      <c r="G618" s="58" t="e">
        <f aca="false">D618-E618</f>
        <v>#NAME?</v>
      </c>
    </row>
    <row r="619" customFormat="false" ht="42.75" hidden="false" customHeight="false" outlineLevel="0" collapsed="false">
      <c r="A619" s="15" t="s">
        <v>1054</v>
      </c>
      <c r="B619" s="16" t="s">
        <v>1055</v>
      </c>
      <c r="C619" s="17"/>
      <c r="D619" s="32"/>
      <c r="E619" s="33"/>
      <c r="F619" s="34"/>
      <c r="G619" s="39"/>
    </row>
    <row r="620" s="65" customFormat="true" ht="15" hidden="false" customHeight="false" outlineLevel="0" collapsed="false">
      <c r="A620" s="28" t="s">
        <v>1056</v>
      </c>
      <c r="B620" s="40" t="s">
        <v>1030</v>
      </c>
      <c r="C620" s="55" t="s">
        <v>15</v>
      </c>
      <c r="D620" s="48" t="e">
        <f aca="false">сводн.данные!n625</f>
        <v>#NAME?</v>
      </c>
      <c r="E620" s="56" t="n">
        <v>3593.48377340622</v>
      </c>
      <c r="F620" s="57" t="n">
        <v>3735</v>
      </c>
      <c r="G620" s="58" t="e">
        <f aca="false">D620-E620</f>
        <v>#NAME?</v>
      </c>
    </row>
    <row r="621" s="65" customFormat="true" ht="15" hidden="false" customHeight="false" outlineLevel="0" collapsed="false">
      <c r="A621" s="28" t="s">
        <v>1057</v>
      </c>
      <c r="B621" s="40" t="s">
        <v>1034</v>
      </c>
      <c r="C621" s="55" t="s">
        <v>15</v>
      </c>
      <c r="D621" s="48" t="e">
        <f aca="false">сводн.данные!n626</f>
        <v>#NAME?</v>
      </c>
      <c r="E621" s="56" t="n">
        <v>7941.74484311438</v>
      </c>
      <c r="F621" s="57" t="n">
        <v>0</v>
      </c>
      <c r="G621" s="58" t="e">
        <f aca="false">D621-E621</f>
        <v>#NAME?</v>
      </c>
    </row>
    <row r="622" s="65" customFormat="true" ht="30" hidden="false" customHeight="false" outlineLevel="0" collapsed="false">
      <c r="A622" s="28" t="s">
        <v>1058</v>
      </c>
      <c r="B622" s="40" t="s">
        <v>1059</v>
      </c>
      <c r="C622" s="55" t="s">
        <v>15</v>
      </c>
      <c r="D622" s="48" t="e">
        <f aca="false">сводн.данные!n627</f>
        <v>#NAME?</v>
      </c>
      <c r="E622" s="56" t="n">
        <v>23235.023448642</v>
      </c>
      <c r="F622" s="57" t="n">
        <v>0</v>
      </c>
      <c r="G622" s="58" t="e">
        <f aca="false">D622-E622</f>
        <v>#NAME?</v>
      </c>
    </row>
    <row r="623" customFormat="false" ht="15" hidden="false" customHeight="false" outlineLevel="0" collapsed="false">
      <c r="A623" s="15" t="s">
        <v>1060</v>
      </c>
      <c r="B623" s="16" t="s">
        <v>1061</v>
      </c>
      <c r="C623" s="17"/>
      <c r="D623" s="32"/>
      <c r="E623" s="33"/>
      <c r="F623" s="34"/>
      <c r="G623" s="39"/>
    </row>
    <row r="624" s="65" customFormat="true" ht="30" hidden="false" customHeight="false" outlineLevel="0" collapsed="false">
      <c r="A624" s="28" t="s">
        <v>1062</v>
      </c>
      <c r="B624" s="40" t="s">
        <v>1063</v>
      </c>
      <c r="C624" s="55" t="s">
        <v>15</v>
      </c>
      <c r="D624" s="48" t="e">
        <f aca="false">сводн.данные!n629</f>
        <v>#NAME?</v>
      </c>
      <c r="E624" s="56" t="n">
        <v>3706.66838829743</v>
      </c>
      <c r="F624" s="57" t="n">
        <v>4925</v>
      </c>
      <c r="G624" s="58" t="e">
        <f aca="false">D624-E624</f>
        <v>#NAME?</v>
      </c>
    </row>
    <row r="625" s="65" customFormat="true" ht="30" hidden="false" customHeight="false" outlineLevel="0" collapsed="false">
      <c r="A625" s="28" t="s">
        <v>1064</v>
      </c>
      <c r="B625" s="40" t="s">
        <v>1065</v>
      </c>
      <c r="C625" s="55" t="s">
        <v>15</v>
      </c>
      <c r="D625" s="48" t="e">
        <f aca="false">сводн.данные!n630</f>
        <v>#NAME?</v>
      </c>
      <c r="E625" s="56" t="n">
        <v>20457.675585109</v>
      </c>
      <c r="F625" s="57" t="n">
        <v>0</v>
      </c>
      <c r="G625" s="58" t="e">
        <f aca="false">D625-E625</f>
        <v>#NAME?</v>
      </c>
    </row>
    <row r="626" customFormat="false" ht="42.75" hidden="false" customHeight="false" outlineLevel="0" collapsed="false">
      <c r="A626" s="15" t="s">
        <v>1066</v>
      </c>
      <c r="B626" s="16" t="s">
        <v>1067</v>
      </c>
      <c r="C626" s="17"/>
      <c r="D626" s="32"/>
      <c r="E626" s="33"/>
      <c r="F626" s="34"/>
      <c r="G626" s="39"/>
    </row>
    <row r="627" s="65" customFormat="true" ht="15" hidden="false" customHeight="false" outlineLevel="0" collapsed="false">
      <c r="A627" s="28" t="s">
        <v>1068</v>
      </c>
      <c r="B627" s="40" t="s">
        <v>1030</v>
      </c>
      <c r="C627" s="55" t="s">
        <v>15</v>
      </c>
      <c r="D627" s="48" t="e">
        <f aca="false">сводн.данные!n632</f>
        <v>#NAME?</v>
      </c>
      <c r="E627" s="56" t="n">
        <v>3639</v>
      </c>
      <c r="F627" s="57" t="n">
        <v>3735</v>
      </c>
      <c r="G627" s="58" t="e">
        <f aca="false">D627-E627</f>
        <v>#NAME?</v>
      </c>
    </row>
    <row r="628" s="65" customFormat="true" ht="15" hidden="false" customHeight="false" outlineLevel="0" collapsed="false">
      <c r="A628" s="28" t="s">
        <v>1069</v>
      </c>
      <c r="B628" s="40" t="s">
        <v>1032</v>
      </c>
      <c r="C628" s="55" t="s">
        <v>15</v>
      </c>
      <c r="D628" s="48" t="e">
        <f aca="false">сводн.данные!n633</f>
        <v>#NAME?</v>
      </c>
      <c r="E628" s="56" t="n">
        <v>21490.912080145</v>
      </c>
      <c r="F628" s="57" t="n">
        <v>1775</v>
      </c>
      <c r="G628" s="58" t="e">
        <f aca="false">D628-E628</f>
        <v>#NAME?</v>
      </c>
    </row>
    <row r="629" s="65" customFormat="true" ht="15" hidden="false" customHeight="false" outlineLevel="0" collapsed="false">
      <c r="A629" s="28" t="s">
        <v>1070</v>
      </c>
      <c r="B629" s="40" t="s">
        <v>1036</v>
      </c>
      <c r="C629" s="55" t="s">
        <v>15</v>
      </c>
      <c r="D629" s="48" t="e">
        <f aca="false">сводн.данные!n634</f>
        <v>#NAME?</v>
      </c>
      <c r="E629" s="56" t="n">
        <v>6384.36053951736</v>
      </c>
      <c r="F629" s="57" t="n">
        <v>5115</v>
      </c>
      <c r="G629" s="58" t="e">
        <f aca="false">D629-E629</f>
        <v>#NAME?</v>
      </c>
    </row>
    <row r="630" customFormat="false" ht="15" hidden="false" customHeight="false" outlineLevel="0" collapsed="false">
      <c r="A630" s="15" t="s">
        <v>1071</v>
      </c>
      <c r="B630" s="16" t="s">
        <v>1072</v>
      </c>
      <c r="C630" s="17"/>
      <c r="D630" s="32"/>
      <c r="E630" s="33"/>
      <c r="F630" s="34"/>
      <c r="G630" s="39"/>
    </row>
    <row r="631" s="65" customFormat="true" ht="15" hidden="false" customHeight="false" outlineLevel="0" collapsed="false">
      <c r="A631" s="28" t="s">
        <v>1073</v>
      </c>
      <c r="B631" s="60" t="s">
        <v>1030</v>
      </c>
      <c r="C631" s="55" t="s">
        <v>15</v>
      </c>
      <c r="D631" s="48" t="e">
        <f aca="false">сводн.данные!n636</f>
        <v>#NAME?</v>
      </c>
      <c r="E631" s="56" t="n">
        <v>3896.9006951016</v>
      </c>
      <c r="F631" s="57" t="n">
        <v>2490</v>
      </c>
      <c r="G631" s="58" t="e">
        <f aca="false">D631-E631</f>
        <v>#NAME?</v>
      </c>
    </row>
    <row r="632" s="65" customFormat="true" ht="15" hidden="false" customHeight="false" outlineLevel="0" collapsed="false">
      <c r="A632" s="28" t="s">
        <v>1074</v>
      </c>
      <c r="B632" s="60" t="s">
        <v>1075</v>
      </c>
      <c r="C632" s="55" t="s">
        <v>15</v>
      </c>
      <c r="D632" s="48" t="e">
        <f aca="false">сводн.данные!n637</f>
        <v>#NAME?</v>
      </c>
      <c r="E632" s="56" t="n">
        <v>5347.52761262768</v>
      </c>
      <c r="F632" s="57" t="n">
        <v>1495</v>
      </c>
      <c r="G632" s="58" t="e">
        <f aca="false">D632-E632</f>
        <v>#NAME?</v>
      </c>
    </row>
    <row r="633" s="65" customFormat="true" ht="15" hidden="false" customHeight="false" outlineLevel="0" collapsed="false">
      <c r="A633" s="28" t="s">
        <v>1076</v>
      </c>
      <c r="B633" s="60" t="s">
        <v>1036</v>
      </c>
      <c r="C633" s="55" t="s">
        <v>15</v>
      </c>
      <c r="D633" s="48" t="e">
        <f aca="false">сводн.данные!n638</f>
        <v>#NAME?</v>
      </c>
      <c r="E633" s="56" t="n">
        <v>6096.1013087728</v>
      </c>
      <c r="F633" s="57" t="n">
        <v>13015</v>
      </c>
      <c r="G633" s="58" t="e">
        <f aca="false">D633-E633</f>
        <v>#NAME?</v>
      </c>
    </row>
    <row r="634" s="65" customFormat="true" ht="36" hidden="false" customHeight="true" outlineLevel="0" collapsed="false">
      <c r="A634" s="28" t="s">
        <v>1077</v>
      </c>
      <c r="B634" s="60" t="s">
        <v>1078</v>
      </c>
      <c r="C634" s="55" t="s">
        <v>15</v>
      </c>
      <c r="D634" s="48" t="e">
        <f aca="false">сводн.данные!n639</f>
        <v>#NAME?</v>
      </c>
      <c r="E634" s="56" t="n">
        <v>6399.85607187179</v>
      </c>
      <c r="F634" s="57" t="n">
        <v>0</v>
      </c>
      <c r="G634" s="58" t="e">
        <f aca="false">D634-E634</f>
        <v>#NAME?</v>
      </c>
    </row>
    <row r="635" s="65" customFormat="true" ht="45" hidden="false" customHeight="false" outlineLevel="0" collapsed="false">
      <c r="A635" s="28" t="s">
        <v>1079</v>
      </c>
      <c r="B635" s="60" t="s">
        <v>1044</v>
      </c>
      <c r="C635" s="55" t="s">
        <v>15</v>
      </c>
      <c r="D635" s="48" t="e">
        <f aca="false">сводн.данные!n640</f>
        <v>#NAME?</v>
      </c>
      <c r="E635" s="56" t="n">
        <v>6380.54438579456</v>
      </c>
      <c r="F635" s="57" t="n">
        <v>4380</v>
      </c>
      <c r="G635" s="58" t="e">
        <f aca="false">D635-E635</f>
        <v>#NAME?</v>
      </c>
    </row>
    <row r="636" s="65" customFormat="true" ht="15" hidden="false" customHeight="false" outlineLevel="0" collapsed="false">
      <c r="A636" s="28" t="s">
        <v>1080</v>
      </c>
      <c r="B636" s="60" t="s">
        <v>1040</v>
      </c>
      <c r="C636" s="55" t="s">
        <v>15</v>
      </c>
      <c r="D636" s="48" t="e">
        <f aca="false">сводн.данные!n641</f>
        <v>#NAME?</v>
      </c>
      <c r="E636" s="56" t="n">
        <v>6343.22069317731</v>
      </c>
      <c r="F636" s="57" t="n">
        <v>0</v>
      </c>
      <c r="G636" s="58" t="e">
        <f aca="false">D636-E636</f>
        <v>#NAME?</v>
      </c>
    </row>
    <row r="637" s="65" customFormat="true" ht="15" hidden="false" customHeight="false" outlineLevel="0" collapsed="false">
      <c r="A637" s="28" t="s">
        <v>1081</v>
      </c>
      <c r="B637" s="60" t="s">
        <v>1034</v>
      </c>
      <c r="C637" s="55" t="s">
        <v>15</v>
      </c>
      <c r="D637" s="48" t="e">
        <f aca="false">сводн.данные!n642</f>
        <v>#NAME?</v>
      </c>
      <c r="E637" s="56" t="n">
        <v>7667.09438098383</v>
      </c>
      <c r="F637" s="57" t="n">
        <v>0</v>
      </c>
      <c r="G637" s="58" t="e">
        <f aca="false">D637-E637</f>
        <v>#NAME?</v>
      </c>
    </row>
    <row r="638" s="65" customFormat="true" ht="15" hidden="false" customHeight="false" outlineLevel="0" collapsed="false">
      <c r="A638" s="28" t="s">
        <v>1082</v>
      </c>
      <c r="B638" s="60" t="s">
        <v>1083</v>
      </c>
      <c r="C638" s="55" t="s">
        <v>15</v>
      </c>
      <c r="D638" s="48" t="e">
        <f aca="false">сводн.данные!n643</f>
        <v>#NAME?</v>
      </c>
      <c r="E638" s="56" t="n">
        <v>8621.85285017012</v>
      </c>
      <c r="F638" s="57" t="n">
        <v>2705</v>
      </c>
      <c r="G638" s="58" t="e">
        <f aca="false">D638-E638</f>
        <v>#NAME?</v>
      </c>
    </row>
    <row r="639" s="65" customFormat="true" ht="30" hidden="false" customHeight="false" outlineLevel="0" collapsed="false">
      <c r="A639" s="28" t="s">
        <v>1084</v>
      </c>
      <c r="B639" s="60" t="s">
        <v>1038</v>
      </c>
      <c r="C639" s="55" t="s">
        <v>15</v>
      </c>
      <c r="D639" s="48" t="e">
        <f aca="false">сводн.данные!n644</f>
        <v>#NAME?</v>
      </c>
      <c r="E639" s="56" t="n">
        <v>7125.38516018145</v>
      </c>
      <c r="F639" s="57" t="n">
        <v>0</v>
      </c>
      <c r="G639" s="58" t="e">
        <f aca="false">D639-E639</f>
        <v>#NAME?</v>
      </c>
    </row>
    <row r="640" s="65" customFormat="true" ht="30" hidden="false" customHeight="false" outlineLevel="0" collapsed="false">
      <c r="A640" s="28" t="s">
        <v>1085</v>
      </c>
      <c r="B640" s="60" t="s">
        <v>1086</v>
      </c>
      <c r="C640" s="55" t="s">
        <v>15</v>
      </c>
      <c r="D640" s="48" t="e">
        <f aca="false">сводн.данные!n645</f>
        <v>#NAME?</v>
      </c>
      <c r="E640" s="56" t="n">
        <v>7743.96823527891</v>
      </c>
      <c r="F640" s="57" t="n">
        <v>0</v>
      </c>
      <c r="G640" s="58" t="e">
        <f aca="false">D640-E640</f>
        <v>#NAME?</v>
      </c>
    </row>
    <row r="641" s="65" customFormat="true" ht="15" hidden="false" customHeight="false" outlineLevel="0" collapsed="false">
      <c r="A641" s="28" t="s">
        <v>1087</v>
      </c>
      <c r="B641" s="60" t="s">
        <v>1032</v>
      </c>
      <c r="C641" s="55" t="s">
        <v>15</v>
      </c>
      <c r="D641" s="48" t="e">
        <f aca="false">сводн.данные!n646</f>
        <v>#NAME?</v>
      </c>
      <c r="E641" s="56" t="n">
        <v>21328.4925035972</v>
      </c>
      <c r="F641" s="57" t="n">
        <v>0</v>
      </c>
      <c r="G641" s="58" t="e">
        <f aca="false">D641-E641</f>
        <v>#NAME?</v>
      </c>
    </row>
    <row r="642" customFormat="false" ht="15" hidden="false" customHeight="false" outlineLevel="0" collapsed="false">
      <c r="A642" s="15" t="s">
        <v>1088</v>
      </c>
      <c r="B642" s="16" t="s">
        <v>1089</v>
      </c>
      <c r="C642" s="17"/>
      <c r="D642" s="32"/>
      <c r="E642" s="33"/>
      <c r="F642" s="34"/>
      <c r="G642" s="39"/>
    </row>
    <row r="643" s="65" customFormat="true" ht="15" hidden="false" customHeight="false" outlineLevel="0" collapsed="false">
      <c r="A643" s="28" t="s">
        <v>1090</v>
      </c>
      <c r="B643" s="40" t="s">
        <v>1030</v>
      </c>
      <c r="C643" s="55" t="s">
        <v>15</v>
      </c>
      <c r="D643" s="48" t="e">
        <f aca="false">сводн.данные!n648</f>
        <v>#NAME?</v>
      </c>
      <c r="E643" s="56" t="n">
        <v>4088.22069959162</v>
      </c>
      <c r="F643" s="57" t="n">
        <v>2035</v>
      </c>
      <c r="G643" s="58" t="e">
        <f aca="false">D643-E643</f>
        <v>#NAME?</v>
      </c>
    </row>
    <row r="644" customFormat="false" ht="15" hidden="false" customHeight="false" outlineLevel="0" collapsed="false">
      <c r="A644" s="15" t="s">
        <v>1091</v>
      </c>
      <c r="B644" s="54" t="s">
        <v>1092</v>
      </c>
      <c r="C644" s="17"/>
      <c r="D644" s="32"/>
      <c r="E644" s="33"/>
      <c r="F644" s="34"/>
      <c r="G644" s="39"/>
    </row>
    <row r="645" s="65" customFormat="true" ht="15" hidden="false" customHeight="false" outlineLevel="0" collapsed="false">
      <c r="A645" s="28" t="s">
        <v>1093</v>
      </c>
      <c r="B645" s="40" t="s">
        <v>1030</v>
      </c>
      <c r="C645" s="55" t="s">
        <v>15</v>
      </c>
      <c r="D645" s="48" t="e">
        <f aca="false">сводн.данные!n650</f>
        <v>#NAME?</v>
      </c>
      <c r="E645" s="56" t="n">
        <v>4088.22069959162</v>
      </c>
      <c r="F645" s="57" t="n">
        <v>2035</v>
      </c>
      <c r="G645" s="58" t="e">
        <f aca="false">D645-E645</f>
        <v>#NAME?</v>
      </c>
    </row>
    <row r="646" customFormat="false" ht="28.5" hidden="false" customHeight="false" outlineLevel="0" collapsed="false">
      <c r="A646" s="15" t="s">
        <v>1094</v>
      </c>
      <c r="B646" s="16" t="s">
        <v>1095</v>
      </c>
      <c r="C646" s="17"/>
      <c r="D646" s="32"/>
      <c r="E646" s="33"/>
      <c r="F646" s="34"/>
      <c r="G646" s="39"/>
    </row>
    <row r="647" s="65" customFormat="true" ht="15" hidden="false" customHeight="false" outlineLevel="0" collapsed="false">
      <c r="A647" s="28" t="s">
        <v>1096</v>
      </c>
      <c r="B647" s="60" t="s">
        <v>1097</v>
      </c>
      <c r="C647" s="55" t="s">
        <v>15</v>
      </c>
      <c r="D647" s="48" t="e">
        <f aca="false">сводн.данные!n652</f>
        <v>#NAME?</v>
      </c>
      <c r="E647" s="56" t="n">
        <v>1624.01895529721</v>
      </c>
      <c r="F647" s="57" t="n">
        <v>965</v>
      </c>
      <c r="G647" s="58" t="e">
        <f aca="false">D647-E647</f>
        <v>#NAME?</v>
      </c>
    </row>
    <row r="648" s="65" customFormat="true" ht="15" hidden="false" customHeight="false" outlineLevel="0" collapsed="false">
      <c r="A648" s="28" t="s">
        <v>1098</v>
      </c>
      <c r="B648" s="60" t="s">
        <v>1030</v>
      </c>
      <c r="C648" s="55" t="s">
        <v>15</v>
      </c>
      <c r="D648" s="48" t="e">
        <f aca="false">сводн.данные!n653</f>
        <v>#NAME?</v>
      </c>
      <c r="E648" s="56" t="n">
        <v>4088.22069959162</v>
      </c>
      <c r="F648" s="57" t="n">
        <v>3550</v>
      </c>
      <c r="G648" s="58" t="e">
        <f aca="false">D648-E648</f>
        <v>#NAME?</v>
      </c>
    </row>
    <row r="649" s="65" customFormat="true" ht="15" hidden="false" customHeight="false" outlineLevel="0" collapsed="false">
      <c r="A649" s="28" t="s">
        <v>1099</v>
      </c>
      <c r="B649" s="60" t="s">
        <v>1075</v>
      </c>
      <c r="C649" s="55" t="s">
        <v>15</v>
      </c>
      <c r="D649" s="48" t="e">
        <f aca="false">сводн.данные!n654</f>
        <v>#NAME?</v>
      </c>
      <c r="E649" s="56" t="n">
        <v>5672.21761358982</v>
      </c>
      <c r="F649" s="57" t="n">
        <v>0</v>
      </c>
      <c r="G649" s="58" t="e">
        <f aca="false">D649-E649</f>
        <v>#NAME?</v>
      </c>
    </row>
    <row r="650" s="65" customFormat="true" ht="15" hidden="false" customHeight="false" outlineLevel="0" collapsed="false">
      <c r="A650" s="28" t="s">
        <v>1100</v>
      </c>
      <c r="B650" s="60" t="s">
        <v>1036</v>
      </c>
      <c r="C650" s="55" t="s">
        <v>15</v>
      </c>
      <c r="D650" s="48" t="e">
        <f aca="false">сводн.данные!n655</f>
        <v>#NAME?</v>
      </c>
      <c r="E650" s="56" t="n">
        <v>6843.73593488905</v>
      </c>
      <c r="F650" s="57" t="n">
        <v>3580</v>
      </c>
      <c r="G650" s="58" t="e">
        <f aca="false">D650-E650</f>
        <v>#NAME?</v>
      </c>
    </row>
    <row r="651" s="65" customFormat="true" ht="28.5" hidden="false" customHeight="true" outlineLevel="0" collapsed="false">
      <c r="A651" s="28" t="s">
        <v>1101</v>
      </c>
      <c r="B651" s="60" t="s">
        <v>1078</v>
      </c>
      <c r="C651" s="55" t="s">
        <v>15</v>
      </c>
      <c r="D651" s="48" t="e">
        <f aca="false">сводн.данные!n656</f>
        <v>#NAME?</v>
      </c>
      <c r="E651" s="56" t="n">
        <v>6333.67915594929</v>
      </c>
      <c r="F651" s="57" t="n">
        <v>4380</v>
      </c>
      <c r="G651" s="58" t="e">
        <f aca="false">D651-E651</f>
        <v>#NAME?</v>
      </c>
    </row>
    <row r="652" s="65" customFormat="true" ht="30" hidden="false" customHeight="false" outlineLevel="0" collapsed="false">
      <c r="A652" s="28" t="s">
        <v>1102</v>
      </c>
      <c r="B652" s="60" t="s">
        <v>1038</v>
      </c>
      <c r="C652" s="55" t="s">
        <v>15</v>
      </c>
      <c r="D652" s="48" t="e">
        <f aca="false">сводн.данные!n657</f>
        <v>#NAME?</v>
      </c>
      <c r="E652" s="56" t="n">
        <v>9376.43914696926</v>
      </c>
      <c r="F652" s="57" t="n">
        <v>4380</v>
      </c>
      <c r="G652" s="58" t="e">
        <f aca="false">D652-E652</f>
        <v>#NAME?</v>
      </c>
    </row>
    <row r="653" s="65" customFormat="true" ht="15" hidden="false" customHeight="false" outlineLevel="0" collapsed="false">
      <c r="A653" s="28" t="s">
        <v>1103</v>
      </c>
      <c r="B653" s="66" t="s">
        <v>1104</v>
      </c>
      <c r="C653" s="55" t="s">
        <v>15</v>
      </c>
      <c r="D653" s="48" t="e">
        <f aca="false">сводн.данные!n658</f>
        <v>#NAME?</v>
      </c>
      <c r="E653" s="56" t="n">
        <v>6375.96362359486</v>
      </c>
      <c r="F653" s="57" t="n">
        <v>2415</v>
      </c>
      <c r="G653" s="58" t="e">
        <f aca="false">D653-E653</f>
        <v>#NAME?</v>
      </c>
    </row>
    <row r="654" s="65" customFormat="true" ht="15" hidden="false" customHeight="false" outlineLevel="0" collapsed="false">
      <c r="A654" s="28" t="s">
        <v>1105</v>
      </c>
      <c r="B654" s="60" t="s">
        <v>1034</v>
      </c>
      <c r="C654" s="55" t="s">
        <v>15</v>
      </c>
      <c r="D654" s="48" t="e">
        <f aca="false">сводн.данные!n659</f>
        <v>#NAME?</v>
      </c>
      <c r="E654" s="56" t="n">
        <v>8749.15100228935</v>
      </c>
      <c r="F654" s="57" t="n">
        <v>2705</v>
      </c>
      <c r="G654" s="58" t="e">
        <f aca="false">D654-E654</f>
        <v>#NAME?</v>
      </c>
    </row>
    <row r="655" s="65" customFormat="true" ht="45" hidden="false" customHeight="false" outlineLevel="0" collapsed="false">
      <c r="A655" s="28" t="s">
        <v>1106</v>
      </c>
      <c r="B655" s="60" t="s">
        <v>1044</v>
      </c>
      <c r="C655" s="55" t="s">
        <v>15</v>
      </c>
      <c r="D655" s="48" t="e">
        <f aca="false">сводн.данные!n660</f>
        <v>#NAME?</v>
      </c>
      <c r="E655" s="56" t="n">
        <v>8515.97900228935</v>
      </c>
      <c r="F655" s="57" t="n">
        <v>0</v>
      </c>
      <c r="G655" s="57" t="e">
        <f aca="false">D655-E655</f>
        <v>#NAME?</v>
      </c>
    </row>
    <row r="656" s="65" customFormat="true" ht="15" hidden="false" customHeight="false" outlineLevel="0" collapsed="false">
      <c r="A656" s="28" t="s">
        <v>1107</v>
      </c>
      <c r="B656" s="60" t="s">
        <v>1083</v>
      </c>
      <c r="C656" s="55" t="s">
        <v>15</v>
      </c>
      <c r="D656" s="48" t="e">
        <f aca="false">сводн.данные!n661</f>
        <v>#NAME?</v>
      </c>
      <c r="E656" s="56" t="n">
        <v>5919.84823527891</v>
      </c>
      <c r="F656" s="57" t="n">
        <v>0</v>
      </c>
      <c r="G656" s="57" t="e">
        <f aca="false">D656-E656</f>
        <v>#NAME?</v>
      </c>
    </row>
    <row r="657" customFormat="false" ht="15" hidden="false" customHeight="false" outlineLevel="0" collapsed="false">
      <c r="A657" s="15" t="s">
        <v>1108</v>
      </c>
      <c r="B657" s="54" t="s">
        <v>1109</v>
      </c>
      <c r="C657" s="17"/>
      <c r="D657" s="32"/>
      <c r="E657" s="33"/>
      <c r="F657" s="34"/>
      <c r="G657" s="34"/>
    </row>
    <row r="658" s="65" customFormat="true" ht="15" hidden="false" customHeight="false" outlineLevel="0" collapsed="false">
      <c r="A658" s="28" t="s">
        <v>1110</v>
      </c>
      <c r="B658" s="60" t="s">
        <v>1030</v>
      </c>
      <c r="C658" s="55" t="s">
        <v>15</v>
      </c>
      <c r="D658" s="48" t="e">
        <f aca="false">сводн.данные!n663</f>
        <v>#NAME?</v>
      </c>
      <c r="E658" s="56" t="n">
        <v>3651.3337750098</v>
      </c>
      <c r="F658" s="57" t="n">
        <v>3735</v>
      </c>
      <c r="G658" s="57" t="e">
        <f aca="false">D658-E658</f>
        <v>#NAME?</v>
      </c>
    </row>
    <row r="659" s="65" customFormat="true" ht="15" hidden="false" customHeight="false" outlineLevel="0" collapsed="false">
      <c r="A659" s="28" t="s">
        <v>1111</v>
      </c>
      <c r="B659" s="60" t="s">
        <v>1075</v>
      </c>
      <c r="C659" s="55" t="s">
        <v>15</v>
      </c>
      <c r="D659" s="48" t="e">
        <f aca="false">сводн.данные!n664</f>
        <v>#NAME?</v>
      </c>
      <c r="E659" s="56" t="n">
        <v>6508.14068804586</v>
      </c>
      <c r="F659" s="57" t="n">
        <v>0</v>
      </c>
      <c r="G659" s="57" t="e">
        <f aca="false">D659-E659</f>
        <v>#NAME?</v>
      </c>
    </row>
    <row r="660" s="65" customFormat="true" ht="15" hidden="false" customHeight="false" outlineLevel="0" collapsed="false">
      <c r="A660" s="28" t="s">
        <v>1112</v>
      </c>
      <c r="B660" s="60" t="s">
        <v>1036</v>
      </c>
      <c r="C660" s="55" t="s">
        <v>15</v>
      </c>
      <c r="D660" s="48" t="e">
        <f aca="false">сводн.данные!n665</f>
        <v>#NAME?</v>
      </c>
      <c r="E660" s="56" t="n">
        <v>7400.8013087728</v>
      </c>
      <c r="F660" s="57" t="n">
        <v>4475</v>
      </c>
      <c r="G660" s="57" t="e">
        <f aca="false">D660-E660</f>
        <v>#NAME?</v>
      </c>
    </row>
    <row r="661" s="65" customFormat="true" ht="45" hidden="false" customHeight="false" outlineLevel="0" collapsed="false">
      <c r="A661" s="28" t="s">
        <v>1113</v>
      </c>
      <c r="B661" s="60" t="s">
        <v>1044</v>
      </c>
      <c r="C661" s="55" t="s">
        <v>15</v>
      </c>
      <c r="D661" s="48" t="e">
        <f aca="false">сводн.данные!n666</f>
        <v>#NAME?</v>
      </c>
      <c r="E661" s="56" t="n">
        <v>8599.97900228935</v>
      </c>
      <c r="F661" s="57" t="n">
        <v>0</v>
      </c>
      <c r="G661" s="57" t="e">
        <f aca="false">D661-E661</f>
        <v>#NAME?</v>
      </c>
    </row>
    <row r="662" s="65" customFormat="true" ht="15" hidden="false" customHeight="false" outlineLevel="0" collapsed="false">
      <c r="A662" s="28" t="s">
        <v>1114</v>
      </c>
      <c r="B662" s="60" t="s">
        <v>1034</v>
      </c>
      <c r="C662" s="55" t="s">
        <v>15</v>
      </c>
      <c r="D662" s="48" t="e">
        <f aca="false">сводн.данные!n667</f>
        <v>#NAME?</v>
      </c>
      <c r="E662" s="56" t="n">
        <v>8849.15254208309</v>
      </c>
      <c r="F662" s="57" t="n">
        <v>0</v>
      </c>
      <c r="G662" s="57" t="e">
        <f aca="false">D662-E662</f>
        <v>#NAME?</v>
      </c>
    </row>
    <row r="663" s="65" customFormat="true" ht="15" hidden="false" customHeight="false" outlineLevel="0" collapsed="false">
      <c r="A663" s="28" t="s">
        <v>1115</v>
      </c>
      <c r="B663" s="60" t="s">
        <v>1116</v>
      </c>
      <c r="C663" s="55" t="s">
        <v>15</v>
      </c>
      <c r="D663" s="48" t="e">
        <f aca="false">сводн.данные!n668</f>
        <v>#NAME?</v>
      </c>
      <c r="E663" s="56" t="n">
        <v>7877.57670414449</v>
      </c>
      <c r="F663" s="57" t="n">
        <v>0</v>
      </c>
      <c r="G663" s="57" t="e">
        <f aca="false">D663-E663</f>
        <v>#NAME?</v>
      </c>
    </row>
    <row r="664" s="65" customFormat="true" ht="30" hidden="false" customHeight="false" outlineLevel="0" collapsed="false">
      <c r="A664" s="28" t="s">
        <v>1117</v>
      </c>
      <c r="B664" s="60" t="s">
        <v>1086</v>
      </c>
      <c r="C664" s="55" t="s">
        <v>15</v>
      </c>
      <c r="D664" s="48" t="e">
        <f aca="false">сводн.данные!n669</f>
        <v>#NAME?</v>
      </c>
      <c r="E664" s="56" t="n">
        <v>8654.57670414449</v>
      </c>
      <c r="F664" s="57" t="n">
        <v>0</v>
      </c>
      <c r="G664" s="57" t="e">
        <f aca="false">D664-E664</f>
        <v>#NAME?</v>
      </c>
    </row>
    <row r="665" s="65" customFormat="true" ht="15" hidden="false" customHeight="false" outlineLevel="0" collapsed="false">
      <c r="A665" s="28" t="s">
        <v>1118</v>
      </c>
      <c r="B665" s="60" t="s">
        <v>1032</v>
      </c>
      <c r="C665" s="55" t="s">
        <v>15</v>
      </c>
      <c r="D665" s="48" t="e">
        <f aca="false">сводн.данные!n670</f>
        <v>#NAME?</v>
      </c>
      <c r="E665" s="56" t="n">
        <v>21927.5602352789</v>
      </c>
      <c r="F665" s="57" t="n">
        <v>0</v>
      </c>
      <c r="G665" s="57" t="e">
        <f aca="false">D665-E665</f>
        <v>#NAME?</v>
      </c>
    </row>
    <row r="666" customFormat="false" ht="15" hidden="false" customHeight="false" outlineLevel="0" collapsed="false">
      <c r="A666" s="15" t="s">
        <v>1119</v>
      </c>
      <c r="B666" s="16" t="s">
        <v>700</v>
      </c>
      <c r="C666" s="17"/>
      <c r="D666" s="32"/>
      <c r="E666" s="33"/>
      <c r="F666" s="34"/>
      <c r="G666" s="34"/>
    </row>
    <row r="667" s="65" customFormat="true" ht="15" hidden="false" customHeight="false" outlineLevel="0" collapsed="false">
      <c r="A667" s="28" t="s">
        <v>1120</v>
      </c>
      <c r="B667" s="40" t="s">
        <v>1030</v>
      </c>
      <c r="C667" s="55" t="s">
        <v>15</v>
      </c>
      <c r="D667" s="48" t="e">
        <f aca="false">сводн.данные!n672</f>
        <v>#NAME?</v>
      </c>
      <c r="E667" s="56" t="n">
        <v>3614.86070215734</v>
      </c>
      <c r="F667" s="57" t="n">
        <v>3955</v>
      </c>
      <c r="G667" s="57" t="e">
        <f aca="false">D667-E667</f>
        <v>#NAME?</v>
      </c>
    </row>
    <row r="668" customFormat="false" ht="15" hidden="false" customHeight="false" outlineLevel="0" collapsed="false">
      <c r="A668" s="15" t="s">
        <v>1121</v>
      </c>
      <c r="B668" s="16" t="s">
        <v>1122</v>
      </c>
      <c r="C668" s="17"/>
      <c r="D668" s="32"/>
      <c r="E668" s="33"/>
      <c r="F668" s="34"/>
      <c r="G668" s="34"/>
    </row>
    <row r="669" s="65" customFormat="true" ht="15" hidden="false" customHeight="false" outlineLevel="0" collapsed="false">
      <c r="A669" s="28" t="s">
        <v>1123</v>
      </c>
      <c r="B669" s="40" t="s">
        <v>1030</v>
      </c>
      <c r="C669" s="55" t="s">
        <v>15</v>
      </c>
      <c r="D669" s="48" t="e">
        <f aca="false">сводн.данные!n674</f>
        <v>#NAME?</v>
      </c>
      <c r="E669" s="56" t="n">
        <v>3713.80300799937</v>
      </c>
      <c r="F669" s="57" t="n">
        <v>3550</v>
      </c>
      <c r="G669" s="57" t="e">
        <f aca="false">D669-E669</f>
        <v>#NAME?</v>
      </c>
    </row>
    <row r="670" s="65" customFormat="true" ht="15" hidden="false" customHeight="false" outlineLevel="0" collapsed="false">
      <c r="A670" s="28" t="s">
        <v>1124</v>
      </c>
      <c r="B670" s="40" t="s">
        <v>1034</v>
      </c>
      <c r="C670" s="55" t="s">
        <v>15</v>
      </c>
      <c r="D670" s="48" t="e">
        <f aca="false">сводн.данные!n675</f>
        <v>#NAME?</v>
      </c>
      <c r="E670" s="56" t="n">
        <v>4570.52639766103</v>
      </c>
      <c r="F670" s="57" t="n">
        <v>2705</v>
      </c>
      <c r="G670" s="57" t="e">
        <f aca="false">D670-E670</f>
        <v>#NAME?</v>
      </c>
    </row>
    <row r="671" s="65" customFormat="true" ht="15" hidden="false" customHeight="false" outlineLevel="0" collapsed="false">
      <c r="A671" s="28" t="s">
        <v>1125</v>
      </c>
      <c r="B671" s="40" t="s">
        <v>1126</v>
      </c>
      <c r="C671" s="55" t="s">
        <v>15</v>
      </c>
      <c r="D671" s="48" t="e">
        <f aca="false">сводн.данные!n676</f>
        <v>#NAME?</v>
      </c>
      <c r="E671" s="56" t="n">
        <v>7206.30070151591</v>
      </c>
      <c r="F671" s="57" t="n">
        <v>0</v>
      </c>
      <c r="G671" s="57" t="e">
        <f aca="false">D671-E671</f>
        <v>#NAME?</v>
      </c>
    </row>
    <row r="672" s="65" customFormat="true" ht="15" hidden="false" customHeight="false" outlineLevel="0" collapsed="false">
      <c r="A672" s="28" t="s">
        <v>1127</v>
      </c>
      <c r="B672" s="40" t="s">
        <v>1104</v>
      </c>
      <c r="C672" s="55" t="s">
        <v>15</v>
      </c>
      <c r="D672" s="48" t="e">
        <f aca="false">сводн.данные!n677</f>
        <v>#NAME?</v>
      </c>
      <c r="E672" s="56" t="n">
        <v>6857.15670414449</v>
      </c>
      <c r="F672" s="57" t="n">
        <v>2415</v>
      </c>
      <c r="G672" s="57" t="e">
        <f aca="false">D672-E672</f>
        <v>#NAME?</v>
      </c>
    </row>
    <row r="673" customFormat="false" ht="15" hidden="false" customHeight="false" outlineLevel="0" collapsed="false">
      <c r="A673" s="15" t="s">
        <v>1128</v>
      </c>
      <c r="B673" s="16" t="s">
        <v>1129</v>
      </c>
      <c r="C673" s="17"/>
      <c r="D673" s="32"/>
      <c r="E673" s="33"/>
      <c r="F673" s="34"/>
      <c r="G673" s="34"/>
    </row>
    <row r="674" s="65" customFormat="true" ht="15" hidden="false" customHeight="false" outlineLevel="0" collapsed="false">
      <c r="A674" s="28" t="s">
        <v>1130</v>
      </c>
      <c r="B674" s="40" t="s">
        <v>1030</v>
      </c>
      <c r="C674" s="55" t="s">
        <v>15</v>
      </c>
      <c r="D674" s="48" t="e">
        <f aca="false">сводн.данные!n679</f>
        <v>#NAME?</v>
      </c>
      <c r="E674" s="56" t="n">
        <v>3865.63762449415</v>
      </c>
      <c r="F674" s="57" t="n">
        <v>3550</v>
      </c>
      <c r="G674" s="57" t="e">
        <f aca="false">D674-E674</f>
        <v>#NAME?</v>
      </c>
    </row>
    <row r="675" s="65" customFormat="true" ht="15" hidden="false" customHeight="false" outlineLevel="0" collapsed="false">
      <c r="A675" s="28" t="s">
        <v>1131</v>
      </c>
      <c r="B675" s="40" t="s">
        <v>1104</v>
      </c>
      <c r="C675" s="55" t="s">
        <v>15</v>
      </c>
      <c r="D675" s="48" t="e">
        <f aca="false">сводн.данные!n680</f>
        <v>#NAME?</v>
      </c>
      <c r="E675" s="56" t="n">
        <v>5928.99132063928</v>
      </c>
      <c r="F675" s="57" t="n">
        <v>0</v>
      </c>
      <c r="G675" s="57" t="e">
        <f aca="false">D675-E675</f>
        <v>#NAME?</v>
      </c>
    </row>
    <row r="676" s="65" customFormat="true" ht="15" hidden="false" customHeight="false" outlineLevel="0" collapsed="false">
      <c r="A676" s="28" t="s">
        <v>1132</v>
      </c>
      <c r="B676" s="40" t="s">
        <v>1034</v>
      </c>
      <c r="C676" s="55" t="s">
        <v>15</v>
      </c>
      <c r="D676" s="48" t="e">
        <f aca="false">сводн.данные!n681</f>
        <v>#NAME?</v>
      </c>
      <c r="E676" s="56" t="n">
        <v>9309.12947083421</v>
      </c>
      <c r="F676" s="57" t="n">
        <v>2705</v>
      </c>
      <c r="G676" s="57" t="e">
        <f aca="false">D676-E676</f>
        <v>#NAME?</v>
      </c>
    </row>
    <row r="677" customFormat="false" ht="15" hidden="false" customHeight="false" outlineLevel="0" collapsed="false">
      <c r="A677" s="15" t="s">
        <v>1133</v>
      </c>
      <c r="B677" s="16" t="s">
        <v>1134</v>
      </c>
      <c r="C677" s="17"/>
      <c r="D677" s="32"/>
      <c r="E677" s="33"/>
      <c r="F677" s="34"/>
      <c r="G677" s="34"/>
    </row>
    <row r="678" s="65" customFormat="true" ht="15" hidden="false" customHeight="false" outlineLevel="0" collapsed="false">
      <c r="A678" s="28" t="s">
        <v>1135</v>
      </c>
      <c r="B678" s="40" t="s">
        <v>1030</v>
      </c>
      <c r="C678" s="55" t="s">
        <v>15</v>
      </c>
      <c r="D678" s="48" t="e">
        <f aca="false">сводн.данные!n683</f>
        <v>#NAME?</v>
      </c>
      <c r="E678" s="56" t="n">
        <v>3826.70762417344</v>
      </c>
      <c r="F678" s="57" t="n">
        <v>3445</v>
      </c>
      <c r="G678" s="57" t="e">
        <f aca="false">D678-E678</f>
        <v>#NAME?</v>
      </c>
    </row>
    <row r="679" customFormat="false" ht="15" hidden="false" customHeight="false" outlineLevel="0" collapsed="false">
      <c r="A679" s="15" t="s">
        <v>1136</v>
      </c>
      <c r="B679" s="16" t="s">
        <v>1137</v>
      </c>
      <c r="C679" s="17"/>
      <c r="D679" s="32"/>
      <c r="E679" s="33"/>
      <c r="F679" s="34"/>
      <c r="G679" s="34"/>
    </row>
    <row r="680" s="65" customFormat="true" ht="15" hidden="false" customHeight="false" outlineLevel="0" collapsed="false">
      <c r="A680" s="28" t="s">
        <v>1138</v>
      </c>
      <c r="B680" s="40" t="s">
        <v>1030</v>
      </c>
      <c r="C680" s="55" t="s">
        <v>15</v>
      </c>
      <c r="D680" s="48" t="e">
        <f aca="false">сводн.данные!n685</f>
        <v>#NAME?</v>
      </c>
      <c r="E680" s="56" t="n">
        <v>3826.70762417344</v>
      </c>
      <c r="F680" s="57" t="n">
        <v>2865</v>
      </c>
      <c r="G680" s="57" t="e">
        <f aca="false">D680-E680</f>
        <v>#NAME?</v>
      </c>
    </row>
    <row r="681" s="65" customFormat="true" ht="30" hidden="false" customHeight="false" outlineLevel="0" collapsed="false">
      <c r="A681" s="28" t="s">
        <v>1139</v>
      </c>
      <c r="B681" s="60" t="s">
        <v>1086</v>
      </c>
      <c r="C681" s="55" t="s">
        <v>15</v>
      </c>
      <c r="D681" s="48" t="e">
        <f aca="false">сводн.данные!n686</f>
        <v>#NAME?</v>
      </c>
      <c r="E681" s="56" t="n">
        <v>8031.82977892124</v>
      </c>
      <c r="F681" s="57" t="n">
        <v>0</v>
      </c>
      <c r="G681" s="57" t="e">
        <f aca="false">D681-E681</f>
        <v>#NAME?</v>
      </c>
    </row>
    <row r="682" s="65" customFormat="true" ht="15" hidden="false" customHeight="false" outlineLevel="0" collapsed="false">
      <c r="A682" s="28" t="s">
        <v>1140</v>
      </c>
      <c r="B682" s="40" t="s">
        <v>1034</v>
      </c>
      <c r="C682" s="55" t="s">
        <v>15</v>
      </c>
      <c r="D682" s="48" t="e">
        <f aca="false">сводн.данные!n687</f>
        <v>#NAME?</v>
      </c>
      <c r="E682" s="56" t="n">
        <v>8632.03178052482</v>
      </c>
      <c r="F682" s="57" t="n">
        <v>2705</v>
      </c>
      <c r="G682" s="57" t="e">
        <f aca="false">D682-E682</f>
        <v>#NAME?</v>
      </c>
    </row>
    <row r="683" customFormat="false" ht="15" hidden="false" customHeight="false" outlineLevel="0" collapsed="false">
      <c r="A683" s="15" t="s">
        <v>1141</v>
      </c>
      <c r="B683" s="16" t="s">
        <v>1142</v>
      </c>
      <c r="C683" s="17"/>
      <c r="D683" s="32"/>
      <c r="E683" s="33"/>
      <c r="F683" s="34"/>
      <c r="G683" s="34"/>
    </row>
    <row r="684" s="65" customFormat="true" ht="15" hidden="false" customHeight="false" outlineLevel="0" collapsed="false">
      <c r="A684" s="28" t="s">
        <v>1143</v>
      </c>
      <c r="B684" s="40" t="s">
        <v>1034</v>
      </c>
      <c r="C684" s="55" t="s">
        <v>15</v>
      </c>
      <c r="D684" s="48" t="e">
        <f aca="false">сводн.данные!n689</f>
        <v>#NAME?</v>
      </c>
      <c r="E684" s="56" t="n">
        <v>7570.40947596566</v>
      </c>
      <c r="F684" s="57" t="n">
        <v>0</v>
      </c>
      <c r="G684" s="57" t="e">
        <f aca="false">D684-E684</f>
        <v>#NAME?</v>
      </c>
    </row>
    <row r="685" s="65" customFormat="true" ht="15" hidden="false" customHeight="false" outlineLevel="0" collapsed="false">
      <c r="A685" s="28" t="s">
        <v>1144</v>
      </c>
      <c r="B685" s="40" t="s">
        <v>1036</v>
      </c>
      <c r="C685" s="55" t="s">
        <v>15</v>
      </c>
      <c r="D685" s="48" t="e">
        <f aca="false">сводн.данные!n690</f>
        <v>#NAME?</v>
      </c>
      <c r="E685" s="56" t="n">
        <v>7242.64285754658</v>
      </c>
      <c r="F685" s="57" t="n">
        <v>4505</v>
      </c>
      <c r="G685" s="57" t="e">
        <f aca="false">D685-E685</f>
        <v>#NAME?</v>
      </c>
    </row>
    <row r="686" s="65" customFormat="true" ht="27.75" hidden="false" customHeight="true" outlineLevel="0" collapsed="false">
      <c r="A686" s="28" t="s">
        <v>1145</v>
      </c>
      <c r="B686" s="60" t="s">
        <v>1078</v>
      </c>
      <c r="C686" s="55" t="s">
        <v>15</v>
      </c>
      <c r="D686" s="48" t="e">
        <f aca="false">сводн.данные!n691</f>
        <v>#NAME?</v>
      </c>
      <c r="E686" s="56" t="n">
        <v>4519.34685555943</v>
      </c>
      <c r="F686" s="57" t="n">
        <v>5385</v>
      </c>
      <c r="G686" s="57" t="e">
        <f aca="false">D686-E686</f>
        <v>#NAME?</v>
      </c>
    </row>
    <row r="687" s="65" customFormat="true" ht="30" hidden="false" customHeight="false" outlineLevel="0" collapsed="false">
      <c r="A687" s="28" t="s">
        <v>1146</v>
      </c>
      <c r="B687" s="60" t="s">
        <v>1038</v>
      </c>
      <c r="C687" s="55" t="s">
        <v>15</v>
      </c>
      <c r="D687" s="48" t="e">
        <f aca="false">сводн.данные!n692</f>
        <v>#NAME?</v>
      </c>
      <c r="E687" s="56" t="n">
        <v>8834.57670414449</v>
      </c>
      <c r="F687" s="57" t="n">
        <v>3155</v>
      </c>
      <c r="G687" s="57" t="e">
        <f aca="false">D687-E687</f>
        <v>#NAME?</v>
      </c>
    </row>
    <row r="688" s="65" customFormat="true" ht="15" hidden="false" customHeight="false" outlineLevel="0" collapsed="false">
      <c r="A688" s="28" t="s">
        <v>1147</v>
      </c>
      <c r="B688" s="60" t="s">
        <v>1104</v>
      </c>
      <c r="C688" s="55" t="s">
        <v>15</v>
      </c>
      <c r="D688" s="48" t="e">
        <f aca="false">сводн.данные!n693</f>
        <v>#NAME?</v>
      </c>
      <c r="E688" s="56" t="n">
        <v>7262.68055170455</v>
      </c>
      <c r="F688" s="57" t="n">
        <v>2415.30277080063</v>
      </c>
      <c r="G688" s="57" t="e">
        <f aca="false">D688-E688</f>
        <v>#NAME?</v>
      </c>
    </row>
    <row r="689" s="65" customFormat="true" ht="30" hidden="false" customHeight="false" outlineLevel="0" collapsed="false">
      <c r="A689" s="28" t="s">
        <v>1148</v>
      </c>
      <c r="B689" s="60" t="s">
        <v>1086</v>
      </c>
      <c r="C689" s="55" t="s">
        <v>15</v>
      </c>
      <c r="D689" s="48" t="e">
        <f aca="false">сводн.данные!n694</f>
        <v>#NAME?</v>
      </c>
      <c r="E689" s="56" t="n">
        <v>8877.4790138351</v>
      </c>
      <c r="F689" s="57" t="n">
        <v>2190</v>
      </c>
      <c r="G689" s="57" t="e">
        <f aca="false">D689-E689</f>
        <v>#NAME?</v>
      </c>
    </row>
    <row r="690" s="65" customFormat="true" ht="15" hidden="false" customHeight="false" outlineLevel="0" collapsed="false">
      <c r="A690" s="28" t="s">
        <v>1149</v>
      </c>
      <c r="B690" s="40" t="s">
        <v>1030</v>
      </c>
      <c r="C690" s="55" t="s">
        <v>15</v>
      </c>
      <c r="D690" s="48" t="e">
        <f aca="false">сводн.данные!n695</f>
        <v>#NAME?</v>
      </c>
      <c r="E690" s="56" t="n">
        <v>3765.32685555943</v>
      </c>
      <c r="F690" s="57" t="n">
        <v>2275</v>
      </c>
      <c r="G690" s="57" t="e">
        <f aca="false">D690-E690</f>
        <v>#NAME?</v>
      </c>
    </row>
    <row r="691" s="65" customFormat="true" ht="15" hidden="false" customHeight="false" outlineLevel="0" collapsed="false">
      <c r="A691" s="28" t="s">
        <v>1150</v>
      </c>
      <c r="B691" s="40" t="s">
        <v>1083</v>
      </c>
      <c r="C691" s="55" t="s">
        <v>15</v>
      </c>
      <c r="D691" s="48" t="e">
        <f aca="false">сводн.данные!n696</f>
        <v>#NAME?</v>
      </c>
      <c r="E691" s="56" t="n">
        <v>8023.73132192214</v>
      </c>
      <c r="F691" s="57" t="n">
        <v>3155</v>
      </c>
      <c r="G691" s="57" t="e">
        <f aca="false">D691-E691</f>
        <v>#NAME?</v>
      </c>
    </row>
    <row r="692" s="65" customFormat="true" ht="45" hidden="false" customHeight="false" outlineLevel="0" collapsed="false">
      <c r="A692" s="28" t="s">
        <v>1151</v>
      </c>
      <c r="B692" s="60" t="s">
        <v>1044</v>
      </c>
      <c r="C692" s="55" t="s">
        <v>15</v>
      </c>
      <c r="D692" s="48" t="e">
        <f aca="false">сводн.данные!n697</f>
        <v>#NAME?</v>
      </c>
      <c r="E692" s="56" t="n">
        <v>8707.4828517737</v>
      </c>
      <c r="F692" s="57" t="n">
        <v>2190</v>
      </c>
      <c r="G692" s="57" t="e">
        <f aca="false">D692-E692</f>
        <v>#NAME?</v>
      </c>
    </row>
    <row r="693" s="65" customFormat="true" ht="15" hidden="false" customHeight="false" outlineLevel="0" collapsed="false">
      <c r="A693" s="28" t="s">
        <v>1152</v>
      </c>
      <c r="B693" s="60" t="s">
        <v>1075</v>
      </c>
      <c r="C693" s="55" t="s">
        <v>15</v>
      </c>
      <c r="D693" s="48" t="e">
        <f aca="false">сводн.данные!n698</f>
        <v>#NAME?</v>
      </c>
      <c r="E693" s="56" t="n">
        <v>8305.90300799937</v>
      </c>
      <c r="F693" s="57" t="n">
        <v>0</v>
      </c>
      <c r="G693" s="57" t="e">
        <f aca="false">D693-E693</f>
        <v>#NAME?</v>
      </c>
    </row>
    <row r="694" s="65" customFormat="true" ht="15" hidden="false" customHeight="false" outlineLevel="0" collapsed="false">
      <c r="A694" s="28" t="s">
        <v>1153</v>
      </c>
      <c r="B694" s="40" t="s">
        <v>1154</v>
      </c>
      <c r="C694" s="55" t="s">
        <v>15</v>
      </c>
      <c r="D694" s="48" t="e">
        <f aca="false">сводн.данные!n699</f>
        <v>#NAME?</v>
      </c>
      <c r="E694" s="56" t="n">
        <v>21500.7140863668</v>
      </c>
      <c r="F694" s="57" t="n">
        <v>0</v>
      </c>
      <c r="G694" s="57" t="e">
        <f aca="false">D694-E694</f>
        <v>#NAME?</v>
      </c>
    </row>
    <row r="695" customFormat="false" ht="42.75" hidden="false" customHeight="false" outlineLevel="0" collapsed="false">
      <c r="A695" s="15" t="s">
        <v>1155</v>
      </c>
      <c r="B695" s="16" t="s">
        <v>1156</v>
      </c>
      <c r="C695" s="17"/>
      <c r="D695" s="32"/>
      <c r="E695" s="33"/>
      <c r="F695" s="34"/>
      <c r="G695" s="34"/>
    </row>
    <row r="696" s="65" customFormat="true" ht="45" hidden="false" customHeight="false" outlineLevel="0" collapsed="false">
      <c r="A696" s="28" t="s">
        <v>1157</v>
      </c>
      <c r="B696" s="59" t="s">
        <v>1156</v>
      </c>
      <c r="C696" s="55" t="s">
        <v>15</v>
      </c>
      <c r="D696" s="48" t="e">
        <f aca="false">сводн.данные!n701</f>
        <v>#NAME?</v>
      </c>
      <c r="E696" s="56" t="n">
        <v>551.780037190144</v>
      </c>
      <c r="F696" s="57" t="n">
        <v>0</v>
      </c>
      <c r="G696" s="57" t="e">
        <f aca="false">D696-E696</f>
        <v>#NAME?</v>
      </c>
    </row>
    <row r="697" s="65" customFormat="true" ht="30" hidden="false" customHeight="false" outlineLevel="0" collapsed="false">
      <c r="A697" s="28" t="s">
        <v>1158</v>
      </c>
      <c r="B697" s="59" t="s">
        <v>1159</v>
      </c>
      <c r="C697" s="55" t="s">
        <v>15</v>
      </c>
      <c r="D697" s="48" t="e">
        <f aca="false">сводн.данные!n702</f>
        <v>#NAME?</v>
      </c>
      <c r="E697" s="56" t="n">
        <v>1108.23920869495</v>
      </c>
      <c r="F697" s="57" t="n">
        <v>0</v>
      </c>
      <c r="G697" s="57" t="e">
        <f aca="false">D697-E697</f>
        <v>#NAME?</v>
      </c>
    </row>
    <row r="698" s="65" customFormat="true" ht="32.25" hidden="false" customHeight="true" outlineLevel="0" collapsed="false">
      <c r="A698" s="28" t="s">
        <v>1160</v>
      </c>
      <c r="B698" s="59" t="s">
        <v>1161</v>
      </c>
      <c r="C698" s="55" t="s">
        <v>15</v>
      </c>
      <c r="D698" s="48" t="e">
        <f aca="false">сводн.данные!n703</f>
        <v>#NAME?</v>
      </c>
      <c r="E698" s="56" t="n">
        <v>9053.83901126938</v>
      </c>
      <c r="F698" s="57" t="n">
        <v>0</v>
      </c>
      <c r="G698" s="57" t="e">
        <f aca="false">D698-E698</f>
        <v>#NAME?</v>
      </c>
    </row>
    <row r="699" s="65" customFormat="true" ht="30" hidden="false" customHeight="false" outlineLevel="0" collapsed="false">
      <c r="A699" s="28" t="s">
        <v>1162</v>
      </c>
      <c r="B699" s="59" t="s">
        <v>1163</v>
      </c>
      <c r="C699" s="55" t="s">
        <v>15</v>
      </c>
      <c r="D699" s="48" t="e">
        <f aca="false">сводн.данные!n704</f>
        <v>#NAME?</v>
      </c>
      <c r="E699" s="56" t="n">
        <v>2255.23074303652</v>
      </c>
      <c r="F699" s="57" t="n">
        <v>0</v>
      </c>
      <c r="G699" s="57" t="e">
        <f aca="false">D699-E699</f>
        <v>#NAME?</v>
      </c>
    </row>
    <row r="700" customFormat="false" ht="15" hidden="false" customHeight="false" outlineLevel="0" collapsed="false">
      <c r="A700" s="15" t="s">
        <v>1164</v>
      </c>
      <c r="B700" s="54" t="s">
        <v>1165</v>
      </c>
      <c r="C700" s="17"/>
      <c r="D700" s="32"/>
      <c r="E700" s="33"/>
      <c r="F700" s="34"/>
      <c r="G700" s="34"/>
    </row>
    <row r="701" s="65" customFormat="true" ht="15" hidden="false" customHeight="false" outlineLevel="0" collapsed="false">
      <c r="A701" s="28" t="s">
        <v>1166</v>
      </c>
      <c r="B701" s="40" t="s">
        <v>1167</v>
      </c>
      <c r="C701" s="55" t="s">
        <v>15</v>
      </c>
      <c r="D701" s="48" t="e">
        <f aca="false">сводн.данные!n706</f>
        <v>#NAME?</v>
      </c>
      <c r="E701" s="56" t="n">
        <v>7454.15146660205</v>
      </c>
      <c r="F701" s="57" t="n">
        <v>0</v>
      </c>
      <c r="G701" s="57" t="e">
        <f aca="false">D701-E701</f>
        <v>#NAME?</v>
      </c>
    </row>
    <row r="702" s="65" customFormat="true" ht="15" hidden="false" customHeight="false" outlineLevel="0" collapsed="false">
      <c r="A702" s="28" t="s">
        <v>1168</v>
      </c>
      <c r="B702" s="40" t="s">
        <v>1030</v>
      </c>
      <c r="C702" s="55" t="s">
        <v>15</v>
      </c>
      <c r="D702" s="48" t="e">
        <f aca="false">сводн.данные!n707</f>
        <v>#NAME?</v>
      </c>
      <c r="E702" s="56" t="n">
        <v>3630.29747660709</v>
      </c>
      <c r="F702" s="57" t="n">
        <v>3885</v>
      </c>
      <c r="G702" s="57" t="e">
        <f aca="false">D702-E702</f>
        <v>#NAME?</v>
      </c>
    </row>
    <row r="703" s="65" customFormat="true" ht="15" hidden="false" customHeight="false" outlineLevel="0" collapsed="false">
      <c r="A703" s="28" t="s">
        <v>1169</v>
      </c>
      <c r="B703" s="40" t="s">
        <v>1170</v>
      </c>
      <c r="C703" s="55" t="s">
        <v>15</v>
      </c>
      <c r="D703" s="48" t="e">
        <f aca="false">сводн.данные!n708</f>
        <v>#NAME?</v>
      </c>
      <c r="E703" s="56" t="n">
        <v>5784.33285979159</v>
      </c>
      <c r="F703" s="57" t="n">
        <v>2415</v>
      </c>
      <c r="G703" s="57" t="e">
        <f aca="false">D703-E703</f>
        <v>#NAME?</v>
      </c>
    </row>
    <row r="704" s="65" customFormat="true" ht="15" hidden="false" customHeight="false" outlineLevel="0" collapsed="false">
      <c r="A704" s="28" t="s">
        <v>1171</v>
      </c>
      <c r="B704" s="40" t="s">
        <v>1034</v>
      </c>
      <c r="C704" s="55" t="s">
        <v>15</v>
      </c>
      <c r="D704" s="48" t="e">
        <f aca="false">сводн.данные!n709</f>
        <v>#NAME?</v>
      </c>
      <c r="E704" s="56" t="n">
        <v>5785.40947596566</v>
      </c>
      <c r="F704" s="57" t="n">
        <v>2705</v>
      </c>
      <c r="G704" s="57" t="e">
        <f aca="false">D704-E704</f>
        <v>#NAME?</v>
      </c>
    </row>
    <row r="705" customFormat="false" ht="28.5" hidden="false" customHeight="false" outlineLevel="0" collapsed="false">
      <c r="A705" s="15" t="s">
        <v>1172</v>
      </c>
      <c r="B705" s="54" t="s">
        <v>1173</v>
      </c>
      <c r="C705" s="17"/>
      <c r="D705" s="32"/>
      <c r="E705" s="33"/>
      <c r="F705" s="34"/>
      <c r="G705" s="34"/>
    </row>
    <row r="706" s="65" customFormat="true" ht="15" hidden="false" customHeight="false" outlineLevel="0" collapsed="false">
      <c r="A706" s="28" t="s">
        <v>1174</v>
      </c>
      <c r="B706" s="40" t="s">
        <v>1030</v>
      </c>
      <c r="C706" s="55" t="s">
        <v>15</v>
      </c>
      <c r="D706" s="48" t="e">
        <f aca="false">сводн.данные!n711</f>
        <v>#NAME?</v>
      </c>
      <c r="E706" s="56" t="n">
        <v>6827.19146916777</v>
      </c>
      <c r="F706" s="57" t="n">
        <v>0</v>
      </c>
      <c r="G706" s="57" t="e">
        <f aca="false">D706-E706</f>
        <v>#NAME?</v>
      </c>
    </row>
    <row r="707" s="65" customFormat="true" ht="15" hidden="false" customHeight="false" outlineLevel="0" collapsed="false">
      <c r="A707" s="28" t="s">
        <v>1175</v>
      </c>
      <c r="B707" s="40" t="s">
        <v>1032</v>
      </c>
      <c r="C707" s="55" t="s">
        <v>15</v>
      </c>
      <c r="D707" s="48" t="e">
        <f aca="false">сводн.данные!n712</f>
        <v>#NAME?</v>
      </c>
      <c r="E707" s="56" t="n">
        <v>19484.3798532169</v>
      </c>
      <c r="F707" s="57" t="n">
        <v>0</v>
      </c>
      <c r="G707" s="57" t="e">
        <f aca="false">D707-E707</f>
        <v>#NAME?</v>
      </c>
    </row>
    <row r="708" customFormat="false" ht="57" hidden="false" customHeight="false" outlineLevel="0" collapsed="false">
      <c r="A708" s="15" t="s">
        <v>1176</v>
      </c>
      <c r="B708" s="54" t="s">
        <v>1177</v>
      </c>
      <c r="C708" s="17"/>
      <c r="D708" s="32"/>
      <c r="E708" s="33"/>
      <c r="F708" s="34"/>
      <c r="G708" s="34"/>
    </row>
    <row r="709" s="65" customFormat="true" ht="30" hidden="false" customHeight="false" outlineLevel="0" collapsed="false">
      <c r="A709" s="28" t="s">
        <v>1178</v>
      </c>
      <c r="B709" s="40" t="s">
        <v>1179</v>
      </c>
      <c r="C709" s="55" t="s">
        <v>15</v>
      </c>
      <c r="D709" s="48" t="e">
        <f aca="false">сводн.данные!n714</f>
        <v>#NAME?</v>
      </c>
      <c r="E709" s="56" t="n">
        <v>17180.917932644</v>
      </c>
      <c r="F709" s="57" t="n">
        <v>0</v>
      </c>
      <c r="G709" s="57" t="e">
        <f aca="false">D709-E709</f>
        <v>#NAME?</v>
      </c>
    </row>
    <row r="710" customFormat="false" ht="15" hidden="false" customHeight="false" outlineLevel="0" collapsed="false">
      <c r="A710" s="15" t="s">
        <v>1180</v>
      </c>
      <c r="B710" s="54" t="s">
        <v>1181</v>
      </c>
      <c r="C710" s="17"/>
      <c r="D710" s="32"/>
      <c r="E710" s="33"/>
      <c r="F710" s="34"/>
      <c r="G710" s="34"/>
    </row>
    <row r="711" s="65" customFormat="true" ht="15" hidden="false" customHeight="false" outlineLevel="0" collapsed="false">
      <c r="A711" s="28" t="s">
        <v>1182</v>
      </c>
      <c r="B711" s="40" t="s">
        <v>1030</v>
      </c>
      <c r="C711" s="55" t="s">
        <v>15</v>
      </c>
      <c r="D711" s="48" t="e">
        <f aca="false">сводн.данные!n716</f>
        <v>#NAME?</v>
      </c>
      <c r="E711" s="56" t="n">
        <v>5362.95762577701</v>
      </c>
      <c r="F711" s="57" t="n">
        <v>0</v>
      </c>
      <c r="G711" s="57" t="e">
        <f aca="false">D711-E711</f>
        <v>#NAME?</v>
      </c>
    </row>
    <row r="712" customFormat="false" ht="28.5" hidden="false" customHeight="false" outlineLevel="0" collapsed="false">
      <c r="A712" s="15" t="s">
        <v>1183</v>
      </c>
      <c r="B712" s="54" t="s">
        <v>1184</v>
      </c>
      <c r="C712" s="17"/>
      <c r="D712" s="32"/>
      <c r="E712" s="33"/>
      <c r="F712" s="34"/>
      <c r="G712" s="34"/>
    </row>
    <row r="713" s="65" customFormat="true" ht="15" hidden="false" customHeight="false" outlineLevel="0" collapsed="false">
      <c r="A713" s="28" t="s">
        <v>1185</v>
      </c>
      <c r="B713" s="40" t="s">
        <v>1030</v>
      </c>
      <c r="C713" s="55" t="s">
        <v>15</v>
      </c>
      <c r="D713" s="48" t="e">
        <f aca="false">сводн.данные!n718</f>
        <v>#NAME?</v>
      </c>
      <c r="E713" s="56" t="n">
        <v>5362.95762577701</v>
      </c>
      <c r="F713" s="57" t="n">
        <v>0</v>
      </c>
      <c r="G713" s="57" t="e">
        <f aca="false">D713-E713</f>
        <v>#NAME?</v>
      </c>
    </row>
    <row r="714" s="65" customFormat="true" ht="15" hidden="false" customHeight="false" outlineLevel="0" collapsed="false">
      <c r="A714" s="28" t="s">
        <v>1186</v>
      </c>
      <c r="B714" s="40" t="s">
        <v>1034</v>
      </c>
      <c r="C714" s="55" t="s">
        <v>15</v>
      </c>
      <c r="D714" s="48" t="e">
        <f aca="false">сводн.данные!n719</f>
        <v>#NAME?</v>
      </c>
      <c r="E714" s="56" t="n">
        <v>5618.22486107445</v>
      </c>
      <c r="F714" s="57" t="n">
        <v>0</v>
      </c>
      <c r="G714" s="57" t="e">
        <f aca="false">D714-E714</f>
        <v>#NAME?</v>
      </c>
    </row>
    <row r="715" s="65" customFormat="true" ht="15" hidden="false" customHeight="false" outlineLevel="0" collapsed="false">
      <c r="A715" s="28" t="s">
        <v>1187</v>
      </c>
      <c r="B715" s="40" t="s">
        <v>1036</v>
      </c>
      <c r="C715" s="55" t="s">
        <v>15</v>
      </c>
      <c r="D715" s="48" t="e">
        <f aca="false">сводн.данные!n720</f>
        <v>#NAME?</v>
      </c>
      <c r="E715" s="56" t="n">
        <v>7627.16747179635</v>
      </c>
      <c r="F715" s="57" t="n">
        <v>0</v>
      </c>
      <c r="G715" s="57" t="e">
        <f aca="false">D715-E715</f>
        <v>#NAME?</v>
      </c>
    </row>
    <row r="716" s="65" customFormat="true" ht="15" hidden="false" customHeight="false" outlineLevel="0" collapsed="false">
      <c r="A716" s="28" t="s">
        <v>1188</v>
      </c>
      <c r="B716" s="40" t="s">
        <v>1032</v>
      </c>
      <c r="C716" s="55" t="s">
        <v>15</v>
      </c>
      <c r="D716" s="48" t="e">
        <f aca="false">сводн.данные!n721</f>
        <v>#NAME?</v>
      </c>
      <c r="E716" s="56" t="n">
        <v>19822.9286983716</v>
      </c>
      <c r="F716" s="57" t="n">
        <v>0</v>
      </c>
      <c r="G716" s="57" t="e">
        <f aca="false">D716-E716</f>
        <v>#NAME?</v>
      </c>
    </row>
    <row r="717" s="65" customFormat="true" ht="15" hidden="false" customHeight="false" outlineLevel="0" collapsed="false">
      <c r="A717" s="28" t="s">
        <v>1189</v>
      </c>
      <c r="B717" s="40" t="s">
        <v>1075</v>
      </c>
      <c r="C717" s="55" t="s">
        <v>15</v>
      </c>
      <c r="D717" s="48" t="e">
        <f aca="false">сводн.данные!n722</f>
        <v>#NAME?</v>
      </c>
      <c r="E717" s="56" t="n">
        <v>7734.66038906715</v>
      </c>
      <c r="F717" s="57" t="n">
        <v>0</v>
      </c>
      <c r="G717" s="57" t="e">
        <f aca="false">D717-E717</f>
        <v>#NAME?</v>
      </c>
    </row>
    <row r="718" customFormat="false" ht="15" hidden="false" customHeight="false" outlineLevel="0" collapsed="false">
      <c r="A718" s="15" t="s">
        <v>1190</v>
      </c>
      <c r="B718" s="54" t="s">
        <v>1191</v>
      </c>
      <c r="C718" s="17"/>
      <c r="D718" s="32"/>
      <c r="E718" s="33"/>
      <c r="F718" s="34"/>
      <c r="G718" s="34"/>
    </row>
    <row r="719" s="65" customFormat="true" ht="15" hidden="false" customHeight="false" outlineLevel="0" collapsed="false">
      <c r="A719" s="28" t="s">
        <v>1192</v>
      </c>
      <c r="B719" s="40" t="s">
        <v>1030</v>
      </c>
      <c r="C719" s="55" t="s">
        <v>15</v>
      </c>
      <c r="D719" s="48" t="e">
        <f aca="false">сводн.данные!n724</f>
        <v>#NAME?</v>
      </c>
      <c r="E719" s="56" t="n">
        <v>7061.24993001546</v>
      </c>
      <c r="F719" s="57" t="n">
        <v>0</v>
      </c>
      <c r="G719" s="57" t="e">
        <f aca="false">D719-E719</f>
        <v>#NAME?</v>
      </c>
    </row>
    <row r="720" customFormat="false" ht="42.75" hidden="false" customHeight="false" outlineLevel="0" collapsed="false">
      <c r="A720" s="15" t="s">
        <v>1193</v>
      </c>
      <c r="B720" s="67" t="s">
        <v>1194</v>
      </c>
      <c r="C720" s="17"/>
      <c r="D720" s="32"/>
      <c r="E720" s="33"/>
      <c r="F720" s="34"/>
      <c r="G720" s="34"/>
    </row>
    <row r="721" s="65" customFormat="true" ht="15" hidden="false" customHeight="false" outlineLevel="0" collapsed="false">
      <c r="A721" s="28" t="s">
        <v>1195</v>
      </c>
      <c r="B721" s="40" t="s">
        <v>1030</v>
      </c>
      <c r="C721" s="55" t="s">
        <v>15</v>
      </c>
      <c r="D721" s="48" t="e">
        <f aca="false">сводн.данные!n726</f>
        <v>#NAME?</v>
      </c>
      <c r="E721" s="56" t="n">
        <v>7061.24993001546</v>
      </c>
      <c r="F721" s="57" t="n">
        <v>0</v>
      </c>
      <c r="G721" s="57" t="e">
        <f aca="false">D721-E721</f>
        <v>#NAME?</v>
      </c>
    </row>
    <row r="722" customFormat="false" ht="15" hidden="false" customHeight="false" outlineLevel="0" collapsed="false">
      <c r="A722" s="15" t="s">
        <v>1196</v>
      </c>
      <c r="B722" s="16" t="s">
        <v>1197</v>
      </c>
      <c r="C722" s="17"/>
      <c r="D722" s="32"/>
      <c r="E722" s="33"/>
      <c r="F722" s="34"/>
      <c r="G722" s="34"/>
    </row>
    <row r="723" customFormat="false" ht="15" hidden="false" customHeight="false" outlineLevel="0" collapsed="false">
      <c r="A723" s="28" t="s">
        <v>1198</v>
      </c>
      <c r="B723" s="40" t="s">
        <v>327</v>
      </c>
      <c r="C723" s="8" t="s">
        <v>15</v>
      </c>
      <c r="D723" s="22" t="e">
        <f aca="false">сводн.данные!n728</f>
        <v>#NAME?</v>
      </c>
      <c r="E723" s="23" t="n">
        <v>585.303333260005</v>
      </c>
      <c r="F723" s="24" t="n">
        <v>280</v>
      </c>
      <c r="G723" s="24" t="e">
        <f aca="false">D723-E723</f>
        <v>#NAME?</v>
      </c>
    </row>
    <row r="724" customFormat="false" ht="15" hidden="false" customHeight="false" outlineLevel="0" collapsed="false">
      <c r="A724" s="28" t="s">
        <v>1199</v>
      </c>
      <c r="B724" s="40" t="s">
        <v>1200</v>
      </c>
      <c r="C724" s="8" t="s">
        <v>15</v>
      </c>
      <c r="D724" s="22" t="e">
        <f aca="false">сводн.данные!n729</f>
        <v>#NAME?</v>
      </c>
      <c r="E724" s="23" t="n">
        <v>1063.22601529202</v>
      </c>
      <c r="F724" s="24" t="n">
        <v>280</v>
      </c>
      <c r="G724" s="24" t="e">
        <f aca="false">D724-E724</f>
        <v>#NAME?</v>
      </c>
    </row>
    <row r="725" customFormat="false" ht="15" hidden="false" customHeight="false" outlineLevel="0" collapsed="false">
      <c r="A725" s="28" t="s">
        <v>1201</v>
      </c>
      <c r="B725" s="40" t="s">
        <v>1202</v>
      </c>
      <c r="C725" s="8" t="s">
        <v>15</v>
      </c>
      <c r="D725" s="22" t="e">
        <f aca="false">сводн.данные!n730</f>
        <v>#NAME?</v>
      </c>
      <c r="E725" s="23" t="n">
        <v>1121.42275680635</v>
      </c>
      <c r="F725" s="24" t="n">
        <v>515</v>
      </c>
      <c r="G725" s="24" t="e">
        <f aca="false">D725-E725</f>
        <v>#NAME?</v>
      </c>
    </row>
    <row r="726" customFormat="false" ht="15.75" hidden="false" customHeight="true" outlineLevel="0" collapsed="false">
      <c r="A726" s="28" t="s">
        <v>1203</v>
      </c>
      <c r="B726" s="40" t="s">
        <v>1204</v>
      </c>
      <c r="C726" s="8" t="s">
        <v>15</v>
      </c>
      <c r="D726" s="22" t="e">
        <f aca="false">сводн.данные!n731</f>
        <v>#NAME?</v>
      </c>
      <c r="E726" s="23" t="n">
        <v>2298.85029231959</v>
      </c>
      <c r="F726" s="24" t="n">
        <v>280</v>
      </c>
      <c r="G726" s="24" t="e">
        <f aca="false">D726-E726</f>
        <v>#NAME?</v>
      </c>
    </row>
    <row r="727" customFormat="false" ht="15" hidden="false" customHeight="false" outlineLevel="0" collapsed="false">
      <c r="A727" s="28" t="s">
        <v>1205</v>
      </c>
      <c r="B727" s="40" t="s">
        <v>1206</v>
      </c>
      <c r="C727" s="8" t="s">
        <v>15</v>
      </c>
      <c r="D727" s="22" t="e">
        <f aca="false">сводн.данные!n732</f>
        <v>#NAME?</v>
      </c>
      <c r="E727" s="23" t="n">
        <v>3121.93029231959</v>
      </c>
      <c r="F727" s="24" t="n">
        <v>280</v>
      </c>
      <c r="G727" s="24" t="e">
        <f aca="false">D727-E727</f>
        <v>#NAME?</v>
      </c>
    </row>
    <row r="728" customFormat="false" ht="15" hidden="false" customHeight="false" outlineLevel="0" collapsed="false">
      <c r="A728" s="28" t="s">
        <v>1207</v>
      </c>
      <c r="B728" s="40" t="s">
        <v>1208</v>
      </c>
      <c r="C728" s="8" t="s">
        <v>15</v>
      </c>
      <c r="D728" s="22" t="e">
        <f aca="false">сводн.данные!n733</f>
        <v>#NAME?</v>
      </c>
      <c r="E728" s="23" t="n">
        <v>1237.22798776042</v>
      </c>
      <c r="F728" s="24" t="n">
        <v>330</v>
      </c>
      <c r="G728" s="24" t="e">
        <f aca="false">D728-E728</f>
        <v>#NAME?</v>
      </c>
    </row>
    <row r="729" customFormat="false" ht="30" hidden="false" customHeight="false" outlineLevel="0" collapsed="false">
      <c r="A729" s="28" t="s">
        <v>1209</v>
      </c>
      <c r="B729" s="40" t="s">
        <v>1210</v>
      </c>
      <c r="C729" s="8" t="s">
        <v>15</v>
      </c>
      <c r="D729" s="22" t="e">
        <f aca="false">сводн.данные!n734</f>
        <v>#NAME?</v>
      </c>
      <c r="E729" s="23" t="n">
        <v>9010.59260329306</v>
      </c>
      <c r="F729" s="24" t="n">
        <v>1400</v>
      </c>
      <c r="G729" s="24" t="e">
        <f aca="false">D729-E729</f>
        <v>#NAME?</v>
      </c>
    </row>
    <row r="730" customFormat="false" ht="45" hidden="false" customHeight="false" outlineLevel="0" collapsed="false">
      <c r="A730" s="28" t="s">
        <v>1211</v>
      </c>
      <c r="B730" s="40" t="s">
        <v>1212</v>
      </c>
      <c r="C730" s="8" t="s">
        <v>15</v>
      </c>
      <c r="D730" s="22" t="e">
        <f aca="false">сводн.данные!n735</f>
        <v>#NAME?</v>
      </c>
      <c r="E730" s="23" t="n">
        <v>8776.53414244537</v>
      </c>
      <c r="F730" s="24" t="n">
        <v>0</v>
      </c>
      <c r="G730" s="24" t="e">
        <f aca="false">D730-E730</f>
        <v>#NAME?</v>
      </c>
    </row>
    <row r="731" customFormat="false" ht="15" hidden="false" customHeight="false" outlineLevel="0" collapsed="false">
      <c r="A731" s="28" t="s">
        <v>1213</v>
      </c>
      <c r="B731" s="40" t="s">
        <v>1214</v>
      </c>
      <c r="C731" s="8" t="s">
        <v>15</v>
      </c>
      <c r="D731" s="22" t="e">
        <f aca="false">сводн.данные!n736</f>
        <v>#NAME?</v>
      </c>
      <c r="E731" s="23" t="n">
        <v>9107.29029231959</v>
      </c>
      <c r="F731" s="24" t="n">
        <v>1400</v>
      </c>
      <c r="G731" s="24" t="e">
        <f aca="false">D731-E731</f>
        <v>#NAME?</v>
      </c>
    </row>
    <row r="732" customFormat="false" ht="15" hidden="false" customHeight="false" outlineLevel="0" collapsed="false">
      <c r="A732" s="28" t="s">
        <v>1215</v>
      </c>
      <c r="B732" s="40" t="s">
        <v>1216</v>
      </c>
      <c r="C732" s="8" t="s">
        <v>15</v>
      </c>
      <c r="D732" s="22" t="e">
        <f aca="false">сводн.данные!n737</f>
        <v>#NAME?</v>
      </c>
      <c r="E732" s="23" t="n">
        <v>8622.37029231959</v>
      </c>
      <c r="F732" s="24" t="n">
        <v>1400</v>
      </c>
      <c r="G732" s="24" t="e">
        <f aca="false">D732-E732</f>
        <v>#NAME?</v>
      </c>
    </row>
    <row r="733" customFormat="false" ht="15" hidden="false" customHeight="false" outlineLevel="0" collapsed="false">
      <c r="A733" s="28" t="s">
        <v>1217</v>
      </c>
      <c r="B733" s="40" t="s">
        <v>1218</v>
      </c>
      <c r="C733" s="8" t="s">
        <v>15</v>
      </c>
      <c r="D733" s="22" t="e">
        <f aca="false">сводн.данные!n738</f>
        <v>#NAME?</v>
      </c>
      <c r="E733" s="23" t="n">
        <v>8485.39875477086</v>
      </c>
      <c r="F733" s="24" t="n">
        <v>1400</v>
      </c>
      <c r="G733" s="24" t="e">
        <f aca="false">D733-E733</f>
        <v>#NAME?</v>
      </c>
    </row>
    <row r="734" customFormat="false" ht="15" hidden="false" customHeight="false" outlineLevel="0" collapsed="false">
      <c r="A734" s="28" t="s">
        <v>1219</v>
      </c>
      <c r="B734" s="40" t="s">
        <v>1220</v>
      </c>
      <c r="C734" s="8" t="s">
        <v>15</v>
      </c>
      <c r="D734" s="22" t="e">
        <f aca="false">сводн.данные!n739</f>
        <v>#NAME?</v>
      </c>
      <c r="E734" s="23" t="n">
        <v>6631.46721722212</v>
      </c>
      <c r="F734" s="24" t="n">
        <v>1400</v>
      </c>
      <c r="G734" s="24" t="e">
        <f aca="false">D734-E734</f>
        <v>#NAME?</v>
      </c>
    </row>
    <row r="735" customFormat="false" ht="15" hidden="false" customHeight="false" outlineLevel="0" collapsed="false">
      <c r="A735" s="28" t="s">
        <v>1221</v>
      </c>
      <c r="B735" s="40" t="s">
        <v>1222</v>
      </c>
      <c r="C735" s="8" t="s">
        <v>15</v>
      </c>
      <c r="D735" s="22" t="e">
        <f aca="false">сводн.данные!n740</f>
        <v>#NAME?</v>
      </c>
      <c r="E735" s="23" t="n">
        <v>7838.36721722212</v>
      </c>
      <c r="F735" s="24" t="n">
        <v>280</v>
      </c>
      <c r="G735" s="24" t="e">
        <f aca="false">D735-E735</f>
        <v>#NAME?</v>
      </c>
    </row>
    <row r="736" customFormat="false" ht="15" hidden="false" customHeight="false" outlineLevel="0" collapsed="false">
      <c r="A736" s="28" t="s">
        <v>1223</v>
      </c>
      <c r="B736" s="40" t="s">
        <v>1224</v>
      </c>
      <c r="C736" s="8" t="s">
        <v>15</v>
      </c>
      <c r="D736" s="22" t="e">
        <f aca="false">сводн.данные!n741</f>
        <v>#NAME?</v>
      </c>
      <c r="E736" s="23" t="n">
        <v>7838.36721722212</v>
      </c>
      <c r="F736" s="24" t="n">
        <v>280</v>
      </c>
      <c r="G736" s="24" t="e">
        <f aca="false">D736-E736</f>
        <v>#NAME?</v>
      </c>
    </row>
    <row r="737" customFormat="false" ht="15" hidden="false" customHeight="false" outlineLevel="0" collapsed="false">
      <c r="A737" s="28" t="s">
        <v>1225</v>
      </c>
      <c r="B737" s="40" t="s">
        <v>1226</v>
      </c>
      <c r="C737" s="8" t="s">
        <v>15</v>
      </c>
      <c r="D737" s="22" t="e">
        <f aca="false">сводн.данные!n742</f>
        <v>#NAME?</v>
      </c>
      <c r="E737" s="23" t="n">
        <v>7838.36721722212</v>
      </c>
      <c r="F737" s="24" t="n">
        <v>280</v>
      </c>
      <c r="G737" s="24" t="e">
        <f aca="false">D737-E737</f>
        <v>#NAME?</v>
      </c>
    </row>
    <row r="738" customFormat="false" ht="15" hidden="false" customHeight="false" outlineLevel="0" collapsed="false">
      <c r="A738" s="28" t="s">
        <v>1227</v>
      </c>
      <c r="B738" s="40" t="s">
        <v>1228</v>
      </c>
      <c r="C738" s="8" t="s">
        <v>15</v>
      </c>
      <c r="D738" s="22" t="e">
        <f aca="false">сводн.данные!n743</f>
        <v>#NAME?</v>
      </c>
      <c r="E738" s="23" t="n">
        <v>7838.36721722212</v>
      </c>
      <c r="F738" s="24" t="n">
        <v>280</v>
      </c>
      <c r="G738" s="24" t="e">
        <f aca="false">D738-E738</f>
        <v>#NAME?</v>
      </c>
    </row>
    <row r="739" customFormat="false" ht="15" hidden="false" customHeight="false" outlineLevel="0" collapsed="false">
      <c r="A739" s="28" t="s">
        <v>1229</v>
      </c>
      <c r="B739" s="40" t="s">
        <v>1230</v>
      </c>
      <c r="C739" s="8" t="s">
        <v>15</v>
      </c>
      <c r="D739" s="22" t="e">
        <f aca="false">сводн.данные!n744</f>
        <v>#NAME?</v>
      </c>
      <c r="E739" s="23" t="n">
        <v>7838.36721722212</v>
      </c>
      <c r="F739" s="24" t="n">
        <v>280</v>
      </c>
      <c r="G739" s="24" t="e">
        <f aca="false">D739-E739</f>
        <v>#NAME?</v>
      </c>
    </row>
    <row r="740" customFormat="false" ht="15" hidden="false" customHeight="false" outlineLevel="0" collapsed="false">
      <c r="A740" s="28" t="s">
        <v>1231</v>
      </c>
      <c r="B740" s="40" t="s">
        <v>1232</v>
      </c>
      <c r="C740" s="8" t="s">
        <v>15</v>
      </c>
      <c r="D740" s="22" t="e">
        <f aca="false">сводн.данные!n745</f>
        <v>#NAME?</v>
      </c>
      <c r="E740" s="23" t="n">
        <v>7838.36721722212</v>
      </c>
      <c r="F740" s="24" t="n">
        <v>280</v>
      </c>
      <c r="G740" s="24" t="e">
        <f aca="false">D740-E740</f>
        <v>#NAME?</v>
      </c>
    </row>
    <row r="741" customFormat="false" ht="15" hidden="false" customHeight="false" outlineLevel="0" collapsed="false">
      <c r="A741" s="28" t="s">
        <v>1233</v>
      </c>
      <c r="B741" s="40" t="s">
        <v>1234</v>
      </c>
      <c r="C741" s="8" t="s">
        <v>15</v>
      </c>
      <c r="D741" s="22" t="e">
        <f aca="false">сводн.данные!n746</f>
        <v>#NAME?</v>
      </c>
      <c r="E741" s="23" t="n">
        <v>940.373373189933</v>
      </c>
      <c r="F741" s="24" t="n">
        <v>0</v>
      </c>
      <c r="G741" s="24" t="e">
        <f aca="false">D741-E741</f>
        <v>#NAME?</v>
      </c>
    </row>
    <row r="742" customFormat="false" ht="15" hidden="false" customHeight="false" outlineLevel="0" collapsed="false">
      <c r="A742" s="28" t="s">
        <v>1235</v>
      </c>
      <c r="B742" s="40" t="s">
        <v>1236</v>
      </c>
      <c r="C742" s="8" t="s">
        <v>15</v>
      </c>
      <c r="D742" s="22" t="e">
        <f aca="false">сводн.данные!n747</f>
        <v>#NAME?</v>
      </c>
      <c r="E742" s="23" t="n">
        <v>1316.53875669515</v>
      </c>
      <c r="F742" s="24" t="n">
        <v>0</v>
      </c>
      <c r="G742" s="24" t="e">
        <f aca="false">D742-E742</f>
        <v>#NAME?</v>
      </c>
    </row>
    <row r="743" customFormat="false" ht="18" hidden="false" customHeight="true" outlineLevel="0" collapsed="false">
      <c r="A743" s="28" t="s">
        <v>1237</v>
      </c>
      <c r="B743" s="40" t="s">
        <v>1204</v>
      </c>
      <c r="C743" s="8" t="s">
        <v>15</v>
      </c>
      <c r="D743" s="22" t="e">
        <f aca="false">сводн.данные!n748</f>
        <v>#NAME?</v>
      </c>
      <c r="E743" s="23" t="n">
        <v>2298.85029231959</v>
      </c>
      <c r="F743" s="24" t="n">
        <v>280</v>
      </c>
      <c r="G743" s="24" t="e">
        <f aca="false">D743-E743</f>
        <v>#NAME?</v>
      </c>
    </row>
    <row r="744" customFormat="false" ht="30" hidden="false" customHeight="false" outlineLevel="0" collapsed="false">
      <c r="A744" s="28" t="s">
        <v>1238</v>
      </c>
      <c r="B744" s="40" t="s">
        <v>1239</v>
      </c>
      <c r="C744" s="8" t="s">
        <v>15</v>
      </c>
      <c r="D744" s="22" t="e">
        <f aca="false">сводн.данные!n749</f>
        <v>#NAME?</v>
      </c>
      <c r="E744" s="23" t="n">
        <v>8554.75029231959</v>
      </c>
      <c r="F744" s="24" t="n">
        <v>0</v>
      </c>
      <c r="G744" s="24" t="e">
        <f aca="false">D744-E744</f>
        <v>#NAME?</v>
      </c>
    </row>
    <row r="745" customFormat="false" ht="15" hidden="false" customHeight="false" outlineLevel="0" collapsed="false">
      <c r="A745" s="28" t="s">
        <v>1240</v>
      </c>
      <c r="B745" s="40" t="s">
        <v>1241</v>
      </c>
      <c r="C745" s="8" t="s">
        <v>15</v>
      </c>
      <c r="D745" s="22" t="e">
        <f aca="false">сводн.данные!n750</f>
        <v>#NAME?</v>
      </c>
      <c r="E745" s="23" t="n">
        <v>5411.51336741705</v>
      </c>
      <c r="F745" s="24" t="n">
        <v>0</v>
      </c>
      <c r="G745" s="24" t="e">
        <f aca="false">D745-E745</f>
        <v>#NAME?</v>
      </c>
    </row>
    <row r="746" customFormat="false" ht="15" hidden="false" customHeight="false" outlineLevel="0" collapsed="false">
      <c r="A746" s="28" t="s">
        <v>1242</v>
      </c>
      <c r="B746" s="40" t="s">
        <v>1243</v>
      </c>
      <c r="C746" s="8" t="s">
        <v>15</v>
      </c>
      <c r="D746" s="22" t="e">
        <f aca="false">сводн.данные!n751</f>
        <v>#NAME?</v>
      </c>
      <c r="E746" s="23" t="n">
        <v>5416.91336741705</v>
      </c>
      <c r="F746" s="24" t="n">
        <v>0</v>
      </c>
      <c r="G746" s="24" t="e">
        <f aca="false">D746-E746</f>
        <v>#NAME?</v>
      </c>
    </row>
    <row r="747" customFormat="false" ht="15" hidden="false" customHeight="false" outlineLevel="0" collapsed="false">
      <c r="A747" s="28" t="s">
        <v>1244</v>
      </c>
      <c r="B747" s="40" t="s">
        <v>1245</v>
      </c>
      <c r="C747" s="8" t="s">
        <v>15</v>
      </c>
      <c r="D747" s="22" t="e">
        <f aca="false">сводн.данные!n752</f>
        <v>#NAME?</v>
      </c>
      <c r="E747" s="23" t="n">
        <v>5416.91336741705</v>
      </c>
      <c r="F747" s="24" t="n">
        <v>0</v>
      </c>
      <c r="G747" s="24" t="e">
        <f aca="false">D747-E747</f>
        <v>#NAME?</v>
      </c>
    </row>
    <row r="748" customFormat="false" ht="15" hidden="false" customHeight="false" outlineLevel="0" collapsed="false">
      <c r="A748" s="28" t="s">
        <v>1246</v>
      </c>
      <c r="B748" s="40" t="s">
        <v>1247</v>
      </c>
      <c r="C748" s="8" t="s">
        <v>15</v>
      </c>
      <c r="D748" s="22" t="e">
        <f aca="false">сводн.данные!n753</f>
        <v>#NAME?</v>
      </c>
      <c r="E748" s="23" t="n">
        <v>5416.91336741705</v>
      </c>
      <c r="F748" s="24" t="n">
        <v>0</v>
      </c>
      <c r="G748" s="24" t="e">
        <f aca="false">D748-E748</f>
        <v>#NAME?</v>
      </c>
    </row>
    <row r="749" customFormat="false" ht="15" hidden="false" customHeight="false" outlineLevel="0" collapsed="false">
      <c r="A749" s="28" t="s">
        <v>1248</v>
      </c>
      <c r="B749" s="40" t="s">
        <v>1249</v>
      </c>
      <c r="C749" s="8" t="s">
        <v>15</v>
      </c>
      <c r="D749" s="22" t="e">
        <f aca="false">сводн.данные!n754</f>
        <v>#NAME?</v>
      </c>
      <c r="E749" s="23" t="n">
        <v>5411.51336741705</v>
      </c>
      <c r="F749" s="24" t="n">
        <v>0</v>
      </c>
      <c r="G749" s="24" t="e">
        <f aca="false">D749-E749</f>
        <v>#NAME?</v>
      </c>
    </row>
    <row r="750" customFormat="false" ht="15" hidden="false" customHeight="false" outlineLevel="0" collapsed="false">
      <c r="A750" s="28" t="s">
        <v>1250</v>
      </c>
      <c r="B750" s="40" t="s">
        <v>1251</v>
      </c>
      <c r="C750" s="8" t="s">
        <v>15</v>
      </c>
      <c r="D750" s="22" t="e">
        <f aca="false">сводн.данные!n755</f>
        <v>#NAME?</v>
      </c>
      <c r="E750" s="23" t="n">
        <v>5416.91336741705</v>
      </c>
      <c r="F750" s="24" t="n">
        <v>0</v>
      </c>
      <c r="G750" s="24" t="e">
        <f aca="false">D750-E750</f>
        <v>#NAME?</v>
      </c>
    </row>
    <row r="751" customFormat="false" ht="15" hidden="false" customHeight="false" outlineLevel="0" collapsed="false">
      <c r="A751" s="28" t="s">
        <v>1252</v>
      </c>
      <c r="B751" s="40" t="s">
        <v>1253</v>
      </c>
      <c r="C751" s="8" t="s">
        <v>15</v>
      </c>
      <c r="D751" s="22" t="e">
        <f aca="false">сводн.данные!n756</f>
        <v>#NAME?</v>
      </c>
      <c r="E751" s="23" t="n">
        <v>5852.51336741705</v>
      </c>
      <c r="F751" s="24" t="n">
        <v>0</v>
      </c>
      <c r="G751" s="24" t="e">
        <f aca="false">D751-E751</f>
        <v>#NAME?</v>
      </c>
    </row>
    <row r="752" customFormat="false" ht="15" hidden="false" customHeight="false" outlineLevel="0" collapsed="false">
      <c r="A752" s="28" t="s">
        <v>1254</v>
      </c>
      <c r="B752" s="40" t="s">
        <v>1255</v>
      </c>
      <c r="C752" s="8" t="s">
        <v>15</v>
      </c>
      <c r="D752" s="22" t="e">
        <f aca="false">сводн.данные!n757</f>
        <v>#NAME?</v>
      </c>
      <c r="E752" s="23" t="n">
        <v>5756.51336741705</v>
      </c>
      <c r="F752" s="24" t="n">
        <v>0</v>
      </c>
      <c r="G752" s="24" t="e">
        <f aca="false">D752-E752</f>
        <v>#NAME?</v>
      </c>
    </row>
    <row r="753" customFormat="false" ht="15" hidden="false" customHeight="false" outlineLevel="0" collapsed="false">
      <c r="A753" s="28" t="s">
        <v>1256</v>
      </c>
      <c r="B753" s="40" t="s">
        <v>1257</v>
      </c>
      <c r="C753" s="8" t="s">
        <v>15</v>
      </c>
      <c r="D753" s="22" t="e">
        <f aca="false">сводн.данные!n758</f>
        <v>#NAME?</v>
      </c>
      <c r="E753" s="23" t="n">
        <v>5900.51336741705</v>
      </c>
      <c r="F753" s="24" t="n">
        <v>0</v>
      </c>
      <c r="G753" s="24" t="e">
        <f aca="false">D753-E753</f>
        <v>#NAME?</v>
      </c>
    </row>
    <row r="754" customFormat="false" ht="15" hidden="false" customHeight="false" outlineLevel="0" collapsed="false">
      <c r="A754" s="28" t="s">
        <v>1258</v>
      </c>
      <c r="B754" s="40" t="s">
        <v>1259</v>
      </c>
      <c r="C754" s="8" t="s">
        <v>15</v>
      </c>
      <c r="D754" s="22" t="e">
        <f aca="false">сводн.данные!n759</f>
        <v>#NAME?</v>
      </c>
      <c r="E754" s="23" t="n">
        <v>3118.0549052865</v>
      </c>
      <c r="F754" s="24" t="n">
        <v>0</v>
      </c>
      <c r="G754" s="24" t="e">
        <f aca="false">D754-E754</f>
        <v>#NAME?</v>
      </c>
    </row>
    <row r="755" customFormat="false" ht="15" hidden="false" customHeight="false" outlineLevel="0" collapsed="false">
      <c r="A755" s="28" t="s">
        <v>1260</v>
      </c>
      <c r="B755" s="40" t="s">
        <v>1261</v>
      </c>
      <c r="C755" s="8" t="s">
        <v>15</v>
      </c>
      <c r="D755" s="22" t="e">
        <f aca="false">сводн.данные!n760</f>
        <v>#NAME?</v>
      </c>
      <c r="E755" s="23" t="n">
        <v>1262.30567999411</v>
      </c>
      <c r="F755" s="24" t="n">
        <v>0</v>
      </c>
      <c r="G755" s="24" t="e">
        <f aca="false">D755-E755</f>
        <v>#NAME?</v>
      </c>
    </row>
    <row r="756" customFormat="false" ht="15" hidden="false" customHeight="false" outlineLevel="0" collapsed="false">
      <c r="A756" s="28" t="s">
        <v>1262</v>
      </c>
      <c r="B756" s="40" t="s">
        <v>1263</v>
      </c>
      <c r="C756" s="8" t="s">
        <v>15</v>
      </c>
      <c r="D756" s="22" t="e">
        <f aca="false">сводн.данные!n761</f>
        <v>#NAME?</v>
      </c>
      <c r="E756" s="23" t="n">
        <v>5844.86336741705</v>
      </c>
      <c r="F756" s="24" t="n">
        <v>0</v>
      </c>
      <c r="G756" s="24" t="e">
        <f aca="false">D756-E756</f>
        <v>#NAME?</v>
      </c>
    </row>
    <row r="757" customFormat="false" ht="15" hidden="false" customHeight="false" outlineLevel="0" collapsed="false">
      <c r="A757" s="28" t="s">
        <v>1264</v>
      </c>
      <c r="B757" s="40" t="s">
        <v>1265</v>
      </c>
      <c r="C757" s="8" t="s">
        <v>15</v>
      </c>
      <c r="D757" s="22" t="e">
        <f aca="false">сводн.данные!n762</f>
        <v>#NAME?</v>
      </c>
      <c r="E757" s="23" t="n">
        <v>8904.61183339619</v>
      </c>
      <c r="F757" s="24" t="n">
        <v>0</v>
      </c>
      <c r="G757" s="24" t="e">
        <f aca="false">D757-E757</f>
        <v>#NAME?</v>
      </c>
    </row>
    <row r="758" customFormat="false" ht="30" hidden="false" customHeight="false" outlineLevel="0" collapsed="false">
      <c r="A758" s="28" t="s">
        <v>1266</v>
      </c>
      <c r="B758" s="40" t="s">
        <v>1267</v>
      </c>
      <c r="C758" s="8" t="s">
        <v>15</v>
      </c>
      <c r="D758" s="22" t="e">
        <f aca="false">сводн.данные!n763</f>
        <v>#NAME?</v>
      </c>
      <c r="E758" s="23" t="n">
        <v>8489.13260136877</v>
      </c>
      <c r="F758" s="24" t="n">
        <v>0</v>
      </c>
      <c r="G758" s="24" t="e">
        <f aca="false">D758-E758</f>
        <v>#NAME?</v>
      </c>
    </row>
    <row r="759" customFormat="false" ht="30" hidden="false" customHeight="false" outlineLevel="0" collapsed="false">
      <c r="A759" s="28" t="s">
        <v>1268</v>
      </c>
      <c r="B759" s="40" t="s">
        <v>1269</v>
      </c>
      <c r="C759" s="8" t="s">
        <v>15</v>
      </c>
      <c r="D759" s="22" t="e">
        <f aca="false">сводн.данные!n764</f>
        <v>#NAME?</v>
      </c>
      <c r="E759" s="23" t="n">
        <v>8382.79875477086</v>
      </c>
      <c r="F759" s="24" t="n">
        <v>0</v>
      </c>
      <c r="G759" s="24" t="e">
        <f aca="false">D759-E759</f>
        <v>#NAME?</v>
      </c>
    </row>
    <row r="760" customFormat="false" ht="14.25" hidden="false" customHeight="true" outlineLevel="0" collapsed="false">
      <c r="A760" s="28" t="s">
        <v>1270</v>
      </c>
      <c r="B760" s="40" t="s">
        <v>1271</v>
      </c>
      <c r="C760" s="8" t="s">
        <v>15</v>
      </c>
      <c r="D760" s="22" t="e">
        <f aca="false">сводн.данные!n765</f>
        <v>#NAME?</v>
      </c>
      <c r="E760" s="23" t="n">
        <v>3063.54182986832</v>
      </c>
      <c r="F760" s="24" t="n">
        <v>0</v>
      </c>
      <c r="G760" s="24" t="e">
        <f aca="false">D760-E760</f>
        <v>#NAME?</v>
      </c>
    </row>
    <row r="761" customFormat="false" ht="16.5" hidden="false" customHeight="true" outlineLevel="0" collapsed="false">
      <c r="A761" s="28" t="s">
        <v>1272</v>
      </c>
      <c r="B761" s="40" t="s">
        <v>1273</v>
      </c>
      <c r="C761" s="8" t="s">
        <v>15</v>
      </c>
      <c r="D761" s="22" t="e">
        <f aca="false">сводн.данные!n766</f>
        <v>#NAME?</v>
      </c>
      <c r="E761" s="23" t="n">
        <v>2917.43336741705</v>
      </c>
      <c r="F761" s="24" t="n">
        <v>0</v>
      </c>
      <c r="G761" s="24" t="e">
        <f aca="false">D761-E761</f>
        <v>#NAME?</v>
      </c>
    </row>
    <row r="762" customFormat="false" ht="15" hidden="false" customHeight="false" outlineLevel="0" collapsed="false">
      <c r="A762" s="28" t="s">
        <v>1274</v>
      </c>
      <c r="B762" s="40" t="s">
        <v>1275</v>
      </c>
      <c r="C762" s="8" t="s">
        <v>15</v>
      </c>
      <c r="D762" s="22" t="e">
        <f aca="false">сводн.данные!n767</f>
        <v>#NAME?</v>
      </c>
      <c r="E762" s="23" t="n">
        <v>2251.61336934135</v>
      </c>
      <c r="F762" s="24" t="n">
        <v>0</v>
      </c>
      <c r="G762" s="24" t="e">
        <f aca="false">D762-E762</f>
        <v>#NAME?</v>
      </c>
    </row>
    <row r="763" customFormat="false" ht="30" hidden="false" customHeight="false" outlineLevel="0" collapsed="false">
      <c r="A763" s="28" t="s">
        <v>1276</v>
      </c>
      <c r="B763" s="40" t="s">
        <v>1277</v>
      </c>
      <c r="C763" s="8" t="s">
        <v>15</v>
      </c>
      <c r="D763" s="22" t="e">
        <f aca="false">сводн.данные!n768</f>
        <v>#NAME?</v>
      </c>
      <c r="E763" s="23" t="n">
        <v>7678.45029231959</v>
      </c>
      <c r="F763" s="24" t="n">
        <v>0</v>
      </c>
      <c r="G763" s="24" t="e">
        <f aca="false">D763-E763</f>
        <v>#NAME?</v>
      </c>
    </row>
    <row r="764" customFormat="false" ht="15" hidden="false" customHeight="false" outlineLevel="0" collapsed="false">
      <c r="A764" s="28" t="s">
        <v>1278</v>
      </c>
      <c r="B764" s="40" t="s">
        <v>1279</v>
      </c>
      <c r="C764" s="8" t="s">
        <v>15</v>
      </c>
      <c r="D764" s="22" t="e">
        <f aca="false">сводн.данные!n769</f>
        <v>#NAME?</v>
      </c>
      <c r="E764" s="23" t="n">
        <v>5091.36690733908</v>
      </c>
      <c r="F764" s="24" t="n">
        <v>0</v>
      </c>
      <c r="G764" s="24" t="e">
        <f aca="false">D764-E764</f>
        <v>#NAME?</v>
      </c>
    </row>
    <row r="765" customFormat="false" ht="27.75" hidden="false" customHeight="true" outlineLevel="0" collapsed="false">
      <c r="A765" s="28" t="s">
        <v>1280</v>
      </c>
      <c r="B765" s="40" t="s">
        <v>1281</v>
      </c>
      <c r="C765" s="8" t="s">
        <v>15</v>
      </c>
      <c r="D765" s="48" t="e">
        <f aca="false">сводн.данные!n770</f>
        <v>#NAME?</v>
      </c>
      <c r="E765" s="56" t="n">
        <v>0</v>
      </c>
      <c r="F765" s="57" t="n">
        <v>504000</v>
      </c>
      <c r="G765" s="57" t="e">
        <f aca="false">D765-E765</f>
        <v>#NAME?</v>
      </c>
    </row>
    <row r="766" customFormat="false" ht="15" hidden="false" customHeight="false" outlineLevel="0" collapsed="false">
      <c r="A766" s="68" t="s">
        <v>1282</v>
      </c>
      <c r="B766" s="11" t="s">
        <v>1283</v>
      </c>
      <c r="C766" s="12"/>
      <c r="D766" s="69"/>
      <c r="E766" s="70"/>
      <c r="F766" s="71"/>
      <c r="G766" s="71"/>
    </row>
    <row r="767" customFormat="false" ht="45" hidden="false" customHeight="false" outlineLevel="0" collapsed="false">
      <c r="A767" s="28" t="s">
        <v>1284</v>
      </c>
      <c r="B767" s="59" t="s">
        <v>1285</v>
      </c>
      <c r="C767" s="8" t="s">
        <v>15</v>
      </c>
      <c r="D767" s="22" t="e">
        <f aca="false">сводн.данные!n772</f>
        <v>#NAME?</v>
      </c>
      <c r="E767" s="23" t="n">
        <v>736</v>
      </c>
      <c r="F767" s="24" t="n">
        <v>640</v>
      </c>
      <c r="G767" s="24" t="e">
        <f aca="false">D767-E767</f>
        <v>#NAME?</v>
      </c>
    </row>
    <row r="768" customFormat="false" ht="30" hidden="false" customHeight="false" outlineLevel="0" collapsed="false">
      <c r="A768" s="28" t="s">
        <v>1286</v>
      </c>
      <c r="B768" s="59" t="s">
        <v>1287</v>
      </c>
      <c r="C768" s="8" t="s">
        <v>15</v>
      </c>
      <c r="D768" s="22" t="e">
        <f aca="false">сводн.данные!n773</f>
        <v>#NAME?</v>
      </c>
      <c r="E768" s="23" t="n">
        <v>605</v>
      </c>
      <c r="F768" s="24" t="n">
        <v>895</v>
      </c>
      <c r="G768" s="24" t="e">
        <f aca="false">D768-E768</f>
        <v>#NAME?</v>
      </c>
    </row>
    <row r="769" customFormat="false" ht="30" hidden="false" customHeight="false" outlineLevel="0" collapsed="false">
      <c r="A769" s="28" t="s">
        <v>1288</v>
      </c>
      <c r="B769" s="59" t="s">
        <v>1289</v>
      </c>
      <c r="C769" s="8" t="s">
        <v>15</v>
      </c>
      <c r="D769" s="22" t="e">
        <f aca="false">сводн.данные!n774</f>
        <v>#NAME?</v>
      </c>
      <c r="E769" s="23" t="n">
        <v>566</v>
      </c>
      <c r="F769" s="24" t="n">
        <v>915</v>
      </c>
      <c r="G769" s="24" t="e">
        <f aca="false">D769-E769</f>
        <v>#NAME?</v>
      </c>
    </row>
    <row r="770" customFormat="false" ht="30" hidden="false" customHeight="false" outlineLevel="0" collapsed="false">
      <c r="A770" s="28" t="s">
        <v>1290</v>
      </c>
      <c r="B770" s="59" t="s">
        <v>1291</v>
      </c>
      <c r="C770" s="8" t="s">
        <v>15</v>
      </c>
      <c r="D770" s="22" t="e">
        <f aca="false">сводн.данные!n775</f>
        <v>#NAME?</v>
      </c>
      <c r="E770" s="23" t="n">
        <v>550</v>
      </c>
      <c r="F770" s="24" t="n">
        <v>650</v>
      </c>
      <c r="G770" s="24" t="e">
        <f aca="false">D770-E770</f>
        <v>#NAME?</v>
      </c>
    </row>
    <row r="771" customFormat="false" ht="15" hidden="false" customHeight="false" outlineLevel="0" collapsed="false">
      <c r="A771" s="28" t="s">
        <v>1292</v>
      </c>
      <c r="B771" s="59" t="s">
        <v>1293</v>
      </c>
      <c r="C771" s="8" t="s">
        <v>15</v>
      </c>
      <c r="D771" s="22" t="e">
        <f aca="false">сводн.данные!n776</f>
        <v>#NAME?</v>
      </c>
      <c r="E771" s="23" t="n">
        <v>395</v>
      </c>
      <c r="F771" s="24" t="n">
        <v>425</v>
      </c>
      <c r="G771" s="24" t="e">
        <f aca="false">D771-E771</f>
        <v>#NAME?</v>
      </c>
    </row>
    <row r="772" customFormat="false" ht="15" hidden="false" customHeight="false" outlineLevel="0" collapsed="false">
      <c r="A772" s="28" t="s">
        <v>1294</v>
      </c>
      <c r="B772" s="59" t="s">
        <v>1295</v>
      </c>
      <c r="C772" s="8" t="s">
        <v>15</v>
      </c>
      <c r="D772" s="22" t="e">
        <f aca="false">сводн.данные!n777</f>
        <v>#NAME?</v>
      </c>
      <c r="E772" s="23" t="n">
        <v>941</v>
      </c>
      <c r="F772" s="24" t="n">
        <v>390</v>
      </c>
      <c r="G772" s="24" t="e">
        <f aca="false">D772-E772</f>
        <v>#NAME?</v>
      </c>
    </row>
    <row r="773" customFormat="false" ht="17.25" hidden="false" customHeight="true" outlineLevel="0" collapsed="false">
      <c r="A773" s="28" t="s">
        <v>1296</v>
      </c>
      <c r="B773" s="59" t="s">
        <v>1297</v>
      </c>
      <c r="C773" s="8" t="s">
        <v>15</v>
      </c>
      <c r="D773" s="22" t="e">
        <f aca="false">сводн.данные!n778</f>
        <v>#NAME?</v>
      </c>
      <c r="E773" s="23" t="n">
        <v>941</v>
      </c>
      <c r="F773" s="24" t="n">
        <v>520</v>
      </c>
      <c r="G773" s="24" t="e">
        <f aca="false">D773-E773</f>
        <v>#NAME?</v>
      </c>
    </row>
    <row r="774" customFormat="false" ht="15" hidden="false" customHeight="false" outlineLevel="0" collapsed="false">
      <c r="A774" s="28" t="s">
        <v>1298</v>
      </c>
      <c r="B774" s="59" t="s">
        <v>1299</v>
      </c>
      <c r="C774" s="8" t="s">
        <v>15</v>
      </c>
      <c r="D774" s="22" t="e">
        <f aca="false">сводн.данные!n779</f>
        <v>#NAME?</v>
      </c>
      <c r="E774" s="23" t="n">
        <v>1189</v>
      </c>
      <c r="F774" s="24" t="n">
        <v>635</v>
      </c>
      <c r="G774" s="24" t="e">
        <f aca="false">D774-E774</f>
        <v>#NAME?</v>
      </c>
    </row>
    <row r="775" customFormat="false" ht="15.75" hidden="false" customHeight="true" outlineLevel="0" collapsed="false">
      <c r="A775" s="28" t="s">
        <v>1300</v>
      </c>
      <c r="B775" s="59" t="s">
        <v>1301</v>
      </c>
      <c r="C775" s="8" t="s">
        <v>15</v>
      </c>
      <c r="D775" s="22" t="e">
        <f aca="false">сводн.данные!n780</f>
        <v>#NAME?</v>
      </c>
      <c r="E775" s="23" t="n">
        <v>806</v>
      </c>
      <c r="F775" s="24" t="n">
        <v>0</v>
      </c>
      <c r="G775" s="24" t="e">
        <f aca="false">D775-E775</f>
        <v>#NAME?</v>
      </c>
    </row>
    <row r="776" customFormat="false" ht="30" hidden="false" customHeight="false" outlineLevel="0" collapsed="false">
      <c r="A776" s="28" t="s">
        <v>1302</v>
      </c>
      <c r="B776" s="59" t="s">
        <v>1303</v>
      </c>
      <c r="C776" s="8" t="s">
        <v>15</v>
      </c>
      <c r="D776" s="22" t="e">
        <f aca="false">сводн.данные!n781</f>
        <v>#NAME?</v>
      </c>
      <c r="E776" s="23" t="n">
        <v>806</v>
      </c>
      <c r="F776" s="24" t="n">
        <v>860</v>
      </c>
      <c r="G776" s="24" t="e">
        <f aca="false">D776-E776</f>
        <v>#NAME?</v>
      </c>
    </row>
    <row r="777" customFormat="false" ht="15" hidden="false" customHeight="false" outlineLevel="0" collapsed="false">
      <c r="A777" s="28" t="s">
        <v>1304</v>
      </c>
      <c r="B777" s="59" t="s">
        <v>1305</v>
      </c>
      <c r="C777" s="8" t="s">
        <v>15</v>
      </c>
      <c r="D777" s="22" t="e">
        <f aca="false">сводн.данные!n782</f>
        <v>#NAME?</v>
      </c>
      <c r="E777" s="23" t="n">
        <v>806</v>
      </c>
      <c r="F777" s="24" t="n">
        <v>945</v>
      </c>
      <c r="G777" s="24" t="e">
        <f aca="false">D777-E777</f>
        <v>#NAME?</v>
      </c>
    </row>
    <row r="778" customFormat="false" ht="15" hidden="false" customHeight="false" outlineLevel="0" collapsed="false">
      <c r="A778" s="28" t="s">
        <v>1306</v>
      </c>
      <c r="B778" s="59" t="s">
        <v>1307</v>
      </c>
      <c r="C778" s="8" t="s">
        <v>15</v>
      </c>
      <c r="D778" s="22" t="e">
        <f aca="false">сводн.данные!n783</f>
        <v>#NAME?</v>
      </c>
      <c r="E778" s="23" t="n">
        <v>1040</v>
      </c>
      <c r="F778" s="24" t="n">
        <v>2125</v>
      </c>
      <c r="G778" s="24" t="e">
        <f aca="false">D778-E778</f>
        <v>#NAME?</v>
      </c>
    </row>
    <row r="779" customFormat="false" ht="15" hidden="false" customHeight="false" outlineLevel="0" collapsed="false">
      <c r="A779" s="28" t="s">
        <v>1308</v>
      </c>
      <c r="B779" s="59" t="s">
        <v>1309</v>
      </c>
      <c r="C779" s="8" t="s">
        <v>15</v>
      </c>
      <c r="D779" s="22" t="e">
        <f aca="false">сводн.данные!n784</f>
        <v>#NAME?</v>
      </c>
      <c r="E779" s="23" t="n">
        <v>1228</v>
      </c>
      <c r="F779" s="24" t="n">
        <v>860</v>
      </c>
      <c r="G779" s="24" t="e">
        <f aca="false">D779-E779</f>
        <v>#NAME?</v>
      </c>
    </row>
    <row r="780" customFormat="false" ht="15" hidden="false" customHeight="false" outlineLevel="0" collapsed="false">
      <c r="A780" s="28" t="s">
        <v>1310</v>
      </c>
      <c r="B780" s="72" t="s">
        <v>1311</v>
      </c>
      <c r="C780" s="8" t="s">
        <v>15</v>
      </c>
      <c r="D780" s="22" t="e">
        <f aca="false">сводн.данные!n785</f>
        <v>#NAME?</v>
      </c>
      <c r="E780" s="23" t="n">
        <v>928</v>
      </c>
      <c r="F780" s="24" t="n">
        <v>1385</v>
      </c>
      <c r="G780" s="24" t="e">
        <f aca="false">D780-E780</f>
        <v>#NAME?</v>
      </c>
    </row>
    <row r="781" customFormat="false" ht="15" hidden="false" customHeight="false" outlineLevel="0" collapsed="false">
      <c r="A781" s="28" t="s">
        <v>1312</v>
      </c>
      <c r="B781" s="59" t="s">
        <v>1313</v>
      </c>
      <c r="C781" s="8" t="s">
        <v>15</v>
      </c>
      <c r="D781" s="22" t="e">
        <f aca="false">сводн.данные!n786</f>
        <v>#NAME?</v>
      </c>
      <c r="E781" s="23" t="n">
        <v>1199</v>
      </c>
      <c r="F781" s="24" t="n">
        <v>1385</v>
      </c>
      <c r="G781" s="24" t="e">
        <f aca="false">D781-E781</f>
        <v>#NAME?</v>
      </c>
    </row>
    <row r="782" customFormat="false" ht="15" hidden="false" customHeight="false" outlineLevel="0" collapsed="false">
      <c r="A782" s="28" t="s">
        <v>1314</v>
      </c>
      <c r="B782" s="59" t="s">
        <v>1315</v>
      </c>
      <c r="C782" s="8" t="s">
        <v>15</v>
      </c>
      <c r="D782" s="22" t="e">
        <f aca="false">сводн.данные!n787</f>
        <v>#NAME?</v>
      </c>
      <c r="E782" s="23" t="n">
        <v>1145</v>
      </c>
      <c r="F782" s="24" t="n">
        <v>1925</v>
      </c>
      <c r="G782" s="24" t="e">
        <f aca="false">D782-E782</f>
        <v>#NAME?</v>
      </c>
    </row>
    <row r="783" customFormat="false" ht="15" hidden="false" customHeight="false" outlineLevel="0" collapsed="false">
      <c r="A783" s="28" t="s">
        <v>1316</v>
      </c>
      <c r="B783" s="41" t="s">
        <v>1317</v>
      </c>
      <c r="C783" s="8" t="s">
        <v>15</v>
      </c>
      <c r="D783" s="22" t="e">
        <f aca="false">сводн.данные!n788</f>
        <v>#NAME?</v>
      </c>
      <c r="E783" s="23" t="n">
        <v>643</v>
      </c>
      <c r="F783" s="24" t="n">
        <v>415</v>
      </c>
      <c r="G783" s="24" t="e">
        <f aca="false">D783-E783</f>
        <v>#NAME?</v>
      </c>
    </row>
    <row r="784" s="75" customFormat="true" ht="45" hidden="false" customHeight="false" outlineLevel="0" collapsed="false">
      <c r="A784" s="28" t="s">
        <v>1318</v>
      </c>
      <c r="B784" s="53" t="s">
        <v>1319</v>
      </c>
      <c r="C784" s="8" t="s">
        <v>15</v>
      </c>
      <c r="D784" s="26" t="e">
        <f aca="false">сводн.данные!n789</f>
        <v>#NAME?</v>
      </c>
      <c r="E784" s="73" t="n">
        <v>150</v>
      </c>
      <c r="F784" s="74" t="n">
        <v>0</v>
      </c>
      <c r="G784" s="74" t="e">
        <f aca="false">D784-E784</f>
        <v>#NAME?</v>
      </c>
    </row>
    <row r="785" customFormat="false" ht="28.5" hidden="false" customHeight="false" outlineLevel="0" collapsed="false">
      <c r="A785" s="68" t="s">
        <v>1320</v>
      </c>
      <c r="B785" s="76" t="s">
        <v>1321</v>
      </c>
      <c r="C785" s="12"/>
      <c r="D785" s="69"/>
      <c r="E785" s="70"/>
      <c r="F785" s="71"/>
      <c r="G785" s="71"/>
    </row>
    <row r="786" customFormat="false" ht="57" hidden="false" customHeight="false" outlineLevel="0" collapsed="false">
      <c r="A786" s="77" t="s">
        <v>1322</v>
      </c>
      <c r="B786" s="54" t="s">
        <v>1323</v>
      </c>
      <c r="C786" s="17"/>
      <c r="D786" s="32"/>
      <c r="E786" s="33"/>
      <c r="F786" s="34"/>
      <c r="G786" s="34"/>
    </row>
    <row r="787" customFormat="false" ht="15" hidden="false" customHeight="false" outlineLevel="0" collapsed="false">
      <c r="A787" s="28" t="s">
        <v>1324</v>
      </c>
      <c r="B787" s="29" t="s">
        <v>327</v>
      </c>
      <c r="C787" s="8" t="s">
        <v>15</v>
      </c>
      <c r="D787" s="22" t="e">
        <f aca="false">сводн.данные!n792</f>
        <v>#NAME?</v>
      </c>
      <c r="E787" s="23" t="n">
        <v>806.824613608345</v>
      </c>
      <c r="F787" s="24" t="n">
        <v>285</v>
      </c>
      <c r="G787" s="24" t="e">
        <f aca="false">D787-E787</f>
        <v>#NAME?</v>
      </c>
    </row>
    <row r="788" customFormat="false" ht="15" hidden="false" customHeight="false" outlineLevel="0" collapsed="false">
      <c r="A788" s="28" t="s">
        <v>1325</v>
      </c>
      <c r="B788" s="29" t="s">
        <v>1326</v>
      </c>
      <c r="C788" s="8" t="s">
        <v>15</v>
      </c>
      <c r="D788" s="22" t="e">
        <f aca="false">сводн.данные!n793</f>
        <v>#NAME?</v>
      </c>
      <c r="E788" s="23" t="n">
        <v>903.580382061996</v>
      </c>
      <c r="F788" s="24" t="n">
        <v>800</v>
      </c>
      <c r="G788" s="24" t="e">
        <f aca="false">D788-E788</f>
        <v>#NAME?</v>
      </c>
    </row>
    <row r="789" customFormat="false" ht="15" hidden="false" customHeight="false" outlineLevel="0" collapsed="false">
      <c r="A789" s="28" t="s">
        <v>1327</v>
      </c>
      <c r="B789" s="29" t="s">
        <v>1328</v>
      </c>
      <c r="C789" s="8" t="s">
        <v>15</v>
      </c>
      <c r="D789" s="22" t="e">
        <f aca="false">сводн.данные!n794</f>
        <v>#NAME?</v>
      </c>
      <c r="E789" s="23" t="n">
        <v>920.198767010431</v>
      </c>
      <c r="F789" s="24" t="n">
        <v>405</v>
      </c>
      <c r="G789" s="24" t="e">
        <f aca="false">D789-E789</f>
        <v>#NAME?</v>
      </c>
    </row>
    <row r="790" customFormat="false" ht="15" hidden="false" customHeight="false" outlineLevel="0" collapsed="false">
      <c r="A790" s="28" t="s">
        <v>1329</v>
      </c>
      <c r="B790" s="78" t="s">
        <v>1330</v>
      </c>
      <c r="C790" s="8" t="s">
        <v>15</v>
      </c>
      <c r="D790" s="22" t="e">
        <f aca="false">сводн.данные!n795</f>
        <v>#NAME?</v>
      </c>
      <c r="E790" s="23" t="n">
        <v>865.180382061996</v>
      </c>
      <c r="F790" s="24" t="n">
        <v>0</v>
      </c>
      <c r="G790" s="24" t="e">
        <f aca="false">D790-E790</f>
        <v>#NAME?</v>
      </c>
    </row>
    <row r="791" customFormat="false" ht="15" hidden="false" customHeight="false" outlineLevel="0" collapsed="false">
      <c r="A791" s="28" t="s">
        <v>1331</v>
      </c>
      <c r="B791" s="78" t="s">
        <v>1332</v>
      </c>
      <c r="C791" s="8" t="s">
        <v>15</v>
      </c>
      <c r="D791" s="22" t="e">
        <f aca="false">сводн.данные!n796</f>
        <v>#NAME?</v>
      </c>
      <c r="E791" s="23" t="n">
        <v>865.180382061996</v>
      </c>
      <c r="F791" s="24" t="n">
        <v>0</v>
      </c>
      <c r="G791" s="24" t="e">
        <f aca="false">D791-E791</f>
        <v>#NAME?</v>
      </c>
    </row>
    <row r="792" customFormat="false" ht="15" hidden="false" customHeight="false" outlineLevel="0" collapsed="false">
      <c r="A792" s="28" t="s">
        <v>1333</v>
      </c>
      <c r="B792" s="29" t="s">
        <v>1334</v>
      </c>
      <c r="C792" s="8" t="s">
        <v>15</v>
      </c>
      <c r="D792" s="22" t="e">
        <f aca="false">сводн.данные!n797</f>
        <v>#NAME?</v>
      </c>
      <c r="E792" s="23" t="n">
        <v>898.528749408935</v>
      </c>
      <c r="F792" s="24" t="n">
        <v>300</v>
      </c>
      <c r="G792" s="24" t="e">
        <f aca="false">D792-E792</f>
        <v>#NAME?</v>
      </c>
    </row>
    <row r="793" customFormat="false" ht="15" hidden="false" customHeight="false" outlineLevel="0" collapsed="false">
      <c r="A793" s="28" t="s">
        <v>1335</v>
      </c>
      <c r="B793" s="29" t="s">
        <v>1336</v>
      </c>
      <c r="C793" s="8" t="s">
        <v>15</v>
      </c>
      <c r="D793" s="22" t="e">
        <f aca="false">сводн.данные!n798</f>
        <v>#NAME?</v>
      </c>
      <c r="E793" s="23" t="n">
        <v>1821.51230487988</v>
      </c>
      <c r="F793" s="24" t="n">
        <v>1190</v>
      </c>
      <c r="G793" s="24" t="e">
        <f aca="false">D793-E793</f>
        <v>#NAME?</v>
      </c>
    </row>
    <row r="794" customFormat="false" ht="15" hidden="false" customHeight="false" outlineLevel="0" collapsed="false">
      <c r="A794" s="28" t="s">
        <v>1337</v>
      </c>
      <c r="B794" s="29" t="s">
        <v>1338</v>
      </c>
      <c r="C794" s="8" t="s">
        <v>15</v>
      </c>
      <c r="D794" s="22" t="e">
        <f aca="false">сводн.данные!n799</f>
        <v>#NAME?</v>
      </c>
      <c r="E794" s="23" t="n">
        <v>2273.62282562891</v>
      </c>
      <c r="F794" s="24" t="n">
        <v>1045</v>
      </c>
      <c r="G794" s="24" t="e">
        <f aca="false">D794-E794</f>
        <v>#NAME?</v>
      </c>
    </row>
    <row r="795" customFormat="false" ht="15" hidden="false" customHeight="false" outlineLevel="0" collapsed="false">
      <c r="A795" s="28" t="s">
        <v>1339</v>
      </c>
      <c r="B795" s="29" t="s">
        <v>1340</v>
      </c>
      <c r="C795" s="8" t="s">
        <v>15</v>
      </c>
      <c r="D795" s="22" t="e">
        <f aca="false">сводн.данные!n800</f>
        <v>#NAME?</v>
      </c>
      <c r="E795" s="23" t="n">
        <v>2220.25027286825</v>
      </c>
      <c r="F795" s="24" t="n">
        <v>1045</v>
      </c>
      <c r="G795" s="24" t="e">
        <f aca="false">D795-E795</f>
        <v>#NAME?</v>
      </c>
    </row>
    <row r="796" customFormat="false" ht="15" hidden="false" customHeight="false" outlineLevel="0" collapsed="false">
      <c r="A796" s="28" t="s">
        <v>1341</v>
      </c>
      <c r="B796" s="29" t="s">
        <v>1342</v>
      </c>
      <c r="C796" s="8" t="s">
        <v>15</v>
      </c>
      <c r="D796" s="22" t="e">
        <f aca="false">сводн.данные!n801</f>
        <v>#NAME?</v>
      </c>
      <c r="E796" s="23" t="n">
        <v>2268.66744052011</v>
      </c>
      <c r="F796" s="24" t="n">
        <v>1065</v>
      </c>
      <c r="G796" s="24" t="e">
        <f aca="false">D796-E796</f>
        <v>#NAME?</v>
      </c>
    </row>
    <row r="797" customFormat="false" ht="15" hidden="false" customHeight="false" outlineLevel="0" collapsed="false">
      <c r="A797" s="28" t="s">
        <v>1343</v>
      </c>
      <c r="B797" s="29" t="s">
        <v>1344</v>
      </c>
      <c r="C797" s="8" t="s">
        <v>15</v>
      </c>
      <c r="D797" s="22" t="e">
        <f aca="false">сводн.данные!n802</f>
        <v>#NAME?</v>
      </c>
      <c r="E797" s="23" t="n">
        <v>2274.52990265066</v>
      </c>
      <c r="F797" s="24" t="n">
        <v>1015</v>
      </c>
      <c r="G797" s="24" t="e">
        <f aca="false">D797-E797</f>
        <v>#NAME?</v>
      </c>
    </row>
    <row r="798" customFormat="false" ht="15" hidden="false" customHeight="false" outlineLevel="0" collapsed="false">
      <c r="A798" s="28" t="s">
        <v>1345</v>
      </c>
      <c r="B798" s="29" t="s">
        <v>119</v>
      </c>
      <c r="C798" s="8" t="s">
        <v>15</v>
      </c>
      <c r="D798" s="22" t="e">
        <f aca="false">сводн.данные!n803</f>
        <v>#NAME?</v>
      </c>
      <c r="E798" s="23" t="n">
        <v>1778.52082851534</v>
      </c>
      <c r="F798" s="24" t="n">
        <v>1055</v>
      </c>
      <c r="G798" s="24" t="e">
        <f aca="false">D798-E798</f>
        <v>#NAME?</v>
      </c>
    </row>
    <row r="799" customFormat="false" ht="15" hidden="false" customHeight="false" outlineLevel="0" collapsed="false">
      <c r="A799" s="28" t="s">
        <v>1346</v>
      </c>
      <c r="B799" s="29" t="s">
        <v>115</v>
      </c>
      <c r="C799" s="8" t="s">
        <v>15</v>
      </c>
      <c r="D799" s="22" t="e">
        <f aca="false">сводн.данные!n804</f>
        <v>#NAME?</v>
      </c>
      <c r="E799" s="23" t="n">
        <v>1730.43759712935</v>
      </c>
      <c r="F799" s="24" t="n">
        <v>1045</v>
      </c>
      <c r="G799" s="24" t="e">
        <f aca="false">D799-E799</f>
        <v>#NAME?</v>
      </c>
    </row>
    <row r="800" customFormat="false" ht="15" hidden="false" customHeight="false" outlineLevel="0" collapsed="false">
      <c r="A800" s="28" t="s">
        <v>1347</v>
      </c>
      <c r="B800" s="29" t="s">
        <v>1348</v>
      </c>
      <c r="C800" s="8" t="s">
        <v>15</v>
      </c>
      <c r="D800" s="22" t="e">
        <f aca="false">сводн.данные!n805</f>
        <v>#NAME?</v>
      </c>
      <c r="E800" s="23" t="n">
        <v>1744.91347479254</v>
      </c>
      <c r="F800" s="24" t="n">
        <v>1025</v>
      </c>
      <c r="G800" s="24" t="e">
        <f aca="false">D800-E800</f>
        <v>#NAME?</v>
      </c>
    </row>
    <row r="801" customFormat="false" ht="15" hidden="false" customHeight="false" outlineLevel="0" collapsed="false">
      <c r="A801" s="28" t="s">
        <v>1349</v>
      </c>
      <c r="B801" s="29" t="s">
        <v>77</v>
      </c>
      <c r="C801" s="8" t="s">
        <v>15</v>
      </c>
      <c r="D801" s="22" t="e">
        <f aca="false">сводн.данные!n806</f>
        <v>#NAME?</v>
      </c>
      <c r="E801" s="23" t="n">
        <v>2624.90528775946</v>
      </c>
      <c r="F801" s="24" t="n">
        <v>900</v>
      </c>
      <c r="G801" s="24" t="e">
        <f aca="false">D801-E801</f>
        <v>#NAME?</v>
      </c>
    </row>
    <row r="802" customFormat="false" ht="15" hidden="false" customHeight="false" outlineLevel="0" collapsed="false">
      <c r="A802" s="28" t="s">
        <v>1350</v>
      </c>
      <c r="B802" s="29" t="s">
        <v>83</v>
      </c>
      <c r="C802" s="8" t="s">
        <v>15</v>
      </c>
      <c r="D802" s="22" t="e">
        <f aca="false">сводн.данные!n807</f>
        <v>#NAME?</v>
      </c>
      <c r="E802" s="23" t="n">
        <v>2695.65482819463</v>
      </c>
      <c r="F802" s="24" t="n">
        <v>2200</v>
      </c>
      <c r="G802" s="24" t="e">
        <f aca="false">D802-E802</f>
        <v>#NAME?</v>
      </c>
    </row>
    <row r="803" customFormat="false" ht="15" hidden="false" customHeight="false" outlineLevel="0" collapsed="false">
      <c r="A803" s="28" t="s">
        <v>1351</v>
      </c>
      <c r="B803" s="29" t="s">
        <v>1352</v>
      </c>
      <c r="C803" s="8" t="s">
        <v>15</v>
      </c>
      <c r="D803" s="22" t="e">
        <f aca="false">сводн.данные!n808</f>
        <v>#NAME?</v>
      </c>
      <c r="E803" s="23" t="n">
        <v>2655.83427415111</v>
      </c>
      <c r="F803" s="24" t="n">
        <v>2200</v>
      </c>
      <c r="G803" s="24" t="e">
        <f aca="false">D803-E803</f>
        <v>#NAME?</v>
      </c>
    </row>
    <row r="804" customFormat="false" ht="15" hidden="false" customHeight="false" outlineLevel="0" collapsed="false">
      <c r="A804" s="28" t="s">
        <v>1353</v>
      </c>
      <c r="B804" s="29" t="s">
        <v>187</v>
      </c>
      <c r="C804" s="8" t="s">
        <v>15</v>
      </c>
      <c r="D804" s="22" t="e">
        <f aca="false">сводн.данные!n809</f>
        <v>#NAME?</v>
      </c>
      <c r="E804" s="23" t="n">
        <v>2450.29298223815</v>
      </c>
      <c r="F804" s="24" t="n">
        <v>2730</v>
      </c>
      <c r="G804" s="24" t="e">
        <f aca="false">D804-E804</f>
        <v>#NAME?</v>
      </c>
    </row>
    <row r="805" customFormat="false" ht="15" hidden="false" customHeight="false" outlineLevel="0" collapsed="false">
      <c r="A805" s="28" t="s">
        <v>1354</v>
      </c>
      <c r="B805" s="78" t="s">
        <v>547</v>
      </c>
      <c r="C805" s="8" t="s">
        <v>15</v>
      </c>
      <c r="D805" s="22" t="e">
        <f aca="false">сводн.данные!n810</f>
        <v>#NAME?</v>
      </c>
      <c r="E805" s="23" t="n">
        <v>2433.63765669418</v>
      </c>
      <c r="F805" s="24" t="n">
        <v>840</v>
      </c>
      <c r="G805" s="24" t="e">
        <f aca="false">D805-E805</f>
        <v>#NAME?</v>
      </c>
    </row>
    <row r="806" customFormat="false" ht="15" hidden="false" customHeight="false" outlineLevel="0" collapsed="false">
      <c r="A806" s="28" t="s">
        <v>1355</v>
      </c>
      <c r="B806" s="29" t="s">
        <v>958</v>
      </c>
      <c r="C806" s="8" t="s">
        <v>15</v>
      </c>
      <c r="D806" s="22" t="e">
        <f aca="false">сводн.данные!n811</f>
        <v>#NAME?</v>
      </c>
      <c r="E806" s="23" t="n">
        <v>2838.36067286825</v>
      </c>
      <c r="F806" s="24" t="n">
        <v>1500</v>
      </c>
      <c r="G806" s="24" t="e">
        <f aca="false">D806-E806</f>
        <v>#NAME?</v>
      </c>
    </row>
    <row r="807" customFormat="false" ht="15" hidden="false" customHeight="false" outlineLevel="0" collapsed="false">
      <c r="A807" s="28" t="s">
        <v>1356</v>
      </c>
      <c r="B807" s="29" t="s">
        <v>945</v>
      </c>
      <c r="C807" s="8" t="s">
        <v>15</v>
      </c>
      <c r="D807" s="22" t="e">
        <f aca="false">сводн.данные!n812</f>
        <v>#NAME?</v>
      </c>
      <c r="E807" s="23" t="n">
        <v>2838.36067286825</v>
      </c>
      <c r="F807" s="24" t="n">
        <v>1500</v>
      </c>
      <c r="G807" s="24" t="e">
        <f aca="false">D807-E807</f>
        <v>#NAME?</v>
      </c>
    </row>
    <row r="808" customFormat="false" ht="15" hidden="false" customHeight="false" outlineLevel="0" collapsed="false">
      <c r="A808" s="28" t="s">
        <v>1357</v>
      </c>
      <c r="B808" s="29" t="s">
        <v>1358</v>
      </c>
      <c r="C808" s="8" t="s">
        <v>15</v>
      </c>
      <c r="D808" s="22" t="e">
        <f aca="false">сводн.данные!n813</f>
        <v>#NAME?</v>
      </c>
      <c r="E808" s="23" t="n">
        <v>2837.31765861847</v>
      </c>
      <c r="F808" s="24" t="n">
        <v>1500</v>
      </c>
      <c r="G808" s="24" t="e">
        <f aca="false">D808-E808</f>
        <v>#NAME?</v>
      </c>
    </row>
    <row r="809" customFormat="false" ht="15" hidden="false" customHeight="false" outlineLevel="0" collapsed="false">
      <c r="A809" s="28" t="s">
        <v>1359</v>
      </c>
      <c r="B809" s="29" t="s">
        <v>1360</v>
      </c>
      <c r="C809" s="8" t="s">
        <v>15</v>
      </c>
      <c r="D809" s="22" t="e">
        <f aca="false">сводн.данные!n814</f>
        <v>#NAME?</v>
      </c>
      <c r="E809" s="23" t="n">
        <v>2875.3391349988</v>
      </c>
      <c r="F809" s="24" t="n">
        <v>1500</v>
      </c>
      <c r="G809" s="24" t="e">
        <f aca="false">D809-E809</f>
        <v>#NAME?</v>
      </c>
    </row>
    <row r="810" customFormat="false" ht="15" hidden="false" customHeight="false" outlineLevel="0" collapsed="false">
      <c r="A810" s="28" t="s">
        <v>1361</v>
      </c>
      <c r="B810" s="29" t="s">
        <v>1362</v>
      </c>
      <c r="C810" s="8" t="s">
        <v>15</v>
      </c>
      <c r="D810" s="22" t="e">
        <f aca="false">сводн.данные!n815</f>
        <v>#NAME?</v>
      </c>
      <c r="E810" s="23" t="n">
        <v>2870.9822107377</v>
      </c>
      <c r="F810" s="24" t="n">
        <v>1920</v>
      </c>
      <c r="G810" s="24" t="e">
        <f aca="false">D810-E810</f>
        <v>#NAME?</v>
      </c>
    </row>
    <row r="811" customFormat="false" ht="15" hidden="false" customHeight="false" outlineLevel="0" collapsed="false">
      <c r="A811" s="28" t="s">
        <v>1363</v>
      </c>
      <c r="B811" s="29" t="s">
        <v>1364</v>
      </c>
      <c r="C811" s="8" t="s">
        <v>15</v>
      </c>
      <c r="D811" s="22" t="e">
        <f aca="false">сводн.данные!n816</f>
        <v>#NAME?</v>
      </c>
      <c r="E811" s="23" t="n">
        <v>2862.41298095528</v>
      </c>
      <c r="F811" s="24" t="n">
        <v>1500</v>
      </c>
      <c r="G811" s="24" t="e">
        <f aca="false">D811-E811</f>
        <v>#NAME?</v>
      </c>
    </row>
    <row r="812" customFormat="false" ht="15" hidden="false" customHeight="false" outlineLevel="0" collapsed="false">
      <c r="A812" s="28" t="s">
        <v>1365</v>
      </c>
      <c r="B812" s="29" t="s">
        <v>1366</v>
      </c>
      <c r="C812" s="8" t="s">
        <v>15</v>
      </c>
      <c r="D812" s="22" t="e">
        <f aca="false">сводн.данные!n817</f>
        <v>#NAME?</v>
      </c>
      <c r="E812" s="23" t="n">
        <v>2849.14005861847</v>
      </c>
      <c r="F812" s="24" t="n">
        <v>615</v>
      </c>
      <c r="G812" s="24" t="e">
        <f aca="false">D812-E812</f>
        <v>#NAME?</v>
      </c>
    </row>
    <row r="813" customFormat="false" ht="15" hidden="false" customHeight="false" outlineLevel="0" collapsed="false">
      <c r="A813" s="28" t="s">
        <v>1367</v>
      </c>
      <c r="B813" s="29" t="s">
        <v>1368</v>
      </c>
      <c r="C813" s="8" t="s">
        <v>15</v>
      </c>
      <c r="D813" s="22" t="e">
        <f aca="false">сводн.данные!n818</f>
        <v>#NAME?</v>
      </c>
      <c r="E813" s="23" t="n">
        <v>2821.06528904232</v>
      </c>
      <c r="F813" s="24" t="n">
        <v>1500</v>
      </c>
      <c r="G813" s="24" t="e">
        <f aca="false">D813-E813</f>
        <v>#NAME?</v>
      </c>
    </row>
    <row r="814" customFormat="false" ht="15" hidden="false" customHeight="false" outlineLevel="0" collapsed="false">
      <c r="A814" s="28" t="s">
        <v>1369</v>
      </c>
      <c r="B814" s="29" t="s">
        <v>1370</v>
      </c>
      <c r="C814" s="8" t="s">
        <v>15</v>
      </c>
      <c r="D814" s="22" t="e">
        <f aca="false">сводн.данные!n819</f>
        <v>#NAME?</v>
      </c>
      <c r="E814" s="23" t="n">
        <v>2848.43944308584</v>
      </c>
      <c r="F814" s="24" t="n">
        <v>1160</v>
      </c>
      <c r="G814" s="24" t="e">
        <f aca="false">D814-E814</f>
        <v>#NAME?</v>
      </c>
    </row>
    <row r="815" customFormat="false" ht="15" hidden="false" customHeight="false" outlineLevel="0" collapsed="false">
      <c r="A815" s="28" t="s">
        <v>1371</v>
      </c>
      <c r="B815" s="29" t="s">
        <v>1372</v>
      </c>
      <c r="C815" s="8" t="s">
        <v>15</v>
      </c>
      <c r="D815" s="22" t="e">
        <f aca="false">сводн.данные!n820</f>
        <v>#NAME?</v>
      </c>
      <c r="E815" s="23" t="n">
        <v>2873.91759712935</v>
      </c>
      <c r="F815" s="24" t="n">
        <v>1500</v>
      </c>
      <c r="G815" s="24" t="e">
        <f aca="false">D815-E815</f>
        <v>#NAME?</v>
      </c>
    </row>
    <row r="816" customFormat="false" ht="15" hidden="false" customHeight="false" outlineLevel="0" collapsed="false">
      <c r="A816" s="28" t="s">
        <v>1373</v>
      </c>
      <c r="B816" s="29" t="s">
        <v>1374</v>
      </c>
      <c r="C816" s="8" t="s">
        <v>15</v>
      </c>
      <c r="D816" s="22" t="e">
        <f aca="false">сводн.данные!n821</f>
        <v>#NAME?</v>
      </c>
      <c r="E816" s="23" t="n">
        <v>2887.03144308584</v>
      </c>
      <c r="F816" s="24" t="n">
        <v>1500</v>
      </c>
      <c r="G816" s="24" t="e">
        <f aca="false">D816-E816</f>
        <v>#NAME?</v>
      </c>
    </row>
    <row r="817" customFormat="false" ht="15" hidden="false" customHeight="false" outlineLevel="0" collapsed="false">
      <c r="A817" s="28" t="s">
        <v>1375</v>
      </c>
      <c r="B817" s="29" t="s">
        <v>1376</v>
      </c>
      <c r="C817" s="8" t="s">
        <v>15</v>
      </c>
      <c r="D817" s="22" t="e">
        <f aca="false">сводн.данные!n822</f>
        <v>#NAME?</v>
      </c>
      <c r="E817" s="23" t="n">
        <v>2861.83144308584</v>
      </c>
      <c r="F817" s="24" t="n">
        <v>1500</v>
      </c>
      <c r="G817" s="24" t="e">
        <f aca="false">D817-E817</f>
        <v>#NAME?</v>
      </c>
    </row>
    <row r="818" customFormat="false" ht="15" hidden="false" customHeight="false" outlineLevel="0" collapsed="false">
      <c r="A818" s="28" t="s">
        <v>1377</v>
      </c>
      <c r="B818" s="78" t="s">
        <v>1378</v>
      </c>
      <c r="C818" s="8" t="s">
        <v>15</v>
      </c>
      <c r="D818" s="22" t="e">
        <f aca="false">сводн.данные!n823</f>
        <v>#NAME?</v>
      </c>
      <c r="E818" s="23" t="n">
        <v>2851.87144308584</v>
      </c>
      <c r="F818" s="24" t="n">
        <v>1500</v>
      </c>
      <c r="G818" s="24" t="e">
        <f aca="false">D818-E818</f>
        <v>#NAME?</v>
      </c>
    </row>
    <row r="819" customFormat="false" ht="15" hidden="false" customHeight="false" outlineLevel="0" collapsed="false">
      <c r="A819" s="28" t="s">
        <v>1379</v>
      </c>
      <c r="B819" s="78" t="s">
        <v>1380</v>
      </c>
      <c r="C819" s="8" t="s">
        <v>15</v>
      </c>
      <c r="D819" s="22" t="e">
        <f aca="false">сводн.данные!n824</f>
        <v>#NAME?</v>
      </c>
      <c r="E819" s="23" t="n">
        <v>2882.47144308584</v>
      </c>
      <c r="F819" s="24" t="n">
        <v>1500</v>
      </c>
      <c r="G819" s="24" t="e">
        <f aca="false">D819-E819</f>
        <v>#NAME?</v>
      </c>
    </row>
    <row r="820" customFormat="false" ht="15" hidden="false" customHeight="false" outlineLevel="0" collapsed="false">
      <c r="A820" s="28" t="s">
        <v>1381</v>
      </c>
      <c r="B820" s="78" t="s">
        <v>1382</v>
      </c>
      <c r="C820" s="8" t="s">
        <v>15</v>
      </c>
      <c r="D820" s="22" t="e">
        <f aca="false">сводн.данные!n825</f>
        <v>#NAME?</v>
      </c>
      <c r="E820" s="23" t="n">
        <v>2857.95144052011</v>
      </c>
      <c r="F820" s="24" t="n">
        <v>1500</v>
      </c>
      <c r="G820" s="24" t="e">
        <f aca="false">D820-E820</f>
        <v>#NAME?</v>
      </c>
    </row>
    <row r="821" customFormat="false" ht="15" hidden="false" customHeight="false" outlineLevel="0" collapsed="false">
      <c r="A821" s="28" t="s">
        <v>1383</v>
      </c>
      <c r="B821" s="78" t="s">
        <v>1384</v>
      </c>
      <c r="C821" s="8" t="s">
        <v>15</v>
      </c>
      <c r="D821" s="22" t="e">
        <f aca="false">сводн.данные!n826</f>
        <v>#NAME?</v>
      </c>
      <c r="E821" s="23" t="n">
        <v>2841.80374860715</v>
      </c>
      <c r="F821" s="24" t="n">
        <v>1500</v>
      </c>
      <c r="G821" s="24" t="e">
        <f aca="false">D821-E821</f>
        <v>#NAME?</v>
      </c>
    </row>
    <row r="822" customFormat="false" ht="15" hidden="false" customHeight="false" outlineLevel="0" collapsed="false">
      <c r="A822" s="28" t="s">
        <v>1385</v>
      </c>
      <c r="B822" s="29" t="s">
        <v>1386</v>
      </c>
      <c r="C822" s="8" t="s">
        <v>15</v>
      </c>
      <c r="D822" s="22" t="e">
        <f aca="false">сводн.данные!n827</f>
        <v>#NAME?</v>
      </c>
      <c r="E822" s="23" t="n">
        <v>2895.52990265066</v>
      </c>
      <c r="F822" s="24" t="n">
        <v>1500</v>
      </c>
      <c r="G822" s="24" t="e">
        <f aca="false">D822-E822</f>
        <v>#NAME?</v>
      </c>
    </row>
    <row r="823" customFormat="false" ht="15" hidden="false" customHeight="false" outlineLevel="0" collapsed="false">
      <c r="A823" s="28" t="s">
        <v>1387</v>
      </c>
      <c r="B823" s="29" t="s">
        <v>1388</v>
      </c>
      <c r="C823" s="8" t="s">
        <v>15</v>
      </c>
      <c r="D823" s="22" t="e">
        <f aca="false">сводн.данные!n828</f>
        <v>#NAME?</v>
      </c>
      <c r="E823" s="23" t="n">
        <v>2880.51759712935</v>
      </c>
      <c r="F823" s="24" t="n">
        <v>1700</v>
      </c>
      <c r="G823" s="24" t="e">
        <f aca="false">D823-E823</f>
        <v>#NAME?</v>
      </c>
    </row>
    <row r="824" customFormat="false" ht="15" hidden="false" customHeight="false" outlineLevel="0" collapsed="false">
      <c r="A824" s="28" t="s">
        <v>1389</v>
      </c>
      <c r="B824" s="29" t="s">
        <v>1390</v>
      </c>
      <c r="C824" s="8" t="s">
        <v>15</v>
      </c>
      <c r="D824" s="22" t="e">
        <f aca="false">сводн.данные!n829</f>
        <v>#NAME?</v>
      </c>
      <c r="E824" s="23" t="n">
        <v>2820.15759712935</v>
      </c>
      <c r="F824" s="24" t="n">
        <v>1500</v>
      </c>
      <c r="G824" s="24" t="e">
        <f aca="false">D824-E824</f>
        <v>#NAME?</v>
      </c>
    </row>
    <row r="825" customFormat="false" ht="15" hidden="false" customHeight="false" outlineLevel="0" collapsed="false">
      <c r="A825" s="28" t="s">
        <v>1391</v>
      </c>
      <c r="B825" s="29" t="s">
        <v>1392</v>
      </c>
      <c r="C825" s="8" t="s">
        <v>15</v>
      </c>
      <c r="D825" s="22" t="e">
        <f aca="false">сводн.данные!n830</f>
        <v>#NAME?</v>
      </c>
      <c r="E825" s="23" t="n">
        <v>2866.39144308584</v>
      </c>
      <c r="F825" s="24" t="n">
        <v>710</v>
      </c>
      <c r="G825" s="24" t="e">
        <f aca="false">D825-E825</f>
        <v>#NAME?</v>
      </c>
    </row>
    <row r="826" customFormat="false" ht="15" hidden="false" customHeight="false" outlineLevel="0" collapsed="false">
      <c r="A826" s="28" t="s">
        <v>1393</v>
      </c>
      <c r="B826" s="29" t="s">
        <v>1394</v>
      </c>
      <c r="C826" s="8" t="s">
        <v>15</v>
      </c>
      <c r="D826" s="22" t="e">
        <f aca="false">сводн.данные!n831</f>
        <v>#NAME?</v>
      </c>
      <c r="E826" s="23" t="n">
        <v>2821.29747415111</v>
      </c>
      <c r="F826" s="24" t="n">
        <v>1145</v>
      </c>
      <c r="G826" s="24" t="e">
        <f aca="false">D826-E826</f>
        <v>#NAME?</v>
      </c>
    </row>
    <row r="827" customFormat="false" ht="15" hidden="false" customHeight="false" outlineLevel="0" collapsed="false">
      <c r="A827" s="28" t="s">
        <v>1395</v>
      </c>
      <c r="B827" s="29" t="s">
        <v>1396</v>
      </c>
      <c r="C827" s="8" t="s">
        <v>15</v>
      </c>
      <c r="D827" s="22" t="e">
        <f aca="false">сводн.данные!n832</f>
        <v>#NAME?</v>
      </c>
      <c r="E827" s="23" t="n">
        <v>2988.30836478121</v>
      </c>
      <c r="F827" s="24" t="n">
        <v>1620</v>
      </c>
      <c r="G827" s="24" t="e">
        <f aca="false">D827-E827</f>
        <v>#NAME?</v>
      </c>
    </row>
    <row r="828" customFormat="false" ht="15" hidden="false" customHeight="false" outlineLevel="0" collapsed="false">
      <c r="A828" s="28" t="s">
        <v>1397</v>
      </c>
      <c r="B828" s="29" t="s">
        <v>1398</v>
      </c>
      <c r="C828" s="8" t="s">
        <v>15</v>
      </c>
      <c r="D828" s="22" t="e">
        <f aca="false">сводн.данные!n833</f>
        <v>#NAME?</v>
      </c>
      <c r="E828" s="23" t="n">
        <v>2828.92328968375</v>
      </c>
      <c r="F828" s="24" t="n">
        <v>0</v>
      </c>
      <c r="G828" s="24" t="e">
        <f aca="false">D828-E828</f>
        <v>#NAME?</v>
      </c>
    </row>
    <row r="829" customFormat="false" ht="15" hidden="false" customHeight="false" outlineLevel="0" collapsed="false">
      <c r="A829" s="28" t="s">
        <v>1399</v>
      </c>
      <c r="B829" s="29" t="s">
        <v>1400</v>
      </c>
      <c r="C829" s="8" t="s">
        <v>15</v>
      </c>
      <c r="D829" s="22" t="e">
        <f aca="false">сводн.данные!n834</f>
        <v>#NAME?</v>
      </c>
      <c r="E829" s="23" t="n">
        <v>2837.72528968375</v>
      </c>
      <c r="F829" s="24" t="n">
        <v>0</v>
      </c>
      <c r="G829" s="24" t="e">
        <f aca="false">D829-E829</f>
        <v>#NAME?</v>
      </c>
    </row>
    <row r="830" customFormat="false" ht="15" hidden="false" customHeight="false" outlineLevel="0" collapsed="false">
      <c r="A830" s="28" t="s">
        <v>1401</v>
      </c>
      <c r="B830" s="29" t="s">
        <v>1402</v>
      </c>
      <c r="C830" s="8" t="s">
        <v>15</v>
      </c>
      <c r="D830" s="22" t="e">
        <f aca="false">сводн.данные!n835</f>
        <v>#NAME?</v>
      </c>
      <c r="E830" s="23" t="n">
        <v>2864.43759712935</v>
      </c>
      <c r="F830" s="24" t="n">
        <v>1175</v>
      </c>
      <c r="G830" s="24" t="e">
        <f aca="false">D830-E830</f>
        <v>#NAME?</v>
      </c>
    </row>
    <row r="831" customFormat="false" ht="15" hidden="false" customHeight="false" outlineLevel="0" collapsed="false">
      <c r="A831" s="28" t="s">
        <v>1403</v>
      </c>
      <c r="B831" s="29" t="s">
        <v>1404</v>
      </c>
      <c r="C831" s="8" t="s">
        <v>15</v>
      </c>
      <c r="D831" s="22" t="e">
        <f aca="false">сводн.данные!n836</f>
        <v>#NAME?</v>
      </c>
      <c r="E831" s="23" t="n">
        <v>2857.95759712935</v>
      </c>
      <c r="F831" s="24" t="n">
        <v>1500</v>
      </c>
      <c r="G831" s="24" t="e">
        <f aca="false">D831-E831</f>
        <v>#NAME?</v>
      </c>
    </row>
    <row r="832" customFormat="false" ht="15" hidden="false" customHeight="false" outlineLevel="0" collapsed="false">
      <c r="A832" s="28" t="s">
        <v>1405</v>
      </c>
      <c r="B832" s="29" t="s">
        <v>1406</v>
      </c>
      <c r="C832" s="8" t="s">
        <v>15</v>
      </c>
      <c r="D832" s="22" t="e">
        <f aca="false">сводн.данные!n837</f>
        <v>#NAME?</v>
      </c>
      <c r="E832" s="23" t="n">
        <v>2403.04744308584</v>
      </c>
      <c r="F832" s="24" t="n">
        <v>856</v>
      </c>
      <c r="G832" s="24" t="e">
        <f aca="false">D832-E832</f>
        <v>#NAME?</v>
      </c>
    </row>
    <row r="833" customFormat="false" ht="15" hidden="false" customHeight="false" outlineLevel="0" collapsed="false">
      <c r="A833" s="28" t="s">
        <v>1407</v>
      </c>
      <c r="B833" s="29" t="s">
        <v>953</v>
      </c>
      <c r="C833" s="8" t="s">
        <v>15</v>
      </c>
      <c r="D833" s="22" t="e">
        <f aca="false">сводн.данные!n838</f>
        <v>#NAME?</v>
      </c>
      <c r="E833" s="23" t="n">
        <v>2450.60528968375</v>
      </c>
      <c r="F833" s="24" t="n">
        <v>900</v>
      </c>
      <c r="G833" s="24" t="e">
        <f aca="false">D833-E833</f>
        <v>#NAME?</v>
      </c>
    </row>
    <row r="834" customFormat="false" ht="15" hidden="false" customHeight="false" outlineLevel="0" collapsed="false">
      <c r="A834" s="28" t="s">
        <v>1408</v>
      </c>
      <c r="B834" s="29" t="s">
        <v>172</v>
      </c>
      <c r="C834" s="8" t="s">
        <v>15</v>
      </c>
      <c r="D834" s="22" t="e">
        <f aca="false">сводн.данные!n839</f>
        <v>#NAME?</v>
      </c>
      <c r="E834" s="23" t="n">
        <v>2415.09604291177</v>
      </c>
      <c r="F834" s="24" t="n">
        <v>1440</v>
      </c>
      <c r="G834" s="24" t="e">
        <f aca="false">D834-E834</f>
        <v>#NAME?</v>
      </c>
    </row>
    <row r="835" customFormat="false" ht="15" hidden="false" customHeight="false" outlineLevel="0" collapsed="false">
      <c r="A835" s="28" t="s">
        <v>1409</v>
      </c>
      <c r="B835" s="29" t="s">
        <v>1410</v>
      </c>
      <c r="C835" s="8" t="s">
        <v>15</v>
      </c>
      <c r="D835" s="22" t="e">
        <f aca="false">сводн.данные!n840</f>
        <v>#NAME?</v>
      </c>
      <c r="E835" s="23" t="n">
        <v>2878.04990521639</v>
      </c>
      <c r="F835" s="24" t="n">
        <v>1025</v>
      </c>
      <c r="G835" s="24" t="e">
        <f aca="false">D835-E835</f>
        <v>#NAME?</v>
      </c>
    </row>
    <row r="836" customFormat="false" ht="30" hidden="false" customHeight="false" outlineLevel="0" collapsed="false">
      <c r="A836" s="28" t="s">
        <v>1411</v>
      </c>
      <c r="B836" s="29" t="s">
        <v>1412</v>
      </c>
      <c r="C836" s="8" t="s">
        <v>15</v>
      </c>
      <c r="D836" s="22" t="e">
        <f aca="false">сводн.данные!n841</f>
        <v>#NAME?</v>
      </c>
      <c r="E836" s="23" t="n">
        <v>3005.38528904232</v>
      </c>
      <c r="F836" s="24" t="n">
        <v>1620</v>
      </c>
      <c r="G836" s="24" t="e">
        <f aca="false">D836-E836</f>
        <v>#NAME?</v>
      </c>
    </row>
    <row r="837" customFormat="false" ht="15" hidden="false" customHeight="false" outlineLevel="0" collapsed="false">
      <c r="A837" s="28" t="s">
        <v>1413</v>
      </c>
      <c r="B837" s="78" t="s">
        <v>1414</v>
      </c>
      <c r="C837" s="8" t="s">
        <v>15</v>
      </c>
      <c r="D837" s="22" t="e">
        <f aca="false">сводн.данные!n842</f>
        <v>#NAME?</v>
      </c>
      <c r="E837" s="23" t="n">
        <v>2839.99943590181</v>
      </c>
      <c r="F837" s="24" t="n">
        <v>0</v>
      </c>
      <c r="G837" s="24" t="e">
        <f aca="false">D837-E837</f>
        <v>#NAME?</v>
      </c>
    </row>
    <row r="838" customFormat="false" ht="15" hidden="false" customHeight="false" outlineLevel="0" collapsed="false">
      <c r="A838" s="28" t="s">
        <v>1415</v>
      </c>
      <c r="B838" s="78" t="s">
        <v>1416</v>
      </c>
      <c r="C838" s="8" t="s">
        <v>15</v>
      </c>
      <c r="D838" s="22" t="e">
        <f aca="false">сводн.данные!n843</f>
        <v>#NAME?</v>
      </c>
      <c r="E838" s="23" t="n">
        <v>2629.30570658854</v>
      </c>
      <c r="F838" s="24" t="n">
        <v>0</v>
      </c>
      <c r="G838" s="24" t="e">
        <f aca="false">D838-E838</f>
        <v>#NAME?</v>
      </c>
    </row>
    <row r="839" customFormat="false" ht="15" hidden="false" customHeight="false" outlineLevel="0" collapsed="false">
      <c r="A839" s="28" t="s">
        <v>1417</v>
      </c>
      <c r="B839" s="78" t="s">
        <v>1418</v>
      </c>
      <c r="C839" s="8" t="s">
        <v>15</v>
      </c>
      <c r="D839" s="22" t="e">
        <f aca="false">сводн.данные!n844</f>
        <v>#NAME?</v>
      </c>
      <c r="E839" s="23" t="n">
        <v>4542.84312704506</v>
      </c>
      <c r="F839" s="24" t="n">
        <v>1425</v>
      </c>
      <c r="G839" s="24" t="e">
        <f aca="false">D839-E839</f>
        <v>#NAME?</v>
      </c>
    </row>
    <row r="840" customFormat="false" ht="15" hidden="false" customHeight="false" outlineLevel="0" collapsed="false">
      <c r="A840" s="15" t="s">
        <v>1419</v>
      </c>
      <c r="B840" s="79" t="s">
        <v>1420</v>
      </c>
      <c r="C840" s="17"/>
      <c r="D840" s="32"/>
      <c r="E840" s="33"/>
      <c r="F840" s="34"/>
      <c r="G840" s="34"/>
    </row>
    <row r="841" customFormat="false" ht="30" hidden="false" customHeight="false" outlineLevel="0" collapsed="false">
      <c r="A841" s="28" t="s">
        <v>1421</v>
      </c>
      <c r="B841" s="80" t="s">
        <v>1422</v>
      </c>
      <c r="C841" s="8" t="s">
        <v>15</v>
      </c>
      <c r="D841" s="22" t="e">
        <f aca="false">сводн.данные!n846</f>
        <v>#NAME?</v>
      </c>
      <c r="E841" s="23" t="n">
        <v>802.486151477794</v>
      </c>
      <c r="F841" s="24" t="n">
        <v>415</v>
      </c>
      <c r="G841" s="24" t="e">
        <f aca="false">D841-E841</f>
        <v>#NAME?</v>
      </c>
    </row>
    <row r="842" customFormat="false" ht="29.25" hidden="false" customHeight="true" outlineLevel="0" collapsed="false">
      <c r="A842" s="28" t="s">
        <v>1423</v>
      </c>
      <c r="B842" s="80" t="s">
        <v>1424</v>
      </c>
      <c r="C842" s="8" t="s">
        <v>15</v>
      </c>
      <c r="D842" s="22" t="e">
        <f aca="false">сводн.данные!n847</f>
        <v>#NAME?</v>
      </c>
      <c r="E842" s="23" t="n">
        <v>1087.55505876304</v>
      </c>
      <c r="F842" s="24" t="n">
        <v>490</v>
      </c>
      <c r="G842" s="24" t="e">
        <f aca="false">D842-E842</f>
        <v>#NAME?</v>
      </c>
    </row>
    <row r="843" customFormat="false" ht="15" hidden="false" customHeight="false" outlineLevel="0" collapsed="false">
      <c r="A843" s="28" t="s">
        <v>1425</v>
      </c>
      <c r="B843" s="80" t="s">
        <v>1426</v>
      </c>
      <c r="C843" s="8" t="s">
        <v>15</v>
      </c>
      <c r="D843" s="22" t="e">
        <f aca="false">сводн.данные!n848</f>
        <v>#NAME?</v>
      </c>
      <c r="E843" s="23" t="n">
        <v>2869.93144308584</v>
      </c>
      <c r="F843" s="24" t="n">
        <v>0</v>
      </c>
      <c r="G843" s="24" t="e">
        <f aca="false">D843-E843</f>
        <v>#NAME?</v>
      </c>
    </row>
    <row r="844" customFormat="false" ht="15" hidden="false" customHeight="false" outlineLevel="0" collapsed="false">
      <c r="A844" s="28" t="s">
        <v>1427</v>
      </c>
      <c r="B844" s="80" t="s">
        <v>958</v>
      </c>
      <c r="C844" s="8" t="s">
        <v>15</v>
      </c>
      <c r="D844" s="22" t="e">
        <f aca="false">сводн.данные!n849</f>
        <v>#NAME?</v>
      </c>
      <c r="E844" s="23" t="n">
        <v>2888.13451882473</v>
      </c>
      <c r="F844" s="24" t="n">
        <v>1500</v>
      </c>
      <c r="G844" s="24" t="e">
        <f aca="false">D844-E844</f>
        <v>#NAME?</v>
      </c>
    </row>
    <row r="845" customFormat="false" ht="15" hidden="false" customHeight="false" outlineLevel="0" collapsed="false">
      <c r="A845" s="28" t="s">
        <v>1428</v>
      </c>
      <c r="B845" s="80" t="s">
        <v>945</v>
      </c>
      <c r="C845" s="8" t="s">
        <v>15</v>
      </c>
      <c r="D845" s="22" t="e">
        <f aca="false">сводн.данные!n850</f>
        <v>#NAME?</v>
      </c>
      <c r="E845" s="23" t="n">
        <v>2888.13451882473</v>
      </c>
      <c r="F845" s="24" t="n">
        <v>1500</v>
      </c>
      <c r="G845" s="24" t="e">
        <f aca="false">D845-E845</f>
        <v>#NAME?</v>
      </c>
    </row>
    <row r="846" customFormat="false" ht="15" hidden="false" customHeight="false" outlineLevel="0" collapsed="false">
      <c r="A846" s="28" t="s">
        <v>1429</v>
      </c>
      <c r="B846" s="80" t="s">
        <v>1360</v>
      </c>
      <c r="C846" s="8" t="s">
        <v>15</v>
      </c>
      <c r="D846" s="22" t="e">
        <f aca="false">сводн.данные!n851</f>
        <v>#NAME?</v>
      </c>
      <c r="E846" s="23" t="n">
        <v>2888.13451882473</v>
      </c>
      <c r="F846" s="24" t="n">
        <v>1500</v>
      </c>
      <c r="G846" s="24" t="e">
        <f aca="false">D846-E846</f>
        <v>#NAME?</v>
      </c>
    </row>
    <row r="847" customFormat="false" ht="15" hidden="false" customHeight="false" outlineLevel="0" collapsed="false">
      <c r="A847" s="28" t="s">
        <v>1430</v>
      </c>
      <c r="B847" s="80" t="s">
        <v>1431</v>
      </c>
      <c r="C847" s="8" t="s">
        <v>15</v>
      </c>
      <c r="D847" s="22" t="e">
        <f aca="false">сводн.данные!n852</f>
        <v>#NAME?</v>
      </c>
      <c r="E847" s="23" t="n">
        <v>2888.13451882473</v>
      </c>
      <c r="F847" s="24" t="n">
        <v>1500</v>
      </c>
      <c r="G847" s="24" t="e">
        <f aca="false">D847-E847</f>
        <v>#NAME?</v>
      </c>
    </row>
    <row r="848" customFormat="false" ht="15" hidden="false" customHeight="false" outlineLevel="0" collapsed="false">
      <c r="A848" s="28" t="s">
        <v>1432</v>
      </c>
      <c r="B848" s="80" t="s">
        <v>1368</v>
      </c>
      <c r="C848" s="8" t="s">
        <v>15</v>
      </c>
      <c r="D848" s="22" t="e">
        <f aca="false">сводн.данные!n853</f>
        <v>#NAME?</v>
      </c>
      <c r="E848" s="23" t="n">
        <v>2842.40067030253</v>
      </c>
      <c r="F848" s="24" t="n">
        <v>1500</v>
      </c>
      <c r="G848" s="24" t="e">
        <f aca="false">D848-E848</f>
        <v>#NAME?</v>
      </c>
    </row>
    <row r="849" customFormat="false" ht="15" hidden="false" customHeight="false" outlineLevel="0" collapsed="false">
      <c r="A849" s="28" t="s">
        <v>1433</v>
      </c>
      <c r="B849" s="80" t="s">
        <v>1372</v>
      </c>
      <c r="C849" s="8" t="s">
        <v>15</v>
      </c>
      <c r="D849" s="22" t="e">
        <f aca="false">сводн.данные!n854</f>
        <v>#NAME?</v>
      </c>
      <c r="E849" s="23" t="n">
        <v>2888.43451882473</v>
      </c>
      <c r="F849" s="24" t="n">
        <v>1500</v>
      </c>
      <c r="G849" s="24" t="e">
        <f aca="false">D849-E849</f>
        <v>#NAME?</v>
      </c>
    </row>
    <row r="850" customFormat="false" ht="15" hidden="false" customHeight="false" outlineLevel="0" collapsed="false">
      <c r="A850" s="28" t="s">
        <v>1434</v>
      </c>
      <c r="B850" s="80" t="s">
        <v>1362</v>
      </c>
      <c r="C850" s="8" t="s">
        <v>15</v>
      </c>
      <c r="D850" s="22" t="e">
        <f aca="false">сводн.данные!n855</f>
        <v>#NAME?</v>
      </c>
      <c r="E850" s="23" t="n">
        <v>2847.41298095528</v>
      </c>
      <c r="F850" s="24" t="n">
        <v>1500</v>
      </c>
      <c r="G850" s="24" t="e">
        <f aca="false">D850-E850</f>
        <v>#NAME?</v>
      </c>
    </row>
    <row r="851" customFormat="false" ht="15" hidden="false" customHeight="false" outlineLevel="0" collapsed="false">
      <c r="A851" s="28" t="s">
        <v>1435</v>
      </c>
      <c r="B851" s="80" t="s">
        <v>1370</v>
      </c>
      <c r="C851" s="8" t="s">
        <v>15</v>
      </c>
      <c r="D851" s="22" t="e">
        <f aca="false">сводн.данные!n856</f>
        <v>#NAME?</v>
      </c>
      <c r="E851" s="23" t="n">
        <v>2874.29298095528</v>
      </c>
      <c r="F851" s="24" t="n">
        <v>1160</v>
      </c>
      <c r="G851" s="24" t="e">
        <f aca="false">D851-E851</f>
        <v>#NAME?</v>
      </c>
    </row>
    <row r="852" customFormat="false" ht="15" hidden="false" customHeight="false" outlineLevel="0" collapsed="false">
      <c r="A852" s="28" t="s">
        <v>1436</v>
      </c>
      <c r="B852" s="80" t="s">
        <v>1364</v>
      </c>
      <c r="C852" s="8" t="s">
        <v>15</v>
      </c>
      <c r="D852" s="22" t="e">
        <f aca="false">сводн.данные!n857</f>
        <v>#NAME?</v>
      </c>
      <c r="E852" s="23" t="n">
        <v>2858.93131882473</v>
      </c>
      <c r="F852" s="24" t="n">
        <v>1070</v>
      </c>
      <c r="G852" s="24" t="e">
        <f aca="false">D852-E852</f>
        <v>#NAME?</v>
      </c>
    </row>
    <row r="853" customFormat="false" ht="15" hidden="false" customHeight="false" outlineLevel="0" collapsed="false">
      <c r="A853" s="28" t="s">
        <v>1437</v>
      </c>
      <c r="B853" s="80" t="s">
        <v>1374</v>
      </c>
      <c r="C853" s="8" t="s">
        <v>15</v>
      </c>
      <c r="D853" s="22" t="e">
        <f aca="false">сводн.данные!n858</f>
        <v>#NAME?</v>
      </c>
      <c r="E853" s="23" t="n">
        <v>2875.64682691177</v>
      </c>
      <c r="F853" s="24" t="n">
        <v>1145</v>
      </c>
      <c r="G853" s="24" t="e">
        <f aca="false">D853-E853</f>
        <v>#NAME?</v>
      </c>
    </row>
    <row r="854" customFormat="false" ht="15" hidden="false" customHeight="false" outlineLevel="0" collapsed="false">
      <c r="A854" s="28" t="s">
        <v>1438</v>
      </c>
      <c r="B854" s="80" t="s">
        <v>1376</v>
      </c>
      <c r="C854" s="8" t="s">
        <v>15</v>
      </c>
      <c r="D854" s="22" t="e">
        <f aca="false">сводн.данные!n859</f>
        <v>#NAME?</v>
      </c>
      <c r="E854" s="23" t="n">
        <v>2875.64682691177</v>
      </c>
      <c r="F854" s="24" t="n">
        <v>1500</v>
      </c>
      <c r="G854" s="24" t="e">
        <f aca="false">D854-E854</f>
        <v>#NAME?</v>
      </c>
    </row>
    <row r="855" customFormat="false" ht="15" hidden="false" customHeight="false" outlineLevel="0" collapsed="false">
      <c r="A855" s="28" t="s">
        <v>1439</v>
      </c>
      <c r="B855" s="80" t="s">
        <v>1386</v>
      </c>
      <c r="C855" s="8" t="s">
        <v>15</v>
      </c>
      <c r="D855" s="22" t="e">
        <f aca="false">сводн.данные!n860</f>
        <v>#NAME?</v>
      </c>
      <c r="E855" s="23" t="n">
        <v>2855.81298095528</v>
      </c>
      <c r="F855" s="24" t="n">
        <v>1500</v>
      </c>
      <c r="G855" s="24" t="e">
        <f aca="false">D855-E855</f>
        <v>#NAME?</v>
      </c>
    </row>
    <row r="856" customFormat="false" ht="15" hidden="false" customHeight="false" outlineLevel="0" collapsed="false">
      <c r="A856" s="28" t="s">
        <v>1440</v>
      </c>
      <c r="B856" s="80" t="s">
        <v>1388</v>
      </c>
      <c r="C856" s="8" t="s">
        <v>15</v>
      </c>
      <c r="D856" s="22" t="e">
        <f aca="false">сводн.данные!n861</f>
        <v>#NAME?</v>
      </c>
      <c r="E856" s="23" t="n">
        <v>2873.91759712935</v>
      </c>
      <c r="F856" s="24" t="n">
        <v>1500</v>
      </c>
      <c r="G856" s="24" t="e">
        <f aca="false">D856-E856</f>
        <v>#NAME?</v>
      </c>
    </row>
    <row r="857" customFormat="false" ht="15" hidden="false" customHeight="false" outlineLevel="0" collapsed="false">
      <c r="A857" s="28" t="s">
        <v>1441</v>
      </c>
      <c r="B857" s="80" t="s">
        <v>1442</v>
      </c>
      <c r="C857" s="8" t="s">
        <v>15</v>
      </c>
      <c r="D857" s="22" t="e">
        <f aca="false">сводн.данные!n862</f>
        <v>#NAME?</v>
      </c>
      <c r="E857" s="23" t="n">
        <v>2869.63239712935</v>
      </c>
      <c r="F857" s="24" t="n">
        <v>0</v>
      </c>
      <c r="G857" s="24" t="e">
        <f aca="false">D857-E857</f>
        <v>#NAME?</v>
      </c>
    </row>
    <row r="858" customFormat="false" ht="15" hidden="false" customHeight="false" outlineLevel="0" collapsed="false">
      <c r="A858" s="28" t="s">
        <v>1443</v>
      </c>
      <c r="B858" s="80" t="s">
        <v>1338</v>
      </c>
      <c r="C858" s="8" t="s">
        <v>15</v>
      </c>
      <c r="D858" s="22" t="e">
        <f aca="false">сводн.данные!n863</f>
        <v>#NAME?</v>
      </c>
      <c r="E858" s="23" t="n">
        <v>2258.59144308584</v>
      </c>
      <c r="F858" s="24" t="n">
        <v>1320</v>
      </c>
      <c r="G858" s="24" t="e">
        <f aca="false">D858-E858</f>
        <v>#NAME?</v>
      </c>
    </row>
    <row r="859" customFormat="false" ht="15" hidden="false" customHeight="false" outlineLevel="0" collapsed="false">
      <c r="A859" s="28" t="s">
        <v>1444</v>
      </c>
      <c r="B859" s="80" t="s">
        <v>1344</v>
      </c>
      <c r="C859" s="8" t="s">
        <v>15</v>
      </c>
      <c r="D859" s="22" t="e">
        <f aca="false">сводн.данные!n864</f>
        <v>#NAME?</v>
      </c>
      <c r="E859" s="23" t="n">
        <v>2251.39144308584</v>
      </c>
      <c r="F859" s="24" t="n">
        <v>1320</v>
      </c>
      <c r="G859" s="24" t="e">
        <f aca="false">D859-E859</f>
        <v>#NAME?</v>
      </c>
    </row>
    <row r="860" customFormat="false" ht="15" hidden="false" customHeight="false" outlineLevel="0" collapsed="false">
      <c r="A860" s="28" t="s">
        <v>1445</v>
      </c>
      <c r="B860" s="80" t="s">
        <v>547</v>
      </c>
      <c r="C860" s="8" t="s">
        <v>15</v>
      </c>
      <c r="D860" s="22" t="e">
        <f aca="false">сводн.данные!n865</f>
        <v>#NAME?</v>
      </c>
      <c r="E860" s="23" t="n">
        <v>2258.89144308584</v>
      </c>
      <c r="F860" s="24" t="n">
        <v>840</v>
      </c>
      <c r="G860" s="24" t="e">
        <f aca="false">D860-E860</f>
        <v>#NAME?</v>
      </c>
    </row>
    <row r="861" customFormat="false" ht="15" hidden="false" customHeight="false" outlineLevel="0" collapsed="false">
      <c r="A861" s="28" t="s">
        <v>1446</v>
      </c>
      <c r="B861" s="80" t="s">
        <v>1348</v>
      </c>
      <c r="C861" s="8" t="s">
        <v>15</v>
      </c>
      <c r="D861" s="22" t="e">
        <f aca="false">сводн.данные!n866</f>
        <v>#NAME?</v>
      </c>
      <c r="E861" s="23" t="n">
        <v>2232.09045861847</v>
      </c>
      <c r="F861" s="24" t="n">
        <v>1025</v>
      </c>
      <c r="G861" s="24" t="e">
        <f aca="false">D861-E861</f>
        <v>#NAME?</v>
      </c>
    </row>
    <row r="862" customFormat="false" ht="15" hidden="false" customHeight="false" outlineLevel="0" collapsed="false">
      <c r="A862" s="28" t="s">
        <v>1447</v>
      </c>
      <c r="B862" s="80" t="s">
        <v>549</v>
      </c>
      <c r="C862" s="8" t="s">
        <v>15</v>
      </c>
      <c r="D862" s="22" t="e">
        <f aca="false">сводн.данные!n867</f>
        <v>#NAME?</v>
      </c>
      <c r="E862" s="23" t="n">
        <v>2244.92344308584</v>
      </c>
      <c r="F862" s="24" t="n">
        <v>1130</v>
      </c>
      <c r="G862" s="24" t="e">
        <f aca="false">D862-E862</f>
        <v>#NAME?</v>
      </c>
    </row>
    <row r="863" customFormat="false" ht="15" hidden="false" customHeight="false" outlineLevel="0" collapsed="false">
      <c r="A863" s="28" t="s">
        <v>1448</v>
      </c>
      <c r="B863" s="80" t="s">
        <v>1404</v>
      </c>
      <c r="C863" s="8" t="s">
        <v>15</v>
      </c>
      <c r="D863" s="22" t="e">
        <f aca="false">сводн.данные!n868</f>
        <v>#NAME?</v>
      </c>
      <c r="E863" s="23" t="n">
        <v>2830.9868275532</v>
      </c>
      <c r="F863" s="24" t="n">
        <v>540</v>
      </c>
      <c r="G863" s="24" t="e">
        <f aca="false">D863-E863</f>
        <v>#NAME?</v>
      </c>
    </row>
    <row r="864" customFormat="false" ht="15" hidden="false" customHeight="false" outlineLevel="0" collapsed="false">
      <c r="A864" s="28" t="s">
        <v>1449</v>
      </c>
      <c r="B864" s="80" t="s">
        <v>1406</v>
      </c>
      <c r="C864" s="8" t="s">
        <v>15</v>
      </c>
      <c r="D864" s="22" t="e">
        <f aca="false">сводн.данные!n869</f>
        <v>#NAME?</v>
      </c>
      <c r="E864" s="23" t="n">
        <v>2380.25944308584</v>
      </c>
      <c r="F864" s="24" t="n">
        <v>855</v>
      </c>
      <c r="G864" s="24" t="e">
        <f aca="false">D864-E864</f>
        <v>#NAME?</v>
      </c>
    </row>
    <row r="865" customFormat="false" ht="15" hidden="false" customHeight="false" outlineLevel="0" collapsed="false">
      <c r="A865" s="28" t="s">
        <v>1450</v>
      </c>
      <c r="B865" s="80" t="s">
        <v>953</v>
      </c>
      <c r="C865" s="8" t="s">
        <v>15</v>
      </c>
      <c r="D865" s="22" t="e">
        <f aca="false">сводн.данные!n870</f>
        <v>#NAME?</v>
      </c>
      <c r="E865" s="23" t="n">
        <v>2382.31605861847</v>
      </c>
      <c r="F865" s="24" t="n">
        <v>900</v>
      </c>
      <c r="G865" s="24" t="e">
        <f aca="false">D865-E865</f>
        <v>#NAME?</v>
      </c>
    </row>
    <row r="866" customFormat="false" ht="15" hidden="false" customHeight="true" outlineLevel="0" collapsed="false">
      <c r="A866" s="28" t="s">
        <v>1451</v>
      </c>
      <c r="B866" s="80" t="s">
        <v>1412</v>
      </c>
      <c r="C866" s="8" t="s">
        <v>15</v>
      </c>
      <c r="D866" s="22" t="e">
        <f aca="false">сводн.данные!n871</f>
        <v>#NAME?</v>
      </c>
      <c r="E866" s="23" t="n">
        <v>2980.88682691177</v>
      </c>
      <c r="F866" s="24" t="n">
        <v>1620</v>
      </c>
      <c r="G866" s="24" t="e">
        <f aca="false">D866-E866</f>
        <v>#NAME?</v>
      </c>
    </row>
    <row r="867" customFormat="false" ht="15" hidden="false" customHeight="false" outlineLevel="0" collapsed="false">
      <c r="A867" s="28" t="s">
        <v>1452</v>
      </c>
      <c r="B867" s="81" t="s">
        <v>1453</v>
      </c>
      <c r="C867" s="8" t="s">
        <v>15</v>
      </c>
      <c r="D867" s="22" t="e">
        <f aca="false">сводн.данные!n872</f>
        <v>#NAME?</v>
      </c>
      <c r="E867" s="23" t="n">
        <v>2646.05759648792</v>
      </c>
      <c r="F867" s="24" t="n">
        <v>765</v>
      </c>
      <c r="G867" s="24" t="e">
        <f aca="false">D867-E867</f>
        <v>#NAME?</v>
      </c>
    </row>
    <row r="868" customFormat="false" ht="15" hidden="false" customHeight="false" outlineLevel="0" collapsed="false">
      <c r="A868" s="28" t="s">
        <v>1454</v>
      </c>
      <c r="B868" s="81" t="s">
        <v>1358</v>
      </c>
      <c r="C868" s="8" t="s">
        <v>15</v>
      </c>
      <c r="D868" s="22" t="e">
        <f aca="false">сводн.данные!n873</f>
        <v>#NAME?</v>
      </c>
      <c r="E868" s="23" t="n">
        <v>2857.66528904232</v>
      </c>
      <c r="F868" s="24" t="n">
        <v>1500</v>
      </c>
      <c r="G868" s="24" t="e">
        <f aca="false">D868-E868</f>
        <v>#NAME?</v>
      </c>
    </row>
    <row r="869" customFormat="false" ht="15" hidden="false" customHeight="false" outlineLevel="0" collapsed="false">
      <c r="A869" s="28" t="s">
        <v>1455</v>
      </c>
      <c r="B869" s="81" t="s">
        <v>1402</v>
      </c>
      <c r="C869" s="8" t="s">
        <v>15</v>
      </c>
      <c r="D869" s="22" t="e">
        <f aca="false">сводн.данные!n874</f>
        <v>#NAME?</v>
      </c>
      <c r="E869" s="23" t="n">
        <v>2897.91759712935</v>
      </c>
      <c r="F869" s="24" t="n">
        <v>1175</v>
      </c>
      <c r="G869" s="24" t="e">
        <f aca="false">D869-E869</f>
        <v>#NAME?</v>
      </c>
    </row>
    <row r="870" customFormat="false" ht="15" hidden="false" customHeight="false" outlineLevel="0" collapsed="false">
      <c r="A870" s="28" t="s">
        <v>1456</v>
      </c>
      <c r="B870" s="81" t="s">
        <v>1457</v>
      </c>
      <c r="C870" s="8" t="s">
        <v>15</v>
      </c>
      <c r="D870" s="22" t="e">
        <f aca="false">сводн.данные!n875</f>
        <v>#NAME?</v>
      </c>
      <c r="E870" s="23" t="n">
        <v>2888.27759456363</v>
      </c>
      <c r="F870" s="24" t="n">
        <v>1095</v>
      </c>
      <c r="G870" s="24" t="e">
        <f aca="false">D870-E870</f>
        <v>#NAME?</v>
      </c>
    </row>
    <row r="871" customFormat="false" ht="15" hidden="false" customHeight="false" outlineLevel="0" collapsed="false">
      <c r="A871" s="28" t="s">
        <v>1458</v>
      </c>
      <c r="B871" s="81" t="s">
        <v>708</v>
      </c>
      <c r="C871" s="8" t="s">
        <v>15</v>
      </c>
      <c r="D871" s="22" t="e">
        <f aca="false">сводн.данные!n876</f>
        <v>#NAME?</v>
      </c>
      <c r="E871" s="23" t="n">
        <v>2846.76067286825</v>
      </c>
      <c r="F871" s="24" t="n">
        <v>1500</v>
      </c>
      <c r="G871" s="24" t="e">
        <f aca="false">D871-E871</f>
        <v>#NAME?</v>
      </c>
    </row>
    <row r="872" customFormat="false" ht="15" hidden="false" customHeight="false" outlineLevel="0" collapsed="false">
      <c r="A872" s="28" t="s">
        <v>1459</v>
      </c>
      <c r="B872" s="81" t="s">
        <v>1460</v>
      </c>
      <c r="C872" s="8" t="s">
        <v>15</v>
      </c>
      <c r="D872" s="22" t="e">
        <f aca="false">сводн.данные!n877</f>
        <v>#NAME?</v>
      </c>
      <c r="E872" s="23" t="n">
        <v>2846.68682049746</v>
      </c>
      <c r="F872" s="24" t="n">
        <v>0</v>
      </c>
      <c r="G872" s="24" t="e">
        <f aca="false">D872-E872</f>
        <v>#NAME?</v>
      </c>
    </row>
    <row r="873" customFormat="false" ht="15" hidden="false" customHeight="false" outlineLevel="0" collapsed="false">
      <c r="A873" s="28" t="s">
        <v>1461</v>
      </c>
      <c r="B873" s="81" t="s">
        <v>1462</v>
      </c>
      <c r="C873" s="8" t="s">
        <v>15</v>
      </c>
      <c r="D873" s="22" t="e">
        <f aca="false">сводн.данные!n878</f>
        <v>#NAME?</v>
      </c>
      <c r="E873" s="23" t="n">
        <v>2666.08632186461</v>
      </c>
      <c r="F873" s="24" t="n">
        <v>0</v>
      </c>
      <c r="G873" s="24" t="e">
        <f aca="false">D873-E873</f>
        <v>#NAME?</v>
      </c>
    </row>
    <row r="874" customFormat="false" ht="15" hidden="false" customHeight="false" outlineLevel="0" collapsed="false">
      <c r="A874" s="28" t="s">
        <v>1463</v>
      </c>
      <c r="B874" s="81" t="s">
        <v>1464</v>
      </c>
      <c r="C874" s="8" t="s">
        <v>15</v>
      </c>
      <c r="D874" s="22" t="e">
        <f aca="false">сводн.данные!n879</f>
        <v>#NAME?</v>
      </c>
      <c r="E874" s="23" t="n">
        <v>4533.97384274933</v>
      </c>
      <c r="F874" s="24" t="n">
        <v>1425</v>
      </c>
      <c r="G874" s="24" t="e">
        <f aca="false">D874-E874</f>
        <v>#NAME?</v>
      </c>
    </row>
    <row r="875" customFormat="false" ht="15" hidden="false" customHeight="false" outlineLevel="0" collapsed="false">
      <c r="A875" s="28" t="s">
        <v>1465</v>
      </c>
      <c r="B875" s="82" t="s">
        <v>1466</v>
      </c>
      <c r="C875" s="8" t="s">
        <v>15</v>
      </c>
      <c r="D875" s="22" t="e">
        <f aca="false">сводн.данные!n880</f>
        <v>#NAME?</v>
      </c>
      <c r="E875" s="23" t="n">
        <v>10799.5003080386</v>
      </c>
      <c r="F875" s="24" t="n">
        <v>8410</v>
      </c>
      <c r="G875" s="24" t="e">
        <f aca="false">D875-E875</f>
        <v>#NAME?</v>
      </c>
    </row>
    <row r="876" customFormat="false" ht="15" hidden="false" customHeight="false" outlineLevel="0" collapsed="false">
      <c r="A876" s="28" t="s">
        <v>1467</v>
      </c>
      <c r="B876" s="82" t="s">
        <v>1468</v>
      </c>
      <c r="C876" s="8" t="s">
        <v>15</v>
      </c>
      <c r="D876" s="22" t="e">
        <f aca="false">сводн.данные!n881</f>
        <v>#NAME?</v>
      </c>
      <c r="E876" s="23" t="n">
        <v>9500.47585033392</v>
      </c>
      <c r="F876" s="24" t="n">
        <v>0</v>
      </c>
      <c r="G876" s="24" t="e">
        <f aca="false">D876-E876</f>
        <v>#NAME?</v>
      </c>
    </row>
    <row r="877" customFormat="false" ht="15" hidden="false" customHeight="true" outlineLevel="0" collapsed="false">
      <c r="A877" s="28" t="s">
        <v>1469</v>
      </c>
      <c r="B877" s="81" t="s">
        <v>1470</v>
      </c>
      <c r="C877" s="8" t="s">
        <v>15</v>
      </c>
      <c r="D877" s="22" t="e">
        <f aca="false">сводн.данные!n882</f>
        <v>#NAME?</v>
      </c>
      <c r="E877" s="23" t="n">
        <v>13799.9698223494</v>
      </c>
      <c r="F877" s="24" t="n">
        <v>0</v>
      </c>
      <c r="G877" s="24" t="e">
        <f aca="false">D877-E877</f>
        <v>#NAME?</v>
      </c>
    </row>
    <row r="878" customFormat="false" ht="39.75" hidden="false" customHeight="true" outlineLevel="0" collapsed="false">
      <c r="A878" s="15" t="s">
        <v>1471</v>
      </c>
      <c r="B878" s="83" t="s">
        <v>1472</v>
      </c>
      <c r="C878" s="17"/>
      <c r="D878" s="32"/>
      <c r="E878" s="33"/>
      <c r="F878" s="34"/>
      <c r="G878" s="34"/>
    </row>
    <row r="879" customFormat="false" ht="30" hidden="false" customHeight="false" outlineLevel="0" collapsed="false">
      <c r="A879" s="28" t="s">
        <v>1473</v>
      </c>
      <c r="B879" s="80" t="s">
        <v>1474</v>
      </c>
      <c r="C879" s="8" t="s">
        <v>15</v>
      </c>
      <c r="D879" s="22" t="e">
        <f aca="false">сводн.данные!n884</f>
        <v>#NAME?</v>
      </c>
      <c r="E879" s="23" t="n">
        <v>777.726152760655</v>
      </c>
      <c r="F879" s="24" t="n">
        <v>0</v>
      </c>
      <c r="G879" s="24" t="e">
        <f aca="false">D879-E879</f>
        <v>#NAME?</v>
      </c>
    </row>
    <row r="880" customFormat="false" ht="15" hidden="false" customHeight="false" outlineLevel="0" collapsed="false">
      <c r="A880" s="28" t="s">
        <v>1475</v>
      </c>
      <c r="B880" s="80" t="s">
        <v>1326</v>
      </c>
      <c r="C880" s="8" t="s">
        <v>15</v>
      </c>
      <c r="D880" s="22" t="e">
        <f aca="false">сводн.данные!n885</f>
        <v>#NAME?</v>
      </c>
      <c r="E880" s="23" t="n">
        <v>914.840698008357</v>
      </c>
      <c r="F880" s="24" t="n">
        <v>570</v>
      </c>
      <c r="G880" s="24" t="e">
        <f aca="false">D880-E880</f>
        <v>#NAME?</v>
      </c>
    </row>
    <row r="881" customFormat="false" ht="15" hidden="false" customHeight="false" outlineLevel="0" collapsed="false">
      <c r="A881" s="28" t="s">
        <v>1476</v>
      </c>
      <c r="B881" s="80" t="s">
        <v>1328</v>
      </c>
      <c r="C881" s="8" t="s">
        <v>15</v>
      </c>
      <c r="D881" s="22" t="e">
        <f aca="false">сводн.данные!n886</f>
        <v>#NAME?</v>
      </c>
      <c r="E881" s="23" t="n">
        <v>1736.45450536095</v>
      </c>
      <c r="F881" s="24" t="n">
        <v>0</v>
      </c>
      <c r="G881" s="24" t="e">
        <f aca="false">D881-E881</f>
        <v>#NAME?</v>
      </c>
    </row>
    <row r="882" customFormat="false" ht="15" hidden="false" customHeight="false" outlineLevel="0" collapsed="false">
      <c r="A882" s="28" t="s">
        <v>1477</v>
      </c>
      <c r="B882" s="80" t="s">
        <v>1334</v>
      </c>
      <c r="C882" s="8" t="s">
        <v>15</v>
      </c>
      <c r="D882" s="22" t="e">
        <f aca="false">сводн.данные!n887</f>
        <v>#NAME?</v>
      </c>
      <c r="E882" s="23" t="n">
        <v>1022.79692041252</v>
      </c>
      <c r="F882" s="24" t="n">
        <v>300</v>
      </c>
      <c r="G882" s="24" t="e">
        <f aca="false">D882-E882</f>
        <v>#NAME?</v>
      </c>
    </row>
    <row r="883" customFormat="false" ht="15" hidden="false" customHeight="false" outlineLevel="0" collapsed="false">
      <c r="A883" s="28" t="s">
        <v>1478</v>
      </c>
      <c r="B883" s="80" t="s">
        <v>1336</v>
      </c>
      <c r="C883" s="8" t="s">
        <v>15</v>
      </c>
      <c r="D883" s="22" t="e">
        <f aca="false">сводн.данные!n888</f>
        <v>#NAME?</v>
      </c>
      <c r="E883" s="23" t="n">
        <v>1822.73538254307</v>
      </c>
      <c r="F883" s="24" t="n">
        <v>0</v>
      </c>
      <c r="G883" s="24" t="e">
        <f aca="false">D883-E883</f>
        <v>#NAME?</v>
      </c>
    </row>
    <row r="884" customFormat="false" ht="15" hidden="false" customHeight="false" outlineLevel="0" collapsed="false">
      <c r="A884" s="28" t="s">
        <v>1479</v>
      </c>
      <c r="B884" s="80" t="s">
        <v>1338</v>
      </c>
      <c r="C884" s="8" t="s">
        <v>15</v>
      </c>
      <c r="D884" s="22" t="e">
        <f aca="false">сводн.данные!n889</f>
        <v>#NAME?</v>
      </c>
      <c r="E884" s="23" t="n">
        <v>2272.98036426807</v>
      </c>
      <c r="F884" s="24" t="n">
        <v>1045</v>
      </c>
      <c r="G884" s="24" t="e">
        <f aca="false">D884-E884</f>
        <v>#NAME?</v>
      </c>
    </row>
    <row r="885" customFormat="false" ht="15" hidden="false" customHeight="false" outlineLevel="0" collapsed="false">
      <c r="A885" s="28" t="s">
        <v>1480</v>
      </c>
      <c r="B885" s="80" t="s">
        <v>1340</v>
      </c>
      <c r="C885" s="8" t="s">
        <v>15</v>
      </c>
      <c r="D885" s="22" t="e">
        <f aca="false">сводн.данные!n890</f>
        <v>#NAME?</v>
      </c>
      <c r="E885" s="23" t="n">
        <v>2287.12411882473</v>
      </c>
      <c r="F885" s="24" t="n">
        <v>1045</v>
      </c>
      <c r="G885" s="24" t="e">
        <f aca="false">D885-E885</f>
        <v>#NAME?</v>
      </c>
    </row>
    <row r="886" customFormat="false" ht="15" hidden="false" customHeight="false" outlineLevel="0" collapsed="false">
      <c r="A886" s="28" t="s">
        <v>1481</v>
      </c>
      <c r="B886" s="80" t="s">
        <v>1342</v>
      </c>
      <c r="C886" s="8" t="s">
        <v>15</v>
      </c>
      <c r="D886" s="22" t="e">
        <f aca="false">сводн.данные!n891</f>
        <v>#NAME?</v>
      </c>
      <c r="E886" s="23" t="n">
        <v>2233.60190213752</v>
      </c>
      <c r="F886" s="24" t="n">
        <v>1065</v>
      </c>
      <c r="G886" s="24" t="e">
        <f aca="false">D886-E886</f>
        <v>#NAME?</v>
      </c>
    </row>
    <row r="887" customFormat="false" ht="15" hidden="false" customHeight="false" outlineLevel="0" collapsed="false">
      <c r="A887" s="28" t="s">
        <v>1482</v>
      </c>
      <c r="B887" s="80" t="s">
        <v>1344</v>
      </c>
      <c r="C887" s="8" t="s">
        <v>15</v>
      </c>
      <c r="D887" s="22" t="e">
        <f aca="false">сводн.данные!n892</f>
        <v>#NAME?</v>
      </c>
      <c r="E887" s="23" t="n">
        <v>2283.44374860715</v>
      </c>
      <c r="F887" s="24" t="n">
        <v>1015</v>
      </c>
      <c r="G887" s="24" t="e">
        <f aca="false">D887-E887</f>
        <v>#NAME?</v>
      </c>
    </row>
    <row r="888" customFormat="false" ht="15" hidden="false" customHeight="false" outlineLevel="0" collapsed="false">
      <c r="A888" s="28" t="s">
        <v>1483</v>
      </c>
      <c r="B888" s="80" t="s">
        <v>119</v>
      </c>
      <c r="C888" s="8" t="s">
        <v>15</v>
      </c>
      <c r="D888" s="22" t="e">
        <f aca="false">сводн.данные!n893</f>
        <v>#NAME?</v>
      </c>
      <c r="E888" s="23" t="n">
        <v>2731.23697838956</v>
      </c>
      <c r="F888" s="24" t="n">
        <v>1055</v>
      </c>
      <c r="G888" s="24" t="e">
        <f aca="false">D888-E888</f>
        <v>#NAME?</v>
      </c>
    </row>
    <row r="889" customFormat="false" ht="15" hidden="false" customHeight="false" outlineLevel="0" collapsed="false">
      <c r="A889" s="28" t="s">
        <v>1484</v>
      </c>
      <c r="B889" s="80" t="s">
        <v>115</v>
      </c>
      <c r="C889" s="8" t="s">
        <v>15</v>
      </c>
      <c r="D889" s="22" t="e">
        <f aca="false">сводн.данные!n894</f>
        <v>#NAME?</v>
      </c>
      <c r="E889" s="23" t="n">
        <v>2734.86097838956</v>
      </c>
      <c r="F889" s="24" t="n">
        <v>1045</v>
      </c>
      <c r="G889" s="24" t="e">
        <f aca="false">D889-E889</f>
        <v>#NAME?</v>
      </c>
    </row>
    <row r="890" customFormat="false" ht="15" hidden="false" customHeight="false" outlineLevel="0" collapsed="false">
      <c r="A890" s="28" t="s">
        <v>1485</v>
      </c>
      <c r="B890" s="80" t="s">
        <v>1348</v>
      </c>
      <c r="C890" s="8" t="s">
        <v>15</v>
      </c>
      <c r="D890" s="22" t="e">
        <f aca="false">сводн.данные!n895</f>
        <v>#NAME?</v>
      </c>
      <c r="E890" s="23" t="n">
        <v>2731.26885669418</v>
      </c>
      <c r="F890" s="24" t="n">
        <v>1025</v>
      </c>
      <c r="G890" s="24" t="e">
        <f aca="false">D890-E890</f>
        <v>#NAME?</v>
      </c>
    </row>
    <row r="891" customFormat="false" ht="15" hidden="false" customHeight="false" outlineLevel="0" collapsed="false">
      <c r="A891" s="28" t="s">
        <v>1486</v>
      </c>
      <c r="B891" s="80" t="s">
        <v>77</v>
      </c>
      <c r="C891" s="8" t="s">
        <v>15</v>
      </c>
      <c r="D891" s="22" t="e">
        <f aca="false">сводн.данные!n896</f>
        <v>#NAME?</v>
      </c>
      <c r="E891" s="23" t="n">
        <v>2663.68374989001</v>
      </c>
      <c r="F891" s="24" t="n">
        <v>900</v>
      </c>
      <c r="G891" s="24" t="e">
        <f aca="false">D891-E891</f>
        <v>#NAME?</v>
      </c>
    </row>
    <row r="892" customFormat="false" ht="15" hidden="false" customHeight="false" outlineLevel="0" collapsed="false">
      <c r="A892" s="28" t="s">
        <v>1487</v>
      </c>
      <c r="B892" s="80" t="s">
        <v>83</v>
      </c>
      <c r="C892" s="8" t="s">
        <v>15</v>
      </c>
      <c r="D892" s="22" t="e">
        <f aca="false">сводн.данные!n897</f>
        <v>#NAME?</v>
      </c>
      <c r="E892" s="23" t="n">
        <v>2663.90233243308</v>
      </c>
      <c r="F892" s="24" t="n">
        <v>2200</v>
      </c>
      <c r="G892" s="24" t="e">
        <f aca="false">D892-E892</f>
        <v>#NAME?</v>
      </c>
    </row>
    <row r="893" customFormat="false" ht="15" hidden="false" customHeight="false" outlineLevel="0" collapsed="false">
      <c r="A893" s="28" t="s">
        <v>1488</v>
      </c>
      <c r="B893" s="80" t="s">
        <v>1352</v>
      </c>
      <c r="C893" s="8" t="s">
        <v>15</v>
      </c>
      <c r="D893" s="22" t="e">
        <f aca="false">сводн.данные!n898</f>
        <v>#NAME?</v>
      </c>
      <c r="E893" s="23" t="n">
        <v>2680.54504308584</v>
      </c>
      <c r="F893" s="24" t="n">
        <v>2200</v>
      </c>
      <c r="G893" s="24" t="e">
        <f aca="false">D893-E893</f>
        <v>#NAME?</v>
      </c>
    </row>
    <row r="894" customFormat="false" ht="15" hidden="false" customHeight="false" outlineLevel="0" collapsed="false">
      <c r="A894" s="28" t="s">
        <v>1489</v>
      </c>
      <c r="B894" s="80" t="s">
        <v>958</v>
      </c>
      <c r="C894" s="8" t="s">
        <v>15</v>
      </c>
      <c r="D894" s="22" t="e">
        <f aca="false">сводн.данные!n899</f>
        <v>#NAME?</v>
      </c>
      <c r="E894" s="23" t="n">
        <v>2876.77297838956</v>
      </c>
      <c r="F894" s="24" t="n">
        <v>1500</v>
      </c>
      <c r="G894" s="24" t="e">
        <f aca="false">D894-E894</f>
        <v>#NAME?</v>
      </c>
    </row>
    <row r="895" customFormat="false" ht="15" hidden="false" customHeight="false" outlineLevel="0" collapsed="false">
      <c r="A895" s="28" t="s">
        <v>1490</v>
      </c>
      <c r="B895" s="80" t="s">
        <v>945</v>
      </c>
      <c r="C895" s="8" t="s">
        <v>15</v>
      </c>
      <c r="D895" s="22" t="e">
        <f aca="false">сводн.данные!n900</f>
        <v>#NAME?</v>
      </c>
      <c r="E895" s="23" t="n">
        <v>2876.77297838956</v>
      </c>
      <c r="F895" s="24" t="n">
        <v>1500</v>
      </c>
      <c r="G895" s="24" t="e">
        <f aca="false">D895-E895</f>
        <v>#NAME?</v>
      </c>
    </row>
    <row r="896" customFormat="false" ht="15" hidden="false" customHeight="false" outlineLevel="0" collapsed="false">
      <c r="A896" s="28" t="s">
        <v>1491</v>
      </c>
      <c r="B896" s="80" t="s">
        <v>1358</v>
      </c>
      <c r="C896" s="8" t="s">
        <v>15</v>
      </c>
      <c r="D896" s="22" t="e">
        <f aca="false">сводн.данные!n901</f>
        <v>#NAME?</v>
      </c>
      <c r="E896" s="23" t="n">
        <v>2851.67759456363</v>
      </c>
      <c r="F896" s="24" t="n">
        <v>1500</v>
      </c>
      <c r="G896" s="24" t="e">
        <f aca="false">D896-E896</f>
        <v>#NAME?</v>
      </c>
    </row>
    <row r="897" customFormat="false" ht="15" hidden="false" customHeight="false" outlineLevel="0" collapsed="false">
      <c r="A897" s="28" t="s">
        <v>1492</v>
      </c>
      <c r="B897" s="80" t="s">
        <v>1360</v>
      </c>
      <c r="C897" s="8" t="s">
        <v>15</v>
      </c>
      <c r="D897" s="22" t="e">
        <f aca="false">сводн.данные!n902</f>
        <v>#NAME?</v>
      </c>
      <c r="E897" s="23" t="n">
        <v>2850.1391349988</v>
      </c>
      <c r="F897" s="24" t="n">
        <v>1500</v>
      </c>
      <c r="G897" s="24" t="e">
        <f aca="false">D897-E897</f>
        <v>#NAME?</v>
      </c>
    </row>
    <row r="898" customFormat="false" ht="15" hidden="false" customHeight="false" outlineLevel="0" collapsed="false">
      <c r="A898" s="28" t="s">
        <v>1493</v>
      </c>
      <c r="B898" s="80" t="s">
        <v>187</v>
      </c>
      <c r="C898" s="8" t="s">
        <v>15</v>
      </c>
      <c r="D898" s="22" t="e">
        <f aca="false">сводн.данные!n903</f>
        <v>#NAME?</v>
      </c>
      <c r="E898" s="23" t="n">
        <v>2748.39673435737</v>
      </c>
      <c r="F898" s="24" t="n">
        <v>2730</v>
      </c>
      <c r="G898" s="24" t="e">
        <f aca="false">D898-E898</f>
        <v>#NAME?</v>
      </c>
    </row>
    <row r="899" customFormat="false" ht="15" hidden="false" customHeight="false" outlineLevel="0" collapsed="false">
      <c r="A899" s="28" t="s">
        <v>1494</v>
      </c>
      <c r="B899" s="80" t="s">
        <v>1362</v>
      </c>
      <c r="C899" s="8" t="s">
        <v>15</v>
      </c>
      <c r="D899" s="22" t="e">
        <f aca="false">сводн.данные!n904</f>
        <v>#NAME?</v>
      </c>
      <c r="E899" s="23" t="n">
        <v>2845.7822107377</v>
      </c>
      <c r="F899" s="24" t="n">
        <v>1760</v>
      </c>
      <c r="G899" s="24" t="e">
        <f aca="false">D899-E899</f>
        <v>#NAME?</v>
      </c>
    </row>
    <row r="900" customFormat="false" ht="15" hidden="false" customHeight="false" outlineLevel="0" collapsed="false">
      <c r="A900" s="28" t="s">
        <v>1495</v>
      </c>
      <c r="B900" s="80" t="s">
        <v>1364</v>
      </c>
      <c r="C900" s="8" t="s">
        <v>15</v>
      </c>
      <c r="D900" s="22" t="e">
        <f aca="false">сводн.данные!n905</f>
        <v>#NAME?</v>
      </c>
      <c r="E900" s="23" t="n">
        <v>2874.29298095528</v>
      </c>
      <c r="F900" s="24" t="n">
        <v>1700</v>
      </c>
      <c r="G900" s="24" t="e">
        <f aca="false">D900-E900</f>
        <v>#NAME?</v>
      </c>
    </row>
    <row r="901" customFormat="false" ht="15.75" hidden="false" customHeight="true" outlineLevel="0" collapsed="false">
      <c r="A901" s="28" t="s">
        <v>1496</v>
      </c>
      <c r="B901" s="80" t="s">
        <v>1412</v>
      </c>
      <c r="C901" s="8" t="s">
        <v>15</v>
      </c>
      <c r="D901" s="22" t="e">
        <f aca="false">сводн.данные!n906</f>
        <v>#NAME?</v>
      </c>
      <c r="E901" s="23" t="n">
        <v>2997.12375117287</v>
      </c>
      <c r="F901" s="24" t="n">
        <v>1620</v>
      </c>
      <c r="G901" s="24" t="e">
        <f aca="false">D901-E901</f>
        <v>#NAME?</v>
      </c>
    </row>
    <row r="902" customFormat="false" ht="15" hidden="false" customHeight="false" outlineLevel="0" collapsed="false">
      <c r="A902" s="28" t="s">
        <v>1497</v>
      </c>
      <c r="B902" s="80" t="s">
        <v>1394</v>
      </c>
      <c r="C902" s="8" t="s">
        <v>15</v>
      </c>
      <c r="D902" s="22" t="e">
        <f aca="false">сводн.данные!n907</f>
        <v>#NAME?</v>
      </c>
      <c r="E902" s="23" t="n">
        <v>3937.61298095528</v>
      </c>
      <c r="F902" s="24" t="n">
        <v>0</v>
      </c>
      <c r="G902" s="24" t="e">
        <f aca="false">D902-E902</f>
        <v>#NAME?</v>
      </c>
    </row>
    <row r="903" customFormat="false" ht="15" hidden="false" customHeight="false" outlineLevel="0" collapsed="false">
      <c r="A903" s="28" t="s">
        <v>1498</v>
      </c>
      <c r="B903" s="80" t="s">
        <v>1396</v>
      </c>
      <c r="C903" s="8" t="s">
        <v>15</v>
      </c>
      <c r="D903" s="22" t="e">
        <f aca="false">сводн.данные!n908</f>
        <v>#NAME?</v>
      </c>
      <c r="E903" s="23" t="n">
        <v>2981.45298095528</v>
      </c>
      <c r="F903" s="24" t="n">
        <v>1620</v>
      </c>
      <c r="G903" s="24" t="e">
        <f aca="false">D903-E903</f>
        <v>#NAME?</v>
      </c>
    </row>
    <row r="904" customFormat="false" ht="15" hidden="false" customHeight="false" outlineLevel="0" collapsed="false">
      <c r="A904" s="28" t="s">
        <v>1499</v>
      </c>
      <c r="B904" s="80" t="s">
        <v>1398</v>
      </c>
      <c r="C904" s="8" t="s">
        <v>15</v>
      </c>
      <c r="D904" s="22" t="e">
        <f aca="false">сводн.данные!n909</f>
        <v>#NAME?</v>
      </c>
      <c r="E904" s="23" t="n">
        <v>2763.10744308584</v>
      </c>
      <c r="F904" s="24" t="n">
        <v>0</v>
      </c>
      <c r="G904" s="24" t="e">
        <f aca="false">D904-E904</f>
        <v>#NAME?</v>
      </c>
    </row>
    <row r="905" customFormat="false" ht="15" hidden="false" customHeight="false" outlineLevel="0" collapsed="false">
      <c r="A905" s="28" t="s">
        <v>1500</v>
      </c>
      <c r="B905" s="80" t="s">
        <v>1368</v>
      </c>
      <c r="C905" s="8" t="s">
        <v>15</v>
      </c>
      <c r="D905" s="22" t="e">
        <f aca="false">сводн.данные!n910</f>
        <v>#NAME?</v>
      </c>
      <c r="E905" s="23" t="n">
        <v>2861.83144308584</v>
      </c>
      <c r="F905" s="24" t="n">
        <v>1500.08718153928</v>
      </c>
      <c r="G905" s="24" t="e">
        <f aca="false">D905-E905</f>
        <v>#NAME?</v>
      </c>
    </row>
    <row r="906" customFormat="false" ht="15" hidden="false" customHeight="false" outlineLevel="0" collapsed="false">
      <c r="A906" s="28" t="s">
        <v>1501</v>
      </c>
      <c r="B906" s="80" t="s">
        <v>1370</v>
      </c>
      <c r="C906" s="8" t="s">
        <v>15</v>
      </c>
      <c r="D906" s="22" t="e">
        <f aca="false">сводн.данные!n911</f>
        <v>#NAME?</v>
      </c>
      <c r="E906" s="23" t="n">
        <v>2861.83144308584</v>
      </c>
      <c r="F906" s="24" t="n">
        <v>1160</v>
      </c>
      <c r="G906" s="24" t="e">
        <f aca="false">D906-E906</f>
        <v>#NAME?</v>
      </c>
    </row>
    <row r="907" customFormat="false" ht="15" hidden="false" customHeight="false" outlineLevel="0" collapsed="false">
      <c r="A907" s="28" t="s">
        <v>1502</v>
      </c>
      <c r="B907" s="80" t="s">
        <v>1402</v>
      </c>
      <c r="C907" s="8" t="s">
        <v>15</v>
      </c>
      <c r="D907" s="22" t="e">
        <f aca="false">сводн.данные!n912</f>
        <v>#NAME?</v>
      </c>
      <c r="E907" s="23" t="n">
        <v>2860.20498095528</v>
      </c>
      <c r="F907" s="24" t="n">
        <v>1175</v>
      </c>
      <c r="G907" s="24" t="e">
        <f aca="false">D907-E907</f>
        <v>#NAME?</v>
      </c>
    </row>
    <row r="908" customFormat="false" ht="15" hidden="false" customHeight="false" outlineLevel="0" collapsed="false">
      <c r="A908" s="28" t="s">
        <v>1503</v>
      </c>
      <c r="B908" s="80" t="s">
        <v>1372</v>
      </c>
      <c r="C908" s="8" t="s">
        <v>15</v>
      </c>
      <c r="D908" s="22" t="e">
        <f aca="false">сводн.данные!n913</f>
        <v>#NAME?</v>
      </c>
      <c r="E908" s="23" t="n">
        <v>2863.80928904232</v>
      </c>
      <c r="F908" s="24" t="n">
        <v>1500</v>
      </c>
      <c r="G908" s="24" t="e">
        <f aca="false">D908-E908</f>
        <v>#NAME?</v>
      </c>
    </row>
    <row r="909" customFormat="false" ht="15" hidden="false" customHeight="false" outlineLevel="0" collapsed="false">
      <c r="A909" s="28" t="s">
        <v>1504</v>
      </c>
      <c r="B909" s="80" t="s">
        <v>1380</v>
      </c>
      <c r="C909" s="8" t="s">
        <v>15</v>
      </c>
      <c r="D909" s="22" t="e">
        <f aca="false">сводн.данные!n914</f>
        <v>#NAME?</v>
      </c>
      <c r="E909" s="23" t="n">
        <v>2857.57144308584</v>
      </c>
      <c r="F909" s="24" t="n">
        <v>1500</v>
      </c>
      <c r="G909" s="24" t="e">
        <f aca="false">D909-E909</f>
        <v>#NAME?</v>
      </c>
    </row>
    <row r="910" customFormat="false" ht="15" hidden="false" customHeight="false" outlineLevel="0" collapsed="false">
      <c r="A910" s="28" t="s">
        <v>1505</v>
      </c>
      <c r="B910" s="80" t="s">
        <v>1506</v>
      </c>
      <c r="C910" s="8" t="s">
        <v>15</v>
      </c>
      <c r="D910" s="22" t="e">
        <f aca="false">сводн.данные!n915</f>
        <v>#NAME?</v>
      </c>
      <c r="E910" s="23" t="n">
        <v>2814.46528904232</v>
      </c>
      <c r="F910" s="24" t="n">
        <v>1500</v>
      </c>
      <c r="G910" s="24" t="e">
        <f aca="false">D910-E910</f>
        <v>#NAME?</v>
      </c>
    </row>
    <row r="911" customFormat="false" ht="15" hidden="false" customHeight="false" outlineLevel="0" collapsed="false">
      <c r="A911" s="28" t="s">
        <v>1507</v>
      </c>
      <c r="B911" s="80" t="s">
        <v>1508</v>
      </c>
      <c r="C911" s="8" t="s">
        <v>15</v>
      </c>
      <c r="D911" s="22" t="e">
        <f aca="false">сводн.данные!n916</f>
        <v>#NAME?</v>
      </c>
      <c r="E911" s="23" t="n">
        <v>2881.3391349988</v>
      </c>
      <c r="F911" s="24" t="n">
        <v>1500</v>
      </c>
      <c r="G911" s="24" t="e">
        <f aca="false">D911-E911</f>
        <v>#NAME?</v>
      </c>
    </row>
    <row r="912" customFormat="false" ht="15" hidden="false" customHeight="false" outlineLevel="0" collapsed="false">
      <c r="A912" s="28" t="s">
        <v>1509</v>
      </c>
      <c r="B912" s="80" t="s">
        <v>1386</v>
      </c>
      <c r="C912" s="8" t="s">
        <v>15</v>
      </c>
      <c r="D912" s="22" t="e">
        <f aca="false">сводн.данные!n917</f>
        <v>#NAME?</v>
      </c>
      <c r="E912" s="23" t="n">
        <v>2862.7391349988</v>
      </c>
      <c r="F912" s="24" t="n">
        <v>1500</v>
      </c>
      <c r="G912" s="24" t="e">
        <f aca="false">D912-E912</f>
        <v>#NAME?</v>
      </c>
    </row>
    <row r="913" customFormat="false" ht="15" hidden="false" customHeight="false" outlineLevel="0" collapsed="false">
      <c r="A913" s="28" t="s">
        <v>1510</v>
      </c>
      <c r="B913" s="80" t="s">
        <v>1404</v>
      </c>
      <c r="C913" s="8" t="s">
        <v>15</v>
      </c>
      <c r="D913" s="22" t="e">
        <f aca="false">сводн.данные!n918</f>
        <v>#NAME?</v>
      </c>
      <c r="E913" s="23" t="n">
        <v>2847.70528904232</v>
      </c>
      <c r="F913" s="24" t="n">
        <v>1500</v>
      </c>
      <c r="G913" s="24" t="e">
        <f aca="false">D913-E913</f>
        <v>#NAME?</v>
      </c>
    </row>
    <row r="914" customFormat="false" ht="15" hidden="false" customHeight="false" outlineLevel="0" collapsed="false">
      <c r="A914" s="28" t="s">
        <v>1511</v>
      </c>
      <c r="B914" s="80" t="s">
        <v>1388</v>
      </c>
      <c r="C914" s="8" t="s">
        <v>15</v>
      </c>
      <c r="D914" s="22" t="e">
        <f aca="false">сводн.данные!n919</f>
        <v>#NAME?</v>
      </c>
      <c r="E914" s="23" t="n">
        <v>2848.06528904232</v>
      </c>
      <c r="F914" s="24" t="n">
        <v>1700</v>
      </c>
      <c r="G914" s="24" t="e">
        <f aca="false">D914-E914</f>
        <v>#NAME?</v>
      </c>
    </row>
    <row r="915" customFormat="false" ht="15" hidden="false" customHeight="false" outlineLevel="0" collapsed="false">
      <c r="A915" s="28" t="s">
        <v>1512</v>
      </c>
      <c r="B915" s="80" t="s">
        <v>1406</v>
      </c>
      <c r="C915" s="8" t="s">
        <v>15</v>
      </c>
      <c r="D915" s="22" t="e">
        <f aca="false">сводн.данные!n920</f>
        <v>#NAME?</v>
      </c>
      <c r="E915" s="23" t="n">
        <v>3126.41990521639</v>
      </c>
      <c r="F915" s="24" t="n">
        <v>856</v>
      </c>
      <c r="G915" s="24" t="e">
        <f aca="false">D915-E915</f>
        <v>#NAME?</v>
      </c>
    </row>
    <row r="916" customFormat="false" ht="15" hidden="false" customHeight="false" outlineLevel="0" collapsed="false">
      <c r="A916" s="28" t="s">
        <v>1513</v>
      </c>
      <c r="B916" s="80" t="s">
        <v>953</v>
      </c>
      <c r="C916" s="8" t="s">
        <v>15</v>
      </c>
      <c r="D916" s="22" t="e">
        <f aca="false">сводн.данные!n921</f>
        <v>#NAME?</v>
      </c>
      <c r="E916" s="23" t="n">
        <v>2379.57451882473</v>
      </c>
      <c r="F916" s="24" t="n">
        <v>900</v>
      </c>
      <c r="G916" s="24" t="e">
        <f aca="false">D916-E916</f>
        <v>#NAME?</v>
      </c>
    </row>
    <row r="917" customFormat="false" ht="15" hidden="false" customHeight="false" outlineLevel="0" collapsed="false">
      <c r="A917" s="28" t="s">
        <v>1514</v>
      </c>
      <c r="B917" s="80" t="s">
        <v>1392</v>
      </c>
      <c r="C917" s="8" t="s">
        <v>15</v>
      </c>
      <c r="D917" s="22" t="e">
        <f aca="false">сводн.данные!n922</f>
        <v>#NAME?</v>
      </c>
      <c r="E917" s="23" t="n">
        <v>2864.76590521639</v>
      </c>
      <c r="F917" s="24" t="n">
        <v>710</v>
      </c>
      <c r="G917" s="24" t="e">
        <f aca="false">D917-E917</f>
        <v>#NAME?</v>
      </c>
    </row>
    <row r="918" customFormat="false" ht="15" hidden="false" customHeight="false" outlineLevel="0" collapsed="false">
      <c r="A918" s="28" t="s">
        <v>1515</v>
      </c>
      <c r="B918" s="80" t="s">
        <v>1390</v>
      </c>
      <c r="C918" s="8" t="s">
        <v>15</v>
      </c>
      <c r="D918" s="22" t="e">
        <f aca="false">сводн.данные!n923</f>
        <v>#NAME?</v>
      </c>
      <c r="E918" s="23" t="n">
        <v>3152.0960592599</v>
      </c>
      <c r="F918" s="24" t="n">
        <v>1500</v>
      </c>
      <c r="G918" s="24" t="e">
        <f aca="false">D918-E918</f>
        <v>#NAME?</v>
      </c>
    </row>
    <row r="919" customFormat="false" ht="15" hidden="false" customHeight="false" outlineLevel="0" collapsed="false">
      <c r="A919" s="28" t="s">
        <v>1516</v>
      </c>
      <c r="B919" s="80" t="s">
        <v>1410</v>
      </c>
      <c r="C919" s="8" t="s">
        <v>15</v>
      </c>
      <c r="D919" s="22" t="e">
        <f aca="false">сводн.данные!n924</f>
        <v>#NAME?</v>
      </c>
      <c r="E919" s="23" t="n">
        <v>3796.23913628166</v>
      </c>
      <c r="F919" s="24" t="n">
        <v>1025</v>
      </c>
      <c r="G919" s="24" t="e">
        <f aca="false">D919-E919</f>
        <v>#NAME?</v>
      </c>
    </row>
    <row r="920" customFormat="false" ht="46.5" hidden="false" customHeight="true" outlineLevel="0" collapsed="false">
      <c r="A920" s="28" t="s">
        <v>1517</v>
      </c>
      <c r="B920" s="80" t="s">
        <v>1518</v>
      </c>
      <c r="C920" s="8" t="s">
        <v>15</v>
      </c>
      <c r="D920" s="22" t="e">
        <f aca="false">сводн.данные!n925</f>
        <v>#NAME?</v>
      </c>
      <c r="E920" s="23" t="n">
        <v>4554.97763527153</v>
      </c>
      <c r="F920" s="24" t="n">
        <v>1425</v>
      </c>
      <c r="G920" s="24" t="e">
        <f aca="false">D920-E920</f>
        <v>#NAME?</v>
      </c>
    </row>
    <row r="921" customFormat="false" ht="15" hidden="false" customHeight="false" outlineLevel="0" collapsed="false">
      <c r="A921" s="28" t="s">
        <v>1519</v>
      </c>
      <c r="B921" s="81" t="s">
        <v>1520</v>
      </c>
      <c r="C921" s="8" t="s">
        <v>15</v>
      </c>
      <c r="D921" s="22" t="e">
        <f aca="false">сводн.данные!n926</f>
        <v>#NAME?</v>
      </c>
      <c r="E921" s="23" t="n">
        <v>2813.24989751922</v>
      </c>
      <c r="F921" s="24" t="n">
        <v>0</v>
      </c>
      <c r="G921" s="24" t="e">
        <f aca="false">D921-E921</f>
        <v>#NAME?</v>
      </c>
    </row>
    <row r="922" customFormat="false" ht="15" hidden="false" customHeight="false" outlineLevel="0" collapsed="false">
      <c r="A922" s="28" t="s">
        <v>1521</v>
      </c>
      <c r="B922" s="81" t="s">
        <v>1522</v>
      </c>
      <c r="C922" s="8" t="s">
        <v>15</v>
      </c>
      <c r="D922" s="22" t="e">
        <f aca="false">сводн.данные!n927</f>
        <v>#NAME?</v>
      </c>
      <c r="E922" s="23" t="n">
        <v>2629.30570658854</v>
      </c>
      <c r="F922" s="24" t="n">
        <v>0</v>
      </c>
      <c r="G922" s="24" t="e">
        <f aca="false">D922-E922</f>
        <v>#NAME?</v>
      </c>
    </row>
    <row r="923" customFormat="false" ht="29.25" hidden="false" customHeight="true" outlineLevel="0" collapsed="false">
      <c r="A923" s="15" t="s">
        <v>1523</v>
      </c>
      <c r="B923" s="84" t="s">
        <v>1524</v>
      </c>
      <c r="C923" s="17"/>
      <c r="D923" s="32"/>
      <c r="E923" s="33"/>
      <c r="F923" s="34"/>
      <c r="G923" s="34"/>
    </row>
    <row r="924" customFormat="false" ht="15.75" hidden="false" customHeight="true" outlineLevel="0" collapsed="false">
      <c r="A924" s="28" t="s">
        <v>1525</v>
      </c>
      <c r="B924" s="80" t="s">
        <v>1526</v>
      </c>
      <c r="C924" s="8" t="s">
        <v>15</v>
      </c>
      <c r="D924" s="22" t="e">
        <f aca="false">сводн.данные!n929</f>
        <v>#NAME?</v>
      </c>
      <c r="E924" s="23" t="n">
        <v>892.180382061996</v>
      </c>
      <c r="F924" s="24" t="n">
        <v>490</v>
      </c>
      <c r="G924" s="24" t="e">
        <f aca="false">D924-E924</f>
        <v>#NAME?</v>
      </c>
    </row>
    <row r="925" customFormat="false" ht="15" hidden="false" customHeight="false" outlineLevel="0" collapsed="false">
      <c r="A925" s="28" t="s">
        <v>1527</v>
      </c>
      <c r="B925" s="80" t="s">
        <v>630</v>
      </c>
      <c r="C925" s="8" t="s">
        <v>15</v>
      </c>
      <c r="D925" s="22" t="e">
        <f aca="false">сводн.данные!n930</f>
        <v>#NAME?</v>
      </c>
      <c r="E925" s="23" t="n">
        <v>1225.58461489121</v>
      </c>
      <c r="F925" s="24" t="n">
        <v>380</v>
      </c>
      <c r="G925" s="24" t="e">
        <f aca="false">D925-E925</f>
        <v>#NAME?</v>
      </c>
    </row>
    <row r="926" customFormat="false" ht="15" hidden="false" customHeight="false" outlineLevel="0" collapsed="false">
      <c r="A926" s="28" t="s">
        <v>1528</v>
      </c>
      <c r="B926" s="80" t="s">
        <v>231</v>
      </c>
      <c r="C926" s="8" t="s">
        <v>15</v>
      </c>
      <c r="D926" s="22" t="e">
        <f aca="false">сводн.данные!n931</f>
        <v>#NAME?</v>
      </c>
      <c r="E926" s="23" t="n">
        <v>1614.65759648792</v>
      </c>
      <c r="F926" s="24" t="n">
        <v>340</v>
      </c>
      <c r="G926" s="24" t="e">
        <f aca="false">D926-E926</f>
        <v>#NAME?</v>
      </c>
    </row>
    <row r="927" customFormat="false" ht="30" hidden="false" customHeight="false" outlineLevel="0" collapsed="false">
      <c r="A927" s="28" t="s">
        <v>1529</v>
      </c>
      <c r="B927" s="80" t="s">
        <v>1530</v>
      </c>
      <c r="C927" s="8" t="s">
        <v>15</v>
      </c>
      <c r="D927" s="22" t="e">
        <f aca="false">сводн.данные!n932</f>
        <v>#NAME?</v>
      </c>
      <c r="E927" s="23" t="n">
        <v>3172.80343795439</v>
      </c>
      <c r="F927" s="24" t="n">
        <v>880</v>
      </c>
      <c r="G927" s="24" t="e">
        <f aca="false">D927-E927</f>
        <v>#NAME?</v>
      </c>
    </row>
    <row r="928" customFormat="false" ht="30" hidden="false" customHeight="false" outlineLevel="0" collapsed="false">
      <c r="A928" s="28" t="s">
        <v>1531</v>
      </c>
      <c r="B928" s="80" t="s">
        <v>1532</v>
      </c>
      <c r="C928" s="8" t="s">
        <v>15</v>
      </c>
      <c r="D928" s="22" t="e">
        <f aca="false">сводн.данные!n933</f>
        <v>#NAME?</v>
      </c>
      <c r="E928" s="23" t="n">
        <v>3172.80343795439</v>
      </c>
      <c r="F928" s="24" t="n">
        <v>1045</v>
      </c>
      <c r="G928" s="24" t="e">
        <f aca="false">D928-E928</f>
        <v>#NAME?</v>
      </c>
    </row>
    <row r="929" customFormat="false" ht="15" hidden="false" customHeight="false" outlineLevel="0" collapsed="false">
      <c r="A929" s="28" t="s">
        <v>1533</v>
      </c>
      <c r="B929" s="81" t="s">
        <v>547</v>
      </c>
      <c r="C929" s="8" t="s">
        <v>15</v>
      </c>
      <c r="D929" s="22" t="e">
        <f aca="false">сводн.данные!n934</f>
        <v>#NAME?</v>
      </c>
      <c r="E929" s="23" t="n">
        <v>2788.70104308584</v>
      </c>
      <c r="F929" s="24" t="n">
        <v>840</v>
      </c>
      <c r="G929" s="24" t="e">
        <f aca="false">D929-E929</f>
        <v>#NAME?</v>
      </c>
    </row>
    <row r="930" customFormat="false" ht="15" hidden="false" customHeight="false" outlineLevel="0" collapsed="false">
      <c r="A930" s="28" t="s">
        <v>1534</v>
      </c>
      <c r="B930" s="81" t="s">
        <v>549</v>
      </c>
      <c r="C930" s="8" t="s">
        <v>15</v>
      </c>
      <c r="D930" s="22" t="e">
        <f aca="false">сводн.данные!n935</f>
        <v>#NAME?</v>
      </c>
      <c r="E930" s="23" t="n">
        <v>2419.2497856289</v>
      </c>
      <c r="F930" s="24" t="n">
        <v>1130</v>
      </c>
      <c r="G930" s="24" t="e">
        <f aca="false">D930-E930</f>
        <v>#NAME?</v>
      </c>
    </row>
    <row r="931" customFormat="false" ht="15" hidden="false" customHeight="false" outlineLevel="0" collapsed="false">
      <c r="A931" s="28" t="s">
        <v>1535</v>
      </c>
      <c r="B931" s="81" t="s">
        <v>545</v>
      </c>
      <c r="C931" s="8" t="s">
        <v>15</v>
      </c>
      <c r="D931" s="22" t="e">
        <f aca="false">сводн.данные!n936</f>
        <v>#NAME?</v>
      </c>
      <c r="E931" s="23" t="n">
        <v>3132.07747497615</v>
      </c>
      <c r="F931" s="24" t="n">
        <v>1045</v>
      </c>
      <c r="G931" s="24" t="e">
        <f aca="false">D931-E931</f>
        <v>#NAME?</v>
      </c>
    </row>
    <row r="932" customFormat="false" ht="15" hidden="false" customHeight="false" outlineLevel="0" collapsed="false">
      <c r="A932" s="28" t="s">
        <v>1536</v>
      </c>
      <c r="B932" s="82" t="s">
        <v>1537</v>
      </c>
      <c r="C932" s="8" t="s">
        <v>15</v>
      </c>
      <c r="D932" s="22" t="e">
        <f aca="false">сводн.данные!n937</f>
        <v>#NAME?</v>
      </c>
      <c r="E932" s="23" t="n">
        <v>2144.51143795439</v>
      </c>
      <c r="F932" s="24" t="n">
        <v>0</v>
      </c>
      <c r="G932" s="24" t="e">
        <f aca="false">D932-E932</f>
        <v>#NAME?</v>
      </c>
    </row>
    <row r="933" customFormat="false" ht="31.5" hidden="false" customHeight="true" outlineLevel="0" collapsed="false">
      <c r="A933" s="28" t="s">
        <v>1538</v>
      </c>
      <c r="B933" s="80" t="s">
        <v>1539</v>
      </c>
      <c r="C933" s="8" t="s">
        <v>15</v>
      </c>
      <c r="D933" s="22" t="e">
        <f aca="false">сводн.данные!n938</f>
        <v>#NAME?</v>
      </c>
      <c r="E933" s="23" t="n">
        <v>10804.4489726394</v>
      </c>
      <c r="F933" s="24" t="n">
        <v>0</v>
      </c>
      <c r="G933" s="24" t="e">
        <f aca="false">D933-E933</f>
        <v>#NAME?</v>
      </c>
    </row>
    <row r="934" customFormat="false" ht="15" hidden="false" customHeight="false" outlineLevel="0" collapsed="false">
      <c r="A934" s="28" t="s">
        <v>1540</v>
      </c>
      <c r="B934" s="80" t="s">
        <v>1541</v>
      </c>
      <c r="C934" s="8" t="s">
        <v>15</v>
      </c>
      <c r="D934" s="22" t="e">
        <f aca="false">сводн.данные!n939</f>
        <v>#NAME?</v>
      </c>
      <c r="E934" s="23" t="n">
        <v>4254.95386216518</v>
      </c>
      <c r="F934" s="24" t="n">
        <v>430</v>
      </c>
      <c r="G934" s="24" t="e">
        <f aca="false">D934-E934</f>
        <v>#NAME?</v>
      </c>
    </row>
    <row r="935" customFormat="false" ht="30" hidden="false" customHeight="false" outlineLevel="0" collapsed="false">
      <c r="A935" s="28" t="s">
        <v>1542</v>
      </c>
      <c r="B935" s="80" t="s">
        <v>1543</v>
      </c>
      <c r="C935" s="8" t="s">
        <v>15</v>
      </c>
      <c r="D935" s="22" t="e">
        <f aca="false">сводн.данные!n940</f>
        <v>#NAME?</v>
      </c>
      <c r="E935" s="23" t="n">
        <v>3922.13629751922</v>
      </c>
      <c r="F935" s="24" t="n">
        <v>0</v>
      </c>
      <c r="G935" s="24" t="e">
        <f aca="false">D935-E935</f>
        <v>#NAME?</v>
      </c>
    </row>
    <row r="936" customFormat="false" ht="30" hidden="false" customHeight="false" outlineLevel="0" collapsed="false">
      <c r="A936" s="28" t="s">
        <v>1544</v>
      </c>
      <c r="B936" s="80" t="s">
        <v>1545</v>
      </c>
      <c r="C936" s="8" t="s">
        <v>15</v>
      </c>
      <c r="D936" s="22" t="e">
        <f aca="false">сводн.данные!n941</f>
        <v>#NAME?</v>
      </c>
      <c r="E936" s="23" t="n">
        <v>4782.13604899701</v>
      </c>
      <c r="F936" s="24" t="n">
        <v>0</v>
      </c>
      <c r="G936" s="24" t="e">
        <f aca="false">D936-E936</f>
        <v>#NAME?</v>
      </c>
    </row>
    <row r="937" customFormat="false" ht="15" hidden="false" customHeight="false" outlineLevel="0" collapsed="false">
      <c r="A937" s="28" t="s">
        <v>1546</v>
      </c>
      <c r="B937" s="80" t="s">
        <v>1547</v>
      </c>
      <c r="C937" s="8" t="s">
        <v>15</v>
      </c>
      <c r="D937" s="22" t="e">
        <f aca="false">сводн.данные!n942</f>
        <v>#NAME?</v>
      </c>
      <c r="E937" s="23" t="n">
        <v>2797.04466709537</v>
      </c>
      <c r="F937" s="24" t="n">
        <v>1100</v>
      </c>
      <c r="G937" s="24" t="e">
        <f aca="false">D937-E937</f>
        <v>#NAME?</v>
      </c>
    </row>
    <row r="938" customFormat="false" ht="15" hidden="false" customHeight="false" outlineLevel="0" collapsed="false">
      <c r="A938" s="28" t="s">
        <v>1548</v>
      </c>
      <c r="B938" s="80" t="s">
        <v>1549</v>
      </c>
      <c r="C938" s="8" t="s">
        <v>15</v>
      </c>
      <c r="D938" s="22" t="e">
        <f aca="false">сводн.данные!n943</f>
        <v>#NAME?</v>
      </c>
      <c r="E938" s="23" t="n">
        <v>3214.0360509213</v>
      </c>
      <c r="F938" s="24" t="n">
        <v>1100</v>
      </c>
      <c r="G938" s="24" t="e">
        <f aca="false">D938-E938</f>
        <v>#NAME?</v>
      </c>
    </row>
    <row r="939" customFormat="false" ht="15" hidden="false" customHeight="false" outlineLevel="0" collapsed="false">
      <c r="A939" s="28" t="s">
        <v>1550</v>
      </c>
      <c r="B939" s="80" t="s">
        <v>1551</v>
      </c>
      <c r="C939" s="8" t="s">
        <v>15</v>
      </c>
      <c r="D939" s="22" t="e">
        <f aca="false">сводн.данные!n944</f>
        <v>#NAME?</v>
      </c>
      <c r="E939" s="23" t="n">
        <v>3678.56158994533</v>
      </c>
      <c r="F939" s="24" t="n">
        <v>1310</v>
      </c>
      <c r="G939" s="24" t="e">
        <f aca="false">D939-E939</f>
        <v>#NAME?</v>
      </c>
    </row>
    <row r="940" customFormat="false" ht="34.5" hidden="false" customHeight="true" outlineLevel="0" collapsed="false">
      <c r="A940" s="28" t="s">
        <v>1552</v>
      </c>
      <c r="B940" s="80" t="s">
        <v>1553</v>
      </c>
      <c r="C940" s="8" t="s">
        <v>15</v>
      </c>
      <c r="D940" s="22" t="e">
        <f aca="false">сводн.данные!n945</f>
        <v>#NAME?</v>
      </c>
      <c r="E940" s="23" t="n">
        <v>21520.1395837928</v>
      </c>
      <c r="F940" s="24" t="n">
        <v>0</v>
      </c>
      <c r="G940" s="24" t="e">
        <f aca="false">D940-E940</f>
        <v>#NAME?</v>
      </c>
    </row>
    <row r="941" customFormat="false" ht="15" hidden="false" customHeight="false" outlineLevel="0" collapsed="false">
      <c r="A941" s="28" t="s">
        <v>1554</v>
      </c>
      <c r="B941" s="81" t="s">
        <v>1555</v>
      </c>
      <c r="C941" s="8" t="s">
        <v>15</v>
      </c>
      <c r="D941" s="22" t="e">
        <f aca="false">сводн.данные!n946</f>
        <v>#NAME?</v>
      </c>
      <c r="E941" s="23" t="n">
        <v>4535.12491656393</v>
      </c>
      <c r="F941" s="24" t="n">
        <v>1425</v>
      </c>
      <c r="G941" s="24" t="e">
        <f aca="false">D941-E941</f>
        <v>#NAME?</v>
      </c>
    </row>
    <row r="942" customFormat="false" ht="30" hidden="false" customHeight="false" outlineLevel="0" collapsed="false">
      <c r="A942" s="28" t="s">
        <v>1556</v>
      </c>
      <c r="B942" s="81" t="s">
        <v>1557</v>
      </c>
      <c r="C942" s="8" t="s">
        <v>15</v>
      </c>
      <c r="D942" s="22" t="e">
        <f aca="false">сводн.данные!n947</f>
        <v>#NAME?</v>
      </c>
      <c r="E942" s="23" t="n">
        <v>21053.5699871144</v>
      </c>
      <c r="F942" s="24" t="n">
        <v>11940</v>
      </c>
      <c r="G942" s="24" t="e">
        <f aca="false">D942-E942</f>
        <v>#NAME?</v>
      </c>
    </row>
    <row r="943" customFormat="false" ht="15" hidden="false" customHeight="false" outlineLevel="0" collapsed="false">
      <c r="A943" s="28" t="s">
        <v>1558</v>
      </c>
      <c r="B943" s="81" t="s">
        <v>1559</v>
      </c>
      <c r="C943" s="8" t="s">
        <v>15</v>
      </c>
      <c r="D943" s="22" t="e">
        <f aca="false">сводн.данные!n948</f>
        <v>#NAME?</v>
      </c>
      <c r="E943" s="23" t="n">
        <v>10849.1672181725</v>
      </c>
      <c r="F943" s="24" t="n">
        <v>1745</v>
      </c>
      <c r="G943" s="24" t="e">
        <f aca="false">D943-E943</f>
        <v>#NAME?</v>
      </c>
    </row>
    <row r="944" customFormat="false" ht="35.25" hidden="false" customHeight="true" outlineLevel="0" collapsed="false">
      <c r="A944" s="28" t="s">
        <v>1560</v>
      </c>
      <c r="B944" s="80" t="s">
        <v>1561</v>
      </c>
      <c r="C944" s="8" t="s">
        <v>15</v>
      </c>
      <c r="D944" s="22" t="e">
        <f aca="false">сводн.данные!n949</f>
        <v>#NAME?</v>
      </c>
      <c r="E944" s="23" t="n">
        <v>26308.5368640695</v>
      </c>
      <c r="F944" s="24" t="n">
        <v>0</v>
      </c>
      <c r="G944" s="24" t="e">
        <f aca="false">D944-E944</f>
        <v>#NAME?</v>
      </c>
    </row>
    <row r="945" customFormat="false" ht="15" hidden="false" customHeight="false" outlineLevel="0" collapsed="false">
      <c r="A945" s="20" t="s">
        <v>1562</v>
      </c>
      <c r="B945" s="81" t="s">
        <v>1470</v>
      </c>
      <c r="C945" s="8" t="s">
        <v>15</v>
      </c>
      <c r="D945" s="22" t="e">
        <f aca="false">сводн.данные!n950</f>
        <v>#NAME?</v>
      </c>
      <c r="E945" s="23" t="n">
        <v>13799.5113822138</v>
      </c>
      <c r="F945" s="24" t="n">
        <v>0</v>
      </c>
      <c r="G945" s="24" t="e">
        <f aca="false">D945-E945</f>
        <v>#NAME?</v>
      </c>
    </row>
    <row r="946" customFormat="false" ht="30" hidden="false" customHeight="false" outlineLevel="0" collapsed="false">
      <c r="A946" s="28" t="s">
        <v>1563</v>
      </c>
      <c r="B946" s="85" t="s">
        <v>1564</v>
      </c>
      <c r="C946" s="8" t="s">
        <v>15</v>
      </c>
      <c r="D946" s="22" t="e">
        <f aca="false">сводн.данные!n951</f>
        <v>#NAME?</v>
      </c>
      <c r="E946" s="23" t="n">
        <v>20500.4086627502</v>
      </c>
      <c r="F946" s="24" t="n">
        <v>0</v>
      </c>
      <c r="G946" s="24" t="e">
        <f aca="false">D946-E946</f>
        <v>#NAME?</v>
      </c>
    </row>
    <row r="947" customFormat="false" ht="28.5" hidden="false" customHeight="false" outlineLevel="0" collapsed="false">
      <c r="A947" s="15" t="s">
        <v>1565</v>
      </c>
      <c r="B947" s="86" t="s">
        <v>1566</v>
      </c>
      <c r="C947" s="17"/>
      <c r="D947" s="32"/>
      <c r="E947" s="33"/>
      <c r="F947" s="34"/>
      <c r="G947" s="34"/>
    </row>
    <row r="948" customFormat="false" ht="15" hidden="false" customHeight="false" outlineLevel="0" collapsed="false">
      <c r="A948" s="28" t="s">
        <v>1567</v>
      </c>
      <c r="B948" s="87" t="s">
        <v>630</v>
      </c>
      <c r="C948" s="8" t="s">
        <v>15</v>
      </c>
      <c r="D948" s="22" t="e">
        <f aca="false">сводн.данные!n953</f>
        <v>#NAME?</v>
      </c>
      <c r="E948" s="23" t="n">
        <v>1003.10768934724</v>
      </c>
      <c r="F948" s="24" t="n">
        <v>285</v>
      </c>
      <c r="G948" s="24" t="e">
        <f aca="false">D948-E948</f>
        <v>#NAME?</v>
      </c>
    </row>
    <row r="949" customFormat="false" ht="15" hidden="false" customHeight="false" outlineLevel="0" collapsed="false">
      <c r="A949" s="28" t="s">
        <v>1568</v>
      </c>
      <c r="B949" s="80" t="s">
        <v>409</v>
      </c>
      <c r="C949" s="8" t="s">
        <v>15</v>
      </c>
      <c r="D949" s="22" t="e">
        <f aca="false">сводн.данные!n954</f>
        <v>#NAME?</v>
      </c>
      <c r="E949" s="23" t="n">
        <v>2985.03451882473</v>
      </c>
      <c r="F949" s="24" t="n">
        <v>745</v>
      </c>
      <c r="G949" s="24" t="e">
        <f aca="false">D949-E949</f>
        <v>#NAME?</v>
      </c>
    </row>
    <row r="950" customFormat="false" ht="15" hidden="false" customHeight="false" outlineLevel="0" collapsed="false">
      <c r="A950" s="28" t="s">
        <v>1569</v>
      </c>
      <c r="B950" s="80" t="s">
        <v>945</v>
      </c>
      <c r="C950" s="8" t="s">
        <v>15</v>
      </c>
      <c r="D950" s="22" t="e">
        <f aca="false">сводн.данные!n955</f>
        <v>#NAME?</v>
      </c>
      <c r="E950" s="23" t="n">
        <v>3089.01528743874</v>
      </c>
      <c r="F950" s="24" t="n">
        <v>1500</v>
      </c>
      <c r="G950" s="24" t="e">
        <f aca="false">D950-E950</f>
        <v>#NAME?</v>
      </c>
    </row>
    <row r="951" customFormat="false" ht="15" hidden="false" customHeight="false" outlineLevel="0" collapsed="false">
      <c r="A951" s="28" t="s">
        <v>1570</v>
      </c>
      <c r="B951" s="80" t="s">
        <v>958</v>
      </c>
      <c r="C951" s="8" t="s">
        <v>15</v>
      </c>
      <c r="D951" s="22" t="e">
        <f aca="false">сводн.данные!n956</f>
        <v>#NAME?</v>
      </c>
      <c r="E951" s="23" t="n">
        <v>3394.55452010759</v>
      </c>
      <c r="F951" s="24" t="n">
        <v>1500</v>
      </c>
      <c r="G951" s="24" t="e">
        <f aca="false">D951-E951</f>
        <v>#NAME?</v>
      </c>
    </row>
    <row r="952" customFormat="false" ht="15" hidden="false" customHeight="false" outlineLevel="0" collapsed="false">
      <c r="A952" s="28" t="s">
        <v>1571</v>
      </c>
      <c r="B952" s="80" t="s">
        <v>1358</v>
      </c>
      <c r="C952" s="8" t="s">
        <v>15</v>
      </c>
      <c r="D952" s="22" t="e">
        <f aca="false">сводн.данные!n957</f>
        <v>#NAME?</v>
      </c>
      <c r="E952" s="23" t="n">
        <v>3167.91221105841</v>
      </c>
      <c r="F952" s="24" t="n">
        <v>1500</v>
      </c>
      <c r="G952" s="24" t="e">
        <f aca="false">D952-E952</f>
        <v>#NAME?</v>
      </c>
    </row>
    <row r="953" customFormat="false" ht="15" hidden="false" customHeight="false" outlineLevel="0" collapsed="false">
      <c r="A953" s="28" t="s">
        <v>1572</v>
      </c>
      <c r="B953" s="80" t="s">
        <v>1360</v>
      </c>
      <c r="C953" s="8" t="s">
        <v>15</v>
      </c>
      <c r="D953" s="22" t="e">
        <f aca="false">сводн.данные!n958</f>
        <v>#NAME?</v>
      </c>
      <c r="E953" s="23" t="n">
        <v>3167.91221105841</v>
      </c>
      <c r="F953" s="24" t="n">
        <v>1500</v>
      </c>
      <c r="G953" s="24" t="e">
        <f aca="false">D953-E953</f>
        <v>#NAME?</v>
      </c>
    </row>
    <row r="954" customFormat="false" ht="15" hidden="false" customHeight="false" outlineLevel="0" collapsed="false">
      <c r="A954" s="28" t="s">
        <v>1573</v>
      </c>
      <c r="B954" s="80" t="s">
        <v>1574</v>
      </c>
      <c r="C954" s="8" t="s">
        <v>15</v>
      </c>
      <c r="D954" s="22" t="e">
        <f aca="false">сводн.данные!n959</f>
        <v>#NAME?</v>
      </c>
      <c r="E954" s="23" t="n">
        <v>3815.00298191743</v>
      </c>
      <c r="F954" s="24" t="n">
        <v>1440</v>
      </c>
      <c r="G954" s="24" t="e">
        <f aca="false">D954-E954</f>
        <v>#NAME?</v>
      </c>
    </row>
    <row r="955" customFormat="false" ht="15" hidden="false" customHeight="false" outlineLevel="0" collapsed="false">
      <c r="A955" s="28" t="s">
        <v>1575</v>
      </c>
      <c r="B955" s="80" t="s">
        <v>1384</v>
      </c>
      <c r="C955" s="8" t="s">
        <v>15</v>
      </c>
      <c r="D955" s="22" t="e">
        <f aca="false">сводн.данные!n960</f>
        <v>#NAME?</v>
      </c>
      <c r="E955" s="23" t="n">
        <v>3595.25759648792</v>
      </c>
      <c r="F955" s="24" t="n">
        <v>1500</v>
      </c>
      <c r="G955" s="24" t="e">
        <f aca="false">D955-E955</f>
        <v>#NAME?</v>
      </c>
    </row>
    <row r="956" customFormat="false" ht="15" hidden="false" customHeight="false" outlineLevel="0" collapsed="false">
      <c r="A956" s="28" t="s">
        <v>1576</v>
      </c>
      <c r="B956" s="80" t="s">
        <v>1364</v>
      </c>
      <c r="C956" s="8" t="s">
        <v>15</v>
      </c>
      <c r="D956" s="22" t="e">
        <f aca="false">сводн.данные!n961</f>
        <v>#NAME?</v>
      </c>
      <c r="E956" s="23" t="n">
        <v>3334.85759648792</v>
      </c>
      <c r="F956" s="24" t="n">
        <v>1500</v>
      </c>
      <c r="G956" s="24" t="e">
        <f aca="false">D956-E956</f>
        <v>#NAME?</v>
      </c>
    </row>
    <row r="957" customFormat="false" ht="15" hidden="false" customHeight="false" outlineLevel="0" collapsed="false">
      <c r="A957" s="28" t="s">
        <v>1577</v>
      </c>
      <c r="B957" s="80" t="s">
        <v>1366</v>
      </c>
      <c r="C957" s="8" t="s">
        <v>15</v>
      </c>
      <c r="D957" s="22" t="e">
        <f aca="false">сводн.данные!n962</f>
        <v>#NAME?</v>
      </c>
      <c r="E957" s="23" t="n">
        <v>3746.12298191743</v>
      </c>
      <c r="F957" s="24" t="n">
        <v>1185</v>
      </c>
      <c r="G957" s="24" t="e">
        <f aca="false">D957-E957</f>
        <v>#NAME?</v>
      </c>
    </row>
    <row r="958" customFormat="false" ht="30" hidden="false" customHeight="false" outlineLevel="0" collapsed="false">
      <c r="A958" s="28" t="s">
        <v>1578</v>
      </c>
      <c r="B958" s="80" t="s">
        <v>1412</v>
      </c>
      <c r="C958" s="8" t="s">
        <v>15</v>
      </c>
      <c r="D958" s="22" t="e">
        <f aca="false">сводн.данные!n963</f>
        <v>#NAME?</v>
      </c>
      <c r="E958" s="23" t="n">
        <v>3298.97759648792</v>
      </c>
      <c r="F958" s="24" t="n">
        <v>1620</v>
      </c>
      <c r="G958" s="24" t="e">
        <f aca="false">D958-E958</f>
        <v>#NAME?</v>
      </c>
    </row>
    <row r="959" customFormat="false" ht="15" hidden="false" customHeight="false" outlineLevel="0" collapsed="false">
      <c r="A959" s="28" t="s">
        <v>1579</v>
      </c>
      <c r="B959" s="80" t="s">
        <v>1380</v>
      </c>
      <c r="C959" s="8" t="s">
        <v>15</v>
      </c>
      <c r="D959" s="22" t="e">
        <f aca="false">сводн.данные!n964</f>
        <v>#NAME?</v>
      </c>
      <c r="E959" s="23" t="n">
        <v>4008.65144372727</v>
      </c>
      <c r="F959" s="24" t="n">
        <v>0</v>
      </c>
      <c r="G959" s="24" t="e">
        <f aca="false">D959-E959</f>
        <v>#NAME?</v>
      </c>
    </row>
    <row r="960" customFormat="false" ht="15" hidden="false" customHeight="false" outlineLevel="0" collapsed="false">
      <c r="A960" s="28" t="s">
        <v>1580</v>
      </c>
      <c r="B960" s="80" t="s">
        <v>1376</v>
      </c>
      <c r="C960" s="8" t="s">
        <v>15</v>
      </c>
      <c r="D960" s="22" t="e">
        <f aca="false">сводн.данные!n965</f>
        <v>#NAME?</v>
      </c>
      <c r="E960" s="23" t="n">
        <v>3411.35452010759</v>
      </c>
      <c r="F960" s="24" t="n">
        <v>1500</v>
      </c>
      <c r="G960" s="24" t="e">
        <f aca="false">D960-E960</f>
        <v>#NAME?</v>
      </c>
    </row>
    <row r="961" customFormat="false" ht="15" hidden="false" customHeight="false" outlineLevel="0" collapsed="false">
      <c r="A961" s="28" t="s">
        <v>1581</v>
      </c>
      <c r="B961" s="80" t="s">
        <v>1404</v>
      </c>
      <c r="C961" s="8" t="s">
        <v>15</v>
      </c>
      <c r="D961" s="22" t="e">
        <f aca="false">сводн.данные!n966</f>
        <v>#NAME?</v>
      </c>
      <c r="E961" s="23" t="n">
        <v>2978.0214401994</v>
      </c>
      <c r="F961" s="24" t="n">
        <v>1500</v>
      </c>
      <c r="G961" s="24" t="e">
        <f aca="false">D961-E961</f>
        <v>#NAME?</v>
      </c>
    </row>
    <row r="962" customFormat="false" ht="15" hidden="false" customHeight="false" outlineLevel="0" collapsed="false">
      <c r="A962" s="28" t="s">
        <v>1582</v>
      </c>
      <c r="B962" s="80" t="s">
        <v>1386</v>
      </c>
      <c r="C962" s="8" t="s">
        <v>15</v>
      </c>
      <c r="D962" s="22" t="e">
        <f aca="false">сводн.данные!n967</f>
        <v>#NAME?</v>
      </c>
      <c r="E962" s="23" t="n">
        <v>2978.0214401994</v>
      </c>
      <c r="F962" s="24" t="n">
        <v>1500</v>
      </c>
      <c r="G962" s="24" t="e">
        <f aca="false">D962-E962</f>
        <v>#NAME?</v>
      </c>
    </row>
    <row r="963" customFormat="false" ht="15" hidden="false" customHeight="false" outlineLevel="0" collapsed="false">
      <c r="A963" s="28" t="s">
        <v>1583</v>
      </c>
      <c r="B963" s="80" t="s">
        <v>1388</v>
      </c>
      <c r="C963" s="8" t="s">
        <v>15</v>
      </c>
      <c r="D963" s="22" t="e">
        <f aca="false">сводн.данные!n968</f>
        <v>#NAME?</v>
      </c>
      <c r="E963" s="23" t="n">
        <v>3461.30605829776</v>
      </c>
      <c r="F963" s="24" t="n">
        <v>0</v>
      </c>
      <c r="G963" s="24" t="e">
        <f aca="false">D963-E963</f>
        <v>#NAME?</v>
      </c>
    </row>
    <row r="964" customFormat="false" ht="15" hidden="false" customHeight="false" outlineLevel="0" collapsed="false">
      <c r="A964" s="28" t="s">
        <v>1584</v>
      </c>
      <c r="B964" s="80" t="s">
        <v>943</v>
      </c>
      <c r="C964" s="8" t="s">
        <v>15</v>
      </c>
      <c r="D964" s="22" t="e">
        <f aca="false">сводн.данные!n969</f>
        <v>#NAME?</v>
      </c>
      <c r="E964" s="23" t="n">
        <v>3005.36497838956</v>
      </c>
      <c r="F964" s="24" t="n">
        <v>1170</v>
      </c>
      <c r="G964" s="24" t="e">
        <f aca="false">D964-E964</f>
        <v>#NAME?</v>
      </c>
    </row>
    <row r="965" customFormat="false" ht="15" hidden="false" customHeight="false" outlineLevel="0" collapsed="false">
      <c r="A965" s="28" t="s">
        <v>1585</v>
      </c>
      <c r="B965" s="80" t="s">
        <v>1586</v>
      </c>
      <c r="C965" s="8" t="s">
        <v>15</v>
      </c>
      <c r="D965" s="22" t="e">
        <f aca="false">сводн.данные!n970</f>
        <v>#NAME?</v>
      </c>
      <c r="E965" s="23" t="n">
        <v>3595.25759648792</v>
      </c>
      <c r="F965" s="24" t="n">
        <v>0</v>
      </c>
      <c r="G965" s="24" t="e">
        <f aca="false">D965-E965</f>
        <v>#NAME?</v>
      </c>
    </row>
    <row r="966" customFormat="false" ht="15" hidden="false" customHeight="false" outlineLevel="0" collapsed="false">
      <c r="A966" s="28" t="s">
        <v>1587</v>
      </c>
      <c r="B966" s="80" t="s">
        <v>1398</v>
      </c>
      <c r="C966" s="8" t="s">
        <v>15</v>
      </c>
      <c r="D966" s="22" t="e">
        <f aca="false">сводн.данные!n971</f>
        <v>#NAME?</v>
      </c>
      <c r="E966" s="23" t="n">
        <v>3033.36067286825</v>
      </c>
      <c r="F966" s="24" t="n">
        <v>1500</v>
      </c>
      <c r="G966" s="24" t="e">
        <f aca="false">D966-E966</f>
        <v>#NAME?</v>
      </c>
    </row>
    <row r="967" customFormat="false" ht="15" hidden="false" customHeight="false" outlineLevel="0" collapsed="false">
      <c r="A967" s="28" t="s">
        <v>1588</v>
      </c>
      <c r="B967" s="80" t="s">
        <v>1368</v>
      </c>
      <c r="C967" s="8" t="s">
        <v>15</v>
      </c>
      <c r="D967" s="22" t="e">
        <f aca="false">сводн.данные!n972</f>
        <v>#NAME?</v>
      </c>
      <c r="E967" s="23" t="n">
        <v>3570.05759648792</v>
      </c>
      <c r="F967" s="24" t="n">
        <v>1500</v>
      </c>
      <c r="G967" s="24" t="e">
        <f aca="false">D967-E967</f>
        <v>#NAME?</v>
      </c>
    </row>
    <row r="968" customFormat="false" ht="15" hidden="false" customHeight="false" outlineLevel="0" collapsed="false">
      <c r="A968" s="28" t="s">
        <v>1589</v>
      </c>
      <c r="B968" s="80" t="s">
        <v>1590</v>
      </c>
      <c r="C968" s="8" t="s">
        <v>15</v>
      </c>
      <c r="D968" s="22" t="e">
        <f aca="false">сводн.данные!n973</f>
        <v>#NAME?</v>
      </c>
      <c r="E968" s="23" t="n">
        <v>3089.12220753054</v>
      </c>
      <c r="F968" s="24" t="n">
        <v>1500</v>
      </c>
      <c r="G968" s="24" t="e">
        <f aca="false">D968-E968</f>
        <v>#NAME?</v>
      </c>
    </row>
    <row r="969" customFormat="false" ht="15" hidden="false" customHeight="false" outlineLevel="0" collapsed="false">
      <c r="A969" s="28" t="s">
        <v>1591</v>
      </c>
      <c r="B969" s="80" t="s">
        <v>1370</v>
      </c>
      <c r="C969" s="8" t="s">
        <v>15</v>
      </c>
      <c r="D969" s="22" t="e">
        <f aca="false">сводн.данные!n974</f>
        <v>#NAME?</v>
      </c>
      <c r="E969" s="23" t="n">
        <v>3109.85759648792</v>
      </c>
      <c r="F969" s="24" t="n">
        <v>1160</v>
      </c>
      <c r="G969" s="24" t="e">
        <f aca="false">D969-E969</f>
        <v>#NAME?</v>
      </c>
    </row>
    <row r="970" customFormat="false" ht="15" hidden="false" customHeight="false" outlineLevel="0" collapsed="false">
      <c r="A970" s="28" t="s">
        <v>1592</v>
      </c>
      <c r="B970" s="80" t="s">
        <v>1402</v>
      </c>
      <c r="C970" s="8" t="s">
        <v>15</v>
      </c>
      <c r="D970" s="22" t="e">
        <f aca="false">сводн.данные!n975</f>
        <v>#NAME?</v>
      </c>
      <c r="E970" s="23" t="n">
        <v>3841.01759648792</v>
      </c>
      <c r="F970" s="24" t="n">
        <v>1175</v>
      </c>
      <c r="G970" s="24" t="e">
        <f aca="false">D970-E970</f>
        <v>#NAME?</v>
      </c>
    </row>
    <row r="971" customFormat="false" ht="15" hidden="false" customHeight="false" outlineLevel="0" collapsed="false">
      <c r="A971" s="28" t="s">
        <v>1593</v>
      </c>
      <c r="B971" s="80" t="s">
        <v>1594</v>
      </c>
      <c r="C971" s="8" t="s">
        <v>15</v>
      </c>
      <c r="D971" s="22" t="e">
        <f aca="false">сводн.данные!n976</f>
        <v>#NAME?</v>
      </c>
      <c r="E971" s="23" t="n">
        <v>3215.40959648792</v>
      </c>
      <c r="F971" s="24" t="n">
        <v>1640</v>
      </c>
      <c r="G971" s="24" t="e">
        <f aca="false">D971-E971</f>
        <v>#NAME?</v>
      </c>
    </row>
    <row r="972" customFormat="false" ht="15" hidden="false" customHeight="false" outlineLevel="0" collapsed="false">
      <c r="A972" s="28" t="s">
        <v>1595</v>
      </c>
      <c r="B972" s="80" t="s">
        <v>1406</v>
      </c>
      <c r="C972" s="8" t="s">
        <v>15</v>
      </c>
      <c r="D972" s="22" t="e">
        <f aca="false">сводн.данные!n977</f>
        <v>#NAME?</v>
      </c>
      <c r="E972" s="23" t="n">
        <v>3059.30944116154</v>
      </c>
      <c r="F972" s="24" t="n">
        <v>935</v>
      </c>
      <c r="G972" s="24" t="e">
        <f aca="false">D972-E972</f>
        <v>#NAME?</v>
      </c>
    </row>
    <row r="973" customFormat="false" ht="15" hidden="false" customHeight="false" outlineLevel="0" collapsed="false">
      <c r="A973" s="28" t="s">
        <v>1596</v>
      </c>
      <c r="B973" s="80" t="s">
        <v>953</v>
      </c>
      <c r="C973" s="8" t="s">
        <v>15</v>
      </c>
      <c r="D973" s="22" t="e">
        <f aca="false">сводн.данные!n978</f>
        <v>#NAME?</v>
      </c>
      <c r="E973" s="23" t="n">
        <v>3227.52451786259</v>
      </c>
      <c r="F973" s="24" t="n">
        <v>1260</v>
      </c>
      <c r="G973" s="24" t="e">
        <f aca="false">D973-E973</f>
        <v>#NAME?</v>
      </c>
    </row>
    <row r="974" customFormat="false" ht="15" hidden="false" customHeight="false" outlineLevel="0" collapsed="false">
      <c r="A974" s="28" t="s">
        <v>1597</v>
      </c>
      <c r="B974" s="80" t="s">
        <v>1392</v>
      </c>
      <c r="C974" s="8" t="s">
        <v>15</v>
      </c>
      <c r="D974" s="22" t="e">
        <f aca="false">сводн.данные!n979</f>
        <v>#NAME?</v>
      </c>
      <c r="E974" s="23" t="n">
        <v>3245.30759648792</v>
      </c>
      <c r="F974" s="24" t="n">
        <v>710</v>
      </c>
      <c r="G974" s="24" t="e">
        <f aca="false">D974-E974</f>
        <v>#NAME?</v>
      </c>
    </row>
    <row r="975" customFormat="false" ht="15" hidden="false" customHeight="false" outlineLevel="0" collapsed="false">
      <c r="A975" s="28" t="s">
        <v>1598</v>
      </c>
      <c r="B975" s="80" t="s">
        <v>1599</v>
      </c>
      <c r="C975" s="8" t="s">
        <v>15</v>
      </c>
      <c r="D975" s="22" t="e">
        <f aca="false">сводн.данные!n980</f>
        <v>#NAME?</v>
      </c>
      <c r="E975" s="23" t="n">
        <v>3570.05759648792</v>
      </c>
      <c r="F975" s="24" t="n">
        <v>0</v>
      </c>
      <c r="G975" s="24" t="e">
        <f aca="false">D975-E975</f>
        <v>#NAME?</v>
      </c>
    </row>
    <row r="976" customFormat="false" ht="15" hidden="false" customHeight="false" outlineLevel="0" collapsed="false">
      <c r="A976" s="28" t="s">
        <v>1600</v>
      </c>
      <c r="B976" s="80" t="s">
        <v>1410</v>
      </c>
      <c r="C976" s="8" t="s">
        <v>15</v>
      </c>
      <c r="D976" s="22" t="e">
        <f aca="false">сводн.данные!n981</f>
        <v>#NAME?</v>
      </c>
      <c r="E976" s="23" t="n">
        <v>3689.03759648792</v>
      </c>
      <c r="F976" s="24" t="n">
        <v>1025</v>
      </c>
      <c r="G976" s="24" t="e">
        <f aca="false">D976-E976</f>
        <v>#NAME?</v>
      </c>
    </row>
    <row r="977" customFormat="false" ht="15" hidden="false" customHeight="false" outlineLevel="0" collapsed="false">
      <c r="A977" s="28" t="s">
        <v>1601</v>
      </c>
      <c r="B977" s="80" t="s">
        <v>1602</v>
      </c>
      <c r="C977" s="8" t="s">
        <v>15</v>
      </c>
      <c r="D977" s="22" t="e">
        <f aca="false">сводн.данные!n982</f>
        <v>#NAME?</v>
      </c>
      <c r="E977" s="23" t="n">
        <v>3959.63144372727</v>
      </c>
      <c r="F977" s="24" t="n">
        <v>1500</v>
      </c>
      <c r="G977" s="24" t="e">
        <f aca="false">D977-E977</f>
        <v>#NAME?</v>
      </c>
    </row>
    <row r="978" customFormat="false" ht="15" hidden="false" customHeight="false" outlineLevel="0" collapsed="false">
      <c r="A978" s="28" t="s">
        <v>1603</v>
      </c>
      <c r="B978" s="80" t="s">
        <v>1604</v>
      </c>
      <c r="C978" s="8" t="s">
        <v>15</v>
      </c>
      <c r="D978" s="22" t="e">
        <f aca="false">сводн.данные!n983</f>
        <v>#NAME?</v>
      </c>
      <c r="E978" s="23" t="n">
        <v>3611.18768165007</v>
      </c>
      <c r="F978" s="24" t="n">
        <v>0</v>
      </c>
      <c r="G978" s="24" t="e">
        <f aca="false">D978-E978</f>
        <v>#NAME?</v>
      </c>
    </row>
    <row r="979" customFormat="false" ht="15" hidden="false" customHeight="false" outlineLevel="0" collapsed="false">
      <c r="A979" s="28" t="s">
        <v>1605</v>
      </c>
      <c r="B979" s="81" t="s">
        <v>1453</v>
      </c>
      <c r="C979" s="8" t="s">
        <v>15</v>
      </c>
      <c r="D979" s="22" t="e">
        <f aca="false">сводн.данные!n984</f>
        <v>#NAME?</v>
      </c>
      <c r="E979" s="23" t="n">
        <v>3630.60105044023</v>
      </c>
      <c r="F979" s="24" t="n">
        <v>0</v>
      </c>
      <c r="G979" s="24" t="e">
        <f aca="false">D979-E979</f>
        <v>#NAME?</v>
      </c>
    </row>
    <row r="980" customFormat="false" ht="15" hidden="false" customHeight="false" outlineLevel="0" collapsed="false">
      <c r="A980" s="28" t="s">
        <v>1606</v>
      </c>
      <c r="B980" s="81" t="s">
        <v>1607</v>
      </c>
      <c r="C980" s="8" t="s">
        <v>15</v>
      </c>
      <c r="D980" s="22" t="e">
        <f aca="false">сводн.данные!n985</f>
        <v>#NAME?</v>
      </c>
      <c r="E980" s="23" t="n">
        <v>3607.91759648792</v>
      </c>
      <c r="F980" s="24" t="n">
        <v>835</v>
      </c>
      <c r="G980" s="24" t="e">
        <f aca="false">D980-E980</f>
        <v>#NAME?</v>
      </c>
    </row>
    <row r="981" customFormat="false" ht="15" hidden="false" customHeight="false" outlineLevel="0" collapsed="false">
      <c r="A981" s="28" t="s">
        <v>1608</v>
      </c>
      <c r="B981" s="81" t="s">
        <v>1609</v>
      </c>
      <c r="C981" s="8" t="s">
        <v>15</v>
      </c>
      <c r="D981" s="22" t="e">
        <f aca="false">сводн.данные!n986</f>
        <v>#NAME?</v>
      </c>
      <c r="E981" s="23" t="n">
        <v>2987.12189700607</v>
      </c>
      <c r="F981" s="24" t="n">
        <v>0</v>
      </c>
      <c r="G981" s="24" t="e">
        <f aca="false">D981-E981</f>
        <v>#NAME?</v>
      </c>
    </row>
    <row r="982" customFormat="false" ht="15" hidden="false" customHeight="false" outlineLevel="0" collapsed="false">
      <c r="A982" s="28" t="s">
        <v>1610</v>
      </c>
      <c r="B982" s="81" t="s">
        <v>1559</v>
      </c>
      <c r="C982" s="8" t="s">
        <v>15</v>
      </c>
      <c r="D982" s="22" t="e">
        <f aca="false">сводн.данные!n987</f>
        <v>#NAME?</v>
      </c>
      <c r="E982" s="23" t="n">
        <v>10800.0177110662</v>
      </c>
      <c r="F982" s="24" t="n">
        <v>0</v>
      </c>
      <c r="G982" s="24" t="e">
        <f aca="false">D982-E982</f>
        <v>#NAME?</v>
      </c>
    </row>
    <row r="983" customFormat="false" ht="15" hidden="false" customHeight="false" outlineLevel="0" collapsed="false">
      <c r="A983" s="28" t="s">
        <v>1611</v>
      </c>
      <c r="B983" s="85" t="s">
        <v>1612</v>
      </c>
      <c r="C983" s="8" t="s">
        <v>15</v>
      </c>
      <c r="D983" s="22" t="e">
        <f aca="false">сводн.данные!n988</f>
        <v>#NAME?</v>
      </c>
      <c r="E983" s="23" t="n">
        <v>9502.03023974902</v>
      </c>
      <c r="F983" s="24" t="n">
        <v>0</v>
      </c>
      <c r="G983" s="24" t="e">
        <f aca="false">D983-E983</f>
        <v>#NAME?</v>
      </c>
    </row>
    <row r="984" customFormat="false" ht="28.5" hidden="false" customHeight="false" outlineLevel="0" collapsed="false">
      <c r="A984" s="15" t="s">
        <v>1613</v>
      </c>
      <c r="B984" s="86" t="s">
        <v>1614</v>
      </c>
      <c r="C984" s="17"/>
      <c r="D984" s="32"/>
      <c r="E984" s="33"/>
      <c r="F984" s="34"/>
      <c r="G984" s="34"/>
    </row>
    <row r="985" customFormat="false" ht="15" hidden="false" customHeight="false" outlineLevel="0" collapsed="false">
      <c r="A985" s="28" t="s">
        <v>1615</v>
      </c>
      <c r="B985" s="87" t="s">
        <v>630</v>
      </c>
      <c r="C985" s="8" t="s">
        <v>15</v>
      </c>
      <c r="D985" s="22" t="e">
        <f aca="false">сводн.данные!n990</f>
        <v>#NAME?</v>
      </c>
      <c r="E985" s="23" t="n">
        <v>902.796920412518</v>
      </c>
      <c r="F985" s="24" t="n">
        <v>480</v>
      </c>
      <c r="G985" s="24" t="e">
        <f aca="false">D985-E985</f>
        <v>#NAME?</v>
      </c>
    </row>
    <row r="986" customFormat="false" ht="15" hidden="false" customHeight="false" outlineLevel="0" collapsed="false">
      <c r="A986" s="28" t="s">
        <v>1616</v>
      </c>
      <c r="B986" s="80" t="s">
        <v>953</v>
      </c>
      <c r="C986" s="8" t="s">
        <v>15</v>
      </c>
      <c r="D986" s="22" t="e">
        <f aca="false">сводн.данные!n991</f>
        <v>#NAME?</v>
      </c>
      <c r="E986" s="23" t="n">
        <v>3574.55067126467</v>
      </c>
      <c r="F986" s="24" t="n">
        <v>990</v>
      </c>
      <c r="G986" s="24" t="e">
        <f aca="false">D986-E986</f>
        <v>#NAME?</v>
      </c>
    </row>
    <row r="987" customFormat="false" ht="15" hidden="false" customHeight="false" outlineLevel="0" collapsed="false">
      <c r="A987" s="28" t="s">
        <v>1617</v>
      </c>
      <c r="B987" s="80" t="s">
        <v>1406</v>
      </c>
      <c r="C987" s="8" t="s">
        <v>15</v>
      </c>
      <c r="D987" s="22" t="e">
        <f aca="false">сводн.данные!n992</f>
        <v>#NAME?</v>
      </c>
      <c r="E987" s="23" t="n">
        <v>3410.7859939222</v>
      </c>
      <c r="F987" s="24" t="n">
        <v>856</v>
      </c>
      <c r="G987" s="24" t="e">
        <f aca="false">D987-E987</f>
        <v>#NAME?</v>
      </c>
    </row>
    <row r="988" customFormat="false" ht="15" hidden="false" customHeight="false" outlineLevel="0" collapsed="false">
      <c r="A988" s="28" t="s">
        <v>1618</v>
      </c>
      <c r="B988" s="80" t="s">
        <v>1619</v>
      </c>
      <c r="C988" s="8" t="s">
        <v>15</v>
      </c>
      <c r="D988" s="22" t="e">
        <f aca="false">сводн.данные!n993</f>
        <v>#NAME?</v>
      </c>
      <c r="E988" s="23" t="n">
        <v>3200.99451625901</v>
      </c>
      <c r="F988" s="24" t="n">
        <v>1500</v>
      </c>
      <c r="G988" s="24" t="e">
        <f aca="false">D988-E988</f>
        <v>#NAME?</v>
      </c>
    </row>
    <row r="989" customFormat="false" ht="15" hidden="false" customHeight="false" outlineLevel="0" collapsed="false">
      <c r="A989" s="28" t="s">
        <v>1620</v>
      </c>
      <c r="B989" s="80" t="s">
        <v>1402</v>
      </c>
      <c r="C989" s="8" t="s">
        <v>15</v>
      </c>
      <c r="D989" s="22" t="e">
        <f aca="false">сводн.данные!n994</f>
        <v>#NAME?</v>
      </c>
      <c r="E989" s="23" t="n">
        <v>3560.12990521639</v>
      </c>
      <c r="F989" s="24" t="n">
        <v>1175</v>
      </c>
      <c r="G989" s="24" t="e">
        <f aca="false">D989-E989</f>
        <v>#NAME?</v>
      </c>
    </row>
    <row r="990" customFormat="false" ht="15" hidden="false" customHeight="false" outlineLevel="0" collapsed="false">
      <c r="A990" s="28" t="s">
        <v>1621</v>
      </c>
      <c r="B990" s="80" t="s">
        <v>1622</v>
      </c>
      <c r="C990" s="8" t="s">
        <v>15</v>
      </c>
      <c r="D990" s="22" t="e">
        <f aca="false">сводн.данные!n995</f>
        <v>#NAME?</v>
      </c>
      <c r="E990" s="23" t="n">
        <v>3218.96990521639</v>
      </c>
      <c r="F990" s="24" t="n">
        <v>1500</v>
      </c>
      <c r="G990" s="24" t="e">
        <f aca="false">D990-E990</f>
        <v>#NAME?</v>
      </c>
    </row>
    <row r="991" customFormat="false" ht="15" hidden="false" customHeight="false" outlineLevel="0" collapsed="false">
      <c r="A991" s="28" t="s">
        <v>1623</v>
      </c>
      <c r="B991" s="80" t="s">
        <v>943</v>
      </c>
      <c r="C991" s="8" t="s">
        <v>15</v>
      </c>
      <c r="D991" s="22" t="e">
        <f aca="false">сводн.данные!n996</f>
        <v>#NAME?</v>
      </c>
      <c r="E991" s="23" t="n">
        <v>3139.11267030253</v>
      </c>
      <c r="F991" s="24" t="n">
        <v>0</v>
      </c>
      <c r="G991" s="24" t="e">
        <f aca="false">D991-E991</f>
        <v>#NAME?</v>
      </c>
    </row>
    <row r="992" customFormat="false" ht="15" hidden="false" customHeight="false" outlineLevel="0" collapsed="false">
      <c r="A992" s="28" t="s">
        <v>1624</v>
      </c>
      <c r="B992" s="80" t="s">
        <v>1404</v>
      </c>
      <c r="C992" s="8" t="s">
        <v>15</v>
      </c>
      <c r="D992" s="22" t="e">
        <f aca="false">сводн.данные!n997</f>
        <v>#NAME?</v>
      </c>
      <c r="E992" s="23" t="n">
        <v>3472.3391349988</v>
      </c>
      <c r="F992" s="24" t="n">
        <v>1500</v>
      </c>
      <c r="G992" s="24" t="e">
        <f aca="false">D992-E992</f>
        <v>#NAME?</v>
      </c>
    </row>
    <row r="993" customFormat="false" ht="15" hidden="false" customHeight="false" outlineLevel="0" collapsed="false">
      <c r="A993" s="28" t="s">
        <v>1625</v>
      </c>
      <c r="B993" s="80" t="s">
        <v>1364</v>
      </c>
      <c r="C993" s="8" t="s">
        <v>15</v>
      </c>
      <c r="D993" s="22" t="e">
        <f aca="false">сводн.данные!n998</f>
        <v>#NAME?</v>
      </c>
      <c r="E993" s="23" t="n">
        <v>3318.1391349988</v>
      </c>
      <c r="F993" s="24" t="n">
        <v>1500</v>
      </c>
      <c r="G993" s="24" t="e">
        <f aca="false">D993-E993</f>
        <v>#NAME?</v>
      </c>
    </row>
    <row r="994" customFormat="false" ht="15" hidden="false" customHeight="false" outlineLevel="0" collapsed="false">
      <c r="A994" s="28" t="s">
        <v>1626</v>
      </c>
      <c r="B994" s="80" t="s">
        <v>1358</v>
      </c>
      <c r="C994" s="8" t="s">
        <v>15</v>
      </c>
      <c r="D994" s="22" t="e">
        <f aca="false">сводн.данные!n999</f>
        <v>#NAME?</v>
      </c>
      <c r="E994" s="23" t="n">
        <v>3171.85174860715</v>
      </c>
      <c r="F994" s="24" t="n">
        <v>1500</v>
      </c>
      <c r="G994" s="24" t="e">
        <f aca="false">D994-E994</f>
        <v>#NAME?</v>
      </c>
    </row>
    <row r="995" customFormat="false" ht="15" hidden="false" customHeight="false" outlineLevel="0" collapsed="false">
      <c r="A995" s="28" t="s">
        <v>1627</v>
      </c>
      <c r="B995" s="80" t="s">
        <v>1410</v>
      </c>
      <c r="C995" s="8" t="s">
        <v>15</v>
      </c>
      <c r="D995" s="22" t="e">
        <f aca="false">сводн.данные!n1000</f>
        <v>#NAME?</v>
      </c>
      <c r="E995" s="23" t="n">
        <v>3404.82375117287</v>
      </c>
      <c r="F995" s="24" t="n">
        <v>1025</v>
      </c>
      <c r="G995" s="24" t="e">
        <f aca="false">D995-E995</f>
        <v>#NAME?</v>
      </c>
    </row>
    <row r="996" customFormat="false" ht="15" hidden="false" customHeight="false" outlineLevel="0" collapsed="false">
      <c r="A996" s="28" t="s">
        <v>1628</v>
      </c>
      <c r="B996" s="80" t="s">
        <v>1586</v>
      </c>
      <c r="C996" s="8" t="s">
        <v>15</v>
      </c>
      <c r="D996" s="22" t="e">
        <f aca="false">сводн.данные!n1001</f>
        <v>#NAME?</v>
      </c>
      <c r="E996" s="23" t="n">
        <v>3285.84375117287</v>
      </c>
      <c r="F996" s="24" t="n">
        <v>1055</v>
      </c>
      <c r="G996" s="24" t="e">
        <f aca="false">D996-E996</f>
        <v>#NAME?</v>
      </c>
    </row>
    <row r="997" customFormat="false" ht="15" hidden="false" customHeight="false" outlineLevel="0" collapsed="false">
      <c r="A997" s="28" t="s">
        <v>1629</v>
      </c>
      <c r="B997" s="82" t="s">
        <v>1396</v>
      </c>
      <c r="C997" s="8" t="s">
        <v>15</v>
      </c>
      <c r="D997" s="22" t="e">
        <f aca="false">сводн.данные!n1002</f>
        <v>#NAME?</v>
      </c>
      <c r="E997" s="23" t="n">
        <v>3204.84375117287</v>
      </c>
      <c r="F997" s="24" t="n">
        <v>1620</v>
      </c>
      <c r="G997" s="24" t="e">
        <f aca="false">D997-E997</f>
        <v>#NAME?</v>
      </c>
    </row>
    <row r="998" customFormat="false" ht="15" hidden="false" customHeight="false" outlineLevel="0" collapsed="false">
      <c r="A998" s="28" t="s">
        <v>1630</v>
      </c>
      <c r="B998" s="80" t="s">
        <v>409</v>
      </c>
      <c r="C998" s="8" t="s">
        <v>15</v>
      </c>
      <c r="D998" s="22" t="e">
        <f aca="false">сводн.данные!n1003</f>
        <v>#NAME?</v>
      </c>
      <c r="E998" s="23" t="n">
        <v>3508.40374860715</v>
      </c>
      <c r="F998" s="24" t="n">
        <v>0</v>
      </c>
      <c r="G998" s="24" t="e">
        <f aca="false">D998-E998</f>
        <v>#NAME?</v>
      </c>
    </row>
    <row r="999" customFormat="false" ht="15" hidden="false" customHeight="false" outlineLevel="0" collapsed="false">
      <c r="A999" s="28" t="s">
        <v>1631</v>
      </c>
      <c r="B999" s="80" t="s">
        <v>1602</v>
      </c>
      <c r="C999" s="8" t="s">
        <v>15</v>
      </c>
      <c r="D999" s="22" t="e">
        <f aca="false">сводн.данные!n1004</f>
        <v>#NAME?</v>
      </c>
      <c r="E999" s="23" t="n">
        <v>3909.4760592599</v>
      </c>
      <c r="F999" s="24" t="n">
        <v>0</v>
      </c>
      <c r="G999" s="24" t="e">
        <f aca="false">D999-E999</f>
        <v>#NAME?</v>
      </c>
    </row>
    <row r="1000" customFormat="false" ht="15" hidden="false" customHeight="false" outlineLevel="0" collapsed="false">
      <c r="A1000" s="28" t="s">
        <v>1632</v>
      </c>
      <c r="B1000" s="82" t="s">
        <v>547</v>
      </c>
      <c r="C1000" s="8" t="s">
        <v>15</v>
      </c>
      <c r="D1000" s="22" t="e">
        <f aca="false">сводн.данные!n1005</f>
        <v>#NAME?</v>
      </c>
      <c r="E1000" s="23" t="n">
        <v>2449.05359456363</v>
      </c>
      <c r="F1000" s="24" t="n">
        <v>1355</v>
      </c>
      <c r="G1000" s="24" t="e">
        <f aca="false">D1000-E1000</f>
        <v>#NAME?</v>
      </c>
    </row>
    <row r="1001" customFormat="false" ht="15" hidden="false" customHeight="false" outlineLevel="0" collapsed="false">
      <c r="A1001" s="28" t="s">
        <v>1633</v>
      </c>
      <c r="B1001" s="82" t="s">
        <v>545</v>
      </c>
      <c r="C1001" s="8" t="s">
        <v>15</v>
      </c>
      <c r="D1001" s="22" t="e">
        <f aca="false">сводн.данные!n1006</f>
        <v>#NAME?</v>
      </c>
      <c r="E1001" s="23" t="n">
        <v>2530.2128613678</v>
      </c>
      <c r="F1001" s="24" t="n">
        <v>1045</v>
      </c>
      <c r="G1001" s="24" t="e">
        <f aca="false">D1001-E1001</f>
        <v>#NAME?</v>
      </c>
    </row>
    <row r="1002" customFormat="false" ht="15" hidden="false" customHeight="false" outlineLevel="0" collapsed="false">
      <c r="A1002" s="28" t="s">
        <v>1634</v>
      </c>
      <c r="B1002" s="82" t="s">
        <v>735</v>
      </c>
      <c r="C1002" s="8" t="s">
        <v>15</v>
      </c>
      <c r="D1002" s="22" t="e">
        <f aca="false">сводн.данные!n1007</f>
        <v>#NAME?</v>
      </c>
      <c r="E1002" s="23" t="n">
        <v>3433.00978178032</v>
      </c>
      <c r="F1002" s="24" t="n">
        <v>1045</v>
      </c>
      <c r="G1002" s="24" t="e">
        <f aca="false">D1002-E1002</f>
        <v>#NAME?</v>
      </c>
    </row>
    <row r="1003" customFormat="false" ht="15" hidden="false" customHeight="false" outlineLevel="0" collapsed="false">
      <c r="A1003" s="28" t="s">
        <v>1635</v>
      </c>
      <c r="B1003" s="82" t="s">
        <v>1520</v>
      </c>
      <c r="C1003" s="8" t="s">
        <v>15</v>
      </c>
      <c r="D1003" s="22" t="e">
        <f aca="false">сводн.данные!n1008</f>
        <v>#NAME?</v>
      </c>
      <c r="E1003" s="23" t="n">
        <v>2946.99758943218</v>
      </c>
      <c r="F1003" s="24" t="n">
        <v>0</v>
      </c>
      <c r="G1003" s="24" t="e">
        <f aca="false">D1003-E1003</f>
        <v>#NAME?</v>
      </c>
    </row>
    <row r="1004" customFormat="false" ht="15" hidden="false" customHeight="false" outlineLevel="0" collapsed="false">
      <c r="A1004" s="28" t="s">
        <v>1636</v>
      </c>
      <c r="B1004" s="82" t="s">
        <v>1462</v>
      </c>
      <c r="C1004" s="8" t="s">
        <v>15</v>
      </c>
      <c r="D1004" s="22" t="e">
        <f aca="false">сводн.данные!n1009</f>
        <v>#NAME?</v>
      </c>
      <c r="E1004" s="23" t="n">
        <v>2846.64570594711</v>
      </c>
      <c r="F1004" s="24" t="n">
        <v>0</v>
      </c>
      <c r="G1004" s="24" t="e">
        <f aca="false">D1004-E1004</f>
        <v>#NAME?</v>
      </c>
    </row>
    <row r="1005" customFormat="false" ht="15" hidden="false" customHeight="false" outlineLevel="0" collapsed="false">
      <c r="A1005" s="28" t="s">
        <v>1637</v>
      </c>
      <c r="B1005" s="82" t="s">
        <v>1555</v>
      </c>
      <c r="C1005" s="8" t="s">
        <v>15</v>
      </c>
      <c r="D1005" s="22" t="e">
        <f aca="false">сводн.данные!n1010</f>
        <v>#NAME?</v>
      </c>
      <c r="E1005" s="23" t="n">
        <v>4735.74645443338</v>
      </c>
      <c r="F1005" s="24" t="n">
        <v>1425</v>
      </c>
      <c r="G1005" s="24" t="e">
        <f aca="false">D1005-E1005</f>
        <v>#NAME?</v>
      </c>
    </row>
    <row r="1006" customFormat="false" ht="15.75" hidden="false" customHeight="true" outlineLevel="0" collapsed="false">
      <c r="A1006" s="28" t="s">
        <v>1638</v>
      </c>
      <c r="B1006" s="82" t="s">
        <v>1639</v>
      </c>
      <c r="C1006" s="8" t="s">
        <v>15</v>
      </c>
      <c r="D1006" s="22" t="e">
        <f aca="false">сводн.данные!n1011</f>
        <v>#NAME?</v>
      </c>
      <c r="E1006" s="23" t="n">
        <v>21000.1906744874</v>
      </c>
      <c r="F1006" s="24" t="n">
        <v>0</v>
      </c>
      <c r="G1006" s="24" t="e">
        <f aca="false">D1006-E1006</f>
        <v>#NAME?</v>
      </c>
    </row>
    <row r="1007" customFormat="false" ht="15" hidden="false" customHeight="false" outlineLevel="0" collapsed="false">
      <c r="A1007" s="28" t="s">
        <v>1640</v>
      </c>
      <c r="B1007" s="82" t="s">
        <v>1641</v>
      </c>
      <c r="C1007" s="8" t="s">
        <v>15</v>
      </c>
      <c r="D1007" s="22" t="e">
        <f aca="false">сводн.данные!n1012</f>
        <v>#NAME?</v>
      </c>
      <c r="E1007" s="23" t="n">
        <v>10812.0522336667</v>
      </c>
      <c r="F1007" s="24" t="n">
        <v>8410</v>
      </c>
      <c r="G1007" s="24" t="e">
        <f aca="false">D1007-E1007</f>
        <v>#NAME?</v>
      </c>
    </row>
    <row r="1008" customFormat="false" ht="14.25" hidden="false" customHeight="true" outlineLevel="0" collapsed="false">
      <c r="A1008" s="20" t="s">
        <v>1642</v>
      </c>
      <c r="B1008" s="82" t="s">
        <v>1643</v>
      </c>
      <c r="C1008" s="8" t="s">
        <v>15</v>
      </c>
      <c r="D1008" s="22" t="e">
        <f aca="false">сводн.данные!n1013</f>
        <v>#NAME?</v>
      </c>
      <c r="E1008" s="23" t="n">
        <v>13799.5113822138</v>
      </c>
      <c r="F1008" s="24" t="n">
        <v>0</v>
      </c>
      <c r="G1008" s="24" t="e">
        <f aca="false">D1008-E1008</f>
        <v>#NAME?</v>
      </c>
    </row>
    <row r="1009" customFormat="false" ht="15" hidden="false" customHeight="false" outlineLevel="0" collapsed="false">
      <c r="A1009" s="28" t="s">
        <v>1644</v>
      </c>
      <c r="B1009" s="82" t="s">
        <v>1645</v>
      </c>
      <c r="C1009" s="8" t="s">
        <v>15</v>
      </c>
      <c r="D1009" s="22" t="e">
        <f aca="false">сводн.данные!n1014</f>
        <v>#NAME?</v>
      </c>
      <c r="E1009" s="23" t="n">
        <v>9500.13626231554</v>
      </c>
      <c r="F1009" s="24" t="n">
        <v>1645</v>
      </c>
      <c r="G1009" s="24" t="e">
        <f aca="false">D1009-E1009</f>
        <v>#NAME?</v>
      </c>
    </row>
    <row r="1010" customFormat="false" ht="32.25" hidden="false" customHeight="true" outlineLevel="0" collapsed="false">
      <c r="A1010" s="28" t="s">
        <v>1646</v>
      </c>
      <c r="B1010" s="80" t="s">
        <v>1561</v>
      </c>
      <c r="C1010" s="8" t="s">
        <v>15</v>
      </c>
      <c r="D1010" s="22" t="e">
        <f aca="false">сводн.данные!n1015</f>
        <v>#NAME?</v>
      </c>
      <c r="E1010" s="23" t="n">
        <v>26308.5368640695</v>
      </c>
      <c r="F1010" s="24" t="n">
        <v>0</v>
      </c>
      <c r="G1010" s="24" t="e">
        <f aca="false">D1010-E1010</f>
        <v>#NAME?</v>
      </c>
    </row>
    <row r="1011" customFormat="false" ht="30" hidden="false" customHeight="false" outlineLevel="0" collapsed="false">
      <c r="A1011" s="28" t="s">
        <v>1647</v>
      </c>
      <c r="B1011" s="82" t="s">
        <v>1564</v>
      </c>
      <c r="C1011" s="8" t="s">
        <v>15</v>
      </c>
      <c r="D1011" s="22" t="e">
        <f aca="false">сводн.данные!n1016</f>
        <v>#NAME?</v>
      </c>
      <c r="E1011" s="23" t="n">
        <v>20499.8694030868</v>
      </c>
      <c r="F1011" s="24" t="n">
        <v>0</v>
      </c>
      <c r="G1011" s="24" t="e">
        <f aca="false">D1011-E1011</f>
        <v>#NAME?</v>
      </c>
    </row>
    <row r="1012" customFormat="false" ht="30" hidden="false" customHeight="false" outlineLevel="0" collapsed="false">
      <c r="A1012" s="28" t="s">
        <v>1648</v>
      </c>
      <c r="B1012" s="82" t="s">
        <v>1649</v>
      </c>
      <c r="C1012" s="8" t="s">
        <v>15</v>
      </c>
      <c r="D1012" s="22" t="e">
        <f aca="false">сводн.данные!n1017</f>
        <v>#NAME?</v>
      </c>
      <c r="E1012" s="23" t="n">
        <v>4814.91690886676</v>
      </c>
      <c r="F1012" s="24" t="n">
        <v>0</v>
      </c>
      <c r="G1012" s="24" t="e">
        <f aca="false">D1012-E1012</f>
        <v>#NAME?</v>
      </c>
    </row>
    <row r="1013" customFormat="false" ht="42.75" hidden="false" customHeight="false" outlineLevel="0" collapsed="false">
      <c r="A1013" s="15" t="s">
        <v>1650</v>
      </c>
      <c r="B1013" s="83" t="s">
        <v>1651</v>
      </c>
      <c r="C1013" s="17"/>
      <c r="D1013" s="32"/>
      <c r="E1013" s="33"/>
      <c r="F1013" s="34"/>
      <c r="G1013" s="34"/>
    </row>
    <row r="1014" customFormat="false" ht="15" hidden="false" customHeight="false" outlineLevel="0" collapsed="false">
      <c r="A1014" s="28" t="s">
        <v>1652</v>
      </c>
      <c r="B1014" s="80" t="s">
        <v>630</v>
      </c>
      <c r="C1014" s="8" t="s">
        <v>15</v>
      </c>
      <c r="D1014" s="22" t="e">
        <f aca="false">сводн.данные!n1019</f>
        <v>#NAME?</v>
      </c>
      <c r="E1014" s="23" t="n">
        <v>1015.64653546408</v>
      </c>
      <c r="F1014" s="24" t="n">
        <v>420</v>
      </c>
      <c r="G1014" s="24" t="e">
        <f aca="false">D1014-E1014</f>
        <v>#NAME?</v>
      </c>
    </row>
    <row r="1015" customFormat="false" ht="15" hidden="false" customHeight="false" outlineLevel="0" collapsed="false">
      <c r="A1015" s="28" t="s">
        <v>1653</v>
      </c>
      <c r="B1015" s="80" t="s">
        <v>231</v>
      </c>
      <c r="C1015" s="8" t="s">
        <v>15</v>
      </c>
      <c r="D1015" s="22" t="e">
        <f aca="false">сводн.данные!n1020</f>
        <v>#NAME?</v>
      </c>
      <c r="E1015" s="23" t="n">
        <v>1354.72458061878</v>
      </c>
      <c r="F1015" s="24" t="n">
        <v>350</v>
      </c>
      <c r="G1015" s="24" t="e">
        <f aca="false">D1015-E1015</f>
        <v>#NAME?</v>
      </c>
    </row>
    <row r="1016" customFormat="false" ht="15" hidden="false" customHeight="false" outlineLevel="0" collapsed="false">
      <c r="A1016" s="28" t="s">
        <v>1654</v>
      </c>
      <c r="B1016" s="80" t="s">
        <v>1336</v>
      </c>
      <c r="C1016" s="8" t="s">
        <v>15</v>
      </c>
      <c r="D1016" s="22" t="e">
        <f aca="false">сводн.данные!n1021</f>
        <v>#NAME?</v>
      </c>
      <c r="E1016" s="23" t="n">
        <v>2099.20153594516</v>
      </c>
      <c r="F1016" s="24" t="n">
        <v>570</v>
      </c>
      <c r="G1016" s="24" t="e">
        <f aca="false">D1016-E1016</f>
        <v>#NAME?</v>
      </c>
    </row>
    <row r="1017" customFormat="false" ht="15" hidden="false" customHeight="false" outlineLevel="0" collapsed="false">
      <c r="A1017" s="28" t="s">
        <v>1655</v>
      </c>
      <c r="B1017" s="80" t="s">
        <v>1404</v>
      </c>
      <c r="C1017" s="8" t="s">
        <v>15</v>
      </c>
      <c r="D1017" s="22" t="e">
        <f aca="false">сводн.данные!n1022</f>
        <v>#NAME?</v>
      </c>
      <c r="E1017" s="23" t="n">
        <v>3539.21298095528</v>
      </c>
      <c r="F1017" s="24" t="n">
        <v>1500</v>
      </c>
      <c r="G1017" s="24" t="e">
        <f aca="false">D1017-E1017</f>
        <v>#NAME?</v>
      </c>
    </row>
    <row r="1018" customFormat="false" ht="15" hidden="false" customHeight="false" outlineLevel="0" collapsed="false">
      <c r="A1018" s="28" t="s">
        <v>1656</v>
      </c>
      <c r="B1018" s="80" t="s">
        <v>953</v>
      </c>
      <c r="C1018" s="8" t="s">
        <v>15</v>
      </c>
      <c r="D1018" s="22" t="e">
        <f aca="false">сводн.данные!n1023</f>
        <v>#NAME?</v>
      </c>
      <c r="E1018" s="23" t="n">
        <v>3048.94717751922</v>
      </c>
      <c r="F1018" s="24" t="n">
        <v>900</v>
      </c>
      <c r="G1018" s="24" t="e">
        <f aca="false">D1018-E1018</f>
        <v>#NAME?</v>
      </c>
    </row>
    <row r="1019" customFormat="false" ht="12.75" hidden="false" customHeight="true" outlineLevel="0" collapsed="false">
      <c r="A1019" s="28" t="s">
        <v>1657</v>
      </c>
      <c r="B1019" s="80" t="s">
        <v>1412</v>
      </c>
      <c r="C1019" s="8" t="s">
        <v>15</v>
      </c>
      <c r="D1019" s="22" t="e">
        <f aca="false">сводн.данные!n1024</f>
        <v>#NAME?</v>
      </c>
      <c r="E1019" s="23" t="n">
        <v>3004.94912943218</v>
      </c>
      <c r="F1019" s="24" t="n">
        <v>0</v>
      </c>
      <c r="G1019" s="24" t="e">
        <f aca="false">D1019-E1019</f>
        <v>#NAME?</v>
      </c>
    </row>
    <row r="1020" customFormat="false" ht="15" hidden="false" customHeight="false" outlineLevel="0" collapsed="false">
      <c r="A1020" s="28" t="s">
        <v>1658</v>
      </c>
      <c r="B1020" s="81" t="s">
        <v>1460</v>
      </c>
      <c r="C1020" s="8" t="s">
        <v>15</v>
      </c>
      <c r="D1020" s="22" t="e">
        <f aca="false">сводн.данные!n1025</f>
        <v>#NAME?</v>
      </c>
      <c r="E1020" s="23" t="n">
        <v>2946.99758943218</v>
      </c>
      <c r="F1020" s="24" t="n">
        <v>0</v>
      </c>
      <c r="G1020" s="24" t="e">
        <f aca="false">D1020-E1020</f>
        <v>#NAME?</v>
      </c>
    </row>
    <row r="1021" customFormat="false" ht="15" hidden="false" customHeight="false" outlineLevel="0" collapsed="false">
      <c r="A1021" s="28" t="s">
        <v>1659</v>
      </c>
      <c r="B1021" s="81" t="s">
        <v>1462</v>
      </c>
      <c r="C1021" s="8" t="s">
        <v>15</v>
      </c>
      <c r="D1021" s="22" t="e">
        <f aca="false">сводн.данные!n1026</f>
        <v>#NAME?</v>
      </c>
      <c r="E1021" s="23" t="n">
        <v>2629.30570658854</v>
      </c>
      <c r="F1021" s="24" t="n">
        <v>0</v>
      </c>
      <c r="G1021" s="24" t="e">
        <f aca="false">D1021-E1021</f>
        <v>#NAME?</v>
      </c>
    </row>
    <row r="1022" customFormat="false" ht="15" hidden="false" customHeight="false" outlineLevel="0" collapsed="false">
      <c r="A1022" s="28" t="s">
        <v>1660</v>
      </c>
      <c r="B1022" s="80" t="s">
        <v>1661</v>
      </c>
      <c r="C1022" s="8" t="s">
        <v>15</v>
      </c>
      <c r="D1022" s="22" t="e">
        <f aca="false">сводн.данные!n1027</f>
        <v>#NAME?</v>
      </c>
      <c r="E1022" s="23" t="n">
        <v>3147.81057530163</v>
      </c>
      <c r="F1022" s="24" t="n">
        <v>0</v>
      </c>
      <c r="G1022" s="24" t="e">
        <f aca="false">D1022-E1022</f>
        <v>#NAME?</v>
      </c>
    </row>
    <row r="1023" customFormat="false" ht="32.25" hidden="false" customHeight="true" outlineLevel="0" collapsed="false">
      <c r="A1023" s="28" t="s">
        <v>1662</v>
      </c>
      <c r="B1023" s="80" t="s">
        <v>1539</v>
      </c>
      <c r="C1023" s="8" t="s">
        <v>15</v>
      </c>
      <c r="D1023" s="22" t="e">
        <f aca="false">сводн.данные!n1028</f>
        <v>#NAME?</v>
      </c>
      <c r="E1023" s="23" t="n">
        <v>10829.8710877311</v>
      </c>
      <c r="F1023" s="24" t="n">
        <v>1745</v>
      </c>
      <c r="G1023" s="24" t="e">
        <f aca="false">D1023-E1023</f>
        <v>#NAME?</v>
      </c>
    </row>
    <row r="1024" customFormat="false" ht="71.25" hidden="false" customHeight="false" outlineLevel="0" collapsed="false">
      <c r="A1024" s="15" t="s">
        <v>1663</v>
      </c>
      <c r="B1024" s="83" t="s">
        <v>1664</v>
      </c>
      <c r="C1024" s="17"/>
      <c r="D1024" s="32"/>
      <c r="E1024" s="33"/>
      <c r="F1024" s="34"/>
      <c r="G1024" s="34"/>
    </row>
    <row r="1025" customFormat="false" ht="17.25" hidden="false" customHeight="true" outlineLevel="0" collapsed="false">
      <c r="A1025" s="28" t="s">
        <v>1665</v>
      </c>
      <c r="B1025" s="80" t="s">
        <v>1639</v>
      </c>
      <c r="C1025" s="8" t="s">
        <v>15</v>
      </c>
      <c r="D1025" s="22" t="e">
        <f aca="false">сводн.данные!n1030</f>
        <v>#NAME?</v>
      </c>
      <c r="E1025" s="23" t="n">
        <v>21000.0298596637</v>
      </c>
      <c r="F1025" s="24" t="n">
        <v>11940</v>
      </c>
      <c r="G1025" s="24" t="e">
        <f aca="false">D1025-E1025</f>
        <v>#NAME?</v>
      </c>
    </row>
    <row r="1026" customFormat="false" ht="31.5" hidden="false" customHeight="true" outlineLevel="0" collapsed="false">
      <c r="A1026" s="28" t="s">
        <v>1666</v>
      </c>
      <c r="B1026" s="80" t="s">
        <v>1539</v>
      </c>
      <c r="C1026" s="8" t="s">
        <v>15</v>
      </c>
      <c r="D1026" s="22" t="e">
        <f aca="false">сводн.данные!n1031</f>
        <v>#NAME?</v>
      </c>
      <c r="E1026" s="23" t="n">
        <v>10804.6272348907</v>
      </c>
      <c r="F1026" s="24" t="n">
        <v>0</v>
      </c>
      <c r="G1026" s="24" t="e">
        <f aca="false">D1026-E1026</f>
        <v>#NAME?</v>
      </c>
    </row>
    <row r="1027" customFormat="false" ht="30" hidden="false" customHeight="false" outlineLevel="0" collapsed="false">
      <c r="A1027" s="28" t="s">
        <v>1667</v>
      </c>
      <c r="B1027" s="80" t="s">
        <v>1668</v>
      </c>
      <c r="C1027" s="8" t="s">
        <v>15</v>
      </c>
      <c r="D1027" s="22" t="e">
        <f aca="false">сводн.данные!n1032</f>
        <v>#NAME?</v>
      </c>
      <c r="E1027" s="23" t="n">
        <v>15600.1276589691</v>
      </c>
      <c r="F1027" s="24" t="n">
        <v>0</v>
      </c>
      <c r="G1027" s="24" t="e">
        <f aca="false">D1027-E1027</f>
        <v>#NAME?</v>
      </c>
    </row>
    <row r="1028" customFormat="false" ht="30" hidden="false" customHeight="false" outlineLevel="0" collapsed="false">
      <c r="A1028" s="28" t="s">
        <v>1669</v>
      </c>
      <c r="B1028" s="80" t="s">
        <v>1670</v>
      </c>
      <c r="C1028" s="8" t="s">
        <v>15</v>
      </c>
      <c r="D1028" s="22" t="e">
        <f aca="false">сводн.данные!n1033</f>
        <v>#NAME?</v>
      </c>
      <c r="E1028" s="23" t="n">
        <v>13845.5654860698</v>
      </c>
      <c r="F1028" s="24" t="n">
        <v>0</v>
      </c>
      <c r="G1028" s="24" t="e">
        <f aca="false">D1028-E1028</f>
        <v>#NAME?</v>
      </c>
    </row>
    <row r="1029" customFormat="false" ht="30" hidden="false" customHeight="false" outlineLevel="0" collapsed="false">
      <c r="A1029" s="28" t="s">
        <v>1671</v>
      </c>
      <c r="B1029" s="80" t="s">
        <v>1672</v>
      </c>
      <c r="C1029" s="8" t="s">
        <v>15</v>
      </c>
      <c r="D1029" s="22" t="e">
        <f aca="false">сводн.данные!n1034</f>
        <v>#NAME?</v>
      </c>
      <c r="E1029" s="23" t="n">
        <v>15915.7289799602</v>
      </c>
      <c r="F1029" s="24" t="n">
        <v>0</v>
      </c>
      <c r="G1029" s="24" t="e">
        <f aca="false">D1029-E1029</f>
        <v>#NAME?</v>
      </c>
    </row>
    <row r="1030" customFormat="false" ht="45" hidden="false" customHeight="false" outlineLevel="0" collapsed="false">
      <c r="A1030" s="28" t="s">
        <v>1673</v>
      </c>
      <c r="B1030" s="80" t="s">
        <v>1674</v>
      </c>
      <c r="C1030" s="8" t="s">
        <v>15</v>
      </c>
      <c r="D1030" s="22" t="e">
        <f aca="false">сводн.данные!n1035</f>
        <v>#NAME?</v>
      </c>
      <c r="E1030" s="23" t="n">
        <v>9543.39089144021</v>
      </c>
      <c r="F1030" s="24" t="n">
        <v>1645</v>
      </c>
      <c r="G1030" s="24" t="e">
        <f aca="false">D1030-E1030</f>
        <v>#NAME?</v>
      </c>
    </row>
    <row r="1031" customFormat="false" ht="45" hidden="false" customHeight="false" outlineLevel="0" collapsed="false">
      <c r="A1031" s="28" t="s">
        <v>1675</v>
      </c>
      <c r="B1031" s="80" t="s">
        <v>1676</v>
      </c>
      <c r="C1031" s="8" t="s">
        <v>15</v>
      </c>
      <c r="D1031" s="22" t="e">
        <f aca="false">сводн.данные!n1036</f>
        <v>#NAME?</v>
      </c>
      <c r="E1031" s="23" t="n">
        <v>13422.6657136324</v>
      </c>
      <c r="F1031" s="24" t="n">
        <v>0</v>
      </c>
      <c r="G1031" s="24" t="e">
        <f aca="false">D1031-E1031</f>
        <v>#NAME?</v>
      </c>
    </row>
    <row r="1032" customFormat="false" ht="30" hidden="false" customHeight="false" outlineLevel="0" collapsed="false">
      <c r="A1032" s="28" t="s">
        <v>1677</v>
      </c>
      <c r="B1032" s="80" t="s">
        <v>1564</v>
      </c>
      <c r="C1032" s="8" t="s">
        <v>15</v>
      </c>
      <c r="D1032" s="22" t="e">
        <f aca="false">сводн.данные!n1037</f>
        <v>#NAME?</v>
      </c>
      <c r="E1032" s="23" t="n">
        <v>20500.4643383078</v>
      </c>
      <c r="F1032" s="24" t="n">
        <v>3660</v>
      </c>
      <c r="G1032" s="24" t="e">
        <f aca="false">D1032-E1032</f>
        <v>#NAME?</v>
      </c>
    </row>
    <row r="1033" customFormat="false" ht="33" hidden="false" customHeight="true" outlineLevel="0" collapsed="false">
      <c r="A1033" s="28" t="s">
        <v>1678</v>
      </c>
      <c r="B1033" s="80" t="s">
        <v>1561</v>
      </c>
      <c r="C1033" s="8" t="s">
        <v>15</v>
      </c>
      <c r="D1033" s="22" t="e">
        <f aca="false">сводн.данные!n1038</f>
        <v>#NAME?</v>
      </c>
      <c r="E1033" s="23" t="n">
        <v>26308.5368640695</v>
      </c>
      <c r="F1033" s="24" t="n">
        <v>2860</v>
      </c>
      <c r="G1033" s="24" t="e">
        <f aca="false">D1033-E1033</f>
        <v>#NAME?</v>
      </c>
    </row>
    <row r="1034" customFormat="false" ht="30" hidden="false" customHeight="false" outlineLevel="0" collapsed="false">
      <c r="A1034" s="28" t="s">
        <v>1679</v>
      </c>
      <c r="B1034" s="80" t="s">
        <v>1680</v>
      </c>
      <c r="C1034" s="8" t="s">
        <v>15</v>
      </c>
      <c r="D1034" s="22" t="e">
        <f aca="false">сводн.данные!n1039</f>
        <v>#NAME?</v>
      </c>
      <c r="E1034" s="23" t="n">
        <v>26443.0431464619</v>
      </c>
      <c r="F1034" s="24" t="n">
        <v>24720</v>
      </c>
      <c r="G1034" s="24" t="e">
        <f aca="false">D1034-E1034</f>
        <v>#NAME?</v>
      </c>
    </row>
    <row r="1035" customFormat="false" ht="15" hidden="false" customHeight="false" outlineLevel="0" collapsed="false">
      <c r="A1035" s="28" t="s">
        <v>1681</v>
      </c>
      <c r="B1035" s="81" t="s">
        <v>1555</v>
      </c>
      <c r="C1035" s="8" t="s">
        <v>15</v>
      </c>
      <c r="D1035" s="22" t="e">
        <f aca="false">сводн.данные!n1040</f>
        <v>#NAME?</v>
      </c>
      <c r="E1035" s="23" t="n">
        <v>4739.68383216572</v>
      </c>
      <c r="F1035" s="24" t="n">
        <v>0</v>
      </c>
      <c r="G1035" s="24" t="e">
        <f aca="false">D1035-E1035</f>
        <v>#NAME?</v>
      </c>
    </row>
    <row r="1036" customFormat="false" ht="15" hidden="false" customHeight="false" outlineLevel="0" collapsed="false">
      <c r="A1036" s="15" t="s">
        <v>1682</v>
      </c>
      <c r="B1036" s="84" t="s">
        <v>1683</v>
      </c>
      <c r="C1036" s="17"/>
      <c r="D1036" s="32"/>
      <c r="E1036" s="33"/>
      <c r="F1036" s="34"/>
      <c r="G1036" s="34"/>
    </row>
    <row r="1037" customFormat="false" ht="33" hidden="false" customHeight="true" outlineLevel="0" collapsed="false">
      <c r="A1037" s="28" t="s">
        <v>1684</v>
      </c>
      <c r="B1037" s="80" t="s">
        <v>1685</v>
      </c>
      <c r="C1037" s="8" t="s">
        <v>15</v>
      </c>
      <c r="D1037" s="22" t="e">
        <f aca="false">сводн.данные!n1042</f>
        <v>#NAME?</v>
      </c>
      <c r="E1037" s="23" t="n">
        <v>8046.63461802204</v>
      </c>
      <c r="F1037" s="24" t="n">
        <v>4275</v>
      </c>
      <c r="G1037" s="24" t="e">
        <f aca="false">D1037-E1037</f>
        <v>#NAME?</v>
      </c>
    </row>
    <row r="1038" customFormat="false" ht="45" hidden="false" customHeight="false" outlineLevel="0" collapsed="false">
      <c r="A1038" s="28" t="s">
        <v>1686</v>
      </c>
      <c r="B1038" s="80" t="s">
        <v>1687</v>
      </c>
      <c r="C1038" s="8" t="s">
        <v>15</v>
      </c>
      <c r="D1038" s="22" t="e">
        <f aca="false">сводн.данные!n1043</f>
        <v>#NAME?</v>
      </c>
      <c r="E1038" s="23" t="n">
        <v>7653.53096618368</v>
      </c>
      <c r="F1038" s="24" t="n">
        <v>0</v>
      </c>
      <c r="G1038" s="24" t="e">
        <f aca="false">D1038-E1038</f>
        <v>#NAME?</v>
      </c>
    </row>
    <row r="1039" customFormat="false" ht="28.5" hidden="false" customHeight="true" outlineLevel="0" collapsed="false">
      <c r="A1039" s="68" t="s">
        <v>1688</v>
      </c>
      <c r="B1039" s="11" t="s">
        <v>1689</v>
      </c>
      <c r="C1039" s="12"/>
      <c r="D1039" s="69"/>
      <c r="E1039" s="70"/>
      <c r="F1039" s="71"/>
      <c r="G1039" s="71"/>
    </row>
    <row r="1040" customFormat="false" ht="42.75" hidden="false" customHeight="false" outlineLevel="0" collapsed="false">
      <c r="A1040" s="15" t="s">
        <v>1690</v>
      </c>
      <c r="B1040" s="54" t="s">
        <v>1691</v>
      </c>
      <c r="C1040" s="17"/>
      <c r="D1040" s="32"/>
      <c r="E1040" s="33"/>
      <c r="F1040" s="34"/>
      <c r="G1040" s="34"/>
    </row>
    <row r="1041" customFormat="false" ht="15" hidden="false" customHeight="false" outlineLevel="0" collapsed="false">
      <c r="A1041" s="28" t="s">
        <v>1692</v>
      </c>
      <c r="B1041" s="40" t="s">
        <v>1693</v>
      </c>
      <c r="C1041" s="8" t="s">
        <v>15</v>
      </c>
      <c r="D1041" s="22" t="e">
        <f aca="false">сводн.данные!n1046</f>
        <v>#NAME?</v>
      </c>
      <c r="E1041" s="23" t="n">
        <v>180</v>
      </c>
      <c r="F1041" s="24" t="n">
        <v>0</v>
      </c>
      <c r="G1041" s="24" t="e">
        <f aca="false">D1041-E1041</f>
        <v>#NAME?</v>
      </c>
    </row>
    <row r="1042" customFormat="false" ht="15" hidden="false" customHeight="false" outlineLevel="0" collapsed="false">
      <c r="A1042" s="28" t="s">
        <v>1694</v>
      </c>
      <c r="B1042" s="40" t="s">
        <v>1695</v>
      </c>
      <c r="C1042" s="8" t="s">
        <v>15</v>
      </c>
      <c r="D1042" s="22" t="e">
        <f aca="false">сводн.данные!n1047</f>
        <v>#NAME?</v>
      </c>
      <c r="E1042" s="23" t="n">
        <v>1669.58027959877</v>
      </c>
      <c r="F1042" s="24" t="n">
        <v>0</v>
      </c>
      <c r="G1042" s="24" t="e">
        <f aca="false">D1042-E1042</f>
        <v>#NAME?</v>
      </c>
    </row>
    <row r="1043" customFormat="false" ht="42.75" hidden="false" customHeight="false" outlineLevel="0" collapsed="false">
      <c r="A1043" s="15" t="s">
        <v>1696</v>
      </c>
      <c r="B1043" s="88" t="s">
        <v>1697</v>
      </c>
      <c r="C1043" s="17"/>
      <c r="D1043" s="32"/>
      <c r="E1043" s="33"/>
      <c r="F1043" s="34"/>
      <c r="G1043" s="34"/>
    </row>
    <row r="1044" customFormat="false" ht="30" hidden="false" customHeight="false" outlineLevel="0" collapsed="false">
      <c r="A1044" s="28" t="s">
        <v>1698</v>
      </c>
      <c r="B1044" s="40" t="s">
        <v>1699</v>
      </c>
      <c r="C1044" s="8" t="s">
        <v>15</v>
      </c>
      <c r="D1044" s="22" t="e">
        <f aca="false">сводн.данные!n1049</f>
        <v>#NAME?</v>
      </c>
      <c r="E1044" s="23" t="n">
        <v>874.35355816641</v>
      </c>
      <c r="F1044" s="24" t="n">
        <v>370</v>
      </c>
      <c r="G1044" s="24" t="e">
        <f aca="false">D1044-E1044</f>
        <v>#NAME?</v>
      </c>
    </row>
    <row r="1045" customFormat="false" ht="45" hidden="false" customHeight="true" outlineLevel="0" collapsed="false">
      <c r="A1045" s="28" t="s">
        <v>1700</v>
      </c>
      <c r="B1045" s="40" t="s">
        <v>1701</v>
      </c>
      <c r="C1045" s="8" t="s">
        <v>15</v>
      </c>
      <c r="D1045" s="22" t="e">
        <f aca="false">сводн.данные!n1050</f>
        <v>#NAME?</v>
      </c>
      <c r="E1045" s="23" t="n">
        <v>1111.36585465288</v>
      </c>
      <c r="F1045" s="24" t="n">
        <v>0</v>
      </c>
      <c r="G1045" s="24" t="e">
        <f aca="false">D1045-E1045</f>
        <v>#NAME?</v>
      </c>
    </row>
    <row r="1046" customFormat="false" ht="28.5" hidden="false" customHeight="false" outlineLevel="0" collapsed="false">
      <c r="A1046" s="89" t="s">
        <v>1702</v>
      </c>
      <c r="B1046" s="90" t="s">
        <v>1703</v>
      </c>
      <c r="C1046" s="17"/>
      <c r="D1046" s="32"/>
      <c r="E1046" s="33"/>
      <c r="F1046" s="34"/>
      <c r="G1046" s="34"/>
    </row>
    <row r="1047" customFormat="false" ht="30" hidden="false" customHeight="false" outlineLevel="0" collapsed="false">
      <c r="A1047" s="28" t="s">
        <v>1704</v>
      </c>
      <c r="B1047" s="40" t="s">
        <v>1705</v>
      </c>
      <c r="C1047" s="8" t="s">
        <v>15</v>
      </c>
      <c r="D1047" s="22" t="e">
        <f aca="false">сводн.данные!n1052</f>
        <v>#NAME?</v>
      </c>
      <c r="E1047" s="23" t="n">
        <v>2707.8410587039</v>
      </c>
      <c r="F1047" s="24" t="n">
        <v>590</v>
      </c>
      <c r="G1047" s="24" t="e">
        <f aca="false">D1047-E1047</f>
        <v>#NAME?</v>
      </c>
    </row>
    <row r="1048" customFormat="false" ht="15" hidden="false" customHeight="false" outlineLevel="0" collapsed="false">
      <c r="A1048" s="28" t="s">
        <v>1706</v>
      </c>
      <c r="B1048" s="40" t="s">
        <v>1707</v>
      </c>
      <c r="C1048" s="8" t="s">
        <v>15</v>
      </c>
      <c r="D1048" s="22" t="e">
        <f aca="false">сводн.данные!n1053</f>
        <v>#NAME?</v>
      </c>
      <c r="E1048" s="23" t="n">
        <v>3268.23637310372</v>
      </c>
      <c r="F1048" s="24" t="n">
        <v>2260</v>
      </c>
      <c r="G1048" s="24" t="e">
        <f aca="false">D1048-E1048</f>
        <v>#NAME?</v>
      </c>
    </row>
    <row r="1049" customFormat="false" ht="28.5" hidden="false" customHeight="false" outlineLevel="0" collapsed="false">
      <c r="A1049" s="15" t="s">
        <v>1708</v>
      </c>
      <c r="B1049" s="88" t="s">
        <v>1709</v>
      </c>
      <c r="C1049" s="8" t="s">
        <v>15</v>
      </c>
      <c r="D1049" s="32"/>
      <c r="E1049" s="33"/>
      <c r="F1049" s="34"/>
      <c r="G1049" s="34"/>
    </row>
    <row r="1050" customFormat="false" ht="15" hidden="false" customHeight="false" outlineLevel="0" collapsed="false">
      <c r="A1050" s="28" t="s">
        <v>1710</v>
      </c>
      <c r="B1050" s="40" t="s">
        <v>1707</v>
      </c>
      <c r="C1050" s="8" t="s">
        <v>15</v>
      </c>
      <c r="D1050" s="22" t="e">
        <f aca="false">сводн.данные!n1055</f>
        <v>#NAME?</v>
      </c>
      <c r="E1050" s="23" t="n">
        <v>4328.36039670615</v>
      </c>
      <c r="F1050" s="24" t="n">
        <v>4975</v>
      </c>
      <c r="G1050" s="24" t="e">
        <f aca="false">D1050-E1050</f>
        <v>#NAME?</v>
      </c>
    </row>
    <row r="1051" customFormat="false" ht="15" hidden="false" customHeight="false" outlineLevel="0" collapsed="false">
      <c r="A1051" s="28" t="s">
        <v>1711</v>
      </c>
      <c r="B1051" s="40" t="s">
        <v>1712</v>
      </c>
      <c r="C1051" s="8" t="s">
        <v>15</v>
      </c>
      <c r="D1051" s="22" t="e">
        <f aca="false">сводн.данные!n1056</f>
        <v>#NAME?</v>
      </c>
      <c r="E1051" s="23" t="n">
        <v>9980.51774867163</v>
      </c>
      <c r="F1051" s="24" t="n">
        <v>9310</v>
      </c>
      <c r="G1051" s="24" t="e">
        <f aca="false">D1051-E1051</f>
        <v>#NAME?</v>
      </c>
    </row>
    <row r="1052" customFormat="false" ht="15" hidden="false" customHeight="false" outlineLevel="0" collapsed="false">
      <c r="A1052" s="28" t="s">
        <v>1713</v>
      </c>
      <c r="B1052" s="40" t="s">
        <v>1714</v>
      </c>
      <c r="C1052" s="8" t="s">
        <v>15</v>
      </c>
      <c r="D1052" s="22" t="e">
        <f aca="false">сводн.данные!n1057</f>
        <v>#NAME?</v>
      </c>
      <c r="E1052" s="23" t="n">
        <v>10005.9872846168</v>
      </c>
      <c r="F1052" s="24" t="n">
        <v>11005</v>
      </c>
      <c r="G1052" s="24" t="e">
        <f aca="false">D1052-E1052</f>
        <v>#NAME?</v>
      </c>
    </row>
    <row r="1053" customFormat="false" ht="15" hidden="false" customHeight="false" outlineLevel="0" collapsed="false">
      <c r="A1053" s="28" t="s">
        <v>1715</v>
      </c>
      <c r="B1053" s="40" t="s">
        <v>1716</v>
      </c>
      <c r="C1053" s="8" t="s">
        <v>15</v>
      </c>
      <c r="D1053" s="22" t="e">
        <f aca="false">сводн.данные!n1058</f>
        <v>#NAME?</v>
      </c>
      <c r="E1053" s="23" t="n">
        <v>6896.90830688445</v>
      </c>
      <c r="F1053" s="24" t="n">
        <v>10340</v>
      </c>
      <c r="G1053" s="24" t="e">
        <f aca="false">D1053-E1053</f>
        <v>#NAME?</v>
      </c>
    </row>
    <row r="1054" customFormat="false" ht="15" hidden="false" customHeight="false" outlineLevel="0" collapsed="false">
      <c r="A1054" s="28" t="s">
        <v>1717</v>
      </c>
      <c r="B1054" s="40" t="s">
        <v>1718</v>
      </c>
      <c r="C1054" s="8" t="s">
        <v>15</v>
      </c>
      <c r="D1054" s="22" t="e">
        <f aca="false">сводн.данные!n1059</f>
        <v>#NAME?</v>
      </c>
      <c r="E1054" s="23" t="n">
        <v>6907.51306044689</v>
      </c>
      <c r="F1054" s="24" t="n">
        <v>9135</v>
      </c>
      <c r="G1054" s="24" t="e">
        <f aca="false">D1054-E1054</f>
        <v>#NAME?</v>
      </c>
    </row>
    <row r="1055" customFormat="false" ht="57" hidden="false" customHeight="false" outlineLevel="0" collapsed="false">
      <c r="A1055" s="15" t="s">
        <v>1719</v>
      </c>
      <c r="B1055" s="88" t="s">
        <v>1720</v>
      </c>
      <c r="C1055" s="17"/>
      <c r="D1055" s="32"/>
      <c r="E1055" s="33"/>
      <c r="F1055" s="34"/>
      <c r="G1055" s="34"/>
    </row>
    <row r="1056" customFormat="false" ht="15" hidden="false" customHeight="false" outlineLevel="0" collapsed="false">
      <c r="A1056" s="28" t="s">
        <v>1721</v>
      </c>
      <c r="B1056" s="40" t="s">
        <v>1722</v>
      </c>
      <c r="C1056" s="8" t="s">
        <v>15</v>
      </c>
      <c r="D1056" s="22" t="e">
        <f aca="false">сводн.данные!n1061</f>
        <v>#NAME?</v>
      </c>
      <c r="E1056" s="23" t="n">
        <v>2973.35676803544</v>
      </c>
      <c r="F1056" s="24" t="n">
        <v>1465</v>
      </c>
      <c r="G1056" s="24" t="e">
        <f aca="false">D1056-E1056</f>
        <v>#NAME?</v>
      </c>
    </row>
    <row r="1057" customFormat="false" ht="15" hidden="false" customHeight="false" outlineLevel="0" collapsed="false">
      <c r="A1057" s="28" t="s">
        <v>1723</v>
      </c>
      <c r="B1057" s="40" t="s">
        <v>1724</v>
      </c>
      <c r="C1057" s="8" t="s">
        <v>15</v>
      </c>
      <c r="D1057" s="22" t="e">
        <f aca="false">сводн.данные!n1062</f>
        <v>#NAME?</v>
      </c>
      <c r="E1057" s="23" t="n">
        <v>1028.41520167627</v>
      </c>
      <c r="F1057" s="24" t="n">
        <v>355</v>
      </c>
      <c r="G1057" s="24" t="e">
        <f aca="false">D1057-E1057</f>
        <v>#NAME?</v>
      </c>
    </row>
    <row r="1058" customFormat="false" ht="15" hidden="false" customHeight="false" outlineLevel="0" collapsed="false">
      <c r="A1058" s="28" t="s">
        <v>1725</v>
      </c>
      <c r="B1058" s="40" t="s">
        <v>1726</v>
      </c>
      <c r="C1058" s="8" t="s">
        <v>15</v>
      </c>
      <c r="D1058" s="22" t="e">
        <f aca="false">сводн.данные!n1063</f>
        <v>#NAME?</v>
      </c>
      <c r="E1058" s="23" t="n">
        <v>910.459652780802</v>
      </c>
      <c r="F1058" s="24" t="n">
        <v>355</v>
      </c>
      <c r="G1058" s="24" t="e">
        <f aca="false">D1058-E1058</f>
        <v>#NAME?</v>
      </c>
    </row>
    <row r="1059" customFormat="false" ht="15" hidden="false" customHeight="false" outlineLevel="0" collapsed="false">
      <c r="A1059" s="28" t="s">
        <v>1727</v>
      </c>
      <c r="B1059" s="40" t="s">
        <v>1728</v>
      </c>
      <c r="C1059" s="8" t="s">
        <v>15</v>
      </c>
      <c r="D1059" s="22" t="e">
        <f aca="false">сводн.данные!n1064</f>
        <v>#NAME?</v>
      </c>
      <c r="E1059" s="23" t="n">
        <v>840.332509923659</v>
      </c>
      <c r="F1059" s="24" t="n">
        <v>355</v>
      </c>
      <c r="G1059" s="24" t="e">
        <f aca="false">D1059-E1059</f>
        <v>#NAME?</v>
      </c>
    </row>
    <row r="1060" customFormat="false" ht="15" hidden="false" customHeight="false" outlineLevel="0" collapsed="false">
      <c r="A1060" s="28" t="s">
        <v>1729</v>
      </c>
      <c r="B1060" s="40" t="s">
        <v>1730</v>
      </c>
      <c r="C1060" s="8" t="s">
        <v>15</v>
      </c>
      <c r="D1060" s="22" t="e">
        <f aca="false">сводн.данные!n1065</f>
        <v>#NAME?</v>
      </c>
      <c r="E1060" s="23" t="n">
        <v>840.332509923659</v>
      </c>
      <c r="F1060" s="24" t="n">
        <v>355</v>
      </c>
      <c r="G1060" s="24" t="e">
        <f aca="false">D1060-E1060</f>
        <v>#NAME?</v>
      </c>
    </row>
    <row r="1061" customFormat="false" ht="15" hidden="false" customHeight="false" outlineLevel="0" collapsed="false">
      <c r="A1061" s="28" t="s">
        <v>1731</v>
      </c>
      <c r="B1061" s="40" t="s">
        <v>1732</v>
      </c>
      <c r="C1061" s="8" t="s">
        <v>15</v>
      </c>
      <c r="D1061" s="22" t="e">
        <f aca="false">сводн.данные!n1066</f>
        <v>#NAME?</v>
      </c>
      <c r="E1061" s="23" t="n">
        <v>840.332509923659</v>
      </c>
      <c r="F1061" s="24" t="n">
        <v>355</v>
      </c>
      <c r="G1061" s="24" t="e">
        <f aca="false">D1061-E1061</f>
        <v>#NAME?</v>
      </c>
    </row>
    <row r="1062" customFormat="false" ht="30" hidden="false" customHeight="false" outlineLevel="0" collapsed="false">
      <c r="A1062" s="28" t="s">
        <v>1733</v>
      </c>
      <c r="B1062" s="40" t="s">
        <v>1734</v>
      </c>
      <c r="C1062" s="8" t="s">
        <v>15</v>
      </c>
      <c r="D1062" s="22" t="e">
        <f aca="false">сводн.данные!n1067</f>
        <v>#NAME?</v>
      </c>
      <c r="E1062" s="23" t="n">
        <v>3987.97104378014</v>
      </c>
      <c r="F1062" s="24" t="n">
        <v>2260</v>
      </c>
      <c r="G1062" s="24" t="e">
        <f aca="false">D1062-E1062</f>
        <v>#NAME?</v>
      </c>
    </row>
    <row r="1063" customFormat="false" ht="33" hidden="false" customHeight="true" outlineLevel="0" collapsed="false">
      <c r="A1063" s="28" t="s">
        <v>1735</v>
      </c>
      <c r="B1063" s="40" t="s">
        <v>1736</v>
      </c>
      <c r="C1063" s="8" t="s">
        <v>15</v>
      </c>
      <c r="D1063" s="22" t="e">
        <f aca="false">сводн.данные!n1068</f>
        <v>#NAME?</v>
      </c>
      <c r="E1063" s="23" t="n">
        <v>2654.87433612227</v>
      </c>
      <c r="F1063" s="24" t="n">
        <v>2865</v>
      </c>
      <c r="G1063" s="24" t="e">
        <f aca="false">D1063-E1063</f>
        <v>#NAME?</v>
      </c>
    </row>
    <row r="1064" customFormat="false" ht="32.25" hidden="false" customHeight="true" outlineLevel="0" collapsed="false">
      <c r="A1064" s="28" t="s">
        <v>1737</v>
      </c>
      <c r="B1064" s="40" t="s">
        <v>1738</v>
      </c>
      <c r="C1064" s="8" t="s">
        <v>15</v>
      </c>
      <c r="D1064" s="22" t="e">
        <f aca="false">сводн.данные!n1069</f>
        <v>#NAME?</v>
      </c>
      <c r="E1064" s="23" t="n">
        <v>2552.56641134464</v>
      </c>
      <c r="F1064" s="24" t="n">
        <v>2865</v>
      </c>
      <c r="G1064" s="24" t="e">
        <f aca="false">D1064-E1064</f>
        <v>#NAME?</v>
      </c>
    </row>
    <row r="1065" customFormat="false" ht="71.25" hidden="false" customHeight="false" outlineLevel="0" collapsed="false">
      <c r="A1065" s="15" t="s">
        <v>1739</v>
      </c>
      <c r="B1065" s="88" t="s">
        <v>1740</v>
      </c>
      <c r="C1065" s="17"/>
      <c r="D1065" s="32"/>
      <c r="E1065" s="33"/>
      <c r="F1065" s="34"/>
      <c r="G1065" s="34"/>
    </row>
    <row r="1066" customFormat="false" ht="15" hidden="false" customHeight="false" outlineLevel="0" collapsed="false">
      <c r="A1066" s="28" t="s">
        <v>1741</v>
      </c>
      <c r="B1066" s="40" t="s">
        <v>1742</v>
      </c>
      <c r="C1066" s="8" t="s">
        <v>15</v>
      </c>
      <c r="D1066" s="22" t="e">
        <f aca="false">сводн.данные!n1071</f>
        <v>#NAME?</v>
      </c>
      <c r="E1066" s="23" t="n">
        <v>5783.5850508578</v>
      </c>
      <c r="F1066" s="24" t="n">
        <v>1945</v>
      </c>
      <c r="G1066" s="24" t="e">
        <f aca="false">D1066-E1066</f>
        <v>#NAME?</v>
      </c>
    </row>
    <row r="1067" customFormat="false" ht="57" hidden="false" customHeight="false" outlineLevel="0" collapsed="false">
      <c r="A1067" s="89" t="s">
        <v>1743</v>
      </c>
      <c r="B1067" s="54" t="s">
        <v>1744</v>
      </c>
      <c r="C1067" s="17"/>
      <c r="D1067" s="32"/>
      <c r="E1067" s="33"/>
      <c r="F1067" s="34"/>
      <c r="G1067" s="34"/>
    </row>
    <row r="1068" customFormat="false" ht="15" hidden="false" customHeight="false" outlineLevel="0" collapsed="false">
      <c r="A1068" s="28" t="s">
        <v>1745</v>
      </c>
      <c r="B1068" s="40" t="s">
        <v>1746</v>
      </c>
      <c r="C1068" s="8" t="s">
        <v>15</v>
      </c>
      <c r="D1068" s="22" t="e">
        <f aca="false">сводн.данные!n1073</f>
        <v>#NAME?</v>
      </c>
      <c r="E1068" s="23" t="n">
        <v>5219.78978498664</v>
      </c>
      <c r="F1068" s="24" t="n">
        <v>1040</v>
      </c>
      <c r="G1068" s="24" t="e">
        <f aca="false">D1068-E1068</f>
        <v>#NAME?</v>
      </c>
    </row>
    <row r="1069" customFormat="false" ht="15" hidden="false" customHeight="false" outlineLevel="0" collapsed="false">
      <c r="A1069" s="28" t="s">
        <v>1747</v>
      </c>
      <c r="B1069" s="40" t="s">
        <v>1748</v>
      </c>
      <c r="C1069" s="8" t="s">
        <v>15</v>
      </c>
      <c r="D1069" s="22" t="e">
        <f aca="false">сводн.данные!n1074</f>
        <v>#NAME?</v>
      </c>
      <c r="E1069" s="23" t="n">
        <v>5534.36386440169</v>
      </c>
      <c r="F1069" s="24" t="n">
        <v>1045</v>
      </c>
      <c r="G1069" s="24" t="e">
        <f aca="false">D1069-E1069</f>
        <v>#NAME?</v>
      </c>
    </row>
    <row r="1070" customFormat="false" ht="15" hidden="false" customHeight="false" outlineLevel="0" collapsed="false">
      <c r="A1070" s="89" t="s">
        <v>1749</v>
      </c>
      <c r="B1070" s="54" t="s">
        <v>1750</v>
      </c>
      <c r="C1070" s="17"/>
      <c r="D1070" s="32"/>
      <c r="E1070" s="33"/>
      <c r="F1070" s="34"/>
      <c r="G1070" s="34"/>
    </row>
    <row r="1071" customFormat="false" ht="30" hidden="false" customHeight="false" outlineLevel="0" collapsed="false">
      <c r="A1071" s="28" t="s">
        <v>1751</v>
      </c>
      <c r="B1071" s="40" t="s">
        <v>1752</v>
      </c>
      <c r="C1071" s="8" t="s">
        <v>15</v>
      </c>
      <c r="D1071" s="22" t="e">
        <f aca="false">сводн.данные!n1076</f>
        <v>#NAME?</v>
      </c>
      <c r="E1071" s="23" t="n">
        <v>5931.11939744508</v>
      </c>
      <c r="F1071" s="24" t="n">
        <v>0</v>
      </c>
      <c r="G1071" s="24" t="e">
        <f aca="false">D1071-E1071</f>
        <v>#NAME?</v>
      </c>
    </row>
    <row r="1072" customFormat="false" ht="15" hidden="false" customHeight="false" outlineLevel="0" collapsed="false">
      <c r="A1072" s="28" t="s">
        <v>1753</v>
      </c>
      <c r="B1072" s="40" t="s">
        <v>1707</v>
      </c>
      <c r="C1072" s="8" t="s">
        <v>15</v>
      </c>
      <c r="D1072" s="22" t="e">
        <f aca="false">сводн.данные!n1077</f>
        <v>#NAME?</v>
      </c>
      <c r="E1072" s="23" t="n">
        <v>5150.64076146963</v>
      </c>
      <c r="F1072" s="24" t="n">
        <v>1940</v>
      </c>
      <c r="G1072" s="24" t="e">
        <f aca="false">D1072-E1072</f>
        <v>#NAME?</v>
      </c>
    </row>
    <row r="1073" customFormat="false" ht="42.75" hidden="false" customHeight="false" outlineLevel="0" collapsed="false">
      <c r="A1073" s="89" t="s">
        <v>1754</v>
      </c>
      <c r="B1073" s="54" t="s">
        <v>1755</v>
      </c>
      <c r="C1073" s="17"/>
      <c r="D1073" s="32"/>
      <c r="E1073" s="33"/>
      <c r="F1073" s="34"/>
      <c r="G1073" s="34"/>
    </row>
    <row r="1074" customFormat="false" ht="30" hidden="false" customHeight="false" outlineLevel="0" collapsed="false">
      <c r="A1074" s="28" t="s">
        <v>1756</v>
      </c>
      <c r="B1074" s="40" t="s">
        <v>1757</v>
      </c>
      <c r="C1074" s="8" t="s">
        <v>15</v>
      </c>
      <c r="D1074" s="22" t="e">
        <f aca="false">сводн.данные!n1079</f>
        <v>#NAME?</v>
      </c>
      <c r="E1074" s="23" t="n">
        <v>5200</v>
      </c>
      <c r="F1074" s="24" t="n">
        <v>5120</v>
      </c>
      <c r="G1074" s="24" t="e">
        <f aca="false">D1074-E1074</f>
        <v>#NAME?</v>
      </c>
    </row>
    <row r="1075" customFormat="false" ht="15" hidden="false" customHeight="false" outlineLevel="0" collapsed="false">
      <c r="A1075" s="28" t="s">
        <v>1758</v>
      </c>
      <c r="B1075" s="40" t="s">
        <v>1712</v>
      </c>
      <c r="C1075" s="8" t="s">
        <v>15</v>
      </c>
      <c r="D1075" s="22" t="e">
        <f aca="false">сводн.данные!n1080</f>
        <v>#NAME?</v>
      </c>
      <c r="E1075" s="23" t="n">
        <v>9848.73113345971</v>
      </c>
      <c r="F1075" s="24" t="n">
        <v>6900</v>
      </c>
      <c r="G1075" s="24" t="e">
        <f aca="false">D1075-E1075</f>
        <v>#NAME?</v>
      </c>
    </row>
    <row r="1076" customFormat="false" ht="15" hidden="false" customHeight="false" outlineLevel="0" collapsed="false">
      <c r="A1076" s="28" t="s">
        <v>1759</v>
      </c>
      <c r="B1076" s="40" t="s">
        <v>1714</v>
      </c>
      <c r="C1076" s="8" t="s">
        <v>15</v>
      </c>
      <c r="D1076" s="22" t="e">
        <f aca="false">сводн.данные!n1081</f>
        <v>#NAME?</v>
      </c>
      <c r="E1076" s="23" t="n">
        <v>9702.75284039821</v>
      </c>
      <c r="F1076" s="24" t="n">
        <v>7795</v>
      </c>
      <c r="G1076" s="24" t="e">
        <f aca="false">D1076-E1076</f>
        <v>#NAME?</v>
      </c>
    </row>
    <row r="1077" customFormat="false" ht="16.5" hidden="false" customHeight="true" outlineLevel="0" collapsed="false">
      <c r="A1077" s="28" t="s">
        <v>1760</v>
      </c>
      <c r="B1077" s="40" t="s">
        <v>1761</v>
      </c>
      <c r="C1077" s="8" t="s">
        <v>15</v>
      </c>
      <c r="D1077" s="22" t="e">
        <f aca="false">сводн.данные!n1082</f>
        <v>#NAME?</v>
      </c>
      <c r="E1077" s="23" t="n">
        <v>4489.40873887657</v>
      </c>
      <c r="F1077" s="24" t="n">
        <v>8650</v>
      </c>
      <c r="G1077" s="24" t="e">
        <f aca="false">D1077-E1077</f>
        <v>#NAME?</v>
      </c>
    </row>
    <row r="1078" customFormat="false" ht="15" hidden="false" customHeight="false" outlineLevel="0" collapsed="false">
      <c r="A1078" s="28" t="s">
        <v>1762</v>
      </c>
      <c r="B1078" s="40" t="s">
        <v>1763</v>
      </c>
      <c r="C1078" s="8" t="s">
        <v>15</v>
      </c>
      <c r="D1078" s="22" t="e">
        <f aca="false">сводн.данные!n1083</f>
        <v>#NAME?</v>
      </c>
      <c r="E1078" s="23" t="n">
        <v>6998.68133465255</v>
      </c>
      <c r="F1078" s="24" t="n">
        <v>9410</v>
      </c>
      <c r="G1078" s="24" t="e">
        <f aca="false">D1078-E1078</f>
        <v>#NAME?</v>
      </c>
    </row>
    <row r="1079" customFormat="false" ht="15" hidden="false" customHeight="false" outlineLevel="0" collapsed="false">
      <c r="A1079" s="28" t="s">
        <v>1764</v>
      </c>
      <c r="B1079" s="40" t="s">
        <v>1765</v>
      </c>
      <c r="C1079" s="8" t="s">
        <v>15</v>
      </c>
      <c r="D1079" s="22" t="e">
        <f aca="false">сводн.данные!n1084</f>
        <v>#NAME?</v>
      </c>
      <c r="E1079" s="23" t="n">
        <v>6998.68133465255</v>
      </c>
      <c r="F1079" s="24" t="n">
        <v>9410</v>
      </c>
      <c r="G1079" s="24" t="e">
        <f aca="false">D1079-E1079</f>
        <v>#NAME?</v>
      </c>
    </row>
    <row r="1080" customFormat="false" ht="30" hidden="false" customHeight="false" outlineLevel="0" collapsed="false">
      <c r="A1080" s="28" t="s">
        <v>1766</v>
      </c>
      <c r="B1080" s="29" t="s">
        <v>1767</v>
      </c>
      <c r="C1080" s="8" t="s">
        <v>15</v>
      </c>
      <c r="D1080" s="22" t="e">
        <f aca="false">сводн.данные!n1085</f>
        <v>#NAME?</v>
      </c>
      <c r="E1080" s="23" t="n">
        <v>5258.80087157509</v>
      </c>
      <c r="F1080" s="24" t="n">
        <v>10400</v>
      </c>
      <c r="G1080" s="24" t="e">
        <f aca="false">D1080-E1080</f>
        <v>#NAME?</v>
      </c>
    </row>
    <row r="1081" customFormat="false" ht="15" hidden="false" customHeight="false" outlineLevel="0" collapsed="false">
      <c r="A1081" s="28" t="s">
        <v>1768</v>
      </c>
      <c r="B1081" s="40" t="s">
        <v>1769</v>
      </c>
      <c r="C1081" s="8" t="s">
        <v>15</v>
      </c>
      <c r="D1081" s="22" t="e">
        <f aca="false">сводн.данные!n1086</f>
        <v>#NAME?</v>
      </c>
      <c r="E1081" s="23" t="n">
        <v>10087.9431035571</v>
      </c>
      <c r="F1081" s="24" t="n">
        <v>13170</v>
      </c>
      <c r="G1081" s="24" t="e">
        <f aca="false">D1081-E1081</f>
        <v>#NAME?</v>
      </c>
    </row>
    <row r="1082" customFormat="false" ht="15" hidden="false" customHeight="false" outlineLevel="0" collapsed="false">
      <c r="A1082" s="28" t="s">
        <v>1770</v>
      </c>
      <c r="B1082" s="40" t="s">
        <v>1771</v>
      </c>
      <c r="C1082" s="8" t="s">
        <v>15</v>
      </c>
      <c r="D1082" s="22" t="e">
        <f aca="false">сводн.данные!n1087</f>
        <v>#NAME?</v>
      </c>
      <c r="E1082" s="23" t="n">
        <v>6743.37695977645</v>
      </c>
      <c r="F1082" s="24" t="n">
        <v>1320</v>
      </c>
      <c r="G1082" s="24" t="e">
        <f aca="false">D1082-E1082</f>
        <v>#NAME?</v>
      </c>
    </row>
    <row r="1083" customFormat="false" ht="15" hidden="false" customHeight="false" outlineLevel="0" collapsed="false">
      <c r="A1083" s="28" t="s">
        <v>1772</v>
      </c>
      <c r="B1083" s="40" t="s">
        <v>1773</v>
      </c>
      <c r="C1083" s="8" t="s">
        <v>15</v>
      </c>
      <c r="D1083" s="22" t="e">
        <f aca="false">сводн.данные!n1088</f>
        <v>#NAME?</v>
      </c>
      <c r="E1083" s="23" t="n">
        <v>2023.81956111571</v>
      </c>
      <c r="F1083" s="24" t="n">
        <v>1605</v>
      </c>
      <c r="G1083" s="24" t="e">
        <f aca="false">D1083-E1083</f>
        <v>#NAME?</v>
      </c>
    </row>
    <row r="1084" customFormat="false" ht="15" hidden="false" customHeight="false" outlineLevel="0" collapsed="false">
      <c r="A1084" s="15" t="s">
        <v>1774</v>
      </c>
      <c r="B1084" s="16" t="s">
        <v>1775</v>
      </c>
      <c r="C1084" s="17"/>
      <c r="D1084" s="32"/>
      <c r="E1084" s="33"/>
      <c r="F1084" s="34"/>
      <c r="G1084" s="34"/>
    </row>
    <row r="1085" s="65" customFormat="true" ht="18.75" hidden="false" customHeight="true" outlineLevel="0" collapsed="false">
      <c r="A1085" s="28" t="s">
        <v>1776</v>
      </c>
      <c r="B1085" s="40" t="s">
        <v>1777</v>
      </c>
      <c r="C1085" s="55" t="s">
        <v>15</v>
      </c>
      <c r="D1085" s="48" t="e">
        <f aca="false">сводн.данные!n1090</f>
        <v>#NAME?</v>
      </c>
      <c r="E1085" s="56" t="n">
        <v>1200</v>
      </c>
      <c r="F1085" s="57" t="n">
        <v>750</v>
      </c>
      <c r="G1085" s="57" t="e">
        <f aca="false">D1085-E1085</f>
        <v>#NAME?</v>
      </c>
    </row>
    <row r="1086" customFormat="false" ht="15" hidden="false" customHeight="false" outlineLevel="0" collapsed="false">
      <c r="A1086" s="15" t="s">
        <v>1778</v>
      </c>
      <c r="B1086" s="54" t="s">
        <v>1779</v>
      </c>
      <c r="C1086" s="17"/>
      <c r="D1086" s="32"/>
      <c r="E1086" s="33"/>
      <c r="F1086" s="34"/>
      <c r="G1086" s="34"/>
    </row>
    <row r="1087" customFormat="false" ht="15" hidden="false" customHeight="false" outlineLevel="0" collapsed="false">
      <c r="A1087" s="28" t="s">
        <v>1780</v>
      </c>
      <c r="B1087" s="40" t="s">
        <v>1781</v>
      </c>
      <c r="C1087" s="8" t="s">
        <v>15</v>
      </c>
      <c r="D1087" s="22" t="e">
        <f aca="false">сводн.данные!n1092</f>
        <v>#NAME?</v>
      </c>
      <c r="E1087" s="23" t="n">
        <v>2309.39600801951</v>
      </c>
      <c r="F1087" s="24" t="n">
        <v>1725</v>
      </c>
      <c r="G1087" s="24" t="e">
        <f aca="false">D1087-E1087</f>
        <v>#NAME?</v>
      </c>
    </row>
    <row r="1088" customFormat="false" ht="47.25" hidden="false" customHeight="true" outlineLevel="0" collapsed="false">
      <c r="A1088" s="91" t="s">
        <v>1782</v>
      </c>
      <c r="B1088" s="92" t="s">
        <v>1783</v>
      </c>
      <c r="C1088" s="93"/>
      <c r="D1088" s="94"/>
      <c r="E1088" s="70"/>
      <c r="F1088" s="71"/>
      <c r="G1088" s="71"/>
    </row>
    <row r="1089" s="97" customFormat="true" ht="12.75" hidden="false" customHeight="true" outlineLevel="0" collapsed="false">
      <c r="A1089" s="15" t="s">
        <v>1784</v>
      </c>
      <c r="B1089" s="88" t="s">
        <v>1785</v>
      </c>
      <c r="C1089" s="95"/>
      <c r="D1089" s="96"/>
      <c r="E1089" s="33"/>
      <c r="F1089" s="34"/>
      <c r="G1089" s="34"/>
    </row>
    <row r="1090" customFormat="false" ht="30" hidden="false" customHeight="false" outlineLevel="0" collapsed="false">
      <c r="A1090" s="28" t="s">
        <v>1786</v>
      </c>
      <c r="B1090" s="78" t="s">
        <v>1787</v>
      </c>
      <c r="C1090" s="7" t="s">
        <v>15</v>
      </c>
      <c r="D1090" s="98" t="e">
        <f aca="false">сводн.данные!n1095</f>
        <v>#NAME?</v>
      </c>
      <c r="E1090" s="23" t="n">
        <v>1205.64177122696</v>
      </c>
      <c r="F1090" s="24" t="n">
        <v>0</v>
      </c>
      <c r="G1090" s="24" t="e">
        <f aca="false">D1090-E1090</f>
        <v>#NAME?</v>
      </c>
    </row>
    <row r="1091" customFormat="false" ht="30" hidden="false" customHeight="false" outlineLevel="0" collapsed="false">
      <c r="A1091" s="28" t="s">
        <v>1788</v>
      </c>
      <c r="B1091" s="78" t="s">
        <v>1789</v>
      </c>
      <c r="C1091" s="7" t="s">
        <v>15</v>
      </c>
      <c r="D1091" s="98" t="e">
        <f aca="false">сводн.данные!n1096</f>
        <v>#NAME?</v>
      </c>
      <c r="E1091" s="23" t="n">
        <v>1445.07692583858</v>
      </c>
      <c r="F1091" s="24" t="n">
        <v>950</v>
      </c>
      <c r="G1091" s="24" t="e">
        <f aca="false">D1091-E1091</f>
        <v>#NAME?</v>
      </c>
    </row>
    <row r="1092" customFormat="false" ht="30" hidden="false" customHeight="false" outlineLevel="0" collapsed="false">
      <c r="A1092" s="28" t="s">
        <v>1790</v>
      </c>
      <c r="B1092" s="99" t="s">
        <v>1791</v>
      </c>
      <c r="C1092" s="7" t="s">
        <v>15</v>
      </c>
      <c r="D1092" s="98" t="e">
        <f aca="false">сводн.данные!n1097</f>
        <v>#NAME?</v>
      </c>
      <c r="E1092" s="23" t="n">
        <v>1923</v>
      </c>
      <c r="F1092" s="24" t="n">
        <v>1500</v>
      </c>
      <c r="G1092" s="24" t="e">
        <f aca="false">D1092-E1092</f>
        <v>#NAME?</v>
      </c>
    </row>
    <row r="1093" customFormat="false" ht="30" hidden="false" customHeight="false" outlineLevel="0" collapsed="false">
      <c r="A1093" s="28" t="s">
        <v>1792</v>
      </c>
      <c r="B1093" s="99" t="s">
        <v>1793</v>
      </c>
      <c r="C1093" s="7" t="s">
        <v>15</v>
      </c>
      <c r="D1093" s="98" t="e">
        <f aca="false">сводн.данные!n1098</f>
        <v>#NAME?</v>
      </c>
      <c r="E1093" s="23" t="n">
        <v>1763</v>
      </c>
      <c r="F1093" s="24" t="n">
        <v>1300</v>
      </c>
      <c r="G1093" s="24" t="e">
        <f aca="false">D1093-E1093</f>
        <v>#NAME?</v>
      </c>
    </row>
    <row r="1094" customFormat="false" ht="27" hidden="false" customHeight="true" outlineLevel="0" collapsed="false">
      <c r="A1094" s="28" t="s">
        <v>1794</v>
      </c>
      <c r="B1094" s="49" t="s">
        <v>1795</v>
      </c>
      <c r="C1094" s="7" t="s">
        <v>15</v>
      </c>
      <c r="D1094" s="98" t="e">
        <f aca="false">сводн.данные!n1099</f>
        <v>#NAME?</v>
      </c>
      <c r="E1094" s="23" t="n">
        <v>1923.47723878808</v>
      </c>
      <c r="F1094" s="24" t="n">
        <v>1100</v>
      </c>
      <c r="G1094" s="24" t="e">
        <f aca="false">D1094-E1094</f>
        <v>#NAME?</v>
      </c>
    </row>
    <row r="1095" customFormat="false" ht="30" hidden="false" customHeight="false" outlineLevel="0" collapsed="false">
      <c r="A1095" s="28" t="s">
        <v>1796</v>
      </c>
      <c r="B1095" s="99" t="s">
        <v>1797</v>
      </c>
      <c r="C1095" s="7" t="s">
        <v>15</v>
      </c>
      <c r="D1095" s="98" t="e">
        <f aca="false">сводн.данные!n1100</f>
        <v>#NAME?</v>
      </c>
      <c r="E1095" s="23" t="n">
        <v>1915.76739655416</v>
      </c>
      <c r="F1095" s="24" t="n">
        <v>800</v>
      </c>
      <c r="G1095" s="24" t="e">
        <f aca="false">D1095-E1095</f>
        <v>#NAME?</v>
      </c>
    </row>
    <row r="1096" customFormat="false" ht="30" hidden="false" customHeight="false" outlineLevel="0" collapsed="false">
      <c r="A1096" s="28" t="s">
        <v>1798</v>
      </c>
      <c r="B1096" s="99" t="s">
        <v>1799</v>
      </c>
      <c r="C1096" s="7" t="s">
        <v>15</v>
      </c>
      <c r="D1096" s="98" t="e">
        <f aca="false">сводн.данные!n1101</f>
        <v>#NAME?</v>
      </c>
      <c r="E1096" s="23" t="n">
        <v>1694.52986901118</v>
      </c>
      <c r="F1096" s="24" t="n">
        <v>1050</v>
      </c>
      <c r="G1096" s="24" t="e">
        <f aca="false">D1096-E1096</f>
        <v>#NAME?</v>
      </c>
    </row>
    <row r="1097" customFormat="false" ht="30" hidden="false" customHeight="false" outlineLevel="0" collapsed="false">
      <c r="A1097" s="28" t="s">
        <v>1800</v>
      </c>
      <c r="B1097" s="99" t="s">
        <v>1801</v>
      </c>
      <c r="C1097" s="7" t="s">
        <v>15</v>
      </c>
      <c r="D1097" s="98" t="e">
        <f aca="false">сводн.данные!n1102</f>
        <v>#NAME?</v>
      </c>
      <c r="E1097" s="23" t="n">
        <v>1351.39390441283</v>
      </c>
      <c r="F1097" s="24" t="n">
        <v>900</v>
      </c>
      <c r="G1097" s="24" t="e">
        <f aca="false">D1097-E1097</f>
        <v>#NAME?</v>
      </c>
    </row>
    <row r="1098" customFormat="false" ht="30" hidden="false" customHeight="false" outlineLevel="0" collapsed="false">
      <c r="A1098" s="28" t="s">
        <v>1802</v>
      </c>
      <c r="B1098" s="99" t="s">
        <v>1803</v>
      </c>
      <c r="C1098" s="7" t="s">
        <v>15</v>
      </c>
      <c r="D1098" s="98" t="e">
        <f aca="false">сводн.данные!n1103</f>
        <v>#NAME?</v>
      </c>
      <c r="E1098" s="23" t="n">
        <v>2438.51019290042</v>
      </c>
      <c r="F1098" s="24" t="n">
        <v>1150</v>
      </c>
      <c r="G1098" s="24" t="e">
        <f aca="false">D1098-E1098</f>
        <v>#NAME?</v>
      </c>
    </row>
    <row r="1099" customFormat="false" ht="30" hidden="false" customHeight="false" outlineLevel="0" collapsed="false">
      <c r="A1099" s="28" t="s">
        <v>1804</v>
      </c>
      <c r="B1099" s="99" t="s">
        <v>1805</v>
      </c>
      <c r="C1099" s="7" t="s">
        <v>15</v>
      </c>
      <c r="D1099" s="98" t="e">
        <f aca="false">сводн.данные!n1104</f>
        <v>#NAME?</v>
      </c>
      <c r="E1099" s="23" t="n">
        <v>3045.84387020623</v>
      </c>
      <c r="F1099" s="24" t="n">
        <v>2300</v>
      </c>
      <c r="G1099" s="24" t="e">
        <f aca="false">D1099-E1099</f>
        <v>#NAME?</v>
      </c>
    </row>
    <row r="1100" customFormat="false" ht="30" hidden="false" customHeight="false" outlineLevel="0" collapsed="false">
      <c r="A1100" s="28" t="s">
        <v>1806</v>
      </c>
      <c r="B1100" s="99" t="s">
        <v>1807</v>
      </c>
      <c r="C1100" s="7" t="s">
        <v>15</v>
      </c>
      <c r="D1100" s="98" t="e">
        <f aca="false">сводн.данные!n1105</f>
        <v>#NAME?</v>
      </c>
      <c r="E1100" s="23" t="n">
        <v>2704.42733548922</v>
      </c>
      <c r="F1100" s="24" t="n">
        <v>1610</v>
      </c>
      <c r="G1100" s="24" t="e">
        <f aca="false">D1100-E1100</f>
        <v>#NAME?</v>
      </c>
    </row>
    <row r="1101" customFormat="false" ht="17.25" hidden="false" customHeight="true" outlineLevel="0" collapsed="false">
      <c r="A1101" s="28" t="s">
        <v>1808</v>
      </c>
      <c r="B1101" s="99" t="s">
        <v>1809</v>
      </c>
      <c r="C1101" s="7" t="s">
        <v>15</v>
      </c>
      <c r="D1101" s="98" t="e">
        <f aca="false">сводн.данные!n1106</f>
        <v>#NAME?</v>
      </c>
      <c r="E1101" s="23" t="n">
        <v>1347.197410602</v>
      </c>
      <c r="F1101" s="24" t="n">
        <v>1200</v>
      </c>
      <c r="G1101" s="24" t="e">
        <f aca="false">D1101-E1101</f>
        <v>#NAME?</v>
      </c>
    </row>
    <row r="1102" customFormat="false" ht="30" hidden="false" customHeight="false" outlineLevel="0" collapsed="false">
      <c r="A1102" s="28" t="s">
        <v>1810</v>
      </c>
      <c r="B1102" s="99" t="s">
        <v>1811</v>
      </c>
      <c r="C1102" s="7" t="s">
        <v>15</v>
      </c>
      <c r="D1102" s="98" t="e">
        <f aca="false">сводн.данные!n1107</f>
        <v>#NAME?</v>
      </c>
      <c r="E1102" s="23" t="n">
        <v>1347.55477443444</v>
      </c>
      <c r="F1102" s="24" t="n">
        <v>1300</v>
      </c>
      <c r="G1102" s="24" t="e">
        <f aca="false">D1102-E1102</f>
        <v>#NAME?</v>
      </c>
    </row>
    <row r="1103" customFormat="false" ht="30" hidden="false" customHeight="false" outlineLevel="0" collapsed="false">
      <c r="A1103" s="28" t="s">
        <v>1812</v>
      </c>
      <c r="B1103" s="99" t="s">
        <v>1813</v>
      </c>
      <c r="C1103" s="7" t="s">
        <v>15</v>
      </c>
      <c r="D1103" s="98" t="e">
        <f aca="false">сводн.данные!n1108</f>
        <v>#NAME?</v>
      </c>
      <c r="E1103" s="23" t="n">
        <v>2058.04687374353</v>
      </c>
      <c r="F1103" s="24" t="n">
        <v>1450</v>
      </c>
      <c r="G1103" s="24" t="e">
        <f aca="false">D1103-E1103</f>
        <v>#NAME?</v>
      </c>
    </row>
    <row r="1104" customFormat="false" ht="30" hidden="false" customHeight="false" outlineLevel="0" collapsed="false">
      <c r="A1104" s="28" t="s">
        <v>1814</v>
      </c>
      <c r="B1104" s="99" t="s">
        <v>1815</v>
      </c>
      <c r="C1104" s="7" t="s">
        <v>15</v>
      </c>
      <c r="D1104" s="98" t="e">
        <f aca="false">сводн.данные!n1109</f>
        <v>#NAME?</v>
      </c>
      <c r="E1104" s="23" t="n">
        <v>1585.83457466119</v>
      </c>
      <c r="F1104" s="24" t="n">
        <v>1240</v>
      </c>
      <c r="G1104" s="24" t="e">
        <f aca="false">D1104-E1104</f>
        <v>#NAME?</v>
      </c>
    </row>
    <row r="1105" customFormat="false" ht="30" hidden="false" customHeight="false" outlineLevel="0" collapsed="false">
      <c r="A1105" s="28" t="s">
        <v>1816</v>
      </c>
      <c r="B1105" s="99" t="s">
        <v>1817</v>
      </c>
      <c r="C1105" s="7" t="s">
        <v>15</v>
      </c>
      <c r="D1105" s="98" t="e">
        <f aca="false">сводн.данные!n1110</f>
        <v>#NAME?</v>
      </c>
      <c r="E1105" s="23" t="n">
        <v>1422.22567374353</v>
      </c>
      <c r="F1105" s="24" t="n">
        <v>1200</v>
      </c>
      <c r="G1105" s="24" t="e">
        <f aca="false">D1105-E1105</f>
        <v>#NAME?</v>
      </c>
    </row>
    <row r="1106" customFormat="false" ht="15" hidden="false" customHeight="false" outlineLevel="0" collapsed="false">
      <c r="A1106" s="28" t="s">
        <v>1818</v>
      </c>
      <c r="B1106" s="99" t="s">
        <v>1819</v>
      </c>
      <c r="C1106" s="7" t="s">
        <v>15</v>
      </c>
      <c r="D1106" s="98" t="e">
        <f aca="false">сводн.данные!n1111</f>
        <v>#NAME?</v>
      </c>
      <c r="E1106" s="23" t="n">
        <v>2816.63884195157</v>
      </c>
      <c r="F1106" s="24" t="n">
        <v>1510</v>
      </c>
      <c r="G1106" s="24" t="e">
        <f aca="false">D1106-E1106</f>
        <v>#NAME?</v>
      </c>
    </row>
    <row r="1107" customFormat="false" ht="15" hidden="false" customHeight="false" outlineLevel="0" collapsed="false">
      <c r="A1107" s="28" t="s">
        <v>1820</v>
      </c>
      <c r="B1107" s="99" t="s">
        <v>1821</v>
      </c>
      <c r="C1107" s="7" t="s">
        <v>15</v>
      </c>
      <c r="D1107" s="98" t="e">
        <f aca="false">сводн.данные!n1112</f>
        <v>#NAME?</v>
      </c>
      <c r="E1107" s="23" t="n">
        <v>2749.78230153267</v>
      </c>
      <c r="F1107" s="24" t="n">
        <v>1710</v>
      </c>
      <c r="G1107" s="24" t="e">
        <f aca="false">D1107-E1107</f>
        <v>#NAME?</v>
      </c>
    </row>
    <row r="1108" customFormat="false" ht="30" hidden="false" customHeight="false" outlineLevel="0" collapsed="false">
      <c r="A1108" s="28" t="s">
        <v>1822</v>
      </c>
      <c r="B1108" s="99" t="s">
        <v>1823</v>
      </c>
      <c r="C1108" s="7" t="s">
        <v>15</v>
      </c>
      <c r="D1108" s="98" t="e">
        <f aca="false">сводн.данные!n1113</f>
        <v>#NAME?</v>
      </c>
      <c r="E1108" s="23" t="n">
        <v>2892.12650443458</v>
      </c>
      <c r="F1108" s="24" t="n">
        <v>1540</v>
      </c>
      <c r="G1108" s="24" t="e">
        <f aca="false">D1108-E1108</f>
        <v>#NAME?</v>
      </c>
    </row>
    <row r="1109" customFormat="false" ht="30" hidden="false" customHeight="false" outlineLevel="0" collapsed="false">
      <c r="A1109" s="28" t="s">
        <v>1824</v>
      </c>
      <c r="B1109" s="78" t="s">
        <v>1825</v>
      </c>
      <c r="C1109" s="7" t="s">
        <v>15</v>
      </c>
      <c r="D1109" s="98" t="e">
        <f aca="false">сводн.данные!n1114</f>
        <v>#NAME?</v>
      </c>
      <c r="E1109" s="23" t="n">
        <v>3430.80002060301</v>
      </c>
      <c r="F1109" s="24" t="n">
        <v>2620</v>
      </c>
      <c r="G1109" s="24" t="e">
        <f aca="false">D1109-E1109</f>
        <v>#NAME?</v>
      </c>
    </row>
    <row r="1110" customFormat="false" ht="15" hidden="false" customHeight="false" outlineLevel="0" collapsed="false">
      <c r="A1110" s="15" t="s">
        <v>1826</v>
      </c>
      <c r="B1110" s="88" t="s">
        <v>1779</v>
      </c>
      <c r="C1110" s="100"/>
      <c r="D1110" s="101"/>
      <c r="E1110" s="33"/>
      <c r="F1110" s="34"/>
      <c r="G1110" s="34"/>
    </row>
    <row r="1111" customFormat="false" ht="45" hidden="false" customHeight="false" outlineLevel="0" collapsed="false">
      <c r="A1111" s="28" t="s">
        <v>1827</v>
      </c>
      <c r="B1111" s="78" t="s">
        <v>1828</v>
      </c>
      <c r="C1111" s="7" t="s">
        <v>15</v>
      </c>
      <c r="D1111" s="98" t="e">
        <f aca="false">сводн.данные!n1116</f>
        <v>#NAME?</v>
      </c>
      <c r="E1111" s="23" t="n">
        <v>1045.00573530743</v>
      </c>
      <c r="F1111" s="24" t="n">
        <v>0</v>
      </c>
      <c r="G1111" s="24" t="e">
        <f aca="false">D1111-E1111</f>
        <v>#NAME?</v>
      </c>
    </row>
    <row r="1112" customFormat="false" ht="45" hidden="false" customHeight="false" outlineLevel="0" collapsed="false">
      <c r="A1112" s="28" t="s">
        <v>1829</v>
      </c>
      <c r="B1112" s="78" t="s">
        <v>1830</v>
      </c>
      <c r="C1112" s="7" t="s">
        <v>15</v>
      </c>
      <c r="D1112" s="98" t="e">
        <f aca="false">сводн.данные!n1117</f>
        <v>#NAME?</v>
      </c>
      <c r="E1112" s="23" t="n">
        <v>1753.48539991104</v>
      </c>
      <c r="F1112" s="24" t="n">
        <v>0</v>
      </c>
      <c r="G1112" s="24" t="e">
        <f aca="false">D1112-E1112</f>
        <v>#NAME?</v>
      </c>
    </row>
    <row r="1113" customFormat="false" ht="30" hidden="false" customHeight="false" outlineLevel="0" collapsed="false">
      <c r="A1113" s="28" t="s">
        <v>1831</v>
      </c>
      <c r="B1113" s="99" t="s">
        <v>1832</v>
      </c>
      <c r="C1113" s="7" t="s">
        <v>15</v>
      </c>
      <c r="D1113" s="98" t="e">
        <f aca="false">сводн.данные!n1118</f>
        <v>#NAME?</v>
      </c>
      <c r="E1113" s="23" t="n">
        <v>1432.8024099899</v>
      </c>
      <c r="F1113" s="24" t="n">
        <v>0</v>
      </c>
      <c r="G1113" s="24" t="e">
        <f aca="false">D1113-E1113</f>
        <v>#NAME?</v>
      </c>
    </row>
    <row r="1114" customFormat="false" ht="30" hidden="false" customHeight="false" outlineLevel="0" collapsed="false">
      <c r="A1114" s="28" t="s">
        <v>1833</v>
      </c>
      <c r="B1114" s="99" t="s">
        <v>1834</v>
      </c>
      <c r="C1114" s="7" t="s">
        <v>15</v>
      </c>
      <c r="D1114" s="98" t="e">
        <f aca="false">сводн.данные!n1119</f>
        <v>#NAME?</v>
      </c>
      <c r="E1114" s="23" t="n">
        <v>2001.21841328972</v>
      </c>
      <c r="F1114" s="24" t="n">
        <v>0</v>
      </c>
      <c r="G1114" s="24" t="e">
        <f aca="false">D1114-E1114</f>
        <v>#NAME?</v>
      </c>
    </row>
    <row r="1115" customFormat="false" ht="15" hidden="false" customHeight="false" outlineLevel="0" collapsed="false">
      <c r="A1115" s="28" t="s">
        <v>1835</v>
      </c>
      <c r="B1115" s="99" t="s">
        <v>1836</v>
      </c>
      <c r="C1115" s="7" t="s">
        <v>15</v>
      </c>
      <c r="D1115" s="98" t="e">
        <f aca="false">сводн.данные!n1120</f>
        <v>#NAME?</v>
      </c>
      <c r="E1115" s="23" t="n">
        <v>1486.31914105566</v>
      </c>
      <c r="F1115" s="24" t="n">
        <v>0</v>
      </c>
      <c r="G1115" s="24" t="e">
        <f aca="false">D1115-E1115</f>
        <v>#NAME?</v>
      </c>
    </row>
    <row r="1116" customFormat="false" ht="15" hidden="false" customHeight="false" outlineLevel="0" collapsed="false">
      <c r="A1116" s="28" t="s">
        <v>1837</v>
      </c>
      <c r="B1116" s="99" t="s">
        <v>1838</v>
      </c>
      <c r="C1116" s="7" t="s">
        <v>15</v>
      </c>
      <c r="D1116" s="98" t="e">
        <f aca="false">сводн.данные!n1121</f>
        <v>#NAME?</v>
      </c>
      <c r="E1116" s="23" t="n">
        <v>1726.71745455957</v>
      </c>
      <c r="F1116" s="24" t="n">
        <v>1710</v>
      </c>
      <c r="G1116" s="24" t="e">
        <f aca="false">D1116-E1116</f>
        <v>#NAME?</v>
      </c>
    </row>
    <row r="1117" customFormat="false" ht="30" hidden="false" customHeight="false" outlineLevel="0" collapsed="false">
      <c r="A1117" s="28" t="s">
        <v>1839</v>
      </c>
      <c r="B1117" s="99" t="s">
        <v>1811</v>
      </c>
      <c r="C1117" s="7" t="s">
        <v>15</v>
      </c>
      <c r="D1117" s="98" t="e">
        <f aca="false">сводн.данные!n1122</f>
        <v>#NAME?</v>
      </c>
      <c r="E1117" s="23" t="n">
        <v>1561.14515798365</v>
      </c>
      <c r="F1117" s="24" t="n">
        <v>1300</v>
      </c>
      <c r="G1117" s="24" t="e">
        <f aca="false">D1117-E1117</f>
        <v>#NAME?</v>
      </c>
    </row>
    <row r="1118" customFormat="false" ht="30" hidden="false" customHeight="false" outlineLevel="0" collapsed="false">
      <c r="A1118" s="28" t="s">
        <v>1840</v>
      </c>
      <c r="B1118" s="99" t="s">
        <v>1813</v>
      </c>
      <c r="C1118" s="7" t="s">
        <v>15</v>
      </c>
      <c r="D1118" s="98" t="e">
        <f aca="false">сводн.данные!n1123</f>
        <v>#NAME?</v>
      </c>
      <c r="E1118" s="23" t="n">
        <v>1780.1931017251</v>
      </c>
      <c r="F1118" s="24" t="n">
        <v>1450</v>
      </c>
      <c r="G1118" s="24" t="e">
        <f aca="false">D1118-E1118</f>
        <v>#NAME?</v>
      </c>
    </row>
    <row r="1119" customFormat="false" ht="15" hidden="false" customHeight="false" outlineLevel="0" collapsed="false">
      <c r="A1119" s="28" t="s">
        <v>1841</v>
      </c>
      <c r="B1119" s="99" t="s">
        <v>1842</v>
      </c>
      <c r="C1119" s="7" t="s">
        <v>15</v>
      </c>
      <c r="D1119" s="98" t="e">
        <f aca="false">сводн.данные!n1124</f>
        <v>#NAME?</v>
      </c>
      <c r="E1119" s="23" t="n">
        <v>1472.30701553409</v>
      </c>
      <c r="F1119" s="24" t="n">
        <v>1240</v>
      </c>
      <c r="G1119" s="24" t="e">
        <f aca="false">D1119-E1119</f>
        <v>#NAME?</v>
      </c>
    </row>
    <row r="1120" customFormat="false" ht="15" hidden="false" customHeight="false" outlineLevel="0" collapsed="false">
      <c r="A1120" s="28" t="s">
        <v>1843</v>
      </c>
      <c r="B1120" s="99" t="s">
        <v>1844</v>
      </c>
      <c r="C1120" s="7" t="s">
        <v>15</v>
      </c>
      <c r="D1120" s="98" t="e">
        <f aca="false">сводн.данные!n1125</f>
        <v>#NAME?</v>
      </c>
      <c r="E1120" s="23" t="n">
        <v>1775.36340830106</v>
      </c>
      <c r="F1120" s="24" t="n">
        <v>1200</v>
      </c>
      <c r="G1120" s="24" t="e">
        <f aca="false">D1120-E1120</f>
        <v>#NAME?</v>
      </c>
    </row>
    <row r="1121" customFormat="false" ht="32.25" hidden="false" customHeight="true" outlineLevel="0" collapsed="false">
      <c r="A1121" s="28" t="s">
        <v>1845</v>
      </c>
      <c r="B1121" s="99" t="s">
        <v>1846</v>
      </c>
      <c r="C1121" s="7" t="s">
        <v>15</v>
      </c>
      <c r="D1121" s="98" t="e">
        <f aca="false">сводн.данные!n1126</f>
        <v>#NAME?</v>
      </c>
      <c r="E1121" s="23" t="n">
        <v>1429.66735124874</v>
      </c>
      <c r="F1121" s="24" t="n">
        <v>900</v>
      </c>
      <c r="G1121" s="24" t="e">
        <f aca="false">D1121-E1121</f>
        <v>#NAME?</v>
      </c>
    </row>
    <row r="1122" customFormat="false" ht="30" hidden="false" customHeight="false" outlineLevel="0" collapsed="false">
      <c r="A1122" s="28" t="s">
        <v>1847</v>
      </c>
      <c r="B1122" s="99" t="s">
        <v>1803</v>
      </c>
      <c r="C1122" s="7" t="s">
        <v>15</v>
      </c>
      <c r="D1122" s="98" t="e">
        <f aca="false">сводн.данные!n1127</f>
        <v>#NAME?</v>
      </c>
      <c r="E1122" s="23" t="n">
        <v>1488.91108154369</v>
      </c>
      <c r="F1122" s="24" t="n">
        <v>1150</v>
      </c>
      <c r="G1122" s="24" t="e">
        <f aca="false">D1122-E1122</f>
        <v>#NAME?</v>
      </c>
    </row>
    <row r="1123" customFormat="false" ht="30" hidden="false" customHeight="false" outlineLevel="0" collapsed="false">
      <c r="A1123" s="28" t="s">
        <v>1848</v>
      </c>
      <c r="B1123" s="99" t="s">
        <v>1849</v>
      </c>
      <c r="C1123" s="7" t="s">
        <v>15</v>
      </c>
      <c r="D1123" s="98" t="e">
        <f aca="false">сводн.данные!n1128</f>
        <v>#NAME?</v>
      </c>
      <c r="E1123" s="23" t="n">
        <v>1484.70559142954</v>
      </c>
      <c r="F1123" s="24" t="n">
        <v>2300</v>
      </c>
      <c r="G1123" s="24" t="e">
        <f aca="false">D1123-E1123</f>
        <v>#NAME?</v>
      </c>
    </row>
    <row r="1124" customFormat="false" ht="30" hidden="false" customHeight="false" outlineLevel="0" collapsed="false">
      <c r="A1124" s="28" t="s">
        <v>1850</v>
      </c>
      <c r="B1124" s="99" t="s">
        <v>1851</v>
      </c>
      <c r="C1124" s="7" t="s">
        <v>15</v>
      </c>
      <c r="D1124" s="98" t="e">
        <f aca="false">сводн.данные!n1129</f>
        <v>#NAME?</v>
      </c>
      <c r="E1124" s="23" t="n">
        <v>2186.04919440778</v>
      </c>
      <c r="F1124" s="24" t="n">
        <v>1610</v>
      </c>
      <c r="G1124" s="24" t="e">
        <f aca="false">D1124-E1124</f>
        <v>#NAME?</v>
      </c>
    </row>
    <row r="1125" customFormat="false" ht="15" hidden="false" customHeight="false" outlineLevel="0" collapsed="false">
      <c r="A1125" s="28" t="s">
        <v>1852</v>
      </c>
      <c r="B1125" s="99" t="s">
        <v>1853</v>
      </c>
      <c r="C1125" s="7" t="s">
        <v>15</v>
      </c>
      <c r="D1125" s="98" t="e">
        <f aca="false">сводн.данные!n1130</f>
        <v>#NAME?</v>
      </c>
      <c r="E1125" s="23" t="n">
        <v>1560.63559019383</v>
      </c>
      <c r="F1125" s="24" t="n">
        <v>0</v>
      </c>
      <c r="G1125" s="24" t="e">
        <f aca="false">D1125-E1125</f>
        <v>#NAME?</v>
      </c>
    </row>
    <row r="1126" customFormat="false" ht="30" hidden="false" customHeight="false" outlineLevel="0" collapsed="false">
      <c r="A1126" s="28" t="s">
        <v>1854</v>
      </c>
      <c r="B1126" s="99" t="s">
        <v>1855</v>
      </c>
      <c r="C1126" s="7" t="s">
        <v>15</v>
      </c>
      <c r="D1126" s="98" t="e">
        <f aca="false">сводн.данные!n1131</f>
        <v>#NAME?</v>
      </c>
      <c r="E1126" s="23" t="n">
        <v>1501.59066702316</v>
      </c>
      <c r="F1126" s="24" t="n">
        <v>0</v>
      </c>
      <c r="G1126" s="24" t="e">
        <f aca="false">D1126-E1126</f>
        <v>#NAME?</v>
      </c>
    </row>
    <row r="1127" customFormat="false" ht="30" hidden="false" customHeight="false" outlineLevel="0" collapsed="false">
      <c r="A1127" s="28" t="s">
        <v>1856</v>
      </c>
      <c r="B1127" s="99" t="s">
        <v>1857</v>
      </c>
      <c r="C1127" s="7" t="s">
        <v>15</v>
      </c>
      <c r="D1127" s="98" t="e">
        <f aca="false">сводн.данные!n1132</f>
        <v>#NAME?</v>
      </c>
      <c r="E1127" s="23" t="n">
        <v>1032.42322687196</v>
      </c>
      <c r="F1127" s="24" t="n">
        <v>0</v>
      </c>
      <c r="G1127" s="24" t="e">
        <f aca="false">D1127-E1127</f>
        <v>#NAME?</v>
      </c>
    </row>
    <row r="1128" customFormat="false" ht="30" hidden="false" customHeight="false" outlineLevel="0" collapsed="false">
      <c r="A1128" s="28" t="s">
        <v>1858</v>
      </c>
      <c r="B1128" s="99" t="s">
        <v>1859</v>
      </c>
      <c r="C1128" s="7" t="s">
        <v>15</v>
      </c>
      <c r="D1128" s="98" t="e">
        <f aca="false">сводн.данные!n1133</f>
        <v>#NAME?</v>
      </c>
      <c r="E1128" s="23" t="n">
        <v>1517.2414574842</v>
      </c>
      <c r="F1128" s="24" t="n">
        <v>0</v>
      </c>
      <c r="G1128" s="24" t="e">
        <f aca="false">D1128-E1128</f>
        <v>#NAME?</v>
      </c>
    </row>
    <row r="1129" customFormat="false" ht="30" hidden="false" customHeight="false" outlineLevel="0" collapsed="false">
      <c r="A1129" s="28" t="s">
        <v>1860</v>
      </c>
      <c r="B1129" s="99" t="s">
        <v>1861</v>
      </c>
      <c r="C1129" s="7" t="s">
        <v>15</v>
      </c>
      <c r="D1129" s="98" t="e">
        <f aca="false">сводн.данные!n1134</f>
        <v>#NAME?</v>
      </c>
      <c r="E1129" s="23" t="n">
        <v>1432.06562483163</v>
      </c>
      <c r="F1129" s="24" t="n">
        <v>0</v>
      </c>
      <c r="G1129" s="24" t="e">
        <f aca="false">D1129-E1129</f>
        <v>#NAME?</v>
      </c>
    </row>
    <row r="1130" customFormat="false" ht="30" hidden="false" customHeight="false" outlineLevel="0" collapsed="false">
      <c r="A1130" s="28" t="s">
        <v>1862</v>
      </c>
      <c r="B1130" s="99" t="s">
        <v>1863</v>
      </c>
      <c r="C1130" s="7" t="s">
        <v>15</v>
      </c>
      <c r="D1130" s="98" t="e">
        <f aca="false">сводн.данные!n1135</f>
        <v>#NAME?</v>
      </c>
      <c r="E1130" s="23" t="n">
        <v>1524.00532415087</v>
      </c>
      <c r="F1130" s="24" t="n">
        <v>0</v>
      </c>
      <c r="G1130" s="24" t="e">
        <f aca="false">D1130-E1130</f>
        <v>#NAME?</v>
      </c>
    </row>
    <row r="1131" customFormat="false" ht="30" hidden="false" customHeight="false" outlineLevel="0" collapsed="false">
      <c r="A1131" s="28" t="s">
        <v>1864</v>
      </c>
      <c r="B1131" s="99" t="s">
        <v>1865</v>
      </c>
      <c r="C1131" s="7" t="s">
        <v>15</v>
      </c>
      <c r="D1131" s="98" t="e">
        <f aca="false">сводн.данные!n1136</f>
        <v>#NAME?</v>
      </c>
      <c r="E1131" s="23" t="n">
        <v>1157.88478186077</v>
      </c>
      <c r="F1131" s="24" t="n">
        <v>0</v>
      </c>
      <c r="G1131" s="24" t="e">
        <f aca="false">D1131-E1131</f>
        <v>#NAME?</v>
      </c>
    </row>
    <row r="1132" customFormat="false" ht="15" hidden="false" customHeight="false" outlineLevel="0" collapsed="false">
      <c r="A1132" s="28" t="s">
        <v>1866</v>
      </c>
      <c r="B1132" s="99" t="s">
        <v>1867</v>
      </c>
      <c r="C1132" s="7" t="s">
        <v>15</v>
      </c>
      <c r="D1132" s="98" t="e">
        <f aca="false">сводн.данные!n1137</f>
        <v>#NAME?</v>
      </c>
      <c r="E1132" s="23" t="n">
        <v>2295.32464456</v>
      </c>
      <c r="F1132" s="24" t="n">
        <v>0</v>
      </c>
      <c r="G1132" s="24" t="e">
        <f aca="false">D1132-E1132</f>
        <v>#NAME?</v>
      </c>
    </row>
    <row r="1133" customFormat="false" ht="30" hidden="false" customHeight="false" outlineLevel="0" collapsed="false">
      <c r="A1133" s="28" t="s">
        <v>1868</v>
      </c>
      <c r="B1133" s="99" t="s">
        <v>1869</v>
      </c>
      <c r="C1133" s="7" t="s">
        <v>15</v>
      </c>
      <c r="D1133" s="98" t="e">
        <f aca="false">сводн.данные!n1138</f>
        <v>#NAME?</v>
      </c>
      <c r="E1133" s="23" t="n">
        <v>1830.86902154292</v>
      </c>
      <c r="F1133" s="24" t="n">
        <v>0</v>
      </c>
      <c r="G1133" s="24" t="e">
        <f aca="false">D1133-E1133</f>
        <v>#NAME?</v>
      </c>
    </row>
    <row r="1134" customFormat="false" ht="30" hidden="false" customHeight="false" outlineLevel="0" collapsed="false">
      <c r="A1134" s="28" t="s">
        <v>1870</v>
      </c>
      <c r="B1134" s="99" t="s">
        <v>1871</v>
      </c>
      <c r="C1134" s="7" t="s">
        <v>15</v>
      </c>
      <c r="D1134" s="98" t="e">
        <f aca="false">сводн.данные!n1139</f>
        <v>#NAME?</v>
      </c>
      <c r="E1134" s="23" t="n">
        <v>1661.16345142944</v>
      </c>
      <c r="F1134" s="24" t="n">
        <v>0</v>
      </c>
      <c r="G1134" s="24" t="e">
        <f aca="false">D1134-E1134</f>
        <v>#NAME?</v>
      </c>
    </row>
    <row r="1135" customFormat="false" ht="30" hidden="false" customHeight="false" outlineLevel="0" collapsed="false">
      <c r="A1135" s="28" t="s">
        <v>1872</v>
      </c>
      <c r="B1135" s="99" t="s">
        <v>1873</v>
      </c>
      <c r="C1135" s="7" t="s">
        <v>15</v>
      </c>
      <c r="D1135" s="98" t="e">
        <f aca="false">сводн.данные!n1140</f>
        <v>#NAME?</v>
      </c>
      <c r="E1135" s="23" t="n">
        <v>2002.11899088571</v>
      </c>
      <c r="F1135" s="24" t="n">
        <v>0</v>
      </c>
      <c r="G1135" s="24" t="e">
        <f aca="false">D1135-E1135</f>
        <v>#NAME?</v>
      </c>
    </row>
    <row r="1136" customFormat="false" ht="30" hidden="false" customHeight="false" outlineLevel="0" collapsed="false">
      <c r="A1136" s="28" t="s">
        <v>1874</v>
      </c>
      <c r="B1136" s="99" t="s">
        <v>1875</v>
      </c>
      <c r="C1136" s="7" t="s">
        <v>15</v>
      </c>
      <c r="D1136" s="98" t="e">
        <f aca="false">сводн.данные!n1141</f>
        <v>#NAME?</v>
      </c>
      <c r="E1136" s="23" t="n">
        <v>1544.24864580644</v>
      </c>
      <c r="F1136" s="24" t="n">
        <v>0</v>
      </c>
      <c r="G1136" s="24" t="e">
        <f aca="false">D1136-E1136</f>
        <v>#NAME?</v>
      </c>
    </row>
    <row r="1137" customFormat="false" ht="30" hidden="false" customHeight="false" outlineLevel="0" collapsed="false">
      <c r="A1137" s="28" t="s">
        <v>1876</v>
      </c>
      <c r="B1137" s="99" t="s">
        <v>1877</v>
      </c>
      <c r="C1137" s="7" t="s">
        <v>15</v>
      </c>
      <c r="D1137" s="98" t="e">
        <f aca="false">сводн.данные!n1142</f>
        <v>#NAME?</v>
      </c>
      <c r="E1137" s="23" t="n">
        <v>2578.56531754145</v>
      </c>
      <c r="F1137" s="24" t="n">
        <v>0</v>
      </c>
      <c r="G1137" s="24" t="e">
        <f aca="false">D1137-E1137</f>
        <v>#NAME?</v>
      </c>
    </row>
    <row r="1138" customFormat="false" ht="30" hidden="false" customHeight="false" outlineLevel="0" collapsed="false">
      <c r="A1138" s="28" t="s">
        <v>1878</v>
      </c>
      <c r="B1138" s="99" t="s">
        <v>1879</v>
      </c>
      <c r="C1138" s="7" t="s">
        <v>15</v>
      </c>
      <c r="D1138" s="98" t="e">
        <f aca="false">сводн.данные!n1143</f>
        <v>#NAME?</v>
      </c>
      <c r="E1138" s="23" t="n">
        <v>2217.95376525197</v>
      </c>
      <c r="F1138" s="24" t="n">
        <v>0</v>
      </c>
      <c r="G1138" s="24" t="e">
        <f aca="false">D1138-E1138</f>
        <v>#NAME?</v>
      </c>
    </row>
    <row r="1139" customFormat="false" ht="30" hidden="false" customHeight="false" outlineLevel="0" collapsed="false">
      <c r="A1139" s="28" t="s">
        <v>1880</v>
      </c>
      <c r="B1139" s="99" t="s">
        <v>1881</v>
      </c>
      <c r="C1139" s="7" t="s">
        <v>15</v>
      </c>
      <c r="D1139" s="98" t="e">
        <f aca="false">сводн.данные!n1144</f>
        <v>#NAME?</v>
      </c>
      <c r="E1139" s="23" t="n">
        <v>11233.83331034</v>
      </c>
      <c r="F1139" s="24" t="n">
        <v>0</v>
      </c>
      <c r="G1139" s="24" t="e">
        <f aca="false">D1139-E1139</f>
        <v>#NAME?</v>
      </c>
    </row>
    <row r="1140" customFormat="false" ht="30" hidden="false" customHeight="false" outlineLevel="0" collapsed="false">
      <c r="A1140" s="28" t="s">
        <v>1882</v>
      </c>
      <c r="B1140" s="78" t="s">
        <v>1883</v>
      </c>
      <c r="C1140" s="7" t="s">
        <v>15</v>
      </c>
      <c r="D1140" s="98" t="e">
        <f aca="false">сводн.данные!n1145</f>
        <v>#NAME?</v>
      </c>
      <c r="E1140" s="23" t="n">
        <v>15411.8967169965</v>
      </c>
      <c r="F1140" s="24" t="n">
        <v>0</v>
      </c>
      <c r="G1140" s="24" t="e">
        <f aca="false">D1140-E1140</f>
        <v>#NAME?</v>
      </c>
    </row>
    <row r="1141" customFormat="false" ht="30" hidden="false" customHeight="false" outlineLevel="0" collapsed="false">
      <c r="A1141" s="28" t="s">
        <v>1884</v>
      </c>
      <c r="B1141" s="99" t="s">
        <v>1885</v>
      </c>
      <c r="C1141" s="7" t="s">
        <v>15</v>
      </c>
      <c r="D1141" s="98" t="e">
        <f aca="false">сводн.данные!n1146</f>
        <v>#NAME?</v>
      </c>
      <c r="E1141" s="23" t="n">
        <v>1474</v>
      </c>
      <c r="F1141" s="24"/>
      <c r="G1141" s="24" t="e">
        <f aca="false">D1141-E1141</f>
        <v>#NAME?</v>
      </c>
    </row>
    <row r="1142" customFormat="false" ht="15" hidden="false" customHeight="false" outlineLevel="0" collapsed="false">
      <c r="A1142" s="15" t="s">
        <v>1886</v>
      </c>
      <c r="B1142" s="88" t="s">
        <v>1683</v>
      </c>
      <c r="C1142" s="100"/>
      <c r="D1142" s="101"/>
      <c r="E1142" s="33"/>
      <c r="F1142" s="34"/>
      <c r="G1142" s="34"/>
    </row>
    <row r="1143" customFormat="false" ht="30" hidden="false" customHeight="false" outlineLevel="0" collapsed="false">
      <c r="A1143" s="28" t="s">
        <v>1887</v>
      </c>
      <c r="B1143" s="78" t="s">
        <v>1888</v>
      </c>
      <c r="C1143" s="7" t="s">
        <v>15</v>
      </c>
      <c r="D1143" s="102" t="e">
        <f aca="false">сводн.данные!n1148</f>
        <v>#NAME?</v>
      </c>
      <c r="E1143" s="23" t="n">
        <v>2175.4137929947</v>
      </c>
      <c r="F1143" s="24" t="n">
        <v>0</v>
      </c>
      <c r="G1143" s="24" t="e">
        <f aca="false">D1143-E1143</f>
        <v>#NAME?</v>
      </c>
    </row>
    <row r="1144" customFormat="false" ht="30" hidden="false" customHeight="false" outlineLevel="0" collapsed="false">
      <c r="A1144" s="28" t="s">
        <v>1889</v>
      </c>
      <c r="B1144" s="78" t="s">
        <v>1890</v>
      </c>
      <c r="C1144" s="7" t="s">
        <v>15</v>
      </c>
      <c r="D1144" s="102" t="e">
        <f aca="false">сводн.данные!n1149</f>
        <v>#NAME?</v>
      </c>
      <c r="E1144" s="23" t="n">
        <v>2235.07124713314</v>
      </c>
      <c r="F1144" s="24" t="n">
        <v>0</v>
      </c>
      <c r="G1144" s="24" t="e">
        <f aca="false">D1144-E1144</f>
        <v>#NAME?</v>
      </c>
    </row>
    <row r="1145" customFormat="false" ht="30" hidden="false" customHeight="false" outlineLevel="0" collapsed="false">
      <c r="A1145" s="28" t="s">
        <v>1891</v>
      </c>
      <c r="B1145" s="78" t="s">
        <v>1892</v>
      </c>
      <c r="C1145" s="7" t="s">
        <v>15</v>
      </c>
      <c r="D1145" s="102" t="e">
        <f aca="false">сводн.данные!n1150</f>
        <v>#NAME?</v>
      </c>
      <c r="E1145" s="23" t="n">
        <v>1972.06095333464</v>
      </c>
      <c r="F1145" s="24" t="n">
        <v>0</v>
      </c>
      <c r="G1145" s="24" t="e">
        <f aca="false">D1145-E1145</f>
        <v>#NAME?</v>
      </c>
    </row>
    <row r="1146" customFormat="false" ht="30" hidden="false" customHeight="false" outlineLevel="0" collapsed="false">
      <c r="A1146" s="28" t="s">
        <v>1893</v>
      </c>
      <c r="B1146" s="78" t="s">
        <v>1894</v>
      </c>
      <c r="C1146" s="7" t="s">
        <v>15</v>
      </c>
      <c r="D1146" s="102" t="e">
        <f aca="false">сводн.данные!n1151</f>
        <v>#NAME?</v>
      </c>
      <c r="E1146" s="23" t="n">
        <v>2338.64088454279</v>
      </c>
      <c r="F1146" s="24" t="n">
        <v>0</v>
      </c>
      <c r="G1146" s="24" t="e">
        <f aca="false">D1146-E1146</f>
        <v>#NAME?</v>
      </c>
    </row>
    <row r="1147" customFormat="false" ht="45" hidden="false" customHeight="false" outlineLevel="0" collapsed="false">
      <c r="A1147" s="28" t="s">
        <v>1895</v>
      </c>
      <c r="B1147" s="78" t="s">
        <v>1896</v>
      </c>
      <c r="C1147" s="7" t="s">
        <v>15</v>
      </c>
      <c r="D1147" s="98" t="e">
        <f aca="false">сводн.данные!n1152</f>
        <v>#NAME?</v>
      </c>
      <c r="E1147" s="23" t="n">
        <v>1549.7428915684</v>
      </c>
      <c r="F1147" s="24" t="n">
        <v>0</v>
      </c>
      <c r="G1147" s="24" t="e">
        <f aca="false">D1147-E1147</f>
        <v>#NAME?</v>
      </c>
    </row>
    <row r="1148" customFormat="false" ht="45" hidden="false" customHeight="false" outlineLevel="0" collapsed="false">
      <c r="A1148" s="28" t="s">
        <v>1897</v>
      </c>
      <c r="B1148" s="78" t="s">
        <v>1898</v>
      </c>
      <c r="C1148" s="7" t="s">
        <v>15</v>
      </c>
      <c r="D1148" s="98" t="e">
        <f aca="false">сводн.данные!n1153</f>
        <v>#NAME?</v>
      </c>
      <c r="E1148" s="23" t="n">
        <v>1715.57619059126</v>
      </c>
      <c r="F1148" s="24" t="n">
        <v>0</v>
      </c>
      <c r="G1148" s="24" t="e">
        <f aca="false">D1148-E1148</f>
        <v>#NAME?</v>
      </c>
    </row>
    <row r="1149" customFormat="false" ht="30" hidden="false" customHeight="false" outlineLevel="0" collapsed="false">
      <c r="A1149" s="28" t="s">
        <v>1899</v>
      </c>
      <c r="B1149" s="78" t="s">
        <v>1900</v>
      </c>
      <c r="C1149" s="7" t="s">
        <v>15</v>
      </c>
      <c r="D1149" s="98" t="e">
        <f aca="false">сводн.данные!n1154</f>
        <v>#NAME?</v>
      </c>
      <c r="E1149" s="23" t="n">
        <v>1947.19863373125</v>
      </c>
      <c r="F1149" s="24" t="n">
        <v>0</v>
      </c>
      <c r="G1149" s="24" t="e">
        <f aca="false">D1149-E1149</f>
        <v>#NAME?</v>
      </c>
    </row>
    <row r="1150" customFormat="false" ht="15" hidden="false" customHeight="false" outlineLevel="0" collapsed="false">
      <c r="A1150" s="28" t="s">
        <v>1901</v>
      </c>
      <c r="B1150" s="78" t="s">
        <v>1902</v>
      </c>
      <c r="C1150" s="7" t="s">
        <v>15</v>
      </c>
      <c r="D1150" s="98" t="e">
        <f aca="false">сводн.данные!n1155</f>
        <v>#NAME?</v>
      </c>
      <c r="E1150" s="23" t="n">
        <v>1649.72661380422</v>
      </c>
      <c r="F1150" s="24" t="n">
        <v>0</v>
      </c>
      <c r="G1150" s="24" t="e">
        <f aca="false">D1150-E1150</f>
        <v>#NAME?</v>
      </c>
    </row>
    <row r="1151" customFormat="false" ht="30" hidden="false" customHeight="false" outlineLevel="0" collapsed="false">
      <c r="A1151" s="28" t="s">
        <v>1903</v>
      </c>
      <c r="B1151" s="78" t="s">
        <v>1904</v>
      </c>
      <c r="C1151" s="7" t="s">
        <v>15</v>
      </c>
      <c r="D1151" s="98" t="e">
        <f aca="false">сводн.данные!n1156</f>
        <v>#NAME?</v>
      </c>
      <c r="E1151" s="23" t="n">
        <v>1920.37961399804</v>
      </c>
      <c r="F1151" s="24" t="n">
        <v>0</v>
      </c>
      <c r="G1151" s="24" t="e">
        <f aca="false">D1151-E1151</f>
        <v>#NAME?</v>
      </c>
    </row>
    <row r="1152" customFormat="false" ht="15" hidden="false" customHeight="false" outlineLevel="0" collapsed="false">
      <c r="A1152" s="28" t="s">
        <v>1905</v>
      </c>
      <c r="B1152" s="78" t="s">
        <v>1906</v>
      </c>
      <c r="C1152" s="7" t="s">
        <v>15</v>
      </c>
      <c r="D1152" s="98" t="e">
        <f aca="false">сводн.данные!n1157</f>
        <v>#NAME?</v>
      </c>
      <c r="E1152" s="23" t="n">
        <v>1847.91605453708</v>
      </c>
      <c r="F1152" s="24" t="n">
        <v>0</v>
      </c>
      <c r="G1152" s="24" t="e">
        <f aca="false">D1152-E1152</f>
        <v>#NAME?</v>
      </c>
    </row>
    <row r="1153" customFormat="false" ht="15" hidden="false" customHeight="false" outlineLevel="0" collapsed="false">
      <c r="A1153" s="28" t="s">
        <v>1907</v>
      </c>
      <c r="B1153" s="78" t="s">
        <v>1908</v>
      </c>
      <c r="C1153" s="7" t="s">
        <v>15</v>
      </c>
      <c r="D1153" s="98" t="e">
        <f aca="false">сводн.данные!n1158</f>
        <v>#NAME?</v>
      </c>
      <c r="E1153" s="23" t="n">
        <v>1527.42249098773</v>
      </c>
      <c r="F1153" s="24" t="n">
        <v>0</v>
      </c>
      <c r="G1153" s="24" t="e">
        <f aca="false">D1153-E1153</f>
        <v>#NAME?</v>
      </c>
    </row>
    <row r="1154" customFormat="false" ht="15" hidden="false" customHeight="false" outlineLevel="0" collapsed="false">
      <c r="A1154" s="28" t="s">
        <v>1909</v>
      </c>
      <c r="B1154" s="78" t="s">
        <v>1910</v>
      </c>
      <c r="C1154" s="7" t="s">
        <v>15</v>
      </c>
      <c r="D1154" s="98" t="e">
        <f aca="false">сводн.данные!n1159</f>
        <v>#NAME?</v>
      </c>
      <c r="E1154" s="23" t="n">
        <v>1668.59665039864</v>
      </c>
      <c r="F1154" s="24" t="n">
        <v>1710</v>
      </c>
      <c r="G1154" s="24" t="e">
        <f aca="false">D1154-E1154</f>
        <v>#NAME?</v>
      </c>
    </row>
    <row r="1155" customFormat="false" ht="30" hidden="false" customHeight="false" outlineLevel="0" collapsed="false">
      <c r="A1155" s="28" t="s">
        <v>1911</v>
      </c>
      <c r="B1155" s="78" t="s">
        <v>1912</v>
      </c>
      <c r="C1155" s="7" t="s">
        <v>15</v>
      </c>
      <c r="D1155" s="98" t="e">
        <f aca="false">сводн.данные!n1160</f>
        <v>#NAME?</v>
      </c>
      <c r="E1155" s="23" t="n">
        <v>2042.43271196254</v>
      </c>
      <c r="F1155" s="24" t="n">
        <v>0</v>
      </c>
      <c r="G1155" s="24" t="e">
        <f aca="false">D1155-E1155</f>
        <v>#NAME?</v>
      </c>
    </row>
    <row r="1156" customFormat="false" ht="15" hidden="false" customHeight="false" outlineLevel="0" collapsed="false">
      <c r="A1156" s="28" t="s">
        <v>1913</v>
      </c>
      <c r="B1156" s="78" t="s">
        <v>1914</v>
      </c>
      <c r="C1156" s="7" t="s">
        <v>15</v>
      </c>
      <c r="D1156" s="98" t="e">
        <f aca="false">сводн.данные!n1161</f>
        <v>#NAME?</v>
      </c>
      <c r="E1156" s="23" t="n">
        <v>1688.76197766609</v>
      </c>
      <c r="F1156" s="24" t="n">
        <v>0</v>
      </c>
      <c r="G1156" s="24" t="e">
        <f aca="false">D1156-E1156</f>
        <v>#NAME?</v>
      </c>
    </row>
    <row r="1157" customFormat="false" ht="30" hidden="false" customHeight="false" outlineLevel="0" collapsed="false">
      <c r="A1157" s="28" t="s">
        <v>1915</v>
      </c>
      <c r="B1157" s="78" t="s">
        <v>1916</v>
      </c>
      <c r="C1157" s="7" t="s">
        <v>15</v>
      </c>
      <c r="D1157" s="98" t="e">
        <f aca="false">сводн.данные!n1162</f>
        <v>#NAME?</v>
      </c>
      <c r="E1157" s="23" t="n">
        <v>1606.19782369735</v>
      </c>
      <c r="F1157" s="24" t="n">
        <v>1300</v>
      </c>
      <c r="G1157" s="24" t="e">
        <f aca="false">D1157-E1157</f>
        <v>#NAME?</v>
      </c>
    </row>
    <row r="1158" customFormat="false" ht="31.5" hidden="false" customHeight="true" outlineLevel="0" collapsed="false">
      <c r="A1158" s="28" t="s">
        <v>1917</v>
      </c>
      <c r="B1158" s="78" t="s">
        <v>1918</v>
      </c>
      <c r="C1158" s="7" t="s">
        <v>15</v>
      </c>
      <c r="D1158" s="98" t="e">
        <f aca="false">сводн.данные!n1163</f>
        <v>#NAME?</v>
      </c>
      <c r="E1158" s="23" t="n">
        <v>1266.79215272278</v>
      </c>
      <c r="F1158" s="24" t="n">
        <v>1450</v>
      </c>
      <c r="G1158" s="24" t="e">
        <f aca="false">D1158-E1158</f>
        <v>#NAME?</v>
      </c>
    </row>
    <row r="1159" customFormat="false" ht="30" hidden="false" customHeight="false" outlineLevel="0" collapsed="false">
      <c r="A1159" s="28" t="s">
        <v>1919</v>
      </c>
      <c r="B1159" s="78" t="s">
        <v>1920</v>
      </c>
      <c r="C1159" s="7" t="s">
        <v>15</v>
      </c>
      <c r="D1159" s="98" t="e">
        <f aca="false">сводн.данные!n1164</f>
        <v>#NAME?</v>
      </c>
      <c r="E1159" s="23" t="n">
        <v>1478.79129098773</v>
      </c>
      <c r="F1159" s="24" t="n">
        <v>0</v>
      </c>
      <c r="G1159" s="24" t="e">
        <f aca="false">D1159-E1159</f>
        <v>#NAME?</v>
      </c>
    </row>
    <row r="1160" customFormat="false" ht="30" hidden="false" customHeight="false" outlineLevel="0" collapsed="false">
      <c r="A1160" s="28" t="s">
        <v>1921</v>
      </c>
      <c r="B1160" s="78" t="s">
        <v>1894</v>
      </c>
      <c r="C1160" s="7" t="s">
        <v>15</v>
      </c>
      <c r="D1160" s="98" t="e">
        <f aca="false">сводн.данные!n1165</f>
        <v>#NAME?</v>
      </c>
      <c r="E1160" s="23" t="n">
        <v>1211.53207449149</v>
      </c>
      <c r="F1160" s="24" t="n">
        <v>0</v>
      </c>
      <c r="G1160" s="24" t="e">
        <f aca="false">D1160-E1160</f>
        <v>#NAME?</v>
      </c>
    </row>
    <row r="1161" customFormat="false" ht="15" hidden="false" customHeight="false" outlineLevel="0" collapsed="false">
      <c r="A1161" s="15" t="s">
        <v>1922</v>
      </c>
      <c r="B1161" s="88" t="s">
        <v>1923</v>
      </c>
      <c r="C1161" s="100"/>
      <c r="D1161" s="101"/>
      <c r="E1161" s="33"/>
      <c r="F1161" s="34"/>
      <c r="G1161" s="34"/>
    </row>
    <row r="1162" customFormat="false" ht="30" hidden="false" customHeight="false" outlineLevel="0" collapsed="false">
      <c r="A1162" s="28" t="s">
        <v>1924</v>
      </c>
      <c r="B1162" s="78" t="s">
        <v>1925</v>
      </c>
      <c r="C1162" s="7" t="s">
        <v>15</v>
      </c>
      <c r="D1162" s="102" t="e">
        <f aca="false">сводн.данные!n1167</f>
        <v>#NAME?</v>
      </c>
      <c r="E1162" s="23" t="n">
        <v>979.283674886984</v>
      </c>
      <c r="F1162" s="24" t="n">
        <v>630</v>
      </c>
      <c r="G1162" s="24" t="e">
        <f aca="false">D1162-E1162</f>
        <v>#NAME?</v>
      </c>
    </row>
    <row r="1163" customFormat="false" ht="30" hidden="false" customHeight="false" outlineLevel="0" collapsed="false">
      <c r="A1163" s="28" t="s">
        <v>1926</v>
      </c>
      <c r="B1163" s="78" t="s">
        <v>1916</v>
      </c>
      <c r="C1163" s="7" t="s">
        <v>15</v>
      </c>
      <c r="D1163" s="102" t="e">
        <f aca="false">сводн.данные!n1168</f>
        <v>#NAME?</v>
      </c>
      <c r="E1163" s="23" t="n">
        <v>1047.39972261965</v>
      </c>
      <c r="F1163" s="24" t="n">
        <v>890</v>
      </c>
      <c r="G1163" s="24" t="e">
        <f aca="false">D1163-E1163</f>
        <v>#NAME?</v>
      </c>
    </row>
    <row r="1164" customFormat="false" ht="30" hidden="false" customHeight="false" outlineLevel="0" collapsed="false">
      <c r="A1164" s="28" t="s">
        <v>1927</v>
      </c>
      <c r="B1164" s="78" t="s">
        <v>1928</v>
      </c>
      <c r="C1164" s="7" t="s">
        <v>15</v>
      </c>
      <c r="D1164" s="102" t="e">
        <f aca="false">сводн.данные!n1169</f>
        <v>#NAME?</v>
      </c>
      <c r="E1164" s="23" t="n">
        <v>1655.8890764066</v>
      </c>
      <c r="F1164" s="24" t="n">
        <v>1030</v>
      </c>
      <c r="G1164" s="24" t="e">
        <f aca="false">D1164-E1164</f>
        <v>#NAME?</v>
      </c>
    </row>
    <row r="1165" customFormat="false" ht="30" hidden="false" customHeight="false" outlineLevel="0" collapsed="false">
      <c r="A1165" s="28" t="s">
        <v>1929</v>
      </c>
      <c r="B1165" s="78" t="s">
        <v>1930</v>
      </c>
      <c r="C1165" s="7" t="s">
        <v>15</v>
      </c>
      <c r="D1165" s="102" t="e">
        <f aca="false">сводн.данные!n1170</f>
        <v>#NAME?</v>
      </c>
      <c r="E1165" s="23" t="n">
        <v>1401.39861485333</v>
      </c>
      <c r="F1165" s="24" t="n">
        <v>1550</v>
      </c>
      <c r="G1165" s="24" t="e">
        <f aca="false">D1165-E1165</f>
        <v>#NAME?</v>
      </c>
    </row>
    <row r="1166" customFormat="false" ht="15" hidden="false" customHeight="false" outlineLevel="0" collapsed="false">
      <c r="A1166" s="15" t="s">
        <v>1931</v>
      </c>
      <c r="B1166" s="88" t="s">
        <v>1932</v>
      </c>
      <c r="C1166" s="100"/>
      <c r="D1166" s="101"/>
      <c r="E1166" s="33"/>
      <c r="F1166" s="34"/>
      <c r="G1166" s="34"/>
    </row>
    <row r="1167" customFormat="false" ht="15" hidden="false" customHeight="false" outlineLevel="0" collapsed="false">
      <c r="A1167" s="28" t="s">
        <v>1933</v>
      </c>
      <c r="B1167" s="78" t="s">
        <v>1934</v>
      </c>
      <c r="C1167" s="7" t="s">
        <v>15</v>
      </c>
      <c r="D1167" s="102" t="e">
        <f aca="false">сводн.данные!n1172</f>
        <v>#NAME?</v>
      </c>
      <c r="E1167" s="23" t="n">
        <v>1188.6759993207</v>
      </c>
      <c r="F1167" s="24" t="n">
        <v>1500</v>
      </c>
      <c r="G1167" s="24" t="e">
        <f aca="false">D1167-E1167</f>
        <v>#NAME?</v>
      </c>
    </row>
    <row r="1168" customFormat="false" ht="30" hidden="false" customHeight="false" outlineLevel="0" collapsed="false">
      <c r="A1168" s="28" t="s">
        <v>1935</v>
      </c>
      <c r="B1168" s="78" t="s">
        <v>1936</v>
      </c>
      <c r="C1168" s="7" t="s">
        <v>15</v>
      </c>
      <c r="D1168" s="102" t="e">
        <f aca="false">сводн.данные!n1173</f>
        <v>#NAME?</v>
      </c>
      <c r="E1168" s="23" t="n">
        <v>1289.63406593128</v>
      </c>
      <c r="F1168" s="24" t="n">
        <v>880</v>
      </c>
      <c r="G1168" s="24" t="e">
        <f aca="false">D1168-E1168</f>
        <v>#NAME?</v>
      </c>
    </row>
    <row r="1169" customFormat="false" ht="15" hidden="false" customHeight="false" outlineLevel="0" collapsed="false">
      <c r="A1169" s="28" t="s">
        <v>1937</v>
      </c>
      <c r="B1169" s="78" t="s">
        <v>1938</v>
      </c>
      <c r="C1169" s="7" t="s">
        <v>15</v>
      </c>
      <c r="D1169" s="102" t="e">
        <f aca="false">сводн.данные!n1174</f>
        <v>#NAME?</v>
      </c>
      <c r="E1169" s="23" t="n">
        <v>1648.34961009191</v>
      </c>
      <c r="F1169" s="24" t="n">
        <v>800</v>
      </c>
      <c r="G1169" s="24" t="e">
        <f aca="false">D1169-E1169</f>
        <v>#NAME?</v>
      </c>
    </row>
    <row r="1170" customFormat="false" ht="15" hidden="false" customHeight="false" outlineLevel="0" collapsed="false">
      <c r="A1170" s="28" t="s">
        <v>1939</v>
      </c>
      <c r="B1170" s="78" t="s">
        <v>1940</v>
      </c>
      <c r="C1170" s="7" t="s">
        <v>15</v>
      </c>
      <c r="D1170" s="102" t="e">
        <f aca="false">сводн.данные!n1175</f>
        <v>#NAME?</v>
      </c>
      <c r="E1170" s="23" t="n">
        <v>2457.65886593128</v>
      </c>
      <c r="F1170" s="24" t="n">
        <v>2200</v>
      </c>
      <c r="G1170" s="24" t="e">
        <f aca="false">D1170-E1170</f>
        <v>#NAME?</v>
      </c>
    </row>
    <row r="1171" customFormat="false" ht="30" hidden="false" customHeight="false" outlineLevel="0" collapsed="false">
      <c r="A1171" s="28" t="s">
        <v>1941</v>
      </c>
      <c r="B1171" s="78" t="s">
        <v>1942</v>
      </c>
      <c r="C1171" s="7" t="s">
        <v>15</v>
      </c>
      <c r="D1171" s="102" t="e">
        <f aca="false">сводн.данные!n1176</f>
        <v>#NAME?</v>
      </c>
      <c r="E1171" s="23" t="n">
        <v>1705.47149943432</v>
      </c>
      <c r="F1171" s="24" t="n">
        <v>990</v>
      </c>
      <c r="G1171" s="24" t="e">
        <f aca="false">D1171-E1171</f>
        <v>#NAME?</v>
      </c>
    </row>
    <row r="1172" customFormat="false" ht="30" hidden="false" customHeight="false" outlineLevel="0" collapsed="false">
      <c r="A1172" s="28" t="s">
        <v>1943</v>
      </c>
      <c r="B1172" s="78" t="s">
        <v>1944</v>
      </c>
      <c r="C1172" s="7" t="s">
        <v>15</v>
      </c>
      <c r="D1172" s="98" t="e">
        <f aca="false">сводн.данные!n1177</f>
        <v>#NAME?</v>
      </c>
      <c r="E1172" s="23" t="n">
        <v>1727.55629711017</v>
      </c>
      <c r="F1172" s="24" t="n">
        <v>2290</v>
      </c>
      <c r="G1172" s="24" t="e">
        <f aca="false">D1172-E1172</f>
        <v>#NAME?</v>
      </c>
    </row>
    <row r="1173" customFormat="false" ht="15" hidden="false" customHeight="false" outlineLevel="0" collapsed="false">
      <c r="A1173" s="15" t="s">
        <v>1945</v>
      </c>
      <c r="B1173" s="88" t="s">
        <v>1946</v>
      </c>
      <c r="C1173" s="100"/>
      <c r="D1173" s="101"/>
      <c r="E1173" s="33"/>
      <c r="F1173" s="34"/>
      <c r="G1173" s="34"/>
    </row>
    <row r="1174" customFormat="false" ht="45" hidden="false" customHeight="false" outlineLevel="0" collapsed="false">
      <c r="A1174" s="28" t="s">
        <v>1947</v>
      </c>
      <c r="B1174" s="78" t="s">
        <v>1948</v>
      </c>
      <c r="C1174" s="7" t="s">
        <v>15</v>
      </c>
      <c r="D1174" s="98" t="e">
        <f aca="false">сводн.данные!n1179</f>
        <v>#NAME?</v>
      </c>
      <c r="E1174" s="23" t="n">
        <v>1369.93396118001</v>
      </c>
      <c r="F1174" s="24" t="n">
        <v>0</v>
      </c>
      <c r="G1174" s="24" t="e">
        <f aca="false">D1174-E1174</f>
        <v>#NAME?</v>
      </c>
    </row>
    <row r="1175" customFormat="false" ht="30" hidden="false" customHeight="false" outlineLevel="0" collapsed="false">
      <c r="A1175" s="28" t="s">
        <v>1949</v>
      </c>
      <c r="B1175" s="99" t="s">
        <v>1900</v>
      </c>
      <c r="C1175" s="7" t="s">
        <v>15</v>
      </c>
      <c r="D1175" s="98" t="e">
        <f aca="false">сводн.данные!n1180</f>
        <v>#NAME?</v>
      </c>
      <c r="E1175" s="23" t="n">
        <v>2183.48542948003</v>
      </c>
      <c r="F1175" s="24" t="n">
        <v>1500</v>
      </c>
      <c r="G1175" s="24" t="e">
        <f aca="false">D1175-E1175</f>
        <v>#NAME?</v>
      </c>
    </row>
    <row r="1176" customFormat="false" ht="30" hidden="false" customHeight="false" outlineLevel="0" collapsed="false">
      <c r="A1176" s="28" t="s">
        <v>1950</v>
      </c>
      <c r="B1176" s="99" t="s">
        <v>1916</v>
      </c>
      <c r="C1176" s="7" t="s">
        <v>15</v>
      </c>
      <c r="D1176" s="98" t="e">
        <f aca="false">сводн.данные!n1181</f>
        <v>#NAME?</v>
      </c>
      <c r="E1176" s="23" t="n">
        <v>1654.08732483126</v>
      </c>
      <c r="F1176" s="24" t="n">
        <v>1480</v>
      </c>
      <c r="G1176" s="24" t="e">
        <f aca="false">D1176-E1176</f>
        <v>#NAME?</v>
      </c>
    </row>
    <row r="1177" customFormat="false" ht="30" hidden="false" customHeight="false" outlineLevel="0" collapsed="false">
      <c r="A1177" s="28" t="s">
        <v>1951</v>
      </c>
      <c r="B1177" s="99" t="s">
        <v>1912</v>
      </c>
      <c r="C1177" s="7" t="s">
        <v>15</v>
      </c>
      <c r="D1177" s="98" t="e">
        <f aca="false">сводн.данные!n1182</f>
        <v>#NAME?</v>
      </c>
      <c r="E1177" s="23" t="n">
        <v>1469.11625289249</v>
      </c>
      <c r="F1177" s="24" t="n">
        <v>1300</v>
      </c>
      <c r="G1177" s="24" t="e">
        <f aca="false">D1177-E1177</f>
        <v>#NAME?</v>
      </c>
    </row>
    <row r="1178" customFormat="false" ht="45" hidden="false" customHeight="false" outlineLevel="0" collapsed="false">
      <c r="A1178" s="28" t="s">
        <v>1952</v>
      </c>
      <c r="B1178" s="99" t="s">
        <v>1953</v>
      </c>
      <c r="C1178" s="7" t="s">
        <v>15</v>
      </c>
      <c r="D1178" s="98" t="e">
        <f aca="false">сводн.данные!n1183</f>
        <v>#NAME?</v>
      </c>
      <c r="E1178" s="23" t="n">
        <v>1406.19869988795</v>
      </c>
      <c r="F1178" s="24" t="n">
        <v>1330</v>
      </c>
      <c r="G1178" s="24" t="e">
        <f aca="false">D1178-E1178</f>
        <v>#NAME?</v>
      </c>
    </row>
    <row r="1179" customFormat="false" ht="15" hidden="false" customHeight="false" outlineLevel="0" collapsed="false">
      <c r="A1179" s="15" t="s">
        <v>1954</v>
      </c>
      <c r="B1179" s="88" t="s">
        <v>1955</v>
      </c>
      <c r="C1179" s="100"/>
      <c r="D1179" s="101"/>
      <c r="E1179" s="33"/>
      <c r="F1179" s="34"/>
      <c r="G1179" s="34"/>
    </row>
    <row r="1180" customFormat="false" ht="30" hidden="false" customHeight="false" outlineLevel="0" collapsed="false">
      <c r="A1180" s="28" t="s">
        <v>1956</v>
      </c>
      <c r="B1180" s="78" t="s">
        <v>1957</v>
      </c>
      <c r="C1180" s="7" t="s">
        <v>15</v>
      </c>
      <c r="D1180" s="98" t="e">
        <f aca="false">сводн.данные!n1185</f>
        <v>#NAME?</v>
      </c>
      <c r="E1180" s="23" t="n">
        <v>1342.79845386733</v>
      </c>
      <c r="F1180" s="24" t="n">
        <v>650</v>
      </c>
      <c r="G1180" s="24" t="e">
        <f aca="false">D1180-E1180</f>
        <v>#NAME?</v>
      </c>
    </row>
    <row r="1181" customFormat="false" ht="30" hidden="false" customHeight="false" outlineLevel="0" collapsed="false">
      <c r="A1181" s="28" t="s">
        <v>1958</v>
      </c>
      <c r="B1181" s="78" t="s">
        <v>1959</v>
      </c>
      <c r="C1181" s="7" t="s">
        <v>15</v>
      </c>
      <c r="D1181" s="98" t="e">
        <f aca="false">сводн.данные!n1186</f>
        <v>#NAME?</v>
      </c>
      <c r="E1181" s="23" t="n">
        <v>2007.60609104454</v>
      </c>
      <c r="F1181" s="24" t="n">
        <v>1470</v>
      </c>
      <c r="G1181" s="24" t="e">
        <f aca="false">D1181-E1181</f>
        <v>#NAME?</v>
      </c>
    </row>
    <row r="1182" customFormat="false" ht="30" hidden="false" customHeight="false" outlineLevel="0" collapsed="false">
      <c r="A1182" s="28" t="s">
        <v>1960</v>
      </c>
      <c r="B1182" s="78" t="s">
        <v>1961</v>
      </c>
      <c r="C1182" s="7" t="s">
        <v>15</v>
      </c>
      <c r="D1182" s="98" t="e">
        <f aca="false">сводн.данные!n1187</f>
        <v>#NAME?</v>
      </c>
      <c r="E1182" s="23" t="n">
        <v>2073.61858378806</v>
      </c>
      <c r="F1182" s="24" t="n">
        <v>1540</v>
      </c>
      <c r="G1182" s="24" t="e">
        <f aca="false">D1182-E1182</f>
        <v>#NAME?</v>
      </c>
    </row>
    <row r="1183" customFormat="false" ht="30" hidden="false" customHeight="false" outlineLevel="0" collapsed="false">
      <c r="A1183" s="28" t="s">
        <v>1962</v>
      </c>
      <c r="B1183" s="78" t="s">
        <v>1963</v>
      </c>
      <c r="C1183" s="7" t="s">
        <v>15</v>
      </c>
      <c r="D1183" s="98" t="e">
        <f aca="false">сводн.данные!n1188</f>
        <v>#NAME?</v>
      </c>
      <c r="E1183" s="23" t="n">
        <v>1636.71640873137</v>
      </c>
      <c r="F1183" s="24" t="n">
        <v>1080</v>
      </c>
      <c r="G1183" s="24" t="e">
        <f aca="false">D1183-E1183</f>
        <v>#NAME?</v>
      </c>
    </row>
    <row r="1184" customFormat="false" ht="30" hidden="false" customHeight="false" outlineLevel="0" collapsed="false">
      <c r="A1184" s="28" t="s">
        <v>1964</v>
      </c>
      <c r="B1184" s="78" t="s">
        <v>1916</v>
      </c>
      <c r="C1184" s="7" t="s">
        <v>15</v>
      </c>
      <c r="D1184" s="98" t="e">
        <f aca="false">сводн.данные!n1189</f>
        <v>#NAME?</v>
      </c>
      <c r="E1184" s="23" t="n">
        <v>1964.09028146392</v>
      </c>
      <c r="F1184" s="24" t="n">
        <v>1410</v>
      </c>
      <c r="G1184" s="24" t="e">
        <f aca="false">D1184-E1184</f>
        <v>#NAME?</v>
      </c>
    </row>
    <row r="1185" customFormat="false" ht="30" hidden="false" customHeight="false" outlineLevel="0" collapsed="false">
      <c r="A1185" s="28" t="s">
        <v>1965</v>
      </c>
      <c r="B1185" s="78" t="s">
        <v>1912</v>
      </c>
      <c r="C1185" s="7" t="s">
        <v>15</v>
      </c>
      <c r="D1185" s="98" t="e">
        <f aca="false">сводн.данные!n1190</f>
        <v>#NAME?</v>
      </c>
      <c r="E1185" s="23" t="n">
        <v>1815.17947602174</v>
      </c>
      <c r="F1185" s="24" t="n">
        <v>1270</v>
      </c>
      <c r="G1185" s="24" t="e">
        <f aca="false">D1185-E1185</f>
        <v>#NAME?</v>
      </c>
    </row>
    <row r="1186" customFormat="false" ht="30" hidden="false" customHeight="false" outlineLevel="0" collapsed="false">
      <c r="A1186" s="28" t="s">
        <v>1966</v>
      </c>
      <c r="B1186" s="78" t="s">
        <v>1967</v>
      </c>
      <c r="C1186" s="7" t="s">
        <v>15</v>
      </c>
      <c r="D1186" s="98" t="e">
        <f aca="false">сводн.данные!n1191</f>
        <v>#NAME?</v>
      </c>
      <c r="E1186" s="23" t="n">
        <v>1878.83199893584</v>
      </c>
      <c r="F1186" s="24" t="n">
        <v>1270</v>
      </c>
      <c r="G1186" s="24" t="e">
        <f aca="false">D1186-E1186</f>
        <v>#NAME?</v>
      </c>
    </row>
    <row r="1187" customFormat="false" ht="30" hidden="false" customHeight="false" outlineLevel="0" collapsed="false">
      <c r="A1187" s="28" t="s">
        <v>1968</v>
      </c>
      <c r="B1187" s="78" t="s">
        <v>1928</v>
      </c>
      <c r="C1187" s="7" t="s">
        <v>15</v>
      </c>
      <c r="D1187" s="98" t="e">
        <f aca="false">сводн.данные!n1192</f>
        <v>#NAME?</v>
      </c>
      <c r="E1187" s="23" t="n">
        <v>2023.08547602174</v>
      </c>
      <c r="F1187" s="24" t="n">
        <v>1950</v>
      </c>
      <c r="G1187" s="24" t="e">
        <f aca="false">D1187-E1187</f>
        <v>#NAME?</v>
      </c>
    </row>
    <row r="1188" customFormat="false" ht="15" hidden="false" customHeight="false" outlineLevel="0" collapsed="false">
      <c r="A1188" s="15" t="s">
        <v>1969</v>
      </c>
      <c r="B1188" s="88" t="s">
        <v>1970</v>
      </c>
      <c r="C1188" s="100"/>
      <c r="D1188" s="101"/>
      <c r="E1188" s="33"/>
      <c r="F1188" s="34"/>
      <c r="G1188" s="34"/>
    </row>
    <row r="1189" customFormat="false" ht="30" hidden="false" customHeight="false" outlineLevel="0" collapsed="false">
      <c r="A1189" s="28" t="s">
        <v>1971</v>
      </c>
      <c r="B1189" s="78" t="s">
        <v>1972</v>
      </c>
      <c r="C1189" s="7" t="s">
        <v>15</v>
      </c>
      <c r="D1189" s="98" t="e">
        <f aca="false">сводн.данные!n1194</f>
        <v>#NAME?</v>
      </c>
      <c r="E1189" s="23" t="n">
        <v>18097.6193780152</v>
      </c>
      <c r="F1189" s="24" t="n">
        <v>7240</v>
      </c>
      <c r="G1189" s="24" t="e">
        <f aca="false">D1189-E1189</f>
        <v>#NAME?</v>
      </c>
    </row>
    <row r="1190" customFormat="false" ht="34.5" hidden="false" customHeight="true" outlineLevel="0" collapsed="false">
      <c r="A1190" s="28" t="s">
        <v>1973</v>
      </c>
      <c r="B1190" s="78" t="s">
        <v>1908</v>
      </c>
      <c r="C1190" s="7" t="s">
        <v>15</v>
      </c>
      <c r="D1190" s="98" t="e">
        <f aca="false">сводн.данные!n1195</f>
        <v>#NAME?</v>
      </c>
      <c r="E1190" s="23" t="n">
        <v>1566.73184495646</v>
      </c>
      <c r="F1190" s="24" t="n">
        <v>0</v>
      </c>
      <c r="G1190" s="24" t="e">
        <f aca="false">D1190-E1190</f>
        <v>#NAME?</v>
      </c>
    </row>
    <row r="1191" customFormat="false" ht="31.5" hidden="false" customHeight="true" outlineLevel="0" collapsed="false">
      <c r="A1191" s="28" t="s">
        <v>1974</v>
      </c>
      <c r="B1191" s="78" t="s">
        <v>1916</v>
      </c>
      <c r="C1191" s="7" t="s">
        <v>15</v>
      </c>
      <c r="D1191" s="98" t="e">
        <f aca="false">сводн.данные!n1196</f>
        <v>#NAME?</v>
      </c>
      <c r="E1191" s="23" t="n">
        <v>1509.98403422457</v>
      </c>
      <c r="F1191" s="24" t="n">
        <v>0</v>
      </c>
      <c r="G1191" s="24" t="e">
        <f aca="false">D1191-E1191</f>
        <v>#NAME?</v>
      </c>
    </row>
    <row r="1192" customFormat="false" ht="15" hidden="false" customHeight="false" outlineLevel="0" collapsed="false">
      <c r="A1192" s="28" t="s">
        <v>1975</v>
      </c>
      <c r="B1192" s="78" t="s">
        <v>1842</v>
      </c>
      <c r="C1192" s="7" t="s">
        <v>15</v>
      </c>
      <c r="D1192" s="98" t="e">
        <f aca="false">сводн.данные!n1197</f>
        <v>#NAME?</v>
      </c>
      <c r="E1192" s="23" t="n">
        <v>1785.73959835855</v>
      </c>
      <c r="F1192" s="24" t="n">
        <v>0</v>
      </c>
      <c r="G1192" s="24" t="e">
        <f aca="false">D1192-E1192</f>
        <v>#NAME?</v>
      </c>
    </row>
    <row r="1193" customFormat="false" ht="45" hidden="false" customHeight="false" outlineLevel="0" collapsed="false">
      <c r="A1193" s="28" t="s">
        <v>1976</v>
      </c>
      <c r="B1193" s="78" t="s">
        <v>1977</v>
      </c>
      <c r="C1193" s="7" t="s">
        <v>15</v>
      </c>
      <c r="D1193" s="98" t="e">
        <f aca="false">сводн.данные!n1198</f>
        <v>#NAME?</v>
      </c>
      <c r="E1193" s="23" t="n">
        <v>2003.41091168067</v>
      </c>
      <c r="F1193" s="24" t="n">
        <v>0</v>
      </c>
      <c r="G1193" s="24" t="e">
        <f aca="false">D1193-E1193</f>
        <v>#NAME?</v>
      </c>
    </row>
    <row r="1194" customFormat="false" ht="30" hidden="false" customHeight="false" outlineLevel="0" collapsed="false">
      <c r="A1194" s="28" t="s">
        <v>1978</v>
      </c>
      <c r="B1194" s="78" t="s">
        <v>1979</v>
      </c>
      <c r="C1194" s="7" t="s">
        <v>15</v>
      </c>
      <c r="D1194" s="98" t="e">
        <f aca="false">сводн.данные!n1199</f>
        <v>#NAME?</v>
      </c>
      <c r="E1194" s="23" t="n">
        <v>16465.8180462692</v>
      </c>
      <c r="F1194" s="24" t="n">
        <v>1500</v>
      </c>
      <c r="G1194" s="24" t="e">
        <f aca="false">D1194-E1194</f>
        <v>#NAME?</v>
      </c>
    </row>
    <row r="1195" customFormat="false" ht="30" hidden="false" customHeight="false" outlineLevel="0" collapsed="false">
      <c r="A1195" s="28" t="s">
        <v>1980</v>
      </c>
      <c r="B1195" s="78" t="s">
        <v>1981</v>
      </c>
      <c r="C1195" s="7" t="s">
        <v>15</v>
      </c>
      <c r="D1195" s="98" t="e">
        <f aca="false">сводн.данные!n1200</f>
        <v>#NAME?</v>
      </c>
      <c r="E1195" s="23" t="n">
        <v>1774.78224648768</v>
      </c>
      <c r="F1195" s="24" t="n">
        <v>0</v>
      </c>
      <c r="G1195" s="24" t="e">
        <f aca="false">D1195-E1195</f>
        <v>#NAME?</v>
      </c>
    </row>
    <row r="1196" customFormat="false" ht="30" hidden="false" customHeight="false" outlineLevel="0" collapsed="false">
      <c r="A1196" s="28" t="s">
        <v>1982</v>
      </c>
      <c r="B1196" s="78" t="s">
        <v>1983</v>
      </c>
      <c r="C1196" s="7" t="s">
        <v>15</v>
      </c>
      <c r="D1196" s="102" t="e">
        <f aca="false">сводн.данные!n1201</f>
        <v>#NAME?</v>
      </c>
      <c r="E1196" s="23" t="n">
        <v>1441.78133487799</v>
      </c>
      <c r="F1196" s="24" t="n">
        <v>0</v>
      </c>
      <c r="G1196" s="24" t="e">
        <f aca="false">D1196-E1196</f>
        <v>#NAME?</v>
      </c>
    </row>
    <row r="1197" customFormat="false" ht="45" hidden="false" customHeight="false" outlineLevel="0" collapsed="false">
      <c r="A1197" s="28" t="s">
        <v>1984</v>
      </c>
      <c r="B1197" s="78" t="s">
        <v>1985</v>
      </c>
      <c r="C1197" s="7" t="s">
        <v>15</v>
      </c>
      <c r="D1197" s="98" t="e">
        <f aca="false">сводн.данные!n1202</f>
        <v>#NAME?</v>
      </c>
      <c r="E1197" s="23" t="n">
        <v>2763.74030603446</v>
      </c>
      <c r="F1197" s="24" t="n">
        <v>0</v>
      </c>
      <c r="G1197" s="24" t="e">
        <f aca="false">D1197-E1197</f>
        <v>#NAME?</v>
      </c>
    </row>
    <row r="1198" customFormat="false" ht="99.75" hidden="false" customHeight="false" outlineLevel="0" collapsed="false">
      <c r="A1198" s="15" t="s">
        <v>1986</v>
      </c>
      <c r="B1198" s="54" t="s">
        <v>1987</v>
      </c>
      <c r="C1198" s="100"/>
      <c r="D1198" s="101"/>
      <c r="E1198" s="33"/>
      <c r="F1198" s="34"/>
      <c r="G1198" s="34"/>
    </row>
    <row r="1199" customFormat="false" ht="15" hidden="false" customHeight="false" outlineLevel="0" collapsed="false">
      <c r="A1199" s="28" t="s">
        <v>1988</v>
      </c>
      <c r="B1199" s="78" t="s">
        <v>1928</v>
      </c>
      <c r="C1199" s="7" t="s">
        <v>15</v>
      </c>
      <c r="D1199" s="98" t="e">
        <f aca="false">сводн.данные!n1204</f>
        <v>#NAME?</v>
      </c>
      <c r="E1199" s="23" t="n">
        <v>2432.82920659966</v>
      </c>
      <c r="F1199" s="24" t="n">
        <v>1120</v>
      </c>
      <c r="G1199" s="24" t="e">
        <f aca="false">D1199-E1199</f>
        <v>#NAME?</v>
      </c>
    </row>
    <row r="1200" customFormat="false" ht="15" hidden="false" customHeight="false" outlineLevel="0" collapsed="false">
      <c r="A1200" s="28" t="s">
        <v>1989</v>
      </c>
      <c r="B1200" s="78" t="s">
        <v>1990</v>
      </c>
      <c r="C1200" s="7" t="s">
        <v>15</v>
      </c>
      <c r="D1200" s="98" t="e">
        <f aca="false">сводн.данные!n1205</f>
        <v>#NAME?</v>
      </c>
      <c r="E1200" s="23" t="n">
        <v>2550.22456576302</v>
      </c>
      <c r="F1200" s="24" t="n">
        <v>2500</v>
      </c>
      <c r="G1200" s="24" t="e">
        <f aca="false">D1200-E1200</f>
        <v>#NAME?</v>
      </c>
    </row>
    <row r="1201" customFormat="false" ht="15" hidden="false" customHeight="false" outlineLevel="0" collapsed="false">
      <c r="A1201" s="28" t="s">
        <v>1991</v>
      </c>
      <c r="B1201" s="78" t="s">
        <v>1992</v>
      </c>
      <c r="C1201" s="7" t="s">
        <v>15</v>
      </c>
      <c r="D1201" s="98" t="e">
        <f aca="false">сводн.данные!n1206</f>
        <v>#NAME?</v>
      </c>
      <c r="E1201" s="23" t="n">
        <v>1842.5449073834</v>
      </c>
      <c r="F1201" s="24" t="n">
        <v>0</v>
      </c>
      <c r="G1201" s="24" t="e">
        <f aca="false">D1201-E1201</f>
        <v>#NAME?</v>
      </c>
    </row>
    <row r="1202" customFormat="false" ht="46.5" hidden="false" customHeight="true" outlineLevel="0" collapsed="false">
      <c r="A1202" s="28" t="s">
        <v>1993</v>
      </c>
      <c r="B1202" s="78" t="s">
        <v>1994</v>
      </c>
      <c r="C1202" s="7" t="s">
        <v>15</v>
      </c>
      <c r="D1202" s="98" t="e">
        <f aca="false">сводн.данные!n1207</f>
        <v>#NAME?</v>
      </c>
      <c r="E1202" s="23" t="n">
        <v>2389.33262387866</v>
      </c>
      <c r="F1202" s="24" t="n">
        <v>6530</v>
      </c>
      <c r="G1202" s="24" t="e">
        <f aca="false">D1202-E1202</f>
        <v>#NAME?</v>
      </c>
    </row>
    <row r="1203" customFormat="false" ht="15" hidden="false" customHeight="false" outlineLevel="0" collapsed="false">
      <c r="A1203" s="28" t="s">
        <v>1995</v>
      </c>
      <c r="B1203" s="78" t="s">
        <v>1996</v>
      </c>
      <c r="C1203" s="7" t="s">
        <v>15</v>
      </c>
      <c r="D1203" s="98" t="e">
        <f aca="false">сводн.данные!n1208</f>
        <v>#NAME?</v>
      </c>
      <c r="E1203" s="23" t="n">
        <v>2240.68009570418</v>
      </c>
      <c r="F1203" s="24" t="n">
        <v>1880</v>
      </c>
      <c r="G1203" s="24" t="e">
        <f aca="false">D1203-E1203</f>
        <v>#NAME?</v>
      </c>
    </row>
    <row r="1204" customFormat="false" ht="15" hidden="false" customHeight="false" outlineLevel="0" collapsed="false">
      <c r="A1204" s="28" t="s">
        <v>1997</v>
      </c>
      <c r="B1204" s="78" t="s">
        <v>1998</v>
      </c>
      <c r="C1204" s="7" t="s">
        <v>15</v>
      </c>
      <c r="D1204" s="98" t="e">
        <f aca="false">сводн.данные!n1209</f>
        <v>#NAME?</v>
      </c>
      <c r="E1204" s="23" t="n">
        <v>1879.02195838543</v>
      </c>
      <c r="F1204" s="24" t="n">
        <v>6530</v>
      </c>
      <c r="G1204" s="24" t="e">
        <f aca="false">D1204-E1204</f>
        <v>#NAME?</v>
      </c>
    </row>
    <row r="1205" customFormat="false" ht="15" hidden="false" customHeight="false" outlineLevel="0" collapsed="false">
      <c r="A1205" s="28" t="s">
        <v>1999</v>
      </c>
      <c r="B1205" s="78" t="s">
        <v>2000</v>
      </c>
      <c r="C1205" s="7" t="s">
        <v>15</v>
      </c>
      <c r="D1205" s="98" t="e">
        <f aca="false">сводн.данные!n1210</f>
        <v>#NAME?</v>
      </c>
      <c r="E1205" s="23" t="n">
        <v>2409.05493297877</v>
      </c>
      <c r="F1205" s="24" t="n">
        <v>2500</v>
      </c>
      <c r="G1205" s="24" t="e">
        <f aca="false">D1205-E1205</f>
        <v>#NAME?</v>
      </c>
    </row>
    <row r="1206" customFormat="false" ht="15" hidden="false" customHeight="false" outlineLevel="0" collapsed="false">
      <c r="A1206" s="28" t="s">
        <v>2001</v>
      </c>
      <c r="B1206" s="78" t="s">
        <v>2002</v>
      </c>
      <c r="C1206" s="7" t="s">
        <v>15</v>
      </c>
      <c r="D1206" s="98" t="e">
        <f aca="false">сводн.данные!n1211</f>
        <v>#NAME?</v>
      </c>
      <c r="E1206" s="23" t="n">
        <v>1636.97130096457</v>
      </c>
      <c r="F1206" s="24" t="n">
        <v>2000</v>
      </c>
      <c r="G1206" s="24" t="e">
        <f aca="false">D1206-E1206</f>
        <v>#NAME?</v>
      </c>
    </row>
    <row r="1207" customFormat="false" ht="15" hidden="false" customHeight="false" outlineLevel="0" collapsed="false">
      <c r="A1207" s="28" t="s">
        <v>2003</v>
      </c>
      <c r="B1207" s="78" t="s">
        <v>2004</v>
      </c>
      <c r="C1207" s="7" t="s">
        <v>15</v>
      </c>
      <c r="D1207" s="98" t="e">
        <f aca="false">сводн.данные!n1212</f>
        <v>#NAME?</v>
      </c>
      <c r="E1207" s="23" t="n">
        <v>3652.89311747821</v>
      </c>
      <c r="F1207" s="24" t="n">
        <v>6540</v>
      </c>
      <c r="G1207" s="24" t="e">
        <f aca="false">D1207-E1207</f>
        <v>#NAME?</v>
      </c>
    </row>
    <row r="1208" customFormat="false" ht="15" hidden="false" customHeight="false" outlineLevel="0" collapsed="false">
      <c r="A1208" s="28" t="s">
        <v>2005</v>
      </c>
      <c r="B1208" s="78" t="s">
        <v>2006</v>
      </c>
      <c r="C1208" s="7" t="s">
        <v>15</v>
      </c>
      <c r="D1208" s="98" t="e">
        <f aca="false">сводн.данные!n1213</f>
        <v>#NAME?</v>
      </c>
      <c r="E1208" s="23" t="n">
        <v>2274.568358193</v>
      </c>
      <c r="F1208" s="24" t="n">
        <v>1700</v>
      </c>
      <c r="G1208" s="24" t="e">
        <f aca="false">D1208-E1208</f>
        <v>#NAME?</v>
      </c>
    </row>
    <row r="1209" customFormat="false" ht="15" hidden="false" customHeight="false" outlineLevel="0" collapsed="false">
      <c r="A1209" s="28" t="s">
        <v>2007</v>
      </c>
      <c r="B1209" s="78" t="s">
        <v>2008</v>
      </c>
      <c r="C1209" s="7" t="s">
        <v>15</v>
      </c>
      <c r="D1209" s="98" t="e">
        <f aca="false">сводн.данные!n1214</f>
        <v>#NAME?</v>
      </c>
      <c r="E1209" s="23" t="n">
        <v>1778.37918712076</v>
      </c>
      <c r="F1209" s="24" t="n">
        <v>1200</v>
      </c>
      <c r="G1209" s="24" t="e">
        <f aca="false">D1209-E1209</f>
        <v>#NAME?</v>
      </c>
    </row>
    <row r="1210" customFormat="false" ht="15" hidden="false" customHeight="false" outlineLevel="0" collapsed="false">
      <c r="A1210" s="28" t="s">
        <v>2009</v>
      </c>
      <c r="B1210" s="78" t="s">
        <v>2010</v>
      </c>
      <c r="C1210" s="7" t="s">
        <v>15</v>
      </c>
      <c r="D1210" s="98" t="e">
        <f aca="false">сводн.данные!n1215</f>
        <v>#NAME?</v>
      </c>
      <c r="E1210" s="23" t="n">
        <v>3814.46830880486</v>
      </c>
      <c r="F1210" s="24" t="n">
        <v>4500</v>
      </c>
      <c r="G1210" s="24" t="e">
        <f aca="false">D1210-E1210</f>
        <v>#NAME?</v>
      </c>
    </row>
    <row r="1211" customFormat="false" ht="48.75" hidden="false" customHeight="true" outlineLevel="0" collapsed="false">
      <c r="A1211" s="28" t="s">
        <v>2011</v>
      </c>
      <c r="B1211" s="78" t="s">
        <v>2012</v>
      </c>
      <c r="C1211" s="7" t="s">
        <v>15</v>
      </c>
      <c r="D1211" s="98" t="e">
        <f aca="false">сводн.данные!n1216</f>
        <v>#NAME?</v>
      </c>
      <c r="E1211" s="23" t="n">
        <v>1590.69244216623</v>
      </c>
      <c r="F1211" s="24" t="n">
        <v>1100</v>
      </c>
      <c r="G1211" s="24" t="e">
        <f aca="false">D1211-E1211</f>
        <v>#NAME?</v>
      </c>
    </row>
    <row r="1212" customFormat="false" ht="34.5" hidden="false" customHeight="true" outlineLevel="0" collapsed="false">
      <c r="A1212" s="28" t="s">
        <v>2013</v>
      </c>
      <c r="B1212" s="78" t="s">
        <v>2014</v>
      </c>
      <c r="C1212" s="7" t="s">
        <v>15</v>
      </c>
      <c r="D1212" s="98" t="e">
        <f aca="false">сводн.данные!n1217</f>
        <v>#NAME?</v>
      </c>
      <c r="E1212" s="23" t="n">
        <v>2242.14064274739</v>
      </c>
      <c r="F1212" s="24" t="n">
        <v>1000</v>
      </c>
      <c r="G1212" s="24" t="e">
        <f aca="false">D1212-E1212</f>
        <v>#NAME?</v>
      </c>
    </row>
    <row r="1213" customFormat="false" ht="15" hidden="false" customHeight="false" outlineLevel="0" collapsed="false">
      <c r="A1213" s="28" t="s">
        <v>2015</v>
      </c>
      <c r="B1213" s="78" t="s">
        <v>2016</v>
      </c>
      <c r="C1213" s="7" t="s">
        <v>15</v>
      </c>
      <c r="D1213" s="98" t="e">
        <f aca="false">сводн.данные!n1218</f>
        <v>#NAME?</v>
      </c>
      <c r="E1213" s="23" t="n">
        <v>4893.21963481427</v>
      </c>
      <c r="F1213" s="24" t="n">
        <v>10160</v>
      </c>
      <c r="G1213" s="24" t="e">
        <f aca="false">D1213-E1213</f>
        <v>#NAME?</v>
      </c>
    </row>
    <row r="1214" customFormat="false" ht="15" hidden="false" customHeight="false" outlineLevel="0" collapsed="false">
      <c r="A1214" s="15" t="s">
        <v>2017</v>
      </c>
      <c r="B1214" s="88" t="s">
        <v>2018</v>
      </c>
      <c r="C1214" s="100"/>
      <c r="D1214" s="101"/>
      <c r="E1214" s="33"/>
      <c r="F1214" s="34"/>
      <c r="G1214" s="34"/>
    </row>
    <row r="1215" customFormat="false" ht="15" hidden="false" customHeight="false" outlineLevel="0" collapsed="false">
      <c r="A1215" s="28" t="s">
        <v>2019</v>
      </c>
      <c r="B1215" s="78" t="s">
        <v>2020</v>
      </c>
      <c r="C1215" s="7" t="s">
        <v>15</v>
      </c>
      <c r="D1215" s="98" t="e">
        <f aca="false">сводн.данные!n1220</f>
        <v>#NAME?</v>
      </c>
      <c r="E1215" s="23" t="n">
        <v>2222.09246037548</v>
      </c>
      <c r="F1215" s="24" t="n">
        <v>2870</v>
      </c>
      <c r="G1215" s="24" t="e">
        <f aca="false">D1215-E1215</f>
        <v>#NAME?</v>
      </c>
    </row>
    <row r="1216" customFormat="false" ht="19.5" hidden="false" customHeight="true" outlineLevel="0" collapsed="false">
      <c r="A1216" s="28" t="s">
        <v>2021</v>
      </c>
      <c r="B1216" s="78" t="s">
        <v>2022</v>
      </c>
      <c r="C1216" s="7" t="s">
        <v>15</v>
      </c>
      <c r="D1216" s="98" t="e">
        <f aca="false">сводн.данные!n1221</f>
        <v>#NAME?</v>
      </c>
      <c r="E1216" s="23" t="n">
        <v>2224.24240772764</v>
      </c>
      <c r="F1216" s="24" t="n">
        <v>0</v>
      </c>
      <c r="G1216" s="24" t="e">
        <f aca="false">D1216-E1216</f>
        <v>#NAME?</v>
      </c>
    </row>
    <row r="1217" customFormat="false" ht="15" hidden="false" customHeight="false" outlineLevel="0" collapsed="false">
      <c r="A1217" s="28" t="s">
        <v>2023</v>
      </c>
      <c r="B1217" s="78" t="s">
        <v>2024</v>
      </c>
      <c r="C1217" s="7" t="s">
        <v>15</v>
      </c>
      <c r="D1217" s="98" t="e">
        <f aca="false">сводн.данные!n1222</f>
        <v>#NAME?</v>
      </c>
      <c r="E1217" s="23" t="n">
        <v>2421.0490971711</v>
      </c>
      <c r="F1217" s="24" t="n">
        <v>830</v>
      </c>
      <c r="G1217" s="24" t="e">
        <f aca="false">D1217-E1217</f>
        <v>#NAME?</v>
      </c>
    </row>
    <row r="1218" customFormat="false" ht="15" hidden="false" customHeight="false" outlineLevel="0" collapsed="false">
      <c r="A1218" s="28" t="s">
        <v>2025</v>
      </c>
      <c r="B1218" s="78" t="s">
        <v>2026</v>
      </c>
      <c r="C1218" s="7" t="s">
        <v>15</v>
      </c>
      <c r="D1218" s="98" t="e">
        <f aca="false">сводн.данные!n1223</f>
        <v>#NAME?</v>
      </c>
      <c r="E1218" s="23" t="n">
        <v>3489.41993348773</v>
      </c>
      <c r="F1218" s="24" t="n">
        <v>830</v>
      </c>
      <c r="G1218" s="24" t="e">
        <f aca="false">D1218-E1218</f>
        <v>#NAME?</v>
      </c>
    </row>
    <row r="1219" customFormat="false" ht="21.75" hidden="false" customHeight="true" outlineLevel="0" collapsed="false">
      <c r="A1219" s="15" t="s">
        <v>2027</v>
      </c>
      <c r="B1219" s="88" t="s">
        <v>2028</v>
      </c>
      <c r="C1219" s="100"/>
      <c r="D1219" s="101"/>
      <c r="E1219" s="33"/>
      <c r="F1219" s="34"/>
      <c r="G1219" s="34"/>
    </row>
    <row r="1220" customFormat="false" ht="60" hidden="false" customHeight="false" outlineLevel="0" collapsed="false">
      <c r="A1220" s="28" t="s">
        <v>2029</v>
      </c>
      <c r="B1220" s="78" t="s">
        <v>2030</v>
      </c>
      <c r="C1220" s="7" t="s">
        <v>15</v>
      </c>
      <c r="D1220" s="98" t="e">
        <f aca="false">сводн.данные!n1225</f>
        <v>#NAME?</v>
      </c>
      <c r="E1220" s="23" t="n">
        <v>3687.47417656615</v>
      </c>
      <c r="F1220" s="24" t="n">
        <v>3300</v>
      </c>
      <c r="G1220" s="24" t="e">
        <f aca="false">D1220-E1220</f>
        <v>#NAME?</v>
      </c>
    </row>
    <row r="1221" customFormat="false" ht="15" hidden="false" customHeight="false" outlineLevel="0" collapsed="false">
      <c r="A1221" s="28" t="s">
        <v>2031</v>
      </c>
      <c r="B1221" s="78" t="s">
        <v>2032</v>
      </c>
      <c r="C1221" s="7" t="s">
        <v>15</v>
      </c>
      <c r="D1221" s="98" t="e">
        <f aca="false">сводн.данные!n1226</f>
        <v>#NAME?</v>
      </c>
      <c r="E1221" s="23" t="n">
        <v>5274.29467466845</v>
      </c>
      <c r="F1221" s="24" t="n">
        <v>3500</v>
      </c>
      <c r="G1221" s="24" t="e">
        <f aca="false">D1221-E1221</f>
        <v>#NAME?</v>
      </c>
    </row>
    <row r="1222" customFormat="false" ht="15" hidden="false" customHeight="false" outlineLevel="0" collapsed="false">
      <c r="A1222" s="15" t="s">
        <v>2033</v>
      </c>
      <c r="B1222" s="88" t="s">
        <v>2034</v>
      </c>
      <c r="C1222" s="100"/>
      <c r="D1222" s="101"/>
      <c r="E1222" s="33"/>
      <c r="F1222" s="34"/>
      <c r="G1222" s="34"/>
    </row>
    <row r="1223" customFormat="false" ht="45" hidden="false" customHeight="false" outlineLevel="0" collapsed="false">
      <c r="A1223" s="28" t="s">
        <v>2035</v>
      </c>
      <c r="B1223" s="78" t="s">
        <v>2036</v>
      </c>
      <c r="C1223" s="7" t="s">
        <v>15</v>
      </c>
      <c r="D1223" s="98" t="e">
        <f aca="false">сводн.данные!n1228</f>
        <v>#NAME?</v>
      </c>
      <c r="E1223" s="23" t="n">
        <v>3495.55769711211</v>
      </c>
      <c r="F1223" s="24" t="n">
        <v>3500</v>
      </c>
      <c r="G1223" s="24" t="e">
        <f aca="false">D1223-E1223</f>
        <v>#NAME?</v>
      </c>
    </row>
    <row r="1224" customFormat="false" ht="15" hidden="false" customHeight="false" outlineLevel="0" collapsed="false">
      <c r="A1224" s="15" t="s">
        <v>2037</v>
      </c>
      <c r="B1224" s="103" t="s">
        <v>2038</v>
      </c>
      <c r="C1224" s="100"/>
      <c r="D1224" s="101"/>
      <c r="E1224" s="33"/>
      <c r="F1224" s="34"/>
      <c r="G1224" s="34"/>
    </row>
    <row r="1225" customFormat="false" ht="15" hidden="false" customHeight="false" outlineLevel="0" collapsed="false">
      <c r="A1225" s="28" t="s">
        <v>2039</v>
      </c>
      <c r="B1225" s="104" t="s">
        <v>2040</v>
      </c>
      <c r="C1225" s="7" t="s">
        <v>15</v>
      </c>
      <c r="D1225" s="98" t="e">
        <f aca="false">сводн.данные!n1230</f>
        <v>#NAME?</v>
      </c>
      <c r="E1225" s="23"/>
      <c r="F1225" s="24"/>
      <c r="G1225" s="24" t="e">
        <f aca="false">D1225-E1225</f>
        <v>#NAME?</v>
      </c>
    </row>
    <row r="1226" customFormat="false" ht="15" hidden="false" customHeight="false" outlineLevel="0" collapsed="false">
      <c r="A1226" s="28" t="s">
        <v>2041</v>
      </c>
      <c r="B1226" s="104" t="s">
        <v>2042</v>
      </c>
      <c r="C1226" s="7" t="s">
        <v>15</v>
      </c>
      <c r="D1226" s="98" t="e">
        <f aca="false">сводн.данные!n1231</f>
        <v>#NAME?</v>
      </c>
      <c r="E1226" s="23"/>
      <c r="F1226" s="24"/>
      <c r="G1226" s="24" t="e">
        <f aca="false">D1226-E1226</f>
        <v>#NAME?</v>
      </c>
    </row>
    <row r="1227" customFormat="false" ht="15" hidden="false" customHeight="false" outlineLevel="0" collapsed="false">
      <c r="A1227" s="28" t="s">
        <v>2043</v>
      </c>
      <c r="B1227" s="105" t="s">
        <v>2044</v>
      </c>
      <c r="C1227" s="7" t="s">
        <v>15</v>
      </c>
      <c r="D1227" s="98" t="e">
        <f aca="false">сводн.данные!n1232</f>
        <v>#NAME?</v>
      </c>
      <c r="E1227" s="23"/>
      <c r="F1227" s="24"/>
      <c r="G1227" s="24" t="e">
        <f aca="false">D1227-E1227</f>
        <v>#NAME?</v>
      </c>
    </row>
    <row r="1228" customFormat="false" ht="15" hidden="false" customHeight="false" outlineLevel="0" collapsed="false">
      <c r="A1228" s="28" t="s">
        <v>2045</v>
      </c>
      <c r="B1228" s="106" t="s">
        <v>2046</v>
      </c>
      <c r="C1228" s="7" t="s">
        <v>15</v>
      </c>
      <c r="D1228" s="98" t="e">
        <f aca="false">сводн.данные!n1233</f>
        <v>#NAME?</v>
      </c>
      <c r="E1228" s="23"/>
      <c r="F1228" s="24"/>
      <c r="G1228" s="24" t="e">
        <f aca="false">D1228-E1228</f>
        <v>#NAME?</v>
      </c>
    </row>
    <row r="1229" customFormat="false" ht="15" hidden="false" customHeight="false" outlineLevel="0" collapsed="false">
      <c r="A1229" s="28" t="s">
        <v>2047</v>
      </c>
      <c r="B1229" s="106" t="s">
        <v>2048</v>
      </c>
      <c r="C1229" s="7" t="s">
        <v>15</v>
      </c>
      <c r="D1229" s="98" t="e">
        <f aca="false">сводн.данные!n1234</f>
        <v>#NAME?</v>
      </c>
      <c r="E1229" s="23"/>
      <c r="F1229" s="24"/>
      <c r="G1229" s="24" t="e">
        <f aca="false">D1229-E1229</f>
        <v>#NAME?</v>
      </c>
    </row>
    <row r="1230" customFormat="false" ht="15" hidden="false" customHeight="false" outlineLevel="0" collapsed="false">
      <c r="A1230" s="28" t="s">
        <v>2049</v>
      </c>
      <c r="B1230" s="107" t="s">
        <v>2050</v>
      </c>
      <c r="C1230" s="7" t="s">
        <v>15</v>
      </c>
      <c r="D1230" s="98" t="e">
        <f aca="false">сводн.данные!n1235</f>
        <v>#NAME?</v>
      </c>
      <c r="E1230" s="23"/>
      <c r="F1230" s="24"/>
      <c r="G1230" s="24" t="e">
        <f aca="false">D1230-E1230</f>
        <v>#NAME?</v>
      </c>
    </row>
    <row r="1231" customFormat="false" ht="15" hidden="false" customHeight="false" outlineLevel="0" collapsed="false">
      <c r="A1231" s="28" t="s">
        <v>2051</v>
      </c>
      <c r="B1231" s="107" t="s">
        <v>2052</v>
      </c>
      <c r="C1231" s="7" t="s">
        <v>15</v>
      </c>
      <c r="D1231" s="98" t="e">
        <f aca="false">сводн.данные!n1236</f>
        <v>#NAME?</v>
      </c>
      <c r="E1231" s="23"/>
      <c r="F1231" s="24"/>
      <c r="G1231" s="24" t="e">
        <f aca="false">D1231-E1231</f>
        <v>#NAME?</v>
      </c>
    </row>
    <row r="1232" customFormat="false" ht="15" hidden="false" customHeight="false" outlineLevel="0" collapsed="false">
      <c r="A1232" s="28" t="s">
        <v>2053</v>
      </c>
      <c r="B1232" s="108" t="s">
        <v>2054</v>
      </c>
      <c r="C1232" s="7" t="s">
        <v>15</v>
      </c>
      <c r="D1232" s="98" t="e">
        <f aca="false">сводн.данные!n1237</f>
        <v>#NAME?</v>
      </c>
      <c r="E1232" s="23"/>
      <c r="F1232" s="24"/>
      <c r="G1232" s="24" t="e">
        <f aca="false">D1232-E1232</f>
        <v>#NAME?</v>
      </c>
    </row>
    <row r="1233" customFormat="false" ht="15" hidden="false" customHeight="false" outlineLevel="0" collapsed="false">
      <c r="A1233" s="28" t="s">
        <v>2055</v>
      </c>
      <c r="B1233" s="78" t="s">
        <v>2056</v>
      </c>
      <c r="C1233" s="7" t="s">
        <v>15</v>
      </c>
      <c r="D1233" s="98" t="e">
        <f aca="false">сводн.данные!n1238</f>
        <v>#NAME?</v>
      </c>
      <c r="E1233" s="23"/>
      <c r="F1233" s="24"/>
      <c r="G1233" s="24" t="e">
        <f aca="false">D1233-E1233</f>
        <v>#NAME?</v>
      </c>
    </row>
    <row r="1234" customFormat="false" ht="15" hidden="false" customHeight="false" outlineLevel="0" collapsed="false">
      <c r="A1234" s="28" t="s">
        <v>2057</v>
      </c>
      <c r="B1234" s="108" t="s">
        <v>2058</v>
      </c>
      <c r="C1234" s="7" t="s">
        <v>15</v>
      </c>
      <c r="D1234" s="98" t="e">
        <f aca="false">сводн.данные!n1239</f>
        <v>#NAME?</v>
      </c>
      <c r="E1234" s="23"/>
      <c r="F1234" s="24"/>
      <c r="G1234" s="24" t="e">
        <f aca="false">D1234-E1234</f>
        <v>#NAME?</v>
      </c>
    </row>
    <row r="1235" customFormat="false" ht="30" hidden="false" customHeight="false" outlineLevel="0" collapsed="false">
      <c r="A1235" s="28" t="s">
        <v>2059</v>
      </c>
      <c r="B1235" s="107" t="s">
        <v>2060</v>
      </c>
      <c r="C1235" s="7" t="s">
        <v>15</v>
      </c>
      <c r="D1235" s="98" t="e">
        <f aca="false">сводн.данные!n1240</f>
        <v>#NAME?</v>
      </c>
      <c r="E1235" s="23"/>
      <c r="F1235" s="24"/>
      <c r="G1235" s="24" t="e">
        <f aca="false">D1235-E1235</f>
        <v>#NAME?</v>
      </c>
    </row>
    <row r="1236" customFormat="false" ht="28.5" hidden="false" customHeight="false" outlineLevel="0" collapsed="false">
      <c r="A1236" s="109" t="s">
        <v>2061</v>
      </c>
      <c r="B1236" s="11" t="s">
        <v>2062</v>
      </c>
      <c r="C1236" s="110"/>
      <c r="D1236" s="111"/>
      <c r="E1236" s="70"/>
      <c r="F1236" s="71"/>
      <c r="G1236" s="71"/>
    </row>
    <row r="1237" customFormat="false" ht="17.25" hidden="false" customHeight="true" outlineLevel="0" collapsed="false">
      <c r="A1237" s="28" t="s">
        <v>2063</v>
      </c>
      <c r="B1237" s="78" t="s">
        <v>2064</v>
      </c>
      <c r="C1237" s="7" t="s">
        <v>15</v>
      </c>
      <c r="D1237" s="112" t="e">
        <f aca="false">сводн.данные!n1242</f>
        <v>#NAME?</v>
      </c>
      <c r="E1237" s="113" t="n">
        <v>1219.97252497838</v>
      </c>
      <c r="F1237" s="63" t="n">
        <v>390</v>
      </c>
      <c r="G1237" s="24" t="e">
        <f aca="false">D1237-E1237</f>
        <v>#NAME?</v>
      </c>
    </row>
    <row r="1238" customFormat="false" ht="15" hidden="false" customHeight="false" outlineLevel="0" collapsed="false">
      <c r="A1238" s="28" t="s">
        <v>2065</v>
      </c>
      <c r="B1238" s="78" t="s">
        <v>2066</v>
      </c>
      <c r="C1238" s="7" t="s">
        <v>15</v>
      </c>
      <c r="D1238" s="112" t="e">
        <f aca="false">сводн.данные!n1243</f>
        <v>#NAME?</v>
      </c>
      <c r="E1238" s="113" t="n">
        <v>1021.01147619451</v>
      </c>
      <c r="F1238" s="63" t="n">
        <v>300</v>
      </c>
      <c r="G1238" s="24" t="e">
        <f aca="false">D1238-E1238</f>
        <v>#NAME?</v>
      </c>
    </row>
    <row r="1239" customFormat="false" ht="15" hidden="false" customHeight="false" outlineLevel="0" collapsed="false">
      <c r="A1239" s="28" t="s">
        <v>2067</v>
      </c>
      <c r="B1239" s="78" t="s">
        <v>2068</v>
      </c>
      <c r="C1239" s="7" t="s">
        <v>15</v>
      </c>
      <c r="D1239" s="112" t="e">
        <f aca="false">сводн.данные!n1244</f>
        <v>#NAME?</v>
      </c>
      <c r="E1239" s="113" t="n">
        <v>1567.49442130638</v>
      </c>
      <c r="F1239" s="63" t="n">
        <v>520</v>
      </c>
      <c r="G1239" s="24" t="e">
        <f aca="false">D1239-E1239</f>
        <v>#NAME?</v>
      </c>
    </row>
    <row r="1240" customFormat="false" ht="15" hidden="false" customHeight="false" outlineLevel="0" collapsed="false">
      <c r="A1240" s="28" t="s">
        <v>2069</v>
      </c>
      <c r="B1240" s="78" t="s">
        <v>2070</v>
      </c>
      <c r="C1240" s="7" t="s">
        <v>15</v>
      </c>
      <c r="D1240" s="112" t="e">
        <f aca="false">сводн.данные!n1245</f>
        <v>#NAME?</v>
      </c>
      <c r="E1240" s="113" t="n">
        <v>1544.92391721134</v>
      </c>
      <c r="F1240" s="63" t="n">
        <v>540</v>
      </c>
      <c r="G1240" s="24" t="e">
        <f aca="false">D1240-E1240</f>
        <v>#NAME?</v>
      </c>
    </row>
    <row r="1241" customFormat="false" ht="15" hidden="false" customHeight="false" outlineLevel="0" collapsed="false">
      <c r="A1241" s="28" t="s">
        <v>2071</v>
      </c>
      <c r="B1241" s="40" t="s">
        <v>2072</v>
      </c>
      <c r="C1241" s="7" t="s">
        <v>15</v>
      </c>
      <c r="D1241" s="112" t="e">
        <f aca="false">сводн.данные!n1246</f>
        <v>#NAME?</v>
      </c>
      <c r="E1241" s="113" t="n">
        <v>2533.2693510395</v>
      </c>
      <c r="F1241" s="63" t="n">
        <v>500</v>
      </c>
      <c r="G1241" s="24" t="e">
        <f aca="false">D1241-E1241</f>
        <v>#NAME?</v>
      </c>
    </row>
    <row r="1242" customFormat="false" ht="15" hidden="false" customHeight="false" outlineLevel="0" collapsed="false">
      <c r="A1242" s="28" t="s">
        <v>2073</v>
      </c>
      <c r="B1242" s="78" t="s">
        <v>2074</v>
      </c>
      <c r="C1242" s="7" t="s">
        <v>15</v>
      </c>
      <c r="D1242" s="112" t="e">
        <f aca="false">сводн.данные!n1247</f>
        <v>#NAME?</v>
      </c>
      <c r="E1242" s="113" t="n">
        <v>1634.31668167525</v>
      </c>
      <c r="F1242" s="63" t="n">
        <v>0</v>
      </c>
      <c r="G1242" s="24" t="e">
        <f aca="false">D1242-E1242</f>
        <v>#NAME?</v>
      </c>
    </row>
    <row r="1243" customFormat="false" ht="15" hidden="false" customHeight="false" outlineLevel="0" collapsed="false">
      <c r="A1243" s="28" t="s">
        <v>2075</v>
      </c>
      <c r="B1243" s="78" t="s">
        <v>2076</v>
      </c>
      <c r="C1243" s="7" t="s">
        <v>15</v>
      </c>
      <c r="D1243" s="112" t="e">
        <f aca="false">сводн.данные!n1248</f>
        <v>#NAME?</v>
      </c>
      <c r="E1243" s="113" t="n">
        <v>1565.49435571786</v>
      </c>
      <c r="F1243" s="63" t="n">
        <v>0</v>
      </c>
      <c r="G1243" s="24" t="e">
        <f aca="false">D1243-E1243</f>
        <v>#NAME?</v>
      </c>
    </row>
    <row r="1244" customFormat="false" ht="44.25" hidden="false" customHeight="true" outlineLevel="0" collapsed="false">
      <c r="A1244" s="28" t="s">
        <v>2077</v>
      </c>
      <c r="B1244" s="78" t="s">
        <v>2078</v>
      </c>
      <c r="C1244" s="7" t="s">
        <v>15</v>
      </c>
      <c r="D1244" s="112" t="e">
        <f aca="false">сводн.данные!n1249</f>
        <v>#NAME?</v>
      </c>
      <c r="E1244" s="113" t="n">
        <v>1917.17151330501</v>
      </c>
      <c r="F1244" s="63" t="n">
        <v>0</v>
      </c>
      <c r="G1244" s="24" t="e">
        <f aca="false">D1244-E1244</f>
        <v>#NAME?</v>
      </c>
    </row>
    <row r="1245" customFormat="false" ht="15" hidden="false" customHeight="false" outlineLevel="0" collapsed="false">
      <c r="A1245" s="28" t="s">
        <v>2079</v>
      </c>
      <c r="B1245" s="114" t="s">
        <v>2080</v>
      </c>
      <c r="C1245" s="7" t="s">
        <v>15</v>
      </c>
      <c r="D1245" s="112" t="e">
        <f aca="false">сводн.данные!n1250</f>
        <v>#NAME?</v>
      </c>
      <c r="E1245" s="113" t="n">
        <v>1681.9595930853</v>
      </c>
      <c r="F1245" s="63" t="n">
        <v>0</v>
      </c>
      <c r="G1245" s="24" t="e">
        <f aca="false">D1245-E1245</f>
        <v>#NAME?</v>
      </c>
    </row>
    <row r="1246" customFormat="false" ht="15" hidden="false" customHeight="false" outlineLevel="0" collapsed="false">
      <c r="A1246" s="28" t="s">
        <v>2081</v>
      </c>
      <c r="B1246" s="114" t="s">
        <v>2082</v>
      </c>
      <c r="C1246" s="7" t="s">
        <v>15</v>
      </c>
      <c r="D1246" s="112" t="e">
        <f aca="false">сводн.данные!n1251</f>
        <v>#NAME?</v>
      </c>
      <c r="E1246" s="113" t="n">
        <v>1823.13692620271</v>
      </c>
      <c r="F1246" s="63" t="n">
        <v>0</v>
      </c>
      <c r="G1246" s="24" t="e">
        <f aca="false">D1246-E1246</f>
        <v>#NAME?</v>
      </c>
    </row>
    <row r="1247" customFormat="false" ht="15" hidden="false" customHeight="false" outlineLevel="0" collapsed="false">
      <c r="A1247" s="28" t="s">
        <v>2083</v>
      </c>
      <c r="B1247" s="78" t="s">
        <v>2084</v>
      </c>
      <c r="C1247" s="7" t="s">
        <v>15</v>
      </c>
      <c r="D1247" s="112" t="e">
        <f aca="false">сводн.данные!n1252</f>
        <v>#NAME?</v>
      </c>
      <c r="E1247" s="113" t="n">
        <v>1421.70878645187</v>
      </c>
      <c r="F1247" s="63" t="n">
        <v>0</v>
      </c>
      <c r="G1247" s="24" t="e">
        <f aca="false">D1247-E1247</f>
        <v>#NAME?</v>
      </c>
    </row>
    <row r="1248" customFormat="false" ht="15" hidden="false" customHeight="false" outlineLevel="0" collapsed="false">
      <c r="A1248" s="28" t="s">
        <v>2085</v>
      </c>
      <c r="B1248" s="78" t="s">
        <v>2086</v>
      </c>
      <c r="C1248" s="7" t="s">
        <v>15</v>
      </c>
      <c r="D1248" s="112" t="e">
        <f aca="false">сводн.данные!n1253</f>
        <v>#NAME?</v>
      </c>
      <c r="E1248" s="113" t="n">
        <v>2250.79119878985</v>
      </c>
      <c r="F1248" s="63" t="n">
        <v>1950</v>
      </c>
      <c r="G1248" s="24" t="e">
        <f aca="false">D1248-E1248</f>
        <v>#NAME?</v>
      </c>
    </row>
    <row r="1249" customFormat="false" ht="15" hidden="false" customHeight="false" outlineLevel="0" collapsed="false">
      <c r="A1249" s="28" t="s">
        <v>2087</v>
      </c>
      <c r="B1249" s="78" t="s">
        <v>2088</v>
      </c>
      <c r="C1249" s="7" t="s">
        <v>15</v>
      </c>
      <c r="D1249" s="112" t="e">
        <f aca="false">сводн.данные!n1254</f>
        <v>#NAME?</v>
      </c>
      <c r="E1249" s="113" t="n">
        <v>2228.97869878985</v>
      </c>
      <c r="F1249" s="63" t="n">
        <v>1950</v>
      </c>
      <c r="G1249" s="24" t="e">
        <f aca="false">D1249-E1249</f>
        <v>#NAME?</v>
      </c>
    </row>
    <row r="1250" customFormat="false" ht="15" hidden="false" customHeight="false" outlineLevel="0" collapsed="false">
      <c r="A1250" s="28" t="s">
        <v>2089</v>
      </c>
      <c r="B1250" s="78" t="s">
        <v>2090</v>
      </c>
      <c r="C1250" s="7" t="s">
        <v>15</v>
      </c>
      <c r="D1250" s="112" t="e">
        <f aca="false">сводн.данные!n1255</f>
        <v>#NAME?</v>
      </c>
      <c r="E1250" s="113" t="n">
        <v>2229.51619878985</v>
      </c>
      <c r="F1250" s="63" t="n">
        <v>1950</v>
      </c>
      <c r="G1250" s="24" t="e">
        <f aca="false">D1250-E1250</f>
        <v>#NAME?</v>
      </c>
    </row>
    <row r="1251" customFormat="false" ht="15" hidden="false" customHeight="false" outlineLevel="0" collapsed="false">
      <c r="A1251" s="28" t="s">
        <v>2091</v>
      </c>
      <c r="B1251" s="78" t="s">
        <v>2092</v>
      </c>
      <c r="C1251" s="7" t="s">
        <v>15</v>
      </c>
      <c r="D1251" s="112" t="e">
        <f aca="false">сводн.данные!n1256</f>
        <v>#NAME?</v>
      </c>
      <c r="E1251" s="113" t="n">
        <v>2229.65369878985</v>
      </c>
      <c r="F1251" s="63" t="n">
        <v>1950</v>
      </c>
      <c r="G1251" s="24" t="e">
        <f aca="false">D1251-E1251</f>
        <v>#NAME?</v>
      </c>
    </row>
    <row r="1252" customFormat="false" ht="15" hidden="false" customHeight="false" outlineLevel="0" collapsed="false">
      <c r="A1252" s="28" t="s">
        <v>2093</v>
      </c>
      <c r="B1252" s="78" t="s">
        <v>2094</v>
      </c>
      <c r="C1252" s="7" t="s">
        <v>15</v>
      </c>
      <c r="D1252" s="112" t="e">
        <f aca="false">сводн.данные!n1257</f>
        <v>#NAME?</v>
      </c>
      <c r="E1252" s="113" t="n">
        <v>2229.44119878985</v>
      </c>
      <c r="F1252" s="63" t="n">
        <v>1950</v>
      </c>
      <c r="G1252" s="24" t="e">
        <f aca="false">D1252-E1252</f>
        <v>#NAME?</v>
      </c>
    </row>
    <row r="1253" customFormat="false" ht="15" hidden="false" customHeight="false" outlineLevel="0" collapsed="false">
      <c r="A1253" s="28" t="s">
        <v>2095</v>
      </c>
      <c r="B1253" s="78" t="s">
        <v>2096</v>
      </c>
      <c r="C1253" s="7" t="s">
        <v>15</v>
      </c>
      <c r="D1253" s="112" t="e">
        <f aca="false">сводн.данные!n1258</f>
        <v>#NAME?</v>
      </c>
      <c r="E1253" s="113" t="n">
        <v>2229.27869878985</v>
      </c>
      <c r="F1253" s="63" t="n">
        <v>1950</v>
      </c>
      <c r="G1253" s="24" t="e">
        <f aca="false">D1253-E1253</f>
        <v>#NAME?</v>
      </c>
    </row>
    <row r="1254" customFormat="false" ht="15" hidden="false" customHeight="false" outlineLevel="0" collapsed="false">
      <c r="A1254" s="28" t="s">
        <v>2097</v>
      </c>
      <c r="B1254" s="78" t="s">
        <v>2098</v>
      </c>
      <c r="C1254" s="7" t="s">
        <v>15</v>
      </c>
      <c r="D1254" s="112" t="e">
        <f aca="false">сводн.данные!n1259</f>
        <v>#NAME?</v>
      </c>
      <c r="E1254" s="113" t="n">
        <v>1484.29623944952</v>
      </c>
      <c r="F1254" s="63" t="n">
        <v>1950</v>
      </c>
      <c r="G1254" s="24" t="e">
        <f aca="false">D1254-E1254</f>
        <v>#NAME?</v>
      </c>
    </row>
    <row r="1255" customFormat="false" ht="15" hidden="false" customHeight="false" outlineLevel="0" collapsed="false">
      <c r="A1255" s="28" t="s">
        <v>2099</v>
      </c>
      <c r="B1255" s="78" t="s">
        <v>2100</v>
      </c>
      <c r="C1255" s="7" t="s">
        <v>15</v>
      </c>
      <c r="D1255" s="112" t="e">
        <f aca="false">сводн.данные!n1260</f>
        <v>#NAME?</v>
      </c>
      <c r="E1255" s="113" t="n">
        <v>2229.54119878985</v>
      </c>
      <c r="F1255" s="63" t="n">
        <v>1950</v>
      </c>
      <c r="G1255" s="24" t="e">
        <f aca="false">D1255-E1255</f>
        <v>#NAME?</v>
      </c>
    </row>
    <row r="1256" customFormat="false" ht="15" hidden="false" customHeight="false" outlineLevel="0" collapsed="false">
      <c r="A1256" s="28" t="s">
        <v>2101</v>
      </c>
      <c r="B1256" s="78" t="s">
        <v>2102</v>
      </c>
      <c r="C1256" s="7" t="s">
        <v>15</v>
      </c>
      <c r="D1256" s="112" t="e">
        <f aca="false">сводн.данные!n1261</f>
        <v>#NAME?</v>
      </c>
      <c r="E1256" s="113" t="n">
        <v>2231.54356608629</v>
      </c>
      <c r="F1256" s="63" t="n">
        <v>1950</v>
      </c>
      <c r="G1256" s="24" t="e">
        <f aca="false">D1256-E1256</f>
        <v>#NAME?</v>
      </c>
    </row>
    <row r="1257" customFormat="false" ht="15" hidden="false" customHeight="false" outlineLevel="0" collapsed="false">
      <c r="A1257" s="28" t="s">
        <v>2103</v>
      </c>
      <c r="B1257" s="78" t="s">
        <v>2104</v>
      </c>
      <c r="C1257" s="7" t="s">
        <v>15</v>
      </c>
      <c r="D1257" s="112" t="e">
        <f aca="false">сводн.данные!n1262</f>
        <v>#NAME?</v>
      </c>
      <c r="E1257" s="113" t="n">
        <v>2229.19119878985</v>
      </c>
      <c r="F1257" s="63" t="n">
        <v>1950</v>
      </c>
      <c r="G1257" s="24" t="e">
        <f aca="false">D1257-E1257</f>
        <v>#NAME?</v>
      </c>
    </row>
    <row r="1258" customFormat="false" ht="15" hidden="false" customHeight="false" outlineLevel="0" collapsed="false">
      <c r="A1258" s="28" t="s">
        <v>2105</v>
      </c>
      <c r="B1258" s="78" t="s">
        <v>2106</v>
      </c>
      <c r="C1258" s="7" t="s">
        <v>15</v>
      </c>
      <c r="D1258" s="112" t="e">
        <f aca="false">сводн.данные!n1263</f>
        <v>#NAME?</v>
      </c>
      <c r="E1258" s="113" t="n">
        <v>2230.09119878985</v>
      </c>
      <c r="F1258" s="63" t="n">
        <v>1950</v>
      </c>
      <c r="G1258" s="24" t="e">
        <f aca="false">D1258-E1258</f>
        <v>#NAME?</v>
      </c>
    </row>
    <row r="1259" customFormat="false" ht="15" hidden="false" customHeight="false" outlineLevel="0" collapsed="false">
      <c r="A1259" s="28" t="s">
        <v>2107</v>
      </c>
      <c r="B1259" s="78" t="s">
        <v>2108</v>
      </c>
      <c r="C1259" s="7" t="s">
        <v>15</v>
      </c>
      <c r="D1259" s="112" t="e">
        <f aca="false">сводн.данные!n1264</f>
        <v>#NAME?</v>
      </c>
      <c r="E1259" s="113" t="n">
        <v>2899.93825950925</v>
      </c>
      <c r="F1259" s="63" t="n">
        <v>1950</v>
      </c>
      <c r="G1259" s="24" t="e">
        <f aca="false">D1259-E1259</f>
        <v>#NAME?</v>
      </c>
    </row>
    <row r="1260" customFormat="false" ht="15" hidden="false" customHeight="false" outlineLevel="0" collapsed="false">
      <c r="A1260" s="28" t="s">
        <v>2109</v>
      </c>
      <c r="B1260" s="78" t="s">
        <v>2110</v>
      </c>
      <c r="C1260" s="7" t="s">
        <v>15</v>
      </c>
      <c r="D1260" s="112" t="e">
        <f aca="false">сводн.данные!n1265</f>
        <v>#NAME?</v>
      </c>
      <c r="E1260" s="113" t="n">
        <v>1514.78849004888</v>
      </c>
      <c r="F1260" s="63" t="n">
        <v>430</v>
      </c>
      <c r="G1260" s="24" t="e">
        <f aca="false">D1260-E1260</f>
        <v>#NAME?</v>
      </c>
    </row>
    <row r="1261" customFormat="false" ht="15" hidden="false" customHeight="false" outlineLevel="0" collapsed="false">
      <c r="A1261" s="28" t="s">
        <v>2111</v>
      </c>
      <c r="B1261" s="78" t="s">
        <v>2112</v>
      </c>
      <c r="C1261" s="7" t="s">
        <v>15</v>
      </c>
      <c r="D1261" s="112" t="e">
        <f aca="false">сводн.данные!n1266</f>
        <v>#NAME?</v>
      </c>
      <c r="E1261" s="113" t="n">
        <v>1488.01169004888</v>
      </c>
      <c r="F1261" s="63" t="n">
        <v>300</v>
      </c>
      <c r="G1261" s="24" t="e">
        <f aca="false">D1261-E1261</f>
        <v>#NAME?</v>
      </c>
    </row>
    <row r="1262" customFormat="false" ht="15" hidden="false" customHeight="false" outlineLevel="0" collapsed="false">
      <c r="A1262" s="28" t="s">
        <v>2113</v>
      </c>
      <c r="B1262" s="78" t="s">
        <v>2114</v>
      </c>
      <c r="C1262" s="7" t="s">
        <v>15</v>
      </c>
      <c r="D1262" s="112" t="e">
        <f aca="false">сводн.данные!n1267</f>
        <v>#NAME?</v>
      </c>
      <c r="E1262" s="113" t="n">
        <v>1717.96472031237</v>
      </c>
      <c r="F1262" s="63" t="n">
        <v>500</v>
      </c>
      <c r="G1262" s="24" t="e">
        <f aca="false">D1262-E1262</f>
        <v>#NAME?</v>
      </c>
    </row>
    <row r="1263" customFormat="false" ht="15" hidden="false" customHeight="false" outlineLevel="0" collapsed="false">
      <c r="A1263" s="28" t="s">
        <v>2115</v>
      </c>
      <c r="B1263" s="78" t="s">
        <v>2116</v>
      </c>
      <c r="C1263" s="7" t="s">
        <v>15</v>
      </c>
      <c r="D1263" s="112" t="e">
        <f aca="false">сводн.данные!n1268</f>
        <v>#NAME?</v>
      </c>
      <c r="E1263" s="113" t="n">
        <v>1767.20077069473</v>
      </c>
      <c r="F1263" s="63" t="n">
        <v>600</v>
      </c>
      <c r="G1263" s="24" t="e">
        <f aca="false">D1263-E1263</f>
        <v>#NAME?</v>
      </c>
    </row>
    <row r="1264" customFormat="false" ht="15" hidden="false" customHeight="false" outlineLevel="0" collapsed="false">
      <c r="A1264" s="28" t="s">
        <v>2117</v>
      </c>
      <c r="B1264" s="78" t="s">
        <v>2118</v>
      </c>
      <c r="C1264" s="7" t="s">
        <v>15</v>
      </c>
      <c r="D1264" s="112" t="e">
        <f aca="false">сводн.данные!n1269</f>
        <v>#NAME?</v>
      </c>
      <c r="E1264" s="113" t="n">
        <v>1893.68367409538</v>
      </c>
      <c r="F1264" s="63" t="n">
        <v>500</v>
      </c>
      <c r="G1264" s="24" t="e">
        <f aca="false">D1264-E1264</f>
        <v>#NAME?</v>
      </c>
    </row>
    <row r="1265" customFormat="false" ht="15" hidden="false" customHeight="false" outlineLevel="0" collapsed="false">
      <c r="A1265" s="28" t="s">
        <v>2119</v>
      </c>
      <c r="B1265" s="78" t="s">
        <v>2120</v>
      </c>
      <c r="C1265" s="7" t="s">
        <v>15</v>
      </c>
      <c r="D1265" s="112" t="e">
        <f aca="false">сводн.данные!n1270</f>
        <v>#NAME?</v>
      </c>
      <c r="E1265" s="113" t="n">
        <v>1673.18403212727</v>
      </c>
      <c r="F1265" s="63" t="n">
        <v>900</v>
      </c>
      <c r="G1265" s="24" t="e">
        <f aca="false">D1265-E1265</f>
        <v>#NAME?</v>
      </c>
    </row>
    <row r="1266" customFormat="false" ht="15" hidden="false" customHeight="false" outlineLevel="0" collapsed="false">
      <c r="A1266" s="28" t="s">
        <v>2121</v>
      </c>
      <c r="B1266" s="78" t="s">
        <v>2122</v>
      </c>
      <c r="C1266" s="7" t="s">
        <v>15</v>
      </c>
      <c r="D1266" s="112" t="e">
        <f aca="false">сводн.данные!n1271</f>
        <v>#NAME?</v>
      </c>
      <c r="E1266" s="113" t="n">
        <v>2634.52568010642</v>
      </c>
      <c r="F1266" s="63" t="n">
        <v>1500</v>
      </c>
      <c r="G1266" s="24" t="e">
        <f aca="false">D1266-E1266</f>
        <v>#NAME?</v>
      </c>
    </row>
    <row r="1267" customFormat="false" ht="15" hidden="false" customHeight="false" outlineLevel="0" collapsed="false">
      <c r="A1267" s="28" t="s">
        <v>2123</v>
      </c>
      <c r="B1267" s="78" t="s">
        <v>2124</v>
      </c>
      <c r="C1267" s="7" t="s">
        <v>15</v>
      </c>
      <c r="D1267" s="112" t="e">
        <f aca="false">сводн.данные!n1272</f>
        <v>#NAME?</v>
      </c>
      <c r="E1267" s="113" t="n">
        <v>1992.8233809997</v>
      </c>
      <c r="F1267" s="63" t="n">
        <v>1500</v>
      </c>
      <c r="G1267" s="24" t="e">
        <f aca="false">D1267-E1267</f>
        <v>#NAME?</v>
      </c>
    </row>
    <row r="1268" customFormat="false" ht="15" hidden="false" customHeight="false" outlineLevel="0" collapsed="false">
      <c r="A1268" s="28" t="s">
        <v>2125</v>
      </c>
      <c r="B1268" s="78" t="s">
        <v>2126</v>
      </c>
      <c r="C1268" s="7" t="s">
        <v>15</v>
      </c>
      <c r="D1268" s="112" t="e">
        <f aca="false">сводн.данные!n1273</f>
        <v>#NAME?</v>
      </c>
      <c r="E1268" s="113" t="n">
        <v>7285.24639176274</v>
      </c>
      <c r="F1268" s="63" t="n">
        <v>1200</v>
      </c>
      <c r="G1268" s="24" t="e">
        <f aca="false">D1268-E1268</f>
        <v>#NAME?</v>
      </c>
    </row>
    <row r="1269" customFormat="false" ht="15" hidden="false" customHeight="false" outlineLevel="0" collapsed="false">
      <c r="A1269" s="28" t="s">
        <v>2127</v>
      </c>
      <c r="B1269" s="78" t="s">
        <v>2128</v>
      </c>
      <c r="C1269" s="7" t="s">
        <v>15</v>
      </c>
      <c r="D1269" s="112" t="e">
        <f aca="false">сводн.данные!n1274</f>
        <v>#NAME?</v>
      </c>
      <c r="E1269" s="113" t="n">
        <v>8091.76056594814</v>
      </c>
      <c r="F1269" s="63" t="n">
        <v>2500</v>
      </c>
      <c r="G1269" s="24" t="e">
        <f aca="false">D1269-E1269</f>
        <v>#NAME?</v>
      </c>
    </row>
    <row r="1270" customFormat="false" ht="15" hidden="false" customHeight="false" outlineLevel="0" collapsed="false">
      <c r="A1270" s="28" t="s">
        <v>2129</v>
      </c>
      <c r="B1270" s="78" t="s">
        <v>2130</v>
      </c>
      <c r="C1270" s="7" t="s">
        <v>15</v>
      </c>
      <c r="D1270" s="112" t="e">
        <f aca="false">сводн.данные!n1275</f>
        <v>#NAME?</v>
      </c>
      <c r="E1270" s="113" t="n">
        <v>8091.76056594814</v>
      </c>
      <c r="F1270" s="63" t="n">
        <v>2500</v>
      </c>
      <c r="G1270" s="24" t="e">
        <f aca="false">D1270-E1270</f>
        <v>#NAME?</v>
      </c>
    </row>
    <row r="1271" customFormat="false" ht="15" hidden="false" customHeight="false" outlineLevel="0" collapsed="false">
      <c r="A1271" s="28" t="s">
        <v>2131</v>
      </c>
      <c r="B1271" s="78" t="s">
        <v>2132</v>
      </c>
      <c r="C1271" s="7" t="s">
        <v>15</v>
      </c>
      <c r="D1271" s="112" t="e">
        <f aca="false">сводн.данные!n1276</f>
        <v>#NAME?</v>
      </c>
      <c r="E1271" s="113" t="n">
        <v>2501.47909487868</v>
      </c>
      <c r="F1271" s="63" t="n">
        <v>1500</v>
      </c>
      <c r="G1271" s="24" t="e">
        <f aca="false">D1271-E1271</f>
        <v>#NAME?</v>
      </c>
    </row>
    <row r="1272" customFormat="false" ht="15" hidden="false" customHeight="false" outlineLevel="0" collapsed="false">
      <c r="A1272" s="28" t="s">
        <v>2133</v>
      </c>
      <c r="B1272" s="78" t="s">
        <v>2134</v>
      </c>
      <c r="C1272" s="7" t="s">
        <v>15</v>
      </c>
      <c r="D1272" s="112" t="e">
        <f aca="false">сводн.данные!n1277</f>
        <v>#NAME?</v>
      </c>
      <c r="E1272" s="113" t="n">
        <v>1403.25940164322</v>
      </c>
      <c r="F1272" s="63" t="n">
        <v>950</v>
      </c>
      <c r="G1272" s="24" t="e">
        <f aca="false">D1272-E1272</f>
        <v>#NAME?</v>
      </c>
    </row>
    <row r="1273" customFormat="false" ht="15" hidden="false" customHeight="false" outlineLevel="0" collapsed="false">
      <c r="A1273" s="28" t="s">
        <v>2135</v>
      </c>
      <c r="B1273" s="78" t="s">
        <v>2136</v>
      </c>
      <c r="C1273" s="7" t="s">
        <v>15</v>
      </c>
      <c r="D1273" s="112" t="e">
        <f aca="false">сводн.данные!n1278</f>
        <v>#NAME?</v>
      </c>
      <c r="E1273" s="113" t="n">
        <v>2588.48954083517</v>
      </c>
      <c r="F1273" s="63" t="n">
        <v>950</v>
      </c>
      <c r="G1273" s="24" t="e">
        <f aca="false">D1273-E1273</f>
        <v>#NAME?</v>
      </c>
    </row>
    <row r="1274" customFormat="false" ht="15" hidden="false" customHeight="false" outlineLevel="0" collapsed="false">
      <c r="A1274" s="28" t="s">
        <v>2137</v>
      </c>
      <c r="B1274" s="78" t="s">
        <v>2138</v>
      </c>
      <c r="C1274" s="7" t="s">
        <v>15</v>
      </c>
      <c r="D1274" s="112" t="e">
        <f aca="false">сводн.данные!n1279</f>
        <v>#NAME?</v>
      </c>
      <c r="E1274" s="113" t="n">
        <v>1622.14402759761</v>
      </c>
      <c r="F1274" s="63" t="n">
        <v>950</v>
      </c>
      <c r="G1274" s="24" t="e">
        <f aca="false">D1274-E1274</f>
        <v>#NAME?</v>
      </c>
    </row>
    <row r="1275" customFormat="false" ht="15" hidden="false" customHeight="false" outlineLevel="0" collapsed="false">
      <c r="A1275" s="28" t="s">
        <v>2139</v>
      </c>
      <c r="B1275" s="78" t="s">
        <v>2140</v>
      </c>
      <c r="C1275" s="7" t="s">
        <v>15</v>
      </c>
      <c r="D1275" s="112" t="e">
        <f aca="false">сводн.данные!n1280</f>
        <v>#NAME?</v>
      </c>
      <c r="E1275" s="113" t="n">
        <v>2407.18166852956</v>
      </c>
      <c r="F1275" s="63" t="n">
        <v>950</v>
      </c>
      <c r="G1275" s="24" t="e">
        <f aca="false">D1275-E1275</f>
        <v>#NAME?</v>
      </c>
    </row>
    <row r="1276" customFormat="false" ht="15" hidden="false" customHeight="false" outlineLevel="0" collapsed="false">
      <c r="A1276" s="28" t="s">
        <v>2141</v>
      </c>
      <c r="B1276" s="78" t="s">
        <v>2142</v>
      </c>
      <c r="C1276" s="7" t="s">
        <v>15</v>
      </c>
      <c r="D1276" s="112" t="e">
        <f aca="false">сводн.данные!n1281</f>
        <v>#NAME?</v>
      </c>
      <c r="E1276" s="113" t="n">
        <v>9822.32844979849</v>
      </c>
      <c r="F1276" s="63" t="n">
        <v>950</v>
      </c>
      <c r="G1276" s="24" t="e">
        <f aca="false">D1276-E1276</f>
        <v>#NAME?</v>
      </c>
    </row>
    <row r="1277" customFormat="false" ht="15" hidden="false" customHeight="false" outlineLevel="0" collapsed="false">
      <c r="A1277" s="28" t="s">
        <v>2143</v>
      </c>
      <c r="B1277" s="78" t="s">
        <v>2144</v>
      </c>
      <c r="C1277" s="7" t="s">
        <v>15</v>
      </c>
      <c r="D1277" s="112" t="e">
        <f aca="false">сводн.данные!n1282</f>
        <v>#NAME?</v>
      </c>
      <c r="E1277" s="113" t="n">
        <v>2407.18166852956</v>
      </c>
      <c r="F1277" s="63" t="n">
        <v>950</v>
      </c>
      <c r="G1277" s="24" t="e">
        <f aca="false">D1277-E1277</f>
        <v>#NAME?</v>
      </c>
    </row>
    <row r="1278" customFormat="false" ht="15" hidden="false" customHeight="false" outlineLevel="0" collapsed="false">
      <c r="A1278" s="28" t="s">
        <v>2145</v>
      </c>
      <c r="B1278" s="78" t="s">
        <v>2146</v>
      </c>
      <c r="C1278" s="7" t="s">
        <v>15</v>
      </c>
      <c r="D1278" s="112" t="e">
        <f aca="false">сводн.данные!n1283</f>
        <v>#NAME?</v>
      </c>
      <c r="E1278" s="113" t="n">
        <v>8687.97566852956</v>
      </c>
      <c r="F1278" s="63" t="n">
        <v>950</v>
      </c>
      <c r="G1278" s="24" t="e">
        <f aca="false">D1278-E1278</f>
        <v>#NAME?</v>
      </c>
    </row>
    <row r="1279" customFormat="false" ht="15" hidden="false" customHeight="false" outlineLevel="0" collapsed="false">
      <c r="A1279" s="28" t="s">
        <v>2147</v>
      </c>
      <c r="B1279" s="78" t="s">
        <v>2148</v>
      </c>
      <c r="C1279" s="7" t="s">
        <v>15</v>
      </c>
      <c r="D1279" s="112" t="e">
        <f aca="false">сводн.данные!n1284</f>
        <v>#NAME?</v>
      </c>
      <c r="E1279" s="113" t="n">
        <v>2212.58238197985</v>
      </c>
      <c r="F1279" s="63" t="n">
        <v>950</v>
      </c>
      <c r="G1279" s="24" t="e">
        <f aca="false">D1279-E1279</f>
        <v>#NAME?</v>
      </c>
    </row>
    <row r="1280" customFormat="false" ht="15" hidden="false" customHeight="false" outlineLevel="0" collapsed="false">
      <c r="A1280" s="28" t="s">
        <v>2149</v>
      </c>
      <c r="B1280" s="78" t="s">
        <v>2150</v>
      </c>
      <c r="C1280" s="7" t="s">
        <v>15</v>
      </c>
      <c r="D1280" s="112" t="e">
        <f aca="false">сводн.данные!n1285</f>
        <v>#NAME?</v>
      </c>
      <c r="E1280" s="113" t="n">
        <v>1615.68405056504</v>
      </c>
      <c r="F1280" s="63" t="n">
        <v>950</v>
      </c>
      <c r="G1280" s="24" t="e">
        <f aca="false">D1280-E1280</f>
        <v>#NAME?</v>
      </c>
    </row>
    <row r="1281" customFormat="false" ht="15" hidden="false" customHeight="false" outlineLevel="0" collapsed="false">
      <c r="A1281" s="28" t="s">
        <v>2151</v>
      </c>
      <c r="B1281" s="78" t="s">
        <v>2152</v>
      </c>
      <c r="C1281" s="7" t="s">
        <v>15</v>
      </c>
      <c r="D1281" s="112" t="e">
        <f aca="false">сводн.данные!n1286</f>
        <v>#NAME?</v>
      </c>
      <c r="E1281" s="113" t="n">
        <v>1976.27348828494</v>
      </c>
      <c r="F1281" s="63" t="n">
        <v>950</v>
      </c>
      <c r="G1281" s="24" t="e">
        <f aca="false">D1281-E1281</f>
        <v>#NAME?</v>
      </c>
    </row>
    <row r="1282" customFormat="false" ht="15" hidden="false" customHeight="false" outlineLevel="0" collapsed="false">
      <c r="A1282" s="28" t="s">
        <v>2153</v>
      </c>
      <c r="B1282" s="78" t="s">
        <v>2154</v>
      </c>
      <c r="C1282" s="7" t="s">
        <v>15</v>
      </c>
      <c r="D1282" s="112" t="e">
        <f aca="false">сводн.данные!n1287</f>
        <v>#NAME?</v>
      </c>
      <c r="E1282" s="113" t="n">
        <v>1976.27348828494</v>
      </c>
      <c r="F1282" s="63" t="n">
        <v>950</v>
      </c>
      <c r="G1282" s="24" t="e">
        <f aca="false">D1282-E1282</f>
        <v>#NAME?</v>
      </c>
    </row>
    <row r="1283" customFormat="false" ht="19.5" hidden="false" customHeight="true" outlineLevel="0" collapsed="false">
      <c r="A1283" s="28" t="s">
        <v>2155</v>
      </c>
      <c r="B1283" s="78" t="s">
        <v>2156</v>
      </c>
      <c r="C1283" s="7" t="s">
        <v>15</v>
      </c>
      <c r="D1283" s="112" t="e">
        <f aca="false">сводн.данные!n1288</f>
        <v>#NAME?</v>
      </c>
      <c r="E1283" s="113" t="n">
        <v>1976.27348828494</v>
      </c>
      <c r="F1283" s="63" t="n">
        <v>950</v>
      </c>
      <c r="G1283" s="24" t="e">
        <f aca="false">D1283-E1283</f>
        <v>#NAME?</v>
      </c>
    </row>
    <row r="1284" customFormat="false" ht="30" hidden="false" customHeight="false" outlineLevel="0" collapsed="false">
      <c r="A1284" s="28" t="s">
        <v>2157</v>
      </c>
      <c r="B1284" s="78" t="s">
        <v>2158</v>
      </c>
      <c r="C1284" s="7" t="s">
        <v>15</v>
      </c>
      <c r="D1284" s="112" t="e">
        <f aca="false">сводн.данные!n1289</f>
        <v>#NAME?</v>
      </c>
      <c r="E1284" s="113" t="n">
        <v>1976.27348828494</v>
      </c>
      <c r="F1284" s="63" t="n">
        <v>950</v>
      </c>
      <c r="G1284" s="24" t="e">
        <f aca="false">D1284-E1284</f>
        <v>#NAME?</v>
      </c>
    </row>
    <row r="1285" customFormat="false" ht="28.5" hidden="false" customHeight="false" outlineLevel="0" collapsed="false">
      <c r="A1285" s="68" t="s">
        <v>2159</v>
      </c>
      <c r="B1285" s="11" t="s">
        <v>2160</v>
      </c>
      <c r="C1285" s="110"/>
      <c r="D1285" s="71"/>
      <c r="E1285" s="70"/>
      <c r="F1285" s="71"/>
      <c r="G1285" s="71"/>
    </row>
    <row r="1286" s="117" customFormat="true" ht="15" hidden="false" customHeight="false" outlineLevel="0" collapsed="false">
      <c r="A1286" s="20" t="s">
        <v>2161</v>
      </c>
      <c r="B1286" s="47" t="s">
        <v>2162</v>
      </c>
      <c r="C1286" s="7" t="s">
        <v>15</v>
      </c>
      <c r="D1286" s="112" t="e">
        <f aca="false">сводн.данные!n1291</f>
        <v>#NAME?</v>
      </c>
      <c r="E1286" s="115" t="n">
        <v>10733.9451604142</v>
      </c>
      <c r="F1286" s="116" t="n">
        <v>0</v>
      </c>
      <c r="G1286" s="24" t="e">
        <f aca="false">D1286-E1286</f>
        <v>#NAME?</v>
      </c>
    </row>
    <row r="1287" s="117" customFormat="true" ht="15" hidden="false" customHeight="false" outlineLevel="0" collapsed="false">
      <c r="A1287" s="20" t="s">
        <v>2163</v>
      </c>
      <c r="B1287" s="47" t="s">
        <v>2164</v>
      </c>
      <c r="C1287" s="7" t="s">
        <v>15</v>
      </c>
      <c r="D1287" s="112" t="e">
        <f aca="false">сводн.данные!n1292</f>
        <v>#NAME?</v>
      </c>
      <c r="E1287" s="115" t="n">
        <v>8631.66397581095</v>
      </c>
      <c r="F1287" s="116" t="n">
        <v>1340</v>
      </c>
      <c r="G1287" s="24" t="e">
        <f aca="false">D1287-E1287</f>
        <v>#NAME?</v>
      </c>
    </row>
    <row r="1288" s="117" customFormat="true" ht="15" hidden="false" customHeight="false" outlineLevel="0" collapsed="false">
      <c r="A1288" s="20" t="s">
        <v>2165</v>
      </c>
      <c r="B1288" s="118" t="s">
        <v>2166</v>
      </c>
      <c r="C1288" s="7" t="s">
        <v>15</v>
      </c>
      <c r="D1288" s="112" t="e">
        <f aca="false">сводн.данные!n1293</f>
        <v>#NAME?</v>
      </c>
      <c r="E1288" s="115" t="n">
        <v>14016.661694426</v>
      </c>
      <c r="F1288" s="116" t="n">
        <v>13440</v>
      </c>
      <c r="G1288" s="24" t="e">
        <f aca="false">D1288-E1288</f>
        <v>#NAME?</v>
      </c>
    </row>
    <row r="1289" s="117" customFormat="true" ht="15" hidden="false" customHeight="false" outlineLevel="0" collapsed="false">
      <c r="A1289" s="20" t="s">
        <v>2167</v>
      </c>
      <c r="B1289" s="47" t="s">
        <v>2168</v>
      </c>
      <c r="C1289" s="7" t="s">
        <v>15</v>
      </c>
      <c r="D1289" s="112" t="e">
        <f aca="false">сводн.данные!n1294</f>
        <v>#NAME?</v>
      </c>
      <c r="E1289" s="119" t="n">
        <v>15252.1615890273</v>
      </c>
      <c r="F1289" s="116" t="n">
        <v>13440</v>
      </c>
      <c r="G1289" s="24" t="e">
        <f aca="false">D1289-E1289</f>
        <v>#NAME?</v>
      </c>
    </row>
    <row r="1290" s="122" customFormat="true" ht="33" hidden="false" customHeight="true" outlineLevel="0" collapsed="false">
      <c r="A1290" s="20" t="s">
        <v>2169</v>
      </c>
      <c r="B1290" s="47" t="s">
        <v>2170</v>
      </c>
      <c r="C1290" s="7" t="s">
        <v>15</v>
      </c>
      <c r="D1290" s="112" t="e">
        <f aca="false">сводн.данные!n1295</f>
        <v>#NAME?</v>
      </c>
      <c r="E1290" s="120" t="n">
        <v>15986.0527273052</v>
      </c>
      <c r="F1290" s="121" t="n">
        <v>14500</v>
      </c>
      <c r="G1290" s="24" t="e">
        <f aca="false">D1290-E1290</f>
        <v>#NAME?</v>
      </c>
    </row>
    <row r="1291" customFormat="false" ht="15" hidden="false" customHeight="false" outlineLevel="0" collapsed="false">
      <c r="A1291" s="20" t="s">
        <v>2171</v>
      </c>
      <c r="B1291" s="47" t="s">
        <v>2172</v>
      </c>
      <c r="C1291" s="7" t="s">
        <v>15</v>
      </c>
      <c r="D1291" s="112" t="e">
        <f aca="false">сводн.данные!n1296</f>
        <v>#NAME?</v>
      </c>
      <c r="E1291" s="23" t="n">
        <v>5764.52490647895</v>
      </c>
      <c r="F1291" s="24" t="n">
        <v>8570</v>
      </c>
      <c r="G1291" s="24" t="e">
        <f aca="false">D1291-E1291</f>
        <v>#NAME?</v>
      </c>
    </row>
    <row r="1292" customFormat="false" ht="15" hidden="false" customHeight="false" outlineLevel="0" collapsed="false">
      <c r="A1292" s="20" t="s">
        <v>2173</v>
      </c>
      <c r="B1292" s="123" t="s">
        <v>2174</v>
      </c>
      <c r="C1292" s="7" t="s">
        <v>15</v>
      </c>
      <c r="D1292" s="112" t="e">
        <f aca="false">сводн.данные!n1297</f>
        <v>#NAME?</v>
      </c>
      <c r="E1292" s="23" t="n">
        <v>23962.4076352757</v>
      </c>
      <c r="F1292" s="24" t="n">
        <v>8570</v>
      </c>
      <c r="G1292" s="24" t="e">
        <f aca="false">D1292-E1292</f>
        <v>#NAME?</v>
      </c>
    </row>
    <row r="1293" customFormat="false" ht="15" hidden="false" customHeight="false" outlineLevel="0" collapsed="false">
      <c r="A1293" s="20" t="s">
        <v>2175</v>
      </c>
      <c r="B1293" s="118" t="s">
        <v>2176</v>
      </c>
      <c r="C1293" s="7" t="s">
        <v>15</v>
      </c>
      <c r="D1293" s="112" t="e">
        <f aca="false">сводн.данные!n1298</f>
        <v>#NAME?</v>
      </c>
      <c r="E1293" s="23" t="n">
        <v>22147.6905513976</v>
      </c>
      <c r="F1293" s="24" t="n">
        <v>14500</v>
      </c>
      <c r="G1293" s="24" t="e">
        <f aca="false">D1293-E1293</f>
        <v>#NAME?</v>
      </c>
    </row>
    <row r="1294" customFormat="false" ht="15" hidden="false" customHeight="false" outlineLevel="0" collapsed="false">
      <c r="A1294" s="20" t="s">
        <v>2177</v>
      </c>
      <c r="B1294" s="47" t="s">
        <v>2178</v>
      </c>
      <c r="C1294" s="7" t="s">
        <v>15</v>
      </c>
      <c r="D1294" s="112" t="e">
        <f aca="false">сводн.данные!n1299</f>
        <v>#NAME?</v>
      </c>
      <c r="E1294" s="23" t="n">
        <v>1723.61720431065</v>
      </c>
      <c r="F1294" s="24" t="n">
        <v>1700</v>
      </c>
      <c r="G1294" s="24" t="e">
        <f aca="false">D1294-E1294</f>
        <v>#NAME?</v>
      </c>
    </row>
    <row r="1295" customFormat="false" ht="34.5" hidden="false" customHeight="true" outlineLevel="0" collapsed="false">
      <c r="A1295" s="20" t="s">
        <v>2179</v>
      </c>
      <c r="B1295" s="47" t="s">
        <v>2180</v>
      </c>
      <c r="C1295" s="7" t="s">
        <v>15</v>
      </c>
      <c r="D1295" s="112" t="e">
        <f aca="false">сводн.данные!n1300</f>
        <v>#NAME?</v>
      </c>
      <c r="E1295" s="23" t="n">
        <v>1714.63761247392</v>
      </c>
      <c r="F1295" s="24" t="n">
        <v>1600</v>
      </c>
      <c r="G1295" s="24" t="e">
        <f aca="false">D1295-E1295</f>
        <v>#NAME?</v>
      </c>
    </row>
    <row r="1296" customFormat="false" ht="15" hidden="false" customHeight="false" outlineLevel="0" collapsed="false">
      <c r="A1296" s="20" t="s">
        <v>2181</v>
      </c>
      <c r="B1296" s="47" t="s">
        <v>2182</v>
      </c>
      <c r="C1296" s="7" t="s">
        <v>15</v>
      </c>
      <c r="D1296" s="112" t="e">
        <f aca="false">сводн.данные!n1301</f>
        <v>#NAME?</v>
      </c>
      <c r="E1296" s="23" t="n">
        <v>12543.1503737904</v>
      </c>
      <c r="F1296" s="24" t="n">
        <v>1510</v>
      </c>
      <c r="G1296" s="24" t="e">
        <f aca="false">D1296-E1296</f>
        <v>#NAME?</v>
      </c>
    </row>
    <row r="1297" customFormat="false" ht="15" hidden="false" customHeight="false" outlineLevel="0" collapsed="false">
      <c r="A1297" s="20" t="s">
        <v>2183</v>
      </c>
      <c r="B1297" s="118" t="s">
        <v>2184</v>
      </c>
      <c r="C1297" s="7" t="s">
        <v>15</v>
      </c>
      <c r="D1297" s="112" t="e">
        <f aca="false">сводн.данные!n1302</f>
        <v>#NAME?</v>
      </c>
      <c r="E1297" s="23" t="n">
        <v>1074.3171436873</v>
      </c>
      <c r="F1297" s="24" t="n">
        <v>1350</v>
      </c>
      <c r="G1297" s="24" t="e">
        <f aca="false">D1297-E1297</f>
        <v>#NAME?</v>
      </c>
    </row>
    <row r="1298" customFormat="false" ht="15" hidden="false" customHeight="false" outlineLevel="0" collapsed="false">
      <c r="A1298" s="20" t="s">
        <v>2185</v>
      </c>
      <c r="B1298" s="118" t="s">
        <v>2186</v>
      </c>
      <c r="C1298" s="7" t="s">
        <v>15</v>
      </c>
      <c r="D1298" s="112" t="e">
        <f aca="false">сводн.данные!n1303</f>
        <v>#NAME?</v>
      </c>
      <c r="E1298" s="23" t="n">
        <v>1116.8171436873</v>
      </c>
      <c r="F1298" s="24" t="n">
        <v>1350</v>
      </c>
      <c r="G1298" s="24" t="e">
        <f aca="false">D1298-E1298</f>
        <v>#NAME?</v>
      </c>
    </row>
    <row r="1299" customFormat="false" ht="15" hidden="false" customHeight="false" outlineLevel="0" collapsed="false">
      <c r="A1299" s="20" t="s">
        <v>2187</v>
      </c>
      <c r="B1299" s="118" t="s">
        <v>2188</v>
      </c>
      <c r="C1299" s="7" t="s">
        <v>15</v>
      </c>
      <c r="D1299" s="112" t="e">
        <f aca="false">сводн.данные!n1304</f>
        <v>#NAME?</v>
      </c>
      <c r="E1299" s="23" t="n">
        <v>1210.33755185056</v>
      </c>
      <c r="F1299" s="24" t="n">
        <v>1600</v>
      </c>
      <c r="G1299" s="24" t="e">
        <f aca="false">D1299-E1299</f>
        <v>#NAME?</v>
      </c>
    </row>
    <row r="1300" customFormat="false" ht="15" hidden="false" customHeight="false" outlineLevel="0" collapsed="false">
      <c r="A1300" s="20" t="s">
        <v>2189</v>
      </c>
      <c r="B1300" s="118" t="s">
        <v>2190</v>
      </c>
      <c r="C1300" s="7" t="s">
        <v>15</v>
      </c>
      <c r="D1300" s="112" t="e">
        <f aca="false">сводн.данные!n1305</f>
        <v>#NAME?</v>
      </c>
      <c r="E1300" s="23" t="n">
        <v>1168.0671436873</v>
      </c>
      <c r="F1300" s="24" t="n">
        <v>1510</v>
      </c>
      <c r="G1300" s="24" t="e">
        <f aca="false">D1300-E1300</f>
        <v>#NAME?</v>
      </c>
    </row>
    <row r="1301" customFormat="false" ht="15" hidden="false" customHeight="false" outlineLevel="0" collapsed="false">
      <c r="A1301" s="20" t="s">
        <v>2191</v>
      </c>
      <c r="B1301" s="118" t="s">
        <v>2192</v>
      </c>
      <c r="C1301" s="7" t="s">
        <v>15</v>
      </c>
      <c r="D1301" s="112" t="e">
        <f aca="false">сводн.данные!n1306</f>
        <v>#NAME?</v>
      </c>
      <c r="E1301" s="23" t="n">
        <v>1168.0671436873</v>
      </c>
      <c r="F1301" s="24" t="n">
        <v>1470</v>
      </c>
      <c r="G1301" s="24" t="e">
        <f aca="false">D1301-E1301</f>
        <v>#NAME?</v>
      </c>
    </row>
    <row r="1302" customFormat="false" ht="15" hidden="false" customHeight="false" outlineLevel="0" collapsed="false">
      <c r="A1302" s="20" t="s">
        <v>2193</v>
      </c>
      <c r="B1302" s="118" t="s">
        <v>2194</v>
      </c>
      <c r="C1302" s="7" t="s">
        <v>15</v>
      </c>
      <c r="D1302" s="112" t="e">
        <f aca="false">сводн.данные!n1307</f>
        <v>#NAME?</v>
      </c>
      <c r="E1302" s="23" t="n">
        <v>1204.3171436873</v>
      </c>
      <c r="F1302" s="24" t="n">
        <v>1510</v>
      </c>
      <c r="G1302" s="24" t="e">
        <f aca="false">D1302-E1302</f>
        <v>#NAME?</v>
      </c>
    </row>
    <row r="1303" customFormat="false" ht="15" hidden="false" customHeight="false" outlineLevel="0" collapsed="false">
      <c r="A1303" s="20" t="s">
        <v>2195</v>
      </c>
      <c r="B1303" s="118" t="s">
        <v>2196</v>
      </c>
      <c r="C1303" s="7" t="s">
        <v>15</v>
      </c>
      <c r="D1303" s="112" t="e">
        <f aca="false">сводн.данные!n1308</f>
        <v>#NAME?</v>
      </c>
      <c r="E1303" s="23" t="n">
        <v>1196.58755185056</v>
      </c>
      <c r="F1303" s="24" t="n">
        <v>1750</v>
      </c>
      <c r="G1303" s="24" t="e">
        <f aca="false">D1303-E1303</f>
        <v>#NAME?</v>
      </c>
    </row>
    <row r="1304" customFormat="false" ht="15" hidden="false" customHeight="false" outlineLevel="0" collapsed="false">
      <c r="A1304" s="20" t="s">
        <v>2197</v>
      </c>
      <c r="B1304" s="47" t="s">
        <v>2198</v>
      </c>
      <c r="C1304" s="7" t="s">
        <v>15</v>
      </c>
      <c r="D1304" s="112" t="e">
        <f aca="false">сводн.данные!n1309</f>
        <v>#NAME?</v>
      </c>
      <c r="E1304" s="23" t="n">
        <v>4687.38081954562</v>
      </c>
      <c r="F1304" s="24" t="n">
        <v>3470</v>
      </c>
      <c r="G1304" s="24" t="e">
        <f aca="false">D1304-E1304</f>
        <v>#NAME?</v>
      </c>
    </row>
    <row r="1305" customFormat="false" ht="15" hidden="false" customHeight="false" outlineLevel="0" collapsed="false">
      <c r="A1305" s="20" t="s">
        <v>2199</v>
      </c>
      <c r="B1305" s="47" t="s">
        <v>2200</v>
      </c>
      <c r="C1305" s="7" t="s">
        <v>15</v>
      </c>
      <c r="D1305" s="112" t="e">
        <f aca="false">сводн.данные!n1310</f>
        <v>#NAME?</v>
      </c>
      <c r="E1305" s="23" t="n">
        <v>6716.3226919726</v>
      </c>
      <c r="F1305" s="24" t="n">
        <v>7030</v>
      </c>
      <c r="G1305" s="24" t="e">
        <f aca="false">D1305-E1305</f>
        <v>#NAME?</v>
      </c>
    </row>
    <row r="1306" customFormat="false" ht="15" hidden="false" customHeight="false" outlineLevel="0" collapsed="false">
      <c r="A1306" s="20" t="s">
        <v>2201</v>
      </c>
      <c r="B1306" s="118" t="s">
        <v>2202</v>
      </c>
      <c r="C1306" s="7" t="s">
        <v>15</v>
      </c>
      <c r="D1306" s="112" t="e">
        <f aca="false">сводн.данные!n1311</f>
        <v>#NAME?</v>
      </c>
      <c r="E1306" s="23" t="n">
        <v>14700.7140995992</v>
      </c>
      <c r="F1306" s="24" t="n">
        <v>7810</v>
      </c>
      <c r="G1306" s="24" t="e">
        <f aca="false">D1306-E1306</f>
        <v>#NAME?</v>
      </c>
    </row>
    <row r="1307" customFormat="false" ht="15" hidden="false" customHeight="false" outlineLevel="0" collapsed="false">
      <c r="A1307" s="20" t="s">
        <v>2203</v>
      </c>
      <c r="B1307" s="123" t="s">
        <v>2204</v>
      </c>
      <c r="C1307" s="7" t="s">
        <v>15</v>
      </c>
      <c r="D1307" s="112" t="e">
        <f aca="false">сводн.данные!n1312</f>
        <v>#NAME?</v>
      </c>
      <c r="E1307" s="23" t="n">
        <v>34890</v>
      </c>
      <c r="F1307" s="24" t="n">
        <v>0</v>
      </c>
      <c r="G1307" s="24" t="e">
        <f aca="false">D1307-E1307</f>
        <v>#NAME?</v>
      </c>
    </row>
    <row r="1308" customFormat="false" ht="15" hidden="false" customHeight="false" outlineLevel="0" collapsed="false">
      <c r="A1308" s="20" t="s">
        <v>2205</v>
      </c>
      <c r="B1308" s="47" t="s">
        <v>2206</v>
      </c>
      <c r="C1308" s="7" t="s">
        <v>15</v>
      </c>
      <c r="D1308" s="112" t="e">
        <f aca="false">сводн.данные!n1313</f>
        <v>#NAME?</v>
      </c>
      <c r="E1308" s="23" t="n">
        <v>2662.47832853662</v>
      </c>
      <c r="F1308" s="24" t="n">
        <v>1830</v>
      </c>
      <c r="G1308" s="24" t="e">
        <f aca="false">D1308-E1308</f>
        <v>#NAME?</v>
      </c>
    </row>
    <row r="1309" customFormat="false" ht="15" hidden="false" customHeight="false" outlineLevel="0" collapsed="false">
      <c r="A1309" s="20" t="s">
        <v>2207</v>
      </c>
      <c r="B1309" s="118" t="s">
        <v>2208</v>
      </c>
      <c r="C1309" s="7" t="s">
        <v>15</v>
      </c>
      <c r="D1309" s="112" t="e">
        <f aca="false">сводн.данные!n1314</f>
        <v>#NAME?</v>
      </c>
      <c r="E1309" s="23" t="n">
        <v>8447.5242660865</v>
      </c>
      <c r="F1309" s="24" t="n">
        <v>0</v>
      </c>
      <c r="G1309" s="24" t="e">
        <f aca="false">D1309-E1309</f>
        <v>#NAME?</v>
      </c>
    </row>
    <row r="1310" customFormat="false" ht="15" hidden="false" customHeight="false" outlineLevel="0" collapsed="false">
      <c r="A1310" s="20" t="s">
        <v>2209</v>
      </c>
      <c r="B1310" s="118" t="s">
        <v>2210</v>
      </c>
      <c r="C1310" s="7" t="s">
        <v>15</v>
      </c>
      <c r="D1310" s="112" t="e">
        <f aca="false">сводн.данные!n1315</f>
        <v>#NAME?</v>
      </c>
      <c r="E1310" s="23" t="n">
        <v>9076.58686033633</v>
      </c>
      <c r="F1310" s="24" t="n">
        <v>0</v>
      </c>
      <c r="G1310" s="24" t="e">
        <f aca="false">D1310-E1310</f>
        <v>#NAME?</v>
      </c>
    </row>
    <row r="1311" customFormat="false" ht="17.25" hidden="false" customHeight="true" outlineLevel="0" collapsed="false">
      <c r="A1311" s="20" t="s">
        <v>2211</v>
      </c>
      <c r="B1311" s="47" t="s">
        <v>2212</v>
      </c>
      <c r="C1311" s="7" t="s">
        <v>15</v>
      </c>
      <c r="D1311" s="112" t="e">
        <f aca="false">сводн.данные!n1316</f>
        <v>#NAME?</v>
      </c>
      <c r="E1311" s="23" t="n">
        <v>1106.34625423273</v>
      </c>
      <c r="F1311" s="24" t="n">
        <v>0</v>
      </c>
      <c r="G1311" s="24" t="e">
        <f aca="false">D1311-E1311</f>
        <v>#NAME?</v>
      </c>
    </row>
    <row r="1312" customFormat="false" ht="15" hidden="false" customHeight="false" outlineLevel="0" collapsed="false">
      <c r="A1312" s="20" t="s">
        <v>2213</v>
      </c>
      <c r="B1312" s="47" t="s">
        <v>2214</v>
      </c>
      <c r="C1312" s="7" t="s">
        <v>15</v>
      </c>
      <c r="D1312" s="112" t="e">
        <f aca="false">сводн.данные!n1317</f>
        <v>#NAME?</v>
      </c>
      <c r="E1312" s="23" t="n">
        <v>1268.80667427755</v>
      </c>
      <c r="F1312" s="24" t="n">
        <v>0</v>
      </c>
      <c r="G1312" s="24" t="e">
        <f aca="false">D1312-E1312</f>
        <v>#NAME?</v>
      </c>
    </row>
    <row r="1313" customFormat="false" ht="15" hidden="false" customHeight="false" outlineLevel="0" collapsed="false">
      <c r="A1313" s="20" t="s">
        <v>2215</v>
      </c>
      <c r="B1313" s="47" t="s">
        <v>2216</v>
      </c>
      <c r="C1313" s="7" t="s">
        <v>15</v>
      </c>
      <c r="D1313" s="112" t="e">
        <f aca="false">сводн.данные!n1318</f>
        <v>#NAME?</v>
      </c>
      <c r="E1313" s="23" t="n">
        <v>5522.06582169717</v>
      </c>
      <c r="F1313" s="24" t="n">
        <v>7810</v>
      </c>
      <c r="G1313" s="24" t="e">
        <f aca="false">D1313-E1313</f>
        <v>#NAME?</v>
      </c>
    </row>
    <row r="1314" customFormat="false" ht="15" hidden="false" customHeight="false" outlineLevel="0" collapsed="false">
      <c r="A1314" s="20" t="s">
        <v>2217</v>
      </c>
      <c r="B1314" s="47" t="s">
        <v>2218</v>
      </c>
      <c r="C1314" s="7" t="s">
        <v>15</v>
      </c>
      <c r="D1314" s="112" t="e">
        <f aca="false">сводн.данные!n1319</f>
        <v>#NAME?</v>
      </c>
      <c r="E1314" s="23" t="n">
        <v>6371.45140354496</v>
      </c>
      <c r="F1314" s="24" t="n">
        <v>0</v>
      </c>
      <c r="G1314" s="24" t="e">
        <f aca="false">D1314-E1314</f>
        <v>#NAME?</v>
      </c>
    </row>
    <row r="1315" customFormat="false" ht="18.75" hidden="false" customHeight="true" outlineLevel="0" collapsed="false">
      <c r="A1315" s="20" t="s">
        <v>2219</v>
      </c>
      <c r="B1315" s="118" t="s">
        <v>2220</v>
      </c>
      <c r="C1315" s="7" t="s">
        <v>15</v>
      </c>
      <c r="D1315" s="112" t="e">
        <f aca="false">сводн.данные!n1320</f>
        <v>#NAME?</v>
      </c>
      <c r="E1315" s="23" t="n">
        <v>10523.2722672411</v>
      </c>
      <c r="F1315" s="24" t="n">
        <v>0</v>
      </c>
      <c r="G1315" s="24" t="e">
        <f aca="false">D1315-E1315</f>
        <v>#NAME?</v>
      </c>
    </row>
    <row r="1316" customFormat="false" ht="15" hidden="false" customHeight="false" outlineLevel="0" collapsed="false">
      <c r="A1316" s="20" t="s">
        <v>2221</v>
      </c>
      <c r="B1316" s="47" t="s">
        <v>2222</v>
      </c>
      <c r="C1316" s="7" t="s">
        <v>15</v>
      </c>
      <c r="D1316" s="112" t="e">
        <f aca="false">сводн.данные!n1321</f>
        <v>#NAME?</v>
      </c>
      <c r="E1316" s="23" t="n">
        <v>1703.72628479638</v>
      </c>
      <c r="F1316" s="24" t="n">
        <v>0</v>
      </c>
      <c r="G1316" s="24" t="e">
        <f aca="false">D1316-E1316</f>
        <v>#NAME?</v>
      </c>
    </row>
    <row r="1317" customFormat="false" ht="15" hidden="false" customHeight="false" outlineLevel="0" collapsed="false">
      <c r="A1317" s="20" t="s">
        <v>2223</v>
      </c>
      <c r="B1317" s="118" t="s">
        <v>2224</v>
      </c>
      <c r="C1317" s="7" t="s">
        <v>15</v>
      </c>
      <c r="D1317" s="112" t="e">
        <f aca="false">сводн.данные!n1322</f>
        <v>#NAME?</v>
      </c>
      <c r="E1317" s="23" t="n">
        <v>10375.6846061909</v>
      </c>
      <c r="F1317" s="24" t="n">
        <v>0</v>
      </c>
      <c r="G1317" s="24" t="e">
        <f aca="false">D1317-E1317</f>
        <v>#NAME?</v>
      </c>
    </row>
    <row r="1318" customFormat="false" ht="15" hidden="false" customHeight="false" outlineLevel="0" collapsed="false">
      <c r="A1318" s="20" t="s">
        <v>2225</v>
      </c>
      <c r="B1318" s="47" t="s">
        <v>2226</v>
      </c>
      <c r="C1318" s="7" t="s">
        <v>15</v>
      </c>
      <c r="D1318" s="112" t="e">
        <f aca="false">сводн.данные!n1323</f>
        <v>#NAME?</v>
      </c>
      <c r="E1318" s="23" t="n">
        <v>2141.88405081263</v>
      </c>
      <c r="F1318" s="24" t="n">
        <v>1280</v>
      </c>
      <c r="G1318" s="24" t="e">
        <f aca="false">D1318-E1318</f>
        <v>#NAME?</v>
      </c>
    </row>
    <row r="1319" customFormat="false" ht="15" hidden="false" customHeight="false" outlineLevel="0" collapsed="false">
      <c r="A1319" s="20" t="s">
        <v>2227</v>
      </c>
      <c r="B1319" s="47" t="s">
        <v>2228</v>
      </c>
      <c r="C1319" s="7" t="s">
        <v>15</v>
      </c>
      <c r="D1319" s="112" t="e">
        <f aca="false">сводн.данные!n1324</f>
        <v>#NAME?</v>
      </c>
      <c r="E1319" s="23" t="n">
        <v>2267.25728285041</v>
      </c>
      <c r="F1319" s="24" t="n">
        <v>1280</v>
      </c>
      <c r="G1319" s="24" t="e">
        <f aca="false">D1319-E1319</f>
        <v>#NAME?</v>
      </c>
    </row>
    <row r="1320" customFormat="false" ht="15" hidden="false" customHeight="false" outlineLevel="0" collapsed="false">
      <c r="A1320" s="20" t="s">
        <v>2229</v>
      </c>
      <c r="B1320" s="47" t="s">
        <v>2230</v>
      </c>
      <c r="C1320" s="7" t="s">
        <v>15</v>
      </c>
      <c r="D1320" s="112" t="e">
        <f aca="false">сводн.данные!n1325</f>
        <v>#NAME?</v>
      </c>
      <c r="E1320" s="23" t="n">
        <v>3061.89928041297</v>
      </c>
      <c r="F1320" s="24" t="n">
        <v>1700</v>
      </c>
      <c r="G1320" s="24" t="e">
        <f aca="false">D1320-E1320</f>
        <v>#NAME?</v>
      </c>
    </row>
    <row r="1321" customFormat="false" ht="15" hidden="false" customHeight="false" outlineLevel="0" collapsed="false">
      <c r="A1321" s="20" t="s">
        <v>2231</v>
      </c>
      <c r="B1321" s="47" t="s">
        <v>2232</v>
      </c>
      <c r="C1321" s="7" t="s">
        <v>15</v>
      </c>
      <c r="D1321" s="112" t="e">
        <f aca="false">сводн.данные!n1326</f>
        <v>#NAME?</v>
      </c>
      <c r="E1321" s="23" t="n">
        <v>3016.41528047712</v>
      </c>
      <c r="F1321" s="24" t="n">
        <v>1700</v>
      </c>
      <c r="G1321" s="24" t="e">
        <f aca="false">D1321-E1321</f>
        <v>#NAME?</v>
      </c>
    </row>
    <row r="1322" customFormat="false" ht="15" hidden="false" customHeight="false" outlineLevel="0" collapsed="false">
      <c r="A1322" s="20" t="s">
        <v>2233</v>
      </c>
      <c r="B1322" s="47" t="s">
        <v>2234</v>
      </c>
      <c r="C1322" s="7" t="s">
        <v>15</v>
      </c>
      <c r="D1322" s="112" t="e">
        <f aca="false">сводн.данные!n1327</f>
        <v>#NAME?</v>
      </c>
      <c r="E1322" s="23" t="n">
        <v>3069.39928041297</v>
      </c>
      <c r="F1322" s="24" t="n">
        <v>1990</v>
      </c>
      <c r="G1322" s="24" t="e">
        <f aca="false">D1322-E1322</f>
        <v>#NAME?</v>
      </c>
    </row>
    <row r="1323" customFormat="false" ht="15" hidden="false" customHeight="false" outlineLevel="0" collapsed="false">
      <c r="A1323" s="20" t="s">
        <v>2235</v>
      </c>
      <c r="B1323" s="47" t="s">
        <v>2236</v>
      </c>
      <c r="C1323" s="7" t="s">
        <v>15</v>
      </c>
      <c r="D1323" s="112" t="e">
        <f aca="false">сводн.данные!n1328</f>
        <v>#NAME?</v>
      </c>
      <c r="E1323" s="23" t="n">
        <v>8730.45014669802</v>
      </c>
      <c r="F1323" s="24" t="n">
        <v>0</v>
      </c>
      <c r="G1323" s="24" t="e">
        <f aca="false">D1323-E1323</f>
        <v>#NAME?</v>
      </c>
    </row>
    <row r="1324" customFormat="false" ht="15" hidden="false" customHeight="false" outlineLevel="0" collapsed="false">
      <c r="A1324" s="20" t="s">
        <v>2237</v>
      </c>
      <c r="B1324" s="47" t="s">
        <v>2238</v>
      </c>
      <c r="C1324" s="7" t="s">
        <v>15</v>
      </c>
      <c r="D1324" s="112" t="e">
        <f aca="false">сводн.данные!n1329</f>
        <v>#NAME?</v>
      </c>
      <c r="E1324" s="23" t="n">
        <v>14526.5127494868</v>
      </c>
      <c r="F1324" s="24" t="n">
        <v>0</v>
      </c>
      <c r="G1324" s="24" t="e">
        <f aca="false">D1324-E1324</f>
        <v>#NAME?</v>
      </c>
    </row>
    <row r="1325" customFormat="false" ht="32.25" hidden="false" customHeight="true" outlineLevel="0" collapsed="false">
      <c r="A1325" s="20" t="s">
        <v>2239</v>
      </c>
      <c r="B1325" s="118" t="s">
        <v>2240</v>
      </c>
      <c r="C1325" s="7" t="s">
        <v>15</v>
      </c>
      <c r="D1325" s="112" t="e">
        <f aca="false">сводн.данные!n1330</f>
        <v>#NAME?</v>
      </c>
      <c r="E1325" s="23" t="n">
        <v>33719</v>
      </c>
      <c r="F1325" s="24" t="n">
        <v>0</v>
      </c>
      <c r="G1325" s="24" t="e">
        <f aca="false">D1325-E1325</f>
        <v>#NAME?</v>
      </c>
    </row>
    <row r="1326" customFormat="false" ht="15" hidden="false" customHeight="false" outlineLevel="0" collapsed="false">
      <c r="A1326" s="20" t="s">
        <v>2241</v>
      </c>
      <c r="B1326" s="118" t="s">
        <v>2242</v>
      </c>
      <c r="C1326" s="7" t="s">
        <v>15</v>
      </c>
      <c r="D1326" s="112" t="e">
        <f aca="false">сводн.данные!n1331</f>
        <v>#NAME?</v>
      </c>
      <c r="E1326" s="23" t="n">
        <v>41277</v>
      </c>
      <c r="F1326" s="24" t="n">
        <v>0</v>
      </c>
      <c r="G1326" s="24" t="e">
        <f aca="false">D1326-E1326</f>
        <v>#NAME?</v>
      </c>
    </row>
    <row r="1327" customFormat="false" ht="15" hidden="false" customHeight="false" outlineLevel="0" collapsed="false">
      <c r="A1327" s="20" t="s">
        <v>2243</v>
      </c>
      <c r="B1327" s="118" t="s">
        <v>2244</v>
      </c>
      <c r="C1327" s="7" t="s">
        <v>15</v>
      </c>
      <c r="D1327" s="112" t="e">
        <f aca="false">сводн.данные!n1332</f>
        <v>#NAME?</v>
      </c>
      <c r="E1327" s="23"/>
      <c r="F1327" s="24"/>
      <c r="G1327" s="24"/>
    </row>
    <row r="1328" customFormat="false" ht="15" hidden="false" customHeight="false" outlineLevel="0" collapsed="false">
      <c r="A1328" s="20" t="s">
        <v>2245</v>
      </c>
      <c r="B1328" s="118" t="s">
        <v>2246</v>
      </c>
      <c r="C1328" s="7" t="s">
        <v>15</v>
      </c>
      <c r="D1328" s="112" t="e">
        <f aca="false">сводн.данные!n1333</f>
        <v>#NAME?</v>
      </c>
      <c r="E1328" s="23"/>
      <c r="F1328" s="24"/>
      <c r="G1328" s="24"/>
    </row>
    <row r="1329" customFormat="false" ht="15" hidden="false" customHeight="false" outlineLevel="0" collapsed="false">
      <c r="A1329" s="20" t="s">
        <v>2247</v>
      </c>
      <c r="B1329" s="118" t="s">
        <v>2248</v>
      </c>
      <c r="C1329" s="7" t="s">
        <v>15</v>
      </c>
      <c r="D1329" s="112" t="e">
        <f aca="false">сводн.данные!n1334</f>
        <v>#NAME?</v>
      </c>
      <c r="E1329" s="23"/>
      <c r="F1329" s="24"/>
      <c r="G1329" s="24"/>
    </row>
    <row r="1330" customFormat="false" ht="15" hidden="false" customHeight="false" outlineLevel="0" collapsed="false">
      <c r="A1330" s="20" t="s">
        <v>2249</v>
      </c>
      <c r="B1330" s="118" t="s">
        <v>2250</v>
      </c>
      <c r="C1330" s="7" t="s">
        <v>15</v>
      </c>
      <c r="D1330" s="112" t="e">
        <f aca="false">сводн.данные!n1335</f>
        <v>#NAME?</v>
      </c>
      <c r="E1330" s="23"/>
      <c r="F1330" s="24"/>
      <c r="G1330" s="24"/>
    </row>
    <row r="1331" customFormat="false" ht="15.75" hidden="false" customHeight="true" outlineLevel="0" collapsed="false">
      <c r="A1331" s="20" t="s">
        <v>2251</v>
      </c>
      <c r="B1331" s="118" t="s">
        <v>2252</v>
      </c>
      <c r="C1331" s="7" t="s">
        <v>15</v>
      </c>
      <c r="D1331" s="112" t="e">
        <f aca="false">(D1297+D1298+D1299+D1300+D1301+D1302+D1303+D1308+D1311+D1312+D1316+D1318+D1319+D1320+D1322)/15*10</f>
        <v>#NAME?</v>
      </c>
      <c r="E1331" s="23"/>
      <c r="F1331" s="24"/>
      <c r="G1331" s="24"/>
      <c r="H1331" s="124"/>
      <c r="I1331" s="124"/>
    </row>
    <row r="1332" customFormat="false" ht="15" hidden="false" customHeight="false" outlineLevel="0" collapsed="false">
      <c r="A1332" s="20" t="s">
        <v>2253</v>
      </c>
      <c r="B1332" s="118" t="s">
        <v>2254</v>
      </c>
      <c r="C1332" s="7" t="s">
        <v>15</v>
      </c>
      <c r="D1332" s="112" t="e">
        <f aca="false">(D1286+D1289+D1291+D1304+D1305+D1309+D1310+D1313+D1314+D1317)/10*10</f>
        <v>#NAME?</v>
      </c>
      <c r="E1332" s="23"/>
      <c r="F1332" s="24"/>
      <c r="G1332" s="24"/>
      <c r="H1332" s="124"/>
      <c r="I1332" s="124"/>
    </row>
    <row r="1333" customFormat="false" ht="15" hidden="false" customHeight="false" outlineLevel="0" collapsed="false">
      <c r="A1333" s="20" t="s">
        <v>2255</v>
      </c>
      <c r="B1333" s="118" t="s">
        <v>2256</v>
      </c>
      <c r="C1333" s="7" t="s">
        <v>15</v>
      </c>
      <c r="D1333" s="112" t="e">
        <f aca="false">(D1297+D1298+D1299+D1300+D1301+D1302+D1303+D1308+D1311+D1312+D1316+D1318+D1319+D1320+D1322)/15*2</f>
        <v>#NAME?</v>
      </c>
      <c r="E1333" s="23"/>
      <c r="F1333" s="24"/>
      <c r="G1333" s="24"/>
      <c r="H1333" s="124"/>
      <c r="I1333" s="124"/>
    </row>
    <row r="1334" customFormat="false" ht="15" hidden="false" customHeight="false" outlineLevel="0" collapsed="false">
      <c r="A1334" s="20" t="s">
        <v>2257</v>
      </c>
      <c r="B1334" s="118" t="s">
        <v>2258</v>
      </c>
      <c r="C1334" s="7" t="s">
        <v>15</v>
      </c>
      <c r="D1334" s="112" t="e">
        <f aca="false">(D1286+D1289+D1291+D1304+D1305+D1309+D1310+D1313+D1314+D1317)/10</f>
        <v>#NAME?</v>
      </c>
      <c r="E1334" s="23"/>
      <c r="F1334" s="24"/>
      <c r="G1334" s="24"/>
      <c r="H1334" s="124"/>
      <c r="I1334" s="124"/>
    </row>
    <row r="1335" customFormat="false" ht="28.5" hidden="false" customHeight="false" outlineLevel="0" collapsed="false">
      <c r="A1335" s="109" t="s">
        <v>2259</v>
      </c>
      <c r="B1335" s="125" t="s">
        <v>2260</v>
      </c>
      <c r="C1335" s="110"/>
      <c r="D1335" s="110"/>
      <c r="E1335" s="70"/>
      <c r="F1335" s="71"/>
      <c r="G1335" s="71"/>
    </row>
    <row r="1336" customFormat="false" ht="15" hidden="false" customHeight="false" outlineLevel="0" collapsed="false">
      <c r="A1336" s="15" t="s">
        <v>2261</v>
      </c>
      <c r="B1336" s="16" t="s">
        <v>2262</v>
      </c>
      <c r="C1336" s="100"/>
      <c r="D1336" s="126"/>
      <c r="E1336" s="33"/>
      <c r="F1336" s="34"/>
      <c r="G1336" s="34"/>
    </row>
    <row r="1337" customFormat="false" ht="15" hidden="false" customHeight="false" outlineLevel="0" collapsed="false">
      <c r="A1337" s="28" t="s">
        <v>2263</v>
      </c>
      <c r="B1337" s="40" t="s">
        <v>2264</v>
      </c>
      <c r="C1337" s="7" t="s">
        <v>15</v>
      </c>
      <c r="D1337" s="112" t="e">
        <f aca="false">сводн.данные!n1342</f>
        <v>#NAME?</v>
      </c>
      <c r="E1337" s="23" t="n">
        <v>3067.81204485638</v>
      </c>
      <c r="F1337" s="24" t="n">
        <v>2900</v>
      </c>
      <c r="G1337" s="24" t="e">
        <f aca="false">D1337-E1337</f>
        <v>#NAME?</v>
      </c>
    </row>
    <row r="1338" customFormat="false" ht="15" hidden="false" customHeight="false" outlineLevel="0" collapsed="false">
      <c r="A1338" s="28" t="s">
        <v>2265</v>
      </c>
      <c r="B1338" s="40" t="s">
        <v>2266</v>
      </c>
      <c r="C1338" s="7" t="s">
        <v>15</v>
      </c>
      <c r="D1338" s="112" t="e">
        <f aca="false">сводн.данные!n1343</f>
        <v>#NAME?</v>
      </c>
      <c r="E1338" s="23" t="n">
        <v>4269.07342802831</v>
      </c>
      <c r="F1338" s="24" t="n">
        <v>0</v>
      </c>
      <c r="G1338" s="24" t="e">
        <f aca="false">D1338-E1338</f>
        <v>#NAME?</v>
      </c>
    </row>
    <row r="1339" customFormat="false" ht="15" hidden="false" customHeight="false" outlineLevel="0" collapsed="false">
      <c r="A1339" s="28" t="s">
        <v>2267</v>
      </c>
      <c r="B1339" s="40" t="s">
        <v>2268</v>
      </c>
      <c r="C1339" s="7" t="s">
        <v>15</v>
      </c>
      <c r="D1339" s="112" t="e">
        <f aca="false">сводн.данные!n1344</f>
        <v>#NAME?</v>
      </c>
      <c r="E1339" s="23" t="n">
        <v>2336.57701759811</v>
      </c>
      <c r="F1339" s="24" t="n">
        <v>0</v>
      </c>
      <c r="G1339" s="24" t="e">
        <f aca="false">D1339-E1339</f>
        <v>#NAME?</v>
      </c>
    </row>
    <row r="1340" customFormat="false" ht="15" hidden="false" customHeight="false" outlineLevel="0" collapsed="false">
      <c r="A1340" s="28" t="s">
        <v>2269</v>
      </c>
      <c r="B1340" s="40" t="s">
        <v>2270</v>
      </c>
      <c r="C1340" s="7" t="s">
        <v>15</v>
      </c>
      <c r="D1340" s="112" t="e">
        <f aca="false">сводн.данные!n1345</f>
        <v>#NAME?</v>
      </c>
      <c r="E1340" s="23" t="n">
        <v>2216.77314376611</v>
      </c>
      <c r="F1340" s="24" t="n">
        <v>1100</v>
      </c>
      <c r="G1340" s="24" t="e">
        <f aca="false">D1340-E1340</f>
        <v>#NAME?</v>
      </c>
    </row>
    <row r="1341" customFormat="false" ht="30" hidden="false" customHeight="true" outlineLevel="0" collapsed="false">
      <c r="A1341" s="28" t="s">
        <v>2271</v>
      </c>
      <c r="B1341" s="40" t="s">
        <v>2272</v>
      </c>
      <c r="C1341" s="7" t="s">
        <v>15</v>
      </c>
      <c r="D1341" s="112" t="e">
        <f aca="false">сводн.данные!n1346</f>
        <v>#NAME?</v>
      </c>
      <c r="E1341" s="23" t="n">
        <v>4171.83513632905</v>
      </c>
      <c r="F1341" s="24" t="n">
        <v>9700</v>
      </c>
      <c r="G1341" s="24" t="e">
        <f aca="false">D1341-E1341</f>
        <v>#NAME?</v>
      </c>
    </row>
    <row r="1342" customFormat="false" ht="15" hidden="false" customHeight="false" outlineLevel="0" collapsed="false">
      <c r="A1342" s="127" t="s">
        <v>2273</v>
      </c>
      <c r="B1342" s="128" t="s">
        <v>2274</v>
      </c>
      <c r="C1342" s="100"/>
      <c r="D1342" s="126"/>
      <c r="E1342" s="33"/>
      <c r="F1342" s="34"/>
      <c r="G1342" s="34"/>
    </row>
    <row r="1343" customFormat="false" ht="15" hidden="false" customHeight="false" outlineLevel="0" collapsed="false">
      <c r="A1343" s="28" t="s">
        <v>2275</v>
      </c>
      <c r="B1343" s="40" t="s">
        <v>2276</v>
      </c>
      <c r="C1343" s="7" t="s">
        <v>15</v>
      </c>
      <c r="D1343" s="112" t="e">
        <f aca="false">сводн.данные!n1348</f>
        <v>#NAME?</v>
      </c>
      <c r="E1343" s="23" t="n">
        <v>4825.4750905405</v>
      </c>
      <c r="F1343" s="24" t="n">
        <v>3000</v>
      </c>
      <c r="G1343" s="24" t="e">
        <f aca="false">D1343-E1343</f>
        <v>#NAME?</v>
      </c>
    </row>
    <row r="1344" customFormat="false" ht="15" hidden="false" customHeight="false" outlineLevel="0" collapsed="false">
      <c r="A1344" s="28" t="s">
        <v>2277</v>
      </c>
      <c r="B1344" s="40" t="s">
        <v>2278</v>
      </c>
      <c r="C1344" s="7" t="s">
        <v>15</v>
      </c>
      <c r="D1344" s="112" t="e">
        <f aca="false">сводн.данные!n1349</f>
        <v>#NAME?</v>
      </c>
      <c r="E1344" s="23" t="n">
        <v>2470.85948436148</v>
      </c>
      <c r="F1344" s="24" t="n">
        <v>1200</v>
      </c>
      <c r="G1344" s="24" t="e">
        <f aca="false">D1344-E1344</f>
        <v>#NAME?</v>
      </c>
    </row>
    <row r="1345" customFormat="false" ht="15" hidden="false" customHeight="false" outlineLevel="0" collapsed="false">
      <c r="A1345" s="28" t="s">
        <v>2279</v>
      </c>
      <c r="B1345" s="40" t="s">
        <v>2280</v>
      </c>
      <c r="C1345" s="7" t="s">
        <v>15</v>
      </c>
      <c r="D1345" s="112" t="e">
        <f aca="false">сводн.данные!n1350</f>
        <v>#NAME?</v>
      </c>
      <c r="E1345" s="23" t="n">
        <v>4939.71556945206</v>
      </c>
      <c r="F1345" s="24" t="n">
        <v>7800</v>
      </c>
      <c r="G1345" s="24" t="e">
        <f aca="false">D1345-E1345</f>
        <v>#NAME?</v>
      </c>
    </row>
    <row r="1346" customFormat="false" ht="15" hidden="false" customHeight="false" outlineLevel="0" collapsed="false">
      <c r="A1346" s="28" t="s">
        <v>2281</v>
      </c>
      <c r="B1346" s="40" t="s">
        <v>2282</v>
      </c>
      <c r="C1346" s="7" t="s">
        <v>15</v>
      </c>
      <c r="D1346" s="112" t="e">
        <f aca="false">сводн.данные!n1351</f>
        <v>#NAME?</v>
      </c>
      <c r="E1346" s="23" t="n">
        <v>3989.95077138409</v>
      </c>
      <c r="F1346" s="24" t="n">
        <v>11560</v>
      </c>
      <c r="G1346" s="24" t="e">
        <f aca="false">D1346-E1346</f>
        <v>#NAME?</v>
      </c>
    </row>
    <row r="1347" customFormat="false" ht="15" hidden="false" customHeight="false" outlineLevel="0" collapsed="false">
      <c r="A1347" s="127" t="s">
        <v>2283</v>
      </c>
      <c r="B1347" s="128" t="s">
        <v>2284</v>
      </c>
      <c r="C1347" s="100"/>
      <c r="D1347" s="126"/>
      <c r="E1347" s="33"/>
      <c r="F1347" s="34"/>
      <c r="G1347" s="34"/>
    </row>
    <row r="1348" customFormat="false" ht="15" hidden="false" customHeight="false" outlineLevel="0" collapsed="false">
      <c r="A1348" s="28" t="s">
        <v>2285</v>
      </c>
      <c r="B1348" s="40" t="s">
        <v>2286</v>
      </c>
      <c r="C1348" s="7" t="s">
        <v>15</v>
      </c>
      <c r="D1348" s="112" t="e">
        <f aca="false">сводн.данные!n1353</f>
        <v>#NAME?</v>
      </c>
      <c r="E1348" s="23" t="n">
        <v>2862.53489491029</v>
      </c>
      <c r="F1348" s="24" t="n">
        <v>5200</v>
      </c>
      <c r="G1348" s="24" t="e">
        <f aca="false">D1348-E1348</f>
        <v>#NAME?</v>
      </c>
    </row>
    <row r="1349" customFormat="false" ht="15" hidden="false" customHeight="false" outlineLevel="0" collapsed="false">
      <c r="A1349" s="28" t="s">
        <v>2287</v>
      </c>
      <c r="B1349" s="40" t="s">
        <v>2288</v>
      </c>
      <c r="C1349" s="7" t="s">
        <v>15</v>
      </c>
      <c r="D1349" s="112" t="e">
        <f aca="false">сводн.данные!n1354</f>
        <v>#NAME?</v>
      </c>
      <c r="E1349" s="23" t="n">
        <v>3981.0325679526</v>
      </c>
      <c r="F1349" s="24" t="n">
        <v>0</v>
      </c>
      <c r="G1349" s="24" t="e">
        <f aca="false">D1349-E1349</f>
        <v>#NAME?</v>
      </c>
    </row>
    <row r="1350" customFormat="false" ht="15" hidden="false" customHeight="false" outlineLevel="0" collapsed="false">
      <c r="A1350" s="28" t="s">
        <v>2289</v>
      </c>
      <c r="B1350" s="78" t="s">
        <v>2290</v>
      </c>
      <c r="C1350" s="7" t="s">
        <v>15</v>
      </c>
      <c r="D1350" s="112" t="e">
        <f aca="false">сводн.данные!n1355</f>
        <v>#NAME?</v>
      </c>
      <c r="E1350" s="23" t="n">
        <v>1426.33747891253</v>
      </c>
      <c r="F1350" s="24" t="n">
        <v>1250</v>
      </c>
      <c r="G1350" s="24" t="e">
        <f aca="false">D1350-E1350</f>
        <v>#NAME?</v>
      </c>
    </row>
    <row r="1351" customFormat="false" ht="15" hidden="false" customHeight="false" outlineLevel="0" collapsed="false">
      <c r="A1351" s="28" t="s">
        <v>2291</v>
      </c>
      <c r="B1351" s="78" t="s">
        <v>2292</v>
      </c>
      <c r="C1351" s="7" t="s">
        <v>15</v>
      </c>
      <c r="D1351" s="112" t="e">
        <f aca="false">сводн.данные!n1356</f>
        <v>#NAME?</v>
      </c>
      <c r="E1351" s="23" t="n">
        <v>1638.84088027308</v>
      </c>
      <c r="F1351" s="24" t="n">
        <v>1070</v>
      </c>
      <c r="G1351" s="24" t="e">
        <f aca="false">D1351-E1351</f>
        <v>#NAME?</v>
      </c>
    </row>
    <row r="1352" customFormat="false" ht="15" hidden="false" customHeight="false" outlineLevel="0" collapsed="false">
      <c r="A1352" s="28" t="s">
        <v>2293</v>
      </c>
      <c r="B1352" s="40" t="s">
        <v>2294</v>
      </c>
      <c r="C1352" s="7" t="s">
        <v>15</v>
      </c>
      <c r="D1352" s="112" t="e">
        <f aca="false">сводн.данные!n1357</f>
        <v>#NAME?</v>
      </c>
      <c r="E1352" s="23" t="n">
        <v>4361.86524689865</v>
      </c>
      <c r="F1352" s="24" t="n">
        <v>9600</v>
      </c>
      <c r="G1352" s="24" t="e">
        <f aca="false">D1352-E1352</f>
        <v>#NAME?</v>
      </c>
    </row>
    <row r="1353" customFormat="false" ht="15" hidden="false" customHeight="false" outlineLevel="0" collapsed="false">
      <c r="A1353" s="28" t="s">
        <v>2295</v>
      </c>
      <c r="B1353" s="40" t="s">
        <v>2296</v>
      </c>
      <c r="C1353" s="7" t="s">
        <v>15</v>
      </c>
      <c r="D1353" s="112" t="e">
        <f aca="false">сводн.данные!n1358</f>
        <v>#NAME?</v>
      </c>
      <c r="E1353" s="23" t="n">
        <v>1266.02993860629</v>
      </c>
      <c r="F1353" s="24" t="n">
        <v>1200</v>
      </c>
      <c r="G1353" s="24" t="e">
        <f aca="false">D1353-E1353</f>
        <v>#NAME?</v>
      </c>
    </row>
    <row r="1354" customFormat="false" ht="31.5" hidden="false" customHeight="true" outlineLevel="0" collapsed="false">
      <c r="A1354" s="28" t="s">
        <v>2297</v>
      </c>
      <c r="B1354" s="40" t="s">
        <v>2298</v>
      </c>
      <c r="C1354" s="7" t="s">
        <v>15</v>
      </c>
      <c r="D1354" s="112" t="e">
        <f aca="false">сводн.данные!n1359</f>
        <v>#NAME?</v>
      </c>
      <c r="E1354" s="23" t="n">
        <v>1983.93057832277</v>
      </c>
      <c r="F1354" s="24" t="n">
        <v>2620</v>
      </c>
      <c r="G1354" s="24" t="e">
        <f aca="false">D1354-E1354</f>
        <v>#NAME?</v>
      </c>
    </row>
    <row r="1355" customFormat="false" ht="15" hidden="false" customHeight="false" outlineLevel="0" collapsed="false">
      <c r="A1355" s="28" t="s">
        <v>2299</v>
      </c>
      <c r="B1355" s="40" t="s">
        <v>2300</v>
      </c>
      <c r="C1355" s="7" t="s">
        <v>15</v>
      </c>
      <c r="D1355" s="112" t="e">
        <f aca="false">сводн.данные!n1360</f>
        <v>#NAME?</v>
      </c>
      <c r="E1355" s="23" t="n">
        <v>1740.49417105274</v>
      </c>
      <c r="F1355" s="24" t="n">
        <v>700</v>
      </c>
      <c r="G1355" s="24" t="e">
        <f aca="false">D1355-E1355</f>
        <v>#NAME?</v>
      </c>
    </row>
    <row r="1356" customFormat="false" ht="16.5" hidden="false" customHeight="true" outlineLevel="0" collapsed="false">
      <c r="A1356" s="28" t="s">
        <v>2301</v>
      </c>
      <c r="B1356" s="29" t="s">
        <v>2302</v>
      </c>
      <c r="C1356" s="7" t="s">
        <v>15</v>
      </c>
      <c r="D1356" s="112" t="e">
        <f aca="false">сводн.данные!n1361</f>
        <v>#NAME?</v>
      </c>
      <c r="E1356" s="23" t="n">
        <v>3379.49703013843</v>
      </c>
      <c r="F1356" s="24" t="n">
        <v>1790</v>
      </c>
      <c r="G1356" s="24" t="e">
        <f aca="false">D1356-E1356</f>
        <v>#NAME?</v>
      </c>
    </row>
    <row r="1357" customFormat="false" ht="16.5" hidden="false" customHeight="true" outlineLevel="0" collapsed="false">
      <c r="A1357" s="28" t="s">
        <v>2303</v>
      </c>
      <c r="B1357" s="29" t="s">
        <v>2304</v>
      </c>
      <c r="C1357" s="7" t="s">
        <v>15</v>
      </c>
      <c r="D1357" s="112" t="e">
        <f aca="false">сводн.данные!n1362</f>
        <v>#NAME?</v>
      </c>
      <c r="E1357" s="23" t="n">
        <v>3305.76014856331</v>
      </c>
      <c r="F1357" s="24" t="n">
        <v>1790</v>
      </c>
      <c r="G1357" s="24" t="e">
        <f aca="false">D1357-E1357</f>
        <v>#NAME?</v>
      </c>
    </row>
    <row r="1358" customFormat="false" ht="15" hidden="false" customHeight="false" outlineLevel="0" collapsed="false">
      <c r="A1358" s="28" t="s">
        <v>2305</v>
      </c>
      <c r="B1358" s="29" t="s">
        <v>2306</v>
      </c>
      <c r="C1358" s="7" t="s">
        <v>15</v>
      </c>
      <c r="D1358" s="112" t="e">
        <f aca="false">сводн.данные!n1363</f>
        <v>#NAME?</v>
      </c>
      <c r="E1358" s="23" t="n">
        <v>9907.84154170305</v>
      </c>
      <c r="F1358" s="24" t="n">
        <v>14600</v>
      </c>
      <c r="G1358" s="24" t="e">
        <f aca="false">D1358-E1358</f>
        <v>#NAME?</v>
      </c>
    </row>
    <row r="1359" customFormat="false" ht="15" hidden="false" customHeight="false" outlineLevel="0" collapsed="false">
      <c r="A1359" s="129" t="s">
        <v>2307</v>
      </c>
      <c r="B1359" s="130" t="s">
        <v>2308</v>
      </c>
      <c r="C1359" s="100"/>
      <c r="D1359" s="126"/>
      <c r="E1359" s="33"/>
      <c r="F1359" s="34"/>
      <c r="G1359" s="34"/>
    </row>
    <row r="1360" customFormat="false" ht="15" hidden="false" customHeight="false" outlineLevel="0" collapsed="false">
      <c r="A1360" s="28" t="s">
        <v>2309</v>
      </c>
      <c r="B1360" s="40" t="s">
        <v>2310</v>
      </c>
      <c r="C1360" s="7" t="s">
        <v>15</v>
      </c>
      <c r="D1360" s="112" t="e">
        <f aca="false">сводн.данные!n1365</f>
        <v>#NAME?</v>
      </c>
      <c r="E1360" s="23" t="n">
        <v>3377.96191610896</v>
      </c>
      <c r="F1360" s="24" t="n">
        <v>3000</v>
      </c>
      <c r="G1360" s="24" t="e">
        <f aca="false">D1360-E1360</f>
        <v>#NAME?</v>
      </c>
    </row>
    <row r="1361" customFormat="false" ht="15" hidden="false" customHeight="false" outlineLevel="0" collapsed="false">
      <c r="A1361" s="28" t="s">
        <v>2311</v>
      </c>
      <c r="B1361" s="40" t="s">
        <v>2312</v>
      </c>
      <c r="C1361" s="7" t="s">
        <v>15</v>
      </c>
      <c r="D1361" s="112" t="e">
        <f aca="false">сводн.данные!n1366</f>
        <v>#NAME?</v>
      </c>
      <c r="E1361" s="23" t="n">
        <v>3710.59345445948</v>
      </c>
      <c r="F1361" s="24" t="n">
        <v>7800</v>
      </c>
      <c r="G1361" s="24" t="e">
        <f aca="false">D1361-E1361</f>
        <v>#NAME?</v>
      </c>
    </row>
    <row r="1362" customFormat="false" ht="15" hidden="false" customHeight="false" outlineLevel="0" collapsed="false">
      <c r="A1362" s="28" t="s">
        <v>2313</v>
      </c>
      <c r="B1362" s="40" t="s">
        <v>2314</v>
      </c>
      <c r="C1362" s="7" t="s">
        <v>15</v>
      </c>
      <c r="D1362" s="112" t="e">
        <f aca="false">сводн.данные!n1367</f>
        <v>#NAME?</v>
      </c>
      <c r="E1362" s="23" t="n">
        <v>1436.99193165755</v>
      </c>
      <c r="F1362" s="24" t="n">
        <v>1580</v>
      </c>
      <c r="G1362" s="24" t="e">
        <f aca="false">D1362-E1362</f>
        <v>#NAME?</v>
      </c>
    </row>
    <row r="1363" customFormat="false" ht="15" hidden="false" customHeight="false" outlineLevel="0" collapsed="false">
      <c r="A1363" s="127" t="s">
        <v>2315</v>
      </c>
      <c r="B1363" s="128" t="s">
        <v>2316</v>
      </c>
      <c r="C1363" s="100"/>
      <c r="D1363" s="126"/>
      <c r="E1363" s="33"/>
      <c r="F1363" s="34"/>
      <c r="G1363" s="34"/>
    </row>
    <row r="1364" customFormat="false" ht="15" hidden="false" customHeight="false" outlineLevel="0" collapsed="false">
      <c r="A1364" s="28" t="s">
        <v>2317</v>
      </c>
      <c r="B1364" s="40" t="s">
        <v>2318</v>
      </c>
      <c r="C1364" s="7" t="s">
        <v>15</v>
      </c>
      <c r="D1364" s="112" t="e">
        <f aca="false">сводн.данные!n1369</f>
        <v>#NAME?</v>
      </c>
      <c r="E1364" s="23" t="n">
        <v>3485.4730830986</v>
      </c>
      <c r="F1364" s="24" t="n">
        <v>1900</v>
      </c>
      <c r="G1364" s="24" t="e">
        <f aca="false">D1364-E1364</f>
        <v>#NAME?</v>
      </c>
    </row>
    <row r="1365" customFormat="false" ht="15" hidden="false" customHeight="false" outlineLevel="0" collapsed="false">
      <c r="A1365" s="28" t="s">
        <v>2319</v>
      </c>
      <c r="B1365" s="40" t="s">
        <v>2320</v>
      </c>
      <c r="C1365" s="7" t="s">
        <v>15</v>
      </c>
      <c r="D1365" s="112" t="e">
        <f aca="false">сводн.данные!n1370</f>
        <v>#NAME?</v>
      </c>
      <c r="E1365" s="23" t="n">
        <v>3812.03093678353</v>
      </c>
      <c r="F1365" s="24" t="n">
        <v>7800</v>
      </c>
      <c r="G1365" s="24" t="e">
        <f aca="false">D1365-E1365</f>
        <v>#NAME?</v>
      </c>
    </row>
    <row r="1366" customFormat="false" ht="15" hidden="false" customHeight="false" outlineLevel="0" collapsed="false">
      <c r="A1366" s="28" t="s">
        <v>2321</v>
      </c>
      <c r="B1366" s="40" t="s">
        <v>2322</v>
      </c>
      <c r="C1366" s="7" t="s">
        <v>15</v>
      </c>
      <c r="D1366" s="112" t="e">
        <f aca="false">сводн.данные!n1371</f>
        <v>#NAME?</v>
      </c>
      <c r="E1366" s="23" t="n">
        <v>1916.83250787172</v>
      </c>
      <c r="F1366" s="24" t="n">
        <v>1570</v>
      </c>
      <c r="G1366" s="24" t="e">
        <f aca="false">D1366-E1366</f>
        <v>#NAME?</v>
      </c>
    </row>
    <row r="1367" customFormat="false" ht="15" hidden="false" customHeight="false" outlineLevel="0" collapsed="false">
      <c r="A1367" s="28" t="s">
        <v>2323</v>
      </c>
      <c r="B1367" s="40" t="s">
        <v>2324</v>
      </c>
      <c r="C1367" s="7" t="s">
        <v>15</v>
      </c>
      <c r="D1367" s="112" t="e">
        <f aca="false">сводн.данные!n1372</f>
        <v>#NAME?</v>
      </c>
      <c r="E1367" s="23" t="n">
        <v>2241.86350787172</v>
      </c>
      <c r="F1367" s="24" t="n">
        <v>730</v>
      </c>
      <c r="G1367" s="24" t="e">
        <f aca="false">D1367-E1367</f>
        <v>#NAME?</v>
      </c>
    </row>
    <row r="1368" customFormat="false" ht="18.75" hidden="false" customHeight="true" outlineLevel="0" collapsed="false">
      <c r="A1368" s="28" t="s">
        <v>2325</v>
      </c>
      <c r="B1368" s="40" t="s">
        <v>2326</v>
      </c>
      <c r="C1368" s="7" t="s">
        <v>15</v>
      </c>
      <c r="D1368" s="112" t="e">
        <f aca="false">сводн.данные!n1373</f>
        <v>#NAME?</v>
      </c>
      <c r="E1368" s="23" t="n">
        <v>3019.00156002592</v>
      </c>
      <c r="F1368" s="24" t="n">
        <v>2080</v>
      </c>
      <c r="G1368" s="24" t="e">
        <f aca="false">D1368-E1368</f>
        <v>#NAME?</v>
      </c>
    </row>
    <row r="1369" customFormat="false" ht="15" hidden="false" customHeight="false" outlineLevel="0" collapsed="false">
      <c r="A1369" s="28" t="s">
        <v>2327</v>
      </c>
      <c r="B1369" s="40" t="s">
        <v>2328</v>
      </c>
      <c r="C1369" s="7" t="s">
        <v>15</v>
      </c>
      <c r="D1369" s="112" t="e">
        <f aca="false">сводн.данные!n1374</f>
        <v>#NAME?</v>
      </c>
      <c r="E1369" s="23" t="n">
        <v>4381.77485000169</v>
      </c>
      <c r="F1369" s="24" t="n">
        <v>7910</v>
      </c>
      <c r="G1369" s="24" t="e">
        <f aca="false">D1369-E1369</f>
        <v>#NAME?</v>
      </c>
    </row>
    <row r="1370" customFormat="false" ht="15" hidden="false" customHeight="false" outlineLevel="0" collapsed="false">
      <c r="A1370" s="28" t="s">
        <v>2329</v>
      </c>
      <c r="B1370" s="40" t="s">
        <v>2330</v>
      </c>
      <c r="C1370" s="7" t="s">
        <v>15</v>
      </c>
      <c r="D1370" s="112" t="e">
        <f aca="false">сводн.данные!n1375</f>
        <v>#NAME?</v>
      </c>
      <c r="E1370" s="23" t="n">
        <v>2213.56221988986</v>
      </c>
      <c r="F1370" s="24" t="n">
        <v>2620</v>
      </c>
      <c r="G1370" s="24" t="e">
        <f aca="false">D1370-E1370</f>
        <v>#NAME?</v>
      </c>
    </row>
    <row r="1371" customFormat="false" ht="30" hidden="false" customHeight="false" outlineLevel="0" collapsed="false">
      <c r="A1371" s="28" t="s">
        <v>2331</v>
      </c>
      <c r="B1371" s="29" t="s">
        <v>2332</v>
      </c>
      <c r="C1371" s="7" t="s">
        <v>15</v>
      </c>
      <c r="D1371" s="112" t="e">
        <f aca="false">сводн.данные!n1376</f>
        <v>#NAME?</v>
      </c>
      <c r="E1371" s="23" t="n">
        <v>9873.27213375857</v>
      </c>
      <c r="F1371" s="24" t="n">
        <v>10100</v>
      </c>
      <c r="G1371" s="24" t="e">
        <f aca="false">D1371-E1371</f>
        <v>#NAME?</v>
      </c>
    </row>
    <row r="1372" customFormat="false" ht="15" hidden="false" customHeight="false" outlineLevel="0" collapsed="false">
      <c r="A1372" s="127" t="s">
        <v>2333</v>
      </c>
      <c r="B1372" s="128" t="s">
        <v>2334</v>
      </c>
      <c r="C1372" s="100"/>
      <c r="D1372" s="126"/>
      <c r="E1372" s="33"/>
      <c r="F1372" s="34"/>
      <c r="G1372" s="34"/>
    </row>
    <row r="1373" customFormat="false" ht="15" hidden="false" customHeight="false" outlineLevel="0" collapsed="false">
      <c r="A1373" s="28" t="s">
        <v>2335</v>
      </c>
      <c r="B1373" s="40" t="s">
        <v>2336</v>
      </c>
      <c r="C1373" s="7" t="s">
        <v>15</v>
      </c>
      <c r="D1373" s="112" t="e">
        <f aca="false">сводн.данные!n1378</f>
        <v>#NAME?</v>
      </c>
      <c r="E1373" s="23" t="n">
        <v>3847.99121915302</v>
      </c>
      <c r="F1373" s="24" t="n">
        <v>3260</v>
      </c>
      <c r="G1373" s="24" t="e">
        <f aca="false">D1373-E1373</f>
        <v>#NAME?</v>
      </c>
    </row>
    <row r="1374" customFormat="false" ht="15" hidden="false" customHeight="false" outlineLevel="0" collapsed="false">
      <c r="A1374" s="28" t="s">
        <v>2337</v>
      </c>
      <c r="B1374" s="47" t="s">
        <v>2338</v>
      </c>
      <c r="C1374" s="7" t="s">
        <v>15</v>
      </c>
      <c r="D1374" s="112" t="e">
        <f aca="false">сводн.данные!n1379</f>
        <v>#NAME?</v>
      </c>
      <c r="E1374" s="23" t="n">
        <v>2939.38081390618</v>
      </c>
      <c r="F1374" s="24" t="n">
        <v>1520</v>
      </c>
      <c r="G1374" s="24" t="e">
        <f aca="false">D1374-E1374</f>
        <v>#NAME?</v>
      </c>
    </row>
    <row r="1375" customFormat="false" ht="32.25" hidden="false" customHeight="true" outlineLevel="0" collapsed="false">
      <c r="A1375" s="28" t="s">
        <v>2339</v>
      </c>
      <c r="B1375" s="47" t="s">
        <v>2340</v>
      </c>
      <c r="C1375" s="7" t="s">
        <v>15</v>
      </c>
      <c r="D1375" s="112" t="e">
        <f aca="false">сводн.данные!n1380</f>
        <v>#NAME?</v>
      </c>
      <c r="E1375" s="23" t="n">
        <v>5518.24404617245</v>
      </c>
      <c r="F1375" s="24" t="n">
        <v>7200</v>
      </c>
      <c r="G1375" s="24" t="e">
        <f aca="false">D1375-E1375</f>
        <v>#NAME?</v>
      </c>
    </row>
    <row r="1376" customFormat="false" ht="15" hidden="false" customHeight="false" outlineLevel="0" collapsed="false">
      <c r="A1376" s="28" t="s">
        <v>2341</v>
      </c>
      <c r="B1376" s="40" t="s">
        <v>2342</v>
      </c>
      <c r="C1376" s="7" t="s">
        <v>15</v>
      </c>
      <c r="D1376" s="112" t="e">
        <f aca="false">сводн.данные!n1381</f>
        <v>#NAME?</v>
      </c>
      <c r="E1376" s="23" t="n">
        <v>3446.17546002592</v>
      </c>
      <c r="F1376" s="24" t="n">
        <v>2040</v>
      </c>
      <c r="G1376" s="24" t="e">
        <f aca="false">D1376-E1376</f>
        <v>#NAME?</v>
      </c>
    </row>
    <row r="1377" customFormat="false" ht="15" hidden="false" customHeight="false" outlineLevel="0" collapsed="false">
      <c r="A1377" s="127" t="s">
        <v>2343</v>
      </c>
      <c r="B1377" s="128" t="s">
        <v>2344</v>
      </c>
      <c r="C1377" s="100"/>
      <c r="D1377" s="126"/>
      <c r="E1377" s="33"/>
      <c r="F1377" s="34"/>
      <c r="G1377" s="34"/>
    </row>
    <row r="1378" customFormat="false" ht="15" hidden="false" customHeight="false" outlineLevel="0" collapsed="false">
      <c r="A1378" s="28" t="s">
        <v>2345</v>
      </c>
      <c r="B1378" s="40" t="s">
        <v>2346</v>
      </c>
      <c r="C1378" s="7" t="s">
        <v>15</v>
      </c>
      <c r="D1378" s="112" t="e">
        <f aca="false">сводн.данные!n1383</f>
        <v>#NAME?</v>
      </c>
      <c r="E1378" s="23" t="n">
        <v>3561.98792978644</v>
      </c>
      <c r="F1378" s="24" t="n">
        <v>3500</v>
      </c>
      <c r="G1378" s="24" t="e">
        <f aca="false">D1378-E1378</f>
        <v>#NAME?</v>
      </c>
    </row>
    <row r="1379" customFormat="false" ht="15" hidden="false" customHeight="false" outlineLevel="0" collapsed="false">
      <c r="A1379" s="28" t="s">
        <v>2347</v>
      </c>
      <c r="B1379" s="40" t="s">
        <v>2348</v>
      </c>
      <c r="C1379" s="7" t="s">
        <v>15</v>
      </c>
      <c r="D1379" s="112" t="e">
        <f aca="false">сводн.данные!n1384</f>
        <v>#NAME?</v>
      </c>
      <c r="E1379" s="23" t="n">
        <v>1374.03672199721</v>
      </c>
      <c r="F1379" s="24" t="n">
        <v>1200</v>
      </c>
      <c r="G1379" s="24" t="e">
        <f aca="false">D1379-E1379</f>
        <v>#NAME?</v>
      </c>
    </row>
    <row r="1380" customFormat="false" ht="15" hidden="false" customHeight="false" outlineLevel="0" collapsed="false">
      <c r="A1380" s="28" t="s">
        <v>2349</v>
      </c>
      <c r="B1380" s="40" t="s">
        <v>2350</v>
      </c>
      <c r="C1380" s="7" t="s">
        <v>15</v>
      </c>
      <c r="D1380" s="112" t="e">
        <f aca="false">сводн.данные!n1385</f>
        <v>#NAME?</v>
      </c>
      <c r="E1380" s="23" t="n">
        <v>4215.94973936827</v>
      </c>
      <c r="F1380" s="24" t="n">
        <v>9240</v>
      </c>
      <c r="G1380" s="24" t="e">
        <f aca="false">D1380-E1380</f>
        <v>#NAME?</v>
      </c>
    </row>
    <row r="1381" customFormat="false" ht="15" hidden="false" customHeight="false" outlineLevel="0" collapsed="false">
      <c r="A1381" s="28" t="s">
        <v>2351</v>
      </c>
      <c r="B1381" s="40" t="s">
        <v>2352</v>
      </c>
      <c r="C1381" s="7" t="s">
        <v>15</v>
      </c>
      <c r="D1381" s="112" t="e">
        <f aca="false">сводн.данные!n1386</f>
        <v>#NAME?</v>
      </c>
      <c r="E1381" s="23" t="n">
        <v>3367.46816002592</v>
      </c>
      <c r="F1381" s="24" t="n">
        <v>1700</v>
      </c>
      <c r="G1381" s="24" t="e">
        <f aca="false">D1381-E1381</f>
        <v>#NAME?</v>
      </c>
    </row>
    <row r="1382" customFormat="false" ht="15" hidden="false" customHeight="false" outlineLevel="0" collapsed="false">
      <c r="A1382" s="129" t="s">
        <v>2353</v>
      </c>
      <c r="B1382" s="131" t="s">
        <v>2354</v>
      </c>
      <c r="C1382" s="100"/>
      <c r="D1382" s="126"/>
      <c r="E1382" s="33"/>
      <c r="F1382" s="34"/>
      <c r="G1382" s="34"/>
    </row>
    <row r="1383" customFormat="false" ht="15" hidden="false" customHeight="false" outlineLevel="0" collapsed="false">
      <c r="A1383" s="28" t="s">
        <v>2355</v>
      </c>
      <c r="B1383" s="40" t="s">
        <v>2356</v>
      </c>
      <c r="C1383" s="7" t="s">
        <v>15</v>
      </c>
      <c r="D1383" s="112" t="e">
        <f aca="false">сводн.данные!n1388</f>
        <v>#NAME?</v>
      </c>
      <c r="E1383" s="23" t="n">
        <v>2914.14543545538</v>
      </c>
      <c r="F1383" s="24" t="n">
        <v>0</v>
      </c>
      <c r="G1383" s="24" t="e">
        <f aca="false">D1383-E1383</f>
        <v>#NAME?</v>
      </c>
    </row>
    <row r="1384" customFormat="false" ht="15" hidden="false" customHeight="false" outlineLevel="0" collapsed="false">
      <c r="A1384" s="28" t="s">
        <v>2357</v>
      </c>
      <c r="B1384" s="40" t="s">
        <v>2358</v>
      </c>
      <c r="C1384" s="7" t="s">
        <v>15</v>
      </c>
      <c r="D1384" s="112" t="e">
        <f aca="false">сводн.данные!n1389</f>
        <v>#NAME?</v>
      </c>
      <c r="E1384" s="23" t="n">
        <v>1252.04708689575</v>
      </c>
      <c r="F1384" s="24" t="n">
        <v>1200</v>
      </c>
      <c r="G1384" s="24" t="e">
        <f aca="false">D1384-E1384</f>
        <v>#NAME?</v>
      </c>
    </row>
    <row r="1385" customFormat="false" ht="15.75" hidden="false" customHeight="true" outlineLevel="0" collapsed="false">
      <c r="A1385" s="28" t="s">
        <v>2359</v>
      </c>
      <c r="B1385" s="40" t="s">
        <v>2360</v>
      </c>
      <c r="C1385" s="7" t="s">
        <v>15</v>
      </c>
      <c r="D1385" s="112" t="e">
        <f aca="false">сводн.данные!n1390</f>
        <v>#NAME?</v>
      </c>
      <c r="E1385" s="23" t="n">
        <v>3274.26654449328</v>
      </c>
      <c r="F1385" s="24" t="n">
        <v>2650</v>
      </c>
      <c r="G1385" s="24" t="e">
        <f aca="false">D1385-E1385</f>
        <v>#NAME?</v>
      </c>
    </row>
    <row r="1386" customFormat="false" ht="15" hidden="false" customHeight="false" outlineLevel="0" collapsed="false">
      <c r="A1386" s="28" t="s">
        <v>2361</v>
      </c>
      <c r="B1386" s="40" t="s">
        <v>2362</v>
      </c>
      <c r="C1386" s="7" t="s">
        <v>15</v>
      </c>
      <c r="D1386" s="112" t="e">
        <f aca="false">сводн.данные!n1391</f>
        <v>#NAME?</v>
      </c>
      <c r="E1386" s="23" t="n">
        <v>4493.17998921815</v>
      </c>
      <c r="F1386" s="24" t="n">
        <v>9240</v>
      </c>
      <c r="G1386" s="24" t="e">
        <f aca="false">D1386-E1386</f>
        <v>#NAME?</v>
      </c>
    </row>
    <row r="1387" customFormat="false" ht="15" hidden="false" customHeight="false" outlineLevel="0" collapsed="false">
      <c r="A1387" s="129" t="s">
        <v>2363</v>
      </c>
      <c r="B1387" s="130" t="s">
        <v>2364</v>
      </c>
      <c r="C1387" s="100"/>
      <c r="D1387" s="126"/>
      <c r="E1387" s="33"/>
      <c r="F1387" s="34"/>
      <c r="G1387" s="34"/>
    </row>
    <row r="1388" customFormat="false" ht="15" hidden="false" customHeight="false" outlineLevel="0" collapsed="false">
      <c r="A1388" s="28" t="s">
        <v>2365</v>
      </c>
      <c r="B1388" s="40" t="s">
        <v>2366</v>
      </c>
      <c r="C1388" s="7" t="s">
        <v>15</v>
      </c>
      <c r="D1388" s="112" t="e">
        <f aca="false">сводн.данные!n1393</f>
        <v>#NAME?</v>
      </c>
      <c r="E1388" s="23" t="n">
        <v>2580.9787230195</v>
      </c>
      <c r="F1388" s="24" t="n">
        <v>4600</v>
      </c>
      <c r="G1388" s="24" t="e">
        <f aca="false">D1388-E1388</f>
        <v>#NAME?</v>
      </c>
    </row>
    <row r="1389" customFormat="false" ht="15" hidden="false" customHeight="true" outlineLevel="0" collapsed="false">
      <c r="A1389" s="28" t="s">
        <v>2367</v>
      </c>
      <c r="B1389" s="40" t="s">
        <v>2368</v>
      </c>
      <c r="C1389" s="7" t="s">
        <v>15</v>
      </c>
      <c r="D1389" s="112" t="e">
        <f aca="false">сводн.данные!n1394</f>
        <v>#NAME?</v>
      </c>
      <c r="E1389" s="23" t="n">
        <v>3250.34985283689</v>
      </c>
      <c r="F1389" s="24" t="n">
        <v>0</v>
      </c>
      <c r="G1389" s="24" t="e">
        <f aca="false">D1389-E1389</f>
        <v>#NAME?</v>
      </c>
    </row>
    <row r="1390" customFormat="false" ht="15" hidden="false" customHeight="false" outlineLevel="0" collapsed="false">
      <c r="A1390" s="28" t="s">
        <v>2369</v>
      </c>
      <c r="B1390" s="40" t="s">
        <v>2370</v>
      </c>
      <c r="C1390" s="7" t="s">
        <v>15</v>
      </c>
      <c r="D1390" s="112" t="e">
        <f aca="false">сводн.данные!n1395</f>
        <v>#NAME?</v>
      </c>
      <c r="E1390" s="23" t="n">
        <v>4399.20475680587</v>
      </c>
      <c r="F1390" s="24" t="n">
        <v>9760</v>
      </c>
      <c r="G1390" s="24" t="e">
        <f aca="false">D1390-E1390</f>
        <v>#NAME?</v>
      </c>
    </row>
    <row r="1391" customFormat="false" ht="15" hidden="false" customHeight="false" outlineLevel="0" collapsed="false">
      <c r="A1391" s="127" t="s">
        <v>2371</v>
      </c>
      <c r="B1391" s="128" t="s">
        <v>2372</v>
      </c>
      <c r="C1391" s="100"/>
      <c r="D1391" s="126"/>
      <c r="E1391" s="33"/>
      <c r="F1391" s="34"/>
      <c r="G1391" s="34"/>
    </row>
    <row r="1392" customFormat="false" ht="15" hidden="false" customHeight="false" outlineLevel="0" collapsed="false">
      <c r="A1392" s="28" t="s">
        <v>2373</v>
      </c>
      <c r="B1392" s="40" t="s">
        <v>2374</v>
      </c>
      <c r="C1392" s="7" t="s">
        <v>15</v>
      </c>
      <c r="D1392" s="112" t="e">
        <f aca="false">сводн.данные!n1397</f>
        <v>#NAME?</v>
      </c>
      <c r="E1392" s="23" t="n">
        <v>2500.35718515005</v>
      </c>
      <c r="F1392" s="24" t="n">
        <v>4600</v>
      </c>
      <c r="G1392" s="24" t="e">
        <f aca="false">D1392-E1392</f>
        <v>#NAME?</v>
      </c>
    </row>
    <row r="1393" customFormat="false" ht="15" hidden="false" customHeight="false" outlineLevel="0" collapsed="false">
      <c r="A1393" s="28" t="s">
        <v>2375</v>
      </c>
      <c r="B1393" s="40" t="s">
        <v>2376</v>
      </c>
      <c r="C1393" s="7" t="s">
        <v>15</v>
      </c>
      <c r="D1393" s="112" t="e">
        <f aca="false">сводн.данные!n1398</f>
        <v>#NAME?</v>
      </c>
      <c r="E1393" s="23" t="n">
        <v>3543.53985379903</v>
      </c>
      <c r="F1393" s="24" t="n">
        <v>0</v>
      </c>
      <c r="G1393" s="24" t="e">
        <f aca="false">D1393-E1393</f>
        <v>#NAME?</v>
      </c>
    </row>
    <row r="1394" customFormat="false" ht="30" hidden="false" customHeight="false" outlineLevel="0" collapsed="false">
      <c r="A1394" s="28" t="s">
        <v>2377</v>
      </c>
      <c r="B1394" s="40" t="s">
        <v>2378</v>
      </c>
      <c r="C1394" s="7" t="s">
        <v>15</v>
      </c>
      <c r="D1394" s="112" t="e">
        <f aca="false">сводн.данные!n1399</f>
        <v>#NAME?</v>
      </c>
      <c r="E1394" s="23" t="n">
        <v>4407.58398883329</v>
      </c>
      <c r="F1394" s="24" t="n">
        <v>9760</v>
      </c>
      <c r="G1394" s="24" t="e">
        <f aca="false">D1394-E1394</f>
        <v>#NAME?</v>
      </c>
    </row>
    <row r="1395" customFormat="false" ht="15" hidden="false" customHeight="false" outlineLevel="0" collapsed="false">
      <c r="A1395" s="127" t="s">
        <v>2379</v>
      </c>
      <c r="B1395" s="128" t="s">
        <v>2380</v>
      </c>
      <c r="C1395" s="100"/>
      <c r="D1395" s="126"/>
      <c r="E1395" s="33"/>
      <c r="F1395" s="34"/>
      <c r="G1395" s="34"/>
    </row>
    <row r="1396" customFormat="false" ht="15" hidden="false" customHeight="false" outlineLevel="0" collapsed="false">
      <c r="A1396" s="28" t="s">
        <v>2381</v>
      </c>
      <c r="B1396" s="40" t="s">
        <v>2382</v>
      </c>
      <c r="C1396" s="7" t="s">
        <v>15</v>
      </c>
      <c r="D1396" s="112" t="e">
        <f aca="false">сводн.данные!n1401</f>
        <v>#NAME?</v>
      </c>
      <c r="E1396" s="23" t="n">
        <v>2532.84645580658</v>
      </c>
      <c r="F1396" s="24" t="n">
        <v>4600</v>
      </c>
      <c r="G1396" s="24" t="e">
        <f aca="false">D1396-E1396</f>
        <v>#NAME?</v>
      </c>
    </row>
    <row r="1397" customFormat="false" ht="15" hidden="false" customHeight="false" outlineLevel="0" collapsed="false">
      <c r="A1397" s="28" t="s">
        <v>2383</v>
      </c>
      <c r="B1397" s="40" t="s">
        <v>2384</v>
      </c>
      <c r="C1397" s="7" t="s">
        <v>15</v>
      </c>
      <c r="D1397" s="112" t="e">
        <f aca="false">сводн.данные!n1402</f>
        <v>#NAME?</v>
      </c>
      <c r="E1397" s="23" t="n">
        <v>3272.11862177161</v>
      </c>
      <c r="F1397" s="24" t="n">
        <v>0</v>
      </c>
      <c r="G1397" s="24" t="e">
        <f aca="false">D1397-E1397</f>
        <v>#NAME?</v>
      </c>
    </row>
    <row r="1398" customFormat="false" ht="15" hidden="false" customHeight="false" outlineLevel="0" collapsed="false">
      <c r="A1398" s="28" t="s">
        <v>2385</v>
      </c>
      <c r="B1398" s="40" t="s">
        <v>2386</v>
      </c>
      <c r="C1398" s="7" t="s">
        <v>15</v>
      </c>
      <c r="D1398" s="112" t="e">
        <f aca="false">сводн.данные!n1403</f>
        <v>#NAME?</v>
      </c>
      <c r="E1398" s="23" t="n">
        <v>4407.58398883329</v>
      </c>
      <c r="F1398" s="24" t="n">
        <v>9760</v>
      </c>
      <c r="G1398" s="24" t="e">
        <f aca="false">D1398-E1398</f>
        <v>#NAME?</v>
      </c>
    </row>
    <row r="1399" customFormat="false" ht="15" hidden="false" customHeight="false" outlineLevel="0" collapsed="false">
      <c r="A1399" s="127" t="s">
        <v>2387</v>
      </c>
      <c r="B1399" s="128" t="s">
        <v>2388</v>
      </c>
      <c r="C1399" s="100"/>
      <c r="D1399" s="126"/>
      <c r="E1399" s="33"/>
      <c r="F1399" s="34"/>
      <c r="G1399" s="34"/>
    </row>
    <row r="1400" customFormat="false" ht="15" hidden="false" customHeight="false" outlineLevel="0" collapsed="false">
      <c r="A1400" s="28" t="s">
        <v>2389</v>
      </c>
      <c r="B1400" s="40" t="s">
        <v>2390</v>
      </c>
      <c r="C1400" s="7" t="s">
        <v>15</v>
      </c>
      <c r="D1400" s="112" t="e">
        <f aca="false">сводн.данные!n1405</f>
        <v>#NAME?</v>
      </c>
      <c r="E1400" s="23" t="n">
        <v>2532.84645580658</v>
      </c>
      <c r="F1400" s="24" t="n">
        <v>0</v>
      </c>
      <c r="G1400" s="24" t="e">
        <f aca="false">D1400-E1400</f>
        <v>#NAME?</v>
      </c>
    </row>
    <row r="1401" customFormat="false" ht="15" hidden="false" customHeight="false" outlineLevel="0" collapsed="false">
      <c r="A1401" s="28" t="s">
        <v>2391</v>
      </c>
      <c r="B1401" s="40" t="s">
        <v>2392</v>
      </c>
      <c r="C1401" s="7" t="s">
        <v>15</v>
      </c>
      <c r="D1401" s="112" t="e">
        <f aca="false">сводн.данные!n1406</f>
        <v>#NAME?</v>
      </c>
      <c r="E1401" s="23" t="n">
        <v>4407.58398883329</v>
      </c>
      <c r="F1401" s="24" t="n">
        <v>11200</v>
      </c>
      <c r="G1401" s="24" t="e">
        <f aca="false">D1401-E1401</f>
        <v>#NAME?</v>
      </c>
    </row>
    <row r="1402" customFormat="false" ht="15" hidden="false" customHeight="false" outlineLevel="0" collapsed="false">
      <c r="A1402" s="127" t="s">
        <v>2393</v>
      </c>
      <c r="B1402" s="128" t="s">
        <v>2394</v>
      </c>
      <c r="C1402" s="100"/>
      <c r="D1402" s="126"/>
      <c r="E1402" s="33"/>
      <c r="F1402" s="34"/>
      <c r="G1402" s="34"/>
    </row>
    <row r="1403" customFormat="false" ht="15" hidden="false" customHeight="false" outlineLevel="0" collapsed="false">
      <c r="A1403" s="28" t="s">
        <v>2395</v>
      </c>
      <c r="B1403" s="40" t="s">
        <v>2396</v>
      </c>
      <c r="C1403" s="7" t="s">
        <v>15</v>
      </c>
      <c r="D1403" s="112" t="e">
        <f aca="false">сводн.данные!n1408</f>
        <v>#NAME?</v>
      </c>
      <c r="E1403" s="23" t="n">
        <v>4227.79897120327</v>
      </c>
      <c r="F1403" s="24" t="n">
        <v>11800</v>
      </c>
      <c r="G1403" s="24" t="e">
        <f aca="false">D1403-E1403</f>
        <v>#NAME?</v>
      </c>
    </row>
    <row r="1404" customFormat="false" ht="19.5" hidden="false" customHeight="true" outlineLevel="0" collapsed="false">
      <c r="A1404" s="28" t="s">
        <v>2397</v>
      </c>
      <c r="B1404" s="40" t="s">
        <v>2398</v>
      </c>
      <c r="C1404" s="7" t="s">
        <v>15</v>
      </c>
      <c r="D1404" s="112" t="e">
        <f aca="false">сводн.данные!n1409</f>
        <v>#NAME?</v>
      </c>
      <c r="E1404" s="23" t="n">
        <v>3331.03354398013</v>
      </c>
      <c r="F1404" s="24" t="n">
        <v>2650</v>
      </c>
      <c r="G1404" s="24" t="e">
        <f aca="false">D1404-E1404</f>
        <v>#NAME?</v>
      </c>
    </row>
    <row r="1405" customFormat="false" ht="15" hidden="false" customHeight="false" outlineLevel="0" collapsed="false">
      <c r="A1405" s="127" t="s">
        <v>2399</v>
      </c>
      <c r="B1405" s="132" t="s">
        <v>2400</v>
      </c>
      <c r="C1405" s="100"/>
      <c r="D1405" s="126"/>
      <c r="E1405" s="33"/>
      <c r="F1405" s="34"/>
      <c r="G1405" s="34"/>
    </row>
    <row r="1406" customFormat="false" ht="15" hidden="false" customHeight="false" outlineLevel="0" collapsed="false">
      <c r="A1406" s="133" t="s">
        <v>2401</v>
      </c>
      <c r="B1406" s="29" t="s">
        <v>2402</v>
      </c>
      <c r="C1406" s="7" t="s">
        <v>15</v>
      </c>
      <c r="D1406" s="112" t="e">
        <f aca="false">сводн.данные!n1411</f>
        <v>#NAME?</v>
      </c>
      <c r="E1406" s="23" t="n">
        <v>2821.23393305098</v>
      </c>
      <c r="F1406" s="24" t="n">
        <v>0</v>
      </c>
      <c r="G1406" s="24" t="e">
        <f aca="false">D1406-E1406</f>
        <v>#NAME?</v>
      </c>
    </row>
    <row r="1407" customFormat="false" ht="15" hidden="false" customHeight="false" outlineLevel="0" collapsed="false">
      <c r="A1407" s="133" t="s">
        <v>2403</v>
      </c>
      <c r="B1407" s="29" t="s">
        <v>2404</v>
      </c>
      <c r="C1407" s="7" t="s">
        <v>15</v>
      </c>
      <c r="D1407" s="112" t="e">
        <f aca="false">сводн.данные!n1412</f>
        <v>#NAME?</v>
      </c>
      <c r="E1407" s="23" t="n">
        <v>4147.79283642536</v>
      </c>
      <c r="F1407" s="24" t="n">
        <v>0</v>
      </c>
      <c r="G1407" s="24" t="e">
        <f aca="false">D1407-E1407</f>
        <v>#NAME?</v>
      </c>
    </row>
    <row r="1408" customFormat="false" ht="15" hidden="false" customHeight="false" outlineLevel="0" collapsed="false">
      <c r="A1408" s="133" t="s">
        <v>2405</v>
      </c>
      <c r="B1408" s="29" t="s">
        <v>2406</v>
      </c>
      <c r="C1408" s="7" t="s">
        <v>15</v>
      </c>
      <c r="D1408" s="112" t="e">
        <f aca="false">сводн.данные!n1413</f>
        <v>#NAME?</v>
      </c>
      <c r="E1408" s="23" t="n">
        <v>3483.22710823885</v>
      </c>
      <c r="F1408" s="24" t="n">
        <v>0</v>
      </c>
      <c r="G1408" s="24" t="e">
        <f aca="false">D1408-E1408</f>
        <v>#NAME?</v>
      </c>
    </row>
    <row r="1409" customFormat="false" ht="15" hidden="false" customHeight="false" outlineLevel="0" collapsed="false">
      <c r="A1409" s="127" t="s">
        <v>2407</v>
      </c>
      <c r="B1409" s="128" t="s">
        <v>2408</v>
      </c>
      <c r="C1409" s="100"/>
      <c r="D1409" s="126"/>
      <c r="E1409" s="33"/>
      <c r="F1409" s="34"/>
      <c r="G1409" s="34"/>
    </row>
    <row r="1410" customFormat="false" ht="15" hidden="false" customHeight="false" outlineLevel="0" collapsed="false">
      <c r="A1410" s="28" t="s">
        <v>2409</v>
      </c>
      <c r="B1410" s="40" t="s">
        <v>2410</v>
      </c>
      <c r="C1410" s="7" t="s">
        <v>15</v>
      </c>
      <c r="D1410" s="112" t="e">
        <f aca="false">сводн.данные!n1415</f>
        <v>#NAME?</v>
      </c>
      <c r="E1410" s="23" t="n">
        <v>3260.65223985515</v>
      </c>
      <c r="F1410" s="24" t="n">
        <v>0</v>
      </c>
      <c r="G1410" s="24" t="e">
        <f aca="false">D1410-E1410</f>
        <v>#NAME?</v>
      </c>
    </row>
    <row r="1411" customFormat="false" ht="15" hidden="false" customHeight="false" outlineLevel="0" collapsed="false">
      <c r="A1411" s="28" t="s">
        <v>2411</v>
      </c>
      <c r="B1411" s="40" t="s">
        <v>2412</v>
      </c>
      <c r="C1411" s="7" t="s">
        <v>15</v>
      </c>
      <c r="D1411" s="112" t="e">
        <f aca="false">сводн.данные!n1416</f>
        <v>#NAME?</v>
      </c>
      <c r="E1411" s="23" t="n">
        <v>4484.320825626</v>
      </c>
      <c r="F1411" s="24" t="n">
        <v>9760</v>
      </c>
      <c r="G1411" s="24" t="e">
        <f aca="false">D1411-E1411</f>
        <v>#NAME?</v>
      </c>
    </row>
    <row r="1412" customFormat="false" ht="16.5" hidden="false" customHeight="true" outlineLevel="0" collapsed="false">
      <c r="A1412" s="127" t="s">
        <v>2413</v>
      </c>
      <c r="B1412" s="128" t="s">
        <v>2414</v>
      </c>
      <c r="C1412" s="100"/>
      <c r="D1412" s="126"/>
      <c r="E1412" s="33"/>
      <c r="F1412" s="34"/>
      <c r="G1412" s="34"/>
    </row>
    <row r="1413" customFormat="false" ht="15" hidden="false" customHeight="false" outlineLevel="0" collapsed="false">
      <c r="A1413" s="28" t="s">
        <v>2415</v>
      </c>
      <c r="B1413" s="40" t="s">
        <v>2416</v>
      </c>
      <c r="C1413" s="7" t="s">
        <v>15</v>
      </c>
      <c r="D1413" s="112" t="e">
        <f aca="false">сводн.данные!n1418</f>
        <v>#NAME?</v>
      </c>
      <c r="E1413" s="23" t="n">
        <v>4677.28149450222</v>
      </c>
      <c r="F1413" s="24" t="n">
        <v>7200</v>
      </c>
      <c r="G1413" s="24" t="e">
        <f aca="false">D1413-E1413</f>
        <v>#NAME?</v>
      </c>
    </row>
    <row r="1414" customFormat="false" ht="15" hidden="false" customHeight="false" outlineLevel="0" collapsed="false">
      <c r="A1414" s="28" t="s">
        <v>2417</v>
      </c>
      <c r="B1414" s="134" t="s">
        <v>2418</v>
      </c>
      <c r="C1414" s="7" t="s">
        <v>15</v>
      </c>
      <c r="D1414" s="112" t="e">
        <f aca="false">сводн.данные!n1419</f>
        <v>#NAME?</v>
      </c>
      <c r="E1414" s="23" t="n">
        <v>4147.10610787172</v>
      </c>
      <c r="F1414" s="24" t="n">
        <v>5780</v>
      </c>
      <c r="G1414" s="24" t="e">
        <f aca="false">D1414-E1414</f>
        <v>#NAME?</v>
      </c>
    </row>
    <row r="1415" customFormat="false" ht="28.5" hidden="false" customHeight="false" outlineLevel="0" collapsed="false">
      <c r="A1415" s="127" t="s">
        <v>2419</v>
      </c>
      <c r="B1415" s="128" t="s">
        <v>2420</v>
      </c>
      <c r="C1415" s="100"/>
      <c r="D1415" s="126"/>
      <c r="E1415" s="33"/>
      <c r="F1415" s="34"/>
      <c r="G1415" s="34"/>
    </row>
    <row r="1416" customFormat="false" ht="15" hidden="false" customHeight="false" outlineLevel="0" collapsed="false">
      <c r="A1416" s="28" t="s">
        <v>2421</v>
      </c>
      <c r="B1416" s="40" t="s">
        <v>2422</v>
      </c>
      <c r="C1416" s="7" t="s">
        <v>15</v>
      </c>
      <c r="D1416" s="112" t="e">
        <f aca="false">сводн.данные!n1421</f>
        <v>#NAME?</v>
      </c>
      <c r="E1416" s="23" t="n">
        <v>4447.18149450222</v>
      </c>
      <c r="F1416" s="24" t="n">
        <v>13840</v>
      </c>
      <c r="G1416" s="24" t="e">
        <f aca="false">D1416-E1416</f>
        <v>#NAME?</v>
      </c>
    </row>
    <row r="1417" customFormat="false" ht="15" hidden="false" customHeight="false" outlineLevel="0" collapsed="false">
      <c r="A1417" s="28" t="s">
        <v>2423</v>
      </c>
      <c r="B1417" s="40" t="s">
        <v>2424</v>
      </c>
      <c r="C1417" s="7" t="s">
        <v>15</v>
      </c>
      <c r="D1417" s="112" t="e">
        <f aca="false">сводн.данные!n1422</f>
        <v>#NAME?</v>
      </c>
      <c r="E1417" s="23" t="n">
        <v>3404.15863826639</v>
      </c>
      <c r="F1417" s="24" t="n">
        <v>2790</v>
      </c>
      <c r="G1417" s="24" t="e">
        <f aca="false">D1417-E1417</f>
        <v>#NAME?</v>
      </c>
    </row>
    <row r="1418" customFormat="false" ht="15" hidden="false" customHeight="false" outlineLevel="0" collapsed="false">
      <c r="A1418" s="28" t="s">
        <v>2425</v>
      </c>
      <c r="B1418" s="40" t="s">
        <v>2426</v>
      </c>
      <c r="C1418" s="7" t="s">
        <v>15</v>
      </c>
      <c r="D1418" s="112" t="e">
        <f aca="false">сводн.данные!n1423</f>
        <v>#NAME?</v>
      </c>
      <c r="E1418" s="23" t="n">
        <v>2307.69816002592</v>
      </c>
      <c r="F1418" s="24" t="n">
        <v>0</v>
      </c>
      <c r="G1418" s="24" t="e">
        <f aca="false">D1418-E1418</f>
        <v>#NAME?</v>
      </c>
    </row>
    <row r="1419" customFormat="false" ht="15" hidden="false" customHeight="false" outlineLevel="0" collapsed="false">
      <c r="A1419" s="127" t="s">
        <v>2427</v>
      </c>
      <c r="B1419" s="128" t="s">
        <v>2428</v>
      </c>
      <c r="C1419" s="100"/>
      <c r="D1419" s="126"/>
      <c r="E1419" s="33"/>
      <c r="F1419" s="34"/>
      <c r="G1419" s="34"/>
    </row>
    <row r="1420" customFormat="false" ht="15" hidden="false" customHeight="false" outlineLevel="0" collapsed="false">
      <c r="A1420" s="28" t="s">
        <v>2429</v>
      </c>
      <c r="B1420" s="40" t="s">
        <v>2430</v>
      </c>
      <c r="C1420" s="7" t="s">
        <v>15</v>
      </c>
      <c r="D1420" s="112" t="e">
        <f aca="false">сводн.данные!n1425</f>
        <v>#NAME?</v>
      </c>
      <c r="E1420" s="23" t="n">
        <v>4552.36149450222</v>
      </c>
      <c r="F1420" s="24" t="n">
        <v>9760</v>
      </c>
      <c r="G1420" s="24" t="e">
        <f aca="false">D1420-E1420</f>
        <v>#NAME?</v>
      </c>
    </row>
    <row r="1421" customFormat="false" ht="15" hidden="false" customHeight="false" outlineLevel="0" collapsed="false">
      <c r="A1421" s="28" t="s">
        <v>2431</v>
      </c>
      <c r="B1421" s="40" t="s">
        <v>2432</v>
      </c>
      <c r="C1421" s="7" t="s">
        <v>15</v>
      </c>
      <c r="D1421" s="112" t="e">
        <f aca="false">сводн.данные!n1426</f>
        <v>#NAME?</v>
      </c>
      <c r="E1421" s="23" t="n">
        <v>3298.9786382664</v>
      </c>
      <c r="F1421" s="24" t="n">
        <v>3500</v>
      </c>
      <c r="G1421" s="24" t="e">
        <f aca="false">D1421-E1421</f>
        <v>#NAME?</v>
      </c>
    </row>
    <row r="1422" customFormat="false" ht="15" hidden="false" customHeight="false" outlineLevel="0" collapsed="false">
      <c r="A1422" s="15" t="s">
        <v>2433</v>
      </c>
      <c r="B1422" s="16" t="s">
        <v>2434</v>
      </c>
      <c r="C1422" s="100"/>
      <c r="D1422" s="126"/>
      <c r="E1422" s="33"/>
      <c r="F1422" s="34"/>
      <c r="G1422" s="34"/>
    </row>
    <row r="1423" customFormat="false" ht="30" hidden="false" customHeight="false" outlineLevel="0" collapsed="false">
      <c r="A1423" s="28" t="s">
        <v>2435</v>
      </c>
      <c r="B1423" s="29" t="s">
        <v>2436</v>
      </c>
      <c r="C1423" s="7" t="s">
        <v>15</v>
      </c>
      <c r="D1423" s="112" t="e">
        <f aca="false">сводн.данные!n1428</f>
        <v>#NAME?</v>
      </c>
      <c r="E1423" s="23" t="n">
        <v>3860.9008536066</v>
      </c>
      <c r="F1423" s="24" t="n">
        <v>0</v>
      </c>
      <c r="G1423" s="24" t="e">
        <f aca="false">D1423-E1423</f>
        <v>#NAME?</v>
      </c>
    </row>
    <row r="1424" customFormat="false" ht="15" hidden="false" customHeight="false" outlineLevel="0" collapsed="false">
      <c r="A1424" s="28" t="s">
        <v>2437</v>
      </c>
      <c r="B1424" s="29" t="s">
        <v>2438</v>
      </c>
      <c r="C1424" s="7" t="s">
        <v>15</v>
      </c>
      <c r="D1424" s="112" t="e">
        <f aca="false">сводн.данные!n1429</f>
        <v>#NAME?</v>
      </c>
      <c r="E1424" s="23" t="n">
        <v>3692.06539247027</v>
      </c>
      <c r="F1424" s="24" t="n">
        <v>0</v>
      </c>
      <c r="G1424" s="24" t="e">
        <f aca="false">D1424-E1424</f>
        <v>#NAME?</v>
      </c>
    </row>
    <row r="1425" customFormat="false" ht="15" hidden="false" customHeight="false" outlineLevel="0" collapsed="false">
      <c r="A1425" s="15" t="s">
        <v>2439</v>
      </c>
      <c r="B1425" s="16" t="s">
        <v>2440</v>
      </c>
      <c r="C1425" s="100"/>
      <c r="D1425" s="126"/>
      <c r="E1425" s="33"/>
      <c r="F1425" s="34"/>
      <c r="G1425" s="34"/>
    </row>
    <row r="1426" customFormat="false" ht="30" hidden="false" customHeight="false" outlineLevel="0" collapsed="false">
      <c r="A1426" s="28" t="s">
        <v>2441</v>
      </c>
      <c r="B1426" s="29" t="s">
        <v>2442</v>
      </c>
      <c r="C1426" s="7" t="s">
        <v>15</v>
      </c>
      <c r="D1426" s="112" t="e">
        <f aca="false">сводн.данные!n1431</f>
        <v>#NAME?</v>
      </c>
      <c r="E1426" s="23" t="n">
        <v>4379.10192985865</v>
      </c>
      <c r="F1426" s="24" t="n">
        <v>0</v>
      </c>
      <c r="G1426" s="24" t="e">
        <f aca="false">D1426-E1426</f>
        <v>#NAME?</v>
      </c>
    </row>
    <row r="1427" customFormat="false" ht="15" hidden="false" customHeight="false" outlineLevel="0" collapsed="false">
      <c r="A1427" s="28" t="s">
        <v>2443</v>
      </c>
      <c r="B1427" s="29" t="s">
        <v>2444</v>
      </c>
      <c r="C1427" s="7" t="s">
        <v>15</v>
      </c>
      <c r="D1427" s="112" t="e">
        <f aca="false">сводн.данные!n1432</f>
        <v>#NAME?</v>
      </c>
      <c r="E1427" s="23" t="n">
        <v>3649.45882510464</v>
      </c>
      <c r="F1427" s="24" t="n">
        <v>0</v>
      </c>
      <c r="G1427" s="24" t="e">
        <f aca="false">D1427-E1427</f>
        <v>#NAME?</v>
      </c>
    </row>
    <row r="1428" customFormat="false" ht="15" hidden="false" customHeight="false" outlineLevel="0" collapsed="false">
      <c r="A1428" s="15" t="s">
        <v>2445</v>
      </c>
      <c r="B1428" s="16" t="s">
        <v>2446</v>
      </c>
      <c r="C1428" s="100"/>
      <c r="D1428" s="126"/>
      <c r="E1428" s="33"/>
      <c r="F1428" s="34"/>
      <c r="G1428" s="34"/>
    </row>
    <row r="1429" customFormat="false" ht="30" hidden="false" customHeight="false" outlineLevel="0" collapsed="false">
      <c r="A1429" s="28" t="s">
        <v>2447</v>
      </c>
      <c r="B1429" s="29" t="s">
        <v>2448</v>
      </c>
      <c r="C1429" s="7" t="s">
        <v>15</v>
      </c>
      <c r="D1429" s="112" t="e">
        <f aca="false">сводн.данные!n1434</f>
        <v>#NAME?</v>
      </c>
      <c r="E1429" s="23" t="n">
        <v>4512.84962177161</v>
      </c>
      <c r="F1429" s="24" t="n">
        <v>0</v>
      </c>
      <c r="G1429" s="24" t="e">
        <f aca="false">D1429-E1429</f>
        <v>#NAME?</v>
      </c>
    </row>
    <row r="1430" customFormat="false" ht="15" hidden="false" customHeight="false" outlineLevel="0" collapsed="false">
      <c r="A1430" s="28" t="s">
        <v>2449</v>
      </c>
      <c r="B1430" s="29" t="s">
        <v>2450</v>
      </c>
      <c r="C1430" s="7" t="s">
        <v>15</v>
      </c>
      <c r="D1430" s="112" t="e">
        <f aca="false">сводн.данные!n1435</f>
        <v>#NAME?</v>
      </c>
      <c r="E1430" s="23" t="n">
        <v>3519.69077661692</v>
      </c>
      <c r="F1430" s="24" t="n">
        <v>0</v>
      </c>
      <c r="G1430" s="24" t="e">
        <f aca="false">D1430-E1430</f>
        <v>#NAME?</v>
      </c>
    </row>
    <row r="1431" customFormat="false" ht="15" hidden="false" customHeight="false" outlineLevel="0" collapsed="false">
      <c r="A1431" s="15" t="s">
        <v>2451</v>
      </c>
      <c r="B1431" s="16" t="s">
        <v>2452</v>
      </c>
      <c r="C1431" s="100"/>
      <c r="D1431" s="126"/>
      <c r="E1431" s="33"/>
      <c r="F1431" s="34"/>
      <c r="G1431" s="34"/>
    </row>
    <row r="1432" customFormat="false" ht="30" hidden="false" customHeight="false" outlineLevel="0" collapsed="false">
      <c r="A1432" s="28" t="s">
        <v>2453</v>
      </c>
      <c r="B1432" s="29" t="s">
        <v>2454</v>
      </c>
      <c r="C1432" s="7" t="s">
        <v>15</v>
      </c>
      <c r="D1432" s="112" t="e">
        <f aca="false">сводн.данные!n1437</f>
        <v>#NAME?</v>
      </c>
      <c r="E1432" s="23" t="n">
        <v>4550.46616012213</v>
      </c>
      <c r="F1432" s="24" t="n">
        <v>0</v>
      </c>
      <c r="G1432" s="24" t="e">
        <f aca="false">D1432-E1432</f>
        <v>#NAME?</v>
      </c>
    </row>
    <row r="1433" customFormat="false" ht="15" hidden="false" customHeight="false" outlineLevel="0" collapsed="false">
      <c r="A1433" s="28" t="s">
        <v>2455</v>
      </c>
      <c r="B1433" s="29" t="s">
        <v>2456</v>
      </c>
      <c r="C1433" s="7" t="s">
        <v>15</v>
      </c>
      <c r="D1433" s="112" t="e">
        <f aca="false">сводн.данные!n1438</f>
        <v>#NAME?</v>
      </c>
      <c r="E1433" s="23" t="n">
        <v>3519.69077661692</v>
      </c>
      <c r="F1433" s="24" t="n">
        <v>0</v>
      </c>
      <c r="G1433" s="24" t="e">
        <f aca="false">D1433-E1433</f>
        <v>#NAME?</v>
      </c>
    </row>
    <row r="1434" customFormat="false" ht="15" hidden="false" customHeight="false" outlineLevel="0" collapsed="false">
      <c r="A1434" s="127" t="s">
        <v>2457</v>
      </c>
      <c r="B1434" s="128" t="s">
        <v>2458</v>
      </c>
      <c r="C1434" s="100"/>
      <c r="D1434" s="126"/>
      <c r="E1434" s="33"/>
      <c r="F1434" s="34"/>
      <c r="G1434" s="34"/>
    </row>
    <row r="1435" customFormat="false" ht="30" hidden="false" customHeight="false" outlineLevel="0" collapsed="false">
      <c r="A1435" s="28" t="s">
        <v>2459</v>
      </c>
      <c r="B1435" s="40" t="s">
        <v>2460</v>
      </c>
      <c r="C1435" s="7" t="s">
        <v>15</v>
      </c>
      <c r="D1435" s="112" t="e">
        <f aca="false">сводн.данные!n1440</f>
        <v>#NAME?</v>
      </c>
      <c r="E1435" s="23" t="n">
        <v>4288.1542382664</v>
      </c>
      <c r="F1435" s="24" t="n">
        <v>0</v>
      </c>
      <c r="G1435" s="24" t="e">
        <f aca="false">D1435-E1435</f>
        <v>#NAME?</v>
      </c>
    </row>
    <row r="1436" customFormat="false" ht="15" hidden="false" customHeight="false" outlineLevel="0" collapsed="false">
      <c r="A1436" s="28" t="s">
        <v>2461</v>
      </c>
      <c r="B1436" s="40" t="s">
        <v>2462</v>
      </c>
      <c r="C1436" s="7" t="s">
        <v>15</v>
      </c>
      <c r="D1436" s="112" t="e">
        <f aca="false">сводн.данные!n1441</f>
        <v>#NAME?</v>
      </c>
      <c r="E1436" s="23" t="n">
        <v>3550.93923595724</v>
      </c>
      <c r="F1436" s="24" t="n">
        <v>0</v>
      </c>
      <c r="G1436" s="24" t="e">
        <f aca="false">D1436-E1436</f>
        <v>#NAME?</v>
      </c>
    </row>
    <row r="1437" customFormat="false" ht="15" hidden="false" customHeight="false" outlineLevel="0" collapsed="false">
      <c r="A1437" s="127" t="s">
        <v>2463</v>
      </c>
      <c r="B1437" s="128" t="s">
        <v>2464</v>
      </c>
      <c r="C1437" s="100"/>
      <c r="D1437" s="126"/>
      <c r="E1437" s="33"/>
      <c r="F1437" s="34"/>
      <c r="G1437" s="34"/>
    </row>
    <row r="1438" customFormat="false" ht="30" hidden="false" customHeight="false" outlineLevel="0" collapsed="false">
      <c r="A1438" s="28" t="s">
        <v>2465</v>
      </c>
      <c r="B1438" s="40" t="s">
        <v>2466</v>
      </c>
      <c r="C1438" s="7" t="s">
        <v>15</v>
      </c>
      <c r="D1438" s="112" t="e">
        <f aca="false">сводн.данные!n1443</f>
        <v>#NAME?</v>
      </c>
      <c r="E1438" s="23" t="n">
        <v>4604.99836092392</v>
      </c>
      <c r="F1438" s="24" t="n">
        <v>9950</v>
      </c>
      <c r="G1438" s="24" t="e">
        <f aca="false">D1438-E1438</f>
        <v>#NAME?</v>
      </c>
    </row>
    <row r="1439" customFormat="false" ht="15" hidden="false" customHeight="false" outlineLevel="0" collapsed="false">
      <c r="A1439" s="28" t="s">
        <v>2467</v>
      </c>
      <c r="B1439" s="40" t="s">
        <v>2468</v>
      </c>
      <c r="C1439" s="7" t="s">
        <v>15</v>
      </c>
      <c r="D1439" s="112" t="e">
        <f aca="false">сводн.данные!n1444</f>
        <v>#NAME?</v>
      </c>
      <c r="E1439" s="23" t="n">
        <v>3732.78616002592</v>
      </c>
      <c r="F1439" s="24" t="n">
        <v>2520</v>
      </c>
      <c r="G1439" s="24" t="e">
        <f aca="false">D1439-E1439</f>
        <v>#NAME?</v>
      </c>
    </row>
    <row r="1440" customFormat="false" ht="15" hidden="false" customHeight="false" outlineLevel="0" collapsed="false">
      <c r="A1440" s="127" t="s">
        <v>2469</v>
      </c>
      <c r="B1440" s="16" t="s">
        <v>2470</v>
      </c>
      <c r="C1440" s="7" t="s">
        <v>15</v>
      </c>
      <c r="D1440" s="126"/>
      <c r="E1440" s="33"/>
      <c r="F1440" s="34"/>
      <c r="G1440" s="34"/>
    </row>
    <row r="1441" customFormat="false" ht="15" hidden="false" customHeight="false" outlineLevel="0" collapsed="false">
      <c r="A1441" s="133" t="s">
        <v>2471</v>
      </c>
      <c r="B1441" s="29" t="s">
        <v>2472</v>
      </c>
      <c r="C1441" s="7" t="s">
        <v>15</v>
      </c>
      <c r="D1441" s="112" t="e">
        <f aca="false">сводн.данные!n1446</f>
        <v>#NAME?</v>
      </c>
      <c r="E1441" s="23" t="n">
        <v>9782.10716002592</v>
      </c>
      <c r="F1441" s="24" t="n">
        <v>0</v>
      </c>
      <c r="G1441" s="24" t="e">
        <f aca="false">D1441-E1441</f>
        <v>#NAME?</v>
      </c>
    </row>
    <row r="1442" customFormat="false" ht="18" hidden="false" customHeight="true" outlineLevel="0" collapsed="false">
      <c r="A1442" s="133" t="s">
        <v>2473</v>
      </c>
      <c r="B1442" s="29" t="s">
        <v>2474</v>
      </c>
      <c r="C1442" s="7" t="s">
        <v>15</v>
      </c>
      <c r="D1442" s="112" t="e">
        <f aca="false">сводн.данные!n1447</f>
        <v>#NAME?</v>
      </c>
      <c r="E1442" s="23" t="n">
        <v>2334.05316002592</v>
      </c>
      <c r="F1442" s="24" t="n">
        <v>0</v>
      </c>
      <c r="G1442" s="24" t="e">
        <f aca="false">D1442-E1442</f>
        <v>#NAME?</v>
      </c>
    </row>
    <row r="1443" customFormat="false" ht="15" hidden="false" customHeight="false" outlineLevel="0" collapsed="false">
      <c r="A1443" s="127" t="s">
        <v>2475</v>
      </c>
      <c r="B1443" s="128" t="s">
        <v>2476</v>
      </c>
      <c r="C1443" s="100"/>
      <c r="D1443" s="126"/>
      <c r="E1443" s="33"/>
      <c r="F1443" s="34"/>
      <c r="G1443" s="34"/>
    </row>
    <row r="1444" customFormat="false" ht="15" hidden="false" customHeight="false" outlineLevel="0" collapsed="false">
      <c r="A1444" s="135" t="s">
        <v>2477</v>
      </c>
      <c r="B1444" s="29" t="s">
        <v>2478</v>
      </c>
      <c r="C1444" s="7" t="s">
        <v>15</v>
      </c>
      <c r="D1444" s="112" t="e">
        <f aca="false">сводн.данные!n1449</f>
        <v>#NAME?</v>
      </c>
      <c r="E1444" s="23" t="n">
        <v>82174.3636705851</v>
      </c>
      <c r="F1444" s="24" t="n">
        <v>0</v>
      </c>
      <c r="G1444" s="24" t="e">
        <f aca="false">D1444-E1444</f>
        <v>#NAME?</v>
      </c>
    </row>
    <row r="1445" customFormat="false" ht="15" hidden="false" customHeight="false" outlineLevel="0" collapsed="false">
      <c r="A1445" s="135" t="s">
        <v>2479</v>
      </c>
      <c r="B1445" s="29" t="s">
        <v>2480</v>
      </c>
      <c r="C1445" s="7" t="s">
        <v>15</v>
      </c>
      <c r="D1445" s="112" t="e">
        <f aca="false">сводн.данные!n1450</f>
        <v>#NAME?</v>
      </c>
      <c r="E1445" s="23" t="n">
        <v>82174.3636705851</v>
      </c>
      <c r="F1445" s="24" t="n">
        <v>0</v>
      </c>
      <c r="G1445" s="24" t="e">
        <f aca="false">D1445-E1445</f>
        <v>#NAME?</v>
      </c>
    </row>
    <row r="1446" customFormat="false" ht="33.75" hidden="false" customHeight="true" outlineLevel="0" collapsed="false">
      <c r="A1446" s="135" t="s">
        <v>2481</v>
      </c>
      <c r="B1446" s="29" t="s">
        <v>2482</v>
      </c>
      <c r="C1446" s="7" t="s">
        <v>15</v>
      </c>
      <c r="D1446" s="112" t="e">
        <f aca="false">сводн.данные!n1451</f>
        <v>#NAME?</v>
      </c>
      <c r="E1446" s="23" t="n">
        <v>82174.3636705851</v>
      </c>
      <c r="F1446" s="24" t="n">
        <v>0</v>
      </c>
      <c r="G1446" s="24" t="e">
        <f aca="false">D1446-E1446</f>
        <v>#NAME?</v>
      </c>
    </row>
    <row r="1447" customFormat="false" ht="15" hidden="false" customHeight="false" outlineLevel="0" collapsed="false">
      <c r="A1447" s="136" t="s">
        <v>2483</v>
      </c>
      <c r="B1447" s="47" t="s">
        <v>2484</v>
      </c>
      <c r="C1447" s="7" t="s">
        <v>15</v>
      </c>
      <c r="D1447" s="112" t="e">
        <f aca="false">сводн.данные!n1452</f>
        <v>#NAME?</v>
      </c>
      <c r="E1447" s="23" t="n">
        <v>80637.0325806818</v>
      </c>
      <c r="F1447" s="24" t="n">
        <v>0</v>
      </c>
      <c r="G1447" s="24" t="e">
        <f aca="false">D1447-E1447</f>
        <v>#NAME?</v>
      </c>
    </row>
    <row r="1448" customFormat="false" ht="15" hidden="false" customHeight="false" outlineLevel="0" collapsed="false">
      <c r="A1448" s="136" t="s">
        <v>2485</v>
      </c>
      <c r="B1448" s="47" t="s">
        <v>2486</v>
      </c>
      <c r="C1448" s="7" t="s">
        <v>15</v>
      </c>
      <c r="D1448" s="112" t="e">
        <f aca="false">сводн.данные!n1453</f>
        <v>#NAME?</v>
      </c>
      <c r="E1448" s="23" t="n">
        <v>80637.0325806818</v>
      </c>
      <c r="F1448" s="24" t="n">
        <v>0</v>
      </c>
      <c r="G1448" s="24" t="e">
        <f aca="false">D1448-E1448</f>
        <v>#NAME?</v>
      </c>
    </row>
    <row r="1449" customFormat="false" ht="34.5" hidden="false" customHeight="true" outlineLevel="0" collapsed="false">
      <c r="A1449" s="136" t="s">
        <v>2487</v>
      </c>
      <c r="B1449" s="47" t="s">
        <v>2488</v>
      </c>
      <c r="C1449" s="7" t="s">
        <v>15</v>
      </c>
      <c r="D1449" s="112" t="e">
        <f aca="false">сводн.данные!n1454</f>
        <v>#NAME?</v>
      </c>
      <c r="E1449" s="23" t="n">
        <v>80637.0325806818</v>
      </c>
      <c r="F1449" s="24" t="n">
        <v>0</v>
      </c>
      <c r="G1449" s="24" t="e">
        <f aca="false">D1449-E1449</f>
        <v>#NAME?</v>
      </c>
    </row>
    <row r="1450" customFormat="false" ht="15" hidden="false" customHeight="false" outlineLevel="0" collapsed="false">
      <c r="A1450" s="136" t="s">
        <v>2489</v>
      </c>
      <c r="B1450" s="47" t="s">
        <v>2490</v>
      </c>
      <c r="C1450" s="7" t="s">
        <v>15</v>
      </c>
      <c r="D1450" s="112" t="e">
        <f aca="false">сводн.данные!n1455</f>
        <v>#NAME?</v>
      </c>
      <c r="E1450" s="23" t="n">
        <v>75174.8566465391</v>
      </c>
      <c r="F1450" s="24" t="n">
        <v>0</v>
      </c>
      <c r="G1450" s="24" t="e">
        <f aca="false">D1450-E1450</f>
        <v>#NAME?</v>
      </c>
    </row>
    <row r="1451" customFormat="false" ht="15" hidden="false" customHeight="false" outlineLevel="0" collapsed="false">
      <c r="A1451" s="136" t="s">
        <v>2491</v>
      </c>
      <c r="B1451" s="47" t="s">
        <v>2492</v>
      </c>
      <c r="C1451" s="7" t="s">
        <v>15</v>
      </c>
      <c r="D1451" s="112" t="e">
        <f aca="false">сводн.данные!n1456</f>
        <v>#NAME?</v>
      </c>
      <c r="E1451" s="23" t="n">
        <v>75174.8566465391</v>
      </c>
      <c r="F1451" s="24" t="n">
        <v>0</v>
      </c>
      <c r="G1451" s="24" t="e">
        <f aca="false">D1451-E1451</f>
        <v>#NAME?</v>
      </c>
    </row>
    <row r="1452" customFormat="false" ht="15" hidden="false" customHeight="false" outlineLevel="0" collapsed="false">
      <c r="A1452" s="136" t="s">
        <v>2493</v>
      </c>
      <c r="B1452" s="47" t="s">
        <v>2494</v>
      </c>
      <c r="C1452" s="7" t="s">
        <v>15</v>
      </c>
      <c r="D1452" s="112" t="e">
        <f aca="false">сводн.данные!n1457</f>
        <v>#NAME?</v>
      </c>
      <c r="E1452" s="23" t="n">
        <v>75174.8566465391</v>
      </c>
      <c r="F1452" s="24" t="n">
        <v>0</v>
      </c>
      <c r="G1452" s="24" t="e">
        <f aca="false">D1452-E1452</f>
        <v>#NAME?</v>
      </c>
    </row>
    <row r="1453" customFormat="false" ht="15" hidden="false" customHeight="false" outlineLevel="0" collapsed="false">
      <c r="A1453" s="136" t="s">
        <v>2495</v>
      </c>
      <c r="B1453" s="47" t="s">
        <v>2496</v>
      </c>
      <c r="C1453" s="7" t="s">
        <v>15</v>
      </c>
      <c r="D1453" s="112" t="e">
        <f aca="false">сводн.данные!n1458</f>
        <v>#NAME?</v>
      </c>
      <c r="E1453" s="23" t="n">
        <v>82583.0382666819</v>
      </c>
      <c r="F1453" s="24" t="n">
        <v>0</v>
      </c>
      <c r="G1453" s="24" t="e">
        <f aca="false">D1453-E1453</f>
        <v>#NAME?</v>
      </c>
    </row>
    <row r="1454" customFormat="false" ht="31.5" hidden="false" customHeight="true" outlineLevel="0" collapsed="false">
      <c r="A1454" s="136" t="s">
        <v>2497</v>
      </c>
      <c r="B1454" s="47" t="s">
        <v>2498</v>
      </c>
      <c r="C1454" s="7" t="s">
        <v>15</v>
      </c>
      <c r="D1454" s="112" t="e">
        <f aca="false">сводн.данные!n1459</f>
        <v>#NAME?</v>
      </c>
      <c r="E1454" s="23" t="n">
        <v>82583.0382666818</v>
      </c>
      <c r="F1454" s="24" t="n">
        <v>0</v>
      </c>
      <c r="G1454" s="24" t="e">
        <f aca="false">D1454-E1454</f>
        <v>#NAME?</v>
      </c>
    </row>
    <row r="1455" customFormat="false" ht="15" hidden="false" customHeight="false" outlineLevel="0" collapsed="false">
      <c r="A1455" s="136" t="s">
        <v>2499</v>
      </c>
      <c r="B1455" s="47" t="s">
        <v>2500</v>
      </c>
      <c r="C1455" s="7" t="s">
        <v>15</v>
      </c>
      <c r="D1455" s="112" t="e">
        <f aca="false">сводн.данные!n1460</f>
        <v>#NAME?</v>
      </c>
      <c r="E1455" s="23" t="n">
        <v>130096.689708289</v>
      </c>
      <c r="F1455" s="24" t="n">
        <v>0</v>
      </c>
      <c r="G1455" s="24" t="e">
        <f aca="false">D1455-E1455</f>
        <v>#NAME?</v>
      </c>
    </row>
    <row r="1456" customFormat="false" ht="15" hidden="false" customHeight="false" outlineLevel="0" collapsed="false">
      <c r="A1456" s="136" t="s">
        <v>2501</v>
      </c>
      <c r="B1456" s="47" t="s">
        <v>2502</v>
      </c>
      <c r="C1456" s="7" t="s">
        <v>15</v>
      </c>
      <c r="D1456" s="112" t="e">
        <f aca="false">сводн.данные!n1461</f>
        <v>#NAME?</v>
      </c>
      <c r="E1456" s="23" t="n">
        <v>130096.689708289</v>
      </c>
      <c r="F1456" s="24" t="n">
        <v>0</v>
      </c>
      <c r="G1456" s="24" t="e">
        <f aca="false">D1456-E1456</f>
        <v>#NAME?</v>
      </c>
    </row>
    <row r="1457" customFormat="false" ht="44.25" hidden="false" customHeight="true" outlineLevel="0" collapsed="false">
      <c r="A1457" s="136" t="s">
        <v>2503</v>
      </c>
      <c r="B1457" s="47" t="s">
        <v>2504</v>
      </c>
      <c r="C1457" s="7" t="s">
        <v>15</v>
      </c>
      <c r="D1457" s="112" t="e">
        <f aca="false">сводн.данные!n1462</f>
        <v>#NAME?</v>
      </c>
      <c r="E1457" s="23" t="n">
        <v>130096.689708289</v>
      </c>
      <c r="F1457" s="24" t="n">
        <v>0</v>
      </c>
      <c r="G1457" s="24" t="e">
        <f aca="false">D1457-E1457</f>
        <v>#NAME?</v>
      </c>
    </row>
    <row r="1458" customFormat="false" ht="15" hidden="false" customHeight="false" outlineLevel="0" collapsed="false">
      <c r="A1458" s="136" t="s">
        <v>2505</v>
      </c>
      <c r="B1458" s="47" t="s">
        <v>2506</v>
      </c>
      <c r="C1458" s="7" t="s">
        <v>15</v>
      </c>
      <c r="D1458" s="112" t="e">
        <f aca="false">сводн.данные!n1463</f>
        <v>#NAME?</v>
      </c>
      <c r="E1458" s="23" t="n">
        <v>75322.145785809</v>
      </c>
      <c r="F1458" s="24" t="n">
        <v>0</v>
      </c>
      <c r="G1458" s="24" t="e">
        <f aca="false">D1458-E1458</f>
        <v>#NAME?</v>
      </c>
    </row>
    <row r="1459" customFormat="false" ht="15" hidden="false" customHeight="false" outlineLevel="0" collapsed="false">
      <c r="A1459" s="136" t="s">
        <v>2507</v>
      </c>
      <c r="B1459" s="47" t="s">
        <v>2508</v>
      </c>
      <c r="C1459" s="7" t="s">
        <v>15</v>
      </c>
      <c r="D1459" s="112" t="e">
        <f aca="false">сводн.данные!n1464</f>
        <v>#NAME?</v>
      </c>
      <c r="E1459" s="23" t="n">
        <v>120018.457308289</v>
      </c>
      <c r="F1459" s="24" t="n">
        <v>0</v>
      </c>
      <c r="G1459" s="24" t="e">
        <f aca="false">D1459-E1459</f>
        <v>#NAME?</v>
      </c>
    </row>
    <row r="1460" customFormat="false" ht="31.5" hidden="false" customHeight="true" outlineLevel="0" collapsed="false">
      <c r="A1460" s="136" t="s">
        <v>2509</v>
      </c>
      <c r="B1460" s="47" t="s">
        <v>2510</v>
      </c>
      <c r="C1460" s="7" t="s">
        <v>15</v>
      </c>
      <c r="D1460" s="112" t="e">
        <f aca="false">сводн.данные!n1465</f>
        <v>#NAME?</v>
      </c>
      <c r="E1460" s="23" t="n">
        <v>75258.6928024409</v>
      </c>
      <c r="F1460" s="24" t="n">
        <v>0</v>
      </c>
      <c r="G1460" s="24" t="e">
        <f aca="false">D1460-E1460</f>
        <v>#NAME?</v>
      </c>
    </row>
    <row r="1461" customFormat="false" ht="15" hidden="false" customHeight="false" outlineLevel="0" collapsed="false">
      <c r="A1461" s="136" t="s">
        <v>2511</v>
      </c>
      <c r="B1461" s="47" t="s">
        <v>2512</v>
      </c>
      <c r="C1461" s="7" t="s">
        <v>15</v>
      </c>
      <c r="D1461" s="112" t="e">
        <f aca="false">сводн.данные!n1466</f>
        <v>#NAME?</v>
      </c>
      <c r="E1461" s="23" t="n">
        <v>75258.6928024409</v>
      </c>
      <c r="F1461" s="24" t="n">
        <v>0</v>
      </c>
      <c r="G1461" s="24" t="e">
        <f aca="false">D1461-E1461</f>
        <v>#NAME?</v>
      </c>
    </row>
    <row r="1462" customFormat="false" ht="34.5" hidden="false" customHeight="true" outlineLevel="0" collapsed="false">
      <c r="A1462" s="135" t="s">
        <v>2513</v>
      </c>
      <c r="B1462" s="29" t="s">
        <v>2514</v>
      </c>
      <c r="C1462" s="7" t="s">
        <v>15</v>
      </c>
      <c r="D1462" s="112" t="e">
        <f aca="false">сводн.данные!n1467</f>
        <v>#NAME?</v>
      </c>
      <c r="E1462" s="23" t="n">
        <v>75154.4466887866</v>
      </c>
      <c r="F1462" s="24" t="n">
        <v>0</v>
      </c>
      <c r="G1462" s="24" t="e">
        <f aca="false">D1462-E1462</f>
        <v>#NAME?</v>
      </c>
    </row>
    <row r="1463" customFormat="false" ht="33" hidden="false" customHeight="true" outlineLevel="0" collapsed="false">
      <c r="A1463" s="135" t="s">
        <v>2515</v>
      </c>
      <c r="B1463" s="29" t="s">
        <v>2516</v>
      </c>
      <c r="C1463" s="7" t="s">
        <v>15</v>
      </c>
      <c r="D1463" s="112" t="e">
        <f aca="false">сводн.данные!n1468</f>
        <v>#NAME?</v>
      </c>
      <c r="E1463" s="23" t="n">
        <v>75154.4466887866</v>
      </c>
      <c r="F1463" s="24" t="n">
        <v>0</v>
      </c>
      <c r="G1463" s="24" t="e">
        <f aca="false">D1463-E1463</f>
        <v>#NAME?</v>
      </c>
    </row>
    <row r="1464" customFormat="false" ht="15" hidden="false" customHeight="false" outlineLevel="0" collapsed="false">
      <c r="A1464" s="135" t="s">
        <v>2517</v>
      </c>
      <c r="B1464" s="29" t="s">
        <v>2518</v>
      </c>
      <c r="C1464" s="7" t="s">
        <v>15</v>
      </c>
      <c r="D1464" s="112" t="e">
        <f aca="false">сводн.данные!n1469</f>
        <v>#NAME?</v>
      </c>
      <c r="E1464" s="23" t="n">
        <v>75188.265907344</v>
      </c>
      <c r="F1464" s="24" t="n">
        <v>0</v>
      </c>
      <c r="G1464" s="24" t="e">
        <f aca="false">D1464-E1464</f>
        <v>#NAME?</v>
      </c>
    </row>
    <row r="1465" customFormat="false" ht="32.25" hidden="false" customHeight="true" outlineLevel="0" collapsed="false">
      <c r="A1465" s="135" t="s">
        <v>2519</v>
      </c>
      <c r="B1465" s="29" t="s">
        <v>2520</v>
      </c>
      <c r="C1465" s="7" t="s">
        <v>15</v>
      </c>
      <c r="D1465" s="112" t="e">
        <f aca="false">сводн.данные!n1470</f>
        <v>#NAME?</v>
      </c>
      <c r="E1465" s="23" t="n">
        <v>75188.265907344</v>
      </c>
      <c r="F1465" s="24" t="n">
        <v>0</v>
      </c>
      <c r="G1465" s="24" t="e">
        <f aca="false">D1465-E1465</f>
        <v>#NAME?</v>
      </c>
    </row>
    <row r="1466" customFormat="false" ht="15" hidden="false" customHeight="false" outlineLevel="0" collapsed="false">
      <c r="A1466" s="127" t="s">
        <v>2521</v>
      </c>
      <c r="B1466" s="128" t="s">
        <v>2034</v>
      </c>
      <c r="C1466" s="100"/>
      <c r="D1466" s="126"/>
      <c r="E1466" s="33"/>
      <c r="F1466" s="34"/>
      <c r="G1466" s="34"/>
    </row>
    <row r="1467" customFormat="false" ht="30" hidden="false" customHeight="false" outlineLevel="0" collapsed="false">
      <c r="A1467" s="28" t="s">
        <v>2522</v>
      </c>
      <c r="B1467" s="137" t="s">
        <v>2523</v>
      </c>
      <c r="C1467" s="7" t="s">
        <v>15</v>
      </c>
      <c r="D1467" s="112" t="e">
        <f aca="false">сводн.данные!n1472</f>
        <v>#NAME?</v>
      </c>
      <c r="E1467" s="23" t="n">
        <v>4674.27361933869</v>
      </c>
      <c r="F1467" s="24" t="n">
        <v>3500</v>
      </c>
      <c r="G1467" s="24" t="e">
        <f aca="false">D1467-E1467</f>
        <v>#NAME?</v>
      </c>
    </row>
    <row r="1468" customFormat="false" ht="15" hidden="false" customHeight="false" outlineLevel="0" collapsed="false">
      <c r="A1468" s="15" t="s">
        <v>2524</v>
      </c>
      <c r="B1468" s="16" t="s">
        <v>2525</v>
      </c>
      <c r="C1468" s="100" t="s">
        <v>15</v>
      </c>
      <c r="D1468" s="126" t="e">
        <f aca="false">сводн.данные!n1473</f>
        <v>#NAME?</v>
      </c>
      <c r="E1468" s="33" t="n">
        <v>2808.65951397773</v>
      </c>
      <c r="F1468" s="34" t="n">
        <v>1000</v>
      </c>
      <c r="G1468" s="34" t="e">
        <f aca="false">D1468-E1468</f>
        <v>#NAME?</v>
      </c>
    </row>
    <row r="1469" customFormat="false" ht="15" hidden="false" customHeight="false" outlineLevel="0" collapsed="false">
      <c r="A1469" s="15" t="s">
        <v>2526</v>
      </c>
      <c r="B1469" s="16" t="s">
        <v>2527</v>
      </c>
      <c r="C1469" s="100" t="s">
        <v>15</v>
      </c>
      <c r="D1469" s="126" t="e">
        <f aca="false">сводн.данные!n1474</f>
        <v>#NAME?</v>
      </c>
      <c r="E1469" s="33" t="n">
        <v>290.655710103129</v>
      </c>
      <c r="F1469" s="34" t="n">
        <v>400</v>
      </c>
      <c r="G1469" s="34" t="e">
        <f aca="false">D1469-E1469</f>
        <v>#NAME?</v>
      </c>
    </row>
    <row r="1470" customFormat="false" ht="15" hidden="false" customHeight="false" outlineLevel="0" collapsed="false">
      <c r="A1470" s="15" t="s">
        <v>2528</v>
      </c>
      <c r="B1470" s="16" t="s">
        <v>2529</v>
      </c>
      <c r="C1470" s="100" t="s">
        <v>15</v>
      </c>
      <c r="D1470" s="126" t="e">
        <f aca="false">сводн.данные!n1475</f>
        <v>#NAME?</v>
      </c>
      <c r="E1470" s="33" t="n">
        <v>25453.8576171863</v>
      </c>
      <c r="F1470" s="34" t="n">
        <v>0</v>
      </c>
      <c r="G1470" s="34" t="e">
        <f aca="false">D1470-E1470</f>
        <v>#NAME?</v>
      </c>
    </row>
    <row r="1471" customFormat="false" ht="15" hidden="false" customHeight="false" outlineLevel="0" collapsed="false">
      <c r="A1471" s="15" t="s">
        <v>2530</v>
      </c>
      <c r="B1471" s="16" t="s">
        <v>2531</v>
      </c>
      <c r="C1471" s="100" t="s">
        <v>15</v>
      </c>
      <c r="D1471" s="126" t="e">
        <f aca="false">сводн.данные!n1476</f>
        <v>#NAME?</v>
      </c>
      <c r="E1471" s="33" t="n">
        <v>149663.667250609</v>
      </c>
      <c r="F1471" s="34" t="n">
        <v>0</v>
      </c>
      <c r="G1471" s="34" t="e">
        <f aca="false">D1471-E1471</f>
        <v>#NAME?</v>
      </c>
    </row>
    <row r="1472" customFormat="false" ht="15" hidden="false" customHeight="false" outlineLevel="0" collapsed="false">
      <c r="A1472" s="15" t="s">
        <v>2532</v>
      </c>
      <c r="B1472" s="16" t="s">
        <v>2533</v>
      </c>
      <c r="C1472" s="100" t="s">
        <v>15</v>
      </c>
      <c r="D1472" s="126" t="e">
        <f aca="false">сводн.данные!n1477</f>
        <v>#NAME?</v>
      </c>
      <c r="E1472" s="33" t="n">
        <v>4385.83842939578</v>
      </c>
      <c r="F1472" s="34" t="n">
        <v>0</v>
      </c>
      <c r="G1472" s="34" t="e">
        <f aca="false">D1472-E1472</f>
        <v>#NAME?</v>
      </c>
    </row>
    <row r="1473" customFormat="false" ht="61.5" hidden="false" customHeight="true" outlineLevel="0" collapsed="false">
      <c r="A1473" s="15" t="s">
        <v>2534</v>
      </c>
      <c r="B1473" s="16" t="s">
        <v>2535</v>
      </c>
      <c r="C1473" s="100" t="s">
        <v>15</v>
      </c>
      <c r="D1473" s="126" t="e">
        <f aca="false">сводн.данные!n1478</f>
        <v>#NAME?</v>
      </c>
      <c r="E1473" s="33" t="n">
        <v>3695.47842939578</v>
      </c>
      <c r="F1473" s="34" t="n">
        <v>0</v>
      </c>
      <c r="G1473" s="34" t="e">
        <f aca="false">D1473-E1473</f>
        <v>#NAME?</v>
      </c>
    </row>
    <row r="1474" customFormat="false" ht="27.75" hidden="false" customHeight="true" outlineLevel="0" collapsed="false">
      <c r="A1474" s="15" t="s">
        <v>2536</v>
      </c>
      <c r="B1474" s="16" t="s">
        <v>2537</v>
      </c>
      <c r="C1474" s="100" t="s">
        <v>15</v>
      </c>
      <c r="D1474" s="126" t="e">
        <f aca="false">сводн.данные!n1479</f>
        <v>#NAME?</v>
      </c>
      <c r="E1474" s="33" t="n">
        <v>62787.4278982011</v>
      </c>
      <c r="F1474" s="34" t="n">
        <v>0</v>
      </c>
      <c r="G1474" s="34" t="e">
        <f aca="false">D1474-E1474</f>
        <v>#NAME?</v>
      </c>
    </row>
    <row r="1475" customFormat="false" ht="67.5" hidden="false" customHeight="true" outlineLevel="0" collapsed="false">
      <c r="A1475" s="15" t="s">
        <v>2538</v>
      </c>
      <c r="B1475" s="16" t="s">
        <v>2539</v>
      </c>
      <c r="C1475" s="100" t="s">
        <v>15</v>
      </c>
      <c r="D1475" s="126" t="e">
        <f aca="false">сводн.данные!n1480</f>
        <v>#NAME?</v>
      </c>
      <c r="E1475" s="33" t="n">
        <v>51552.621777512</v>
      </c>
      <c r="F1475" s="34" t="n">
        <v>0</v>
      </c>
      <c r="G1475" s="34" t="e">
        <f aca="false">D1475-E1475</f>
        <v>#NAME?</v>
      </c>
    </row>
    <row r="1476" customFormat="false" ht="15" hidden="false" customHeight="false" outlineLevel="0" collapsed="false">
      <c r="A1476" s="138" t="s">
        <v>2540</v>
      </c>
      <c r="B1476" s="92" t="s">
        <v>2541</v>
      </c>
      <c r="C1476" s="93"/>
      <c r="D1476" s="139"/>
      <c r="E1476" s="140"/>
      <c r="F1476" s="141"/>
      <c r="G1476" s="141"/>
    </row>
    <row r="1477" customFormat="false" ht="29.25" hidden="false" customHeight="true" outlineLevel="0" collapsed="false">
      <c r="A1477" s="142" t="s">
        <v>2542</v>
      </c>
      <c r="B1477" s="49" t="s">
        <v>2543</v>
      </c>
      <c r="C1477" s="7" t="s">
        <v>2544</v>
      </c>
      <c r="D1477" s="143" t="e">
        <f aca="false">сводн.данные!n1482</f>
        <v>#NAME?</v>
      </c>
      <c r="E1477" s="144" t="n">
        <v>11343.8706613724</v>
      </c>
      <c r="F1477" s="145"/>
      <c r="G1477" s="145"/>
    </row>
    <row r="1478" customFormat="false" ht="15" hidden="false" customHeight="false" outlineLevel="0" collapsed="false">
      <c r="A1478" s="142" t="s">
        <v>2545</v>
      </c>
      <c r="B1478" s="49" t="s">
        <v>2546</v>
      </c>
      <c r="C1478" s="7" t="s">
        <v>2547</v>
      </c>
      <c r="D1478" s="143" t="e">
        <f aca="false">сводн.данные!n1483</f>
        <v>#NAME?</v>
      </c>
      <c r="E1478" s="144" t="n">
        <v>36240.438248466</v>
      </c>
      <c r="F1478" s="145"/>
      <c r="G1478" s="145"/>
    </row>
    <row r="1479" customFormat="false" ht="28.5" hidden="false" customHeight="false" outlineLevel="0" collapsed="false">
      <c r="A1479" s="138" t="s">
        <v>2548</v>
      </c>
      <c r="B1479" s="92" t="s">
        <v>2549</v>
      </c>
      <c r="C1479" s="93"/>
      <c r="D1479" s="139"/>
      <c r="E1479" s="146"/>
      <c r="F1479" s="147"/>
      <c r="G1479" s="147"/>
    </row>
    <row r="1480" customFormat="false" ht="15" hidden="false" customHeight="false" outlineLevel="0" collapsed="false">
      <c r="A1480" s="142" t="s">
        <v>2550</v>
      </c>
      <c r="B1480" s="49" t="s">
        <v>2551</v>
      </c>
      <c r="C1480" s="7" t="s">
        <v>2552</v>
      </c>
      <c r="D1480" s="143" t="e">
        <f aca="false">сводн.данные!n1485</f>
        <v>#NAME?</v>
      </c>
      <c r="E1480" s="144" t="n">
        <v>5257.4951999543</v>
      </c>
      <c r="F1480" s="145"/>
      <c r="G1480" s="145"/>
    </row>
    <row r="1481" customFormat="false" ht="15" hidden="false" customHeight="false" outlineLevel="0" collapsed="false">
      <c r="A1481" s="142" t="s">
        <v>2553</v>
      </c>
      <c r="B1481" s="49" t="s">
        <v>2554</v>
      </c>
      <c r="C1481" s="7" t="s">
        <v>2552</v>
      </c>
      <c r="D1481" s="143" t="e">
        <f aca="false">сводн.данные!n1486</f>
        <v>#NAME?</v>
      </c>
      <c r="E1481" s="144" t="n">
        <v>5257.49519995431</v>
      </c>
      <c r="F1481" s="145"/>
      <c r="G1481" s="145"/>
    </row>
    <row r="1482" customFormat="false" ht="28.5" hidden="false" customHeight="false" outlineLevel="0" collapsed="false">
      <c r="A1482" s="138" t="s">
        <v>2555</v>
      </c>
      <c r="B1482" s="92" t="s">
        <v>2556</v>
      </c>
      <c r="C1482" s="93"/>
      <c r="D1482" s="139"/>
      <c r="E1482" s="140"/>
      <c r="F1482" s="141"/>
      <c r="G1482" s="141"/>
    </row>
    <row r="1483" customFormat="false" ht="15" hidden="false" customHeight="false" outlineLevel="0" collapsed="false">
      <c r="A1483" s="142" t="s">
        <v>2557</v>
      </c>
      <c r="B1483" s="49" t="s">
        <v>2558</v>
      </c>
      <c r="C1483" s="7" t="s">
        <v>2559</v>
      </c>
      <c r="D1483" s="143" t="e">
        <f aca="false">сводн.данные!n1488</f>
        <v>#NAME?</v>
      </c>
      <c r="E1483" s="64" t="n">
        <v>91.4501218854143</v>
      </c>
      <c r="F1483" s="31"/>
      <c r="G1483" s="31"/>
    </row>
    <row r="1484" customFormat="false" ht="15" hidden="false" customHeight="false" outlineLevel="0" collapsed="false">
      <c r="A1484" s="142" t="s">
        <v>2560</v>
      </c>
      <c r="B1484" s="49" t="s">
        <v>2561</v>
      </c>
      <c r="C1484" s="7" t="s">
        <v>2559</v>
      </c>
      <c r="D1484" s="143" t="e">
        <f aca="false">сводн.данные!n1489</f>
        <v>#NAME?</v>
      </c>
      <c r="E1484" s="64" t="n">
        <v>91.4501218854143</v>
      </c>
      <c r="F1484" s="62"/>
      <c r="G1484" s="62"/>
    </row>
    <row r="1485" customFormat="false" ht="15" hidden="false" customHeight="false" outlineLevel="0" collapsed="false">
      <c r="A1485" s="142" t="s">
        <v>2562</v>
      </c>
      <c r="B1485" s="49" t="s">
        <v>2563</v>
      </c>
      <c r="C1485" s="7" t="s">
        <v>2559</v>
      </c>
      <c r="D1485" s="143" t="e">
        <f aca="false">сводн.данные!n1490</f>
        <v>#NAME?</v>
      </c>
      <c r="E1485" s="64" t="n">
        <v>104.872121885414</v>
      </c>
      <c r="F1485" s="62"/>
      <c r="G1485" s="62"/>
    </row>
    <row r="1486" customFormat="false" ht="15" hidden="false" customHeight="false" outlineLevel="0" collapsed="false">
      <c r="A1486" s="142" t="s">
        <v>2564</v>
      </c>
      <c r="B1486" s="49" t="s">
        <v>2565</v>
      </c>
      <c r="C1486" s="7" t="s">
        <v>2559</v>
      </c>
      <c r="D1486" s="143" t="e">
        <f aca="false">сводн.данные!n1491</f>
        <v>#NAME?</v>
      </c>
      <c r="E1486" s="64" t="n">
        <v>104.872121885414</v>
      </c>
      <c r="F1486" s="62"/>
      <c r="G1486" s="62"/>
    </row>
    <row r="1487" customFormat="false" ht="63" hidden="false" customHeight="true" outlineLevel="0" collapsed="false">
      <c r="A1487" s="148" t="n">
        <v>11</v>
      </c>
      <c r="B1487" s="149" t="s">
        <v>2566</v>
      </c>
      <c r="C1487" s="55" t="s">
        <v>2567</v>
      </c>
      <c r="D1487" s="150" t="e">
        <f aca="false">сводн.данные!n1492</f>
        <v>#NAME?</v>
      </c>
      <c r="E1487" s="151" t="n">
        <v>12283.6215238676</v>
      </c>
      <c r="F1487" s="62"/>
      <c r="G1487" s="62"/>
    </row>
    <row r="1488" customFormat="false" ht="15" hidden="false" customHeight="false" outlineLevel="0" collapsed="false">
      <c r="A1488" s="148" t="n">
        <v>12</v>
      </c>
      <c r="B1488" s="149" t="s">
        <v>2568</v>
      </c>
      <c r="C1488" s="55" t="s">
        <v>2569</v>
      </c>
      <c r="D1488" s="24" t="e">
        <f aca="false">сводн.данные!n1493</f>
        <v>#NAME?</v>
      </c>
      <c r="E1488" s="151" t="n">
        <v>2667.90040046609</v>
      </c>
      <c r="F1488" s="62"/>
      <c r="G1488" s="62"/>
    </row>
    <row r="1489" customFormat="false" ht="18.75" hidden="false" customHeight="true" outlineLevel="0" collapsed="false">
      <c r="A1489" s="148" t="n">
        <v>13</v>
      </c>
      <c r="B1489" s="149" t="s">
        <v>2570</v>
      </c>
      <c r="C1489" s="55" t="s">
        <v>2571</v>
      </c>
      <c r="D1489" s="24" t="e">
        <f aca="false">сводн.данные!n1494</f>
        <v>#NAME?</v>
      </c>
      <c r="E1489" s="151" t="e">
        <f aca="false">сводн.данные!n1494</f>
        <v>#NAME?</v>
      </c>
      <c r="F1489" s="62"/>
      <c r="G1489" s="62"/>
    </row>
    <row r="1490" customFormat="false" ht="15" hidden="false" customHeight="false" outlineLevel="0" collapsed="false">
      <c r="A1490" s="148" t="n">
        <v>14</v>
      </c>
      <c r="B1490" s="149" t="s">
        <v>2572</v>
      </c>
      <c r="C1490" s="55" t="s">
        <v>323</v>
      </c>
      <c r="D1490" s="24" t="e">
        <f aca="false">сводн.данные!n1495</f>
        <v>#NAME?</v>
      </c>
      <c r="E1490" s="151" t="e">
        <f aca="false">сводн.данные!n1495</f>
        <v>#NAME?</v>
      </c>
      <c r="F1490" s="62"/>
      <c r="G1490" s="62"/>
    </row>
    <row r="1491" customFormat="false" ht="15" hidden="false" customHeight="false" outlineLevel="0" collapsed="false">
      <c r="A1491" s="152" t="s">
        <v>2573</v>
      </c>
      <c r="B1491" s="153" t="s">
        <v>2574</v>
      </c>
      <c r="C1491" s="153"/>
      <c r="D1491" s="153"/>
      <c r="E1491" s="154"/>
      <c r="F1491" s="155"/>
      <c r="G1491" s="155"/>
    </row>
    <row r="1492" s="97" customFormat="true" ht="21.75" hidden="false" customHeight="true" outlineLevel="0" collapsed="false">
      <c r="A1492" s="156"/>
      <c r="B1492" s="157" t="s">
        <v>4</v>
      </c>
      <c r="C1492" s="158" t="s">
        <v>2575</v>
      </c>
      <c r="D1492" s="159" t="s">
        <v>2576</v>
      </c>
      <c r="E1492" s="160"/>
      <c r="F1492" s="161"/>
      <c r="G1492" s="161"/>
    </row>
    <row r="1493" s="97" customFormat="true" ht="46.5" hidden="false" customHeight="true" outlineLevel="0" collapsed="false">
      <c r="A1493" s="162" t="s">
        <v>2577</v>
      </c>
      <c r="B1493" s="163" t="s">
        <v>2578</v>
      </c>
      <c r="C1493" s="164" t="s">
        <v>2544</v>
      </c>
      <c r="D1493" s="102" t="e">
        <f aca="false">сводн.данные!n1497</f>
        <v>#NAME?</v>
      </c>
      <c r="E1493" s="165" t="n">
        <v>255626.582377829</v>
      </c>
      <c r="F1493" s="166"/>
      <c r="G1493" s="166"/>
    </row>
    <row r="1494" s="97" customFormat="true" ht="32.25" hidden="false" customHeight="true" outlineLevel="0" collapsed="false">
      <c r="A1494" s="162" t="s">
        <v>2579</v>
      </c>
      <c r="B1494" s="163" t="s">
        <v>2580</v>
      </c>
      <c r="C1494" s="164" t="s">
        <v>2544</v>
      </c>
      <c r="D1494" s="102" t="e">
        <f aca="false">сводн.данные!n1498</f>
        <v>#NAME?</v>
      </c>
      <c r="E1494" s="165" t="n">
        <v>105641.391080187</v>
      </c>
      <c r="F1494" s="166"/>
      <c r="G1494" s="166"/>
    </row>
    <row r="1495" s="97" customFormat="true" ht="15" hidden="false" customHeight="false" outlineLevel="0" collapsed="false">
      <c r="A1495" s="162" t="s">
        <v>2581</v>
      </c>
      <c r="B1495" s="163" t="s">
        <v>2582</v>
      </c>
      <c r="C1495" s="164" t="s">
        <v>2544</v>
      </c>
      <c r="D1495" s="102" t="e">
        <f aca="false">сводн.данные!n1499</f>
        <v>#NAME?</v>
      </c>
      <c r="E1495" s="165" t="n">
        <v>52715.6570544736</v>
      </c>
      <c r="F1495" s="166"/>
      <c r="G1495" s="166"/>
    </row>
    <row r="1496" s="97" customFormat="true" ht="77.25" hidden="false" customHeight="true" outlineLevel="0" collapsed="false">
      <c r="A1496" s="162" t="s">
        <v>2583</v>
      </c>
      <c r="B1496" s="163" t="s">
        <v>2584</v>
      </c>
      <c r="C1496" s="164" t="s">
        <v>2544</v>
      </c>
      <c r="D1496" s="102" t="e">
        <f aca="false">сводн.данные!n1500</f>
        <v>#NAME?</v>
      </c>
      <c r="E1496" s="160" t="n">
        <v>0</v>
      </c>
      <c r="F1496" s="166"/>
      <c r="G1496" s="166" t="s">
        <v>2585</v>
      </c>
    </row>
    <row r="1497" s="97" customFormat="true" ht="50.25" hidden="false" customHeight="true" outlineLevel="0" collapsed="false">
      <c r="A1497" s="167" t="s">
        <v>2586</v>
      </c>
      <c r="B1497" s="168" t="s">
        <v>2587</v>
      </c>
      <c r="C1497" s="169"/>
      <c r="D1497" s="170"/>
      <c r="E1497" s="154"/>
      <c r="F1497" s="155"/>
      <c r="G1497" s="155"/>
    </row>
    <row r="1498" s="97" customFormat="true" ht="57" hidden="false" customHeight="false" outlineLevel="0" collapsed="false">
      <c r="A1498" s="171"/>
      <c r="B1498" s="172" t="s">
        <v>1783</v>
      </c>
      <c r="C1498" s="173"/>
      <c r="D1498" s="174"/>
      <c r="E1498" s="151"/>
      <c r="F1498" s="175"/>
      <c r="G1498" s="175"/>
    </row>
    <row r="1499" s="97" customFormat="true" ht="15" hidden="false" customHeight="false" outlineLevel="0" collapsed="false">
      <c r="A1499" s="171" t="s">
        <v>2588</v>
      </c>
      <c r="B1499" s="172" t="s">
        <v>2589</v>
      </c>
      <c r="C1499" s="164"/>
      <c r="D1499" s="150"/>
      <c r="E1499" s="151"/>
      <c r="F1499" s="175"/>
      <c r="G1499" s="175"/>
    </row>
    <row r="1500" s="97" customFormat="true" ht="17.25" hidden="false" customHeight="true" outlineLevel="0" collapsed="false">
      <c r="A1500" s="162" t="s">
        <v>2590</v>
      </c>
      <c r="B1500" s="163" t="s">
        <v>2591</v>
      </c>
      <c r="C1500" s="164" t="s">
        <v>2544</v>
      </c>
      <c r="D1500" s="150" t="e">
        <f aca="false">D1090*4</f>
        <v>#NAME?</v>
      </c>
      <c r="E1500" s="176" t="n">
        <v>5785.25522021736</v>
      </c>
      <c r="F1500" s="161"/>
      <c r="G1500" s="161"/>
    </row>
    <row r="1501" s="97" customFormat="true" ht="18" hidden="false" customHeight="true" outlineLevel="0" collapsed="false">
      <c r="A1501" s="162" t="s">
        <v>2592</v>
      </c>
      <c r="B1501" s="163" t="s">
        <v>2593</v>
      </c>
      <c r="C1501" s="164" t="s">
        <v>2544</v>
      </c>
      <c r="D1501" s="150" t="n">
        <f aca="false">3407.299*4</f>
        <v>13629.196</v>
      </c>
      <c r="E1501" s="176" t="s">
        <v>2585</v>
      </c>
      <c r="F1501" s="161"/>
      <c r="G1501" s="161"/>
    </row>
    <row r="1502" s="97" customFormat="true" ht="18" hidden="false" customHeight="true" outlineLevel="0" collapsed="false">
      <c r="A1502" s="162" t="s">
        <v>2594</v>
      </c>
      <c r="B1502" s="163" t="s">
        <v>2595</v>
      </c>
      <c r="C1502" s="164" t="s">
        <v>2544</v>
      </c>
      <c r="D1502" s="150" t="e">
        <f aca="false">D1127*10</f>
        <v>#NAME?</v>
      </c>
      <c r="E1502" s="176" t="n">
        <v>23344.0934886406</v>
      </c>
      <c r="F1502" s="161"/>
      <c r="G1502" s="161"/>
    </row>
    <row r="1503" s="97" customFormat="true" ht="18" hidden="false" customHeight="true" outlineLevel="0" collapsed="false">
      <c r="A1503" s="162" t="s">
        <v>2596</v>
      </c>
      <c r="B1503" s="163" t="s">
        <v>2597</v>
      </c>
      <c r="C1503" s="164" t="s">
        <v>2544</v>
      </c>
      <c r="D1503" s="177" t="e">
        <f aca="false">D1097*6</f>
        <v>#NAME?</v>
      </c>
      <c r="E1503" s="176" t="n">
        <v>11471.5722107066</v>
      </c>
      <c r="F1503" s="161"/>
      <c r="G1503" s="161"/>
    </row>
    <row r="1504" s="97" customFormat="true" ht="18" hidden="false" customHeight="true" outlineLevel="0" collapsed="false">
      <c r="A1504" s="162" t="s">
        <v>2598</v>
      </c>
      <c r="B1504" s="163" t="s">
        <v>2599</v>
      </c>
      <c r="C1504" s="164" t="s">
        <v>2544</v>
      </c>
      <c r="D1504" s="150" t="e">
        <f aca="false">D1113*5</f>
        <v>#NAME?</v>
      </c>
      <c r="E1504" s="176"/>
      <c r="F1504" s="161"/>
      <c r="G1504" s="161"/>
    </row>
    <row r="1505" s="97" customFormat="true" ht="18" hidden="false" customHeight="true" outlineLevel="0" collapsed="false">
      <c r="A1505" s="162" t="s">
        <v>2600</v>
      </c>
      <c r="B1505" s="163" t="s">
        <v>2601</v>
      </c>
      <c r="C1505" s="164" t="s">
        <v>2544</v>
      </c>
      <c r="D1505" s="150" t="e">
        <f aca="false">D1104*5</f>
        <v>#NAME?</v>
      </c>
      <c r="E1505" s="176" t="n">
        <v>10117.4820311035</v>
      </c>
      <c r="F1505" s="161"/>
      <c r="G1505" s="161"/>
    </row>
    <row r="1506" s="182" customFormat="true" ht="42.75" hidden="false" customHeight="false" outlineLevel="0" collapsed="false">
      <c r="A1506" s="178" t="s">
        <v>2602</v>
      </c>
      <c r="B1506" s="172" t="s">
        <v>10</v>
      </c>
      <c r="C1506" s="164" t="s">
        <v>2544</v>
      </c>
      <c r="D1506" s="179"/>
      <c r="E1506" s="180"/>
      <c r="F1506" s="181"/>
      <c r="G1506" s="181"/>
    </row>
    <row r="1507" s="182" customFormat="true" ht="15" hidden="false" customHeight="true" outlineLevel="0" collapsed="false">
      <c r="A1507" s="183" t="s">
        <v>2603</v>
      </c>
      <c r="B1507" s="163" t="s">
        <v>2604</v>
      </c>
      <c r="C1507" s="164" t="s">
        <v>2544</v>
      </c>
      <c r="D1507" s="179" t="e">
        <f aca="false">D149*3</f>
        <v>#NAME?</v>
      </c>
      <c r="E1507" s="184" t="n">
        <v>25571.140001337</v>
      </c>
      <c r="F1507" s="181"/>
      <c r="G1507" s="181"/>
    </row>
    <row r="1508" s="182" customFormat="true" ht="18" hidden="false" customHeight="true" outlineLevel="0" collapsed="false">
      <c r="A1508" s="183" t="s">
        <v>2605</v>
      </c>
      <c r="B1508" s="163" t="s">
        <v>2606</v>
      </c>
      <c r="C1508" s="164" t="s">
        <v>2544</v>
      </c>
      <c r="D1508" s="179" t="e">
        <f aca="false">(D304+D305)*3</f>
        <v>#NAME?</v>
      </c>
      <c r="E1508" s="151" t="n">
        <v>27268.4000069562</v>
      </c>
      <c r="F1508" s="181"/>
      <c r="G1508" s="181"/>
    </row>
    <row r="1509" s="182" customFormat="true" ht="15" hidden="true" customHeight="true" outlineLevel="0" collapsed="false">
      <c r="A1509" s="183"/>
      <c r="B1509" s="163"/>
      <c r="C1509" s="164" t="s">
        <v>2544</v>
      </c>
      <c r="D1509" s="179"/>
      <c r="E1509" s="180"/>
      <c r="F1509" s="181"/>
      <c r="G1509" s="181"/>
    </row>
    <row r="1510" s="182" customFormat="true" ht="27.75" hidden="false" customHeight="true" outlineLevel="0" collapsed="false">
      <c r="A1510" s="183" t="s">
        <v>2607</v>
      </c>
      <c r="B1510" s="163" t="s">
        <v>2608</v>
      </c>
      <c r="C1510" s="164" t="s">
        <v>2544</v>
      </c>
      <c r="D1510" s="179" t="e">
        <f aca="false">(D424+D423)*3</f>
        <v>#NAME?</v>
      </c>
      <c r="E1510" s="184" t="n">
        <v>28432.4000069562</v>
      </c>
      <c r="F1510" s="181"/>
      <c r="G1510" s="181"/>
    </row>
    <row r="1511" s="182" customFormat="true" ht="17.25" hidden="true" customHeight="true" outlineLevel="0" collapsed="false">
      <c r="A1511" s="183"/>
      <c r="B1511" s="163"/>
      <c r="C1511" s="164" t="s">
        <v>2544</v>
      </c>
      <c r="D1511" s="179"/>
      <c r="E1511" s="180"/>
      <c r="F1511" s="181"/>
      <c r="G1511" s="181"/>
    </row>
    <row r="1512" s="182" customFormat="true" ht="28.5" hidden="false" customHeight="false" outlineLevel="0" collapsed="false">
      <c r="A1512" s="178" t="s">
        <v>2609</v>
      </c>
      <c r="B1512" s="172" t="s">
        <v>2160</v>
      </c>
      <c r="C1512" s="164" t="s">
        <v>2544</v>
      </c>
      <c r="D1512" s="179"/>
      <c r="E1512" s="185"/>
      <c r="F1512" s="181"/>
      <c r="G1512" s="181"/>
    </row>
    <row r="1513" s="182" customFormat="true" ht="15" hidden="false" customHeight="false" outlineLevel="0" collapsed="false">
      <c r="A1513" s="183"/>
      <c r="B1513" s="172" t="s">
        <v>2610</v>
      </c>
      <c r="C1513" s="164" t="s">
        <v>2544</v>
      </c>
      <c r="D1513" s="179"/>
      <c r="E1513" s="185"/>
      <c r="F1513" s="181"/>
      <c r="G1513" s="181"/>
    </row>
    <row r="1514" s="182" customFormat="true" ht="33.75" hidden="false" customHeight="true" outlineLevel="0" collapsed="false">
      <c r="A1514" s="183" t="s">
        <v>2611</v>
      </c>
      <c r="B1514" s="163" t="s">
        <v>2230</v>
      </c>
      <c r="C1514" s="164" t="s">
        <v>2544</v>
      </c>
      <c r="D1514" s="179" t="e">
        <f aca="false">D1320*5*5</f>
        <v>#NAME?</v>
      </c>
      <c r="E1514" s="185" t="n">
        <v>45395.6236523244</v>
      </c>
      <c r="F1514" s="181"/>
      <c r="G1514" s="181"/>
    </row>
    <row r="1515" s="182" customFormat="true" ht="30" hidden="false" customHeight="true" outlineLevel="0" collapsed="false">
      <c r="A1515" s="183" t="s">
        <v>2612</v>
      </c>
      <c r="B1515" s="163" t="s">
        <v>2613</v>
      </c>
      <c r="C1515" s="164" t="s">
        <v>2544</v>
      </c>
      <c r="D1515" s="179" t="e">
        <f aca="false">D1297*5*5</f>
        <v>#NAME?</v>
      </c>
      <c r="E1515" s="185" t="n">
        <v>45395.6236523244</v>
      </c>
      <c r="F1515" s="181"/>
      <c r="G1515" s="181"/>
    </row>
    <row r="1516" s="182" customFormat="true" ht="18" hidden="false" customHeight="true" outlineLevel="0" collapsed="false">
      <c r="A1516" s="183" t="s">
        <v>2614</v>
      </c>
      <c r="B1516" s="163" t="s">
        <v>2615</v>
      </c>
      <c r="C1516" s="164" t="s">
        <v>2544</v>
      </c>
      <c r="D1516" s="179" t="e">
        <f aca="false">D1311*5*5</f>
        <v>#NAME?</v>
      </c>
      <c r="E1516" s="185" t="n">
        <v>45395.6236523244</v>
      </c>
      <c r="F1516" s="181"/>
      <c r="G1516" s="181"/>
    </row>
    <row r="1517" s="182" customFormat="true" ht="18" hidden="false" customHeight="true" outlineLevel="0" collapsed="false">
      <c r="A1517" s="183" t="s">
        <v>2616</v>
      </c>
      <c r="B1517" s="163" t="s">
        <v>2617</v>
      </c>
      <c r="C1517" s="164" t="s">
        <v>2544</v>
      </c>
      <c r="D1517" s="179" t="e">
        <f aca="false">D1318*5*5</f>
        <v>#NAME?</v>
      </c>
      <c r="E1517" s="185" t="n">
        <v>45395.6236523244</v>
      </c>
      <c r="F1517" s="181"/>
      <c r="G1517" s="181"/>
    </row>
    <row r="1518" s="182" customFormat="true" ht="28.5" hidden="false" customHeight="true" outlineLevel="0" collapsed="false">
      <c r="A1518" s="178" t="s">
        <v>2618</v>
      </c>
      <c r="B1518" s="172" t="s">
        <v>2619</v>
      </c>
      <c r="C1518" s="164" t="s">
        <v>2544</v>
      </c>
      <c r="D1518" s="179"/>
      <c r="E1518" s="185"/>
      <c r="F1518" s="181"/>
      <c r="G1518" s="181"/>
    </row>
    <row r="1519" s="182" customFormat="true" ht="15" hidden="false" customHeight="false" outlineLevel="0" collapsed="false">
      <c r="A1519" s="178"/>
      <c r="B1519" s="172" t="s">
        <v>2620</v>
      </c>
      <c r="C1519" s="164" t="s">
        <v>2544</v>
      </c>
      <c r="D1519" s="179"/>
      <c r="E1519" s="185"/>
      <c r="F1519" s="181"/>
      <c r="G1519" s="181"/>
    </row>
    <row r="1520" s="182" customFormat="true" ht="32.25" hidden="false" customHeight="true" outlineLevel="0" collapsed="false">
      <c r="A1520" s="183" t="s">
        <v>2621</v>
      </c>
      <c r="B1520" s="163" t="s">
        <v>2622</v>
      </c>
      <c r="C1520" s="164" t="s">
        <v>2544</v>
      </c>
      <c r="D1520" s="179" t="e">
        <f aca="false">D1066*5</f>
        <v>#NAME?</v>
      </c>
      <c r="E1520" s="185" t="n">
        <v>16478.5380328223</v>
      </c>
      <c r="F1520" s="181"/>
      <c r="G1520" s="181"/>
    </row>
    <row r="1521" s="182" customFormat="true" ht="28.5" hidden="false" customHeight="false" outlineLevel="0" collapsed="false">
      <c r="A1521" s="178" t="s">
        <v>2623</v>
      </c>
      <c r="B1521" s="172" t="s">
        <v>2062</v>
      </c>
      <c r="C1521" s="164" t="s">
        <v>2544</v>
      </c>
      <c r="D1521" s="186"/>
      <c r="E1521" s="187"/>
      <c r="F1521" s="181"/>
      <c r="G1521" s="181"/>
    </row>
    <row r="1522" s="182" customFormat="true" ht="32.25" hidden="false" customHeight="true" outlineLevel="0" collapsed="false">
      <c r="A1522" s="183" t="s">
        <v>2624</v>
      </c>
      <c r="B1522" s="163" t="s">
        <v>2625</v>
      </c>
      <c r="C1522" s="164" t="s">
        <v>2544</v>
      </c>
      <c r="D1522" s="179" t="e">
        <f aca="false">D1281*6</f>
        <v>#NAME?</v>
      </c>
      <c r="E1522" s="185" t="n">
        <v>6976.17916801072</v>
      </c>
      <c r="F1522" s="181"/>
      <c r="G1522" s="181"/>
    </row>
    <row r="1523" s="182" customFormat="true" ht="28.5" hidden="false" customHeight="false" outlineLevel="0" collapsed="false">
      <c r="A1523" s="188" t="s">
        <v>2626</v>
      </c>
      <c r="B1523" s="172" t="s">
        <v>2260</v>
      </c>
      <c r="C1523" s="164" t="s">
        <v>2544</v>
      </c>
      <c r="D1523" s="189"/>
      <c r="E1523" s="180"/>
      <c r="F1523" s="181"/>
      <c r="G1523" s="181"/>
    </row>
    <row r="1524" s="182" customFormat="true" ht="22.5" hidden="false" customHeight="true" outlineLevel="0" collapsed="false">
      <c r="A1524" s="183" t="s">
        <v>2627</v>
      </c>
      <c r="B1524" s="190" t="s">
        <v>2628</v>
      </c>
      <c r="C1524" s="164" t="s">
        <v>2544</v>
      </c>
      <c r="D1524" s="191" t="e">
        <f aca="false">D1357*15</f>
        <v>#NAME?</v>
      </c>
      <c r="E1524" s="180" t="n">
        <v>38572</v>
      </c>
      <c r="F1524" s="181"/>
      <c r="G1524" s="181"/>
    </row>
    <row r="1525" s="97" customFormat="true" ht="28.5" hidden="false" customHeight="true" outlineLevel="0" collapsed="false">
      <c r="A1525" s="188" t="s">
        <v>2629</v>
      </c>
      <c r="B1525" s="172" t="s">
        <v>2630</v>
      </c>
      <c r="C1525" s="164" t="s">
        <v>2544</v>
      </c>
      <c r="D1525" s="150" t="e">
        <f aca="false">сводн.данные!n1527</f>
        <v>#NAME?</v>
      </c>
      <c r="E1525" s="151" t="n">
        <v>30443.9076123755</v>
      </c>
      <c r="F1525" s="166"/>
      <c r="G1525" s="166"/>
    </row>
    <row r="1526" customFormat="false" ht="15" hidden="false" customHeight="true" outlineLevel="0" collapsed="false">
      <c r="A1526" s="192" t="n">
        <v>17</v>
      </c>
      <c r="B1526" s="193" t="s">
        <v>2631</v>
      </c>
      <c r="C1526" s="193"/>
      <c r="D1526" s="170"/>
      <c r="E1526" s="154"/>
      <c r="F1526" s="155"/>
      <c r="G1526" s="155"/>
    </row>
    <row r="1527" customFormat="false" ht="58.5" hidden="false" customHeight="true" outlineLevel="0" collapsed="false">
      <c r="A1527" s="194"/>
      <c r="B1527" s="195" t="s">
        <v>2632</v>
      </c>
      <c r="C1527" s="195"/>
      <c r="D1527" s="196" t="s">
        <v>2633</v>
      </c>
      <c r="E1527" s="197" t="s">
        <v>2634</v>
      </c>
      <c r="F1527" s="62"/>
      <c r="G1527" s="62"/>
      <c r="H1527" s="2" t="s">
        <v>2635</v>
      </c>
      <c r="I1527" s="2" t="s">
        <v>2636</v>
      </c>
      <c r="J1527" s="2" t="s">
        <v>2637</v>
      </c>
    </row>
    <row r="1528" customFormat="false" ht="33" hidden="false" customHeight="true" outlineLevel="0" collapsed="false">
      <c r="A1528" s="183" t="s">
        <v>2638</v>
      </c>
      <c r="B1528" s="198" t="s">
        <v>2639</v>
      </c>
      <c r="C1528" s="199" t="s">
        <v>2544</v>
      </c>
      <c r="D1528" s="200" t="e">
        <f aca="false">сводн.данные!n1529</f>
        <v>#NAME?</v>
      </c>
      <c r="E1528" s="197"/>
      <c r="F1528" s="62"/>
      <c r="G1528" s="62"/>
      <c r="H1528" s="201"/>
      <c r="I1528" s="201"/>
      <c r="J1528" s="201"/>
    </row>
    <row r="1529" customFormat="false" ht="14.25" hidden="false" customHeight="true" outlineLevel="0" collapsed="false">
      <c r="A1529" s="202" t="n">
        <v>18</v>
      </c>
      <c r="B1529" s="92" t="s">
        <v>2640</v>
      </c>
      <c r="C1529" s="14"/>
      <c r="D1529" s="170"/>
      <c r="E1529" s="154"/>
      <c r="F1529" s="202"/>
      <c r="G1529" s="92"/>
    </row>
    <row r="1530" customFormat="false" ht="58.5" hidden="false" customHeight="true" outlineLevel="0" collapsed="false">
      <c r="A1530" s="194"/>
      <c r="B1530" s="203" t="s">
        <v>2632</v>
      </c>
      <c r="C1530" s="195"/>
      <c r="D1530" s="196" t="s">
        <v>2633</v>
      </c>
      <c r="E1530" s="197" t="s">
        <v>2641</v>
      </c>
      <c r="F1530" s="62"/>
      <c r="G1530" s="62"/>
      <c r="H1530" s="204" t="s">
        <v>2642</v>
      </c>
      <c r="I1530" s="2" t="s">
        <v>2643</v>
      </c>
      <c r="K1530" s="204" t="s">
        <v>2641</v>
      </c>
      <c r="L1530" s="204" t="s">
        <v>2641</v>
      </c>
    </row>
    <row r="1531" customFormat="false" ht="15.75" hidden="false" customHeight="true" outlineLevel="0" collapsed="false">
      <c r="A1531" s="142" t="s">
        <v>2644</v>
      </c>
      <c r="B1531" s="62" t="s">
        <v>2645</v>
      </c>
      <c r="C1531" s="8" t="s">
        <v>2544</v>
      </c>
      <c r="D1531" s="200" t="e">
        <f aca="false">сводн.данные!n1531</f>
        <v>#NAME?</v>
      </c>
      <c r="E1531" s="205"/>
      <c r="F1531" s="62"/>
      <c r="G1531" s="62"/>
      <c r="H1531" s="204"/>
    </row>
    <row r="1532" customFormat="false" ht="15.75" hidden="false" customHeight="true" outlineLevel="0" collapsed="false">
      <c r="A1532" s="142" t="s">
        <v>2646</v>
      </c>
      <c r="B1532" s="62" t="s">
        <v>2647</v>
      </c>
      <c r="C1532" s="8" t="s">
        <v>2544</v>
      </c>
      <c r="D1532" s="200" t="e">
        <f aca="false">сводн.данные!n1532</f>
        <v>#NAME?</v>
      </c>
      <c r="E1532" s="205"/>
      <c r="F1532" s="62"/>
      <c r="G1532" s="62"/>
      <c r="H1532" s="204"/>
    </row>
    <row r="1533" s="97" customFormat="true" ht="78.75" hidden="false" customHeight="true" outlineLevel="0" collapsed="false">
      <c r="A1533" s="142" t="s">
        <v>2648</v>
      </c>
      <c r="B1533" s="60" t="s">
        <v>2649</v>
      </c>
      <c r="C1533" s="8" t="s">
        <v>2544</v>
      </c>
      <c r="D1533" s="143" t="e">
        <f aca="false">сводн.данные!n1533</f>
        <v>#NAME?</v>
      </c>
      <c r="E1533" s="151" t="n">
        <v>5690.6758097104</v>
      </c>
      <c r="F1533" s="206" t="s">
        <v>2585</v>
      </c>
      <c r="G1533" s="161"/>
      <c r="H1533" s="201"/>
      <c r="I1533" s="201"/>
      <c r="J1533" s="201"/>
      <c r="K1533" s="97" t="n">
        <v>5881.33555894878</v>
      </c>
      <c r="L1533" s="97" t="n">
        <v>5690.6758097104</v>
      </c>
    </row>
    <row r="1534" s="97" customFormat="true" ht="33.75" hidden="false" customHeight="true" outlineLevel="0" collapsed="false">
      <c r="A1534" s="142" t="s">
        <v>2650</v>
      </c>
      <c r="B1534" s="60" t="s">
        <v>2651</v>
      </c>
      <c r="C1534" s="8" t="s">
        <v>2544</v>
      </c>
      <c r="D1534" s="143" t="e">
        <f aca="false">сводн.данные!n1534</f>
        <v>#NAME?</v>
      </c>
      <c r="E1534" s="151" t="n">
        <v>1738.49193657013</v>
      </c>
      <c r="F1534" s="206" t="s">
        <v>2585</v>
      </c>
      <c r="G1534" s="161"/>
      <c r="H1534" s="201"/>
      <c r="I1534" s="201"/>
      <c r="J1534" s="201"/>
      <c r="K1534" s="97" t="n">
        <v>2548.57874221114</v>
      </c>
      <c r="L1534" s="97" t="n">
        <v>1738.49193657013</v>
      </c>
    </row>
    <row r="1535" customFormat="false" ht="17.25" hidden="false" customHeight="true" outlineLevel="0" collapsed="false">
      <c r="A1535" s="207" t="n">
        <v>19</v>
      </c>
      <c r="B1535" s="92" t="s">
        <v>2652</v>
      </c>
      <c r="C1535" s="207"/>
      <c r="D1535" s="193"/>
      <c r="E1535" s="207"/>
      <c r="F1535" s="206"/>
      <c r="G1535" s="62"/>
    </row>
    <row r="1536" customFormat="false" ht="45" hidden="false" customHeight="true" outlineLevel="0" collapsed="false">
      <c r="A1536" s="208"/>
      <c r="B1536" s="195" t="s">
        <v>2653</v>
      </c>
      <c r="C1536" s="8"/>
      <c r="D1536" s="195" t="s">
        <v>2654</v>
      </c>
      <c r="E1536" s="209" t="s">
        <v>2655</v>
      </c>
      <c r="F1536" s="62"/>
      <c r="G1536" s="62"/>
    </row>
    <row r="1537" customFormat="false" ht="30" hidden="false" customHeight="false" outlineLevel="0" collapsed="false">
      <c r="A1537" s="210" t="s">
        <v>2656</v>
      </c>
      <c r="B1537" s="60" t="s">
        <v>2657</v>
      </c>
      <c r="C1537" s="164" t="s">
        <v>2544</v>
      </c>
      <c r="D1537" s="150" t="e">
        <f aca="false">сводн.данные!n1536</f>
        <v>#NAME?</v>
      </c>
      <c r="E1537" s="151" t="n">
        <v>1273.14605367723</v>
      </c>
      <c r="F1537" s="62"/>
      <c r="G1537" s="62"/>
    </row>
    <row r="1538" customFormat="false" ht="15" hidden="false" customHeight="true" outlineLevel="0" collapsed="false">
      <c r="A1538" s="152" t="s">
        <v>2658</v>
      </c>
      <c r="B1538" s="211" t="s">
        <v>2659</v>
      </c>
      <c r="C1538" s="211"/>
      <c r="D1538" s="211"/>
      <c r="E1538" s="211"/>
      <c r="F1538" s="211"/>
      <c r="G1538" s="211"/>
    </row>
    <row r="1539" customFormat="false" ht="15" hidden="false" customHeight="false" outlineLevel="0" collapsed="false">
      <c r="A1539" s="212"/>
      <c r="B1539" s="195" t="s">
        <v>2632</v>
      </c>
      <c r="C1539" s="195"/>
      <c r="D1539" s="195" t="s">
        <v>2660</v>
      </c>
      <c r="E1539" s="209"/>
      <c r="F1539" s="62"/>
      <c r="G1539" s="62"/>
    </row>
    <row r="1540" customFormat="false" ht="28.5" hidden="false" customHeight="true" outlineLevel="0" collapsed="false">
      <c r="A1540" s="212"/>
      <c r="B1540" s="213" t="s">
        <v>2661</v>
      </c>
      <c r="C1540" s="214"/>
      <c r="D1540" s="215"/>
      <c r="E1540" s="209"/>
      <c r="F1540" s="62"/>
      <c r="G1540" s="62"/>
    </row>
    <row r="1541" customFormat="false" ht="15" hidden="false" customHeight="false" outlineLevel="0" collapsed="false">
      <c r="A1541" s="216" t="s">
        <v>2662</v>
      </c>
      <c r="B1541" s="29" t="s">
        <v>2663</v>
      </c>
      <c r="C1541" s="8" t="s">
        <v>2664</v>
      </c>
      <c r="D1541" s="22"/>
      <c r="E1541" s="209"/>
      <c r="F1541" s="62"/>
      <c r="G1541" s="62"/>
      <c r="H1541" s="2" t="s">
        <v>2665</v>
      </c>
      <c r="I1541" s="2" t="s">
        <v>2666</v>
      </c>
    </row>
    <row r="1542" customFormat="false" ht="15" hidden="false" customHeight="false" outlineLevel="0" collapsed="false">
      <c r="A1542" s="216"/>
      <c r="B1542" s="217" t="s">
        <v>2667</v>
      </c>
      <c r="C1542" s="8" t="s">
        <v>2664</v>
      </c>
      <c r="D1542" s="195"/>
      <c r="E1542" s="209"/>
      <c r="F1542" s="62"/>
      <c r="G1542" s="62"/>
    </row>
    <row r="1543" customFormat="false" ht="15" hidden="false" customHeight="false" outlineLevel="0" collapsed="false">
      <c r="A1543" s="216"/>
      <c r="B1543" s="217" t="s">
        <v>2668</v>
      </c>
      <c r="C1543" s="8" t="s">
        <v>2664</v>
      </c>
      <c r="D1543" s="218" t="e">
        <f aca="false">сводн.данные!n1541</f>
        <v>#NAME?</v>
      </c>
      <c r="E1543" s="219"/>
      <c r="F1543" s="62"/>
      <c r="G1543" s="62"/>
      <c r="H1543" s="220" t="n">
        <f aca="false">834*60</f>
        <v>50040</v>
      </c>
      <c r="I1543" s="2" t="n">
        <v>50000</v>
      </c>
    </row>
    <row r="1544" customFormat="false" ht="15" hidden="false" customHeight="false" outlineLevel="0" collapsed="false">
      <c r="A1544" s="216"/>
      <c r="B1544" s="217" t="s">
        <v>2669</v>
      </c>
      <c r="C1544" s="8" t="s">
        <v>2664</v>
      </c>
      <c r="D1544" s="218" t="e">
        <f aca="false">сводн.данные!n1542</f>
        <v>#NAME?</v>
      </c>
      <c r="E1544" s="219"/>
      <c r="F1544" s="62"/>
      <c r="G1544" s="62"/>
      <c r="H1544" s="220" t="e">
        <f aca="false">D1544*90</f>
        <v>#NAME?</v>
      </c>
      <c r="I1544" s="2" t="n">
        <v>70000</v>
      </c>
    </row>
    <row r="1545" customFormat="false" ht="15" hidden="false" customHeight="false" outlineLevel="0" collapsed="false">
      <c r="A1545" s="216"/>
      <c r="B1545" s="217" t="s">
        <v>2670</v>
      </c>
      <c r="C1545" s="8" t="s">
        <v>2664</v>
      </c>
      <c r="D1545" s="218" t="e">
        <f aca="false">сводн.данные!n1543</f>
        <v>#NAME?</v>
      </c>
      <c r="E1545" s="219"/>
      <c r="F1545" s="62"/>
      <c r="G1545" s="62"/>
      <c r="H1545" s="220" t="e">
        <f aca="false">D1545*120</f>
        <v>#NAME?</v>
      </c>
      <c r="I1545" s="2" t="n">
        <v>90000</v>
      </c>
    </row>
    <row r="1546" customFormat="false" ht="15" hidden="false" customHeight="false" outlineLevel="0" collapsed="false">
      <c r="A1546" s="216"/>
      <c r="B1546" s="217" t="s">
        <v>2671</v>
      </c>
      <c r="C1546" s="8" t="s">
        <v>2664</v>
      </c>
      <c r="D1546" s="218" t="e">
        <f aca="false">сводн.данные!n1544</f>
        <v>#NAME?</v>
      </c>
      <c r="E1546" s="219"/>
      <c r="F1546" s="62"/>
      <c r="G1546" s="62"/>
      <c r="H1546" s="220" t="e">
        <f aca="false">D1546*150</f>
        <v>#NAME?</v>
      </c>
      <c r="I1546" s="2" t="n">
        <v>110000</v>
      </c>
    </row>
    <row r="1547" customFormat="false" ht="33" hidden="false" customHeight="true" outlineLevel="0" collapsed="false">
      <c r="A1547" s="216" t="s">
        <v>2672</v>
      </c>
      <c r="B1547" s="217" t="s">
        <v>2673</v>
      </c>
      <c r="C1547" s="8" t="s">
        <v>2664</v>
      </c>
      <c r="D1547" s="22"/>
      <c r="E1547" s="209"/>
      <c r="F1547" s="62"/>
      <c r="G1547" s="62"/>
      <c r="H1547" s="220"/>
    </row>
    <row r="1548" customFormat="false" ht="15" hidden="false" customHeight="false" outlineLevel="0" collapsed="false">
      <c r="A1548" s="216"/>
      <c r="B1548" s="217" t="s">
        <v>2667</v>
      </c>
      <c r="C1548" s="8" t="s">
        <v>2664</v>
      </c>
      <c r="D1548" s="8"/>
      <c r="E1548" s="209"/>
      <c r="F1548" s="62"/>
      <c r="G1548" s="62"/>
      <c r="H1548" s="220"/>
    </row>
    <row r="1549" customFormat="false" ht="15" hidden="false" customHeight="false" outlineLevel="0" collapsed="false">
      <c r="A1549" s="216"/>
      <c r="B1549" s="217" t="s">
        <v>2668</v>
      </c>
      <c r="C1549" s="8" t="s">
        <v>2664</v>
      </c>
      <c r="D1549" s="48" t="e">
        <f aca="false">сводн.данные!n1547</f>
        <v>#NAME?</v>
      </c>
      <c r="E1549" s="219"/>
      <c r="F1549" s="62"/>
      <c r="G1549" s="62"/>
      <c r="H1549" s="220" t="e">
        <f aca="false">D1549*60</f>
        <v>#NAME?</v>
      </c>
      <c r="I1549" s="2" t="n">
        <v>35000</v>
      </c>
    </row>
    <row r="1550" customFormat="false" ht="15" hidden="false" customHeight="false" outlineLevel="0" collapsed="false">
      <c r="A1550" s="216"/>
      <c r="B1550" s="217" t="s">
        <v>2669</v>
      </c>
      <c r="C1550" s="8" t="s">
        <v>2664</v>
      </c>
      <c r="D1550" s="48" t="e">
        <f aca="false">сводн.данные!n1548</f>
        <v>#NAME?</v>
      </c>
      <c r="E1550" s="219"/>
      <c r="F1550" s="62"/>
      <c r="G1550" s="62"/>
      <c r="H1550" s="220" t="e">
        <f aca="false">D1549*90</f>
        <v>#NAME?</v>
      </c>
      <c r="I1550" s="2" t="n">
        <v>55000</v>
      </c>
    </row>
    <row r="1551" customFormat="false" ht="15" hidden="false" customHeight="false" outlineLevel="0" collapsed="false">
      <c r="A1551" s="216"/>
      <c r="B1551" s="217" t="s">
        <v>2670</v>
      </c>
      <c r="C1551" s="8" t="s">
        <v>2664</v>
      </c>
      <c r="D1551" s="48" t="e">
        <f aca="false">сводн.данные!n1549</f>
        <v>#NAME?</v>
      </c>
      <c r="E1551" s="219"/>
      <c r="F1551" s="62"/>
      <c r="G1551" s="62"/>
      <c r="H1551" s="220" t="e">
        <f aca="false">D1549*120</f>
        <v>#NAME?</v>
      </c>
      <c r="I1551" s="2" t="n">
        <v>75000</v>
      </c>
      <c r="K1551" s="2" t="n">
        <f aca="false">300000/450</f>
        <v>666.666666666667</v>
      </c>
    </row>
    <row r="1552" customFormat="false" ht="15" hidden="false" customHeight="false" outlineLevel="0" collapsed="false">
      <c r="A1552" s="216"/>
      <c r="B1552" s="217" t="s">
        <v>2671</v>
      </c>
      <c r="C1552" s="8" t="s">
        <v>2664</v>
      </c>
      <c r="D1552" s="48" t="e">
        <f aca="false">сводн.данные!n1550</f>
        <v>#NAME?</v>
      </c>
      <c r="E1552" s="219"/>
      <c r="F1552" s="62"/>
      <c r="G1552" s="62"/>
      <c r="H1552" s="220" t="e">
        <f aca="false">D1549*150</f>
        <v>#NAME?</v>
      </c>
      <c r="I1552" s="2" t="n">
        <v>85000</v>
      </c>
    </row>
    <row r="1553" customFormat="false" ht="36" hidden="false" customHeight="true" outlineLevel="0" collapsed="false">
      <c r="A1553" s="216" t="s">
        <v>2674</v>
      </c>
      <c r="B1553" s="29" t="s">
        <v>2675</v>
      </c>
      <c r="C1553" s="8" t="s">
        <v>2664</v>
      </c>
      <c r="D1553" s="22"/>
      <c r="E1553" s="209"/>
      <c r="F1553" s="62"/>
      <c r="G1553" s="62"/>
      <c r="H1553" s="220"/>
    </row>
    <row r="1554" customFormat="false" ht="15.75" hidden="false" customHeight="true" outlineLevel="0" collapsed="false">
      <c r="A1554" s="221"/>
      <c r="B1554" s="217" t="s">
        <v>2668</v>
      </c>
      <c r="C1554" s="8" t="s">
        <v>2664</v>
      </c>
      <c r="D1554" s="22" t="e">
        <f aca="false">сводн.данные!n1552</f>
        <v>#NAME?</v>
      </c>
      <c r="E1554" s="209"/>
      <c r="F1554" s="62"/>
      <c r="G1554" s="62"/>
      <c r="H1554" s="220" t="e">
        <f aca="false">D1554*60</f>
        <v>#NAME?</v>
      </c>
    </row>
    <row r="1555" customFormat="false" ht="15.75" hidden="false" customHeight="true" outlineLevel="0" collapsed="false">
      <c r="A1555" s="221"/>
      <c r="B1555" s="217" t="s">
        <v>2669</v>
      </c>
      <c r="C1555" s="8" t="s">
        <v>2664</v>
      </c>
      <c r="D1555" s="22" t="e">
        <f aca="false">общ.калькуляция!n1527</f>
        <v>#NAME?</v>
      </c>
      <c r="E1555" s="209"/>
      <c r="F1555" s="62"/>
      <c r="G1555" s="62"/>
      <c r="H1555" s="220" t="e">
        <f aca="false">D1554:D1555*90</f>
        <v>#NAME?</v>
      </c>
    </row>
    <row r="1556" customFormat="false" ht="17.25" hidden="false" customHeight="true" outlineLevel="0" collapsed="false">
      <c r="A1556" s="221"/>
      <c r="B1556" s="217" t="s">
        <v>2670</v>
      </c>
      <c r="C1556" s="8" t="s">
        <v>2664</v>
      </c>
      <c r="D1556" s="22" t="e">
        <f aca="false">общ.калькуляция!n1528</f>
        <v>#NAME?</v>
      </c>
      <c r="E1556" s="209"/>
      <c r="F1556" s="62"/>
      <c r="G1556" s="62"/>
      <c r="H1556" s="220" t="e">
        <f aca="false">D1556*120</f>
        <v>#NAME?</v>
      </c>
    </row>
    <row r="1557" customFormat="false" ht="15.75" hidden="false" customHeight="true" outlineLevel="0" collapsed="false">
      <c r="A1557" s="221"/>
      <c r="B1557" s="217" t="s">
        <v>2671</v>
      </c>
      <c r="C1557" s="8" t="s">
        <v>2664</v>
      </c>
      <c r="D1557" s="22" t="e">
        <f aca="false">общ.калькуляция!n1529</f>
        <v>#NAME?</v>
      </c>
      <c r="E1557" s="209"/>
      <c r="F1557" s="62"/>
      <c r="G1557" s="62"/>
      <c r="H1557" s="220" t="e">
        <f aca="false">D1557*150</f>
        <v>#NAME?</v>
      </c>
    </row>
    <row r="1558" customFormat="false" ht="33" hidden="false" customHeight="true" outlineLevel="0" collapsed="false">
      <c r="A1558" s="221"/>
      <c r="B1558" s="213" t="s">
        <v>2676</v>
      </c>
      <c r="C1558" s="8"/>
      <c r="D1558" s="22"/>
      <c r="E1558" s="209"/>
      <c r="F1558" s="62"/>
      <c r="G1558" s="62"/>
      <c r="H1558" s="220"/>
    </row>
    <row r="1559" customFormat="false" ht="31.5" hidden="false" customHeight="true" outlineLevel="0" collapsed="false">
      <c r="A1559" s="221" t="s">
        <v>2677</v>
      </c>
      <c r="B1559" s="29" t="s">
        <v>2663</v>
      </c>
      <c r="C1559" s="8" t="s">
        <v>2664</v>
      </c>
      <c r="D1559" s="22"/>
      <c r="E1559" s="209"/>
      <c r="F1559" s="62"/>
      <c r="G1559" s="62"/>
      <c r="H1559" s="220"/>
    </row>
    <row r="1560" customFormat="false" ht="15.75" hidden="false" customHeight="true" outlineLevel="0" collapsed="false">
      <c r="A1560" s="221"/>
      <c r="B1560" s="217" t="s">
        <v>2668</v>
      </c>
      <c r="C1560" s="8" t="s">
        <v>2664</v>
      </c>
      <c r="D1560" s="22" t="e">
        <f aca="false">сводн.данные!n1558</f>
        <v>#NAME?</v>
      </c>
      <c r="E1560" s="209"/>
      <c r="F1560" s="62"/>
      <c r="G1560" s="62"/>
      <c r="H1560" s="220" t="e">
        <f aca="false">D1560*60</f>
        <v>#NAME?</v>
      </c>
      <c r="I1560" s="2" t="n">
        <v>30000</v>
      </c>
    </row>
    <row r="1561" customFormat="false" ht="15.75" hidden="false" customHeight="true" outlineLevel="0" collapsed="false">
      <c r="A1561" s="221"/>
      <c r="B1561" s="217" t="s">
        <v>2669</v>
      </c>
      <c r="C1561" s="8" t="s">
        <v>2664</v>
      </c>
      <c r="D1561" s="22" t="e">
        <f aca="false">сводн.данные!n1559</f>
        <v>#NAME?</v>
      </c>
      <c r="E1561" s="209"/>
      <c r="F1561" s="62"/>
      <c r="G1561" s="62"/>
      <c r="H1561" s="220" t="e">
        <f aca="false">D1561*90</f>
        <v>#NAME?</v>
      </c>
      <c r="I1561" s="2" t="n">
        <v>35000</v>
      </c>
    </row>
    <row r="1562" customFormat="false" ht="15.75" hidden="false" customHeight="true" outlineLevel="0" collapsed="false">
      <c r="A1562" s="221"/>
      <c r="B1562" s="217" t="s">
        <v>2670</v>
      </c>
      <c r="C1562" s="8" t="s">
        <v>2664</v>
      </c>
      <c r="D1562" s="22" t="e">
        <f aca="false">сводн.данные!n1560</f>
        <v>#NAME?</v>
      </c>
      <c r="E1562" s="209"/>
      <c r="F1562" s="62"/>
      <c r="G1562" s="62"/>
      <c r="H1562" s="220" t="e">
        <f aca="false">D1562*120</f>
        <v>#NAME?</v>
      </c>
      <c r="I1562" s="2" t="n">
        <v>45000</v>
      </c>
    </row>
    <row r="1563" customFormat="false" ht="31.5" hidden="false" customHeight="true" outlineLevel="0" collapsed="false">
      <c r="A1563" s="221" t="s">
        <v>2678</v>
      </c>
      <c r="B1563" s="217" t="s">
        <v>2673</v>
      </c>
      <c r="C1563" s="8" t="s">
        <v>2664</v>
      </c>
      <c r="D1563" s="22"/>
      <c r="E1563" s="209"/>
      <c r="F1563" s="62"/>
      <c r="G1563" s="62"/>
      <c r="H1563" s="220"/>
    </row>
    <row r="1564" customFormat="false" ht="15.75" hidden="false" customHeight="true" outlineLevel="0" collapsed="false">
      <c r="A1564" s="221"/>
      <c r="B1564" s="217" t="s">
        <v>2668</v>
      </c>
      <c r="C1564" s="8" t="s">
        <v>2664</v>
      </c>
      <c r="D1564" s="22" t="e">
        <f aca="false">сводн.данные!n1562</f>
        <v>#NAME?</v>
      </c>
      <c r="E1564" s="209"/>
      <c r="F1564" s="62"/>
      <c r="G1564" s="62"/>
      <c r="H1564" s="220" t="e">
        <f aca="false">D1564*60</f>
        <v>#NAME?</v>
      </c>
      <c r="I1564" s="2" t="n">
        <v>25000</v>
      </c>
    </row>
    <row r="1565" customFormat="false" ht="15.75" hidden="false" customHeight="true" outlineLevel="0" collapsed="false">
      <c r="A1565" s="221"/>
      <c r="B1565" s="217" t="s">
        <v>2669</v>
      </c>
      <c r="C1565" s="8" t="s">
        <v>2664</v>
      </c>
      <c r="D1565" s="22" t="e">
        <f aca="false">сводн.данные!n1563</f>
        <v>#NAME?</v>
      </c>
      <c r="E1565" s="209"/>
      <c r="F1565" s="62"/>
      <c r="G1565" s="62"/>
      <c r="H1565" s="220" t="e">
        <f aca="false">D1565*90</f>
        <v>#NAME?</v>
      </c>
      <c r="I1565" s="2" t="n">
        <v>30000</v>
      </c>
    </row>
    <row r="1566" customFormat="false" ht="15.75" hidden="false" customHeight="true" outlineLevel="0" collapsed="false">
      <c r="A1566" s="221"/>
      <c r="B1566" s="217" t="s">
        <v>2670</v>
      </c>
      <c r="C1566" s="8" t="s">
        <v>2664</v>
      </c>
      <c r="D1566" s="22" t="e">
        <f aca="false">сводн.данные!n1564</f>
        <v>#NAME?</v>
      </c>
      <c r="E1566" s="209"/>
      <c r="F1566" s="62"/>
      <c r="G1566" s="62"/>
      <c r="H1566" s="220" t="e">
        <f aca="false">D1566*120</f>
        <v>#NAME?</v>
      </c>
      <c r="I1566" s="2" t="n">
        <v>40000</v>
      </c>
    </row>
    <row r="1567" customFormat="false" ht="33" hidden="false" customHeight="true" outlineLevel="0" collapsed="false">
      <c r="A1567" s="221" t="s">
        <v>2679</v>
      </c>
      <c r="B1567" s="29" t="s">
        <v>2675</v>
      </c>
      <c r="C1567" s="8" t="s">
        <v>2664</v>
      </c>
      <c r="D1567" s="22"/>
      <c r="E1567" s="209"/>
      <c r="F1567" s="62"/>
      <c r="G1567" s="62"/>
      <c r="H1567" s="220"/>
    </row>
    <row r="1568" customFormat="false" ht="15.75" hidden="false" customHeight="true" outlineLevel="0" collapsed="false">
      <c r="A1568" s="221"/>
      <c r="B1568" s="217" t="s">
        <v>2668</v>
      </c>
      <c r="C1568" s="8" t="s">
        <v>2664</v>
      </c>
      <c r="D1568" s="22" t="e">
        <f aca="false">сводн.данные!n1566</f>
        <v>#NAME?</v>
      </c>
      <c r="E1568" s="209"/>
      <c r="F1568" s="62"/>
      <c r="G1568" s="62"/>
      <c r="H1568" s="220" t="e">
        <f aca="false">D1568*60</f>
        <v>#NAME?</v>
      </c>
    </row>
    <row r="1569" customFormat="false" ht="15.75" hidden="false" customHeight="true" outlineLevel="0" collapsed="false">
      <c r="A1569" s="221"/>
      <c r="B1569" s="217" t="s">
        <v>2669</v>
      </c>
      <c r="C1569" s="8" t="s">
        <v>2664</v>
      </c>
      <c r="D1569" s="22" t="e">
        <f aca="false">сводн.данные!n1567</f>
        <v>#NAME?</v>
      </c>
      <c r="E1569" s="209"/>
      <c r="F1569" s="62"/>
      <c r="G1569" s="62"/>
      <c r="H1569" s="220" t="e">
        <f aca="false">D1569*90</f>
        <v>#NAME?</v>
      </c>
    </row>
    <row r="1570" customFormat="false" ht="15.75" hidden="false" customHeight="true" outlineLevel="0" collapsed="false">
      <c r="A1570" s="221"/>
      <c r="B1570" s="217" t="s">
        <v>2670</v>
      </c>
      <c r="C1570" s="8" t="s">
        <v>2664</v>
      </c>
      <c r="D1570" s="22" t="e">
        <f aca="false">сводн.данные!n1568</f>
        <v>#NAME?</v>
      </c>
      <c r="E1570" s="209"/>
      <c r="F1570" s="62"/>
      <c r="G1570" s="62"/>
      <c r="H1570" s="220" t="e">
        <f aca="false">D1570*120</f>
        <v>#NAME?</v>
      </c>
    </row>
    <row r="1571" customFormat="false" ht="33" hidden="false" customHeight="true" outlineLevel="0" collapsed="false">
      <c r="A1571" s="221" t="s">
        <v>2680</v>
      </c>
      <c r="B1571" s="217" t="s">
        <v>2681</v>
      </c>
      <c r="C1571" s="8" t="s">
        <v>2664</v>
      </c>
      <c r="D1571" s="22" t="e">
        <f aca="false">сводн.данные!n1569</f>
        <v>#NAME?</v>
      </c>
      <c r="E1571" s="209"/>
      <c r="F1571" s="62"/>
      <c r="G1571" s="62"/>
      <c r="H1571" s="220" t="e">
        <f aca="false">D1571*450</f>
        <v>#NAME?</v>
      </c>
    </row>
    <row r="1572" customFormat="false" ht="30" hidden="false" customHeight="true" outlineLevel="0" collapsed="false">
      <c r="A1572" s="221" t="s">
        <v>2682</v>
      </c>
      <c r="B1572" s="217" t="s">
        <v>2683</v>
      </c>
      <c r="C1572" s="8" t="s">
        <v>2664</v>
      </c>
      <c r="D1572" s="22" t="e">
        <f aca="false">сводн.данные!n1570</f>
        <v>#NAME?</v>
      </c>
      <c r="E1572" s="209"/>
      <c r="F1572" s="62"/>
      <c r="G1572" s="62"/>
      <c r="H1572" s="220" t="e">
        <f aca="false">D1572*450</f>
        <v>#NAME?</v>
      </c>
    </row>
    <row r="1573" customFormat="false" ht="18.75" hidden="false" customHeight="true" outlineLevel="0" collapsed="false">
      <c r="A1573" s="142" t="s">
        <v>2684</v>
      </c>
      <c r="B1573" s="198" t="s">
        <v>2685</v>
      </c>
      <c r="C1573" s="8" t="s">
        <v>2544</v>
      </c>
      <c r="D1573" s="22" t="e">
        <f aca="false">сводн.данные!n1571</f>
        <v>#NAME?</v>
      </c>
      <c r="E1573" s="222" t="n">
        <v>35394</v>
      </c>
      <c r="F1573" s="8"/>
      <c r="G1573" s="61"/>
      <c r="H1573" s="209"/>
    </row>
    <row r="1574" customFormat="false" ht="15" hidden="false" customHeight="false" outlineLevel="0" collapsed="false">
      <c r="A1574" s="202" t="n">
        <v>21</v>
      </c>
      <c r="B1574" s="223" t="s">
        <v>2686</v>
      </c>
      <c r="C1574" s="223"/>
      <c r="D1574" s="110"/>
      <c r="E1574" s="13"/>
      <c r="F1574" s="14"/>
      <c r="G1574" s="14"/>
    </row>
    <row r="1575" customFormat="false" ht="17.25" hidden="false" customHeight="true" outlineLevel="0" collapsed="false">
      <c r="A1575" s="194"/>
      <c r="B1575" s="195" t="s">
        <v>2687</v>
      </c>
      <c r="C1575" s="62"/>
      <c r="D1575" s="195" t="s">
        <v>2688</v>
      </c>
      <c r="E1575" s="224"/>
      <c r="F1575" s="62"/>
      <c r="G1575" s="62"/>
    </row>
    <row r="1576" customFormat="false" ht="15" hidden="false" customHeight="false" outlineLevel="0" collapsed="false">
      <c r="A1576" s="216" t="s">
        <v>2689</v>
      </c>
      <c r="B1576" s="40" t="s">
        <v>2690</v>
      </c>
      <c r="C1576" s="7" t="s">
        <v>2691</v>
      </c>
      <c r="D1576" s="112" t="e">
        <f aca="false">сводн.данные!n1573</f>
        <v>#NAME?</v>
      </c>
      <c r="E1576" s="23" t="n">
        <v>2800</v>
      </c>
      <c r="F1576" s="24" t="n">
        <v>5500</v>
      </c>
      <c r="G1576" s="24" t="e">
        <f aca="false">D1576-E1576</f>
        <v>#NAME?</v>
      </c>
    </row>
    <row r="1577" customFormat="false" ht="15" hidden="false" customHeight="false" outlineLevel="0" collapsed="false">
      <c r="A1577" s="216" t="s">
        <v>2692</v>
      </c>
      <c r="B1577" s="40" t="s">
        <v>2693</v>
      </c>
      <c r="C1577" s="7" t="s">
        <v>2691</v>
      </c>
      <c r="D1577" s="112" t="e">
        <f aca="false">сводн.данные!n1574</f>
        <v>#NAME?</v>
      </c>
      <c r="E1577" s="23" t="n">
        <v>2498</v>
      </c>
      <c r="F1577" s="24" t="n">
        <v>4300</v>
      </c>
      <c r="G1577" s="24" t="e">
        <f aca="false">D1577-E1577</f>
        <v>#NAME?</v>
      </c>
    </row>
    <row r="1578" customFormat="false" ht="15" hidden="false" customHeight="false" outlineLevel="0" collapsed="false">
      <c r="A1578" s="216" t="s">
        <v>2694</v>
      </c>
      <c r="B1578" s="40" t="s">
        <v>2695</v>
      </c>
      <c r="C1578" s="7" t="s">
        <v>2691</v>
      </c>
      <c r="D1578" s="112" t="e">
        <f aca="false">сводн.данные!n1575</f>
        <v>#NAME?</v>
      </c>
      <c r="E1578" s="23" t="n">
        <v>4624</v>
      </c>
      <c r="F1578" s="24" t="n">
        <v>9500</v>
      </c>
      <c r="G1578" s="24" t="e">
        <f aca="false">D1578-E1578</f>
        <v>#NAME?</v>
      </c>
    </row>
    <row r="1579" customFormat="false" ht="15" hidden="false" customHeight="false" outlineLevel="0" collapsed="false">
      <c r="A1579" s="216" t="s">
        <v>2696</v>
      </c>
      <c r="B1579" s="40" t="s">
        <v>2697</v>
      </c>
      <c r="C1579" s="7" t="s">
        <v>2691</v>
      </c>
      <c r="D1579" s="112" t="e">
        <f aca="false">сводн.данные!n1576</f>
        <v>#NAME?</v>
      </c>
      <c r="E1579" s="23" t="n">
        <v>1000</v>
      </c>
      <c r="F1579" s="24" t="n">
        <v>3000</v>
      </c>
      <c r="G1579" s="24" t="e">
        <f aca="false">D1579-E1579</f>
        <v>#NAME?</v>
      </c>
    </row>
    <row r="1580" s="97" customFormat="true" ht="15" hidden="false" customHeight="false" outlineLevel="0" collapsed="false">
      <c r="A1580" s="225" t="s">
        <v>2698</v>
      </c>
      <c r="B1580" s="168" t="s">
        <v>2699</v>
      </c>
      <c r="C1580" s="226"/>
      <c r="D1580" s="170"/>
      <c r="E1580" s="154"/>
      <c r="F1580" s="227"/>
      <c r="G1580" s="228"/>
    </row>
    <row r="1581" s="97" customFormat="true" ht="15" hidden="false" customHeight="false" outlineLevel="0" collapsed="false">
      <c r="A1581" s="229" t="s">
        <v>2700</v>
      </c>
      <c r="B1581" s="40" t="s">
        <v>2701</v>
      </c>
      <c r="C1581" s="199" t="s">
        <v>2544</v>
      </c>
      <c r="D1581" s="112" t="e">
        <f aca="false">сводн.данные!n1578</f>
        <v>#NAME?</v>
      </c>
      <c r="E1581" s="64"/>
      <c r="F1581" s="166"/>
      <c r="G1581" s="166"/>
    </row>
    <row r="1582" s="97" customFormat="true" ht="15" hidden="false" customHeight="false" outlineLevel="0" collapsed="false">
      <c r="A1582" s="229" t="s">
        <v>2702</v>
      </c>
      <c r="B1582" s="40" t="s">
        <v>2703</v>
      </c>
      <c r="C1582" s="199" t="s">
        <v>2544</v>
      </c>
      <c r="D1582" s="112" t="e">
        <f aca="false">сводн.данные!n1579</f>
        <v>#NAME?</v>
      </c>
      <c r="E1582" s="64"/>
      <c r="F1582" s="166"/>
      <c r="G1582" s="166"/>
    </row>
    <row r="1583" s="97" customFormat="true" ht="15" hidden="false" customHeight="false" outlineLevel="0" collapsed="false">
      <c r="A1583" s="229" t="s">
        <v>2704</v>
      </c>
      <c r="B1583" s="40" t="s">
        <v>2705</v>
      </c>
      <c r="C1583" s="199" t="s">
        <v>2544</v>
      </c>
      <c r="D1583" s="112" t="e">
        <f aca="false">сводн.данные!n1580</f>
        <v>#NAME?</v>
      </c>
      <c r="E1583" s="64"/>
      <c r="F1583" s="166"/>
      <c r="G1583" s="166"/>
    </row>
    <row r="1584" s="97" customFormat="true" ht="92.25" hidden="false" customHeight="true" outlineLevel="0" collapsed="false">
      <c r="A1584" s="230" t="s">
        <v>2706</v>
      </c>
      <c r="B1584" s="231" t="s">
        <v>2707</v>
      </c>
      <c r="C1584" s="199" t="s">
        <v>2569</v>
      </c>
      <c r="D1584" s="112" t="e">
        <f aca="false">сводн.данные!n1581</f>
        <v>#NAME?</v>
      </c>
      <c r="E1584" s="115" t="n">
        <v>2485.74686953287</v>
      </c>
      <c r="F1584" s="166"/>
      <c r="G1584" s="166"/>
    </row>
    <row r="1585" s="97" customFormat="true" ht="16.5" hidden="false" customHeight="true" outlineLevel="0" collapsed="false">
      <c r="A1585" s="225" t="s">
        <v>2708</v>
      </c>
      <c r="B1585" s="232" t="s">
        <v>2709</v>
      </c>
      <c r="C1585" s="232"/>
      <c r="D1585" s="232"/>
      <c r="E1585" s="232"/>
      <c r="F1585" s="232"/>
      <c r="G1585" s="232"/>
    </row>
    <row r="1586" s="237" customFormat="true" ht="33.75" hidden="false" customHeight="true" outlineLevel="0" collapsed="false">
      <c r="A1586" s="178" t="s">
        <v>3</v>
      </c>
      <c r="B1586" s="172" t="s">
        <v>2710</v>
      </c>
      <c r="C1586" s="233" t="s">
        <v>2711</v>
      </c>
      <c r="D1586" s="159" t="s">
        <v>2712</v>
      </c>
      <c r="E1586" s="234" t="s">
        <v>2713</v>
      </c>
      <c r="F1586" s="235" t="s">
        <v>2714</v>
      </c>
      <c r="G1586" s="236"/>
    </row>
    <row r="1587" customFormat="false" ht="30" hidden="false" customHeight="true" outlineLevel="0" collapsed="false">
      <c r="A1587" s="238" t="n">
        <v>1</v>
      </c>
      <c r="B1587" s="239" t="s">
        <v>2715</v>
      </c>
      <c r="C1587" s="239"/>
      <c r="D1587" s="239"/>
      <c r="E1587" s="239"/>
      <c r="F1587" s="239"/>
      <c r="G1587" s="239"/>
    </row>
    <row r="1588" customFormat="false" ht="15.75" hidden="false" customHeight="true" outlineLevel="0" collapsed="false">
      <c r="A1588" s="240" t="s">
        <v>2716</v>
      </c>
      <c r="B1588" s="241" t="s">
        <v>2717</v>
      </c>
      <c r="C1588" s="239"/>
      <c r="D1588" s="242"/>
      <c r="E1588" s="243"/>
      <c r="F1588" s="239"/>
      <c r="G1588" s="239"/>
    </row>
    <row r="1589" customFormat="false" ht="30.75" hidden="false" customHeight="true" outlineLevel="0" collapsed="false">
      <c r="A1589" s="238"/>
      <c r="B1589" s="244" t="s">
        <v>2718</v>
      </c>
      <c r="C1589" s="245" t="s">
        <v>2719</v>
      </c>
      <c r="D1589" s="246" t="s">
        <v>2720</v>
      </c>
      <c r="E1589" s="23" t="e">
        <f aca="false">D1167+D1169+D1171</f>
        <v>#NAME?</v>
      </c>
      <c r="F1589" s="62"/>
      <c r="G1589" s="62"/>
    </row>
    <row r="1590" customFormat="false" ht="54.75" hidden="false" customHeight="true" outlineLevel="0" collapsed="false">
      <c r="A1590" s="247"/>
      <c r="B1590" s="248" t="s">
        <v>2721</v>
      </c>
      <c r="C1590" s="249" t="s">
        <v>2722</v>
      </c>
      <c r="D1590" s="246" t="s">
        <v>2723</v>
      </c>
      <c r="E1590" s="23" t="e">
        <f aca="false">D1162+D1163+D1164+D1165</f>
        <v>#NAME?</v>
      </c>
      <c r="F1590" s="7"/>
      <c r="G1590" s="7"/>
    </row>
    <row r="1591" customFormat="false" ht="48.75" hidden="false" customHeight="true" outlineLevel="0" collapsed="false">
      <c r="A1591" s="247"/>
      <c r="B1591" s="248"/>
      <c r="C1591" s="249"/>
      <c r="D1591" s="249" t="s">
        <v>2724</v>
      </c>
      <c r="E1591" s="23"/>
      <c r="F1591" s="7"/>
      <c r="G1591" s="7"/>
    </row>
    <row r="1592" customFormat="false" ht="68.25" hidden="false" customHeight="true" outlineLevel="0" collapsed="false">
      <c r="A1592" s="238"/>
      <c r="B1592" s="250" t="s">
        <v>2725</v>
      </c>
      <c r="C1592" s="250" t="s">
        <v>2726</v>
      </c>
      <c r="D1592" s="246" t="s">
        <v>2727</v>
      </c>
      <c r="E1592" s="251" t="e">
        <f aca="false">D1143+D1145</f>
        <v>#NAME?</v>
      </c>
      <c r="F1592" s="252"/>
      <c r="G1592" s="252"/>
    </row>
    <row r="1593" customFormat="false" ht="36" hidden="false" customHeight="true" outlineLevel="0" collapsed="false">
      <c r="A1593" s="253"/>
      <c r="B1593" s="254" t="s">
        <v>2728</v>
      </c>
      <c r="C1593" s="254" t="s">
        <v>2729</v>
      </c>
      <c r="D1593" s="255" t="s">
        <v>2720</v>
      </c>
      <c r="E1593" s="251" t="e">
        <f aca="false">D1196</f>
        <v>#NAME?</v>
      </c>
      <c r="F1593" s="252"/>
      <c r="G1593" s="252"/>
    </row>
    <row r="1594" customFormat="false" ht="15" hidden="false" customHeight="false" outlineLevel="0" collapsed="false">
      <c r="A1594" s="256" t="s">
        <v>2730</v>
      </c>
      <c r="B1594" s="257" t="s">
        <v>2731</v>
      </c>
      <c r="C1594" s="258"/>
      <c r="D1594" s="259"/>
      <c r="E1594" s="260"/>
      <c r="F1594" s="252"/>
      <c r="G1594" s="252"/>
    </row>
    <row r="1595" customFormat="false" ht="83.25" hidden="false" customHeight="true" outlineLevel="0" collapsed="false">
      <c r="A1595" s="256"/>
      <c r="B1595" s="250" t="s">
        <v>2732</v>
      </c>
      <c r="C1595" s="250" t="s">
        <v>2733</v>
      </c>
      <c r="D1595" s="261" t="s">
        <v>2734</v>
      </c>
      <c r="E1595" s="262" t="e">
        <f aca="false">D1197</f>
        <v>#NAME?</v>
      </c>
      <c r="F1595" s="263"/>
      <c r="G1595" s="263"/>
    </row>
    <row r="1596" customFormat="false" ht="75.75" hidden="false" customHeight="true" outlineLevel="0" collapsed="false">
      <c r="A1596" s="240"/>
      <c r="B1596" s="254" t="s">
        <v>2735</v>
      </c>
      <c r="C1596" s="254" t="s">
        <v>2736</v>
      </c>
      <c r="D1596" s="264" t="s">
        <v>2737</v>
      </c>
      <c r="E1596" s="23" t="e">
        <f aca="false">D181</f>
        <v>#NAME?</v>
      </c>
      <c r="F1596" s="62"/>
      <c r="G1596" s="7"/>
    </row>
    <row r="1597" customFormat="false" ht="48.75" hidden="false" customHeight="true" outlineLevel="0" collapsed="false">
      <c r="A1597" s="265"/>
      <c r="B1597" s="266" t="s">
        <v>2738</v>
      </c>
      <c r="C1597" s="266" t="s">
        <v>2739</v>
      </c>
      <c r="D1597" s="267" t="s">
        <v>2740</v>
      </c>
      <c r="E1597" s="251" t="e">
        <f aca="false">D578</f>
        <v>#NAME?</v>
      </c>
      <c r="F1597" s="49"/>
      <c r="G1597" s="268"/>
    </row>
    <row r="1598" customFormat="false" ht="96" hidden="false" customHeight="true" outlineLevel="0" collapsed="false">
      <c r="A1598" s="238"/>
      <c r="B1598" s="254" t="s">
        <v>2741</v>
      </c>
      <c r="C1598" s="254" t="s">
        <v>2742</v>
      </c>
      <c r="D1598" s="246" t="s">
        <v>2743</v>
      </c>
      <c r="E1598" s="251" t="e">
        <f aca="false">D578</f>
        <v>#NAME?</v>
      </c>
      <c r="F1598" s="49"/>
      <c r="G1598" s="62"/>
    </row>
    <row r="1599" customFormat="false" ht="31.5" hidden="false" customHeight="true" outlineLevel="0" collapsed="false">
      <c r="A1599" s="238"/>
      <c r="B1599" s="254" t="s">
        <v>2744</v>
      </c>
      <c r="C1599" s="269" t="s">
        <v>2745</v>
      </c>
      <c r="D1599" s="22" t="s">
        <v>2746</v>
      </c>
      <c r="E1599" s="23" t="e">
        <f aca="false">D579</f>
        <v>#NAME?</v>
      </c>
      <c r="F1599" s="270"/>
      <c r="G1599" s="62"/>
    </row>
    <row r="1600" customFormat="false" ht="35.25" hidden="false" customHeight="true" outlineLevel="0" collapsed="false">
      <c r="A1600" s="238"/>
      <c r="B1600" s="254" t="s">
        <v>2747</v>
      </c>
      <c r="C1600" s="254" t="s">
        <v>2748</v>
      </c>
      <c r="D1600" s="22" t="s">
        <v>2746</v>
      </c>
      <c r="E1600" s="23" t="e">
        <f aca="false">D775</f>
        <v>#NAME?</v>
      </c>
      <c r="F1600" s="270"/>
      <c r="G1600" s="62"/>
    </row>
    <row r="1601" customFormat="false" ht="30" hidden="false" customHeight="false" outlineLevel="0" collapsed="false">
      <c r="A1601" s="238"/>
      <c r="B1601" s="269" t="s">
        <v>2749</v>
      </c>
      <c r="C1601" s="254" t="s">
        <v>2750</v>
      </c>
      <c r="D1601" s="22" t="s">
        <v>2746</v>
      </c>
      <c r="E1601" s="23" t="e">
        <f aca="false">D769+D772+D770+D767</f>
        <v>#NAME?</v>
      </c>
      <c r="F1601" s="270"/>
      <c r="G1601" s="62"/>
    </row>
    <row r="1602" customFormat="false" ht="46.5" hidden="false" customHeight="true" outlineLevel="0" collapsed="false">
      <c r="A1602" s="247"/>
      <c r="B1602" s="254" t="s">
        <v>2751</v>
      </c>
      <c r="C1602" s="254" t="s">
        <v>2752</v>
      </c>
      <c r="D1602" s="22" t="s">
        <v>2746</v>
      </c>
      <c r="E1602" s="23" t="e">
        <f aca="false">D546+D551+D552+D553+D556+D561+D564</f>
        <v>#NAME?</v>
      </c>
      <c r="F1602" s="49"/>
      <c r="G1602" s="62"/>
    </row>
    <row r="1603" customFormat="false" ht="14.25" hidden="false" customHeight="true" outlineLevel="0" collapsed="false">
      <c r="A1603" s="256" t="s">
        <v>2753</v>
      </c>
      <c r="B1603" s="271" t="s">
        <v>2754</v>
      </c>
      <c r="C1603" s="272"/>
      <c r="D1603" s="273"/>
      <c r="E1603" s="224"/>
      <c r="F1603" s="62"/>
      <c r="G1603" s="62"/>
    </row>
    <row r="1604" customFormat="false" ht="60" hidden="false" customHeight="true" outlineLevel="0" collapsed="false">
      <c r="A1604" s="238"/>
      <c r="B1604" s="254" t="s">
        <v>2755</v>
      </c>
      <c r="C1604" s="254" t="s">
        <v>2756</v>
      </c>
      <c r="D1604" s="246" t="s">
        <v>2757</v>
      </c>
      <c r="E1604" s="274" t="e">
        <f aca="false">D7+D8+D9+D10+D11+D12+D13+D14+D15+D16+D17+D18+D19+D20+D21+D22+D23+D24+D25+D26+D27+D32+D33+D38+D41+D42+D43+D44+D45+D46+D47+D48+D49+D50+D51+D52+D53+D54+D55+D56+D63+D65+D69+D70+D77+D78+D79+D80+D81+D82+D83+D84+D85+D86+D87+D88+D89+D90+D91+D92+D93+D94+D95+D98+D99+D101+D104+D105+D106+D107+D108+D109+D110+D111+D112+D113+D114+D115+D116+D117+D118+D119+D126+D128+D130</f>
        <v>#NAME?</v>
      </c>
      <c r="F1604" s="62"/>
      <c r="G1604" s="62"/>
    </row>
    <row r="1605" customFormat="false" ht="15" hidden="false" customHeight="false" outlineLevel="0" collapsed="false">
      <c r="A1605" s="275" t="s">
        <v>2758</v>
      </c>
      <c r="B1605" s="276" t="s">
        <v>2759</v>
      </c>
      <c r="C1605" s="250"/>
      <c r="D1605" s="277"/>
      <c r="E1605" s="278"/>
      <c r="F1605" s="279"/>
      <c r="G1605" s="279"/>
    </row>
    <row r="1606" customFormat="false" ht="44.25" hidden="false" customHeight="true" outlineLevel="0" collapsed="false">
      <c r="A1606" s="238"/>
      <c r="B1606" s="254" t="s">
        <v>2760</v>
      </c>
      <c r="C1606" s="254" t="s">
        <v>2761</v>
      </c>
      <c r="D1606" s="246" t="s">
        <v>2762</v>
      </c>
      <c r="E1606" s="23" t="e">
        <f aca="false">D1085</f>
        <v>#NAME?</v>
      </c>
      <c r="F1606" s="270"/>
      <c r="G1606" s="62"/>
    </row>
    <row r="1607" customFormat="false" ht="30" hidden="false" customHeight="true" outlineLevel="0" collapsed="false">
      <c r="A1607" s="238"/>
      <c r="B1607" s="254" t="s">
        <v>2763</v>
      </c>
      <c r="C1607" s="254" t="s">
        <v>2761</v>
      </c>
      <c r="D1607" s="246" t="s">
        <v>2764</v>
      </c>
      <c r="E1607" s="23" t="e">
        <f aca="false">D1044</f>
        <v>#NAME?</v>
      </c>
      <c r="F1607" s="270"/>
      <c r="G1607" s="62"/>
    </row>
    <row r="1608" customFormat="false" ht="15" hidden="false" customHeight="true" outlineLevel="0" collapsed="false">
      <c r="A1608" s="93" t="n">
        <v>24</v>
      </c>
      <c r="B1608" s="280" t="s">
        <v>2765</v>
      </c>
      <c r="C1608" s="280"/>
      <c r="D1608" s="280"/>
      <c r="E1608" s="224"/>
      <c r="F1608" s="62"/>
      <c r="G1608" s="268"/>
    </row>
    <row r="1609" customFormat="false" ht="15" hidden="false" customHeight="true" outlineLevel="0" collapsed="false">
      <c r="A1609" s="281" t="s">
        <v>2766</v>
      </c>
      <c r="B1609" s="282" t="s">
        <v>2767</v>
      </c>
      <c r="C1609" s="282"/>
      <c r="D1609" s="282"/>
      <c r="E1609" s="283" t="e">
        <f aca="false">сводн.данные!n1652</f>
        <v>#NAME?</v>
      </c>
      <c r="F1609" s="62"/>
      <c r="G1609" s="62"/>
    </row>
    <row r="1610" customFormat="false" ht="15" hidden="false" customHeight="false" outlineLevel="0" collapsed="false">
      <c r="A1610" s="210" t="s">
        <v>2768</v>
      </c>
      <c r="B1610" s="60" t="s">
        <v>2769</v>
      </c>
      <c r="C1610" s="55" t="s">
        <v>2544</v>
      </c>
      <c r="D1610" s="24" t="n">
        <f aca="false">'[1]Платные услуги'!$F$8</f>
        <v>808242.709045021</v>
      </c>
      <c r="E1610" s="283"/>
      <c r="F1610" s="62"/>
      <c r="G1610" s="62"/>
    </row>
    <row r="1611" customFormat="false" ht="15" hidden="false" customHeight="false" outlineLevel="0" collapsed="false">
      <c r="A1611" s="210" t="s">
        <v>2770</v>
      </c>
      <c r="B1611" s="60" t="s">
        <v>2771</v>
      </c>
      <c r="C1611" s="55" t="s">
        <v>2544</v>
      </c>
      <c r="D1611" s="24" t="n">
        <f aca="false">'[1]Платные услуги'!$F$9</f>
        <v>323297.083618008</v>
      </c>
      <c r="E1611" s="283"/>
      <c r="F1611" s="62"/>
      <c r="G1611" s="62"/>
    </row>
    <row r="1612" customFormat="false" ht="15" hidden="false" customHeight="false" outlineLevel="0" collapsed="false">
      <c r="A1612" s="210" t="s">
        <v>2772</v>
      </c>
      <c r="B1612" s="60" t="s">
        <v>2773</v>
      </c>
      <c r="C1612" s="55" t="s">
        <v>2544</v>
      </c>
      <c r="D1612" s="24" t="n">
        <f aca="false">'[1]Платные услуги'!$F$10</f>
        <v>808242.709045021</v>
      </c>
      <c r="E1612" s="283"/>
      <c r="F1612" s="62"/>
      <c r="G1612" s="62"/>
    </row>
    <row r="1613" customFormat="false" ht="15" hidden="false" customHeight="false" outlineLevel="0" collapsed="false">
      <c r="A1613" s="210" t="s">
        <v>2774</v>
      </c>
      <c r="B1613" s="60" t="s">
        <v>2775</v>
      </c>
      <c r="C1613" s="55" t="s">
        <v>2544</v>
      </c>
      <c r="D1613" s="24" t="n">
        <f aca="false">'[1]Платные услуги'!$F$11</f>
        <v>323297.083618008</v>
      </c>
      <c r="E1613" s="283"/>
      <c r="F1613" s="62"/>
      <c r="G1613" s="62"/>
    </row>
    <row r="1614" customFormat="false" ht="15" hidden="false" customHeight="false" outlineLevel="0" collapsed="false">
      <c r="A1614" s="210" t="s">
        <v>2776</v>
      </c>
      <c r="B1614" s="60" t="s">
        <v>2777</v>
      </c>
      <c r="C1614" s="55" t="s">
        <v>2544</v>
      </c>
      <c r="D1614" s="24" t="n">
        <f aca="false">'[1]Платные услуги'!$F$12</f>
        <v>323297.083618008</v>
      </c>
      <c r="E1614" s="283"/>
      <c r="F1614" s="62"/>
      <c r="G1614" s="62"/>
    </row>
    <row r="1615" customFormat="false" ht="15" hidden="false" customHeight="false" outlineLevel="0" collapsed="false">
      <c r="A1615" s="210" t="s">
        <v>2778</v>
      </c>
      <c r="B1615" s="60" t="s">
        <v>2779</v>
      </c>
      <c r="C1615" s="55" t="s">
        <v>2544</v>
      </c>
      <c r="D1615" s="24" t="n">
        <f aca="false">'[1]Платные услуги'!$F$13</f>
        <v>323297.083618008</v>
      </c>
      <c r="E1615" s="283"/>
      <c r="F1615" s="62"/>
      <c r="G1615" s="62"/>
    </row>
    <row r="1616" customFormat="false" ht="15" hidden="false" customHeight="false" outlineLevel="0" collapsed="false">
      <c r="A1616" s="210" t="s">
        <v>2780</v>
      </c>
      <c r="B1616" s="60" t="s">
        <v>2781</v>
      </c>
      <c r="C1616" s="55" t="s">
        <v>2544</v>
      </c>
      <c r="D1616" s="24" t="n">
        <f aca="false">'[1]Платные услуги'!$F$14</f>
        <v>808242.709045021</v>
      </c>
      <c r="E1616" s="283"/>
      <c r="F1616" s="62"/>
      <c r="G1616" s="62"/>
    </row>
    <row r="1617" customFormat="false" ht="15" hidden="false" customHeight="true" outlineLevel="0" collapsed="false">
      <c r="A1617" s="281" t="s">
        <v>2782</v>
      </c>
      <c r="B1617" s="282" t="s">
        <v>2783</v>
      </c>
      <c r="C1617" s="282"/>
      <c r="D1617" s="282"/>
      <c r="E1617" s="283"/>
      <c r="F1617" s="62"/>
      <c r="G1617" s="62"/>
    </row>
    <row r="1618" customFormat="false" ht="15" hidden="false" customHeight="false" outlineLevel="0" collapsed="false">
      <c r="A1618" s="210" t="s">
        <v>2784</v>
      </c>
      <c r="B1618" s="60" t="s">
        <v>2785</v>
      </c>
      <c r="C1618" s="55" t="s">
        <v>2544</v>
      </c>
      <c r="D1618" s="24" t="n">
        <f aca="false">'[1]Платные услуги'!$F$16</f>
        <v>404121.354522511</v>
      </c>
      <c r="E1618" s="283"/>
      <c r="F1618" s="62"/>
      <c r="G1618" s="62"/>
    </row>
    <row r="1619" customFormat="false" ht="15" hidden="false" customHeight="false" outlineLevel="0" collapsed="false">
      <c r="A1619" s="210" t="s">
        <v>2786</v>
      </c>
      <c r="B1619" s="60" t="s">
        <v>2787</v>
      </c>
      <c r="C1619" s="55" t="s">
        <v>2544</v>
      </c>
      <c r="D1619" s="24" t="n">
        <f aca="false">'[1]Платные услуги'!$F$17</f>
        <v>808242.709045021</v>
      </c>
      <c r="E1619" s="283"/>
      <c r="F1619" s="62"/>
      <c r="G1619" s="62"/>
    </row>
    <row r="1620" customFormat="false" ht="15" hidden="false" customHeight="false" outlineLevel="0" collapsed="false">
      <c r="A1620" s="210" t="s">
        <v>2788</v>
      </c>
      <c r="B1620" s="60" t="s">
        <v>2789</v>
      </c>
      <c r="C1620" s="55" t="s">
        <v>2544</v>
      </c>
      <c r="D1620" s="24" t="n">
        <f aca="false">'[1]Платные услуги'!$F$18</f>
        <v>323297.083618008</v>
      </c>
      <c r="E1620" s="283"/>
      <c r="F1620" s="62"/>
      <c r="G1620" s="62"/>
    </row>
    <row r="1621" customFormat="false" ht="15" hidden="false" customHeight="false" outlineLevel="0" collapsed="false">
      <c r="A1621" s="210" t="s">
        <v>2790</v>
      </c>
      <c r="B1621" s="60" t="s">
        <v>2791</v>
      </c>
      <c r="C1621" s="55" t="s">
        <v>2544</v>
      </c>
      <c r="D1621" s="24" t="n">
        <f aca="false">'[1]Платные услуги'!$F$19</f>
        <v>323297.083618008</v>
      </c>
      <c r="E1621" s="283"/>
      <c r="F1621" s="62"/>
      <c r="G1621" s="62"/>
    </row>
    <row r="1622" customFormat="false" ht="15" hidden="false" customHeight="false" outlineLevel="0" collapsed="false">
      <c r="A1622" s="210" t="s">
        <v>2792</v>
      </c>
      <c r="B1622" s="60" t="s">
        <v>2793</v>
      </c>
      <c r="C1622" s="55" t="s">
        <v>2544</v>
      </c>
      <c r="D1622" s="24" t="n">
        <f aca="false">'[1]Платные услуги'!$F$20</f>
        <v>323297.083618008</v>
      </c>
      <c r="E1622" s="283"/>
      <c r="F1622" s="62"/>
      <c r="G1622" s="62"/>
    </row>
    <row r="1623" customFormat="false" ht="15" hidden="false" customHeight="false" outlineLevel="0" collapsed="false">
      <c r="A1623" s="210" t="s">
        <v>2794</v>
      </c>
      <c r="B1623" s="60" t="s">
        <v>2795</v>
      </c>
      <c r="C1623" s="55" t="s">
        <v>2544</v>
      </c>
      <c r="D1623" s="24" t="n">
        <f aca="false">'[1]Платные услуги'!$F$21</f>
        <v>323297.083618008</v>
      </c>
      <c r="E1623" s="283"/>
      <c r="F1623" s="62"/>
      <c r="G1623" s="62"/>
    </row>
    <row r="1624" customFormat="false" ht="15" hidden="false" customHeight="false" outlineLevel="0" collapsed="false">
      <c r="A1624" s="210" t="s">
        <v>2796</v>
      </c>
      <c r="B1624" s="60" t="s">
        <v>2797</v>
      </c>
      <c r="C1624" s="55" t="s">
        <v>2544</v>
      </c>
      <c r="D1624" s="24" t="n">
        <f aca="false">'[1]Платные услуги'!$F$22</f>
        <v>323297.083618008</v>
      </c>
      <c r="E1624" s="283"/>
      <c r="F1624" s="62"/>
      <c r="G1624" s="62"/>
    </row>
    <row r="1625" customFormat="false" ht="15" hidden="false" customHeight="false" outlineLevel="0" collapsed="false">
      <c r="A1625" s="210" t="s">
        <v>2798</v>
      </c>
      <c r="B1625" s="60" t="s">
        <v>2781</v>
      </c>
      <c r="C1625" s="55" t="s">
        <v>2544</v>
      </c>
      <c r="D1625" s="24" t="n">
        <f aca="false">'[1]Платные услуги'!$F$23</f>
        <v>808242.709045021</v>
      </c>
      <c r="E1625" s="283"/>
      <c r="F1625" s="62"/>
      <c r="G1625" s="62"/>
    </row>
    <row r="1626" customFormat="false" ht="15" hidden="false" customHeight="true" outlineLevel="0" collapsed="false">
      <c r="A1626" s="281" t="s">
        <v>2799</v>
      </c>
      <c r="B1626" s="282" t="s">
        <v>2800</v>
      </c>
      <c r="C1626" s="282"/>
      <c r="D1626" s="282"/>
      <c r="E1626" s="283"/>
      <c r="F1626" s="62"/>
      <c r="G1626" s="62"/>
    </row>
    <row r="1627" customFormat="false" ht="15" hidden="false" customHeight="false" outlineLevel="0" collapsed="false">
      <c r="A1627" s="210" t="s">
        <v>2801</v>
      </c>
      <c r="B1627" s="60" t="s">
        <v>2802</v>
      </c>
      <c r="C1627" s="55" t="s">
        <v>2544</v>
      </c>
      <c r="D1627" s="24" t="n">
        <f aca="false">'[1]Платные услуги'!$F$25</f>
        <v>323297.083618008</v>
      </c>
      <c r="E1627" s="283"/>
      <c r="F1627" s="62"/>
      <c r="G1627" s="62"/>
    </row>
    <row r="1628" customFormat="false" ht="15" hidden="false" customHeight="false" outlineLevel="0" collapsed="false">
      <c r="A1628" s="210" t="s">
        <v>2803</v>
      </c>
      <c r="B1628" s="60" t="s">
        <v>2804</v>
      </c>
      <c r="C1628" s="55" t="s">
        <v>2544</v>
      </c>
      <c r="D1628" s="24" t="n">
        <f aca="false">'[1]Платные услуги'!$F$26</f>
        <v>323297.083618008</v>
      </c>
      <c r="E1628" s="283"/>
      <c r="F1628" s="62"/>
      <c r="G1628" s="62"/>
    </row>
    <row r="1629" customFormat="false" ht="15" hidden="false" customHeight="false" outlineLevel="0" collapsed="false">
      <c r="A1629" s="210" t="s">
        <v>2805</v>
      </c>
      <c r="B1629" s="60" t="s">
        <v>2806</v>
      </c>
      <c r="C1629" s="55" t="s">
        <v>2544</v>
      </c>
      <c r="D1629" s="24" t="n">
        <f aca="false">'[1]Платные услуги'!$F$27</f>
        <v>323297.083618008</v>
      </c>
      <c r="E1629" s="283"/>
      <c r="F1629" s="62"/>
      <c r="G1629" s="62"/>
    </row>
    <row r="1630" customFormat="false" ht="15" hidden="false" customHeight="false" outlineLevel="0" collapsed="false">
      <c r="A1630" s="210" t="s">
        <v>2807</v>
      </c>
      <c r="B1630" s="60" t="s">
        <v>2808</v>
      </c>
      <c r="C1630" s="55" t="s">
        <v>2544</v>
      </c>
      <c r="D1630" s="24" t="n">
        <f aca="false">'[1]Платные услуги'!$F$28</f>
        <v>808242.709045021</v>
      </c>
      <c r="E1630" s="283"/>
      <c r="F1630" s="62"/>
      <c r="G1630" s="62"/>
    </row>
    <row r="1631" customFormat="false" ht="15" hidden="false" customHeight="false" outlineLevel="0" collapsed="false">
      <c r="A1631" s="210" t="s">
        <v>2809</v>
      </c>
      <c r="B1631" s="60" t="s">
        <v>2795</v>
      </c>
      <c r="C1631" s="55" t="s">
        <v>2544</v>
      </c>
      <c r="D1631" s="24" t="n">
        <f aca="false">'[1]Платные услуги'!$F$29</f>
        <v>323297.083618008</v>
      </c>
      <c r="E1631" s="283"/>
      <c r="F1631" s="62"/>
      <c r="G1631" s="62"/>
    </row>
    <row r="1632" customFormat="false" ht="15" hidden="false" customHeight="false" outlineLevel="0" collapsed="false">
      <c r="A1632" s="210" t="s">
        <v>2810</v>
      </c>
      <c r="B1632" s="60" t="s">
        <v>2797</v>
      </c>
      <c r="C1632" s="55" t="s">
        <v>2544</v>
      </c>
      <c r="D1632" s="24" t="n">
        <f aca="false">'[1]Платные услуги'!$F$30</f>
        <v>323297.083618008</v>
      </c>
      <c r="E1632" s="283"/>
      <c r="F1632" s="62"/>
      <c r="G1632" s="62"/>
    </row>
    <row r="1633" customFormat="false" ht="15" hidden="false" customHeight="false" outlineLevel="0" collapsed="false">
      <c r="A1633" s="210" t="s">
        <v>2811</v>
      </c>
      <c r="B1633" s="60" t="s">
        <v>2781</v>
      </c>
      <c r="C1633" s="55" t="s">
        <v>2544</v>
      </c>
      <c r="D1633" s="24" t="n">
        <f aca="false">'[1]Платные услуги'!$F$31</f>
        <v>808242.709045021</v>
      </c>
      <c r="E1633" s="283"/>
      <c r="F1633" s="62"/>
      <c r="G1633" s="62"/>
    </row>
    <row r="1634" customFormat="false" ht="15" hidden="false" customHeight="true" outlineLevel="0" collapsed="false">
      <c r="A1634" s="281" t="s">
        <v>2812</v>
      </c>
      <c r="B1634" s="282" t="s">
        <v>2813</v>
      </c>
      <c r="C1634" s="282"/>
      <c r="D1634" s="282"/>
      <c r="E1634" s="283"/>
      <c r="F1634" s="62"/>
      <c r="G1634" s="62"/>
    </row>
    <row r="1635" customFormat="false" ht="15" hidden="false" customHeight="false" outlineLevel="0" collapsed="false">
      <c r="A1635" s="210" t="s">
        <v>2814</v>
      </c>
      <c r="B1635" s="60" t="s">
        <v>2815</v>
      </c>
      <c r="C1635" s="55" t="s">
        <v>2544</v>
      </c>
      <c r="D1635" s="24" t="n">
        <f aca="false">'[1]Платные услуги'!$F$33</f>
        <v>808242.709045021</v>
      </c>
      <c r="E1635" s="283"/>
      <c r="F1635" s="62"/>
      <c r="G1635" s="62"/>
    </row>
    <row r="1636" customFormat="false" ht="15" hidden="false" customHeight="false" outlineLevel="0" collapsed="false">
      <c r="A1636" s="210" t="s">
        <v>2816</v>
      </c>
      <c r="B1636" s="60" t="s">
        <v>2817</v>
      </c>
      <c r="C1636" s="55" t="s">
        <v>2544</v>
      </c>
      <c r="D1636" s="24" t="n">
        <f aca="false">'[1]Платные услуги'!$F$34</f>
        <v>1212364.06356753</v>
      </c>
      <c r="E1636" s="283"/>
      <c r="F1636" s="62"/>
      <c r="G1636" s="62"/>
    </row>
    <row r="1637" customFormat="false" ht="15" hidden="false" customHeight="false" outlineLevel="0" collapsed="false">
      <c r="A1637" s="210" t="s">
        <v>2818</v>
      </c>
      <c r="B1637" s="60" t="s">
        <v>2819</v>
      </c>
      <c r="C1637" s="55" t="s">
        <v>2544</v>
      </c>
      <c r="D1637" s="24" t="n">
        <f aca="false">'[1]Платные услуги'!$F$35</f>
        <v>404121.354522511</v>
      </c>
      <c r="E1637" s="283"/>
      <c r="F1637" s="62"/>
      <c r="G1637" s="62"/>
    </row>
    <row r="1638" customFormat="false" ht="15" hidden="false" customHeight="false" outlineLevel="0" collapsed="false">
      <c r="A1638" s="210" t="s">
        <v>2820</v>
      </c>
      <c r="B1638" s="60" t="s">
        <v>2821</v>
      </c>
      <c r="C1638" s="55" t="s">
        <v>2544</v>
      </c>
      <c r="D1638" s="24" t="n">
        <f aca="false">'[1]Платные услуги'!$F$35</f>
        <v>404121.354522511</v>
      </c>
      <c r="E1638" s="283"/>
      <c r="F1638" s="62"/>
      <c r="G1638" s="62"/>
    </row>
    <row r="1639" customFormat="false" ht="15" hidden="false" customHeight="false" outlineLevel="0" collapsed="false">
      <c r="A1639" s="210" t="s">
        <v>2822</v>
      </c>
      <c r="B1639" s="60" t="s">
        <v>2781</v>
      </c>
      <c r="C1639" s="55" t="s">
        <v>2544</v>
      </c>
      <c r="D1639" s="24" t="n">
        <f aca="false">'[1]Платные услуги'!$F$37</f>
        <v>808242.709045021</v>
      </c>
      <c r="E1639" s="283"/>
      <c r="F1639" s="62"/>
      <c r="G1639" s="62"/>
    </row>
    <row r="1640" customFormat="false" ht="15" hidden="false" customHeight="true" outlineLevel="0" collapsed="false">
      <c r="A1640" s="281" t="s">
        <v>2823</v>
      </c>
      <c r="B1640" s="282" t="s">
        <v>2824</v>
      </c>
      <c r="C1640" s="282"/>
      <c r="D1640" s="282"/>
      <c r="E1640" s="283"/>
      <c r="F1640" s="62"/>
      <c r="G1640" s="62"/>
    </row>
    <row r="1641" customFormat="false" ht="15" hidden="false" customHeight="false" outlineLevel="0" collapsed="false">
      <c r="A1641" s="210" t="s">
        <v>2825</v>
      </c>
      <c r="B1641" s="60" t="s">
        <v>2826</v>
      </c>
      <c r="C1641" s="55" t="s">
        <v>2544</v>
      </c>
      <c r="D1641" s="24" t="n">
        <f aca="false">'[1]Платные услуги'!$F$39</f>
        <v>646594.167236017</v>
      </c>
      <c r="E1641" s="283"/>
      <c r="F1641" s="62"/>
      <c r="G1641" s="62"/>
    </row>
    <row r="1642" customFormat="false" ht="15" hidden="false" customHeight="false" outlineLevel="0" collapsed="false">
      <c r="A1642" s="284" t="s">
        <v>2827</v>
      </c>
      <c r="B1642" s="60" t="s">
        <v>2828</v>
      </c>
      <c r="C1642" s="55" t="s">
        <v>2544</v>
      </c>
      <c r="D1642" s="24" t="n">
        <f aca="false">'[1]Платные услуги'!$F$40</f>
        <v>161648.541809004</v>
      </c>
      <c r="E1642" s="285"/>
      <c r="F1642" s="62"/>
      <c r="G1642" s="62"/>
    </row>
    <row r="1643" customFormat="false" ht="15" hidden="false" customHeight="true" outlineLevel="0" collapsed="false">
      <c r="A1643" s="91" t="s">
        <v>2829</v>
      </c>
      <c r="B1643" s="193" t="s">
        <v>2830</v>
      </c>
      <c r="C1643" s="193"/>
      <c r="D1643" s="193"/>
      <c r="E1643" s="286"/>
      <c r="F1643" s="287"/>
      <c r="G1643" s="287"/>
    </row>
    <row r="1644" customFormat="false" ht="15" hidden="false" customHeight="false" outlineLevel="0" collapsed="false">
      <c r="A1644" s="288" t="s">
        <v>2831</v>
      </c>
      <c r="B1644" s="289" t="s">
        <v>2832</v>
      </c>
      <c r="C1644" s="17" t="s">
        <v>15</v>
      </c>
      <c r="D1644" s="34" t="n">
        <f aca="false">'[2]Стоимость анализов'!$H$7</f>
        <v>4018.42904481977</v>
      </c>
      <c r="E1644" s="286"/>
      <c r="F1644" s="287"/>
      <c r="G1644" s="287"/>
    </row>
    <row r="1645" customFormat="false" ht="15" hidden="false" customHeight="false" outlineLevel="0" collapsed="false">
      <c r="A1645" s="288" t="s">
        <v>2833</v>
      </c>
      <c r="B1645" s="289" t="s">
        <v>2834</v>
      </c>
      <c r="C1645" s="17" t="s">
        <v>15</v>
      </c>
      <c r="D1645" s="34" t="n">
        <f aca="false">'[2]Стоимость анализов'!$H$8</f>
        <v>4018.42904481977</v>
      </c>
      <c r="E1645" s="286"/>
      <c r="F1645" s="287"/>
      <c r="G1645" s="287"/>
    </row>
    <row r="1646" customFormat="false" ht="15" hidden="false" customHeight="false" outlineLevel="0" collapsed="false">
      <c r="A1646" s="288" t="s">
        <v>2835</v>
      </c>
      <c r="B1646" s="289" t="s">
        <v>2836</v>
      </c>
      <c r="C1646" s="17" t="s">
        <v>15</v>
      </c>
      <c r="D1646" s="34" t="n">
        <f aca="false">'[2]Стоимость анализов'!$H$9</f>
        <v>800.872680664671</v>
      </c>
      <c r="E1646" s="286"/>
      <c r="F1646" s="287"/>
      <c r="G1646" s="287"/>
    </row>
    <row r="1647" customFormat="false" ht="15" hidden="false" customHeight="false" outlineLevel="0" collapsed="false">
      <c r="A1647" s="288" t="s">
        <v>2837</v>
      </c>
      <c r="B1647" s="289" t="s">
        <v>2838</v>
      </c>
      <c r="C1647" s="17" t="s">
        <v>15</v>
      </c>
      <c r="D1647" s="34" t="n">
        <f aca="false">'[2]Стоимость анализов'!$H$10</f>
        <v>700.593644513613</v>
      </c>
      <c r="E1647" s="286"/>
      <c r="F1647" s="287"/>
      <c r="G1647" s="287"/>
    </row>
    <row r="1648" customFormat="false" ht="15" hidden="false" customHeight="false" outlineLevel="0" collapsed="false">
      <c r="A1648" s="288" t="s">
        <v>2839</v>
      </c>
      <c r="B1648" s="289" t="s">
        <v>2840</v>
      </c>
      <c r="C1648" s="17" t="s">
        <v>15</v>
      </c>
      <c r="D1648" s="34" t="n">
        <f aca="false">'[2]Стоимость анализов'!$H$11</f>
        <v>700.593644513613</v>
      </c>
      <c r="E1648" s="286"/>
      <c r="F1648" s="287"/>
      <c r="G1648" s="287"/>
    </row>
    <row r="1649" customFormat="false" ht="15" hidden="false" customHeight="false" outlineLevel="0" collapsed="false">
      <c r="A1649" s="290" t="s">
        <v>2841</v>
      </c>
      <c r="B1649" s="291"/>
      <c r="C1649" s="292"/>
      <c r="D1649" s="292"/>
    </row>
    <row r="1650" customFormat="false" ht="33.75" hidden="false" customHeight="true" outlineLevel="0" collapsed="false">
      <c r="A1650" s="293" t="s">
        <v>2842</v>
      </c>
      <c r="B1650" s="293"/>
      <c r="C1650" s="293"/>
      <c r="D1650" s="293"/>
    </row>
    <row r="1651" customFormat="false" ht="60.75" hidden="false" customHeight="true" outlineLevel="0" collapsed="false">
      <c r="A1651" s="293" t="s">
        <v>2843</v>
      </c>
      <c r="B1651" s="293"/>
      <c r="C1651" s="293"/>
      <c r="D1651" s="293"/>
    </row>
    <row r="1652" customFormat="false" ht="23.25" hidden="false" customHeight="true" outlineLevel="0" collapsed="false">
      <c r="A1652" s="294" t="s">
        <v>2844</v>
      </c>
    </row>
    <row r="1653" customFormat="false" ht="30.75" hidden="false" customHeight="true" outlineLevel="0" collapsed="false">
      <c r="A1653" s="295" t="s">
        <v>2845</v>
      </c>
      <c r="B1653" s="295"/>
      <c r="C1653" s="295"/>
      <c r="D1653" s="295"/>
      <c r="E1653" s="295"/>
      <c r="F1653" s="295"/>
      <c r="G1653" s="295"/>
    </row>
    <row r="1654" customFormat="false" ht="32.25" hidden="false" customHeight="true" outlineLevel="0" collapsed="false">
      <c r="A1654" s="296" t="s">
        <v>2846</v>
      </c>
      <c r="B1654" s="296"/>
      <c r="C1654" s="296"/>
      <c r="D1654" s="296"/>
      <c r="E1654" s="296"/>
    </row>
    <row r="1655" customFormat="false" ht="60.75" hidden="false" customHeight="true" outlineLevel="0" collapsed="false">
      <c r="A1655" s="295" t="s">
        <v>2847</v>
      </c>
      <c r="B1655" s="295"/>
      <c r="C1655" s="295"/>
      <c r="D1655" s="295"/>
      <c r="E1655" s="295"/>
      <c r="F1655" s="295"/>
      <c r="G1655" s="295"/>
    </row>
    <row r="1656" customFormat="false" ht="17.25" hidden="false" customHeight="true" outlineLevel="0" collapsed="false">
      <c r="B1656" s="297" t="s">
        <v>2848</v>
      </c>
      <c r="C1656" s="298" t="s">
        <v>2849</v>
      </c>
      <c r="D1656" s="1"/>
      <c r="E1656" s="298"/>
    </row>
    <row r="1657" customFormat="false" ht="18" hidden="false" customHeight="true" outlineLevel="0" collapsed="false">
      <c r="B1657" s="299" t="s">
        <v>2850</v>
      </c>
      <c r="C1657" s="298" t="s">
        <v>2851</v>
      </c>
      <c r="D1657" s="1"/>
    </row>
    <row r="1658" customFormat="false" ht="15" hidden="false" customHeight="false" outlineLevel="0" collapsed="false">
      <c r="B1658" s="297" t="s">
        <v>2852</v>
      </c>
      <c r="C1658" s="298" t="s">
        <v>2853</v>
      </c>
      <c r="D1658" s="1"/>
    </row>
    <row r="1659" customFormat="false" ht="15" hidden="false" customHeight="false" outlineLevel="0" collapsed="false">
      <c r="B1659" s="297"/>
      <c r="D1659" s="1"/>
    </row>
    <row r="1660" customFormat="false" ht="48.75" hidden="false" customHeight="true" outlineLevel="0" collapsed="false">
      <c r="B1660" s="300"/>
      <c r="D1660" s="1"/>
    </row>
    <row r="1661" customFormat="false" ht="15" hidden="false" customHeight="false" outlineLevel="0" collapsed="false">
      <c r="B1661" s="301"/>
    </row>
    <row r="1662" customFormat="false" ht="15" hidden="false" customHeight="false" outlineLevel="0" collapsed="false">
      <c r="B1662" s="300"/>
      <c r="D1662" s="1"/>
    </row>
    <row r="1663" customFormat="false" ht="42.75" hidden="false" customHeight="true" outlineLevel="0" collapsed="false">
      <c r="B1663" s="300"/>
      <c r="D1663" s="1"/>
    </row>
    <row r="1664" customFormat="false" ht="15" hidden="false" customHeight="false" outlineLevel="0" collapsed="false">
      <c r="B1664" s="300"/>
      <c r="D1664" s="1"/>
    </row>
    <row r="1665" customFormat="false" ht="15" hidden="false" customHeight="false" outlineLevel="0" collapsed="false">
      <c r="B1665" s="297"/>
      <c r="D1665" s="1"/>
    </row>
    <row r="1666" customFormat="false" ht="15" hidden="false" customHeight="false" outlineLevel="0" collapsed="false">
      <c r="B1666" s="302"/>
      <c r="D1666" s="1"/>
    </row>
    <row r="1667" customFormat="false" ht="15" hidden="false" customHeight="false" outlineLevel="0" collapsed="false">
      <c r="B1667" s="302"/>
      <c r="D1667" s="1"/>
    </row>
    <row r="1668" customFormat="false" ht="15" hidden="false" customHeight="false" outlineLevel="0" collapsed="false">
      <c r="B1668" s="302"/>
      <c r="D1668" s="1"/>
    </row>
    <row r="1669" customFormat="false" ht="15" hidden="false" customHeight="false" outlineLevel="0" collapsed="false">
      <c r="B1669" s="302"/>
      <c r="D1669" s="1"/>
    </row>
    <row r="1670" customFormat="false" ht="15" hidden="false" customHeight="false" outlineLevel="0" collapsed="false">
      <c r="B1670" s="302"/>
      <c r="D1670" s="1"/>
    </row>
    <row r="1671" customFormat="false" ht="15" hidden="false" customHeight="false" outlineLevel="0" collapsed="false">
      <c r="B1671" s="302"/>
      <c r="D1671" s="1"/>
    </row>
    <row r="1672" customFormat="false" ht="22.5" hidden="false" customHeight="true" outlineLevel="0" collapsed="false"/>
    <row r="1673" customFormat="false" ht="30.75" hidden="false" customHeight="true" outlineLevel="0" collapsed="false">
      <c r="B1673" s="302"/>
      <c r="D1673" s="1"/>
    </row>
    <row r="1675" customFormat="false" ht="15" hidden="false" customHeight="false" outlineLevel="0" collapsed="false">
      <c r="B1675" s="300"/>
      <c r="D1675" s="1"/>
    </row>
    <row r="1677" customFormat="false" ht="15" hidden="false" customHeight="false" outlineLevel="0" collapsed="false">
      <c r="B1677" s="300"/>
      <c r="D1677" s="1"/>
    </row>
    <row r="1678" customFormat="false" ht="15" hidden="false" customHeight="false" outlineLevel="0" collapsed="false">
      <c r="B1678" s="300"/>
    </row>
    <row r="1679" customFormat="false" ht="33" hidden="false" customHeight="true" outlineLevel="0" collapsed="false">
      <c r="B1679" s="302"/>
      <c r="D1679" s="1"/>
    </row>
    <row r="1681" customFormat="false" ht="15" hidden="false" customHeight="false" outlineLevel="0" collapsed="false">
      <c r="B1681" s="297"/>
      <c r="D1681" s="1"/>
    </row>
  </sheetData>
  <autoFilter ref="A4:L1508"/>
  <mergeCells count="31">
    <mergeCell ref="A2:D2"/>
    <mergeCell ref="A3:D3"/>
    <mergeCell ref="H1331:I1331"/>
    <mergeCell ref="H1332:I1332"/>
    <mergeCell ref="H1333:I1333"/>
    <mergeCell ref="H1334:I1334"/>
    <mergeCell ref="B1491:D1491"/>
    <mergeCell ref="B1526:C1526"/>
    <mergeCell ref="B1538:E1538"/>
    <mergeCell ref="F1538:G1538"/>
    <mergeCell ref="B1574:C1574"/>
    <mergeCell ref="B1585:G1585"/>
    <mergeCell ref="B1587:G1587"/>
    <mergeCell ref="A1590:A1591"/>
    <mergeCell ref="B1590:B1591"/>
    <mergeCell ref="C1590:C1591"/>
    <mergeCell ref="E1590:E1591"/>
    <mergeCell ref="F1590:F1591"/>
    <mergeCell ref="G1590:G1591"/>
    <mergeCell ref="B1608:D1608"/>
    <mergeCell ref="B1609:D1609"/>
    <mergeCell ref="B1617:D1617"/>
    <mergeCell ref="B1626:D1626"/>
    <mergeCell ref="B1634:D1634"/>
    <mergeCell ref="B1640:D1640"/>
    <mergeCell ref="B1643:D1643"/>
    <mergeCell ref="A1650:D1650"/>
    <mergeCell ref="A1651:D1651"/>
    <mergeCell ref="A1653:G1653"/>
    <mergeCell ref="A1654:E1654"/>
    <mergeCell ref="A1655:G1655"/>
  </mergeCells>
  <printOptions headings="false" gridLines="false" gridLinesSet="true" horizontalCentered="false" verticalCentered="false"/>
  <pageMargins left="0.25" right="0.25"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rowBreaks count="5" manualBreakCount="5">
    <brk id="587" man="true" max="16383" min="0"/>
    <brk id="633" man="true" max="16383" min="0"/>
    <brk id="1594" man="true" max="16383" min="0"/>
    <brk id="1620" man="true" max="16383" min="0"/>
    <brk id="1647" man="true" max="16383" min="0"/>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29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23" activeCellId="0" sqref="G23"/>
    </sheetView>
  </sheetViews>
  <sheetFormatPr defaultColWidth="9.1484375" defaultRowHeight="15.75" zeroHeight="false" outlineLevelRow="0" outlineLevelCol="0"/>
  <cols>
    <col collapsed="false" customWidth="true" hidden="false" outlineLevel="0" max="1" min="1" style="1851" width="5.29"/>
    <col collapsed="false" customWidth="true" hidden="false" outlineLevel="0" max="2" min="2" style="1852" width="17"/>
    <col collapsed="false" customWidth="true" hidden="false" outlineLevel="0" max="3" min="3" style="1853" width="14.86"/>
    <col collapsed="false" customWidth="true" hidden="false" outlineLevel="0" max="4" min="4" style="1852" width="6.57"/>
    <col collapsed="false" customWidth="true" hidden="false" outlineLevel="0" max="6" min="5" style="1852" width="8.71"/>
    <col collapsed="false" customWidth="true" hidden="false" outlineLevel="0" max="7" min="7" style="1852" width="12.57"/>
    <col collapsed="false" customWidth="true" hidden="false" outlineLevel="0" max="8" min="8" style="1854" width="13.86"/>
    <col collapsed="false" customWidth="true" hidden="false" outlineLevel="0" max="9" min="9" style="1854" width="15.57"/>
    <col collapsed="false" customWidth="true" hidden="false" outlineLevel="0" max="10" min="10" style="1855" width="7.57"/>
    <col collapsed="false" customWidth="true" hidden="false" outlineLevel="0" max="11" min="11" style="1854" width="12.57"/>
    <col collapsed="false" customWidth="true" hidden="false" outlineLevel="0" max="12" min="12" style="1854" width="13"/>
    <col collapsed="false" customWidth="true" hidden="false" outlineLevel="0" max="13" min="13" style="1852" width="11.57"/>
    <col collapsed="false" customWidth="true" hidden="false" outlineLevel="0" max="14" min="14" style="1856" width="15.71"/>
    <col collapsed="false" customWidth="false" hidden="false" outlineLevel="0" max="255" min="15" style="1852" width="9.14"/>
    <col collapsed="false" customWidth="true" hidden="false" outlineLevel="0" max="256" min="256" style="1852" width="5.29"/>
    <col collapsed="false" customWidth="true" hidden="false" outlineLevel="0" max="257" min="257" style="1852" width="34"/>
    <col collapsed="false" customWidth="true" hidden="false" outlineLevel="0" max="258" min="258" style="1852" width="29.14"/>
    <col collapsed="false" customWidth="true" hidden="false" outlineLevel="0" max="259" min="259" style="1852" width="10.14"/>
    <col collapsed="false" customWidth="true" hidden="false" outlineLevel="0" max="260" min="260" style="1852" width="11.29"/>
    <col collapsed="false" customWidth="true" hidden="false" outlineLevel="0" max="261" min="261" style="1852" width="10.85"/>
    <col collapsed="false" customWidth="true" hidden="false" outlineLevel="0" max="263" min="262" style="1852" width="12.57"/>
    <col collapsed="false" customWidth="true" hidden="false" outlineLevel="0" max="264" min="264" style="1852" width="15.57"/>
    <col collapsed="false" customWidth="true" hidden="false" outlineLevel="0" max="266" min="265" style="1852" width="12.57"/>
    <col collapsed="false" customWidth="true" hidden="false" outlineLevel="0" max="267" min="267" style="1852" width="15.85"/>
    <col collapsed="false" customWidth="true" hidden="false" outlineLevel="0" max="268" min="268" style="1852" width="11.57"/>
    <col collapsed="false" customWidth="true" hidden="false" outlineLevel="0" max="269" min="269" style="1852" width="15.71"/>
    <col collapsed="false" customWidth="true" hidden="false" outlineLevel="0" max="270" min="270" style="1852" width="31"/>
    <col collapsed="false" customWidth="false" hidden="false" outlineLevel="0" max="511" min="271" style="1852" width="9.14"/>
    <col collapsed="false" customWidth="true" hidden="false" outlineLevel="0" max="512" min="512" style="1852" width="5.29"/>
    <col collapsed="false" customWidth="true" hidden="false" outlineLevel="0" max="513" min="513" style="1852" width="34"/>
    <col collapsed="false" customWidth="true" hidden="false" outlineLevel="0" max="514" min="514" style="1852" width="29.14"/>
    <col collapsed="false" customWidth="true" hidden="false" outlineLevel="0" max="515" min="515" style="1852" width="10.14"/>
    <col collapsed="false" customWidth="true" hidden="false" outlineLevel="0" max="516" min="516" style="1852" width="11.29"/>
    <col collapsed="false" customWidth="true" hidden="false" outlineLevel="0" max="517" min="517" style="1852" width="10.85"/>
    <col collapsed="false" customWidth="true" hidden="false" outlineLevel="0" max="519" min="518" style="1852" width="12.57"/>
    <col collapsed="false" customWidth="true" hidden="false" outlineLevel="0" max="520" min="520" style="1852" width="15.57"/>
    <col collapsed="false" customWidth="true" hidden="false" outlineLevel="0" max="522" min="521" style="1852" width="12.57"/>
    <col collapsed="false" customWidth="true" hidden="false" outlineLevel="0" max="523" min="523" style="1852" width="15.85"/>
    <col collapsed="false" customWidth="true" hidden="false" outlineLevel="0" max="524" min="524" style="1852" width="11.57"/>
    <col collapsed="false" customWidth="true" hidden="false" outlineLevel="0" max="525" min="525" style="1852" width="15.71"/>
    <col collapsed="false" customWidth="true" hidden="false" outlineLevel="0" max="526" min="526" style="1852" width="31"/>
    <col collapsed="false" customWidth="false" hidden="false" outlineLevel="0" max="767" min="527" style="1852" width="9.14"/>
    <col collapsed="false" customWidth="true" hidden="false" outlineLevel="0" max="768" min="768" style="1852" width="5.29"/>
    <col collapsed="false" customWidth="true" hidden="false" outlineLevel="0" max="769" min="769" style="1852" width="34"/>
    <col collapsed="false" customWidth="true" hidden="false" outlineLevel="0" max="770" min="770" style="1852" width="29.14"/>
    <col collapsed="false" customWidth="true" hidden="false" outlineLevel="0" max="771" min="771" style="1852" width="10.14"/>
    <col collapsed="false" customWidth="true" hidden="false" outlineLevel="0" max="772" min="772" style="1852" width="11.29"/>
    <col collapsed="false" customWidth="true" hidden="false" outlineLevel="0" max="773" min="773" style="1852" width="10.85"/>
    <col collapsed="false" customWidth="true" hidden="false" outlineLevel="0" max="775" min="774" style="1852" width="12.57"/>
    <col collapsed="false" customWidth="true" hidden="false" outlineLevel="0" max="776" min="776" style="1852" width="15.57"/>
    <col collapsed="false" customWidth="true" hidden="false" outlineLevel="0" max="778" min="777" style="1852" width="12.57"/>
    <col collapsed="false" customWidth="true" hidden="false" outlineLevel="0" max="779" min="779" style="1852" width="15.85"/>
    <col collapsed="false" customWidth="true" hidden="false" outlineLevel="0" max="780" min="780" style="1852" width="11.57"/>
    <col collapsed="false" customWidth="true" hidden="false" outlineLevel="0" max="781" min="781" style="1852" width="15.71"/>
    <col collapsed="false" customWidth="true" hidden="false" outlineLevel="0" max="782" min="782" style="1852" width="31"/>
    <col collapsed="false" customWidth="false" hidden="false" outlineLevel="0" max="1023" min="783" style="1852" width="9.14"/>
    <col collapsed="false" customWidth="true" hidden="false" outlineLevel="0" max="1024" min="1024" style="1852" width="5.29"/>
    <col collapsed="false" customWidth="true" hidden="false" outlineLevel="0" max="1025" min="1025" style="1852" width="34"/>
    <col collapsed="false" customWidth="true" hidden="false" outlineLevel="0" max="1026" min="1026" style="1852" width="29.14"/>
    <col collapsed="false" customWidth="true" hidden="false" outlineLevel="0" max="1027" min="1027" style="1852" width="10.14"/>
    <col collapsed="false" customWidth="true" hidden="false" outlineLevel="0" max="1028" min="1028" style="1852" width="11.29"/>
    <col collapsed="false" customWidth="true" hidden="false" outlineLevel="0" max="1029" min="1029" style="1852" width="10.85"/>
    <col collapsed="false" customWidth="true" hidden="false" outlineLevel="0" max="1031" min="1030" style="1852" width="12.57"/>
    <col collapsed="false" customWidth="true" hidden="false" outlineLevel="0" max="1032" min="1032" style="1852" width="15.57"/>
    <col collapsed="false" customWidth="true" hidden="false" outlineLevel="0" max="1034" min="1033" style="1852" width="12.57"/>
    <col collapsed="false" customWidth="true" hidden="false" outlineLevel="0" max="1035" min="1035" style="1852" width="15.85"/>
    <col collapsed="false" customWidth="true" hidden="false" outlineLevel="0" max="1036" min="1036" style="1852" width="11.57"/>
    <col collapsed="false" customWidth="true" hidden="false" outlineLevel="0" max="1037" min="1037" style="1852" width="15.71"/>
    <col collapsed="false" customWidth="true" hidden="false" outlineLevel="0" max="1038" min="1038" style="1852" width="31"/>
    <col collapsed="false" customWidth="false" hidden="false" outlineLevel="0" max="1279" min="1039" style="1852" width="9.14"/>
    <col collapsed="false" customWidth="true" hidden="false" outlineLevel="0" max="1280" min="1280" style="1852" width="5.29"/>
    <col collapsed="false" customWidth="true" hidden="false" outlineLevel="0" max="1281" min="1281" style="1852" width="34"/>
    <col collapsed="false" customWidth="true" hidden="false" outlineLevel="0" max="1282" min="1282" style="1852" width="29.14"/>
    <col collapsed="false" customWidth="true" hidden="false" outlineLevel="0" max="1283" min="1283" style="1852" width="10.14"/>
    <col collapsed="false" customWidth="true" hidden="false" outlineLevel="0" max="1284" min="1284" style="1852" width="11.29"/>
    <col collapsed="false" customWidth="true" hidden="false" outlineLevel="0" max="1285" min="1285" style="1852" width="10.85"/>
    <col collapsed="false" customWidth="true" hidden="false" outlineLevel="0" max="1287" min="1286" style="1852" width="12.57"/>
    <col collapsed="false" customWidth="true" hidden="false" outlineLevel="0" max="1288" min="1288" style="1852" width="15.57"/>
    <col collapsed="false" customWidth="true" hidden="false" outlineLevel="0" max="1290" min="1289" style="1852" width="12.57"/>
    <col collapsed="false" customWidth="true" hidden="false" outlineLevel="0" max="1291" min="1291" style="1852" width="15.85"/>
    <col collapsed="false" customWidth="true" hidden="false" outlineLevel="0" max="1292" min="1292" style="1852" width="11.57"/>
    <col collapsed="false" customWidth="true" hidden="false" outlineLevel="0" max="1293" min="1293" style="1852" width="15.71"/>
    <col collapsed="false" customWidth="true" hidden="false" outlineLevel="0" max="1294" min="1294" style="1852" width="31"/>
    <col collapsed="false" customWidth="false" hidden="false" outlineLevel="0" max="1535" min="1295" style="1852" width="9.14"/>
    <col collapsed="false" customWidth="true" hidden="false" outlineLevel="0" max="1536" min="1536" style="1852" width="5.29"/>
    <col collapsed="false" customWidth="true" hidden="false" outlineLevel="0" max="1537" min="1537" style="1852" width="34"/>
    <col collapsed="false" customWidth="true" hidden="false" outlineLevel="0" max="1538" min="1538" style="1852" width="29.14"/>
    <col collapsed="false" customWidth="true" hidden="false" outlineLevel="0" max="1539" min="1539" style="1852" width="10.14"/>
    <col collapsed="false" customWidth="true" hidden="false" outlineLevel="0" max="1540" min="1540" style="1852" width="11.29"/>
    <col collapsed="false" customWidth="true" hidden="false" outlineLevel="0" max="1541" min="1541" style="1852" width="10.85"/>
    <col collapsed="false" customWidth="true" hidden="false" outlineLevel="0" max="1543" min="1542" style="1852" width="12.57"/>
    <col collapsed="false" customWidth="true" hidden="false" outlineLevel="0" max="1544" min="1544" style="1852" width="15.57"/>
    <col collapsed="false" customWidth="true" hidden="false" outlineLevel="0" max="1546" min="1545" style="1852" width="12.57"/>
    <col collapsed="false" customWidth="true" hidden="false" outlineLevel="0" max="1547" min="1547" style="1852" width="15.85"/>
    <col collapsed="false" customWidth="true" hidden="false" outlineLevel="0" max="1548" min="1548" style="1852" width="11.57"/>
    <col collapsed="false" customWidth="true" hidden="false" outlineLevel="0" max="1549" min="1549" style="1852" width="15.71"/>
    <col collapsed="false" customWidth="true" hidden="false" outlineLevel="0" max="1550" min="1550" style="1852" width="31"/>
    <col collapsed="false" customWidth="false" hidden="false" outlineLevel="0" max="1791" min="1551" style="1852" width="9.14"/>
    <col collapsed="false" customWidth="true" hidden="false" outlineLevel="0" max="1792" min="1792" style="1852" width="5.29"/>
    <col collapsed="false" customWidth="true" hidden="false" outlineLevel="0" max="1793" min="1793" style="1852" width="34"/>
    <col collapsed="false" customWidth="true" hidden="false" outlineLevel="0" max="1794" min="1794" style="1852" width="29.14"/>
    <col collapsed="false" customWidth="true" hidden="false" outlineLevel="0" max="1795" min="1795" style="1852" width="10.14"/>
    <col collapsed="false" customWidth="true" hidden="false" outlineLevel="0" max="1796" min="1796" style="1852" width="11.29"/>
    <col collapsed="false" customWidth="true" hidden="false" outlineLevel="0" max="1797" min="1797" style="1852" width="10.85"/>
    <col collapsed="false" customWidth="true" hidden="false" outlineLevel="0" max="1799" min="1798" style="1852" width="12.57"/>
    <col collapsed="false" customWidth="true" hidden="false" outlineLevel="0" max="1800" min="1800" style="1852" width="15.57"/>
    <col collapsed="false" customWidth="true" hidden="false" outlineLevel="0" max="1802" min="1801" style="1852" width="12.57"/>
    <col collapsed="false" customWidth="true" hidden="false" outlineLevel="0" max="1803" min="1803" style="1852" width="15.85"/>
    <col collapsed="false" customWidth="true" hidden="false" outlineLevel="0" max="1804" min="1804" style="1852" width="11.57"/>
    <col collapsed="false" customWidth="true" hidden="false" outlineLevel="0" max="1805" min="1805" style="1852" width="15.71"/>
    <col collapsed="false" customWidth="true" hidden="false" outlineLevel="0" max="1806" min="1806" style="1852" width="31"/>
    <col collapsed="false" customWidth="false" hidden="false" outlineLevel="0" max="2047" min="1807" style="1852" width="9.14"/>
    <col collapsed="false" customWidth="true" hidden="false" outlineLevel="0" max="2048" min="2048" style="1852" width="5.29"/>
    <col collapsed="false" customWidth="true" hidden="false" outlineLevel="0" max="2049" min="2049" style="1852" width="34"/>
    <col collapsed="false" customWidth="true" hidden="false" outlineLevel="0" max="2050" min="2050" style="1852" width="29.14"/>
    <col collapsed="false" customWidth="true" hidden="false" outlineLevel="0" max="2051" min="2051" style="1852" width="10.14"/>
    <col collapsed="false" customWidth="true" hidden="false" outlineLevel="0" max="2052" min="2052" style="1852" width="11.29"/>
    <col collapsed="false" customWidth="true" hidden="false" outlineLevel="0" max="2053" min="2053" style="1852" width="10.85"/>
    <col collapsed="false" customWidth="true" hidden="false" outlineLevel="0" max="2055" min="2054" style="1852" width="12.57"/>
    <col collapsed="false" customWidth="true" hidden="false" outlineLevel="0" max="2056" min="2056" style="1852" width="15.57"/>
    <col collapsed="false" customWidth="true" hidden="false" outlineLevel="0" max="2058" min="2057" style="1852" width="12.57"/>
    <col collapsed="false" customWidth="true" hidden="false" outlineLevel="0" max="2059" min="2059" style="1852" width="15.85"/>
    <col collapsed="false" customWidth="true" hidden="false" outlineLevel="0" max="2060" min="2060" style="1852" width="11.57"/>
    <col collapsed="false" customWidth="true" hidden="false" outlineLevel="0" max="2061" min="2061" style="1852" width="15.71"/>
    <col collapsed="false" customWidth="true" hidden="false" outlineLevel="0" max="2062" min="2062" style="1852" width="31"/>
    <col collapsed="false" customWidth="false" hidden="false" outlineLevel="0" max="2303" min="2063" style="1852" width="9.14"/>
    <col collapsed="false" customWidth="true" hidden="false" outlineLevel="0" max="2304" min="2304" style="1852" width="5.29"/>
    <col collapsed="false" customWidth="true" hidden="false" outlineLevel="0" max="2305" min="2305" style="1852" width="34"/>
    <col collapsed="false" customWidth="true" hidden="false" outlineLevel="0" max="2306" min="2306" style="1852" width="29.14"/>
    <col collapsed="false" customWidth="true" hidden="false" outlineLevel="0" max="2307" min="2307" style="1852" width="10.14"/>
    <col collapsed="false" customWidth="true" hidden="false" outlineLevel="0" max="2308" min="2308" style="1852" width="11.29"/>
    <col collapsed="false" customWidth="true" hidden="false" outlineLevel="0" max="2309" min="2309" style="1852" width="10.85"/>
    <col collapsed="false" customWidth="true" hidden="false" outlineLevel="0" max="2311" min="2310" style="1852" width="12.57"/>
    <col collapsed="false" customWidth="true" hidden="false" outlineLevel="0" max="2312" min="2312" style="1852" width="15.57"/>
    <col collapsed="false" customWidth="true" hidden="false" outlineLevel="0" max="2314" min="2313" style="1852" width="12.57"/>
    <col collapsed="false" customWidth="true" hidden="false" outlineLevel="0" max="2315" min="2315" style="1852" width="15.85"/>
    <col collapsed="false" customWidth="true" hidden="false" outlineLevel="0" max="2316" min="2316" style="1852" width="11.57"/>
    <col collapsed="false" customWidth="true" hidden="false" outlineLevel="0" max="2317" min="2317" style="1852" width="15.71"/>
    <col collapsed="false" customWidth="true" hidden="false" outlineLevel="0" max="2318" min="2318" style="1852" width="31"/>
    <col collapsed="false" customWidth="false" hidden="false" outlineLevel="0" max="2559" min="2319" style="1852" width="9.14"/>
    <col collapsed="false" customWidth="true" hidden="false" outlineLevel="0" max="2560" min="2560" style="1852" width="5.29"/>
    <col collapsed="false" customWidth="true" hidden="false" outlineLevel="0" max="2561" min="2561" style="1852" width="34"/>
    <col collapsed="false" customWidth="true" hidden="false" outlineLevel="0" max="2562" min="2562" style="1852" width="29.14"/>
    <col collapsed="false" customWidth="true" hidden="false" outlineLevel="0" max="2563" min="2563" style="1852" width="10.14"/>
    <col collapsed="false" customWidth="true" hidden="false" outlineLevel="0" max="2564" min="2564" style="1852" width="11.29"/>
    <col collapsed="false" customWidth="true" hidden="false" outlineLevel="0" max="2565" min="2565" style="1852" width="10.85"/>
    <col collapsed="false" customWidth="true" hidden="false" outlineLevel="0" max="2567" min="2566" style="1852" width="12.57"/>
    <col collapsed="false" customWidth="true" hidden="false" outlineLevel="0" max="2568" min="2568" style="1852" width="15.57"/>
    <col collapsed="false" customWidth="true" hidden="false" outlineLevel="0" max="2570" min="2569" style="1852" width="12.57"/>
    <col collapsed="false" customWidth="true" hidden="false" outlineLevel="0" max="2571" min="2571" style="1852" width="15.85"/>
    <col collapsed="false" customWidth="true" hidden="false" outlineLevel="0" max="2572" min="2572" style="1852" width="11.57"/>
    <col collapsed="false" customWidth="true" hidden="false" outlineLevel="0" max="2573" min="2573" style="1852" width="15.71"/>
    <col collapsed="false" customWidth="true" hidden="false" outlineLevel="0" max="2574" min="2574" style="1852" width="31"/>
    <col collapsed="false" customWidth="false" hidden="false" outlineLevel="0" max="2815" min="2575" style="1852" width="9.14"/>
    <col collapsed="false" customWidth="true" hidden="false" outlineLevel="0" max="2816" min="2816" style="1852" width="5.29"/>
    <col collapsed="false" customWidth="true" hidden="false" outlineLevel="0" max="2817" min="2817" style="1852" width="34"/>
    <col collapsed="false" customWidth="true" hidden="false" outlineLevel="0" max="2818" min="2818" style="1852" width="29.14"/>
    <col collapsed="false" customWidth="true" hidden="false" outlineLevel="0" max="2819" min="2819" style="1852" width="10.14"/>
    <col collapsed="false" customWidth="true" hidden="false" outlineLevel="0" max="2820" min="2820" style="1852" width="11.29"/>
    <col collapsed="false" customWidth="true" hidden="false" outlineLevel="0" max="2821" min="2821" style="1852" width="10.85"/>
    <col collapsed="false" customWidth="true" hidden="false" outlineLevel="0" max="2823" min="2822" style="1852" width="12.57"/>
    <col collapsed="false" customWidth="true" hidden="false" outlineLevel="0" max="2824" min="2824" style="1852" width="15.57"/>
    <col collapsed="false" customWidth="true" hidden="false" outlineLevel="0" max="2826" min="2825" style="1852" width="12.57"/>
    <col collapsed="false" customWidth="true" hidden="false" outlineLevel="0" max="2827" min="2827" style="1852" width="15.85"/>
    <col collapsed="false" customWidth="true" hidden="false" outlineLevel="0" max="2828" min="2828" style="1852" width="11.57"/>
    <col collapsed="false" customWidth="true" hidden="false" outlineLevel="0" max="2829" min="2829" style="1852" width="15.71"/>
    <col collapsed="false" customWidth="true" hidden="false" outlineLevel="0" max="2830" min="2830" style="1852" width="31"/>
    <col collapsed="false" customWidth="false" hidden="false" outlineLevel="0" max="3071" min="2831" style="1852" width="9.14"/>
    <col collapsed="false" customWidth="true" hidden="false" outlineLevel="0" max="3072" min="3072" style="1852" width="5.29"/>
    <col collapsed="false" customWidth="true" hidden="false" outlineLevel="0" max="3073" min="3073" style="1852" width="34"/>
    <col collapsed="false" customWidth="true" hidden="false" outlineLevel="0" max="3074" min="3074" style="1852" width="29.14"/>
    <col collapsed="false" customWidth="true" hidden="false" outlineLevel="0" max="3075" min="3075" style="1852" width="10.14"/>
    <col collapsed="false" customWidth="true" hidden="false" outlineLevel="0" max="3076" min="3076" style="1852" width="11.29"/>
    <col collapsed="false" customWidth="true" hidden="false" outlineLevel="0" max="3077" min="3077" style="1852" width="10.85"/>
    <col collapsed="false" customWidth="true" hidden="false" outlineLevel="0" max="3079" min="3078" style="1852" width="12.57"/>
    <col collapsed="false" customWidth="true" hidden="false" outlineLevel="0" max="3080" min="3080" style="1852" width="15.57"/>
    <col collapsed="false" customWidth="true" hidden="false" outlineLevel="0" max="3082" min="3081" style="1852" width="12.57"/>
    <col collapsed="false" customWidth="true" hidden="false" outlineLevel="0" max="3083" min="3083" style="1852" width="15.85"/>
    <col collapsed="false" customWidth="true" hidden="false" outlineLevel="0" max="3084" min="3084" style="1852" width="11.57"/>
    <col collapsed="false" customWidth="true" hidden="false" outlineLevel="0" max="3085" min="3085" style="1852" width="15.71"/>
    <col collapsed="false" customWidth="true" hidden="false" outlineLevel="0" max="3086" min="3086" style="1852" width="31"/>
    <col collapsed="false" customWidth="false" hidden="false" outlineLevel="0" max="3327" min="3087" style="1852" width="9.14"/>
    <col collapsed="false" customWidth="true" hidden="false" outlineLevel="0" max="3328" min="3328" style="1852" width="5.29"/>
    <col collapsed="false" customWidth="true" hidden="false" outlineLevel="0" max="3329" min="3329" style="1852" width="34"/>
    <col collapsed="false" customWidth="true" hidden="false" outlineLevel="0" max="3330" min="3330" style="1852" width="29.14"/>
    <col collapsed="false" customWidth="true" hidden="false" outlineLevel="0" max="3331" min="3331" style="1852" width="10.14"/>
    <col collapsed="false" customWidth="true" hidden="false" outlineLevel="0" max="3332" min="3332" style="1852" width="11.29"/>
    <col collapsed="false" customWidth="true" hidden="false" outlineLevel="0" max="3333" min="3333" style="1852" width="10.85"/>
    <col collapsed="false" customWidth="true" hidden="false" outlineLevel="0" max="3335" min="3334" style="1852" width="12.57"/>
    <col collapsed="false" customWidth="true" hidden="false" outlineLevel="0" max="3336" min="3336" style="1852" width="15.57"/>
    <col collapsed="false" customWidth="true" hidden="false" outlineLevel="0" max="3338" min="3337" style="1852" width="12.57"/>
    <col collapsed="false" customWidth="true" hidden="false" outlineLevel="0" max="3339" min="3339" style="1852" width="15.85"/>
    <col collapsed="false" customWidth="true" hidden="false" outlineLevel="0" max="3340" min="3340" style="1852" width="11.57"/>
    <col collapsed="false" customWidth="true" hidden="false" outlineLevel="0" max="3341" min="3341" style="1852" width="15.71"/>
    <col collapsed="false" customWidth="true" hidden="false" outlineLevel="0" max="3342" min="3342" style="1852" width="31"/>
    <col collapsed="false" customWidth="false" hidden="false" outlineLevel="0" max="3583" min="3343" style="1852" width="9.14"/>
    <col collapsed="false" customWidth="true" hidden="false" outlineLevel="0" max="3584" min="3584" style="1852" width="5.29"/>
    <col collapsed="false" customWidth="true" hidden="false" outlineLevel="0" max="3585" min="3585" style="1852" width="34"/>
    <col collapsed="false" customWidth="true" hidden="false" outlineLevel="0" max="3586" min="3586" style="1852" width="29.14"/>
    <col collapsed="false" customWidth="true" hidden="false" outlineLevel="0" max="3587" min="3587" style="1852" width="10.14"/>
    <col collapsed="false" customWidth="true" hidden="false" outlineLevel="0" max="3588" min="3588" style="1852" width="11.29"/>
    <col collapsed="false" customWidth="true" hidden="false" outlineLevel="0" max="3589" min="3589" style="1852" width="10.85"/>
    <col collapsed="false" customWidth="true" hidden="false" outlineLevel="0" max="3591" min="3590" style="1852" width="12.57"/>
    <col collapsed="false" customWidth="true" hidden="false" outlineLevel="0" max="3592" min="3592" style="1852" width="15.57"/>
    <col collapsed="false" customWidth="true" hidden="false" outlineLevel="0" max="3594" min="3593" style="1852" width="12.57"/>
    <col collapsed="false" customWidth="true" hidden="false" outlineLevel="0" max="3595" min="3595" style="1852" width="15.85"/>
    <col collapsed="false" customWidth="true" hidden="false" outlineLevel="0" max="3596" min="3596" style="1852" width="11.57"/>
    <col collapsed="false" customWidth="true" hidden="false" outlineLevel="0" max="3597" min="3597" style="1852" width="15.71"/>
    <col collapsed="false" customWidth="true" hidden="false" outlineLevel="0" max="3598" min="3598" style="1852" width="31"/>
    <col collapsed="false" customWidth="false" hidden="false" outlineLevel="0" max="3839" min="3599" style="1852" width="9.14"/>
    <col collapsed="false" customWidth="true" hidden="false" outlineLevel="0" max="3840" min="3840" style="1852" width="5.29"/>
    <col collapsed="false" customWidth="true" hidden="false" outlineLevel="0" max="3841" min="3841" style="1852" width="34"/>
    <col collapsed="false" customWidth="true" hidden="false" outlineLevel="0" max="3842" min="3842" style="1852" width="29.14"/>
    <col collapsed="false" customWidth="true" hidden="false" outlineLevel="0" max="3843" min="3843" style="1852" width="10.14"/>
    <col collapsed="false" customWidth="true" hidden="false" outlineLevel="0" max="3844" min="3844" style="1852" width="11.29"/>
    <col collapsed="false" customWidth="true" hidden="false" outlineLevel="0" max="3845" min="3845" style="1852" width="10.85"/>
    <col collapsed="false" customWidth="true" hidden="false" outlineLevel="0" max="3847" min="3846" style="1852" width="12.57"/>
    <col collapsed="false" customWidth="true" hidden="false" outlineLevel="0" max="3848" min="3848" style="1852" width="15.57"/>
    <col collapsed="false" customWidth="true" hidden="false" outlineLevel="0" max="3850" min="3849" style="1852" width="12.57"/>
    <col collapsed="false" customWidth="true" hidden="false" outlineLevel="0" max="3851" min="3851" style="1852" width="15.85"/>
    <col collapsed="false" customWidth="true" hidden="false" outlineLevel="0" max="3852" min="3852" style="1852" width="11.57"/>
    <col collapsed="false" customWidth="true" hidden="false" outlineLevel="0" max="3853" min="3853" style="1852" width="15.71"/>
    <col collapsed="false" customWidth="true" hidden="false" outlineLevel="0" max="3854" min="3854" style="1852" width="31"/>
    <col collapsed="false" customWidth="false" hidden="false" outlineLevel="0" max="4095" min="3855" style="1852" width="9.14"/>
    <col collapsed="false" customWidth="true" hidden="false" outlineLevel="0" max="4096" min="4096" style="1852" width="5.29"/>
    <col collapsed="false" customWidth="true" hidden="false" outlineLevel="0" max="4097" min="4097" style="1852" width="34"/>
    <col collapsed="false" customWidth="true" hidden="false" outlineLevel="0" max="4098" min="4098" style="1852" width="29.14"/>
    <col collapsed="false" customWidth="true" hidden="false" outlineLevel="0" max="4099" min="4099" style="1852" width="10.14"/>
    <col collapsed="false" customWidth="true" hidden="false" outlineLevel="0" max="4100" min="4100" style="1852" width="11.29"/>
    <col collapsed="false" customWidth="true" hidden="false" outlineLevel="0" max="4101" min="4101" style="1852" width="10.85"/>
    <col collapsed="false" customWidth="true" hidden="false" outlineLevel="0" max="4103" min="4102" style="1852" width="12.57"/>
    <col collapsed="false" customWidth="true" hidden="false" outlineLevel="0" max="4104" min="4104" style="1852" width="15.57"/>
    <col collapsed="false" customWidth="true" hidden="false" outlineLevel="0" max="4106" min="4105" style="1852" width="12.57"/>
    <col collapsed="false" customWidth="true" hidden="false" outlineLevel="0" max="4107" min="4107" style="1852" width="15.85"/>
    <col collapsed="false" customWidth="true" hidden="false" outlineLevel="0" max="4108" min="4108" style="1852" width="11.57"/>
    <col collapsed="false" customWidth="true" hidden="false" outlineLevel="0" max="4109" min="4109" style="1852" width="15.71"/>
    <col collapsed="false" customWidth="true" hidden="false" outlineLevel="0" max="4110" min="4110" style="1852" width="31"/>
    <col collapsed="false" customWidth="false" hidden="false" outlineLevel="0" max="4351" min="4111" style="1852" width="9.14"/>
    <col collapsed="false" customWidth="true" hidden="false" outlineLevel="0" max="4352" min="4352" style="1852" width="5.29"/>
    <col collapsed="false" customWidth="true" hidden="false" outlineLevel="0" max="4353" min="4353" style="1852" width="34"/>
    <col collapsed="false" customWidth="true" hidden="false" outlineLevel="0" max="4354" min="4354" style="1852" width="29.14"/>
    <col collapsed="false" customWidth="true" hidden="false" outlineLevel="0" max="4355" min="4355" style="1852" width="10.14"/>
    <col collapsed="false" customWidth="true" hidden="false" outlineLevel="0" max="4356" min="4356" style="1852" width="11.29"/>
    <col collapsed="false" customWidth="true" hidden="false" outlineLevel="0" max="4357" min="4357" style="1852" width="10.85"/>
    <col collapsed="false" customWidth="true" hidden="false" outlineLevel="0" max="4359" min="4358" style="1852" width="12.57"/>
    <col collapsed="false" customWidth="true" hidden="false" outlineLevel="0" max="4360" min="4360" style="1852" width="15.57"/>
    <col collapsed="false" customWidth="true" hidden="false" outlineLevel="0" max="4362" min="4361" style="1852" width="12.57"/>
    <col collapsed="false" customWidth="true" hidden="false" outlineLevel="0" max="4363" min="4363" style="1852" width="15.85"/>
    <col collapsed="false" customWidth="true" hidden="false" outlineLevel="0" max="4364" min="4364" style="1852" width="11.57"/>
    <col collapsed="false" customWidth="true" hidden="false" outlineLevel="0" max="4365" min="4365" style="1852" width="15.71"/>
    <col collapsed="false" customWidth="true" hidden="false" outlineLevel="0" max="4366" min="4366" style="1852" width="31"/>
    <col collapsed="false" customWidth="false" hidden="false" outlineLevel="0" max="4607" min="4367" style="1852" width="9.14"/>
    <col collapsed="false" customWidth="true" hidden="false" outlineLevel="0" max="4608" min="4608" style="1852" width="5.29"/>
    <col collapsed="false" customWidth="true" hidden="false" outlineLevel="0" max="4609" min="4609" style="1852" width="34"/>
    <col collapsed="false" customWidth="true" hidden="false" outlineLevel="0" max="4610" min="4610" style="1852" width="29.14"/>
    <col collapsed="false" customWidth="true" hidden="false" outlineLevel="0" max="4611" min="4611" style="1852" width="10.14"/>
    <col collapsed="false" customWidth="true" hidden="false" outlineLevel="0" max="4612" min="4612" style="1852" width="11.29"/>
    <col collapsed="false" customWidth="true" hidden="false" outlineLevel="0" max="4613" min="4613" style="1852" width="10.85"/>
    <col collapsed="false" customWidth="true" hidden="false" outlineLevel="0" max="4615" min="4614" style="1852" width="12.57"/>
    <col collapsed="false" customWidth="true" hidden="false" outlineLevel="0" max="4616" min="4616" style="1852" width="15.57"/>
    <col collapsed="false" customWidth="true" hidden="false" outlineLevel="0" max="4618" min="4617" style="1852" width="12.57"/>
    <col collapsed="false" customWidth="true" hidden="false" outlineLevel="0" max="4619" min="4619" style="1852" width="15.85"/>
    <col collapsed="false" customWidth="true" hidden="false" outlineLevel="0" max="4620" min="4620" style="1852" width="11.57"/>
    <col collapsed="false" customWidth="true" hidden="false" outlineLevel="0" max="4621" min="4621" style="1852" width="15.71"/>
    <col collapsed="false" customWidth="true" hidden="false" outlineLevel="0" max="4622" min="4622" style="1852" width="31"/>
    <col collapsed="false" customWidth="false" hidden="false" outlineLevel="0" max="4863" min="4623" style="1852" width="9.14"/>
    <col collapsed="false" customWidth="true" hidden="false" outlineLevel="0" max="4864" min="4864" style="1852" width="5.29"/>
    <col collapsed="false" customWidth="true" hidden="false" outlineLevel="0" max="4865" min="4865" style="1852" width="34"/>
    <col collapsed="false" customWidth="true" hidden="false" outlineLevel="0" max="4866" min="4866" style="1852" width="29.14"/>
    <col collapsed="false" customWidth="true" hidden="false" outlineLevel="0" max="4867" min="4867" style="1852" width="10.14"/>
    <col collapsed="false" customWidth="true" hidden="false" outlineLevel="0" max="4868" min="4868" style="1852" width="11.29"/>
    <col collapsed="false" customWidth="true" hidden="false" outlineLevel="0" max="4869" min="4869" style="1852" width="10.85"/>
    <col collapsed="false" customWidth="true" hidden="false" outlineLevel="0" max="4871" min="4870" style="1852" width="12.57"/>
    <col collapsed="false" customWidth="true" hidden="false" outlineLevel="0" max="4872" min="4872" style="1852" width="15.57"/>
    <col collapsed="false" customWidth="true" hidden="false" outlineLevel="0" max="4874" min="4873" style="1852" width="12.57"/>
    <col collapsed="false" customWidth="true" hidden="false" outlineLevel="0" max="4875" min="4875" style="1852" width="15.85"/>
    <col collapsed="false" customWidth="true" hidden="false" outlineLevel="0" max="4876" min="4876" style="1852" width="11.57"/>
    <col collapsed="false" customWidth="true" hidden="false" outlineLevel="0" max="4877" min="4877" style="1852" width="15.71"/>
    <col collapsed="false" customWidth="true" hidden="false" outlineLevel="0" max="4878" min="4878" style="1852" width="31"/>
    <col collapsed="false" customWidth="false" hidden="false" outlineLevel="0" max="5119" min="4879" style="1852" width="9.14"/>
    <col collapsed="false" customWidth="true" hidden="false" outlineLevel="0" max="5120" min="5120" style="1852" width="5.29"/>
    <col collapsed="false" customWidth="true" hidden="false" outlineLevel="0" max="5121" min="5121" style="1852" width="34"/>
    <col collapsed="false" customWidth="true" hidden="false" outlineLevel="0" max="5122" min="5122" style="1852" width="29.14"/>
    <col collapsed="false" customWidth="true" hidden="false" outlineLevel="0" max="5123" min="5123" style="1852" width="10.14"/>
    <col collapsed="false" customWidth="true" hidden="false" outlineLevel="0" max="5124" min="5124" style="1852" width="11.29"/>
    <col collapsed="false" customWidth="true" hidden="false" outlineLevel="0" max="5125" min="5125" style="1852" width="10.85"/>
    <col collapsed="false" customWidth="true" hidden="false" outlineLevel="0" max="5127" min="5126" style="1852" width="12.57"/>
    <col collapsed="false" customWidth="true" hidden="false" outlineLevel="0" max="5128" min="5128" style="1852" width="15.57"/>
    <col collapsed="false" customWidth="true" hidden="false" outlineLevel="0" max="5130" min="5129" style="1852" width="12.57"/>
    <col collapsed="false" customWidth="true" hidden="false" outlineLevel="0" max="5131" min="5131" style="1852" width="15.85"/>
    <col collapsed="false" customWidth="true" hidden="false" outlineLevel="0" max="5132" min="5132" style="1852" width="11.57"/>
    <col collapsed="false" customWidth="true" hidden="false" outlineLevel="0" max="5133" min="5133" style="1852" width="15.71"/>
    <col collapsed="false" customWidth="true" hidden="false" outlineLevel="0" max="5134" min="5134" style="1852" width="31"/>
    <col collapsed="false" customWidth="false" hidden="false" outlineLevel="0" max="5375" min="5135" style="1852" width="9.14"/>
    <col collapsed="false" customWidth="true" hidden="false" outlineLevel="0" max="5376" min="5376" style="1852" width="5.29"/>
    <col collapsed="false" customWidth="true" hidden="false" outlineLevel="0" max="5377" min="5377" style="1852" width="34"/>
    <col collapsed="false" customWidth="true" hidden="false" outlineLevel="0" max="5378" min="5378" style="1852" width="29.14"/>
    <col collapsed="false" customWidth="true" hidden="false" outlineLevel="0" max="5379" min="5379" style="1852" width="10.14"/>
    <col collapsed="false" customWidth="true" hidden="false" outlineLevel="0" max="5380" min="5380" style="1852" width="11.29"/>
    <col collapsed="false" customWidth="true" hidden="false" outlineLevel="0" max="5381" min="5381" style="1852" width="10.85"/>
    <col collapsed="false" customWidth="true" hidden="false" outlineLevel="0" max="5383" min="5382" style="1852" width="12.57"/>
    <col collapsed="false" customWidth="true" hidden="false" outlineLevel="0" max="5384" min="5384" style="1852" width="15.57"/>
    <col collapsed="false" customWidth="true" hidden="false" outlineLevel="0" max="5386" min="5385" style="1852" width="12.57"/>
    <col collapsed="false" customWidth="true" hidden="false" outlineLevel="0" max="5387" min="5387" style="1852" width="15.85"/>
    <col collapsed="false" customWidth="true" hidden="false" outlineLevel="0" max="5388" min="5388" style="1852" width="11.57"/>
    <col collapsed="false" customWidth="true" hidden="false" outlineLevel="0" max="5389" min="5389" style="1852" width="15.71"/>
    <col collapsed="false" customWidth="true" hidden="false" outlineLevel="0" max="5390" min="5390" style="1852" width="31"/>
    <col collapsed="false" customWidth="false" hidden="false" outlineLevel="0" max="5631" min="5391" style="1852" width="9.14"/>
    <col collapsed="false" customWidth="true" hidden="false" outlineLevel="0" max="5632" min="5632" style="1852" width="5.29"/>
    <col collapsed="false" customWidth="true" hidden="false" outlineLevel="0" max="5633" min="5633" style="1852" width="34"/>
    <col collapsed="false" customWidth="true" hidden="false" outlineLevel="0" max="5634" min="5634" style="1852" width="29.14"/>
    <col collapsed="false" customWidth="true" hidden="false" outlineLevel="0" max="5635" min="5635" style="1852" width="10.14"/>
    <col collapsed="false" customWidth="true" hidden="false" outlineLevel="0" max="5636" min="5636" style="1852" width="11.29"/>
    <col collapsed="false" customWidth="true" hidden="false" outlineLevel="0" max="5637" min="5637" style="1852" width="10.85"/>
    <col collapsed="false" customWidth="true" hidden="false" outlineLevel="0" max="5639" min="5638" style="1852" width="12.57"/>
    <col collapsed="false" customWidth="true" hidden="false" outlineLevel="0" max="5640" min="5640" style="1852" width="15.57"/>
    <col collapsed="false" customWidth="true" hidden="false" outlineLevel="0" max="5642" min="5641" style="1852" width="12.57"/>
    <col collapsed="false" customWidth="true" hidden="false" outlineLevel="0" max="5643" min="5643" style="1852" width="15.85"/>
    <col collapsed="false" customWidth="true" hidden="false" outlineLevel="0" max="5644" min="5644" style="1852" width="11.57"/>
    <col collapsed="false" customWidth="true" hidden="false" outlineLevel="0" max="5645" min="5645" style="1852" width="15.71"/>
    <col collapsed="false" customWidth="true" hidden="false" outlineLevel="0" max="5646" min="5646" style="1852" width="31"/>
    <col collapsed="false" customWidth="false" hidden="false" outlineLevel="0" max="5887" min="5647" style="1852" width="9.14"/>
    <col collapsed="false" customWidth="true" hidden="false" outlineLevel="0" max="5888" min="5888" style="1852" width="5.29"/>
    <col collapsed="false" customWidth="true" hidden="false" outlineLevel="0" max="5889" min="5889" style="1852" width="34"/>
    <col collapsed="false" customWidth="true" hidden="false" outlineLevel="0" max="5890" min="5890" style="1852" width="29.14"/>
    <col collapsed="false" customWidth="true" hidden="false" outlineLevel="0" max="5891" min="5891" style="1852" width="10.14"/>
    <col collapsed="false" customWidth="true" hidden="false" outlineLevel="0" max="5892" min="5892" style="1852" width="11.29"/>
    <col collapsed="false" customWidth="true" hidden="false" outlineLevel="0" max="5893" min="5893" style="1852" width="10.85"/>
    <col collapsed="false" customWidth="true" hidden="false" outlineLevel="0" max="5895" min="5894" style="1852" width="12.57"/>
    <col collapsed="false" customWidth="true" hidden="false" outlineLevel="0" max="5896" min="5896" style="1852" width="15.57"/>
    <col collapsed="false" customWidth="true" hidden="false" outlineLevel="0" max="5898" min="5897" style="1852" width="12.57"/>
    <col collapsed="false" customWidth="true" hidden="false" outlineLevel="0" max="5899" min="5899" style="1852" width="15.85"/>
    <col collapsed="false" customWidth="true" hidden="false" outlineLevel="0" max="5900" min="5900" style="1852" width="11.57"/>
    <col collapsed="false" customWidth="true" hidden="false" outlineLevel="0" max="5901" min="5901" style="1852" width="15.71"/>
    <col collapsed="false" customWidth="true" hidden="false" outlineLevel="0" max="5902" min="5902" style="1852" width="31"/>
    <col collapsed="false" customWidth="false" hidden="false" outlineLevel="0" max="6143" min="5903" style="1852" width="9.14"/>
    <col collapsed="false" customWidth="true" hidden="false" outlineLevel="0" max="6144" min="6144" style="1852" width="5.29"/>
    <col collapsed="false" customWidth="true" hidden="false" outlineLevel="0" max="6145" min="6145" style="1852" width="34"/>
    <col collapsed="false" customWidth="true" hidden="false" outlineLevel="0" max="6146" min="6146" style="1852" width="29.14"/>
    <col collapsed="false" customWidth="true" hidden="false" outlineLevel="0" max="6147" min="6147" style="1852" width="10.14"/>
    <col collapsed="false" customWidth="true" hidden="false" outlineLevel="0" max="6148" min="6148" style="1852" width="11.29"/>
    <col collapsed="false" customWidth="true" hidden="false" outlineLevel="0" max="6149" min="6149" style="1852" width="10.85"/>
    <col collapsed="false" customWidth="true" hidden="false" outlineLevel="0" max="6151" min="6150" style="1852" width="12.57"/>
    <col collapsed="false" customWidth="true" hidden="false" outlineLevel="0" max="6152" min="6152" style="1852" width="15.57"/>
    <col collapsed="false" customWidth="true" hidden="false" outlineLevel="0" max="6154" min="6153" style="1852" width="12.57"/>
    <col collapsed="false" customWidth="true" hidden="false" outlineLevel="0" max="6155" min="6155" style="1852" width="15.85"/>
    <col collapsed="false" customWidth="true" hidden="false" outlineLevel="0" max="6156" min="6156" style="1852" width="11.57"/>
    <col collapsed="false" customWidth="true" hidden="false" outlineLevel="0" max="6157" min="6157" style="1852" width="15.71"/>
    <col collapsed="false" customWidth="true" hidden="false" outlineLevel="0" max="6158" min="6158" style="1852" width="31"/>
    <col collapsed="false" customWidth="false" hidden="false" outlineLevel="0" max="6399" min="6159" style="1852" width="9.14"/>
    <col collapsed="false" customWidth="true" hidden="false" outlineLevel="0" max="6400" min="6400" style="1852" width="5.29"/>
    <col collapsed="false" customWidth="true" hidden="false" outlineLevel="0" max="6401" min="6401" style="1852" width="34"/>
    <col collapsed="false" customWidth="true" hidden="false" outlineLevel="0" max="6402" min="6402" style="1852" width="29.14"/>
    <col collapsed="false" customWidth="true" hidden="false" outlineLevel="0" max="6403" min="6403" style="1852" width="10.14"/>
    <col collapsed="false" customWidth="true" hidden="false" outlineLevel="0" max="6404" min="6404" style="1852" width="11.29"/>
    <col collapsed="false" customWidth="true" hidden="false" outlineLevel="0" max="6405" min="6405" style="1852" width="10.85"/>
    <col collapsed="false" customWidth="true" hidden="false" outlineLevel="0" max="6407" min="6406" style="1852" width="12.57"/>
    <col collapsed="false" customWidth="true" hidden="false" outlineLevel="0" max="6408" min="6408" style="1852" width="15.57"/>
    <col collapsed="false" customWidth="true" hidden="false" outlineLevel="0" max="6410" min="6409" style="1852" width="12.57"/>
    <col collapsed="false" customWidth="true" hidden="false" outlineLevel="0" max="6411" min="6411" style="1852" width="15.85"/>
    <col collapsed="false" customWidth="true" hidden="false" outlineLevel="0" max="6412" min="6412" style="1852" width="11.57"/>
    <col collapsed="false" customWidth="true" hidden="false" outlineLevel="0" max="6413" min="6413" style="1852" width="15.71"/>
    <col collapsed="false" customWidth="true" hidden="false" outlineLevel="0" max="6414" min="6414" style="1852" width="31"/>
    <col collapsed="false" customWidth="false" hidden="false" outlineLevel="0" max="6655" min="6415" style="1852" width="9.14"/>
    <col collapsed="false" customWidth="true" hidden="false" outlineLevel="0" max="6656" min="6656" style="1852" width="5.29"/>
    <col collapsed="false" customWidth="true" hidden="false" outlineLevel="0" max="6657" min="6657" style="1852" width="34"/>
    <col collapsed="false" customWidth="true" hidden="false" outlineLevel="0" max="6658" min="6658" style="1852" width="29.14"/>
    <col collapsed="false" customWidth="true" hidden="false" outlineLevel="0" max="6659" min="6659" style="1852" width="10.14"/>
    <col collapsed="false" customWidth="true" hidden="false" outlineLevel="0" max="6660" min="6660" style="1852" width="11.29"/>
    <col collapsed="false" customWidth="true" hidden="false" outlineLevel="0" max="6661" min="6661" style="1852" width="10.85"/>
    <col collapsed="false" customWidth="true" hidden="false" outlineLevel="0" max="6663" min="6662" style="1852" width="12.57"/>
    <col collapsed="false" customWidth="true" hidden="false" outlineLevel="0" max="6664" min="6664" style="1852" width="15.57"/>
    <col collapsed="false" customWidth="true" hidden="false" outlineLevel="0" max="6666" min="6665" style="1852" width="12.57"/>
    <col collapsed="false" customWidth="true" hidden="false" outlineLevel="0" max="6667" min="6667" style="1852" width="15.85"/>
    <col collapsed="false" customWidth="true" hidden="false" outlineLevel="0" max="6668" min="6668" style="1852" width="11.57"/>
    <col collapsed="false" customWidth="true" hidden="false" outlineLevel="0" max="6669" min="6669" style="1852" width="15.71"/>
    <col collapsed="false" customWidth="true" hidden="false" outlineLevel="0" max="6670" min="6670" style="1852" width="31"/>
    <col collapsed="false" customWidth="false" hidden="false" outlineLevel="0" max="6911" min="6671" style="1852" width="9.14"/>
    <col collapsed="false" customWidth="true" hidden="false" outlineLevel="0" max="6912" min="6912" style="1852" width="5.29"/>
    <col collapsed="false" customWidth="true" hidden="false" outlineLevel="0" max="6913" min="6913" style="1852" width="34"/>
    <col collapsed="false" customWidth="true" hidden="false" outlineLevel="0" max="6914" min="6914" style="1852" width="29.14"/>
    <col collapsed="false" customWidth="true" hidden="false" outlineLevel="0" max="6915" min="6915" style="1852" width="10.14"/>
    <col collapsed="false" customWidth="true" hidden="false" outlineLevel="0" max="6916" min="6916" style="1852" width="11.29"/>
    <col collapsed="false" customWidth="true" hidden="false" outlineLevel="0" max="6917" min="6917" style="1852" width="10.85"/>
    <col collapsed="false" customWidth="true" hidden="false" outlineLevel="0" max="6919" min="6918" style="1852" width="12.57"/>
    <col collapsed="false" customWidth="true" hidden="false" outlineLevel="0" max="6920" min="6920" style="1852" width="15.57"/>
    <col collapsed="false" customWidth="true" hidden="false" outlineLevel="0" max="6922" min="6921" style="1852" width="12.57"/>
    <col collapsed="false" customWidth="true" hidden="false" outlineLevel="0" max="6923" min="6923" style="1852" width="15.85"/>
    <col collapsed="false" customWidth="true" hidden="false" outlineLevel="0" max="6924" min="6924" style="1852" width="11.57"/>
    <col collapsed="false" customWidth="true" hidden="false" outlineLevel="0" max="6925" min="6925" style="1852" width="15.71"/>
    <col collapsed="false" customWidth="true" hidden="false" outlineLevel="0" max="6926" min="6926" style="1852" width="31"/>
    <col collapsed="false" customWidth="false" hidden="false" outlineLevel="0" max="7167" min="6927" style="1852" width="9.14"/>
    <col collapsed="false" customWidth="true" hidden="false" outlineLevel="0" max="7168" min="7168" style="1852" width="5.29"/>
    <col collapsed="false" customWidth="true" hidden="false" outlineLevel="0" max="7169" min="7169" style="1852" width="34"/>
    <col collapsed="false" customWidth="true" hidden="false" outlineLevel="0" max="7170" min="7170" style="1852" width="29.14"/>
    <col collapsed="false" customWidth="true" hidden="false" outlineLevel="0" max="7171" min="7171" style="1852" width="10.14"/>
    <col collapsed="false" customWidth="true" hidden="false" outlineLevel="0" max="7172" min="7172" style="1852" width="11.29"/>
    <col collapsed="false" customWidth="true" hidden="false" outlineLevel="0" max="7173" min="7173" style="1852" width="10.85"/>
    <col collapsed="false" customWidth="true" hidden="false" outlineLevel="0" max="7175" min="7174" style="1852" width="12.57"/>
    <col collapsed="false" customWidth="true" hidden="false" outlineLevel="0" max="7176" min="7176" style="1852" width="15.57"/>
    <col collapsed="false" customWidth="true" hidden="false" outlineLevel="0" max="7178" min="7177" style="1852" width="12.57"/>
    <col collapsed="false" customWidth="true" hidden="false" outlineLevel="0" max="7179" min="7179" style="1852" width="15.85"/>
    <col collapsed="false" customWidth="true" hidden="false" outlineLevel="0" max="7180" min="7180" style="1852" width="11.57"/>
    <col collapsed="false" customWidth="true" hidden="false" outlineLevel="0" max="7181" min="7181" style="1852" width="15.71"/>
    <col collapsed="false" customWidth="true" hidden="false" outlineLevel="0" max="7182" min="7182" style="1852" width="31"/>
    <col collapsed="false" customWidth="false" hidden="false" outlineLevel="0" max="7423" min="7183" style="1852" width="9.14"/>
    <col collapsed="false" customWidth="true" hidden="false" outlineLevel="0" max="7424" min="7424" style="1852" width="5.29"/>
    <col collapsed="false" customWidth="true" hidden="false" outlineLevel="0" max="7425" min="7425" style="1852" width="34"/>
    <col collapsed="false" customWidth="true" hidden="false" outlineLevel="0" max="7426" min="7426" style="1852" width="29.14"/>
    <col collapsed="false" customWidth="true" hidden="false" outlineLevel="0" max="7427" min="7427" style="1852" width="10.14"/>
    <col collapsed="false" customWidth="true" hidden="false" outlineLevel="0" max="7428" min="7428" style="1852" width="11.29"/>
    <col collapsed="false" customWidth="true" hidden="false" outlineLevel="0" max="7429" min="7429" style="1852" width="10.85"/>
    <col collapsed="false" customWidth="true" hidden="false" outlineLevel="0" max="7431" min="7430" style="1852" width="12.57"/>
    <col collapsed="false" customWidth="true" hidden="false" outlineLevel="0" max="7432" min="7432" style="1852" width="15.57"/>
    <col collapsed="false" customWidth="true" hidden="false" outlineLevel="0" max="7434" min="7433" style="1852" width="12.57"/>
    <col collapsed="false" customWidth="true" hidden="false" outlineLevel="0" max="7435" min="7435" style="1852" width="15.85"/>
    <col collapsed="false" customWidth="true" hidden="false" outlineLevel="0" max="7436" min="7436" style="1852" width="11.57"/>
    <col collapsed="false" customWidth="true" hidden="false" outlineLevel="0" max="7437" min="7437" style="1852" width="15.71"/>
    <col collapsed="false" customWidth="true" hidden="false" outlineLevel="0" max="7438" min="7438" style="1852" width="31"/>
    <col collapsed="false" customWidth="false" hidden="false" outlineLevel="0" max="7679" min="7439" style="1852" width="9.14"/>
    <col collapsed="false" customWidth="true" hidden="false" outlineLevel="0" max="7680" min="7680" style="1852" width="5.29"/>
    <col collapsed="false" customWidth="true" hidden="false" outlineLevel="0" max="7681" min="7681" style="1852" width="34"/>
    <col collapsed="false" customWidth="true" hidden="false" outlineLevel="0" max="7682" min="7682" style="1852" width="29.14"/>
    <col collapsed="false" customWidth="true" hidden="false" outlineLevel="0" max="7683" min="7683" style="1852" width="10.14"/>
    <col collapsed="false" customWidth="true" hidden="false" outlineLevel="0" max="7684" min="7684" style="1852" width="11.29"/>
    <col collapsed="false" customWidth="true" hidden="false" outlineLevel="0" max="7685" min="7685" style="1852" width="10.85"/>
    <col collapsed="false" customWidth="true" hidden="false" outlineLevel="0" max="7687" min="7686" style="1852" width="12.57"/>
    <col collapsed="false" customWidth="true" hidden="false" outlineLevel="0" max="7688" min="7688" style="1852" width="15.57"/>
    <col collapsed="false" customWidth="true" hidden="false" outlineLevel="0" max="7690" min="7689" style="1852" width="12.57"/>
    <col collapsed="false" customWidth="true" hidden="false" outlineLevel="0" max="7691" min="7691" style="1852" width="15.85"/>
    <col collapsed="false" customWidth="true" hidden="false" outlineLevel="0" max="7692" min="7692" style="1852" width="11.57"/>
    <col collapsed="false" customWidth="true" hidden="false" outlineLevel="0" max="7693" min="7693" style="1852" width="15.71"/>
    <col collapsed="false" customWidth="true" hidden="false" outlineLevel="0" max="7694" min="7694" style="1852" width="31"/>
    <col collapsed="false" customWidth="false" hidden="false" outlineLevel="0" max="7935" min="7695" style="1852" width="9.14"/>
    <col collapsed="false" customWidth="true" hidden="false" outlineLevel="0" max="7936" min="7936" style="1852" width="5.29"/>
    <col collapsed="false" customWidth="true" hidden="false" outlineLevel="0" max="7937" min="7937" style="1852" width="34"/>
    <col collapsed="false" customWidth="true" hidden="false" outlineLevel="0" max="7938" min="7938" style="1852" width="29.14"/>
    <col collapsed="false" customWidth="true" hidden="false" outlineLevel="0" max="7939" min="7939" style="1852" width="10.14"/>
    <col collapsed="false" customWidth="true" hidden="false" outlineLevel="0" max="7940" min="7940" style="1852" width="11.29"/>
    <col collapsed="false" customWidth="true" hidden="false" outlineLevel="0" max="7941" min="7941" style="1852" width="10.85"/>
    <col collapsed="false" customWidth="true" hidden="false" outlineLevel="0" max="7943" min="7942" style="1852" width="12.57"/>
    <col collapsed="false" customWidth="true" hidden="false" outlineLevel="0" max="7944" min="7944" style="1852" width="15.57"/>
    <col collapsed="false" customWidth="true" hidden="false" outlineLevel="0" max="7946" min="7945" style="1852" width="12.57"/>
    <col collapsed="false" customWidth="true" hidden="false" outlineLevel="0" max="7947" min="7947" style="1852" width="15.85"/>
    <col collapsed="false" customWidth="true" hidden="false" outlineLevel="0" max="7948" min="7948" style="1852" width="11.57"/>
    <col collapsed="false" customWidth="true" hidden="false" outlineLevel="0" max="7949" min="7949" style="1852" width="15.71"/>
    <col collapsed="false" customWidth="true" hidden="false" outlineLevel="0" max="7950" min="7950" style="1852" width="31"/>
    <col collapsed="false" customWidth="false" hidden="false" outlineLevel="0" max="8191" min="7951" style="1852" width="9.14"/>
    <col collapsed="false" customWidth="true" hidden="false" outlineLevel="0" max="8192" min="8192" style="1852" width="5.29"/>
    <col collapsed="false" customWidth="true" hidden="false" outlineLevel="0" max="8193" min="8193" style="1852" width="34"/>
    <col collapsed="false" customWidth="true" hidden="false" outlineLevel="0" max="8194" min="8194" style="1852" width="29.14"/>
    <col collapsed="false" customWidth="true" hidden="false" outlineLevel="0" max="8195" min="8195" style="1852" width="10.14"/>
    <col collapsed="false" customWidth="true" hidden="false" outlineLevel="0" max="8196" min="8196" style="1852" width="11.29"/>
    <col collapsed="false" customWidth="true" hidden="false" outlineLevel="0" max="8197" min="8197" style="1852" width="10.85"/>
    <col collapsed="false" customWidth="true" hidden="false" outlineLevel="0" max="8199" min="8198" style="1852" width="12.57"/>
    <col collapsed="false" customWidth="true" hidden="false" outlineLevel="0" max="8200" min="8200" style="1852" width="15.57"/>
    <col collapsed="false" customWidth="true" hidden="false" outlineLevel="0" max="8202" min="8201" style="1852" width="12.57"/>
    <col collapsed="false" customWidth="true" hidden="false" outlineLevel="0" max="8203" min="8203" style="1852" width="15.85"/>
    <col collapsed="false" customWidth="true" hidden="false" outlineLevel="0" max="8204" min="8204" style="1852" width="11.57"/>
    <col collapsed="false" customWidth="true" hidden="false" outlineLevel="0" max="8205" min="8205" style="1852" width="15.71"/>
    <col collapsed="false" customWidth="true" hidden="false" outlineLevel="0" max="8206" min="8206" style="1852" width="31"/>
    <col collapsed="false" customWidth="false" hidden="false" outlineLevel="0" max="8447" min="8207" style="1852" width="9.14"/>
    <col collapsed="false" customWidth="true" hidden="false" outlineLevel="0" max="8448" min="8448" style="1852" width="5.29"/>
    <col collapsed="false" customWidth="true" hidden="false" outlineLevel="0" max="8449" min="8449" style="1852" width="34"/>
    <col collapsed="false" customWidth="true" hidden="false" outlineLevel="0" max="8450" min="8450" style="1852" width="29.14"/>
    <col collapsed="false" customWidth="true" hidden="false" outlineLevel="0" max="8451" min="8451" style="1852" width="10.14"/>
    <col collapsed="false" customWidth="true" hidden="false" outlineLevel="0" max="8452" min="8452" style="1852" width="11.29"/>
    <col collapsed="false" customWidth="true" hidden="false" outlineLevel="0" max="8453" min="8453" style="1852" width="10.85"/>
    <col collapsed="false" customWidth="true" hidden="false" outlineLevel="0" max="8455" min="8454" style="1852" width="12.57"/>
    <col collapsed="false" customWidth="true" hidden="false" outlineLevel="0" max="8456" min="8456" style="1852" width="15.57"/>
    <col collapsed="false" customWidth="true" hidden="false" outlineLevel="0" max="8458" min="8457" style="1852" width="12.57"/>
    <col collapsed="false" customWidth="true" hidden="false" outlineLevel="0" max="8459" min="8459" style="1852" width="15.85"/>
    <col collapsed="false" customWidth="true" hidden="false" outlineLevel="0" max="8460" min="8460" style="1852" width="11.57"/>
    <col collapsed="false" customWidth="true" hidden="false" outlineLevel="0" max="8461" min="8461" style="1852" width="15.71"/>
    <col collapsed="false" customWidth="true" hidden="false" outlineLevel="0" max="8462" min="8462" style="1852" width="31"/>
    <col collapsed="false" customWidth="false" hidden="false" outlineLevel="0" max="8703" min="8463" style="1852" width="9.14"/>
    <col collapsed="false" customWidth="true" hidden="false" outlineLevel="0" max="8704" min="8704" style="1852" width="5.29"/>
    <col collapsed="false" customWidth="true" hidden="false" outlineLevel="0" max="8705" min="8705" style="1852" width="34"/>
    <col collapsed="false" customWidth="true" hidden="false" outlineLevel="0" max="8706" min="8706" style="1852" width="29.14"/>
    <col collapsed="false" customWidth="true" hidden="false" outlineLevel="0" max="8707" min="8707" style="1852" width="10.14"/>
    <col collapsed="false" customWidth="true" hidden="false" outlineLevel="0" max="8708" min="8708" style="1852" width="11.29"/>
    <col collapsed="false" customWidth="true" hidden="false" outlineLevel="0" max="8709" min="8709" style="1852" width="10.85"/>
    <col collapsed="false" customWidth="true" hidden="false" outlineLevel="0" max="8711" min="8710" style="1852" width="12.57"/>
    <col collapsed="false" customWidth="true" hidden="false" outlineLevel="0" max="8712" min="8712" style="1852" width="15.57"/>
    <col collapsed="false" customWidth="true" hidden="false" outlineLevel="0" max="8714" min="8713" style="1852" width="12.57"/>
    <col collapsed="false" customWidth="true" hidden="false" outlineLevel="0" max="8715" min="8715" style="1852" width="15.85"/>
    <col collapsed="false" customWidth="true" hidden="false" outlineLevel="0" max="8716" min="8716" style="1852" width="11.57"/>
    <col collapsed="false" customWidth="true" hidden="false" outlineLevel="0" max="8717" min="8717" style="1852" width="15.71"/>
    <col collapsed="false" customWidth="true" hidden="false" outlineLevel="0" max="8718" min="8718" style="1852" width="31"/>
    <col collapsed="false" customWidth="false" hidden="false" outlineLevel="0" max="8959" min="8719" style="1852" width="9.14"/>
    <col collapsed="false" customWidth="true" hidden="false" outlineLevel="0" max="8960" min="8960" style="1852" width="5.29"/>
    <col collapsed="false" customWidth="true" hidden="false" outlineLevel="0" max="8961" min="8961" style="1852" width="34"/>
    <col collapsed="false" customWidth="true" hidden="false" outlineLevel="0" max="8962" min="8962" style="1852" width="29.14"/>
    <col collapsed="false" customWidth="true" hidden="false" outlineLevel="0" max="8963" min="8963" style="1852" width="10.14"/>
    <col collapsed="false" customWidth="true" hidden="false" outlineLevel="0" max="8964" min="8964" style="1852" width="11.29"/>
    <col collapsed="false" customWidth="true" hidden="false" outlineLevel="0" max="8965" min="8965" style="1852" width="10.85"/>
    <col collapsed="false" customWidth="true" hidden="false" outlineLevel="0" max="8967" min="8966" style="1852" width="12.57"/>
    <col collapsed="false" customWidth="true" hidden="false" outlineLevel="0" max="8968" min="8968" style="1852" width="15.57"/>
    <col collapsed="false" customWidth="true" hidden="false" outlineLevel="0" max="8970" min="8969" style="1852" width="12.57"/>
    <col collapsed="false" customWidth="true" hidden="false" outlineLevel="0" max="8971" min="8971" style="1852" width="15.85"/>
    <col collapsed="false" customWidth="true" hidden="false" outlineLevel="0" max="8972" min="8972" style="1852" width="11.57"/>
    <col collapsed="false" customWidth="true" hidden="false" outlineLevel="0" max="8973" min="8973" style="1852" width="15.71"/>
    <col collapsed="false" customWidth="true" hidden="false" outlineLevel="0" max="8974" min="8974" style="1852" width="31"/>
    <col collapsed="false" customWidth="false" hidden="false" outlineLevel="0" max="9215" min="8975" style="1852" width="9.14"/>
    <col collapsed="false" customWidth="true" hidden="false" outlineLevel="0" max="9216" min="9216" style="1852" width="5.29"/>
    <col collapsed="false" customWidth="true" hidden="false" outlineLevel="0" max="9217" min="9217" style="1852" width="34"/>
    <col collapsed="false" customWidth="true" hidden="false" outlineLevel="0" max="9218" min="9218" style="1852" width="29.14"/>
    <col collapsed="false" customWidth="true" hidden="false" outlineLevel="0" max="9219" min="9219" style="1852" width="10.14"/>
    <col collapsed="false" customWidth="true" hidden="false" outlineLevel="0" max="9220" min="9220" style="1852" width="11.29"/>
    <col collapsed="false" customWidth="true" hidden="false" outlineLevel="0" max="9221" min="9221" style="1852" width="10.85"/>
    <col collapsed="false" customWidth="true" hidden="false" outlineLevel="0" max="9223" min="9222" style="1852" width="12.57"/>
    <col collapsed="false" customWidth="true" hidden="false" outlineLevel="0" max="9224" min="9224" style="1852" width="15.57"/>
    <col collapsed="false" customWidth="true" hidden="false" outlineLevel="0" max="9226" min="9225" style="1852" width="12.57"/>
    <col collapsed="false" customWidth="true" hidden="false" outlineLevel="0" max="9227" min="9227" style="1852" width="15.85"/>
    <col collapsed="false" customWidth="true" hidden="false" outlineLevel="0" max="9228" min="9228" style="1852" width="11.57"/>
    <col collapsed="false" customWidth="true" hidden="false" outlineLevel="0" max="9229" min="9229" style="1852" width="15.71"/>
    <col collapsed="false" customWidth="true" hidden="false" outlineLevel="0" max="9230" min="9230" style="1852" width="31"/>
    <col collapsed="false" customWidth="false" hidden="false" outlineLevel="0" max="9471" min="9231" style="1852" width="9.14"/>
    <col collapsed="false" customWidth="true" hidden="false" outlineLevel="0" max="9472" min="9472" style="1852" width="5.29"/>
    <col collapsed="false" customWidth="true" hidden="false" outlineLevel="0" max="9473" min="9473" style="1852" width="34"/>
    <col collapsed="false" customWidth="true" hidden="false" outlineLevel="0" max="9474" min="9474" style="1852" width="29.14"/>
    <col collapsed="false" customWidth="true" hidden="false" outlineLevel="0" max="9475" min="9475" style="1852" width="10.14"/>
    <col collapsed="false" customWidth="true" hidden="false" outlineLevel="0" max="9476" min="9476" style="1852" width="11.29"/>
    <col collapsed="false" customWidth="true" hidden="false" outlineLevel="0" max="9477" min="9477" style="1852" width="10.85"/>
    <col collapsed="false" customWidth="true" hidden="false" outlineLevel="0" max="9479" min="9478" style="1852" width="12.57"/>
    <col collapsed="false" customWidth="true" hidden="false" outlineLevel="0" max="9480" min="9480" style="1852" width="15.57"/>
    <col collapsed="false" customWidth="true" hidden="false" outlineLevel="0" max="9482" min="9481" style="1852" width="12.57"/>
    <col collapsed="false" customWidth="true" hidden="false" outlineLevel="0" max="9483" min="9483" style="1852" width="15.85"/>
    <col collapsed="false" customWidth="true" hidden="false" outlineLevel="0" max="9484" min="9484" style="1852" width="11.57"/>
    <col collapsed="false" customWidth="true" hidden="false" outlineLevel="0" max="9485" min="9485" style="1852" width="15.71"/>
    <col collapsed="false" customWidth="true" hidden="false" outlineLevel="0" max="9486" min="9486" style="1852" width="31"/>
    <col collapsed="false" customWidth="false" hidden="false" outlineLevel="0" max="9727" min="9487" style="1852" width="9.14"/>
    <col collapsed="false" customWidth="true" hidden="false" outlineLevel="0" max="9728" min="9728" style="1852" width="5.29"/>
    <col collapsed="false" customWidth="true" hidden="false" outlineLevel="0" max="9729" min="9729" style="1852" width="34"/>
    <col collapsed="false" customWidth="true" hidden="false" outlineLevel="0" max="9730" min="9730" style="1852" width="29.14"/>
    <col collapsed="false" customWidth="true" hidden="false" outlineLevel="0" max="9731" min="9731" style="1852" width="10.14"/>
    <col collapsed="false" customWidth="true" hidden="false" outlineLevel="0" max="9732" min="9732" style="1852" width="11.29"/>
    <col collapsed="false" customWidth="true" hidden="false" outlineLevel="0" max="9733" min="9733" style="1852" width="10.85"/>
    <col collapsed="false" customWidth="true" hidden="false" outlineLevel="0" max="9735" min="9734" style="1852" width="12.57"/>
    <col collapsed="false" customWidth="true" hidden="false" outlineLevel="0" max="9736" min="9736" style="1852" width="15.57"/>
    <col collapsed="false" customWidth="true" hidden="false" outlineLevel="0" max="9738" min="9737" style="1852" width="12.57"/>
    <col collapsed="false" customWidth="true" hidden="false" outlineLevel="0" max="9739" min="9739" style="1852" width="15.85"/>
    <col collapsed="false" customWidth="true" hidden="false" outlineLevel="0" max="9740" min="9740" style="1852" width="11.57"/>
    <col collapsed="false" customWidth="true" hidden="false" outlineLevel="0" max="9741" min="9741" style="1852" width="15.71"/>
    <col collapsed="false" customWidth="true" hidden="false" outlineLevel="0" max="9742" min="9742" style="1852" width="31"/>
    <col collapsed="false" customWidth="false" hidden="false" outlineLevel="0" max="9983" min="9743" style="1852" width="9.14"/>
    <col collapsed="false" customWidth="true" hidden="false" outlineLevel="0" max="9984" min="9984" style="1852" width="5.29"/>
    <col collapsed="false" customWidth="true" hidden="false" outlineLevel="0" max="9985" min="9985" style="1852" width="34"/>
    <col collapsed="false" customWidth="true" hidden="false" outlineLevel="0" max="9986" min="9986" style="1852" width="29.14"/>
    <col collapsed="false" customWidth="true" hidden="false" outlineLevel="0" max="9987" min="9987" style="1852" width="10.14"/>
    <col collapsed="false" customWidth="true" hidden="false" outlineLevel="0" max="9988" min="9988" style="1852" width="11.29"/>
    <col collapsed="false" customWidth="true" hidden="false" outlineLevel="0" max="9989" min="9989" style="1852" width="10.85"/>
    <col collapsed="false" customWidth="true" hidden="false" outlineLevel="0" max="9991" min="9990" style="1852" width="12.57"/>
    <col collapsed="false" customWidth="true" hidden="false" outlineLevel="0" max="9992" min="9992" style="1852" width="15.57"/>
    <col collapsed="false" customWidth="true" hidden="false" outlineLevel="0" max="9994" min="9993" style="1852" width="12.57"/>
    <col collapsed="false" customWidth="true" hidden="false" outlineLevel="0" max="9995" min="9995" style="1852" width="15.85"/>
    <col collapsed="false" customWidth="true" hidden="false" outlineLevel="0" max="9996" min="9996" style="1852" width="11.57"/>
    <col collapsed="false" customWidth="true" hidden="false" outlineLevel="0" max="9997" min="9997" style="1852" width="15.71"/>
    <col collapsed="false" customWidth="true" hidden="false" outlineLevel="0" max="9998" min="9998" style="1852" width="31"/>
    <col collapsed="false" customWidth="false" hidden="false" outlineLevel="0" max="10239" min="9999" style="1852" width="9.14"/>
    <col collapsed="false" customWidth="true" hidden="false" outlineLevel="0" max="10240" min="10240" style="1852" width="5.29"/>
    <col collapsed="false" customWidth="true" hidden="false" outlineLevel="0" max="10241" min="10241" style="1852" width="34"/>
    <col collapsed="false" customWidth="true" hidden="false" outlineLevel="0" max="10242" min="10242" style="1852" width="29.14"/>
    <col collapsed="false" customWidth="true" hidden="false" outlineLevel="0" max="10243" min="10243" style="1852" width="10.14"/>
    <col collapsed="false" customWidth="true" hidden="false" outlineLevel="0" max="10244" min="10244" style="1852" width="11.29"/>
    <col collapsed="false" customWidth="true" hidden="false" outlineLevel="0" max="10245" min="10245" style="1852" width="10.85"/>
    <col collapsed="false" customWidth="true" hidden="false" outlineLevel="0" max="10247" min="10246" style="1852" width="12.57"/>
    <col collapsed="false" customWidth="true" hidden="false" outlineLevel="0" max="10248" min="10248" style="1852" width="15.57"/>
    <col collapsed="false" customWidth="true" hidden="false" outlineLevel="0" max="10250" min="10249" style="1852" width="12.57"/>
    <col collapsed="false" customWidth="true" hidden="false" outlineLevel="0" max="10251" min="10251" style="1852" width="15.85"/>
    <col collapsed="false" customWidth="true" hidden="false" outlineLevel="0" max="10252" min="10252" style="1852" width="11.57"/>
    <col collapsed="false" customWidth="true" hidden="false" outlineLevel="0" max="10253" min="10253" style="1852" width="15.71"/>
    <col collapsed="false" customWidth="true" hidden="false" outlineLevel="0" max="10254" min="10254" style="1852" width="31"/>
    <col collapsed="false" customWidth="false" hidden="false" outlineLevel="0" max="10495" min="10255" style="1852" width="9.14"/>
    <col collapsed="false" customWidth="true" hidden="false" outlineLevel="0" max="10496" min="10496" style="1852" width="5.29"/>
    <col collapsed="false" customWidth="true" hidden="false" outlineLevel="0" max="10497" min="10497" style="1852" width="34"/>
    <col collapsed="false" customWidth="true" hidden="false" outlineLevel="0" max="10498" min="10498" style="1852" width="29.14"/>
    <col collapsed="false" customWidth="true" hidden="false" outlineLevel="0" max="10499" min="10499" style="1852" width="10.14"/>
    <col collapsed="false" customWidth="true" hidden="false" outlineLevel="0" max="10500" min="10500" style="1852" width="11.29"/>
    <col collapsed="false" customWidth="true" hidden="false" outlineLevel="0" max="10501" min="10501" style="1852" width="10.85"/>
    <col collapsed="false" customWidth="true" hidden="false" outlineLevel="0" max="10503" min="10502" style="1852" width="12.57"/>
    <col collapsed="false" customWidth="true" hidden="false" outlineLevel="0" max="10504" min="10504" style="1852" width="15.57"/>
    <col collapsed="false" customWidth="true" hidden="false" outlineLevel="0" max="10506" min="10505" style="1852" width="12.57"/>
    <col collapsed="false" customWidth="true" hidden="false" outlineLevel="0" max="10507" min="10507" style="1852" width="15.85"/>
    <col collapsed="false" customWidth="true" hidden="false" outlineLevel="0" max="10508" min="10508" style="1852" width="11.57"/>
    <col collapsed="false" customWidth="true" hidden="false" outlineLevel="0" max="10509" min="10509" style="1852" width="15.71"/>
    <col collapsed="false" customWidth="true" hidden="false" outlineLevel="0" max="10510" min="10510" style="1852" width="31"/>
    <col collapsed="false" customWidth="false" hidden="false" outlineLevel="0" max="10751" min="10511" style="1852" width="9.14"/>
    <col collapsed="false" customWidth="true" hidden="false" outlineLevel="0" max="10752" min="10752" style="1852" width="5.29"/>
    <col collapsed="false" customWidth="true" hidden="false" outlineLevel="0" max="10753" min="10753" style="1852" width="34"/>
    <col collapsed="false" customWidth="true" hidden="false" outlineLevel="0" max="10754" min="10754" style="1852" width="29.14"/>
    <col collapsed="false" customWidth="true" hidden="false" outlineLevel="0" max="10755" min="10755" style="1852" width="10.14"/>
    <col collapsed="false" customWidth="true" hidden="false" outlineLevel="0" max="10756" min="10756" style="1852" width="11.29"/>
    <col collapsed="false" customWidth="true" hidden="false" outlineLevel="0" max="10757" min="10757" style="1852" width="10.85"/>
    <col collapsed="false" customWidth="true" hidden="false" outlineLevel="0" max="10759" min="10758" style="1852" width="12.57"/>
    <col collapsed="false" customWidth="true" hidden="false" outlineLevel="0" max="10760" min="10760" style="1852" width="15.57"/>
    <col collapsed="false" customWidth="true" hidden="false" outlineLevel="0" max="10762" min="10761" style="1852" width="12.57"/>
    <col collapsed="false" customWidth="true" hidden="false" outlineLevel="0" max="10763" min="10763" style="1852" width="15.85"/>
    <col collapsed="false" customWidth="true" hidden="false" outlineLevel="0" max="10764" min="10764" style="1852" width="11.57"/>
    <col collapsed="false" customWidth="true" hidden="false" outlineLevel="0" max="10765" min="10765" style="1852" width="15.71"/>
    <col collapsed="false" customWidth="true" hidden="false" outlineLevel="0" max="10766" min="10766" style="1852" width="31"/>
    <col collapsed="false" customWidth="false" hidden="false" outlineLevel="0" max="11007" min="10767" style="1852" width="9.14"/>
    <col collapsed="false" customWidth="true" hidden="false" outlineLevel="0" max="11008" min="11008" style="1852" width="5.29"/>
    <col collapsed="false" customWidth="true" hidden="false" outlineLevel="0" max="11009" min="11009" style="1852" width="34"/>
    <col collapsed="false" customWidth="true" hidden="false" outlineLevel="0" max="11010" min="11010" style="1852" width="29.14"/>
    <col collapsed="false" customWidth="true" hidden="false" outlineLevel="0" max="11011" min="11011" style="1852" width="10.14"/>
    <col collapsed="false" customWidth="true" hidden="false" outlineLevel="0" max="11012" min="11012" style="1852" width="11.29"/>
    <col collapsed="false" customWidth="true" hidden="false" outlineLevel="0" max="11013" min="11013" style="1852" width="10.85"/>
    <col collapsed="false" customWidth="true" hidden="false" outlineLevel="0" max="11015" min="11014" style="1852" width="12.57"/>
    <col collapsed="false" customWidth="true" hidden="false" outlineLevel="0" max="11016" min="11016" style="1852" width="15.57"/>
    <col collapsed="false" customWidth="true" hidden="false" outlineLevel="0" max="11018" min="11017" style="1852" width="12.57"/>
    <col collapsed="false" customWidth="true" hidden="false" outlineLevel="0" max="11019" min="11019" style="1852" width="15.85"/>
    <col collapsed="false" customWidth="true" hidden="false" outlineLevel="0" max="11020" min="11020" style="1852" width="11.57"/>
    <col collapsed="false" customWidth="true" hidden="false" outlineLevel="0" max="11021" min="11021" style="1852" width="15.71"/>
    <col collapsed="false" customWidth="true" hidden="false" outlineLevel="0" max="11022" min="11022" style="1852" width="31"/>
    <col collapsed="false" customWidth="false" hidden="false" outlineLevel="0" max="11263" min="11023" style="1852" width="9.14"/>
    <col collapsed="false" customWidth="true" hidden="false" outlineLevel="0" max="11264" min="11264" style="1852" width="5.29"/>
    <col collapsed="false" customWidth="true" hidden="false" outlineLevel="0" max="11265" min="11265" style="1852" width="34"/>
    <col collapsed="false" customWidth="true" hidden="false" outlineLevel="0" max="11266" min="11266" style="1852" width="29.14"/>
    <col collapsed="false" customWidth="true" hidden="false" outlineLevel="0" max="11267" min="11267" style="1852" width="10.14"/>
    <col collapsed="false" customWidth="true" hidden="false" outlineLevel="0" max="11268" min="11268" style="1852" width="11.29"/>
    <col collapsed="false" customWidth="true" hidden="false" outlineLevel="0" max="11269" min="11269" style="1852" width="10.85"/>
    <col collapsed="false" customWidth="true" hidden="false" outlineLevel="0" max="11271" min="11270" style="1852" width="12.57"/>
    <col collapsed="false" customWidth="true" hidden="false" outlineLevel="0" max="11272" min="11272" style="1852" width="15.57"/>
    <col collapsed="false" customWidth="true" hidden="false" outlineLevel="0" max="11274" min="11273" style="1852" width="12.57"/>
    <col collapsed="false" customWidth="true" hidden="false" outlineLevel="0" max="11275" min="11275" style="1852" width="15.85"/>
    <col collapsed="false" customWidth="true" hidden="false" outlineLevel="0" max="11276" min="11276" style="1852" width="11.57"/>
    <col collapsed="false" customWidth="true" hidden="false" outlineLevel="0" max="11277" min="11277" style="1852" width="15.71"/>
    <col collapsed="false" customWidth="true" hidden="false" outlineLevel="0" max="11278" min="11278" style="1852" width="31"/>
    <col collapsed="false" customWidth="false" hidden="false" outlineLevel="0" max="11519" min="11279" style="1852" width="9.14"/>
    <col collapsed="false" customWidth="true" hidden="false" outlineLevel="0" max="11520" min="11520" style="1852" width="5.29"/>
    <col collapsed="false" customWidth="true" hidden="false" outlineLevel="0" max="11521" min="11521" style="1852" width="34"/>
    <col collapsed="false" customWidth="true" hidden="false" outlineLevel="0" max="11522" min="11522" style="1852" width="29.14"/>
    <col collapsed="false" customWidth="true" hidden="false" outlineLevel="0" max="11523" min="11523" style="1852" width="10.14"/>
    <col collapsed="false" customWidth="true" hidden="false" outlineLevel="0" max="11524" min="11524" style="1852" width="11.29"/>
    <col collapsed="false" customWidth="true" hidden="false" outlineLevel="0" max="11525" min="11525" style="1852" width="10.85"/>
    <col collapsed="false" customWidth="true" hidden="false" outlineLevel="0" max="11527" min="11526" style="1852" width="12.57"/>
    <col collapsed="false" customWidth="true" hidden="false" outlineLevel="0" max="11528" min="11528" style="1852" width="15.57"/>
    <col collapsed="false" customWidth="true" hidden="false" outlineLevel="0" max="11530" min="11529" style="1852" width="12.57"/>
    <col collapsed="false" customWidth="true" hidden="false" outlineLevel="0" max="11531" min="11531" style="1852" width="15.85"/>
    <col collapsed="false" customWidth="true" hidden="false" outlineLevel="0" max="11532" min="11532" style="1852" width="11.57"/>
    <col collapsed="false" customWidth="true" hidden="false" outlineLevel="0" max="11533" min="11533" style="1852" width="15.71"/>
    <col collapsed="false" customWidth="true" hidden="false" outlineLevel="0" max="11534" min="11534" style="1852" width="31"/>
    <col collapsed="false" customWidth="false" hidden="false" outlineLevel="0" max="11775" min="11535" style="1852" width="9.14"/>
    <col collapsed="false" customWidth="true" hidden="false" outlineLevel="0" max="11776" min="11776" style="1852" width="5.29"/>
    <col collapsed="false" customWidth="true" hidden="false" outlineLevel="0" max="11777" min="11777" style="1852" width="34"/>
    <col collapsed="false" customWidth="true" hidden="false" outlineLevel="0" max="11778" min="11778" style="1852" width="29.14"/>
    <col collapsed="false" customWidth="true" hidden="false" outlineLevel="0" max="11779" min="11779" style="1852" width="10.14"/>
    <col collapsed="false" customWidth="true" hidden="false" outlineLevel="0" max="11780" min="11780" style="1852" width="11.29"/>
    <col collapsed="false" customWidth="true" hidden="false" outlineLevel="0" max="11781" min="11781" style="1852" width="10.85"/>
    <col collapsed="false" customWidth="true" hidden="false" outlineLevel="0" max="11783" min="11782" style="1852" width="12.57"/>
    <col collapsed="false" customWidth="true" hidden="false" outlineLevel="0" max="11784" min="11784" style="1852" width="15.57"/>
    <col collapsed="false" customWidth="true" hidden="false" outlineLevel="0" max="11786" min="11785" style="1852" width="12.57"/>
    <col collapsed="false" customWidth="true" hidden="false" outlineLevel="0" max="11787" min="11787" style="1852" width="15.85"/>
    <col collapsed="false" customWidth="true" hidden="false" outlineLevel="0" max="11788" min="11788" style="1852" width="11.57"/>
    <col collapsed="false" customWidth="true" hidden="false" outlineLevel="0" max="11789" min="11789" style="1852" width="15.71"/>
    <col collapsed="false" customWidth="true" hidden="false" outlineLevel="0" max="11790" min="11790" style="1852" width="31"/>
    <col collapsed="false" customWidth="false" hidden="false" outlineLevel="0" max="12031" min="11791" style="1852" width="9.14"/>
    <col collapsed="false" customWidth="true" hidden="false" outlineLevel="0" max="12032" min="12032" style="1852" width="5.29"/>
    <col collapsed="false" customWidth="true" hidden="false" outlineLevel="0" max="12033" min="12033" style="1852" width="34"/>
    <col collapsed="false" customWidth="true" hidden="false" outlineLevel="0" max="12034" min="12034" style="1852" width="29.14"/>
    <col collapsed="false" customWidth="true" hidden="false" outlineLevel="0" max="12035" min="12035" style="1852" width="10.14"/>
    <col collapsed="false" customWidth="true" hidden="false" outlineLevel="0" max="12036" min="12036" style="1852" width="11.29"/>
    <col collapsed="false" customWidth="true" hidden="false" outlineLevel="0" max="12037" min="12037" style="1852" width="10.85"/>
    <col collapsed="false" customWidth="true" hidden="false" outlineLevel="0" max="12039" min="12038" style="1852" width="12.57"/>
    <col collapsed="false" customWidth="true" hidden="false" outlineLevel="0" max="12040" min="12040" style="1852" width="15.57"/>
    <col collapsed="false" customWidth="true" hidden="false" outlineLevel="0" max="12042" min="12041" style="1852" width="12.57"/>
    <col collapsed="false" customWidth="true" hidden="false" outlineLevel="0" max="12043" min="12043" style="1852" width="15.85"/>
    <col collapsed="false" customWidth="true" hidden="false" outlineLevel="0" max="12044" min="12044" style="1852" width="11.57"/>
    <col collapsed="false" customWidth="true" hidden="false" outlineLevel="0" max="12045" min="12045" style="1852" width="15.71"/>
    <col collapsed="false" customWidth="true" hidden="false" outlineLevel="0" max="12046" min="12046" style="1852" width="31"/>
    <col collapsed="false" customWidth="false" hidden="false" outlineLevel="0" max="12287" min="12047" style="1852" width="9.14"/>
    <col collapsed="false" customWidth="true" hidden="false" outlineLevel="0" max="12288" min="12288" style="1852" width="5.29"/>
    <col collapsed="false" customWidth="true" hidden="false" outlineLevel="0" max="12289" min="12289" style="1852" width="34"/>
    <col collapsed="false" customWidth="true" hidden="false" outlineLevel="0" max="12290" min="12290" style="1852" width="29.14"/>
    <col collapsed="false" customWidth="true" hidden="false" outlineLevel="0" max="12291" min="12291" style="1852" width="10.14"/>
    <col collapsed="false" customWidth="true" hidden="false" outlineLevel="0" max="12292" min="12292" style="1852" width="11.29"/>
    <col collapsed="false" customWidth="true" hidden="false" outlineLevel="0" max="12293" min="12293" style="1852" width="10.85"/>
    <col collapsed="false" customWidth="true" hidden="false" outlineLevel="0" max="12295" min="12294" style="1852" width="12.57"/>
    <col collapsed="false" customWidth="true" hidden="false" outlineLevel="0" max="12296" min="12296" style="1852" width="15.57"/>
    <col collapsed="false" customWidth="true" hidden="false" outlineLevel="0" max="12298" min="12297" style="1852" width="12.57"/>
    <col collapsed="false" customWidth="true" hidden="false" outlineLevel="0" max="12299" min="12299" style="1852" width="15.85"/>
    <col collapsed="false" customWidth="true" hidden="false" outlineLevel="0" max="12300" min="12300" style="1852" width="11.57"/>
    <col collapsed="false" customWidth="true" hidden="false" outlineLevel="0" max="12301" min="12301" style="1852" width="15.71"/>
    <col collapsed="false" customWidth="true" hidden="false" outlineLevel="0" max="12302" min="12302" style="1852" width="31"/>
    <col collapsed="false" customWidth="false" hidden="false" outlineLevel="0" max="12543" min="12303" style="1852" width="9.14"/>
    <col collapsed="false" customWidth="true" hidden="false" outlineLevel="0" max="12544" min="12544" style="1852" width="5.29"/>
    <col collapsed="false" customWidth="true" hidden="false" outlineLevel="0" max="12545" min="12545" style="1852" width="34"/>
    <col collapsed="false" customWidth="true" hidden="false" outlineLevel="0" max="12546" min="12546" style="1852" width="29.14"/>
    <col collapsed="false" customWidth="true" hidden="false" outlineLevel="0" max="12547" min="12547" style="1852" width="10.14"/>
    <col collapsed="false" customWidth="true" hidden="false" outlineLevel="0" max="12548" min="12548" style="1852" width="11.29"/>
    <col collapsed="false" customWidth="true" hidden="false" outlineLevel="0" max="12549" min="12549" style="1852" width="10.85"/>
    <col collapsed="false" customWidth="true" hidden="false" outlineLevel="0" max="12551" min="12550" style="1852" width="12.57"/>
    <col collapsed="false" customWidth="true" hidden="false" outlineLevel="0" max="12552" min="12552" style="1852" width="15.57"/>
    <col collapsed="false" customWidth="true" hidden="false" outlineLevel="0" max="12554" min="12553" style="1852" width="12.57"/>
    <col collapsed="false" customWidth="true" hidden="false" outlineLevel="0" max="12555" min="12555" style="1852" width="15.85"/>
    <col collapsed="false" customWidth="true" hidden="false" outlineLevel="0" max="12556" min="12556" style="1852" width="11.57"/>
    <col collapsed="false" customWidth="true" hidden="false" outlineLevel="0" max="12557" min="12557" style="1852" width="15.71"/>
    <col collapsed="false" customWidth="true" hidden="false" outlineLevel="0" max="12558" min="12558" style="1852" width="31"/>
    <col collapsed="false" customWidth="false" hidden="false" outlineLevel="0" max="12799" min="12559" style="1852" width="9.14"/>
    <col collapsed="false" customWidth="true" hidden="false" outlineLevel="0" max="12800" min="12800" style="1852" width="5.29"/>
    <col collapsed="false" customWidth="true" hidden="false" outlineLevel="0" max="12801" min="12801" style="1852" width="34"/>
    <col collapsed="false" customWidth="true" hidden="false" outlineLevel="0" max="12802" min="12802" style="1852" width="29.14"/>
    <col collapsed="false" customWidth="true" hidden="false" outlineLevel="0" max="12803" min="12803" style="1852" width="10.14"/>
    <col collapsed="false" customWidth="true" hidden="false" outlineLevel="0" max="12804" min="12804" style="1852" width="11.29"/>
    <col collapsed="false" customWidth="true" hidden="false" outlineLevel="0" max="12805" min="12805" style="1852" width="10.85"/>
    <col collapsed="false" customWidth="true" hidden="false" outlineLevel="0" max="12807" min="12806" style="1852" width="12.57"/>
    <col collapsed="false" customWidth="true" hidden="false" outlineLevel="0" max="12808" min="12808" style="1852" width="15.57"/>
    <col collapsed="false" customWidth="true" hidden="false" outlineLevel="0" max="12810" min="12809" style="1852" width="12.57"/>
    <col collapsed="false" customWidth="true" hidden="false" outlineLevel="0" max="12811" min="12811" style="1852" width="15.85"/>
    <col collapsed="false" customWidth="true" hidden="false" outlineLevel="0" max="12812" min="12812" style="1852" width="11.57"/>
    <col collapsed="false" customWidth="true" hidden="false" outlineLevel="0" max="12813" min="12813" style="1852" width="15.71"/>
    <col collapsed="false" customWidth="true" hidden="false" outlineLevel="0" max="12814" min="12814" style="1852" width="31"/>
    <col collapsed="false" customWidth="false" hidden="false" outlineLevel="0" max="13055" min="12815" style="1852" width="9.14"/>
    <col collapsed="false" customWidth="true" hidden="false" outlineLevel="0" max="13056" min="13056" style="1852" width="5.29"/>
    <col collapsed="false" customWidth="true" hidden="false" outlineLevel="0" max="13057" min="13057" style="1852" width="34"/>
    <col collapsed="false" customWidth="true" hidden="false" outlineLevel="0" max="13058" min="13058" style="1852" width="29.14"/>
    <col collapsed="false" customWidth="true" hidden="false" outlineLevel="0" max="13059" min="13059" style="1852" width="10.14"/>
    <col collapsed="false" customWidth="true" hidden="false" outlineLevel="0" max="13060" min="13060" style="1852" width="11.29"/>
    <col collapsed="false" customWidth="true" hidden="false" outlineLevel="0" max="13061" min="13061" style="1852" width="10.85"/>
    <col collapsed="false" customWidth="true" hidden="false" outlineLevel="0" max="13063" min="13062" style="1852" width="12.57"/>
    <col collapsed="false" customWidth="true" hidden="false" outlineLevel="0" max="13064" min="13064" style="1852" width="15.57"/>
    <col collapsed="false" customWidth="true" hidden="false" outlineLevel="0" max="13066" min="13065" style="1852" width="12.57"/>
    <col collapsed="false" customWidth="true" hidden="false" outlineLevel="0" max="13067" min="13067" style="1852" width="15.85"/>
    <col collapsed="false" customWidth="true" hidden="false" outlineLevel="0" max="13068" min="13068" style="1852" width="11.57"/>
    <col collapsed="false" customWidth="true" hidden="false" outlineLevel="0" max="13069" min="13069" style="1852" width="15.71"/>
    <col collapsed="false" customWidth="true" hidden="false" outlineLevel="0" max="13070" min="13070" style="1852" width="31"/>
    <col collapsed="false" customWidth="false" hidden="false" outlineLevel="0" max="13311" min="13071" style="1852" width="9.14"/>
    <col collapsed="false" customWidth="true" hidden="false" outlineLevel="0" max="13312" min="13312" style="1852" width="5.29"/>
    <col collapsed="false" customWidth="true" hidden="false" outlineLevel="0" max="13313" min="13313" style="1852" width="34"/>
    <col collapsed="false" customWidth="true" hidden="false" outlineLevel="0" max="13314" min="13314" style="1852" width="29.14"/>
    <col collapsed="false" customWidth="true" hidden="false" outlineLevel="0" max="13315" min="13315" style="1852" width="10.14"/>
    <col collapsed="false" customWidth="true" hidden="false" outlineLevel="0" max="13316" min="13316" style="1852" width="11.29"/>
    <col collapsed="false" customWidth="true" hidden="false" outlineLevel="0" max="13317" min="13317" style="1852" width="10.85"/>
    <col collapsed="false" customWidth="true" hidden="false" outlineLevel="0" max="13319" min="13318" style="1852" width="12.57"/>
    <col collapsed="false" customWidth="true" hidden="false" outlineLevel="0" max="13320" min="13320" style="1852" width="15.57"/>
    <col collapsed="false" customWidth="true" hidden="false" outlineLevel="0" max="13322" min="13321" style="1852" width="12.57"/>
    <col collapsed="false" customWidth="true" hidden="false" outlineLevel="0" max="13323" min="13323" style="1852" width="15.85"/>
    <col collapsed="false" customWidth="true" hidden="false" outlineLevel="0" max="13324" min="13324" style="1852" width="11.57"/>
    <col collapsed="false" customWidth="true" hidden="false" outlineLevel="0" max="13325" min="13325" style="1852" width="15.71"/>
    <col collapsed="false" customWidth="true" hidden="false" outlineLevel="0" max="13326" min="13326" style="1852" width="31"/>
    <col collapsed="false" customWidth="false" hidden="false" outlineLevel="0" max="13567" min="13327" style="1852" width="9.14"/>
    <col collapsed="false" customWidth="true" hidden="false" outlineLevel="0" max="13568" min="13568" style="1852" width="5.29"/>
    <col collapsed="false" customWidth="true" hidden="false" outlineLevel="0" max="13569" min="13569" style="1852" width="34"/>
    <col collapsed="false" customWidth="true" hidden="false" outlineLevel="0" max="13570" min="13570" style="1852" width="29.14"/>
    <col collapsed="false" customWidth="true" hidden="false" outlineLevel="0" max="13571" min="13571" style="1852" width="10.14"/>
    <col collapsed="false" customWidth="true" hidden="false" outlineLevel="0" max="13572" min="13572" style="1852" width="11.29"/>
    <col collapsed="false" customWidth="true" hidden="false" outlineLevel="0" max="13573" min="13573" style="1852" width="10.85"/>
    <col collapsed="false" customWidth="true" hidden="false" outlineLevel="0" max="13575" min="13574" style="1852" width="12.57"/>
    <col collapsed="false" customWidth="true" hidden="false" outlineLevel="0" max="13576" min="13576" style="1852" width="15.57"/>
    <col collapsed="false" customWidth="true" hidden="false" outlineLevel="0" max="13578" min="13577" style="1852" width="12.57"/>
    <col collapsed="false" customWidth="true" hidden="false" outlineLevel="0" max="13579" min="13579" style="1852" width="15.85"/>
    <col collapsed="false" customWidth="true" hidden="false" outlineLevel="0" max="13580" min="13580" style="1852" width="11.57"/>
    <col collapsed="false" customWidth="true" hidden="false" outlineLevel="0" max="13581" min="13581" style="1852" width="15.71"/>
    <col collapsed="false" customWidth="true" hidden="false" outlineLevel="0" max="13582" min="13582" style="1852" width="31"/>
    <col collapsed="false" customWidth="false" hidden="false" outlineLevel="0" max="13823" min="13583" style="1852" width="9.14"/>
    <col collapsed="false" customWidth="true" hidden="false" outlineLevel="0" max="13824" min="13824" style="1852" width="5.29"/>
    <col collapsed="false" customWidth="true" hidden="false" outlineLevel="0" max="13825" min="13825" style="1852" width="34"/>
    <col collapsed="false" customWidth="true" hidden="false" outlineLevel="0" max="13826" min="13826" style="1852" width="29.14"/>
    <col collapsed="false" customWidth="true" hidden="false" outlineLevel="0" max="13827" min="13827" style="1852" width="10.14"/>
    <col collapsed="false" customWidth="true" hidden="false" outlineLevel="0" max="13828" min="13828" style="1852" width="11.29"/>
    <col collapsed="false" customWidth="true" hidden="false" outlineLevel="0" max="13829" min="13829" style="1852" width="10.85"/>
    <col collapsed="false" customWidth="true" hidden="false" outlineLevel="0" max="13831" min="13830" style="1852" width="12.57"/>
    <col collapsed="false" customWidth="true" hidden="false" outlineLevel="0" max="13832" min="13832" style="1852" width="15.57"/>
    <col collapsed="false" customWidth="true" hidden="false" outlineLevel="0" max="13834" min="13833" style="1852" width="12.57"/>
    <col collapsed="false" customWidth="true" hidden="false" outlineLevel="0" max="13835" min="13835" style="1852" width="15.85"/>
    <col collapsed="false" customWidth="true" hidden="false" outlineLevel="0" max="13836" min="13836" style="1852" width="11.57"/>
    <col collapsed="false" customWidth="true" hidden="false" outlineLevel="0" max="13837" min="13837" style="1852" width="15.71"/>
    <col collapsed="false" customWidth="true" hidden="false" outlineLevel="0" max="13838" min="13838" style="1852" width="31"/>
    <col collapsed="false" customWidth="false" hidden="false" outlineLevel="0" max="14079" min="13839" style="1852" width="9.14"/>
    <col collapsed="false" customWidth="true" hidden="false" outlineLevel="0" max="14080" min="14080" style="1852" width="5.29"/>
    <col collapsed="false" customWidth="true" hidden="false" outlineLevel="0" max="14081" min="14081" style="1852" width="34"/>
    <col collapsed="false" customWidth="true" hidden="false" outlineLevel="0" max="14082" min="14082" style="1852" width="29.14"/>
    <col collapsed="false" customWidth="true" hidden="false" outlineLevel="0" max="14083" min="14083" style="1852" width="10.14"/>
    <col collapsed="false" customWidth="true" hidden="false" outlineLevel="0" max="14084" min="14084" style="1852" width="11.29"/>
    <col collapsed="false" customWidth="true" hidden="false" outlineLevel="0" max="14085" min="14085" style="1852" width="10.85"/>
    <col collapsed="false" customWidth="true" hidden="false" outlineLevel="0" max="14087" min="14086" style="1852" width="12.57"/>
    <col collapsed="false" customWidth="true" hidden="false" outlineLevel="0" max="14088" min="14088" style="1852" width="15.57"/>
    <col collapsed="false" customWidth="true" hidden="false" outlineLevel="0" max="14090" min="14089" style="1852" width="12.57"/>
    <col collapsed="false" customWidth="true" hidden="false" outlineLevel="0" max="14091" min="14091" style="1852" width="15.85"/>
    <col collapsed="false" customWidth="true" hidden="false" outlineLevel="0" max="14092" min="14092" style="1852" width="11.57"/>
    <col collapsed="false" customWidth="true" hidden="false" outlineLevel="0" max="14093" min="14093" style="1852" width="15.71"/>
    <col collapsed="false" customWidth="true" hidden="false" outlineLevel="0" max="14094" min="14094" style="1852" width="31"/>
    <col collapsed="false" customWidth="false" hidden="false" outlineLevel="0" max="14335" min="14095" style="1852" width="9.14"/>
    <col collapsed="false" customWidth="true" hidden="false" outlineLevel="0" max="14336" min="14336" style="1852" width="5.29"/>
    <col collapsed="false" customWidth="true" hidden="false" outlineLevel="0" max="14337" min="14337" style="1852" width="34"/>
    <col collapsed="false" customWidth="true" hidden="false" outlineLevel="0" max="14338" min="14338" style="1852" width="29.14"/>
    <col collapsed="false" customWidth="true" hidden="false" outlineLevel="0" max="14339" min="14339" style="1852" width="10.14"/>
    <col collapsed="false" customWidth="true" hidden="false" outlineLevel="0" max="14340" min="14340" style="1852" width="11.29"/>
    <col collapsed="false" customWidth="true" hidden="false" outlineLevel="0" max="14341" min="14341" style="1852" width="10.85"/>
    <col collapsed="false" customWidth="true" hidden="false" outlineLevel="0" max="14343" min="14342" style="1852" width="12.57"/>
    <col collapsed="false" customWidth="true" hidden="false" outlineLevel="0" max="14344" min="14344" style="1852" width="15.57"/>
    <col collapsed="false" customWidth="true" hidden="false" outlineLevel="0" max="14346" min="14345" style="1852" width="12.57"/>
    <col collapsed="false" customWidth="true" hidden="false" outlineLevel="0" max="14347" min="14347" style="1852" width="15.85"/>
    <col collapsed="false" customWidth="true" hidden="false" outlineLevel="0" max="14348" min="14348" style="1852" width="11.57"/>
    <col collapsed="false" customWidth="true" hidden="false" outlineLevel="0" max="14349" min="14349" style="1852" width="15.71"/>
    <col collapsed="false" customWidth="true" hidden="false" outlineLevel="0" max="14350" min="14350" style="1852" width="31"/>
    <col collapsed="false" customWidth="false" hidden="false" outlineLevel="0" max="14591" min="14351" style="1852" width="9.14"/>
    <col collapsed="false" customWidth="true" hidden="false" outlineLevel="0" max="14592" min="14592" style="1852" width="5.29"/>
    <col collapsed="false" customWidth="true" hidden="false" outlineLevel="0" max="14593" min="14593" style="1852" width="34"/>
    <col collapsed="false" customWidth="true" hidden="false" outlineLevel="0" max="14594" min="14594" style="1852" width="29.14"/>
    <col collapsed="false" customWidth="true" hidden="false" outlineLevel="0" max="14595" min="14595" style="1852" width="10.14"/>
    <col collapsed="false" customWidth="true" hidden="false" outlineLevel="0" max="14596" min="14596" style="1852" width="11.29"/>
    <col collapsed="false" customWidth="true" hidden="false" outlineLevel="0" max="14597" min="14597" style="1852" width="10.85"/>
    <col collapsed="false" customWidth="true" hidden="false" outlineLevel="0" max="14599" min="14598" style="1852" width="12.57"/>
    <col collapsed="false" customWidth="true" hidden="false" outlineLevel="0" max="14600" min="14600" style="1852" width="15.57"/>
    <col collapsed="false" customWidth="true" hidden="false" outlineLevel="0" max="14602" min="14601" style="1852" width="12.57"/>
    <col collapsed="false" customWidth="true" hidden="false" outlineLevel="0" max="14603" min="14603" style="1852" width="15.85"/>
    <col collapsed="false" customWidth="true" hidden="false" outlineLevel="0" max="14604" min="14604" style="1852" width="11.57"/>
    <col collapsed="false" customWidth="true" hidden="false" outlineLevel="0" max="14605" min="14605" style="1852" width="15.71"/>
    <col collapsed="false" customWidth="true" hidden="false" outlineLevel="0" max="14606" min="14606" style="1852" width="31"/>
    <col collapsed="false" customWidth="false" hidden="false" outlineLevel="0" max="14847" min="14607" style="1852" width="9.14"/>
    <col collapsed="false" customWidth="true" hidden="false" outlineLevel="0" max="14848" min="14848" style="1852" width="5.29"/>
    <col collapsed="false" customWidth="true" hidden="false" outlineLevel="0" max="14849" min="14849" style="1852" width="34"/>
    <col collapsed="false" customWidth="true" hidden="false" outlineLevel="0" max="14850" min="14850" style="1852" width="29.14"/>
    <col collapsed="false" customWidth="true" hidden="false" outlineLevel="0" max="14851" min="14851" style="1852" width="10.14"/>
    <col collapsed="false" customWidth="true" hidden="false" outlineLevel="0" max="14852" min="14852" style="1852" width="11.29"/>
    <col collapsed="false" customWidth="true" hidden="false" outlineLevel="0" max="14853" min="14853" style="1852" width="10.85"/>
    <col collapsed="false" customWidth="true" hidden="false" outlineLevel="0" max="14855" min="14854" style="1852" width="12.57"/>
    <col collapsed="false" customWidth="true" hidden="false" outlineLevel="0" max="14856" min="14856" style="1852" width="15.57"/>
    <col collapsed="false" customWidth="true" hidden="false" outlineLevel="0" max="14858" min="14857" style="1852" width="12.57"/>
    <col collapsed="false" customWidth="true" hidden="false" outlineLevel="0" max="14859" min="14859" style="1852" width="15.85"/>
    <col collapsed="false" customWidth="true" hidden="false" outlineLevel="0" max="14860" min="14860" style="1852" width="11.57"/>
    <col collapsed="false" customWidth="true" hidden="false" outlineLevel="0" max="14861" min="14861" style="1852" width="15.71"/>
    <col collapsed="false" customWidth="true" hidden="false" outlineLevel="0" max="14862" min="14862" style="1852" width="31"/>
    <col collapsed="false" customWidth="false" hidden="false" outlineLevel="0" max="15103" min="14863" style="1852" width="9.14"/>
    <col collapsed="false" customWidth="true" hidden="false" outlineLevel="0" max="15104" min="15104" style="1852" width="5.29"/>
    <col collapsed="false" customWidth="true" hidden="false" outlineLevel="0" max="15105" min="15105" style="1852" width="34"/>
    <col collapsed="false" customWidth="true" hidden="false" outlineLevel="0" max="15106" min="15106" style="1852" width="29.14"/>
    <col collapsed="false" customWidth="true" hidden="false" outlineLevel="0" max="15107" min="15107" style="1852" width="10.14"/>
    <col collapsed="false" customWidth="true" hidden="false" outlineLevel="0" max="15108" min="15108" style="1852" width="11.29"/>
    <col collapsed="false" customWidth="true" hidden="false" outlineLevel="0" max="15109" min="15109" style="1852" width="10.85"/>
    <col collapsed="false" customWidth="true" hidden="false" outlineLevel="0" max="15111" min="15110" style="1852" width="12.57"/>
    <col collapsed="false" customWidth="true" hidden="false" outlineLevel="0" max="15112" min="15112" style="1852" width="15.57"/>
    <col collapsed="false" customWidth="true" hidden="false" outlineLevel="0" max="15114" min="15113" style="1852" width="12.57"/>
    <col collapsed="false" customWidth="true" hidden="false" outlineLevel="0" max="15115" min="15115" style="1852" width="15.85"/>
    <col collapsed="false" customWidth="true" hidden="false" outlineLevel="0" max="15116" min="15116" style="1852" width="11.57"/>
    <col collapsed="false" customWidth="true" hidden="false" outlineLevel="0" max="15117" min="15117" style="1852" width="15.71"/>
    <col collapsed="false" customWidth="true" hidden="false" outlineLevel="0" max="15118" min="15118" style="1852" width="31"/>
    <col collapsed="false" customWidth="false" hidden="false" outlineLevel="0" max="15359" min="15119" style="1852" width="9.14"/>
    <col collapsed="false" customWidth="true" hidden="false" outlineLevel="0" max="15360" min="15360" style="1852" width="5.29"/>
    <col collapsed="false" customWidth="true" hidden="false" outlineLevel="0" max="15361" min="15361" style="1852" width="34"/>
    <col collapsed="false" customWidth="true" hidden="false" outlineLevel="0" max="15362" min="15362" style="1852" width="29.14"/>
    <col collapsed="false" customWidth="true" hidden="false" outlineLevel="0" max="15363" min="15363" style="1852" width="10.14"/>
    <col collapsed="false" customWidth="true" hidden="false" outlineLevel="0" max="15364" min="15364" style="1852" width="11.29"/>
    <col collapsed="false" customWidth="true" hidden="false" outlineLevel="0" max="15365" min="15365" style="1852" width="10.85"/>
    <col collapsed="false" customWidth="true" hidden="false" outlineLevel="0" max="15367" min="15366" style="1852" width="12.57"/>
    <col collapsed="false" customWidth="true" hidden="false" outlineLevel="0" max="15368" min="15368" style="1852" width="15.57"/>
    <col collapsed="false" customWidth="true" hidden="false" outlineLevel="0" max="15370" min="15369" style="1852" width="12.57"/>
    <col collapsed="false" customWidth="true" hidden="false" outlineLevel="0" max="15371" min="15371" style="1852" width="15.85"/>
    <col collapsed="false" customWidth="true" hidden="false" outlineLevel="0" max="15372" min="15372" style="1852" width="11.57"/>
    <col collapsed="false" customWidth="true" hidden="false" outlineLevel="0" max="15373" min="15373" style="1852" width="15.71"/>
    <col collapsed="false" customWidth="true" hidden="false" outlineLevel="0" max="15374" min="15374" style="1852" width="31"/>
    <col collapsed="false" customWidth="false" hidden="false" outlineLevel="0" max="15615" min="15375" style="1852" width="9.14"/>
    <col collapsed="false" customWidth="true" hidden="false" outlineLevel="0" max="15616" min="15616" style="1852" width="5.29"/>
    <col collapsed="false" customWidth="true" hidden="false" outlineLevel="0" max="15617" min="15617" style="1852" width="34"/>
    <col collapsed="false" customWidth="true" hidden="false" outlineLevel="0" max="15618" min="15618" style="1852" width="29.14"/>
    <col collapsed="false" customWidth="true" hidden="false" outlineLevel="0" max="15619" min="15619" style="1852" width="10.14"/>
    <col collapsed="false" customWidth="true" hidden="false" outlineLevel="0" max="15620" min="15620" style="1852" width="11.29"/>
    <col collapsed="false" customWidth="true" hidden="false" outlineLevel="0" max="15621" min="15621" style="1852" width="10.85"/>
    <col collapsed="false" customWidth="true" hidden="false" outlineLevel="0" max="15623" min="15622" style="1852" width="12.57"/>
    <col collapsed="false" customWidth="true" hidden="false" outlineLevel="0" max="15624" min="15624" style="1852" width="15.57"/>
    <col collapsed="false" customWidth="true" hidden="false" outlineLevel="0" max="15626" min="15625" style="1852" width="12.57"/>
    <col collapsed="false" customWidth="true" hidden="false" outlineLevel="0" max="15627" min="15627" style="1852" width="15.85"/>
    <col collapsed="false" customWidth="true" hidden="false" outlineLevel="0" max="15628" min="15628" style="1852" width="11.57"/>
    <col collapsed="false" customWidth="true" hidden="false" outlineLevel="0" max="15629" min="15629" style="1852" width="15.71"/>
    <col collapsed="false" customWidth="true" hidden="false" outlineLevel="0" max="15630" min="15630" style="1852" width="31"/>
    <col collapsed="false" customWidth="false" hidden="false" outlineLevel="0" max="15871" min="15631" style="1852" width="9.14"/>
    <col collapsed="false" customWidth="true" hidden="false" outlineLevel="0" max="15872" min="15872" style="1852" width="5.29"/>
    <col collapsed="false" customWidth="true" hidden="false" outlineLevel="0" max="15873" min="15873" style="1852" width="34"/>
    <col collapsed="false" customWidth="true" hidden="false" outlineLevel="0" max="15874" min="15874" style="1852" width="29.14"/>
    <col collapsed="false" customWidth="true" hidden="false" outlineLevel="0" max="15875" min="15875" style="1852" width="10.14"/>
    <col collapsed="false" customWidth="true" hidden="false" outlineLevel="0" max="15876" min="15876" style="1852" width="11.29"/>
    <col collapsed="false" customWidth="true" hidden="false" outlineLevel="0" max="15877" min="15877" style="1852" width="10.85"/>
    <col collapsed="false" customWidth="true" hidden="false" outlineLevel="0" max="15879" min="15878" style="1852" width="12.57"/>
    <col collapsed="false" customWidth="true" hidden="false" outlineLevel="0" max="15880" min="15880" style="1852" width="15.57"/>
    <col collapsed="false" customWidth="true" hidden="false" outlineLevel="0" max="15882" min="15881" style="1852" width="12.57"/>
    <col collapsed="false" customWidth="true" hidden="false" outlineLevel="0" max="15883" min="15883" style="1852" width="15.85"/>
    <col collapsed="false" customWidth="true" hidden="false" outlineLevel="0" max="15884" min="15884" style="1852" width="11.57"/>
    <col collapsed="false" customWidth="true" hidden="false" outlineLevel="0" max="15885" min="15885" style="1852" width="15.71"/>
    <col collapsed="false" customWidth="true" hidden="false" outlineLevel="0" max="15886" min="15886" style="1852" width="31"/>
    <col collapsed="false" customWidth="false" hidden="false" outlineLevel="0" max="16127" min="15887" style="1852" width="9.14"/>
    <col collapsed="false" customWidth="true" hidden="false" outlineLevel="0" max="16128" min="16128" style="1852" width="5.29"/>
    <col collapsed="false" customWidth="true" hidden="false" outlineLevel="0" max="16129" min="16129" style="1852" width="34"/>
    <col collapsed="false" customWidth="true" hidden="false" outlineLevel="0" max="16130" min="16130" style="1852" width="29.14"/>
    <col collapsed="false" customWidth="true" hidden="false" outlineLevel="0" max="16131" min="16131" style="1852" width="10.14"/>
    <col collapsed="false" customWidth="true" hidden="false" outlineLevel="0" max="16132" min="16132" style="1852" width="11.29"/>
    <col collapsed="false" customWidth="true" hidden="false" outlineLevel="0" max="16133" min="16133" style="1852" width="10.85"/>
    <col collapsed="false" customWidth="true" hidden="false" outlineLevel="0" max="16135" min="16134" style="1852" width="12.57"/>
    <col collapsed="false" customWidth="true" hidden="false" outlineLevel="0" max="16136" min="16136" style="1852" width="15.57"/>
    <col collapsed="false" customWidth="true" hidden="false" outlineLevel="0" max="16138" min="16137" style="1852" width="12.57"/>
    <col collapsed="false" customWidth="true" hidden="false" outlineLevel="0" max="16139" min="16139" style="1852" width="15.85"/>
    <col collapsed="false" customWidth="true" hidden="false" outlineLevel="0" max="16140" min="16140" style="1852" width="11.57"/>
    <col collapsed="false" customWidth="true" hidden="false" outlineLevel="0" max="16141" min="16141" style="1852" width="15.71"/>
    <col collapsed="false" customWidth="true" hidden="false" outlineLevel="0" max="16142" min="16142" style="1852" width="31"/>
    <col collapsed="false" customWidth="false" hidden="false" outlineLevel="0" max="16384" min="16143" style="1852" width="9.14"/>
  </cols>
  <sheetData>
    <row r="1" customFormat="false" ht="15.75" hidden="false" customHeight="true" outlineLevel="0" collapsed="false">
      <c r="A1" s="1857"/>
      <c r="B1" s="1858" t="s">
        <v>7504</v>
      </c>
      <c r="C1" s="1858"/>
      <c r="D1" s="1858"/>
      <c r="E1" s="1858"/>
      <c r="F1" s="1858"/>
      <c r="G1" s="1858"/>
      <c r="H1" s="1858"/>
      <c r="I1" s="1858"/>
      <c r="J1" s="1858"/>
      <c r="K1" s="1858"/>
      <c r="L1" s="1858"/>
      <c r="M1" s="1858"/>
      <c r="N1" s="1858"/>
    </row>
    <row r="2" customFormat="false" ht="15.75" hidden="false" customHeight="true" outlineLevel="0" collapsed="false">
      <c r="C2" s="1859"/>
      <c r="D2" s="1860" t="s">
        <v>7505</v>
      </c>
      <c r="E2" s="1860"/>
      <c r="F2" s="1852" t="n">
        <v>3692</v>
      </c>
      <c r="G2" s="1861"/>
      <c r="M2" s="1862"/>
      <c r="N2" s="1863"/>
    </row>
    <row r="3" customFormat="false" ht="15.75" hidden="false" customHeight="true" outlineLevel="0" collapsed="false">
      <c r="A3" s="1864" t="s">
        <v>2870</v>
      </c>
      <c r="B3" s="1864" t="s">
        <v>7506</v>
      </c>
      <c r="C3" s="1865" t="s">
        <v>7507</v>
      </c>
      <c r="D3" s="1864" t="s">
        <v>7508</v>
      </c>
      <c r="E3" s="1864" t="s">
        <v>7509</v>
      </c>
      <c r="F3" s="1864"/>
      <c r="G3" s="1864" t="s">
        <v>7510</v>
      </c>
      <c r="H3" s="1866" t="s">
        <v>7511</v>
      </c>
      <c r="I3" s="1866" t="s">
        <v>7512</v>
      </c>
      <c r="J3" s="1864" t="s">
        <v>7513</v>
      </c>
      <c r="K3" s="1864"/>
      <c r="L3" s="1866" t="s">
        <v>7514</v>
      </c>
      <c r="M3" s="1864" t="s">
        <v>7515</v>
      </c>
      <c r="N3" s="1864" t="s">
        <v>7516</v>
      </c>
    </row>
    <row r="4" customFormat="false" ht="47.25" hidden="false" customHeight="false" outlineLevel="0" collapsed="false">
      <c r="A4" s="1864"/>
      <c r="B4" s="1864"/>
      <c r="C4" s="1865"/>
      <c r="D4" s="1864"/>
      <c r="E4" s="1864" t="s">
        <v>7517</v>
      </c>
      <c r="F4" s="1864" t="s">
        <v>7518</v>
      </c>
      <c r="G4" s="1864"/>
      <c r="H4" s="1866"/>
      <c r="I4" s="1866"/>
      <c r="J4" s="1864" t="s">
        <v>7519</v>
      </c>
      <c r="K4" s="1866" t="s">
        <v>4081</v>
      </c>
      <c r="L4" s="1866"/>
      <c r="M4" s="1864"/>
      <c r="N4" s="1864"/>
    </row>
    <row r="5" customFormat="false" ht="15.75" hidden="false" customHeight="false" outlineLevel="0" collapsed="false">
      <c r="A5" s="1864" t="n">
        <v>1</v>
      </c>
      <c r="B5" s="1864" t="n">
        <v>2</v>
      </c>
      <c r="C5" s="1867" t="n">
        <v>3</v>
      </c>
      <c r="D5" s="1864" t="n">
        <v>4</v>
      </c>
      <c r="E5" s="1864" t="n">
        <v>5</v>
      </c>
      <c r="F5" s="1864" t="n">
        <v>6</v>
      </c>
      <c r="G5" s="1864" t="n">
        <v>7</v>
      </c>
      <c r="H5" s="1864" t="n">
        <v>8</v>
      </c>
      <c r="I5" s="1864" t="n">
        <v>9</v>
      </c>
      <c r="J5" s="1864" t="n">
        <v>10</v>
      </c>
      <c r="K5" s="1864" t="n">
        <v>11</v>
      </c>
      <c r="L5" s="1864" t="n">
        <v>12</v>
      </c>
      <c r="M5" s="1864" t="n">
        <v>13</v>
      </c>
      <c r="N5" s="1868" t="n">
        <v>14</v>
      </c>
    </row>
    <row r="6" customFormat="false" ht="15.75" hidden="false" customHeight="false" outlineLevel="0" collapsed="false">
      <c r="A6" s="1864"/>
      <c r="B6" s="1869" t="s">
        <v>4128</v>
      </c>
      <c r="C6" s="1865"/>
      <c r="D6" s="1870" t="n">
        <f aca="false">SUM(D7:D9)</f>
        <v>6</v>
      </c>
      <c r="E6" s="1870"/>
      <c r="F6" s="1870"/>
      <c r="G6" s="1871"/>
      <c r="H6" s="1872"/>
      <c r="I6" s="1872"/>
      <c r="J6" s="1873"/>
      <c r="K6" s="1872"/>
      <c r="L6" s="1872"/>
      <c r="M6" s="1870" t="n">
        <f aca="false">SUM(M7:M9)</f>
        <v>2</v>
      </c>
      <c r="N6" s="1872" t="n">
        <f aca="false">SUM(N7:N9)</f>
        <v>512460</v>
      </c>
      <c r="P6" s="1854"/>
    </row>
    <row r="7" customFormat="false" ht="30.75" hidden="false" customHeight="true" outlineLevel="0" collapsed="false">
      <c r="A7" s="1864" t="n">
        <v>1</v>
      </c>
      <c r="B7" s="1871" t="s">
        <v>7520</v>
      </c>
      <c r="C7" s="1865" t="s">
        <v>7521</v>
      </c>
      <c r="D7" s="1864" t="n">
        <v>3</v>
      </c>
      <c r="E7" s="1864" t="n">
        <v>2</v>
      </c>
      <c r="F7" s="1864" t="n">
        <v>1</v>
      </c>
      <c r="G7" s="1874" t="n">
        <v>15845</v>
      </c>
      <c r="H7" s="1875" t="n">
        <f aca="false">D7*G7*2</f>
        <v>95070</v>
      </c>
      <c r="I7" s="1876" t="n">
        <f aca="false">D7*E7*$F$2*2</f>
        <v>44304</v>
      </c>
      <c r="J7" s="1877" t="n">
        <v>6</v>
      </c>
      <c r="K7" s="1875" t="n">
        <f aca="false">D7*F7*J7*F$2</f>
        <v>66456</v>
      </c>
      <c r="L7" s="1875" t="n">
        <f aca="false">H7+I7+K7</f>
        <v>205830</v>
      </c>
      <c r="M7" s="1877" t="n">
        <v>1</v>
      </c>
      <c r="N7" s="1878" t="n">
        <f aca="false">L7*M7</f>
        <v>205830</v>
      </c>
    </row>
    <row r="8" customFormat="false" ht="15.75" hidden="false" customHeight="false" outlineLevel="0" collapsed="false">
      <c r="A8" s="1864"/>
      <c r="B8" s="1871"/>
      <c r="C8" s="1865"/>
      <c r="D8" s="1864"/>
      <c r="E8" s="1864"/>
      <c r="F8" s="1877"/>
      <c r="G8" s="1874"/>
      <c r="H8" s="1875"/>
      <c r="I8" s="1876"/>
      <c r="J8" s="1877"/>
      <c r="K8" s="1875"/>
      <c r="L8" s="1875"/>
      <c r="M8" s="1877"/>
      <c r="N8" s="1878"/>
    </row>
    <row r="9" customFormat="false" ht="29.25" hidden="false" customHeight="true" outlineLevel="0" collapsed="false">
      <c r="A9" s="1864" t="n">
        <v>2</v>
      </c>
      <c r="B9" s="1871" t="s">
        <v>7520</v>
      </c>
      <c r="C9" s="1879" t="s">
        <v>7522</v>
      </c>
      <c r="D9" s="1877" t="n">
        <v>3</v>
      </c>
      <c r="E9" s="1864" t="n">
        <v>2</v>
      </c>
      <c r="F9" s="1877" t="n">
        <v>1</v>
      </c>
      <c r="G9" s="1874" t="n">
        <v>30799</v>
      </c>
      <c r="H9" s="1875" t="n">
        <f aca="false">D9*G9*2</f>
        <v>184794</v>
      </c>
      <c r="I9" s="1876" t="n">
        <f aca="false">D9*E9*$F$2*2</f>
        <v>44304</v>
      </c>
      <c r="J9" s="1877" t="n">
        <v>7</v>
      </c>
      <c r="K9" s="1875" t="n">
        <f aca="false">D9*F9*J9*F$2</f>
        <v>77532</v>
      </c>
      <c r="L9" s="1875" t="n">
        <f aca="false">H9+I9+K9</f>
        <v>306630</v>
      </c>
      <c r="M9" s="1877" t="n">
        <v>1</v>
      </c>
      <c r="N9" s="1878" t="n">
        <f aca="false">L9*M9</f>
        <v>306630</v>
      </c>
    </row>
    <row r="10" customFormat="false" ht="15.75" hidden="false" customHeight="false" outlineLevel="0" collapsed="false">
      <c r="D10" s="1880"/>
      <c r="E10" s="1851"/>
      <c r="F10" s="1851"/>
      <c r="G10" s="1881"/>
      <c r="H10" s="1882"/>
      <c r="I10" s="1883"/>
      <c r="J10" s="1880"/>
      <c r="K10" s="1884"/>
      <c r="L10" s="1884"/>
      <c r="M10" s="1880"/>
    </row>
    <row r="11" customFormat="false" ht="17.25" hidden="false" customHeight="true" outlineLevel="0" collapsed="false">
      <c r="B11" s="1885" t="s">
        <v>7523</v>
      </c>
      <c r="C11" s="1886"/>
      <c r="D11" s="1887" t="s">
        <v>7524</v>
      </c>
      <c r="E11" s="1887"/>
      <c r="F11" s="1851"/>
      <c r="G11" s="1881"/>
      <c r="H11" s="1882"/>
      <c r="I11" s="1883"/>
      <c r="J11" s="1880"/>
      <c r="K11" s="1884"/>
      <c r="L11" s="1884"/>
      <c r="M11" s="1880"/>
    </row>
    <row r="12" customFormat="false" ht="15.75" hidden="false" customHeight="false" outlineLevel="0" collapsed="false">
      <c r="B12" s="1888"/>
      <c r="C12" s="1889"/>
      <c r="D12" s="1890"/>
      <c r="E12" s="1890"/>
      <c r="F12" s="1851"/>
      <c r="G12" s="1881"/>
      <c r="H12" s="1882"/>
      <c r="I12" s="1883"/>
      <c r="J12" s="1880"/>
      <c r="K12" s="1884"/>
      <c r="L12" s="1884"/>
      <c r="M12" s="1880"/>
    </row>
    <row r="13" customFormat="false" ht="15.75" hidden="false" customHeight="true" outlineLevel="0" collapsed="false">
      <c r="B13" s="1891" t="s">
        <v>7503</v>
      </c>
      <c r="C13" s="1886"/>
      <c r="D13" s="1892" t="s">
        <v>7525</v>
      </c>
      <c r="E13" s="1892"/>
      <c r="F13" s="1851"/>
      <c r="G13" s="1881"/>
      <c r="H13" s="1882"/>
      <c r="I13" s="1883"/>
      <c r="J13" s="1880"/>
      <c r="K13" s="1884"/>
      <c r="L13" s="1884"/>
      <c r="M13" s="1880"/>
    </row>
    <row r="14" s="1852" customFormat="true" ht="15" hidden="false" customHeight="true" outlineLevel="0" collapsed="false">
      <c r="A14" s="1893"/>
      <c r="B14" s="1894"/>
      <c r="C14" s="1889"/>
      <c r="D14" s="1895"/>
      <c r="E14" s="1895"/>
      <c r="F14" s="1896"/>
      <c r="G14" s="1896"/>
      <c r="H14" s="1856"/>
    </row>
    <row r="15" s="1852" customFormat="true" ht="15" hidden="false" customHeight="true" outlineLevel="0" collapsed="false">
      <c r="A15" s="1893"/>
      <c r="B15" s="1891" t="s">
        <v>7526</v>
      </c>
      <c r="C15" s="1889"/>
      <c r="D15" s="1897" t="s">
        <v>7527</v>
      </c>
      <c r="E15" s="1897"/>
      <c r="F15" s="1896"/>
      <c r="G15" s="1896"/>
      <c r="H15" s="1856"/>
    </row>
    <row r="16" s="1852" customFormat="true" ht="15" hidden="false" customHeight="true" outlineLevel="0" collapsed="false">
      <c r="A16" s="1893"/>
      <c r="B16" s="1894"/>
      <c r="C16" s="1889"/>
      <c r="D16" s="1894"/>
      <c r="E16" s="1898"/>
      <c r="F16" s="1896"/>
      <c r="G16" s="1896"/>
      <c r="H16" s="1856"/>
    </row>
    <row r="17" s="1900" customFormat="true" ht="36" hidden="false" customHeight="true" outlineLevel="0" collapsed="false">
      <c r="A17" s="1899"/>
      <c r="B17" s="1894"/>
      <c r="C17" s="1889"/>
      <c r="D17" s="1894"/>
      <c r="F17" s="1901"/>
      <c r="G17" s="1902"/>
    </row>
    <row r="18" s="1900" customFormat="true" ht="35.25" hidden="false" customHeight="true" outlineLevel="0" collapsed="false">
      <c r="A18" s="1903"/>
      <c r="B18" s="1903"/>
      <c r="C18" s="1904"/>
      <c r="F18" s="1901"/>
      <c r="G18" s="1902"/>
    </row>
    <row r="19" s="1900" customFormat="true" ht="42.75" hidden="false" customHeight="true" outlineLevel="0" collapsed="false">
      <c r="A19" s="1901"/>
      <c r="B19" s="1901"/>
      <c r="C19" s="1904"/>
      <c r="F19" s="1901"/>
      <c r="G19" s="1902"/>
    </row>
    <row r="20" s="1900" customFormat="true" ht="27" hidden="false" customHeight="true" outlineLevel="0" collapsed="false">
      <c r="A20" s="1905"/>
      <c r="B20" s="1906"/>
      <c r="C20" s="1904"/>
      <c r="G20" s="1902"/>
      <c r="L20" s="1907"/>
    </row>
    <row r="21" s="1900" customFormat="true" ht="21.75" hidden="false" customHeight="true" outlineLevel="0" collapsed="false">
      <c r="A21" s="1901"/>
      <c r="B21" s="1901"/>
      <c r="C21" s="1904"/>
      <c r="G21" s="1902"/>
      <c r="L21" s="1901"/>
    </row>
    <row r="22" s="1911" customFormat="true" ht="15.75" hidden="false" customHeight="false" outlineLevel="0" collapsed="false">
      <c r="A22" s="1851"/>
      <c r="B22" s="1908"/>
      <c r="C22" s="1853"/>
      <c r="D22" s="1909"/>
      <c r="E22" s="1910"/>
      <c r="F22" s="1910"/>
      <c r="G22" s="1852"/>
      <c r="H22" s="1854"/>
      <c r="I22" s="1854"/>
      <c r="J22" s="1852"/>
      <c r="K22" s="1854"/>
      <c r="L22" s="1910"/>
      <c r="M22" s="1852"/>
      <c r="N22" s="1856"/>
    </row>
    <row r="23" customFormat="false" ht="15.75" hidden="false" customHeight="false" outlineLevel="0" collapsed="false">
      <c r="A23" s="1912"/>
      <c r="B23" s="1912"/>
      <c r="C23" s="1913"/>
      <c r="D23" s="1913"/>
      <c r="E23" s="1913"/>
      <c r="F23" s="1914"/>
      <c r="G23" s="1914"/>
    </row>
    <row r="24" customFormat="false" ht="15.75" hidden="false" customHeight="false" outlineLevel="0" collapsed="false">
      <c r="A24" s="1908"/>
      <c r="B24" s="1908"/>
      <c r="D24" s="1915"/>
      <c r="E24" s="1915"/>
      <c r="F24" s="1893"/>
      <c r="G24" s="1893"/>
    </row>
    <row r="25" customFormat="false" ht="15.75" hidden="false" customHeight="false" outlineLevel="0" collapsed="false">
      <c r="A25" s="1912"/>
      <c r="B25" s="1912"/>
      <c r="D25" s="1916"/>
      <c r="E25" s="1916"/>
      <c r="F25" s="1893"/>
      <c r="G25" s="1893"/>
    </row>
    <row r="26" customFormat="false" ht="15.75" hidden="false" customHeight="false" outlineLevel="0" collapsed="false">
      <c r="A26" s="1908"/>
      <c r="B26" s="1908"/>
      <c r="D26" s="1915"/>
      <c r="E26" s="1915"/>
      <c r="F26" s="1893"/>
      <c r="G26" s="1893"/>
    </row>
    <row r="27" customFormat="false" ht="15.75" hidden="false" customHeight="false" outlineLevel="0" collapsed="false">
      <c r="A27" s="1912"/>
      <c r="B27" s="1912"/>
      <c r="D27" s="1916"/>
      <c r="E27" s="1916"/>
      <c r="F27" s="1893"/>
      <c r="G27" s="1893"/>
    </row>
    <row r="41" s="1852" customFormat="true" ht="110.25" hidden="false" customHeight="true" outlineLevel="0" collapsed="false"/>
    <row r="52" s="1852" customFormat="true" ht="47.25" hidden="false" customHeight="true" outlineLevel="0" collapsed="false"/>
    <row r="53" s="1852" customFormat="true" ht="283.5" hidden="false" customHeight="true" outlineLevel="0" collapsed="false"/>
    <row r="60" s="1852" customFormat="true" ht="31.5" hidden="false" customHeight="true" outlineLevel="0" collapsed="false"/>
    <row r="61" s="1852" customFormat="true" ht="267.75" hidden="false" customHeight="true" outlineLevel="0" collapsed="false"/>
    <row r="62" s="1852" customFormat="true" ht="362.25" hidden="false" customHeight="true" outlineLevel="0" collapsed="false"/>
    <row r="69" s="1852" customFormat="true" ht="95.25" hidden="false" customHeight="true" outlineLevel="0" collapsed="false"/>
    <row r="71" s="1852" customFormat="true" ht="315" hidden="false" customHeight="true" outlineLevel="0" collapsed="false"/>
    <row r="74" s="1852" customFormat="true" ht="31.5" hidden="false" customHeight="true" outlineLevel="0" collapsed="false"/>
    <row r="75" s="1852" customFormat="true" ht="31.5" hidden="false" customHeight="true" outlineLevel="0" collapsed="false"/>
    <row r="76" s="1852" customFormat="true" ht="283.5" hidden="false" customHeight="true" outlineLevel="0" collapsed="false"/>
    <row r="78" s="1852" customFormat="true" ht="378" hidden="false" customHeight="true" outlineLevel="0" collapsed="false"/>
    <row r="83" s="1852" customFormat="true" ht="346.5" hidden="false" customHeight="true" outlineLevel="0" collapsed="false"/>
    <row r="84" s="1852" customFormat="true" ht="283.5" hidden="false" customHeight="true" outlineLevel="0" collapsed="false"/>
    <row r="86" s="1852" customFormat="true" ht="31.5" hidden="false" customHeight="true" outlineLevel="0" collapsed="false"/>
    <row r="87" s="1852" customFormat="true" ht="126" hidden="false" customHeight="true" outlineLevel="0" collapsed="false"/>
    <row r="89" s="1852" customFormat="true" ht="126" hidden="false" customHeight="true" outlineLevel="0" collapsed="false"/>
    <row r="92" s="1852" customFormat="true" ht="346.5" hidden="false" customHeight="true" outlineLevel="0" collapsed="false"/>
    <row r="93" s="1852" customFormat="true" ht="252" hidden="false" customHeight="true" outlineLevel="0" collapsed="false"/>
    <row r="94" s="1852" customFormat="true" ht="31.5" hidden="false" customHeight="true" outlineLevel="0" collapsed="false"/>
    <row r="96" s="1852" customFormat="true" ht="31.5" hidden="false" customHeight="true" outlineLevel="0" collapsed="false"/>
    <row r="97" s="1852" customFormat="true" ht="141.75" hidden="false" customHeight="true" outlineLevel="0" collapsed="false"/>
    <row r="98" s="1852" customFormat="true" ht="409.5" hidden="false" customHeight="true" outlineLevel="0" collapsed="false"/>
    <row r="103" s="1852" customFormat="true" ht="15.75" hidden="false" customHeight="true" outlineLevel="0" collapsed="false"/>
    <row r="104" s="1852" customFormat="true" ht="141.75" hidden="false" customHeight="true" outlineLevel="0" collapsed="false"/>
    <row r="106" s="1852" customFormat="true" ht="15.75" hidden="false" customHeight="true" outlineLevel="0" collapsed="false"/>
    <row r="107" s="1852" customFormat="true" ht="346.5" hidden="false" customHeight="true" outlineLevel="0" collapsed="false"/>
    <row r="108" s="1852" customFormat="true" ht="284.25" hidden="false" customHeight="true" outlineLevel="0" collapsed="false"/>
    <row r="109" s="1852" customFormat="true" ht="15.75" hidden="false" customHeight="true" outlineLevel="0" collapsed="false"/>
    <row r="110" s="1852" customFormat="true" ht="346.5" hidden="false" customHeight="true" outlineLevel="0" collapsed="false"/>
    <row r="111" s="1852" customFormat="true" ht="284.25" hidden="false" customHeight="true" outlineLevel="0" collapsed="false"/>
    <row r="113" s="1852" customFormat="true" ht="378" hidden="false" customHeight="true" outlineLevel="0" collapsed="false"/>
    <row r="114" s="1852" customFormat="true" ht="284.25" hidden="false" customHeight="true" outlineLevel="0" collapsed="false"/>
    <row r="116" s="1852" customFormat="true" ht="409.5" hidden="false" customHeight="true" outlineLevel="0" collapsed="false"/>
    <row r="117" s="1852" customFormat="true" ht="283.5" hidden="false" customHeight="true" outlineLevel="0" collapsed="false"/>
    <row r="119" s="1852" customFormat="true" ht="31.5" hidden="false" customHeight="true" outlineLevel="0" collapsed="false"/>
    <row r="120" s="1852" customFormat="true" ht="141.75" hidden="false" customHeight="true" outlineLevel="0" collapsed="false"/>
    <row r="121" s="1852" customFormat="true" ht="173.25" hidden="false" customHeight="true" outlineLevel="0" collapsed="false"/>
    <row r="125" s="1852" customFormat="true" ht="315" hidden="false" customHeight="true" outlineLevel="0" collapsed="false"/>
    <row r="126" s="1852" customFormat="true" ht="110.25" hidden="false" customHeight="true" outlineLevel="0" collapsed="false"/>
    <row r="127" s="1852" customFormat="true" ht="157.5" hidden="false" customHeight="true" outlineLevel="0" collapsed="false"/>
    <row r="129" s="1852" customFormat="true" ht="31.5" hidden="false" customHeight="true" outlineLevel="0" collapsed="false"/>
    <row r="130" s="1852" customFormat="true" ht="204.75" hidden="false" customHeight="true" outlineLevel="0" collapsed="false"/>
    <row r="131" s="1852" customFormat="true" ht="409.5" hidden="false" customHeight="true" outlineLevel="0" collapsed="false"/>
    <row r="134" s="1852" customFormat="true" ht="409.5" hidden="false" customHeight="true" outlineLevel="0" collapsed="false"/>
    <row r="135" s="1852" customFormat="true" ht="126" hidden="false" customHeight="true" outlineLevel="0" collapsed="false"/>
    <row r="138" s="1852" customFormat="true" ht="409.5" hidden="false" customHeight="true" outlineLevel="0" collapsed="false"/>
    <row r="139" s="1852" customFormat="true" ht="94.5" hidden="false" customHeight="true" outlineLevel="0" collapsed="false"/>
    <row r="151" s="1852" customFormat="true" ht="236.25" hidden="false" customHeight="true" outlineLevel="0" collapsed="false"/>
    <row r="152" s="1852" customFormat="true" ht="31.5" hidden="false" customHeight="true" outlineLevel="0" collapsed="false"/>
    <row r="153" s="1852" customFormat="true" ht="315" hidden="false" customHeight="true" outlineLevel="0" collapsed="false"/>
    <row r="159" s="1852" customFormat="true" ht="346.5" hidden="false" customHeight="true" outlineLevel="0" collapsed="false"/>
    <row r="160" s="1852" customFormat="true" ht="283.5" hidden="false" customHeight="true" outlineLevel="0" collapsed="false"/>
    <row r="162" s="1852" customFormat="true" ht="31.5" hidden="false" customHeight="true" outlineLevel="0" collapsed="false"/>
    <row r="165" s="1852" customFormat="true" ht="141.75" hidden="false" customHeight="true" outlineLevel="0" collapsed="false"/>
    <row r="166" s="1852" customFormat="true" ht="110.25" hidden="false" customHeight="true" outlineLevel="0" collapsed="false"/>
    <row r="167" s="1852" customFormat="true" ht="173.25" hidden="false" customHeight="true" outlineLevel="0" collapsed="false"/>
    <row r="170" s="1852" customFormat="true" ht="15.75" hidden="false" customHeight="true" outlineLevel="0" collapsed="false"/>
    <row r="171" s="1852" customFormat="true" ht="346.5" hidden="false" customHeight="true" outlineLevel="0" collapsed="false"/>
    <row r="172" s="1852" customFormat="true" ht="284.25" hidden="false" customHeight="true" outlineLevel="0" collapsed="false"/>
    <row r="173" s="1852" customFormat="true" ht="15.75" hidden="false" customHeight="true" outlineLevel="0" collapsed="false"/>
    <row r="174" s="1852" customFormat="true" ht="346.5" hidden="false" customHeight="true" outlineLevel="0" collapsed="false"/>
    <row r="175" s="1852" customFormat="true" ht="283.5" hidden="false" customHeight="true" outlineLevel="0" collapsed="false"/>
    <row r="178" s="1852" customFormat="true" ht="346.5" hidden="false" customHeight="true" outlineLevel="0" collapsed="false"/>
    <row r="179" s="1852" customFormat="true" ht="283.5" hidden="false" customHeight="true" outlineLevel="0" collapsed="false"/>
    <row r="181" s="1852" customFormat="true" ht="31.5" hidden="false" customHeight="true" outlineLevel="0" collapsed="false"/>
    <row r="182" s="1852" customFormat="true" ht="126" hidden="false" customHeight="true" outlineLevel="0" collapsed="false"/>
    <row r="184" s="1852" customFormat="true" ht="110.25" hidden="false" customHeight="true" outlineLevel="0" collapsed="false"/>
    <row r="187" s="1852" customFormat="true" ht="15.75" hidden="false" customHeight="true" outlineLevel="0" collapsed="false"/>
    <row r="188" s="1852" customFormat="true" ht="409.5" hidden="false" customHeight="true" outlineLevel="0" collapsed="false"/>
    <row r="189" s="1852" customFormat="true" ht="283.5" hidden="false" customHeight="true" outlineLevel="0" collapsed="false"/>
    <row r="192" s="1852" customFormat="true" ht="409.5" hidden="false" customHeight="true" outlineLevel="0" collapsed="false"/>
    <row r="193" s="1852" customFormat="true" ht="173.25" hidden="false" customHeight="true" outlineLevel="0" collapsed="false"/>
    <row r="195" s="1852" customFormat="true" ht="31.5" hidden="false" customHeight="true" outlineLevel="0" collapsed="false"/>
    <row r="196" s="1852" customFormat="true" ht="409.5" hidden="false" customHeight="true" outlineLevel="0" collapsed="false"/>
    <row r="198" s="1852" customFormat="true" ht="31.5" hidden="false" customHeight="true" outlineLevel="0" collapsed="false"/>
    <row r="199" s="1852" customFormat="true" ht="142.5" hidden="false" customHeight="true" outlineLevel="0" collapsed="false"/>
    <row r="201" s="1852" customFormat="true" ht="409.5" hidden="false" customHeight="true" outlineLevel="0" collapsed="false"/>
    <row r="203" s="1852" customFormat="true" ht="47.25" hidden="false" customHeight="true" outlineLevel="0" collapsed="false"/>
    <row r="204" s="1852" customFormat="true" ht="141.75" hidden="false" customHeight="true" outlineLevel="0" collapsed="false"/>
    <row r="206" s="1852" customFormat="true" ht="31.5" hidden="false" customHeight="true" outlineLevel="0" collapsed="false"/>
    <row r="212" s="1852" customFormat="true" ht="189" hidden="false" customHeight="true" outlineLevel="0" collapsed="false"/>
    <row r="219" s="1852" customFormat="true" ht="94.5" hidden="false" customHeight="true" outlineLevel="0" collapsed="false"/>
    <row r="235" s="1852" customFormat="true" ht="283.5" hidden="false" customHeight="true" outlineLevel="0" collapsed="false"/>
    <row r="239" s="1852" customFormat="true" ht="283.5" hidden="false" customHeight="true" outlineLevel="0" collapsed="false"/>
    <row r="243" s="1852" customFormat="true" ht="47.25" hidden="false" customHeight="true" outlineLevel="0" collapsed="false"/>
    <row r="244" s="1852" customFormat="true" ht="63" hidden="false" customHeight="true" outlineLevel="0" collapsed="false"/>
    <row r="247" s="1852" customFormat="true" ht="283.5" hidden="false" customHeight="true" outlineLevel="0" collapsed="false"/>
    <row r="251" s="1852" customFormat="true" ht="283.5" hidden="false" customHeight="true" outlineLevel="0" collapsed="false"/>
    <row r="255" s="1852" customFormat="true" ht="283.5" hidden="false" customHeight="true" outlineLevel="0" collapsed="false"/>
    <row r="259" s="1852" customFormat="true" ht="299.25" hidden="false" customHeight="true" outlineLevel="0" collapsed="false"/>
    <row r="263" s="1852" customFormat="true" ht="283.5" hidden="false" customHeight="true" outlineLevel="0" collapsed="false"/>
    <row r="267" s="1852" customFormat="true" ht="283.5" hidden="false" customHeight="true" outlineLevel="0" collapsed="false"/>
    <row r="271" s="1852" customFormat="true" ht="283.5" hidden="false" customHeight="true" outlineLevel="0" collapsed="false"/>
    <row r="274" s="1852" customFormat="true" ht="15.75" hidden="false" customHeight="true" outlineLevel="0" collapsed="false"/>
    <row r="275" s="1852" customFormat="true" ht="47.25" hidden="false" customHeight="true" outlineLevel="0" collapsed="false"/>
    <row r="279" s="1852" customFormat="true" ht="283.5" hidden="false" customHeight="true" outlineLevel="0" collapsed="false"/>
    <row r="283" s="1852" customFormat="true" ht="283.5" hidden="false" customHeight="true" outlineLevel="0" collapsed="false"/>
    <row r="287" s="1852" customFormat="true" ht="283.5" hidden="false" customHeight="true" outlineLevel="0" collapsed="false"/>
    <row r="291" s="1852" customFormat="true" ht="283.5" hidden="false" customHeight="true" outlineLevel="0" collapsed="false"/>
    <row r="295" s="1852" customFormat="true" ht="283.5" hidden="false" customHeight="true" outlineLevel="0" collapsed="false"/>
  </sheetData>
  <mergeCells count="23">
    <mergeCell ref="B1:N1"/>
    <mergeCell ref="D2:E2"/>
    <mergeCell ref="A3:A4"/>
    <mergeCell ref="B3:B4"/>
    <mergeCell ref="C3:C4"/>
    <mergeCell ref="D3:D4"/>
    <mergeCell ref="E3:F3"/>
    <mergeCell ref="G3:G4"/>
    <mergeCell ref="H3:H4"/>
    <mergeCell ref="I3:I4"/>
    <mergeCell ref="J3:K3"/>
    <mergeCell ref="L3:L4"/>
    <mergeCell ref="M3:M4"/>
    <mergeCell ref="N3:N4"/>
    <mergeCell ref="D11:E11"/>
    <mergeCell ref="D13:E13"/>
    <mergeCell ref="D15:E15"/>
    <mergeCell ref="A23:B23"/>
    <mergeCell ref="C23:E23"/>
    <mergeCell ref="A25:B25"/>
    <mergeCell ref="D25:E25"/>
    <mergeCell ref="A27:B27"/>
    <mergeCell ref="D27:E27"/>
  </mergeCells>
  <printOptions headings="false" gridLines="false" gridLinesSet="true" horizontalCentered="false" verticalCentered="false"/>
  <pageMargins left="0" right="0" top="0" bottom="0" header="0.511811023622047" footer="0.511811023622047"/>
  <pageSetup paperSize="9" scale="8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D14"/>
  <sheetViews>
    <sheetView showFormulas="false" showGridLines="true" showRowColHeaders="true" showZeros="true" rightToLeft="false" tabSelected="true" showOutlineSymbols="true" defaultGridColor="true" view="pageBreakPreview" topLeftCell="A1" colorId="64" zoomScale="120" zoomScaleNormal="90" zoomScalePageLayoutView="120" workbookViewId="0">
      <selection pane="topLeft" activeCell="D4" activeCellId="0" sqref="D4"/>
    </sheetView>
  </sheetViews>
  <sheetFormatPr defaultColWidth="11.53515625" defaultRowHeight="13.8" zeroHeight="false" outlineLevelRow="0" outlineLevelCol="0"/>
  <cols>
    <col collapsed="false" customWidth="true" hidden="false" outlineLevel="0" max="1" min="1" style="0" width="8.54"/>
    <col collapsed="false" customWidth="true" hidden="false" outlineLevel="0" max="2" min="2" style="0" width="48.86"/>
    <col collapsed="false" customWidth="true" hidden="false" outlineLevel="0" max="3" min="3" style="0" width="16.14"/>
    <col collapsed="false" customWidth="true" hidden="false" outlineLevel="0" max="4" min="4" style="0" width="35.85"/>
  </cols>
  <sheetData>
    <row r="1" customFormat="false" ht="13.8" hidden="false" customHeight="false" outlineLevel="0" collapsed="false">
      <c r="A1" s="1"/>
      <c r="B1" s="2"/>
      <c r="C1" s="3"/>
      <c r="D1" s="303" t="s">
        <v>2854</v>
      </c>
    </row>
    <row r="2" customFormat="false" ht="13.8" hidden="false" customHeight="false" outlineLevel="0" collapsed="false">
      <c r="A2" s="6" t="s">
        <v>1</v>
      </c>
      <c r="B2" s="6"/>
      <c r="C2" s="6"/>
      <c r="D2" s="6"/>
    </row>
    <row r="3" customFormat="false" ht="13.8" hidden="false" customHeight="false" outlineLevel="0" collapsed="false">
      <c r="A3" s="6" t="s">
        <v>2855</v>
      </c>
      <c r="B3" s="6"/>
      <c r="C3" s="6"/>
      <c r="D3" s="6"/>
    </row>
    <row r="4" customFormat="false" ht="26.1" hidden="false" customHeight="false" outlineLevel="0" collapsed="false">
      <c r="A4" s="7" t="s">
        <v>3</v>
      </c>
      <c r="B4" s="7" t="s">
        <v>2856</v>
      </c>
      <c r="C4" s="8" t="s">
        <v>5</v>
      </c>
      <c r="D4" s="9" t="s">
        <v>2857</v>
      </c>
    </row>
    <row r="5" customFormat="false" ht="13.8" hidden="false" customHeight="false" outlineLevel="0" collapsed="false">
      <c r="A5" s="304" t="n">
        <v>1</v>
      </c>
      <c r="B5" s="305" t="s">
        <v>2830</v>
      </c>
      <c r="C5" s="305"/>
      <c r="D5" s="305"/>
    </row>
    <row r="6" customFormat="false" ht="51.2" hidden="false" customHeight="false" outlineLevel="0" collapsed="false">
      <c r="A6" s="306" t="s">
        <v>11</v>
      </c>
      <c r="B6" s="8" t="s">
        <v>2858</v>
      </c>
      <c r="C6" s="307" t="s">
        <v>2859</v>
      </c>
      <c r="D6" s="308" t="n">
        <f aca="false">'[2]Общая калькуляция'!$M$9</f>
        <v>109793.143301087</v>
      </c>
    </row>
    <row r="7" customFormat="false" ht="38.65" hidden="false" customHeight="false" outlineLevel="0" collapsed="false">
      <c r="A7" s="306" t="s">
        <v>152</v>
      </c>
      <c r="B7" s="8" t="s">
        <v>2860</v>
      </c>
      <c r="C7" s="307" t="s">
        <v>2859</v>
      </c>
      <c r="D7" s="308" t="n">
        <f aca="false">'[2]Общая калькуляция'!$M$9</f>
        <v>109793.143301087</v>
      </c>
    </row>
    <row r="8" customFormat="false" ht="26.1" hidden="false" customHeight="false" outlineLevel="0" collapsed="false">
      <c r="A8" s="306" t="s">
        <v>226</v>
      </c>
      <c r="B8" s="8" t="s">
        <v>2861</v>
      </c>
      <c r="C8" s="307" t="s">
        <v>2859</v>
      </c>
      <c r="D8" s="308" t="n">
        <f aca="false">'[2]Общая калькуляция'!$M$10</f>
        <v>18933.1602994012</v>
      </c>
    </row>
    <row r="9" customFormat="false" ht="38.65" hidden="false" customHeight="false" outlineLevel="0" collapsed="false">
      <c r="A9" s="306" t="s">
        <v>263</v>
      </c>
      <c r="B9" s="8" t="s">
        <v>2862</v>
      </c>
      <c r="C9" s="307" t="s">
        <v>2859</v>
      </c>
      <c r="D9" s="308" t="n">
        <f aca="false">'[2]Общая калькуляция'!$M$11</f>
        <v>16562.497506232</v>
      </c>
    </row>
    <row r="10" customFormat="false" ht="26.1" hidden="false" customHeight="false" outlineLevel="0" collapsed="false">
      <c r="A10" s="306" t="s">
        <v>324</v>
      </c>
      <c r="B10" s="8" t="s">
        <v>2863</v>
      </c>
      <c r="C10" s="307" t="s">
        <v>2859</v>
      </c>
      <c r="D10" s="308" t="n">
        <f aca="false">'[2]Общая калькуляция'!$M$11</f>
        <v>16562.497506232</v>
      </c>
    </row>
    <row r="11" customFormat="false" ht="26.1" hidden="false" customHeight="false" outlineLevel="0" collapsed="false">
      <c r="A11" s="306" t="s">
        <v>393</v>
      </c>
      <c r="B11" s="8" t="s">
        <v>2864</v>
      </c>
      <c r="C11" s="307" t="s">
        <v>2859</v>
      </c>
      <c r="D11" s="308" t="n">
        <f aca="false">'[2]Общая калькуляция'!$M$11</f>
        <v>16562.497506232</v>
      </c>
    </row>
    <row r="12" customFormat="false" ht="26.1" hidden="false" customHeight="false" outlineLevel="0" collapsed="false">
      <c r="A12" s="306" t="s">
        <v>480</v>
      </c>
      <c r="B12" s="8" t="s">
        <v>2865</v>
      </c>
      <c r="C12" s="307" t="s">
        <v>2859</v>
      </c>
      <c r="D12" s="308" t="n">
        <f aca="false">'[2]Общая калькуляция'!$M$11</f>
        <v>16562.497506232</v>
      </c>
    </row>
    <row r="13" customFormat="false" ht="26.1" hidden="false" customHeight="false" outlineLevel="0" collapsed="false">
      <c r="A13" s="306" t="s">
        <v>525</v>
      </c>
      <c r="B13" s="8" t="s">
        <v>2866</v>
      </c>
      <c r="C13" s="307" t="s">
        <v>2859</v>
      </c>
      <c r="D13" s="308" t="n">
        <f aca="false">'[2]Общая калькуляция'!$M$11</f>
        <v>16562.497506232</v>
      </c>
    </row>
    <row r="14" customFormat="false" ht="26.1" hidden="false" customHeight="false" outlineLevel="0" collapsed="false">
      <c r="A14" s="306" t="s">
        <v>580</v>
      </c>
      <c r="B14" s="8" t="s">
        <v>2867</v>
      </c>
      <c r="C14" s="307" t="s">
        <v>2859</v>
      </c>
      <c r="D14" s="308" t="n">
        <f aca="false">'[2]Общая калькуляция'!$M$11</f>
        <v>16562.497506232</v>
      </c>
    </row>
  </sheetData>
  <mergeCells count="3">
    <mergeCell ref="A2:D2"/>
    <mergeCell ref="A3:D3"/>
    <mergeCell ref="B5:D5"/>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158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9" topLeftCell="A1553" activePane="bottomLeft" state="frozen"/>
      <selection pane="topLeft" activeCell="A1" activeCellId="0" sqref="A1"/>
      <selection pane="bottomLeft" activeCell="B1556" activeCellId="0" sqref="B1556"/>
    </sheetView>
  </sheetViews>
  <sheetFormatPr defaultColWidth="9.1484375" defaultRowHeight="15" zeroHeight="false" outlineLevelRow="0" outlineLevelCol="0"/>
  <cols>
    <col collapsed="false" customWidth="true" hidden="false" outlineLevel="0" max="1" min="1" style="309" width="9.42"/>
    <col collapsed="false" customWidth="true" hidden="false" outlineLevel="0" max="2" min="2" style="310" width="65.29"/>
    <col collapsed="false" customWidth="true" hidden="false" outlineLevel="0" max="4" min="3" style="311" width="12.86"/>
    <col collapsed="false" customWidth="true" hidden="false" outlineLevel="0" max="5" min="5" style="312" width="17.86"/>
    <col collapsed="false" customWidth="true" hidden="false" outlineLevel="0" max="8" min="6" style="312" width="12.86"/>
    <col collapsed="false" customWidth="true" hidden="false" outlineLevel="0" max="9" min="9" style="312" width="12.15"/>
    <col collapsed="false" customWidth="true" hidden="false" outlineLevel="0" max="13" min="10" style="312" width="12.86"/>
    <col collapsed="false" customWidth="true" hidden="false" outlineLevel="0" max="14" min="14" style="312" width="15.85"/>
    <col collapsed="false" customWidth="true" hidden="false" outlineLevel="0" max="15" min="15" style="310" width="11.43"/>
    <col collapsed="false" customWidth="false" hidden="false" outlineLevel="0" max="16384" min="16" style="310" width="9.14"/>
  </cols>
  <sheetData>
    <row r="1" customFormat="false" ht="22.5" hidden="false" customHeight="true" outlineLevel="0" collapsed="false">
      <c r="A1" s="313" t="s">
        <v>2868</v>
      </c>
      <c r="B1" s="313"/>
      <c r="C1" s="313"/>
      <c r="D1" s="313"/>
      <c r="E1" s="313"/>
      <c r="F1" s="313"/>
      <c r="G1" s="313"/>
      <c r="H1" s="313"/>
      <c r="I1" s="313"/>
      <c r="J1" s="313"/>
      <c r="K1" s="313"/>
      <c r="L1" s="313"/>
      <c r="M1" s="313"/>
      <c r="N1" s="313"/>
    </row>
    <row r="3" customFormat="false" ht="33" hidden="false" customHeight="true" outlineLevel="0" collapsed="false">
      <c r="A3" s="314" t="s">
        <v>2869</v>
      </c>
      <c r="B3" s="314"/>
      <c r="C3" s="314"/>
      <c r="D3" s="314"/>
      <c r="E3" s="314"/>
      <c r="F3" s="314"/>
      <c r="G3" s="314"/>
      <c r="H3" s="314"/>
      <c r="I3" s="314"/>
      <c r="J3" s="314"/>
      <c r="K3" s="314"/>
      <c r="L3" s="314"/>
      <c r="M3" s="314"/>
      <c r="N3" s="314"/>
    </row>
    <row r="4" customFormat="false" ht="22.5" hidden="false" customHeight="true" outlineLevel="0" collapsed="false">
      <c r="B4" s="311"/>
      <c r="C4" s="315"/>
      <c r="D4" s="315"/>
      <c r="E4" s="315"/>
      <c r="F4" s="315"/>
      <c r="G4" s="315"/>
      <c r="H4" s="315"/>
      <c r="I4" s="315"/>
      <c r="J4" s="315"/>
      <c r="K4" s="315"/>
      <c r="L4" s="315"/>
      <c r="M4" s="315"/>
      <c r="N4" s="315"/>
    </row>
    <row r="5" customFormat="false" ht="0.75" hidden="false" customHeight="true" outlineLevel="0" collapsed="false">
      <c r="B5" s="311"/>
      <c r="C5" s="315"/>
      <c r="D5" s="315"/>
      <c r="E5" s="315" t="n">
        <v>4</v>
      </c>
      <c r="F5" s="315"/>
      <c r="G5" s="315"/>
      <c r="H5" s="315"/>
      <c r="I5" s="315"/>
      <c r="J5" s="315"/>
      <c r="K5" s="315"/>
      <c r="L5" s="315"/>
      <c r="M5" s="315"/>
      <c r="N5" s="310" t="n">
        <v>4</v>
      </c>
    </row>
    <row r="6" customFormat="false" ht="22.5" hidden="true" customHeight="true" outlineLevel="0" collapsed="false">
      <c r="E6" s="312" t="n">
        <v>2</v>
      </c>
      <c r="N6" s="310" t="n">
        <v>2</v>
      </c>
    </row>
    <row r="7" customFormat="false" ht="32.25" hidden="false" customHeight="true" outlineLevel="0" collapsed="false">
      <c r="A7" s="216" t="s">
        <v>2870</v>
      </c>
      <c r="B7" s="316" t="s">
        <v>2871</v>
      </c>
      <c r="C7" s="316" t="s">
        <v>2872</v>
      </c>
      <c r="D7" s="316"/>
      <c r="E7" s="316"/>
      <c r="F7" s="317" t="s">
        <v>2873</v>
      </c>
      <c r="G7" s="317"/>
      <c r="H7" s="317"/>
      <c r="I7" s="317" t="s">
        <v>2874</v>
      </c>
      <c r="J7" s="317"/>
      <c r="K7" s="317"/>
      <c r="L7" s="317" t="s">
        <v>2875</v>
      </c>
      <c r="M7" s="317"/>
      <c r="N7" s="317"/>
    </row>
    <row r="8" customFormat="false" ht="34.5" hidden="false" customHeight="true" outlineLevel="0" collapsed="false">
      <c r="A8" s="216"/>
      <c r="B8" s="316"/>
      <c r="C8" s="316" t="s">
        <v>2876</v>
      </c>
      <c r="D8" s="316" t="s">
        <v>2877</v>
      </c>
      <c r="E8" s="317" t="s">
        <v>2878</v>
      </c>
      <c r="F8" s="317" t="s">
        <v>2876</v>
      </c>
      <c r="G8" s="317" t="s">
        <v>2877</v>
      </c>
      <c r="H8" s="317" t="s">
        <v>2878</v>
      </c>
      <c r="I8" s="317" t="s">
        <v>2876</v>
      </c>
      <c r="J8" s="317" t="s">
        <v>2877</v>
      </c>
      <c r="K8" s="317" t="s">
        <v>2878</v>
      </c>
      <c r="L8" s="317" t="s">
        <v>2876</v>
      </c>
      <c r="M8" s="317" t="s">
        <v>2877</v>
      </c>
      <c r="N8" s="317" t="s">
        <v>2878</v>
      </c>
    </row>
    <row r="9" customFormat="false" ht="22.5" hidden="false" customHeight="true" outlineLevel="0" collapsed="false">
      <c r="A9" s="216" t="n">
        <v>1</v>
      </c>
      <c r="B9" s="316" t="n">
        <v>2</v>
      </c>
      <c r="C9" s="316" t="n">
        <v>3</v>
      </c>
      <c r="D9" s="316" t="n">
        <v>4</v>
      </c>
      <c r="E9" s="317" t="n">
        <v>5</v>
      </c>
      <c r="F9" s="317" t="n">
        <v>6</v>
      </c>
      <c r="G9" s="317" t="n">
        <v>7</v>
      </c>
      <c r="H9" s="317" t="n">
        <v>8</v>
      </c>
      <c r="I9" s="317" t="n">
        <v>9</v>
      </c>
      <c r="J9" s="317" t="n">
        <v>10</v>
      </c>
      <c r="K9" s="317" t="n">
        <v>11</v>
      </c>
      <c r="L9" s="317" t="n">
        <v>12</v>
      </c>
      <c r="M9" s="317" t="n">
        <v>13</v>
      </c>
      <c r="N9" s="317" t="n">
        <v>14</v>
      </c>
    </row>
    <row r="10" customFormat="false" ht="42.75" hidden="false" customHeight="false" outlineLevel="0" collapsed="false">
      <c r="A10" s="10" t="n">
        <v>1</v>
      </c>
      <c r="B10" s="318" t="s">
        <v>2879</v>
      </c>
      <c r="C10" s="319"/>
      <c r="D10" s="319"/>
      <c r="E10" s="320"/>
      <c r="F10" s="320"/>
      <c r="G10" s="320"/>
      <c r="H10" s="320"/>
      <c r="I10" s="320"/>
      <c r="J10" s="320"/>
      <c r="K10" s="320"/>
      <c r="L10" s="320"/>
      <c r="M10" s="320"/>
      <c r="N10" s="320"/>
    </row>
    <row r="11" customFormat="false" ht="114" hidden="false" customHeight="false" outlineLevel="0" collapsed="false">
      <c r="A11" s="15" t="s">
        <v>11</v>
      </c>
      <c r="B11" s="16" t="s">
        <v>2880</v>
      </c>
      <c r="C11" s="321"/>
      <c r="D11" s="321"/>
      <c r="E11" s="322"/>
      <c r="F11" s="322"/>
      <c r="G11" s="322"/>
      <c r="H11" s="322"/>
      <c r="I11" s="322"/>
      <c r="J11" s="322"/>
      <c r="K11" s="322"/>
      <c r="L11" s="322"/>
      <c r="M11" s="322"/>
      <c r="N11" s="322"/>
    </row>
    <row r="12" customFormat="false" ht="15" hidden="false" customHeight="true" outlineLevel="0" collapsed="false">
      <c r="A12" s="20" t="s">
        <v>13</v>
      </c>
      <c r="B12" s="21" t="s">
        <v>2881</v>
      </c>
      <c r="C12" s="323"/>
      <c r="D12" s="323"/>
      <c r="E12" s="324" t="e">
        <f aca="false">общ.калькуляция!h11</f>
        <v>#NAME?</v>
      </c>
      <c r="F12" s="324"/>
      <c r="G12" s="324"/>
      <c r="H12" s="324" t="e">
        <f aca="false">общ.калькуляция!j11</f>
        <v>#NAME?</v>
      </c>
      <c r="I12" s="324"/>
      <c r="J12" s="324"/>
      <c r="K12" s="324" t="e">
        <f aca="false">общ.калькуляция!m11</f>
        <v>#NAME?</v>
      </c>
      <c r="L12" s="324"/>
      <c r="M12" s="324"/>
      <c r="N12" s="324" t="e">
        <f aca="false">E12+H12+K12</f>
        <v>#NAME?</v>
      </c>
    </row>
    <row r="13" customFormat="false" ht="15" hidden="false" customHeight="true" outlineLevel="0" collapsed="false">
      <c r="A13" s="20" t="s">
        <v>16</v>
      </c>
      <c r="B13" s="21" t="s">
        <v>2882</v>
      </c>
      <c r="C13" s="323"/>
      <c r="D13" s="323"/>
      <c r="E13" s="324" t="e">
        <f aca="false">общ.калькуляция!h12</f>
        <v>#NAME?</v>
      </c>
      <c r="F13" s="324"/>
      <c r="G13" s="324"/>
      <c r="H13" s="324" t="e">
        <f aca="false">общ.калькуляция!j12</f>
        <v>#NAME?</v>
      </c>
      <c r="I13" s="324"/>
      <c r="J13" s="324"/>
      <c r="K13" s="324" t="e">
        <f aca="false">общ.калькуляция!m12</f>
        <v>#NAME?</v>
      </c>
      <c r="L13" s="324"/>
      <c r="M13" s="324"/>
      <c r="N13" s="324" t="e">
        <f aca="false">E13+H13+K13</f>
        <v>#NAME?</v>
      </c>
    </row>
    <row r="14" customFormat="false" ht="15" hidden="false" customHeight="true" outlineLevel="0" collapsed="false">
      <c r="A14" s="20" t="s">
        <v>18</v>
      </c>
      <c r="B14" s="21" t="s">
        <v>2883</v>
      </c>
      <c r="C14" s="323"/>
      <c r="D14" s="323"/>
      <c r="E14" s="324" t="e">
        <f aca="false">общ.калькуляция!h13</f>
        <v>#NAME?</v>
      </c>
      <c r="F14" s="324"/>
      <c r="G14" s="324"/>
      <c r="H14" s="324" t="e">
        <f aca="false">общ.калькуляция!j13</f>
        <v>#NAME?</v>
      </c>
      <c r="I14" s="324"/>
      <c r="J14" s="324"/>
      <c r="K14" s="324" t="e">
        <f aca="false">общ.калькуляция!m13</f>
        <v>#NAME?</v>
      </c>
      <c r="L14" s="324"/>
      <c r="M14" s="324"/>
      <c r="N14" s="324" t="e">
        <f aca="false">E14+H14+K14</f>
        <v>#NAME?</v>
      </c>
    </row>
    <row r="15" customFormat="false" ht="15" hidden="false" customHeight="true" outlineLevel="0" collapsed="false">
      <c r="A15" s="20" t="s">
        <v>20</v>
      </c>
      <c r="B15" s="21" t="s">
        <v>2884</v>
      </c>
      <c r="C15" s="323"/>
      <c r="D15" s="323"/>
      <c r="E15" s="324" t="e">
        <f aca="false">общ.калькуляция!h14</f>
        <v>#NAME?</v>
      </c>
      <c r="F15" s="324"/>
      <c r="G15" s="324"/>
      <c r="H15" s="324" t="e">
        <f aca="false">общ.калькуляция!j14</f>
        <v>#NAME?</v>
      </c>
      <c r="I15" s="324"/>
      <c r="J15" s="324"/>
      <c r="K15" s="324" t="e">
        <f aca="false">общ.калькуляция!m14</f>
        <v>#NAME?</v>
      </c>
      <c r="L15" s="324"/>
      <c r="M15" s="324"/>
      <c r="N15" s="324" t="e">
        <f aca="false">E15+H15+K15</f>
        <v>#NAME?</v>
      </c>
    </row>
    <row r="16" customFormat="false" ht="15" hidden="false" customHeight="true" outlineLevel="0" collapsed="false">
      <c r="A16" s="20" t="s">
        <v>22</v>
      </c>
      <c r="B16" s="21" t="s">
        <v>2885</v>
      </c>
      <c r="C16" s="323"/>
      <c r="D16" s="323"/>
      <c r="E16" s="324" t="e">
        <f aca="false">общ.калькуляция!h15</f>
        <v>#NAME?</v>
      </c>
      <c r="F16" s="324"/>
      <c r="G16" s="324"/>
      <c r="H16" s="324" t="e">
        <f aca="false">общ.калькуляция!j15</f>
        <v>#NAME?</v>
      </c>
      <c r="I16" s="324"/>
      <c r="J16" s="324"/>
      <c r="K16" s="324" t="e">
        <f aca="false">общ.калькуляция!m15</f>
        <v>#NAME?</v>
      </c>
      <c r="L16" s="324"/>
      <c r="M16" s="324"/>
      <c r="N16" s="324" t="e">
        <f aca="false">E16+H16+K16</f>
        <v>#NAME?</v>
      </c>
    </row>
    <row r="17" customFormat="false" ht="15" hidden="false" customHeight="true" outlineLevel="0" collapsed="false">
      <c r="A17" s="20" t="s">
        <v>24</v>
      </c>
      <c r="B17" s="21" t="s">
        <v>2886</v>
      </c>
      <c r="C17" s="323"/>
      <c r="D17" s="323"/>
      <c r="E17" s="324" t="e">
        <f aca="false">общ.калькуляция!h16</f>
        <v>#NAME?</v>
      </c>
      <c r="F17" s="324"/>
      <c r="G17" s="324"/>
      <c r="H17" s="324" t="e">
        <f aca="false">общ.калькуляция!j16</f>
        <v>#NAME?</v>
      </c>
      <c r="I17" s="324"/>
      <c r="J17" s="324"/>
      <c r="K17" s="324" t="e">
        <f aca="false">общ.калькуляция!m16</f>
        <v>#NAME?</v>
      </c>
      <c r="L17" s="324"/>
      <c r="M17" s="324"/>
      <c r="N17" s="324" t="e">
        <f aca="false">E17+H17+K17</f>
        <v>#NAME?</v>
      </c>
    </row>
    <row r="18" customFormat="false" ht="15" hidden="false" customHeight="true" outlineLevel="0" collapsed="false">
      <c r="A18" s="20" t="s">
        <v>26</v>
      </c>
      <c r="B18" s="325" t="s">
        <v>2887</v>
      </c>
      <c r="C18" s="323"/>
      <c r="D18" s="323"/>
      <c r="E18" s="324" t="e">
        <f aca="false">общ.калькуляция!h17</f>
        <v>#NAME?</v>
      </c>
      <c r="F18" s="324"/>
      <c r="G18" s="324"/>
      <c r="H18" s="324" t="e">
        <f aca="false">общ.калькуляция!j17</f>
        <v>#NAME?</v>
      </c>
      <c r="I18" s="324"/>
      <c r="J18" s="324"/>
      <c r="K18" s="324" t="e">
        <f aca="false">общ.калькуляция!m17</f>
        <v>#NAME?</v>
      </c>
      <c r="L18" s="324"/>
      <c r="M18" s="324"/>
      <c r="N18" s="324" t="e">
        <f aca="false">E18+H18+K18</f>
        <v>#NAME?</v>
      </c>
    </row>
    <row r="19" customFormat="false" ht="15" hidden="false" customHeight="true" outlineLevel="0" collapsed="false">
      <c r="A19" s="20" t="s">
        <v>28</v>
      </c>
      <c r="B19" s="325" t="s">
        <v>2888</v>
      </c>
      <c r="C19" s="323"/>
      <c r="D19" s="323"/>
      <c r="E19" s="324" t="e">
        <f aca="false">общ.калькуляция!h18</f>
        <v>#NAME?</v>
      </c>
      <c r="F19" s="324"/>
      <c r="G19" s="324"/>
      <c r="H19" s="324" t="e">
        <f aca="false">общ.калькуляция!j18</f>
        <v>#NAME?</v>
      </c>
      <c r="I19" s="324"/>
      <c r="J19" s="324"/>
      <c r="K19" s="324" t="e">
        <f aca="false">общ.калькуляция!m18</f>
        <v>#NAME?</v>
      </c>
      <c r="L19" s="324"/>
      <c r="M19" s="324"/>
      <c r="N19" s="324" t="e">
        <f aca="false">E19+H19+K19</f>
        <v>#NAME?</v>
      </c>
    </row>
    <row r="20" customFormat="false" ht="15" hidden="false" customHeight="true" outlineLevel="0" collapsed="false">
      <c r="A20" s="20" t="s">
        <v>30</v>
      </c>
      <c r="B20" s="325" t="s">
        <v>2889</v>
      </c>
      <c r="C20" s="323"/>
      <c r="D20" s="323"/>
      <c r="E20" s="324" t="e">
        <f aca="false">общ.калькуляция!h19</f>
        <v>#NAME?</v>
      </c>
      <c r="F20" s="324"/>
      <c r="G20" s="324"/>
      <c r="H20" s="324" t="e">
        <f aca="false">общ.калькуляция!j19</f>
        <v>#NAME?</v>
      </c>
      <c r="I20" s="324"/>
      <c r="J20" s="324"/>
      <c r="K20" s="324" t="e">
        <f aca="false">общ.калькуляция!m19</f>
        <v>#NAME?</v>
      </c>
      <c r="L20" s="324"/>
      <c r="M20" s="324"/>
      <c r="N20" s="324" t="e">
        <f aca="false">E20+H20+K20</f>
        <v>#NAME?</v>
      </c>
    </row>
    <row r="21" customFormat="false" ht="15" hidden="false" customHeight="true" outlineLevel="0" collapsed="false">
      <c r="A21" s="20" t="s">
        <v>32</v>
      </c>
      <c r="B21" s="325" t="s">
        <v>2890</v>
      </c>
      <c r="C21" s="323"/>
      <c r="D21" s="323"/>
      <c r="E21" s="324" t="e">
        <f aca="false">общ.калькуляция!h20</f>
        <v>#NAME?</v>
      </c>
      <c r="F21" s="324"/>
      <c r="G21" s="324"/>
      <c r="H21" s="324" t="e">
        <f aca="false">общ.калькуляция!j20</f>
        <v>#NAME?</v>
      </c>
      <c r="I21" s="324"/>
      <c r="J21" s="324"/>
      <c r="K21" s="324" t="e">
        <f aca="false">общ.калькуляция!m20</f>
        <v>#NAME?</v>
      </c>
      <c r="L21" s="324"/>
      <c r="M21" s="324"/>
      <c r="N21" s="324" t="e">
        <f aca="false">E21+H21+K21</f>
        <v>#NAME?</v>
      </c>
    </row>
    <row r="22" customFormat="false" ht="15" hidden="false" customHeight="true" outlineLevel="0" collapsed="false">
      <c r="A22" s="20" t="s">
        <v>34</v>
      </c>
      <c r="B22" s="326" t="s">
        <v>2891</v>
      </c>
      <c r="C22" s="323"/>
      <c r="D22" s="323"/>
      <c r="E22" s="324" t="e">
        <f aca="false">общ.калькуляция!h21</f>
        <v>#NAME?</v>
      </c>
      <c r="F22" s="324"/>
      <c r="G22" s="324"/>
      <c r="H22" s="324" t="e">
        <f aca="false">общ.калькуляция!j21</f>
        <v>#NAME?</v>
      </c>
      <c r="I22" s="324"/>
      <c r="J22" s="324"/>
      <c r="K22" s="324" t="e">
        <f aca="false">общ.калькуляция!m21</f>
        <v>#NAME?</v>
      </c>
      <c r="L22" s="324"/>
      <c r="M22" s="324"/>
      <c r="N22" s="324" t="e">
        <f aca="false">E22+H22+K22</f>
        <v>#NAME?</v>
      </c>
    </row>
    <row r="23" customFormat="false" ht="15" hidden="false" customHeight="true" outlineLevel="0" collapsed="false">
      <c r="A23" s="20" t="s">
        <v>36</v>
      </c>
      <c r="B23" s="325" t="s">
        <v>2892</v>
      </c>
      <c r="C23" s="323"/>
      <c r="D23" s="323"/>
      <c r="E23" s="324" t="e">
        <f aca="false">общ.калькуляция!h22</f>
        <v>#NAME?</v>
      </c>
      <c r="F23" s="324"/>
      <c r="G23" s="324"/>
      <c r="H23" s="324" t="e">
        <f aca="false">общ.калькуляция!j22</f>
        <v>#NAME?</v>
      </c>
      <c r="I23" s="324"/>
      <c r="J23" s="324"/>
      <c r="K23" s="324" t="e">
        <f aca="false">общ.калькуляция!m22</f>
        <v>#NAME?</v>
      </c>
      <c r="L23" s="324"/>
      <c r="M23" s="324"/>
      <c r="N23" s="324" t="e">
        <f aca="false">E23+H23+K23</f>
        <v>#NAME?</v>
      </c>
    </row>
    <row r="24" customFormat="false" ht="15" hidden="false" customHeight="true" outlineLevel="0" collapsed="false">
      <c r="A24" s="20" t="s">
        <v>38</v>
      </c>
      <c r="B24" s="325" t="s">
        <v>2893</v>
      </c>
      <c r="C24" s="323"/>
      <c r="D24" s="323"/>
      <c r="E24" s="324" t="e">
        <f aca="false">общ.калькуляция!h23</f>
        <v>#NAME?</v>
      </c>
      <c r="F24" s="324"/>
      <c r="G24" s="324"/>
      <c r="H24" s="324" t="e">
        <f aca="false">общ.калькуляция!j23</f>
        <v>#NAME?</v>
      </c>
      <c r="I24" s="324"/>
      <c r="J24" s="324"/>
      <c r="K24" s="324" t="e">
        <f aca="false">общ.калькуляция!m23</f>
        <v>#NAME?</v>
      </c>
      <c r="L24" s="324"/>
      <c r="M24" s="324"/>
      <c r="N24" s="324" t="e">
        <f aca="false">E24+H24+K24</f>
        <v>#NAME?</v>
      </c>
    </row>
    <row r="25" customFormat="false" ht="15" hidden="false" customHeight="true" outlineLevel="0" collapsed="false">
      <c r="A25" s="20" t="s">
        <v>40</v>
      </c>
      <c r="B25" s="325" t="s">
        <v>2894</v>
      </c>
      <c r="C25" s="323"/>
      <c r="D25" s="323"/>
      <c r="E25" s="324" t="e">
        <f aca="false">общ.калькуляция!h24</f>
        <v>#NAME?</v>
      </c>
      <c r="F25" s="324"/>
      <c r="G25" s="324"/>
      <c r="H25" s="324" t="e">
        <f aca="false">общ.калькуляция!j24</f>
        <v>#NAME?</v>
      </c>
      <c r="I25" s="324"/>
      <c r="J25" s="324"/>
      <c r="K25" s="324" t="e">
        <f aca="false">общ.калькуляция!m24</f>
        <v>#NAME?</v>
      </c>
      <c r="L25" s="324"/>
      <c r="M25" s="324"/>
      <c r="N25" s="324" t="e">
        <f aca="false">E25+H25+K25</f>
        <v>#NAME?</v>
      </c>
    </row>
    <row r="26" customFormat="false" ht="15" hidden="false" customHeight="true" outlineLevel="0" collapsed="false">
      <c r="A26" s="20" t="s">
        <v>42</v>
      </c>
      <c r="B26" s="325" t="s">
        <v>2895</v>
      </c>
      <c r="C26" s="323"/>
      <c r="D26" s="323"/>
      <c r="E26" s="324" t="e">
        <f aca="false">общ.калькуляция!h25</f>
        <v>#NAME?</v>
      </c>
      <c r="F26" s="324"/>
      <c r="G26" s="324"/>
      <c r="H26" s="324" t="e">
        <f aca="false">общ.калькуляция!j25</f>
        <v>#NAME?</v>
      </c>
      <c r="I26" s="324"/>
      <c r="J26" s="324"/>
      <c r="K26" s="324" t="e">
        <f aca="false">общ.калькуляция!m25</f>
        <v>#NAME?</v>
      </c>
      <c r="L26" s="324"/>
      <c r="M26" s="324"/>
      <c r="N26" s="324" t="e">
        <f aca="false">E26+H26+K26</f>
        <v>#NAME?</v>
      </c>
    </row>
    <row r="27" customFormat="false" ht="15" hidden="false" customHeight="true" outlineLevel="0" collapsed="false">
      <c r="A27" s="20" t="s">
        <v>44</v>
      </c>
      <c r="B27" s="325" t="s">
        <v>2896</v>
      </c>
      <c r="C27" s="323"/>
      <c r="D27" s="323"/>
      <c r="E27" s="324" t="e">
        <f aca="false">общ.калькуляция!h26</f>
        <v>#NAME?</v>
      </c>
      <c r="F27" s="324"/>
      <c r="G27" s="324"/>
      <c r="H27" s="324" t="e">
        <f aca="false">общ.калькуляция!j26</f>
        <v>#NAME?</v>
      </c>
      <c r="I27" s="324"/>
      <c r="J27" s="324"/>
      <c r="K27" s="324" t="e">
        <f aca="false">общ.калькуляция!m26</f>
        <v>#NAME?</v>
      </c>
      <c r="L27" s="324"/>
      <c r="M27" s="324"/>
      <c r="N27" s="324" t="e">
        <f aca="false">E27+H27+K27</f>
        <v>#NAME?</v>
      </c>
    </row>
    <row r="28" customFormat="false" ht="15" hidden="false" customHeight="true" outlineLevel="0" collapsed="false">
      <c r="A28" s="20" t="s">
        <v>46</v>
      </c>
      <c r="B28" s="325" t="s">
        <v>2897</v>
      </c>
      <c r="C28" s="323"/>
      <c r="D28" s="323"/>
      <c r="E28" s="324" t="e">
        <f aca="false">общ.калькуляция!h27</f>
        <v>#NAME?</v>
      </c>
      <c r="F28" s="324"/>
      <c r="G28" s="324"/>
      <c r="H28" s="324" t="e">
        <f aca="false">общ.калькуляция!j27</f>
        <v>#NAME?</v>
      </c>
      <c r="I28" s="324"/>
      <c r="J28" s="324"/>
      <c r="K28" s="324" t="e">
        <f aca="false">общ.калькуляция!m27</f>
        <v>#NAME?</v>
      </c>
      <c r="L28" s="324"/>
      <c r="M28" s="324"/>
      <c r="N28" s="324" t="e">
        <f aca="false">E28+H28+K28</f>
        <v>#NAME?</v>
      </c>
    </row>
    <row r="29" customFormat="false" ht="15" hidden="false" customHeight="true" outlineLevel="0" collapsed="false">
      <c r="A29" s="20" t="s">
        <v>48</v>
      </c>
      <c r="B29" s="325" t="s">
        <v>2898</v>
      </c>
      <c r="C29" s="323"/>
      <c r="D29" s="323"/>
      <c r="E29" s="324" t="e">
        <f aca="false">общ.калькуляция!h28</f>
        <v>#NAME?</v>
      </c>
      <c r="F29" s="324"/>
      <c r="G29" s="324"/>
      <c r="H29" s="324" t="e">
        <f aca="false">общ.калькуляция!j28</f>
        <v>#NAME?</v>
      </c>
      <c r="I29" s="324"/>
      <c r="J29" s="324"/>
      <c r="K29" s="324" t="e">
        <f aca="false">общ.калькуляция!m28</f>
        <v>#NAME?</v>
      </c>
      <c r="L29" s="324"/>
      <c r="M29" s="324"/>
      <c r="N29" s="324" t="e">
        <f aca="false">E29+H29+K29</f>
        <v>#NAME?</v>
      </c>
    </row>
    <row r="30" customFormat="false" ht="15" hidden="false" customHeight="true" outlineLevel="0" collapsed="false">
      <c r="A30" s="20" t="s">
        <v>50</v>
      </c>
      <c r="B30" s="325" t="s">
        <v>2899</v>
      </c>
      <c r="C30" s="323"/>
      <c r="D30" s="323"/>
      <c r="E30" s="324" t="e">
        <f aca="false">общ.калькуляция!h29</f>
        <v>#NAME?</v>
      </c>
      <c r="F30" s="324"/>
      <c r="G30" s="324"/>
      <c r="H30" s="324" t="e">
        <f aca="false">общ.калькуляция!j29</f>
        <v>#NAME?</v>
      </c>
      <c r="I30" s="324"/>
      <c r="J30" s="324"/>
      <c r="K30" s="324" t="e">
        <f aca="false">общ.калькуляция!m29</f>
        <v>#NAME?</v>
      </c>
      <c r="L30" s="324"/>
      <c r="M30" s="324"/>
      <c r="N30" s="324" t="e">
        <f aca="false">E30+H30+K30</f>
        <v>#NAME?</v>
      </c>
    </row>
    <row r="31" customFormat="false" ht="15" hidden="false" customHeight="true" outlineLevel="0" collapsed="false">
      <c r="A31" s="20" t="s">
        <v>52</v>
      </c>
      <c r="B31" s="325" t="s">
        <v>2900</v>
      </c>
      <c r="C31" s="323"/>
      <c r="D31" s="323"/>
      <c r="E31" s="324" t="e">
        <f aca="false">общ.калькуляция!h30</f>
        <v>#NAME?</v>
      </c>
      <c r="F31" s="324"/>
      <c r="G31" s="324"/>
      <c r="H31" s="324" t="e">
        <f aca="false">общ.калькуляция!j30</f>
        <v>#NAME?</v>
      </c>
      <c r="I31" s="324"/>
      <c r="J31" s="324"/>
      <c r="K31" s="324" t="e">
        <f aca="false">общ.калькуляция!m30</f>
        <v>#NAME?</v>
      </c>
      <c r="L31" s="324"/>
      <c r="M31" s="324"/>
      <c r="N31" s="324" t="e">
        <f aca="false">E31+H31+K31</f>
        <v>#NAME?</v>
      </c>
    </row>
    <row r="32" customFormat="false" ht="15" hidden="false" customHeight="true" outlineLevel="0" collapsed="false">
      <c r="A32" s="20" t="s">
        <v>54</v>
      </c>
      <c r="B32" s="325" t="s">
        <v>2901</v>
      </c>
      <c r="C32" s="323"/>
      <c r="D32" s="323"/>
      <c r="E32" s="324" t="e">
        <f aca="false">общ.калькуляция!h31</f>
        <v>#NAME?</v>
      </c>
      <c r="F32" s="324"/>
      <c r="G32" s="324"/>
      <c r="H32" s="324" t="e">
        <f aca="false">общ.калькуляция!j31</f>
        <v>#NAME?</v>
      </c>
      <c r="I32" s="324"/>
      <c r="J32" s="324"/>
      <c r="K32" s="324" t="e">
        <f aca="false">общ.калькуляция!m31</f>
        <v>#NAME?</v>
      </c>
      <c r="L32" s="324"/>
      <c r="M32" s="324"/>
      <c r="N32" s="324" t="e">
        <f aca="false">E32+H32+K32</f>
        <v>#NAME?</v>
      </c>
    </row>
    <row r="33" customFormat="false" ht="15" hidden="false" customHeight="true" outlineLevel="0" collapsed="false">
      <c r="A33" s="20" t="s">
        <v>56</v>
      </c>
      <c r="B33" s="325" t="s">
        <v>2902</v>
      </c>
      <c r="C33" s="323"/>
      <c r="D33" s="323"/>
      <c r="E33" s="324" t="e">
        <f aca="false">общ.калькуляция!h32</f>
        <v>#NAME?</v>
      </c>
      <c r="F33" s="324"/>
      <c r="G33" s="324"/>
      <c r="H33" s="324" t="e">
        <f aca="false">общ.калькуляция!j32</f>
        <v>#NAME?</v>
      </c>
      <c r="I33" s="324"/>
      <c r="J33" s="324"/>
      <c r="K33" s="324" t="e">
        <f aca="false">общ.калькуляция!m32</f>
        <v>#NAME?</v>
      </c>
      <c r="L33" s="324"/>
      <c r="M33" s="324"/>
      <c r="N33" s="324" t="e">
        <f aca="false">E33+H33+K33</f>
        <v>#NAME?</v>
      </c>
    </row>
    <row r="34" customFormat="false" ht="15" hidden="false" customHeight="true" outlineLevel="0" collapsed="false">
      <c r="A34" s="20" t="s">
        <v>58</v>
      </c>
      <c r="B34" s="325" t="s">
        <v>2903</v>
      </c>
      <c r="C34" s="323"/>
      <c r="D34" s="323"/>
      <c r="E34" s="324" t="e">
        <f aca="false">общ.калькуляция!h33</f>
        <v>#NAME?</v>
      </c>
      <c r="F34" s="324"/>
      <c r="G34" s="324"/>
      <c r="H34" s="324" t="e">
        <f aca="false">общ.калькуляция!j33</f>
        <v>#NAME?</v>
      </c>
      <c r="I34" s="324"/>
      <c r="J34" s="324"/>
      <c r="K34" s="324" t="e">
        <f aca="false">общ.калькуляция!m33</f>
        <v>#NAME?</v>
      </c>
      <c r="L34" s="324"/>
      <c r="M34" s="324"/>
      <c r="N34" s="324" t="e">
        <f aca="false">E34+H34+K34</f>
        <v>#NAME?</v>
      </c>
    </row>
    <row r="35" customFormat="false" ht="15" hidden="false" customHeight="true" outlineLevel="0" collapsed="false">
      <c r="A35" s="20" t="s">
        <v>60</v>
      </c>
      <c r="B35" s="325" t="s">
        <v>2904</v>
      </c>
      <c r="C35" s="323"/>
      <c r="D35" s="323"/>
      <c r="E35" s="324" t="e">
        <f aca="false">общ.калькуляция!h34</f>
        <v>#NAME?</v>
      </c>
      <c r="F35" s="324"/>
      <c r="G35" s="324"/>
      <c r="H35" s="324" t="e">
        <f aca="false">общ.калькуляция!j34</f>
        <v>#NAME?</v>
      </c>
      <c r="I35" s="324"/>
      <c r="J35" s="324"/>
      <c r="K35" s="324" t="e">
        <f aca="false">общ.калькуляция!m34</f>
        <v>#NAME?</v>
      </c>
      <c r="L35" s="324"/>
      <c r="M35" s="324"/>
      <c r="N35" s="324" t="e">
        <f aca="false">E35+H35+K35</f>
        <v>#NAME?</v>
      </c>
    </row>
    <row r="36" customFormat="false" ht="15" hidden="false" customHeight="true" outlineLevel="0" collapsed="false">
      <c r="A36" s="20" t="s">
        <v>62</v>
      </c>
      <c r="B36" s="325" t="s">
        <v>2905</v>
      </c>
      <c r="C36" s="323"/>
      <c r="D36" s="323"/>
      <c r="E36" s="324" t="e">
        <f aca="false">общ.калькуляция!h35</f>
        <v>#NAME?</v>
      </c>
      <c r="F36" s="324"/>
      <c r="G36" s="324"/>
      <c r="H36" s="324" t="e">
        <f aca="false">общ.калькуляция!j35</f>
        <v>#NAME?</v>
      </c>
      <c r="I36" s="324"/>
      <c r="J36" s="324"/>
      <c r="K36" s="324" t="e">
        <f aca="false">общ.калькуляция!m35</f>
        <v>#NAME?</v>
      </c>
      <c r="L36" s="324"/>
      <c r="M36" s="324"/>
      <c r="N36" s="324" t="e">
        <f aca="false">E36+H36+K36</f>
        <v>#NAME?</v>
      </c>
    </row>
    <row r="37" customFormat="false" ht="15" hidden="false" customHeight="true" outlineLevel="0" collapsed="false">
      <c r="A37" s="20" t="s">
        <v>64</v>
      </c>
      <c r="B37" s="325" t="s">
        <v>2906</v>
      </c>
      <c r="C37" s="323"/>
      <c r="D37" s="323"/>
      <c r="E37" s="324" t="e">
        <f aca="false">общ.калькуляция!h36</f>
        <v>#NAME?</v>
      </c>
      <c r="F37" s="324"/>
      <c r="G37" s="324"/>
      <c r="H37" s="324" t="e">
        <f aca="false">общ.калькуляция!j36</f>
        <v>#NAME?</v>
      </c>
      <c r="I37" s="324"/>
      <c r="J37" s="324"/>
      <c r="K37" s="324" t="e">
        <f aca="false">общ.калькуляция!m36</f>
        <v>#NAME?</v>
      </c>
      <c r="L37" s="324"/>
      <c r="M37" s="324"/>
      <c r="N37" s="324" t="e">
        <f aca="false">E37+H37+K37</f>
        <v>#NAME?</v>
      </c>
    </row>
    <row r="38" customFormat="false" ht="15" hidden="false" customHeight="true" outlineLevel="0" collapsed="false">
      <c r="A38" s="20" t="s">
        <v>66</v>
      </c>
      <c r="B38" s="325" t="s">
        <v>2907</v>
      </c>
      <c r="C38" s="323"/>
      <c r="D38" s="323"/>
      <c r="E38" s="324" t="e">
        <f aca="false">общ.калькуляция!h37</f>
        <v>#NAME?</v>
      </c>
      <c r="F38" s="324"/>
      <c r="G38" s="324"/>
      <c r="H38" s="324" t="e">
        <f aca="false">общ.калькуляция!j37</f>
        <v>#NAME?</v>
      </c>
      <c r="I38" s="324"/>
      <c r="J38" s="324"/>
      <c r="K38" s="324" t="e">
        <f aca="false">общ.калькуляция!m37</f>
        <v>#NAME?</v>
      </c>
      <c r="L38" s="324"/>
      <c r="M38" s="324"/>
      <c r="N38" s="324" t="e">
        <f aca="false">E38+H38+K38</f>
        <v>#NAME?</v>
      </c>
    </row>
    <row r="39" customFormat="false" ht="15" hidden="false" customHeight="true" outlineLevel="0" collapsed="false">
      <c r="A39" s="20" t="s">
        <v>68</v>
      </c>
      <c r="B39" s="325" t="s">
        <v>2908</v>
      </c>
      <c r="C39" s="323"/>
      <c r="D39" s="323"/>
      <c r="E39" s="324" t="e">
        <f aca="false">общ.калькуляция!h38</f>
        <v>#NAME?</v>
      </c>
      <c r="F39" s="324"/>
      <c r="G39" s="324"/>
      <c r="H39" s="324" t="e">
        <f aca="false">общ.калькуляция!j38</f>
        <v>#NAME?</v>
      </c>
      <c r="I39" s="324"/>
      <c r="J39" s="324"/>
      <c r="K39" s="324" t="e">
        <f aca="false">общ.калькуляция!m38</f>
        <v>#NAME?</v>
      </c>
      <c r="L39" s="324"/>
      <c r="M39" s="324"/>
      <c r="N39" s="324" t="e">
        <f aca="false">E39+H39+K39</f>
        <v>#NAME?</v>
      </c>
    </row>
    <row r="40" customFormat="false" ht="15" hidden="false" customHeight="true" outlineLevel="0" collapsed="false">
      <c r="A40" s="20" t="s">
        <v>70</v>
      </c>
      <c r="B40" s="325" t="s">
        <v>2909</v>
      </c>
      <c r="C40" s="323"/>
      <c r="D40" s="323"/>
      <c r="E40" s="324" t="e">
        <f aca="false">общ.калькуляция!h39</f>
        <v>#NAME?</v>
      </c>
      <c r="F40" s="324"/>
      <c r="G40" s="324"/>
      <c r="H40" s="324" t="e">
        <f aca="false">общ.калькуляция!j39</f>
        <v>#NAME?</v>
      </c>
      <c r="I40" s="324"/>
      <c r="J40" s="324"/>
      <c r="K40" s="324" t="e">
        <f aca="false">общ.калькуляция!m39</f>
        <v>#NAME?</v>
      </c>
      <c r="L40" s="324"/>
      <c r="M40" s="324"/>
      <c r="N40" s="324" t="e">
        <f aca="false">E40+H40+K40</f>
        <v>#NAME?</v>
      </c>
    </row>
    <row r="41" customFormat="false" ht="15" hidden="false" customHeight="true" outlineLevel="0" collapsed="false">
      <c r="A41" s="20" t="s">
        <v>72</v>
      </c>
      <c r="B41" s="325" t="s">
        <v>2910</v>
      </c>
      <c r="C41" s="323"/>
      <c r="D41" s="323"/>
      <c r="E41" s="324" t="e">
        <f aca="false">общ.калькуляция!h40</f>
        <v>#NAME?</v>
      </c>
      <c r="F41" s="324"/>
      <c r="G41" s="324"/>
      <c r="H41" s="324" t="e">
        <f aca="false">общ.калькуляция!j40</f>
        <v>#NAME?</v>
      </c>
      <c r="I41" s="324"/>
      <c r="J41" s="324"/>
      <c r="K41" s="324" t="e">
        <f aca="false">общ.калькуляция!m40</f>
        <v>#NAME?</v>
      </c>
      <c r="L41" s="324"/>
      <c r="M41" s="324"/>
      <c r="N41" s="324" t="e">
        <f aca="false">E41+H41+K41</f>
        <v>#NAME?</v>
      </c>
    </row>
    <row r="42" customFormat="false" ht="15" hidden="false" customHeight="true" outlineLevel="0" collapsed="false">
      <c r="A42" s="20" t="s">
        <v>74</v>
      </c>
      <c r="B42" s="325" t="s">
        <v>2911</v>
      </c>
      <c r="C42" s="323"/>
      <c r="D42" s="323"/>
      <c r="E42" s="324" t="e">
        <f aca="false">общ.калькуляция!h41</f>
        <v>#NAME?</v>
      </c>
      <c r="F42" s="324"/>
      <c r="G42" s="324"/>
      <c r="H42" s="324" t="e">
        <f aca="false">общ.калькуляция!j41</f>
        <v>#NAME?</v>
      </c>
      <c r="I42" s="324"/>
      <c r="J42" s="324"/>
      <c r="K42" s="324" t="e">
        <f aca="false">общ.калькуляция!m41</f>
        <v>#NAME?</v>
      </c>
      <c r="L42" s="324"/>
      <c r="M42" s="324"/>
      <c r="N42" s="324" t="e">
        <f aca="false">E42+H42+K42</f>
        <v>#NAME?</v>
      </c>
    </row>
    <row r="43" customFormat="false" ht="15" hidden="false" customHeight="true" outlineLevel="0" collapsed="false">
      <c r="A43" s="20" t="s">
        <v>76</v>
      </c>
      <c r="B43" s="325" t="s">
        <v>2912</v>
      </c>
      <c r="C43" s="323"/>
      <c r="D43" s="323"/>
      <c r="E43" s="324" t="e">
        <f aca="false">общ.калькуляция!h42</f>
        <v>#NAME?</v>
      </c>
      <c r="F43" s="324"/>
      <c r="G43" s="324"/>
      <c r="H43" s="324" t="e">
        <f aca="false">общ.калькуляция!j42</f>
        <v>#NAME?</v>
      </c>
      <c r="I43" s="324"/>
      <c r="J43" s="324"/>
      <c r="K43" s="324" t="e">
        <f aca="false">общ.калькуляция!m42</f>
        <v>#NAME?</v>
      </c>
      <c r="L43" s="324"/>
      <c r="M43" s="324"/>
      <c r="N43" s="324" t="e">
        <f aca="false">E43+H43+K43</f>
        <v>#NAME?</v>
      </c>
    </row>
    <row r="44" customFormat="false" ht="15" hidden="false" customHeight="true" outlineLevel="0" collapsed="false">
      <c r="A44" s="20" t="s">
        <v>78</v>
      </c>
      <c r="B44" s="325" t="s">
        <v>2913</v>
      </c>
      <c r="C44" s="323"/>
      <c r="D44" s="323"/>
      <c r="E44" s="324" t="e">
        <f aca="false">общ.калькуляция!h43</f>
        <v>#NAME?</v>
      </c>
      <c r="F44" s="324"/>
      <c r="G44" s="324"/>
      <c r="H44" s="324" t="e">
        <f aca="false">общ.калькуляция!j43</f>
        <v>#NAME?</v>
      </c>
      <c r="I44" s="324"/>
      <c r="J44" s="324"/>
      <c r="K44" s="324" t="e">
        <f aca="false">общ.калькуляция!m43</f>
        <v>#NAME?</v>
      </c>
      <c r="L44" s="324"/>
      <c r="M44" s="324"/>
      <c r="N44" s="324" t="e">
        <f aca="false">E44+H44+K44</f>
        <v>#NAME?</v>
      </c>
    </row>
    <row r="45" customFormat="false" ht="15" hidden="false" customHeight="true" outlineLevel="0" collapsed="false">
      <c r="A45" s="20" t="s">
        <v>80</v>
      </c>
      <c r="B45" s="325" t="s">
        <v>2914</v>
      </c>
      <c r="C45" s="323"/>
      <c r="D45" s="323"/>
      <c r="E45" s="324" t="e">
        <f aca="false">общ.калькуляция!h44</f>
        <v>#NAME?</v>
      </c>
      <c r="F45" s="324"/>
      <c r="G45" s="324"/>
      <c r="H45" s="324" t="e">
        <f aca="false">общ.калькуляция!j44</f>
        <v>#NAME?</v>
      </c>
      <c r="I45" s="324"/>
      <c r="J45" s="324"/>
      <c r="K45" s="324" t="e">
        <f aca="false">общ.калькуляция!m44</f>
        <v>#NAME?</v>
      </c>
      <c r="L45" s="324"/>
      <c r="M45" s="324"/>
      <c r="N45" s="324" t="e">
        <f aca="false">E45+H45+K45</f>
        <v>#NAME?</v>
      </c>
    </row>
    <row r="46" customFormat="false" ht="15" hidden="false" customHeight="true" outlineLevel="0" collapsed="false">
      <c r="A46" s="20" t="s">
        <v>82</v>
      </c>
      <c r="B46" s="325" t="s">
        <v>2915</v>
      </c>
      <c r="C46" s="323"/>
      <c r="D46" s="323"/>
      <c r="E46" s="324" t="e">
        <f aca="false">общ.калькуляция!h45</f>
        <v>#NAME?</v>
      </c>
      <c r="F46" s="324"/>
      <c r="G46" s="324"/>
      <c r="H46" s="324" t="e">
        <f aca="false">общ.калькуляция!j45</f>
        <v>#NAME?</v>
      </c>
      <c r="I46" s="324"/>
      <c r="J46" s="324"/>
      <c r="K46" s="324" t="e">
        <f aca="false">общ.калькуляция!m45</f>
        <v>#NAME?</v>
      </c>
      <c r="L46" s="324"/>
      <c r="M46" s="324"/>
      <c r="N46" s="324" t="e">
        <f aca="false">E46+H46+K46</f>
        <v>#NAME?</v>
      </c>
    </row>
    <row r="47" customFormat="false" ht="15" hidden="false" customHeight="true" outlineLevel="0" collapsed="false">
      <c r="A47" s="20" t="s">
        <v>84</v>
      </c>
      <c r="B47" s="325" t="s">
        <v>2916</v>
      </c>
      <c r="C47" s="323"/>
      <c r="D47" s="323"/>
      <c r="E47" s="324" t="e">
        <f aca="false">общ.калькуляция!h46</f>
        <v>#NAME?</v>
      </c>
      <c r="F47" s="324"/>
      <c r="G47" s="324"/>
      <c r="H47" s="324" t="e">
        <f aca="false">общ.калькуляция!j46</f>
        <v>#NAME?</v>
      </c>
      <c r="I47" s="324"/>
      <c r="J47" s="324"/>
      <c r="K47" s="324" t="e">
        <f aca="false">общ.калькуляция!m46</f>
        <v>#NAME?</v>
      </c>
      <c r="L47" s="324"/>
      <c r="M47" s="324"/>
      <c r="N47" s="324" t="e">
        <f aca="false">E47+H47+K47</f>
        <v>#NAME?</v>
      </c>
    </row>
    <row r="48" customFormat="false" ht="15" hidden="false" customHeight="true" outlineLevel="0" collapsed="false">
      <c r="A48" s="20" t="s">
        <v>86</v>
      </c>
      <c r="B48" s="325" t="s">
        <v>2917</v>
      </c>
      <c r="C48" s="323"/>
      <c r="D48" s="323"/>
      <c r="E48" s="324" t="e">
        <f aca="false">общ.калькуляция!h47</f>
        <v>#NAME?</v>
      </c>
      <c r="F48" s="324"/>
      <c r="G48" s="324"/>
      <c r="H48" s="324" t="e">
        <f aca="false">общ.калькуляция!j47</f>
        <v>#NAME?</v>
      </c>
      <c r="I48" s="324"/>
      <c r="J48" s="324"/>
      <c r="K48" s="324" t="e">
        <f aca="false">общ.калькуляция!m47</f>
        <v>#NAME?</v>
      </c>
      <c r="L48" s="324"/>
      <c r="M48" s="324"/>
      <c r="N48" s="324" t="e">
        <f aca="false">E48+H48+K48</f>
        <v>#NAME?</v>
      </c>
    </row>
    <row r="49" customFormat="false" ht="15" hidden="false" customHeight="true" outlineLevel="0" collapsed="false">
      <c r="A49" s="20" t="s">
        <v>88</v>
      </c>
      <c r="B49" s="325" t="s">
        <v>2918</v>
      </c>
      <c r="C49" s="323"/>
      <c r="D49" s="323"/>
      <c r="E49" s="324" t="e">
        <f aca="false">общ.калькуляция!h48</f>
        <v>#NAME?</v>
      </c>
      <c r="F49" s="324"/>
      <c r="G49" s="324"/>
      <c r="H49" s="324" t="e">
        <f aca="false">общ.калькуляция!j48</f>
        <v>#NAME?</v>
      </c>
      <c r="I49" s="324"/>
      <c r="J49" s="324"/>
      <c r="K49" s="324" t="e">
        <f aca="false">общ.калькуляция!m48</f>
        <v>#NAME?</v>
      </c>
      <c r="L49" s="324"/>
      <c r="M49" s="324"/>
      <c r="N49" s="324" t="e">
        <f aca="false">E49+H49+K49</f>
        <v>#NAME?</v>
      </c>
    </row>
    <row r="50" customFormat="false" ht="15" hidden="false" customHeight="true" outlineLevel="0" collapsed="false">
      <c r="A50" s="20" t="s">
        <v>90</v>
      </c>
      <c r="B50" s="325" t="s">
        <v>2919</v>
      </c>
      <c r="C50" s="323"/>
      <c r="D50" s="323"/>
      <c r="E50" s="324" t="e">
        <f aca="false">общ.калькуляция!h49</f>
        <v>#NAME?</v>
      </c>
      <c r="F50" s="324"/>
      <c r="G50" s="324"/>
      <c r="H50" s="324" t="e">
        <f aca="false">общ.калькуляция!j49</f>
        <v>#NAME?</v>
      </c>
      <c r="I50" s="324"/>
      <c r="J50" s="324"/>
      <c r="K50" s="324" t="e">
        <f aca="false">общ.калькуляция!m49</f>
        <v>#NAME?</v>
      </c>
      <c r="L50" s="324"/>
      <c r="M50" s="324"/>
      <c r="N50" s="324" t="e">
        <f aca="false">E50+H50+K50</f>
        <v>#NAME?</v>
      </c>
    </row>
    <row r="51" customFormat="false" ht="15" hidden="false" customHeight="true" outlineLevel="0" collapsed="false">
      <c r="A51" s="20" t="s">
        <v>92</v>
      </c>
      <c r="B51" s="325" t="s">
        <v>2920</v>
      </c>
      <c r="C51" s="323"/>
      <c r="D51" s="323"/>
      <c r="E51" s="324" t="e">
        <f aca="false">общ.калькуляция!h50</f>
        <v>#NAME?</v>
      </c>
      <c r="F51" s="324"/>
      <c r="G51" s="324"/>
      <c r="H51" s="324" t="e">
        <f aca="false">общ.калькуляция!j50</f>
        <v>#NAME?</v>
      </c>
      <c r="I51" s="324"/>
      <c r="J51" s="324"/>
      <c r="K51" s="324" t="e">
        <f aca="false">общ.калькуляция!m50</f>
        <v>#NAME?</v>
      </c>
      <c r="L51" s="324"/>
      <c r="M51" s="324"/>
      <c r="N51" s="324" t="e">
        <f aca="false">E51+H51+K51</f>
        <v>#NAME?</v>
      </c>
    </row>
    <row r="52" customFormat="false" ht="15" hidden="false" customHeight="true" outlineLevel="0" collapsed="false">
      <c r="A52" s="20" t="s">
        <v>94</v>
      </c>
      <c r="B52" s="325" t="s">
        <v>2921</v>
      </c>
      <c r="C52" s="323"/>
      <c r="D52" s="323"/>
      <c r="E52" s="324" t="e">
        <f aca="false">общ.калькуляция!h51</f>
        <v>#NAME?</v>
      </c>
      <c r="F52" s="324"/>
      <c r="G52" s="324"/>
      <c r="H52" s="324" t="e">
        <f aca="false">общ.калькуляция!j51</f>
        <v>#NAME?</v>
      </c>
      <c r="I52" s="324"/>
      <c r="J52" s="324"/>
      <c r="K52" s="324" t="e">
        <f aca="false">общ.калькуляция!m51</f>
        <v>#NAME?</v>
      </c>
      <c r="L52" s="324"/>
      <c r="M52" s="324"/>
      <c r="N52" s="324" t="e">
        <f aca="false">E52+H52+K52</f>
        <v>#NAME?</v>
      </c>
    </row>
    <row r="53" customFormat="false" ht="15" hidden="false" customHeight="true" outlineLevel="0" collapsed="false">
      <c r="A53" s="20" t="s">
        <v>96</v>
      </c>
      <c r="B53" s="325" t="s">
        <v>2922</v>
      </c>
      <c r="C53" s="323"/>
      <c r="D53" s="323"/>
      <c r="E53" s="324" t="e">
        <f aca="false">общ.калькуляция!h52</f>
        <v>#NAME?</v>
      </c>
      <c r="F53" s="324"/>
      <c r="G53" s="324"/>
      <c r="H53" s="324" t="e">
        <f aca="false">общ.калькуляция!j52</f>
        <v>#NAME?</v>
      </c>
      <c r="I53" s="324"/>
      <c r="J53" s="324"/>
      <c r="K53" s="324" t="e">
        <f aca="false">общ.калькуляция!m52</f>
        <v>#NAME?</v>
      </c>
      <c r="L53" s="324"/>
      <c r="M53" s="324"/>
      <c r="N53" s="324" t="e">
        <f aca="false">E53+H53+K53</f>
        <v>#NAME?</v>
      </c>
    </row>
    <row r="54" customFormat="false" ht="15" hidden="false" customHeight="true" outlineLevel="0" collapsed="false">
      <c r="A54" s="20" t="s">
        <v>98</v>
      </c>
      <c r="B54" s="325" t="s">
        <v>2923</v>
      </c>
      <c r="C54" s="323"/>
      <c r="D54" s="323"/>
      <c r="E54" s="324" t="e">
        <f aca="false">общ.калькуляция!h53</f>
        <v>#NAME?</v>
      </c>
      <c r="F54" s="324"/>
      <c r="G54" s="324"/>
      <c r="H54" s="324" t="e">
        <f aca="false">общ.калькуляция!j53</f>
        <v>#NAME?</v>
      </c>
      <c r="I54" s="324"/>
      <c r="J54" s="324"/>
      <c r="K54" s="324" t="e">
        <f aca="false">общ.калькуляция!m53</f>
        <v>#NAME?</v>
      </c>
      <c r="L54" s="324"/>
      <c r="M54" s="324"/>
      <c r="N54" s="324" t="e">
        <f aca="false">E54+H54+K54</f>
        <v>#NAME?</v>
      </c>
    </row>
    <row r="55" customFormat="false" ht="15" hidden="false" customHeight="true" outlineLevel="0" collapsed="false">
      <c r="A55" s="20" t="s">
        <v>100</v>
      </c>
      <c r="B55" s="325" t="s">
        <v>2924</v>
      </c>
      <c r="C55" s="323"/>
      <c r="D55" s="323"/>
      <c r="E55" s="324" t="e">
        <f aca="false">общ.калькуляция!h54</f>
        <v>#NAME?</v>
      </c>
      <c r="F55" s="324"/>
      <c r="G55" s="324"/>
      <c r="H55" s="324" t="e">
        <f aca="false">общ.калькуляция!j54</f>
        <v>#NAME?</v>
      </c>
      <c r="I55" s="324"/>
      <c r="J55" s="324"/>
      <c r="K55" s="324" t="e">
        <f aca="false">общ.калькуляция!m54</f>
        <v>#NAME?</v>
      </c>
      <c r="L55" s="324"/>
      <c r="M55" s="324"/>
      <c r="N55" s="324" t="e">
        <f aca="false">E55+H55+K55</f>
        <v>#NAME?</v>
      </c>
    </row>
    <row r="56" customFormat="false" ht="15" hidden="false" customHeight="true" outlineLevel="0" collapsed="false">
      <c r="A56" s="20" t="s">
        <v>102</v>
      </c>
      <c r="B56" s="325" t="s">
        <v>2925</v>
      </c>
      <c r="C56" s="323"/>
      <c r="D56" s="323"/>
      <c r="E56" s="324" t="e">
        <f aca="false">общ.калькуляция!h55</f>
        <v>#NAME?</v>
      </c>
      <c r="F56" s="324"/>
      <c r="G56" s="324"/>
      <c r="H56" s="324" t="e">
        <f aca="false">общ.калькуляция!j55</f>
        <v>#NAME?</v>
      </c>
      <c r="I56" s="324"/>
      <c r="J56" s="324"/>
      <c r="K56" s="324" t="e">
        <f aca="false">общ.калькуляция!m55</f>
        <v>#NAME?</v>
      </c>
      <c r="L56" s="324"/>
      <c r="M56" s="324"/>
      <c r="N56" s="324" t="e">
        <f aca="false">E56+H56+K56</f>
        <v>#NAME?</v>
      </c>
    </row>
    <row r="57" customFormat="false" ht="15" hidden="false" customHeight="true" outlineLevel="0" collapsed="false">
      <c r="A57" s="20" t="s">
        <v>104</v>
      </c>
      <c r="B57" s="325" t="s">
        <v>2926</v>
      </c>
      <c r="C57" s="323"/>
      <c r="D57" s="323"/>
      <c r="E57" s="324" t="e">
        <f aca="false">общ.калькуляция!h56</f>
        <v>#NAME?</v>
      </c>
      <c r="F57" s="324"/>
      <c r="G57" s="324"/>
      <c r="H57" s="324" t="e">
        <f aca="false">общ.калькуляция!j56</f>
        <v>#NAME?</v>
      </c>
      <c r="I57" s="324"/>
      <c r="J57" s="324"/>
      <c r="K57" s="324" t="e">
        <f aca="false">общ.калькуляция!m56</f>
        <v>#NAME?</v>
      </c>
      <c r="L57" s="324"/>
      <c r="M57" s="324"/>
      <c r="N57" s="324" t="e">
        <f aca="false">E57+H57+K57</f>
        <v>#NAME?</v>
      </c>
    </row>
    <row r="58" customFormat="false" ht="15" hidden="false" customHeight="true" outlineLevel="0" collapsed="false">
      <c r="A58" s="20" t="s">
        <v>106</v>
      </c>
      <c r="B58" s="325" t="s">
        <v>2927</v>
      </c>
      <c r="C58" s="323"/>
      <c r="D58" s="323"/>
      <c r="E58" s="324" t="e">
        <f aca="false">общ.калькуляция!h57</f>
        <v>#NAME?</v>
      </c>
      <c r="F58" s="324"/>
      <c r="G58" s="324"/>
      <c r="H58" s="324" t="e">
        <f aca="false">общ.калькуляция!j57</f>
        <v>#NAME?</v>
      </c>
      <c r="I58" s="324"/>
      <c r="J58" s="324"/>
      <c r="K58" s="324" t="e">
        <f aca="false">общ.калькуляция!m57</f>
        <v>#NAME?</v>
      </c>
      <c r="L58" s="324"/>
      <c r="M58" s="324"/>
      <c r="N58" s="324" t="e">
        <f aca="false">E58+H58+K58</f>
        <v>#NAME?</v>
      </c>
    </row>
    <row r="59" customFormat="false" ht="15" hidden="false" customHeight="true" outlineLevel="0" collapsed="false">
      <c r="A59" s="20" t="s">
        <v>108</v>
      </c>
      <c r="B59" s="325" t="s">
        <v>2928</v>
      </c>
      <c r="C59" s="323"/>
      <c r="D59" s="323"/>
      <c r="E59" s="324" t="e">
        <f aca="false">общ.калькуляция!h58</f>
        <v>#NAME?</v>
      </c>
      <c r="F59" s="324"/>
      <c r="G59" s="324"/>
      <c r="H59" s="324" t="e">
        <f aca="false">общ.калькуляция!j58</f>
        <v>#NAME?</v>
      </c>
      <c r="I59" s="324"/>
      <c r="J59" s="324"/>
      <c r="K59" s="324" t="e">
        <f aca="false">общ.калькуляция!m58</f>
        <v>#NAME?</v>
      </c>
      <c r="L59" s="324"/>
      <c r="M59" s="324"/>
      <c r="N59" s="324" t="e">
        <f aca="false">E59+H59+K59</f>
        <v>#NAME?</v>
      </c>
    </row>
    <row r="60" customFormat="false" ht="15" hidden="false" customHeight="true" outlineLevel="0" collapsed="false">
      <c r="A60" s="20" t="s">
        <v>110</v>
      </c>
      <c r="B60" s="21" t="s">
        <v>2929</v>
      </c>
      <c r="C60" s="323"/>
      <c r="D60" s="323"/>
      <c r="E60" s="324" t="e">
        <f aca="false">общ.калькуляция!h59</f>
        <v>#NAME?</v>
      </c>
      <c r="F60" s="324"/>
      <c r="G60" s="324"/>
      <c r="H60" s="324" t="e">
        <f aca="false">общ.калькуляция!j59</f>
        <v>#NAME?</v>
      </c>
      <c r="I60" s="324"/>
      <c r="J60" s="324"/>
      <c r="K60" s="324" t="e">
        <f aca="false">общ.калькуляция!m59</f>
        <v>#NAME?</v>
      </c>
      <c r="L60" s="324"/>
      <c r="M60" s="324"/>
      <c r="N60" s="324" t="e">
        <f aca="false">E60+H60+K60</f>
        <v>#NAME?</v>
      </c>
    </row>
    <row r="61" customFormat="false" ht="15" hidden="false" customHeight="true" outlineLevel="0" collapsed="false">
      <c r="A61" s="20" t="s">
        <v>112</v>
      </c>
      <c r="B61" s="21" t="s">
        <v>2930</v>
      </c>
      <c r="C61" s="323"/>
      <c r="D61" s="323"/>
      <c r="E61" s="324" t="e">
        <f aca="false">общ.калькуляция!h60</f>
        <v>#NAME?</v>
      </c>
      <c r="F61" s="324"/>
      <c r="G61" s="324"/>
      <c r="H61" s="324" t="e">
        <f aca="false">общ.калькуляция!j60</f>
        <v>#NAME?</v>
      </c>
      <c r="I61" s="324"/>
      <c r="J61" s="324"/>
      <c r="K61" s="324" t="e">
        <f aca="false">общ.калькуляция!m60</f>
        <v>#NAME?</v>
      </c>
      <c r="L61" s="324"/>
      <c r="M61" s="324"/>
      <c r="N61" s="324" t="e">
        <f aca="false">E61+H61+K61</f>
        <v>#NAME?</v>
      </c>
    </row>
    <row r="62" customFormat="false" ht="15" hidden="false" customHeight="true" outlineLevel="0" collapsed="false">
      <c r="A62" s="20" t="s">
        <v>114</v>
      </c>
      <c r="B62" s="21" t="s">
        <v>2931</v>
      </c>
      <c r="C62" s="323"/>
      <c r="D62" s="323"/>
      <c r="E62" s="324" t="e">
        <f aca="false">общ.калькуляция!h61</f>
        <v>#NAME?</v>
      </c>
      <c r="F62" s="324"/>
      <c r="G62" s="324"/>
      <c r="H62" s="324" t="e">
        <f aca="false">общ.калькуляция!j61</f>
        <v>#NAME?</v>
      </c>
      <c r="I62" s="324"/>
      <c r="J62" s="324"/>
      <c r="K62" s="324" t="e">
        <f aca="false">общ.калькуляция!m61</f>
        <v>#NAME?</v>
      </c>
      <c r="L62" s="324"/>
      <c r="M62" s="324"/>
      <c r="N62" s="324" t="e">
        <f aca="false">E62+H62+K62</f>
        <v>#NAME?</v>
      </c>
    </row>
    <row r="63" customFormat="false" ht="15" hidden="false" customHeight="true" outlineLevel="0" collapsed="false">
      <c r="A63" s="20" t="s">
        <v>116</v>
      </c>
      <c r="B63" s="325" t="s">
        <v>2932</v>
      </c>
      <c r="C63" s="323"/>
      <c r="D63" s="323"/>
      <c r="E63" s="324" t="e">
        <f aca="false">общ.калькуляция!h62</f>
        <v>#NAME?</v>
      </c>
      <c r="F63" s="324"/>
      <c r="G63" s="324"/>
      <c r="H63" s="324" t="e">
        <f aca="false">общ.калькуляция!j62</f>
        <v>#NAME?</v>
      </c>
      <c r="I63" s="324"/>
      <c r="J63" s="324"/>
      <c r="K63" s="324" t="e">
        <f aca="false">общ.калькуляция!m62</f>
        <v>#NAME?</v>
      </c>
      <c r="L63" s="324"/>
      <c r="M63" s="324"/>
      <c r="N63" s="324" t="e">
        <f aca="false">E63+H63+K63</f>
        <v>#NAME?</v>
      </c>
    </row>
    <row r="64" customFormat="false" ht="15" hidden="false" customHeight="true" outlineLevel="0" collapsed="false">
      <c r="A64" s="20" t="s">
        <v>118</v>
      </c>
      <c r="B64" s="21" t="s">
        <v>2933</v>
      </c>
      <c r="C64" s="323"/>
      <c r="D64" s="323"/>
      <c r="E64" s="324" t="e">
        <f aca="false">общ.калькуляция!h63</f>
        <v>#NAME?</v>
      </c>
      <c r="F64" s="324"/>
      <c r="G64" s="324"/>
      <c r="H64" s="324" t="e">
        <f aca="false">общ.калькуляция!j63</f>
        <v>#NAME?</v>
      </c>
      <c r="I64" s="324"/>
      <c r="J64" s="324"/>
      <c r="K64" s="324" t="e">
        <f aca="false">общ.калькуляция!m63</f>
        <v>#NAME?</v>
      </c>
      <c r="L64" s="324"/>
      <c r="M64" s="324"/>
      <c r="N64" s="324" t="e">
        <f aca="false">E64+H64+K64</f>
        <v>#NAME?</v>
      </c>
    </row>
    <row r="65" customFormat="false" ht="15" hidden="false" customHeight="true" outlineLevel="0" collapsed="false">
      <c r="A65" s="20" t="s">
        <v>120</v>
      </c>
      <c r="B65" s="21" t="s">
        <v>2934</v>
      </c>
      <c r="C65" s="323"/>
      <c r="D65" s="323"/>
      <c r="E65" s="324" t="e">
        <f aca="false">общ.калькуляция!h64</f>
        <v>#NAME?</v>
      </c>
      <c r="F65" s="324"/>
      <c r="G65" s="324"/>
      <c r="H65" s="324" t="e">
        <f aca="false">общ.калькуляция!j64</f>
        <v>#NAME?</v>
      </c>
      <c r="I65" s="324"/>
      <c r="J65" s="324"/>
      <c r="K65" s="324" t="e">
        <f aca="false">общ.калькуляция!m64</f>
        <v>#NAME?</v>
      </c>
      <c r="L65" s="324"/>
      <c r="M65" s="324"/>
      <c r="N65" s="324" t="e">
        <f aca="false">E65+H65+K65</f>
        <v>#NAME?</v>
      </c>
    </row>
    <row r="66" customFormat="false" ht="15" hidden="false" customHeight="true" outlineLevel="0" collapsed="false">
      <c r="A66" s="20" t="s">
        <v>122</v>
      </c>
      <c r="B66" s="21" t="s">
        <v>2935</v>
      </c>
      <c r="C66" s="323"/>
      <c r="D66" s="323"/>
      <c r="E66" s="324" t="e">
        <f aca="false">общ.калькуляция!h65</f>
        <v>#NAME?</v>
      </c>
      <c r="F66" s="324"/>
      <c r="G66" s="324"/>
      <c r="H66" s="324" t="e">
        <f aca="false">общ.калькуляция!j65</f>
        <v>#NAME?</v>
      </c>
      <c r="I66" s="324"/>
      <c r="J66" s="324"/>
      <c r="K66" s="324" t="e">
        <f aca="false">общ.калькуляция!m65</f>
        <v>#NAME?</v>
      </c>
      <c r="L66" s="324"/>
      <c r="M66" s="324"/>
      <c r="N66" s="324" t="e">
        <f aca="false">E66+H66+K66</f>
        <v>#NAME?</v>
      </c>
    </row>
    <row r="67" customFormat="false" ht="15" hidden="false" customHeight="true" outlineLevel="0" collapsed="false">
      <c r="A67" s="20" t="s">
        <v>124</v>
      </c>
      <c r="B67" s="325" t="s">
        <v>2936</v>
      </c>
      <c r="C67" s="323"/>
      <c r="D67" s="323"/>
      <c r="E67" s="324" t="e">
        <f aca="false">общ.калькуляция!h66</f>
        <v>#NAME?</v>
      </c>
      <c r="F67" s="324"/>
      <c r="G67" s="324"/>
      <c r="H67" s="324" t="e">
        <f aca="false">общ.калькуляция!j66</f>
        <v>#NAME?</v>
      </c>
      <c r="I67" s="324"/>
      <c r="J67" s="324"/>
      <c r="K67" s="324" t="e">
        <f aca="false">общ.калькуляция!m66</f>
        <v>#NAME?</v>
      </c>
      <c r="L67" s="324"/>
      <c r="M67" s="324"/>
      <c r="N67" s="324" t="e">
        <f aca="false">E67+H67+K67</f>
        <v>#NAME?</v>
      </c>
    </row>
    <row r="68" customFormat="false" ht="15" hidden="false" customHeight="true" outlineLevel="0" collapsed="false">
      <c r="A68" s="20" t="s">
        <v>126</v>
      </c>
      <c r="B68" s="325" t="s">
        <v>2937</v>
      </c>
      <c r="C68" s="323"/>
      <c r="D68" s="323"/>
      <c r="E68" s="324" t="e">
        <f aca="false">общ.калькуляция!h67</f>
        <v>#NAME?</v>
      </c>
      <c r="F68" s="324"/>
      <c r="G68" s="324"/>
      <c r="H68" s="324" t="e">
        <f aca="false">общ.калькуляция!j67</f>
        <v>#NAME?</v>
      </c>
      <c r="I68" s="324"/>
      <c r="J68" s="324"/>
      <c r="K68" s="324" t="e">
        <f aca="false">общ.калькуляция!m67</f>
        <v>#NAME?</v>
      </c>
      <c r="L68" s="324"/>
      <c r="M68" s="324"/>
      <c r="N68" s="324" t="e">
        <f aca="false">E68+H68+K68</f>
        <v>#NAME?</v>
      </c>
    </row>
    <row r="69" customFormat="false" ht="15" hidden="false" customHeight="true" outlineLevel="0" collapsed="false">
      <c r="A69" s="20" t="s">
        <v>128</v>
      </c>
      <c r="B69" s="325" t="s">
        <v>2938</v>
      </c>
      <c r="C69" s="323"/>
      <c r="D69" s="323"/>
      <c r="E69" s="324" t="e">
        <f aca="false">общ.калькуляция!h68</f>
        <v>#NAME?</v>
      </c>
      <c r="F69" s="324"/>
      <c r="G69" s="324"/>
      <c r="H69" s="324" t="e">
        <f aca="false">общ.калькуляция!j68</f>
        <v>#NAME?</v>
      </c>
      <c r="I69" s="324"/>
      <c r="J69" s="324"/>
      <c r="K69" s="324" t="e">
        <f aca="false">общ.калькуляция!m68</f>
        <v>#NAME?</v>
      </c>
      <c r="L69" s="324"/>
      <c r="M69" s="324"/>
      <c r="N69" s="324" t="e">
        <f aca="false">E69+H69+K69</f>
        <v>#NAME?</v>
      </c>
    </row>
    <row r="70" customFormat="false" ht="15" hidden="false" customHeight="true" outlineLevel="0" collapsed="false">
      <c r="A70" s="20" t="s">
        <v>130</v>
      </c>
      <c r="B70" s="325" t="s">
        <v>2939</v>
      </c>
      <c r="C70" s="323"/>
      <c r="D70" s="323"/>
      <c r="E70" s="324" t="e">
        <f aca="false">общ.калькуляция!h69</f>
        <v>#NAME?</v>
      </c>
      <c r="F70" s="324"/>
      <c r="G70" s="324"/>
      <c r="H70" s="324" t="e">
        <f aca="false">общ.калькуляция!j69</f>
        <v>#NAME?</v>
      </c>
      <c r="I70" s="324"/>
      <c r="J70" s="324"/>
      <c r="K70" s="324" t="e">
        <f aca="false">общ.калькуляция!m69</f>
        <v>#NAME?</v>
      </c>
      <c r="L70" s="324"/>
      <c r="M70" s="324"/>
      <c r="N70" s="324" t="e">
        <f aca="false">E70+H70+K70</f>
        <v>#NAME?</v>
      </c>
    </row>
    <row r="71" customFormat="false" ht="15" hidden="false" customHeight="true" outlineLevel="0" collapsed="false">
      <c r="A71" s="20" t="s">
        <v>132</v>
      </c>
      <c r="B71" s="21" t="s">
        <v>2940</v>
      </c>
      <c r="C71" s="323"/>
      <c r="D71" s="323"/>
      <c r="E71" s="324" t="e">
        <f aca="false">общ.калькуляция!h70</f>
        <v>#NAME?</v>
      </c>
      <c r="F71" s="324"/>
      <c r="G71" s="324"/>
      <c r="H71" s="324" t="e">
        <f aca="false">общ.калькуляция!j70</f>
        <v>#NAME?</v>
      </c>
      <c r="I71" s="324"/>
      <c r="J71" s="324"/>
      <c r="K71" s="324" t="e">
        <f aca="false">общ.калькуляция!m70</f>
        <v>#NAME?</v>
      </c>
      <c r="L71" s="324"/>
      <c r="M71" s="324"/>
      <c r="N71" s="324" t="e">
        <f aca="false">E71+H71+K71</f>
        <v>#NAME?</v>
      </c>
    </row>
    <row r="72" customFormat="false" ht="15" hidden="false" customHeight="true" outlineLevel="0" collapsed="false">
      <c r="A72" s="20" t="s">
        <v>134</v>
      </c>
      <c r="B72" s="21" t="s">
        <v>2941</v>
      </c>
      <c r="C72" s="323"/>
      <c r="D72" s="323"/>
      <c r="E72" s="324" t="e">
        <f aca="false">общ.калькуляция!h71</f>
        <v>#NAME?</v>
      </c>
      <c r="F72" s="324"/>
      <c r="G72" s="324"/>
      <c r="H72" s="324" t="e">
        <f aca="false">общ.калькуляция!j71</f>
        <v>#NAME?</v>
      </c>
      <c r="I72" s="324"/>
      <c r="J72" s="324"/>
      <c r="K72" s="324" t="e">
        <f aca="false">общ.калькуляция!m71</f>
        <v>#NAME?</v>
      </c>
      <c r="L72" s="324"/>
      <c r="M72" s="324"/>
      <c r="N72" s="324" t="e">
        <f aca="false">E72+H72+K72</f>
        <v>#NAME?</v>
      </c>
    </row>
    <row r="73" customFormat="false" ht="15" hidden="false" customHeight="true" outlineLevel="0" collapsed="false">
      <c r="A73" s="20" t="s">
        <v>136</v>
      </c>
      <c r="B73" s="21" t="s">
        <v>2942</v>
      </c>
      <c r="C73" s="323"/>
      <c r="D73" s="323"/>
      <c r="E73" s="324" t="e">
        <f aca="false">общ.калькуляция!h72</f>
        <v>#NAME?</v>
      </c>
      <c r="F73" s="324"/>
      <c r="G73" s="324"/>
      <c r="H73" s="324" t="e">
        <f aca="false">общ.калькуляция!j72</f>
        <v>#NAME?</v>
      </c>
      <c r="I73" s="324"/>
      <c r="J73" s="324"/>
      <c r="K73" s="324" t="e">
        <f aca="false">общ.калькуляция!m72</f>
        <v>#NAME?</v>
      </c>
      <c r="L73" s="324"/>
      <c r="M73" s="324"/>
      <c r="N73" s="324" t="e">
        <f aca="false">E73+H73+K73</f>
        <v>#NAME?</v>
      </c>
    </row>
    <row r="74" customFormat="false" ht="15" hidden="false" customHeight="true" outlineLevel="0" collapsed="false">
      <c r="A74" s="20" t="s">
        <v>138</v>
      </c>
      <c r="B74" s="21" t="s">
        <v>2943</v>
      </c>
      <c r="C74" s="323"/>
      <c r="D74" s="323"/>
      <c r="E74" s="324" t="e">
        <f aca="false">общ.калькуляция!h73</f>
        <v>#NAME?</v>
      </c>
      <c r="F74" s="324"/>
      <c r="G74" s="324"/>
      <c r="H74" s="324" t="e">
        <f aca="false">общ.калькуляция!j73</f>
        <v>#NAME?</v>
      </c>
      <c r="I74" s="324"/>
      <c r="J74" s="324"/>
      <c r="K74" s="324" t="e">
        <f aca="false">общ.калькуляция!m73</f>
        <v>#NAME?</v>
      </c>
      <c r="L74" s="324"/>
      <c r="M74" s="324"/>
      <c r="N74" s="324" t="e">
        <f aca="false">E74+H74+K74</f>
        <v>#NAME?</v>
      </c>
    </row>
    <row r="75" customFormat="false" ht="15" hidden="false" customHeight="true" outlineLevel="0" collapsed="false">
      <c r="A75" s="327" t="s">
        <v>140</v>
      </c>
      <c r="B75" s="328" t="s">
        <v>2944</v>
      </c>
      <c r="C75" s="323"/>
      <c r="D75" s="323"/>
      <c r="E75" s="324" t="e">
        <f aca="false">общ.калькуляция!h74</f>
        <v>#NAME?</v>
      </c>
      <c r="F75" s="324"/>
      <c r="G75" s="324"/>
      <c r="H75" s="324" t="e">
        <f aca="false">общ.калькуляция!j74</f>
        <v>#NAME?</v>
      </c>
      <c r="I75" s="324"/>
      <c r="J75" s="324"/>
      <c r="K75" s="324" t="e">
        <f aca="false">общ.калькуляция!m74</f>
        <v>#NAME?</v>
      </c>
      <c r="L75" s="324"/>
      <c r="M75" s="324"/>
      <c r="N75" s="324" t="e">
        <f aca="false">E75+H75+K75</f>
        <v>#NAME?</v>
      </c>
    </row>
    <row r="76" customFormat="false" ht="15" hidden="false" customHeight="true" outlineLevel="0" collapsed="false">
      <c r="A76" s="327" t="s">
        <v>142</v>
      </c>
      <c r="B76" s="328" t="s">
        <v>2945</v>
      </c>
      <c r="C76" s="323"/>
      <c r="D76" s="323"/>
      <c r="E76" s="324" t="e">
        <f aca="false">общ.калькуляция!h75</f>
        <v>#NAME?</v>
      </c>
      <c r="F76" s="324"/>
      <c r="G76" s="324"/>
      <c r="H76" s="324" t="e">
        <f aca="false">общ.калькуляция!j75</f>
        <v>#NAME?</v>
      </c>
      <c r="I76" s="324"/>
      <c r="J76" s="324"/>
      <c r="K76" s="324" t="e">
        <f aca="false">общ.калькуляция!m75</f>
        <v>#NAME?</v>
      </c>
      <c r="L76" s="324"/>
      <c r="M76" s="324"/>
      <c r="N76" s="324" t="e">
        <f aca="false">E76+H76+K76</f>
        <v>#NAME?</v>
      </c>
    </row>
    <row r="77" customFormat="false" ht="15" hidden="false" customHeight="true" outlineLevel="0" collapsed="false">
      <c r="A77" s="327" t="s">
        <v>144</v>
      </c>
      <c r="B77" s="328" t="s">
        <v>2946</v>
      </c>
      <c r="C77" s="323"/>
      <c r="D77" s="323"/>
      <c r="E77" s="324" t="e">
        <f aca="false">общ.калькуляция!h76</f>
        <v>#NAME?</v>
      </c>
      <c r="F77" s="324"/>
      <c r="G77" s="324"/>
      <c r="H77" s="324" t="e">
        <f aca="false">общ.калькуляция!j76</f>
        <v>#NAME?</v>
      </c>
      <c r="I77" s="324"/>
      <c r="J77" s="324"/>
      <c r="K77" s="324" t="e">
        <f aca="false">общ.калькуляция!m76</f>
        <v>#NAME?</v>
      </c>
      <c r="L77" s="324"/>
      <c r="M77" s="324"/>
      <c r="N77" s="324" t="e">
        <f aca="false">E77+H77+K77</f>
        <v>#NAME?</v>
      </c>
    </row>
    <row r="78" customFormat="false" ht="15" hidden="false" customHeight="true" outlineLevel="0" collapsed="false">
      <c r="A78" s="327" t="s">
        <v>146</v>
      </c>
      <c r="B78" s="328" t="s">
        <v>2947</v>
      </c>
      <c r="C78" s="323"/>
      <c r="D78" s="323"/>
      <c r="E78" s="324" t="e">
        <f aca="false">общ.калькуляция!h77</f>
        <v>#NAME?</v>
      </c>
      <c r="F78" s="324"/>
      <c r="G78" s="324"/>
      <c r="H78" s="324" t="e">
        <f aca="false">общ.калькуляция!j77</f>
        <v>#NAME?</v>
      </c>
      <c r="I78" s="324"/>
      <c r="J78" s="324"/>
      <c r="K78" s="324" t="e">
        <f aca="false">общ.калькуляция!m77</f>
        <v>#NAME?</v>
      </c>
      <c r="L78" s="324"/>
      <c r="M78" s="324"/>
      <c r="N78" s="324" t="e">
        <f aca="false">E78+H78+K78</f>
        <v>#NAME?</v>
      </c>
    </row>
    <row r="79" customFormat="false" ht="15" hidden="false" customHeight="true" outlineLevel="0" collapsed="false">
      <c r="A79" s="327" t="s">
        <v>148</v>
      </c>
      <c r="B79" s="328" t="s">
        <v>2948</v>
      </c>
      <c r="C79" s="323"/>
      <c r="D79" s="323"/>
      <c r="E79" s="324" t="e">
        <f aca="false">общ.калькуляция!h78</f>
        <v>#NAME?</v>
      </c>
      <c r="F79" s="324"/>
      <c r="G79" s="324"/>
      <c r="H79" s="324" t="e">
        <f aca="false">общ.калькуляция!j78</f>
        <v>#NAME?</v>
      </c>
      <c r="I79" s="324"/>
      <c r="J79" s="324"/>
      <c r="K79" s="324" t="e">
        <f aca="false">общ.калькуляция!m78</f>
        <v>#NAME?</v>
      </c>
      <c r="L79" s="324"/>
      <c r="M79" s="324"/>
      <c r="N79" s="324" t="e">
        <f aca="false">E79+H79+K79</f>
        <v>#NAME?</v>
      </c>
    </row>
    <row r="80" customFormat="false" ht="15" hidden="false" customHeight="true" outlineLevel="0" collapsed="false">
      <c r="A80" s="327" t="s">
        <v>150</v>
      </c>
      <c r="B80" s="328" t="s">
        <v>2949</v>
      </c>
      <c r="C80" s="323"/>
      <c r="D80" s="323"/>
      <c r="E80" s="324" t="e">
        <f aca="false">общ.калькуляция!h79</f>
        <v>#NAME?</v>
      </c>
      <c r="F80" s="324"/>
      <c r="G80" s="324"/>
      <c r="H80" s="324" t="e">
        <f aca="false">общ.калькуляция!j79</f>
        <v>#NAME?</v>
      </c>
      <c r="I80" s="324"/>
      <c r="J80" s="324"/>
      <c r="K80" s="324" t="e">
        <f aca="false">общ.калькуляция!m79</f>
        <v>#NAME?</v>
      </c>
      <c r="L80" s="324"/>
      <c r="M80" s="324"/>
      <c r="N80" s="324" t="e">
        <f aca="false">E80+H80+K80</f>
        <v>#NAME?</v>
      </c>
    </row>
    <row r="81" customFormat="false" ht="15" hidden="false" customHeight="true" outlineLevel="0" collapsed="false">
      <c r="A81" s="15" t="s">
        <v>152</v>
      </c>
      <c r="B81" s="16" t="s">
        <v>2950</v>
      </c>
      <c r="C81" s="321"/>
      <c r="D81" s="321"/>
      <c r="E81" s="329"/>
      <c r="F81" s="329"/>
      <c r="G81" s="329"/>
      <c r="H81" s="329"/>
      <c r="I81" s="329"/>
      <c r="J81" s="329"/>
      <c r="K81" s="329"/>
      <c r="L81" s="329"/>
      <c r="M81" s="329"/>
      <c r="N81" s="329"/>
    </row>
    <row r="82" customFormat="false" ht="15" hidden="false" customHeight="true" outlineLevel="0" collapsed="false">
      <c r="A82" s="28" t="s">
        <v>154</v>
      </c>
      <c r="B82" s="326" t="s">
        <v>2951</v>
      </c>
      <c r="C82" s="323"/>
      <c r="D82" s="323"/>
      <c r="E82" s="324" t="e">
        <f aca="false">общ.калькуляция!h81</f>
        <v>#NAME?</v>
      </c>
      <c r="F82" s="324"/>
      <c r="G82" s="324"/>
      <c r="H82" s="324" t="e">
        <f aca="false">общ.калькуляция!j81</f>
        <v>#NAME?</v>
      </c>
      <c r="I82" s="324"/>
      <c r="J82" s="324"/>
      <c r="K82" s="324" t="e">
        <f aca="false">общ.калькуляция!m81</f>
        <v>#NAME?</v>
      </c>
      <c r="L82" s="324"/>
      <c r="M82" s="324"/>
      <c r="N82" s="324" t="e">
        <f aca="false">E82+H82+K82</f>
        <v>#NAME?</v>
      </c>
    </row>
    <row r="83" customFormat="false" ht="15" hidden="false" customHeight="true" outlineLevel="0" collapsed="false">
      <c r="A83" s="28" t="s">
        <v>155</v>
      </c>
      <c r="B83" s="326" t="s">
        <v>2952</v>
      </c>
      <c r="C83" s="323"/>
      <c r="D83" s="323"/>
      <c r="E83" s="324" t="e">
        <f aca="false">общ.калькуляция!h82</f>
        <v>#NAME?</v>
      </c>
      <c r="F83" s="324"/>
      <c r="G83" s="324"/>
      <c r="H83" s="324" t="e">
        <f aca="false">общ.калькуляция!j82</f>
        <v>#NAME?</v>
      </c>
      <c r="I83" s="324"/>
      <c r="J83" s="324"/>
      <c r="K83" s="324" t="e">
        <f aca="false">общ.калькуляция!m82</f>
        <v>#NAME?</v>
      </c>
      <c r="L83" s="324"/>
      <c r="M83" s="324"/>
      <c r="N83" s="324" t="e">
        <f aca="false">E83+H83+K83</f>
        <v>#NAME?</v>
      </c>
    </row>
    <row r="84" customFormat="false" ht="15" hidden="false" customHeight="true" outlineLevel="0" collapsed="false">
      <c r="A84" s="28" t="s">
        <v>156</v>
      </c>
      <c r="B84" s="21" t="s">
        <v>2883</v>
      </c>
      <c r="C84" s="323"/>
      <c r="D84" s="323"/>
      <c r="E84" s="324" t="e">
        <f aca="false">общ.калькуляция!h83</f>
        <v>#NAME?</v>
      </c>
      <c r="F84" s="324"/>
      <c r="G84" s="324"/>
      <c r="H84" s="324" t="e">
        <f aca="false">общ.калькуляция!j83</f>
        <v>#NAME?</v>
      </c>
      <c r="I84" s="324"/>
      <c r="J84" s="324"/>
      <c r="K84" s="324" t="e">
        <f aca="false">общ.калькуляция!m83</f>
        <v>#NAME?</v>
      </c>
      <c r="L84" s="324"/>
      <c r="M84" s="324"/>
      <c r="N84" s="324" t="e">
        <f aca="false">E84+H84+K84</f>
        <v>#NAME?</v>
      </c>
    </row>
    <row r="85" customFormat="false" ht="15" hidden="false" customHeight="true" outlineLevel="0" collapsed="false">
      <c r="A85" s="28" t="s">
        <v>157</v>
      </c>
      <c r="B85" s="21" t="s">
        <v>2884</v>
      </c>
      <c r="C85" s="323"/>
      <c r="D85" s="323"/>
      <c r="E85" s="324" t="e">
        <f aca="false">общ.калькуляция!h84</f>
        <v>#NAME?</v>
      </c>
      <c r="F85" s="324"/>
      <c r="G85" s="324"/>
      <c r="H85" s="324" t="e">
        <f aca="false">общ.калькуляция!j84</f>
        <v>#NAME?</v>
      </c>
      <c r="I85" s="324"/>
      <c r="J85" s="324"/>
      <c r="K85" s="324" t="e">
        <f aca="false">общ.калькуляция!m84</f>
        <v>#NAME?</v>
      </c>
      <c r="L85" s="324"/>
      <c r="M85" s="324"/>
      <c r="N85" s="324" t="e">
        <f aca="false">E85+H85+K85</f>
        <v>#NAME?</v>
      </c>
    </row>
    <row r="86" customFormat="false" ht="15" hidden="false" customHeight="true" outlineLevel="0" collapsed="false">
      <c r="A86" s="28" t="s">
        <v>158</v>
      </c>
      <c r="B86" s="21" t="s">
        <v>2885</v>
      </c>
      <c r="C86" s="323"/>
      <c r="D86" s="323"/>
      <c r="E86" s="324" t="e">
        <f aca="false">общ.калькуляция!h85</f>
        <v>#NAME?</v>
      </c>
      <c r="F86" s="324"/>
      <c r="G86" s="324"/>
      <c r="H86" s="324" t="e">
        <f aca="false">общ.калькуляция!j85</f>
        <v>#NAME?</v>
      </c>
      <c r="I86" s="324"/>
      <c r="J86" s="324"/>
      <c r="K86" s="324" t="e">
        <f aca="false">общ.калькуляция!m85</f>
        <v>#NAME?</v>
      </c>
      <c r="L86" s="324"/>
      <c r="M86" s="324"/>
      <c r="N86" s="324" t="e">
        <f aca="false">E86+H86+K86</f>
        <v>#NAME?</v>
      </c>
    </row>
    <row r="87" customFormat="false" ht="15" hidden="false" customHeight="true" outlineLevel="0" collapsed="false">
      <c r="A87" s="28" t="s">
        <v>159</v>
      </c>
      <c r="B87" s="21" t="s">
        <v>2886</v>
      </c>
      <c r="C87" s="323"/>
      <c r="D87" s="323"/>
      <c r="E87" s="324" t="e">
        <f aca="false">общ.калькуляция!h86</f>
        <v>#NAME?</v>
      </c>
      <c r="F87" s="324"/>
      <c r="G87" s="324"/>
      <c r="H87" s="324" t="e">
        <f aca="false">общ.калькуляция!j86</f>
        <v>#NAME?</v>
      </c>
      <c r="I87" s="324"/>
      <c r="J87" s="324"/>
      <c r="K87" s="324" t="e">
        <f aca="false">общ.калькуляция!m86</f>
        <v>#NAME?</v>
      </c>
      <c r="L87" s="324"/>
      <c r="M87" s="324"/>
      <c r="N87" s="324" t="e">
        <f aca="false">E87+H87+K87</f>
        <v>#NAME?</v>
      </c>
    </row>
    <row r="88" customFormat="false" ht="15" hidden="false" customHeight="true" outlineLevel="0" collapsed="false">
      <c r="A88" s="28" t="s">
        <v>160</v>
      </c>
      <c r="B88" s="325" t="s">
        <v>2887</v>
      </c>
      <c r="C88" s="323"/>
      <c r="D88" s="323"/>
      <c r="E88" s="324" t="e">
        <f aca="false">общ.калькуляция!h87</f>
        <v>#NAME?</v>
      </c>
      <c r="F88" s="324"/>
      <c r="G88" s="324"/>
      <c r="H88" s="324" t="e">
        <f aca="false">общ.калькуляция!j87</f>
        <v>#NAME?</v>
      </c>
      <c r="I88" s="324"/>
      <c r="J88" s="324"/>
      <c r="K88" s="324" t="e">
        <f aca="false">общ.калькуляция!m87</f>
        <v>#NAME?</v>
      </c>
      <c r="L88" s="324"/>
      <c r="M88" s="324"/>
      <c r="N88" s="324" t="e">
        <f aca="false">E88+H88+K88</f>
        <v>#NAME?</v>
      </c>
    </row>
    <row r="89" customFormat="false" ht="15" hidden="false" customHeight="true" outlineLevel="0" collapsed="false">
      <c r="A89" s="28" t="s">
        <v>161</v>
      </c>
      <c r="B89" s="21" t="s">
        <v>2953</v>
      </c>
      <c r="C89" s="323"/>
      <c r="D89" s="323"/>
      <c r="E89" s="324" t="e">
        <f aca="false">общ.калькуляция!h88</f>
        <v>#NAME?</v>
      </c>
      <c r="F89" s="324"/>
      <c r="G89" s="324"/>
      <c r="H89" s="324" t="e">
        <f aca="false">общ.калькуляция!j88</f>
        <v>#NAME?</v>
      </c>
      <c r="I89" s="324"/>
      <c r="J89" s="324"/>
      <c r="K89" s="324" t="e">
        <f aca="false">общ.калькуляция!m88</f>
        <v>#NAME?</v>
      </c>
      <c r="L89" s="324"/>
      <c r="M89" s="324"/>
      <c r="N89" s="324" t="e">
        <f aca="false">E89+H89+K89</f>
        <v>#NAME?</v>
      </c>
    </row>
    <row r="90" customFormat="false" ht="15" hidden="false" customHeight="true" outlineLevel="0" collapsed="false">
      <c r="A90" s="28" t="s">
        <v>163</v>
      </c>
      <c r="B90" s="21" t="s">
        <v>2954</v>
      </c>
      <c r="C90" s="323"/>
      <c r="D90" s="323"/>
      <c r="E90" s="324" t="e">
        <f aca="false">общ.калькуляция!h89</f>
        <v>#NAME?</v>
      </c>
      <c r="F90" s="324"/>
      <c r="G90" s="324"/>
      <c r="H90" s="324" t="e">
        <f aca="false">общ.калькуляция!j89</f>
        <v>#NAME?</v>
      </c>
      <c r="I90" s="324"/>
      <c r="J90" s="324"/>
      <c r="K90" s="324" t="e">
        <f aca="false">общ.калькуляция!m89</f>
        <v>#NAME?</v>
      </c>
      <c r="L90" s="324"/>
      <c r="M90" s="324"/>
      <c r="N90" s="324" t="e">
        <f aca="false">E90+H90+K90</f>
        <v>#NAME?</v>
      </c>
    </row>
    <row r="91" customFormat="false" ht="15" hidden="false" customHeight="true" outlineLevel="0" collapsed="false">
      <c r="A91" s="28" t="s">
        <v>165</v>
      </c>
      <c r="B91" s="325" t="s">
        <v>2892</v>
      </c>
      <c r="C91" s="323"/>
      <c r="D91" s="323"/>
      <c r="E91" s="324" t="e">
        <f aca="false">общ.калькуляция!h90</f>
        <v>#NAME?</v>
      </c>
      <c r="F91" s="324"/>
      <c r="G91" s="324"/>
      <c r="H91" s="324" t="e">
        <f aca="false">общ.калькуляция!j90</f>
        <v>#NAME?</v>
      </c>
      <c r="I91" s="324"/>
      <c r="J91" s="324"/>
      <c r="K91" s="324" t="e">
        <f aca="false">общ.калькуляция!m90</f>
        <v>#NAME?</v>
      </c>
      <c r="L91" s="324"/>
      <c r="M91" s="324"/>
      <c r="N91" s="324" t="e">
        <f aca="false">E91+H91+K91</f>
        <v>#NAME?</v>
      </c>
    </row>
    <row r="92" customFormat="false" ht="15" hidden="false" customHeight="true" outlineLevel="0" collapsed="false">
      <c r="A92" s="28" t="s">
        <v>166</v>
      </c>
      <c r="B92" s="325" t="s">
        <v>2893</v>
      </c>
      <c r="C92" s="323"/>
      <c r="D92" s="323"/>
      <c r="E92" s="324" t="e">
        <f aca="false">общ.калькуляция!h91</f>
        <v>#NAME?</v>
      </c>
      <c r="F92" s="324"/>
      <c r="G92" s="324"/>
      <c r="H92" s="324" t="e">
        <f aca="false">общ.калькуляция!j91</f>
        <v>#NAME?</v>
      </c>
      <c r="I92" s="324"/>
      <c r="J92" s="324"/>
      <c r="K92" s="324" t="e">
        <f aca="false">общ.калькуляция!m91</f>
        <v>#NAME?</v>
      </c>
      <c r="L92" s="324"/>
      <c r="M92" s="324"/>
      <c r="N92" s="324" t="e">
        <f aca="false">E92+H92+K92</f>
        <v>#NAME?</v>
      </c>
    </row>
    <row r="93" customFormat="false" ht="15" hidden="false" customHeight="true" outlineLevel="0" collapsed="false">
      <c r="A93" s="28" t="s">
        <v>167</v>
      </c>
      <c r="B93" s="325" t="s">
        <v>2894</v>
      </c>
      <c r="C93" s="323"/>
      <c r="D93" s="323"/>
      <c r="E93" s="324" t="e">
        <f aca="false">общ.калькуляция!h92</f>
        <v>#NAME?</v>
      </c>
      <c r="F93" s="324"/>
      <c r="G93" s="324"/>
      <c r="H93" s="324" t="e">
        <f aca="false">общ.калькуляция!j92</f>
        <v>#NAME?</v>
      </c>
      <c r="I93" s="324"/>
      <c r="J93" s="324"/>
      <c r="K93" s="324" t="e">
        <f aca="false">общ.калькуляция!m92</f>
        <v>#NAME?</v>
      </c>
      <c r="L93" s="324"/>
      <c r="M93" s="324"/>
      <c r="N93" s="324" t="e">
        <f aca="false">E93+H93+K93</f>
        <v>#NAME?</v>
      </c>
    </row>
    <row r="94" customFormat="false" ht="15" hidden="false" customHeight="true" outlineLevel="0" collapsed="false">
      <c r="A94" s="28" t="s">
        <v>168</v>
      </c>
      <c r="B94" s="325" t="s">
        <v>2895</v>
      </c>
      <c r="C94" s="323"/>
      <c r="D94" s="323"/>
      <c r="E94" s="324" t="e">
        <f aca="false">общ.калькуляция!h93</f>
        <v>#NAME?</v>
      </c>
      <c r="F94" s="324"/>
      <c r="G94" s="324"/>
      <c r="H94" s="324" t="e">
        <f aca="false">общ.калькуляция!j93</f>
        <v>#NAME?</v>
      </c>
      <c r="I94" s="324"/>
      <c r="J94" s="324"/>
      <c r="K94" s="324" t="e">
        <f aca="false">общ.калькуляция!m93</f>
        <v>#NAME?</v>
      </c>
      <c r="L94" s="324"/>
      <c r="M94" s="324"/>
      <c r="N94" s="324" t="e">
        <f aca="false">E94+H94+K94</f>
        <v>#NAME?</v>
      </c>
    </row>
    <row r="95" customFormat="false" ht="15" hidden="false" customHeight="true" outlineLevel="0" collapsed="false">
      <c r="A95" s="28" t="s">
        <v>169</v>
      </c>
      <c r="B95" s="326" t="s">
        <v>2955</v>
      </c>
      <c r="C95" s="323"/>
      <c r="D95" s="323"/>
      <c r="E95" s="324" t="e">
        <f aca="false">общ.калькуляция!h94</f>
        <v>#NAME?</v>
      </c>
      <c r="F95" s="324"/>
      <c r="G95" s="324"/>
      <c r="H95" s="324" t="e">
        <f aca="false">общ.калькуляция!j94</f>
        <v>#NAME?</v>
      </c>
      <c r="I95" s="324"/>
      <c r="J95" s="324"/>
      <c r="K95" s="324" t="e">
        <f aca="false">общ.калькуляция!m94</f>
        <v>#NAME?</v>
      </c>
      <c r="L95" s="324"/>
      <c r="M95" s="324"/>
      <c r="N95" s="324" t="e">
        <f aca="false">E95+H95+K95</f>
        <v>#NAME?</v>
      </c>
    </row>
    <row r="96" customFormat="false" ht="15" hidden="false" customHeight="true" outlineLevel="0" collapsed="false">
      <c r="A96" s="28" t="s">
        <v>171</v>
      </c>
      <c r="B96" s="326" t="s">
        <v>2897</v>
      </c>
      <c r="C96" s="323"/>
      <c r="D96" s="323"/>
      <c r="E96" s="324" t="e">
        <f aca="false">общ.калькуляция!h95</f>
        <v>#NAME?</v>
      </c>
      <c r="F96" s="324"/>
      <c r="G96" s="324"/>
      <c r="H96" s="324" t="e">
        <f aca="false">общ.калькуляция!j95</f>
        <v>#NAME?</v>
      </c>
      <c r="I96" s="324"/>
      <c r="J96" s="324"/>
      <c r="K96" s="324" t="e">
        <f aca="false">общ.калькуляция!m95</f>
        <v>#NAME?</v>
      </c>
      <c r="L96" s="324"/>
      <c r="M96" s="324"/>
      <c r="N96" s="324" t="e">
        <f aca="false">E96+H96+K96</f>
        <v>#NAME?</v>
      </c>
    </row>
    <row r="97" customFormat="false" ht="15" hidden="false" customHeight="true" outlineLevel="0" collapsed="false">
      <c r="A97" s="28" t="s">
        <v>173</v>
      </c>
      <c r="B97" s="326" t="s">
        <v>2898</v>
      </c>
      <c r="C97" s="323"/>
      <c r="D97" s="323"/>
      <c r="E97" s="324" t="e">
        <f aca="false">общ.калькуляция!h96</f>
        <v>#NAME?</v>
      </c>
      <c r="F97" s="324"/>
      <c r="G97" s="324"/>
      <c r="H97" s="324" t="e">
        <f aca="false">общ.калькуляция!j96</f>
        <v>#NAME?</v>
      </c>
      <c r="I97" s="324"/>
      <c r="J97" s="324"/>
      <c r="K97" s="324" t="e">
        <f aca="false">общ.калькуляция!m96</f>
        <v>#NAME?</v>
      </c>
      <c r="L97" s="324"/>
      <c r="M97" s="324"/>
      <c r="N97" s="324" t="e">
        <f aca="false">E97+H97+K97</f>
        <v>#NAME?</v>
      </c>
    </row>
    <row r="98" customFormat="false" ht="15" hidden="false" customHeight="true" outlineLevel="0" collapsed="false">
      <c r="A98" s="28" t="s">
        <v>174</v>
      </c>
      <c r="B98" s="326" t="s">
        <v>2899</v>
      </c>
      <c r="C98" s="323"/>
      <c r="D98" s="323"/>
      <c r="E98" s="324" t="e">
        <f aca="false">общ.калькуляция!h97</f>
        <v>#NAME?</v>
      </c>
      <c r="F98" s="324"/>
      <c r="G98" s="324"/>
      <c r="H98" s="324" t="e">
        <f aca="false">общ.калькуляция!j97</f>
        <v>#NAME?</v>
      </c>
      <c r="I98" s="324"/>
      <c r="J98" s="324"/>
      <c r="K98" s="324" t="e">
        <f aca="false">общ.калькуляция!m97</f>
        <v>#NAME?</v>
      </c>
      <c r="L98" s="324"/>
      <c r="M98" s="324"/>
      <c r="N98" s="324" t="e">
        <f aca="false">E98+H98+K98</f>
        <v>#NAME?</v>
      </c>
    </row>
    <row r="99" customFormat="false" ht="15" hidden="false" customHeight="true" outlineLevel="0" collapsed="false">
      <c r="A99" s="28" t="s">
        <v>175</v>
      </c>
      <c r="B99" s="326" t="s">
        <v>2900</v>
      </c>
      <c r="C99" s="323"/>
      <c r="D99" s="323"/>
      <c r="E99" s="324" t="e">
        <f aca="false">общ.калькуляция!h98</f>
        <v>#NAME?</v>
      </c>
      <c r="F99" s="324"/>
      <c r="G99" s="324"/>
      <c r="H99" s="324" t="e">
        <f aca="false">общ.калькуляция!j98</f>
        <v>#NAME?</v>
      </c>
      <c r="I99" s="324"/>
      <c r="J99" s="324"/>
      <c r="K99" s="324" t="e">
        <f aca="false">общ.калькуляция!m98</f>
        <v>#NAME?</v>
      </c>
      <c r="L99" s="324"/>
      <c r="M99" s="324"/>
      <c r="N99" s="324" t="e">
        <f aca="false">E99+H99+K99</f>
        <v>#NAME?</v>
      </c>
    </row>
    <row r="100" customFormat="false" ht="15" hidden="false" customHeight="true" outlineLevel="0" collapsed="false">
      <c r="A100" s="28" t="s">
        <v>176</v>
      </c>
      <c r="B100" s="326" t="s">
        <v>2901</v>
      </c>
      <c r="C100" s="323"/>
      <c r="D100" s="323"/>
      <c r="E100" s="324" t="e">
        <f aca="false">общ.калькуляция!h99</f>
        <v>#NAME?</v>
      </c>
      <c r="F100" s="324"/>
      <c r="G100" s="324"/>
      <c r="H100" s="324" t="e">
        <f aca="false">общ.калькуляция!j99</f>
        <v>#NAME?</v>
      </c>
      <c r="I100" s="324"/>
      <c r="J100" s="324"/>
      <c r="K100" s="324" t="e">
        <f aca="false">общ.калькуляция!m99</f>
        <v>#NAME?</v>
      </c>
      <c r="L100" s="324"/>
      <c r="M100" s="324"/>
      <c r="N100" s="324" t="e">
        <f aca="false">E100+H100+K100</f>
        <v>#NAME?</v>
      </c>
    </row>
    <row r="101" customFormat="false" ht="15" hidden="false" customHeight="true" outlineLevel="0" collapsed="false">
      <c r="A101" s="28" t="s">
        <v>178</v>
      </c>
      <c r="B101" s="25" t="s">
        <v>2904</v>
      </c>
      <c r="C101" s="323"/>
      <c r="D101" s="323"/>
      <c r="E101" s="324" t="e">
        <f aca="false">общ.калькуляция!h100</f>
        <v>#NAME?</v>
      </c>
      <c r="F101" s="324"/>
      <c r="G101" s="324"/>
      <c r="H101" s="324" t="e">
        <f aca="false">общ.калькуляция!j100</f>
        <v>#NAME?</v>
      </c>
      <c r="I101" s="324"/>
      <c r="J101" s="324"/>
      <c r="K101" s="324" t="e">
        <f aca="false">общ.калькуляция!m100</f>
        <v>#NAME?</v>
      </c>
      <c r="L101" s="324"/>
      <c r="M101" s="324"/>
      <c r="N101" s="324" t="e">
        <f aca="false">E101+H101+K101</f>
        <v>#NAME?</v>
      </c>
    </row>
    <row r="102" customFormat="false" ht="15" hidden="false" customHeight="true" outlineLevel="0" collapsed="false">
      <c r="A102" s="28" t="s">
        <v>179</v>
      </c>
      <c r="B102" s="25" t="s">
        <v>2956</v>
      </c>
      <c r="C102" s="323"/>
      <c r="D102" s="323"/>
      <c r="E102" s="324" t="e">
        <f aca="false">общ.калькуляция!h101</f>
        <v>#NAME?</v>
      </c>
      <c r="F102" s="324"/>
      <c r="G102" s="324"/>
      <c r="H102" s="324" t="e">
        <f aca="false">общ.калькуляция!j101</f>
        <v>#NAME?</v>
      </c>
      <c r="I102" s="324"/>
      <c r="J102" s="324"/>
      <c r="K102" s="324" t="e">
        <f aca="false">общ.калькуляция!m101</f>
        <v>#NAME?</v>
      </c>
      <c r="L102" s="324"/>
      <c r="M102" s="324"/>
      <c r="N102" s="324" t="e">
        <f aca="false">E102+H102+K102</f>
        <v>#NAME?</v>
      </c>
    </row>
    <row r="103" customFormat="false" ht="15" hidden="false" customHeight="true" outlineLevel="0" collapsed="false">
      <c r="A103" s="28" t="s">
        <v>180</v>
      </c>
      <c r="B103" s="325" t="s">
        <v>2906</v>
      </c>
      <c r="C103" s="323"/>
      <c r="D103" s="323"/>
      <c r="E103" s="324" t="e">
        <f aca="false">общ.калькуляция!h102</f>
        <v>#NAME?</v>
      </c>
      <c r="F103" s="324"/>
      <c r="G103" s="324"/>
      <c r="H103" s="324" t="e">
        <f aca="false">общ.калькуляция!j102</f>
        <v>#NAME?</v>
      </c>
      <c r="I103" s="324"/>
      <c r="J103" s="324"/>
      <c r="K103" s="324" t="e">
        <f aca="false">общ.калькуляция!m102</f>
        <v>#NAME?</v>
      </c>
      <c r="L103" s="324"/>
      <c r="M103" s="324"/>
      <c r="N103" s="324" t="e">
        <f aca="false">E103+H103+K103</f>
        <v>#NAME?</v>
      </c>
    </row>
    <row r="104" customFormat="false" ht="15" hidden="false" customHeight="true" outlineLevel="0" collapsed="false">
      <c r="A104" s="28" t="s">
        <v>181</v>
      </c>
      <c r="B104" s="21" t="s">
        <v>2957</v>
      </c>
      <c r="C104" s="323"/>
      <c r="D104" s="323"/>
      <c r="E104" s="324" t="e">
        <f aca="false">общ.калькуляция!h103</f>
        <v>#NAME?</v>
      </c>
      <c r="F104" s="324"/>
      <c r="G104" s="324"/>
      <c r="H104" s="324" t="e">
        <f aca="false">общ.калькуляция!j103</f>
        <v>#NAME?</v>
      </c>
      <c r="I104" s="324"/>
      <c r="J104" s="324"/>
      <c r="K104" s="324" t="e">
        <f aca="false">общ.калькуляция!m103</f>
        <v>#NAME?</v>
      </c>
      <c r="L104" s="324"/>
      <c r="M104" s="324"/>
      <c r="N104" s="324" t="e">
        <f aca="false">E104+H104+K104</f>
        <v>#NAME?</v>
      </c>
    </row>
    <row r="105" customFormat="false" ht="15" hidden="false" customHeight="true" outlineLevel="0" collapsed="false">
      <c r="A105" s="28" t="s">
        <v>183</v>
      </c>
      <c r="B105" s="325" t="s">
        <v>2911</v>
      </c>
      <c r="C105" s="323"/>
      <c r="D105" s="323"/>
      <c r="E105" s="324" t="e">
        <f aca="false">общ.калькуляция!h104</f>
        <v>#NAME?</v>
      </c>
      <c r="F105" s="324"/>
      <c r="G105" s="324"/>
      <c r="H105" s="324" t="e">
        <f aca="false">общ.калькуляция!j104</f>
        <v>#NAME?</v>
      </c>
      <c r="I105" s="324"/>
      <c r="J105" s="324"/>
      <c r="K105" s="324" t="e">
        <f aca="false">общ.калькуляция!m104</f>
        <v>#NAME?</v>
      </c>
      <c r="L105" s="324"/>
      <c r="M105" s="324"/>
      <c r="N105" s="324" t="e">
        <f aca="false">E105+H105+K105</f>
        <v>#NAME?</v>
      </c>
    </row>
    <row r="106" customFormat="false" ht="15" hidden="false" customHeight="true" outlineLevel="0" collapsed="false">
      <c r="A106" s="28" t="s">
        <v>185</v>
      </c>
      <c r="B106" s="326" t="s">
        <v>2912</v>
      </c>
      <c r="C106" s="323"/>
      <c r="D106" s="323"/>
      <c r="E106" s="324" t="e">
        <f aca="false">общ.калькуляция!h105</f>
        <v>#NAME?</v>
      </c>
      <c r="F106" s="324"/>
      <c r="G106" s="324"/>
      <c r="H106" s="324" t="e">
        <f aca="false">общ.калькуляция!j105</f>
        <v>#NAME?</v>
      </c>
      <c r="I106" s="324"/>
      <c r="J106" s="324"/>
      <c r="K106" s="324" t="e">
        <f aca="false">общ.калькуляция!m105</f>
        <v>#NAME?</v>
      </c>
      <c r="L106" s="324"/>
      <c r="M106" s="324"/>
      <c r="N106" s="324" t="e">
        <f aca="false">E106+H106+K106</f>
        <v>#NAME?</v>
      </c>
    </row>
    <row r="107" customFormat="false" ht="15" hidden="false" customHeight="true" outlineLevel="0" collapsed="false">
      <c r="A107" s="28" t="s">
        <v>186</v>
      </c>
      <c r="B107" s="326" t="s">
        <v>2913</v>
      </c>
      <c r="C107" s="323"/>
      <c r="D107" s="323"/>
      <c r="E107" s="324" t="e">
        <f aca="false">общ.калькуляция!h106</f>
        <v>#NAME?</v>
      </c>
      <c r="F107" s="324"/>
      <c r="G107" s="324"/>
      <c r="H107" s="324" t="e">
        <f aca="false">общ.калькуляция!j106</f>
        <v>#NAME?</v>
      </c>
      <c r="I107" s="324"/>
      <c r="J107" s="324"/>
      <c r="K107" s="324" t="e">
        <f aca="false">общ.калькуляция!m106</f>
        <v>#NAME?</v>
      </c>
      <c r="L107" s="324"/>
      <c r="M107" s="324"/>
      <c r="N107" s="324" t="e">
        <f aca="false">E107+H107+K107</f>
        <v>#NAME?</v>
      </c>
    </row>
    <row r="108" customFormat="false" ht="15" hidden="false" customHeight="true" outlineLevel="0" collapsed="false">
      <c r="A108" s="28" t="s">
        <v>188</v>
      </c>
      <c r="B108" s="326" t="s">
        <v>2914</v>
      </c>
      <c r="C108" s="323"/>
      <c r="D108" s="323"/>
      <c r="E108" s="324" t="e">
        <f aca="false">общ.калькуляция!h107</f>
        <v>#NAME?</v>
      </c>
      <c r="F108" s="324"/>
      <c r="G108" s="324"/>
      <c r="H108" s="324" t="e">
        <f aca="false">общ.калькуляция!j107</f>
        <v>#NAME?</v>
      </c>
      <c r="I108" s="324"/>
      <c r="J108" s="324"/>
      <c r="K108" s="324" t="e">
        <f aca="false">общ.калькуляция!m107</f>
        <v>#NAME?</v>
      </c>
      <c r="L108" s="324"/>
      <c r="M108" s="324"/>
      <c r="N108" s="324" t="e">
        <f aca="false">E108+H108+K108</f>
        <v>#NAME?</v>
      </c>
    </row>
    <row r="109" customFormat="false" ht="15" hidden="false" customHeight="true" outlineLevel="0" collapsed="false">
      <c r="A109" s="28" t="s">
        <v>189</v>
      </c>
      <c r="B109" s="326" t="s">
        <v>2915</v>
      </c>
      <c r="C109" s="323"/>
      <c r="D109" s="323"/>
      <c r="E109" s="324" t="e">
        <f aca="false">общ.калькуляция!h108</f>
        <v>#NAME?</v>
      </c>
      <c r="F109" s="324"/>
      <c r="G109" s="324"/>
      <c r="H109" s="324" t="e">
        <f aca="false">общ.калькуляция!j108</f>
        <v>#NAME?</v>
      </c>
      <c r="I109" s="324"/>
      <c r="J109" s="324"/>
      <c r="K109" s="324" t="e">
        <f aca="false">общ.калькуляция!m108</f>
        <v>#NAME?</v>
      </c>
      <c r="L109" s="324"/>
      <c r="M109" s="324"/>
      <c r="N109" s="324" t="e">
        <f aca="false">E109+H109+K109</f>
        <v>#NAME?</v>
      </c>
    </row>
    <row r="110" customFormat="false" ht="15" hidden="false" customHeight="true" outlineLevel="0" collapsed="false">
      <c r="A110" s="28" t="s">
        <v>190</v>
      </c>
      <c r="B110" s="326" t="s">
        <v>2958</v>
      </c>
      <c r="C110" s="323"/>
      <c r="D110" s="323"/>
      <c r="E110" s="324" t="e">
        <f aca="false">общ.калькуляция!h109</f>
        <v>#NAME?</v>
      </c>
      <c r="F110" s="324"/>
      <c r="G110" s="324"/>
      <c r="H110" s="324" t="e">
        <f aca="false">общ.калькуляция!j109</f>
        <v>#NAME?</v>
      </c>
      <c r="I110" s="324"/>
      <c r="J110" s="324"/>
      <c r="K110" s="324" t="e">
        <f aca="false">общ.калькуляция!m109</f>
        <v>#NAME?</v>
      </c>
      <c r="L110" s="324"/>
      <c r="M110" s="324"/>
      <c r="N110" s="324" t="e">
        <f aca="false">E110+H110+K110</f>
        <v>#NAME?</v>
      </c>
    </row>
    <row r="111" customFormat="false" ht="15" hidden="false" customHeight="true" outlineLevel="0" collapsed="false">
      <c r="A111" s="28" t="s">
        <v>192</v>
      </c>
      <c r="B111" s="325" t="s">
        <v>2917</v>
      </c>
      <c r="C111" s="323"/>
      <c r="D111" s="323"/>
      <c r="E111" s="324" t="e">
        <f aca="false">общ.калькуляция!h110</f>
        <v>#NAME?</v>
      </c>
      <c r="F111" s="324"/>
      <c r="G111" s="324"/>
      <c r="H111" s="324" t="e">
        <f aca="false">общ.калькуляция!j110</f>
        <v>#NAME?</v>
      </c>
      <c r="I111" s="324"/>
      <c r="J111" s="324"/>
      <c r="K111" s="324" t="e">
        <f aca="false">общ.калькуляция!m110</f>
        <v>#NAME?</v>
      </c>
      <c r="L111" s="324"/>
      <c r="M111" s="324"/>
      <c r="N111" s="324" t="e">
        <f aca="false">E111+H111+K111</f>
        <v>#NAME?</v>
      </c>
    </row>
    <row r="112" customFormat="false" ht="15" hidden="false" customHeight="true" outlineLevel="0" collapsed="false">
      <c r="A112" s="28" t="s">
        <v>193</v>
      </c>
      <c r="B112" s="325" t="s">
        <v>2918</v>
      </c>
      <c r="C112" s="323"/>
      <c r="D112" s="323"/>
      <c r="E112" s="324" t="e">
        <f aca="false">общ.калькуляция!h111</f>
        <v>#NAME?</v>
      </c>
      <c r="F112" s="324"/>
      <c r="G112" s="324"/>
      <c r="H112" s="324" t="e">
        <f aca="false">общ.калькуляция!j111</f>
        <v>#NAME?</v>
      </c>
      <c r="I112" s="324"/>
      <c r="J112" s="324"/>
      <c r="K112" s="324" t="e">
        <f aca="false">общ.калькуляция!m111</f>
        <v>#NAME?</v>
      </c>
      <c r="L112" s="324"/>
      <c r="M112" s="324"/>
      <c r="N112" s="324" t="e">
        <f aca="false">E112+H112+K112</f>
        <v>#NAME?</v>
      </c>
    </row>
    <row r="113" customFormat="false" ht="15" hidden="false" customHeight="true" outlineLevel="0" collapsed="false">
      <c r="A113" s="28" t="s">
        <v>194</v>
      </c>
      <c r="B113" s="325" t="s">
        <v>2919</v>
      </c>
      <c r="C113" s="323"/>
      <c r="D113" s="323"/>
      <c r="E113" s="324" t="e">
        <f aca="false">общ.калькуляция!h112</f>
        <v>#NAME?</v>
      </c>
      <c r="F113" s="324"/>
      <c r="G113" s="324"/>
      <c r="H113" s="324" t="e">
        <f aca="false">общ.калькуляция!j112</f>
        <v>#NAME?</v>
      </c>
      <c r="I113" s="324"/>
      <c r="J113" s="324"/>
      <c r="K113" s="324" t="e">
        <f aca="false">общ.калькуляция!m112</f>
        <v>#NAME?</v>
      </c>
      <c r="L113" s="324"/>
      <c r="M113" s="324"/>
      <c r="N113" s="324" t="e">
        <f aca="false">E113+H113+K113</f>
        <v>#NAME?</v>
      </c>
    </row>
    <row r="114" customFormat="false" ht="15" hidden="false" customHeight="true" outlineLevel="0" collapsed="false">
      <c r="A114" s="28" t="s">
        <v>196</v>
      </c>
      <c r="B114" s="325" t="s">
        <v>2920</v>
      </c>
      <c r="C114" s="323"/>
      <c r="D114" s="323"/>
      <c r="E114" s="324" t="e">
        <f aca="false">общ.калькуляция!h113</f>
        <v>#NAME?</v>
      </c>
      <c r="F114" s="324"/>
      <c r="G114" s="324"/>
      <c r="H114" s="324" t="e">
        <f aca="false">общ.калькуляция!j113</f>
        <v>#NAME?</v>
      </c>
      <c r="I114" s="324"/>
      <c r="J114" s="324"/>
      <c r="K114" s="324" t="e">
        <f aca="false">общ.калькуляция!m113</f>
        <v>#NAME?</v>
      </c>
      <c r="L114" s="324"/>
      <c r="M114" s="324"/>
      <c r="N114" s="324" t="e">
        <f aca="false">E114+H114+K114</f>
        <v>#NAME?</v>
      </c>
    </row>
    <row r="115" customFormat="false" ht="15" hidden="false" customHeight="true" outlineLevel="0" collapsed="false">
      <c r="A115" s="28" t="s">
        <v>198</v>
      </c>
      <c r="B115" s="325" t="s">
        <v>2921</v>
      </c>
      <c r="C115" s="323"/>
      <c r="D115" s="323"/>
      <c r="E115" s="324" t="e">
        <f aca="false">общ.калькуляция!h114</f>
        <v>#NAME?</v>
      </c>
      <c r="F115" s="324"/>
      <c r="G115" s="324"/>
      <c r="H115" s="324" t="e">
        <f aca="false">общ.калькуляция!j114</f>
        <v>#NAME?</v>
      </c>
      <c r="I115" s="324"/>
      <c r="J115" s="324"/>
      <c r="K115" s="324" t="e">
        <f aca="false">общ.калькуляция!m114</f>
        <v>#NAME?</v>
      </c>
      <c r="L115" s="324"/>
      <c r="M115" s="324"/>
      <c r="N115" s="324" t="e">
        <f aca="false">E115+H115+K115</f>
        <v>#NAME?</v>
      </c>
    </row>
    <row r="116" customFormat="false" ht="15" hidden="false" customHeight="true" outlineLevel="0" collapsed="false">
      <c r="A116" s="28" t="s">
        <v>200</v>
      </c>
      <c r="B116" s="325" t="s">
        <v>2922</v>
      </c>
      <c r="C116" s="323"/>
      <c r="D116" s="323"/>
      <c r="E116" s="324" t="e">
        <f aca="false">общ.калькуляция!h115</f>
        <v>#NAME?</v>
      </c>
      <c r="F116" s="324"/>
      <c r="G116" s="324"/>
      <c r="H116" s="324" t="e">
        <f aca="false">общ.калькуляция!j115</f>
        <v>#NAME?</v>
      </c>
      <c r="I116" s="324"/>
      <c r="J116" s="324"/>
      <c r="K116" s="324" t="e">
        <f aca="false">общ.калькуляция!m115</f>
        <v>#NAME?</v>
      </c>
      <c r="L116" s="324"/>
      <c r="M116" s="324"/>
      <c r="N116" s="324" t="e">
        <f aca="false">E116+H116+K116</f>
        <v>#NAME?</v>
      </c>
    </row>
    <row r="117" customFormat="false" ht="15" hidden="false" customHeight="true" outlineLevel="0" collapsed="false">
      <c r="A117" s="28" t="s">
        <v>202</v>
      </c>
      <c r="B117" s="325" t="s">
        <v>2923</v>
      </c>
      <c r="C117" s="323"/>
      <c r="D117" s="323"/>
      <c r="E117" s="324" t="e">
        <f aca="false">общ.калькуляция!h116</f>
        <v>#NAME?</v>
      </c>
      <c r="F117" s="324"/>
      <c r="G117" s="324"/>
      <c r="H117" s="324" t="e">
        <f aca="false">общ.калькуляция!j116</f>
        <v>#NAME?</v>
      </c>
      <c r="I117" s="324"/>
      <c r="J117" s="324"/>
      <c r="K117" s="324" t="e">
        <f aca="false">общ.калькуляция!m116</f>
        <v>#NAME?</v>
      </c>
      <c r="L117" s="324"/>
      <c r="M117" s="324"/>
      <c r="N117" s="324" t="e">
        <f aca="false">E117+H117+K117</f>
        <v>#NAME?</v>
      </c>
    </row>
    <row r="118" customFormat="false" ht="15" hidden="false" customHeight="true" outlineLevel="0" collapsed="false">
      <c r="A118" s="28" t="s">
        <v>203</v>
      </c>
      <c r="B118" s="325" t="s">
        <v>2924</v>
      </c>
      <c r="C118" s="323"/>
      <c r="D118" s="323"/>
      <c r="E118" s="324" t="e">
        <f aca="false">общ.калькуляция!h117</f>
        <v>#NAME?</v>
      </c>
      <c r="F118" s="324"/>
      <c r="G118" s="324"/>
      <c r="H118" s="324" t="e">
        <f aca="false">общ.калькуляция!j117</f>
        <v>#NAME?</v>
      </c>
      <c r="I118" s="324"/>
      <c r="J118" s="324"/>
      <c r="K118" s="324" t="e">
        <f aca="false">общ.калькуляция!m117</f>
        <v>#NAME?</v>
      </c>
      <c r="L118" s="324"/>
      <c r="M118" s="324"/>
      <c r="N118" s="324" t="e">
        <f aca="false">E118+H118+K118</f>
        <v>#NAME?</v>
      </c>
    </row>
    <row r="119" customFormat="false" ht="15" hidden="false" customHeight="true" outlineLevel="0" collapsed="false">
      <c r="A119" s="28" t="s">
        <v>204</v>
      </c>
      <c r="B119" s="325" t="s">
        <v>2925</v>
      </c>
      <c r="C119" s="323"/>
      <c r="D119" s="323"/>
      <c r="E119" s="324" t="e">
        <f aca="false">общ.калькуляция!h118</f>
        <v>#NAME?</v>
      </c>
      <c r="F119" s="324"/>
      <c r="G119" s="324"/>
      <c r="H119" s="324" t="e">
        <f aca="false">общ.калькуляция!j118</f>
        <v>#NAME?</v>
      </c>
      <c r="I119" s="324"/>
      <c r="J119" s="324"/>
      <c r="K119" s="324" t="e">
        <f aca="false">общ.калькуляция!m118</f>
        <v>#NAME?</v>
      </c>
      <c r="L119" s="324"/>
      <c r="M119" s="324"/>
      <c r="N119" s="324" t="e">
        <f aca="false">E119+H119+K119</f>
        <v>#NAME?</v>
      </c>
    </row>
    <row r="120" customFormat="false" ht="15" hidden="false" customHeight="true" outlineLevel="0" collapsed="false">
      <c r="A120" s="28" t="s">
        <v>205</v>
      </c>
      <c r="B120" s="325" t="s">
        <v>2926</v>
      </c>
      <c r="C120" s="323"/>
      <c r="D120" s="323"/>
      <c r="E120" s="324" t="e">
        <f aca="false">общ.калькуляция!h119</f>
        <v>#NAME?</v>
      </c>
      <c r="F120" s="324"/>
      <c r="G120" s="324"/>
      <c r="H120" s="324" t="e">
        <f aca="false">общ.калькуляция!j119</f>
        <v>#NAME?</v>
      </c>
      <c r="I120" s="324"/>
      <c r="J120" s="324"/>
      <c r="K120" s="324" t="e">
        <f aca="false">общ.калькуляция!m119</f>
        <v>#NAME?</v>
      </c>
      <c r="L120" s="324"/>
      <c r="M120" s="324"/>
      <c r="N120" s="324" t="e">
        <f aca="false">E120+H120+K120</f>
        <v>#NAME?</v>
      </c>
    </row>
    <row r="121" customFormat="false" ht="15" hidden="false" customHeight="true" outlineLevel="0" collapsed="false">
      <c r="A121" s="28" t="s">
        <v>206</v>
      </c>
      <c r="B121" s="325" t="s">
        <v>2927</v>
      </c>
      <c r="C121" s="323"/>
      <c r="D121" s="323"/>
      <c r="E121" s="324" t="e">
        <f aca="false">общ.калькуляция!h120</f>
        <v>#NAME?</v>
      </c>
      <c r="F121" s="324"/>
      <c r="G121" s="324"/>
      <c r="H121" s="324" t="e">
        <f aca="false">общ.калькуляция!j120</f>
        <v>#NAME?</v>
      </c>
      <c r="I121" s="324"/>
      <c r="J121" s="324"/>
      <c r="K121" s="324" t="e">
        <f aca="false">общ.калькуляция!m120</f>
        <v>#NAME?</v>
      </c>
      <c r="L121" s="324"/>
      <c r="M121" s="324"/>
      <c r="N121" s="324" t="e">
        <f aca="false">E121+H121+K121</f>
        <v>#NAME?</v>
      </c>
    </row>
    <row r="122" customFormat="false" ht="15" hidden="false" customHeight="true" outlineLevel="0" collapsed="false">
      <c r="A122" s="28" t="s">
        <v>207</v>
      </c>
      <c r="B122" s="325" t="s">
        <v>2928</v>
      </c>
      <c r="C122" s="323"/>
      <c r="D122" s="323"/>
      <c r="E122" s="324" t="e">
        <f aca="false">общ.калькуляция!h121</f>
        <v>#NAME?</v>
      </c>
      <c r="F122" s="324"/>
      <c r="G122" s="324"/>
      <c r="H122" s="324" t="e">
        <f aca="false">общ.калькуляция!j121</f>
        <v>#NAME?</v>
      </c>
      <c r="I122" s="324"/>
      <c r="J122" s="324"/>
      <c r="K122" s="324" t="e">
        <f aca="false">общ.калькуляция!m121</f>
        <v>#NAME?</v>
      </c>
      <c r="L122" s="324"/>
      <c r="M122" s="324"/>
      <c r="N122" s="324" t="e">
        <f aca="false">E122+H122+K122</f>
        <v>#NAME?</v>
      </c>
    </row>
    <row r="123" customFormat="false" ht="15" hidden="false" customHeight="true" outlineLevel="0" collapsed="false">
      <c r="A123" s="28" t="s">
        <v>208</v>
      </c>
      <c r="B123" s="21" t="s">
        <v>2929</v>
      </c>
      <c r="C123" s="323"/>
      <c r="D123" s="323"/>
      <c r="E123" s="324" t="e">
        <f aca="false">общ.калькуляция!h122</f>
        <v>#NAME?</v>
      </c>
      <c r="F123" s="324"/>
      <c r="G123" s="324"/>
      <c r="H123" s="324" t="e">
        <f aca="false">общ.калькуляция!j122</f>
        <v>#NAME?</v>
      </c>
      <c r="I123" s="324"/>
      <c r="J123" s="324"/>
      <c r="K123" s="324" t="e">
        <f aca="false">общ.калькуляция!m122</f>
        <v>#NAME?</v>
      </c>
      <c r="L123" s="324"/>
      <c r="M123" s="324"/>
      <c r="N123" s="324" t="e">
        <f aca="false">E123+H123+K123</f>
        <v>#NAME?</v>
      </c>
    </row>
    <row r="124" customFormat="false" ht="15" hidden="false" customHeight="true" outlineLevel="0" collapsed="false">
      <c r="A124" s="28" t="s">
        <v>209</v>
      </c>
      <c r="B124" s="21" t="s">
        <v>2930</v>
      </c>
      <c r="C124" s="323"/>
      <c r="D124" s="323"/>
      <c r="E124" s="324" t="e">
        <f aca="false">общ.калькуляция!h123</f>
        <v>#NAME?</v>
      </c>
      <c r="F124" s="324"/>
      <c r="G124" s="324"/>
      <c r="H124" s="324" t="e">
        <f aca="false">общ.калькуляция!j123</f>
        <v>#NAME?</v>
      </c>
      <c r="I124" s="324"/>
      <c r="J124" s="324"/>
      <c r="K124" s="324" t="e">
        <f aca="false">общ.калькуляция!m123</f>
        <v>#NAME?</v>
      </c>
      <c r="L124" s="324"/>
      <c r="M124" s="324"/>
      <c r="N124" s="324" t="e">
        <f aca="false">E124+H124+K124</f>
        <v>#NAME?</v>
      </c>
    </row>
    <row r="125" customFormat="false" ht="15" hidden="false" customHeight="true" outlineLevel="0" collapsed="false">
      <c r="A125" s="28" t="s">
        <v>210</v>
      </c>
      <c r="B125" s="21" t="s">
        <v>2931</v>
      </c>
      <c r="C125" s="323"/>
      <c r="D125" s="323"/>
      <c r="E125" s="324" t="e">
        <f aca="false">общ.калькуляция!h124</f>
        <v>#NAME?</v>
      </c>
      <c r="F125" s="324"/>
      <c r="G125" s="324"/>
      <c r="H125" s="324" t="e">
        <f aca="false">общ.калькуляция!j124</f>
        <v>#NAME?</v>
      </c>
      <c r="I125" s="324"/>
      <c r="J125" s="324"/>
      <c r="K125" s="324" t="e">
        <f aca="false">общ.калькуляция!m124</f>
        <v>#NAME?</v>
      </c>
      <c r="L125" s="324"/>
      <c r="M125" s="324"/>
      <c r="N125" s="324" t="e">
        <f aca="false">E125+H125+K125</f>
        <v>#NAME?</v>
      </c>
    </row>
    <row r="126" customFormat="false" ht="15" hidden="false" customHeight="true" outlineLevel="0" collapsed="false">
      <c r="A126" s="28" t="s">
        <v>211</v>
      </c>
      <c r="B126" s="325" t="s">
        <v>2932</v>
      </c>
      <c r="C126" s="323"/>
      <c r="D126" s="323"/>
      <c r="E126" s="324" t="e">
        <f aca="false">общ.калькуляция!h125</f>
        <v>#NAME?</v>
      </c>
      <c r="F126" s="324"/>
      <c r="G126" s="324"/>
      <c r="H126" s="324" t="e">
        <f aca="false">общ.калькуляция!j125</f>
        <v>#NAME?</v>
      </c>
      <c r="I126" s="324"/>
      <c r="J126" s="324"/>
      <c r="K126" s="324" t="e">
        <f aca="false">общ.калькуляция!m125</f>
        <v>#NAME?</v>
      </c>
      <c r="L126" s="324"/>
      <c r="M126" s="324"/>
      <c r="N126" s="324" t="e">
        <f aca="false">E126+H126+K126</f>
        <v>#NAME?</v>
      </c>
    </row>
    <row r="127" customFormat="false" ht="15" hidden="false" customHeight="true" outlineLevel="0" collapsed="false">
      <c r="A127" s="28" t="s">
        <v>212</v>
      </c>
      <c r="B127" s="21" t="s">
        <v>2933</v>
      </c>
      <c r="C127" s="323"/>
      <c r="D127" s="323"/>
      <c r="E127" s="324" t="e">
        <f aca="false">общ.калькуляция!h126</f>
        <v>#NAME?</v>
      </c>
      <c r="F127" s="324"/>
      <c r="G127" s="324"/>
      <c r="H127" s="324" t="e">
        <f aca="false">общ.калькуляция!j126</f>
        <v>#NAME?</v>
      </c>
      <c r="I127" s="324"/>
      <c r="J127" s="324"/>
      <c r="K127" s="324" t="e">
        <f aca="false">общ.калькуляция!m126</f>
        <v>#NAME?</v>
      </c>
      <c r="L127" s="324"/>
      <c r="M127" s="324"/>
      <c r="N127" s="324" t="e">
        <f aca="false">E127+H127+K127</f>
        <v>#NAME?</v>
      </c>
    </row>
    <row r="128" customFormat="false" ht="15" hidden="false" customHeight="true" outlineLevel="0" collapsed="false">
      <c r="A128" s="28" t="s">
        <v>213</v>
      </c>
      <c r="B128" s="21" t="s">
        <v>2934</v>
      </c>
      <c r="C128" s="323"/>
      <c r="D128" s="323"/>
      <c r="E128" s="324" t="e">
        <f aca="false">общ.калькуляция!h127</f>
        <v>#NAME?</v>
      </c>
      <c r="F128" s="324"/>
      <c r="G128" s="324"/>
      <c r="H128" s="324" t="e">
        <f aca="false">общ.калькуляция!j127</f>
        <v>#NAME?</v>
      </c>
      <c r="I128" s="324"/>
      <c r="J128" s="324"/>
      <c r="K128" s="324" t="e">
        <f aca="false">общ.калькуляция!m127</f>
        <v>#NAME?</v>
      </c>
      <c r="L128" s="324"/>
      <c r="M128" s="324"/>
      <c r="N128" s="324" t="e">
        <f aca="false">E128+H128+K128</f>
        <v>#NAME?</v>
      </c>
    </row>
    <row r="129" customFormat="false" ht="15" hidden="false" customHeight="true" outlineLevel="0" collapsed="false">
      <c r="A129" s="28" t="s">
        <v>214</v>
      </c>
      <c r="B129" s="21" t="s">
        <v>2935</v>
      </c>
      <c r="C129" s="323"/>
      <c r="D129" s="323"/>
      <c r="E129" s="324" t="e">
        <f aca="false">общ.калькуляция!h128</f>
        <v>#NAME?</v>
      </c>
      <c r="F129" s="324"/>
      <c r="G129" s="324"/>
      <c r="H129" s="324" t="e">
        <f aca="false">общ.калькуляция!j128</f>
        <v>#NAME?</v>
      </c>
      <c r="I129" s="324"/>
      <c r="J129" s="324"/>
      <c r="K129" s="324" t="e">
        <f aca="false">общ.калькуляция!m128</f>
        <v>#NAME?</v>
      </c>
      <c r="L129" s="324"/>
      <c r="M129" s="324"/>
      <c r="N129" s="324" t="e">
        <f aca="false">E129+H129+K129</f>
        <v>#NAME?</v>
      </c>
    </row>
    <row r="130" customFormat="false" ht="15" hidden="false" customHeight="true" outlineLevel="0" collapsed="false">
      <c r="A130" s="28" t="s">
        <v>215</v>
      </c>
      <c r="B130" s="325" t="s">
        <v>2936</v>
      </c>
      <c r="C130" s="323"/>
      <c r="D130" s="323"/>
      <c r="E130" s="324" t="e">
        <f aca="false">общ.калькуляция!h129</f>
        <v>#NAME?</v>
      </c>
      <c r="F130" s="324"/>
      <c r="G130" s="324"/>
      <c r="H130" s="324" t="e">
        <f aca="false">общ.калькуляция!j129</f>
        <v>#NAME?</v>
      </c>
      <c r="I130" s="324"/>
      <c r="J130" s="324"/>
      <c r="K130" s="324" t="e">
        <f aca="false">общ.калькуляция!m129</f>
        <v>#NAME?</v>
      </c>
      <c r="L130" s="324"/>
      <c r="M130" s="324"/>
      <c r="N130" s="324" t="e">
        <f aca="false">E130+H130+K130</f>
        <v>#NAME?</v>
      </c>
    </row>
    <row r="131" customFormat="false" ht="15" hidden="false" customHeight="true" outlineLevel="0" collapsed="false">
      <c r="A131" s="28" t="s">
        <v>216</v>
      </c>
      <c r="B131" s="325" t="s">
        <v>2937</v>
      </c>
      <c r="C131" s="323"/>
      <c r="D131" s="323"/>
      <c r="E131" s="324" t="e">
        <f aca="false">общ.калькуляция!h130</f>
        <v>#NAME?</v>
      </c>
      <c r="F131" s="324"/>
      <c r="G131" s="324"/>
      <c r="H131" s="324" t="e">
        <f aca="false">общ.калькуляция!j130</f>
        <v>#NAME?</v>
      </c>
      <c r="I131" s="324"/>
      <c r="J131" s="324"/>
      <c r="K131" s="324" t="e">
        <f aca="false">общ.калькуляция!m130</f>
        <v>#NAME?</v>
      </c>
      <c r="L131" s="324"/>
      <c r="M131" s="324"/>
      <c r="N131" s="324" t="e">
        <f aca="false">E131+H131+K131</f>
        <v>#NAME?</v>
      </c>
    </row>
    <row r="132" customFormat="false" ht="15" hidden="false" customHeight="true" outlineLevel="0" collapsed="false">
      <c r="A132" s="28" t="s">
        <v>217</v>
      </c>
      <c r="B132" s="325" t="s">
        <v>2938</v>
      </c>
      <c r="C132" s="323"/>
      <c r="D132" s="323"/>
      <c r="E132" s="324" t="e">
        <f aca="false">общ.калькуляция!h131</f>
        <v>#NAME?</v>
      </c>
      <c r="F132" s="324"/>
      <c r="G132" s="324"/>
      <c r="H132" s="324" t="e">
        <f aca="false">общ.калькуляция!j131</f>
        <v>#NAME?</v>
      </c>
      <c r="I132" s="324"/>
      <c r="J132" s="324"/>
      <c r="K132" s="324" t="e">
        <f aca="false">общ.калькуляция!m131</f>
        <v>#NAME?</v>
      </c>
      <c r="L132" s="324"/>
      <c r="M132" s="324"/>
      <c r="N132" s="324" t="e">
        <f aca="false">E132+H132+K132</f>
        <v>#NAME?</v>
      </c>
    </row>
    <row r="133" customFormat="false" ht="15" hidden="false" customHeight="true" outlineLevel="0" collapsed="false">
      <c r="A133" s="28" t="s">
        <v>218</v>
      </c>
      <c r="B133" s="326" t="s">
        <v>2959</v>
      </c>
      <c r="C133" s="323"/>
      <c r="D133" s="323"/>
      <c r="E133" s="324" t="e">
        <f aca="false">общ.калькуляция!h132</f>
        <v>#NAME?</v>
      </c>
      <c r="F133" s="324"/>
      <c r="G133" s="324"/>
      <c r="H133" s="324" t="e">
        <f aca="false">общ.калькуляция!j132</f>
        <v>#NAME?</v>
      </c>
      <c r="I133" s="324"/>
      <c r="J133" s="324"/>
      <c r="K133" s="324" t="e">
        <f aca="false">общ.калькуляция!m132</f>
        <v>#NAME?</v>
      </c>
      <c r="L133" s="324"/>
      <c r="M133" s="324"/>
      <c r="N133" s="324" t="e">
        <f aca="false">E133+H133+K133</f>
        <v>#NAME?</v>
      </c>
    </row>
    <row r="134" customFormat="false" ht="15" hidden="false" customHeight="true" outlineLevel="0" collapsed="false">
      <c r="A134" s="28" t="s">
        <v>219</v>
      </c>
      <c r="B134" s="326" t="s">
        <v>2940</v>
      </c>
      <c r="C134" s="323"/>
      <c r="D134" s="323"/>
      <c r="E134" s="324" t="e">
        <f aca="false">общ.калькуляция!h133</f>
        <v>#NAME?</v>
      </c>
      <c r="F134" s="324"/>
      <c r="G134" s="324"/>
      <c r="H134" s="324" t="e">
        <f aca="false">общ.калькуляция!j133</f>
        <v>#NAME?</v>
      </c>
      <c r="I134" s="324"/>
      <c r="J134" s="324"/>
      <c r="K134" s="324" t="e">
        <f aca="false">общ.калькуляция!m133</f>
        <v>#NAME?</v>
      </c>
      <c r="L134" s="324"/>
      <c r="M134" s="324"/>
      <c r="N134" s="324" t="e">
        <f aca="false">E134+H134+K134</f>
        <v>#NAME?</v>
      </c>
    </row>
    <row r="135" customFormat="false" ht="15" hidden="false" customHeight="true" outlineLevel="0" collapsed="false">
      <c r="A135" s="28" t="s">
        <v>220</v>
      </c>
      <c r="B135" s="326" t="s">
        <v>2960</v>
      </c>
      <c r="C135" s="323"/>
      <c r="D135" s="323"/>
      <c r="E135" s="324" t="e">
        <f aca="false">общ.калькуляция!h134</f>
        <v>#NAME?</v>
      </c>
      <c r="F135" s="324"/>
      <c r="G135" s="324"/>
      <c r="H135" s="324" t="e">
        <f aca="false">общ.калькуляция!j134</f>
        <v>#NAME?</v>
      </c>
      <c r="I135" s="324"/>
      <c r="J135" s="324"/>
      <c r="K135" s="324" t="e">
        <f aca="false">общ.калькуляция!m134</f>
        <v>#NAME?</v>
      </c>
      <c r="L135" s="324"/>
      <c r="M135" s="324"/>
      <c r="N135" s="324" t="e">
        <f aca="false">E135+H135+K135</f>
        <v>#NAME?</v>
      </c>
    </row>
    <row r="136" customFormat="false" ht="15" hidden="false" customHeight="true" outlineLevel="0" collapsed="false">
      <c r="A136" s="28" t="s">
        <v>222</v>
      </c>
      <c r="B136" s="326" t="s">
        <v>2941</v>
      </c>
      <c r="C136" s="323"/>
      <c r="D136" s="323"/>
      <c r="E136" s="324" t="e">
        <f aca="false">общ.калькуляция!h135</f>
        <v>#NAME?</v>
      </c>
      <c r="F136" s="324"/>
      <c r="G136" s="324"/>
      <c r="H136" s="324" t="e">
        <f aca="false">общ.калькуляция!j135</f>
        <v>#NAME?</v>
      </c>
      <c r="I136" s="324"/>
      <c r="J136" s="324"/>
      <c r="K136" s="324" t="e">
        <f aca="false">общ.калькуляция!m135</f>
        <v>#NAME?</v>
      </c>
      <c r="L136" s="324"/>
      <c r="M136" s="324"/>
      <c r="N136" s="324" t="e">
        <f aca="false">E136+H136+K136</f>
        <v>#NAME?</v>
      </c>
    </row>
    <row r="137" customFormat="false" ht="15" hidden="false" customHeight="true" outlineLevel="0" collapsed="false">
      <c r="A137" s="28" t="s">
        <v>223</v>
      </c>
      <c r="B137" s="326" t="s">
        <v>2942</v>
      </c>
      <c r="C137" s="323"/>
      <c r="D137" s="323"/>
      <c r="E137" s="324" t="e">
        <f aca="false">общ.калькуляция!h136</f>
        <v>#NAME?</v>
      </c>
      <c r="F137" s="324"/>
      <c r="G137" s="324"/>
      <c r="H137" s="324" t="e">
        <f aca="false">общ.калькуляция!j136</f>
        <v>#NAME?</v>
      </c>
      <c r="I137" s="324"/>
      <c r="J137" s="324"/>
      <c r="K137" s="324" t="e">
        <f aca="false">общ.калькуляция!m136</f>
        <v>#NAME?</v>
      </c>
      <c r="L137" s="324"/>
      <c r="M137" s="324"/>
      <c r="N137" s="324" t="e">
        <f aca="false">E137+H137+K137</f>
        <v>#NAME?</v>
      </c>
    </row>
    <row r="138" customFormat="false" ht="15" hidden="false" customHeight="true" outlineLevel="0" collapsed="false">
      <c r="A138" s="28" t="s">
        <v>224</v>
      </c>
      <c r="B138" s="21" t="s">
        <v>2961</v>
      </c>
      <c r="C138" s="323"/>
      <c r="D138" s="323"/>
      <c r="E138" s="324" t="e">
        <f aca="false">общ.калькуляция!h137</f>
        <v>#NAME?</v>
      </c>
      <c r="F138" s="324"/>
      <c r="G138" s="324"/>
      <c r="H138" s="324" t="e">
        <f aca="false">общ.калькуляция!j137</f>
        <v>#NAME?</v>
      </c>
      <c r="I138" s="324"/>
      <c r="J138" s="324"/>
      <c r="K138" s="324" t="e">
        <f aca="false">общ.калькуляция!m137</f>
        <v>#NAME?</v>
      </c>
      <c r="L138" s="324"/>
      <c r="M138" s="324"/>
      <c r="N138" s="324" t="e">
        <f aca="false">E138+H138+K138</f>
        <v>#NAME?</v>
      </c>
    </row>
    <row r="139" customFormat="false" ht="15" hidden="false" customHeight="true" outlineLevel="0" collapsed="false">
      <c r="A139" s="15" t="s">
        <v>226</v>
      </c>
      <c r="B139" s="16" t="s">
        <v>2962</v>
      </c>
      <c r="C139" s="321"/>
      <c r="D139" s="321"/>
      <c r="E139" s="329"/>
      <c r="F139" s="329"/>
      <c r="G139" s="329"/>
      <c r="H139" s="329"/>
      <c r="I139" s="329"/>
      <c r="J139" s="329"/>
      <c r="K139" s="329"/>
      <c r="L139" s="329"/>
      <c r="M139" s="329"/>
      <c r="N139" s="329"/>
    </row>
    <row r="140" customFormat="false" ht="15" hidden="false" customHeight="true" outlineLevel="0" collapsed="false">
      <c r="A140" s="28" t="s">
        <v>228</v>
      </c>
      <c r="B140" s="325" t="s">
        <v>2963</v>
      </c>
      <c r="C140" s="323"/>
      <c r="D140" s="323"/>
      <c r="E140" s="324" t="e">
        <f aca="false">общ.калькуляция!h139</f>
        <v>#NAME?</v>
      </c>
      <c r="F140" s="324"/>
      <c r="G140" s="324"/>
      <c r="H140" s="324" t="e">
        <f aca="false">общ.калькуляция!j139</f>
        <v>#NAME?</v>
      </c>
      <c r="I140" s="324"/>
      <c r="J140" s="324"/>
      <c r="K140" s="324" t="e">
        <f aca="false">общ.калькуляция!m139</f>
        <v>#NAME?</v>
      </c>
      <c r="L140" s="324"/>
      <c r="M140" s="324"/>
      <c r="N140" s="324" t="e">
        <f aca="false">E140+H140+K140</f>
        <v>#NAME?</v>
      </c>
    </row>
    <row r="141" customFormat="false" ht="15" hidden="false" customHeight="true" outlineLevel="0" collapsed="false">
      <c r="A141" s="28" t="s">
        <v>230</v>
      </c>
      <c r="B141" s="325" t="s">
        <v>2964</v>
      </c>
      <c r="C141" s="323"/>
      <c r="D141" s="323"/>
      <c r="E141" s="324" t="e">
        <f aca="false">общ.калькуляция!h140</f>
        <v>#NAME?</v>
      </c>
      <c r="F141" s="324"/>
      <c r="G141" s="324"/>
      <c r="H141" s="324" t="e">
        <f aca="false">общ.калькуляция!j140</f>
        <v>#NAME?</v>
      </c>
      <c r="I141" s="324"/>
      <c r="J141" s="324"/>
      <c r="K141" s="324" t="e">
        <f aca="false">общ.калькуляция!m140</f>
        <v>#NAME?</v>
      </c>
      <c r="L141" s="324"/>
      <c r="M141" s="324"/>
      <c r="N141" s="324" t="e">
        <f aca="false">E141+H141+K141</f>
        <v>#NAME?</v>
      </c>
    </row>
    <row r="142" customFormat="false" ht="15" hidden="false" customHeight="true" outlineLevel="0" collapsed="false">
      <c r="A142" s="28" t="s">
        <v>232</v>
      </c>
      <c r="B142" s="325" t="s">
        <v>2965</v>
      </c>
      <c r="C142" s="323"/>
      <c r="D142" s="323"/>
      <c r="E142" s="324" t="e">
        <f aca="false">общ.калькуляция!h141</f>
        <v>#NAME?</v>
      </c>
      <c r="F142" s="324"/>
      <c r="G142" s="324"/>
      <c r="H142" s="324" t="e">
        <f aca="false">общ.калькуляция!j141</f>
        <v>#NAME?</v>
      </c>
      <c r="I142" s="324"/>
      <c r="J142" s="324"/>
      <c r="K142" s="324" t="e">
        <f aca="false">общ.калькуляция!m141</f>
        <v>#NAME?</v>
      </c>
      <c r="L142" s="324"/>
      <c r="M142" s="324"/>
      <c r="N142" s="324" t="e">
        <f aca="false">E142+H142+K142</f>
        <v>#NAME?</v>
      </c>
    </row>
    <row r="143" customFormat="false" ht="15" hidden="false" customHeight="true" outlineLevel="0" collapsed="false">
      <c r="A143" s="28" t="s">
        <v>234</v>
      </c>
      <c r="B143" s="325" t="s">
        <v>2893</v>
      </c>
      <c r="C143" s="323"/>
      <c r="D143" s="323"/>
      <c r="E143" s="324" t="e">
        <f aca="false">общ.калькуляция!h142</f>
        <v>#NAME?</v>
      </c>
      <c r="F143" s="324"/>
      <c r="G143" s="324"/>
      <c r="H143" s="324" t="e">
        <f aca="false">общ.калькуляция!j142</f>
        <v>#NAME?</v>
      </c>
      <c r="I143" s="324"/>
      <c r="J143" s="324"/>
      <c r="K143" s="324" t="e">
        <f aca="false">общ.калькуляция!m142</f>
        <v>#NAME?</v>
      </c>
      <c r="L143" s="324"/>
      <c r="M143" s="324"/>
      <c r="N143" s="324" t="e">
        <f aca="false">E143+H143+K143</f>
        <v>#NAME?</v>
      </c>
    </row>
    <row r="144" customFormat="false" ht="15" hidden="false" customHeight="true" outlineLevel="0" collapsed="false">
      <c r="A144" s="28" t="s">
        <v>235</v>
      </c>
      <c r="B144" s="325" t="s">
        <v>2966</v>
      </c>
      <c r="C144" s="323"/>
      <c r="D144" s="323"/>
      <c r="E144" s="324" t="e">
        <f aca="false">общ.калькуляция!h143</f>
        <v>#NAME?</v>
      </c>
      <c r="F144" s="324"/>
      <c r="G144" s="324"/>
      <c r="H144" s="324" t="e">
        <f aca="false">общ.калькуляция!j143</f>
        <v>#NAME?</v>
      </c>
      <c r="I144" s="324"/>
      <c r="J144" s="324"/>
      <c r="K144" s="324" t="e">
        <f aca="false">общ.калькуляция!m143</f>
        <v>#NAME?</v>
      </c>
      <c r="L144" s="324"/>
      <c r="M144" s="324"/>
      <c r="N144" s="324" t="e">
        <f aca="false">E144+H144+K144</f>
        <v>#NAME?</v>
      </c>
    </row>
    <row r="145" customFormat="false" ht="15" hidden="false" customHeight="true" outlineLevel="0" collapsed="false">
      <c r="A145" s="28" t="s">
        <v>237</v>
      </c>
      <c r="B145" s="325" t="s">
        <v>2967</v>
      </c>
      <c r="C145" s="323"/>
      <c r="D145" s="323"/>
      <c r="E145" s="324" t="e">
        <f aca="false">общ.калькуляция!h144</f>
        <v>#NAME?</v>
      </c>
      <c r="F145" s="324"/>
      <c r="G145" s="324"/>
      <c r="H145" s="324" t="e">
        <f aca="false">общ.калькуляция!j144</f>
        <v>#NAME?</v>
      </c>
      <c r="I145" s="324"/>
      <c r="J145" s="324"/>
      <c r="K145" s="324" t="e">
        <f aca="false">общ.калькуляция!m144</f>
        <v>#NAME?</v>
      </c>
      <c r="L145" s="324"/>
      <c r="M145" s="324"/>
      <c r="N145" s="324" t="e">
        <f aca="false">E145+H145+K145</f>
        <v>#NAME?</v>
      </c>
    </row>
    <row r="146" customFormat="false" ht="15" hidden="false" customHeight="true" outlineLevel="0" collapsed="false">
      <c r="A146" s="28" t="s">
        <v>239</v>
      </c>
      <c r="B146" s="325" t="s">
        <v>2968</v>
      </c>
      <c r="C146" s="323"/>
      <c r="D146" s="323"/>
      <c r="E146" s="324" t="e">
        <f aca="false">общ.калькуляция!h145</f>
        <v>#NAME?</v>
      </c>
      <c r="F146" s="324"/>
      <c r="G146" s="324"/>
      <c r="H146" s="324" t="e">
        <f aca="false">общ.калькуляция!j145</f>
        <v>#NAME?</v>
      </c>
      <c r="I146" s="324"/>
      <c r="J146" s="324"/>
      <c r="K146" s="324" t="e">
        <f aca="false">общ.калькуляция!m145</f>
        <v>#NAME?</v>
      </c>
      <c r="L146" s="324"/>
      <c r="M146" s="324"/>
      <c r="N146" s="324" t="e">
        <f aca="false">E146+H146+K146</f>
        <v>#NAME?</v>
      </c>
    </row>
    <row r="147" customFormat="false" ht="15" hidden="false" customHeight="true" outlineLevel="0" collapsed="false">
      <c r="A147" s="28" t="s">
        <v>241</v>
      </c>
      <c r="B147" s="325" t="s">
        <v>2969</v>
      </c>
      <c r="C147" s="323"/>
      <c r="D147" s="323"/>
      <c r="E147" s="324" t="e">
        <f aca="false">общ.калькуляция!h146</f>
        <v>#NAME?</v>
      </c>
      <c r="F147" s="324"/>
      <c r="G147" s="324"/>
      <c r="H147" s="324" t="e">
        <f aca="false">общ.калькуляция!j146</f>
        <v>#NAME?</v>
      </c>
      <c r="I147" s="324"/>
      <c r="J147" s="324"/>
      <c r="K147" s="324" t="e">
        <f aca="false">общ.калькуляция!m146</f>
        <v>#NAME?</v>
      </c>
      <c r="L147" s="324"/>
      <c r="M147" s="324"/>
      <c r="N147" s="324" t="e">
        <f aca="false">E147+H147+K147</f>
        <v>#NAME?</v>
      </c>
    </row>
    <row r="148" customFormat="false" ht="15" hidden="false" customHeight="true" outlineLevel="0" collapsed="false">
      <c r="A148" s="28" t="s">
        <v>243</v>
      </c>
      <c r="B148" s="325" t="s">
        <v>2970</v>
      </c>
      <c r="C148" s="323"/>
      <c r="D148" s="323"/>
      <c r="E148" s="324" t="e">
        <f aca="false">общ.калькуляция!h147</f>
        <v>#NAME?</v>
      </c>
      <c r="F148" s="324"/>
      <c r="G148" s="324"/>
      <c r="H148" s="324" t="e">
        <f aca="false">общ.калькуляция!j147</f>
        <v>#NAME?</v>
      </c>
      <c r="I148" s="324"/>
      <c r="J148" s="324"/>
      <c r="K148" s="324" t="e">
        <f aca="false">общ.калькуляция!m147</f>
        <v>#NAME?</v>
      </c>
      <c r="L148" s="324"/>
      <c r="M148" s="324"/>
      <c r="N148" s="324" t="e">
        <f aca="false">E148+H148+K148</f>
        <v>#NAME?</v>
      </c>
    </row>
    <row r="149" customFormat="false" ht="15" hidden="false" customHeight="true" outlineLevel="0" collapsed="false">
      <c r="A149" s="28" t="s">
        <v>245</v>
      </c>
      <c r="B149" s="325" t="s">
        <v>2971</v>
      </c>
      <c r="C149" s="323"/>
      <c r="D149" s="323"/>
      <c r="E149" s="324" t="e">
        <f aca="false">общ.калькуляция!h148</f>
        <v>#NAME?</v>
      </c>
      <c r="F149" s="324"/>
      <c r="G149" s="324"/>
      <c r="H149" s="324" t="e">
        <f aca="false">общ.калькуляция!j148</f>
        <v>#NAME?</v>
      </c>
      <c r="I149" s="324"/>
      <c r="J149" s="324"/>
      <c r="K149" s="324" t="e">
        <f aca="false">общ.калькуляция!m148</f>
        <v>#NAME?</v>
      </c>
      <c r="L149" s="324"/>
      <c r="M149" s="324"/>
      <c r="N149" s="324" t="e">
        <f aca="false">E149+H149+K149</f>
        <v>#NAME?</v>
      </c>
    </row>
    <row r="150" customFormat="false" ht="15" hidden="false" customHeight="true" outlineLevel="0" collapsed="false">
      <c r="A150" s="28" t="s">
        <v>247</v>
      </c>
      <c r="B150" s="325" t="s">
        <v>2955</v>
      </c>
      <c r="C150" s="323"/>
      <c r="D150" s="323"/>
      <c r="E150" s="324" t="e">
        <f aca="false">общ.калькуляция!h149</f>
        <v>#NAME?</v>
      </c>
      <c r="F150" s="324"/>
      <c r="G150" s="324"/>
      <c r="H150" s="324" t="e">
        <f aca="false">общ.калькуляция!j149</f>
        <v>#NAME?</v>
      </c>
      <c r="I150" s="324"/>
      <c r="J150" s="324"/>
      <c r="K150" s="324" t="e">
        <f aca="false">общ.калькуляция!m149</f>
        <v>#NAME?</v>
      </c>
      <c r="L150" s="324"/>
      <c r="M150" s="324"/>
      <c r="N150" s="324" t="e">
        <f aca="false">E150+H150+K150</f>
        <v>#NAME?</v>
      </c>
    </row>
    <row r="151" customFormat="false" ht="15" hidden="false" customHeight="true" outlineLevel="0" collapsed="false">
      <c r="A151" s="28" t="s">
        <v>248</v>
      </c>
      <c r="B151" s="325" t="s">
        <v>2972</v>
      </c>
      <c r="C151" s="323"/>
      <c r="D151" s="323"/>
      <c r="E151" s="324" t="e">
        <f aca="false">общ.калькуляция!h150</f>
        <v>#NAME?</v>
      </c>
      <c r="F151" s="324"/>
      <c r="G151" s="324"/>
      <c r="H151" s="324" t="e">
        <f aca="false">общ.калькуляция!j150</f>
        <v>#NAME?</v>
      </c>
      <c r="I151" s="324"/>
      <c r="J151" s="324"/>
      <c r="K151" s="324" t="e">
        <f aca="false">общ.калькуляция!m150</f>
        <v>#NAME?</v>
      </c>
      <c r="L151" s="324"/>
      <c r="M151" s="324"/>
      <c r="N151" s="324" t="e">
        <f aca="false">E151+H151+K151</f>
        <v>#NAME?</v>
      </c>
    </row>
    <row r="152" customFormat="false" ht="15" hidden="false" customHeight="true" outlineLevel="0" collapsed="false">
      <c r="A152" s="28" t="s">
        <v>250</v>
      </c>
      <c r="B152" s="325" t="s">
        <v>2959</v>
      </c>
      <c r="C152" s="323"/>
      <c r="D152" s="323"/>
      <c r="E152" s="324" t="e">
        <f aca="false">общ.калькуляция!h151</f>
        <v>#NAME?</v>
      </c>
      <c r="F152" s="324"/>
      <c r="G152" s="324"/>
      <c r="H152" s="324" t="e">
        <f aca="false">общ.калькуляция!j151</f>
        <v>#NAME?</v>
      </c>
      <c r="I152" s="324"/>
      <c r="J152" s="324"/>
      <c r="K152" s="324" t="e">
        <f aca="false">общ.калькуляция!m151</f>
        <v>#NAME?</v>
      </c>
      <c r="L152" s="324"/>
      <c r="M152" s="324"/>
      <c r="N152" s="324" t="e">
        <f aca="false">E152+H152+K152</f>
        <v>#NAME?</v>
      </c>
    </row>
    <row r="153" customFormat="false" ht="27" hidden="false" customHeight="true" outlineLevel="0" collapsed="false">
      <c r="A153" s="28" t="s">
        <v>251</v>
      </c>
      <c r="B153" s="325" t="s">
        <v>2973</v>
      </c>
      <c r="C153" s="323"/>
      <c r="D153" s="323"/>
      <c r="E153" s="324" t="e">
        <f aca="false">общ.калькуляция!h152</f>
        <v>#NAME?</v>
      </c>
      <c r="F153" s="324"/>
      <c r="G153" s="324"/>
      <c r="H153" s="324" t="e">
        <f aca="false">общ.калькуляция!j152</f>
        <v>#NAME?</v>
      </c>
      <c r="I153" s="324"/>
      <c r="J153" s="324"/>
      <c r="K153" s="324" t="e">
        <f aca="false">общ.калькуляция!m152</f>
        <v>#NAME?</v>
      </c>
      <c r="L153" s="324"/>
      <c r="M153" s="324"/>
      <c r="N153" s="324" t="e">
        <f aca="false">E153+H153+K153</f>
        <v>#NAME?</v>
      </c>
    </row>
    <row r="154" customFormat="false" ht="15" hidden="false" customHeight="true" outlineLevel="0" collapsed="false">
      <c r="A154" s="28" t="s">
        <v>253</v>
      </c>
      <c r="B154" s="325" t="s">
        <v>2974</v>
      </c>
      <c r="C154" s="323"/>
      <c r="D154" s="323"/>
      <c r="E154" s="324" t="e">
        <f aca="false">общ.калькуляция!h153</f>
        <v>#NAME?</v>
      </c>
      <c r="F154" s="324"/>
      <c r="G154" s="324"/>
      <c r="H154" s="324" t="e">
        <f aca="false">общ.калькуляция!j153</f>
        <v>#NAME?</v>
      </c>
      <c r="I154" s="324"/>
      <c r="J154" s="324"/>
      <c r="K154" s="324" t="e">
        <f aca="false">общ.калькуляция!m153</f>
        <v>#NAME?</v>
      </c>
      <c r="L154" s="324"/>
      <c r="M154" s="324"/>
      <c r="N154" s="324" t="e">
        <f aca="false">E154+H154+K154</f>
        <v>#NAME?</v>
      </c>
    </row>
    <row r="155" customFormat="false" ht="15" hidden="false" customHeight="true" outlineLevel="0" collapsed="false">
      <c r="A155" s="28" t="s">
        <v>255</v>
      </c>
      <c r="B155" s="325" t="s">
        <v>2975</v>
      </c>
      <c r="C155" s="323"/>
      <c r="D155" s="323"/>
      <c r="E155" s="324" t="e">
        <f aca="false">общ.калькуляция!h154</f>
        <v>#NAME?</v>
      </c>
      <c r="F155" s="324"/>
      <c r="G155" s="324"/>
      <c r="H155" s="324" t="e">
        <f aca="false">общ.калькуляция!j154</f>
        <v>#NAME?</v>
      </c>
      <c r="I155" s="324"/>
      <c r="J155" s="324"/>
      <c r="K155" s="324" t="e">
        <f aca="false">общ.калькуляция!m154</f>
        <v>#NAME?</v>
      </c>
      <c r="L155" s="324"/>
      <c r="M155" s="324"/>
      <c r="N155" s="324" t="e">
        <f aca="false">E155+H155+K155</f>
        <v>#NAME?</v>
      </c>
    </row>
    <row r="156" customFormat="false" ht="15" hidden="false" customHeight="true" outlineLevel="0" collapsed="false">
      <c r="A156" s="28" t="s">
        <v>257</v>
      </c>
      <c r="B156" s="40" t="s">
        <v>2976</v>
      </c>
      <c r="C156" s="323"/>
      <c r="D156" s="323"/>
      <c r="E156" s="324" t="e">
        <f aca="false">общ.калькуляция!h155</f>
        <v>#NAME?</v>
      </c>
      <c r="F156" s="324"/>
      <c r="G156" s="324"/>
      <c r="H156" s="324" t="e">
        <f aca="false">общ.калькуляция!j155</f>
        <v>#NAME?</v>
      </c>
      <c r="I156" s="324"/>
      <c r="J156" s="324"/>
      <c r="K156" s="324" t="e">
        <f aca="false">общ.калькуляция!m155</f>
        <v>#NAME?</v>
      </c>
      <c r="L156" s="324"/>
      <c r="M156" s="324"/>
      <c r="N156" s="324" t="e">
        <f aca="false">E156+H156+K156</f>
        <v>#NAME?</v>
      </c>
    </row>
    <row r="157" customFormat="false" ht="15" hidden="false" customHeight="true" outlineLevel="0" collapsed="false">
      <c r="A157" s="28" t="s">
        <v>259</v>
      </c>
      <c r="B157" s="40" t="s">
        <v>2977</v>
      </c>
      <c r="C157" s="323"/>
      <c r="D157" s="323"/>
      <c r="E157" s="324" t="e">
        <f aca="false">общ.калькуляция!h156</f>
        <v>#NAME?</v>
      </c>
      <c r="F157" s="324"/>
      <c r="G157" s="324"/>
      <c r="H157" s="324" t="e">
        <f aca="false">общ.калькуляция!j156</f>
        <v>#NAME?</v>
      </c>
      <c r="I157" s="324"/>
      <c r="J157" s="324"/>
      <c r="K157" s="324" t="e">
        <f aca="false">общ.калькуляция!m156</f>
        <v>#NAME?</v>
      </c>
      <c r="L157" s="324"/>
      <c r="M157" s="324"/>
      <c r="N157" s="324" t="e">
        <f aca="false">E157+H157+K157</f>
        <v>#NAME?</v>
      </c>
    </row>
    <row r="158" customFormat="false" ht="15" hidden="false" customHeight="true" outlineLevel="0" collapsed="false">
      <c r="A158" s="28" t="s">
        <v>261</v>
      </c>
      <c r="B158" s="41" t="s">
        <v>2978</v>
      </c>
      <c r="C158" s="323"/>
      <c r="D158" s="323"/>
      <c r="E158" s="324" t="e">
        <f aca="false">общ.калькуляция!h157</f>
        <v>#NAME?</v>
      </c>
      <c r="F158" s="324"/>
      <c r="G158" s="324"/>
      <c r="H158" s="324" t="e">
        <f aca="false">общ.калькуляция!j157</f>
        <v>#NAME?</v>
      </c>
      <c r="I158" s="324"/>
      <c r="J158" s="324"/>
      <c r="K158" s="324" t="e">
        <f aca="false">общ.калькуляция!m157</f>
        <v>#NAME?</v>
      </c>
      <c r="L158" s="324"/>
      <c r="M158" s="324"/>
      <c r="N158" s="324" t="e">
        <f aca="false">E158+H158+K158</f>
        <v>#NAME?</v>
      </c>
    </row>
    <row r="159" customFormat="false" ht="89.25" hidden="false" customHeight="true" outlineLevel="0" collapsed="false">
      <c r="A159" s="15" t="s">
        <v>263</v>
      </c>
      <c r="B159" s="330" t="s">
        <v>2979</v>
      </c>
      <c r="C159" s="321"/>
      <c r="D159" s="321"/>
      <c r="E159" s="322"/>
      <c r="F159" s="322"/>
      <c r="G159" s="322"/>
      <c r="H159" s="322"/>
      <c r="I159" s="322"/>
      <c r="J159" s="322"/>
      <c r="K159" s="322"/>
      <c r="L159" s="322"/>
      <c r="M159" s="322"/>
      <c r="N159" s="322"/>
    </row>
    <row r="160" customFormat="false" ht="15" hidden="false" customHeight="true" outlineLevel="0" collapsed="false">
      <c r="A160" s="331" t="s">
        <v>265</v>
      </c>
      <c r="B160" s="332" t="s">
        <v>2980</v>
      </c>
      <c r="C160" s="323"/>
      <c r="D160" s="323"/>
      <c r="E160" s="324" t="e">
        <f aca="false">общ.калькуляция!h159</f>
        <v>#NAME?</v>
      </c>
      <c r="F160" s="324"/>
      <c r="G160" s="324"/>
      <c r="H160" s="324" t="e">
        <f aca="false">общ.калькуляция!j159</f>
        <v>#NAME?</v>
      </c>
      <c r="I160" s="324"/>
      <c r="J160" s="324"/>
      <c r="K160" s="324" t="e">
        <f aca="false">общ.калькуляция!m159</f>
        <v>#NAME?</v>
      </c>
      <c r="L160" s="324"/>
      <c r="M160" s="324"/>
      <c r="N160" s="324" t="e">
        <f aca="false">E160+H160+K160</f>
        <v>#NAME?</v>
      </c>
    </row>
    <row r="161" customFormat="false" ht="15" hidden="false" customHeight="true" outlineLevel="0" collapsed="false">
      <c r="A161" s="331" t="s">
        <v>267</v>
      </c>
      <c r="B161" s="332" t="s">
        <v>2981</v>
      </c>
      <c r="C161" s="323"/>
      <c r="D161" s="323"/>
      <c r="E161" s="324" t="e">
        <f aca="false">общ.калькуляция!h160</f>
        <v>#NAME?</v>
      </c>
      <c r="F161" s="324"/>
      <c r="G161" s="324"/>
      <c r="H161" s="324" t="e">
        <f aca="false">общ.калькуляция!j160</f>
        <v>#NAME?</v>
      </c>
      <c r="I161" s="324"/>
      <c r="J161" s="324"/>
      <c r="K161" s="324" t="e">
        <f aca="false">общ.калькуляция!m160</f>
        <v>#NAME?</v>
      </c>
      <c r="L161" s="324"/>
      <c r="M161" s="324"/>
      <c r="N161" s="324" t="e">
        <f aca="false">E161+H161+K161</f>
        <v>#NAME?</v>
      </c>
    </row>
    <row r="162" customFormat="false" ht="15" hidden="false" customHeight="true" outlineLevel="0" collapsed="false">
      <c r="A162" s="331" t="s">
        <v>268</v>
      </c>
      <c r="B162" s="332" t="s">
        <v>2881</v>
      </c>
      <c r="C162" s="323"/>
      <c r="D162" s="323"/>
      <c r="E162" s="324" t="e">
        <f aca="false">общ.калькуляция!h161</f>
        <v>#NAME?</v>
      </c>
      <c r="F162" s="324"/>
      <c r="G162" s="324"/>
      <c r="H162" s="324" t="e">
        <f aca="false">общ.калькуляция!j161</f>
        <v>#NAME?</v>
      </c>
      <c r="I162" s="324"/>
      <c r="J162" s="324"/>
      <c r="K162" s="324" t="e">
        <f aca="false">общ.калькуляция!m161</f>
        <v>#NAME?</v>
      </c>
      <c r="L162" s="324"/>
      <c r="M162" s="324"/>
      <c r="N162" s="324" t="e">
        <f aca="false">E162+H162+K162</f>
        <v>#NAME?</v>
      </c>
    </row>
    <row r="163" customFormat="false" ht="15" hidden="false" customHeight="true" outlineLevel="0" collapsed="false">
      <c r="A163" s="331" t="s">
        <v>269</v>
      </c>
      <c r="B163" s="333" t="s">
        <v>2982</v>
      </c>
      <c r="C163" s="323"/>
      <c r="D163" s="323"/>
      <c r="E163" s="324" t="e">
        <f aca="false">общ.калькуляция!h162</f>
        <v>#NAME?</v>
      </c>
      <c r="F163" s="324"/>
      <c r="G163" s="324"/>
      <c r="H163" s="324" t="e">
        <f aca="false">общ.калькуляция!j162</f>
        <v>#NAME?</v>
      </c>
      <c r="I163" s="324"/>
      <c r="J163" s="324"/>
      <c r="K163" s="324" t="e">
        <f aca="false">общ.калькуляция!m162</f>
        <v>#NAME?</v>
      </c>
      <c r="L163" s="324"/>
      <c r="M163" s="324"/>
      <c r="N163" s="324" t="e">
        <f aca="false">E163+H163+K163</f>
        <v>#NAME?</v>
      </c>
    </row>
    <row r="164" customFormat="false" ht="15" hidden="false" customHeight="true" outlineLevel="0" collapsed="false">
      <c r="A164" s="331" t="s">
        <v>271</v>
      </c>
      <c r="B164" s="332" t="s">
        <v>2983</v>
      </c>
      <c r="C164" s="323"/>
      <c r="D164" s="323"/>
      <c r="E164" s="324" t="e">
        <f aca="false">общ.калькуляция!h163</f>
        <v>#NAME?</v>
      </c>
      <c r="F164" s="324"/>
      <c r="G164" s="324"/>
      <c r="H164" s="324" t="e">
        <f aca="false">общ.калькуляция!j163</f>
        <v>#NAME?</v>
      </c>
      <c r="I164" s="324"/>
      <c r="J164" s="324"/>
      <c r="K164" s="324" t="e">
        <f aca="false">общ.калькуляция!m163</f>
        <v>#NAME?</v>
      </c>
      <c r="L164" s="324"/>
      <c r="M164" s="324"/>
      <c r="N164" s="324" t="e">
        <f aca="false">E164+H164+K164</f>
        <v>#NAME?</v>
      </c>
    </row>
    <row r="165" customFormat="false" ht="15" hidden="false" customHeight="true" outlineLevel="0" collapsed="false">
      <c r="A165" s="331" t="s">
        <v>273</v>
      </c>
      <c r="B165" s="332" t="s">
        <v>2984</v>
      </c>
      <c r="C165" s="323"/>
      <c r="D165" s="323"/>
      <c r="E165" s="324" t="e">
        <f aca="false">общ.калькуляция!h164</f>
        <v>#NAME?</v>
      </c>
      <c r="F165" s="324"/>
      <c r="G165" s="324"/>
      <c r="H165" s="324" t="e">
        <f aca="false">общ.калькуляция!j164</f>
        <v>#NAME?</v>
      </c>
      <c r="I165" s="324"/>
      <c r="J165" s="324"/>
      <c r="K165" s="324" t="e">
        <f aca="false">общ.калькуляция!m164</f>
        <v>#NAME?</v>
      </c>
      <c r="L165" s="324"/>
      <c r="M165" s="324"/>
      <c r="N165" s="324" t="e">
        <f aca="false">E165+H165+K165</f>
        <v>#NAME?</v>
      </c>
    </row>
    <row r="166" customFormat="false" ht="15" hidden="false" customHeight="true" outlineLevel="0" collapsed="false">
      <c r="A166" s="331" t="s">
        <v>275</v>
      </c>
      <c r="B166" s="332" t="s">
        <v>2985</v>
      </c>
      <c r="C166" s="323"/>
      <c r="D166" s="323"/>
      <c r="E166" s="324" t="e">
        <f aca="false">общ.калькуляция!h165</f>
        <v>#NAME?</v>
      </c>
      <c r="F166" s="324"/>
      <c r="G166" s="324"/>
      <c r="H166" s="324" t="e">
        <f aca="false">общ.калькуляция!j165</f>
        <v>#NAME?</v>
      </c>
      <c r="I166" s="324"/>
      <c r="J166" s="324"/>
      <c r="K166" s="324" t="e">
        <f aca="false">общ.калькуляция!m165</f>
        <v>#NAME?</v>
      </c>
      <c r="L166" s="324"/>
      <c r="M166" s="324"/>
      <c r="N166" s="324" t="e">
        <f aca="false">E166+H166+K166</f>
        <v>#NAME?</v>
      </c>
    </row>
    <row r="167" customFormat="false" ht="15" hidden="false" customHeight="true" outlineLevel="0" collapsed="false">
      <c r="A167" s="331" t="s">
        <v>277</v>
      </c>
      <c r="B167" s="332" t="s">
        <v>2986</v>
      </c>
      <c r="C167" s="323"/>
      <c r="D167" s="323"/>
      <c r="E167" s="324" t="e">
        <f aca="false">общ.калькуляция!h166</f>
        <v>#NAME?</v>
      </c>
      <c r="F167" s="324"/>
      <c r="G167" s="324"/>
      <c r="H167" s="324" t="e">
        <f aca="false">общ.калькуляция!j166</f>
        <v>#NAME?</v>
      </c>
      <c r="I167" s="324"/>
      <c r="J167" s="324"/>
      <c r="K167" s="324" t="e">
        <f aca="false">общ.калькуляция!m166</f>
        <v>#NAME?</v>
      </c>
      <c r="L167" s="324"/>
      <c r="M167" s="324"/>
      <c r="N167" s="324" t="e">
        <f aca="false">E167+H167+K167</f>
        <v>#NAME?</v>
      </c>
    </row>
    <row r="168" customFormat="false" ht="54.75" hidden="false" customHeight="true" outlineLevel="0" collapsed="false">
      <c r="A168" s="331" t="s">
        <v>279</v>
      </c>
      <c r="B168" s="332" t="s">
        <v>2987</v>
      </c>
      <c r="C168" s="323"/>
      <c r="D168" s="323"/>
      <c r="E168" s="324" t="e">
        <f aca="false">общ.калькуляция!h167</f>
        <v>#NAME?</v>
      </c>
      <c r="F168" s="324"/>
      <c r="G168" s="324"/>
      <c r="H168" s="324" t="e">
        <f aca="false">общ.калькуляция!j167</f>
        <v>#NAME?</v>
      </c>
      <c r="I168" s="324"/>
      <c r="J168" s="324"/>
      <c r="K168" s="324" t="e">
        <f aca="false">общ.калькуляция!m167</f>
        <v>#NAME?</v>
      </c>
      <c r="L168" s="324"/>
      <c r="M168" s="324"/>
      <c r="N168" s="324" t="e">
        <f aca="false">E168+H168+K168</f>
        <v>#NAME?</v>
      </c>
    </row>
    <row r="169" customFormat="false" ht="33.75" hidden="false" customHeight="true" outlineLevel="0" collapsed="false">
      <c r="A169" s="331" t="s">
        <v>281</v>
      </c>
      <c r="B169" s="332" t="s">
        <v>2988</v>
      </c>
      <c r="C169" s="323"/>
      <c r="D169" s="323"/>
      <c r="E169" s="324" t="e">
        <f aca="false">общ.калькуляция!h168</f>
        <v>#NAME?</v>
      </c>
      <c r="F169" s="324"/>
      <c r="G169" s="324"/>
      <c r="H169" s="324" t="e">
        <f aca="false">общ.калькуляция!j168</f>
        <v>#NAME?</v>
      </c>
      <c r="I169" s="324"/>
      <c r="J169" s="324"/>
      <c r="K169" s="324" t="e">
        <f aca="false">общ.калькуляция!m168</f>
        <v>#NAME?</v>
      </c>
      <c r="L169" s="324"/>
      <c r="M169" s="324"/>
      <c r="N169" s="324" t="e">
        <f aca="false">E169+H169+K169</f>
        <v>#NAME?</v>
      </c>
    </row>
    <row r="170" customFormat="false" ht="15" hidden="false" customHeight="true" outlineLevel="0" collapsed="false">
      <c r="A170" s="331" t="s">
        <v>283</v>
      </c>
      <c r="B170" s="332" t="s">
        <v>2989</v>
      </c>
      <c r="C170" s="323"/>
      <c r="D170" s="323"/>
      <c r="E170" s="324" t="e">
        <f aca="false">общ.калькуляция!h169</f>
        <v>#NAME?</v>
      </c>
      <c r="F170" s="324"/>
      <c r="G170" s="324"/>
      <c r="H170" s="324" t="e">
        <f aca="false">общ.калькуляция!j169</f>
        <v>#NAME?</v>
      </c>
      <c r="I170" s="324"/>
      <c r="J170" s="324"/>
      <c r="K170" s="324" t="e">
        <f aca="false">общ.калькуляция!m169</f>
        <v>#NAME?</v>
      </c>
      <c r="L170" s="324"/>
      <c r="M170" s="324"/>
      <c r="N170" s="324" t="e">
        <f aca="false">E170+H170+K170</f>
        <v>#NAME?</v>
      </c>
    </row>
    <row r="171" customFormat="false" ht="15" hidden="false" customHeight="true" outlineLevel="0" collapsed="false">
      <c r="A171" s="331" t="s">
        <v>285</v>
      </c>
      <c r="B171" s="332" t="s">
        <v>2990</v>
      </c>
      <c r="C171" s="323"/>
      <c r="D171" s="323"/>
      <c r="E171" s="324" t="e">
        <f aca="false">общ.калькуляция!h170</f>
        <v>#NAME?</v>
      </c>
      <c r="F171" s="324"/>
      <c r="G171" s="324"/>
      <c r="H171" s="324" t="e">
        <f aca="false">общ.калькуляция!j170</f>
        <v>#NAME?</v>
      </c>
      <c r="I171" s="324"/>
      <c r="J171" s="324"/>
      <c r="K171" s="324" t="e">
        <f aca="false">общ.калькуляция!m170</f>
        <v>#NAME?</v>
      </c>
      <c r="L171" s="324"/>
      <c r="M171" s="324"/>
      <c r="N171" s="324" t="e">
        <f aca="false">E171+H171+K171</f>
        <v>#NAME?</v>
      </c>
    </row>
    <row r="172" customFormat="false" ht="15" hidden="false" customHeight="true" outlineLevel="0" collapsed="false">
      <c r="A172" s="331" t="s">
        <v>287</v>
      </c>
      <c r="B172" s="332" t="s">
        <v>2991</v>
      </c>
      <c r="C172" s="323"/>
      <c r="D172" s="323"/>
      <c r="E172" s="324" t="e">
        <f aca="false">общ.калькуляция!h171</f>
        <v>#NAME?</v>
      </c>
      <c r="F172" s="324"/>
      <c r="G172" s="324"/>
      <c r="H172" s="324" t="e">
        <f aca="false">общ.калькуляция!j171</f>
        <v>#NAME?</v>
      </c>
      <c r="I172" s="324"/>
      <c r="J172" s="324"/>
      <c r="K172" s="324" t="e">
        <f aca="false">общ.калькуляция!m171</f>
        <v>#NAME?</v>
      </c>
      <c r="L172" s="324"/>
      <c r="M172" s="324"/>
      <c r="N172" s="324" t="e">
        <f aca="false">E172+H172+K172</f>
        <v>#NAME?</v>
      </c>
    </row>
    <row r="173" customFormat="false" ht="15" hidden="false" customHeight="true" outlineLevel="0" collapsed="false">
      <c r="A173" s="331" t="s">
        <v>289</v>
      </c>
      <c r="B173" s="332" t="s">
        <v>2992</v>
      </c>
      <c r="C173" s="323"/>
      <c r="D173" s="323"/>
      <c r="E173" s="324" t="e">
        <f aca="false">общ.калькуляция!h172</f>
        <v>#NAME?</v>
      </c>
      <c r="F173" s="324"/>
      <c r="G173" s="324"/>
      <c r="H173" s="324" t="e">
        <f aca="false">общ.калькуляция!j172</f>
        <v>#NAME?</v>
      </c>
      <c r="I173" s="324"/>
      <c r="J173" s="324"/>
      <c r="K173" s="324" t="e">
        <f aca="false">общ.калькуляция!m172</f>
        <v>#NAME?</v>
      </c>
      <c r="L173" s="324"/>
      <c r="M173" s="324"/>
      <c r="N173" s="324" t="e">
        <f aca="false">E173+H173+K173</f>
        <v>#NAME?</v>
      </c>
    </row>
    <row r="174" customFormat="false" ht="15" hidden="false" customHeight="true" outlineLevel="0" collapsed="false">
      <c r="A174" s="331" t="s">
        <v>291</v>
      </c>
      <c r="B174" s="332" t="s">
        <v>2993</v>
      </c>
      <c r="C174" s="323"/>
      <c r="D174" s="323"/>
      <c r="E174" s="324" t="e">
        <f aca="false">общ.калькуляция!h173</f>
        <v>#NAME?</v>
      </c>
      <c r="F174" s="324"/>
      <c r="G174" s="324"/>
      <c r="H174" s="324" t="e">
        <f aca="false">общ.калькуляция!j173</f>
        <v>#NAME?</v>
      </c>
      <c r="I174" s="324"/>
      <c r="J174" s="324"/>
      <c r="K174" s="324" t="e">
        <f aca="false">общ.калькуляция!m173</f>
        <v>#NAME?</v>
      </c>
      <c r="L174" s="324"/>
      <c r="M174" s="324"/>
      <c r="N174" s="324" t="e">
        <f aca="false">E174+H174+K174</f>
        <v>#NAME?</v>
      </c>
    </row>
    <row r="175" customFormat="false" ht="15" hidden="false" customHeight="true" outlineLevel="0" collapsed="false">
      <c r="A175" s="331" t="s">
        <v>293</v>
      </c>
      <c r="B175" s="332" t="s">
        <v>2994</v>
      </c>
      <c r="C175" s="323"/>
      <c r="D175" s="323"/>
      <c r="E175" s="324" t="e">
        <f aca="false">общ.калькуляция!h174</f>
        <v>#NAME?</v>
      </c>
      <c r="F175" s="324"/>
      <c r="G175" s="324"/>
      <c r="H175" s="324" t="e">
        <f aca="false">общ.калькуляция!j174</f>
        <v>#NAME?</v>
      </c>
      <c r="I175" s="324"/>
      <c r="J175" s="324"/>
      <c r="K175" s="324" t="e">
        <f aca="false">общ.калькуляция!m174</f>
        <v>#NAME?</v>
      </c>
      <c r="L175" s="324"/>
      <c r="M175" s="324"/>
      <c r="N175" s="324" t="e">
        <f aca="false">E175+H175+K175</f>
        <v>#NAME?</v>
      </c>
    </row>
    <row r="176" customFormat="false" ht="15" hidden="false" customHeight="true" outlineLevel="0" collapsed="false">
      <c r="A176" s="331" t="s">
        <v>295</v>
      </c>
      <c r="B176" s="332" t="s">
        <v>2995</v>
      </c>
      <c r="C176" s="323"/>
      <c r="D176" s="323"/>
      <c r="E176" s="324" t="e">
        <f aca="false">общ.калькуляция!h175</f>
        <v>#NAME?</v>
      </c>
      <c r="F176" s="324"/>
      <c r="G176" s="324"/>
      <c r="H176" s="324" t="e">
        <f aca="false">общ.калькуляция!j175</f>
        <v>#NAME?</v>
      </c>
      <c r="I176" s="324"/>
      <c r="J176" s="324"/>
      <c r="K176" s="324" t="e">
        <f aca="false">общ.калькуляция!m175</f>
        <v>#NAME?</v>
      </c>
      <c r="L176" s="324"/>
      <c r="M176" s="324"/>
      <c r="N176" s="324" t="e">
        <f aca="false">E176+H176+K176</f>
        <v>#NAME?</v>
      </c>
    </row>
    <row r="177" customFormat="false" ht="15" hidden="false" customHeight="true" outlineLevel="0" collapsed="false">
      <c r="A177" s="331" t="s">
        <v>297</v>
      </c>
      <c r="B177" s="332" t="s">
        <v>2996</v>
      </c>
      <c r="C177" s="323"/>
      <c r="D177" s="323"/>
      <c r="E177" s="324" t="e">
        <f aca="false">общ.калькуляция!h176</f>
        <v>#NAME?</v>
      </c>
      <c r="F177" s="324"/>
      <c r="G177" s="324"/>
      <c r="H177" s="324" t="e">
        <f aca="false">общ.калькуляция!j176</f>
        <v>#NAME?</v>
      </c>
      <c r="I177" s="324"/>
      <c r="J177" s="324"/>
      <c r="K177" s="324" t="e">
        <f aca="false">общ.калькуляция!m176</f>
        <v>#NAME?</v>
      </c>
      <c r="L177" s="324"/>
      <c r="M177" s="324"/>
      <c r="N177" s="324" t="e">
        <f aca="false">E177+H177+K177</f>
        <v>#NAME?</v>
      </c>
    </row>
    <row r="178" customFormat="false" ht="15" hidden="false" customHeight="true" outlineLevel="0" collapsed="false">
      <c r="A178" s="331" t="s">
        <v>299</v>
      </c>
      <c r="B178" s="332" t="s">
        <v>2997</v>
      </c>
      <c r="C178" s="323"/>
      <c r="D178" s="323"/>
      <c r="E178" s="324" t="e">
        <f aca="false">общ.калькуляция!h177</f>
        <v>#NAME?</v>
      </c>
      <c r="F178" s="324"/>
      <c r="G178" s="324"/>
      <c r="H178" s="324" t="e">
        <f aca="false">общ.калькуляция!j177</f>
        <v>#NAME?</v>
      </c>
      <c r="I178" s="324"/>
      <c r="J178" s="324"/>
      <c r="K178" s="324" t="e">
        <f aca="false">общ.калькуляция!m177</f>
        <v>#NAME?</v>
      </c>
      <c r="L178" s="324"/>
      <c r="M178" s="324"/>
      <c r="N178" s="324" t="e">
        <f aca="false">E178+H178+K178</f>
        <v>#NAME?</v>
      </c>
    </row>
    <row r="179" customFormat="false" ht="15" hidden="false" customHeight="true" outlineLevel="0" collapsed="false">
      <c r="A179" s="331" t="s">
        <v>301</v>
      </c>
      <c r="B179" s="332" t="s">
        <v>2998</v>
      </c>
      <c r="C179" s="323"/>
      <c r="D179" s="323"/>
      <c r="E179" s="324" t="e">
        <f aca="false">общ.калькуляция!h178</f>
        <v>#NAME?</v>
      </c>
      <c r="F179" s="324"/>
      <c r="G179" s="324"/>
      <c r="H179" s="324" t="e">
        <f aca="false">общ.калькуляция!j178</f>
        <v>#NAME?</v>
      </c>
      <c r="I179" s="324"/>
      <c r="J179" s="324"/>
      <c r="K179" s="324" t="e">
        <f aca="false">общ.калькуляция!m178</f>
        <v>#NAME?</v>
      </c>
      <c r="L179" s="324"/>
      <c r="M179" s="324"/>
      <c r="N179" s="324" t="e">
        <f aca="false">E179+H179+K179</f>
        <v>#NAME?</v>
      </c>
    </row>
    <row r="180" customFormat="false" ht="15" hidden="false" customHeight="true" outlineLevel="0" collapsed="false">
      <c r="A180" s="331" t="s">
        <v>303</v>
      </c>
      <c r="B180" s="332" t="s">
        <v>2999</v>
      </c>
      <c r="C180" s="323"/>
      <c r="D180" s="323"/>
      <c r="E180" s="324" t="e">
        <f aca="false">общ.калькуляция!h179</f>
        <v>#NAME?</v>
      </c>
      <c r="F180" s="324"/>
      <c r="G180" s="324"/>
      <c r="H180" s="324" t="e">
        <f aca="false">общ.калькуляция!j179</f>
        <v>#NAME?</v>
      </c>
      <c r="I180" s="324"/>
      <c r="J180" s="324"/>
      <c r="K180" s="324" t="e">
        <f aca="false">общ.калькуляция!m179</f>
        <v>#NAME?</v>
      </c>
      <c r="L180" s="324"/>
      <c r="M180" s="324"/>
      <c r="N180" s="324" t="e">
        <f aca="false">E180+H180+K180</f>
        <v>#NAME?</v>
      </c>
    </row>
    <row r="181" customFormat="false" ht="15" hidden="false" customHeight="true" outlineLevel="0" collapsed="false">
      <c r="A181" s="331" t="s">
        <v>305</v>
      </c>
      <c r="B181" s="332" t="s">
        <v>3000</v>
      </c>
      <c r="C181" s="323"/>
      <c r="D181" s="323"/>
      <c r="E181" s="324" t="e">
        <f aca="false">общ.калькуляция!h180</f>
        <v>#NAME?</v>
      </c>
      <c r="F181" s="324"/>
      <c r="G181" s="324"/>
      <c r="H181" s="324" t="e">
        <f aca="false">общ.калькуляция!j180</f>
        <v>#NAME?</v>
      </c>
      <c r="I181" s="324"/>
      <c r="J181" s="324"/>
      <c r="K181" s="324" t="e">
        <f aca="false">общ.калькуляция!m180</f>
        <v>#NAME?</v>
      </c>
      <c r="L181" s="324"/>
      <c r="M181" s="324"/>
      <c r="N181" s="324" t="e">
        <f aca="false">E181+H181+K181</f>
        <v>#NAME?</v>
      </c>
    </row>
    <row r="182" customFormat="false" ht="15" hidden="false" customHeight="true" outlineLevel="0" collapsed="false">
      <c r="A182" s="331" t="s">
        <v>307</v>
      </c>
      <c r="B182" s="44" t="s">
        <v>3001</v>
      </c>
      <c r="C182" s="323"/>
      <c r="D182" s="323"/>
      <c r="E182" s="324" t="e">
        <f aca="false">общ.калькуляция!h181</f>
        <v>#NAME?</v>
      </c>
      <c r="F182" s="324"/>
      <c r="G182" s="324"/>
      <c r="H182" s="324" t="e">
        <f aca="false">общ.калькуляция!j181</f>
        <v>#NAME?</v>
      </c>
      <c r="I182" s="324"/>
      <c r="J182" s="324"/>
      <c r="K182" s="324" t="e">
        <f aca="false">общ.калькуляция!m181</f>
        <v>#NAME?</v>
      </c>
      <c r="L182" s="324"/>
      <c r="M182" s="324"/>
      <c r="N182" s="324" t="e">
        <f aca="false">E182+H182+K182</f>
        <v>#NAME?</v>
      </c>
    </row>
    <row r="183" customFormat="false" ht="15" hidden="false" customHeight="true" outlineLevel="0" collapsed="false">
      <c r="A183" s="331" t="s">
        <v>309</v>
      </c>
      <c r="B183" s="332" t="s">
        <v>3002</v>
      </c>
      <c r="C183" s="323"/>
      <c r="D183" s="323"/>
      <c r="E183" s="324" t="e">
        <f aca="false">общ.калькуляция!h182</f>
        <v>#NAME?</v>
      </c>
      <c r="F183" s="324"/>
      <c r="G183" s="324"/>
      <c r="H183" s="324" t="e">
        <f aca="false">общ.калькуляция!j182</f>
        <v>#NAME?</v>
      </c>
      <c r="I183" s="324"/>
      <c r="J183" s="324"/>
      <c r="K183" s="324" t="e">
        <f aca="false">общ.калькуляция!m182</f>
        <v>#NAME?</v>
      </c>
      <c r="L183" s="324"/>
      <c r="M183" s="324"/>
      <c r="N183" s="324" t="e">
        <f aca="false">E183+H183+K183</f>
        <v>#NAME?</v>
      </c>
    </row>
    <row r="184" customFormat="false" ht="15" hidden="false" customHeight="true" outlineLevel="0" collapsed="false">
      <c r="A184" s="331" t="s">
        <v>311</v>
      </c>
      <c r="B184" s="332" t="s">
        <v>3003</v>
      </c>
      <c r="C184" s="323"/>
      <c r="D184" s="323"/>
      <c r="E184" s="324" t="e">
        <f aca="false">общ.калькуляция!h183</f>
        <v>#NAME?</v>
      </c>
      <c r="F184" s="324"/>
      <c r="G184" s="324"/>
      <c r="H184" s="324" t="e">
        <f aca="false">общ.калькуляция!j183</f>
        <v>#NAME?</v>
      </c>
      <c r="I184" s="324"/>
      <c r="J184" s="324"/>
      <c r="K184" s="324" t="e">
        <f aca="false">общ.калькуляция!m183</f>
        <v>#NAME?</v>
      </c>
      <c r="L184" s="324"/>
      <c r="M184" s="324"/>
      <c r="N184" s="324" t="e">
        <f aca="false">E184+H184+K184</f>
        <v>#NAME?</v>
      </c>
    </row>
    <row r="185" customFormat="false" ht="15" hidden="false" customHeight="true" outlineLevel="0" collapsed="false">
      <c r="A185" s="331" t="s">
        <v>313</v>
      </c>
      <c r="B185" s="332" t="s">
        <v>3004</v>
      </c>
      <c r="C185" s="323"/>
      <c r="D185" s="323"/>
      <c r="E185" s="324" t="e">
        <f aca="false">общ.калькуляция!h184</f>
        <v>#NAME?</v>
      </c>
      <c r="F185" s="324"/>
      <c r="G185" s="324"/>
      <c r="H185" s="324" t="e">
        <f aca="false">общ.калькуляция!j184</f>
        <v>#NAME?</v>
      </c>
      <c r="I185" s="324"/>
      <c r="J185" s="324"/>
      <c r="K185" s="324" t="e">
        <f aca="false">общ.калькуляция!m184</f>
        <v>#NAME?</v>
      </c>
      <c r="L185" s="324"/>
      <c r="M185" s="324"/>
      <c r="N185" s="324" t="e">
        <f aca="false">E185+H185+K185</f>
        <v>#NAME?</v>
      </c>
    </row>
    <row r="186" customFormat="false" ht="15" hidden="false" customHeight="true" outlineLevel="0" collapsed="false">
      <c r="A186" s="331" t="s">
        <v>315</v>
      </c>
      <c r="B186" s="332" t="s">
        <v>3005</v>
      </c>
      <c r="C186" s="323"/>
      <c r="D186" s="323"/>
      <c r="E186" s="324" t="e">
        <f aca="false">общ.калькуляция!h185</f>
        <v>#NAME?</v>
      </c>
      <c r="F186" s="324"/>
      <c r="G186" s="324"/>
      <c r="H186" s="324" t="e">
        <f aca="false">общ.калькуляция!j185</f>
        <v>#NAME?</v>
      </c>
      <c r="I186" s="324"/>
      <c r="J186" s="324"/>
      <c r="K186" s="324" t="e">
        <f aca="false">общ.калькуляция!m185</f>
        <v>#NAME?</v>
      </c>
      <c r="L186" s="324"/>
      <c r="M186" s="324"/>
      <c r="N186" s="324" t="e">
        <f aca="false">E186+H186+K186</f>
        <v>#NAME?</v>
      </c>
    </row>
    <row r="187" customFormat="false" ht="15" hidden="false" customHeight="true" outlineLevel="0" collapsed="false">
      <c r="A187" s="331" t="s">
        <v>317</v>
      </c>
      <c r="B187" s="44" t="s">
        <v>3006</v>
      </c>
      <c r="C187" s="323"/>
      <c r="D187" s="323"/>
      <c r="E187" s="324" t="e">
        <f aca="false">общ.калькуляция!h186</f>
        <v>#NAME?</v>
      </c>
      <c r="F187" s="324"/>
      <c r="G187" s="324"/>
      <c r="H187" s="324" t="e">
        <f aca="false">общ.калькуляция!j186</f>
        <v>#NAME?</v>
      </c>
      <c r="I187" s="324"/>
      <c r="J187" s="324"/>
      <c r="K187" s="324" t="e">
        <f aca="false">общ.калькуляция!m186</f>
        <v>#NAME?</v>
      </c>
      <c r="L187" s="324"/>
      <c r="M187" s="324"/>
      <c r="N187" s="324" t="e">
        <f aca="false">E187+H187+K187</f>
        <v>#NAME?</v>
      </c>
    </row>
    <row r="188" customFormat="false" ht="32.25" hidden="false" customHeight="true" outlineLevel="0" collapsed="false">
      <c r="A188" s="331" t="s">
        <v>319</v>
      </c>
      <c r="B188" s="44" t="s">
        <v>3007</v>
      </c>
      <c r="C188" s="323"/>
      <c r="D188" s="323"/>
      <c r="E188" s="324" t="e">
        <f aca="false">общ.калькуляция!h187</f>
        <v>#NAME?</v>
      </c>
      <c r="F188" s="324"/>
      <c r="G188" s="324"/>
      <c r="H188" s="324" t="e">
        <f aca="false">общ.калькуляция!j187</f>
        <v>#NAME?</v>
      </c>
      <c r="I188" s="324"/>
      <c r="J188" s="324"/>
      <c r="K188" s="324" t="e">
        <f aca="false">общ.калькуляция!m187</f>
        <v>#NAME?</v>
      </c>
      <c r="L188" s="324"/>
      <c r="M188" s="324"/>
      <c r="N188" s="324" t="e">
        <f aca="false">E188+H188+K188</f>
        <v>#NAME?</v>
      </c>
    </row>
    <row r="189" customFormat="false" ht="33.75" hidden="false" customHeight="true" outlineLevel="0" collapsed="false">
      <c r="A189" s="334" t="s">
        <v>321</v>
      </c>
      <c r="B189" s="44" t="s">
        <v>3008</v>
      </c>
      <c r="C189" s="323"/>
      <c r="D189" s="323"/>
      <c r="E189" s="324" t="e">
        <f aca="false">общ.калькуляция!h188</f>
        <v>#NAME?</v>
      </c>
      <c r="F189" s="324"/>
      <c r="G189" s="324"/>
      <c r="H189" s="324" t="e">
        <f aca="false">общ.калькуляция!j188</f>
        <v>#NAME?</v>
      </c>
      <c r="I189" s="324"/>
      <c r="J189" s="324"/>
      <c r="K189" s="324" t="e">
        <f aca="false">общ.калькуляция!m188</f>
        <v>#NAME?</v>
      </c>
      <c r="L189" s="324"/>
      <c r="M189" s="324"/>
      <c r="N189" s="324" t="e">
        <f aca="false">E189+H189+K189</f>
        <v>#NAME?</v>
      </c>
    </row>
    <row r="190" customFormat="false" ht="13.5" hidden="false" customHeight="true" outlineLevel="0" collapsed="false">
      <c r="A190" s="15" t="s">
        <v>324</v>
      </c>
      <c r="B190" s="16" t="s">
        <v>3009</v>
      </c>
      <c r="C190" s="321"/>
      <c r="D190" s="321"/>
      <c r="E190" s="329"/>
      <c r="F190" s="329"/>
      <c r="G190" s="329"/>
      <c r="H190" s="329"/>
      <c r="I190" s="329"/>
      <c r="J190" s="329"/>
      <c r="K190" s="329"/>
      <c r="L190" s="329"/>
      <c r="M190" s="329"/>
      <c r="N190" s="329"/>
    </row>
    <row r="191" customFormat="false" ht="13.5" hidden="false" customHeight="true" outlineLevel="0" collapsed="false">
      <c r="A191" s="20" t="s">
        <v>326</v>
      </c>
      <c r="B191" s="47" t="s">
        <v>3010</v>
      </c>
      <c r="C191" s="323"/>
      <c r="D191" s="323"/>
      <c r="E191" s="324" t="e">
        <f aca="false">общ.калькуляция!h190</f>
        <v>#NAME?</v>
      </c>
      <c r="F191" s="324"/>
      <c r="G191" s="324"/>
      <c r="H191" s="324" t="e">
        <f aca="false">общ.калькуляция!j190</f>
        <v>#NAME?</v>
      </c>
      <c r="I191" s="324"/>
      <c r="J191" s="324"/>
      <c r="K191" s="324" t="e">
        <f aca="false">общ.калькуляция!m190</f>
        <v>#NAME?</v>
      </c>
      <c r="L191" s="324"/>
      <c r="M191" s="324"/>
      <c r="N191" s="324" t="e">
        <f aca="false">E191+H191+K191</f>
        <v>#NAME?</v>
      </c>
    </row>
    <row r="192" customFormat="false" ht="13.5" hidden="false" customHeight="true" outlineLevel="0" collapsed="false">
      <c r="A192" s="20" t="s">
        <v>328</v>
      </c>
      <c r="B192" s="47" t="s">
        <v>3011</v>
      </c>
      <c r="C192" s="323"/>
      <c r="D192" s="323"/>
      <c r="E192" s="324" t="e">
        <f aca="false">общ.калькуляция!h191</f>
        <v>#NAME?</v>
      </c>
      <c r="F192" s="324"/>
      <c r="G192" s="324"/>
      <c r="H192" s="324" t="e">
        <f aca="false">общ.калькуляция!j191</f>
        <v>#NAME?</v>
      </c>
      <c r="I192" s="324"/>
      <c r="J192" s="324"/>
      <c r="K192" s="324" t="e">
        <f aca="false">общ.калькуляция!m191</f>
        <v>#NAME?</v>
      </c>
      <c r="L192" s="324"/>
      <c r="M192" s="324"/>
      <c r="N192" s="324" t="e">
        <f aca="false">E192+H192+K192</f>
        <v>#NAME?</v>
      </c>
    </row>
    <row r="193" customFormat="false" ht="13.5" hidden="false" customHeight="true" outlineLevel="0" collapsed="false">
      <c r="A193" s="20" t="s">
        <v>330</v>
      </c>
      <c r="B193" s="47" t="s">
        <v>3012</v>
      </c>
      <c r="C193" s="323"/>
      <c r="D193" s="323"/>
      <c r="E193" s="324" t="e">
        <f aca="false">общ.калькуляция!h192</f>
        <v>#NAME?</v>
      </c>
      <c r="F193" s="324"/>
      <c r="G193" s="324"/>
      <c r="H193" s="324" t="e">
        <f aca="false">общ.калькуляция!j192</f>
        <v>#NAME?</v>
      </c>
      <c r="I193" s="324"/>
      <c r="J193" s="324"/>
      <c r="K193" s="324" t="e">
        <f aca="false">общ.калькуляция!m192</f>
        <v>#NAME?</v>
      </c>
      <c r="L193" s="324"/>
      <c r="M193" s="324"/>
      <c r="N193" s="324" t="e">
        <f aca="false">E193+H193+K193</f>
        <v>#NAME?</v>
      </c>
    </row>
    <row r="194" customFormat="false" ht="13.5" hidden="false" customHeight="true" outlineLevel="0" collapsed="false">
      <c r="A194" s="20" t="s">
        <v>331</v>
      </c>
      <c r="B194" s="47" t="s">
        <v>3013</v>
      </c>
      <c r="C194" s="323"/>
      <c r="D194" s="323"/>
      <c r="E194" s="324" t="e">
        <f aca="false">общ.калькуляция!h193</f>
        <v>#NAME?</v>
      </c>
      <c r="F194" s="324"/>
      <c r="G194" s="324"/>
      <c r="H194" s="324" t="e">
        <f aca="false">общ.калькуляция!j193</f>
        <v>#NAME?</v>
      </c>
      <c r="I194" s="324"/>
      <c r="J194" s="324"/>
      <c r="K194" s="324" t="e">
        <f aca="false">общ.калькуляция!m193</f>
        <v>#NAME?</v>
      </c>
      <c r="L194" s="324"/>
      <c r="M194" s="324"/>
      <c r="N194" s="324" t="e">
        <f aca="false">E194+H194+K194</f>
        <v>#NAME?</v>
      </c>
    </row>
    <row r="195" customFormat="false" ht="13.5" hidden="false" customHeight="true" outlineLevel="0" collapsed="false">
      <c r="A195" s="20" t="s">
        <v>333</v>
      </c>
      <c r="B195" s="47" t="s">
        <v>3014</v>
      </c>
      <c r="C195" s="323"/>
      <c r="D195" s="323"/>
      <c r="E195" s="324" t="e">
        <f aca="false">общ.калькуляция!h194</f>
        <v>#NAME?</v>
      </c>
      <c r="F195" s="324"/>
      <c r="G195" s="324"/>
      <c r="H195" s="324" t="e">
        <f aca="false">общ.калькуляция!j194</f>
        <v>#NAME?</v>
      </c>
      <c r="I195" s="324"/>
      <c r="J195" s="324"/>
      <c r="K195" s="324" t="e">
        <f aca="false">общ.калькуляция!m194</f>
        <v>#NAME?</v>
      </c>
      <c r="L195" s="324"/>
      <c r="M195" s="324"/>
      <c r="N195" s="324" t="e">
        <f aca="false">E195+H195+K195</f>
        <v>#NAME?</v>
      </c>
    </row>
    <row r="196" customFormat="false" ht="13.5" hidden="false" customHeight="true" outlineLevel="0" collapsed="false">
      <c r="A196" s="20" t="s">
        <v>335</v>
      </c>
      <c r="B196" s="47" t="s">
        <v>3015</v>
      </c>
      <c r="C196" s="323"/>
      <c r="D196" s="323"/>
      <c r="E196" s="324" t="e">
        <f aca="false">общ.калькуляция!h195</f>
        <v>#NAME?</v>
      </c>
      <c r="F196" s="324"/>
      <c r="G196" s="324"/>
      <c r="H196" s="324" t="e">
        <f aca="false">общ.калькуляция!j195</f>
        <v>#NAME?</v>
      </c>
      <c r="I196" s="324"/>
      <c r="J196" s="324"/>
      <c r="K196" s="324" t="e">
        <f aca="false">общ.калькуляция!m195</f>
        <v>#NAME?</v>
      </c>
      <c r="L196" s="324"/>
      <c r="M196" s="324"/>
      <c r="N196" s="324" t="e">
        <f aca="false">E196+H196+K196</f>
        <v>#NAME?</v>
      </c>
    </row>
    <row r="197" customFormat="false" ht="13.5" hidden="false" customHeight="true" outlineLevel="0" collapsed="false">
      <c r="A197" s="20" t="s">
        <v>337</v>
      </c>
      <c r="B197" s="47" t="s">
        <v>3016</v>
      </c>
      <c r="C197" s="323"/>
      <c r="D197" s="323"/>
      <c r="E197" s="324" t="e">
        <f aca="false">общ.калькуляция!h196</f>
        <v>#NAME?</v>
      </c>
      <c r="F197" s="324"/>
      <c r="G197" s="324"/>
      <c r="H197" s="324" t="e">
        <f aca="false">общ.калькуляция!j196</f>
        <v>#NAME?</v>
      </c>
      <c r="I197" s="324"/>
      <c r="J197" s="324"/>
      <c r="K197" s="324" t="e">
        <f aca="false">общ.калькуляция!m196</f>
        <v>#NAME?</v>
      </c>
      <c r="L197" s="324"/>
      <c r="M197" s="324"/>
      <c r="N197" s="324" t="e">
        <f aca="false">E197+H197+K197</f>
        <v>#NAME?</v>
      </c>
    </row>
    <row r="198" customFormat="false" ht="13.5" hidden="false" customHeight="true" outlineLevel="0" collapsed="false">
      <c r="A198" s="20" t="s">
        <v>339</v>
      </c>
      <c r="B198" s="47" t="s">
        <v>3017</v>
      </c>
      <c r="C198" s="323"/>
      <c r="D198" s="323"/>
      <c r="E198" s="324" t="e">
        <f aca="false">общ.калькуляция!h197</f>
        <v>#NAME?</v>
      </c>
      <c r="F198" s="324"/>
      <c r="G198" s="324"/>
      <c r="H198" s="324" t="e">
        <f aca="false">общ.калькуляция!j197</f>
        <v>#NAME?</v>
      </c>
      <c r="I198" s="324"/>
      <c r="J198" s="324"/>
      <c r="K198" s="324" t="e">
        <f aca="false">общ.калькуляция!m197</f>
        <v>#NAME?</v>
      </c>
      <c r="L198" s="324"/>
      <c r="M198" s="324"/>
      <c r="N198" s="324" t="e">
        <f aca="false">E198+H198+K198</f>
        <v>#NAME?</v>
      </c>
    </row>
    <row r="199" customFormat="false" ht="13.5" hidden="false" customHeight="true" outlineLevel="0" collapsed="false">
      <c r="A199" s="20" t="s">
        <v>341</v>
      </c>
      <c r="B199" s="47" t="s">
        <v>3018</v>
      </c>
      <c r="C199" s="323"/>
      <c r="D199" s="323"/>
      <c r="E199" s="324" t="e">
        <f aca="false">общ.калькуляция!h198</f>
        <v>#NAME?</v>
      </c>
      <c r="F199" s="324"/>
      <c r="G199" s="324"/>
      <c r="H199" s="324" t="e">
        <f aca="false">общ.калькуляция!j198</f>
        <v>#NAME?</v>
      </c>
      <c r="I199" s="324"/>
      <c r="J199" s="324"/>
      <c r="K199" s="324" t="e">
        <f aca="false">общ.калькуляция!m198</f>
        <v>#NAME?</v>
      </c>
      <c r="L199" s="324"/>
      <c r="M199" s="324"/>
      <c r="N199" s="324" t="e">
        <f aca="false">E199+H199+K199</f>
        <v>#NAME?</v>
      </c>
    </row>
    <row r="200" customFormat="false" ht="13.5" hidden="false" customHeight="true" outlineLevel="0" collapsed="false">
      <c r="A200" s="20" t="s">
        <v>343</v>
      </c>
      <c r="B200" s="47" t="s">
        <v>3019</v>
      </c>
      <c r="C200" s="323"/>
      <c r="D200" s="323"/>
      <c r="E200" s="324" t="e">
        <f aca="false">общ.калькуляция!h199</f>
        <v>#NAME?</v>
      </c>
      <c r="F200" s="324"/>
      <c r="G200" s="324"/>
      <c r="H200" s="324" t="e">
        <f aca="false">общ.калькуляция!j199</f>
        <v>#NAME?</v>
      </c>
      <c r="I200" s="324"/>
      <c r="J200" s="324"/>
      <c r="K200" s="324" t="e">
        <f aca="false">общ.калькуляция!m199</f>
        <v>#NAME?</v>
      </c>
      <c r="L200" s="324"/>
      <c r="M200" s="324"/>
      <c r="N200" s="324" t="e">
        <f aca="false">E200+H200+K200</f>
        <v>#NAME?</v>
      </c>
    </row>
    <row r="201" customFormat="false" ht="13.5" hidden="false" customHeight="true" outlineLevel="0" collapsed="false">
      <c r="A201" s="20" t="s">
        <v>345</v>
      </c>
      <c r="B201" s="47" t="s">
        <v>3020</v>
      </c>
      <c r="C201" s="323"/>
      <c r="D201" s="323"/>
      <c r="E201" s="324" t="e">
        <f aca="false">общ.калькуляция!h200</f>
        <v>#NAME?</v>
      </c>
      <c r="F201" s="324"/>
      <c r="G201" s="324"/>
      <c r="H201" s="324" t="e">
        <f aca="false">общ.калькуляция!j200</f>
        <v>#NAME?</v>
      </c>
      <c r="I201" s="324"/>
      <c r="J201" s="324"/>
      <c r="K201" s="324" t="e">
        <f aca="false">общ.калькуляция!m200</f>
        <v>#NAME?</v>
      </c>
      <c r="L201" s="324"/>
      <c r="M201" s="324"/>
      <c r="N201" s="324" t="e">
        <f aca="false">E201+H201+K201</f>
        <v>#NAME?</v>
      </c>
    </row>
    <row r="202" customFormat="false" ht="13.5" hidden="false" customHeight="true" outlineLevel="0" collapsed="false">
      <c r="A202" s="20" t="s">
        <v>347</v>
      </c>
      <c r="B202" s="47" t="s">
        <v>3021</v>
      </c>
      <c r="C202" s="323"/>
      <c r="D202" s="323"/>
      <c r="E202" s="324" t="e">
        <f aca="false">общ.калькуляция!h201</f>
        <v>#NAME?</v>
      </c>
      <c r="F202" s="324"/>
      <c r="G202" s="324"/>
      <c r="H202" s="324" t="e">
        <f aca="false">общ.калькуляция!j201</f>
        <v>#NAME?</v>
      </c>
      <c r="I202" s="324"/>
      <c r="J202" s="324"/>
      <c r="K202" s="324" t="e">
        <f aca="false">общ.калькуляция!m201</f>
        <v>#NAME?</v>
      </c>
      <c r="L202" s="324"/>
      <c r="M202" s="324"/>
      <c r="N202" s="324" t="e">
        <f aca="false">E202+H202+K202</f>
        <v>#NAME?</v>
      </c>
    </row>
    <row r="203" customFormat="false" ht="13.5" hidden="false" customHeight="true" outlineLevel="0" collapsed="false">
      <c r="A203" s="20" t="s">
        <v>349</v>
      </c>
      <c r="B203" s="47" t="s">
        <v>3022</v>
      </c>
      <c r="C203" s="323"/>
      <c r="D203" s="323"/>
      <c r="E203" s="324" t="e">
        <f aca="false">общ.калькуляция!h202</f>
        <v>#NAME?</v>
      </c>
      <c r="F203" s="324"/>
      <c r="G203" s="324"/>
      <c r="H203" s="324" t="e">
        <f aca="false">общ.калькуляция!j202</f>
        <v>#NAME?</v>
      </c>
      <c r="I203" s="324"/>
      <c r="J203" s="324"/>
      <c r="K203" s="324" t="e">
        <f aca="false">общ.калькуляция!m202</f>
        <v>#NAME?</v>
      </c>
      <c r="L203" s="324"/>
      <c r="M203" s="324"/>
      <c r="N203" s="324" t="e">
        <f aca="false">E203+H203+K203</f>
        <v>#NAME?</v>
      </c>
    </row>
    <row r="204" customFormat="false" ht="13.5" hidden="false" customHeight="true" outlineLevel="0" collapsed="false">
      <c r="A204" s="20" t="s">
        <v>351</v>
      </c>
      <c r="B204" s="47" t="s">
        <v>3023</v>
      </c>
      <c r="C204" s="323"/>
      <c r="D204" s="323"/>
      <c r="E204" s="324" t="e">
        <f aca="false">общ.калькуляция!h203</f>
        <v>#NAME?</v>
      </c>
      <c r="F204" s="324"/>
      <c r="G204" s="324"/>
      <c r="H204" s="324" t="e">
        <f aca="false">общ.калькуляция!j203</f>
        <v>#NAME?</v>
      </c>
      <c r="I204" s="324"/>
      <c r="J204" s="324"/>
      <c r="K204" s="324" t="e">
        <f aca="false">общ.калькуляция!m203</f>
        <v>#NAME?</v>
      </c>
      <c r="L204" s="324"/>
      <c r="M204" s="324"/>
      <c r="N204" s="324" t="e">
        <f aca="false">E204+H204+K204</f>
        <v>#NAME?</v>
      </c>
    </row>
    <row r="205" customFormat="false" ht="13.5" hidden="false" customHeight="true" outlineLevel="0" collapsed="false">
      <c r="A205" s="20" t="s">
        <v>353</v>
      </c>
      <c r="B205" s="47" t="s">
        <v>3024</v>
      </c>
      <c r="C205" s="323"/>
      <c r="D205" s="323"/>
      <c r="E205" s="324" t="e">
        <f aca="false">общ.калькуляция!h204</f>
        <v>#NAME?</v>
      </c>
      <c r="F205" s="324"/>
      <c r="G205" s="324"/>
      <c r="H205" s="324" t="e">
        <f aca="false">общ.калькуляция!j204</f>
        <v>#NAME?</v>
      </c>
      <c r="I205" s="324"/>
      <c r="J205" s="324"/>
      <c r="K205" s="324" t="e">
        <f aca="false">общ.калькуляция!m204</f>
        <v>#NAME?</v>
      </c>
      <c r="L205" s="324"/>
      <c r="M205" s="324"/>
      <c r="N205" s="324" t="e">
        <f aca="false">E205+H205+K205</f>
        <v>#NAME?</v>
      </c>
    </row>
    <row r="206" customFormat="false" ht="13.5" hidden="false" customHeight="true" outlineLevel="0" collapsed="false">
      <c r="A206" s="20" t="s">
        <v>355</v>
      </c>
      <c r="B206" s="29" t="s">
        <v>3025</v>
      </c>
      <c r="C206" s="323"/>
      <c r="D206" s="323"/>
      <c r="E206" s="324" t="e">
        <f aca="false">общ.калькуляция!h205</f>
        <v>#NAME?</v>
      </c>
      <c r="F206" s="324"/>
      <c r="G206" s="324"/>
      <c r="H206" s="324" t="e">
        <f aca="false">общ.калькуляция!j205</f>
        <v>#NAME?</v>
      </c>
      <c r="I206" s="324"/>
      <c r="J206" s="324"/>
      <c r="K206" s="324" t="e">
        <f aca="false">общ.калькуляция!m205</f>
        <v>#NAME?</v>
      </c>
      <c r="L206" s="324"/>
      <c r="M206" s="324"/>
      <c r="N206" s="324" t="e">
        <f aca="false">E206+H206+K206</f>
        <v>#NAME?</v>
      </c>
    </row>
    <row r="207" customFormat="false" ht="13.5" hidden="false" customHeight="true" outlineLevel="0" collapsed="false">
      <c r="A207" s="20" t="s">
        <v>357</v>
      </c>
      <c r="B207" s="29" t="s">
        <v>3026</v>
      </c>
      <c r="C207" s="323"/>
      <c r="D207" s="323"/>
      <c r="E207" s="324" t="e">
        <f aca="false">общ.калькуляция!h206</f>
        <v>#NAME?</v>
      </c>
      <c r="F207" s="324"/>
      <c r="G207" s="324"/>
      <c r="H207" s="324" t="e">
        <f aca="false">общ.калькуляция!j206</f>
        <v>#NAME?</v>
      </c>
      <c r="I207" s="324"/>
      <c r="J207" s="324"/>
      <c r="K207" s="324" t="e">
        <f aca="false">общ.калькуляция!m206</f>
        <v>#NAME?</v>
      </c>
      <c r="L207" s="324"/>
      <c r="M207" s="324"/>
      <c r="N207" s="324" t="e">
        <f aca="false">E207+H207+K207</f>
        <v>#NAME?</v>
      </c>
    </row>
    <row r="208" customFormat="false" ht="13.5" hidden="false" customHeight="true" outlineLevel="0" collapsed="false">
      <c r="A208" s="20" t="s">
        <v>359</v>
      </c>
      <c r="B208" s="29" t="s">
        <v>3027</v>
      </c>
      <c r="C208" s="323"/>
      <c r="D208" s="323"/>
      <c r="E208" s="324" t="e">
        <f aca="false">общ.калькуляция!h207</f>
        <v>#NAME?</v>
      </c>
      <c r="F208" s="324"/>
      <c r="G208" s="324"/>
      <c r="H208" s="324" t="e">
        <f aca="false">общ.калькуляция!j207</f>
        <v>#NAME?</v>
      </c>
      <c r="I208" s="324"/>
      <c r="J208" s="324"/>
      <c r="K208" s="324" t="e">
        <f aca="false">общ.калькуляция!m207</f>
        <v>#NAME?</v>
      </c>
      <c r="L208" s="324"/>
      <c r="M208" s="324"/>
      <c r="N208" s="324" t="e">
        <f aca="false">E208+H208+K208</f>
        <v>#NAME?</v>
      </c>
    </row>
    <row r="209" customFormat="false" ht="13.5" hidden="false" customHeight="true" outlineLevel="0" collapsed="false">
      <c r="A209" s="20" t="s">
        <v>361</v>
      </c>
      <c r="B209" s="29" t="s">
        <v>3028</v>
      </c>
      <c r="C209" s="323"/>
      <c r="D209" s="323"/>
      <c r="E209" s="324" t="e">
        <f aca="false">общ.калькуляция!h208</f>
        <v>#NAME?</v>
      </c>
      <c r="F209" s="324"/>
      <c r="G209" s="324"/>
      <c r="H209" s="324" t="e">
        <f aca="false">общ.калькуляция!j208</f>
        <v>#NAME?</v>
      </c>
      <c r="I209" s="324"/>
      <c r="J209" s="324"/>
      <c r="K209" s="324" t="e">
        <f aca="false">общ.калькуляция!m208</f>
        <v>#NAME?</v>
      </c>
      <c r="L209" s="324"/>
      <c r="M209" s="324"/>
      <c r="N209" s="324" t="e">
        <f aca="false">E209+H209+K209</f>
        <v>#NAME?</v>
      </c>
    </row>
    <row r="210" customFormat="false" ht="13.5" hidden="false" customHeight="true" outlineLevel="0" collapsed="false">
      <c r="A210" s="20" t="s">
        <v>363</v>
      </c>
      <c r="B210" s="29" t="s">
        <v>3029</v>
      </c>
      <c r="C210" s="323"/>
      <c r="D210" s="323"/>
      <c r="E210" s="324" t="e">
        <f aca="false">общ.калькуляция!h209</f>
        <v>#NAME?</v>
      </c>
      <c r="F210" s="324"/>
      <c r="G210" s="324"/>
      <c r="H210" s="324" t="e">
        <f aca="false">общ.калькуляция!j209</f>
        <v>#NAME?</v>
      </c>
      <c r="I210" s="324"/>
      <c r="J210" s="324"/>
      <c r="K210" s="324" t="e">
        <f aca="false">общ.калькуляция!m209</f>
        <v>#NAME?</v>
      </c>
      <c r="L210" s="324"/>
      <c r="M210" s="324"/>
      <c r="N210" s="324" t="e">
        <f aca="false">E210+H210+K210</f>
        <v>#NAME?</v>
      </c>
    </row>
    <row r="211" customFormat="false" ht="13.5" hidden="false" customHeight="true" outlineLevel="0" collapsed="false">
      <c r="A211" s="20" t="s">
        <v>365</v>
      </c>
      <c r="B211" s="29" t="s">
        <v>3030</v>
      </c>
      <c r="C211" s="323"/>
      <c r="D211" s="323"/>
      <c r="E211" s="324" t="e">
        <f aca="false">общ.калькуляция!h210</f>
        <v>#NAME?</v>
      </c>
      <c r="F211" s="324"/>
      <c r="G211" s="324"/>
      <c r="H211" s="324" t="e">
        <f aca="false">общ.калькуляция!j210</f>
        <v>#NAME?</v>
      </c>
      <c r="I211" s="324"/>
      <c r="J211" s="324"/>
      <c r="K211" s="324" t="e">
        <f aca="false">общ.калькуляция!m210</f>
        <v>#NAME?</v>
      </c>
      <c r="L211" s="324"/>
      <c r="M211" s="324"/>
      <c r="N211" s="324" t="e">
        <f aca="false">E211+H211+K211</f>
        <v>#NAME?</v>
      </c>
    </row>
    <row r="212" customFormat="false" ht="13.5" hidden="false" customHeight="true" outlineLevel="0" collapsed="false">
      <c r="A212" s="20" t="s">
        <v>367</v>
      </c>
      <c r="B212" s="29" t="s">
        <v>3031</v>
      </c>
      <c r="C212" s="323"/>
      <c r="D212" s="323"/>
      <c r="E212" s="324" t="e">
        <f aca="false">общ.калькуляция!h211</f>
        <v>#NAME?</v>
      </c>
      <c r="F212" s="324"/>
      <c r="G212" s="324"/>
      <c r="H212" s="324" t="e">
        <f aca="false">общ.калькуляция!j211</f>
        <v>#NAME?</v>
      </c>
      <c r="I212" s="324"/>
      <c r="J212" s="324"/>
      <c r="K212" s="324" t="e">
        <f aca="false">общ.калькуляция!m211</f>
        <v>#NAME?</v>
      </c>
      <c r="L212" s="324"/>
      <c r="M212" s="324"/>
      <c r="N212" s="324" t="e">
        <f aca="false">E212+H212+K212</f>
        <v>#NAME?</v>
      </c>
    </row>
    <row r="213" customFormat="false" ht="13.5" hidden="false" customHeight="true" outlineLevel="0" collapsed="false">
      <c r="A213" s="20" t="s">
        <v>369</v>
      </c>
      <c r="B213" s="29" t="s">
        <v>3032</v>
      </c>
      <c r="C213" s="323"/>
      <c r="D213" s="323"/>
      <c r="E213" s="324" t="e">
        <f aca="false">общ.калькуляция!h212</f>
        <v>#NAME?</v>
      </c>
      <c r="F213" s="324"/>
      <c r="G213" s="324"/>
      <c r="H213" s="324" t="e">
        <f aca="false">общ.калькуляция!j212</f>
        <v>#NAME?</v>
      </c>
      <c r="I213" s="324"/>
      <c r="J213" s="324"/>
      <c r="K213" s="324" t="e">
        <f aca="false">общ.калькуляция!m212</f>
        <v>#NAME?</v>
      </c>
      <c r="L213" s="324"/>
      <c r="M213" s="324"/>
      <c r="N213" s="324" t="e">
        <f aca="false">E213+H213+K213</f>
        <v>#NAME?</v>
      </c>
    </row>
    <row r="214" customFormat="false" ht="13.5" hidden="false" customHeight="true" outlineLevel="0" collapsed="false">
      <c r="A214" s="20" t="s">
        <v>371</v>
      </c>
      <c r="B214" s="29" t="s">
        <v>3033</v>
      </c>
      <c r="C214" s="323"/>
      <c r="D214" s="323"/>
      <c r="E214" s="324" t="e">
        <f aca="false">общ.калькуляция!h213</f>
        <v>#NAME?</v>
      </c>
      <c r="F214" s="324"/>
      <c r="G214" s="324"/>
      <c r="H214" s="324" t="e">
        <f aca="false">общ.калькуляция!j213</f>
        <v>#NAME?</v>
      </c>
      <c r="I214" s="324"/>
      <c r="J214" s="324"/>
      <c r="K214" s="324" t="e">
        <f aca="false">общ.калькуляция!m213</f>
        <v>#NAME?</v>
      </c>
      <c r="L214" s="324"/>
      <c r="M214" s="324"/>
      <c r="N214" s="324" t="e">
        <f aca="false">E214+H214+K214</f>
        <v>#NAME?</v>
      </c>
    </row>
    <row r="215" customFormat="false" ht="13.5" hidden="false" customHeight="true" outlineLevel="0" collapsed="false">
      <c r="A215" s="20" t="s">
        <v>373</v>
      </c>
      <c r="B215" s="29" t="s">
        <v>3034</v>
      </c>
      <c r="C215" s="323"/>
      <c r="D215" s="323"/>
      <c r="E215" s="324" t="e">
        <f aca="false">общ.калькуляция!h214</f>
        <v>#NAME?</v>
      </c>
      <c r="F215" s="324"/>
      <c r="G215" s="324"/>
      <c r="H215" s="324" t="e">
        <f aca="false">общ.калькуляция!j214</f>
        <v>#NAME?</v>
      </c>
      <c r="I215" s="324"/>
      <c r="J215" s="324"/>
      <c r="K215" s="324" t="e">
        <f aca="false">общ.калькуляция!m214</f>
        <v>#NAME?</v>
      </c>
      <c r="L215" s="324"/>
      <c r="M215" s="324"/>
      <c r="N215" s="324" t="e">
        <f aca="false">E215+H215+K215</f>
        <v>#NAME?</v>
      </c>
    </row>
    <row r="216" customFormat="false" ht="13.5" hidden="false" customHeight="true" outlineLevel="0" collapsed="false">
      <c r="A216" s="20" t="s">
        <v>375</v>
      </c>
      <c r="B216" s="29" t="s">
        <v>3035</v>
      </c>
      <c r="C216" s="323"/>
      <c r="D216" s="323"/>
      <c r="E216" s="324" t="e">
        <f aca="false">общ.калькуляция!h215</f>
        <v>#NAME?</v>
      </c>
      <c r="F216" s="324"/>
      <c r="G216" s="324"/>
      <c r="H216" s="324" t="e">
        <f aca="false">общ.калькуляция!j215</f>
        <v>#NAME?</v>
      </c>
      <c r="I216" s="324"/>
      <c r="J216" s="324"/>
      <c r="K216" s="324" t="e">
        <f aca="false">общ.калькуляция!m215</f>
        <v>#NAME?</v>
      </c>
      <c r="L216" s="324"/>
      <c r="M216" s="324"/>
      <c r="N216" s="324" t="e">
        <f aca="false">E216+H216+K216</f>
        <v>#NAME?</v>
      </c>
    </row>
    <row r="217" customFormat="false" ht="13.5" hidden="false" customHeight="true" outlineLevel="0" collapsed="false">
      <c r="A217" s="20" t="s">
        <v>377</v>
      </c>
      <c r="B217" s="29" t="s">
        <v>3036</v>
      </c>
      <c r="C217" s="323"/>
      <c r="D217" s="323"/>
      <c r="E217" s="324" t="e">
        <f aca="false">общ.калькуляция!h216</f>
        <v>#NAME?</v>
      </c>
      <c r="F217" s="324"/>
      <c r="G217" s="324"/>
      <c r="H217" s="324" t="e">
        <f aca="false">общ.калькуляция!j216</f>
        <v>#NAME?</v>
      </c>
      <c r="I217" s="324"/>
      <c r="J217" s="324"/>
      <c r="K217" s="324" t="e">
        <f aca="false">общ.калькуляция!m216</f>
        <v>#NAME?</v>
      </c>
      <c r="L217" s="324"/>
      <c r="M217" s="324"/>
      <c r="N217" s="324" t="e">
        <f aca="false">E217+H217+K217</f>
        <v>#NAME?</v>
      </c>
    </row>
    <row r="218" customFormat="false" ht="13.5" hidden="false" customHeight="true" outlineLevel="0" collapsed="false">
      <c r="A218" s="20" t="s">
        <v>379</v>
      </c>
      <c r="B218" s="29" t="s">
        <v>3037</v>
      </c>
      <c r="C218" s="323"/>
      <c r="D218" s="323"/>
      <c r="E218" s="324" t="e">
        <f aca="false">общ.калькуляция!h217</f>
        <v>#NAME?</v>
      </c>
      <c r="F218" s="324"/>
      <c r="G218" s="324"/>
      <c r="H218" s="324" t="e">
        <f aca="false">общ.калькуляция!j217</f>
        <v>#NAME?</v>
      </c>
      <c r="I218" s="324"/>
      <c r="J218" s="324"/>
      <c r="K218" s="324" t="e">
        <f aca="false">общ.калькуляция!m217</f>
        <v>#NAME?</v>
      </c>
      <c r="L218" s="324"/>
      <c r="M218" s="324"/>
      <c r="N218" s="324" t="e">
        <f aca="false">E218+H218+K218</f>
        <v>#NAME?</v>
      </c>
    </row>
    <row r="219" customFormat="false" ht="13.5" hidden="false" customHeight="true" outlineLevel="0" collapsed="false">
      <c r="A219" s="20" t="s">
        <v>381</v>
      </c>
      <c r="B219" s="29" t="s">
        <v>3038</v>
      </c>
      <c r="C219" s="323"/>
      <c r="D219" s="323"/>
      <c r="E219" s="324" t="e">
        <f aca="false">общ.калькуляция!h218</f>
        <v>#NAME?</v>
      </c>
      <c r="F219" s="324"/>
      <c r="G219" s="324"/>
      <c r="H219" s="324" t="e">
        <f aca="false">общ.калькуляция!j218</f>
        <v>#NAME?</v>
      </c>
      <c r="I219" s="324"/>
      <c r="J219" s="324"/>
      <c r="K219" s="324" t="e">
        <f aca="false">общ.калькуляция!m218</f>
        <v>#NAME?</v>
      </c>
      <c r="L219" s="324"/>
      <c r="M219" s="324"/>
      <c r="N219" s="324" t="e">
        <f aca="false">E219+H219+K219</f>
        <v>#NAME?</v>
      </c>
    </row>
    <row r="220" customFormat="false" ht="13.5" hidden="false" customHeight="true" outlineLevel="0" collapsed="false">
      <c r="A220" s="20" t="s">
        <v>383</v>
      </c>
      <c r="B220" s="29" t="s">
        <v>3039</v>
      </c>
      <c r="C220" s="323"/>
      <c r="D220" s="323"/>
      <c r="E220" s="324" t="e">
        <f aca="false">общ.калькуляция!h219</f>
        <v>#NAME?</v>
      </c>
      <c r="F220" s="324"/>
      <c r="G220" s="324"/>
      <c r="H220" s="324" t="e">
        <f aca="false">общ.калькуляция!j219</f>
        <v>#NAME?</v>
      </c>
      <c r="I220" s="324"/>
      <c r="J220" s="324"/>
      <c r="K220" s="324" t="e">
        <f aca="false">общ.калькуляция!m219</f>
        <v>#NAME?</v>
      </c>
      <c r="L220" s="324"/>
      <c r="M220" s="324"/>
      <c r="N220" s="324" t="e">
        <f aca="false">E220+H220+K220</f>
        <v>#NAME?</v>
      </c>
    </row>
    <row r="221" customFormat="false" ht="13.5" hidden="false" customHeight="true" outlineLevel="0" collapsed="false">
      <c r="A221" s="20" t="s">
        <v>385</v>
      </c>
      <c r="B221" s="29" t="s">
        <v>3040</v>
      </c>
      <c r="C221" s="323"/>
      <c r="D221" s="323"/>
      <c r="E221" s="324" t="e">
        <f aca="false">общ.калькуляция!h220</f>
        <v>#NAME?</v>
      </c>
      <c r="F221" s="324"/>
      <c r="G221" s="324"/>
      <c r="H221" s="324" t="e">
        <f aca="false">общ.калькуляция!j220</f>
        <v>#NAME?</v>
      </c>
      <c r="I221" s="324"/>
      <c r="J221" s="324"/>
      <c r="K221" s="324" t="e">
        <f aca="false">общ.калькуляция!m220</f>
        <v>#NAME?</v>
      </c>
      <c r="L221" s="324"/>
      <c r="M221" s="324"/>
      <c r="N221" s="324" t="e">
        <f aca="false">E221+H221+K221</f>
        <v>#NAME?</v>
      </c>
    </row>
    <row r="222" customFormat="false" ht="13.5" hidden="false" customHeight="true" outlineLevel="0" collapsed="false">
      <c r="A222" s="20" t="s">
        <v>387</v>
      </c>
      <c r="B222" s="40" t="s">
        <v>3041</v>
      </c>
      <c r="C222" s="323"/>
      <c r="D222" s="323"/>
      <c r="E222" s="324" t="e">
        <f aca="false">общ.калькуляция!h221</f>
        <v>#NAME?</v>
      </c>
      <c r="F222" s="324"/>
      <c r="G222" s="324"/>
      <c r="H222" s="324" t="e">
        <f aca="false">общ.калькуляция!j221</f>
        <v>#NAME?</v>
      </c>
      <c r="I222" s="324"/>
      <c r="J222" s="324"/>
      <c r="K222" s="324" t="e">
        <f aca="false">общ.калькуляция!m221</f>
        <v>#NAME?</v>
      </c>
      <c r="L222" s="324"/>
      <c r="M222" s="324"/>
      <c r="N222" s="324" t="e">
        <f aca="false">E222+H222+K222</f>
        <v>#NAME?</v>
      </c>
    </row>
    <row r="223" customFormat="false" ht="13.5" hidden="false" customHeight="true" outlineLevel="0" collapsed="false">
      <c r="A223" s="20" t="s">
        <v>389</v>
      </c>
      <c r="B223" s="40" t="s">
        <v>3042</v>
      </c>
      <c r="C223" s="323"/>
      <c r="D223" s="323"/>
      <c r="E223" s="324" t="e">
        <f aca="false">общ.калькуляция!h222</f>
        <v>#NAME?</v>
      </c>
      <c r="F223" s="324"/>
      <c r="G223" s="324"/>
      <c r="H223" s="324" t="e">
        <f aca="false">общ.калькуляция!j222</f>
        <v>#NAME?</v>
      </c>
      <c r="I223" s="324"/>
      <c r="J223" s="324"/>
      <c r="K223" s="324" t="e">
        <f aca="false">общ.калькуляция!m222</f>
        <v>#NAME?</v>
      </c>
      <c r="L223" s="324"/>
      <c r="M223" s="324"/>
      <c r="N223" s="324" t="e">
        <f aca="false">E223+H223+K223</f>
        <v>#NAME?</v>
      </c>
    </row>
    <row r="224" customFormat="false" ht="13.5" hidden="false" customHeight="true" outlineLevel="0" collapsed="false">
      <c r="A224" s="20" t="s">
        <v>391</v>
      </c>
      <c r="B224" s="40" t="s">
        <v>3043</v>
      </c>
      <c r="C224" s="323"/>
      <c r="D224" s="323"/>
      <c r="E224" s="324" t="e">
        <f aca="false">общ.калькуляция!h223</f>
        <v>#NAME?</v>
      </c>
      <c r="F224" s="324"/>
      <c r="G224" s="324"/>
      <c r="H224" s="324" t="e">
        <f aca="false">общ.калькуляция!j223</f>
        <v>#NAME?</v>
      </c>
      <c r="I224" s="324"/>
      <c r="J224" s="324"/>
      <c r="K224" s="324" t="e">
        <f aca="false">общ.калькуляция!m223</f>
        <v>#NAME?</v>
      </c>
      <c r="L224" s="324"/>
      <c r="M224" s="324"/>
      <c r="N224" s="324" t="e">
        <f aca="false">E224+H224+K224</f>
        <v>#NAME?</v>
      </c>
    </row>
    <row r="225" customFormat="false" ht="13.5" hidden="false" customHeight="true" outlineLevel="0" collapsed="false">
      <c r="A225" s="15" t="s">
        <v>393</v>
      </c>
      <c r="B225" s="16" t="s">
        <v>3044</v>
      </c>
      <c r="C225" s="321"/>
      <c r="D225" s="321"/>
      <c r="E225" s="329"/>
      <c r="F225" s="329"/>
      <c r="G225" s="329"/>
      <c r="H225" s="329"/>
      <c r="I225" s="329"/>
      <c r="J225" s="329"/>
      <c r="K225" s="329"/>
      <c r="L225" s="329"/>
      <c r="M225" s="329"/>
      <c r="N225" s="329"/>
    </row>
    <row r="226" customFormat="false" ht="13.5" hidden="false" customHeight="true" outlineLevel="0" collapsed="false">
      <c r="A226" s="28" t="s">
        <v>395</v>
      </c>
      <c r="B226" s="29" t="s">
        <v>3010</v>
      </c>
      <c r="C226" s="323"/>
      <c r="D226" s="323"/>
      <c r="E226" s="324" t="e">
        <f aca="false">общ.калькуляция!h225</f>
        <v>#NAME?</v>
      </c>
      <c r="F226" s="324"/>
      <c r="G226" s="324"/>
      <c r="H226" s="324" t="e">
        <f aca="false">общ.калькуляция!j225</f>
        <v>#NAME?</v>
      </c>
      <c r="I226" s="324"/>
      <c r="J226" s="324"/>
      <c r="K226" s="324" t="e">
        <f aca="false">общ.калькуляция!m225</f>
        <v>#NAME?</v>
      </c>
      <c r="L226" s="324"/>
      <c r="M226" s="324"/>
      <c r="N226" s="324" t="e">
        <f aca="false">E226+H226+K226</f>
        <v>#NAME?</v>
      </c>
    </row>
    <row r="227" customFormat="false" ht="13.5" hidden="false" customHeight="true" outlineLevel="0" collapsed="false">
      <c r="A227" s="28" t="s">
        <v>396</v>
      </c>
      <c r="B227" s="47" t="s">
        <v>3045</v>
      </c>
      <c r="C227" s="323"/>
      <c r="D227" s="323"/>
      <c r="E227" s="324" t="e">
        <f aca="false">общ.калькуляция!h226</f>
        <v>#NAME?</v>
      </c>
      <c r="F227" s="324"/>
      <c r="G227" s="324"/>
      <c r="H227" s="324" t="e">
        <f aca="false">общ.калькуляция!j226</f>
        <v>#NAME?</v>
      </c>
      <c r="I227" s="324"/>
      <c r="J227" s="324"/>
      <c r="K227" s="324" t="e">
        <f aca="false">общ.калькуляция!m226</f>
        <v>#NAME?</v>
      </c>
      <c r="L227" s="324"/>
      <c r="M227" s="324"/>
      <c r="N227" s="324" t="e">
        <f aca="false">E227+H227+K227</f>
        <v>#NAME?</v>
      </c>
    </row>
    <row r="228" customFormat="false" ht="13.5" hidden="false" customHeight="true" outlineLevel="0" collapsed="false">
      <c r="A228" s="28" t="s">
        <v>398</v>
      </c>
      <c r="B228" s="47" t="s">
        <v>3046</v>
      </c>
      <c r="C228" s="323"/>
      <c r="D228" s="323"/>
      <c r="E228" s="324" t="e">
        <f aca="false">общ.калькуляция!h227</f>
        <v>#NAME?</v>
      </c>
      <c r="F228" s="324"/>
      <c r="G228" s="324"/>
      <c r="H228" s="324" t="e">
        <f aca="false">общ.калькуляция!j227</f>
        <v>#NAME?</v>
      </c>
      <c r="I228" s="324"/>
      <c r="J228" s="324"/>
      <c r="K228" s="324" t="e">
        <f aca="false">общ.калькуляция!m227</f>
        <v>#NAME?</v>
      </c>
      <c r="L228" s="324"/>
      <c r="M228" s="324"/>
      <c r="N228" s="324" t="e">
        <f aca="false">E228+H228+K228</f>
        <v>#NAME?</v>
      </c>
    </row>
    <row r="229" customFormat="false" ht="13.5" hidden="false" customHeight="true" outlineLevel="0" collapsed="false">
      <c r="A229" s="28" t="s">
        <v>400</v>
      </c>
      <c r="B229" s="47" t="s">
        <v>3047</v>
      </c>
      <c r="C229" s="323"/>
      <c r="D229" s="323"/>
      <c r="E229" s="324" t="e">
        <f aca="false">общ.калькуляция!h228</f>
        <v>#NAME?</v>
      </c>
      <c r="F229" s="324"/>
      <c r="G229" s="324"/>
      <c r="H229" s="324" t="e">
        <f aca="false">общ.калькуляция!j228</f>
        <v>#NAME?</v>
      </c>
      <c r="I229" s="324"/>
      <c r="J229" s="324"/>
      <c r="K229" s="324" t="e">
        <f aca="false">общ.калькуляция!m228</f>
        <v>#NAME?</v>
      </c>
      <c r="L229" s="324"/>
      <c r="M229" s="324"/>
      <c r="N229" s="324" t="e">
        <f aca="false">E229+H229+K229</f>
        <v>#NAME?</v>
      </c>
    </row>
    <row r="230" customFormat="false" ht="13.5" hidden="false" customHeight="true" outlineLevel="0" collapsed="false">
      <c r="A230" s="28" t="s">
        <v>402</v>
      </c>
      <c r="B230" s="47" t="s">
        <v>3048</v>
      </c>
      <c r="C230" s="323"/>
      <c r="D230" s="323"/>
      <c r="E230" s="324" t="e">
        <f aca="false">общ.калькуляция!h229</f>
        <v>#NAME?</v>
      </c>
      <c r="F230" s="324"/>
      <c r="G230" s="324"/>
      <c r="H230" s="324" t="e">
        <f aca="false">общ.калькуляция!j229</f>
        <v>#NAME?</v>
      </c>
      <c r="I230" s="324"/>
      <c r="J230" s="324"/>
      <c r="K230" s="324" t="e">
        <f aca="false">общ.калькуляция!m229</f>
        <v>#NAME?</v>
      </c>
      <c r="L230" s="324"/>
      <c r="M230" s="324"/>
      <c r="N230" s="324" t="e">
        <f aca="false">E230+H230+K230</f>
        <v>#NAME?</v>
      </c>
    </row>
    <row r="231" customFormat="false" ht="13.5" hidden="false" customHeight="true" outlineLevel="0" collapsed="false">
      <c r="A231" s="28" t="s">
        <v>404</v>
      </c>
      <c r="B231" s="47" t="s">
        <v>3049</v>
      </c>
      <c r="C231" s="323"/>
      <c r="D231" s="323"/>
      <c r="E231" s="324" t="e">
        <f aca="false">общ.калькуляция!h230</f>
        <v>#NAME?</v>
      </c>
      <c r="F231" s="324"/>
      <c r="G231" s="324"/>
      <c r="H231" s="324" t="e">
        <f aca="false">общ.калькуляция!j230</f>
        <v>#NAME?</v>
      </c>
      <c r="I231" s="324"/>
      <c r="J231" s="324"/>
      <c r="K231" s="324" t="e">
        <f aca="false">общ.калькуляция!m230</f>
        <v>#NAME?</v>
      </c>
      <c r="L231" s="324"/>
      <c r="M231" s="324"/>
      <c r="N231" s="324" t="e">
        <f aca="false">E231+H231+K231</f>
        <v>#NAME?</v>
      </c>
    </row>
    <row r="232" customFormat="false" ht="13.5" hidden="false" customHeight="true" outlineLevel="0" collapsed="false">
      <c r="A232" s="28" t="s">
        <v>406</v>
      </c>
      <c r="B232" s="47" t="s">
        <v>3050</v>
      </c>
      <c r="C232" s="323"/>
      <c r="D232" s="323"/>
      <c r="E232" s="324" t="e">
        <f aca="false">общ.калькуляция!h231</f>
        <v>#NAME?</v>
      </c>
      <c r="F232" s="324"/>
      <c r="G232" s="324"/>
      <c r="H232" s="324" t="e">
        <f aca="false">общ.калькуляция!j231</f>
        <v>#NAME?</v>
      </c>
      <c r="I232" s="324"/>
      <c r="J232" s="324"/>
      <c r="K232" s="324" t="e">
        <f aca="false">общ.калькуляция!m231</f>
        <v>#NAME?</v>
      </c>
      <c r="L232" s="324"/>
      <c r="M232" s="324"/>
      <c r="N232" s="324" t="e">
        <f aca="false">E232+H232+K232</f>
        <v>#NAME?</v>
      </c>
    </row>
    <row r="233" customFormat="false" ht="13.5" hidden="false" customHeight="true" outlineLevel="0" collapsed="false">
      <c r="A233" s="28" t="s">
        <v>408</v>
      </c>
      <c r="B233" s="47" t="s">
        <v>3051</v>
      </c>
      <c r="C233" s="323"/>
      <c r="D233" s="323"/>
      <c r="E233" s="324" t="e">
        <f aca="false">общ.калькуляция!h232</f>
        <v>#NAME?</v>
      </c>
      <c r="F233" s="324"/>
      <c r="G233" s="324"/>
      <c r="H233" s="324" t="e">
        <f aca="false">общ.калькуляция!j232</f>
        <v>#NAME?</v>
      </c>
      <c r="I233" s="324"/>
      <c r="J233" s="324"/>
      <c r="K233" s="324" t="e">
        <f aca="false">общ.калькуляция!m232</f>
        <v>#NAME?</v>
      </c>
      <c r="L233" s="324"/>
      <c r="M233" s="324"/>
      <c r="N233" s="324" t="e">
        <f aca="false">E233+H233+K233</f>
        <v>#NAME?</v>
      </c>
    </row>
    <row r="234" customFormat="false" ht="13.5" hidden="false" customHeight="true" outlineLevel="0" collapsed="false">
      <c r="A234" s="28" t="s">
        <v>410</v>
      </c>
      <c r="B234" s="47" t="s">
        <v>3052</v>
      </c>
      <c r="C234" s="323"/>
      <c r="D234" s="323"/>
      <c r="E234" s="324" t="e">
        <f aca="false">общ.калькуляция!h233</f>
        <v>#NAME?</v>
      </c>
      <c r="F234" s="324"/>
      <c r="G234" s="324"/>
      <c r="H234" s="324" t="e">
        <f aca="false">общ.калькуляция!j233</f>
        <v>#NAME?</v>
      </c>
      <c r="I234" s="324"/>
      <c r="J234" s="324"/>
      <c r="K234" s="324" t="e">
        <f aca="false">общ.калькуляция!m233</f>
        <v>#NAME?</v>
      </c>
      <c r="L234" s="324"/>
      <c r="M234" s="324"/>
      <c r="N234" s="324" t="e">
        <f aca="false">E234+H234+K234</f>
        <v>#NAME?</v>
      </c>
    </row>
    <row r="235" customFormat="false" ht="13.5" hidden="false" customHeight="true" outlineLevel="0" collapsed="false">
      <c r="A235" s="28" t="s">
        <v>412</v>
      </c>
      <c r="B235" s="47" t="s">
        <v>3053</v>
      </c>
      <c r="C235" s="323"/>
      <c r="D235" s="323"/>
      <c r="E235" s="324" t="e">
        <f aca="false">общ.калькуляция!h234</f>
        <v>#NAME?</v>
      </c>
      <c r="F235" s="324"/>
      <c r="G235" s="324"/>
      <c r="H235" s="324" t="e">
        <f aca="false">общ.калькуляция!j234</f>
        <v>#NAME?</v>
      </c>
      <c r="I235" s="324"/>
      <c r="J235" s="324"/>
      <c r="K235" s="324" t="e">
        <f aca="false">общ.калькуляция!m234</f>
        <v>#NAME?</v>
      </c>
      <c r="L235" s="324"/>
      <c r="M235" s="324"/>
      <c r="N235" s="324" t="e">
        <f aca="false">E235+H235+K235</f>
        <v>#NAME?</v>
      </c>
    </row>
    <row r="236" customFormat="false" ht="13.5" hidden="false" customHeight="true" outlineLevel="0" collapsed="false">
      <c r="A236" s="28" t="s">
        <v>414</v>
      </c>
      <c r="B236" s="47" t="s">
        <v>3054</v>
      </c>
      <c r="C236" s="323"/>
      <c r="D236" s="323"/>
      <c r="E236" s="324" t="e">
        <f aca="false">общ.калькуляция!h235</f>
        <v>#NAME?</v>
      </c>
      <c r="F236" s="324"/>
      <c r="G236" s="324"/>
      <c r="H236" s="324" t="e">
        <f aca="false">общ.калькуляция!j235</f>
        <v>#NAME?</v>
      </c>
      <c r="I236" s="324"/>
      <c r="J236" s="324"/>
      <c r="K236" s="324" t="e">
        <f aca="false">общ.калькуляция!m235</f>
        <v>#NAME?</v>
      </c>
      <c r="L236" s="324"/>
      <c r="M236" s="324"/>
      <c r="N236" s="324" t="e">
        <f aca="false">E236+H236+K236</f>
        <v>#NAME?</v>
      </c>
    </row>
    <row r="237" customFormat="false" ht="13.5" hidden="false" customHeight="true" outlineLevel="0" collapsed="false">
      <c r="A237" s="28" t="s">
        <v>416</v>
      </c>
      <c r="B237" s="47" t="s">
        <v>3055</v>
      </c>
      <c r="C237" s="323"/>
      <c r="D237" s="323"/>
      <c r="E237" s="324" t="e">
        <f aca="false">общ.калькуляция!h236</f>
        <v>#NAME?</v>
      </c>
      <c r="F237" s="324"/>
      <c r="G237" s="324"/>
      <c r="H237" s="324" t="e">
        <f aca="false">общ.калькуляция!j236</f>
        <v>#NAME?</v>
      </c>
      <c r="I237" s="324"/>
      <c r="J237" s="324"/>
      <c r="K237" s="324" t="e">
        <f aca="false">общ.калькуляция!m236</f>
        <v>#NAME?</v>
      </c>
      <c r="L237" s="324"/>
      <c r="M237" s="324"/>
      <c r="N237" s="324" t="e">
        <f aca="false">E237+H237+K237</f>
        <v>#NAME?</v>
      </c>
    </row>
    <row r="238" customFormat="false" ht="13.5" hidden="false" customHeight="true" outlineLevel="0" collapsed="false">
      <c r="A238" s="28" t="s">
        <v>418</v>
      </c>
      <c r="B238" s="47" t="s">
        <v>3056</v>
      </c>
      <c r="C238" s="323"/>
      <c r="D238" s="323"/>
      <c r="E238" s="324" t="e">
        <f aca="false">общ.калькуляция!h237</f>
        <v>#NAME?</v>
      </c>
      <c r="F238" s="324"/>
      <c r="G238" s="324"/>
      <c r="H238" s="324" t="e">
        <f aca="false">общ.калькуляция!j237</f>
        <v>#NAME?</v>
      </c>
      <c r="I238" s="324"/>
      <c r="J238" s="324"/>
      <c r="K238" s="324" t="e">
        <f aca="false">общ.калькуляция!m237</f>
        <v>#NAME?</v>
      </c>
      <c r="L238" s="324"/>
      <c r="M238" s="324"/>
      <c r="N238" s="324" t="e">
        <f aca="false">E238+H238+K238</f>
        <v>#NAME?</v>
      </c>
    </row>
    <row r="239" customFormat="false" ht="13.5" hidden="false" customHeight="true" outlineLevel="0" collapsed="false">
      <c r="A239" s="28" t="s">
        <v>420</v>
      </c>
      <c r="B239" s="47" t="s">
        <v>3057</v>
      </c>
      <c r="C239" s="323"/>
      <c r="D239" s="323"/>
      <c r="E239" s="324" t="e">
        <f aca="false">общ.калькуляция!h238</f>
        <v>#NAME?</v>
      </c>
      <c r="F239" s="324"/>
      <c r="G239" s="324"/>
      <c r="H239" s="324" t="e">
        <f aca="false">общ.калькуляция!j238</f>
        <v>#NAME?</v>
      </c>
      <c r="I239" s="324"/>
      <c r="J239" s="324"/>
      <c r="K239" s="324" t="e">
        <f aca="false">общ.калькуляция!m238</f>
        <v>#NAME?</v>
      </c>
      <c r="L239" s="324"/>
      <c r="M239" s="324"/>
      <c r="N239" s="324" t="e">
        <f aca="false">E239+H239+K239</f>
        <v>#NAME?</v>
      </c>
    </row>
    <row r="240" customFormat="false" ht="13.5" hidden="false" customHeight="true" outlineLevel="0" collapsed="false">
      <c r="A240" s="28" t="s">
        <v>422</v>
      </c>
      <c r="B240" s="47" t="s">
        <v>3058</v>
      </c>
      <c r="C240" s="323"/>
      <c r="D240" s="323"/>
      <c r="E240" s="324" t="e">
        <f aca="false">общ.калькуляция!h239</f>
        <v>#NAME?</v>
      </c>
      <c r="F240" s="324"/>
      <c r="G240" s="324"/>
      <c r="H240" s="324" t="e">
        <f aca="false">общ.калькуляция!j239</f>
        <v>#NAME?</v>
      </c>
      <c r="I240" s="324"/>
      <c r="J240" s="324"/>
      <c r="K240" s="324" t="e">
        <f aca="false">общ.калькуляция!m239</f>
        <v>#NAME?</v>
      </c>
      <c r="L240" s="324"/>
      <c r="M240" s="324"/>
      <c r="N240" s="324" t="e">
        <f aca="false">E240+H240+K240</f>
        <v>#NAME?</v>
      </c>
    </row>
    <row r="241" customFormat="false" ht="13.5" hidden="false" customHeight="true" outlineLevel="0" collapsed="false">
      <c r="A241" s="28" t="s">
        <v>424</v>
      </c>
      <c r="B241" s="47" t="s">
        <v>3059</v>
      </c>
      <c r="C241" s="323"/>
      <c r="D241" s="323"/>
      <c r="E241" s="324" t="e">
        <f aca="false">общ.калькуляция!h240</f>
        <v>#NAME?</v>
      </c>
      <c r="F241" s="324"/>
      <c r="G241" s="324"/>
      <c r="H241" s="324" t="e">
        <f aca="false">общ.калькуляция!j240</f>
        <v>#NAME?</v>
      </c>
      <c r="I241" s="324"/>
      <c r="J241" s="324"/>
      <c r="K241" s="324" t="e">
        <f aca="false">общ.калькуляция!m240</f>
        <v>#NAME?</v>
      </c>
      <c r="L241" s="324"/>
      <c r="M241" s="324"/>
      <c r="N241" s="324" t="e">
        <f aca="false">E241+H241+K241</f>
        <v>#NAME?</v>
      </c>
    </row>
    <row r="242" customFormat="false" ht="13.5" hidden="false" customHeight="true" outlineLevel="0" collapsed="false">
      <c r="A242" s="28" t="s">
        <v>426</v>
      </c>
      <c r="B242" s="47" t="s">
        <v>3060</v>
      </c>
      <c r="C242" s="323"/>
      <c r="D242" s="323"/>
      <c r="E242" s="324" t="e">
        <f aca="false">общ.калькуляция!h241</f>
        <v>#NAME?</v>
      </c>
      <c r="F242" s="324"/>
      <c r="G242" s="324"/>
      <c r="H242" s="324" t="e">
        <f aca="false">общ.калькуляция!j241</f>
        <v>#NAME?</v>
      </c>
      <c r="I242" s="324"/>
      <c r="J242" s="324"/>
      <c r="K242" s="324" t="e">
        <f aca="false">общ.калькуляция!m241</f>
        <v>#NAME?</v>
      </c>
      <c r="L242" s="324"/>
      <c r="M242" s="324"/>
      <c r="N242" s="324" t="e">
        <f aca="false">E242+H242+K242</f>
        <v>#NAME?</v>
      </c>
    </row>
    <row r="243" customFormat="false" ht="13.5" hidden="false" customHeight="true" outlineLevel="0" collapsed="false">
      <c r="A243" s="28" t="s">
        <v>428</v>
      </c>
      <c r="B243" s="47" t="s">
        <v>3061</v>
      </c>
      <c r="C243" s="323"/>
      <c r="D243" s="323"/>
      <c r="E243" s="324" t="e">
        <f aca="false">общ.калькуляция!h242</f>
        <v>#NAME?</v>
      </c>
      <c r="F243" s="324"/>
      <c r="G243" s="324"/>
      <c r="H243" s="324" t="e">
        <f aca="false">общ.калькуляция!j242</f>
        <v>#NAME?</v>
      </c>
      <c r="I243" s="324"/>
      <c r="J243" s="324"/>
      <c r="K243" s="324" t="e">
        <f aca="false">общ.калькуляция!m242</f>
        <v>#NAME?</v>
      </c>
      <c r="L243" s="324"/>
      <c r="M243" s="324"/>
      <c r="N243" s="324" t="e">
        <f aca="false">E243+H243+K243</f>
        <v>#NAME?</v>
      </c>
    </row>
    <row r="244" customFormat="false" ht="13.5" hidden="false" customHeight="true" outlineLevel="0" collapsed="false">
      <c r="A244" s="28" t="s">
        <v>430</v>
      </c>
      <c r="B244" s="47" t="s">
        <v>3062</v>
      </c>
      <c r="C244" s="323"/>
      <c r="D244" s="323"/>
      <c r="E244" s="324" t="e">
        <f aca="false">общ.калькуляция!h243</f>
        <v>#NAME?</v>
      </c>
      <c r="F244" s="324"/>
      <c r="G244" s="324"/>
      <c r="H244" s="324" t="e">
        <f aca="false">общ.калькуляция!j243</f>
        <v>#NAME?</v>
      </c>
      <c r="I244" s="324"/>
      <c r="J244" s="324"/>
      <c r="K244" s="324" t="e">
        <f aca="false">общ.калькуляция!m243</f>
        <v>#NAME?</v>
      </c>
      <c r="L244" s="324"/>
      <c r="M244" s="324"/>
      <c r="N244" s="324" t="e">
        <f aca="false">E244+H244+K244</f>
        <v>#NAME?</v>
      </c>
    </row>
    <row r="245" customFormat="false" ht="13.5" hidden="false" customHeight="true" outlineLevel="0" collapsed="false">
      <c r="A245" s="28" t="s">
        <v>432</v>
      </c>
      <c r="B245" s="47" t="s">
        <v>3063</v>
      </c>
      <c r="C245" s="323"/>
      <c r="D245" s="323"/>
      <c r="E245" s="324" t="e">
        <f aca="false">общ.калькуляция!h244</f>
        <v>#NAME?</v>
      </c>
      <c r="F245" s="324"/>
      <c r="G245" s="324"/>
      <c r="H245" s="324" t="e">
        <f aca="false">общ.калькуляция!j244</f>
        <v>#NAME?</v>
      </c>
      <c r="I245" s="324"/>
      <c r="J245" s="324"/>
      <c r="K245" s="324" t="e">
        <f aca="false">общ.калькуляция!m244</f>
        <v>#NAME?</v>
      </c>
      <c r="L245" s="324"/>
      <c r="M245" s="324"/>
      <c r="N245" s="324" t="e">
        <f aca="false">E245+H245+K245</f>
        <v>#NAME?</v>
      </c>
    </row>
    <row r="246" customFormat="false" ht="13.5" hidden="false" customHeight="true" outlineLevel="0" collapsed="false">
      <c r="A246" s="28" t="s">
        <v>434</v>
      </c>
      <c r="B246" s="29" t="s">
        <v>3064</v>
      </c>
      <c r="C246" s="323"/>
      <c r="D246" s="323"/>
      <c r="E246" s="324" t="e">
        <f aca="false">общ.калькуляция!h245</f>
        <v>#NAME?</v>
      </c>
      <c r="F246" s="324"/>
      <c r="G246" s="324"/>
      <c r="H246" s="324" t="e">
        <f aca="false">общ.калькуляция!j245</f>
        <v>#NAME?</v>
      </c>
      <c r="I246" s="324"/>
      <c r="J246" s="324"/>
      <c r="K246" s="324" t="e">
        <f aca="false">общ.калькуляция!m245</f>
        <v>#NAME?</v>
      </c>
      <c r="L246" s="324"/>
      <c r="M246" s="324"/>
      <c r="N246" s="324" t="e">
        <f aca="false">E246+H246+K246</f>
        <v>#NAME?</v>
      </c>
    </row>
    <row r="247" customFormat="false" ht="13.5" hidden="false" customHeight="true" outlineLevel="0" collapsed="false">
      <c r="A247" s="28" t="s">
        <v>436</v>
      </c>
      <c r="B247" s="29" t="s">
        <v>3065</v>
      </c>
      <c r="C247" s="323"/>
      <c r="D247" s="323"/>
      <c r="E247" s="324" t="e">
        <f aca="false">общ.калькуляция!h246</f>
        <v>#NAME?</v>
      </c>
      <c r="F247" s="324"/>
      <c r="G247" s="324"/>
      <c r="H247" s="324" t="e">
        <f aca="false">общ.калькуляция!j246</f>
        <v>#NAME?</v>
      </c>
      <c r="I247" s="324"/>
      <c r="J247" s="324"/>
      <c r="K247" s="324" t="e">
        <f aca="false">общ.калькуляция!m246</f>
        <v>#NAME?</v>
      </c>
      <c r="L247" s="324"/>
      <c r="M247" s="324"/>
      <c r="N247" s="324" t="e">
        <f aca="false">E247+H247+K247</f>
        <v>#NAME?</v>
      </c>
    </row>
    <row r="248" customFormat="false" ht="13.5" hidden="false" customHeight="true" outlineLevel="0" collapsed="false">
      <c r="A248" s="28" t="s">
        <v>438</v>
      </c>
      <c r="B248" s="29" t="s">
        <v>3066</v>
      </c>
      <c r="C248" s="323"/>
      <c r="D248" s="323"/>
      <c r="E248" s="324" t="e">
        <f aca="false">общ.калькуляция!h247</f>
        <v>#NAME?</v>
      </c>
      <c r="F248" s="324"/>
      <c r="G248" s="324"/>
      <c r="H248" s="324" t="e">
        <f aca="false">общ.калькуляция!j247</f>
        <v>#NAME?</v>
      </c>
      <c r="I248" s="324"/>
      <c r="J248" s="324"/>
      <c r="K248" s="324" t="e">
        <f aca="false">общ.калькуляция!m247</f>
        <v>#NAME?</v>
      </c>
      <c r="L248" s="324"/>
      <c r="M248" s="324"/>
      <c r="N248" s="324" t="e">
        <f aca="false">E248+H248+K248</f>
        <v>#NAME?</v>
      </c>
    </row>
    <row r="249" customFormat="false" ht="13.5" hidden="false" customHeight="true" outlineLevel="0" collapsed="false">
      <c r="A249" s="28" t="s">
        <v>440</v>
      </c>
      <c r="B249" s="29" t="s">
        <v>3067</v>
      </c>
      <c r="C249" s="323"/>
      <c r="D249" s="323"/>
      <c r="E249" s="324" t="e">
        <f aca="false">общ.калькуляция!h248</f>
        <v>#NAME?</v>
      </c>
      <c r="F249" s="324"/>
      <c r="G249" s="324"/>
      <c r="H249" s="324" t="e">
        <f aca="false">общ.калькуляция!j248</f>
        <v>#NAME?</v>
      </c>
      <c r="I249" s="324"/>
      <c r="J249" s="324"/>
      <c r="K249" s="324" t="e">
        <f aca="false">общ.калькуляция!m248</f>
        <v>#NAME?</v>
      </c>
      <c r="L249" s="324"/>
      <c r="M249" s="324"/>
      <c r="N249" s="324" t="e">
        <f aca="false">E249+H249+K249</f>
        <v>#NAME?</v>
      </c>
    </row>
    <row r="250" customFormat="false" ht="13.5" hidden="false" customHeight="true" outlineLevel="0" collapsed="false">
      <c r="A250" s="28" t="s">
        <v>442</v>
      </c>
      <c r="B250" s="29" t="s">
        <v>3068</v>
      </c>
      <c r="C250" s="323"/>
      <c r="D250" s="323"/>
      <c r="E250" s="324" t="e">
        <f aca="false">общ.калькуляция!h249</f>
        <v>#NAME?</v>
      </c>
      <c r="F250" s="324"/>
      <c r="G250" s="324"/>
      <c r="H250" s="324" t="e">
        <f aca="false">общ.калькуляция!j249</f>
        <v>#NAME?</v>
      </c>
      <c r="I250" s="324"/>
      <c r="J250" s="324"/>
      <c r="K250" s="324" t="e">
        <f aca="false">общ.калькуляция!m249</f>
        <v>#NAME?</v>
      </c>
      <c r="L250" s="324"/>
      <c r="M250" s="324"/>
      <c r="N250" s="324" t="e">
        <f aca="false">E250+H250+K250</f>
        <v>#NAME?</v>
      </c>
    </row>
    <row r="251" customFormat="false" ht="13.5" hidden="false" customHeight="true" outlineLevel="0" collapsed="false">
      <c r="A251" s="28" t="s">
        <v>444</v>
      </c>
      <c r="B251" s="29" t="s">
        <v>3069</v>
      </c>
      <c r="C251" s="323"/>
      <c r="D251" s="323"/>
      <c r="E251" s="324" t="e">
        <f aca="false">общ.калькуляция!h250</f>
        <v>#NAME?</v>
      </c>
      <c r="F251" s="324"/>
      <c r="G251" s="324"/>
      <c r="H251" s="324" t="e">
        <f aca="false">общ.калькуляция!j250</f>
        <v>#NAME?</v>
      </c>
      <c r="I251" s="324"/>
      <c r="J251" s="324"/>
      <c r="K251" s="324" t="e">
        <f aca="false">общ.калькуляция!m250</f>
        <v>#NAME?</v>
      </c>
      <c r="L251" s="324"/>
      <c r="M251" s="324"/>
      <c r="N251" s="324" t="e">
        <f aca="false">E251+H251+K251</f>
        <v>#NAME?</v>
      </c>
    </row>
    <row r="252" customFormat="false" ht="13.5" hidden="false" customHeight="true" outlineLevel="0" collapsed="false">
      <c r="A252" s="28" t="s">
        <v>446</v>
      </c>
      <c r="B252" s="29" t="s">
        <v>3070</v>
      </c>
      <c r="C252" s="323"/>
      <c r="D252" s="323"/>
      <c r="E252" s="324" t="e">
        <f aca="false">общ.калькуляция!h251</f>
        <v>#NAME?</v>
      </c>
      <c r="F252" s="324"/>
      <c r="G252" s="324"/>
      <c r="H252" s="324" t="e">
        <f aca="false">общ.калькуляция!j251</f>
        <v>#NAME?</v>
      </c>
      <c r="I252" s="324"/>
      <c r="J252" s="324"/>
      <c r="K252" s="324" t="e">
        <f aca="false">общ.калькуляция!m251</f>
        <v>#NAME?</v>
      </c>
      <c r="L252" s="324"/>
      <c r="M252" s="324"/>
      <c r="N252" s="324" t="e">
        <f aca="false">E252+H252+K252</f>
        <v>#NAME?</v>
      </c>
    </row>
    <row r="253" customFormat="false" ht="13.5" hidden="false" customHeight="true" outlineLevel="0" collapsed="false">
      <c r="A253" s="28" t="s">
        <v>448</v>
      </c>
      <c r="B253" s="29" t="s">
        <v>3071</v>
      </c>
      <c r="C253" s="323"/>
      <c r="D253" s="323"/>
      <c r="E253" s="324" t="e">
        <f aca="false">общ.калькуляция!h252</f>
        <v>#NAME?</v>
      </c>
      <c r="F253" s="324"/>
      <c r="G253" s="324"/>
      <c r="H253" s="324" t="e">
        <f aca="false">общ.калькуляция!j252</f>
        <v>#NAME?</v>
      </c>
      <c r="I253" s="324"/>
      <c r="J253" s="324"/>
      <c r="K253" s="324" t="e">
        <f aca="false">общ.калькуляция!m252</f>
        <v>#NAME?</v>
      </c>
      <c r="L253" s="324"/>
      <c r="M253" s="324"/>
      <c r="N253" s="324" t="e">
        <f aca="false">E253+H253+K253</f>
        <v>#NAME?</v>
      </c>
    </row>
    <row r="254" customFormat="false" ht="13.5" hidden="false" customHeight="true" outlineLevel="0" collapsed="false">
      <c r="A254" s="28" t="s">
        <v>450</v>
      </c>
      <c r="B254" s="29" t="s">
        <v>3072</v>
      </c>
      <c r="C254" s="323"/>
      <c r="D254" s="323"/>
      <c r="E254" s="324" t="e">
        <f aca="false">общ.калькуляция!h253</f>
        <v>#NAME?</v>
      </c>
      <c r="F254" s="324"/>
      <c r="G254" s="324"/>
      <c r="H254" s="324" t="e">
        <f aca="false">общ.калькуляция!j253</f>
        <v>#NAME?</v>
      </c>
      <c r="I254" s="324"/>
      <c r="J254" s="324"/>
      <c r="K254" s="324" t="e">
        <f aca="false">общ.калькуляция!m253</f>
        <v>#NAME?</v>
      </c>
      <c r="L254" s="324"/>
      <c r="M254" s="324"/>
      <c r="N254" s="324" t="e">
        <f aca="false">E254+H254+K254</f>
        <v>#NAME?</v>
      </c>
    </row>
    <row r="255" customFormat="false" ht="13.5" hidden="false" customHeight="true" outlineLevel="0" collapsed="false">
      <c r="A255" s="28" t="s">
        <v>452</v>
      </c>
      <c r="B255" s="29" t="s">
        <v>3073</v>
      </c>
      <c r="C255" s="323"/>
      <c r="D255" s="323"/>
      <c r="E255" s="324" t="e">
        <f aca="false">общ.калькуляция!h254</f>
        <v>#NAME?</v>
      </c>
      <c r="F255" s="324"/>
      <c r="G255" s="324"/>
      <c r="H255" s="324" t="e">
        <f aca="false">общ.калькуляция!j254</f>
        <v>#NAME?</v>
      </c>
      <c r="I255" s="324"/>
      <c r="J255" s="324"/>
      <c r="K255" s="324" t="e">
        <f aca="false">общ.калькуляция!m254</f>
        <v>#NAME?</v>
      </c>
      <c r="L255" s="324"/>
      <c r="M255" s="324"/>
      <c r="N255" s="324" t="e">
        <f aca="false">E255+H255+K255</f>
        <v>#NAME?</v>
      </c>
    </row>
    <row r="256" customFormat="false" ht="13.5" hidden="false" customHeight="true" outlineLevel="0" collapsed="false">
      <c r="A256" s="28" t="s">
        <v>454</v>
      </c>
      <c r="B256" s="29" t="s">
        <v>3074</v>
      </c>
      <c r="C256" s="323"/>
      <c r="D256" s="323"/>
      <c r="E256" s="324" t="e">
        <f aca="false">общ.калькуляция!h255</f>
        <v>#NAME?</v>
      </c>
      <c r="F256" s="324"/>
      <c r="G256" s="324"/>
      <c r="H256" s="324" t="e">
        <f aca="false">общ.калькуляция!j255</f>
        <v>#NAME?</v>
      </c>
      <c r="I256" s="324"/>
      <c r="J256" s="324"/>
      <c r="K256" s="324" t="e">
        <f aca="false">общ.калькуляция!m255</f>
        <v>#NAME?</v>
      </c>
      <c r="L256" s="324"/>
      <c r="M256" s="324"/>
      <c r="N256" s="324" t="e">
        <f aca="false">E256+H256+K256</f>
        <v>#NAME?</v>
      </c>
    </row>
    <row r="257" customFormat="false" ht="13.5" hidden="false" customHeight="true" outlineLevel="0" collapsed="false">
      <c r="A257" s="28" t="s">
        <v>456</v>
      </c>
      <c r="B257" s="40" t="s">
        <v>3075</v>
      </c>
      <c r="C257" s="323"/>
      <c r="D257" s="323"/>
      <c r="E257" s="324" t="e">
        <f aca="false">общ.калькуляция!h256</f>
        <v>#NAME?</v>
      </c>
      <c r="F257" s="324"/>
      <c r="G257" s="324"/>
      <c r="H257" s="324" t="e">
        <f aca="false">общ.калькуляция!j256</f>
        <v>#NAME?</v>
      </c>
      <c r="I257" s="324"/>
      <c r="J257" s="324"/>
      <c r="K257" s="324" t="e">
        <f aca="false">общ.калькуляция!m256</f>
        <v>#NAME?</v>
      </c>
      <c r="L257" s="324"/>
      <c r="M257" s="324"/>
      <c r="N257" s="324" t="e">
        <f aca="false">E257+H257+K257</f>
        <v>#NAME?</v>
      </c>
    </row>
    <row r="258" customFormat="false" ht="13.5" hidden="false" customHeight="true" outlineLevel="0" collapsed="false">
      <c r="A258" s="28" t="s">
        <v>458</v>
      </c>
      <c r="B258" s="40" t="s">
        <v>459</v>
      </c>
      <c r="C258" s="323"/>
      <c r="D258" s="323"/>
      <c r="E258" s="324" t="e">
        <f aca="false">общ.калькуляция!h257</f>
        <v>#NAME?</v>
      </c>
      <c r="F258" s="324"/>
      <c r="G258" s="324"/>
      <c r="H258" s="324" t="e">
        <f aca="false">общ.калькуляция!j257</f>
        <v>#NAME?</v>
      </c>
      <c r="I258" s="324"/>
      <c r="J258" s="324"/>
      <c r="K258" s="324" t="e">
        <f aca="false">общ.калькуляция!m257</f>
        <v>#NAME?</v>
      </c>
      <c r="L258" s="324"/>
      <c r="M258" s="324"/>
      <c r="N258" s="324" t="e">
        <f aca="false">E258+H258+K258</f>
        <v>#NAME?</v>
      </c>
    </row>
    <row r="259" customFormat="false" ht="13.5" hidden="false" customHeight="true" outlineLevel="0" collapsed="false">
      <c r="A259" s="28" t="s">
        <v>460</v>
      </c>
      <c r="B259" s="40" t="s">
        <v>461</v>
      </c>
      <c r="C259" s="323"/>
      <c r="D259" s="323"/>
      <c r="E259" s="324" t="e">
        <f aca="false">общ.калькуляция!h258</f>
        <v>#NAME?</v>
      </c>
      <c r="F259" s="324"/>
      <c r="G259" s="324"/>
      <c r="H259" s="324" t="e">
        <f aca="false">общ.калькуляция!j258</f>
        <v>#NAME?</v>
      </c>
      <c r="I259" s="324"/>
      <c r="J259" s="324"/>
      <c r="K259" s="324" t="e">
        <f aca="false">общ.калькуляция!m258</f>
        <v>#NAME?</v>
      </c>
      <c r="L259" s="324"/>
      <c r="M259" s="324"/>
      <c r="N259" s="324" t="e">
        <f aca="false">E259+H259+K259</f>
        <v>#NAME?</v>
      </c>
    </row>
    <row r="260" customFormat="false" ht="13.5" hidden="false" customHeight="true" outlineLevel="0" collapsed="false">
      <c r="A260" s="28" t="s">
        <v>462</v>
      </c>
      <c r="B260" s="40" t="s">
        <v>463</v>
      </c>
      <c r="C260" s="323"/>
      <c r="D260" s="323"/>
      <c r="E260" s="324" t="e">
        <f aca="false">общ.калькуляция!h259</f>
        <v>#NAME?</v>
      </c>
      <c r="F260" s="324"/>
      <c r="G260" s="324"/>
      <c r="H260" s="324" t="e">
        <f aca="false">общ.калькуляция!j259</f>
        <v>#NAME?</v>
      </c>
      <c r="I260" s="324"/>
      <c r="J260" s="324"/>
      <c r="K260" s="324" t="e">
        <f aca="false">общ.калькуляция!m259</f>
        <v>#NAME?</v>
      </c>
      <c r="L260" s="324"/>
      <c r="M260" s="324"/>
      <c r="N260" s="324" t="e">
        <f aca="false">E260+H260+K260</f>
        <v>#NAME?</v>
      </c>
    </row>
    <row r="261" customFormat="false" ht="13.5" hidden="false" customHeight="true" outlineLevel="0" collapsed="false">
      <c r="A261" s="28" t="s">
        <v>464</v>
      </c>
      <c r="B261" s="40" t="s">
        <v>465</v>
      </c>
      <c r="C261" s="323"/>
      <c r="D261" s="323"/>
      <c r="E261" s="324" t="e">
        <f aca="false">общ.калькуляция!h260</f>
        <v>#NAME?</v>
      </c>
      <c r="F261" s="324"/>
      <c r="G261" s="324"/>
      <c r="H261" s="324" t="e">
        <f aca="false">общ.калькуляция!j260</f>
        <v>#NAME?</v>
      </c>
      <c r="I261" s="324"/>
      <c r="J261" s="324"/>
      <c r="K261" s="324" t="e">
        <f aca="false">общ.калькуляция!m260</f>
        <v>#NAME?</v>
      </c>
      <c r="L261" s="324"/>
      <c r="M261" s="324"/>
      <c r="N261" s="324" t="e">
        <f aca="false">E261+H261+K261</f>
        <v>#NAME?</v>
      </c>
    </row>
    <row r="262" customFormat="false" ht="13.5" hidden="false" customHeight="true" outlineLevel="0" collapsed="false">
      <c r="A262" s="28" t="s">
        <v>466</v>
      </c>
      <c r="B262" s="40" t="s">
        <v>3076</v>
      </c>
      <c r="C262" s="323"/>
      <c r="D262" s="323"/>
      <c r="E262" s="324" t="e">
        <f aca="false">общ.калькуляция!h261</f>
        <v>#NAME?</v>
      </c>
      <c r="F262" s="324"/>
      <c r="G262" s="324"/>
      <c r="H262" s="324" t="e">
        <f aca="false">общ.калькуляция!j261</f>
        <v>#NAME?</v>
      </c>
      <c r="I262" s="324"/>
      <c r="J262" s="324"/>
      <c r="K262" s="324" t="e">
        <f aca="false">общ.калькуляция!m261</f>
        <v>#NAME?</v>
      </c>
      <c r="L262" s="324"/>
      <c r="M262" s="324"/>
      <c r="N262" s="324" t="e">
        <f aca="false">E262+H262+K262</f>
        <v>#NAME?</v>
      </c>
    </row>
    <row r="263" customFormat="false" ht="13.5" hidden="false" customHeight="true" outlineLevel="0" collapsed="false">
      <c r="A263" s="28" t="s">
        <v>468</v>
      </c>
      <c r="B263" s="40" t="s">
        <v>3077</v>
      </c>
      <c r="C263" s="323"/>
      <c r="D263" s="323"/>
      <c r="E263" s="324" t="e">
        <f aca="false">общ.калькуляция!h262</f>
        <v>#NAME?</v>
      </c>
      <c r="F263" s="324"/>
      <c r="G263" s="324"/>
      <c r="H263" s="324" t="e">
        <f aca="false">общ.калькуляция!j262</f>
        <v>#NAME?</v>
      </c>
      <c r="I263" s="324"/>
      <c r="J263" s="324"/>
      <c r="K263" s="324" t="e">
        <f aca="false">общ.калькуляция!m262</f>
        <v>#NAME?</v>
      </c>
      <c r="L263" s="324"/>
      <c r="M263" s="324"/>
      <c r="N263" s="324" t="e">
        <f aca="false">E263+H263+K263</f>
        <v>#NAME?</v>
      </c>
    </row>
    <row r="264" customFormat="false" ht="13.5" hidden="false" customHeight="true" outlineLevel="0" collapsed="false">
      <c r="A264" s="28" t="s">
        <v>470</v>
      </c>
      <c r="B264" s="40" t="s">
        <v>3078</v>
      </c>
      <c r="C264" s="323"/>
      <c r="D264" s="323"/>
      <c r="E264" s="324" t="e">
        <f aca="false">общ.калькуляция!h263</f>
        <v>#NAME?</v>
      </c>
      <c r="F264" s="324"/>
      <c r="G264" s="324"/>
      <c r="H264" s="324" t="e">
        <f aca="false">общ.калькуляция!j263</f>
        <v>#NAME?</v>
      </c>
      <c r="I264" s="324"/>
      <c r="J264" s="324"/>
      <c r="K264" s="324" t="e">
        <f aca="false">общ.калькуляция!m263</f>
        <v>#NAME?</v>
      </c>
      <c r="L264" s="324"/>
      <c r="M264" s="324"/>
      <c r="N264" s="324" t="e">
        <f aca="false">E264+H264+K264</f>
        <v>#NAME?</v>
      </c>
    </row>
    <row r="265" customFormat="false" ht="13.5" hidden="false" customHeight="true" outlineLevel="0" collapsed="false">
      <c r="A265" s="28" t="s">
        <v>472</v>
      </c>
      <c r="B265" s="40" t="s">
        <v>3079</v>
      </c>
      <c r="C265" s="323"/>
      <c r="D265" s="323"/>
      <c r="E265" s="324" t="e">
        <f aca="false">общ.калькуляция!h264</f>
        <v>#NAME?</v>
      </c>
      <c r="F265" s="324"/>
      <c r="G265" s="324"/>
      <c r="H265" s="324" t="e">
        <f aca="false">общ.калькуляция!j264</f>
        <v>#NAME?</v>
      </c>
      <c r="I265" s="324"/>
      <c r="J265" s="324"/>
      <c r="K265" s="324" t="e">
        <f aca="false">общ.калькуляция!m264</f>
        <v>#NAME?</v>
      </c>
      <c r="L265" s="324"/>
      <c r="M265" s="324"/>
      <c r="N265" s="324" t="e">
        <f aca="false">E265+H265+K265</f>
        <v>#NAME?</v>
      </c>
    </row>
    <row r="266" customFormat="false" ht="13.5" hidden="false" customHeight="true" outlineLevel="0" collapsed="false">
      <c r="A266" s="28" t="s">
        <v>474</v>
      </c>
      <c r="B266" s="40" t="s">
        <v>3080</v>
      </c>
      <c r="C266" s="323"/>
      <c r="D266" s="323"/>
      <c r="E266" s="324" t="e">
        <f aca="false">общ.калькуляция!h265</f>
        <v>#NAME?</v>
      </c>
      <c r="F266" s="324"/>
      <c r="G266" s="324"/>
      <c r="H266" s="324" t="e">
        <f aca="false">общ.калькуляция!j265</f>
        <v>#NAME?</v>
      </c>
      <c r="I266" s="324"/>
      <c r="J266" s="324"/>
      <c r="K266" s="324" t="e">
        <f aca="false">общ.калькуляция!m265</f>
        <v>#NAME?</v>
      </c>
      <c r="L266" s="324"/>
      <c r="M266" s="324"/>
      <c r="N266" s="324" t="e">
        <f aca="false">E266+H266+K266</f>
        <v>#NAME?</v>
      </c>
    </row>
    <row r="267" customFormat="false" ht="13.5" hidden="false" customHeight="true" outlineLevel="0" collapsed="false">
      <c r="A267" s="28" t="s">
        <v>476</v>
      </c>
      <c r="B267" s="40" t="s">
        <v>3081</v>
      </c>
      <c r="C267" s="323"/>
      <c r="D267" s="323"/>
      <c r="E267" s="324" t="e">
        <f aca="false">общ.калькуляция!h266</f>
        <v>#NAME?</v>
      </c>
      <c r="F267" s="324"/>
      <c r="G267" s="324"/>
      <c r="H267" s="324" t="e">
        <f aca="false">общ.калькуляция!j266</f>
        <v>#NAME?</v>
      </c>
      <c r="I267" s="324"/>
      <c r="J267" s="324"/>
      <c r="K267" s="324" t="e">
        <f aca="false">общ.калькуляция!m266</f>
        <v>#NAME?</v>
      </c>
      <c r="L267" s="324"/>
      <c r="M267" s="324"/>
      <c r="N267" s="324" t="e">
        <f aca="false">E267+H267+K267</f>
        <v>#NAME?</v>
      </c>
    </row>
    <row r="268" customFormat="false" ht="13.5" hidden="false" customHeight="true" outlineLevel="0" collapsed="false">
      <c r="A268" s="28" t="s">
        <v>478</v>
      </c>
      <c r="B268" s="40" t="s">
        <v>3082</v>
      </c>
      <c r="C268" s="323"/>
      <c r="D268" s="323"/>
      <c r="E268" s="324" t="e">
        <f aca="false">общ.калькуляция!h267</f>
        <v>#NAME?</v>
      </c>
      <c r="F268" s="324"/>
      <c r="G268" s="324"/>
      <c r="H268" s="324" t="e">
        <f aca="false">общ.калькуляция!j267</f>
        <v>#NAME?</v>
      </c>
      <c r="I268" s="324"/>
      <c r="J268" s="324"/>
      <c r="K268" s="324" t="e">
        <f aca="false">общ.калькуляция!m267</f>
        <v>#NAME?</v>
      </c>
      <c r="L268" s="324"/>
      <c r="M268" s="324"/>
      <c r="N268" s="324" t="e">
        <f aca="false">E268+H268+K268</f>
        <v>#NAME?</v>
      </c>
    </row>
    <row r="269" customFormat="false" ht="13.5" hidden="false" customHeight="true" outlineLevel="0" collapsed="false">
      <c r="A269" s="15" t="s">
        <v>480</v>
      </c>
      <c r="B269" s="16" t="s">
        <v>3083</v>
      </c>
      <c r="C269" s="321"/>
      <c r="D269" s="321"/>
      <c r="E269" s="329"/>
      <c r="F269" s="329"/>
      <c r="G269" s="329"/>
      <c r="H269" s="329"/>
      <c r="I269" s="329"/>
      <c r="J269" s="329"/>
      <c r="K269" s="329"/>
      <c r="L269" s="329"/>
      <c r="M269" s="329"/>
      <c r="N269" s="329"/>
    </row>
    <row r="270" customFormat="false" ht="13.5" hidden="false" customHeight="true" outlineLevel="0" collapsed="false">
      <c r="A270" s="28" t="s">
        <v>482</v>
      </c>
      <c r="B270" s="29" t="s">
        <v>3010</v>
      </c>
      <c r="C270" s="323"/>
      <c r="D270" s="323"/>
      <c r="E270" s="324" t="e">
        <f aca="false">общ.калькуляция!h269</f>
        <v>#NAME?</v>
      </c>
      <c r="F270" s="324"/>
      <c r="G270" s="324"/>
      <c r="H270" s="324" t="e">
        <f aca="false">общ.калькуляция!j269</f>
        <v>#NAME?</v>
      </c>
      <c r="I270" s="324"/>
      <c r="J270" s="324"/>
      <c r="K270" s="324" t="e">
        <f aca="false">общ.калькуляция!m269</f>
        <v>#NAME?</v>
      </c>
      <c r="L270" s="324"/>
      <c r="M270" s="324"/>
      <c r="N270" s="324" t="e">
        <f aca="false">E270+H270+K270</f>
        <v>#NAME?</v>
      </c>
    </row>
    <row r="271" customFormat="false" ht="13.5" hidden="false" customHeight="true" outlineLevel="0" collapsed="false">
      <c r="A271" s="28" t="s">
        <v>483</v>
      </c>
      <c r="B271" s="29" t="s">
        <v>3014</v>
      </c>
      <c r="C271" s="323"/>
      <c r="D271" s="323"/>
      <c r="E271" s="324" t="e">
        <f aca="false">общ.калькуляция!h270</f>
        <v>#NAME?</v>
      </c>
      <c r="F271" s="324"/>
      <c r="G271" s="324"/>
      <c r="H271" s="324" t="e">
        <f aca="false">общ.калькуляция!j270</f>
        <v>#NAME?</v>
      </c>
      <c r="I271" s="324"/>
      <c r="J271" s="324"/>
      <c r="K271" s="324" t="e">
        <f aca="false">общ.калькуляция!m270</f>
        <v>#NAME?</v>
      </c>
      <c r="L271" s="324"/>
      <c r="M271" s="324"/>
      <c r="N271" s="324" t="e">
        <f aca="false">E271+H271+K271</f>
        <v>#NAME?</v>
      </c>
    </row>
    <row r="272" customFormat="false" ht="13.5" hidden="false" customHeight="true" outlineLevel="0" collapsed="false">
      <c r="A272" s="28" t="s">
        <v>484</v>
      </c>
      <c r="B272" s="29" t="s">
        <v>3084</v>
      </c>
      <c r="C272" s="323"/>
      <c r="D272" s="323"/>
      <c r="E272" s="324" t="e">
        <f aca="false">общ.калькуляция!h271</f>
        <v>#NAME?</v>
      </c>
      <c r="F272" s="324"/>
      <c r="G272" s="324"/>
      <c r="H272" s="324" t="e">
        <f aca="false">общ.калькуляция!j271</f>
        <v>#NAME?</v>
      </c>
      <c r="I272" s="324"/>
      <c r="J272" s="324"/>
      <c r="K272" s="324" t="e">
        <f aca="false">общ.калькуляция!m271</f>
        <v>#NAME?</v>
      </c>
      <c r="L272" s="324"/>
      <c r="M272" s="324"/>
      <c r="N272" s="324" t="e">
        <f aca="false">E272+H272+K272</f>
        <v>#NAME?</v>
      </c>
    </row>
    <row r="273" customFormat="false" ht="13.5" hidden="false" customHeight="true" outlineLevel="0" collapsed="false">
      <c r="A273" s="28" t="s">
        <v>486</v>
      </c>
      <c r="B273" s="29" t="s">
        <v>3085</v>
      </c>
      <c r="C273" s="323"/>
      <c r="D273" s="323"/>
      <c r="E273" s="324" t="e">
        <f aca="false">общ.калькуляция!h272</f>
        <v>#NAME?</v>
      </c>
      <c r="F273" s="324"/>
      <c r="G273" s="324"/>
      <c r="H273" s="324" t="e">
        <f aca="false">общ.калькуляция!j272</f>
        <v>#NAME?</v>
      </c>
      <c r="I273" s="324"/>
      <c r="J273" s="324"/>
      <c r="K273" s="324" t="e">
        <f aca="false">общ.калькуляция!m272</f>
        <v>#NAME?</v>
      </c>
      <c r="L273" s="324"/>
      <c r="M273" s="324"/>
      <c r="N273" s="324" t="e">
        <f aca="false">E273+H273+K273</f>
        <v>#NAME?</v>
      </c>
    </row>
    <row r="274" customFormat="false" ht="13.5" hidden="false" customHeight="true" outlineLevel="0" collapsed="false">
      <c r="A274" s="28" t="s">
        <v>487</v>
      </c>
      <c r="B274" s="29" t="s">
        <v>3058</v>
      </c>
      <c r="C274" s="323"/>
      <c r="D274" s="323"/>
      <c r="E274" s="324" t="e">
        <f aca="false">общ.калькуляция!h273</f>
        <v>#NAME?</v>
      </c>
      <c r="F274" s="324"/>
      <c r="G274" s="324"/>
      <c r="H274" s="324" t="e">
        <f aca="false">общ.калькуляция!j273</f>
        <v>#NAME?</v>
      </c>
      <c r="I274" s="324"/>
      <c r="J274" s="324"/>
      <c r="K274" s="324" t="e">
        <f aca="false">общ.калькуляция!m273</f>
        <v>#NAME?</v>
      </c>
      <c r="L274" s="324"/>
      <c r="M274" s="324"/>
      <c r="N274" s="324" t="e">
        <f aca="false">E274+H274+K274</f>
        <v>#NAME?</v>
      </c>
    </row>
    <row r="275" customFormat="false" ht="13.5" hidden="false" customHeight="true" outlineLevel="0" collapsed="false">
      <c r="A275" s="28" t="s">
        <v>488</v>
      </c>
      <c r="B275" s="29" t="s">
        <v>3059</v>
      </c>
      <c r="C275" s="323"/>
      <c r="D275" s="323"/>
      <c r="E275" s="324" t="e">
        <f aca="false">общ.калькуляция!h274</f>
        <v>#NAME?</v>
      </c>
      <c r="F275" s="324"/>
      <c r="G275" s="324"/>
      <c r="H275" s="324" t="e">
        <f aca="false">общ.калькуляция!j274</f>
        <v>#NAME?</v>
      </c>
      <c r="I275" s="324"/>
      <c r="J275" s="324"/>
      <c r="K275" s="324" t="e">
        <f aca="false">общ.калькуляция!m274</f>
        <v>#NAME?</v>
      </c>
      <c r="L275" s="324"/>
      <c r="M275" s="324"/>
      <c r="N275" s="324" t="e">
        <f aca="false">E275+H275+K275</f>
        <v>#NAME?</v>
      </c>
    </row>
    <row r="276" customFormat="false" ht="13.5" hidden="false" customHeight="true" outlineLevel="0" collapsed="false">
      <c r="A276" s="28" t="s">
        <v>489</v>
      </c>
      <c r="B276" s="29" t="s">
        <v>3086</v>
      </c>
      <c r="C276" s="323"/>
      <c r="D276" s="323"/>
      <c r="E276" s="324" t="e">
        <f aca="false">общ.калькуляция!h275</f>
        <v>#NAME?</v>
      </c>
      <c r="F276" s="324"/>
      <c r="G276" s="324"/>
      <c r="H276" s="324" t="e">
        <f aca="false">общ.калькуляция!j275</f>
        <v>#NAME?</v>
      </c>
      <c r="I276" s="324"/>
      <c r="J276" s="324"/>
      <c r="K276" s="324" t="e">
        <f aca="false">общ.калькуляция!m275</f>
        <v>#NAME?</v>
      </c>
      <c r="L276" s="324"/>
      <c r="M276" s="324"/>
      <c r="N276" s="324" t="e">
        <f aca="false">E276+H276+K276</f>
        <v>#NAME?</v>
      </c>
    </row>
    <row r="277" customFormat="false" ht="13.5" hidden="false" customHeight="true" outlineLevel="0" collapsed="false">
      <c r="A277" s="28" t="s">
        <v>491</v>
      </c>
      <c r="B277" s="29" t="s">
        <v>3066</v>
      </c>
      <c r="C277" s="323"/>
      <c r="D277" s="323"/>
      <c r="E277" s="324" t="e">
        <f aca="false">общ.калькуляция!h276</f>
        <v>#NAME?</v>
      </c>
      <c r="F277" s="324"/>
      <c r="G277" s="324"/>
      <c r="H277" s="324" t="e">
        <f aca="false">общ.калькуляция!j276</f>
        <v>#NAME?</v>
      </c>
      <c r="I277" s="324"/>
      <c r="J277" s="324"/>
      <c r="K277" s="324" t="e">
        <f aca="false">общ.калькуляция!m276</f>
        <v>#NAME?</v>
      </c>
      <c r="L277" s="324"/>
      <c r="M277" s="324"/>
      <c r="N277" s="324" t="e">
        <f aca="false">E277+H277+K277</f>
        <v>#NAME?</v>
      </c>
    </row>
    <row r="278" customFormat="false" ht="13.5" hidden="false" customHeight="true" outlineLevel="0" collapsed="false">
      <c r="A278" s="28" t="s">
        <v>492</v>
      </c>
      <c r="B278" s="29" t="s">
        <v>3067</v>
      </c>
      <c r="C278" s="323"/>
      <c r="D278" s="323"/>
      <c r="E278" s="324" t="e">
        <f aca="false">общ.калькуляция!h277</f>
        <v>#NAME?</v>
      </c>
      <c r="F278" s="324"/>
      <c r="G278" s="324"/>
      <c r="H278" s="324" t="e">
        <f aca="false">общ.калькуляция!j277</f>
        <v>#NAME?</v>
      </c>
      <c r="I278" s="324"/>
      <c r="J278" s="324"/>
      <c r="K278" s="324" t="e">
        <f aca="false">общ.калькуляция!m277</f>
        <v>#NAME?</v>
      </c>
      <c r="L278" s="324"/>
      <c r="M278" s="324"/>
      <c r="N278" s="324" t="e">
        <f aca="false">E278+H278+K278</f>
        <v>#NAME?</v>
      </c>
    </row>
    <row r="279" customFormat="false" ht="13.5" hidden="false" customHeight="true" outlineLevel="0" collapsed="false">
      <c r="A279" s="28" t="s">
        <v>494</v>
      </c>
      <c r="B279" s="29" t="s">
        <v>3065</v>
      </c>
      <c r="C279" s="323"/>
      <c r="D279" s="323"/>
      <c r="E279" s="324" t="e">
        <f aca="false">общ.калькуляция!h278</f>
        <v>#NAME?</v>
      </c>
      <c r="F279" s="324"/>
      <c r="G279" s="324"/>
      <c r="H279" s="324" t="e">
        <f aca="false">общ.калькуляция!j278</f>
        <v>#NAME?</v>
      </c>
      <c r="I279" s="324"/>
      <c r="J279" s="324"/>
      <c r="K279" s="324" t="e">
        <f aca="false">общ.калькуляция!m278</f>
        <v>#NAME?</v>
      </c>
      <c r="L279" s="324"/>
      <c r="M279" s="324"/>
      <c r="N279" s="324" t="e">
        <f aca="false">E279+H279+K279</f>
        <v>#NAME?</v>
      </c>
    </row>
    <row r="280" customFormat="false" ht="13.5" hidden="false" customHeight="true" outlineLevel="0" collapsed="false">
      <c r="A280" s="28" t="s">
        <v>496</v>
      </c>
      <c r="B280" s="29" t="s">
        <v>3064</v>
      </c>
      <c r="C280" s="323"/>
      <c r="D280" s="323"/>
      <c r="E280" s="324" t="e">
        <f aca="false">общ.калькуляция!h279</f>
        <v>#NAME?</v>
      </c>
      <c r="F280" s="324"/>
      <c r="G280" s="324"/>
      <c r="H280" s="324" t="e">
        <f aca="false">общ.калькуляция!j279</f>
        <v>#NAME?</v>
      </c>
      <c r="I280" s="324"/>
      <c r="J280" s="324"/>
      <c r="K280" s="324" t="e">
        <f aca="false">общ.калькуляция!m279</f>
        <v>#NAME?</v>
      </c>
      <c r="L280" s="324"/>
      <c r="M280" s="324"/>
      <c r="N280" s="324" t="e">
        <f aca="false">E280+H280+K280</f>
        <v>#NAME?</v>
      </c>
    </row>
    <row r="281" customFormat="false" ht="13.5" hidden="false" customHeight="true" outlineLevel="0" collapsed="false">
      <c r="A281" s="28" t="s">
        <v>498</v>
      </c>
      <c r="B281" s="29" t="s">
        <v>3063</v>
      </c>
      <c r="C281" s="323"/>
      <c r="D281" s="323"/>
      <c r="E281" s="324" t="e">
        <f aca="false">общ.калькуляция!h280</f>
        <v>#NAME?</v>
      </c>
      <c r="F281" s="324"/>
      <c r="G281" s="324"/>
      <c r="H281" s="324" t="e">
        <f aca="false">общ.калькуляция!j280</f>
        <v>#NAME?</v>
      </c>
      <c r="I281" s="324"/>
      <c r="J281" s="324"/>
      <c r="K281" s="324" t="e">
        <f aca="false">общ.калькуляция!m280</f>
        <v>#NAME?</v>
      </c>
      <c r="L281" s="324"/>
      <c r="M281" s="324"/>
      <c r="N281" s="324" t="e">
        <f aca="false">E281+H281+K281</f>
        <v>#NAME?</v>
      </c>
    </row>
    <row r="282" customFormat="false" ht="13.5" hidden="false" customHeight="true" outlineLevel="0" collapsed="false">
      <c r="A282" s="28" t="s">
        <v>500</v>
      </c>
      <c r="B282" s="29" t="s">
        <v>3087</v>
      </c>
      <c r="C282" s="323"/>
      <c r="D282" s="323"/>
      <c r="E282" s="324" t="e">
        <f aca="false">общ.калькуляция!h281</f>
        <v>#NAME?</v>
      </c>
      <c r="F282" s="324"/>
      <c r="G282" s="324"/>
      <c r="H282" s="324" t="e">
        <f aca="false">общ.калькуляция!j281</f>
        <v>#NAME?</v>
      </c>
      <c r="I282" s="324"/>
      <c r="J282" s="324"/>
      <c r="K282" s="324" t="e">
        <f aca="false">общ.калькуляция!m281</f>
        <v>#NAME?</v>
      </c>
      <c r="L282" s="324"/>
      <c r="M282" s="324"/>
      <c r="N282" s="324" t="e">
        <f aca="false">E282+H282+K282</f>
        <v>#NAME?</v>
      </c>
    </row>
    <row r="283" customFormat="false" ht="13.5" hidden="false" customHeight="true" outlineLevel="0" collapsed="false">
      <c r="A283" s="28" t="s">
        <v>501</v>
      </c>
      <c r="B283" s="29" t="s">
        <v>3069</v>
      </c>
      <c r="C283" s="323"/>
      <c r="D283" s="323"/>
      <c r="E283" s="324" t="e">
        <f aca="false">общ.калькуляция!h282</f>
        <v>#NAME?</v>
      </c>
      <c r="F283" s="324"/>
      <c r="G283" s="324"/>
      <c r="H283" s="324" t="e">
        <f aca="false">общ.калькуляция!j282</f>
        <v>#NAME?</v>
      </c>
      <c r="I283" s="324"/>
      <c r="J283" s="324"/>
      <c r="K283" s="324" t="e">
        <f aca="false">общ.калькуляция!m282</f>
        <v>#NAME?</v>
      </c>
      <c r="L283" s="324"/>
      <c r="M283" s="324"/>
      <c r="N283" s="324" t="e">
        <f aca="false">E283+H283+K283</f>
        <v>#NAME?</v>
      </c>
    </row>
    <row r="284" customFormat="false" ht="13.5" hidden="false" customHeight="true" outlineLevel="0" collapsed="false">
      <c r="A284" s="28" t="s">
        <v>502</v>
      </c>
      <c r="B284" s="29" t="s">
        <v>3070</v>
      </c>
      <c r="C284" s="323"/>
      <c r="D284" s="323"/>
      <c r="E284" s="324" t="e">
        <f aca="false">общ.калькуляция!h283</f>
        <v>#NAME?</v>
      </c>
      <c r="F284" s="324"/>
      <c r="G284" s="324"/>
      <c r="H284" s="324" t="e">
        <f aca="false">общ.калькуляция!j283</f>
        <v>#NAME?</v>
      </c>
      <c r="I284" s="324"/>
      <c r="J284" s="324"/>
      <c r="K284" s="324" t="e">
        <f aca="false">общ.калькуляция!m283</f>
        <v>#NAME?</v>
      </c>
      <c r="L284" s="324"/>
      <c r="M284" s="324"/>
      <c r="N284" s="324" t="e">
        <f aca="false">E284+H284+K284</f>
        <v>#NAME?</v>
      </c>
    </row>
    <row r="285" customFormat="false" ht="13.5" hidden="false" customHeight="true" outlineLevel="0" collapsed="false">
      <c r="A285" s="28" t="s">
        <v>503</v>
      </c>
      <c r="B285" s="29" t="s">
        <v>3071</v>
      </c>
      <c r="C285" s="323"/>
      <c r="D285" s="323"/>
      <c r="E285" s="324" t="e">
        <f aca="false">общ.калькуляция!h284</f>
        <v>#NAME?</v>
      </c>
      <c r="F285" s="324"/>
      <c r="G285" s="324"/>
      <c r="H285" s="324" t="e">
        <f aca="false">общ.калькуляция!j284</f>
        <v>#NAME?</v>
      </c>
      <c r="I285" s="324"/>
      <c r="J285" s="324"/>
      <c r="K285" s="324" t="e">
        <f aca="false">общ.калькуляция!m284</f>
        <v>#NAME?</v>
      </c>
      <c r="L285" s="324"/>
      <c r="M285" s="324"/>
      <c r="N285" s="324" t="e">
        <f aca="false">E285+H285+K285</f>
        <v>#NAME?</v>
      </c>
    </row>
    <row r="286" customFormat="false" ht="13.5" hidden="false" customHeight="true" outlineLevel="0" collapsed="false">
      <c r="A286" s="28" t="s">
        <v>505</v>
      </c>
      <c r="B286" s="29" t="s">
        <v>3072</v>
      </c>
      <c r="C286" s="323"/>
      <c r="D286" s="323"/>
      <c r="E286" s="324" t="e">
        <f aca="false">общ.калькуляция!h285</f>
        <v>#NAME?</v>
      </c>
      <c r="F286" s="324"/>
      <c r="G286" s="324"/>
      <c r="H286" s="324" t="e">
        <f aca="false">общ.калькуляция!j285</f>
        <v>#NAME?</v>
      </c>
      <c r="I286" s="324"/>
      <c r="J286" s="324"/>
      <c r="K286" s="324" t="e">
        <f aca="false">общ.калькуляция!m285</f>
        <v>#NAME?</v>
      </c>
      <c r="L286" s="324"/>
      <c r="M286" s="324"/>
      <c r="N286" s="324" t="e">
        <f aca="false">E286+H286+K286</f>
        <v>#NAME?</v>
      </c>
    </row>
    <row r="287" customFormat="false" ht="13.5" hidden="false" customHeight="true" outlineLevel="0" collapsed="false">
      <c r="A287" s="28" t="s">
        <v>507</v>
      </c>
      <c r="B287" s="29" t="s">
        <v>3073</v>
      </c>
      <c r="C287" s="323"/>
      <c r="D287" s="323"/>
      <c r="E287" s="324" t="e">
        <f aca="false">общ.калькуляция!h286</f>
        <v>#NAME?</v>
      </c>
      <c r="F287" s="324"/>
      <c r="G287" s="324"/>
      <c r="H287" s="324" t="e">
        <f aca="false">общ.калькуляция!j286</f>
        <v>#NAME?</v>
      </c>
      <c r="I287" s="324"/>
      <c r="J287" s="324"/>
      <c r="K287" s="324" t="e">
        <f aca="false">общ.калькуляция!m286</f>
        <v>#NAME?</v>
      </c>
      <c r="L287" s="324"/>
      <c r="M287" s="324"/>
      <c r="N287" s="324" t="e">
        <f aca="false">E287+H287+K287</f>
        <v>#NAME?</v>
      </c>
    </row>
    <row r="288" customFormat="false" ht="13.5" hidden="false" customHeight="true" outlineLevel="0" collapsed="false">
      <c r="A288" s="28" t="s">
        <v>509</v>
      </c>
      <c r="B288" s="29" t="s">
        <v>3088</v>
      </c>
      <c r="C288" s="323"/>
      <c r="D288" s="323"/>
      <c r="E288" s="324" t="e">
        <f aca="false">общ.калькуляция!h287</f>
        <v>#NAME?</v>
      </c>
      <c r="F288" s="324"/>
      <c r="G288" s="324"/>
      <c r="H288" s="324" t="e">
        <f aca="false">общ.калькуляция!j287</f>
        <v>#NAME?</v>
      </c>
      <c r="I288" s="324"/>
      <c r="J288" s="324"/>
      <c r="K288" s="324" t="e">
        <f aca="false">общ.калькуляция!m287</f>
        <v>#NAME?</v>
      </c>
      <c r="L288" s="324"/>
      <c r="M288" s="324"/>
      <c r="N288" s="324" t="e">
        <f aca="false">E288+H288+K288</f>
        <v>#NAME?</v>
      </c>
    </row>
    <row r="289" customFormat="false" ht="13.5" hidden="false" customHeight="true" outlineLevel="0" collapsed="false">
      <c r="A289" s="28" t="s">
        <v>511</v>
      </c>
      <c r="B289" s="29" t="s">
        <v>3089</v>
      </c>
      <c r="C289" s="323"/>
      <c r="D289" s="323"/>
      <c r="E289" s="324" t="e">
        <f aca="false">общ.калькуляция!h288</f>
        <v>#NAME?</v>
      </c>
      <c r="F289" s="324"/>
      <c r="G289" s="324"/>
      <c r="H289" s="324" t="e">
        <f aca="false">общ.калькуляция!j288</f>
        <v>#NAME?</v>
      </c>
      <c r="I289" s="324"/>
      <c r="J289" s="324"/>
      <c r="K289" s="324" t="e">
        <f aca="false">общ.калькуляция!m288</f>
        <v>#NAME?</v>
      </c>
      <c r="L289" s="324"/>
      <c r="M289" s="324"/>
      <c r="N289" s="324" t="e">
        <f aca="false">E289+H289+K289</f>
        <v>#NAME?</v>
      </c>
    </row>
    <row r="290" customFormat="false" ht="13.5" hidden="false" customHeight="true" outlineLevel="0" collapsed="false">
      <c r="A290" s="28" t="s">
        <v>513</v>
      </c>
      <c r="B290" s="29" t="s">
        <v>3090</v>
      </c>
      <c r="C290" s="323"/>
      <c r="D290" s="323"/>
      <c r="E290" s="324" t="e">
        <f aca="false">общ.калькуляция!h289</f>
        <v>#NAME?</v>
      </c>
      <c r="F290" s="324"/>
      <c r="G290" s="324"/>
      <c r="H290" s="324" t="e">
        <f aca="false">общ.калькуляция!j289</f>
        <v>#NAME?</v>
      </c>
      <c r="I290" s="324"/>
      <c r="J290" s="324"/>
      <c r="K290" s="324" t="e">
        <f aca="false">общ.калькуляция!m289</f>
        <v>#NAME?</v>
      </c>
      <c r="L290" s="324"/>
      <c r="M290" s="324"/>
      <c r="N290" s="324" t="e">
        <f aca="false">E290+H290+K290</f>
        <v>#NAME?</v>
      </c>
    </row>
    <row r="291" customFormat="false" ht="13.5" hidden="false" customHeight="true" outlineLevel="0" collapsed="false">
      <c r="A291" s="28" t="s">
        <v>514</v>
      </c>
      <c r="B291" s="29" t="s">
        <v>3091</v>
      </c>
      <c r="C291" s="323"/>
      <c r="D291" s="323"/>
      <c r="E291" s="324" t="e">
        <f aca="false">общ.калькуляция!h290</f>
        <v>#NAME?</v>
      </c>
      <c r="F291" s="324"/>
      <c r="G291" s="324"/>
      <c r="H291" s="324" t="e">
        <f aca="false">общ.калькуляция!j290</f>
        <v>#NAME?</v>
      </c>
      <c r="I291" s="324"/>
      <c r="J291" s="324"/>
      <c r="K291" s="324" t="e">
        <f aca="false">общ.калькуляция!m290</f>
        <v>#NAME?</v>
      </c>
      <c r="L291" s="324"/>
      <c r="M291" s="324"/>
      <c r="N291" s="324" t="e">
        <f aca="false">E291+H291+K291</f>
        <v>#NAME?</v>
      </c>
    </row>
    <row r="292" customFormat="false" ht="13.5" hidden="false" customHeight="true" outlineLevel="0" collapsed="false">
      <c r="A292" s="28" t="s">
        <v>516</v>
      </c>
      <c r="B292" s="40" t="s">
        <v>3092</v>
      </c>
      <c r="C292" s="323"/>
      <c r="D292" s="323"/>
      <c r="E292" s="324" t="e">
        <f aca="false">общ.калькуляция!h291</f>
        <v>#NAME?</v>
      </c>
      <c r="F292" s="324"/>
      <c r="G292" s="324"/>
      <c r="H292" s="324" t="e">
        <f aca="false">общ.калькуляция!j291</f>
        <v>#NAME?</v>
      </c>
      <c r="I292" s="324"/>
      <c r="J292" s="324"/>
      <c r="K292" s="324" t="e">
        <f aca="false">общ.калькуляция!m291</f>
        <v>#NAME?</v>
      </c>
      <c r="L292" s="324"/>
      <c r="M292" s="324"/>
      <c r="N292" s="324" t="e">
        <f aca="false">E292+H292+K292</f>
        <v>#NAME?</v>
      </c>
    </row>
    <row r="293" customFormat="false" ht="13.5" hidden="false" customHeight="true" outlineLevel="0" collapsed="false">
      <c r="A293" s="28" t="s">
        <v>518</v>
      </c>
      <c r="B293" s="40" t="s">
        <v>3011</v>
      </c>
      <c r="C293" s="323"/>
      <c r="D293" s="323"/>
      <c r="E293" s="324" t="e">
        <f aca="false">общ.калькуляция!h292</f>
        <v>#NAME?</v>
      </c>
      <c r="F293" s="324"/>
      <c r="G293" s="324"/>
      <c r="H293" s="324" t="e">
        <f aca="false">общ.калькуляция!j292</f>
        <v>#NAME?</v>
      </c>
      <c r="I293" s="324"/>
      <c r="J293" s="324"/>
      <c r="K293" s="324" t="e">
        <f aca="false">общ.калькуляция!m292</f>
        <v>#NAME?</v>
      </c>
      <c r="L293" s="324"/>
      <c r="M293" s="324"/>
      <c r="N293" s="324" t="e">
        <f aca="false">E293+H293+K293</f>
        <v>#NAME?</v>
      </c>
    </row>
    <row r="294" customFormat="false" ht="13.5" hidden="false" customHeight="true" outlineLevel="0" collapsed="false">
      <c r="A294" s="28" t="s">
        <v>519</v>
      </c>
      <c r="B294" s="40" t="s">
        <v>3093</v>
      </c>
      <c r="C294" s="323"/>
      <c r="D294" s="323"/>
      <c r="E294" s="324" t="e">
        <f aca="false">общ.калькуляция!h293</f>
        <v>#NAME?</v>
      </c>
      <c r="F294" s="324"/>
      <c r="G294" s="324"/>
      <c r="H294" s="324" t="e">
        <f aca="false">общ.калькуляция!j293</f>
        <v>#NAME?</v>
      </c>
      <c r="I294" s="324"/>
      <c r="J294" s="324"/>
      <c r="K294" s="324" t="e">
        <f aca="false">общ.калькуляция!m293</f>
        <v>#NAME?</v>
      </c>
      <c r="L294" s="324"/>
      <c r="M294" s="324"/>
      <c r="N294" s="324" t="e">
        <f aca="false">E294+H294+K294</f>
        <v>#NAME?</v>
      </c>
    </row>
    <row r="295" customFormat="false" ht="13.5" hidden="false" customHeight="true" outlineLevel="0" collapsed="false">
      <c r="A295" s="28" t="s">
        <v>521</v>
      </c>
      <c r="B295" s="40" t="s">
        <v>3094</v>
      </c>
      <c r="C295" s="323"/>
      <c r="D295" s="323"/>
      <c r="E295" s="324" t="e">
        <f aca="false">общ.калькуляция!h294</f>
        <v>#NAME?</v>
      </c>
      <c r="F295" s="324"/>
      <c r="G295" s="324"/>
      <c r="H295" s="324" t="e">
        <f aca="false">общ.калькуляция!j294</f>
        <v>#NAME?</v>
      </c>
      <c r="I295" s="324"/>
      <c r="J295" s="324"/>
      <c r="K295" s="324" t="e">
        <f aca="false">общ.калькуляция!m294</f>
        <v>#NAME?</v>
      </c>
      <c r="L295" s="324"/>
      <c r="M295" s="324"/>
      <c r="N295" s="324" t="e">
        <f aca="false">E295+H295+K295</f>
        <v>#NAME?</v>
      </c>
    </row>
    <row r="296" customFormat="false" ht="13.5" hidden="false" customHeight="true" outlineLevel="0" collapsed="false">
      <c r="A296" s="28" t="s">
        <v>523</v>
      </c>
      <c r="B296" s="40" t="s">
        <v>3095</v>
      </c>
      <c r="C296" s="323"/>
      <c r="D296" s="323"/>
      <c r="E296" s="324" t="e">
        <f aca="false">общ.калькуляция!h295</f>
        <v>#NAME?</v>
      </c>
      <c r="F296" s="324"/>
      <c r="G296" s="324"/>
      <c r="H296" s="324" t="e">
        <f aca="false">общ.калькуляция!j295</f>
        <v>#NAME?</v>
      </c>
      <c r="I296" s="324"/>
      <c r="J296" s="324"/>
      <c r="K296" s="324" t="e">
        <f aca="false">общ.калькуляция!m295</f>
        <v>#NAME?</v>
      </c>
      <c r="L296" s="324"/>
      <c r="M296" s="324"/>
      <c r="N296" s="324" t="e">
        <f aca="false">E296+H296+K296</f>
        <v>#NAME?</v>
      </c>
    </row>
    <row r="297" customFormat="false" ht="13.5" hidden="false" customHeight="true" outlineLevel="0" collapsed="false">
      <c r="A297" s="15" t="s">
        <v>525</v>
      </c>
      <c r="B297" s="16" t="s">
        <v>3096</v>
      </c>
      <c r="C297" s="321"/>
      <c r="D297" s="321"/>
      <c r="E297" s="329"/>
      <c r="F297" s="329"/>
      <c r="G297" s="329"/>
      <c r="H297" s="329"/>
      <c r="I297" s="329"/>
      <c r="J297" s="329"/>
      <c r="K297" s="329"/>
      <c r="L297" s="329"/>
      <c r="M297" s="329"/>
      <c r="N297" s="329"/>
    </row>
    <row r="298" customFormat="false" ht="13.5" hidden="false" customHeight="true" outlineLevel="0" collapsed="false">
      <c r="A298" s="28" t="s">
        <v>527</v>
      </c>
      <c r="B298" s="29" t="s">
        <v>3010</v>
      </c>
      <c r="C298" s="323"/>
      <c r="D298" s="323"/>
      <c r="E298" s="324" t="e">
        <f aca="false">общ.калькуляция!h297</f>
        <v>#NAME?</v>
      </c>
      <c r="F298" s="324"/>
      <c r="G298" s="324"/>
      <c r="H298" s="324" t="e">
        <f aca="false">общ.калькуляция!j297</f>
        <v>#NAME?</v>
      </c>
      <c r="I298" s="324"/>
      <c r="J298" s="324"/>
      <c r="K298" s="324" t="e">
        <f aca="false">общ.калькуляция!m297</f>
        <v>#NAME?</v>
      </c>
      <c r="L298" s="324"/>
      <c r="M298" s="324"/>
      <c r="N298" s="324" t="e">
        <f aca="false">E298+H298+K298</f>
        <v>#NAME?</v>
      </c>
    </row>
    <row r="299" customFormat="false" ht="13.5" hidden="false" customHeight="true" outlineLevel="0" collapsed="false">
      <c r="A299" s="28" t="s">
        <v>528</v>
      </c>
      <c r="B299" s="29" t="s">
        <v>3097</v>
      </c>
      <c r="C299" s="323"/>
      <c r="D299" s="323"/>
      <c r="E299" s="324" t="e">
        <f aca="false">общ.калькуляция!h298</f>
        <v>#NAME?</v>
      </c>
      <c r="F299" s="324"/>
      <c r="G299" s="324"/>
      <c r="H299" s="324" t="e">
        <f aca="false">общ.калькуляция!j298</f>
        <v>#NAME?</v>
      </c>
      <c r="I299" s="324"/>
      <c r="J299" s="324"/>
      <c r="K299" s="324" t="e">
        <f aca="false">общ.калькуляция!m298</f>
        <v>#NAME?</v>
      </c>
      <c r="L299" s="324"/>
      <c r="M299" s="324"/>
      <c r="N299" s="324" t="e">
        <f aca="false">E299+H299+K299</f>
        <v>#NAME?</v>
      </c>
    </row>
    <row r="300" customFormat="false" ht="13.5" hidden="false" customHeight="true" outlineLevel="0" collapsed="false">
      <c r="A300" s="28" t="s">
        <v>530</v>
      </c>
      <c r="B300" s="29" t="s">
        <v>3084</v>
      </c>
      <c r="C300" s="323"/>
      <c r="D300" s="323"/>
      <c r="E300" s="324" t="e">
        <f aca="false">общ.калькуляция!h299</f>
        <v>#NAME?</v>
      </c>
      <c r="F300" s="324"/>
      <c r="G300" s="324"/>
      <c r="H300" s="324" t="e">
        <f aca="false">общ.калькуляция!j299</f>
        <v>#NAME?</v>
      </c>
      <c r="I300" s="324"/>
      <c r="J300" s="324"/>
      <c r="K300" s="324" t="e">
        <f aca="false">общ.калькуляция!m299</f>
        <v>#NAME?</v>
      </c>
      <c r="L300" s="324"/>
      <c r="M300" s="324"/>
      <c r="N300" s="324" t="e">
        <f aca="false">E300+H300+K300</f>
        <v>#NAME?</v>
      </c>
    </row>
    <row r="301" customFormat="false" ht="13.5" hidden="false" customHeight="true" outlineLevel="0" collapsed="false">
      <c r="A301" s="28" t="s">
        <v>531</v>
      </c>
      <c r="B301" s="29" t="s">
        <v>3085</v>
      </c>
      <c r="C301" s="323"/>
      <c r="D301" s="323"/>
      <c r="E301" s="324" t="e">
        <f aca="false">общ.калькуляция!h300</f>
        <v>#NAME?</v>
      </c>
      <c r="F301" s="324"/>
      <c r="G301" s="324"/>
      <c r="H301" s="324" t="e">
        <f aca="false">общ.калькуляция!j300</f>
        <v>#NAME?</v>
      </c>
      <c r="I301" s="324"/>
      <c r="J301" s="324"/>
      <c r="K301" s="324" t="e">
        <f aca="false">общ.калькуляция!m300</f>
        <v>#NAME?</v>
      </c>
      <c r="L301" s="324"/>
      <c r="M301" s="324"/>
      <c r="N301" s="324" t="e">
        <f aca="false">E301+H301+K301</f>
        <v>#NAME?</v>
      </c>
    </row>
    <row r="302" customFormat="false" ht="13.5" hidden="false" customHeight="true" outlineLevel="0" collapsed="false">
      <c r="A302" s="28" t="s">
        <v>532</v>
      </c>
      <c r="B302" s="29" t="s">
        <v>3098</v>
      </c>
      <c r="C302" s="323"/>
      <c r="D302" s="323"/>
      <c r="E302" s="324" t="e">
        <f aca="false">общ.калькуляция!h301</f>
        <v>#NAME?</v>
      </c>
      <c r="F302" s="324"/>
      <c r="G302" s="324"/>
      <c r="H302" s="324" t="e">
        <f aca="false">общ.калькуляция!j301</f>
        <v>#NAME?</v>
      </c>
      <c r="I302" s="324"/>
      <c r="J302" s="324"/>
      <c r="K302" s="324" t="e">
        <f aca="false">общ.калькуляция!m301</f>
        <v>#NAME?</v>
      </c>
      <c r="L302" s="324"/>
      <c r="M302" s="324"/>
      <c r="N302" s="324" t="e">
        <f aca="false">E302+H302+K302</f>
        <v>#NAME?</v>
      </c>
    </row>
    <row r="303" customFormat="false" ht="13.5" hidden="false" customHeight="true" outlineLevel="0" collapsed="false">
      <c r="A303" s="28" t="s">
        <v>533</v>
      </c>
      <c r="B303" s="29" t="s">
        <v>3099</v>
      </c>
      <c r="C303" s="323"/>
      <c r="D303" s="323"/>
      <c r="E303" s="324" t="e">
        <f aca="false">общ.калькуляция!h302</f>
        <v>#NAME?</v>
      </c>
      <c r="F303" s="324"/>
      <c r="G303" s="324"/>
      <c r="H303" s="324" t="e">
        <f aca="false">общ.калькуляция!j302</f>
        <v>#NAME?</v>
      </c>
      <c r="I303" s="324"/>
      <c r="J303" s="324"/>
      <c r="K303" s="324" t="e">
        <f aca="false">общ.калькуляция!m302</f>
        <v>#NAME?</v>
      </c>
      <c r="L303" s="324"/>
      <c r="M303" s="324"/>
      <c r="N303" s="324" t="e">
        <f aca="false">E303+H303+K303</f>
        <v>#NAME?</v>
      </c>
    </row>
    <row r="304" customFormat="false" ht="13.5" hidden="false" customHeight="true" outlineLevel="0" collapsed="false">
      <c r="A304" s="28" t="s">
        <v>535</v>
      </c>
      <c r="B304" s="29" t="s">
        <v>3058</v>
      </c>
      <c r="C304" s="323"/>
      <c r="D304" s="323"/>
      <c r="E304" s="324" t="e">
        <f aca="false">общ.калькуляция!h303</f>
        <v>#NAME?</v>
      </c>
      <c r="F304" s="324"/>
      <c r="G304" s="324"/>
      <c r="H304" s="324" t="e">
        <f aca="false">общ.калькуляция!j303</f>
        <v>#NAME?</v>
      </c>
      <c r="I304" s="324"/>
      <c r="J304" s="324"/>
      <c r="K304" s="324" t="e">
        <f aca="false">общ.калькуляция!m303</f>
        <v>#NAME?</v>
      </c>
      <c r="L304" s="324"/>
      <c r="M304" s="324"/>
      <c r="N304" s="324" t="e">
        <f aca="false">E304+H304+K304</f>
        <v>#NAME?</v>
      </c>
    </row>
    <row r="305" customFormat="false" ht="13.5" hidden="false" customHeight="true" outlineLevel="0" collapsed="false">
      <c r="A305" s="28" t="s">
        <v>536</v>
      </c>
      <c r="B305" s="29" t="s">
        <v>3059</v>
      </c>
      <c r="C305" s="323"/>
      <c r="D305" s="323"/>
      <c r="E305" s="324" t="e">
        <f aca="false">общ.калькуляция!h304</f>
        <v>#NAME?</v>
      </c>
      <c r="F305" s="324"/>
      <c r="G305" s="324"/>
      <c r="H305" s="324" t="e">
        <f aca="false">общ.калькуляция!j304</f>
        <v>#NAME?</v>
      </c>
      <c r="I305" s="324"/>
      <c r="J305" s="324"/>
      <c r="K305" s="324" t="e">
        <f aca="false">общ.калькуляция!m304</f>
        <v>#NAME?</v>
      </c>
      <c r="L305" s="324"/>
      <c r="M305" s="324"/>
      <c r="N305" s="324" t="e">
        <f aca="false">E305+H305+K305</f>
        <v>#NAME?</v>
      </c>
    </row>
    <row r="306" customFormat="false" ht="13.5" hidden="false" customHeight="true" outlineLevel="0" collapsed="false">
      <c r="A306" s="28" t="s">
        <v>537</v>
      </c>
      <c r="B306" s="29" t="s">
        <v>3100</v>
      </c>
      <c r="C306" s="323"/>
      <c r="D306" s="323"/>
      <c r="E306" s="324" t="e">
        <f aca="false">общ.калькуляция!h305</f>
        <v>#NAME?</v>
      </c>
      <c r="F306" s="324"/>
      <c r="G306" s="324"/>
      <c r="H306" s="324" t="e">
        <f aca="false">общ.калькуляция!j305</f>
        <v>#NAME?</v>
      </c>
      <c r="I306" s="324"/>
      <c r="J306" s="324"/>
      <c r="K306" s="324" t="e">
        <f aca="false">общ.калькуляция!m305</f>
        <v>#NAME?</v>
      </c>
      <c r="L306" s="324"/>
      <c r="M306" s="324"/>
      <c r="N306" s="324" t="e">
        <f aca="false">E306+H306+K306</f>
        <v>#NAME?</v>
      </c>
    </row>
    <row r="307" customFormat="false" ht="13.5" hidden="false" customHeight="true" outlineLevel="0" collapsed="false">
      <c r="A307" s="28" t="s">
        <v>539</v>
      </c>
      <c r="B307" s="29" t="s">
        <v>3101</v>
      </c>
      <c r="C307" s="323"/>
      <c r="D307" s="323"/>
      <c r="E307" s="324" t="e">
        <f aca="false">общ.калькуляция!h306</f>
        <v>#NAME?</v>
      </c>
      <c r="F307" s="324"/>
      <c r="G307" s="324"/>
      <c r="H307" s="324" t="e">
        <f aca="false">общ.калькуляция!j306</f>
        <v>#NAME?</v>
      </c>
      <c r="I307" s="324"/>
      <c r="J307" s="324"/>
      <c r="K307" s="324" t="e">
        <f aca="false">общ.калькуляция!m306</f>
        <v>#NAME?</v>
      </c>
      <c r="L307" s="324"/>
      <c r="M307" s="324"/>
      <c r="N307" s="324" t="e">
        <f aca="false">E307+H307+K307</f>
        <v>#NAME?</v>
      </c>
    </row>
    <row r="308" customFormat="false" ht="13.5" hidden="false" customHeight="true" outlineLevel="0" collapsed="false">
      <c r="A308" s="28" t="s">
        <v>541</v>
      </c>
      <c r="B308" s="29" t="s">
        <v>3014</v>
      </c>
      <c r="C308" s="323"/>
      <c r="D308" s="323"/>
      <c r="E308" s="324" t="e">
        <f aca="false">общ.калькуляция!h307</f>
        <v>#NAME?</v>
      </c>
      <c r="F308" s="324"/>
      <c r="G308" s="324"/>
      <c r="H308" s="324" t="e">
        <f aca="false">общ.калькуляция!j307</f>
        <v>#NAME?</v>
      </c>
      <c r="I308" s="324"/>
      <c r="J308" s="324"/>
      <c r="K308" s="324" t="e">
        <f aca="false">общ.калькуляция!m307</f>
        <v>#NAME?</v>
      </c>
      <c r="L308" s="324"/>
      <c r="M308" s="324"/>
      <c r="N308" s="324" t="e">
        <f aca="false">E308+H308+K308</f>
        <v>#NAME?</v>
      </c>
    </row>
    <row r="309" customFormat="false" ht="13.5" hidden="false" customHeight="true" outlineLevel="0" collapsed="false">
      <c r="A309" s="28" t="s">
        <v>542</v>
      </c>
      <c r="B309" s="29" t="s">
        <v>3102</v>
      </c>
      <c r="C309" s="323"/>
      <c r="D309" s="323"/>
      <c r="E309" s="324" t="e">
        <f aca="false">общ.калькуляция!h308</f>
        <v>#NAME?</v>
      </c>
      <c r="F309" s="324"/>
      <c r="G309" s="324"/>
      <c r="H309" s="324" t="e">
        <f aca="false">общ.калькуляция!j308</f>
        <v>#NAME?</v>
      </c>
      <c r="I309" s="324"/>
      <c r="J309" s="324"/>
      <c r="K309" s="324" t="e">
        <f aca="false">общ.калькуляция!m308</f>
        <v>#NAME?</v>
      </c>
      <c r="L309" s="324"/>
      <c r="M309" s="324"/>
      <c r="N309" s="324" t="e">
        <f aca="false">E309+H309+K309</f>
        <v>#NAME?</v>
      </c>
    </row>
    <row r="310" customFormat="false" ht="13.5" hidden="false" customHeight="true" outlineLevel="0" collapsed="false">
      <c r="A310" s="28" t="s">
        <v>544</v>
      </c>
      <c r="B310" s="29" t="s">
        <v>3103</v>
      </c>
      <c r="C310" s="323"/>
      <c r="D310" s="323"/>
      <c r="E310" s="324" t="e">
        <f aca="false">общ.калькуляция!h309</f>
        <v>#NAME?</v>
      </c>
      <c r="F310" s="324"/>
      <c r="G310" s="324"/>
      <c r="H310" s="324" t="e">
        <f aca="false">общ.калькуляция!j309</f>
        <v>#NAME?</v>
      </c>
      <c r="I310" s="324"/>
      <c r="J310" s="324"/>
      <c r="K310" s="324" t="e">
        <f aca="false">общ.калькуляция!m309</f>
        <v>#NAME?</v>
      </c>
      <c r="L310" s="324"/>
      <c r="M310" s="324"/>
      <c r="N310" s="324" t="e">
        <f aca="false">E310+H310+K310</f>
        <v>#NAME?</v>
      </c>
    </row>
    <row r="311" customFormat="false" ht="13.5" hidden="false" customHeight="true" outlineLevel="0" collapsed="false">
      <c r="A311" s="28" t="s">
        <v>546</v>
      </c>
      <c r="B311" s="29" t="s">
        <v>3104</v>
      </c>
      <c r="C311" s="323"/>
      <c r="D311" s="323"/>
      <c r="E311" s="324" t="e">
        <f aca="false">общ.калькуляция!h310</f>
        <v>#NAME?</v>
      </c>
      <c r="F311" s="324"/>
      <c r="G311" s="324"/>
      <c r="H311" s="324" t="e">
        <f aca="false">общ.калькуляция!j310</f>
        <v>#NAME?</v>
      </c>
      <c r="I311" s="324"/>
      <c r="J311" s="324"/>
      <c r="K311" s="324" t="e">
        <f aca="false">общ.калькуляция!m310</f>
        <v>#NAME?</v>
      </c>
      <c r="L311" s="324"/>
      <c r="M311" s="324"/>
      <c r="N311" s="324" t="e">
        <f aca="false">E311+H311+K311</f>
        <v>#NAME?</v>
      </c>
    </row>
    <row r="312" customFormat="false" ht="13.5" hidden="false" customHeight="true" outlineLevel="0" collapsed="false">
      <c r="A312" s="28" t="s">
        <v>548</v>
      </c>
      <c r="B312" s="29" t="s">
        <v>3105</v>
      </c>
      <c r="C312" s="323"/>
      <c r="D312" s="323"/>
      <c r="E312" s="324" t="e">
        <f aca="false">общ.калькуляция!h311</f>
        <v>#NAME?</v>
      </c>
      <c r="F312" s="324"/>
      <c r="G312" s="324"/>
      <c r="H312" s="324" t="e">
        <f aca="false">общ.калькуляция!j311</f>
        <v>#NAME?</v>
      </c>
      <c r="I312" s="324"/>
      <c r="J312" s="324"/>
      <c r="K312" s="324" t="e">
        <f aca="false">общ.калькуляция!m311</f>
        <v>#NAME?</v>
      </c>
      <c r="L312" s="324"/>
      <c r="M312" s="324"/>
      <c r="N312" s="324" t="e">
        <f aca="false">E312+H312+K312</f>
        <v>#NAME?</v>
      </c>
    </row>
    <row r="313" customFormat="false" ht="13.5" hidden="false" customHeight="true" outlineLevel="0" collapsed="false">
      <c r="A313" s="28" t="s">
        <v>550</v>
      </c>
      <c r="B313" s="29" t="s">
        <v>3106</v>
      </c>
      <c r="C313" s="323"/>
      <c r="D313" s="323"/>
      <c r="E313" s="324" t="e">
        <f aca="false">общ.калькуляция!h312</f>
        <v>#NAME?</v>
      </c>
      <c r="F313" s="324"/>
      <c r="G313" s="324"/>
      <c r="H313" s="324" t="e">
        <f aca="false">общ.калькуляция!j312</f>
        <v>#NAME?</v>
      </c>
      <c r="I313" s="324"/>
      <c r="J313" s="324"/>
      <c r="K313" s="324" t="e">
        <f aca="false">общ.калькуляция!m312</f>
        <v>#NAME?</v>
      </c>
      <c r="L313" s="324"/>
      <c r="M313" s="324"/>
      <c r="N313" s="324" t="e">
        <f aca="false">E313+H313+K313</f>
        <v>#NAME?</v>
      </c>
    </row>
    <row r="314" customFormat="false" ht="13.5" hidden="false" customHeight="true" outlineLevel="0" collapsed="false">
      <c r="A314" s="28" t="s">
        <v>552</v>
      </c>
      <c r="B314" s="29" t="s">
        <v>3107</v>
      </c>
      <c r="C314" s="323"/>
      <c r="D314" s="323"/>
      <c r="E314" s="324" t="e">
        <f aca="false">общ.калькуляция!h313</f>
        <v>#NAME?</v>
      </c>
      <c r="F314" s="324"/>
      <c r="G314" s="324"/>
      <c r="H314" s="324" t="e">
        <f aca="false">общ.калькуляция!j313</f>
        <v>#NAME?</v>
      </c>
      <c r="I314" s="324"/>
      <c r="J314" s="324"/>
      <c r="K314" s="324" t="e">
        <f aca="false">общ.калькуляция!m313</f>
        <v>#NAME?</v>
      </c>
      <c r="L314" s="324"/>
      <c r="M314" s="324"/>
      <c r="N314" s="324" t="e">
        <f aca="false">E314+H314+K314</f>
        <v>#NAME?</v>
      </c>
    </row>
    <row r="315" customFormat="false" ht="13.5" hidden="false" customHeight="true" outlineLevel="0" collapsed="false">
      <c r="A315" s="28" t="s">
        <v>554</v>
      </c>
      <c r="B315" s="29" t="s">
        <v>3108</v>
      </c>
      <c r="C315" s="323"/>
      <c r="D315" s="323"/>
      <c r="E315" s="324" t="e">
        <f aca="false">общ.калькуляция!h314</f>
        <v>#NAME?</v>
      </c>
      <c r="F315" s="324"/>
      <c r="G315" s="324"/>
      <c r="H315" s="324" t="e">
        <f aca="false">общ.калькуляция!j314</f>
        <v>#NAME?</v>
      </c>
      <c r="I315" s="324"/>
      <c r="J315" s="324"/>
      <c r="K315" s="324" t="e">
        <f aca="false">общ.калькуляция!m314</f>
        <v>#NAME?</v>
      </c>
      <c r="L315" s="324"/>
      <c r="M315" s="324"/>
      <c r="N315" s="324" t="e">
        <f aca="false">E315+H315+K315</f>
        <v>#NAME?</v>
      </c>
    </row>
    <row r="316" customFormat="false" ht="13.5" hidden="false" customHeight="true" outlineLevel="0" collapsed="false">
      <c r="A316" s="28" t="s">
        <v>556</v>
      </c>
      <c r="B316" s="29" t="s">
        <v>3109</v>
      </c>
      <c r="C316" s="323"/>
      <c r="D316" s="323"/>
      <c r="E316" s="324" t="e">
        <f aca="false">общ.калькуляция!h315</f>
        <v>#NAME?</v>
      </c>
      <c r="F316" s="324"/>
      <c r="G316" s="324"/>
      <c r="H316" s="324" t="e">
        <f aca="false">общ.калькуляция!j315</f>
        <v>#NAME?</v>
      </c>
      <c r="I316" s="324"/>
      <c r="J316" s="324"/>
      <c r="K316" s="324" t="e">
        <f aca="false">общ.калькуляция!m315</f>
        <v>#NAME?</v>
      </c>
      <c r="L316" s="324"/>
      <c r="M316" s="324"/>
      <c r="N316" s="324" t="e">
        <f aca="false">E316+H316+K316</f>
        <v>#NAME?</v>
      </c>
    </row>
    <row r="317" customFormat="false" ht="13.5" hidden="false" customHeight="true" outlineLevel="0" collapsed="false">
      <c r="A317" s="28" t="s">
        <v>558</v>
      </c>
      <c r="B317" s="29" t="s">
        <v>3110</v>
      </c>
      <c r="C317" s="323"/>
      <c r="D317" s="323"/>
      <c r="E317" s="324" t="e">
        <f aca="false">общ.калькуляция!h316</f>
        <v>#NAME?</v>
      </c>
      <c r="F317" s="324"/>
      <c r="G317" s="324"/>
      <c r="H317" s="324" t="e">
        <f aca="false">общ.калькуляция!j316</f>
        <v>#NAME?</v>
      </c>
      <c r="I317" s="324"/>
      <c r="J317" s="324"/>
      <c r="K317" s="324" t="e">
        <f aca="false">общ.калькуляция!m316</f>
        <v>#NAME?</v>
      </c>
      <c r="L317" s="324"/>
      <c r="M317" s="324"/>
      <c r="N317" s="324" t="e">
        <f aca="false">E317+H317+K317</f>
        <v>#NAME?</v>
      </c>
    </row>
    <row r="318" customFormat="false" ht="13.5" hidden="false" customHeight="true" outlineLevel="0" collapsed="false">
      <c r="A318" s="28" t="s">
        <v>560</v>
      </c>
      <c r="B318" s="40" t="s">
        <v>3111</v>
      </c>
      <c r="C318" s="323"/>
      <c r="D318" s="323"/>
      <c r="E318" s="324" t="e">
        <f aca="false">общ.калькуляция!h317</f>
        <v>#NAME?</v>
      </c>
      <c r="F318" s="324"/>
      <c r="G318" s="324"/>
      <c r="H318" s="324" t="e">
        <f aca="false">общ.калькуляция!j317</f>
        <v>#NAME?</v>
      </c>
      <c r="I318" s="324"/>
      <c r="J318" s="324"/>
      <c r="K318" s="324" t="e">
        <f aca="false">общ.калькуляция!m317</f>
        <v>#NAME?</v>
      </c>
      <c r="L318" s="324"/>
      <c r="M318" s="324"/>
      <c r="N318" s="324" t="e">
        <f aca="false">E318+H318+K318</f>
        <v>#NAME?</v>
      </c>
    </row>
    <row r="319" customFormat="false" ht="13.5" hidden="false" customHeight="true" outlineLevel="0" collapsed="false">
      <c r="A319" s="28" t="s">
        <v>562</v>
      </c>
      <c r="B319" s="40" t="s">
        <v>3112</v>
      </c>
      <c r="C319" s="323"/>
      <c r="D319" s="323"/>
      <c r="E319" s="324" t="e">
        <f aca="false">общ.калькуляция!h318</f>
        <v>#NAME?</v>
      </c>
      <c r="F319" s="324"/>
      <c r="G319" s="324"/>
      <c r="H319" s="324" t="e">
        <f aca="false">общ.калькуляция!j318</f>
        <v>#NAME?</v>
      </c>
      <c r="I319" s="324"/>
      <c r="J319" s="324"/>
      <c r="K319" s="324" t="e">
        <f aca="false">общ.калькуляция!m318</f>
        <v>#NAME?</v>
      </c>
      <c r="L319" s="324"/>
      <c r="M319" s="324"/>
      <c r="N319" s="324" t="e">
        <f aca="false">E319+H319+K319</f>
        <v>#NAME?</v>
      </c>
    </row>
    <row r="320" customFormat="false" ht="13.5" hidden="false" customHeight="true" outlineLevel="0" collapsed="false">
      <c r="A320" s="28" t="s">
        <v>564</v>
      </c>
      <c r="B320" s="40" t="s">
        <v>3113</v>
      </c>
      <c r="C320" s="323"/>
      <c r="D320" s="323"/>
      <c r="E320" s="324" t="e">
        <f aca="false">общ.калькуляция!h319</f>
        <v>#NAME?</v>
      </c>
      <c r="F320" s="324"/>
      <c r="G320" s="324"/>
      <c r="H320" s="324" t="e">
        <f aca="false">общ.калькуляция!j319</f>
        <v>#NAME?</v>
      </c>
      <c r="I320" s="324"/>
      <c r="J320" s="324"/>
      <c r="K320" s="324" t="e">
        <f aca="false">общ.калькуляция!m319</f>
        <v>#NAME?</v>
      </c>
      <c r="L320" s="324"/>
      <c r="M320" s="324"/>
      <c r="N320" s="324" t="e">
        <f aca="false">E320+H320+K320</f>
        <v>#NAME?</v>
      </c>
    </row>
    <row r="321" customFormat="false" ht="13.5" hidden="false" customHeight="true" outlineLevel="0" collapsed="false">
      <c r="A321" s="28" t="s">
        <v>566</v>
      </c>
      <c r="B321" s="40" t="s">
        <v>567</v>
      </c>
      <c r="C321" s="323"/>
      <c r="D321" s="323"/>
      <c r="E321" s="324" t="e">
        <f aca="false">общ.калькуляция!h320</f>
        <v>#NAME?</v>
      </c>
      <c r="F321" s="324"/>
      <c r="G321" s="324"/>
      <c r="H321" s="324" t="e">
        <f aca="false">общ.калькуляция!j320</f>
        <v>#NAME?</v>
      </c>
      <c r="I321" s="324"/>
      <c r="J321" s="324"/>
      <c r="K321" s="324" t="e">
        <f aca="false">общ.калькуляция!m320</f>
        <v>#NAME?</v>
      </c>
      <c r="L321" s="324"/>
      <c r="M321" s="324"/>
      <c r="N321" s="324" t="e">
        <f aca="false">E321+H321+K321</f>
        <v>#NAME?</v>
      </c>
    </row>
    <row r="322" customFormat="false" ht="13.5" hidden="false" customHeight="true" outlineLevel="0" collapsed="false">
      <c r="A322" s="28" t="s">
        <v>568</v>
      </c>
      <c r="B322" s="40" t="s">
        <v>3114</v>
      </c>
      <c r="C322" s="323"/>
      <c r="D322" s="323"/>
      <c r="E322" s="324" t="e">
        <f aca="false">общ.калькуляция!h321</f>
        <v>#NAME?</v>
      </c>
      <c r="F322" s="324"/>
      <c r="G322" s="324"/>
      <c r="H322" s="324" t="e">
        <f aca="false">общ.калькуляция!j321</f>
        <v>#NAME?</v>
      </c>
      <c r="I322" s="324"/>
      <c r="J322" s="324"/>
      <c r="K322" s="324" t="e">
        <f aca="false">общ.калькуляция!m321</f>
        <v>#NAME?</v>
      </c>
      <c r="L322" s="324"/>
      <c r="M322" s="324"/>
      <c r="N322" s="324" t="e">
        <f aca="false">E322+H322+K322</f>
        <v>#NAME?</v>
      </c>
    </row>
    <row r="323" customFormat="false" ht="13.5" hidden="false" customHeight="true" outlineLevel="0" collapsed="false">
      <c r="A323" s="28" t="s">
        <v>570</v>
      </c>
      <c r="B323" s="40" t="s">
        <v>3115</v>
      </c>
      <c r="C323" s="323"/>
      <c r="D323" s="323"/>
      <c r="E323" s="324" t="e">
        <f aca="false">общ.калькуляция!h322</f>
        <v>#NAME?</v>
      </c>
      <c r="F323" s="324"/>
      <c r="G323" s="324"/>
      <c r="H323" s="324" t="e">
        <f aca="false">общ.калькуляция!j322</f>
        <v>#NAME?</v>
      </c>
      <c r="I323" s="324"/>
      <c r="J323" s="324"/>
      <c r="K323" s="324" t="e">
        <f aca="false">общ.калькуляция!m322</f>
        <v>#NAME?</v>
      </c>
      <c r="L323" s="324"/>
      <c r="M323" s="324"/>
      <c r="N323" s="324" t="e">
        <f aca="false">E323+H323+K323</f>
        <v>#NAME?</v>
      </c>
    </row>
    <row r="324" customFormat="false" ht="13.5" hidden="false" customHeight="true" outlineLevel="0" collapsed="false">
      <c r="A324" s="28" t="s">
        <v>572</v>
      </c>
      <c r="B324" s="40" t="s">
        <v>3116</v>
      </c>
      <c r="C324" s="323"/>
      <c r="D324" s="323"/>
      <c r="E324" s="324" t="e">
        <f aca="false">общ.калькуляция!h323</f>
        <v>#NAME?</v>
      </c>
      <c r="F324" s="324"/>
      <c r="G324" s="324"/>
      <c r="H324" s="324" t="e">
        <f aca="false">общ.калькуляция!j323</f>
        <v>#NAME?</v>
      </c>
      <c r="I324" s="324"/>
      <c r="J324" s="324"/>
      <c r="K324" s="324" t="e">
        <f aca="false">общ.калькуляция!m323</f>
        <v>#NAME?</v>
      </c>
      <c r="L324" s="324"/>
      <c r="M324" s="324"/>
      <c r="N324" s="324" t="e">
        <f aca="false">E324+H324+K324</f>
        <v>#NAME?</v>
      </c>
    </row>
    <row r="325" customFormat="false" ht="13.5" hidden="false" customHeight="true" outlineLevel="0" collapsed="false">
      <c r="A325" s="28" t="s">
        <v>574</v>
      </c>
      <c r="B325" s="40" t="s">
        <v>3117</v>
      </c>
      <c r="C325" s="323"/>
      <c r="D325" s="323"/>
      <c r="E325" s="324" t="e">
        <f aca="false">общ.калькуляция!h324</f>
        <v>#NAME?</v>
      </c>
      <c r="F325" s="324"/>
      <c r="G325" s="324"/>
      <c r="H325" s="324" t="e">
        <f aca="false">общ.калькуляция!j324</f>
        <v>#NAME?</v>
      </c>
      <c r="I325" s="324"/>
      <c r="J325" s="324"/>
      <c r="K325" s="324" t="e">
        <f aca="false">общ.калькуляция!m324</f>
        <v>#NAME?</v>
      </c>
      <c r="L325" s="324"/>
      <c r="M325" s="324"/>
      <c r="N325" s="324" t="e">
        <f aca="false">E325+H325+K325</f>
        <v>#NAME?</v>
      </c>
    </row>
    <row r="326" customFormat="false" ht="13.5" hidden="false" customHeight="true" outlineLevel="0" collapsed="false">
      <c r="A326" s="28" t="s">
        <v>576</v>
      </c>
      <c r="B326" s="40" t="s">
        <v>3118</v>
      </c>
      <c r="C326" s="323"/>
      <c r="D326" s="323"/>
      <c r="E326" s="324" t="e">
        <f aca="false">общ.калькуляция!h325</f>
        <v>#NAME?</v>
      </c>
      <c r="F326" s="324"/>
      <c r="G326" s="324"/>
      <c r="H326" s="324" t="e">
        <f aca="false">общ.калькуляция!j325</f>
        <v>#NAME?</v>
      </c>
      <c r="I326" s="324"/>
      <c r="J326" s="324"/>
      <c r="K326" s="324" t="e">
        <f aca="false">общ.калькуляция!m325</f>
        <v>#NAME?</v>
      </c>
      <c r="L326" s="324"/>
      <c r="M326" s="324"/>
      <c r="N326" s="324" t="e">
        <f aca="false">E326+H326+K326</f>
        <v>#NAME?</v>
      </c>
    </row>
    <row r="327" customFormat="false" ht="13.5" hidden="false" customHeight="true" outlineLevel="0" collapsed="false">
      <c r="A327" s="28" t="s">
        <v>578</v>
      </c>
      <c r="B327" s="40" t="s">
        <v>3119</v>
      </c>
      <c r="C327" s="323"/>
      <c r="D327" s="323"/>
      <c r="E327" s="324" t="e">
        <f aca="false">общ.калькуляция!h326</f>
        <v>#NAME?</v>
      </c>
      <c r="F327" s="324"/>
      <c r="G327" s="324"/>
      <c r="H327" s="324" t="e">
        <f aca="false">общ.калькуляция!j326</f>
        <v>#NAME?</v>
      </c>
      <c r="I327" s="324"/>
      <c r="J327" s="324"/>
      <c r="K327" s="324" t="e">
        <f aca="false">общ.калькуляция!m326</f>
        <v>#NAME?</v>
      </c>
      <c r="L327" s="324"/>
      <c r="M327" s="324"/>
      <c r="N327" s="324" t="e">
        <f aca="false">E327+H327+K327</f>
        <v>#NAME?</v>
      </c>
    </row>
    <row r="328" customFormat="false" ht="13.5" hidden="false" customHeight="true" outlineLevel="0" collapsed="false">
      <c r="A328" s="15" t="s">
        <v>580</v>
      </c>
      <c r="B328" s="16" t="s">
        <v>3120</v>
      </c>
      <c r="C328" s="321"/>
      <c r="D328" s="321"/>
      <c r="E328" s="329"/>
      <c r="F328" s="329"/>
      <c r="G328" s="329"/>
      <c r="H328" s="329"/>
      <c r="I328" s="329"/>
      <c r="J328" s="329"/>
      <c r="K328" s="329"/>
      <c r="L328" s="329"/>
      <c r="M328" s="329"/>
      <c r="N328" s="329"/>
    </row>
    <row r="329" customFormat="false" ht="13.5" hidden="false" customHeight="true" outlineLevel="0" collapsed="false">
      <c r="A329" s="28" t="s">
        <v>582</v>
      </c>
      <c r="B329" s="29" t="s">
        <v>3010</v>
      </c>
      <c r="C329" s="323"/>
      <c r="D329" s="323"/>
      <c r="E329" s="324" t="e">
        <f aca="false">общ.калькуляция!h328</f>
        <v>#NAME?</v>
      </c>
      <c r="F329" s="324"/>
      <c r="G329" s="324"/>
      <c r="H329" s="324" t="e">
        <f aca="false">общ.калькуляция!j328</f>
        <v>#NAME?</v>
      </c>
      <c r="I329" s="324"/>
      <c r="J329" s="324"/>
      <c r="K329" s="324" t="e">
        <f aca="false">общ.калькуляция!m328</f>
        <v>#NAME?</v>
      </c>
      <c r="L329" s="324"/>
      <c r="M329" s="324"/>
      <c r="N329" s="324" t="e">
        <f aca="false">E329+H329+K329</f>
        <v>#NAME?</v>
      </c>
    </row>
    <row r="330" customFormat="false" ht="13.5" hidden="false" customHeight="true" outlineLevel="0" collapsed="false">
      <c r="A330" s="28" t="s">
        <v>583</v>
      </c>
      <c r="B330" s="29" t="s">
        <v>3084</v>
      </c>
      <c r="C330" s="323"/>
      <c r="D330" s="323"/>
      <c r="E330" s="324" t="e">
        <f aca="false">общ.калькуляция!h329</f>
        <v>#NAME?</v>
      </c>
      <c r="F330" s="324"/>
      <c r="G330" s="324"/>
      <c r="H330" s="324" t="e">
        <f aca="false">общ.калькуляция!j329</f>
        <v>#NAME?</v>
      </c>
      <c r="I330" s="324"/>
      <c r="J330" s="324"/>
      <c r="K330" s="324" t="e">
        <f aca="false">общ.калькуляция!m329</f>
        <v>#NAME?</v>
      </c>
      <c r="L330" s="324"/>
      <c r="M330" s="324"/>
      <c r="N330" s="324" t="e">
        <f aca="false">E330+H330+K330</f>
        <v>#NAME?</v>
      </c>
    </row>
    <row r="331" customFormat="false" ht="13.5" hidden="false" customHeight="true" outlineLevel="0" collapsed="false">
      <c r="A331" s="28" t="s">
        <v>584</v>
      </c>
      <c r="B331" s="29" t="s">
        <v>3085</v>
      </c>
      <c r="C331" s="323"/>
      <c r="D331" s="323"/>
      <c r="E331" s="324" t="e">
        <f aca="false">общ.калькуляция!h330</f>
        <v>#NAME?</v>
      </c>
      <c r="F331" s="324"/>
      <c r="G331" s="324"/>
      <c r="H331" s="324" t="e">
        <f aca="false">общ.калькуляция!j330</f>
        <v>#NAME?</v>
      </c>
      <c r="I331" s="324"/>
      <c r="J331" s="324"/>
      <c r="K331" s="324" t="e">
        <f aca="false">общ.калькуляция!m330</f>
        <v>#NAME?</v>
      </c>
      <c r="L331" s="324"/>
      <c r="M331" s="324"/>
      <c r="N331" s="324" t="e">
        <f aca="false">E331+H331+K331</f>
        <v>#NAME?</v>
      </c>
    </row>
    <row r="332" customFormat="false" ht="13.5" hidden="false" customHeight="true" outlineLevel="0" collapsed="false">
      <c r="A332" s="28" t="s">
        <v>585</v>
      </c>
      <c r="B332" s="29" t="s">
        <v>3121</v>
      </c>
      <c r="C332" s="323"/>
      <c r="D332" s="323"/>
      <c r="E332" s="324" t="e">
        <f aca="false">общ.калькуляция!h331</f>
        <v>#NAME?</v>
      </c>
      <c r="F332" s="324"/>
      <c r="G332" s="324"/>
      <c r="H332" s="324" t="e">
        <f aca="false">общ.калькуляция!j331</f>
        <v>#NAME?</v>
      </c>
      <c r="I332" s="324"/>
      <c r="J332" s="324"/>
      <c r="K332" s="324" t="e">
        <f aca="false">общ.калькуляция!m331</f>
        <v>#NAME?</v>
      </c>
      <c r="L332" s="324"/>
      <c r="M332" s="324"/>
      <c r="N332" s="324" t="e">
        <f aca="false">E332+H332+K332</f>
        <v>#NAME?</v>
      </c>
    </row>
    <row r="333" customFormat="false" ht="13.5" hidden="false" customHeight="true" outlineLevel="0" collapsed="false">
      <c r="A333" s="28" t="s">
        <v>587</v>
      </c>
      <c r="B333" s="29" t="s">
        <v>3058</v>
      </c>
      <c r="C333" s="323"/>
      <c r="D333" s="323"/>
      <c r="E333" s="324" t="e">
        <f aca="false">общ.калькуляция!h332</f>
        <v>#NAME?</v>
      </c>
      <c r="F333" s="324"/>
      <c r="G333" s="324"/>
      <c r="H333" s="324" t="e">
        <f aca="false">общ.калькуляция!j332</f>
        <v>#NAME?</v>
      </c>
      <c r="I333" s="324"/>
      <c r="J333" s="324"/>
      <c r="K333" s="324" t="e">
        <f aca="false">общ.калькуляция!m332</f>
        <v>#NAME?</v>
      </c>
      <c r="L333" s="324"/>
      <c r="M333" s="324"/>
      <c r="N333" s="324" t="e">
        <f aca="false">E333+H333+K333</f>
        <v>#NAME?</v>
      </c>
    </row>
    <row r="334" customFormat="false" ht="13.5" hidden="false" customHeight="true" outlineLevel="0" collapsed="false">
      <c r="A334" s="28" t="s">
        <v>588</v>
      </c>
      <c r="B334" s="29" t="s">
        <v>3059</v>
      </c>
      <c r="C334" s="323"/>
      <c r="D334" s="323"/>
      <c r="E334" s="324" t="e">
        <f aca="false">общ.калькуляция!h333</f>
        <v>#NAME?</v>
      </c>
      <c r="F334" s="324"/>
      <c r="G334" s="324"/>
      <c r="H334" s="324" t="e">
        <f aca="false">общ.калькуляция!j333</f>
        <v>#NAME?</v>
      </c>
      <c r="I334" s="324"/>
      <c r="J334" s="324"/>
      <c r="K334" s="324" t="e">
        <f aca="false">общ.калькуляция!m333</f>
        <v>#NAME?</v>
      </c>
      <c r="L334" s="324"/>
      <c r="M334" s="324"/>
      <c r="N334" s="324" t="e">
        <f aca="false">E334+H334+K334</f>
        <v>#NAME?</v>
      </c>
    </row>
    <row r="335" customFormat="false" ht="13.5" hidden="false" customHeight="true" outlineLevel="0" collapsed="false">
      <c r="A335" s="28" t="s">
        <v>589</v>
      </c>
      <c r="B335" s="29" t="s">
        <v>3122</v>
      </c>
      <c r="C335" s="323"/>
      <c r="D335" s="323"/>
      <c r="E335" s="324" t="e">
        <f aca="false">общ.калькуляция!h334</f>
        <v>#NAME?</v>
      </c>
      <c r="F335" s="324"/>
      <c r="G335" s="324"/>
      <c r="H335" s="324" t="e">
        <f aca="false">общ.калькуляция!j334</f>
        <v>#NAME?</v>
      </c>
      <c r="I335" s="324"/>
      <c r="J335" s="324"/>
      <c r="K335" s="324" t="e">
        <f aca="false">общ.калькуляция!m334</f>
        <v>#NAME?</v>
      </c>
      <c r="L335" s="324"/>
      <c r="M335" s="324"/>
      <c r="N335" s="324" t="e">
        <f aca="false">E335+H335+K335</f>
        <v>#NAME?</v>
      </c>
    </row>
    <row r="336" customFormat="false" ht="13.5" hidden="false" customHeight="true" outlineLevel="0" collapsed="false">
      <c r="A336" s="28" t="s">
        <v>590</v>
      </c>
      <c r="B336" s="29" t="s">
        <v>2883</v>
      </c>
      <c r="C336" s="323"/>
      <c r="D336" s="323"/>
      <c r="E336" s="324" t="e">
        <f aca="false">общ.калькуляция!h335</f>
        <v>#NAME?</v>
      </c>
      <c r="F336" s="324"/>
      <c r="G336" s="324"/>
      <c r="H336" s="324" t="e">
        <f aca="false">общ.калькуляция!j335</f>
        <v>#NAME?</v>
      </c>
      <c r="I336" s="324"/>
      <c r="J336" s="324"/>
      <c r="K336" s="324" t="e">
        <f aca="false">общ.калькуляция!m335</f>
        <v>#NAME?</v>
      </c>
      <c r="L336" s="324"/>
      <c r="M336" s="324"/>
      <c r="N336" s="324" t="e">
        <f aca="false">E336+H336+K336</f>
        <v>#NAME?</v>
      </c>
    </row>
    <row r="337" customFormat="false" ht="13.5" hidden="false" customHeight="true" outlineLevel="0" collapsed="false">
      <c r="A337" s="28" t="s">
        <v>591</v>
      </c>
      <c r="B337" s="29" t="s">
        <v>3123</v>
      </c>
      <c r="C337" s="323"/>
      <c r="D337" s="323"/>
      <c r="E337" s="324" t="e">
        <f aca="false">общ.калькуляция!h336</f>
        <v>#NAME?</v>
      </c>
      <c r="F337" s="324"/>
      <c r="G337" s="324"/>
      <c r="H337" s="324" t="e">
        <f aca="false">общ.калькуляция!j336</f>
        <v>#NAME?</v>
      </c>
      <c r="I337" s="324"/>
      <c r="J337" s="324"/>
      <c r="K337" s="324" t="e">
        <f aca="false">общ.калькуляция!m336</f>
        <v>#NAME?</v>
      </c>
      <c r="L337" s="324"/>
      <c r="M337" s="324"/>
      <c r="N337" s="324" t="e">
        <f aca="false">E337+H337+K337</f>
        <v>#NAME?</v>
      </c>
    </row>
    <row r="338" customFormat="false" ht="13.5" hidden="false" customHeight="true" outlineLevel="0" collapsed="false">
      <c r="A338" s="28" t="s">
        <v>593</v>
      </c>
      <c r="B338" s="29" t="s">
        <v>3124</v>
      </c>
      <c r="C338" s="323"/>
      <c r="D338" s="323"/>
      <c r="E338" s="324" t="e">
        <f aca="false">общ.калькуляция!h337</f>
        <v>#NAME?</v>
      </c>
      <c r="F338" s="324"/>
      <c r="G338" s="324"/>
      <c r="H338" s="324" t="e">
        <f aca="false">общ.калькуляция!j337</f>
        <v>#NAME?</v>
      </c>
      <c r="I338" s="324"/>
      <c r="J338" s="324"/>
      <c r="K338" s="324" t="e">
        <f aca="false">общ.калькуляция!m337</f>
        <v>#NAME?</v>
      </c>
      <c r="L338" s="324"/>
      <c r="M338" s="324"/>
      <c r="N338" s="324" t="e">
        <f aca="false">E338+H338+K338</f>
        <v>#NAME?</v>
      </c>
    </row>
    <row r="339" customFormat="false" ht="13.5" hidden="false" customHeight="true" outlineLevel="0" collapsed="false">
      <c r="A339" s="28" t="s">
        <v>594</v>
      </c>
      <c r="B339" s="29" t="s">
        <v>3125</v>
      </c>
      <c r="C339" s="323"/>
      <c r="D339" s="323"/>
      <c r="E339" s="324" t="e">
        <f aca="false">общ.калькуляция!h338</f>
        <v>#NAME?</v>
      </c>
      <c r="F339" s="324"/>
      <c r="G339" s="324"/>
      <c r="H339" s="324" t="e">
        <f aca="false">общ.калькуляция!j338</f>
        <v>#NAME?</v>
      </c>
      <c r="I339" s="324"/>
      <c r="J339" s="324"/>
      <c r="K339" s="324" t="e">
        <f aca="false">общ.калькуляция!m338</f>
        <v>#NAME?</v>
      </c>
      <c r="L339" s="324"/>
      <c r="M339" s="324"/>
      <c r="N339" s="324" t="e">
        <f aca="false">E339+H339+K339</f>
        <v>#NAME?</v>
      </c>
    </row>
    <row r="340" customFormat="false" ht="13.5" hidden="false" customHeight="true" outlineLevel="0" collapsed="false">
      <c r="A340" s="28" t="s">
        <v>595</v>
      </c>
      <c r="B340" s="29" t="s">
        <v>3126</v>
      </c>
      <c r="C340" s="323"/>
      <c r="D340" s="323"/>
      <c r="E340" s="324" t="e">
        <f aca="false">общ.калькуляция!h339</f>
        <v>#NAME?</v>
      </c>
      <c r="F340" s="324"/>
      <c r="G340" s="324"/>
      <c r="H340" s="324" t="e">
        <f aca="false">общ.калькуляция!j339</f>
        <v>#NAME?</v>
      </c>
      <c r="I340" s="324"/>
      <c r="J340" s="324"/>
      <c r="K340" s="324" t="e">
        <f aca="false">общ.калькуляция!m339</f>
        <v>#NAME?</v>
      </c>
      <c r="L340" s="324"/>
      <c r="M340" s="324"/>
      <c r="N340" s="324" t="e">
        <f aca="false">E340+H340+K340</f>
        <v>#NAME?</v>
      </c>
    </row>
    <row r="341" customFormat="false" ht="13.5" hidden="false" customHeight="true" outlineLevel="0" collapsed="false">
      <c r="A341" s="28" t="s">
        <v>597</v>
      </c>
      <c r="B341" s="29" t="s">
        <v>3127</v>
      </c>
      <c r="C341" s="323"/>
      <c r="D341" s="323"/>
      <c r="E341" s="324" t="e">
        <f aca="false">общ.калькуляция!h340</f>
        <v>#NAME?</v>
      </c>
      <c r="F341" s="324"/>
      <c r="G341" s="324"/>
      <c r="H341" s="324" t="e">
        <f aca="false">общ.калькуляция!j340</f>
        <v>#NAME?</v>
      </c>
      <c r="I341" s="324"/>
      <c r="J341" s="324"/>
      <c r="K341" s="324" t="e">
        <f aca="false">общ.калькуляция!m340</f>
        <v>#NAME?</v>
      </c>
      <c r="L341" s="324"/>
      <c r="M341" s="324"/>
      <c r="N341" s="324" t="e">
        <f aca="false">E341+H341+K341</f>
        <v>#NAME?</v>
      </c>
    </row>
    <row r="342" customFormat="false" ht="13.5" hidden="false" customHeight="true" outlineLevel="0" collapsed="false">
      <c r="A342" s="28" t="s">
        <v>599</v>
      </c>
      <c r="B342" s="29" t="s">
        <v>3128</v>
      </c>
      <c r="C342" s="323"/>
      <c r="D342" s="323"/>
      <c r="E342" s="324" t="e">
        <f aca="false">общ.калькуляция!h341</f>
        <v>#NAME?</v>
      </c>
      <c r="F342" s="324"/>
      <c r="G342" s="324"/>
      <c r="H342" s="324" t="e">
        <f aca="false">общ.калькуляция!j341</f>
        <v>#NAME?</v>
      </c>
      <c r="I342" s="324"/>
      <c r="J342" s="324"/>
      <c r="K342" s="324" t="e">
        <f aca="false">общ.калькуляция!m341</f>
        <v>#NAME?</v>
      </c>
      <c r="L342" s="324"/>
      <c r="M342" s="324"/>
      <c r="N342" s="324" t="e">
        <f aca="false">E342+H342+K342</f>
        <v>#NAME?</v>
      </c>
    </row>
    <row r="343" customFormat="false" ht="13.5" hidden="false" customHeight="true" outlineLevel="0" collapsed="false">
      <c r="A343" s="28" t="s">
        <v>601</v>
      </c>
      <c r="B343" s="29" t="s">
        <v>3103</v>
      </c>
      <c r="C343" s="323"/>
      <c r="D343" s="323"/>
      <c r="E343" s="324" t="e">
        <f aca="false">общ.калькуляция!h342</f>
        <v>#NAME?</v>
      </c>
      <c r="F343" s="324"/>
      <c r="G343" s="324"/>
      <c r="H343" s="324" t="e">
        <f aca="false">общ.калькуляция!j342</f>
        <v>#NAME?</v>
      </c>
      <c r="I343" s="324"/>
      <c r="J343" s="324"/>
      <c r="K343" s="324" t="e">
        <f aca="false">общ.калькуляция!m342</f>
        <v>#NAME?</v>
      </c>
      <c r="L343" s="324"/>
      <c r="M343" s="324"/>
      <c r="N343" s="324" t="e">
        <f aca="false">E343+H343+K343</f>
        <v>#NAME?</v>
      </c>
    </row>
    <row r="344" customFormat="false" ht="13.5" hidden="false" customHeight="true" outlineLevel="0" collapsed="false">
      <c r="A344" s="28" t="s">
        <v>602</v>
      </c>
      <c r="B344" s="29" t="s">
        <v>3102</v>
      </c>
      <c r="C344" s="323"/>
      <c r="D344" s="323"/>
      <c r="E344" s="324" t="e">
        <f aca="false">общ.калькуляция!h343</f>
        <v>#NAME?</v>
      </c>
      <c r="F344" s="324"/>
      <c r="G344" s="324"/>
      <c r="H344" s="324" t="e">
        <f aca="false">общ.калькуляция!j343</f>
        <v>#NAME?</v>
      </c>
      <c r="I344" s="324"/>
      <c r="J344" s="324"/>
      <c r="K344" s="324" t="e">
        <f aca="false">общ.калькуляция!m343</f>
        <v>#NAME?</v>
      </c>
      <c r="L344" s="324"/>
      <c r="M344" s="324"/>
      <c r="N344" s="324" t="e">
        <f aca="false">E344+H344+K344</f>
        <v>#NAME?</v>
      </c>
    </row>
    <row r="345" customFormat="false" ht="13.5" hidden="false" customHeight="true" outlineLevel="0" collapsed="false">
      <c r="A345" s="28" t="s">
        <v>603</v>
      </c>
      <c r="B345" s="29" t="s">
        <v>3129</v>
      </c>
      <c r="C345" s="323"/>
      <c r="D345" s="323"/>
      <c r="E345" s="324" t="e">
        <f aca="false">общ.калькуляция!h344</f>
        <v>#NAME?</v>
      </c>
      <c r="F345" s="324"/>
      <c r="G345" s="324"/>
      <c r="H345" s="324" t="e">
        <f aca="false">общ.калькуляция!j344</f>
        <v>#NAME?</v>
      </c>
      <c r="I345" s="324"/>
      <c r="J345" s="324"/>
      <c r="K345" s="324" t="e">
        <f aca="false">общ.калькуляция!m344</f>
        <v>#NAME?</v>
      </c>
      <c r="L345" s="324"/>
      <c r="M345" s="324"/>
      <c r="N345" s="324" t="e">
        <f aca="false">E345+H345+K345</f>
        <v>#NAME?</v>
      </c>
    </row>
    <row r="346" customFormat="false" ht="13.5" hidden="false" customHeight="true" outlineLevel="0" collapsed="false">
      <c r="A346" s="28" t="s">
        <v>604</v>
      </c>
      <c r="B346" s="29" t="s">
        <v>3105</v>
      </c>
      <c r="C346" s="323"/>
      <c r="D346" s="323"/>
      <c r="E346" s="324" t="e">
        <f aca="false">общ.калькуляция!h345</f>
        <v>#NAME?</v>
      </c>
      <c r="F346" s="324"/>
      <c r="G346" s="324"/>
      <c r="H346" s="324" t="e">
        <f aca="false">общ.калькуляция!j345</f>
        <v>#NAME?</v>
      </c>
      <c r="I346" s="324"/>
      <c r="J346" s="324"/>
      <c r="K346" s="324" t="e">
        <f aca="false">общ.калькуляция!m345</f>
        <v>#NAME?</v>
      </c>
      <c r="L346" s="324"/>
      <c r="M346" s="324"/>
      <c r="N346" s="324" t="e">
        <f aca="false">E346+H346+K346</f>
        <v>#NAME?</v>
      </c>
    </row>
    <row r="347" customFormat="false" ht="13.5" hidden="false" customHeight="true" outlineLevel="0" collapsed="false">
      <c r="A347" s="28" t="s">
        <v>605</v>
      </c>
      <c r="B347" s="29" t="s">
        <v>3130</v>
      </c>
      <c r="C347" s="323"/>
      <c r="D347" s="323"/>
      <c r="E347" s="324" t="e">
        <f aca="false">общ.калькуляция!h346</f>
        <v>#NAME?</v>
      </c>
      <c r="F347" s="324"/>
      <c r="G347" s="324"/>
      <c r="H347" s="324" t="e">
        <f aca="false">общ.калькуляция!j346</f>
        <v>#NAME?</v>
      </c>
      <c r="I347" s="324"/>
      <c r="J347" s="324"/>
      <c r="K347" s="324" t="e">
        <f aca="false">общ.калькуляция!m346</f>
        <v>#NAME?</v>
      </c>
      <c r="L347" s="324"/>
      <c r="M347" s="324"/>
      <c r="N347" s="324" t="e">
        <f aca="false">E347+H347+K347</f>
        <v>#NAME?</v>
      </c>
    </row>
    <row r="348" customFormat="false" ht="13.5" hidden="false" customHeight="true" outlineLevel="0" collapsed="false">
      <c r="A348" s="28" t="s">
        <v>607</v>
      </c>
      <c r="B348" s="29" t="s">
        <v>3107</v>
      </c>
      <c r="C348" s="323"/>
      <c r="D348" s="323"/>
      <c r="E348" s="324" t="e">
        <f aca="false">общ.калькуляция!h347</f>
        <v>#NAME?</v>
      </c>
      <c r="F348" s="324"/>
      <c r="G348" s="324"/>
      <c r="H348" s="324" t="e">
        <f aca="false">общ.калькуляция!j347</f>
        <v>#NAME?</v>
      </c>
      <c r="I348" s="324"/>
      <c r="J348" s="324"/>
      <c r="K348" s="324" t="e">
        <f aca="false">общ.калькуляция!m347</f>
        <v>#NAME?</v>
      </c>
      <c r="L348" s="324"/>
      <c r="M348" s="324"/>
      <c r="N348" s="324" t="e">
        <f aca="false">E348+H348+K348</f>
        <v>#NAME?</v>
      </c>
    </row>
    <row r="349" customFormat="false" ht="13.5" hidden="false" customHeight="true" outlineLevel="0" collapsed="false">
      <c r="A349" s="28" t="s">
        <v>608</v>
      </c>
      <c r="B349" s="40" t="s">
        <v>3131</v>
      </c>
      <c r="C349" s="323"/>
      <c r="D349" s="323"/>
      <c r="E349" s="324" t="e">
        <f aca="false">общ.калькуляция!h348</f>
        <v>#NAME?</v>
      </c>
      <c r="F349" s="324"/>
      <c r="G349" s="324"/>
      <c r="H349" s="324" t="e">
        <f aca="false">общ.калькуляция!j348</f>
        <v>#NAME?</v>
      </c>
      <c r="I349" s="324"/>
      <c r="J349" s="324"/>
      <c r="K349" s="324" t="e">
        <f aca="false">общ.калькуляция!m348</f>
        <v>#NAME?</v>
      </c>
      <c r="L349" s="324"/>
      <c r="M349" s="324"/>
      <c r="N349" s="324" t="e">
        <f aca="false">E349+H349+K349</f>
        <v>#NAME?</v>
      </c>
    </row>
    <row r="350" customFormat="false" ht="13.5" hidden="false" customHeight="true" outlineLevel="0" collapsed="false">
      <c r="A350" s="28" t="s">
        <v>610</v>
      </c>
      <c r="B350" s="40" t="s">
        <v>3132</v>
      </c>
      <c r="C350" s="323"/>
      <c r="D350" s="323"/>
      <c r="E350" s="324" t="e">
        <f aca="false">общ.калькуляция!h349</f>
        <v>#NAME?</v>
      </c>
      <c r="F350" s="324"/>
      <c r="G350" s="324"/>
      <c r="H350" s="324" t="e">
        <f aca="false">общ.калькуляция!j349</f>
        <v>#NAME?</v>
      </c>
      <c r="I350" s="324"/>
      <c r="J350" s="324"/>
      <c r="K350" s="324" t="e">
        <f aca="false">общ.калькуляция!m349</f>
        <v>#NAME?</v>
      </c>
      <c r="L350" s="324"/>
      <c r="M350" s="324"/>
      <c r="N350" s="324" t="e">
        <f aca="false">E350+H350+K350</f>
        <v>#NAME?</v>
      </c>
    </row>
    <row r="351" customFormat="false" ht="13.5" hidden="false" customHeight="true" outlineLevel="0" collapsed="false">
      <c r="A351" s="15" t="s">
        <v>612</v>
      </c>
      <c r="B351" s="16" t="s">
        <v>3133</v>
      </c>
      <c r="C351" s="321"/>
      <c r="D351" s="321"/>
      <c r="E351" s="329"/>
      <c r="F351" s="329"/>
      <c r="G351" s="329"/>
      <c r="H351" s="329"/>
      <c r="I351" s="329"/>
      <c r="J351" s="329"/>
      <c r="K351" s="329"/>
      <c r="L351" s="329"/>
      <c r="M351" s="329"/>
      <c r="N351" s="329"/>
    </row>
    <row r="352" customFormat="false" ht="13.5" hidden="false" customHeight="true" outlineLevel="0" collapsed="false">
      <c r="A352" s="28" t="s">
        <v>614</v>
      </c>
      <c r="B352" s="335" t="s">
        <v>3084</v>
      </c>
      <c r="C352" s="323"/>
      <c r="D352" s="323"/>
      <c r="E352" s="324" t="e">
        <f aca="false">общ.калькуляция!h351</f>
        <v>#NAME?</v>
      </c>
      <c r="F352" s="324"/>
      <c r="G352" s="324"/>
      <c r="H352" s="324" t="e">
        <f aca="false">общ.калькуляция!j351</f>
        <v>#NAME?</v>
      </c>
      <c r="I352" s="324"/>
      <c r="J352" s="324"/>
      <c r="K352" s="324" t="e">
        <f aca="false">общ.калькуляция!m351</f>
        <v>#NAME?</v>
      </c>
      <c r="L352" s="324"/>
      <c r="M352" s="324"/>
      <c r="N352" s="324" t="e">
        <f aca="false">E352+H352+K352</f>
        <v>#NAME?</v>
      </c>
    </row>
    <row r="353" customFormat="false" ht="13.5" hidden="false" customHeight="true" outlineLevel="0" collapsed="false">
      <c r="A353" s="28" t="s">
        <v>615</v>
      </c>
      <c r="B353" s="335" t="s">
        <v>3085</v>
      </c>
      <c r="C353" s="323"/>
      <c r="D353" s="323"/>
      <c r="E353" s="324" t="e">
        <f aca="false">общ.калькуляция!h352</f>
        <v>#NAME?</v>
      </c>
      <c r="F353" s="324"/>
      <c r="G353" s="324"/>
      <c r="H353" s="324" t="e">
        <f aca="false">общ.калькуляция!j352</f>
        <v>#NAME?</v>
      </c>
      <c r="I353" s="324"/>
      <c r="J353" s="324"/>
      <c r="K353" s="324" t="e">
        <f aca="false">общ.калькуляция!m352</f>
        <v>#NAME?</v>
      </c>
      <c r="L353" s="324"/>
      <c r="M353" s="324"/>
      <c r="N353" s="324" t="e">
        <f aca="false">E353+H353+K353</f>
        <v>#NAME?</v>
      </c>
    </row>
    <row r="354" customFormat="false" ht="13.5" hidden="false" customHeight="true" outlineLevel="0" collapsed="false">
      <c r="A354" s="28" t="s">
        <v>616</v>
      </c>
      <c r="B354" s="335" t="s">
        <v>3134</v>
      </c>
      <c r="C354" s="323"/>
      <c r="D354" s="323"/>
      <c r="E354" s="324" t="e">
        <f aca="false">общ.калькуляция!h353</f>
        <v>#NAME?</v>
      </c>
      <c r="F354" s="324"/>
      <c r="G354" s="324"/>
      <c r="H354" s="324" t="e">
        <f aca="false">общ.калькуляция!j353</f>
        <v>#NAME?</v>
      </c>
      <c r="I354" s="324"/>
      <c r="J354" s="324"/>
      <c r="K354" s="324" t="e">
        <f aca="false">общ.калькуляция!m353</f>
        <v>#NAME?</v>
      </c>
      <c r="L354" s="324"/>
      <c r="M354" s="324"/>
      <c r="N354" s="324" t="e">
        <f aca="false">E354+H354+K354</f>
        <v>#NAME?</v>
      </c>
    </row>
    <row r="355" customFormat="false" ht="13.5" hidden="false" customHeight="true" outlineLevel="0" collapsed="false">
      <c r="A355" s="28" t="s">
        <v>618</v>
      </c>
      <c r="B355" s="335" t="s">
        <v>3135</v>
      </c>
      <c r="C355" s="323"/>
      <c r="D355" s="323"/>
      <c r="E355" s="324" t="e">
        <f aca="false">общ.калькуляция!h354</f>
        <v>#NAME?</v>
      </c>
      <c r="F355" s="324"/>
      <c r="G355" s="324"/>
      <c r="H355" s="324" t="e">
        <f aca="false">общ.калькуляция!j354</f>
        <v>#NAME?</v>
      </c>
      <c r="I355" s="324"/>
      <c r="J355" s="324"/>
      <c r="K355" s="324" t="e">
        <f aca="false">общ.калькуляция!m354</f>
        <v>#NAME?</v>
      </c>
      <c r="L355" s="324"/>
      <c r="M355" s="324"/>
      <c r="N355" s="324" t="e">
        <f aca="false">E355+H355+K355</f>
        <v>#NAME?</v>
      </c>
    </row>
    <row r="356" customFormat="false" ht="13.5" hidden="false" customHeight="true" outlineLevel="0" collapsed="false">
      <c r="A356" s="28" t="s">
        <v>620</v>
      </c>
      <c r="B356" s="335" t="s">
        <v>3136</v>
      </c>
      <c r="C356" s="323"/>
      <c r="D356" s="323"/>
      <c r="E356" s="324" t="e">
        <f aca="false">общ.калькуляция!h355</f>
        <v>#NAME?</v>
      </c>
      <c r="F356" s="324"/>
      <c r="G356" s="324"/>
      <c r="H356" s="324" t="e">
        <f aca="false">общ.калькуляция!j355</f>
        <v>#NAME?</v>
      </c>
      <c r="I356" s="324"/>
      <c r="J356" s="324"/>
      <c r="K356" s="324" t="e">
        <f aca="false">общ.калькуляция!m355</f>
        <v>#NAME?</v>
      </c>
      <c r="L356" s="324"/>
      <c r="M356" s="324"/>
      <c r="N356" s="324" t="e">
        <f aca="false">E356+H356+K356</f>
        <v>#NAME?</v>
      </c>
    </row>
    <row r="357" customFormat="false" ht="13.5" hidden="false" customHeight="true" outlineLevel="0" collapsed="false">
      <c r="A357" s="28" t="s">
        <v>622</v>
      </c>
      <c r="B357" s="335" t="s">
        <v>3137</v>
      </c>
      <c r="C357" s="323"/>
      <c r="D357" s="323"/>
      <c r="E357" s="324" t="e">
        <f aca="false">общ.калькуляция!h356</f>
        <v>#NAME?</v>
      </c>
      <c r="F357" s="324"/>
      <c r="G357" s="324"/>
      <c r="H357" s="324" t="e">
        <f aca="false">общ.калькуляция!j356</f>
        <v>#NAME?</v>
      </c>
      <c r="I357" s="324"/>
      <c r="J357" s="324"/>
      <c r="K357" s="324" t="e">
        <f aca="false">общ.калькуляция!m356</f>
        <v>#NAME?</v>
      </c>
      <c r="L357" s="324"/>
      <c r="M357" s="324"/>
      <c r="N357" s="324" t="e">
        <f aca="false">E357+H357+K357</f>
        <v>#NAME?</v>
      </c>
    </row>
    <row r="358" customFormat="false" ht="13.5" hidden="false" customHeight="true" outlineLevel="0" collapsed="false">
      <c r="A358" s="28" t="s">
        <v>624</v>
      </c>
      <c r="B358" s="335" t="s">
        <v>3138</v>
      </c>
      <c r="C358" s="323"/>
      <c r="D358" s="323"/>
      <c r="E358" s="324" t="e">
        <f aca="false">общ.калькуляция!h357</f>
        <v>#NAME?</v>
      </c>
      <c r="F358" s="324"/>
      <c r="G358" s="324"/>
      <c r="H358" s="324" t="e">
        <f aca="false">общ.калькуляция!j357</f>
        <v>#NAME?</v>
      </c>
      <c r="I358" s="324"/>
      <c r="J358" s="324"/>
      <c r="K358" s="324" t="e">
        <f aca="false">общ.калькуляция!m357</f>
        <v>#NAME?</v>
      </c>
      <c r="L358" s="324"/>
      <c r="M358" s="324"/>
      <c r="N358" s="324" t="e">
        <f aca="false">E358+H358+K358</f>
        <v>#NAME?</v>
      </c>
    </row>
    <row r="359" customFormat="false" ht="13.5" hidden="false" customHeight="true" outlineLevel="0" collapsed="false">
      <c r="A359" s="28" t="s">
        <v>626</v>
      </c>
      <c r="B359" s="335" t="s">
        <v>3103</v>
      </c>
      <c r="C359" s="323"/>
      <c r="D359" s="323"/>
      <c r="E359" s="324" t="e">
        <f aca="false">общ.калькуляция!h358</f>
        <v>#NAME?</v>
      </c>
      <c r="F359" s="324"/>
      <c r="G359" s="324"/>
      <c r="H359" s="324" t="e">
        <f aca="false">общ.калькуляция!j358</f>
        <v>#NAME?</v>
      </c>
      <c r="I359" s="324"/>
      <c r="J359" s="324"/>
      <c r="K359" s="324" t="e">
        <f aca="false">общ.калькуляция!m358</f>
        <v>#NAME?</v>
      </c>
      <c r="L359" s="324"/>
      <c r="M359" s="324"/>
      <c r="N359" s="324" t="e">
        <f aca="false">E359+H359+K359</f>
        <v>#NAME?</v>
      </c>
    </row>
    <row r="360" customFormat="false" ht="13.5" hidden="false" customHeight="true" outlineLevel="0" collapsed="false">
      <c r="A360" s="28" t="s">
        <v>627</v>
      </c>
      <c r="B360" s="335" t="s">
        <v>3102</v>
      </c>
      <c r="C360" s="323"/>
      <c r="D360" s="323"/>
      <c r="E360" s="324" t="e">
        <f aca="false">общ.калькуляция!h359</f>
        <v>#NAME?</v>
      </c>
      <c r="F360" s="324"/>
      <c r="G360" s="324"/>
      <c r="H360" s="324" t="e">
        <f aca="false">общ.калькуляция!j359</f>
        <v>#NAME?</v>
      </c>
      <c r="I360" s="324"/>
      <c r="J360" s="324"/>
      <c r="K360" s="324" t="e">
        <f aca="false">общ.калькуляция!m359</f>
        <v>#NAME?</v>
      </c>
      <c r="L360" s="324"/>
      <c r="M360" s="324"/>
      <c r="N360" s="324" t="e">
        <f aca="false">E360+H360+K360</f>
        <v>#NAME?</v>
      </c>
    </row>
    <row r="361" customFormat="false" ht="13.5" hidden="false" customHeight="true" outlineLevel="0" collapsed="false">
      <c r="A361" s="28" t="s">
        <v>628</v>
      </c>
      <c r="B361" s="335" t="s">
        <v>3129</v>
      </c>
      <c r="C361" s="323"/>
      <c r="D361" s="323"/>
      <c r="E361" s="324" t="e">
        <f aca="false">общ.калькуляция!h360</f>
        <v>#NAME?</v>
      </c>
      <c r="F361" s="324"/>
      <c r="G361" s="324"/>
      <c r="H361" s="324" t="e">
        <f aca="false">общ.калькуляция!j360</f>
        <v>#NAME?</v>
      </c>
      <c r="I361" s="324"/>
      <c r="J361" s="324"/>
      <c r="K361" s="324" t="e">
        <f aca="false">общ.калькуляция!m360</f>
        <v>#NAME?</v>
      </c>
      <c r="L361" s="324"/>
      <c r="M361" s="324"/>
      <c r="N361" s="324" t="e">
        <f aca="false">E361+H361+K361</f>
        <v>#NAME?</v>
      </c>
    </row>
    <row r="362" customFormat="false" ht="13.5" hidden="false" customHeight="true" outlineLevel="0" collapsed="false">
      <c r="A362" s="28" t="s">
        <v>629</v>
      </c>
      <c r="B362" s="335" t="s">
        <v>3139</v>
      </c>
      <c r="C362" s="323"/>
      <c r="D362" s="323"/>
      <c r="E362" s="324" t="e">
        <f aca="false">общ.калькуляция!h361</f>
        <v>#NAME?</v>
      </c>
      <c r="F362" s="324"/>
      <c r="G362" s="324"/>
      <c r="H362" s="324" t="e">
        <f aca="false">общ.калькуляция!j361</f>
        <v>#NAME?</v>
      </c>
      <c r="I362" s="324"/>
      <c r="J362" s="324"/>
      <c r="K362" s="324" t="e">
        <f aca="false">общ.калькуляция!m361</f>
        <v>#NAME?</v>
      </c>
      <c r="L362" s="324"/>
      <c r="M362" s="324"/>
      <c r="N362" s="324" t="e">
        <f aca="false">E362+H362+K362</f>
        <v>#NAME?</v>
      </c>
    </row>
    <row r="363" customFormat="false" ht="13.5" hidden="false" customHeight="true" outlineLevel="0" collapsed="false">
      <c r="A363" s="28" t="s">
        <v>631</v>
      </c>
      <c r="B363" s="335" t="s">
        <v>3140</v>
      </c>
      <c r="C363" s="323"/>
      <c r="D363" s="323"/>
      <c r="E363" s="324" t="e">
        <f aca="false">общ.калькуляция!h362</f>
        <v>#NAME?</v>
      </c>
      <c r="F363" s="324"/>
      <c r="G363" s="324"/>
      <c r="H363" s="324" t="e">
        <f aca="false">общ.калькуляция!j362</f>
        <v>#NAME?</v>
      </c>
      <c r="I363" s="324"/>
      <c r="J363" s="324"/>
      <c r="K363" s="324" t="e">
        <f aca="false">общ.калькуляция!m362</f>
        <v>#NAME?</v>
      </c>
      <c r="L363" s="324"/>
      <c r="M363" s="324"/>
      <c r="N363" s="324" t="e">
        <f aca="false">E363+H363+K363</f>
        <v>#NAME?</v>
      </c>
    </row>
    <row r="364" customFormat="false" ht="13.5" hidden="false" customHeight="true" outlineLevel="0" collapsed="false">
      <c r="A364" s="28" t="s">
        <v>633</v>
      </c>
      <c r="B364" s="335" t="s">
        <v>3141</v>
      </c>
      <c r="C364" s="323"/>
      <c r="D364" s="323"/>
      <c r="E364" s="324" t="e">
        <f aca="false">общ.калькуляция!h363</f>
        <v>#NAME?</v>
      </c>
      <c r="F364" s="324"/>
      <c r="G364" s="324"/>
      <c r="H364" s="324" t="e">
        <f aca="false">общ.калькуляция!j363</f>
        <v>#NAME?</v>
      </c>
      <c r="I364" s="324"/>
      <c r="J364" s="324"/>
      <c r="K364" s="324" t="e">
        <f aca="false">общ.калькуляция!m363</f>
        <v>#NAME?</v>
      </c>
      <c r="L364" s="324"/>
      <c r="M364" s="324"/>
      <c r="N364" s="324" t="e">
        <f aca="false">E364+H364+K364</f>
        <v>#NAME?</v>
      </c>
    </row>
    <row r="365" customFormat="false" ht="13.5" hidden="false" customHeight="true" outlineLevel="0" collapsed="false">
      <c r="A365" s="28" t="s">
        <v>635</v>
      </c>
      <c r="B365" s="335" t="s">
        <v>3142</v>
      </c>
      <c r="C365" s="323"/>
      <c r="D365" s="323"/>
      <c r="E365" s="324" t="e">
        <f aca="false">общ.калькуляция!h364</f>
        <v>#NAME?</v>
      </c>
      <c r="F365" s="324"/>
      <c r="G365" s="324"/>
      <c r="H365" s="324" t="e">
        <f aca="false">общ.калькуляция!j364</f>
        <v>#NAME?</v>
      </c>
      <c r="I365" s="324"/>
      <c r="J365" s="324"/>
      <c r="K365" s="324" t="e">
        <f aca="false">общ.калькуляция!m364</f>
        <v>#NAME?</v>
      </c>
      <c r="L365" s="324"/>
      <c r="M365" s="324"/>
      <c r="N365" s="324" t="e">
        <f aca="false">E365+H365+K365</f>
        <v>#NAME?</v>
      </c>
    </row>
    <row r="366" customFormat="false" ht="13.5" hidden="false" customHeight="true" outlineLevel="0" collapsed="false">
      <c r="A366" s="15" t="s">
        <v>637</v>
      </c>
      <c r="B366" s="16" t="s">
        <v>3143</v>
      </c>
      <c r="C366" s="321"/>
      <c r="D366" s="321"/>
      <c r="E366" s="329"/>
      <c r="F366" s="329"/>
      <c r="G366" s="329"/>
      <c r="H366" s="329"/>
      <c r="I366" s="329"/>
      <c r="J366" s="329"/>
      <c r="K366" s="329"/>
      <c r="L366" s="329"/>
      <c r="M366" s="329"/>
      <c r="N366" s="329"/>
    </row>
    <row r="367" customFormat="false" ht="13.5" hidden="false" customHeight="true" outlineLevel="0" collapsed="false">
      <c r="A367" s="28" t="s">
        <v>639</v>
      </c>
      <c r="B367" s="29" t="s">
        <v>3010</v>
      </c>
      <c r="C367" s="323"/>
      <c r="D367" s="323"/>
      <c r="E367" s="324" t="e">
        <f aca="false">общ.калькуляция!h366</f>
        <v>#NAME?</v>
      </c>
      <c r="F367" s="324"/>
      <c r="G367" s="324"/>
      <c r="H367" s="324" t="e">
        <f aca="false">общ.калькуляция!j366</f>
        <v>#NAME?</v>
      </c>
      <c r="I367" s="324"/>
      <c r="J367" s="324"/>
      <c r="K367" s="324" t="e">
        <f aca="false">общ.калькуляция!m366</f>
        <v>#NAME?</v>
      </c>
      <c r="L367" s="324"/>
      <c r="M367" s="324"/>
      <c r="N367" s="324" t="e">
        <f aca="false">E367+H367+K367</f>
        <v>#NAME?</v>
      </c>
    </row>
    <row r="368" customFormat="false" ht="13.5" hidden="false" customHeight="true" outlineLevel="0" collapsed="false">
      <c r="A368" s="28" t="s">
        <v>640</v>
      </c>
      <c r="B368" s="29" t="s">
        <v>3084</v>
      </c>
      <c r="C368" s="323"/>
      <c r="D368" s="323"/>
      <c r="E368" s="324" t="e">
        <f aca="false">общ.калькуляция!h367</f>
        <v>#NAME?</v>
      </c>
      <c r="F368" s="324"/>
      <c r="G368" s="324"/>
      <c r="H368" s="324" t="e">
        <f aca="false">общ.калькуляция!j367</f>
        <v>#NAME?</v>
      </c>
      <c r="I368" s="324"/>
      <c r="J368" s="324"/>
      <c r="K368" s="324" t="e">
        <f aca="false">общ.калькуляция!m367</f>
        <v>#NAME?</v>
      </c>
      <c r="L368" s="324"/>
      <c r="M368" s="324"/>
      <c r="N368" s="324" t="e">
        <f aca="false">E368+H368+K368</f>
        <v>#NAME?</v>
      </c>
    </row>
    <row r="369" customFormat="false" ht="13.5" hidden="false" customHeight="true" outlineLevel="0" collapsed="false">
      <c r="A369" s="28" t="s">
        <v>641</v>
      </c>
      <c r="B369" s="29" t="s">
        <v>3085</v>
      </c>
      <c r="C369" s="323"/>
      <c r="D369" s="323"/>
      <c r="E369" s="324" t="e">
        <f aca="false">общ.калькуляция!h368</f>
        <v>#NAME?</v>
      </c>
      <c r="F369" s="324"/>
      <c r="G369" s="324"/>
      <c r="H369" s="324" t="e">
        <f aca="false">общ.калькуляция!j368</f>
        <v>#NAME?</v>
      </c>
      <c r="I369" s="324"/>
      <c r="J369" s="324"/>
      <c r="K369" s="324" t="e">
        <f aca="false">общ.калькуляция!m368</f>
        <v>#NAME?</v>
      </c>
      <c r="L369" s="324"/>
      <c r="M369" s="324"/>
      <c r="N369" s="324" t="e">
        <f aca="false">E369+H369+K369</f>
        <v>#NAME?</v>
      </c>
    </row>
    <row r="370" customFormat="false" ht="13.5" hidden="false" customHeight="true" outlineLevel="0" collapsed="false">
      <c r="A370" s="28" t="s">
        <v>642</v>
      </c>
      <c r="B370" s="29" t="s">
        <v>3144</v>
      </c>
      <c r="C370" s="323"/>
      <c r="D370" s="323"/>
      <c r="E370" s="324" t="e">
        <f aca="false">общ.калькуляция!h369</f>
        <v>#NAME?</v>
      </c>
      <c r="F370" s="324"/>
      <c r="G370" s="324"/>
      <c r="H370" s="324" t="e">
        <f aca="false">общ.калькуляция!j369</f>
        <v>#NAME?</v>
      </c>
      <c r="I370" s="324"/>
      <c r="J370" s="324"/>
      <c r="K370" s="324" t="e">
        <f aca="false">общ.калькуляция!m369</f>
        <v>#NAME?</v>
      </c>
      <c r="L370" s="324"/>
      <c r="M370" s="324"/>
      <c r="N370" s="324" t="e">
        <f aca="false">E370+H370+K370</f>
        <v>#NAME?</v>
      </c>
    </row>
    <row r="371" customFormat="false" ht="13.5" hidden="false" customHeight="true" outlineLevel="0" collapsed="false">
      <c r="A371" s="28" t="s">
        <v>644</v>
      </c>
      <c r="B371" s="29" t="s">
        <v>3058</v>
      </c>
      <c r="C371" s="323"/>
      <c r="D371" s="323"/>
      <c r="E371" s="324" t="e">
        <f aca="false">общ.калькуляция!h370</f>
        <v>#NAME?</v>
      </c>
      <c r="F371" s="324"/>
      <c r="G371" s="324"/>
      <c r="H371" s="324" t="e">
        <f aca="false">общ.калькуляция!j370</f>
        <v>#NAME?</v>
      </c>
      <c r="I371" s="324"/>
      <c r="J371" s="324"/>
      <c r="K371" s="324" t="e">
        <f aca="false">общ.калькуляция!m370</f>
        <v>#NAME?</v>
      </c>
      <c r="L371" s="324"/>
      <c r="M371" s="324"/>
      <c r="N371" s="324" t="e">
        <f aca="false">E371+H371+K371</f>
        <v>#NAME?</v>
      </c>
    </row>
    <row r="372" customFormat="false" ht="13.5" hidden="false" customHeight="true" outlineLevel="0" collapsed="false">
      <c r="A372" s="28" t="s">
        <v>645</v>
      </c>
      <c r="B372" s="29" t="s">
        <v>3059</v>
      </c>
      <c r="C372" s="323"/>
      <c r="D372" s="323"/>
      <c r="E372" s="324" t="e">
        <f aca="false">общ.калькуляция!h371</f>
        <v>#NAME?</v>
      </c>
      <c r="F372" s="324"/>
      <c r="G372" s="324"/>
      <c r="H372" s="324" t="e">
        <f aca="false">общ.калькуляция!j371</f>
        <v>#NAME?</v>
      </c>
      <c r="I372" s="324"/>
      <c r="J372" s="324"/>
      <c r="K372" s="324" t="e">
        <f aca="false">общ.калькуляция!m371</f>
        <v>#NAME?</v>
      </c>
      <c r="L372" s="324"/>
      <c r="M372" s="324"/>
      <c r="N372" s="324" t="e">
        <f aca="false">E372+H372+K372</f>
        <v>#NAME?</v>
      </c>
    </row>
    <row r="373" customFormat="false" ht="13.5" hidden="false" customHeight="true" outlineLevel="0" collapsed="false">
      <c r="A373" s="28" t="s">
        <v>646</v>
      </c>
      <c r="B373" s="29" t="s">
        <v>3122</v>
      </c>
      <c r="C373" s="323"/>
      <c r="D373" s="323"/>
      <c r="E373" s="324" t="e">
        <f aca="false">общ.калькуляция!h372</f>
        <v>#NAME?</v>
      </c>
      <c r="F373" s="324"/>
      <c r="G373" s="324"/>
      <c r="H373" s="324" t="e">
        <f aca="false">общ.калькуляция!j372</f>
        <v>#NAME?</v>
      </c>
      <c r="I373" s="324"/>
      <c r="J373" s="324"/>
      <c r="K373" s="324" t="e">
        <f aca="false">общ.калькуляция!m372</f>
        <v>#NAME?</v>
      </c>
      <c r="L373" s="324"/>
      <c r="M373" s="324"/>
      <c r="N373" s="324" t="e">
        <f aca="false">E373+H373+K373</f>
        <v>#NAME?</v>
      </c>
    </row>
    <row r="374" customFormat="false" ht="13.5" hidden="false" customHeight="true" outlineLevel="0" collapsed="false">
      <c r="A374" s="28" t="s">
        <v>647</v>
      </c>
      <c r="B374" s="29" t="s">
        <v>3145</v>
      </c>
      <c r="C374" s="323"/>
      <c r="D374" s="323"/>
      <c r="E374" s="324" t="e">
        <f aca="false">общ.калькуляция!h373</f>
        <v>#NAME?</v>
      </c>
      <c r="F374" s="324"/>
      <c r="G374" s="324"/>
      <c r="H374" s="324" t="e">
        <f aca="false">общ.калькуляция!j373</f>
        <v>#NAME?</v>
      </c>
      <c r="I374" s="324"/>
      <c r="J374" s="324"/>
      <c r="K374" s="324" t="e">
        <f aca="false">общ.калькуляция!m373</f>
        <v>#NAME?</v>
      </c>
      <c r="L374" s="324"/>
      <c r="M374" s="324"/>
      <c r="N374" s="324" t="e">
        <f aca="false">E374+H374+K374</f>
        <v>#NAME?</v>
      </c>
    </row>
    <row r="375" customFormat="false" ht="13.5" hidden="false" customHeight="true" outlineLevel="0" collapsed="false">
      <c r="A375" s="28" t="s">
        <v>649</v>
      </c>
      <c r="B375" s="29" t="s">
        <v>3100</v>
      </c>
      <c r="C375" s="323"/>
      <c r="D375" s="323"/>
      <c r="E375" s="324" t="e">
        <f aca="false">общ.калькуляция!h374</f>
        <v>#NAME?</v>
      </c>
      <c r="F375" s="324"/>
      <c r="G375" s="324"/>
      <c r="H375" s="324" t="e">
        <f aca="false">общ.калькуляция!j374</f>
        <v>#NAME?</v>
      </c>
      <c r="I375" s="324"/>
      <c r="J375" s="324"/>
      <c r="K375" s="324" t="e">
        <f aca="false">общ.калькуляция!m374</f>
        <v>#NAME?</v>
      </c>
      <c r="L375" s="324"/>
      <c r="M375" s="324"/>
      <c r="N375" s="324" t="e">
        <f aca="false">E375+H375+K375</f>
        <v>#NAME?</v>
      </c>
    </row>
    <row r="376" customFormat="false" ht="13.5" hidden="false" customHeight="true" outlineLevel="0" collapsed="false">
      <c r="A376" s="28" t="s">
        <v>650</v>
      </c>
      <c r="B376" s="29" t="s">
        <v>3146</v>
      </c>
      <c r="C376" s="323"/>
      <c r="D376" s="323"/>
      <c r="E376" s="324" t="e">
        <f aca="false">общ.калькуляция!h375</f>
        <v>#NAME?</v>
      </c>
      <c r="F376" s="324"/>
      <c r="G376" s="324"/>
      <c r="H376" s="324" t="e">
        <f aca="false">общ.калькуляция!j375</f>
        <v>#NAME?</v>
      </c>
      <c r="I376" s="324"/>
      <c r="J376" s="324"/>
      <c r="K376" s="324" t="e">
        <f aca="false">общ.калькуляция!m375</f>
        <v>#NAME?</v>
      </c>
      <c r="L376" s="324"/>
      <c r="M376" s="324"/>
      <c r="N376" s="324" t="e">
        <f aca="false">E376+H376+K376</f>
        <v>#NAME?</v>
      </c>
    </row>
    <row r="377" customFormat="false" ht="13.5" hidden="false" customHeight="true" outlineLevel="0" collapsed="false">
      <c r="A377" s="28" t="s">
        <v>651</v>
      </c>
      <c r="B377" s="29" t="s">
        <v>3147</v>
      </c>
      <c r="C377" s="323"/>
      <c r="D377" s="323"/>
      <c r="E377" s="324" t="e">
        <f aca="false">общ.калькуляция!h376</f>
        <v>#NAME?</v>
      </c>
      <c r="F377" s="324"/>
      <c r="G377" s="324"/>
      <c r="H377" s="324" t="e">
        <f aca="false">общ.калькуляция!j376</f>
        <v>#NAME?</v>
      </c>
      <c r="I377" s="324"/>
      <c r="J377" s="324"/>
      <c r="K377" s="324" t="e">
        <f aca="false">общ.калькуляция!m376</f>
        <v>#NAME?</v>
      </c>
      <c r="L377" s="324"/>
      <c r="M377" s="324"/>
      <c r="N377" s="324" t="e">
        <f aca="false">E377+H377+K377</f>
        <v>#NAME?</v>
      </c>
    </row>
    <row r="378" customFormat="false" ht="13.5" hidden="false" customHeight="true" outlineLevel="0" collapsed="false">
      <c r="A378" s="28" t="s">
        <v>652</v>
      </c>
      <c r="B378" s="29" t="s">
        <v>3102</v>
      </c>
      <c r="C378" s="323"/>
      <c r="D378" s="323"/>
      <c r="E378" s="324" t="e">
        <f aca="false">общ.калькуляция!h377</f>
        <v>#NAME?</v>
      </c>
      <c r="F378" s="324"/>
      <c r="G378" s="324"/>
      <c r="H378" s="324" t="e">
        <f aca="false">общ.калькуляция!j377</f>
        <v>#NAME?</v>
      </c>
      <c r="I378" s="324"/>
      <c r="J378" s="324"/>
      <c r="K378" s="324" t="e">
        <f aca="false">общ.калькуляция!m377</f>
        <v>#NAME?</v>
      </c>
      <c r="L378" s="324"/>
      <c r="M378" s="324"/>
      <c r="N378" s="324" t="e">
        <f aca="false">E378+H378+K378</f>
        <v>#NAME?</v>
      </c>
    </row>
    <row r="379" customFormat="false" ht="13.5" hidden="false" customHeight="true" outlineLevel="0" collapsed="false">
      <c r="A379" s="28" t="s">
        <v>653</v>
      </c>
      <c r="B379" s="29" t="s">
        <v>3148</v>
      </c>
      <c r="C379" s="323"/>
      <c r="D379" s="323"/>
      <c r="E379" s="324" t="e">
        <f aca="false">общ.калькуляция!h378</f>
        <v>#NAME?</v>
      </c>
      <c r="F379" s="324"/>
      <c r="G379" s="324"/>
      <c r="H379" s="324" t="e">
        <f aca="false">общ.калькуляция!j378</f>
        <v>#NAME?</v>
      </c>
      <c r="I379" s="324"/>
      <c r="J379" s="324"/>
      <c r="K379" s="324" t="e">
        <f aca="false">общ.калькуляция!m378</f>
        <v>#NAME?</v>
      </c>
      <c r="L379" s="324"/>
      <c r="M379" s="324"/>
      <c r="N379" s="324" t="e">
        <f aca="false">E379+H379+K379</f>
        <v>#NAME?</v>
      </c>
    </row>
    <row r="380" customFormat="false" ht="13.5" hidden="false" customHeight="true" outlineLevel="0" collapsed="false">
      <c r="A380" s="28" t="s">
        <v>654</v>
      </c>
      <c r="B380" s="29" t="s">
        <v>3149</v>
      </c>
      <c r="C380" s="323"/>
      <c r="D380" s="323"/>
      <c r="E380" s="324" t="e">
        <f aca="false">общ.калькуляция!h379</f>
        <v>#NAME?</v>
      </c>
      <c r="F380" s="324"/>
      <c r="G380" s="324"/>
      <c r="H380" s="324" t="e">
        <f aca="false">общ.калькуляция!j379</f>
        <v>#NAME?</v>
      </c>
      <c r="I380" s="324"/>
      <c r="J380" s="324"/>
      <c r="K380" s="324" t="e">
        <f aca="false">общ.калькуляция!m379</f>
        <v>#NAME?</v>
      </c>
      <c r="L380" s="324"/>
      <c r="M380" s="324"/>
      <c r="N380" s="324" t="e">
        <f aca="false">E380+H380+K380</f>
        <v>#NAME?</v>
      </c>
    </row>
    <row r="381" customFormat="false" ht="13.5" hidden="false" customHeight="true" outlineLevel="0" collapsed="false">
      <c r="A381" s="28" t="s">
        <v>655</v>
      </c>
      <c r="B381" s="29" t="s">
        <v>3150</v>
      </c>
      <c r="C381" s="323"/>
      <c r="D381" s="323"/>
      <c r="E381" s="324" t="e">
        <f aca="false">общ.калькуляция!h380</f>
        <v>#NAME?</v>
      </c>
      <c r="F381" s="324"/>
      <c r="G381" s="324"/>
      <c r="H381" s="324" t="e">
        <f aca="false">общ.калькуляция!j380</f>
        <v>#NAME?</v>
      </c>
      <c r="I381" s="324"/>
      <c r="J381" s="324"/>
      <c r="K381" s="324" t="e">
        <f aca="false">общ.калькуляция!m380</f>
        <v>#NAME?</v>
      </c>
      <c r="L381" s="324"/>
      <c r="M381" s="324"/>
      <c r="N381" s="324" t="e">
        <f aca="false">E381+H381+K381</f>
        <v>#NAME?</v>
      </c>
    </row>
    <row r="382" customFormat="false" ht="13.5" hidden="false" customHeight="true" outlineLevel="0" collapsed="false">
      <c r="A382" s="28" t="s">
        <v>657</v>
      </c>
      <c r="B382" s="29" t="s">
        <v>3151</v>
      </c>
      <c r="C382" s="323"/>
      <c r="D382" s="323"/>
      <c r="E382" s="324" t="e">
        <f aca="false">общ.калькуляция!h381</f>
        <v>#NAME?</v>
      </c>
      <c r="F382" s="324"/>
      <c r="G382" s="324"/>
      <c r="H382" s="324" t="e">
        <f aca="false">общ.калькуляция!j381</f>
        <v>#NAME?</v>
      </c>
      <c r="I382" s="324"/>
      <c r="J382" s="324"/>
      <c r="K382" s="324" t="e">
        <f aca="false">общ.калькуляция!m381</f>
        <v>#NAME?</v>
      </c>
      <c r="L382" s="324"/>
      <c r="M382" s="324"/>
      <c r="N382" s="324" t="e">
        <f aca="false">E382+H382+K382</f>
        <v>#NAME?</v>
      </c>
    </row>
    <row r="383" customFormat="false" ht="13.5" hidden="false" customHeight="true" outlineLevel="0" collapsed="false">
      <c r="A383" s="28" t="s">
        <v>658</v>
      </c>
      <c r="B383" s="29" t="s">
        <v>3152</v>
      </c>
      <c r="C383" s="323"/>
      <c r="D383" s="323"/>
      <c r="E383" s="324" t="e">
        <f aca="false">общ.калькуляция!h382</f>
        <v>#NAME?</v>
      </c>
      <c r="F383" s="324"/>
      <c r="G383" s="324"/>
      <c r="H383" s="324" t="e">
        <f aca="false">общ.калькуляция!j382</f>
        <v>#NAME?</v>
      </c>
      <c r="I383" s="324"/>
      <c r="J383" s="324"/>
      <c r="K383" s="324" t="e">
        <f aca="false">общ.калькуляция!m382</f>
        <v>#NAME?</v>
      </c>
      <c r="L383" s="324"/>
      <c r="M383" s="324"/>
      <c r="N383" s="324" t="e">
        <f aca="false">E383+H383+K383</f>
        <v>#NAME?</v>
      </c>
    </row>
    <row r="384" customFormat="false" ht="13.5" hidden="false" customHeight="true" outlineLevel="0" collapsed="false">
      <c r="A384" s="28" t="s">
        <v>659</v>
      </c>
      <c r="B384" s="40" t="s">
        <v>3153</v>
      </c>
      <c r="C384" s="323"/>
      <c r="D384" s="323"/>
      <c r="E384" s="324" t="e">
        <f aca="false">общ.калькуляция!h383</f>
        <v>#NAME?</v>
      </c>
      <c r="F384" s="324"/>
      <c r="G384" s="324"/>
      <c r="H384" s="324" t="e">
        <f aca="false">общ.калькуляция!j383</f>
        <v>#NAME?</v>
      </c>
      <c r="I384" s="324"/>
      <c r="J384" s="324"/>
      <c r="K384" s="324" t="e">
        <f aca="false">общ.калькуляция!m383</f>
        <v>#NAME?</v>
      </c>
      <c r="L384" s="324"/>
      <c r="M384" s="324"/>
      <c r="N384" s="324" t="e">
        <f aca="false">E384+H384+K384</f>
        <v>#NAME?</v>
      </c>
    </row>
    <row r="385" customFormat="false" ht="13.5" hidden="false" customHeight="true" outlineLevel="0" collapsed="false">
      <c r="A385" s="28" t="s">
        <v>661</v>
      </c>
      <c r="B385" s="40" t="s">
        <v>3154</v>
      </c>
      <c r="C385" s="323"/>
      <c r="D385" s="323"/>
      <c r="E385" s="324" t="e">
        <f aca="false">общ.калькуляция!h384</f>
        <v>#NAME?</v>
      </c>
      <c r="F385" s="324"/>
      <c r="G385" s="324"/>
      <c r="H385" s="324" t="e">
        <f aca="false">общ.калькуляция!j384</f>
        <v>#NAME?</v>
      </c>
      <c r="I385" s="324"/>
      <c r="J385" s="324"/>
      <c r="K385" s="324" t="e">
        <f aca="false">общ.калькуляция!m384</f>
        <v>#NAME?</v>
      </c>
      <c r="L385" s="324"/>
      <c r="M385" s="324"/>
      <c r="N385" s="324" t="e">
        <f aca="false">E385+H385+K385</f>
        <v>#NAME?</v>
      </c>
    </row>
    <row r="386" customFormat="false" ht="13.5" hidden="false" customHeight="true" outlineLevel="0" collapsed="false">
      <c r="A386" s="15" t="s">
        <v>663</v>
      </c>
      <c r="B386" s="16" t="s">
        <v>3155</v>
      </c>
      <c r="C386" s="321"/>
      <c r="D386" s="321"/>
      <c r="E386" s="329"/>
      <c r="F386" s="329"/>
      <c r="G386" s="329"/>
      <c r="H386" s="329"/>
      <c r="I386" s="329"/>
      <c r="J386" s="329"/>
      <c r="K386" s="329"/>
      <c r="L386" s="329"/>
      <c r="M386" s="329"/>
      <c r="N386" s="329"/>
    </row>
    <row r="387" customFormat="false" ht="13.5" hidden="false" customHeight="true" outlineLevel="0" collapsed="false">
      <c r="A387" s="28" t="s">
        <v>665</v>
      </c>
      <c r="B387" s="29" t="s">
        <v>3010</v>
      </c>
      <c r="C387" s="323"/>
      <c r="D387" s="323"/>
      <c r="E387" s="324" t="e">
        <f aca="false">общ.калькуляция!h386</f>
        <v>#NAME?</v>
      </c>
      <c r="F387" s="324"/>
      <c r="G387" s="324"/>
      <c r="H387" s="324" t="e">
        <f aca="false">общ.калькуляция!j386</f>
        <v>#NAME?</v>
      </c>
      <c r="I387" s="324"/>
      <c r="J387" s="324"/>
      <c r="K387" s="324" t="e">
        <f aca="false">общ.калькуляция!m386</f>
        <v>#NAME?</v>
      </c>
      <c r="L387" s="324"/>
      <c r="M387" s="324"/>
      <c r="N387" s="324" t="e">
        <f aca="false">E387+H387+K387</f>
        <v>#NAME?</v>
      </c>
    </row>
    <row r="388" customFormat="false" ht="13.5" hidden="false" customHeight="true" outlineLevel="0" collapsed="false">
      <c r="A388" s="28" t="s">
        <v>666</v>
      </c>
      <c r="B388" s="29" t="s">
        <v>3156</v>
      </c>
      <c r="C388" s="323"/>
      <c r="D388" s="323"/>
      <c r="E388" s="324" t="e">
        <f aca="false">общ.калькуляция!h387</f>
        <v>#NAME?</v>
      </c>
      <c r="F388" s="324"/>
      <c r="G388" s="324"/>
      <c r="H388" s="324" t="e">
        <f aca="false">общ.калькуляция!j387</f>
        <v>#NAME?</v>
      </c>
      <c r="I388" s="324"/>
      <c r="J388" s="324"/>
      <c r="K388" s="324" t="e">
        <f aca="false">общ.калькуляция!m387</f>
        <v>#NAME?</v>
      </c>
      <c r="L388" s="324"/>
      <c r="M388" s="324"/>
      <c r="N388" s="324" t="e">
        <f aca="false">E388+H388+K388</f>
        <v>#NAME?</v>
      </c>
    </row>
    <row r="389" customFormat="false" ht="13.5" hidden="false" customHeight="true" outlineLevel="0" collapsed="false">
      <c r="A389" s="28" t="s">
        <v>668</v>
      </c>
      <c r="B389" s="29" t="s">
        <v>3157</v>
      </c>
      <c r="C389" s="323"/>
      <c r="D389" s="323"/>
      <c r="E389" s="324" t="e">
        <f aca="false">общ.калькуляция!h388</f>
        <v>#NAME?</v>
      </c>
      <c r="F389" s="324"/>
      <c r="G389" s="324"/>
      <c r="H389" s="324" t="e">
        <f aca="false">общ.калькуляция!j388</f>
        <v>#NAME?</v>
      </c>
      <c r="I389" s="324"/>
      <c r="J389" s="324"/>
      <c r="K389" s="324" t="e">
        <f aca="false">общ.калькуляция!m388</f>
        <v>#NAME?</v>
      </c>
      <c r="L389" s="324"/>
      <c r="M389" s="324"/>
      <c r="N389" s="324" t="e">
        <f aca="false">E389+H389+K389</f>
        <v>#NAME?</v>
      </c>
    </row>
    <row r="390" customFormat="false" ht="13.5" hidden="false" customHeight="true" outlineLevel="0" collapsed="false">
      <c r="A390" s="28" t="s">
        <v>669</v>
      </c>
      <c r="B390" s="29" t="s">
        <v>3158</v>
      </c>
      <c r="C390" s="323"/>
      <c r="D390" s="323"/>
      <c r="E390" s="324" t="e">
        <f aca="false">общ.калькуляция!h389</f>
        <v>#NAME?</v>
      </c>
      <c r="F390" s="324"/>
      <c r="G390" s="324"/>
      <c r="H390" s="324" t="e">
        <f aca="false">общ.калькуляция!j389</f>
        <v>#NAME?</v>
      </c>
      <c r="I390" s="324"/>
      <c r="J390" s="324"/>
      <c r="K390" s="324" t="e">
        <f aca="false">общ.калькуляция!m389</f>
        <v>#NAME?</v>
      </c>
      <c r="L390" s="324"/>
      <c r="M390" s="324"/>
      <c r="N390" s="324" t="e">
        <f aca="false">E390+H390+K390</f>
        <v>#NAME?</v>
      </c>
    </row>
    <row r="391" customFormat="false" ht="13.5" hidden="false" customHeight="true" outlineLevel="0" collapsed="false">
      <c r="A391" s="28" t="s">
        <v>671</v>
      </c>
      <c r="B391" s="29" t="s">
        <v>3159</v>
      </c>
      <c r="C391" s="323"/>
      <c r="D391" s="323"/>
      <c r="E391" s="324" t="e">
        <f aca="false">общ.калькуляция!h390</f>
        <v>#NAME?</v>
      </c>
      <c r="F391" s="324"/>
      <c r="G391" s="324"/>
      <c r="H391" s="324" t="e">
        <f aca="false">общ.калькуляция!j390</f>
        <v>#NAME?</v>
      </c>
      <c r="I391" s="324"/>
      <c r="J391" s="324"/>
      <c r="K391" s="324" t="e">
        <f aca="false">общ.калькуляция!m390</f>
        <v>#NAME?</v>
      </c>
      <c r="L391" s="324"/>
      <c r="M391" s="324"/>
      <c r="N391" s="324" t="e">
        <f aca="false">E391+H391+K391</f>
        <v>#NAME?</v>
      </c>
    </row>
    <row r="392" customFormat="false" ht="13.5" hidden="false" customHeight="true" outlineLevel="0" collapsed="false">
      <c r="A392" s="28" t="s">
        <v>673</v>
      </c>
      <c r="B392" s="29" t="s">
        <v>3084</v>
      </c>
      <c r="C392" s="323"/>
      <c r="D392" s="323"/>
      <c r="E392" s="324" t="e">
        <f aca="false">общ.калькуляция!h391</f>
        <v>#NAME?</v>
      </c>
      <c r="F392" s="324"/>
      <c r="G392" s="324"/>
      <c r="H392" s="324" t="e">
        <f aca="false">общ.калькуляция!j391</f>
        <v>#NAME?</v>
      </c>
      <c r="I392" s="324"/>
      <c r="J392" s="324"/>
      <c r="K392" s="324" t="e">
        <f aca="false">общ.калькуляция!m391</f>
        <v>#NAME?</v>
      </c>
      <c r="L392" s="324"/>
      <c r="M392" s="324"/>
      <c r="N392" s="324" t="e">
        <f aca="false">E392+H392+K392</f>
        <v>#NAME?</v>
      </c>
    </row>
    <row r="393" customFormat="false" ht="13.5" hidden="false" customHeight="true" outlineLevel="0" collapsed="false">
      <c r="A393" s="28" t="s">
        <v>674</v>
      </c>
      <c r="B393" s="29" t="s">
        <v>3085</v>
      </c>
      <c r="C393" s="323"/>
      <c r="D393" s="323"/>
      <c r="E393" s="324" t="e">
        <f aca="false">общ.калькуляция!h392</f>
        <v>#NAME?</v>
      </c>
      <c r="F393" s="324"/>
      <c r="G393" s="324"/>
      <c r="H393" s="324" t="e">
        <f aca="false">общ.калькуляция!j392</f>
        <v>#NAME?</v>
      </c>
      <c r="I393" s="324"/>
      <c r="J393" s="324"/>
      <c r="K393" s="324" t="e">
        <f aca="false">общ.калькуляция!m392</f>
        <v>#NAME?</v>
      </c>
      <c r="L393" s="324"/>
      <c r="M393" s="324"/>
      <c r="N393" s="324" t="e">
        <f aca="false">E393+H393+K393</f>
        <v>#NAME?</v>
      </c>
    </row>
    <row r="394" customFormat="false" ht="13.5" hidden="false" customHeight="true" outlineLevel="0" collapsed="false">
      <c r="A394" s="28" t="s">
        <v>675</v>
      </c>
      <c r="B394" s="29" t="s">
        <v>3160</v>
      </c>
      <c r="C394" s="323"/>
      <c r="D394" s="323"/>
      <c r="E394" s="324" t="e">
        <f aca="false">общ.калькуляция!h393</f>
        <v>#NAME?</v>
      </c>
      <c r="F394" s="324"/>
      <c r="G394" s="324"/>
      <c r="H394" s="324" t="e">
        <f aca="false">общ.калькуляция!j393</f>
        <v>#NAME?</v>
      </c>
      <c r="I394" s="324"/>
      <c r="J394" s="324"/>
      <c r="K394" s="324" t="e">
        <f aca="false">общ.калькуляция!m393</f>
        <v>#NAME?</v>
      </c>
      <c r="L394" s="324"/>
      <c r="M394" s="324"/>
      <c r="N394" s="324" t="e">
        <f aca="false">E394+H394+K394</f>
        <v>#NAME?</v>
      </c>
    </row>
    <row r="395" customFormat="false" ht="13.5" hidden="false" customHeight="true" outlineLevel="0" collapsed="false">
      <c r="A395" s="28" t="s">
        <v>677</v>
      </c>
      <c r="B395" s="29" t="s">
        <v>3161</v>
      </c>
      <c r="C395" s="323"/>
      <c r="D395" s="323"/>
      <c r="E395" s="324" t="e">
        <f aca="false">общ.калькуляция!h394</f>
        <v>#NAME?</v>
      </c>
      <c r="F395" s="324"/>
      <c r="G395" s="324"/>
      <c r="H395" s="324" t="e">
        <f aca="false">общ.калькуляция!j394</f>
        <v>#NAME?</v>
      </c>
      <c r="I395" s="324"/>
      <c r="J395" s="324"/>
      <c r="K395" s="324" t="e">
        <f aca="false">общ.калькуляция!m394</f>
        <v>#NAME?</v>
      </c>
      <c r="L395" s="324"/>
      <c r="M395" s="324"/>
      <c r="N395" s="324" t="e">
        <f aca="false">E395+H395+K395</f>
        <v>#NAME?</v>
      </c>
    </row>
    <row r="396" customFormat="false" ht="13.5" hidden="false" customHeight="true" outlineLevel="0" collapsed="false">
      <c r="A396" s="28" t="s">
        <v>678</v>
      </c>
      <c r="B396" s="29" t="s">
        <v>3059</v>
      </c>
      <c r="C396" s="323"/>
      <c r="D396" s="323"/>
      <c r="E396" s="324" t="e">
        <f aca="false">общ.калькуляция!h395</f>
        <v>#NAME?</v>
      </c>
      <c r="F396" s="324"/>
      <c r="G396" s="324"/>
      <c r="H396" s="324" t="e">
        <f aca="false">общ.калькуляция!j395</f>
        <v>#NAME?</v>
      </c>
      <c r="I396" s="324"/>
      <c r="J396" s="324"/>
      <c r="K396" s="324" t="e">
        <f aca="false">общ.калькуляция!m395</f>
        <v>#NAME?</v>
      </c>
      <c r="L396" s="324"/>
      <c r="M396" s="324"/>
      <c r="N396" s="324" t="e">
        <f aca="false">E396+H396+K396</f>
        <v>#NAME?</v>
      </c>
    </row>
    <row r="397" customFormat="false" ht="13.5" hidden="false" customHeight="true" outlineLevel="0" collapsed="false">
      <c r="A397" s="28" t="s">
        <v>679</v>
      </c>
      <c r="B397" s="29" t="s">
        <v>3162</v>
      </c>
      <c r="C397" s="323"/>
      <c r="D397" s="323"/>
      <c r="E397" s="324" t="e">
        <f aca="false">общ.калькуляция!h396</f>
        <v>#NAME?</v>
      </c>
      <c r="F397" s="324"/>
      <c r="G397" s="324"/>
      <c r="H397" s="324" t="e">
        <f aca="false">общ.калькуляция!j396</f>
        <v>#NAME?</v>
      </c>
      <c r="I397" s="324"/>
      <c r="J397" s="324"/>
      <c r="K397" s="324" t="e">
        <f aca="false">общ.калькуляция!m396</f>
        <v>#NAME?</v>
      </c>
      <c r="L397" s="324"/>
      <c r="M397" s="324"/>
      <c r="N397" s="324" t="e">
        <f aca="false">E397+H397+K397</f>
        <v>#NAME?</v>
      </c>
    </row>
    <row r="398" customFormat="false" ht="13.5" hidden="false" customHeight="true" outlineLevel="0" collapsed="false">
      <c r="A398" s="28" t="s">
        <v>681</v>
      </c>
      <c r="B398" s="29" t="s">
        <v>3163</v>
      </c>
      <c r="C398" s="323"/>
      <c r="D398" s="323"/>
      <c r="E398" s="324" t="e">
        <f aca="false">общ.калькуляция!h397</f>
        <v>#NAME?</v>
      </c>
      <c r="F398" s="324"/>
      <c r="G398" s="324"/>
      <c r="H398" s="324" t="e">
        <f aca="false">общ.калькуляция!j397</f>
        <v>#NAME?</v>
      </c>
      <c r="I398" s="324"/>
      <c r="J398" s="324"/>
      <c r="K398" s="324" t="e">
        <f aca="false">общ.калькуляция!m397</f>
        <v>#NAME?</v>
      </c>
      <c r="L398" s="324"/>
      <c r="M398" s="324"/>
      <c r="N398" s="324" t="e">
        <f aca="false">E398+H398+K398</f>
        <v>#NAME?</v>
      </c>
    </row>
    <row r="399" customFormat="false" ht="13.5" hidden="false" customHeight="true" outlineLevel="0" collapsed="false">
      <c r="A399" s="28" t="s">
        <v>683</v>
      </c>
      <c r="B399" s="29" t="s">
        <v>3147</v>
      </c>
      <c r="C399" s="323"/>
      <c r="D399" s="323"/>
      <c r="E399" s="324" t="e">
        <f aca="false">общ.калькуляция!h398</f>
        <v>#NAME?</v>
      </c>
      <c r="F399" s="324"/>
      <c r="G399" s="324"/>
      <c r="H399" s="324" t="e">
        <f aca="false">общ.калькуляция!j398</f>
        <v>#NAME?</v>
      </c>
      <c r="I399" s="324"/>
      <c r="J399" s="324"/>
      <c r="K399" s="324" t="e">
        <f aca="false">общ.калькуляция!m398</f>
        <v>#NAME?</v>
      </c>
      <c r="L399" s="324"/>
      <c r="M399" s="324"/>
      <c r="N399" s="324" t="e">
        <f aca="false">E399+H399+K399</f>
        <v>#NAME?</v>
      </c>
    </row>
    <row r="400" customFormat="false" ht="13.5" hidden="false" customHeight="true" outlineLevel="0" collapsed="false">
      <c r="A400" s="28" t="s">
        <v>684</v>
      </c>
      <c r="B400" s="29" t="s">
        <v>3102</v>
      </c>
      <c r="C400" s="323"/>
      <c r="D400" s="323"/>
      <c r="E400" s="324" t="e">
        <f aca="false">общ.калькуляция!h399</f>
        <v>#NAME?</v>
      </c>
      <c r="F400" s="324"/>
      <c r="G400" s="324"/>
      <c r="H400" s="324" t="e">
        <f aca="false">общ.калькуляция!j399</f>
        <v>#NAME?</v>
      </c>
      <c r="I400" s="324"/>
      <c r="J400" s="324"/>
      <c r="K400" s="324" t="e">
        <f aca="false">общ.калькуляция!m399</f>
        <v>#NAME?</v>
      </c>
      <c r="L400" s="324"/>
      <c r="M400" s="324"/>
      <c r="N400" s="324" t="e">
        <f aca="false">E400+H400+K400</f>
        <v>#NAME?</v>
      </c>
    </row>
    <row r="401" customFormat="false" ht="13.5" hidden="false" customHeight="true" outlineLevel="0" collapsed="false">
      <c r="A401" s="28" t="s">
        <v>685</v>
      </c>
      <c r="B401" s="29" t="s">
        <v>3148</v>
      </c>
      <c r="C401" s="323"/>
      <c r="D401" s="323"/>
      <c r="E401" s="324" t="e">
        <f aca="false">общ.калькуляция!h400</f>
        <v>#NAME?</v>
      </c>
      <c r="F401" s="324"/>
      <c r="G401" s="324"/>
      <c r="H401" s="324" t="e">
        <f aca="false">общ.калькуляция!j400</f>
        <v>#NAME?</v>
      </c>
      <c r="I401" s="324"/>
      <c r="J401" s="324"/>
      <c r="K401" s="324" t="e">
        <f aca="false">общ.калькуляция!m400</f>
        <v>#NAME?</v>
      </c>
      <c r="L401" s="324"/>
      <c r="M401" s="324"/>
      <c r="N401" s="324" t="e">
        <f aca="false">E401+H401+K401</f>
        <v>#NAME?</v>
      </c>
    </row>
    <row r="402" customFormat="false" ht="13.5" hidden="false" customHeight="true" outlineLevel="0" collapsed="false">
      <c r="A402" s="28" t="s">
        <v>686</v>
      </c>
      <c r="B402" s="29" t="s">
        <v>3149</v>
      </c>
      <c r="C402" s="323"/>
      <c r="D402" s="323"/>
      <c r="E402" s="324" t="e">
        <f aca="false">общ.калькуляция!h401</f>
        <v>#NAME?</v>
      </c>
      <c r="F402" s="324"/>
      <c r="G402" s="324"/>
      <c r="H402" s="324" t="e">
        <f aca="false">общ.калькуляция!j401</f>
        <v>#NAME?</v>
      </c>
      <c r="I402" s="324"/>
      <c r="J402" s="324"/>
      <c r="K402" s="324" t="e">
        <f aca="false">общ.калькуляция!m401</f>
        <v>#NAME?</v>
      </c>
      <c r="L402" s="324"/>
      <c r="M402" s="324"/>
      <c r="N402" s="324" t="e">
        <f aca="false">E402+H402+K402</f>
        <v>#NAME?</v>
      </c>
    </row>
    <row r="403" customFormat="false" ht="13.5" hidden="false" customHeight="true" outlineLevel="0" collapsed="false">
      <c r="A403" s="28" t="s">
        <v>687</v>
      </c>
      <c r="B403" s="29" t="s">
        <v>3164</v>
      </c>
      <c r="C403" s="323"/>
      <c r="D403" s="323"/>
      <c r="E403" s="324" t="e">
        <f aca="false">общ.калькуляция!h402</f>
        <v>#NAME?</v>
      </c>
      <c r="F403" s="324"/>
      <c r="G403" s="324"/>
      <c r="H403" s="324" t="e">
        <f aca="false">общ.калькуляция!j402</f>
        <v>#NAME?</v>
      </c>
      <c r="I403" s="324"/>
      <c r="J403" s="324"/>
      <c r="K403" s="324" t="e">
        <f aca="false">общ.калькуляция!m402</f>
        <v>#NAME?</v>
      </c>
      <c r="L403" s="324"/>
      <c r="M403" s="324"/>
      <c r="N403" s="324" t="e">
        <f aca="false">E403+H403+K403</f>
        <v>#NAME?</v>
      </c>
    </row>
    <row r="404" customFormat="false" ht="13.5" hidden="false" customHeight="true" outlineLevel="0" collapsed="false">
      <c r="A404" s="28" t="s">
        <v>689</v>
      </c>
      <c r="B404" s="29" t="s">
        <v>3165</v>
      </c>
      <c r="C404" s="323"/>
      <c r="D404" s="323"/>
      <c r="E404" s="324" t="e">
        <f aca="false">общ.калькуляция!h403</f>
        <v>#NAME?</v>
      </c>
      <c r="F404" s="324"/>
      <c r="G404" s="324"/>
      <c r="H404" s="324" t="e">
        <f aca="false">общ.калькуляция!j403</f>
        <v>#NAME?</v>
      </c>
      <c r="I404" s="324"/>
      <c r="J404" s="324"/>
      <c r="K404" s="324" t="e">
        <f aca="false">общ.калькуляция!m403</f>
        <v>#NAME?</v>
      </c>
      <c r="L404" s="324"/>
      <c r="M404" s="324"/>
      <c r="N404" s="324" t="e">
        <f aca="false">E404+H404+K404</f>
        <v>#NAME?</v>
      </c>
    </row>
    <row r="405" customFormat="false" ht="13.5" hidden="false" customHeight="true" outlineLevel="0" collapsed="false">
      <c r="A405" s="28" t="s">
        <v>691</v>
      </c>
      <c r="B405" s="40" t="s">
        <v>3166</v>
      </c>
      <c r="C405" s="323"/>
      <c r="D405" s="323"/>
      <c r="E405" s="324" t="e">
        <f aca="false">общ.калькуляция!h404</f>
        <v>#NAME?</v>
      </c>
      <c r="F405" s="324"/>
      <c r="G405" s="324"/>
      <c r="H405" s="324" t="e">
        <f aca="false">общ.калькуляция!j404</f>
        <v>#NAME?</v>
      </c>
      <c r="I405" s="324"/>
      <c r="J405" s="324"/>
      <c r="K405" s="324" t="e">
        <f aca="false">общ.калькуляция!m404</f>
        <v>#NAME?</v>
      </c>
      <c r="L405" s="324"/>
      <c r="M405" s="324"/>
      <c r="N405" s="324" t="e">
        <f aca="false">E405+H405+K405</f>
        <v>#NAME?</v>
      </c>
    </row>
    <row r="406" customFormat="false" ht="13.5" hidden="false" customHeight="true" outlineLevel="0" collapsed="false">
      <c r="A406" s="28" t="s">
        <v>693</v>
      </c>
      <c r="B406" s="40" t="s">
        <v>3167</v>
      </c>
      <c r="C406" s="323"/>
      <c r="D406" s="323"/>
      <c r="E406" s="324" t="e">
        <f aca="false">общ.калькуляция!h405</f>
        <v>#NAME?</v>
      </c>
      <c r="F406" s="324"/>
      <c r="G406" s="324"/>
      <c r="H406" s="324" t="e">
        <f aca="false">общ.калькуляция!j405</f>
        <v>#NAME?</v>
      </c>
      <c r="I406" s="324"/>
      <c r="J406" s="324"/>
      <c r="K406" s="324" t="e">
        <f aca="false">общ.калькуляция!m405</f>
        <v>#NAME?</v>
      </c>
      <c r="L406" s="324"/>
      <c r="M406" s="324"/>
      <c r="N406" s="324" t="e">
        <f aca="false">E406+H406+K406</f>
        <v>#NAME?</v>
      </c>
    </row>
    <row r="407" customFormat="false" ht="13.5" hidden="false" customHeight="true" outlineLevel="0" collapsed="false">
      <c r="A407" s="28" t="s">
        <v>695</v>
      </c>
      <c r="B407" s="40" t="s">
        <v>3168</v>
      </c>
      <c r="C407" s="323"/>
      <c r="D407" s="323"/>
      <c r="E407" s="324" t="e">
        <f aca="false">общ.калькуляция!h406</f>
        <v>#NAME?</v>
      </c>
      <c r="F407" s="324"/>
      <c r="G407" s="324"/>
      <c r="H407" s="324" t="e">
        <f aca="false">общ.калькуляция!j406</f>
        <v>#NAME?</v>
      </c>
      <c r="I407" s="324"/>
      <c r="J407" s="324"/>
      <c r="K407" s="324" t="e">
        <f aca="false">общ.калькуляция!m406</f>
        <v>#NAME?</v>
      </c>
      <c r="L407" s="324"/>
      <c r="M407" s="324"/>
      <c r="N407" s="324" t="e">
        <f aca="false">E407+H407+K407</f>
        <v>#NAME?</v>
      </c>
    </row>
    <row r="408" customFormat="false" ht="13.5" hidden="false" customHeight="true" outlineLevel="0" collapsed="false">
      <c r="A408" s="28" t="s">
        <v>697</v>
      </c>
      <c r="B408" s="40" t="s">
        <v>3169</v>
      </c>
      <c r="C408" s="323"/>
      <c r="D408" s="323"/>
      <c r="E408" s="324" t="e">
        <f aca="false">общ.калькуляция!h407</f>
        <v>#NAME?</v>
      </c>
      <c r="F408" s="324"/>
      <c r="G408" s="324"/>
      <c r="H408" s="324" t="e">
        <f aca="false">общ.калькуляция!j407</f>
        <v>#NAME?</v>
      </c>
      <c r="I408" s="324"/>
      <c r="J408" s="324"/>
      <c r="K408" s="324" t="e">
        <f aca="false">общ.калькуляция!m407</f>
        <v>#NAME?</v>
      </c>
      <c r="L408" s="324"/>
      <c r="M408" s="324"/>
      <c r="N408" s="324" t="e">
        <f aca="false">E408+H408+K408</f>
        <v>#NAME?</v>
      </c>
    </row>
    <row r="409" customFormat="false" ht="13.5" hidden="false" customHeight="true" outlineLevel="0" collapsed="false">
      <c r="A409" s="15" t="s">
        <v>699</v>
      </c>
      <c r="B409" s="16" t="s">
        <v>3170</v>
      </c>
      <c r="C409" s="321"/>
      <c r="D409" s="321"/>
      <c r="E409" s="329"/>
      <c r="F409" s="329"/>
      <c r="G409" s="329"/>
      <c r="H409" s="329"/>
      <c r="I409" s="329"/>
      <c r="J409" s="329"/>
      <c r="K409" s="329"/>
      <c r="L409" s="329"/>
      <c r="M409" s="329"/>
      <c r="N409" s="329"/>
    </row>
    <row r="410" customFormat="false" ht="13.5" hidden="false" customHeight="true" outlineLevel="0" collapsed="false">
      <c r="A410" s="28" t="s">
        <v>701</v>
      </c>
      <c r="B410" s="29" t="s">
        <v>3010</v>
      </c>
      <c r="C410" s="323"/>
      <c r="D410" s="323"/>
      <c r="E410" s="324" t="e">
        <f aca="false">общ.калькуляция!h409</f>
        <v>#NAME?</v>
      </c>
      <c r="F410" s="324"/>
      <c r="G410" s="324"/>
      <c r="H410" s="324" t="e">
        <f aca="false">общ.калькуляция!j409</f>
        <v>#NAME?</v>
      </c>
      <c r="I410" s="324"/>
      <c r="J410" s="324"/>
      <c r="K410" s="324" t="e">
        <f aca="false">общ.калькуляция!m409</f>
        <v>#NAME?</v>
      </c>
      <c r="L410" s="324"/>
      <c r="M410" s="324"/>
      <c r="N410" s="324" t="e">
        <f aca="false">E410+H410+K410</f>
        <v>#NAME?</v>
      </c>
    </row>
    <row r="411" customFormat="false" ht="13.5" hidden="false" customHeight="true" outlineLevel="0" collapsed="false">
      <c r="A411" s="28" t="s">
        <v>702</v>
      </c>
      <c r="B411" s="29" t="s">
        <v>3171</v>
      </c>
      <c r="C411" s="323"/>
      <c r="D411" s="323"/>
      <c r="E411" s="324" t="e">
        <f aca="false">общ.калькуляция!h410</f>
        <v>#NAME?</v>
      </c>
      <c r="F411" s="324"/>
      <c r="G411" s="324"/>
      <c r="H411" s="324" t="e">
        <f aca="false">общ.калькуляция!j410</f>
        <v>#NAME?</v>
      </c>
      <c r="I411" s="324"/>
      <c r="J411" s="324"/>
      <c r="K411" s="324" t="e">
        <f aca="false">общ.калькуляция!m410</f>
        <v>#NAME?</v>
      </c>
      <c r="L411" s="324"/>
      <c r="M411" s="324"/>
      <c r="N411" s="324" t="e">
        <f aca="false">E411+H411+K411</f>
        <v>#NAME?</v>
      </c>
    </row>
    <row r="412" customFormat="false" ht="13.5" hidden="false" customHeight="true" outlineLevel="0" collapsed="false">
      <c r="A412" s="28" t="s">
        <v>703</v>
      </c>
      <c r="B412" s="29" t="s">
        <v>3172</v>
      </c>
      <c r="C412" s="323"/>
      <c r="D412" s="323"/>
      <c r="E412" s="324" t="e">
        <f aca="false">общ.калькуляция!h411</f>
        <v>#NAME?</v>
      </c>
      <c r="F412" s="324"/>
      <c r="G412" s="324"/>
      <c r="H412" s="324" t="e">
        <f aca="false">общ.калькуляция!j411</f>
        <v>#NAME?</v>
      </c>
      <c r="I412" s="324"/>
      <c r="J412" s="324"/>
      <c r="K412" s="324" t="e">
        <f aca="false">общ.калькуляция!m411</f>
        <v>#NAME?</v>
      </c>
      <c r="L412" s="324"/>
      <c r="M412" s="324"/>
      <c r="N412" s="324" t="e">
        <f aca="false">E412+H412+K412</f>
        <v>#NAME?</v>
      </c>
    </row>
    <row r="413" customFormat="false" ht="13.5" hidden="false" customHeight="true" outlineLevel="0" collapsed="false">
      <c r="A413" s="28" t="s">
        <v>705</v>
      </c>
      <c r="B413" s="29" t="s">
        <v>3173</v>
      </c>
      <c r="C413" s="323"/>
      <c r="D413" s="323"/>
      <c r="E413" s="324" t="e">
        <f aca="false">общ.калькуляция!h412</f>
        <v>#NAME?</v>
      </c>
      <c r="F413" s="324"/>
      <c r="G413" s="324"/>
      <c r="H413" s="324" t="e">
        <f aca="false">общ.калькуляция!j412</f>
        <v>#NAME?</v>
      </c>
      <c r="I413" s="324"/>
      <c r="J413" s="324"/>
      <c r="K413" s="324" t="e">
        <f aca="false">общ.калькуляция!m412</f>
        <v>#NAME?</v>
      </c>
      <c r="L413" s="324"/>
      <c r="M413" s="324"/>
      <c r="N413" s="324" t="e">
        <f aca="false">E413+H413+K413</f>
        <v>#NAME?</v>
      </c>
    </row>
    <row r="414" customFormat="false" ht="13.5" hidden="false" customHeight="true" outlineLevel="0" collapsed="false">
      <c r="A414" s="28" t="s">
        <v>707</v>
      </c>
      <c r="B414" s="29" t="s">
        <v>3174</v>
      </c>
      <c r="C414" s="323"/>
      <c r="D414" s="323"/>
      <c r="E414" s="324" t="e">
        <f aca="false">общ.калькуляция!h413</f>
        <v>#NAME?</v>
      </c>
      <c r="F414" s="324"/>
      <c r="G414" s="324"/>
      <c r="H414" s="324" t="e">
        <f aca="false">общ.калькуляция!j413</f>
        <v>#NAME?</v>
      </c>
      <c r="I414" s="324"/>
      <c r="J414" s="324"/>
      <c r="K414" s="324" t="e">
        <f aca="false">общ.калькуляция!m413</f>
        <v>#NAME?</v>
      </c>
      <c r="L414" s="324"/>
      <c r="M414" s="324"/>
      <c r="N414" s="324" t="e">
        <f aca="false">E414+H414+K414</f>
        <v>#NAME?</v>
      </c>
    </row>
    <row r="415" customFormat="false" ht="13.5" hidden="false" customHeight="true" outlineLevel="0" collapsed="false">
      <c r="A415" s="28" t="s">
        <v>709</v>
      </c>
      <c r="B415" s="29" t="s">
        <v>3175</v>
      </c>
      <c r="C415" s="323"/>
      <c r="D415" s="323"/>
      <c r="E415" s="324" t="e">
        <f aca="false">общ.калькуляция!h414</f>
        <v>#NAME?</v>
      </c>
      <c r="F415" s="324"/>
      <c r="G415" s="324"/>
      <c r="H415" s="324" t="e">
        <f aca="false">общ.калькуляция!j414</f>
        <v>#NAME?</v>
      </c>
      <c r="I415" s="324"/>
      <c r="J415" s="324"/>
      <c r="K415" s="324" t="e">
        <f aca="false">общ.калькуляция!m414</f>
        <v>#NAME?</v>
      </c>
      <c r="L415" s="324"/>
      <c r="M415" s="324"/>
      <c r="N415" s="324" t="e">
        <f aca="false">E415+H415+K415</f>
        <v>#NAME?</v>
      </c>
    </row>
    <row r="416" customFormat="false" ht="13.5" hidden="false" customHeight="true" outlineLevel="0" collapsed="false">
      <c r="A416" s="28" t="s">
        <v>711</v>
      </c>
      <c r="B416" s="29" t="s">
        <v>3176</v>
      </c>
      <c r="C416" s="323"/>
      <c r="D416" s="323"/>
      <c r="E416" s="324" t="e">
        <f aca="false">общ.калькуляция!h415</f>
        <v>#NAME?</v>
      </c>
      <c r="F416" s="324"/>
      <c r="G416" s="324"/>
      <c r="H416" s="324" t="e">
        <f aca="false">общ.калькуляция!j415</f>
        <v>#NAME?</v>
      </c>
      <c r="I416" s="324"/>
      <c r="J416" s="324"/>
      <c r="K416" s="324" t="e">
        <f aca="false">общ.калькуляция!m415</f>
        <v>#NAME?</v>
      </c>
      <c r="L416" s="324"/>
      <c r="M416" s="324"/>
      <c r="N416" s="324" t="e">
        <f aca="false">E416+H416+K416</f>
        <v>#NAME?</v>
      </c>
    </row>
    <row r="417" customFormat="false" ht="13.5" hidden="false" customHeight="true" outlineLevel="0" collapsed="false">
      <c r="A417" s="28" t="s">
        <v>713</v>
      </c>
      <c r="B417" s="29" t="s">
        <v>3177</v>
      </c>
      <c r="C417" s="323"/>
      <c r="D417" s="323"/>
      <c r="E417" s="324" t="e">
        <f aca="false">общ.калькуляция!h416</f>
        <v>#NAME?</v>
      </c>
      <c r="F417" s="324"/>
      <c r="G417" s="324"/>
      <c r="H417" s="324" t="e">
        <f aca="false">общ.калькуляция!j416</f>
        <v>#NAME?</v>
      </c>
      <c r="I417" s="324"/>
      <c r="J417" s="324"/>
      <c r="K417" s="324" t="e">
        <f aca="false">общ.калькуляция!m416</f>
        <v>#NAME?</v>
      </c>
      <c r="L417" s="324"/>
      <c r="M417" s="324"/>
      <c r="N417" s="324" t="e">
        <f aca="false">E417+H417+K417</f>
        <v>#NAME?</v>
      </c>
    </row>
    <row r="418" customFormat="false" ht="13.5" hidden="false" customHeight="true" outlineLevel="0" collapsed="false">
      <c r="A418" s="28" t="s">
        <v>715</v>
      </c>
      <c r="B418" s="29" t="s">
        <v>3178</v>
      </c>
      <c r="C418" s="323"/>
      <c r="D418" s="323"/>
      <c r="E418" s="324" t="e">
        <f aca="false">общ.калькуляция!h417</f>
        <v>#NAME?</v>
      </c>
      <c r="F418" s="324"/>
      <c r="G418" s="324"/>
      <c r="H418" s="324" t="e">
        <f aca="false">общ.калькуляция!j417</f>
        <v>#NAME?</v>
      </c>
      <c r="I418" s="324"/>
      <c r="J418" s="324"/>
      <c r="K418" s="324" t="e">
        <f aca="false">общ.калькуляция!m417</f>
        <v>#NAME?</v>
      </c>
      <c r="L418" s="324"/>
      <c r="M418" s="324"/>
      <c r="N418" s="324" t="e">
        <f aca="false">E418+H418+K418</f>
        <v>#NAME?</v>
      </c>
    </row>
    <row r="419" customFormat="false" ht="13.5" hidden="false" customHeight="true" outlineLevel="0" collapsed="false">
      <c r="A419" s="28" t="s">
        <v>716</v>
      </c>
      <c r="B419" s="29" t="s">
        <v>3179</v>
      </c>
      <c r="C419" s="323"/>
      <c r="D419" s="323"/>
      <c r="E419" s="324" t="e">
        <f aca="false">общ.калькуляция!h418</f>
        <v>#NAME?</v>
      </c>
      <c r="F419" s="324"/>
      <c r="G419" s="324"/>
      <c r="H419" s="324" t="e">
        <f aca="false">общ.калькуляция!j418</f>
        <v>#NAME?</v>
      </c>
      <c r="I419" s="324"/>
      <c r="J419" s="324"/>
      <c r="K419" s="324" t="e">
        <f aca="false">общ.калькуляция!m418</f>
        <v>#NAME?</v>
      </c>
      <c r="L419" s="324"/>
      <c r="M419" s="324"/>
      <c r="N419" s="324" t="e">
        <f aca="false">E419+H419+K419</f>
        <v>#NAME?</v>
      </c>
    </row>
    <row r="420" customFormat="false" ht="13.5" hidden="false" customHeight="true" outlineLevel="0" collapsed="false">
      <c r="A420" s="28" t="s">
        <v>718</v>
      </c>
      <c r="B420" s="29" t="s">
        <v>3180</v>
      </c>
      <c r="C420" s="323"/>
      <c r="D420" s="323"/>
      <c r="E420" s="324" t="e">
        <f aca="false">общ.калькуляция!h419</f>
        <v>#NAME?</v>
      </c>
      <c r="F420" s="324"/>
      <c r="G420" s="324"/>
      <c r="H420" s="324" t="e">
        <f aca="false">общ.калькуляция!j419</f>
        <v>#NAME?</v>
      </c>
      <c r="I420" s="324"/>
      <c r="J420" s="324"/>
      <c r="K420" s="324" t="e">
        <f aca="false">общ.калькуляция!m419</f>
        <v>#NAME?</v>
      </c>
      <c r="L420" s="324"/>
      <c r="M420" s="324"/>
      <c r="N420" s="324" t="e">
        <f aca="false">E420+H420+K420</f>
        <v>#NAME?</v>
      </c>
    </row>
    <row r="421" customFormat="false" ht="13.5" hidden="false" customHeight="true" outlineLevel="0" collapsed="false">
      <c r="A421" s="28" t="s">
        <v>720</v>
      </c>
      <c r="B421" s="29" t="s">
        <v>3181</v>
      </c>
      <c r="C421" s="323"/>
      <c r="D421" s="323"/>
      <c r="E421" s="324" t="e">
        <f aca="false">общ.калькуляция!h420</f>
        <v>#NAME?</v>
      </c>
      <c r="F421" s="324"/>
      <c r="G421" s="324"/>
      <c r="H421" s="324" t="e">
        <f aca="false">общ.калькуляция!j420</f>
        <v>#NAME?</v>
      </c>
      <c r="I421" s="324"/>
      <c r="J421" s="324"/>
      <c r="K421" s="324" t="e">
        <f aca="false">общ.калькуляция!m420</f>
        <v>#NAME?</v>
      </c>
      <c r="L421" s="324"/>
      <c r="M421" s="324"/>
      <c r="N421" s="324" t="e">
        <f aca="false">E421+H421+K421</f>
        <v>#NAME?</v>
      </c>
    </row>
    <row r="422" customFormat="false" ht="13.5" hidden="false" customHeight="true" outlineLevel="0" collapsed="false">
      <c r="A422" s="28" t="s">
        <v>722</v>
      </c>
      <c r="B422" s="29" t="s">
        <v>3182</v>
      </c>
      <c r="C422" s="323"/>
      <c r="D422" s="323"/>
      <c r="E422" s="324" t="e">
        <f aca="false">общ.калькуляция!h421</f>
        <v>#NAME?</v>
      </c>
      <c r="F422" s="324"/>
      <c r="G422" s="324"/>
      <c r="H422" s="324" t="e">
        <f aca="false">общ.калькуляция!j421</f>
        <v>#NAME?</v>
      </c>
      <c r="I422" s="324"/>
      <c r="J422" s="324"/>
      <c r="K422" s="324" t="e">
        <f aca="false">общ.калькуляция!m421</f>
        <v>#NAME?</v>
      </c>
      <c r="L422" s="324"/>
      <c r="M422" s="324"/>
      <c r="N422" s="324" t="e">
        <f aca="false">E422+H422+K422</f>
        <v>#NAME?</v>
      </c>
    </row>
    <row r="423" customFormat="false" ht="13.5" hidden="false" customHeight="true" outlineLevel="0" collapsed="false">
      <c r="A423" s="28" t="s">
        <v>724</v>
      </c>
      <c r="B423" s="29" t="s">
        <v>3183</v>
      </c>
      <c r="C423" s="323"/>
      <c r="D423" s="323"/>
      <c r="E423" s="324" t="e">
        <f aca="false">общ.калькуляция!h422</f>
        <v>#NAME?</v>
      </c>
      <c r="F423" s="324"/>
      <c r="G423" s="324"/>
      <c r="H423" s="324" t="e">
        <f aca="false">общ.калькуляция!j422</f>
        <v>#NAME?</v>
      </c>
      <c r="I423" s="324"/>
      <c r="J423" s="324"/>
      <c r="K423" s="324" t="e">
        <f aca="false">общ.калькуляция!m422</f>
        <v>#NAME?</v>
      </c>
      <c r="L423" s="324"/>
      <c r="M423" s="324"/>
      <c r="N423" s="324" t="e">
        <f aca="false">E423+H423+K423</f>
        <v>#NAME?</v>
      </c>
    </row>
    <row r="424" customFormat="false" ht="13.5" hidden="false" customHeight="true" outlineLevel="0" collapsed="false">
      <c r="A424" s="28" t="s">
        <v>726</v>
      </c>
      <c r="B424" s="29" t="s">
        <v>3184</v>
      </c>
      <c r="C424" s="323"/>
      <c r="D424" s="323"/>
      <c r="E424" s="324" t="e">
        <f aca="false">общ.калькуляция!h423</f>
        <v>#NAME?</v>
      </c>
      <c r="F424" s="324"/>
      <c r="G424" s="324"/>
      <c r="H424" s="324" t="e">
        <f aca="false">общ.калькуляция!j423</f>
        <v>#NAME?</v>
      </c>
      <c r="I424" s="324"/>
      <c r="J424" s="324"/>
      <c r="K424" s="324" t="e">
        <f aca="false">общ.калькуляция!m423</f>
        <v>#NAME?</v>
      </c>
      <c r="L424" s="324"/>
      <c r="M424" s="324"/>
      <c r="N424" s="324" t="e">
        <f aca="false">E424+H424+K424</f>
        <v>#NAME?</v>
      </c>
    </row>
    <row r="425" customFormat="false" ht="13.5" hidden="false" customHeight="true" outlineLevel="0" collapsed="false">
      <c r="A425" s="28" t="s">
        <v>728</v>
      </c>
      <c r="B425" s="29" t="s">
        <v>3185</v>
      </c>
      <c r="C425" s="323"/>
      <c r="D425" s="323"/>
      <c r="E425" s="324" t="e">
        <f aca="false">общ.калькуляция!h424</f>
        <v>#NAME?</v>
      </c>
      <c r="F425" s="324"/>
      <c r="G425" s="324"/>
      <c r="H425" s="324" t="e">
        <f aca="false">общ.калькуляция!j424</f>
        <v>#NAME?</v>
      </c>
      <c r="I425" s="324"/>
      <c r="J425" s="324"/>
      <c r="K425" s="324" t="e">
        <f aca="false">общ.калькуляция!m424</f>
        <v>#NAME?</v>
      </c>
      <c r="L425" s="324"/>
      <c r="M425" s="324"/>
      <c r="N425" s="324" t="e">
        <f aca="false">E425+H425+K425</f>
        <v>#NAME?</v>
      </c>
    </row>
    <row r="426" customFormat="false" ht="13.5" hidden="false" customHeight="true" outlineLevel="0" collapsed="false">
      <c r="A426" s="28" t="s">
        <v>730</v>
      </c>
      <c r="B426" s="29" t="s">
        <v>3186</v>
      </c>
      <c r="C426" s="323"/>
      <c r="D426" s="323"/>
      <c r="E426" s="324" t="e">
        <f aca="false">общ.калькуляция!h425</f>
        <v>#NAME?</v>
      </c>
      <c r="F426" s="324"/>
      <c r="G426" s="324"/>
      <c r="H426" s="324" t="e">
        <f aca="false">общ.калькуляция!j425</f>
        <v>#NAME?</v>
      </c>
      <c r="I426" s="324"/>
      <c r="J426" s="324"/>
      <c r="K426" s="324" t="e">
        <f aca="false">общ.калькуляция!m425</f>
        <v>#NAME?</v>
      </c>
      <c r="L426" s="324"/>
      <c r="M426" s="324"/>
      <c r="N426" s="324" t="e">
        <f aca="false">E426+H426+K426</f>
        <v>#NAME?</v>
      </c>
    </row>
    <row r="427" customFormat="false" ht="13.5" hidden="false" customHeight="true" outlineLevel="0" collapsed="false">
      <c r="A427" s="28" t="s">
        <v>731</v>
      </c>
      <c r="B427" s="29" t="s">
        <v>3187</v>
      </c>
      <c r="C427" s="323"/>
      <c r="D427" s="323"/>
      <c r="E427" s="324" t="e">
        <f aca="false">общ.калькуляция!h426</f>
        <v>#NAME?</v>
      </c>
      <c r="F427" s="324"/>
      <c r="G427" s="324"/>
      <c r="H427" s="324" t="e">
        <f aca="false">общ.калькуляция!j426</f>
        <v>#NAME?</v>
      </c>
      <c r="I427" s="324"/>
      <c r="J427" s="324"/>
      <c r="K427" s="324" t="e">
        <f aca="false">общ.калькуляция!m426</f>
        <v>#NAME?</v>
      </c>
      <c r="L427" s="324"/>
      <c r="M427" s="324"/>
      <c r="N427" s="324" t="e">
        <f aca="false">E427+H427+K427</f>
        <v>#NAME?</v>
      </c>
    </row>
    <row r="428" customFormat="false" ht="13.5" hidden="false" customHeight="true" outlineLevel="0" collapsed="false">
      <c r="A428" s="28" t="s">
        <v>732</v>
      </c>
      <c r="B428" s="29" t="s">
        <v>3147</v>
      </c>
      <c r="C428" s="323"/>
      <c r="D428" s="323"/>
      <c r="E428" s="324" t="e">
        <f aca="false">общ.калькуляция!h427</f>
        <v>#NAME?</v>
      </c>
      <c r="F428" s="324"/>
      <c r="G428" s="324"/>
      <c r="H428" s="324" t="e">
        <f aca="false">общ.калькуляция!j427</f>
        <v>#NAME?</v>
      </c>
      <c r="I428" s="324"/>
      <c r="J428" s="324"/>
      <c r="K428" s="324" t="e">
        <f aca="false">общ.калькуляция!m427</f>
        <v>#NAME?</v>
      </c>
      <c r="L428" s="324"/>
      <c r="M428" s="324"/>
      <c r="N428" s="324" t="e">
        <f aca="false">E428+H428+K428</f>
        <v>#NAME?</v>
      </c>
    </row>
    <row r="429" customFormat="false" ht="13.5" hidden="false" customHeight="true" outlineLevel="0" collapsed="false">
      <c r="A429" s="28" t="s">
        <v>733</v>
      </c>
      <c r="B429" s="29" t="s">
        <v>3102</v>
      </c>
      <c r="C429" s="323"/>
      <c r="D429" s="323"/>
      <c r="E429" s="324" t="e">
        <f aca="false">общ.калькуляция!h428</f>
        <v>#NAME?</v>
      </c>
      <c r="F429" s="324"/>
      <c r="G429" s="324"/>
      <c r="H429" s="324" t="e">
        <f aca="false">общ.калькуляция!j428</f>
        <v>#NAME?</v>
      </c>
      <c r="I429" s="324"/>
      <c r="J429" s="324"/>
      <c r="K429" s="324" t="e">
        <f aca="false">общ.калькуляция!m428</f>
        <v>#NAME?</v>
      </c>
      <c r="L429" s="324"/>
      <c r="M429" s="324"/>
      <c r="N429" s="324" t="e">
        <f aca="false">E429+H429+K429</f>
        <v>#NAME?</v>
      </c>
    </row>
    <row r="430" customFormat="false" ht="13.5" hidden="false" customHeight="true" outlineLevel="0" collapsed="false">
      <c r="A430" s="28" t="s">
        <v>734</v>
      </c>
      <c r="B430" s="29" t="s">
        <v>3188</v>
      </c>
      <c r="C430" s="323"/>
      <c r="D430" s="323"/>
      <c r="E430" s="324" t="e">
        <f aca="false">общ.калькуляция!h429</f>
        <v>#NAME?</v>
      </c>
      <c r="F430" s="324"/>
      <c r="G430" s="324"/>
      <c r="H430" s="324" t="e">
        <f aca="false">общ.калькуляция!j429</f>
        <v>#NAME?</v>
      </c>
      <c r="I430" s="324"/>
      <c r="J430" s="324"/>
      <c r="K430" s="324" t="e">
        <f aca="false">общ.калькуляция!m429</f>
        <v>#NAME?</v>
      </c>
      <c r="L430" s="324"/>
      <c r="M430" s="324"/>
      <c r="N430" s="324" t="e">
        <f aca="false">E430+H430+K430</f>
        <v>#NAME?</v>
      </c>
    </row>
    <row r="431" customFormat="false" ht="13.5" hidden="false" customHeight="true" outlineLevel="0" collapsed="false">
      <c r="A431" s="28" t="s">
        <v>736</v>
      </c>
      <c r="B431" s="29" t="s">
        <v>3189</v>
      </c>
      <c r="C431" s="323"/>
      <c r="D431" s="323"/>
      <c r="E431" s="324" t="e">
        <f aca="false">общ.калькуляция!h430</f>
        <v>#NAME?</v>
      </c>
      <c r="F431" s="324"/>
      <c r="G431" s="324"/>
      <c r="H431" s="324" t="e">
        <f aca="false">общ.калькуляция!j430</f>
        <v>#NAME?</v>
      </c>
      <c r="I431" s="324"/>
      <c r="J431" s="324"/>
      <c r="K431" s="324" t="e">
        <f aca="false">общ.калькуляция!m430</f>
        <v>#NAME?</v>
      </c>
      <c r="L431" s="324"/>
      <c r="M431" s="324"/>
      <c r="N431" s="324" t="e">
        <f aca="false">E431+H431+K431</f>
        <v>#NAME?</v>
      </c>
    </row>
    <row r="432" customFormat="false" ht="13.5" hidden="false" customHeight="true" outlineLevel="0" collapsed="false">
      <c r="A432" s="28" t="s">
        <v>737</v>
      </c>
      <c r="B432" s="29" t="s">
        <v>3148</v>
      </c>
      <c r="C432" s="323"/>
      <c r="D432" s="323"/>
      <c r="E432" s="324" t="e">
        <f aca="false">общ.калькуляция!h431</f>
        <v>#NAME?</v>
      </c>
      <c r="F432" s="324"/>
      <c r="G432" s="324"/>
      <c r="H432" s="324" t="e">
        <f aca="false">общ.калькуляция!j431</f>
        <v>#NAME?</v>
      </c>
      <c r="I432" s="324"/>
      <c r="J432" s="324"/>
      <c r="K432" s="324" t="e">
        <f aca="false">общ.калькуляция!m431</f>
        <v>#NAME?</v>
      </c>
      <c r="L432" s="324"/>
      <c r="M432" s="324"/>
      <c r="N432" s="324" t="e">
        <f aca="false">E432+H432+K432</f>
        <v>#NAME?</v>
      </c>
    </row>
    <row r="433" customFormat="false" ht="13.5" hidden="false" customHeight="true" outlineLevel="0" collapsed="false">
      <c r="A433" s="28" t="s">
        <v>738</v>
      </c>
      <c r="B433" s="29" t="s">
        <v>3149</v>
      </c>
      <c r="C433" s="323"/>
      <c r="D433" s="323"/>
      <c r="E433" s="324" t="e">
        <f aca="false">общ.калькуляция!h432</f>
        <v>#NAME?</v>
      </c>
      <c r="F433" s="324"/>
      <c r="G433" s="324"/>
      <c r="H433" s="324" t="e">
        <f aca="false">общ.калькуляция!j432</f>
        <v>#NAME?</v>
      </c>
      <c r="I433" s="324"/>
      <c r="J433" s="324"/>
      <c r="K433" s="324" t="e">
        <f aca="false">общ.калькуляция!m432</f>
        <v>#NAME?</v>
      </c>
      <c r="L433" s="324"/>
      <c r="M433" s="324"/>
      <c r="N433" s="324" t="e">
        <f aca="false">E433+H433+K433</f>
        <v>#NAME?</v>
      </c>
    </row>
    <row r="434" customFormat="false" ht="13.5" hidden="false" customHeight="true" outlineLevel="0" collapsed="false">
      <c r="A434" s="28" t="s">
        <v>739</v>
      </c>
      <c r="B434" s="29" t="s">
        <v>3150</v>
      </c>
      <c r="C434" s="323"/>
      <c r="D434" s="323"/>
      <c r="E434" s="324" t="e">
        <f aca="false">общ.калькуляция!h433</f>
        <v>#NAME?</v>
      </c>
      <c r="F434" s="324"/>
      <c r="G434" s="324"/>
      <c r="H434" s="324" t="e">
        <f aca="false">общ.калькуляция!j433</f>
        <v>#NAME?</v>
      </c>
      <c r="I434" s="324"/>
      <c r="J434" s="324"/>
      <c r="K434" s="324" t="e">
        <f aca="false">общ.калькуляция!m433</f>
        <v>#NAME?</v>
      </c>
      <c r="L434" s="324"/>
      <c r="M434" s="324"/>
      <c r="N434" s="324" t="e">
        <f aca="false">E434+H434+K434</f>
        <v>#NAME?</v>
      </c>
    </row>
    <row r="435" customFormat="false" ht="13.5" hidden="false" customHeight="true" outlineLevel="0" collapsed="false">
      <c r="A435" s="28" t="s">
        <v>740</v>
      </c>
      <c r="B435" s="29" t="s">
        <v>3190</v>
      </c>
      <c r="C435" s="323"/>
      <c r="D435" s="323"/>
      <c r="E435" s="324" t="e">
        <f aca="false">общ.калькуляция!h434</f>
        <v>#NAME?</v>
      </c>
      <c r="F435" s="324"/>
      <c r="G435" s="324"/>
      <c r="H435" s="324" t="e">
        <f aca="false">общ.калькуляция!j434</f>
        <v>#NAME?</v>
      </c>
      <c r="I435" s="324"/>
      <c r="J435" s="324"/>
      <c r="K435" s="324" t="e">
        <f aca="false">общ.калькуляция!m434</f>
        <v>#NAME?</v>
      </c>
      <c r="L435" s="324"/>
      <c r="M435" s="324"/>
      <c r="N435" s="324" t="e">
        <f aca="false">E435+H435+K435</f>
        <v>#NAME?</v>
      </c>
    </row>
    <row r="436" customFormat="false" ht="13.5" hidden="false" customHeight="true" outlineLevel="0" collapsed="false">
      <c r="A436" s="28" t="s">
        <v>742</v>
      </c>
      <c r="B436" s="29" t="s">
        <v>3191</v>
      </c>
      <c r="C436" s="323"/>
      <c r="D436" s="323"/>
      <c r="E436" s="324" t="e">
        <f aca="false">общ.калькуляция!h435</f>
        <v>#NAME?</v>
      </c>
      <c r="F436" s="324"/>
      <c r="G436" s="324"/>
      <c r="H436" s="324" t="e">
        <f aca="false">общ.калькуляция!j435</f>
        <v>#NAME?</v>
      </c>
      <c r="I436" s="324"/>
      <c r="J436" s="324"/>
      <c r="K436" s="324" t="e">
        <f aca="false">общ.калькуляция!m435</f>
        <v>#NAME?</v>
      </c>
      <c r="L436" s="324"/>
      <c r="M436" s="324"/>
      <c r="N436" s="324" t="e">
        <f aca="false">E436+H436+K436</f>
        <v>#NAME?</v>
      </c>
    </row>
    <row r="437" customFormat="false" ht="13.5" hidden="false" customHeight="true" outlineLevel="0" collapsed="false">
      <c r="A437" s="28" t="s">
        <v>744</v>
      </c>
      <c r="B437" s="336" t="s">
        <v>3192</v>
      </c>
      <c r="C437" s="323"/>
      <c r="D437" s="323"/>
      <c r="E437" s="324" t="e">
        <f aca="false">общ.калькуляция!h436</f>
        <v>#NAME?</v>
      </c>
      <c r="F437" s="324"/>
      <c r="G437" s="324"/>
      <c r="H437" s="324" t="e">
        <f aca="false">общ.калькуляция!j436</f>
        <v>#NAME?</v>
      </c>
      <c r="I437" s="324"/>
      <c r="J437" s="324"/>
      <c r="K437" s="324" t="e">
        <f aca="false">общ.калькуляция!m436</f>
        <v>#NAME?</v>
      </c>
      <c r="L437" s="324"/>
      <c r="M437" s="324"/>
      <c r="N437" s="324" t="e">
        <f aca="false">E437+H437+K437</f>
        <v>#NAME?</v>
      </c>
    </row>
    <row r="438" customFormat="false" ht="13.5" hidden="false" customHeight="true" outlineLevel="0" collapsed="false">
      <c r="A438" s="28" t="s">
        <v>746</v>
      </c>
      <c r="B438" s="40" t="s">
        <v>3193</v>
      </c>
      <c r="C438" s="323"/>
      <c r="D438" s="323"/>
      <c r="E438" s="324" t="e">
        <f aca="false">общ.калькуляция!h437</f>
        <v>#NAME?</v>
      </c>
      <c r="F438" s="324"/>
      <c r="G438" s="324"/>
      <c r="H438" s="324" t="e">
        <f aca="false">общ.калькуляция!j437</f>
        <v>#NAME?</v>
      </c>
      <c r="I438" s="324"/>
      <c r="J438" s="324"/>
      <c r="K438" s="324" t="e">
        <f aca="false">общ.калькуляция!m437</f>
        <v>#NAME?</v>
      </c>
      <c r="L438" s="324"/>
      <c r="M438" s="324"/>
      <c r="N438" s="324" t="e">
        <f aca="false">E438+H438+K438</f>
        <v>#NAME?</v>
      </c>
    </row>
    <row r="439" customFormat="false" ht="13.5" hidden="false" customHeight="true" outlineLevel="0" collapsed="false">
      <c r="A439" s="28" t="s">
        <v>748</v>
      </c>
      <c r="B439" s="337" t="s">
        <v>3194</v>
      </c>
      <c r="C439" s="323"/>
      <c r="D439" s="323"/>
      <c r="E439" s="324" t="e">
        <f aca="false">общ.калькуляция!h438</f>
        <v>#NAME?</v>
      </c>
      <c r="F439" s="324"/>
      <c r="G439" s="324"/>
      <c r="H439" s="324" t="e">
        <f aca="false">общ.калькуляция!j438</f>
        <v>#NAME?</v>
      </c>
      <c r="I439" s="324"/>
      <c r="J439" s="324"/>
      <c r="K439" s="324" t="e">
        <f aca="false">общ.калькуляция!m438</f>
        <v>#NAME?</v>
      </c>
      <c r="L439" s="324"/>
      <c r="M439" s="324"/>
      <c r="N439" s="324" t="e">
        <f aca="false">E439+H439+K439</f>
        <v>#NAME?</v>
      </c>
    </row>
    <row r="440" customFormat="false" ht="13.5" hidden="false" customHeight="true" outlineLevel="0" collapsed="false">
      <c r="A440" s="28" t="s">
        <v>750</v>
      </c>
      <c r="B440" s="337" t="s">
        <v>3195</v>
      </c>
      <c r="C440" s="323"/>
      <c r="D440" s="323"/>
      <c r="E440" s="324" t="e">
        <f aca="false">общ.калькуляция!h439</f>
        <v>#NAME?</v>
      </c>
      <c r="F440" s="324"/>
      <c r="G440" s="324"/>
      <c r="H440" s="324" t="e">
        <f aca="false">общ.калькуляция!j439</f>
        <v>#NAME?</v>
      </c>
      <c r="I440" s="324"/>
      <c r="J440" s="324"/>
      <c r="K440" s="324" t="e">
        <f aca="false">общ.калькуляция!m439</f>
        <v>#NAME?</v>
      </c>
      <c r="L440" s="324"/>
      <c r="M440" s="324"/>
      <c r="N440" s="324" t="e">
        <f aca="false">E440+H440+K440</f>
        <v>#NAME?</v>
      </c>
    </row>
    <row r="441" customFormat="false" ht="13.5" hidden="false" customHeight="true" outlineLevel="0" collapsed="false">
      <c r="A441" s="28" t="s">
        <v>752</v>
      </c>
      <c r="B441" s="40" t="s">
        <v>3196</v>
      </c>
      <c r="C441" s="323"/>
      <c r="D441" s="323"/>
      <c r="E441" s="324" t="e">
        <f aca="false">общ.калькуляция!h440</f>
        <v>#NAME?</v>
      </c>
      <c r="F441" s="324"/>
      <c r="G441" s="324"/>
      <c r="H441" s="324" t="e">
        <f aca="false">общ.калькуляция!j440</f>
        <v>#NAME?</v>
      </c>
      <c r="I441" s="324"/>
      <c r="J441" s="324"/>
      <c r="K441" s="324" t="e">
        <f aca="false">общ.калькуляция!m440</f>
        <v>#NAME?</v>
      </c>
      <c r="L441" s="324"/>
      <c r="M441" s="324"/>
      <c r="N441" s="324" t="e">
        <f aca="false">E441+H441+K441</f>
        <v>#NAME?</v>
      </c>
    </row>
    <row r="442" customFormat="false" ht="13.5" hidden="false" customHeight="true" outlineLevel="0" collapsed="false">
      <c r="A442" s="28" t="s">
        <v>754</v>
      </c>
      <c r="B442" s="337" t="s">
        <v>3197</v>
      </c>
      <c r="C442" s="323"/>
      <c r="D442" s="323"/>
      <c r="E442" s="324" t="e">
        <f aca="false">общ.калькуляция!h441</f>
        <v>#NAME?</v>
      </c>
      <c r="F442" s="324"/>
      <c r="G442" s="324"/>
      <c r="H442" s="324" t="e">
        <f aca="false">общ.калькуляция!j441</f>
        <v>#NAME?</v>
      </c>
      <c r="I442" s="324"/>
      <c r="J442" s="324"/>
      <c r="K442" s="324" t="e">
        <f aca="false">общ.калькуляция!m441</f>
        <v>#NAME?</v>
      </c>
      <c r="L442" s="324"/>
      <c r="M442" s="324"/>
      <c r="N442" s="324" t="e">
        <f aca="false">E442+H442+K442</f>
        <v>#NAME?</v>
      </c>
    </row>
    <row r="443" customFormat="false" ht="13.5" hidden="false" customHeight="true" outlineLevel="0" collapsed="false">
      <c r="A443" s="28" t="s">
        <v>756</v>
      </c>
      <c r="B443" s="336" t="s">
        <v>3198</v>
      </c>
      <c r="C443" s="323"/>
      <c r="D443" s="323"/>
      <c r="E443" s="324" t="e">
        <f aca="false">общ.калькуляция!h442</f>
        <v>#NAME?</v>
      </c>
      <c r="F443" s="324"/>
      <c r="G443" s="324"/>
      <c r="H443" s="324" t="e">
        <f aca="false">общ.калькуляция!j442</f>
        <v>#NAME?</v>
      </c>
      <c r="I443" s="324"/>
      <c r="J443" s="324"/>
      <c r="K443" s="324" t="e">
        <f aca="false">общ.калькуляция!m442</f>
        <v>#NAME?</v>
      </c>
      <c r="L443" s="324"/>
      <c r="M443" s="324"/>
      <c r="N443" s="324" t="e">
        <f aca="false">E443+H443+K443</f>
        <v>#NAME?</v>
      </c>
    </row>
    <row r="444" customFormat="false" ht="13.5" hidden="false" customHeight="true" outlineLevel="0" collapsed="false">
      <c r="A444" s="28" t="s">
        <v>758</v>
      </c>
      <c r="B444" s="337" t="s">
        <v>3199</v>
      </c>
      <c r="C444" s="323"/>
      <c r="D444" s="323"/>
      <c r="E444" s="324" t="e">
        <f aca="false">общ.калькуляция!h443</f>
        <v>#NAME?</v>
      </c>
      <c r="F444" s="324"/>
      <c r="G444" s="324"/>
      <c r="H444" s="324" t="e">
        <f aca="false">общ.калькуляция!j443</f>
        <v>#NAME?</v>
      </c>
      <c r="I444" s="324"/>
      <c r="J444" s="324"/>
      <c r="K444" s="324" t="e">
        <f aca="false">общ.калькуляция!m443</f>
        <v>#NAME?</v>
      </c>
      <c r="L444" s="324"/>
      <c r="M444" s="324"/>
      <c r="N444" s="324" t="e">
        <f aca="false">E444+H444+K444</f>
        <v>#NAME?</v>
      </c>
    </row>
    <row r="445" customFormat="false" ht="13.5" hidden="false" customHeight="true" outlineLevel="0" collapsed="false">
      <c r="A445" s="28" t="s">
        <v>759</v>
      </c>
      <c r="B445" s="338" t="s">
        <v>3200</v>
      </c>
      <c r="C445" s="323"/>
      <c r="D445" s="323"/>
      <c r="E445" s="324" t="e">
        <f aca="false">общ.калькуляция!h444</f>
        <v>#NAME?</v>
      </c>
      <c r="F445" s="324"/>
      <c r="G445" s="324"/>
      <c r="H445" s="324" t="e">
        <f aca="false">общ.калькуляция!j444</f>
        <v>#NAME?</v>
      </c>
      <c r="I445" s="324"/>
      <c r="J445" s="324"/>
      <c r="K445" s="324" t="e">
        <f aca="false">общ.калькуляция!m444</f>
        <v>#NAME?</v>
      </c>
      <c r="L445" s="324"/>
      <c r="M445" s="324"/>
      <c r="N445" s="324" t="e">
        <f aca="false">E445+H445+K445</f>
        <v>#NAME?</v>
      </c>
    </row>
    <row r="446" customFormat="false" ht="13.5" hidden="false" customHeight="true" outlineLevel="0" collapsed="false">
      <c r="A446" s="28" t="s">
        <v>761</v>
      </c>
      <c r="B446" s="336" t="s">
        <v>3201</v>
      </c>
      <c r="C446" s="323"/>
      <c r="D446" s="323"/>
      <c r="E446" s="324" t="e">
        <f aca="false">общ.калькуляция!h445</f>
        <v>#NAME?</v>
      </c>
      <c r="F446" s="324"/>
      <c r="G446" s="324"/>
      <c r="H446" s="324" t="e">
        <f aca="false">общ.калькуляция!j445</f>
        <v>#NAME?</v>
      </c>
      <c r="I446" s="324"/>
      <c r="J446" s="324"/>
      <c r="K446" s="324" t="e">
        <f aca="false">общ.калькуляция!m445</f>
        <v>#NAME?</v>
      </c>
      <c r="L446" s="324"/>
      <c r="M446" s="324"/>
      <c r="N446" s="324" t="e">
        <f aca="false">E446+H446+K446</f>
        <v>#NAME?</v>
      </c>
    </row>
    <row r="447" customFormat="false" ht="13.5" hidden="false" customHeight="true" outlineLevel="0" collapsed="false">
      <c r="A447" s="28" t="s">
        <v>763</v>
      </c>
      <c r="B447" s="336" t="s">
        <v>3202</v>
      </c>
      <c r="C447" s="323"/>
      <c r="D447" s="323"/>
      <c r="E447" s="324" t="e">
        <f aca="false">общ.калькуляция!h446</f>
        <v>#NAME?</v>
      </c>
      <c r="F447" s="324"/>
      <c r="G447" s="324"/>
      <c r="H447" s="324" t="e">
        <f aca="false">общ.калькуляция!j446</f>
        <v>#NAME?</v>
      </c>
      <c r="I447" s="324"/>
      <c r="J447" s="324"/>
      <c r="K447" s="324" t="e">
        <f aca="false">общ.калькуляция!m446</f>
        <v>#NAME?</v>
      </c>
      <c r="L447" s="324"/>
      <c r="M447" s="324"/>
      <c r="N447" s="324" t="e">
        <f aca="false">E447+H447+K447</f>
        <v>#NAME?</v>
      </c>
    </row>
    <row r="448" customFormat="false" ht="13.5" hidden="false" customHeight="true" outlineLevel="0" collapsed="false">
      <c r="A448" s="28" t="s">
        <v>765</v>
      </c>
      <c r="B448" s="336" t="s">
        <v>2938</v>
      </c>
      <c r="C448" s="323"/>
      <c r="D448" s="323"/>
      <c r="E448" s="324" t="e">
        <f aca="false">общ.калькуляция!h447</f>
        <v>#NAME?</v>
      </c>
      <c r="F448" s="324"/>
      <c r="G448" s="324"/>
      <c r="H448" s="324" t="e">
        <f aca="false">общ.калькуляция!j447</f>
        <v>#NAME?</v>
      </c>
      <c r="I448" s="324"/>
      <c r="J448" s="324"/>
      <c r="K448" s="324" t="e">
        <f aca="false">общ.калькуляция!m447</f>
        <v>#NAME?</v>
      </c>
      <c r="L448" s="324"/>
      <c r="M448" s="324"/>
      <c r="N448" s="324" t="e">
        <f aca="false">E448+H448+K448</f>
        <v>#NAME?</v>
      </c>
    </row>
    <row r="449" customFormat="false" ht="13.5" hidden="false" customHeight="true" outlineLevel="0" collapsed="false">
      <c r="A449" s="15" t="s">
        <v>766</v>
      </c>
      <c r="B449" s="16" t="s">
        <v>3203</v>
      </c>
      <c r="C449" s="321"/>
      <c r="D449" s="321"/>
      <c r="E449" s="329"/>
      <c r="F449" s="329"/>
      <c r="G449" s="329"/>
      <c r="H449" s="329"/>
      <c r="I449" s="329"/>
      <c r="J449" s="329"/>
      <c r="K449" s="329"/>
      <c r="L449" s="329"/>
      <c r="M449" s="329"/>
      <c r="N449" s="329"/>
    </row>
    <row r="450" customFormat="false" ht="13.5" hidden="false" customHeight="true" outlineLevel="0" collapsed="false">
      <c r="A450" s="28" t="s">
        <v>768</v>
      </c>
      <c r="B450" s="29" t="s">
        <v>3204</v>
      </c>
      <c r="C450" s="323"/>
      <c r="D450" s="323"/>
      <c r="E450" s="324" t="e">
        <f aca="false">общ.калькуляция!h449</f>
        <v>#NAME?</v>
      </c>
      <c r="F450" s="324"/>
      <c r="G450" s="324"/>
      <c r="H450" s="324" t="e">
        <f aca="false">общ.калькуляция!j449</f>
        <v>#NAME?</v>
      </c>
      <c r="I450" s="324"/>
      <c r="J450" s="324"/>
      <c r="K450" s="324" t="e">
        <f aca="false">общ.калькуляция!m449</f>
        <v>#NAME?</v>
      </c>
      <c r="L450" s="324"/>
      <c r="M450" s="324"/>
      <c r="N450" s="324" t="e">
        <f aca="false">E450+H450+K450</f>
        <v>#NAME?</v>
      </c>
    </row>
    <row r="451" customFormat="false" ht="13.5" hidden="false" customHeight="true" outlineLevel="0" collapsed="false">
      <c r="A451" s="28" t="s">
        <v>770</v>
      </c>
      <c r="B451" s="29" t="s">
        <v>3084</v>
      </c>
      <c r="C451" s="323"/>
      <c r="D451" s="323"/>
      <c r="E451" s="324" t="e">
        <f aca="false">общ.калькуляция!h450</f>
        <v>#NAME?</v>
      </c>
      <c r="F451" s="324"/>
      <c r="G451" s="324"/>
      <c r="H451" s="324" t="e">
        <f aca="false">общ.калькуляция!j450</f>
        <v>#NAME?</v>
      </c>
      <c r="I451" s="324"/>
      <c r="J451" s="324"/>
      <c r="K451" s="324" t="e">
        <f aca="false">общ.калькуляция!m450</f>
        <v>#NAME?</v>
      </c>
      <c r="L451" s="324"/>
      <c r="M451" s="324"/>
      <c r="N451" s="324" t="e">
        <f aca="false">E451+H451+K451</f>
        <v>#NAME?</v>
      </c>
    </row>
    <row r="452" customFormat="false" ht="13.5" hidden="false" customHeight="true" outlineLevel="0" collapsed="false">
      <c r="A452" s="28" t="s">
        <v>771</v>
      </c>
      <c r="B452" s="29" t="s">
        <v>3085</v>
      </c>
      <c r="C452" s="323"/>
      <c r="D452" s="323"/>
      <c r="E452" s="324" t="e">
        <f aca="false">общ.калькуляция!h451</f>
        <v>#NAME?</v>
      </c>
      <c r="F452" s="324"/>
      <c r="G452" s="324"/>
      <c r="H452" s="324" t="e">
        <f aca="false">общ.калькуляция!j451</f>
        <v>#NAME?</v>
      </c>
      <c r="I452" s="324"/>
      <c r="J452" s="324"/>
      <c r="K452" s="324" t="e">
        <f aca="false">общ.калькуляция!m451</f>
        <v>#NAME?</v>
      </c>
      <c r="L452" s="324"/>
      <c r="M452" s="324"/>
      <c r="N452" s="324" t="e">
        <f aca="false">E452+H452+K452</f>
        <v>#NAME?</v>
      </c>
    </row>
    <row r="453" customFormat="false" ht="13.5" hidden="false" customHeight="true" outlineLevel="0" collapsed="false">
      <c r="A453" s="28" t="s">
        <v>772</v>
      </c>
      <c r="B453" s="29" t="s">
        <v>3205</v>
      </c>
      <c r="C453" s="323"/>
      <c r="D453" s="323"/>
      <c r="E453" s="324" t="e">
        <f aca="false">общ.калькуляция!h452</f>
        <v>#NAME?</v>
      </c>
      <c r="F453" s="324"/>
      <c r="G453" s="324"/>
      <c r="H453" s="324" t="e">
        <f aca="false">общ.калькуляция!j452</f>
        <v>#NAME?</v>
      </c>
      <c r="I453" s="324"/>
      <c r="J453" s="324"/>
      <c r="K453" s="324" t="e">
        <f aca="false">общ.калькуляция!m452</f>
        <v>#NAME?</v>
      </c>
      <c r="L453" s="324"/>
      <c r="M453" s="324"/>
      <c r="N453" s="324" t="e">
        <f aca="false">E453+H453+K453</f>
        <v>#NAME?</v>
      </c>
    </row>
    <row r="454" customFormat="false" ht="13.5" hidden="false" customHeight="true" outlineLevel="0" collapsed="false">
      <c r="A454" s="28" t="s">
        <v>774</v>
      </c>
      <c r="B454" s="29" t="s">
        <v>3206</v>
      </c>
      <c r="C454" s="323"/>
      <c r="D454" s="323"/>
      <c r="E454" s="324" t="e">
        <f aca="false">общ.калькуляция!h453</f>
        <v>#NAME?</v>
      </c>
      <c r="F454" s="324"/>
      <c r="G454" s="324"/>
      <c r="H454" s="324" t="e">
        <f aca="false">общ.калькуляция!j453</f>
        <v>#NAME?</v>
      </c>
      <c r="I454" s="324"/>
      <c r="J454" s="324"/>
      <c r="K454" s="324" t="e">
        <f aca="false">общ.калькуляция!m453</f>
        <v>#NAME?</v>
      </c>
      <c r="L454" s="324"/>
      <c r="M454" s="324"/>
      <c r="N454" s="324" t="e">
        <f aca="false">E454+H454+K454</f>
        <v>#NAME?</v>
      </c>
    </row>
    <row r="455" customFormat="false" ht="13.5" hidden="false" customHeight="true" outlineLevel="0" collapsed="false">
      <c r="A455" s="28" t="s">
        <v>776</v>
      </c>
      <c r="B455" s="29" t="s">
        <v>3207</v>
      </c>
      <c r="C455" s="323"/>
      <c r="D455" s="323"/>
      <c r="E455" s="324" t="e">
        <f aca="false">общ.калькуляция!h454</f>
        <v>#NAME?</v>
      </c>
      <c r="F455" s="324"/>
      <c r="G455" s="324"/>
      <c r="H455" s="324" t="e">
        <f aca="false">общ.калькуляция!j454</f>
        <v>#NAME?</v>
      </c>
      <c r="I455" s="324"/>
      <c r="J455" s="324"/>
      <c r="K455" s="324" t="e">
        <f aca="false">общ.калькуляция!m454</f>
        <v>#NAME?</v>
      </c>
      <c r="L455" s="324"/>
      <c r="M455" s="324"/>
      <c r="N455" s="324" t="e">
        <f aca="false">E455+H455+K455</f>
        <v>#NAME?</v>
      </c>
    </row>
    <row r="456" customFormat="false" ht="13.5" hidden="false" customHeight="true" outlineLevel="0" collapsed="false">
      <c r="A456" s="28" t="s">
        <v>778</v>
      </c>
      <c r="B456" s="29" t="s">
        <v>3208</v>
      </c>
      <c r="C456" s="323"/>
      <c r="D456" s="323"/>
      <c r="E456" s="324" t="e">
        <f aca="false">общ.калькуляция!h455</f>
        <v>#NAME?</v>
      </c>
      <c r="F456" s="324"/>
      <c r="G456" s="324"/>
      <c r="H456" s="324" t="e">
        <f aca="false">общ.калькуляция!j455</f>
        <v>#NAME?</v>
      </c>
      <c r="I456" s="324"/>
      <c r="J456" s="324"/>
      <c r="K456" s="324" t="e">
        <f aca="false">общ.калькуляция!m455</f>
        <v>#NAME?</v>
      </c>
      <c r="L456" s="324"/>
      <c r="M456" s="324"/>
      <c r="N456" s="324" t="e">
        <f aca="false">E456+H456+K456</f>
        <v>#NAME?</v>
      </c>
    </row>
    <row r="457" customFormat="false" ht="13.5" hidden="false" customHeight="true" outlineLevel="0" collapsed="false">
      <c r="A457" s="28" t="s">
        <v>780</v>
      </c>
      <c r="B457" s="29" t="s">
        <v>3209</v>
      </c>
      <c r="C457" s="323"/>
      <c r="D457" s="323"/>
      <c r="E457" s="324" t="e">
        <f aca="false">общ.калькуляция!h456</f>
        <v>#NAME?</v>
      </c>
      <c r="F457" s="324"/>
      <c r="G457" s="324"/>
      <c r="H457" s="324" t="e">
        <f aca="false">общ.калькуляция!j456</f>
        <v>#NAME?</v>
      </c>
      <c r="I457" s="324"/>
      <c r="J457" s="324"/>
      <c r="K457" s="324" t="e">
        <f aca="false">общ.калькуляция!m456</f>
        <v>#NAME?</v>
      </c>
      <c r="L457" s="324"/>
      <c r="M457" s="324"/>
      <c r="N457" s="324" t="e">
        <f aca="false">E457+H457+K457</f>
        <v>#NAME?</v>
      </c>
    </row>
    <row r="458" customFormat="false" ht="13.5" hidden="false" customHeight="true" outlineLevel="0" collapsed="false">
      <c r="A458" s="28" t="s">
        <v>782</v>
      </c>
      <c r="B458" s="29" t="s">
        <v>3210</v>
      </c>
      <c r="C458" s="323"/>
      <c r="D458" s="323"/>
      <c r="E458" s="324" t="e">
        <f aca="false">общ.калькуляция!h457</f>
        <v>#NAME?</v>
      </c>
      <c r="F458" s="324"/>
      <c r="G458" s="324"/>
      <c r="H458" s="324" t="e">
        <f aca="false">общ.калькуляция!j457</f>
        <v>#NAME?</v>
      </c>
      <c r="I458" s="324"/>
      <c r="J458" s="324"/>
      <c r="K458" s="324" t="e">
        <f aca="false">общ.калькуляция!m457</f>
        <v>#NAME?</v>
      </c>
      <c r="L458" s="324"/>
      <c r="M458" s="324"/>
      <c r="N458" s="324" t="e">
        <f aca="false">E458+H458+K458</f>
        <v>#NAME?</v>
      </c>
    </row>
    <row r="459" customFormat="false" ht="13.5" hidden="false" customHeight="true" outlineLevel="0" collapsed="false">
      <c r="A459" s="28" t="s">
        <v>784</v>
      </c>
      <c r="B459" s="29" t="s">
        <v>3211</v>
      </c>
      <c r="C459" s="323"/>
      <c r="D459" s="323"/>
      <c r="E459" s="324" t="e">
        <f aca="false">общ.калькуляция!h458</f>
        <v>#NAME?</v>
      </c>
      <c r="F459" s="324"/>
      <c r="G459" s="324"/>
      <c r="H459" s="324" t="e">
        <f aca="false">общ.калькуляция!j458</f>
        <v>#NAME?</v>
      </c>
      <c r="I459" s="324"/>
      <c r="J459" s="324"/>
      <c r="K459" s="324" t="e">
        <f aca="false">общ.калькуляция!m458</f>
        <v>#NAME?</v>
      </c>
      <c r="L459" s="324"/>
      <c r="M459" s="324"/>
      <c r="N459" s="324" t="e">
        <f aca="false">E459+H459+K459</f>
        <v>#NAME?</v>
      </c>
    </row>
    <row r="460" customFormat="false" ht="13.5" hidden="false" customHeight="true" outlineLevel="0" collapsed="false">
      <c r="A460" s="28" t="s">
        <v>786</v>
      </c>
      <c r="B460" s="29" t="s">
        <v>3103</v>
      </c>
      <c r="C460" s="323"/>
      <c r="D460" s="323"/>
      <c r="E460" s="324" t="e">
        <f aca="false">общ.калькуляция!h459</f>
        <v>#NAME?</v>
      </c>
      <c r="F460" s="324"/>
      <c r="G460" s="324"/>
      <c r="H460" s="324" t="e">
        <f aca="false">общ.калькуляция!j459</f>
        <v>#NAME?</v>
      </c>
      <c r="I460" s="324"/>
      <c r="J460" s="324"/>
      <c r="K460" s="324" t="e">
        <f aca="false">общ.калькуляция!m459</f>
        <v>#NAME?</v>
      </c>
      <c r="L460" s="324"/>
      <c r="M460" s="324"/>
      <c r="N460" s="324" t="e">
        <f aca="false">E460+H460+K460</f>
        <v>#NAME?</v>
      </c>
    </row>
    <row r="461" customFormat="false" ht="13.5" hidden="false" customHeight="true" outlineLevel="0" collapsed="false">
      <c r="A461" s="28" t="s">
        <v>787</v>
      </c>
      <c r="B461" s="29" t="s">
        <v>3148</v>
      </c>
      <c r="C461" s="323"/>
      <c r="D461" s="323"/>
      <c r="E461" s="324" t="e">
        <f aca="false">общ.калькуляция!h460</f>
        <v>#NAME?</v>
      </c>
      <c r="F461" s="324"/>
      <c r="G461" s="324"/>
      <c r="H461" s="324" t="e">
        <f aca="false">общ.калькуляция!j460</f>
        <v>#NAME?</v>
      </c>
      <c r="I461" s="324"/>
      <c r="J461" s="324"/>
      <c r="K461" s="324" t="e">
        <f aca="false">общ.калькуляция!m460</f>
        <v>#NAME?</v>
      </c>
      <c r="L461" s="324"/>
      <c r="M461" s="324"/>
      <c r="N461" s="324" t="e">
        <f aca="false">E461+H461+K461</f>
        <v>#NAME?</v>
      </c>
    </row>
    <row r="462" customFormat="false" ht="13.5" hidden="false" customHeight="true" outlineLevel="0" collapsed="false">
      <c r="A462" s="28" t="s">
        <v>788</v>
      </c>
      <c r="B462" s="29" t="s">
        <v>3102</v>
      </c>
      <c r="C462" s="323"/>
      <c r="D462" s="323"/>
      <c r="E462" s="324" t="e">
        <f aca="false">общ.калькуляция!h461</f>
        <v>#NAME?</v>
      </c>
      <c r="F462" s="324"/>
      <c r="G462" s="324"/>
      <c r="H462" s="324" t="e">
        <f aca="false">общ.калькуляция!j461</f>
        <v>#NAME?</v>
      </c>
      <c r="I462" s="324"/>
      <c r="J462" s="324"/>
      <c r="K462" s="324" t="e">
        <f aca="false">общ.калькуляция!m461</f>
        <v>#NAME?</v>
      </c>
      <c r="L462" s="324"/>
      <c r="M462" s="324"/>
      <c r="N462" s="324" t="e">
        <f aca="false">E462+H462+K462</f>
        <v>#NAME?</v>
      </c>
    </row>
    <row r="463" customFormat="false" ht="13.5" hidden="false" customHeight="true" outlineLevel="0" collapsed="false">
      <c r="A463" s="28" t="s">
        <v>789</v>
      </c>
      <c r="B463" s="29" t="s">
        <v>3149</v>
      </c>
      <c r="C463" s="323"/>
      <c r="D463" s="323"/>
      <c r="E463" s="324" t="e">
        <f aca="false">общ.калькуляция!h462</f>
        <v>#NAME?</v>
      </c>
      <c r="F463" s="324"/>
      <c r="G463" s="324"/>
      <c r="H463" s="324" t="e">
        <f aca="false">общ.калькуляция!j462</f>
        <v>#NAME?</v>
      </c>
      <c r="I463" s="324"/>
      <c r="J463" s="324"/>
      <c r="K463" s="324" t="e">
        <f aca="false">общ.калькуляция!m462</f>
        <v>#NAME?</v>
      </c>
      <c r="L463" s="324"/>
      <c r="M463" s="324"/>
      <c r="N463" s="324" t="e">
        <f aca="false">E463+H463+K463</f>
        <v>#NAME?</v>
      </c>
    </row>
    <row r="464" customFormat="false" ht="13.5" hidden="false" customHeight="true" outlineLevel="0" collapsed="false">
      <c r="A464" s="28" t="s">
        <v>790</v>
      </c>
      <c r="B464" s="40" t="s">
        <v>791</v>
      </c>
      <c r="C464" s="323"/>
      <c r="D464" s="323"/>
      <c r="E464" s="324" t="e">
        <f aca="false">общ.калькуляция!h463</f>
        <v>#NAME?</v>
      </c>
      <c r="F464" s="324"/>
      <c r="G464" s="324"/>
      <c r="H464" s="324" t="e">
        <f aca="false">общ.калькуляция!j463</f>
        <v>#NAME?</v>
      </c>
      <c r="I464" s="324"/>
      <c r="J464" s="324"/>
      <c r="K464" s="324" t="e">
        <f aca="false">общ.калькуляция!m463</f>
        <v>#NAME?</v>
      </c>
      <c r="L464" s="324"/>
      <c r="M464" s="324"/>
      <c r="N464" s="324" t="e">
        <f aca="false">E464+H464+K464</f>
        <v>#NAME?</v>
      </c>
    </row>
    <row r="465" customFormat="false" ht="13.5" hidden="false" customHeight="true" outlineLevel="0" collapsed="false">
      <c r="A465" s="28" t="s">
        <v>792</v>
      </c>
      <c r="B465" s="40" t="s">
        <v>3212</v>
      </c>
      <c r="C465" s="323"/>
      <c r="D465" s="323"/>
      <c r="E465" s="324" t="e">
        <f aca="false">общ.калькуляция!h464</f>
        <v>#NAME?</v>
      </c>
      <c r="F465" s="324"/>
      <c r="G465" s="324"/>
      <c r="H465" s="324" t="e">
        <f aca="false">общ.калькуляция!j464</f>
        <v>#NAME?</v>
      </c>
      <c r="I465" s="324"/>
      <c r="J465" s="324"/>
      <c r="K465" s="324" t="e">
        <f aca="false">общ.калькуляция!m464</f>
        <v>#NAME?</v>
      </c>
      <c r="L465" s="324"/>
      <c r="M465" s="324"/>
      <c r="N465" s="324" t="e">
        <f aca="false">E465+H465+K465</f>
        <v>#NAME?</v>
      </c>
    </row>
    <row r="466" customFormat="false" ht="13.5" hidden="false" customHeight="true" outlineLevel="0" collapsed="false">
      <c r="A466" s="15" t="s">
        <v>794</v>
      </c>
      <c r="B466" s="16" t="s">
        <v>3213</v>
      </c>
      <c r="C466" s="321"/>
      <c r="D466" s="321"/>
      <c r="E466" s="329"/>
      <c r="F466" s="329"/>
      <c r="G466" s="329"/>
      <c r="H466" s="329"/>
      <c r="I466" s="329"/>
      <c r="J466" s="329"/>
      <c r="K466" s="329"/>
      <c r="L466" s="329"/>
      <c r="M466" s="329"/>
      <c r="N466" s="329"/>
    </row>
    <row r="467" customFormat="false" ht="13.5" hidden="false" customHeight="true" outlineLevel="0" collapsed="false">
      <c r="A467" s="28" t="s">
        <v>796</v>
      </c>
      <c r="B467" s="29" t="s">
        <v>3010</v>
      </c>
      <c r="C467" s="323"/>
      <c r="D467" s="323"/>
      <c r="E467" s="324" t="e">
        <f aca="false">общ.калькуляция!h466</f>
        <v>#NAME?</v>
      </c>
      <c r="F467" s="324"/>
      <c r="G467" s="324"/>
      <c r="H467" s="324" t="e">
        <f aca="false">общ.калькуляция!j466</f>
        <v>#NAME?</v>
      </c>
      <c r="I467" s="324"/>
      <c r="J467" s="324"/>
      <c r="K467" s="324" t="e">
        <f aca="false">общ.калькуляция!m466</f>
        <v>#NAME?</v>
      </c>
      <c r="L467" s="324"/>
      <c r="M467" s="324"/>
      <c r="N467" s="324" t="e">
        <f aca="false">E467+H467+K467</f>
        <v>#NAME?</v>
      </c>
    </row>
    <row r="468" customFormat="false" ht="13.5" hidden="false" customHeight="true" outlineLevel="0" collapsed="false">
      <c r="A468" s="28" t="s">
        <v>797</v>
      </c>
      <c r="B468" s="29" t="s">
        <v>3084</v>
      </c>
      <c r="C468" s="323"/>
      <c r="D468" s="323"/>
      <c r="E468" s="324" t="e">
        <f aca="false">общ.калькуляция!h467</f>
        <v>#NAME?</v>
      </c>
      <c r="F468" s="324"/>
      <c r="G468" s="324"/>
      <c r="H468" s="324" t="e">
        <f aca="false">общ.калькуляция!j467</f>
        <v>#NAME?</v>
      </c>
      <c r="I468" s="324"/>
      <c r="J468" s="324"/>
      <c r="K468" s="324" t="e">
        <f aca="false">общ.калькуляция!m467</f>
        <v>#NAME?</v>
      </c>
      <c r="L468" s="324"/>
      <c r="M468" s="324"/>
      <c r="N468" s="324" t="e">
        <f aca="false">E468+H468+K468</f>
        <v>#NAME?</v>
      </c>
    </row>
    <row r="469" customFormat="false" ht="13.5" hidden="false" customHeight="true" outlineLevel="0" collapsed="false">
      <c r="A469" s="28" t="s">
        <v>798</v>
      </c>
      <c r="B469" s="29" t="s">
        <v>3085</v>
      </c>
      <c r="C469" s="323"/>
      <c r="D469" s="323"/>
      <c r="E469" s="324" t="e">
        <f aca="false">общ.калькуляция!h468</f>
        <v>#NAME?</v>
      </c>
      <c r="F469" s="324"/>
      <c r="G469" s="324"/>
      <c r="H469" s="324" t="e">
        <f aca="false">общ.калькуляция!j468</f>
        <v>#NAME?</v>
      </c>
      <c r="I469" s="324"/>
      <c r="J469" s="324"/>
      <c r="K469" s="324" t="e">
        <f aca="false">общ.калькуляция!m468</f>
        <v>#NAME?</v>
      </c>
      <c r="L469" s="324"/>
      <c r="M469" s="324"/>
      <c r="N469" s="324" t="e">
        <f aca="false">E469+H469+K469</f>
        <v>#NAME?</v>
      </c>
    </row>
    <row r="470" customFormat="false" ht="13.5" hidden="false" customHeight="true" outlineLevel="0" collapsed="false">
      <c r="A470" s="28" t="s">
        <v>799</v>
      </c>
      <c r="B470" s="29" t="s">
        <v>3126</v>
      </c>
      <c r="C470" s="323"/>
      <c r="D470" s="323"/>
      <c r="E470" s="324" t="e">
        <f aca="false">общ.калькуляция!h469</f>
        <v>#NAME?</v>
      </c>
      <c r="F470" s="324"/>
      <c r="G470" s="324"/>
      <c r="H470" s="324" t="e">
        <f aca="false">общ.калькуляция!j469</f>
        <v>#NAME?</v>
      </c>
      <c r="I470" s="324"/>
      <c r="J470" s="324"/>
      <c r="K470" s="324" t="e">
        <f aca="false">общ.калькуляция!m469</f>
        <v>#NAME?</v>
      </c>
      <c r="L470" s="324"/>
      <c r="M470" s="324"/>
      <c r="N470" s="324" t="e">
        <f aca="false">E470+H470+K470</f>
        <v>#NAME?</v>
      </c>
    </row>
    <row r="471" customFormat="false" ht="13.5" hidden="false" customHeight="true" outlineLevel="0" collapsed="false">
      <c r="A471" s="28" t="s">
        <v>800</v>
      </c>
      <c r="B471" s="29" t="s">
        <v>3214</v>
      </c>
      <c r="C471" s="323"/>
      <c r="D471" s="323"/>
      <c r="E471" s="324" t="e">
        <f aca="false">общ.калькуляция!h470</f>
        <v>#NAME?</v>
      </c>
      <c r="F471" s="324"/>
      <c r="G471" s="324"/>
      <c r="H471" s="324" t="e">
        <f aca="false">общ.калькуляция!j470</f>
        <v>#NAME?</v>
      </c>
      <c r="I471" s="324"/>
      <c r="J471" s="324"/>
      <c r="K471" s="324" t="e">
        <f aca="false">общ.калькуляция!m470</f>
        <v>#NAME?</v>
      </c>
      <c r="L471" s="324"/>
      <c r="M471" s="324"/>
      <c r="N471" s="324" t="e">
        <f aca="false">E471+H471+K471</f>
        <v>#NAME?</v>
      </c>
    </row>
    <row r="472" customFormat="false" ht="13.5" hidden="false" customHeight="true" outlineLevel="0" collapsed="false">
      <c r="A472" s="28" t="s">
        <v>802</v>
      </c>
      <c r="B472" s="29" t="s">
        <v>3215</v>
      </c>
      <c r="C472" s="323"/>
      <c r="D472" s="323"/>
      <c r="E472" s="324" t="e">
        <f aca="false">общ.калькуляция!h471</f>
        <v>#NAME?</v>
      </c>
      <c r="F472" s="324"/>
      <c r="G472" s="324"/>
      <c r="H472" s="324" t="e">
        <f aca="false">общ.калькуляция!j471</f>
        <v>#NAME?</v>
      </c>
      <c r="I472" s="324"/>
      <c r="J472" s="324"/>
      <c r="K472" s="324" t="e">
        <f aca="false">общ.калькуляция!m471</f>
        <v>#NAME?</v>
      </c>
      <c r="L472" s="324"/>
      <c r="M472" s="324"/>
      <c r="N472" s="324" t="e">
        <f aca="false">E472+H472+K472</f>
        <v>#NAME?</v>
      </c>
    </row>
    <row r="473" customFormat="false" ht="13.5" hidden="false" customHeight="true" outlineLevel="0" collapsed="false">
      <c r="A473" s="28" t="s">
        <v>804</v>
      </c>
      <c r="B473" s="29" t="s">
        <v>3216</v>
      </c>
      <c r="C473" s="323"/>
      <c r="D473" s="323"/>
      <c r="E473" s="324" t="e">
        <f aca="false">общ.калькуляция!h472</f>
        <v>#NAME?</v>
      </c>
      <c r="F473" s="324"/>
      <c r="G473" s="324"/>
      <c r="H473" s="324" t="e">
        <f aca="false">общ.калькуляция!j472</f>
        <v>#NAME?</v>
      </c>
      <c r="I473" s="324"/>
      <c r="J473" s="324"/>
      <c r="K473" s="324" t="e">
        <f aca="false">общ.калькуляция!m472</f>
        <v>#NAME?</v>
      </c>
      <c r="L473" s="324"/>
      <c r="M473" s="324"/>
      <c r="N473" s="324" t="e">
        <f aca="false">E473+H473+K473</f>
        <v>#NAME?</v>
      </c>
    </row>
    <row r="474" customFormat="false" ht="13.5" hidden="false" customHeight="true" outlineLevel="0" collapsed="false">
      <c r="A474" s="28" t="s">
        <v>806</v>
      </c>
      <c r="B474" s="29" t="s">
        <v>3217</v>
      </c>
      <c r="C474" s="323"/>
      <c r="D474" s="323"/>
      <c r="E474" s="324" t="e">
        <f aca="false">общ.калькуляция!h473</f>
        <v>#NAME?</v>
      </c>
      <c r="F474" s="324"/>
      <c r="G474" s="324"/>
      <c r="H474" s="324" t="e">
        <f aca="false">общ.калькуляция!j473</f>
        <v>#NAME?</v>
      </c>
      <c r="I474" s="324"/>
      <c r="J474" s="324"/>
      <c r="K474" s="324" t="e">
        <f aca="false">общ.калькуляция!m473</f>
        <v>#NAME?</v>
      </c>
      <c r="L474" s="324"/>
      <c r="M474" s="324"/>
      <c r="N474" s="324" t="e">
        <f aca="false">E474+H474+K474</f>
        <v>#NAME?</v>
      </c>
    </row>
    <row r="475" customFormat="false" ht="13.5" hidden="false" customHeight="true" outlineLevel="0" collapsed="false">
      <c r="A475" s="28" t="s">
        <v>808</v>
      </c>
      <c r="B475" s="29" t="s">
        <v>3218</v>
      </c>
      <c r="C475" s="323"/>
      <c r="D475" s="323"/>
      <c r="E475" s="324" t="e">
        <f aca="false">общ.калькуляция!h474</f>
        <v>#NAME?</v>
      </c>
      <c r="F475" s="324"/>
      <c r="G475" s="324"/>
      <c r="H475" s="324" t="e">
        <f aca="false">общ.калькуляция!j474</f>
        <v>#NAME?</v>
      </c>
      <c r="I475" s="324"/>
      <c r="J475" s="324"/>
      <c r="K475" s="324" t="e">
        <f aca="false">общ.калькуляция!m474</f>
        <v>#NAME?</v>
      </c>
      <c r="L475" s="324"/>
      <c r="M475" s="324"/>
      <c r="N475" s="324" t="e">
        <f aca="false">E475+H475+K475</f>
        <v>#NAME?</v>
      </c>
    </row>
    <row r="476" customFormat="false" ht="13.5" hidden="false" customHeight="true" outlineLevel="0" collapsed="false">
      <c r="A476" s="28" t="s">
        <v>810</v>
      </c>
      <c r="B476" s="29" t="s">
        <v>3219</v>
      </c>
      <c r="C476" s="323"/>
      <c r="D476" s="323"/>
      <c r="E476" s="324" t="e">
        <f aca="false">общ.калькуляция!h475</f>
        <v>#NAME?</v>
      </c>
      <c r="F476" s="324"/>
      <c r="G476" s="324"/>
      <c r="H476" s="324" t="e">
        <f aca="false">общ.калькуляция!j475</f>
        <v>#NAME?</v>
      </c>
      <c r="I476" s="324"/>
      <c r="J476" s="324"/>
      <c r="K476" s="324" t="e">
        <f aca="false">общ.калькуляция!m475</f>
        <v>#NAME?</v>
      </c>
      <c r="L476" s="324"/>
      <c r="M476" s="324"/>
      <c r="N476" s="324" t="e">
        <f aca="false">E476+H476+K476</f>
        <v>#NAME?</v>
      </c>
    </row>
    <row r="477" customFormat="false" ht="13.5" hidden="false" customHeight="true" outlineLevel="0" collapsed="false">
      <c r="A477" s="28" t="s">
        <v>812</v>
      </c>
      <c r="B477" s="29" t="s">
        <v>3103</v>
      </c>
      <c r="C477" s="323"/>
      <c r="D477" s="323"/>
      <c r="E477" s="324" t="e">
        <f aca="false">общ.калькуляция!h476</f>
        <v>#NAME?</v>
      </c>
      <c r="F477" s="324"/>
      <c r="G477" s="324"/>
      <c r="H477" s="324" t="e">
        <f aca="false">общ.калькуляция!j476</f>
        <v>#NAME?</v>
      </c>
      <c r="I477" s="324"/>
      <c r="J477" s="324"/>
      <c r="K477" s="324" t="e">
        <f aca="false">общ.калькуляция!m476</f>
        <v>#NAME?</v>
      </c>
      <c r="L477" s="324"/>
      <c r="M477" s="324"/>
      <c r="N477" s="324" t="e">
        <f aca="false">E477+H477+K477</f>
        <v>#NAME?</v>
      </c>
    </row>
    <row r="478" customFormat="false" ht="13.5" hidden="false" customHeight="true" outlineLevel="0" collapsed="false">
      <c r="A478" s="28" t="s">
        <v>813</v>
      </c>
      <c r="B478" s="29" t="s">
        <v>3148</v>
      </c>
      <c r="C478" s="323"/>
      <c r="D478" s="323"/>
      <c r="E478" s="324" t="e">
        <f aca="false">общ.калькуляция!h477</f>
        <v>#NAME?</v>
      </c>
      <c r="F478" s="324"/>
      <c r="G478" s="324"/>
      <c r="H478" s="324" t="e">
        <f aca="false">общ.калькуляция!j477</f>
        <v>#NAME?</v>
      </c>
      <c r="I478" s="324"/>
      <c r="J478" s="324"/>
      <c r="K478" s="324" t="e">
        <f aca="false">общ.калькуляция!m477</f>
        <v>#NAME?</v>
      </c>
      <c r="L478" s="324"/>
      <c r="M478" s="324"/>
      <c r="N478" s="324" t="e">
        <f aca="false">E478+H478+K478</f>
        <v>#NAME?</v>
      </c>
    </row>
    <row r="479" customFormat="false" ht="13.5" hidden="false" customHeight="true" outlineLevel="0" collapsed="false">
      <c r="A479" s="28" t="s">
        <v>815</v>
      </c>
      <c r="B479" s="29" t="s">
        <v>3102</v>
      </c>
      <c r="C479" s="323"/>
      <c r="D479" s="323"/>
      <c r="E479" s="324" t="e">
        <f aca="false">общ.калькуляция!h478</f>
        <v>#NAME?</v>
      </c>
      <c r="F479" s="324"/>
      <c r="G479" s="324"/>
      <c r="H479" s="324" t="e">
        <f aca="false">общ.калькуляция!j478</f>
        <v>#NAME?</v>
      </c>
      <c r="I479" s="324"/>
      <c r="J479" s="324"/>
      <c r="K479" s="324" t="e">
        <f aca="false">общ.калькуляция!m478</f>
        <v>#NAME?</v>
      </c>
      <c r="L479" s="324"/>
      <c r="M479" s="324"/>
      <c r="N479" s="324" t="e">
        <f aca="false">E479+H479+K479</f>
        <v>#NAME?</v>
      </c>
    </row>
    <row r="480" customFormat="false" ht="13.5" hidden="false" customHeight="true" outlineLevel="0" collapsed="false">
      <c r="A480" s="28" t="s">
        <v>816</v>
      </c>
      <c r="B480" s="29" t="s">
        <v>3149</v>
      </c>
      <c r="C480" s="323"/>
      <c r="D480" s="323"/>
      <c r="E480" s="324" t="e">
        <f aca="false">общ.калькуляция!h479</f>
        <v>#NAME?</v>
      </c>
      <c r="F480" s="324"/>
      <c r="G480" s="324"/>
      <c r="H480" s="324" t="e">
        <f aca="false">общ.калькуляция!j479</f>
        <v>#NAME?</v>
      </c>
      <c r="I480" s="324"/>
      <c r="J480" s="324"/>
      <c r="K480" s="324" t="e">
        <f aca="false">общ.калькуляция!m479</f>
        <v>#NAME?</v>
      </c>
      <c r="L480" s="324"/>
      <c r="M480" s="324"/>
      <c r="N480" s="324" t="e">
        <f aca="false">E480+H480+K480</f>
        <v>#NAME?</v>
      </c>
    </row>
    <row r="481" customFormat="false" ht="13.5" hidden="false" customHeight="true" outlineLevel="0" collapsed="false">
      <c r="A481" s="28" t="s">
        <v>817</v>
      </c>
      <c r="B481" s="29" t="s">
        <v>3220</v>
      </c>
      <c r="C481" s="323"/>
      <c r="D481" s="323"/>
      <c r="E481" s="324" t="e">
        <f aca="false">общ.калькуляция!h480</f>
        <v>#NAME?</v>
      </c>
      <c r="F481" s="324"/>
      <c r="G481" s="324"/>
      <c r="H481" s="324" t="e">
        <f aca="false">общ.калькуляция!j480</f>
        <v>#NAME?</v>
      </c>
      <c r="I481" s="324"/>
      <c r="J481" s="324"/>
      <c r="K481" s="324" t="e">
        <f aca="false">общ.калькуляция!m480</f>
        <v>#NAME?</v>
      </c>
      <c r="L481" s="324"/>
      <c r="M481" s="324"/>
      <c r="N481" s="324" t="e">
        <f aca="false">E481+H481+K481</f>
        <v>#NAME?</v>
      </c>
    </row>
    <row r="482" customFormat="false" ht="13.5" hidden="false" customHeight="true" outlineLevel="0" collapsed="false">
      <c r="A482" s="28" t="s">
        <v>819</v>
      </c>
      <c r="B482" s="40" t="s">
        <v>3221</v>
      </c>
      <c r="C482" s="323"/>
      <c r="D482" s="323"/>
      <c r="E482" s="324" t="e">
        <f aca="false">общ.калькуляция!h481</f>
        <v>#NAME?</v>
      </c>
      <c r="F482" s="324"/>
      <c r="G482" s="324"/>
      <c r="H482" s="324" t="e">
        <f aca="false">общ.калькуляция!j481</f>
        <v>#NAME?</v>
      </c>
      <c r="I482" s="324"/>
      <c r="J482" s="324"/>
      <c r="K482" s="324" t="e">
        <f aca="false">общ.калькуляция!m481</f>
        <v>#NAME?</v>
      </c>
      <c r="L482" s="324"/>
      <c r="M482" s="324"/>
      <c r="N482" s="324" t="e">
        <f aca="false">E482+H482+K482</f>
        <v>#NAME?</v>
      </c>
    </row>
    <row r="483" customFormat="false" ht="13.5" hidden="false" customHeight="true" outlineLevel="0" collapsed="false">
      <c r="A483" s="28" t="s">
        <v>821</v>
      </c>
      <c r="B483" s="40" t="s">
        <v>3222</v>
      </c>
      <c r="C483" s="323"/>
      <c r="D483" s="323"/>
      <c r="E483" s="324" t="e">
        <f aca="false">общ.калькуляция!h482</f>
        <v>#NAME?</v>
      </c>
      <c r="F483" s="324"/>
      <c r="G483" s="324"/>
      <c r="H483" s="324" t="e">
        <f aca="false">общ.калькуляция!j482</f>
        <v>#NAME?</v>
      </c>
      <c r="I483" s="324"/>
      <c r="J483" s="324"/>
      <c r="K483" s="324" t="e">
        <f aca="false">общ.калькуляция!m482</f>
        <v>#NAME?</v>
      </c>
      <c r="L483" s="324"/>
      <c r="M483" s="324"/>
      <c r="N483" s="324" t="e">
        <f aca="false">E483+H483+K483</f>
        <v>#NAME?</v>
      </c>
    </row>
    <row r="484" customFormat="false" ht="13.5" hidden="false" customHeight="true" outlineLevel="0" collapsed="false">
      <c r="A484" s="28" t="s">
        <v>823</v>
      </c>
      <c r="B484" s="40" t="s">
        <v>3223</v>
      </c>
      <c r="C484" s="323"/>
      <c r="D484" s="323"/>
      <c r="E484" s="324" t="e">
        <f aca="false">общ.калькуляция!h483</f>
        <v>#NAME?</v>
      </c>
      <c r="F484" s="324"/>
      <c r="G484" s="324"/>
      <c r="H484" s="324" t="e">
        <f aca="false">общ.калькуляция!j483</f>
        <v>#NAME?</v>
      </c>
      <c r="I484" s="324"/>
      <c r="J484" s="324"/>
      <c r="K484" s="324" t="e">
        <f aca="false">общ.калькуляция!m483</f>
        <v>#NAME?</v>
      </c>
      <c r="L484" s="324"/>
      <c r="M484" s="324"/>
      <c r="N484" s="324" t="e">
        <f aca="false">E484+H484+K484</f>
        <v>#NAME?</v>
      </c>
    </row>
    <row r="485" customFormat="false" ht="13.5" hidden="false" customHeight="true" outlineLevel="0" collapsed="false">
      <c r="A485" s="15" t="s">
        <v>825</v>
      </c>
      <c r="B485" s="16" t="s">
        <v>826</v>
      </c>
      <c r="C485" s="321"/>
      <c r="D485" s="321"/>
      <c r="E485" s="329"/>
      <c r="F485" s="329"/>
      <c r="G485" s="329"/>
      <c r="H485" s="329"/>
      <c r="I485" s="329"/>
      <c r="J485" s="329"/>
      <c r="K485" s="329"/>
      <c r="L485" s="329"/>
      <c r="M485" s="329"/>
      <c r="N485" s="329"/>
    </row>
    <row r="486" customFormat="false" ht="13.5" hidden="false" customHeight="true" outlineLevel="0" collapsed="false">
      <c r="A486" s="28" t="s">
        <v>827</v>
      </c>
      <c r="B486" s="29" t="s">
        <v>3010</v>
      </c>
      <c r="C486" s="323"/>
      <c r="D486" s="323"/>
      <c r="E486" s="324" t="e">
        <f aca="false">общ.калькуляция!h485</f>
        <v>#NAME?</v>
      </c>
      <c r="F486" s="324"/>
      <c r="G486" s="324"/>
      <c r="H486" s="324" t="e">
        <f aca="false">общ.калькуляция!j485</f>
        <v>#NAME?</v>
      </c>
      <c r="I486" s="324"/>
      <c r="J486" s="324"/>
      <c r="K486" s="324" t="e">
        <f aca="false">общ.калькуляция!m485</f>
        <v>#NAME?</v>
      </c>
      <c r="L486" s="324"/>
      <c r="M486" s="324"/>
      <c r="N486" s="324" t="e">
        <f aca="false">E486+H486+K486</f>
        <v>#NAME?</v>
      </c>
    </row>
    <row r="487" customFormat="false" ht="13.5" hidden="false" customHeight="true" outlineLevel="0" collapsed="false">
      <c r="A487" s="28" t="s">
        <v>828</v>
      </c>
      <c r="B487" s="29" t="s">
        <v>3084</v>
      </c>
      <c r="C487" s="323"/>
      <c r="D487" s="323"/>
      <c r="E487" s="324" t="e">
        <f aca="false">общ.калькуляция!h486</f>
        <v>#NAME?</v>
      </c>
      <c r="F487" s="324"/>
      <c r="G487" s="324"/>
      <c r="H487" s="324" t="e">
        <f aca="false">общ.калькуляция!j486</f>
        <v>#NAME?</v>
      </c>
      <c r="I487" s="324"/>
      <c r="J487" s="324"/>
      <c r="K487" s="324" t="e">
        <f aca="false">общ.калькуляция!m486</f>
        <v>#NAME?</v>
      </c>
      <c r="L487" s="324"/>
      <c r="M487" s="324"/>
      <c r="N487" s="324" t="e">
        <f aca="false">E487+H487+K487</f>
        <v>#NAME?</v>
      </c>
    </row>
    <row r="488" customFormat="false" ht="13.5" hidden="false" customHeight="true" outlineLevel="0" collapsed="false">
      <c r="A488" s="28" t="s">
        <v>829</v>
      </c>
      <c r="B488" s="29" t="s">
        <v>3085</v>
      </c>
      <c r="C488" s="323"/>
      <c r="D488" s="323"/>
      <c r="E488" s="324" t="e">
        <f aca="false">общ.калькуляция!h487</f>
        <v>#NAME?</v>
      </c>
      <c r="F488" s="324"/>
      <c r="G488" s="324"/>
      <c r="H488" s="324" t="e">
        <f aca="false">общ.калькуляция!j487</f>
        <v>#NAME?</v>
      </c>
      <c r="I488" s="324"/>
      <c r="J488" s="324"/>
      <c r="K488" s="324" t="e">
        <f aca="false">общ.калькуляция!m487</f>
        <v>#NAME?</v>
      </c>
      <c r="L488" s="324"/>
      <c r="M488" s="324"/>
      <c r="N488" s="324" t="e">
        <f aca="false">E488+H488+K488</f>
        <v>#NAME?</v>
      </c>
    </row>
    <row r="489" customFormat="false" ht="13.5" hidden="false" customHeight="true" outlineLevel="0" collapsed="false">
      <c r="A489" s="28" t="s">
        <v>830</v>
      </c>
      <c r="B489" s="29" t="s">
        <v>3126</v>
      </c>
      <c r="C489" s="323"/>
      <c r="D489" s="323"/>
      <c r="E489" s="324" t="e">
        <f aca="false">общ.калькуляция!h488</f>
        <v>#NAME?</v>
      </c>
      <c r="F489" s="324"/>
      <c r="G489" s="324"/>
      <c r="H489" s="324" t="e">
        <f aca="false">общ.калькуляция!j488</f>
        <v>#NAME?</v>
      </c>
      <c r="I489" s="324"/>
      <c r="J489" s="324"/>
      <c r="K489" s="324" t="e">
        <f aca="false">общ.калькуляция!m488</f>
        <v>#NAME?</v>
      </c>
      <c r="L489" s="324"/>
      <c r="M489" s="324"/>
      <c r="N489" s="324" t="e">
        <f aca="false">E489+H489+K489</f>
        <v>#NAME?</v>
      </c>
    </row>
    <row r="490" customFormat="false" ht="13.5" hidden="false" customHeight="true" outlineLevel="0" collapsed="false">
      <c r="A490" s="28" t="s">
        <v>831</v>
      </c>
      <c r="B490" s="29" t="s">
        <v>2964</v>
      </c>
      <c r="C490" s="323"/>
      <c r="D490" s="323"/>
      <c r="E490" s="324" t="e">
        <f aca="false">общ.калькуляция!h489</f>
        <v>#NAME?</v>
      </c>
      <c r="F490" s="324"/>
      <c r="G490" s="324"/>
      <c r="H490" s="324" t="e">
        <f aca="false">общ.калькуляция!j489</f>
        <v>#NAME?</v>
      </c>
      <c r="I490" s="324"/>
      <c r="J490" s="324"/>
      <c r="K490" s="324" t="e">
        <f aca="false">общ.калькуляция!m489</f>
        <v>#NAME?</v>
      </c>
      <c r="L490" s="324"/>
      <c r="M490" s="324"/>
      <c r="N490" s="324" t="e">
        <f aca="false">E490+H490+K490</f>
        <v>#NAME?</v>
      </c>
    </row>
    <row r="491" customFormat="false" ht="13.5" hidden="false" customHeight="true" outlineLevel="0" collapsed="false">
      <c r="A491" s="28" t="s">
        <v>832</v>
      </c>
      <c r="B491" s="29" t="s">
        <v>3215</v>
      </c>
      <c r="C491" s="323"/>
      <c r="D491" s="323"/>
      <c r="E491" s="324" t="e">
        <f aca="false">общ.калькуляция!h490</f>
        <v>#NAME?</v>
      </c>
      <c r="F491" s="324"/>
      <c r="G491" s="324"/>
      <c r="H491" s="324" t="e">
        <f aca="false">общ.калькуляция!j490</f>
        <v>#NAME?</v>
      </c>
      <c r="I491" s="324"/>
      <c r="J491" s="324"/>
      <c r="K491" s="324" t="e">
        <f aca="false">общ.калькуляция!m490</f>
        <v>#NAME?</v>
      </c>
      <c r="L491" s="324"/>
      <c r="M491" s="324"/>
      <c r="N491" s="324" t="e">
        <f aca="false">E491+H491+K491</f>
        <v>#NAME?</v>
      </c>
    </row>
    <row r="492" customFormat="false" ht="13.5" hidden="false" customHeight="true" outlineLevel="0" collapsed="false">
      <c r="A492" s="28" t="s">
        <v>833</v>
      </c>
      <c r="B492" s="29" t="s">
        <v>3224</v>
      </c>
      <c r="C492" s="323"/>
      <c r="D492" s="323"/>
      <c r="E492" s="324" t="e">
        <f aca="false">общ.калькуляция!h491</f>
        <v>#NAME?</v>
      </c>
      <c r="F492" s="324"/>
      <c r="G492" s="324"/>
      <c r="H492" s="324" t="e">
        <f aca="false">общ.калькуляция!j491</f>
        <v>#NAME?</v>
      </c>
      <c r="I492" s="324"/>
      <c r="J492" s="324"/>
      <c r="K492" s="324" t="e">
        <f aca="false">общ.калькуляция!m491</f>
        <v>#NAME?</v>
      </c>
      <c r="L492" s="324"/>
      <c r="M492" s="324"/>
      <c r="N492" s="324" t="e">
        <f aca="false">E492+H492+K492</f>
        <v>#NAME?</v>
      </c>
    </row>
    <row r="493" customFormat="false" ht="13.5" hidden="false" customHeight="true" outlineLevel="0" collapsed="false">
      <c r="A493" s="28" t="s">
        <v>835</v>
      </c>
      <c r="B493" s="29" t="s">
        <v>3225</v>
      </c>
      <c r="C493" s="323"/>
      <c r="D493" s="323"/>
      <c r="E493" s="324" t="e">
        <f aca="false">общ.калькуляция!h492</f>
        <v>#NAME?</v>
      </c>
      <c r="F493" s="324"/>
      <c r="G493" s="324"/>
      <c r="H493" s="324" t="e">
        <f aca="false">общ.калькуляция!j492</f>
        <v>#NAME?</v>
      </c>
      <c r="I493" s="324"/>
      <c r="J493" s="324"/>
      <c r="K493" s="324" t="e">
        <f aca="false">общ.калькуляция!m492</f>
        <v>#NAME?</v>
      </c>
      <c r="L493" s="324"/>
      <c r="M493" s="324"/>
      <c r="N493" s="324" t="e">
        <f aca="false">E493+H493+K493</f>
        <v>#NAME?</v>
      </c>
    </row>
    <row r="494" customFormat="false" ht="13.5" hidden="false" customHeight="true" outlineLevel="0" collapsed="false">
      <c r="A494" s="28" t="s">
        <v>837</v>
      </c>
      <c r="B494" s="29" t="s">
        <v>3226</v>
      </c>
      <c r="C494" s="323"/>
      <c r="D494" s="323"/>
      <c r="E494" s="324" t="e">
        <f aca="false">общ.калькуляция!h493</f>
        <v>#NAME?</v>
      </c>
      <c r="F494" s="324"/>
      <c r="G494" s="324"/>
      <c r="H494" s="324" t="e">
        <f aca="false">общ.калькуляция!j493</f>
        <v>#NAME?</v>
      </c>
      <c r="I494" s="324"/>
      <c r="J494" s="324"/>
      <c r="K494" s="324" t="e">
        <f aca="false">общ.калькуляция!m493</f>
        <v>#NAME?</v>
      </c>
      <c r="L494" s="324"/>
      <c r="M494" s="324"/>
      <c r="N494" s="324" t="e">
        <f aca="false">E494+H494+K494</f>
        <v>#NAME?</v>
      </c>
    </row>
    <row r="495" customFormat="false" ht="13.5" hidden="false" customHeight="true" outlineLevel="0" collapsed="false">
      <c r="A495" s="28" t="s">
        <v>838</v>
      </c>
      <c r="B495" s="29" t="s">
        <v>3103</v>
      </c>
      <c r="C495" s="323"/>
      <c r="D495" s="323"/>
      <c r="E495" s="324" t="e">
        <f aca="false">общ.калькуляция!h494</f>
        <v>#NAME?</v>
      </c>
      <c r="F495" s="324"/>
      <c r="G495" s="324"/>
      <c r="H495" s="324" t="e">
        <f aca="false">общ.калькуляция!j494</f>
        <v>#NAME?</v>
      </c>
      <c r="I495" s="324"/>
      <c r="J495" s="324"/>
      <c r="K495" s="324" t="e">
        <f aca="false">общ.калькуляция!m494</f>
        <v>#NAME?</v>
      </c>
      <c r="L495" s="324"/>
      <c r="M495" s="324"/>
      <c r="N495" s="324" t="e">
        <f aca="false">E495+H495+K495</f>
        <v>#NAME?</v>
      </c>
    </row>
    <row r="496" customFormat="false" ht="13.5" hidden="false" customHeight="true" outlineLevel="0" collapsed="false">
      <c r="A496" s="28" t="s">
        <v>839</v>
      </c>
      <c r="B496" s="29" t="s">
        <v>3148</v>
      </c>
      <c r="C496" s="323"/>
      <c r="D496" s="323"/>
      <c r="E496" s="324" t="e">
        <f aca="false">общ.калькуляция!h495</f>
        <v>#NAME?</v>
      </c>
      <c r="F496" s="324"/>
      <c r="G496" s="324"/>
      <c r="H496" s="324" t="e">
        <f aca="false">общ.калькуляция!j495</f>
        <v>#NAME?</v>
      </c>
      <c r="I496" s="324"/>
      <c r="J496" s="324"/>
      <c r="K496" s="324" t="e">
        <f aca="false">общ.калькуляция!m495</f>
        <v>#NAME?</v>
      </c>
      <c r="L496" s="324"/>
      <c r="M496" s="324"/>
      <c r="N496" s="324" t="e">
        <f aca="false">E496+H496+K496</f>
        <v>#NAME?</v>
      </c>
    </row>
    <row r="497" customFormat="false" ht="13.5" hidden="false" customHeight="true" outlineLevel="0" collapsed="false">
      <c r="A497" s="28" t="s">
        <v>840</v>
      </c>
      <c r="B497" s="29" t="s">
        <v>3102</v>
      </c>
      <c r="C497" s="323"/>
      <c r="D497" s="323"/>
      <c r="E497" s="324" t="e">
        <f aca="false">общ.калькуляция!h496</f>
        <v>#NAME?</v>
      </c>
      <c r="F497" s="324"/>
      <c r="G497" s="324"/>
      <c r="H497" s="324" t="e">
        <f aca="false">общ.калькуляция!j496</f>
        <v>#NAME?</v>
      </c>
      <c r="I497" s="324"/>
      <c r="J497" s="324"/>
      <c r="K497" s="324" t="e">
        <f aca="false">общ.калькуляция!m496</f>
        <v>#NAME?</v>
      </c>
      <c r="L497" s="324"/>
      <c r="M497" s="324"/>
      <c r="N497" s="324" t="e">
        <f aca="false">E497+H497+K497</f>
        <v>#NAME?</v>
      </c>
    </row>
    <row r="498" customFormat="false" ht="13.5" hidden="false" customHeight="true" outlineLevel="0" collapsed="false">
      <c r="A498" s="28" t="s">
        <v>841</v>
      </c>
      <c r="B498" s="29" t="s">
        <v>3149</v>
      </c>
      <c r="C498" s="323"/>
      <c r="D498" s="323"/>
      <c r="E498" s="324" t="e">
        <f aca="false">общ.калькуляция!h497</f>
        <v>#NAME?</v>
      </c>
      <c r="F498" s="324"/>
      <c r="G498" s="324"/>
      <c r="H498" s="324" t="e">
        <f aca="false">общ.калькуляция!j497</f>
        <v>#NAME?</v>
      </c>
      <c r="I498" s="324"/>
      <c r="J498" s="324"/>
      <c r="K498" s="324" t="e">
        <f aca="false">общ.калькуляция!m497</f>
        <v>#NAME?</v>
      </c>
      <c r="L498" s="324"/>
      <c r="M498" s="324"/>
      <c r="N498" s="324" t="e">
        <f aca="false">E498+H498+K498</f>
        <v>#NAME?</v>
      </c>
    </row>
    <row r="499" customFormat="false" ht="13.5" hidden="false" customHeight="true" outlineLevel="0" collapsed="false">
      <c r="A499" s="28" t="s">
        <v>842</v>
      </c>
      <c r="B499" s="40" t="s">
        <v>3227</v>
      </c>
      <c r="C499" s="323"/>
      <c r="D499" s="323"/>
      <c r="E499" s="324" t="e">
        <f aca="false">общ.калькуляция!h498</f>
        <v>#NAME?</v>
      </c>
      <c r="F499" s="324"/>
      <c r="G499" s="324"/>
      <c r="H499" s="324" t="e">
        <f aca="false">общ.калькуляция!j498</f>
        <v>#NAME?</v>
      </c>
      <c r="I499" s="324"/>
      <c r="J499" s="324"/>
      <c r="K499" s="324" t="e">
        <f aca="false">общ.калькуляция!m498</f>
        <v>#NAME?</v>
      </c>
      <c r="L499" s="324"/>
      <c r="M499" s="324"/>
      <c r="N499" s="324" t="e">
        <f aca="false">E499+H499+K499</f>
        <v>#NAME?</v>
      </c>
    </row>
    <row r="500" customFormat="false" ht="13.5" hidden="false" customHeight="true" outlineLevel="0" collapsed="false">
      <c r="A500" s="15" t="s">
        <v>844</v>
      </c>
      <c r="B500" s="16" t="s">
        <v>3228</v>
      </c>
      <c r="C500" s="321"/>
      <c r="D500" s="321"/>
      <c r="E500" s="329"/>
      <c r="F500" s="329"/>
      <c r="G500" s="329"/>
      <c r="H500" s="329"/>
      <c r="I500" s="329"/>
      <c r="J500" s="329"/>
      <c r="K500" s="329"/>
      <c r="L500" s="329"/>
      <c r="M500" s="329"/>
      <c r="N500" s="329"/>
    </row>
    <row r="501" customFormat="false" ht="13.5" hidden="false" customHeight="true" outlineLevel="0" collapsed="false">
      <c r="A501" s="28" t="s">
        <v>846</v>
      </c>
      <c r="B501" s="29" t="s">
        <v>3010</v>
      </c>
      <c r="C501" s="323"/>
      <c r="D501" s="323"/>
      <c r="E501" s="324" t="e">
        <f aca="false">общ.калькуляция!h500</f>
        <v>#NAME?</v>
      </c>
      <c r="F501" s="324"/>
      <c r="G501" s="324"/>
      <c r="H501" s="324" t="e">
        <f aca="false">общ.калькуляция!j500</f>
        <v>#NAME?</v>
      </c>
      <c r="I501" s="324"/>
      <c r="J501" s="324"/>
      <c r="K501" s="324" t="e">
        <f aca="false">общ.калькуляция!m500</f>
        <v>#NAME?</v>
      </c>
      <c r="L501" s="324"/>
      <c r="M501" s="324"/>
      <c r="N501" s="324" t="e">
        <f aca="false">E501+H501+K501</f>
        <v>#NAME?</v>
      </c>
    </row>
    <row r="502" customFormat="false" ht="13.5" hidden="false" customHeight="true" outlineLevel="0" collapsed="false">
      <c r="A502" s="28" t="s">
        <v>847</v>
      </c>
      <c r="B502" s="29" t="s">
        <v>3084</v>
      </c>
      <c r="C502" s="323"/>
      <c r="D502" s="323"/>
      <c r="E502" s="324" t="e">
        <f aca="false">общ.калькуляция!h501</f>
        <v>#NAME?</v>
      </c>
      <c r="F502" s="324"/>
      <c r="G502" s="324"/>
      <c r="H502" s="324" t="e">
        <f aca="false">общ.калькуляция!j501</f>
        <v>#NAME?</v>
      </c>
      <c r="I502" s="324"/>
      <c r="J502" s="324"/>
      <c r="K502" s="324" t="e">
        <f aca="false">общ.калькуляция!m501</f>
        <v>#NAME?</v>
      </c>
      <c r="L502" s="324"/>
      <c r="M502" s="324"/>
      <c r="N502" s="324" t="e">
        <f aca="false">E502+H502+K502</f>
        <v>#NAME?</v>
      </c>
    </row>
    <row r="503" customFormat="false" ht="13.5" hidden="false" customHeight="true" outlineLevel="0" collapsed="false">
      <c r="A503" s="28" t="s">
        <v>848</v>
      </c>
      <c r="B503" s="29" t="s">
        <v>3085</v>
      </c>
      <c r="C503" s="323"/>
      <c r="D503" s="323"/>
      <c r="E503" s="324" t="e">
        <f aca="false">общ.калькуляция!h502</f>
        <v>#NAME?</v>
      </c>
      <c r="F503" s="324"/>
      <c r="G503" s="324"/>
      <c r="H503" s="324" t="e">
        <f aca="false">общ.калькуляция!j502</f>
        <v>#NAME?</v>
      </c>
      <c r="I503" s="324"/>
      <c r="J503" s="324"/>
      <c r="K503" s="324" t="e">
        <f aca="false">общ.калькуляция!m502</f>
        <v>#NAME?</v>
      </c>
      <c r="L503" s="324"/>
      <c r="M503" s="324"/>
      <c r="N503" s="324" t="e">
        <f aca="false">E503+H503+K503</f>
        <v>#NAME?</v>
      </c>
    </row>
    <row r="504" customFormat="false" ht="13.5" hidden="false" customHeight="true" outlineLevel="0" collapsed="false">
      <c r="A504" s="28" t="s">
        <v>849</v>
      </c>
      <c r="B504" s="29" t="s">
        <v>3161</v>
      </c>
      <c r="C504" s="323"/>
      <c r="D504" s="323"/>
      <c r="E504" s="324" t="e">
        <f aca="false">общ.калькуляция!h503</f>
        <v>#NAME?</v>
      </c>
      <c r="F504" s="324"/>
      <c r="G504" s="324"/>
      <c r="H504" s="324" t="e">
        <f aca="false">общ.калькуляция!j503</f>
        <v>#NAME?</v>
      </c>
      <c r="I504" s="324"/>
      <c r="J504" s="324"/>
      <c r="K504" s="324" t="e">
        <f aca="false">общ.калькуляция!m503</f>
        <v>#NAME?</v>
      </c>
      <c r="L504" s="324"/>
      <c r="M504" s="324"/>
      <c r="N504" s="324" t="e">
        <f aca="false">E504+H504+K504</f>
        <v>#NAME?</v>
      </c>
    </row>
    <row r="505" customFormat="false" ht="13.5" hidden="false" customHeight="true" outlineLevel="0" collapsed="false">
      <c r="A505" s="28" t="s">
        <v>850</v>
      </c>
      <c r="B505" s="29" t="s">
        <v>3059</v>
      </c>
      <c r="C505" s="323"/>
      <c r="D505" s="323"/>
      <c r="E505" s="324" t="e">
        <f aca="false">общ.калькуляция!h504</f>
        <v>#NAME?</v>
      </c>
      <c r="F505" s="324"/>
      <c r="G505" s="324"/>
      <c r="H505" s="324" t="e">
        <f aca="false">общ.калькуляция!j504</f>
        <v>#NAME?</v>
      </c>
      <c r="I505" s="324"/>
      <c r="J505" s="324"/>
      <c r="K505" s="324" t="e">
        <f aca="false">общ.калькуляция!m504</f>
        <v>#NAME?</v>
      </c>
      <c r="L505" s="324"/>
      <c r="M505" s="324"/>
      <c r="N505" s="324" t="e">
        <f aca="false">E505+H505+K505</f>
        <v>#NAME?</v>
      </c>
    </row>
    <row r="506" customFormat="false" ht="13.5" hidden="false" customHeight="true" outlineLevel="0" collapsed="false">
      <c r="A506" s="28" t="s">
        <v>851</v>
      </c>
      <c r="B506" s="29" t="s">
        <v>2964</v>
      </c>
      <c r="C506" s="323"/>
      <c r="D506" s="323"/>
      <c r="E506" s="324" t="e">
        <f aca="false">общ.калькуляция!h505</f>
        <v>#NAME?</v>
      </c>
      <c r="F506" s="324"/>
      <c r="G506" s="324"/>
      <c r="H506" s="324" t="e">
        <f aca="false">общ.калькуляция!j505</f>
        <v>#NAME?</v>
      </c>
      <c r="I506" s="324"/>
      <c r="J506" s="324"/>
      <c r="K506" s="324" t="e">
        <f aca="false">общ.калькуляция!m505</f>
        <v>#NAME?</v>
      </c>
      <c r="L506" s="324"/>
      <c r="M506" s="324"/>
      <c r="N506" s="324" t="e">
        <f aca="false">E506+H506+K506</f>
        <v>#NAME?</v>
      </c>
    </row>
    <row r="507" customFormat="false" ht="15" hidden="false" customHeight="true" outlineLevel="0" collapsed="false">
      <c r="A507" s="28" t="s">
        <v>852</v>
      </c>
      <c r="B507" s="29" t="s">
        <v>3126</v>
      </c>
      <c r="C507" s="323"/>
      <c r="D507" s="323"/>
      <c r="E507" s="324" t="e">
        <f aca="false">общ.калькуляция!h506</f>
        <v>#NAME?</v>
      </c>
      <c r="F507" s="324"/>
      <c r="G507" s="324"/>
      <c r="H507" s="324" t="e">
        <f aca="false">общ.калькуляция!j506</f>
        <v>#NAME?</v>
      </c>
      <c r="I507" s="324"/>
      <c r="J507" s="324"/>
      <c r="K507" s="324" t="e">
        <f aca="false">общ.калькуляция!m506</f>
        <v>#NAME?</v>
      </c>
      <c r="L507" s="324"/>
      <c r="M507" s="324"/>
      <c r="N507" s="324" t="e">
        <f aca="false">E507+H507+K507</f>
        <v>#NAME?</v>
      </c>
    </row>
    <row r="508" customFormat="false" ht="15" hidden="false" customHeight="true" outlineLevel="0" collapsed="false">
      <c r="A508" s="28" t="s">
        <v>853</v>
      </c>
      <c r="B508" s="29" t="s">
        <v>3224</v>
      </c>
      <c r="C508" s="323"/>
      <c r="D508" s="323"/>
      <c r="E508" s="324" t="e">
        <f aca="false">общ.калькуляция!h507</f>
        <v>#NAME?</v>
      </c>
      <c r="F508" s="324"/>
      <c r="G508" s="324"/>
      <c r="H508" s="324" t="e">
        <f aca="false">общ.калькуляция!j507</f>
        <v>#NAME?</v>
      </c>
      <c r="I508" s="324"/>
      <c r="J508" s="324"/>
      <c r="K508" s="324" t="e">
        <f aca="false">общ.калькуляция!m507</f>
        <v>#NAME?</v>
      </c>
      <c r="L508" s="324"/>
      <c r="M508" s="324"/>
      <c r="N508" s="324" t="e">
        <f aca="false">E508+H508+K508</f>
        <v>#NAME?</v>
      </c>
    </row>
    <row r="509" customFormat="false" ht="15" hidden="false" customHeight="true" outlineLevel="0" collapsed="false">
      <c r="A509" s="28" t="s">
        <v>854</v>
      </c>
      <c r="B509" s="29" t="s">
        <v>3103</v>
      </c>
      <c r="C509" s="323"/>
      <c r="D509" s="323"/>
      <c r="E509" s="324" t="e">
        <f aca="false">общ.калькуляция!h508</f>
        <v>#NAME?</v>
      </c>
      <c r="F509" s="324"/>
      <c r="G509" s="324"/>
      <c r="H509" s="324" t="e">
        <f aca="false">общ.калькуляция!j508</f>
        <v>#NAME?</v>
      </c>
      <c r="I509" s="324"/>
      <c r="J509" s="324"/>
      <c r="K509" s="324" t="e">
        <f aca="false">общ.калькуляция!m508</f>
        <v>#NAME?</v>
      </c>
      <c r="L509" s="324"/>
      <c r="M509" s="324"/>
      <c r="N509" s="324" t="e">
        <f aca="false">E509+H509+K509</f>
        <v>#NAME?</v>
      </c>
    </row>
    <row r="510" customFormat="false" ht="15" hidden="false" customHeight="true" outlineLevel="0" collapsed="false">
      <c r="A510" s="28" t="s">
        <v>855</v>
      </c>
      <c r="B510" s="29" t="s">
        <v>3148</v>
      </c>
      <c r="C510" s="323"/>
      <c r="D510" s="323"/>
      <c r="E510" s="324" t="e">
        <f aca="false">общ.калькуляция!h509</f>
        <v>#NAME?</v>
      </c>
      <c r="F510" s="324"/>
      <c r="G510" s="324"/>
      <c r="H510" s="324" t="e">
        <f aca="false">общ.калькуляция!j509</f>
        <v>#NAME?</v>
      </c>
      <c r="I510" s="324"/>
      <c r="J510" s="324"/>
      <c r="K510" s="324" t="e">
        <f aca="false">общ.калькуляция!m509</f>
        <v>#NAME?</v>
      </c>
      <c r="L510" s="324"/>
      <c r="M510" s="324"/>
      <c r="N510" s="324" t="e">
        <f aca="false">E510+H510+K510</f>
        <v>#NAME?</v>
      </c>
    </row>
    <row r="511" customFormat="false" ht="15" hidden="false" customHeight="true" outlineLevel="0" collapsed="false">
      <c r="A511" s="28" t="s">
        <v>856</v>
      </c>
      <c r="B511" s="29" t="s">
        <v>3102</v>
      </c>
      <c r="C511" s="323"/>
      <c r="D511" s="323"/>
      <c r="E511" s="324" t="e">
        <f aca="false">общ.калькуляция!h510</f>
        <v>#NAME?</v>
      </c>
      <c r="F511" s="324"/>
      <c r="G511" s="324"/>
      <c r="H511" s="324" t="e">
        <f aca="false">общ.калькуляция!j510</f>
        <v>#NAME?</v>
      </c>
      <c r="I511" s="324"/>
      <c r="J511" s="324"/>
      <c r="K511" s="324" t="e">
        <f aca="false">общ.калькуляция!m510</f>
        <v>#NAME?</v>
      </c>
      <c r="L511" s="324"/>
      <c r="M511" s="324"/>
      <c r="N511" s="324" t="e">
        <f aca="false">E511+H511+K511</f>
        <v>#NAME?</v>
      </c>
    </row>
    <row r="512" customFormat="false" ht="15" hidden="false" customHeight="true" outlineLevel="0" collapsed="false">
      <c r="A512" s="28" t="s">
        <v>857</v>
      </c>
      <c r="B512" s="29" t="s">
        <v>3149</v>
      </c>
      <c r="C512" s="323"/>
      <c r="D512" s="323"/>
      <c r="E512" s="324" t="e">
        <f aca="false">общ.калькуляция!h511</f>
        <v>#NAME?</v>
      </c>
      <c r="F512" s="324"/>
      <c r="G512" s="324"/>
      <c r="H512" s="324" t="e">
        <f aca="false">общ.калькуляция!j511</f>
        <v>#NAME?</v>
      </c>
      <c r="I512" s="324"/>
      <c r="J512" s="324"/>
      <c r="K512" s="324" t="e">
        <f aca="false">общ.калькуляция!m511</f>
        <v>#NAME?</v>
      </c>
      <c r="L512" s="324"/>
      <c r="M512" s="324"/>
      <c r="N512" s="324" t="e">
        <f aca="false">E512+H512+K512</f>
        <v>#NAME?</v>
      </c>
    </row>
    <row r="513" customFormat="false" ht="15" hidden="false" customHeight="true" outlineLevel="0" collapsed="false">
      <c r="A513" s="15" t="s">
        <v>858</v>
      </c>
      <c r="B513" s="16" t="s">
        <v>3229</v>
      </c>
      <c r="C513" s="321"/>
      <c r="D513" s="321"/>
      <c r="E513" s="329"/>
      <c r="F513" s="329"/>
      <c r="G513" s="329"/>
      <c r="H513" s="329"/>
      <c r="I513" s="329"/>
      <c r="J513" s="329"/>
      <c r="K513" s="329"/>
      <c r="L513" s="329"/>
      <c r="M513" s="329"/>
      <c r="N513" s="329"/>
    </row>
    <row r="514" customFormat="false" ht="15" hidden="false" customHeight="true" outlineLevel="0" collapsed="false">
      <c r="A514" s="28" t="s">
        <v>860</v>
      </c>
      <c r="B514" s="29" t="s">
        <v>3010</v>
      </c>
      <c r="C514" s="323"/>
      <c r="D514" s="323"/>
      <c r="E514" s="324" t="e">
        <f aca="false">общ.калькуляция!h513</f>
        <v>#NAME?</v>
      </c>
      <c r="F514" s="324"/>
      <c r="G514" s="324"/>
      <c r="H514" s="324" t="e">
        <f aca="false">общ.калькуляция!j513</f>
        <v>#NAME?</v>
      </c>
      <c r="I514" s="324"/>
      <c r="J514" s="324"/>
      <c r="K514" s="324" t="e">
        <f aca="false">общ.калькуляция!m513</f>
        <v>#NAME?</v>
      </c>
      <c r="L514" s="324"/>
      <c r="M514" s="324"/>
      <c r="N514" s="324" t="e">
        <f aca="false">E514+H514+K514</f>
        <v>#NAME?</v>
      </c>
    </row>
    <row r="515" customFormat="false" ht="15" hidden="false" customHeight="true" outlineLevel="0" collapsed="false">
      <c r="A515" s="28" t="s">
        <v>861</v>
      </c>
      <c r="B515" s="29" t="s">
        <v>3084</v>
      </c>
      <c r="C515" s="323"/>
      <c r="D515" s="323"/>
      <c r="E515" s="324" t="e">
        <f aca="false">общ.калькуляция!h514</f>
        <v>#NAME?</v>
      </c>
      <c r="F515" s="324"/>
      <c r="G515" s="324"/>
      <c r="H515" s="324" t="e">
        <f aca="false">общ.калькуляция!j514</f>
        <v>#NAME?</v>
      </c>
      <c r="I515" s="324"/>
      <c r="J515" s="324"/>
      <c r="K515" s="324" t="e">
        <f aca="false">общ.калькуляция!m514</f>
        <v>#NAME?</v>
      </c>
      <c r="L515" s="324"/>
      <c r="M515" s="324"/>
      <c r="N515" s="324" t="e">
        <f aca="false">E515+H515+K515</f>
        <v>#NAME?</v>
      </c>
    </row>
    <row r="516" customFormat="false" ht="15" hidden="false" customHeight="true" outlineLevel="0" collapsed="false">
      <c r="A516" s="28" t="s">
        <v>862</v>
      </c>
      <c r="B516" s="29" t="s">
        <v>3085</v>
      </c>
      <c r="C516" s="323"/>
      <c r="D516" s="323"/>
      <c r="E516" s="324" t="e">
        <f aca="false">общ.калькуляция!h515</f>
        <v>#NAME?</v>
      </c>
      <c r="F516" s="324"/>
      <c r="G516" s="324"/>
      <c r="H516" s="324" t="e">
        <f aca="false">общ.калькуляция!j515</f>
        <v>#NAME?</v>
      </c>
      <c r="I516" s="324"/>
      <c r="J516" s="324"/>
      <c r="K516" s="324" t="e">
        <f aca="false">общ.калькуляция!m515</f>
        <v>#NAME?</v>
      </c>
      <c r="L516" s="324"/>
      <c r="M516" s="324"/>
      <c r="N516" s="324" t="e">
        <f aca="false">E516+H516+K516</f>
        <v>#NAME?</v>
      </c>
    </row>
    <row r="517" customFormat="false" ht="15" hidden="false" customHeight="true" outlineLevel="0" collapsed="false">
      <c r="A517" s="28" t="s">
        <v>863</v>
      </c>
      <c r="B517" s="29" t="s">
        <v>3126</v>
      </c>
      <c r="C517" s="323"/>
      <c r="D517" s="323"/>
      <c r="E517" s="324" t="e">
        <f aca="false">общ.калькуляция!h516</f>
        <v>#NAME?</v>
      </c>
      <c r="F517" s="324"/>
      <c r="G517" s="324"/>
      <c r="H517" s="324" t="e">
        <f aca="false">общ.калькуляция!j516</f>
        <v>#NAME?</v>
      </c>
      <c r="I517" s="324"/>
      <c r="J517" s="324"/>
      <c r="K517" s="324" t="e">
        <f aca="false">общ.калькуляция!m516</f>
        <v>#NAME?</v>
      </c>
      <c r="L517" s="324"/>
      <c r="M517" s="324"/>
      <c r="N517" s="324" t="e">
        <f aca="false">E517+H517+K517</f>
        <v>#NAME?</v>
      </c>
    </row>
    <row r="518" customFormat="false" ht="15" hidden="false" customHeight="true" outlineLevel="0" collapsed="false">
      <c r="A518" s="28" t="s">
        <v>864</v>
      </c>
      <c r="B518" s="29" t="s">
        <v>3103</v>
      </c>
      <c r="C518" s="323"/>
      <c r="D518" s="323"/>
      <c r="E518" s="324" t="e">
        <f aca="false">общ.калькуляция!h517</f>
        <v>#NAME?</v>
      </c>
      <c r="F518" s="324"/>
      <c r="G518" s="324"/>
      <c r="H518" s="324" t="e">
        <f aca="false">общ.калькуляция!j517</f>
        <v>#NAME?</v>
      </c>
      <c r="I518" s="324"/>
      <c r="J518" s="324"/>
      <c r="K518" s="324" t="e">
        <f aca="false">общ.калькуляция!m517</f>
        <v>#NAME?</v>
      </c>
      <c r="L518" s="324"/>
      <c r="M518" s="324"/>
      <c r="N518" s="324" t="e">
        <f aca="false">E518+H518+K518</f>
        <v>#NAME?</v>
      </c>
    </row>
    <row r="519" customFormat="false" ht="15" hidden="false" customHeight="true" outlineLevel="0" collapsed="false">
      <c r="A519" s="28" t="s">
        <v>865</v>
      </c>
      <c r="B519" s="29" t="s">
        <v>3148</v>
      </c>
      <c r="C519" s="323"/>
      <c r="D519" s="323"/>
      <c r="E519" s="324" t="e">
        <f aca="false">общ.калькуляция!h518</f>
        <v>#NAME?</v>
      </c>
      <c r="F519" s="324"/>
      <c r="G519" s="324"/>
      <c r="H519" s="324" t="e">
        <f aca="false">общ.калькуляция!j518</f>
        <v>#NAME?</v>
      </c>
      <c r="I519" s="324"/>
      <c r="J519" s="324"/>
      <c r="K519" s="324" t="e">
        <f aca="false">общ.калькуляция!m518</f>
        <v>#NAME?</v>
      </c>
      <c r="L519" s="324"/>
      <c r="M519" s="324"/>
      <c r="N519" s="324" t="e">
        <f aca="false">E519+H519+K519</f>
        <v>#NAME?</v>
      </c>
    </row>
    <row r="520" customFormat="false" ht="15" hidden="false" customHeight="true" outlineLevel="0" collapsed="false">
      <c r="A520" s="28" t="s">
        <v>866</v>
      </c>
      <c r="B520" s="29" t="s">
        <v>3102</v>
      </c>
      <c r="C520" s="323"/>
      <c r="D520" s="323"/>
      <c r="E520" s="324" t="e">
        <f aca="false">общ.калькуляция!h519</f>
        <v>#NAME?</v>
      </c>
      <c r="F520" s="324"/>
      <c r="G520" s="324"/>
      <c r="H520" s="324" t="e">
        <f aca="false">общ.калькуляция!j519</f>
        <v>#NAME?</v>
      </c>
      <c r="I520" s="324"/>
      <c r="J520" s="324"/>
      <c r="K520" s="324" t="e">
        <f aca="false">общ.калькуляция!m519</f>
        <v>#NAME?</v>
      </c>
      <c r="L520" s="324"/>
      <c r="M520" s="324"/>
      <c r="N520" s="324" t="e">
        <f aca="false">E520+H520+K520</f>
        <v>#NAME?</v>
      </c>
    </row>
    <row r="521" customFormat="false" ht="15" hidden="false" customHeight="true" outlineLevel="0" collapsed="false">
      <c r="A521" s="28" t="s">
        <v>867</v>
      </c>
      <c r="B521" s="29" t="s">
        <v>3149</v>
      </c>
      <c r="C521" s="323"/>
      <c r="D521" s="323"/>
      <c r="E521" s="324" t="e">
        <f aca="false">общ.калькуляция!h520</f>
        <v>#NAME?</v>
      </c>
      <c r="F521" s="324"/>
      <c r="G521" s="324"/>
      <c r="H521" s="324" t="e">
        <f aca="false">общ.калькуляция!j520</f>
        <v>#NAME?</v>
      </c>
      <c r="I521" s="324"/>
      <c r="J521" s="324"/>
      <c r="K521" s="324" t="e">
        <f aca="false">общ.калькуляция!m520</f>
        <v>#NAME?</v>
      </c>
      <c r="L521" s="324"/>
      <c r="M521" s="324"/>
      <c r="N521" s="324" t="e">
        <f aca="false">E521+H521+K521</f>
        <v>#NAME?</v>
      </c>
    </row>
    <row r="522" customFormat="false" ht="15" hidden="false" customHeight="true" outlineLevel="0" collapsed="false">
      <c r="A522" s="15" t="s">
        <v>868</v>
      </c>
      <c r="B522" s="16" t="s">
        <v>3230</v>
      </c>
      <c r="C522" s="321"/>
      <c r="D522" s="321"/>
      <c r="E522" s="329"/>
      <c r="F522" s="329"/>
      <c r="G522" s="329"/>
      <c r="H522" s="329"/>
      <c r="I522" s="329"/>
      <c r="J522" s="329"/>
      <c r="K522" s="329"/>
      <c r="L522" s="329"/>
      <c r="M522" s="329"/>
      <c r="N522" s="329"/>
    </row>
    <row r="523" customFormat="false" ht="15" hidden="false" customHeight="true" outlineLevel="0" collapsed="false">
      <c r="A523" s="28" t="s">
        <v>870</v>
      </c>
      <c r="B523" s="53" t="s">
        <v>3231</v>
      </c>
      <c r="C523" s="323"/>
      <c r="D523" s="323"/>
      <c r="E523" s="324" t="e">
        <f aca="false">общ.калькуляция!h522</f>
        <v>#NAME?</v>
      </c>
      <c r="F523" s="324"/>
      <c r="G523" s="324"/>
      <c r="H523" s="324" t="e">
        <f aca="false">общ.калькуляция!j522</f>
        <v>#NAME?</v>
      </c>
      <c r="I523" s="324"/>
      <c r="J523" s="324"/>
      <c r="K523" s="324" t="e">
        <f aca="false">общ.калькуляция!m522</f>
        <v>#NAME?</v>
      </c>
      <c r="L523" s="324"/>
      <c r="M523" s="324"/>
      <c r="N523" s="324" t="e">
        <f aca="false">E523+H523+K523</f>
        <v>#NAME?</v>
      </c>
    </row>
    <row r="524" customFormat="false" ht="15" hidden="false" customHeight="true" outlineLevel="0" collapsed="false">
      <c r="A524" s="28" t="s">
        <v>872</v>
      </c>
      <c r="B524" s="53" t="s">
        <v>3232</v>
      </c>
      <c r="C524" s="323"/>
      <c r="D524" s="323"/>
      <c r="E524" s="324" t="e">
        <f aca="false">общ.калькуляция!h523</f>
        <v>#NAME?</v>
      </c>
      <c r="F524" s="324"/>
      <c r="G524" s="324"/>
      <c r="H524" s="324" t="e">
        <f aca="false">общ.калькуляция!j523</f>
        <v>#NAME?</v>
      </c>
      <c r="I524" s="324"/>
      <c r="J524" s="324"/>
      <c r="K524" s="324" t="e">
        <f aca="false">общ.калькуляция!m523</f>
        <v>#NAME?</v>
      </c>
      <c r="L524" s="324"/>
      <c r="M524" s="324"/>
      <c r="N524" s="324" t="e">
        <f aca="false">E524+H524+K524</f>
        <v>#NAME?</v>
      </c>
    </row>
    <row r="525" customFormat="false" ht="15" hidden="false" customHeight="true" outlineLevel="0" collapsed="false">
      <c r="A525" s="28" t="s">
        <v>874</v>
      </c>
      <c r="B525" s="53" t="s">
        <v>3233</v>
      </c>
      <c r="C525" s="323"/>
      <c r="D525" s="323"/>
      <c r="E525" s="324" t="e">
        <f aca="false">общ.калькуляция!h524</f>
        <v>#NAME?</v>
      </c>
      <c r="F525" s="324"/>
      <c r="G525" s="324"/>
      <c r="H525" s="324" t="e">
        <f aca="false">общ.калькуляция!j524</f>
        <v>#NAME?</v>
      </c>
      <c r="I525" s="324"/>
      <c r="J525" s="324"/>
      <c r="K525" s="324" t="e">
        <f aca="false">общ.калькуляция!m524</f>
        <v>#NAME?</v>
      </c>
      <c r="L525" s="324"/>
      <c r="M525" s="324"/>
      <c r="N525" s="324" t="e">
        <f aca="false">E525+H525+K525</f>
        <v>#NAME?</v>
      </c>
    </row>
    <row r="526" customFormat="false" ht="15" hidden="false" customHeight="true" outlineLevel="0" collapsed="false">
      <c r="A526" s="28" t="s">
        <v>876</v>
      </c>
      <c r="B526" s="53" t="s">
        <v>3234</v>
      </c>
      <c r="C526" s="323"/>
      <c r="D526" s="323"/>
      <c r="E526" s="324" t="e">
        <f aca="false">общ.калькуляция!h525</f>
        <v>#NAME?</v>
      </c>
      <c r="F526" s="324"/>
      <c r="G526" s="324"/>
      <c r="H526" s="324" t="e">
        <f aca="false">общ.калькуляция!j525</f>
        <v>#NAME?</v>
      </c>
      <c r="I526" s="324"/>
      <c r="J526" s="324"/>
      <c r="K526" s="324" t="e">
        <f aca="false">общ.калькуляция!m525</f>
        <v>#NAME?</v>
      </c>
      <c r="L526" s="324"/>
      <c r="M526" s="324"/>
      <c r="N526" s="324" t="e">
        <f aca="false">E526+H526+K526</f>
        <v>#NAME?</v>
      </c>
    </row>
    <row r="527" customFormat="false" ht="15" hidden="false" customHeight="true" outlineLevel="0" collapsed="false">
      <c r="A527" s="15" t="s">
        <v>878</v>
      </c>
      <c r="B527" s="16" t="s">
        <v>3235</v>
      </c>
      <c r="C527" s="321"/>
      <c r="D527" s="321"/>
      <c r="E527" s="329"/>
      <c r="F527" s="329"/>
      <c r="G527" s="329"/>
      <c r="H527" s="329"/>
      <c r="I527" s="329"/>
      <c r="J527" s="329"/>
      <c r="K527" s="329"/>
      <c r="L527" s="329"/>
      <c r="M527" s="329"/>
      <c r="N527" s="329"/>
    </row>
    <row r="528" customFormat="false" ht="15" hidden="false" customHeight="true" outlineLevel="0" collapsed="false">
      <c r="A528" s="28" t="s">
        <v>880</v>
      </c>
      <c r="B528" s="29" t="s">
        <v>3010</v>
      </c>
      <c r="C528" s="323"/>
      <c r="D528" s="323"/>
      <c r="E528" s="324" t="e">
        <f aca="false">общ.калькуляция!h527</f>
        <v>#NAME?</v>
      </c>
      <c r="F528" s="324"/>
      <c r="G528" s="324"/>
      <c r="H528" s="324" t="e">
        <f aca="false">общ.калькуляция!j527</f>
        <v>#NAME?</v>
      </c>
      <c r="I528" s="324"/>
      <c r="J528" s="324"/>
      <c r="K528" s="324" t="e">
        <f aca="false">общ.калькуляция!m527</f>
        <v>#NAME?</v>
      </c>
      <c r="L528" s="324"/>
      <c r="M528" s="324"/>
      <c r="N528" s="324" t="e">
        <f aca="false">E528+H528+K528</f>
        <v>#NAME?</v>
      </c>
    </row>
    <row r="529" customFormat="false" ht="15" hidden="false" customHeight="true" outlineLevel="0" collapsed="false">
      <c r="A529" s="28" t="s">
        <v>881</v>
      </c>
      <c r="B529" s="29" t="s">
        <v>3236</v>
      </c>
      <c r="C529" s="323"/>
      <c r="D529" s="323"/>
      <c r="E529" s="324" t="e">
        <f aca="false">общ.калькуляция!h528</f>
        <v>#NAME?</v>
      </c>
      <c r="F529" s="324"/>
      <c r="G529" s="324"/>
      <c r="H529" s="324" t="e">
        <f aca="false">общ.калькуляция!j528</f>
        <v>#NAME?</v>
      </c>
      <c r="I529" s="324"/>
      <c r="J529" s="324"/>
      <c r="K529" s="324" t="e">
        <f aca="false">общ.калькуляция!m528</f>
        <v>#NAME?</v>
      </c>
      <c r="L529" s="324"/>
      <c r="M529" s="324"/>
      <c r="N529" s="324" t="e">
        <f aca="false">E529+H529+K529</f>
        <v>#NAME?</v>
      </c>
    </row>
    <row r="530" customFormat="false" ht="15" hidden="false" customHeight="true" outlineLevel="0" collapsed="false">
      <c r="A530" s="28" t="s">
        <v>882</v>
      </c>
      <c r="B530" s="29" t="s">
        <v>3237</v>
      </c>
      <c r="C530" s="323"/>
      <c r="D530" s="323"/>
      <c r="E530" s="324" t="e">
        <f aca="false">общ.калькуляция!h529</f>
        <v>#NAME?</v>
      </c>
      <c r="F530" s="324"/>
      <c r="G530" s="324"/>
      <c r="H530" s="324" t="e">
        <f aca="false">общ.калькуляция!j529</f>
        <v>#NAME?</v>
      </c>
      <c r="I530" s="324"/>
      <c r="J530" s="324"/>
      <c r="K530" s="324" t="e">
        <f aca="false">общ.калькуляция!m529</f>
        <v>#NAME?</v>
      </c>
      <c r="L530" s="324"/>
      <c r="M530" s="324"/>
      <c r="N530" s="324" t="e">
        <f aca="false">E530+H530+K530</f>
        <v>#NAME?</v>
      </c>
    </row>
    <row r="531" customFormat="false" ht="15" hidden="false" customHeight="true" outlineLevel="0" collapsed="false">
      <c r="A531" s="28" t="s">
        <v>884</v>
      </c>
      <c r="B531" s="29" t="s">
        <v>3238</v>
      </c>
      <c r="C531" s="323"/>
      <c r="D531" s="323"/>
      <c r="E531" s="324" t="e">
        <f aca="false">общ.калькуляция!h530</f>
        <v>#NAME?</v>
      </c>
      <c r="F531" s="324"/>
      <c r="G531" s="324"/>
      <c r="H531" s="324" t="e">
        <f aca="false">общ.калькуляция!j530</f>
        <v>#NAME?</v>
      </c>
      <c r="I531" s="324"/>
      <c r="J531" s="324"/>
      <c r="K531" s="324" t="e">
        <f aca="false">общ.калькуляция!m530</f>
        <v>#NAME?</v>
      </c>
      <c r="L531" s="324"/>
      <c r="M531" s="324"/>
      <c r="N531" s="324" t="e">
        <f aca="false">E531+H531+K531</f>
        <v>#NAME?</v>
      </c>
    </row>
    <row r="532" customFormat="false" ht="15" hidden="false" customHeight="true" outlineLevel="0" collapsed="false">
      <c r="A532" s="28" t="s">
        <v>886</v>
      </c>
      <c r="B532" s="29" t="s">
        <v>3239</v>
      </c>
      <c r="C532" s="323"/>
      <c r="D532" s="323"/>
      <c r="E532" s="324" t="e">
        <f aca="false">общ.калькуляция!h531</f>
        <v>#NAME?</v>
      </c>
      <c r="F532" s="324"/>
      <c r="G532" s="324"/>
      <c r="H532" s="324" t="e">
        <f aca="false">общ.калькуляция!j531</f>
        <v>#NAME?</v>
      </c>
      <c r="I532" s="324"/>
      <c r="J532" s="324"/>
      <c r="K532" s="324" t="e">
        <f aca="false">общ.калькуляция!m531</f>
        <v>#NAME?</v>
      </c>
      <c r="L532" s="324"/>
      <c r="M532" s="324"/>
      <c r="N532" s="324" t="e">
        <f aca="false">E532+H532+K532</f>
        <v>#NAME?</v>
      </c>
    </row>
    <row r="533" customFormat="false" ht="15" hidden="false" customHeight="true" outlineLevel="0" collapsed="false">
      <c r="A533" s="15" t="s">
        <v>888</v>
      </c>
      <c r="B533" s="54" t="s">
        <v>3240</v>
      </c>
      <c r="C533" s="321"/>
      <c r="D533" s="321"/>
      <c r="E533" s="329"/>
      <c r="F533" s="329"/>
      <c r="G533" s="329"/>
      <c r="H533" s="329"/>
      <c r="I533" s="329"/>
      <c r="J533" s="329"/>
      <c r="K533" s="329"/>
      <c r="L533" s="329"/>
      <c r="M533" s="329"/>
      <c r="N533" s="329"/>
    </row>
    <row r="534" customFormat="false" ht="15" hidden="false" customHeight="true" outlineLevel="0" collapsed="false">
      <c r="A534" s="28" t="s">
        <v>890</v>
      </c>
      <c r="B534" s="40" t="s">
        <v>3241</v>
      </c>
      <c r="C534" s="323"/>
      <c r="D534" s="323"/>
      <c r="E534" s="324" t="e">
        <f aca="false">общ.калькуляция!h533</f>
        <v>#NAME?</v>
      </c>
      <c r="F534" s="324"/>
      <c r="G534" s="324"/>
      <c r="H534" s="324" t="e">
        <f aca="false">общ.калькуляция!j533</f>
        <v>#NAME?</v>
      </c>
      <c r="I534" s="324"/>
      <c r="J534" s="324"/>
      <c r="K534" s="324" t="e">
        <f aca="false">общ.калькуляция!m533</f>
        <v>#NAME?</v>
      </c>
      <c r="L534" s="324"/>
      <c r="M534" s="324"/>
      <c r="N534" s="324" t="e">
        <f aca="false">E534+H534+K534</f>
        <v>#NAME?</v>
      </c>
    </row>
    <row r="535" customFormat="false" ht="15" hidden="false" customHeight="true" outlineLevel="0" collapsed="false">
      <c r="A535" s="28" t="s">
        <v>892</v>
      </c>
      <c r="B535" s="40" t="s">
        <v>3242</v>
      </c>
      <c r="C535" s="323"/>
      <c r="D535" s="323"/>
      <c r="E535" s="324" t="e">
        <f aca="false">общ.калькуляция!h534</f>
        <v>#NAME?</v>
      </c>
      <c r="F535" s="324"/>
      <c r="G535" s="324"/>
      <c r="H535" s="324" t="e">
        <f aca="false">общ.калькуляция!j534</f>
        <v>#NAME?</v>
      </c>
      <c r="I535" s="324"/>
      <c r="J535" s="324"/>
      <c r="K535" s="324" t="e">
        <f aca="false">общ.калькуляция!m534</f>
        <v>#NAME?</v>
      </c>
      <c r="L535" s="324"/>
      <c r="M535" s="324"/>
      <c r="N535" s="324" t="e">
        <f aca="false">E535+H535+K535</f>
        <v>#NAME?</v>
      </c>
    </row>
    <row r="536" customFormat="false" ht="15" hidden="false" customHeight="true" outlineLevel="0" collapsed="false">
      <c r="A536" s="28" t="s">
        <v>894</v>
      </c>
      <c r="B536" s="40" t="s">
        <v>3076</v>
      </c>
      <c r="C536" s="323"/>
      <c r="D536" s="323"/>
      <c r="E536" s="324" t="e">
        <f aca="false">общ.калькуляция!h535</f>
        <v>#NAME?</v>
      </c>
      <c r="F536" s="324"/>
      <c r="G536" s="324"/>
      <c r="H536" s="324" t="e">
        <f aca="false">общ.калькуляция!j535</f>
        <v>#NAME?</v>
      </c>
      <c r="I536" s="324"/>
      <c r="J536" s="324"/>
      <c r="K536" s="324" t="e">
        <f aca="false">общ.калькуляция!m535</f>
        <v>#NAME?</v>
      </c>
      <c r="L536" s="324"/>
      <c r="M536" s="324"/>
      <c r="N536" s="324" t="e">
        <f aca="false">E536+H536+K536</f>
        <v>#NAME?</v>
      </c>
    </row>
    <row r="537" customFormat="false" ht="15" hidden="false" customHeight="true" outlineLevel="0" collapsed="false">
      <c r="A537" s="28" t="s">
        <v>896</v>
      </c>
      <c r="B537" s="40" t="s">
        <v>3077</v>
      </c>
      <c r="C537" s="323"/>
      <c r="D537" s="323"/>
      <c r="E537" s="324" t="e">
        <f aca="false">общ.калькуляция!h536</f>
        <v>#NAME?</v>
      </c>
      <c r="F537" s="324"/>
      <c r="G537" s="324"/>
      <c r="H537" s="324" t="e">
        <f aca="false">общ.калькуляция!j536</f>
        <v>#NAME?</v>
      </c>
      <c r="I537" s="324"/>
      <c r="J537" s="324"/>
      <c r="K537" s="324" t="e">
        <f aca="false">общ.калькуляция!m536</f>
        <v>#NAME?</v>
      </c>
      <c r="L537" s="324"/>
      <c r="M537" s="324"/>
      <c r="N537" s="324" t="e">
        <f aca="false">E537+H537+K537</f>
        <v>#NAME?</v>
      </c>
    </row>
    <row r="538" customFormat="false" ht="15" hidden="false" customHeight="true" outlineLevel="0" collapsed="false">
      <c r="A538" s="28" t="s">
        <v>897</v>
      </c>
      <c r="B538" s="40" t="s">
        <v>3243</v>
      </c>
      <c r="C538" s="323"/>
      <c r="D538" s="323"/>
      <c r="E538" s="324" t="e">
        <f aca="false">общ.калькуляция!h537</f>
        <v>#NAME?</v>
      </c>
      <c r="F538" s="324"/>
      <c r="G538" s="324"/>
      <c r="H538" s="324" t="e">
        <f aca="false">общ.калькуляция!j537</f>
        <v>#NAME?</v>
      </c>
      <c r="I538" s="324"/>
      <c r="J538" s="324"/>
      <c r="K538" s="324" t="e">
        <f aca="false">общ.калькуляция!m537</f>
        <v>#NAME?</v>
      </c>
      <c r="L538" s="324"/>
      <c r="M538" s="324"/>
      <c r="N538" s="324" t="e">
        <f aca="false">E538+H538+K538</f>
        <v>#NAME?</v>
      </c>
    </row>
    <row r="539" customFormat="false" ht="15" hidden="false" customHeight="true" outlineLevel="0" collapsed="false">
      <c r="A539" s="28" t="s">
        <v>899</v>
      </c>
      <c r="B539" s="40" t="s">
        <v>3244</v>
      </c>
      <c r="C539" s="323"/>
      <c r="D539" s="323"/>
      <c r="E539" s="324" t="e">
        <f aca="false">общ.калькуляция!h538</f>
        <v>#NAME?</v>
      </c>
      <c r="F539" s="324"/>
      <c r="G539" s="324"/>
      <c r="H539" s="324" t="e">
        <f aca="false">общ.калькуляция!j538</f>
        <v>#NAME?</v>
      </c>
      <c r="I539" s="324"/>
      <c r="J539" s="324"/>
      <c r="K539" s="324" t="e">
        <f aca="false">общ.калькуляция!m538</f>
        <v>#NAME?</v>
      </c>
      <c r="L539" s="324"/>
      <c r="M539" s="324"/>
      <c r="N539" s="324" t="e">
        <f aca="false">E539+H539+K539</f>
        <v>#NAME?</v>
      </c>
    </row>
    <row r="540" customFormat="false" ht="15" hidden="false" customHeight="true" outlineLevel="0" collapsed="false">
      <c r="A540" s="28" t="s">
        <v>901</v>
      </c>
      <c r="B540" s="40" t="s">
        <v>3245</v>
      </c>
      <c r="C540" s="323"/>
      <c r="D540" s="323"/>
      <c r="E540" s="324" t="e">
        <f aca="false">общ.калькуляция!h539</f>
        <v>#NAME?</v>
      </c>
      <c r="F540" s="324"/>
      <c r="G540" s="324"/>
      <c r="H540" s="324" t="e">
        <f aca="false">общ.калькуляция!j539</f>
        <v>#NAME?</v>
      </c>
      <c r="I540" s="324"/>
      <c r="J540" s="324"/>
      <c r="K540" s="324" t="e">
        <f aca="false">общ.калькуляция!m539</f>
        <v>#NAME?</v>
      </c>
      <c r="L540" s="324"/>
      <c r="M540" s="324"/>
      <c r="N540" s="324" t="e">
        <f aca="false">E540+H540+K540</f>
        <v>#NAME?</v>
      </c>
    </row>
    <row r="541" customFormat="false" ht="15" hidden="false" customHeight="true" outlineLevel="0" collapsed="false">
      <c r="A541" s="28" t="s">
        <v>902</v>
      </c>
      <c r="B541" s="40" t="s">
        <v>903</v>
      </c>
      <c r="C541" s="323"/>
      <c r="D541" s="323"/>
      <c r="E541" s="324" t="e">
        <f aca="false">общ.калькуляция!h540</f>
        <v>#NAME?</v>
      </c>
      <c r="F541" s="324"/>
      <c r="G541" s="324"/>
      <c r="H541" s="324" t="e">
        <f aca="false">общ.калькуляция!j540</f>
        <v>#NAME?</v>
      </c>
      <c r="I541" s="324"/>
      <c r="J541" s="324"/>
      <c r="K541" s="324" t="e">
        <f aca="false">общ.калькуляция!m540</f>
        <v>#NAME?</v>
      </c>
      <c r="L541" s="324"/>
      <c r="M541" s="324"/>
      <c r="N541" s="324" t="e">
        <f aca="false">E541+H541+K541</f>
        <v>#NAME?</v>
      </c>
    </row>
    <row r="542" customFormat="false" ht="15" hidden="false" customHeight="true" outlineLevel="0" collapsed="false">
      <c r="A542" s="28" t="s">
        <v>904</v>
      </c>
      <c r="B542" s="40" t="s">
        <v>905</v>
      </c>
      <c r="C542" s="323"/>
      <c r="D542" s="323"/>
      <c r="E542" s="324" t="e">
        <f aca="false">общ.калькуляция!h541</f>
        <v>#NAME?</v>
      </c>
      <c r="F542" s="324"/>
      <c r="G542" s="324"/>
      <c r="H542" s="324" t="e">
        <f aca="false">общ.калькуляция!j541</f>
        <v>#NAME?</v>
      </c>
      <c r="I542" s="324"/>
      <c r="J542" s="324"/>
      <c r="K542" s="324" t="e">
        <f aca="false">общ.калькуляция!m541</f>
        <v>#NAME?</v>
      </c>
      <c r="L542" s="324"/>
      <c r="M542" s="324"/>
      <c r="N542" s="324" t="e">
        <f aca="false">E542+H542+K542</f>
        <v>#NAME?</v>
      </c>
    </row>
    <row r="543" customFormat="false" ht="15" hidden="false" customHeight="true" outlineLevel="0" collapsed="false">
      <c r="A543" s="28" t="s">
        <v>906</v>
      </c>
      <c r="B543" s="40" t="s">
        <v>3246</v>
      </c>
      <c r="C543" s="323"/>
      <c r="D543" s="323"/>
      <c r="E543" s="324" t="e">
        <f aca="false">общ.калькуляция!h542</f>
        <v>#NAME?</v>
      </c>
      <c r="F543" s="324"/>
      <c r="G543" s="324"/>
      <c r="H543" s="324" t="e">
        <f aca="false">общ.калькуляция!j542</f>
        <v>#NAME?</v>
      </c>
      <c r="I543" s="324"/>
      <c r="J543" s="324"/>
      <c r="K543" s="324" t="e">
        <f aca="false">общ.калькуляция!m542</f>
        <v>#NAME?</v>
      </c>
      <c r="L543" s="324"/>
      <c r="M543" s="324"/>
      <c r="N543" s="324" t="e">
        <f aca="false">E543+H543+K543</f>
        <v>#NAME?</v>
      </c>
    </row>
    <row r="544" customFormat="false" ht="15" hidden="false" customHeight="true" outlineLevel="0" collapsed="false">
      <c r="A544" s="28" t="s">
        <v>908</v>
      </c>
      <c r="B544" s="40" t="s">
        <v>909</v>
      </c>
      <c r="C544" s="323"/>
      <c r="D544" s="323"/>
      <c r="E544" s="324" t="e">
        <f aca="false">общ.калькуляция!h543</f>
        <v>#NAME?</v>
      </c>
      <c r="F544" s="324"/>
      <c r="G544" s="324"/>
      <c r="H544" s="324" t="e">
        <f aca="false">общ.калькуляция!j543</f>
        <v>#NAME?</v>
      </c>
      <c r="I544" s="324"/>
      <c r="J544" s="324"/>
      <c r="K544" s="324" t="e">
        <f aca="false">общ.калькуляция!m543</f>
        <v>#NAME?</v>
      </c>
      <c r="L544" s="324"/>
      <c r="M544" s="324"/>
      <c r="N544" s="324" t="e">
        <f aca="false">E544+H544+K544</f>
        <v>#NAME?</v>
      </c>
    </row>
    <row r="545" customFormat="false" ht="15" hidden="false" customHeight="true" outlineLevel="0" collapsed="false">
      <c r="A545" s="28" t="s">
        <v>910</v>
      </c>
      <c r="B545" s="40" t="s">
        <v>911</v>
      </c>
      <c r="C545" s="323"/>
      <c r="D545" s="323"/>
      <c r="E545" s="324" t="e">
        <f aca="false">общ.калькуляция!h544</f>
        <v>#NAME?</v>
      </c>
      <c r="F545" s="324"/>
      <c r="G545" s="324"/>
      <c r="H545" s="324" t="e">
        <f aca="false">общ.калькуляция!j544</f>
        <v>#NAME?</v>
      </c>
      <c r="I545" s="324"/>
      <c r="J545" s="324"/>
      <c r="K545" s="324" t="e">
        <f aca="false">общ.калькуляция!m544</f>
        <v>#NAME?</v>
      </c>
      <c r="L545" s="324"/>
      <c r="M545" s="324"/>
      <c r="N545" s="324" t="e">
        <f aca="false">E545+H545+K545</f>
        <v>#NAME?</v>
      </c>
    </row>
    <row r="546" customFormat="false" ht="15.75" hidden="false" customHeight="true" outlineLevel="0" collapsed="false">
      <c r="A546" s="28" t="s">
        <v>912</v>
      </c>
      <c r="B546" s="40" t="s">
        <v>3247</v>
      </c>
      <c r="C546" s="323"/>
      <c r="D546" s="323"/>
      <c r="E546" s="324" t="e">
        <f aca="false">общ.калькуляция!h545</f>
        <v>#NAME?</v>
      </c>
      <c r="F546" s="324"/>
      <c r="G546" s="324"/>
      <c r="H546" s="324" t="e">
        <f aca="false">общ.калькуляция!j545</f>
        <v>#NAME?</v>
      </c>
      <c r="I546" s="324"/>
      <c r="J546" s="324"/>
      <c r="K546" s="324" t="e">
        <f aca="false">общ.калькуляция!m545</f>
        <v>#NAME?</v>
      </c>
      <c r="L546" s="324"/>
      <c r="M546" s="324"/>
      <c r="N546" s="324" t="e">
        <f aca="false">E546+H546+K546</f>
        <v>#NAME?</v>
      </c>
    </row>
    <row r="547" customFormat="false" ht="15.75" hidden="false" customHeight="true" outlineLevel="0" collapsed="false">
      <c r="A547" s="15" t="s">
        <v>914</v>
      </c>
      <c r="B547" s="16" t="s">
        <v>3248</v>
      </c>
      <c r="C547" s="321"/>
      <c r="D547" s="321"/>
      <c r="E547" s="329"/>
      <c r="F547" s="329"/>
      <c r="G547" s="329"/>
      <c r="H547" s="329"/>
      <c r="I547" s="329"/>
      <c r="J547" s="329"/>
      <c r="K547" s="329"/>
      <c r="L547" s="329"/>
      <c r="M547" s="329"/>
      <c r="N547" s="329"/>
    </row>
    <row r="548" customFormat="false" ht="15.75" hidden="false" customHeight="true" outlineLevel="0" collapsed="false">
      <c r="A548" s="28" t="s">
        <v>916</v>
      </c>
      <c r="B548" s="40" t="s">
        <v>3249</v>
      </c>
      <c r="C548" s="323"/>
      <c r="D548" s="323"/>
      <c r="E548" s="324" t="e">
        <f aca="false">общ.калькуляция!h547</f>
        <v>#NAME?</v>
      </c>
      <c r="F548" s="324"/>
      <c r="G548" s="324"/>
      <c r="H548" s="324" t="e">
        <f aca="false">общ.калькуляция!j547</f>
        <v>#NAME?</v>
      </c>
      <c r="I548" s="324"/>
      <c r="J548" s="324"/>
      <c r="K548" s="324" t="e">
        <f aca="false">общ.калькуляция!m547</f>
        <v>#NAME?</v>
      </c>
      <c r="L548" s="324"/>
      <c r="M548" s="324"/>
      <c r="N548" s="324" t="e">
        <f aca="false">E548+H548+K548</f>
        <v>#NAME?</v>
      </c>
    </row>
    <row r="549" customFormat="false" ht="15.75" hidden="false" customHeight="true" outlineLevel="0" collapsed="false">
      <c r="A549" s="28" t="s">
        <v>918</v>
      </c>
      <c r="B549" s="59" t="s">
        <v>3250</v>
      </c>
      <c r="C549" s="323"/>
      <c r="D549" s="323"/>
      <c r="E549" s="324" t="e">
        <f aca="false">общ.калькуляция!h548</f>
        <v>#NAME?</v>
      </c>
      <c r="F549" s="324"/>
      <c r="G549" s="324"/>
      <c r="H549" s="324" t="e">
        <f aca="false">общ.калькуляция!j548</f>
        <v>#NAME?</v>
      </c>
      <c r="I549" s="324"/>
      <c r="J549" s="324"/>
      <c r="K549" s="324" t="e">
        <f aca="false">общ.калькуляция!m548</f>
        <v>#NAME?</v>
      </c>
      <c r="L549" s="324"/>
      <c r="M549" s="324"/>
      <c r="N549" s="324" t="e">
        <f aca="false">E549+H549+K549</f>
        <v>#NAME?</v>
      </c>
    </row>
    <row r="550" customFormat="false" ht="15.75" hidden="false" customHeight="true" outlineLevel="0" collapsed="false">
      <c r="A550" s="28" t="s">
        <v>920</v>
      </c>
      <c r="B550" s="40" t="s">
        <v>3238</v>
      </c>
      <c r="C550" s="323"/>
      <c r="D550" s="323"/>
      <c r="E550" s="324" t="e">
        <f aca="false">общ.калькуляция!h549</f>
        <v>#NAME?</v>
      </c>
      <c r="F550" s="324"/>
      <c r="G550" s="324"/>
      <c r="H550" s="324" t="e">
        <f aca="false">общ.калькуляция!j549</f>
        <v>#NAME?</v>
      </c>
      <c r="I550" s="324"/>
      <c r="J550" s="324"/>
      <c r="K550" s="324" t="e">
        <f aca="false">общ.калькуляция!m549</f>
        <v>#NAME?</v>
      </c>
      <c r="L550" s="324"/>
      <c r="M550" s="324"/>
      <c r="N550" s="324" t="e">
        <f aca="false">E550+H550+K550</f>
        <v>#NAME?</v>
      </c>
    </row>
    <row r="551" customFormat="false" ht="15.75" hidden="false" customHeight="true" outlineLevel="0" collapsed="false">
      <c r="A551" s="28" t="s">
        <v>921</v>
      </c>
      <c r="B551" s="335" t="s">
        <v>3251</v>
      </c>
      <c r="C551" s="323"/>
      <c r="D551" s="323"/>
      <c r="E551" s="324" t="e">
        <f aca="false">общ.калькуляция!h550</f>
        <v>#NAME?</v>
      </c>
      <c r="F551" s="324"/>
      <c r="G551" s="324"/>
      <c r="H551" s="324" t="e">
        <f aca="false">общ.калькуляция!j550</f>
        <v>#NAME?</v>
      </c>
      <c r="I551" s="324"/>
      <c r="J551" s="324"/>
      <c r="K551" s="324" t="e">
        <f aca="false">общ.калькуляция!m550</f>
        <v>#NAME?</v>
      </c>
      <c r="L551" s="324"/>
      <c r="M551" s="324"/>
      <c r="N551" s="324" t="e">
        <f aca="false">E551+H551+K551</f>
        <v>#NAME?</v>
      </c>
    </row>
    <row r="552" customFormat="false" ht="15.75" hidden="false" customHeight="true" outlineLevel="0" collapsed="false">
      <c r="A552" s="28" t="s">
        <v>923</v>
      </c>
      <c r="B552" s="40" t="s">
        <v>3252</v>
      </c>
      <c r="C552" s="323"/>
      <c r="D552" s="323"/>
      <c r="E552" s="324" t="e">
        <f aca="false">общ.калькуляция!h551</f>
        <v>#NAME?</v>
      </c>
      <c r="F552" s="324"/>
      <c r="G552" s="324"/>
      <c r="H552" s="324" t="e">
        <f aca="false">общ.калькуляция!j551</f>
        <v>#NAME?</v>
      </c>
      <c r="I552" s="324"/>
      <c r="J552" s="324"/>
      <c r="K552" s="324" t="e">
        <f aca="false">общ.калькуляция!m551</f>
        <v>#NAME?</v>
      </c>
      <c r="L552" s="324"/>
      <c r="M552" s="324"/>
      <c r="N552" s="324" t="e">
        <f aca="false">E552+H552+K552</f>
        <v>#NAME?</v>
      </c>
    </row>
    <row r="553" customFormat="false" ht="15.75" hidden="false" customHeight="true" outlineLevel="0" collapsed="false">
      <c r="A553" s="28" t="s">
        <v>925</v>
      </c>
      <c r="B553" s="40" t="s">
        <v>3253</v>
      </c>
      <c r="C553" s="323"/>
      <c r="D553" s="323"/>
      <c r="E553" s="324" t="e">
        <f aca="false">общ.калькуляция!h552</f>
        <v>#NAME?</v>
      </c>
      <c r="F553" s="324"/>
      <c r="G553" s="324"/>
      <c r="H553" s="324" t="e">
        <f aca="false">общ.калькуляция!j552</f>
        <v>#NAME?</v>
      </c>
      <c r="I553" s="324"/>
      <c r="J553" s="324"/>
      <c r="K553" s="324" t="e">
        <f aca="false">общ.калькуляция!m552</f>
        <v>#NAME?</v>
      </c>
      <c r="L553" s="324"/>
      <c r="M553" s="324"/>
      <c r="N553" s="324" t="e">
        <f aca="false">E553+H553+K553</f>
        <v>#NAME?</v>
      </c>
    </row>
    <row r="554" customFormat="false" ht="15.75" hidden="false" customHeight="true" outlineLevel="0" collapsed="false">
      <c r="A554" s="28" t="s">
        <v>927</v>
      </c>
      <c r="B554" s="40" t="s">
        <v>3254</v>
      </c>
      <c r="C554" s="323"/>
      <c r="D554" s="323"/>
      <c r="E554" s="324" t="e">
        <f aca="false">общ.калькуляция!h553</f>
        <v>#NAME?</v>
      </c>
      <c r="F554" s="324"/>
      <c r="G554" s="324"/>
      <c r="H554" s="324" t="e">
        <f aca="false">общ.калькуляция!j553</f>
        <v>#NAME?</v>
      </c>
      <c r="I554" s="324"/>
      <c r="J554" s="324"/>
      <c r="K554" s="324" t="e">
        <f aca="false">общ.калькуляция!m553</f>
        <v>#NAME?</v>
      </c>
      <c r="L554" s="324"/>
      <c r="M554" s="324"/>
      <c r="N554" s="324" t="e">
        <f aca="false">E554+H554+K554</f>
        <v>#NAME?</v>
      </c>
    </row>
    <row r="555" customFormat="false" ht="15.75" hidden="false" customHeight="true" outlineLevel="0" collapsed="false">
      <c r="A555" s="28" t="s">
        <v>928</v>
      </c>
      <c r="B555" s="40" t="s">
        <v>3255</v>
      </c>
      <c r="C555" s="323"/>
      <c r="D555" s="323"/>
      <c r="E555" s="324" t="e">
        <f aca="false">общ.калькуляция!h554</f>
        <v>#NAME?</v>
      </c>
      <c r="F555" s="324"/>
      <c r="G555" s="324"/>
      <c r="H555" s="324" t="e">
        <f aca="false">общ.калькуляция!j554</f>
        <v>#NAME?</v>
      </c>
      <c r="I555" s="324"/>
      <c r="J555" s="324"/>
      <c r="K555" s="324" t="e">
        <f aca="false">общ.калькуляция!m554</f>
        <v>#NAME?</v>
      </c>
      <c r="L555" s="324"/>
      <c r="M555" s="324"/>
      <c r="N555" s="324" t="e">
        <f aca="false">E555+H555+K555</f>
        <v>#NAME?</v>
      </c>
    </row>
    <row r="556" customFormat="false" ht="15.75" hidden="false" customHeight="true" outlineLevel="0" collapsed="false">
      <c r="A556" s="28" t="s">
        <v>930</v>
      </c>
      <c r="B556" s="40" t="s">
        <v>3256</v>
      </c>
      <c r="C556" s="323"/>
      <c r="D556" s="323"/>
      <c r="E556" s="324" t="e">
        <f aca="false">общ.калькуляция!h555</f>
        <v>#NAME?</v>
      </c>
      <c r="F556" s="324"/>
      <c r="G556" s="324"/>
      <c r="H556" s="324" t="e">
        <f aca="false">общ.калькуляция!j555</f>
        <v>#NAME?</v>
      </c>
      <c r="I556" s="324"/>
      <c r="J556" s="324"/>
      <c r="K556" s="324" t="e">
        <f aca="false">общ.калькуляция!m555</f>
        <v>#NAME?</v>
      </c>
      <c r="L556" s="324"/>
      <c r="M556" s="324"/>
      <c r="N556" s="324" t="e">
        <f aca="false">E556+H556+K556</f>
        <v>#NAME?</v>
      </c>
    </row>
    <row r="557" customFormat="false" ht="15.75" hidden="false" customHeight="true" outlineLevel="0" collapsed="false">
      <c r="A557" s="28" t="s">
        <v>931</v>
      </c>
      <c r="B557" s="40" t="s">
        <v>3257</v>
      </c>
      <c r="C557" s="323"/>
      <c r="D557" s="323"/>
      <c r="E557" s="324" t="e">
        <f aca="false">общ.калькуляция!h556</f>
        <v>#NAME?</v>
      </c>
      <c r="F557" s="324"/>
      <c r="G557" s="324"/>
      <c r="H557" s="324" t="e">
        <f aca="false">общ.калькуляция!j556</f>
        <v>#NAME?</v>
      </c>
      <c r="I557" s="324"/>
      <c r="J557" s="324"/>
      <c r="K557" s="324" t="e">
        <f aca="false">общ.калькуляция!m556</f>
        <v>#NAME?</v>
      </c>
      <c r="L557" s="324"/>
      <c r="M557" s="324"/>
      <c r="N557" s="324" t="e">
        <f aca="false">E557+H557+K557</f>
        <v>#NAME?</v>
      </c>
    </row>
    <row r="558" customFormat="false" ht="15.75" hidden="false" customHeight="true" outlineLevel="0" collapsed="false">
      <c r="A558" s="28" t="s">
        <v>933</v>
      </c>
      <c r="B558" s="40" t="s">
        <v>3258</v>
      </c>
      <c r="C558" s="323"/>
      <c r="D558" s="323"/>
      <c r="E558" s="324" t="e">
        <f aca="false">общ.калькуляция!h557</f>
        <v>#NAME?</v>
      </c>
      <c r="F558" s="324"/>
      <c r="G558" s="324"/>
      <c r="H558" s="324" t="e">
        <f aca="false">общ.калькуляция!j557</f>
        <v>#NAME?</v>
      </c>
      <c r="I558" s="324"/>
      <c r="J558" s="324"/>
      <c r="K558" s="324" t="e">
        <f aca="false">общ.калькуляция!m557</f>
        <v>#NAME?</v>
      </c>
      <c r="L558" s="324"/>
      <c r="M558" s="324"/>
      <c r="N558" s="324" t="e">
        <f aca="false">E558+H558+K558</f>
        <v>#NAME?</v>
      </c>
    </row>
    <row r="559" customFormat="false" ht="15.75" hidden="false" customHeight="true" outlineLevel="0" collapsed="false">
      <c r="A559" s="28" t="s">
        <v>935</v>
      </c>
      <c r="B559" s="40" t="s">
        <v>3259</v>
      </c>
      <c r="C559" s="323"/>
      <c r="D559" s="323"/>
      <c r="E559" s="324" t="e">
        <f aca="false">общ.калькуляция!h558</f>
        <v>#NAME?</v>
      </c>
      <c r="F559" s="324"/>
      <c r="G559" s="324"/>
      <c r="H559" s="324" t="e">
        <f aca="false">общ.калькуляция!j558</f>
        <v>#NAME?</v>
      </c>
      <c r="I559" s="324"/>
      <c r="J559" s="324"/>
      <c r="K559" s="324" t="e">
        <f aca="false">общ.калькуляция!m558</f>
        <v>#NAME?</v>
      </c>
      <c r="L559" s="324"/>
      <c r="M559" s="324"/>
      <c r="N559" s="324" t="e">
        <f aca="false">E559+H559+K559</f>
        <v>#NAME?</v>
      </c>
    </row>
    <row r="560" customFormat="false" ht="15.75" hidden="false" customHeight="true" outlineLevel="0" collapsed="false">
      <c r="A560" s="28" t="s">
        <v>937</v>
      </c>
      <c r="B560" s="40" t="s">
        <v>3260</v>
      </c>
      <c r="C560" s="323"/>
      <c r="D560" s="323"/>
      <c r="E560" s="324" t="e">
        <f aca="false">общ.калькуляция!h559</f>
        <v>#NAME?</v>
      </c>
      <c r="F560" s="324"/>
      <c r="G560" s="324"/>
      <c r="H560" s="324" t="e">
        <f aca="false">общ.калькуляция!j559</f>
        <v>#NAME?</v>
      </c>
      <c r="I560" s="324"/>
      <c r="J560" s="324"/>
      <c r="K560" s="324" t="e">
        <f aca="false">общ.калькуляция!m559</f>
        <v>#NAME?</v>
      </c>
      <c r="L560" s="324"/>
      <c r="M560" s="324"/>
      <c r="N560" s="324" t="e">
        <f aca="false">E560+H560+K560</f>
        <v>#NAME?</v>
      </c>
    </row>
    <row r="561" customFormat="false" ht="15.75" hidden="false" customHeight="true" outlineLevel="0" collapsed="false">
      <c r="A561" s="28" t="s">
        <v>939</v>
      </c>
      <c r="B561" s="40" t="s">
        <v>3261</v>
      </c>
      <c r="C561" s="323"/>
      <c r="D561" s="323"/>
      <c r="E561" s="324" t="e">
        <f aca="false">общ.калькуляция!h560</f>
        <v>#NAME?</v>
      </c>
      <c r="F561" s="324"/>
      <c r="G561" s="324"/>
      <c r="H561" s="324" t="e">
        <f aca="false">общ.калькуляция!j560</f>
        <v>#NAME?</v>
      </c>
      <c r="I561" s="324"/>
      <c r="J561" s="324"/>
      <c r="K561" s="324" t="e">
        <f aca="false">общ.калькуляция!m560</f>
        <v>#NAME?</v>
      </c>
      <c r="L561" s="324"/>
      <c r="M561" s="324"/>
      <c r="N561" s="324" t="e">
        <f aca="false">E561+H561+K561</f>
        <v>#NAME?</v>
      </c>
    </row>
    <row r="562" customFormat="false" ht="15.75" hidden="false" customHeight="true" outlineLevel="0" collapsed="false">
      <c r="A562" s="28" t="s">
        <v>940</v>
      </c>
      <c r="B562" s="40" t="s">
        <v>3262</v>
      </c>
      <c r="C562" s="323"/>
      <c r="D562" s="323"/>
      <c r="E562" s="324" t="e">
        <f aca="false">общ.калькуляция!h561</f>
        <v>#NAME?</v>
      </c>
      <c r="F562" s="324"/>
      <c r="G562" s="324"/>
      <c r="H562" s="324" t="e">
        <f aca="false">общ.калькуляция!j561</f>
        <v>#NAME?</v>
      </c>
      <c r="I562" s="324"/>
      <c r="J562" s="324"/>
      <c r="K562" s="324" t="e">
        <f aca="false">общ.калькуляция!m561</f>
        <v>#NAME?</v>
      </c>
      <c r="L562" s="324"/>
      <c r="M562" s="324"/>
      <c r="N562" s="324" t="e">
        <f aca="false">E562+H562+K562</f>
        <v>#NAME?</v>
      </c>
    </row>
    <row r="563" customFormat="false" ht="15.75" hidden="false" customHeight="true" outlineLevel="0" collapsed="false">
      <c r="A563" s="28" t="s">
        <v>942</v>
      </c>
      <c r="B563" s="40" t="s">
        <v>3263</v>
      </c>
      <c r="C563" s="323"/>
      <c r="D563" s="323"/>
      <c r="E563" s="324" t="e">
        <f aca="false">общ.калькуляция!h562</f>
        <v>#NAME?</v>
      </c>
      <c r="F563" s="324"/>
      <c r="G563" s="324"/>
      <c r="H563" s="324" t="e">
        <f aca="false">общ.калькуляция!j562</f>
        <v>#NAME?</v>
      </c>
      <c r="I563" s="324"/>
      <c r="J563" s="324"/>
      <c r="K563" s="324" t="e">
        <f aca="false">общ.калькуляция!m562</f>
        <v>#NAME?</v>
      </c>
      <c r="L563" s="324"/>
      <c r="M563" s="324"/>
      <c r="N563" s="324" t="e">
        <f aca="false">E563+H563+K563</f>
        <v>#NAME?</v>
      </c>
    </row>
    <row r="564" customFormat="false" ht="15.75" hidden="false" customHeight="true" outlineLevel="0" collapsed="false">
      <c r="A564" s="28" t="s">
        <v>944</v>
      </c>
      <c r="B564" s="40" t="s">
        <v>3264</v>
      </c>
      <c r="C564" s="323"/>
      <c r="D564" s="323"/>
      <c r="E564" s="324" t="e">
        <f aca="false">общ.калькуляция!h563</f>
        <v>#NAME?</v>
      </c>
      <c r="F564" s="324"/>
      <c r="G564" s="324"/>
      <c r="H564" s="324" t="e">
        <f aca="false">общ.калькуляция!j563</f>
        <v>#NAME?</v>
      </c>
      <c r="I564" s="324"/>
      <c r="J564" s="324"/>
      <c r="K564" s="324" t="e">
        <f aca="false">общ.калькуляция!m563</f>
        <v>#NAME?</v>
      </c>
      <c r="L564" s="324"/>
      <c r="M564" s="324"/>
      <c r="N564" s="324" t="e">
        <f aca="false">E564+H564+K564</f>
        <v>#NAME?</v>
      </c>
    </row>
    <row r="565" customFormat="false" ht="15.75" hidden="false" customHeight="true" outlineLevel="0" collapsed="false">
      <c r="A565" s="28" t="s">
        <v>946</v>
      </c>
      <c r="B565" s="40" t="s">
        <v>3265</v>
      </c>
      <c r="C565" s="323"/>
      <c r="D565" s="323"/>
      <c r="E565" s="324" t="e">
        <f aca="false">общ.калькуляция!h564</f>
        <v>#NAME?</v>
      </c>
      <c r="F565" s="324"/>
      <c r="G565" s="324"/>
      <c r="H565" s="324" t="e">
        <f aca="false">общ.калькуляция!j564</f>
        <v>#NAME?</v>
      </c>
      <c r="I565" s="324"/>
      <c r="J565" s="324"/>
      <c r="K565" s="324" t="e">
        <f aca="false">общ.калькуляция!m564</f>
        <v>#NAME?</v>
      </c>
      <c r="L565" s="324"/>
      <c r="M565" s="324"/>
      <c r="N565" s="324" t="e">
        <f aca="false">E565+H565+K565</f>
        <v>#NAME?</v>
      </c>
    </row>
    <row r="566" customFormat="false" ht="15.75" hidden="false" customHeight="true" outlineLevel="0" collapsed="false">
      <c r="A566" s="28" t="s">
        <v>948</v>
      </c>
      <c r="B566" s="40" t="s">
        <v>3266</v>
      </c>
      <c r="C566" s="323"/>
      <c r="D566" s="323"/>
      <c r="E566" s="324" t="e">
        <f aca="false">общ.калькуляция!h565</f>
        <v>#NAME?</v>
      </c>
      <c r="F566" s="324"/>
      <c r="G566" s="324"/>
      <c r="H566" s="324" t="e">
        <f aca="false">общ.калькуляция!j565</f>
        <v>#NAME?</v>
      </c>
      <c r="I566" s="324"/>
      <c r="J566" s="324"/>
      <c r="K566" s="324" t="e">
        <f aca="false">общ.калькуляция!m565</f>
        <v>#NAME?</v>
      </c>
      <c r="L566" s="324"/>
      <c r="M566" s="324"/>
      <c r="N566" s="324" t="e">
        <f aca="false">E566+H566+K566</f>
        <v>#NAME?</v>
      </c>
    </row>
    <row r="567" customFormat="false" ht="15.75" hidden="false" customHeight="true" outlineLevel="0" collapsed="false">
      <c r="A567" s="28" t="s">
        <v>950</v>
      </c>
      <c r="B567" s="40" t="s">
        <v>3267</v>
      </c>
      <c r="C567" s="323"/>
      <c r="D567" s="323"/>
      <c r="E567" s="324" t="e">
        <f aca="false">общ.калькуляция!h566</f>
        <v>#NAME?</v>
      </c>
      <c r="F567" s="324"/>
      <c r="G567" s="324"/>
      <c r="H567" s="324" t="e">
        <f aca="false">общ.калькуляция!j566</f>
        <v>#NAME?</v>
      </c>
      <c r="I567" s="324"/>
      <c r="J567" s="324"/>
      <c r="K567" s="324" t="e">
        <f aca="false">общ.калькуляция!m566</f>
        <v>#NAME?</v>
      </c>
      <c r="L567" s="324"/>
      <c r="M567" s="324"/>
      <c r="N567" s="324" t="e">
        <f aca="false">E567+H567+K567</f>
        <v>#NAME?</v>
      </c>
    </row>
    <row r="568" customFormat="false" ht="15.75" hidden="false" customHeight="true" outlineLevel="0" collapsed="false">
      <c r="A568" s="28" t="s">
        <v>952</v>
      </c>
      <c r="B568" s="40" t="s">
        <v>3268</v>
      </c>
      <c r="C568" s="323"/>
      <c r="D568" s="323"/>
      <c r="E568" s="324" t="e">
        <f aca="false">общ.калькуляция!h567</f>
        <v>#NAME?</v>
      </c>
      <c r="F568" s="324"/>
      <c r="G568" s="324"/>
      <c r="H568" s="324" t="e">
        <f aca="false">общ.калькуляция!j567</f>
        <v>#NAME?</v>
      </c>
      <c r="I568" s="324"/>
      <c r="J568" s="324"/>
      <c r="K568" s="324" t="e">
        <f aca="false">общ.калькуляция!m567</f>
        <v>#NAME?</v>
      </c>
      <c r="L568" s="324"/>
      <c r="M568" s="324"/>
      <c r="N568" s="324" t="e">
        <f aca="false">E568+H568+K568</f>
        <v>#NAME?</v>
      </c>
    </row>
    <row r="569" customFormat="false" ht="15.75" hidden="false" customHeight="true" outlineLevel="0" collapsed="false">
      <c r="A569" s="28" t="s">
        <v>954</v>
      </c>
      <c r="B569" s="40" t="s">
        <v>3269</v>
      </c>
      <c r="C569" s="323"/>
      <c r="D569" s="323"/>
      <c r="E569" s="324" t="e">
        <f aca="false">общ.калькуляция!h568</f>
        <v>#NAME?</v>
      </c>
      <c r="F569" s="324"/>
      <c r="G569" s="324"/>
      <c r="H569" s="324" t="e">
        <f aca="false">общ.калькуляция!j568</f>
        <v>#NAME?</v>
      </c>
      <c r="I569" s="324"/>
      <c r="J569" s="324"/>
      <c r="K569" s="324" t="e">
        <f aca="false">общ.калькуляция!m568</f>
        <v>#NAME?</v>
      </c>
      <c r="L569" s="324"/>
      <c r="M569" s="324"/>
      <c r="N569" s="324" t="e">
        <f aca="false">E569+H569+K569</f>
        <v>#NAME?</v>
      </c>
    </row>
    <row r="570" customFormat="false" ht="15.75" hidden="false" customHeight="true" outlineLevel="0" collapsed="false">
      <c r="A570" s="28" t="s">
        <v>955</v>
      </c>
      <c r="B570" s="40" t="s">
        <v>3270</v>
      </c>
      <c r="C570" s="323"/>
      <c r="D570" s="323"/>
      <c r="E570" s="324" t="e">
        <f aca="false">общ.калькуляция!h569</f>
        <v>#NAME?</v>
      </c>
      <c r="F570" s="324"/>
      <c r="G570" s="324"/>
      <c r="H570" s="324" t="e">
        <f aca="false">общ.калькуляция!j569</f>
        <v>#NAME?</v>
      </c>
      <c r="I570" s="324"/>
      <c r="J570" s="324"/>
      <c r="K570" s="324" t="e">
        <f aca="false">общ.калькуляция!m569</f>
        <v>#NAME?</v>
      </c>
      <c r="L570" s="324"/>
      <c r="M570" s="324"/>
      <c r="N570" s="324" t="e">
        <f aca="false">E570+H570+K570</f>
        <v>#NAME?</v>
      </c>
    </row>
    <row r="571" customFormat="false" ht="15.75" hidden="false" customHeight="true" outlineLevel="0" collapsed="false">
      <c r="A571" s="28" t="s">
        <v>957</v>
      </c>
      <c r="B571" s="40" t="s">
        <v>3271</v>
      </c>
      <c r="C571" s="323"/>
      <c r="D571" s="323"/>
      <c r="E571" s="324" t="e">
        <f aca="false">общ.калькуляция!h570</f>
        <v>#NAME?</v>
      </c>
      <c r="F571" s="324"/>
      <c r="G571" s="324"/>
      <c r="H571" s="324" t="e">
        <f aca="false">общ.калькуляция!j570</f>
        <v>#NAME?</v>
      </c>
      <c r="I571" s="324"/>
      <c r="J571" s="324"/>
      <c r="K571" s="324" t="e">
        <f aca="false">общ.калькуляция!m570</f>
        <v>#NAME?</v>
      </c>
      <c r="L571" s="324"/>
      <c r="M571" s="324"/>
      <c r="N571" s="324" t="e">
        <f aca="false">E571+H571+K571</f>
        <v>#NAME?</v>
      </c>
    </row>
    <row r="572" customFormat="false" ht="15.75" hidden="false" customHeight="true" outlineLevel="0" collapsed="false">
      <c r="A572" s="28" t="s">
        <v>959</v>
      </c>
      <c r="B572" s="40" t="s">
        <v>3272</v>
      </c>
      <c r="C572" s="323"/>
      <c r="D572" s="323"/>
      <c r="E572" s="324" t="e">
        <f aca="false">общ.калькуляция!h571</f>
        <v>#NAME?</v>
      </c>
      <c r="F572" s="324"/>
      <c r="G572" s="324"/>
      <c r="H572" s="324" t="e">
        <f aca="false">общ.калькуляция!j571</f>
        <v>#NAME?</v>
      </c>
      <c r="I572" s="324"/>
      <c r="J572" s="324"/>
      <c r="K572" s="324" t="e">
        <f aca="false">общ.калькуляция!m571</f>
        <v>#NAME?</v>
      </c>
      <c r="L572" s="324"/>
      <c r="M572" s="324"/>
      <c r="N572" s="324" t="e">
        <f aca="false">E572+H572+K572</f>
        <v>#NAME?</v>
      </c>
    </row>
    <row r="573" customFormat="false" ht="15.75" hidden="false" customHeight="true" outlineLevel="0" collapsed="false">
      <c r="A573" s="28" t="s">
        <v>961</v>
      </c>
      <c r="B573" s="60" t="s">
        <v>3273</v>
      </c>
      <c r="C573" s="323"/>
      <c r="D573" s="323"/>
      <c r="E573" s="324" t="e">
        <f aca="false">общ.калькуляция!h572</f>
        <v>#NAME?</v>
      </c>
      <c r="F573" s="324"/>
      <c r="G573" s="324"/>
      <c r="H573" s="324" t="e">
        <f aca="false">общ.калькуляция!j572</f>
        <v>#NAME?</v>
      </c>
      <c r="I573" s="324"/>
      <c r="J573" s="324"/>
      <c r="K573" s="324" t="e">
        <f aca="false">общ.калькуляция!m572</f>
        <v>#NAME?</v>
      </c>
      <c r="L573" s="324"/>
      <c r="M573" s="324"/>
      <c r="N573" s="324" t="e">
        <f aca="false">E573+H573+K573</f>
        <v>#NAME?</v>
      </c>
    </row>
    <row r="574" customFormat="false" ht="15.75" hidden="false" customHeight="true" outlineLevel="0" collapsed="false">
      <c r="A574" s="28" t="s">
        <v>963</v>
      </c>
      <c r="B574" s="60" t="s">
        <v>3274</v>
      </c>
      <c r="C574" s="323"/>
      <c r="D574" s="323"/>
      <c r="E574" s="324" t="e">
        <f aca="false">общ.калькуляция!h573</f>
        <v>#NAME?</v>
      </c>
      <c r="F574" s="324"/>
      <c r="G574" s="324"/>
      <c r="H574" s="324" t="e">
        <f aca="false">общ.калькуляция!j573</f>
        <v>#NAME?</v>
      </c>
      <c r="I574" s="324"/>
      <c r="J574" s="324"/>
      <c r="K574" s="324" t="e">
        <f aca="false">общ.калькуляция!m573</f>
        <v>#NAME?</v>
      </c>
      <c r="L574" s="324"/>
      <c r="M574" s="324"/>
      <c r="N574" s="324" t="e">
        <f aca="false">E574+H574+K574</f>
        <v>#NAME?</v>
      </c>
    </row>
    <row r="575" customFormat="false" ht="15.75" hidden="false" customHeight="true" outlineLevel="0" collapsed="false">
      <c r="A575" s="28" t="s">
        <v>965</v>
      </c>
      <c r="B575" s="60" t="s">
        <v>3275</v>
      </c>
      <c r="C575" s="323"/>
      <c r="D575" s="323"/>
      <c r="E575" s="324" t="e">
        <f aca="false">общ.калькуляция!h574</f>
        <v>#NAME?</v>
      </c>
      <c r="F575" s="324"/>
      <c r="G575" s="324"/>
      <c r="H575" s="324" t="e">
        <f aca="false">общ.калькуляция!j574</f>
        <v>#NAME?</v>
      </c>
      <c r="I575" s="324"/>
      <c r="J575" s="324"/>
      <c r="K575" s="324" t="e">
        <f aca="false">общ.калькуляция!m574</f>
        <v>#NAME?</v>
      </c>
      <c r="L575" s="324"/>
      <c r="M575" s="324"/>
      <c r="N575" s="324" t="e">
        <f aca="false">E575+H575+K575</f>
        <v>#NAME?</v>
      </c>
    </row>
    <row r="576" customFormat="false" ht="15.75" hidden="false" customHeight="true" outlineLevel="0" collapsed="false">
      <c r="A576" s="28" t="s">
        <v>967</v>
      </c>
      <c r="B576" s="60" t="s">
        <v>3276</v>
      </c>
      <c r="C576" s="323"/>
      <c r="D576" s="323"/>
      <c r="E576" s="324" t="e">
        <f aca="false">общ.калькуляция!h575</f>
        <v>#NAME?</v>
      </c>
      <c r="F576" s="324"/>
      <c r="G576" s="324"/>
      <c r="H576" s="324" t="e">
        <f aca="false">общ.калькуляция!j575</f>
        <v>#NAME?</v>
      </c>
      <c r="I576" s="324"/>
      <c r="J576" s="324"/>
      <c r="K576" s="324" t="e">
        <f aca="false">общ.калькуляция!m575</f>
        <v>#NAME?</v>
      </c>
      <c r="L576" s="324"/>
      <c r="M576" s="324"/>
      <c r="N576" s="324" t="e">
        <f aca="false">E576+H576+K576</f>
        <v>#NAME?</v>
      </c>
    </row>
    <row r="577" customFormat="false" ht="15.75" hidden="false" customHeight="true" outlineLevel="0" collapsed="false">
      <c r="A577" s="28" t="s">
        <v>969</v>
      </c>
      <c r="B577" s="60" t="s">
        <v>3277</v>
      </c>
      <c r="C577" s="323"/>
      <c r="D577" s="323"/>
      <c r="E577" s="324" t="e">
        <f aca="false">общ.калькуляция!h576</f>
        <v>#NAME?</v>
      </c>
      <c r="F577" s="324"/>
      <c r="G577" s="324"/>
      <c r="H577" s="324" t="e">
        <f aca="false">общ.калькуляция!j576</f>
        <v>#NAME?</v>
      </c>
      <c r="I577" s="324"/>
      <c r="J577" s="324"/>
      <c r="K577" s="324" t="e">
        <f aca="false">общ.калькуляция!m576</f>
        <v>#NAME?</v>
      </c>
      <c r="L577" s="324"/>
      <c r="M577" s="324"/>
      <c r="N577" s="324" t="e">
        <f aca="false">E577+H577+K577</f>
        <v>#NAME?</v>
      </c>
    </row>
    <row r="578" customFormat="false" ht="15.75" hidden="false" customHeight="true" outlineLevel="0" collapsed="false">
      <c r="A578" s="28" t="s">
        <v>971</v>
      </c>
      <c r="B578" s="60" t="s">
        <v>3278</v>
      </c>
      <c r="C578" s="323"/>
      <c r="D578" s="323"/>
      <c r="E578" s="324" t="e">
        <f aca="false">общ.калькуляция!h577</f>
        <v>#NAME?</v>
      </c>
      <c r="F578" s="324"/>
      <c r="G578" s="324"/>
      <c r="H578" s="324" t="e">
        <f aca="false">общ.калькуляция!j577</f>
        <v>#NAME?</v>
      </c>
      <c r="I578" s="324"/>
      <c r="J578" s="324"/>
      <c r="K578" s="324" t="e">
        <f aca="false">общ.калькуляция!m577</f>
        <v>#NAME?</v>
      </c>
      <c r="L578" s="324"/>
      <c r="M578" s="324"/>
      <c r="N578" s="324" t="e">
        <f aca="false">E578+H578+K578</f>
        <v>#NAME?</v>
      </c>
    </row>
    <row r="579" customFormat="false" ht="15.75" hidden="false" customHeight="true" outlineLevel="0" collapsed="false">
      <c r="A579" s="28" t="s">
        <v>973</v>
      </c>
      <c r="B579" s="60" t="s">
        <v>3279</v>
      </c>
      <c r="C579" s="323"/>
      <c r="D579" s="323"/>
      <c r="E579" s="324" t="e">
        <f aca="false">общ.калькуляция!h578</f>
        <v>#NAME?</v>
      </c>
      <c r="F579" s="324"/>
      <c r="G579" s="324"/>
      <c r="H579" s="324" t="e">
        <f aca="false">общ.калькуляция!j578</f>
        <v>#NAME?</v>
      </c>
      <c r="I579" s="324"/>
      <c r="J579" s="324"/>
      <c r="K579" s="324" t="e">
        <f aca="false">общ.калькуляция!m578</f>
        <v>#NAME?</v>
      </c>
      <c r="L579" s="324"/>
      <c r="M579" s="324"/>
      <c r="N579" s="324" t="e">
        <f aca="false">E579+H579+K579</f>
        <v>#NAME?</v>
      </c>
    </row>
    <row r="580" customFormat="false" ht="15.75" hidden="false" customHeight="true" outlineLevel="0" collapsed="false">
      <c r="A580" s="28" t="s">
        <v>975</v>
      </c>
      <c r="B580" s="60" t="s">
        <v>3280</v>
      </c>
      <c r="C580" s="323"/>
      <c r="D580" s="323"/>
      <c r="E580" s="324" t="e">
        <f aca="false">общ.калькуляция!h579</f>
        <v>#NAME?</v>
      </c>
      <c r="F580" s="324"/>
      <c r="G580" s="324"/>
      <c r="H580" s="324" t="e">
        <f aca="false">общ.калькуляция!j579</f>
        <v>#NAME?</v>
      </c>
      <c r="I580" s="324"/>
      <c r="J580" s="324"/>
      <c r="K580" s="324" t="e">
        <f aca="false">общ.калькуляция!m579</f>
        <v>#NAME?</v>
      </c>
      <c r="L580" s="324"/>
      <c r="M580" s="324"/>
      <c r="N580" s="324" t="e">
        <f aca="false">E580+H580+K580</f>
        <v>#NAME?</v>
      </c>
    </row>
    <row r="581" customFormat="false" ht="15.75" hidden="false" customHeight="true" outlineLevel="0" collapsed="false">
      <c r="A581" s="28" t="s">
        <v>977</v>
      </c>
      <c r="B581" s="60" t="s">
        <v>3281</v>
      </c>
      <c r="C581" s="323"/>
      <c r="D581" s="323"/>
      <c r="E581" s="324" t="e">
        <f aca="false">общ.калькуляция!h580</f>
        <v>#NAME?</v>
      </c>
      <c r="F581" s="324"/>
      <c r="G581" s="324"/>
      <c r="H581" s="324" t="e">
        <f aca="false">общ.калькуляция!j580</f>
        <v>#NAME?</v>
      </c>
      <c r="I581" s="324"/>
      <c r="J581" s="324"/>
      <c r="K581" s="324" t="e">
        <f aca="false">общ.калькуляция!m580</f>
        <v>#NAME?</v>
      </c>
      <c r="L581" s="324"/>
      <c r="M581" s="324"/>
      <c r="N581" s="324" t="e">
        <f aca="false">E581+H581+K581</f>
        <v>#NAME?</v>
      </c>
    </row>
    <row r="582" customFormat="false" ht="15.75" hidden="false" customHeight="true" outlineLevel="0" collapsed="false">
      <c r="A582" s="15" t="s">
        <v>979</v>
      </c>
      <c r="B582" s="16" t="s">
        <v>3282</v>
      </c>
      <c r="C582" s="321"/>
      <c r="D582" s="321"/>
      <c r="E582" s="329"/>
      <c r="F582" s="329"/>
      <c r="G582" s="329"/>
      <c r="H582" s="329"/>
      <c r="I582" s="329"/>
      <c r="J582" s="329"/>
      <c r="K582" s="329"/>
      <c r="L582" s="329"/>
      <c r="M582" s="329"/>
      <c r="N582" s="329"/>
    </row>
    <row r="583" customFormat="false" ht="15.75" hidden="false" customHeight="true" outlineLevel="0" collapsed="false">
      <c r="A583" s="28" t="s">
        <v>981</v>
      </c>
      <c r="B583" s="40" t="s">
        <v>3249</v>
      </c>
      <c r="C583" s="323"/>
      <c r="D583" s="323"/>
      <c r="E583" s="324" t="e">
        <f aca="false">общ.калькуляция!h582</f>
        <v>#NAME?</v>
      </c>
      <c r="F583" s="324"/>
      <c r="G583" s="324"/>
      <c r="H583" s="324" t="e">
        <f aca="false">общ.калькуляция!j582</f>
        <v>#NAME?</v>
      </c>
      <c r="I583" s="324"/>
      <c r="J583" s="324"/>
      <c r="K583" s="324" t="e">
        <f aca="false">общ.калькуляция!m582</f>
        <v>#NAME?</v>
      </c>
      <c r="L583" s="324"/>
      <c r="M583" s="324"/>
      <c r="N583" s="324" t="e">
        <f aca="false">E583+H583+K583</f>
        <v>#NAME?</v>
      </c>
    </row>
    <row r="584" customFormat="false" ht="15.75" hidden="false" customHeight="true" outlineLevel="0" collapsed="false">
      <c r="A584" s="28" t="s">
        <v>982</v>
      </c>
      <c r="B584" s="59" t="s">
        <v>3283</v>
      </c>
      <c r="C584" s="323"/>
      <c r="D584" s="323"/>
      <c r="E584" s="324" t="e">
        <f aca="false">общ.калькуляция!h583</f>
        <v>#NAME?</v>
      </c>
      <c r="F584" s="324"/>
      <c r="G584" s="324"/>
      <c r="H584" s="324" t="e">
        <f aca="false">общ.калькуляция!j583</f>
        <v>#NAME?</v>
      </c>
      <c r="I584" s="324"/>
      <c r="J584" s="324"/>
      <c r="K584" s="324" t="e">
        <f aca="false">общ.калькуляция!m583</f>
        <v>#NAME?</v>
      </c>
      <c r="L584" s="324"/>
      <c r="M584" s="324"/>
      <c r="N584" s="324" t="e">
        <f aca="false">E584+H584+K584</f>
        <v>#NAME?</v>
      </c>
    </row>
    <row r="585" customFormat="false" ht="15.75" hidden="false" customHeight="true" outlineLevel="0" collapsed="false">
      <c r="A585" s="28" t="s">
        <v>983</v>
      </c>
      <c r="B585" s="40" t="s">
        <v>3238</v>
      </c>
      <c r="C585" s="323"/>
      <c r="D585" s="323"/>
      <c r="E585" s="324" t="e">
        <f aca="false">общ.калькуляция!h584</f>
        <v>#NAME?</v>
      </c>
      <c r="F585" s="324"/>
      <c r="G585" s="324"/>
      <c r="H585" s="324" t="e">
        <f aca="false">общ.калькуляция!j584</f>
        <v>#NAME?</v>
      </c>
      <c r="I585" s="324"/>
      <c r="J585" s="324"/>
      <c r="K585" s="324" t="e">
        <f aca="false">общ.калькуляция!m584</f>
        <v>#NAME?</v>
      </c>
      <c r="L585" s="324"/>
      <c r="M585" s="324"/>
      <c r="N585" s="324" t="e">
        <f aca="false">E585+H585+K585</f>
        <v>#NAME?</v>
      </c>
    </row>
    <row r="586" customFormat="false" ht="15.75" hidden="false" customHeight="true" outlineLevel="0" collapsed="false">
      <c r="A586" s="28" t="s">
        <v>984</v>
      </c>
      <c r="B586" s="40" t="s">
        <v>3284</v>
      </c>
      <c r="C586" s="323"/>
      <c r="D586" s="323"/>
      <c r="E586" s="324" t="e">
        <f aca="false">общ.калькуляция!h585</f>
        <v>#NAME?</v>
      </c>
      <c r="F586" s="324"/>
      <c r="G586" s="324"/>
      <c r="H586" s="324" t="e">
        <f aca="false">общ.калькуляция!j585</f>
        <v>#NAME?</v>
      </c>
      <c r="I586" s="324"/>
      <c r="J586" s="324"/>
      <c r="K586" s="324" t="e">
        <f aca="false">общ.калькуляция!m585</f>
        <v>#NAME?</v>
      </c>
      <c r="L586" s="324"/>
      <c r="M586" s="324"/>
      <c r="N586" s="324" t="e">
        <f aca="false">E586+H586+K586</f>
        <v>#NAME?</v>
      </c>
    </row>
    <row r="587" customFormat="false" ht="15.75" hidden="false" customHeight="true" outlineLevel="0" collapsed="false">
      <c r="A587" s="28" t="s">
        <v>986</v>
      </c>
      <c r="B587" s="29" t="s">
        <v>3285</v>
      </c>
      <c r="C587" s="323"/>
      <c r="D587" s="323"/>
      <c r="E587" s="324" t="e">
        <f aca="false">общ.калькуляция!h586</f>
        <v>#NAME?</v>
      </c>
      <c r="F587" s="324"/>
      <c r="G587" s="324"/>
      <c r="H587" s="324" t="e">
        <f aca="false">общ.калькуляция!j586</f>
        <v>#NAME?</v>
      </c>
      <c r="I587" s="324"/>
      <c r="J587" s="324"/>
      <c r="K587" s="324" t="e">
        <f aca="false">общ.калькуляция!m586</f>
        <v>#NAME?</v>
      </c>
      <c r="L587" s="324"/>
      <c r="M587" s="324"/>
      <c r="N587" s="324" t="e">
        <f aca="false">E587+H587+K587</f>
        <v>#NAME?</v>
      </c>
    </row>
    <row r="588" customFormat="false" ht="15.75" hidden="false" customHeight="true" outlineLevel="0" collapsed="false">
      <c r="A588" s="28" t="s">
        <v>987</v>
      </c>
      <c r="B588" s="29" t="s">
        <v>3286</v>
      </c>
      <c r="C588" s="323"/>
      <c r="D588" s="323"/>
      <c r="E588" s="324" t="e">
        <f aca="false">общ.калькуляция!h587</f>
        <v>#NAME?</v>
      </c>
      <c r="F588" s="324"/>
      <c r="G588" s="324"/>
      <c r="H588" s="324" t="e">
        <f aca="false">общ.калькуляция!j587</f>
        <v>#NAME?</v>
      </c>
      <c r="I588" s="324"/>
      <c r="J588" s="324"/>
      <c r="K588" s="324" t="e">
        <f aca="false">общ.калькуляция!m587</f>
        <v>#NAME?</v>
      </c>
      <c r="L588" s="324"/>
      <c r="M588" s="324"/>
      <c r="N588" s="324" t="e">
        <f aca="false">E588+H588+K588</f>
        <v>#NAME?</v>
      </c>
    </row>
    <row r="589" customFormat="false" ht="15.75" hidden="false" customHeight="true" outlineLevel="0" collapsed="false">
      <c r="A589" s="28" t="s">
        <v>989</v>
      </c>
      <c r="B589" s="40" t="s">
        <v>3287</v>
      </c>
      <c r="C589" s="323"/>
      <c r="D589" s="323"/>
      <c r="E589" s="324" t="e">
        <f aca="false">общ.калькуляция!h588</f>
        <v>#NAME?</v>
      </c>
      <c r="F589" s="324"/>
      <c r="G589" s="324"/>
      <c r="H589" s="324" t="e">
        <f aca="false">общ.калькуляция!j588</f>
        <v>#NAME?</v>
      </c>
      <c r="I589" s="324"/>
      <c r="J589" s="324"/>
      <c r="K589" s="324" t="e">
        <f aca="false">общ.калькуляция!m588</f>
        <v>#NAME?</v>
      </c>
      <c r="L589" s="324"/>
      <c r="M589" s="324"/>
      <c r="N589" s="324" t="e">
        <f aca="false">E589+H589+K589</f>
        <v>#NAME?</v>
      </c>
    </row>
    <row r="590" customFormat="false" ht="15.75" hidden="false" customHeight="true" outlineLevel="0" collapsed="false">
      <c r="A590" s="327" t="s">
        <v>990</v>
      </c>
      <c r="B590" s="40" t="s">
        <v>3288</v>
      </c>
      <c r="C590" s="323"/>
      <c r="D590" s="323"/>
      <c r="E590" s="324" t="e">
        <f aca="false">общ.калькуляция!h589</f>
        <v>#NAME?</v>
      </c>
      <c r="F590" s="324"/>
      <c r="G590" s="324"/>
      <c r="H590" s="324" t="e">
        <f aca="false">общ.калькуляция!j589</f>
        <v>#NAME?</v>
      </c>
      <c r="I590" s="324"/>
      <c r="J590" s="324"/>
      <c r="K590" s="324" t="e">
        <f aca="false">общ.калькуляция!m589</f>
        <v>#NAME?</v>
      </c>
      <c r="L590" s="324"/>
      <c r="M590" s="324"/>
      <c r="N590" s="324" t="e">
        <f aca="false">E590+H590+K590</f>
        <v>#NAME?</v>
      </c>
    </row>
    <row r="591" customFormat="false" ht="15.75" hidden="false" customHeight="true" outlineLevel="0" collapsed="false">
      <c r="A591" s="15" t="s">
        <v>992</v>
      </c>
      <c r="B591" s="16" t="s">
        <v>3289</v>
      </c>
      <c r="C591" s="321"/>
      <c r="D591" s="321"/>
      <c r="E591" s="329"/>
      <c r="F591" s="329"/>
      <c r="G591" s="329"/>
      <c r="H591" s="329"/>
      <c r="I591" s="329"/>
      <c r="J591" s="329"/>
      <c r="K591" s="329"/>
      <c r="L591" s="329"/>
      <c r="M591" s="329"/>
      <c r="N591" s="329"/>
    </row>
    <row r="592" customFormat="false" ht="15.75" hidden="false" customHeight="true" outlineLevel="0" collapsed="false">
      <c r="A592" s="28" t="s">
        <v>994</v>
      </c>
      <c r="B592" s="335" t="s">
        <v>3249</v>
      </c>
      <c r="C592" s="323"/>
      <c r="D592" s="323"/>
      <c r="E592" s="324" t="e">
        <f aca="false">общ.калькуляция!h591</f>
        <v>#NAME?</v>
      </c>
      <c r="F592" s="324"/>
      <c r="G592" s="324"/>
      <c r="H592" s="324" t="e">
        <f aca="false">общ.калькуляция!j591</f>
        <v>#NAME?</v>
      </c>
      <c r="I592" s="324"/>
      <c r="J592" s="324"/>
      <c r="K592" s="324" t="e">
        <f aca="false">общ.калькуляция!m591</f>
        <v>#NAME?</v>
      </c>
      <c r="L592" s="324"/>
      <c r="M592" s="324"/>
      <c r="N592" s="324" t="e">
        <f aca="false">E592+H592+K592</f>
        <v>#NAME?</v>
      </c>
    </row>
    <row r="593" customFormat="false" ht="15.75" hidden="false" customHeight="true" outlineLevel="0" collapsed="false">
      <c r="A593" s="28" t="s">
        <v>995</v>
      </c>
      <c r="B593" s="335" t="s">
        <v>3290</v>
      </c>
      <c r="C593" s="323"/>
      <c r="D593" s="323"/>
      <c r="E593" s="324" t="e">
        <f aca="false">общ.калькуляция!h592</f>
        <v>#NAME?</v>
      </c>
      <c r="F593" s="324"/>
      <c r="G593" s="324"/>
      <c r="H593" s="324" t="e">
        <f aca="false">общ.калькуляция!j592</f>
        <v>#NAME?</v>
      </c>
      <c r="I593" s="324"/>
      <c r="J593" s="324"/>
      <c r="K593" s="324" t="e">
        <f aca="false">общ.калькуляция!m592</f>
        <v>#NAME?</v>
      </c>
      <c r="L593" s="324"/>
      <c r="M593" s="324"/>
      <c r="N593" s="324" t="e">
        <f aca="false">E593+H593+K593</f>
        <v>#NAME?</v>
      </c>
    </row>
    <row r="594" customFormat="false" ht="15.75" hidden="false" customHeight="true" outlineLevel="0" collapsed="false">
      <c r="A594" s="28" t="s">
        <v>997</v>
      </c>
      <c r="B594" s="335" t="s">
        <v>3291</v>
      </c>
      <c r="C594" s="323"/>
      <c r="D594" s="323"/>
      <c r="E594" s="324" t="e">
        <f aca="false">общ.калькуляция!h593</f>
        <v>#NAME?</v>
      </c>
      <c r="F594" s="324"/>
      <c r="G594" s="324"/>
      <c r="H594" s="324" t="e">
        <f aca="false">общ.калькуляция!j593</f>
        <v>#NAME?</v>
      </c>
      <c r="I594" s="324"/>
      <c r="J594" s="324"/>
      <c r="K594" s="324" t="e">
        <f aca="false">общ.калькуляция!m593</f>
        <v>#NAME?</v>
      </c>
      <c r="L594" s="324"/>
      <c r="M594" s="324"/>
      <c r="N594" s="324" t="e">
        <f aca="false">E594+H594+K594</f>
        <v>#NAME?</v>
      </c>
    </row>
    <row r="595" customFormat="false" ht="15.75" hidden="false" customHeight="true" outlineLevel="0" collapsed="false">
      <c r="A595" s="28" t="s">
        <v>998</v>
      </c>
      <c r="B595" s="335" t="s">
        <v>2889</v>
      </c>
      <c r="C595" s="323"/>
      <c r="D595" s="323"/>
      <c r="E595" s="324" t="e">
        <f aca="false">общ.калькуляция!h594</f>
        <v>#NAME?</v>
      </c>
      <c r="F595" s="324"/>
      <c r="G595" s="324"/>
      <c r="H595" s="324" t="e">
        <f aca="false">общ.калькуляция!j594</f>
        <v>#NAME?</v>
      </c>
      <c r="I595" s="324"/>
      <c r="J595" s="324"/>
      <c r="K595" s="324" t="e">
        <f aca="false">общ.калькуляция!m594</f>
        <v>#NAME?</v>
      </c>
      <c r="L595" s="324"/>
      <c r="M595" s="324"/>
      <c r="N595" s="324" t="e">
        <f aca="false">E595+H595+K595</f>
        <v>#NAME?</v>
      </c>
    </row>
    <row r="596" customFormat="false" ht="15.75" hidden="false" customHeight="true" outlineLevel="0" collapsed="false">
      <c r="A596" s="28" t="s">
        <v>999</v>
      </c>
      <c r="B596" s="335" t="s">
        <v>3292</v>
      </c>
      <c r="C596" s="323"/>
      <c r="D596" s="323"/>
      <c r="E596" s="324" t="e">
        <f aca="false">общ.калькуляция!h595</f>
        <v>#NAME?</v>
      </c>
      <c r="F596" s="324"/>
      <c r="G596" s="324"/>
      <c r="H596" s="324" t="e">
        <f aca="false">общ.калькуляция!j595</f>
        <v>#NAME?</v>
      </c>
      <c r="I596" s="324"/>
      <c r="J596" s="324"/>
      <c r="K596" s="324" t="e">
        <f aca="false">общ.калькуляция!m595</f>
        <v>#NAME?</v>
      </c>
      <c r="L596" s="324"/>
      <c r="M596" s="324"/>
      <c r="N596" s="324" t="e">
        <f aca="false">E596+H596+K596</f>
        <v>#NAME?</v>
      </c>
    </row>
    <row r="597" customFormat="false" ht="15.75" hidden="false" customHeight="true" outlineLevel="0" collapsed="false">
      <c r="A597" s="28" t="s">
        <v>1001</v>
      </c>
      <c r="B597" s="335" t="s">
        <v>3293</v>
      </c>
      <c r="C597" s="323"/>
      <c r="D597" s="323"/>
      <c r="E597" s="324" t="e">
        <f aca="false">общ.калькуляция!h596</f>
        <v>#NAME?</v>
      </c>
      <c r="F597" s="324"/>
      <c r="G597" s="324"/>
      <c r="H597" s="324" t="e">
        <f aca="false">общ.калькуляция!j596</f>
        <v>#NAME?</v>
      </c>
      <c r="I597" s="324"/>
      <c r="J597" s="324"/>
      <c r="K597" s="324" t="e">
        <f aca="false">общ.калькуляция!m596</f>
        <v>#NAME?</v>
      </c>
      <c r="L597" s="324"/>
      <c r="M597" s="324"/>
      <c r="N597" s="324" t="e">
        <f aca="false">E597+H597+K597</f>
        <v>#NAME?</v>
      </c>
    </row>
    <row r="598" customFormat="false" ht="15.75" hidden="false" customHeight="true" outlineLevel="0" collapsed="false">
      <c r="A598" s="28" t="s">
        <v>1003</v>
      </c>
      <c r="B598" s="335" t="s">
        <v>3294</v>
      </c>
      <c r="C598" s="323"/>
      <c r="D598" s="323"/>
      <c r="E598" s="324" t="e">
        <f aca="false">общ.калькуляция!h597</f>
        <v>#NAME?</v>
      </c>
      <c r="F598" s="324"/>
      <c r="G598" s="324"/>
      <c r="H598" s="324" t="e">
        <f aca="false">общ.калькуляция!j597</f>
        <v>#NAME?</v>
      </c>
      <c r="I598" s="324"/>
      <c r="J598" s="324"/>
      <c r="K598" s="324" t="e">
        <f aca="false">общ.калькуляция!m597</f>
        <v>#NAME?</v>
      </c>
      <c r="L598" s="324"/>
      <c r="M598" s="324"/>
      <c r="N598" s="324" t="e">
        <f aca="false">E598+H598+K598</f>
        <v>#NAME?</v>
      </c>
    </row>
    <row r="599" customFormat="false" ht="15.75" hidden="false" customHeight="true" outlineLevel="0" collapsed="false">
      <c r="A599" s="28" t="s">
        <v>1005</v>
      </c>
      <c r="B599" s="335" t="s">
        <v>3295</v>
      </c>
      <c r="C599" s="323"/>
      <c r="D599" s="323"/>
      <c r="E599" s="324" t="e">
        <f aca="false">общ.калькуляция!h598</f>
        <v>#NAME?</v>
      </c>
      <c r="F599" s="324"/>
      <c r="G599" s="324"/>
      <c r="H599" s="324" t="e">
        <f aca="false">общ.калькуляция!j598</f>
        <v>#NAME?</v>
      </c>
      <c r="I599" s="324"/>
      <c r="J599" s="324"/>
      <c r="K599" s="324" t="e">
        <f aca="false">общ.калькуляция!m598</f>
        <v>#NAME?</v>
      </c>
      <c r="L599" s="324"/>
      <c r="M599" s="324"/>
      <c r="N599" s="324" t="e">
        <f aca="false">E599+H599+K599</f>
        <v>#NAME?</v>
      </c>
    </row>
    <row r="600" customFormat="false" ht="15.75" hidden="false" customHeight="true" outlineLevel="0" collapsed="false">
      <c r="A600" s="28" t="s">
        <v>1007</v>
      </c>
      <c r="B600" s="335" t="s">
        <v>3296</v>
      </c>
      <c r="C600" s="323"/>
      <c r="D600" s="323"/>
      <c r="E600" s="324" t="e">
        <f aca="false">общ.калькуляция!h599</f>
        <v>#NAME?</v>
      </c>
      <c r="F600" s="324"/>
      <c r="G600" s="324"/>
      <c r="H600" s="324" t="e">
        <f aca="false">общ.калькуляция!j599</f>
        <v>#NAME?</v>
      </c>
      <c r="I600" s="324"/>
      <c r="J600" s="324"/>
      <c r="K600" s="324" t="e">
        <f aca="false">общ.калькуляция!m599</f>
        <v>#NAME?</v>
      </c>
      <c r="L600" s="324"/>
      <c r="M600" s="324"/>
      <c r="N600" s="324" t="e">
        <f aca="false">E600+H600+K600</f>
        <v>#NAME?</v>
      </c>
    </row>
    <row r="601" customFormat="false" ht="15.75" hidden="false" customHeight="true" outlineLevel="0" collapsed="false">
      <c r="A601" s="28" t="s">
        <v>1009</v>
      </c>
      <c r="B601" s="335" t="s">
        <v>3297</v>
      </c>
      <c r="C601" s="323"/>
      <c r="D601" s="323"/>
      <c r="E601" s="324" t="e">
        <f aca="false">общ.калькуляция!h600</f>
        <v>#NAME?</v>
      </c>
      <c r="F601" s="324"/>
      <c r="G601" s="324"/>
      <c r="H601" s="324" t="e">
        <f aca="false">общ.калькуляция!j600</f>
        <v>#NAME?</v>
      </c>
      <c r="I601" s="324"/>
      <c r="J601" s="324"/>
      <c r="K601" s="324" t="e">
        <f aca="false">общ.калькуляция!m600</f>
        <v>#NAME?</v>
      </c>
      <c r="L601" s="324"/>
      <c r="M601" s="324"/>
      <c r="N601" s="324" t="e">
        <f aca="false">E601+H601+K601</f>
        <v>#NAME?</v>
      </c>
    </row>
    <row r="602" customFormat="false" ht="15.75" hidden="false" customHeight="true" outlineLevel="0" collapsed="false">
      <c r="A602" s="28" t="s">
        <v>1011</v>
      </c>
      <c r="B602" s="335" t="s">
        <v>3298</v>
      </c>
      <c r="C602" s="323"/>
      <c r="D602" s="323"/>
      <c r="E602" s="324" t="e">
        <f aca="false">общ.калькуляция!h601</f>
        <v>#NAME?</v>
      </c>
      <c r="F602" s="324"/>
      <c r="G602" s="324"/>
      <c r="H602" s="324" t="e">
        <f aca="false">общ.калькуляция!j601</f>
        <v>#NAME?</v>
      </c>
      <c r="I602" s="324"/>
      <c r="J602" s="324"/>
      <c r="K602" s="324" t="e">
        <f aca="false">общ.калькуляция!m601</f>
        <v>#NAME?</v>
      </c>
      <c r="L602" s="324"/>
      <c r="M602" s="324"/>
      <c r="N602" s="324" t="e">
        <f aca="false">E602+H602+K602</f>
        <v>#NAME?</v>
      </c>
    </row>
    <row r="603" customFormat="false" ht="15.75" hidden="false" customHeight="true" outlineLevel="0" collapsed="false">
      <c r="A603" s="28" t="s">
        <v>1013</v>
      </c>
      <c r="B603" s="335" t="s">
        <v>3299</v>
      </c>
      <c r="C603" s="323"/>
      <c r="D603" s="323"/>
      <c r="E603" s="324" t="e">
        <f aca="false">общ.калькуляция!h602</f>
        <v>#NAME?</v>
      </c>
      <c r="F603" s="324"/>
      <c r="G603" s="324"/>
      <c r="H603" s="324" t="e">
        <f aca="false">общ.калькуляция!j602</f>
        <v>#NAME?</v>
      </c>
      <c r="I603" s="324"/>
      <c r="J603" s="324"/>
      <c r="K603" s="324" t="e">
        <f aca="false">общ.калькуляция!m602</f>
        <v>#NAME?</v>
      </c>
      <c r="L603" s="324"/>
      <c r="M603" s="324"/>
      <c r="N603" s="324" t="e">
        <f aca="false">E603+H603+K603</f>
        <v>#NAME?</v>
      </c>
    </row>
    <row r="604" customFormat="false" ht="15.75" hidden="false" customHeight="true" outlineLevel="0" collapsed="false">
      <c r="A604" s="28" t="s">
        <v>1015</v>
      </c>
      <c r="B604" s="335" t="s">
        <v>3300</v>
      </c>
      <c r="C604" s="323"/>
      <c r="D604" s="323"/>
      <c r="E604" s="324" t="e">
        <f aca="false">общ.калькуляция!h603</f>
        <v>#NAME?</v>
      </c>
      <c r="F604" s="324"/>
      <c r="G604" s="324"/>
      <c r="H604" s="324" t="e">
        <f aca="false">общ.калькуляция!j603</f>
        <v>#NAME?</v>
      </c>
      <c r="I604" s="324"/>
      <c r="J604" s="324"/>
      <c r="K604" s="324" t="e">
        <f aca="false">общ.калькуляция!m603</f>
        <v>#NAME?</v>
      </c>
      <c r="L604" s="324"/>
      <c r="M604" s="324"/>
      <c r="N604" s="324" t="e">
        <f aca="false">E604+H604+K604</f>
        <v>#NAME?</v>
      </c>
    </row>
    <row r="605" customFormat="false" ht="15.75" hidden="false" customHeight="true" outlineLevel="0" collapsed="false">
      <c r="A605" s="28" t="s">
        <v>1017</v>
      </c>
      <c r="B605" s="335" t="s">
        <v>3301</v>
      </c>
      <c r="C605" s="323"/>
      <c r="D605" s="323"/>
      <c r="E605" s="324" t="e">
        <f aca="false">общ.калькуляция!h604</f>
        <v>#NAME?</v>
      </c>
      <c r="F605" s="324"/>
      <c r="G605" s="324"/>
      <c r="H605" s="324" t="e">
        <f aca="false">общ.калькуляция!j604</f>
        <v>#NAME?</v>
      </c>
      <c r="I605" s="324"/>
      <c r="J605" s="324"/>
      <c r="K605" s="324" t="e">
        <f aca="false">общ.калькуляция!m604</f>
        <v>#NAME?</v>
      </c>
      <c r="L605" s="324"/>
      <c r="M605" s="324"/>
      <c r="N605" s="324" t="e">
        <f aca="false">E605+H605+K605</f>
        <v>#NAME?</v>
      </c>
    </row>
    <row r="606" customFormat="false" ht="15.75" hidden="false" customHeight="true" outlineLevel="0" collapsed="false">
      <c r="A606" s="28" t="s">
        <v>1019</v>
      </c>
      <c r="B606" s="335" t="s">
        <v>3302</v>
      </c>
      <c r="C606" s="323"/>
      <c r="D606" s="323"/>
      <c r="E606" s="324" t="e">
        <f aca="false">общ.калькуляция!h605</f>
        <v>#NAME?</v>
      </c>
      <c r="F606" s="324"/>
      <c r="G606" s="324"/>
      <c r="H606" s="324" t="e">
        <f aca="false">общ.калькуляция!j605</f>
        <v>#NAME?</v>
      </c>
      <c r="I606" s="324"/>
      <c r="J606" s="324"/>
      <c r="K606" s="324" t="e">
        <f aca="false">общ.калькуляция!m605</f>
        <v>#NAME?</v>
      </c>
      <c r="L606" s="324"/>
      <c r="M606" s="324"/>
      <c r="N606" s="324" t="e">
        <f aca="false">E606+H606+K606</f>
        <v>#NAME?</v>
      </c>
    </row>
    <row r="607" customFormat="false" ht="15.75" hidden="false" customHeight="true" outlineLevel="0" collapsed="false">
      <c r="A607" s="28" t="s">
        <v>1021</v>
      </c>
      <c r="B607" s="335" t="s">
        <v>3303</v>
      </c>
      <c r="C607" s="323"/>
      <c r="D607" s="323"/>
      <c r="E607" s="324" t="e">
        <f aca="false">общ.калькуляция!h606</f>
        <v>#NAME?</v>
      </c>
      <c r="F607" s="324"/>
      <c r="G607" s="324"/>
      <c r="H607" s="324" t="e">
        <f aca="false">общ.калькуляция!j606</f>
        <v>#NAME?</v>
      </c>
      <c r="I607" s="324"/>
      <c r="J607" s="324"/>
      <c r="K607" s="324" t="e">
        <f aca="false">общ.калькуляция!m606</f>
        <v>#NAME?</v>
      </c>
      <c r="L607" s="324"/>
      <c r="M607" s="324"/>
      <c r="N607" s="324" t="e">
        <f aca="false">E607+H607+K607</f>
        <v>#NAME?</v>
      </c>
    </row>
    <row r="608" customFormat="false" ht="15.75" hidden="false" customHeight="true" outlineLevel="0" collapsed="false">
      <c r="A608" s="28" t="s">
        <v>1023</v>
      </c>
      <c r="B608" s="335" t="s">
        <v>3304</v>
      </c>
      <c r="C608" s="323"/>
      <c r="D608" s="323"/>
      <c r="E608" s="324" t="e">
        <f aca="false">общ.калькуляция!h607</f>
        <v>#NAME?</v>
      </c>
      <c r="F608" s="324"/>
      <c r="G608" s="324"/>
      <c r="H608" s="324" t="e">
        <f aca="false">общ.калькуляция!j607</f>
        <v>#NAME?</v>
      </c>
      <c r="I608" s="324"/>
      <c r="J608" s="324"/>
      <c r="K608" s="324" t="e">
        <f aca="false">общ.калькуляция!m607</f>
        <v>#NAME?</v>
      </c>
      <c r="L608" s="324"/>
      <c r="M608" s="324"/>
      <c r="N608" s="324" t="e">
        <f aca="false">E608+H608+K608</f>
        <v>#NAME?</v>
      </c>
    </row>
    <row r="609" customFormat="false" ht="15.75" hidden="false" customHeight="true" outlineLevel="0" collapsed="false">
      <c r="A609" s="28" t="s">
        <v>1025</v>
      </c>
      <c r="B609" s="335" t="s">
        <v>3305</v>
      </c>
      <c r="C609" s="323"/>
      <c r="D609" s="323"/>
      <c r="E609" s="324" t="e">
        <f aca="false">общ.калькуляция!h608</f>
        <v>#NAME?</v>
      </c>
      <c r="F609" s="324"/>
      <c r="G609" s="324"/>
      <c r="H609" s="324" t="e">
        <f aca="false">общ.калькуляция!j608</f>
        <v>#NAME?</v>
      </c>
      <c r="I609" s="324"/>
      <c r="J609" s="324"/>
      <c r="K609" s="324" t="e">
        <f aca="false">общ.калькуляция!m608</f>
        <v>#NAME?</v>
      </c>
      <c r="L609" s="324"/>
      <c r="M609" s="324"/>
      <c r="N609" s="324" t="e">
        <f aca="false">E609+H609+K609</f>
        <v>#NAME?</v>
      </c>
    </row>
    <row r="610" customFormat="false" ht="57.75" hidden="false" customHeight="true" outlineLevel="0" collapsed="false">
      <c r="A610" s="339" t="s">
        <v>1027</v>
      </c>
      <c r="B610" s="16" t="s">
        <v>3306</v>
      </c>
      <c r="C610" s="16"/>
      <c r="D610" s="16"/>
      <c r="E610" s="16"/>
      <c r="F610" s="16"/>
      <c r="G610" s="16"/>
      <c r="H610" s="16"/>
      <c r="I610" s="16"/>
      <c r="J610" s="16"/>
      <c r="K610" s="16"/>
      <c r="L610" s="16"/>
      <c r="M610" s="16"/>
      <c r="N610" s="16"/>
    </row>
    <row r="611" customFormat="false" ht="15.75" hidden="false" customHeight="true" outlineLevel="0" collapsed="false">
      <c r="A611" s="28" t="s">
        <v>1029</v>
      </c>
      <c r="B611" s="40" t="s">
        <v>3307</v>
      </c>
      <c r="C611" s="323"/>
      <c r="D611" s="323"/>
      <c r="E611" s="324" t="e">
        <f aca="false">общ.калькуляция!h610</f>
        <v>#NAME?</v>
      </c>
      <c r="F611" s="324"/>
      <c r="G611" s="324"/>
      <c r="H611" s="324" t="e">
        <f aca="false">общ.калькуляция!j610</f>
        <v>#NAME?</v>
      </c>
      <c r="I611" s="324"/>
      <c r="J611" s="324"/>
      <c r="K611" s="324" t="e">
        <f aca="false">общ.калькуляция!m610</f>
        <v>#NAME?</v>
      </c>
      <c r="L611" s="324"/>
      <c r="M611" s="324"/>
      <c r="N611" s="324" t="e">
        <f aca="false">E611+H611+K611</f>
        <v>#NAME?</v>
      </c>
    </row>
    <row r="612" customFormat="false" ht="15.75" hidden="false" customHeight="true" outlineLevel="0" collapsed="false">
      <c r="A612" s="28" t="s">
        <v>1031</v>
      </c>
      <c r="B612" s="40" t="s">
        <v>3308</v>
      </c>
      <c r="C612" s="323"/>
      <c r="D612" s="323"/>
      <c r="E612" s="324" t="e">
        <f aca="false">общ.калькуляция!h611</f>
        <v>#NAME?</v>
      </c>
      <c r="F612" s="324"/>
      <c r="G612" s="324"/>
      <c r="H612" s="324" t="e">
        <f aca="false">общ.калькуляция!j611</f>
        <v>#NAME?</v>
      </c>
      <c r="I612" s="324"/>
      <c r="J612" s="324"/>
      <c r="K612" s="324" t="e">
        <f aca="false">общ.калькуляция!m611</f>
        <v>#NAME?</v>
      </c>
      <c r="L612" s="324"/>
      <c r="M612" s="324"/>
      <c r="N612" s="324" t="e">
        <f aca="false">E612+H612+K612</f>
        <v>#NAME?</v>
      </c>
    </row>
    <row r="613" customFormat="false" ht="15.75" hidden="false" customHeight="true" outlineLevel="0" collapsed="false">
      <c r="A613" s="28" t="s">
        <v>1033</v>
      </c>
      <c r="B613" s="40" t="s">
        <v>3309</v>
      </c>
      <c r="C613" s="323"/>
      <c r="D613" s="323"/>
      <c r="E613" s="324" t="e">
        <f aca="false">общ.калькуляция!h612</f>
        <v>#NAME?</v>
      </c>
      <c r="F613" s="324"/>
      <c r="G613" s="324"/>
      <c r="H613" s="324" t="e">
        <f aca="false">общ.калькуляция!j612</f>
        <v>#NAME?</v>
      </c>
      <c r="I613" s="324"/>
      <c r="J613" s="324"/>
      <c r="K613" s="324" t="e">
        <f aca="false">общ.калькуляция!m612</f>
        <v>#NAME?</v>
      </c>
      <c r="L613" s="324"/>
      <c r="M613" s="324"/>
      <c r="N613" s="324" t="e">
        <f aca="false">E613+H613+K613</f>
        <v>#NAME?</v>
      </c>
    </row>
    <row r="614" customFormat="false" ht="15.75" hidden="false" customHeight="true" outlineLevel="0" collapsed="false">
      <c r="A614" s="28" t="s">
        <v>1035</v>
      </c>
      <c r="B614" s="40" t="s">
        <v>3310</v>
      </c>
      <c r="C614" s="323"/>
      <c r="D614" s="323"/>
      <c r="E614" s="324" t="e">
        <f aca="false">общ.калькуляция!h613</f>
        <v>#NAME?</v>
      </c>
      <c r="F614" s="324"/>
      <c r="G614" s="324"/>
      <c r="H614" s="324" t="e">
        <f aca="false">общ.калькуляция!j613</f>
        <v>#NAME?</v>
      </c>
      <c r="I614" s="324"/>
      <c r="J614" s="324"/>
      <c r="K614" s="324" t="e">
        <f aca="false">общ.калькуляция!m613</f>
        <v>#NAME?</v>
      </c>
      <c r="L614" s="324"/>
      <c r="M614" s="324"/>
      <c r="N614" s="324" t="e">
        <f aca="false">E614+H614+K614</f>
        <v>#NAME?</v>
      </c>
    </row>
    <row r="615" customFormat="false" ht="15.75" hidden="false" customHeight="true" outlineLevel="0" collapsed="false">
      <c r="A615" s="28" t="s">
        <v>1037</v>
      </c>
      <c r="B615" s="335" t="s">
        <v>3311</v>
      </c>
      <c r="C615" s="323"/>
      <c r="D615" s="323"/>
      <c r="E615" s="324" t="e">
        <f aca="false">общ.калькуляция!h614</f>
        <v>#NAME?</v>
      </c>
      <c r="F615" s="324"/>
      <c r="G615" s="324"/>
      <c r="H615" s="324" t="e">
        <f aca="false">общ.калькуляция!j614</f>
        <v>#NAME?</v>
      </c>
      <c r="I615" s="324"/>
      <c r="J615" s="324"/>
      <c r="K615" s="324" t="e">
        <f aca="false">общ.калькуляция!m614</f>
        <v>#NAME?</v>
      </c>
      <c r="L615" s="324"/>
      <c r="M615" s="324"/>
      <c r="N615" s="324" t="e">
        <f aca="false">E615+H615+K615</f>
        <v>#NAME?</v>
      </c>
    </row>
    <row r="616" customFormat="false" ht="15.75" hidden="false" customHeight="true" outlineLevel="0" collapsed="false">
      <c r="A616" s="28" t="s">
        <v>1039</v>
      </c>
      <c r="B616" s="40" t="s">
        <v>3312</v>
      </c>
      <c r="C616" s="323"/>
      <c r="D616" s="323"/>
      <c r="E616" s="324" t="e">
        <f aca="false">общ.калькуляция!h615</f>
        <v>#NAME?</v>
      </c>
      <c r="F616" s="324"/>
      <c r="G616" s="324"/>
      <c r="H616" s="324" t="e">
        <f aca="false">общ.калькуляция!j615</f>
        <v>#NAME?</v>
      </c>
      <c r="I616" s="324"/>
      <c r="J616" s="324"/>
      <c r="K616" s="324" t="e">
        <f aca="false">общ.калькуляция!m615</f>
        <v>#NAME?</v>
      </c>
      <c r="L616" s="324"/>
      <c r="M616" s="324"/>
      <c r="N616" s="324" t="e">
        <f aca="false">E616+H616+K616</f>
        <v>#NAME?</v>
      </c>
    </row>
    <row r="617" customFormat="false" ht="15.75" hidden="false" customHeight="true" outlineLevel="0" collapsed="false">
      <c r="A617" s="28" t="s">
        <v>1041</v>
      </c>
      <c r="B617" s="335" t="s">
        <v>3313</v>
      </c>
      <c r="C617" s="323"/>
      <c r="D617" s="323"/>
      <c r="E617" s="324" t="e">
        <f aca="false">общ.калькуляция!h616</f>
        <v>#NAME?</v>
      </c>
      <c r="F617" s="324"/>
      <c r="G617" s="324"/>
      <c r="H617" s="324" t="e">
        <f aca="false">общ.калькуляция!j616</f>
        <v>#NAME?</v>
      </c>
      <c r="I617" s="324"/>
      <c r="J617" s="324"/>
      <c r="K617" s="324" t="e">
        <f aca="false">общ.калькуляция!m616</f>
        <v>#NAME?</v>
      </c>
      <c r="L617" s="324"/>
      <c r="M617" s="324"/>
      <c r="N617" s="324" t="e">
        <f aca="false">E617+H617+K617</f>
        <v>#NAME?</v>
      </c>
    </row>
    <row r="618" customFormat="false" ht="15.75" hidden="false" customHeight="true" outlineLevel="0" collapsed="false">
      <c r="A618" s="28" t="s">
        <v>1043</v>
      </c>
      <c r="B618" s="335" t="s">
        <v>3314</v>
      </c>
      <c r="C618" s="323"/>
      <c r="D618" s="323"/>
      <c r="E618" s="324" t="e">
        <f aca="false">общ.калькуляция!h617</f>
        <v>#NAME?</v>
      </c>
      <c r="F618" s="324"/>
      <c r="G618" s="324"/>
      <c r="H618" s="324" t="e">
        <f aca="false">общ.калькуляция!j617</f>
        <v>#NAME?</v>
      </c>
      <c r="I618" s="324"/>
      <c r="J618" s="324"/>
      <c r="K618" s="324" t="e">
        <f aca="false">общ.калькуляция!m617</f>
        <v>#NAME?</v>
      </c>
      <c r="L618" s="324"/>
      <c r="M618" s="324"/>
      <c r="N618" s="324" t="e">
        <f aca="false">E618+H618+K618</f>
        <v>#NAME?</v>
      </c>
    </row>
    <row r="619" customFormat="false" ht="15.75" hidden="false" customHeight="true" outlineLevel="0" collapsed="false">
      <c r="A619" s="28" t="s">
        <v>1045</v>
      </c>
      <c r="B619" s="335" t="s">
        <v>3315</v>
      </c>
      <c r="C619" s="323"/>
      <c r="D619" s="323"/>
      <c r="E619" s="324" t="e">
        <f aca="false">общ.калькуляция!h618</f>
        <v>#NAME?</v>
      </c>
      <c r="F619" s="324"/>
      <c r="G619" s="324"/>
      <c r="H619" s="324" t="e">
        <f aca="false">общ.калькуляция!j618</f>
        <v>#NAME?</v>
      </c>
      <c r="I619" s="324"/>
      <c r="J619" s="324"/>
      <c r="K619" s="324" t="e">
        <f aca="false">общ.калькуляция!m618</f>
        <v>#NAME?</v>
      </c>
      <c r="L619" s="324"/>
      <c r="M619" s="324"/>
      <c r="N619" s="324" t="e">
        <f aca="false">E619+H619+K619</f>
        <v>#NAME?</v>
      </c>
    </row>
    <row r="620" customFormat="false" ht="30.75" hidden="false" customHeight="true" outlineLevel="0" collapsed="false">
      <c r="A620" s="15" t="s">
        <v>1047</v>
      </c>
      <c r="B620" s="54" t="s">
        <v>3316</v>
      </c>
      <c r="C620" s="321"/>
      <c r="D620" s="321"/>
      <c r="E620" s="329"/>
      <c r="F620" s="329"/>
      <c r="G620" s="329"/>
      <c r="H620" s="329"/>
      <c r="I620" s="329"/>
      <c r="J620" s="329"/>
      <c r="K620" s="329"/>
      <c r="L620" s="329"/>
      <c r="M620" s="329"/>
      <c r="N620" s="329"/>
    </row>
    <row r="621" customFormat="false" ht="15.75" hidden="false" customHeight="true" outlineLevel="0" collapsed="false">
      <c r="A621" s="28" t="s">
        <v>1049</v>
      </c>
      <c r="B621" s="40" t="s">
        <v>3307</v>
      </c>
      <c r="C621" s="323"/>
      <c r="D621" s="323"/>
      <c r="E621" s="324" t="e">
        <f aca="false">общ.калькуляция!h620</f>
        <v>#NAME?</v>
      </c>
      <c r="F621" s="324"/>
      <c r="G621" s="324"/>
      <c r="H621" s="324" t="e">
        <f aca="false">общ.калькуляция!j620</f>
        <v>#NAME?</v>
      </c>
      <c r="I621" s="324"/>
      <c r="J621" s="324"/>
      <c r="K621" s="324" t="e">
        <f aca="false">общ.калькуляция!m620</f>
        <v>#NAME?</v>
      </c>
      <c r="L621" s="324"/>
      <c r="M621" s="324"/>
      <c r="N621" s="324" t="e">
        <f aca="false">E621+H621+K621</f>
        <v>#NAME?</v>
      </c>
    </row>
    <row r="622" customFormat="false" ht="15.75" hidden="false" customHeight="true" outlineLevel="0" collapsed="false">
      <c r="A622" s="28" t="s">
        <v>1050</v>
      </c>
      <c r="B622" s="40" t="s">
        <v>3310</v>
      </c>
      <c r="C622" s="323"/>
      <c r="D622" s="323"/>
      <c r="E622" s="324" t="e">
        <f aca="false">общ.калькуляция!h621</f>
        <v>#NAME?</v>
      </c>
      <c r="F622" s="324"/>
      <c r="G622" s="324"/>
      <c r="H622" s="324" t="e">
        <f aca="false">общ.калькуляция!j621</f>
        <v>#NAME?</v>
      </c>
      <c r="I622" s="324"/>
      <c r="J622" s="324"/>
      <c r="K622" s="324" t="e">
        <f aca="false">общ.калькуляция!m621</f>
        <v>#NAME?</v>
      </c>
      <c r="L622" s="324"/>
      <c r="M622" s="324"/>
      <c r="N622" s="324" t="e">
        <f aca="false">E622+H622+K622</f>
        <v>#NAME?</v>
      </c>
    </row>
    <row r="623" customFormat="false" ht="15.75" hidden="false" customHeight="true" outlineLevel="0" collapsed="false">
      <c r="A623" s="28" t="s">
        <v>1052</v>
      </c>
      <c r="B623" s="40" t="s">
        <v>3317</v>
      </c>
      <c r="C623" s="323"/>
      <c r="D623" s="316"/>
      <c r="E623" s="324" t="e">
        <f aca="false">общ.калькуляция!h622</f>
        <v>#NAME?</v>
      </c>
      <c r="F623" s="324"/>
      <c r="G623" s="324"/>
      <c r="H623" s="324" t="e">
        <f aca="false">общ.калькуляция!j622</f>
        <v>#NAME?</v>
      </c>
      <c r="I623" s="324"/>
      <c r="J623" s="324"/>
      <c r="K623" s="324" t="e">
        <f aca="false">общ.калькуляция!m622</f>
        <v>#NAME?</v>
      </c>
      <c r="L623" s="324"/>
      <c r="M623" s="324"/>
      <c r="N623" s="324" t="e">
        <f aca="false">E623+H623+K623</f>
        <v>#NAME?</v>
      </c>
    </row>
    <row r="624" customFormat="false" ht="15.75" hidden="false" customHeight="true" outlineLevel="0" collapsed="false">
      <c r="A624" s="15" t="s">
        <v>1054</v>
      </c>
      <c r="B624" s="16" t="s">
        <v>3318</v>
      </c>
      <c r="C624" s="321"/>
      <c r="D624" s="321"/>
      <c r="E624" s="329"/>
      <c r="F624" s="329"/>
      <c r="G624" s="329"/>
      <c r="H624" s="329"/>
      <c r="I624" s="329"/>
      <c r="J624" s="329"/>
      <c r="K624" s="329"/>
      <c r="L624" s="329"/>
      <c r="M624" s="329"/>
      <c r="N624" s="329"/>
    </row>
    <row r="625" customFormat="false" ht="15.75" hidden="false" customHeight="true" outlineLevel="0" collapsed="false">
      <c r="A625" s="28" t="s">
        <v>1056</v>
      </c>
      <c r="B625" s="40" t="s">
        <v>3307</v>
      </c>
      <c r="C625" s="323"/>
      <c r="D625" s="323"/>
      <c r="E625" s="324" t="e">
        <f aca="false">общ.калькуляция!h624</f>
        <v>#NAME?</v>
      </c>
      <c r="F625" s="324"/>
      <c r="G625" s="324"/>
      <c r="H625" s="324" t="e">
        <f aca="false">общ.калькуляция!j624</f>
        <v>#NAME?</v>
      </c>
      <c r="I625" s="324"/>
      <c r="J625" s="324"/>
      <c r="K625" s="324" t="e">
        <f aca="false">общ.калькуляция!m624</f>
        <v>#NAME?</v>
      </c>
      <c r="L625" s="324"/>
      <c r="M625" s="324"/>
      <c r="N625" s="324" t="e">
        <f aca="false">E625+H625+K625</f>
        <v>#NAME?</v>
      </c>
    </row>
    <row r="626" customFormat="false" ht="15.75" hidden="false" customHeight="true" outlineLevel="0" collapsed="false">
      <c r="A626" s="28" t="s">
        <v>1057</v>
      </c>
      <c r="B626" s="40" t="s">
        <v>3309</v>
      </c>
      <c r="C626" s="323"/>
      <c r="D626" s="323"/>
      <c r="E626" s="324" t="e">
        <f aca="false">общ.калькуляция!h625</f>
        <v>#NAME?</v>
      </c>
      <c r="F626" s="324"/>
      <c r="G626" s="324"/>
      <c r="H626" s="324" t="e">
        <f aca="false">общ.калькуляция!j625</f>
        <v>#NAME?</v>
      </c>
      <c r="I626" s="324"/>
      <c r="J626" s="324"/>
      <c r="K626" s="324" t="e">
        <f aca="false">общ.калькуляция!m625</f>
        <v>#NAME?</v>
      </c>
      <c r="L626" s="324"/>
      <c r="M626" s="324"/>
      <c r="N626" s="324" t="e">
        <f aca="false">E626+H626+K626</f>
        <v>#NAME?</v>
      </c>
    </row>
    <row r="627" customFormat="false" ht="15.75" hidden="false" customHeight="true" outlineLevel="0" collapsed="false">
      <c r="A627" s="28" t="s">
        <v>1058</v>
      </c>
      <c r="B627" s="40" t="s">
        <v>3319</v>
      </c>
      <c r="C627" s="323"/>
      <c r="D627" s="323"/>
      <c r="E627" s="324" t="e">
        <f aca="false">общ.калькуляция!h626</f>
        <v>#NAME?</v>
      </c>
      <c r="F627" s="324"/>
      <c r="G627" s="324"/>
      <c r="H627" s="324" t="e">
        <f aca="false">общ.калькуляция!j626</f>
        <v>#NAME?</v>
      </c>
      <c r="I627" s="324"/>
      <c r="J627" s="324"/>
      <c r="K627" s="324" t="e">
        <f aca="false">общ.калькуляция!m626</f>
        <v>#NAME?</v>
      </c>
      <c r="L627" s="324"/>
      <c r="M627" s="324"/>
      <c r="N627" s="324" t="e">
        <f aca="false">E627+H627+K627</f>
        <v>#NAME?</v>
      </c>
    </row>
    <row r="628" customFormat="false" ht="15.75" hidden="false" customHeight="true" outlineLevel="0" collapsed="false">
      <c r="A628" s="15" t="s">
        <v>1060</v>
      </c>
      <c r="B628" s="16" t="s">
        <v>3320</v>
      </c>
      <c r="C628" s="321"/>
      <c r="D628" s="321"/>
      <c r="E628" s="329"/>
      <c r="F628" s="329"/>
      <c r="G628" s="329"/>
      <c r="H628" s="329"/>
      <c r="I628" s="329"/>
      <c r="J628" s="329"/>
      <c r="K628" s="329"/>
      <c r="L628" s="329"/>
      <c r="M628" s="329"/>
      <c r="N628" s="329"/>
    </row>
    <row r="629" customFormat="false" ht="15.75" hidden="false" customHeight="true" outlineLevel="0" collapsed="false">
      <c r="A629" s="28" t="s">
        <v>1062</v>
      </c>
      <c r="B629" s="40" t="s">
        <v>3307</v>
      </c>
      <c r="C629" s="323"/>
      <c r="D629" s="323"/>
      <c r="E629" s="324" t="e">
        <f aca="false">общ.калькуляция!h628</f>
        <v>#NAME?</v>
      </c>
      <c r="F629" s="324"/>
      <c r="G629" s="324"/>
      <c r="H629" s="324" t="e">
        <f aca="false">общ.калькуляция!j628</f>
        <v>#NAME?</v>
      </c>
      <c r="I629" s="324"/>
      <c r="J629" s="324"/>
      <c r="K629" s="324" t="e">
        <f aca="false">общ.калькуляция!m628</f>
        <v>#NAME?</v>
      </c>
      <c r="L629" s="324"/>
      <c r="M629" s="324"/>
      <c r="N629" s="324" t="e">
        <f aca="false">E629+H629+K629</f>
        <v>#NAME?</v>
      </c>
    </row>
    <row r="630" customFormat="false" ht="15.75" hidden="false" customHeight="true" outlineLevel="0" collapsed="false">
      <c r="A630" s="28" t="s">
        <v>1064</v>
      </c>
      <c r="B630" s="40" t="s">
        <v>3308</v>
      </c>
      <c r="C630" s="323"/>
      <c r="D630" s="323"/>
      <c r="E630" s="324" t="e">
        <f aca="false">общ.калькуляция!h629</f>
        <v>#NAME?</v>
      </c>
      <c r="F630" s="324"/>
      <c r="G630" s="324"/>
      <c r="H630" s="324" t="e">
        <f aca="false">общ.калькуляция!j629</f>
        <v>#NAME?</v>
      </c>
      <c r="I630" s="324"/>
      <c r="J630" s="324"/>
      <c r="K630" s="324" t="e">
        <f aca="false">общ.калькуляция!m629</f>
        <v>#NAME?</v>
      </c>
      <c r="L630" s="324"/>
      <c r="M630" s="324"/>
      <c r="N630" s="324" t="e">
        <f aca="false">E630+H630+K630</f>
        <v>#NAME?</v>
      </c>
    </row>
    <row r="631" customFormat="false" ht="15.75" hidden="false" customHeight="true" outlineLevel="0" collapsed="false">
      <c r="A631" s="15" t="s">
        <v>1066</v>
      </c>
      <c r="B631" s="16" t="s">
        <v>3083</v>
      </c>
      <c r="C631" s="321"/>
      <c r="D631" s="321"/>
      <c r="E631" s="329"/>
      <c r="F631" s="329"/>
      <c r="G631" s="329"/>
      <c r="H631" s="329"/>
      <c r="I631" s="329"/>
      <c r="J631" s="329"/>
      <c r="K631" s="329"/>
      <c r="L631" s="329"/>
      <c r="M631" s="329"/>
      <c r="N631" s="329"/>
    </row>
    <row r="632" customFormat="false" ht="15.75" hidden="false" customHeight="true" outlineLevel="0" collapsed="false">
      <c r="A632" s="28" t="s">
        <v>1068</v>
      </c>
      <c r="B632" s="40" t="s">
        <v>3307</v>
      </c>
      <c r="C632" s="323"/>
      <c r="D632" s="323"/>
      <c r="E632" s="324" t="e">
        <f aca="false">общ.калькуляция!h631</f>
        <v>#NAME?</v>
      </c>
      <c r="F632" s="324"/>
      <c r="G632" s="324"/>
      <c r="H632" s="324" t="e">
        <f aca="false">общ.калькуляция!j631</f>
        <v>#NAME?</v>
      </c>
      <c r="I632" s="324"/>
      <c r="J632" s="324"/>
      <c r="K632" s="324" t="e">
        <f aca="false">общ.калькуляция!m631</f>
        <v>#NAME?</v>
      </c>
      <c r="L632" s="324"/>
      <c r="M632" s="324"/>
      <c r="N632" s="324" t="e">
        <f aca="false">E632+H632+K632</f>
        <v>#NAME?</v>
      </c>
    </row>
    <row r="633" customFormat="false" ht="15.75" hidden="false" customHeight="true" outlineLevel="0" collapsed="false">
      <c r="A633" s="28" t="s">
        <v>1069</v>
      </c>
      <c r="B633" s="40" t="s">
        <v>3321</v>
      </c>
      <c r="C633" s="323"/>
      <c r="D633" s="323"/>
      <c r="E633" s="324" t="e">
        <f aca="false">общ.калькуляция!h632</f>
        <v>#NAME?</v>
      </c>
      <c r="F633" s="324"/>
      <c r="G633" s="324"/>
      <c r="H633" s="324" t="e">
        <f aca="false">общ.калькуляция!j632</f>
        <v>#NAME?</v>
      </c>
      <c r="I633" s="324"/>
      <c r="J633" s="324"/>
      <c r="K633" s="324" t="e">
        <f aca="false">общ.калькуляция!m632</f>
        <v>#NAME?</v>
      </c>
      <c r="L633" s="324"/>
      <c r="M633" s="324"/>
      <c r="N633" s="324" t="e">
        <f aca="false">E633+H633+K633</f>
        <v>#NAME?</v>
      </c>
    </row>
    <row r="634" customFormat="false" ht="15.75" hidden="false" customHeight="true" outlineLevel="0" collapsed="false">
      <c r="A634" s="28" t="s">
        <v>1070</v>
      </c>
      <c r="B634" s="40" t="s">
        <v>3310</v>
      </c>
      <c r="C634" s="323"/>
      <c r="D634" s="323"/>
      <c r="E634" s="324" t="e">
        <f aca="false">общ.калькуляция!h633</f>
        <v>#NAME?</v>
      </c>
      <c r="F634" s="324"/>
      <c r="G634" s="324"/>
      <c r="H634" s="324" t="e">
        <f aca="false">общ.калькуляция!j633</f>
        <v>#NAME?</v>
      </c>
      <c r="I634" s="324"/>
      <c r="J634" s="324"/>
      <c r="K634" s="324" t="e">
        <f aca="false">общ.калькуляция!m633</f>
        <v>#NAME?</v>
      </c>
      <c r="L634" s="324"/>
      <c r="M634" s="324"/>
      <c r="N634" s="324" t="e">
        <f aca="false">E634+H634+K634</f>
        <v>#NAME?</v>
      </c>
    </row>
    <row r="635" customFormat="false" ht="15.75" hidden="false" customHeight="true" outlineLevel="0" collapsed="false">
      <c r="A635" s="15" t="s">
        <v>1071</v>
      </c>
      <c r="B635" s="16" t="s">
        <v>3322</v>
      </c>
      <c r="C635" s="321"/>
      <c r="D635" s="321"/>
      <c r="E635" s="329"/>
      <c r="F635" s="329"/>
      <c r="G635" s="329"/>
      <c r="H635" s="329"/>
      <c r="I635" s="329"/>
      <c r="J635" s="329"/>
      <c r="K635" s="329"/>
      <c r="L635" s="329"/>
      <c r="M635" s="329"/>
      <c r="N635" s="329"/>
    </row>
    <row r="636" customFormat="false" ht="15.75" hidden="false" customHeight="true" outlineLevel="0" collapsed="false">
      <c r="A636" s="28" t="s">
        <v>1073</v>
      </c>
      <c r="B636" s="335" t="s">
        <v>3323</v>
      </c>
      <c r="C636" s="323"/>
      <c r="D636" s="323"/>
      <c r="E636" s="324" t="e">
        <f aca="false">общ.калькуляция!h635</f>
        <v>#NAME?</v>
      </c>
      <c r="F636" s="324"/>
      <c r="G636" s="324"/>
      <c r="H636" s="324" t="e">
        <f aca="false">общ.калькуляция!j635</f>
        <v>#NAME?</v>
      </c>
      <c r="I636" s="324"/>
      <c r="J636" s="324"/>
      <c r="K636" s="324" t="e">
        <f aca="false">общ.калькуляция!m635</f>
        <v>#NAME?</v>
      </c>
      <c r="L636" s="324"/>
      <c r="M636" s="324"/>
      <c r="N636" s="324" t="e">
        <f aca="false">E636+H636+K636</f>
        <v>#NAME?</v>
      </c>
    </row>
    <row r="637" customFormat="false" ht="15.75" hidden="false" customHeight="true" outlineLevel="0" collapsed="false">
      <c r="A637" s="28" t="s">
        <v>1074</v>
      </c>
      <c r="B637" s="335" t="s">
        <v>3324</v>
      </c>
      <c r="C637" s="323"/>
      <c r="D637" s="323"/>
      <c r="E637" s="324" t="e">
        <f aca="false">общ.калькуляция!h636</f>
        <v>#NAME?</v>
      </c>
      <c r="F637" s="324"/>
      <c r="G637" s="324"/>
      <c r="H637" s="324" t="e">
        <f aca="false">общ.калькуляция!j636</f>
        <v>#NAME?</v>
      </c>
      <c r="I637" s="324"/>
      <c r="J637" s="324"/>
      <c r="K637" s="324" t="e">
        <f aca="false">общ.калькуляция!m636</f>
        <v>#NAME?</v>
      </c>
      <c r="L637" s="324"/>
      <c r="M637" s="324"/>
      <c r="N637" s="324" t="e">
        <f aca="false">E637+H637+K637</f>
        <v>#NAME?</v>
      </c>
    </row>
    <row r="638" customFormat="false" ht="15.75" hidden="false" customHeight="true" outlineLevel="0" collapsed="false">
      <c r="A638" s="28" t="s">
        <v>1076</v>
      </c>
      <c r="B638" s="335" t="s">
        <v>3310</v>
      </c>
      <c r="C638" s="323"/>
      <c r="D638" s="323"/>
      <c r="E638" s="324" t="e">
        <f aca="false">общ.калькуляция!h637</f>
        <v>#NAME?</v>
      </c>
      <c r="F638" s="324"/>
      <c r="G638" s="324"/>
      <c r="H638" s="324" t="e">
        <f aca="false">общ.калькуляция!j637</f>
        <v>#NAME?</v>
      </c>
      <c r="I638" s="324"/>
      <c r="J638" s="324"/>
      <c r="K638" s="324" t="e">
        <f aca="false">общ.калькуляция!m637</f>
        <v>#NAME?</v>
      </c>
      <c r="L638" s="324"/>
      <c r="M638" s="324"/>
      <c r="N638" s="324" t="e">
        <f aca="false">E638+H638+K638</f>
        <v>#NAME?</v>
      </c>
    </row>
    <row r="639" customFormat="false" ht="15.75" hidden="false" customHeight="true" outlineLevel="0" collapsed="false">
      <c r="A639" s="28" t="s">
        <v>1077</v>
      </c>
      <c r="B639" s="335" t="s">
        <v>3325</v>
      </c>
      <c r="C639" s="323"/>
      <c r="D639" s="323"/>
      <c r="E639" s="324" t="e">
        <f aca="false">общ.калькуляция!h638</f>
        <v>#NAME?</v>
      </c>
      <c r="F639" s="324"/>
      <c r="G639" s="324"/>
      <c r="H639" s="324" t="e">
        <f aca="false">общ.калькуляция!j638</f>
        <v>#NAME?</v>
      </c>
      <c r="I639" s="324"/>
      <c r="J639" s="324"/>
      <c r="K639" s="324" t="e">
        <f aca="false">общ.калькуляция!m638</f>
        <v>#NAME?</v>
      </c>
      <c r="L639" s="324"/>
      <c r="M639" s="324"/>
      <c r="N639" s="324" t="e">
        <f aca="false">E639+H639+K639</f>
        <v>#NAME?</v>
      </c>
    </row>
    <row r="640" customFormat="false" ht="15.75" hidden="false" customHeight="true" outlineLevel="0" collapsed="false">
      <c r="A640" s="28" t="s">
        <v>1079</v>
      </c>
      <c r="B640" s="335" t="s">
        <v>3314</v>
      </c>
      <c r="C640" s="323"/>
      <c r="D640" s="323"/>
      <c r="E640" s="324" t="e">
        <f aca="false">общ.калькуляция!h639</f>
        <v>#NAME?</v>
      </c>
      <c r="F640" s="324"/>
      <c r="G640" s="324"/>
      <c r="H640" s="324" t="e">
        <f aca="false">общ.калькуляция!j639</f>
        <v>#NAME?</v>
      </c>
      <c r="I640" s="324"/>
      <c r="J640" s="324"/>
      <c r="K640" s="324" t="e">
        <f aca="false">общ.калькуляция!m639</f>
        <v>#NAME?</v>
      </c>
      <c r="L640" s="324"/>
      <c r="M640" s="324"/>
      <c r="N640" s="324" t="e">
        <f aca="false">E640+H640+K640</f>
        <v>#NAME?</v>
      </c>
    </row>
    <row r="641" customFormat="false" ht="15.75" hidden="false" customHeight="true" outlineLevel="0" collapsed="false">
      <c r="A641" s="28" t="s">
        <v>1080</v>
      </c>
      <c r="B641" s="335" t="s">
        <v>3312</v>
      </c>
      <c r="C641" s="323"/>
      <c r="D641" s="323"/>
      <c r="E641" s="324" t="e">
        <f aca="false">общ.калькуляция!h640</f>
        <v>#NAME?</v>
      </c>
      <c r="F641" s="324"/>
      <c r="G641" s="324"/>
      <c r="H641" s="324" t="e">
        <f aca="false">общ.калькуляция!j640</f>
        <v>#NAME?</v>
      </c>
      <c r="I641" s="324"/>
      <c r="J641" s="324"/>
      <c r="K641" s="324" t="e">
        <f aca="false">общ.калькуляция!m640</f>
        <v>#NAME?</v>
      </c>
      <c r="L641" s="324"/>
      <c r="M641" s="324"/>
      <c r="N641" s="324" t="e">
        <f aca="false">E641+H641+K641</f>
        <v>#NAME?</v>
      </c>
    </row>
    <row r="642" customFormat="false" ht="15.75" hidden="false" customHeight="true" outlineLevel="0" collapsed="false">
      <c r="A642" s="28" t="s">
        <v>1081</v>
      </c>
      <c r="B642" s="335" t="s">
        <v>3309</v>
      </c>
      <c r="C642" s="323"/>
      <c r="D642" s="323"/>
      <c r="E642" s="324" t="e">
        <f aca="false">общ.калькуляция!h641</f>
        <v>#NAME?</v>
      </c>
      <c r="F642" s="324"/>
      <c r="G642" s="324"/>
      <c r="H642" s="324" t="e">
        <f aca="false">общ.калькуляция!j641</f>
        <v>#NAME?</v>
      </c>
      <c r="I642" s="324"/>
      <c r="J642" s="324"/>
      <c r="K642" s="324" t="e">
        <f aca="false">общ.калькуляция!m641</f>
        <v>#NAME?</v>
      </c>
      <c r="L642" s="324"/>
      <c r="M642" s="324"/>
      <c r="N642" s="324" t="e">
        <f aca="false">E642+H642+K642</f>
        <v>#NAME?</v>
      </c>
    </row>
    <row r="643" customFormat="false" ht="15.75" hidden="false" customHeight="true" outlineLevel="0" collapsed="false">
      <c r="A643" s="28" t="s">
        <v>1082</v>
      </c>
      <c r="B643" s="335" t="s">
        <v>3315</v>
      </c>
      <c r="C643" s="323"/>
      <c r="D643" s="323"/>
      <c r="E643" s="324" t="e">
        <f aca="false">общ.калькуляция!h642</f>
        <v>#NAME?</v>
      </c>
      <c r="F643" s="324"/>
      <c r="G643" s="324"/>
      <c r="H643" s="324" t="e">
        <f aca="false">общ.калькуляция!j642</f>
        <v>#NAME?</v>
      </c>
      <c r="I643" s="324"/>
      <c r="J643" s="324"/>
      <c r="K643" s="324" t="e">
        <f aca="false">общ.калькуляция!m642</f>
        <v>#NAME?</v>
      </c>
      <c r="L643" s="324"/>
      <c r="M643" s="324"/>
      <c r="N643" s="324" t="e">
        <f aca="false">E643+H643+K643</f>
        <v>#NAME?</v>
      </c>
    </row>
    <row r="644" customFormat="false" ht="15.75" hidden="false" customHeight="true" outlineLevel="0" collapsed="false">
      <c r="A644" s="28" t="s">
        <v>1084</v>
      </c>
      <c r="B644" s="335" t="s">
        <v>3311</v>
      </c>
      <c r="C644" s="323"/>
      <c r="D644" s="323"/>
      <c r="E644" s="324" t="e">
        <f aca="false">общ.калькуляция!h643</f>
        <v>#NAME?</v>
      </c>
      <c r="F644" s="324"/>
      <c r="G644" s="324"/>
      <c r="H644" s="324" t="e">
        <f aca="false">общ.калькуляция!j643</f>
        <v>#NAME?</v>
      </c>
      <c r="I644" s="324"/>
      <c r="J644" s="324"/>
      <c r="K644" s="324" t="e">
        <f aca="false">общ.калькуляция!m643</f>
        <v>#NAME?</v>
      </c>
      <c r="L644" s="324"/>
      <c r="M644" s="324"/>
      <c r="N644" s="324" t="e">
        <f aca="false">E644+H644+K644</f>
        <v>#NAME?</v>
      </c>
    </row>
    <row r="645" customFormat="false" ht="15.75" hidden="false" customHeight="true" outlineLevel="0" collapsed="false">
      <c r="A645" s="28" t="s">
        <v>1085</v>
      </c>
      <c r="B645" s="335" t="s">
        <v>3313</v>
      </c>
      <c r="C645" s="323"/>
      <c r="D645" s="323"/>
      <c r="E645" s="324" t="e">
        <f aca="false">общ.калькуляция!h644</f>
        <v>#NAME?</v>
      </c>
      <c r="F645" s="324"/>
      <c r="G645" s="324"/>
      <c r="H645" s="324" t="e">
        <f aca="false">общ.калькуляция!j644</f>
        <v>#NAME?</v>
      </c>
      <c r="I645" s="324"/>
      <c r="J645" s="324"/>
      <c r="K645" s="324" t="e">
        <f aca="false">общ.калькуляция!m644</f>
        <v>#NAME?</v>
      </c>
      <c r="L645" s="324"/>
      <c r="M645" s="324"/>
      <c r="N645" s="324" t="e">
        <f aca="false">E645+H645+K645</f>
        <v>#NAME?</v>
      </c>
    </row>
    <row r="646" customFormat="false" ht="15.75" hidden="false" customHeight="true" outlineLevel="0" collapsed="false">
      <c r="A646" s="28" t="s">
        <v>1087</v>
      </c>
      <c r="B646" s="335" t="s">
        <v>3308</v>
      </c>
      <c r="C646" s="323"/>
      <c r="D646" s="323"/>
      <c r="E646" s="324" t="e">
        <f aca="false">общ.калькуляция!h645</f>
        <v>#NAME?</v>
      </c>
      <c r="F646" s="324"/>
      <c r="G646" s="324"/>
      <c r="H646" s="324" t="e">
        <f aca="false">общ.калькуляция!j645</f>
        <v>#NAME?</v>
      </c>
      <c r="I646" s="324"/>
      <c r="J646" s="324"/>
      <c r="K646" s="324" t="e">
        <f aca="false">общ.калькуляция!m645</f>
        <v>#NAME?</v>
      </c>
      <c r="L646" s="324"/>
      <c r="M646" s="324"/>
      <c r="N646" s="324" t="e">
        <f aca="false">E646+H646+K646</f>
        <v>#NAME?</v>
      </c>
    </row>
    <row r="647" customFormat="false" ht="15.75" hidden="false" customHeight="true" outlineLevel="0" collapsed="false">
      <c r="A647" s="15" t="s">
        <v>1088</v>
      </c>
      <c r="B647" s="16" t="s">
        <v>3326</v>
      </c>
      <c r="C647" s="321"/>
      <c r="D647" s="321"/>
      <c r="E647" s="329"/>
      <c r="F647" s="329"/>
      <c r="G647" s="329"/>
      <c r="H647" s="329"/>
      <c r="I647" s="329"/>
      <c r="J647" s="329"/>
      <c r="K647" s="329"/>
      <c r="L647" s="329"/>
      <c r="M647" s="329"/>
      <c r="N647" s="329"/>
    </row>
    <row r="648" customFormat="false" ht="15.75" hidden="false" customHeight="true" outlineLevel="0" collapsed="false">
      <c r="A648" s="28" t="s">
        <v>1090</v>
      </c>
      <c r="B648" s="40" t="s">
        <v>3307</v>
      </c>
      <c r="C648" s="323"/>
      <c r="D648" s="323"/>
      <c r="E648" s="324" t="e">
        <f aca="false">общ.калькуляция!h647</f>
        <v>#NAME?</v>
      </c>
      <c r="F648" s="324"/>
      <c r="G648" s="324"/>
      <c r="H648" s="324" t="e">
        <f aca="false">общ.калькуляция!j647</f>
        <v>#NAME?</v>
      </c>
      <c r="I648" s="324"/>
      <c r="J648" s="324"/>
      <c r="K648" s="324" t="e">
        <f aca="false">общ.калькуляция!m647</f>
        <v>#NAME?</v>
      </c>
      <c r="L648" s="324"/>
      <c r="M648" s="324"/>
      <c r="N648" s="324" t="e">
        <f aca="false">E648+H648+K648</f>
        <v>#NAME?</v>
      </c>
    </row>
    <row r="649" customFormat="false" ht="15.75" hidden="false" customHeight="true" outlineLevel="0" collapsed="false">
      <c r="A649" s="15" t="s">
        <v>1091</v>
      </c>
      <c r="B649" s="54" t="s">
        <v>3327</v>
      </c>
      <c r="C649" s="321"/>
      <c r="D649" s="321"/>
      <c r="E649" s="329"/>
      <c r="F649" s="329"/>
      <c r="G649" s="329"/>
      <c r="H649" s="329"/>
      <c r="I649" s="329"/>
      <c r="J649" s="329"/>
      <c r="K649" s="329"/>
      <c r="L649" s="329"/>
      <c r="M649" s="329"/>
      <c r="N649" s="329"/>
    </row>
    <row r="650" customFormat="false" ht="15.75" hidden="false" customHeight="true" outlineLevel="0" collapsed="false">
      <c r="A650" s="28" t="s">
        <v>1093</v>
      </c>
      <c r="B650" s="40" t="s">
        <v>3307</v>
      </c>
      <c r="C650" s="323"/>
      <c r="D650" s="323"/>
      <c r="E650" s="324" t="e">
        <f aca="false">общ.калькуляция!h649</f>
        <v>#NAME?</v>
      </c>
      <c r="F650" s="324"/>
      <c r="G650" s="324"/>
      <c r="H650" s="324" t="e">
        <f aca="false">общ.калькуляция!j649</f>
        <v>#NAME?</v>
      </c>
      <c r="I650" s="324"/>
      <c r="J650" s="324"/>
      <c r="K650" s="324" t="e">
        <f aca="false">общ.калькуляция!m649</f>
        <v>#NAME?</v>
      </c>
      <c r="L650" s="324"/>
      <c r="M650" s="324"/>
      <c r="N650" s="324" t="e">
        <f aca="false">E650+H650+K650</f>
        <v>#NAME?</v>
      </c>
    </row>
    <row r="651" customFormat="false" ht="15.75" hidden="false" customHeight="true" outlineLevel="0" collapsed="false">
      <c r="A651" s="15" t="s">
        <v>1094</v>
      </c>
      <c r="B651" s="16" t="s">
        <v>3328</v>
      </c>
      <c r="C651" s="321"/>
      <c r="D651" s="321"/>
      <c r="E651" s="329"/>
      <c r="F651" s="329"/>
      <c r="G651" s="329"/>
      <c r="H651" s="329"/>
      <c r="I651" s="329"/>
      <c r="J651" s="329"/>
      <c r="K651" s="329"/>
      <c r="L651" s="329"/>
      <c r="M651" s="329"/>
      <c r="N651" s="329"/>
    </row>
    <row r="652" customFormat="false" ht="15.75" hidden="false" customHeight="true" outlineLevel="0" collapsed="false">
      <c r="A652" s="28" t="s">
        <v>1096</v>
      </c>
      <c r="B652" s="335" t="s">
        <v>3329</v>
      </c>
      <c r="C652" s="323"/>
      <c r="D652" s="323"/>
      <c r="E652" s="324" t="e">
        <f aca="false">общ.калькуляция!h651</f>
        <v>#NAME?</v>
      </c>
      <c r="F652" s="324"/>
      <c r="G652" s="324"/>
      <c r="H652" s="324" t="e">
        <f aca="false">общ.калькуляция!j651</f>
        <v>#NAME?</v>
      </c>
      <c r="I652" s="324"/>
      <c r="J652" s="324"/>
      <c r="K652" s="324" t="e">
        <f aca="false">общ.калькуляция!m651</f>
        <v>#NAME?</v>
      </c>
      <c r="L652" s="324"/>
      <c r="M652" s="324"/>
      <c r="N652" s="324" t="e">
        <f aca="false">E652+H652+K652</f>
        <v>#NAME?</v>
      </c>
    </row>
    <row r="653" customFormat="false" ht="15.75" hidden="false" customHeight="true" outlineLevel="0" collapsed="false">
      <c r="A653" s="28" t="s">
        <v>1098</v>
      </c>
      <c r="B653" s="335" t="s">
        <v>3307</v>
      </c>
      <c r="C653" s="323"/>
      <c r="D653" s="323"/>
      <c r="E653" s="324" t="e">
        <f aca="false">общ.калькуляция!h652</f>
        <v>#NAME?</v>
      </c>
      <c r="F653" s="324"/>
      <c r="G653" s="324"/>
      <c r="H653" s="324" t="e">
        <f aca="false">общ.калькуляция!j652</f>
        <v>#NAME?</v>
      </c>
      <c r="I653" s="324"/>
      <c r="J653" s="324"/>
      <c r="K653" s="324" t="e">
        <f aca="false">общ.калькуляция!m652</f>
        <v>#NAME?</v>
      </c>
      <c r="L653" s="324"/>
      <c r="M653" s="324"/>
      <c r="N653" s="324" t="e">
        <f aca="false">E653+H653+K653</f>
        <v>#NAME?</v>
      </c>
    </row>
    <row r="654" customFormat="false" ht="15.75" hidden="false" customHeight="true" outlineLevel="0" collapsed="false">
      <c r="A654" s="28" t="s">
        <v>1099</v>
      </c>
      <c r="B654" s="335" t="s">
        <v>3324</v>
      </c>
      <c r="C654" s="323"/>
      <c r="D654" s="323"/>
      <c r="E654" s="324" t="e">
        <f aca="false">общ.калькуляция!h653</f>
        <v>#NAME?</v>
      </c>
      <c r="F654" s="324"/>
      <c r="G654" s="324"/>
      <c r="H654" s="324" t="e">
        <f aca="false">общ.калькуляция!j653</f>
        <v>#NAME?</v>
      </c>
      <c r="I654" s="324"/>
      <c r="J654" s="324"/>
      <c r="K654" s="324" t="e">
        <f aca="false">общ.калькуляция!m653</f>
        <v>#NAME?</v>
      </c>
      <c r="L654" s="324"/>
      <c r="M654" s="324"/>
      <c r="N654" s="324" t="e">
        <f aca="false">E654+H654+K654</f>
        <v>#NAME?</v>
      </c>
    </row>
    <row r="655" customFormat="false" ht="15.75" hidden="false" customHeight="true" outlineLevel="0" collapsed="false">
      <c r="A655" s="28" t="s">
        <v>1100</v>
      </c>
      <c r="B655" s="335" t="s">
        <v>3310</v>
      </c>
      <c r="C655" s="323"/>
      <c r="D655" s="323"/>
      <c r="E655" s="324" t="e">
        <f aca="false">общ.калькуляция!h654</f>
        <v>#NAME?</v>
      </c>
      <c r="F655" s="324"/>
      <c r="G655" s="324"/>
      <c r="H655" s="324" t="e">
        <f aca="false">общ.калькуляция!j654</f>
        <v>#NAME?</v>
      </c>
      <c r="I655" s="324"/>
      <c r="J655" s="324"/>
      <c r="K655" s="324" t="e">
        <f aca="false">общ.калькуляция!m654</f>
        <v>#NAME?</v>
      </c>
      <c r="L655" s="324"/>
      <c r="M655" s="324"/>
      <c r="N655" s="324" t="e">
        <f aca="false">E655+H655+K655</f>
        <v>#NAME?</v>
      </c>
    </row>
    <row r="656" customFormat="false" ht="15.75" hidden="false" customHeight="true" outlineLevel="0" collapsed="false">
      <c r="A656" s="28" t="s">
        <v>1101</v>
      </c>
      <c r="B656" s="335" t="s">
        <v>3330</v>
      </c>
      <c r="C656" s="323"/>
      <c r="D656" s="323"/>
      <c r="E656" s="324" t="e">
        <f aca="false">общ.калькуляция!h655</f>
        <v>#NAME?</v>
      </c>
      <c r="F656" s="324"/>
      <c r="G656" s="324"/>
      <c r="H656" s="324" t="e">
        <f aca="false">общ.калькуляция!j655</f>
        <v>#NAME?</v>
      </c>
      <c r="I656" s="324"/>
      <c r="J656" s="324"/>
      <c r="K656" s="324" t="e">
        <f aca="false">общ.калькуляция!m655</f>
        <v>#NAME?</v>
      </c>
      <c r="L656" s="324"/>
      <c r="M656" s="324"/>
      <c r="N656" s="324" t="e">
        <f aca="false">E656+H656+K656</f>
        <v>#NAME?</v>
      </c>
    </row>
    <row r="657" customFormat="false" ht="15.75" hidden="false" customHeight="true" outlineLevel="0" collapsed="false">
      <c r="A657" s="28" t="s">
        <v>1102</v>
      </c>
      <c r="B657" s="335" t="s">
        <v>3311</v>
      </c>
      <c r="C657" s="323"/>
      <c r="D657" s="323"/>
      <c r="E657" s="324" t="e">
        <f aca="false">общ.калькуляция!h656</f>
        <v>#NAME?</v>
      </c>
      <c r="F657" s="324"/>
      <c r="G657" s="324"/>
      <c r="H657" s="324" t="e">
        <f aca="false">общ.калькуляция!j656</f>
        <v>#NAME?</v>
      </c>
      <c r="I657" s="324"/>
      <c r="J657" s="324"/>
      <c r="K657" s="324" t="e">
        <f aca="false">общ.калькуляция!m656</f>
        <v>#NAME?</v>
      </c>
      <c r="L657" s="324"/>
      <c r="M657" s="324"/>
      <c r="N657" s="324" t="e">
        <f aca="false">E657+H657+K657</f>
        <v>#NAME?</v>
      </c>
    </row>
    <row r="658" customFormat="false" ht="15.75" hidden="false" customHeight="true" outlineLevel="0" collapsed="false">
      <c r="A658" s="28" t="s">
        <v>1103</v>
      </c>
      <c r="B658" s="340" t="s">
        <v>3331</v>
      </c>
      <c r="C658" s="323"/>
      <c r="D658" s="323"/>
      <c r="E658" s="324" t="e">
        <f aca="false">общ.калькуляция!h657</f>
        <v>#NAME?</v>
      </c>
      <c r="F658" s="324"/>
      <c r="G658" s="324"/>
      <c r="H658" s="324" t="e">
        <f aca="false">общ.калькуляция!j657</f>
        <v>#NAME?</v>
      </c>
      <c r="I658" s="324"/>
      <c r="J658" s="324"/>
      <c r="K658" s="324" t="e">
        <f aca="false">общ.калькуляция!m657</f>
        <v>#NAME?</v>
      </c>
      <c r="L658" s="324"/>
      <c r="M658" s="324"/>
      <c r="N658" s="324" t="e">
        <f aca="false">E658+H658+K658</f>
        <v>#NAME?</v>
      </c>
    </row>
    <row r="659" customFormat="false" ht="15.75" hidden="false" customHeight="true" outlineLevel="0" collapsed="false">
      <c r="A659" s="28" t="s">
        <v>1105</v>
      </c>
      <c r="B659" s="335" t="s">
        <v>3309</v>
      </c>
      <c r="C659" s="323"/>
      <c r="D659" s="323"/>
      <c r="E659" s="324" t="e">
        <f aca="false">общ.калькуляция!h658</f>
        <v>#NAME?</v>
      </c>
      <c r="F659" s="324"/>
      <c r="G659" s="324"/>
      <c r="H659" s="324" t="e">
        <f aca="false">общ.калькуляция!j658</f>
        <v>#NAME?</v>
      </c>
      <c r="I659" s="324"/>
      <c r="J659" s="324"/>
      <c r="K659" s="324" t="e">
        <f aca="false">общ.калькуляция!m658</f>
        <v>#NAME?</v>
      </c>
      <c r="L659" s="324"/>
      <c r="M659" s="324"/>
      <c r="N659" s="324" t="e">
        <f aca="false">E659+H659+K659</f>
        <v>#NAME?</v>
      </c>
    </row>
    <row r="660" customFormat="false" ht="15.75" hidden="false" customHeight="true" outlineLevel="0" collapsed="false">
      <c r="A660" s="28" t="s">
        <v>1106</v>
      </c>
      <c r="B660" s="335" t="s">
        <v>3332</v>
      </c>
      <c r="C660" s="323"/>
      <c r="D660" s="323"/>
      <c r="E660" s="324" t="e">
        <f aca="false">общ.калькуляция!h659</f>
        <v>#NAME?</v>
      </c>
      <c r="F660" s="324"/>
      <c r="G660" s="324"/>
      <c r="H660" s="324" t="e">
        <f aca="false">общ.калькуляция!j659</f>
        <v>#NAME?</v>
      </c>
      <c r="I660" s="324"/>
      <c r="J660" s="324"/>
      <c r="K660" s="324" t="e">
        <f aca="false">общ.калькуляция!m659</f>
        <v>#NAME?</v>
      </c>
      <c r="L660" s="324"/>
      <c r="M660" s="324"/>
      <c r="N660" s="324" t="e">
        <f aca="false">E660+H660+K660</f>
        <v>#NAME?</v>
      </c>
    </row>
    <row r="661" customFormat="false" ht="15.75" hidden="false" customHeight="true" outlineLevel="0" collapsed="false">
      <c r="A661" s="28" t="s">
        <v>1107</v>
      </c>
      <c r="B661" s="335" t="s">
        <v>3315</v>
      </c>
      <c r="C661" s="323"/>
      <c r="D661" s="323"/>
      <c r="E661" s="324" t="e">
        <f aca="false">общ.калькуляция!h660</f>
        <v>#NAME?</v>
      </c>
      <c r="F661" s="324"/>
      <c r="G661" s="324"/>
      <c r="H661" s="324" t="e">
        <f aca="false">общ.калькуляция!j660</f>
        <v>#NAME?</v>
      </c>
      <c r="I661" s="324"/>
      <c r="J661" s="324"/>
      <c r="K661" s="324" t="e">
        <f aca="false">общ.калькуляция!m660</f>
        <v>#NAME?</v>
      </c>
      <c r="L661" s="324"/>
      <c r="M661" s="324"/>
      <c r="N661" s="324" t="e">
        <f aca="false">E661+H661+K661</f>
        <v>#NAME?</v>
      </c>
    </row>
    <row r="662" customFormat="false" ht="15.75" hidden="false" customHeight="true" outlineLevel="0" collapsed="false">
      <c r="A662" s="15" t="s">
        <v>1108</v>
      </c>
      <c r="B662" s="54" t="s">
        <v>3333</v>
      </c>
      <c r="C662" s="321"/>
      <c r="D662" s="321"/>
      <c r="E662" s="329"/>
      <c r="F662" s="329"/>
      <c r="G662" s="329"/>
      <c r="H662" s="329"/>
      <c r="I662" s="329"/>
      <c r="J662" s="329"/>
      <c r="K662" s="329"/>
      <c r="L662" s="329"/>
      <c r="M662" s="329"/>
      <c r="N662" s="329"/>
    </row>
    <row r="663" customFormat="false" ht="15.75" hidden="false" customHeight="true" outlineLevel="0" collapsed="false">
      <c r="A663" s="28" t="s">
        <v>1110</v>
      </c>
      <c r="B663" s="335" t="s">
        <v>3307</v>
      </c>
      <c r="C663" s="323"/>
      <c r="D663" s="323"/>
      <c r="E663" s="324" t="e">
        <f aca="false">общ.калькуляция!h662</f>
        <v>#NAME?</v>
      </c>
      <c r="F663" s="324"/>
      <c r="G663" s="324"/>
      <c r="H663" s="324" t="e">
        <f aca="false">общ.калькуляция!j662</f>
        <v>#NAME?</v>
      </c>
      <c r="I663" s="324"/>
      <c r="J663" s="324"/>
      <c r="K663" s="324" t="e">
        <f aca="false">общ.калькуляция!m662</f>
        <v>#NAME?</v>
      </c>
      <c r="L663" s="324"/>
      <c r="M663" s="324"/>
      <c r="N663" s="324" t="e">
        <f aca="false">E663+H663+K663</f>
        <v>#NAME?</v>
      </c>
    </row>
    <row r="664" customFormat="false" ht="15.75" hidden="false" customHeight="true" outlineLevel="0" collapsed="false">
      <c r="A664" s="28" t="s">
        <v>1111</v>
      </c>
      <c r="B664" s="335" t="s">
        <v>3324</v>
      </c>
      <c r="C664" s="323"/>
      <c r="D664" s="323"/>
      <c r="E664" s="324" t="e">
        <f aca="false">общ.калькуляция!h663</f>
        <v>#NAME?</v>
      </c>
      <c r="F664" s="324"/>
      <c r="G664" s="324"/>
      <c r="H664" s="324" t="e">
        <f aca="false">общ.калькуляция!j663</f>
        <v>#NAME?</v>
      </c>
      <c r="I664" s="324"/>
      <c r="J664" s="324"/>
      <c r="K664" s="324" t="e">
        <f aca="false">общ.калькуляция!m663</f>
        <v>#NAME?</v>
      </c>
      <c r="L664" s="324"/>
      <c r="M664" s="324"/>
      <c r="N664" s="324" t="e">
        <f aca="false">E664+H664+K664</f>
        <v>#NAME?</v>
      </c>
    </row>
    <row r="665" customFormat="false" ht="15.75" hidden="false" customHeight="true" outlineLevel="0" collapsed="false">
      <c r="A665" s="28" t="s">
        <v>1112</v>
      </c>
      <c r="B665" s="335" t="s">
        <v>3310</v>
      </c>
      <c r="C665" s="323"/>
      <c r="D665" s="323"/>
      <c r="E665" s="324" t="e">
        <f aca="false">общ.калькуляция!h664</f>
        <v>#NAME?</v>
      </c>
      <c r="F665" s="324"/>
      <c r="G665" s="324"/>
      <c r="H665" s="324" t="e">
        <f aca="false">общ.калькуляция!j664</f>
        <v>#NAME?</v>
      </c>
      <c r="I665" s="324"/>
      <c r="J665" s="324"/>
      <c r="K665" s="324" t="e">
        <f aca="false">общ.калькуляция!m664</f>
        <v>#NAME?</v>
      </c>
      <c r="L665" s="324"/>
      <c r="M665" s="324"/>
      <c r="N665" s="324" t="e">
        <f aca="false">E665+H665+K665</f>
        <v>#NAME?</v>
      </c>
    </row>
    <row r="666" customFormat="false" ht="15.75" hidden="false" customHeight="true" outlineLevel="0" collapsed="false">
      <c r="A666" s="28" t="s">
        <v>1113</v>
      </c>
      <c r="B666" s="335" t="s">
        <v>3332</v>
      </c>
      <c r="C666" s="323"/>
      <c r="D666" s="323"/>
      <c r="E666" s="324" t="e">
        <f aca="false">общ.калькуляция!h665</f>
        <v>#NAME?</v>
      </c>
      <c r="F666" s="324"/>
      <c r="G666" s="324"/>
      <c r="H666" s="324" t="e">
        <f aca="false">общ.калькуляция!j665</f>
        <v>#NAME?</v>
      </c>
      <c r="I666" s="324"/>
      <c r="J666" s="324"/>
      <c r="K666" s="324" t="e">
        <f aca="false">общ.калькуляция!m665</f>
        <v>#NAME?</v>
      </c>
      <c r="L666" s="324"/>
      <c r="M666" s="324"/>
      <c r="N666" s="324" t="e">
        <f aca="false">E666+H666+K666</f>
        <v>#NAME?</v>
      </c>
    </row>
    <row r="667" customFormat="false" ht="15.75" hidden="false" customHeight="true" outlineLevel="0" collapsed="false">
      <c r="A667" s="28" t="s">
        <v>1114</v>
      </c>
      <c r="B667" s="335" t="s">
        <v>3309</v>
      </c>
      <c r="C667" s="323"/>
      <c r="D667" s="323"/>
      <c r="E667" s="324" t="e">
        <f aca="false">общ.калькуляция!h666</f>
        <v>#NAME?</v>
      </c>
      <c r="F667" s="324"/>
      <c r="G667" s="324"/>
      <c r="H667" s="324" t="e">
        <f aca="false">общ.калькуляция!j666</f>
        <v>#NAME?</v>
      </c>
      <c r="I667" s="324"/>
      <c r="J667" s="324"/>
      <c r="K667" s="324" t="e">
        <f aca="false">общ.калькуляция!m666</f>
        <v>#NAME?</v>
      </c>
      <c r="L667" s="324"/>
      <c r="M667" s="324"/>
      <c r="N667" s="324" t="e">
        <f aca="false">E667+H667+K667</f>
        <v>#NAME?</v>
      </c>
    </row>
    <row r="668" customFormat="false" ht="15.75" hidden="false" customHeight="true" outlineLevel="0" collapsed="false">
      <c r="A668" s="28" t="s">
        <v>1115</v>
      </c>
      <c r="B668" s="335" t="s">
        <v>3334</v>
      </c>
      <c r="C668" s="323"/>
      <c r="D668" s="323"/>
      <c r="E668" s="324" t="e">
        <f aca="false">общ.калькуляция!h667</f>
        <v>#NAME?</v>
      </c>
      <c r="F668" s="324"/>
      <c r="G668" s="324"/>
      <c r="H668" s="324" t="e">
        <f aca="false">общ.калькуляция!j667</f>
        <v>#NAME?</v>
      </c>
      <c r="I668" s="324"/>
      <c r="J668" s="324"/>
      <c r="K668" s="324" t="e">
        <f aca="false">общ.калькуляция!m667</f>
        <v>#NAME?</v>
      </c>
      <c r="L668" s="324"/>
      <c r="M668" s="324"/>
      <c r="N668" s="324" t="e">
        <f aca="false">E668+H668+K668</f>
        <v>#NAME?</v>
      </c>
    </row>
    <row r="669" customFormat="false" ht="15.75" hidden="false" customHeight="true" outlineLevel="0" collapsed="false">
      <c r="A669" s="28" t="s">
        <v>1117</v>
      </c>
      <c r="B669" s="335" t="s">
        <v>3313</v>
      </c>
      <c r="C669" s="323"/>
      <c r="D669" s="323"/>
      <c r="E669" s="324" t="e">
        <f aca="false">общ.калькуляция!h668</f>
        <v>#NAME?</v>
      </c>
      <c r="F669" s="324"/>
      <c r="G669" s="324"/>
      <c r="H669" s="324" t="e">
        <f aca="false">общ.калькуляция!j668</f>
        <v>#NAME?</v>
      </c>
      <c r="I669" s="324"/>
      <c r="J669" s="324"/>
      <c r="K669" s="324" t="e">
        <f aca="false">общ.калькуляция!m668</f>
        <v>#NAME?</v>
      </c>
      <c r="L669" s="324"/>
      <c r="M669" s="324"/>
      <c r="N669" s="324" t="e">
        <f aca="false">E669+H669+K669</f>
        <v>#NAME?</v>
      </c>
    </row>
    <row r="670" customFormat="false" ht="15.75" hidden="false" customHeight="true" outlineLevel="0" collapsed="false">
      <c r="A670" s="28" t="s">
        <v>1118</v>
      </c>
      <c r="B670" s="335" t="s">
        <v>3308</v>
      </c>
      <c r="C670" s="323"/>
      <c r="D670" s="323"/>
      <c r="E670" s="324" t="e">
        <f aca="false">общ.калькуляция!h669</f>
        <v>#NAME?</v>
      </c>
      <c r="F670" s="324"/>
      <c r="G670" s="324"/>
      <c r="H670" s="324" t="e">
        <f aca="false">общ.калькуляция!j669</f>
        <v>#NAME?</v>
      </c>
      <c r="I670" s="324"/>
      <c r="J670" s="324"/>
      <c r="K670" s="324" t="e">
        <f aca="false">общ.калькуляция!m669</f>
        <v>#NAME?</v>
      </c>
      <c r="L670" s="324"/>
      <c r="M670" s="324"/>
      <c r="N670" s="324" t="e">
        <f aca="false">E670+H670+K670</f>
        <v>#NAME?</v>
      </c>
    </row>
    <row r="671" customFormat="false" ht="15.75" hidden="false" customHeight="true" outlineLevel="0" collapsed="false">
      <c r="A671" s="15" t="s">
        <v>1119</v>
      </c>
      <c r="B671" s="16" t="s">
        <v>3170</v>
      </c>
      <c r="C671" s="321"/>
      <c r="D671" s="321"/>
      <c r="E671" s="329"/>
      <c r="F671" s="329"/>
      <c r="G671" s="329"/>
      <c r="H671" s="329"/>
      <c r="I671" s="329"/>
      <c r="J671" s="329"/>
      <c r="K671" s="329"/>
      <c r="L671" s="329"/>
      <c r="M671" s="329"/>
      <c r="N671" s="329"/>
    </row>
    <row r="672" customFormat="false" ht="15.75" hidden="false" customHeight="true" outlineLevel="0" collapsed="false">
      <c r="A672" s="28" t="s">
        <v>1120</v>
      </c>
      <c r="B672" s="40" t="s">
        <v>3307</v>
      </c>
      <c r="C672" s="323"/>
      <c r="D672" s="323"/>
      <c r="E672" s="324" t="e">
        <f aca="false">общ.калькуляция!h671</f>
        <v>#NAME?</v>
      </c>
      <c r="F672" s="324"/>
      <c r="G672" s="324"/>
      <c r="H672" s="324" t="e">
        <f aca="false">общ.калькуляция!j671</f>
        <v>#NAME?</v>
      </c>
      <c r="I672" s="324"/>
      <c r="J672" s="324"/>
      <c r="K672" s="324" t="e">
        <f aca="false">общ.калькуляция!m671</f>
        <v>#NAME?</v>
      </c>
      <c r="L672" s="324"/>
      <c r="M672" s="324"/>
      <c r="N672" s="324" t="e">
        <f aca="false">E672+H672+K672</f>
        <v>#NAME?</v>
      </c>
    </row>
    <row r="673" customFormat="false" ht="15.75" hidden="false" customHeight="true" outlineLevel="0" collapsed="false">
      <c r="A673" s="15" t="s">
        <v>1121</v>
      </c>
      <c r="B673" s="16" t="s">
        <v>3213</v>
      </c>
      <c r="C673" s="321"/>
      <c r="D673" s="321"/>
      <c r="E673" s="329"/>
      <c r="F673" s="329"/>
      <c r="G673" s="329"/>
      <c r="H673" s="329"/>
      <c r="I673" s="329"/>
      <c r="J673" s="329"/>
      <c r="K673" s="329"/>
      <c r="L673" s="329"/>
      <c r="M673" s="329"/>
      <c r="N673" s="329"/>
    </row>
    <row r="674" customFormat="false" ht="15.75" hidden="false" customHeight="true" outlineLevel="0" collapsed="false">
      <c r="A674" s="28" t="s">
        <v>1123</v>
      </c>
      <c r="B674" s="40" t="s">
        <v>3307</v>
      </c>
      <c r="C674" s="323"/>
      <c r="D674" s="323"/>
      <c r="E674" s="324" t="e">
        <f aca="false">общ.калькуляция!h673</f>
        <v>#NAME?</v>
      </c>
      <c r="F674" s="324"/>
      <c r="G674" s="324"/>
      <c r="H674" s="324" t="e">
        <f aca="false">общ.калькуляция!j673</f>
        <v>#NAME?</v>
      </c>
      <c r="I674" s="324"/>
      <c r="J674" s="324"/>
      <c r="K674" s="324" t="e">
        <f aca="false">общ.калькуляция!m673</f>
        <v>#NAME?</v>
      </c>
      <c r="L674" s="324"/>
      <c r="M674" s="324"/>
      <c r="N674" s="324" t="e">
        <f aca="false">E674+H674+K674</f>
        <v>#NAME?</v>
      </c>
    </row>
    <row r="675" customFormat="false" ht="15.75" hidden="false" customHeight="true" outlineLevel="0" collapsed="false">
      <c r="A675" s="28" t="s">
        <v>1124</v>
      </c>
      <c r="B675" s="40" t="s">
        <v>3309</v>
      </c>
      <c r="C675" s="323"/>
      <c r="D675" s="323"/>
      <c r="E675" s="324" t="e">
        <f aca="false">общ.калькуляция!h674</f>
        <v>#NAME?</v>
      </c>
      <c r="F675" s="324"/>
      <c r="G675" s="324"/>
      <c r="H675" s="324" t="e">
        <f aca="false">общ.калькуляция!j674</f>
        <v>#NAME?</v>
      </c>
      <c r="I675" s="324"/>
      <c r="J675" s="324"/>
      <c r="K675" s="324" t="e">
        <f aca="false">общ.калькуляция!m674</f>
        <v>#NAME?</v>
      </c>
      <c r="L675" s="324"/>
      <c r="M675" s="324"/>
      <c r="N675" s="324" t="e">
        <f aca="false">E675+H675+K675</f>
        <v>#NAME?</v>
      </c>
    </row>
    <row r="676" customFormat="false" ht="15.75" hidden="false" customHeight="true" outlineLevel="0" collapsed="false">
      <c r="A676" s="28" t="s">
        <v>1125</v>
      </c>
      <c r="B676" s="40" t="s">
        <v>3335</v>
      </c>
      <c r="C676" s="323"/>
      <c r="D676" s="323"/>
      <c r="E676" s="324" t="e">
        <f aca="false">общ.калькуляция!h675</f>
        <v>#NAME?</v>
      </c>
      <c r="F676" s="324"/>
      <c r="G676" s="324"/>
      <c r="H676" s="324" t="e">
        <f aca="false">общ.калькуляция!j675</f>
        <v>#NAME?</v>
      </c>
      <c r="I676" s="324"/>
      <c r="J676" s="324"/>
      <c r="K676" s="324" t="e">
        <f aca="false">общ.калькуляция!m675</f>
        <v>#NAME?</v>
      </c>
      <c r="L676" s="324"/>
      <c r="M676" s="324"/>
      <c r="N676" s="324" t="e">
        <f aca="false">E676+H676+K676</f>
        <v>#NAME?</v>
      </c>
    </row>
    <row r="677" customFormat="false" ht="15.75" hidden="false" customHeight="true" outlineLevel="0" collapsed="false">
      <c r="A677" s="28" t="s">
        <v>1127</v>
      </c>
      <c r="B677" s="40" t="s">
        <v>3331</v>
      </c>
      <c r="C677" s="323"/>
      <c r="D677" s="323"/>
      <c r="E677" s="324" t="e">
        <f aca="false">общ.калькуляция!h676</f>
        <v>#NAME?</v>
      </c>
      <c r="F677" s="324"/>
      <c r="G677" s="324"/>
      <c r="H677" s="324" t="e">
        <f aca="false">общ.калькуляция!j676</f>
        <v>#NAME?</v>
      </c>
      <c r="I677" s="324"/>
      <c r="J677" s="324"/>
      <c r="K677" s="324" t="e">
        <f aca="false">общ.калькуляция!m676</f>
        <v>#NAME?</v>
      </c>
      <c r="L677" s="324"/>
      <c r="M677" s="324"/>
      <c r="N677" s="324" t="e">
        <f aca="false">E677+H677+K677</f>
        <v>#NAME?</v>
      </c>
    </row>
    <row r="678" customFormat="false" ht="15.75" hidden="false" customHeight="true" outlineLevel="0" collapsed="false">
      <c r="A678" s="15" t="s">
        <v>1128</v>
      </c>
      <c r="B678" s="16" t="s">
        <v>1129</v>
      </c>
      <c r="C678" s="321"/>
      <c r="D678" s="321"/>
      <c r="E678" s="329"/>
      <c r="F678" s="329"/>
      <c r="G678" s="329"/>
      <c r="H678" s="329"/>
      <c r="I678" s="329"/>
      <c r="J678" s="329"/>
      <c r="K678" s="329"/>
      <c r="L678" s="329"/>
      <c r="M678" s="329"/>
      <c r="N678" s="329"/>
    </row>
    <row r="679" customFormat="false" ht="15.75" hidden="false" customHeight="true" outlineLevel="0" collapsed="false">
      <c r="A679" s="28" t="s">
        <v>1130</v>
      </c>
      <c r="B679" s="40" t="s">
        <v>3307</v>
      </c>
      <c r="C679" s="323"/>
      <c r="D679" s="323"/>
      <c r="E679" s="324" t="e">
        <f aca="false">общ.калькуляция!h678</f>
        <v>#NAME?</v>
      </c>
      <c r="F679" s="324"/>
      <c r="G679" s="324"/>
      <c r="H679" s="324" t="e">
        <f aca="false">общ.калькуляция!j678</f>
        <v>#NAME?</v>
      </c>
      <c r="I679" s="324"/>
      <c r="J679" s="324"/>
      <c r="K679" s="324" t="e">
        <f aca="false">общ.калькуляция!m678</f>
        <v>#NAME?</v>
      </c>
      <c r="L679" s="324"/>
      <c r="M679" s="324"/>
      <c r="N679" s="324" t="e">
        <f aca="false">E679+H679+K679</f>
        <v>#NAME?</v>
      </c>
    </row>
    <row r="680" customFormat="false" ht="15.75" hidden="false" customHeight="true" outlineLevel="0" collapsed="false">
      <c r="A680" s="28" t="s">
        <v>1131</v>
      </c>
      <c r="B680" s="40" t="s">
        <v>3331</v>
      </c>
      <c r="C680" s="323"/>
      <c r="D680" s="323"/>
      <c r="E680" s="324" t="e">
        <f aca="false">общ.калькуляция!h679</f>
        <v>#NAME?</v>
      </c>
      <c r="F680" s="324"/>
      <c r="G680" s="324"/>
      <c r="H680" s="324" t="e">
        <f aca="false">общ.калькуляция!j679</f>
        <v>#NAME?</v>
      </c>
      <c r="I680" s="324"/>
      <c r="J680" s="324"/>
      <c r="K680" s="324" t="e">
        <f aca="false">общ.калькуляция!m679</f>
        <v>#NAME?</v>
      </c>
      <c r="L680" s="324"/>
      <c r="M680" s="324"/>
      <c r="N680" s="324" t="e">
        <f aca="false">E680+H680+K680</f>
        <v>#NAME?</v>
      </c>
    </row>
    <row r="681" customFormat="false" ht="15.75" hidden="false" customHeight="true" outlineLevel="0" collapsed="false">
      <c r="A681" s="28" t="s">
        <v>1132</v>
      </c>
      <c r="B681" s="40" t="s">
        <v>3336</v>
      </c>
      <c r="C681" s="323"/>
      <c r="D681" s="323"/>
      <c r="E681" s="324" t="e">
        <f aca="false">общ.калькуляция!h680</f>
        <v>#NAME?</v>
      </c>
      <c r="F681" s="324"/>
      <c r="G681" s="324"/>
      <c r="H681" s="324" t="e">
        <f aca="false">общ.калькуляция!j680</f>
        <v>#NAME?</v>
      </c>
      <c r="I681" s="324"/>
      <c r="J681" s="324"/>
      <c r="K681" s="324" t="e">
        <f aca="false">общ.калькуляция!m680</f>
        <v>#NAME?</v>
      </c>
      <c r="L681" s="324"/>
      <c r="M681" s="324"/>
      <c r="N681" s="324" t="e">
        <f aca="false">E681+H681+K681</f>
        <v>#NAME?</v>
      </c>
    </row>
    <row r="682" customFormat="false" ht="15.75" hidden="false" customHeight="true" outlineLevel="0" collapsed="false">
      <c r="A682" s="15" t="s">
        <v>1133</v>
      </c>
      <c r="B682" s="16" t="s">
        <v>3337</v>
      </c>
      <c r="C682" s="321"/>
      <c r="D682" s="321"/>
      <c r="E682" s="329"/>
      <c r="F682" s="329"/>
      <c r="G682" s="329"/>
      <c r="H682" s="329"/>
      <c r="I682" s="329"/>
      <c r="J682" s="329"/>
      <c r="K682" s="329"/>
      <c r="L682" s="329"/>
      <c r="M682" s="329"/>
      <c r="N682" s="329"/>
    </row>
    <row r="683" customFormat="false" ht="15.75" hidden="false" customHeight="true" outlineLevel="0" collapsed="false">
      <c r="A683" s="28" t="s">
        <v>1135</v>
      </c>
      <c r="B683" s="40" t="s">
        <v>3307</v>
      </c>
      <c r="C683" s="323"/>
      <c r="D683" s="323"/>
      <c r="E683" s="324" t="e">
        <f aca="false">общ.калькуляция!h682</f>
        <v>#NAME?</v>
      </c>
      <c r="F683" s="324"/>
      <c r="G683" s="324"/>
      <c r="H683" s="324" t="e">
        <f aca="false">общ.калькуляция!j682</f>
        <v>#NAME?</v>
      </c>
      <c r="I683" s="324"/>
      <c r="J683" s="324"/>
      <c r="K683" s="324" t="e">
        <f aca="false">общ.калькуляция!m682</f>
        <v>#NAME?</v>
      </c>
      <c r="L683" s="324"/>
      <c r="M683" s="324"/>
      <c r="N683" s="324" t="e">
        <f aca="false">E683+H683+K683</f>
        <v>#NAME?</v>
      </c>
    </row>
    <row r="684" customFormat="false" ht="15.75" hidden="false" customHeight="true" outlineLevel="0" collapsed="false">
      <c r="A684" s="15" t="s">
        <v>1136</v>
      </c>
      <c r="B684" s="16" t="s">
        <v>3338</v>
      </c>
      <c r="C684" s="321"/>
      <c r="D684" s="321"/>
      <c r="E684" s="329"/>
      <c r="F684" s="329"/>
      <c r="G684" s="329"/>
      <c r="H684" s="329"/>
      <c r="I684" s="329"/>
      <c r="J684" s="329"/>
      <c r="K684" s="329"/>
      <c r="L684" s="329"/>
      <c r="M684" s="329"/>
      <c r="N684" s="329"/>
    </row>
    <row r="685" customFormat="false" ht="15.75" hidden="false" customHeight="true" outlineLevel="0" collapsed="false">
      <c r="A685" s="28" t="s">
        <v>1138</v>
      </c>
      <c r="B685" s="40" t="s">
        <v>3307</v>
      </c>
      <c r="C685" s="323"/>
      <c r="D685" s="323"/>
      <c r="E685" s="324" t="e">
        <f aca="false">общ.калькуляция!h684</f>
        <v>#NAME?</v>
      </c>
      <c r="F685" s="324"/>
      <c r="G685" s="324"/>
      <c r="H685" s="324" t="e">
        <f aca="false">общ.калькуляция!j684</f>
        <v>#NAME?</v>
      </c>
      <c r="I685" s="324"/>
      <c r="J685" s="324"/>
      <c r="K685" s="324" t="e">
        <f aca="false">общ.калькуляция!m684</f>
        <v>#NAME?</v>
      </c>
      <c r="L685" s="324"/>
      <c r="M685" s="324"/>
      <c r="N685" s="324" t="e">
        <f aca="false">E685+H685+K685</f>
        <v>#NAME?</v>
      </c>
    </row>
    <row r="686" customFormat="false" ht="15.75" hidden="false" customHeight="true" outlineLevel="0" collapsed="false">
      <c r="A686" s="28" t="s">
        <v>1139</v>
      </c>
      <c r="B686" s="335" t="s">
        <v>3313</v>
      </c>
      <c r="C686" s="323"/>
      <c r="D686" s="323"/>
      <c r="E686" s="324" t="e">
        <f aca="false">общ.калькуляция!h685</f>
        <v>#NAME?</v>
      </c>
      <c r="F686" s="324"/>
      <c r="G686" s="324"/>
      <c r="H686" s="324" t="e">
        <f aca="false">общ.калькуляция!j685</f>
        <v>#NAME?</v>
      </c>
      <c r="I686" s="324"/>
      <c r="J686" s="324"/>
      <c r="K686" s="324" t="e">
        <f aca="false">общ.калькуляция!m685</f>
        <v>#NAME?</v>
      </c>
      <c r="L686" s="324"/>
      <c r="M686" s="324"/>
      <c r="N686" s="324" t="e">
        <f aca="false">E686+H686+K686</f>
        <v>#NAME?</v>
      </c>
    </row>
    <row r="687" customFormat="false" ht="15.75" hidden="false" customHeight="true" outlineLevel="0" collapsed="false">
      <c r="A687" s="28" t="s">
        <v>1140</v>
      </c>
      <c r="B687" s="40" t="s">
        <v>3309</v>
      </c>
      <c r="C687" s="323"/>
      <c r="D687" s="323"/>
      <c r="E687" s="324" t="e">
        <f aca="false">общ.калькуляция!h686</f>
        <v>#NAME?</v>
      </c>
      <c r="F687" s="324"/>
      <c r="G687" s="324"/>
      <c r="H687" s="324" t="e">
        <f aca="false">общ.калькуляция!j686</f>
        <v>#NAME?</v>
      </c>
      <c r="I687" s="324"/>
      <c r="J687" s="324"/>
      <c r="K687" s="324" t="e">
        <f aca="false">общ.калькуляция!m686</f>
        <v>#NAME?</v>
      </c>
      <c r="L687" s="324"/>
      <c r="M687" s="324"/>
      <c r="N687" s="324" t="e">
        <f aca="false">E687+H687+K687</f>
        <v>#NAME?</v>
      </c>
    </row>
    <row r="688" customFormat="false" ht="15.75" hidden="false" customHeight="true" outlineLevel="0" collapsed="false">
      <c r="A688" s="15" t="s">
        <v>1141</v>
      </c>
      <c r="B688" s="16" t="s">
        <v>3339</v>
      </c>
      <c r="C688" s="321"/>
      <c r="D688" s="321"/>
      <c r="E688" s="329"/>
      <c r="F688" s="329"/>
      <c r="G688" s="329"/>
      <c r="H688" s="329"/>
      <c r="I688" s="329"/>
      <c r="J688" s="329"/>
      <c r="K688" s="329"/>
      <c r="L688" s="329"/>
      <c r="M688" s="329"/>
      <c r="N688" s="329"/>
    </row>
    <row r="689" customFormat="false" ht="15.75" hidden="false" customHeight="true" outlineLevel="0" collapsed="false">
      <c r="A689" s="28" t="s">
        <v>1143</v>
      </c>
      <c r="B689" s="40" t="s">
        <v>3309</v>
      </c>
      <c r="C689" s="323"/>
      <c r="D689" s="323"/>
      <c r="E689" s="324" t="e">
        <f aca="false">общ.калькуляция!h688</f>
        <v>#NAME?</v>
      </c>
      <c r="F689" s="324"/>
      <c r="G689" s="324"/>
      <c r="H689" s="324" t="e">
        <f aca="false">общ.калькуляция!j688</f>
        <v>#NAME?</v>
      </c>
      <c r="I689" s="324"/>
      <c r="J689" s="324"/>
      <c r="K689" s="324" t="e">
        <f aca="false">общ.калькуляция!m688</f>
        <v>#NAME?</v>
      </c>
      <c r="L689" s="324"/>
      <c r="M689" s="324"/>
      <c r="N689" s="324" t="e">
        <f aca="false">E689+H689+K689</f>
        <v>#NAME?</v>
      </c>
    </row>
    <row r="690" customFormat="false" ht="15.75" hidden="false" customHeight="true" outlineLevel="0" collapsed="false">
      <c r="A690" s="28" t="s">
        <v>1144</v>
      </c>
      <c r="B690" s="40" t="s">
        <v>3310</v>
      </c>
      <c r="C690" s="323"/>
      <c r="D690" s="323"/>
      <c r="E690" s="324" t="e">
        <f aca="false">общ.калькуляция!h689</f>
        <v>#NAME?</v>
      </c>
      <c r="F690" s="324"/>
      <c r="G690" s="324"/>
      <c r="H690" s="324" t="e">
        <f aca="false">общ.калькуляция!j689</f>
        <v>#NAME?</v>
      </c>
      <c r="I690" s="324"/>
      <c r="J690" s="324"/>
      <c r="K690" s="324" t="e">
        <f aca="false">общ.калькуляция!m689</f>
        <v>#NAME?</v>
      </c>
      <c r="L690" s="324"/>
      <c r="M690" s="324"/>
      <c r="N690" s="324" t="e">
        <f aca="false">E690+H690+K690</f>
        <v>#NAME?</v>
      </c>
    </row>
    <row r="691" customFormat="false" ht="15.75" hidden="false" customHeight="true" outlineLevel="0" collapsed="false">
      <c r="A691" s="28" t="s">
        <v>1145</v>
      </c>
      <c r="B691" s="335" t="s">
        <v>3330</v>
      </c>
      <c r="C691" s="323"/>
      <c r="D691" s="323"/>
      <c r="E691" s="324" t="e">
        <f aca="false">общ.калькуляция!h690</f>
        <v>#NAME?</v>
      </c>
      <c r="F691" s="324"/>
      <c r="G691" s="324"/>
      <c r="H691" s="324" t="e">
        <f aca="false">общ.калькуляция!j690</f>
        <v>#NAME?</v>
      </c>
      <c r="I691" s="324"/>
      <c r="J691" s="324"/>
      <c r="K691" s="324" t="e">
        <f aca="false">общ.калькуляция!m690</f>
        <v>#NAME?</v>
      </c>
      <c r="L691" s="324"/>
      <c r="M691" s="324"/>
      <c r="N691" s="324" t="e">
        <f aca="false">E691+H691+K691</f>
        <v>#NAME?</v>
      </c>
    </row>
    <row r="692" customFormat="false" ht="15.75" hidden="false" customHeight="true" outlineLevel="0" collapsed="false">
      <c r="A692" s="28" t="s">
        <v>1146</v>
      </c>
      <c r="B692" s="335" t="s">
        <v>3311</v>
      </c>
      <c r="C692" s="323"/>
      <c r="D692" s="323"/>
      <c r="E692" s="324" t="e">
        <f aca="false">общ.калькуляция!h691</f>
        <v>#NAME?</v>
      </c>
      <c r="F692" s="324"/>
      <c r="G692" s="324"/>
      <c r="H692" s="324" t="e">
        <f aca="false">общ.калькуляция!j691</f>
        <v>#NAME?</v>
      </c>
      <c r="I692" s="324"/>
      <c r="J692" s="324"/>
      <c r="K692" s="324" t="e">
        <f aca="false">общ.калькуляция!m691</f>
        <v>#NAME?</v>
      </c>
      <c r="L692" s="324"/>
      <c r="M692" s="324"/>
      <c r="N692" s="324" t="e">
        <f aca="false">E692+H692+K692</f>
        <v>#NAME?</v>
      </c>
    </row>
    <row r="693" customFormat="false" ht="15.75" hidden="false" customHeight="true" outlineLevel="0" collapsed="false">
      <c r="A693" s="28" t="s">
        <v>1147</v>
      </c>
      <c r="B693" s="335" t="s">
        <v>3340</v>
      </c>
      <c r="C693" s="323"/>
      <c r="D693" s="323"/>
      <c r="E693" s="324" t="e">
        <f aca="false">общ.калькуляция!h692</f>
        <v>#NAME?</v>
      </c>
      <c r="F693" s="324"/>
      <c r="G693" s="324"/>
      <c r="H693" s="324" t="e">
        <f aca="false">общ.калькуляция!j692</f>
        <v>#NAME?</v>
      </c>
      <c r="I693" s="324"/>
      <c r="J693" s="324"/>
      <c r="K693" s="324" t="e">
        <f aca="false">общ.калькуляция!m692</f>
        <v>#NAME?</v>
      </c>
      <c r="L693" s="324"/>
      <c r="M693" s="324"/>
      <c r="N693" s="324" t="e">
        <f aca="false">E693+H693+K693</f>
        <v>#NAME?</v>
      </c>
    </row>
    <row r="694" customFormat="false" ht="15.75" hidden="false" customHeight="true" outlineLevel="0" collapsed="false">
      <c r="A694" s="28" t="s">
        <v>1148</v>
      </c>
      <c r="B694" s="335" t="s">
        <v>3313</v>
      </c>
      <c r="C694" s="323"/>
      <c r="D694" s="323"/>
      <c r="E694" s="324" t="e">
        <f aca="false">общ.калькуляция!h693</f>
        <v>#NAME?</v>
      </c>
      <c r="F694" s="324"/>
      <c r="G694" s="324"/>
      <c r="H694" s="324" t="e">
        <f aca="false">общ.калькуляция!j693</f>
        <v>#NAME?</v>
      </c>
      <c r="I694" s="324"/>
      <c r="J694" s="324"/>
      <c r="K694" s="324" t="e">
        <f aca="false">общ.калькуляция!m693</f>
        <v>#NAME?</v>
      </c>
      <c r="L694" s="324"/>
      <c r="M694" s="324"/>
      <c r="N694" s="324" t="e">
        <f aca="false">E694+H694+K694</f>
        <v>#NAME?</v>
      </c>
    </row>
    <row r="695" customFormat="false" ht="15.75" hidden="false" customHeight="true" outlineLevel="0" collapsed="false">
      <c r="A695" s="28" t="s">
        <v>1149</v>
      </c>
      <c r="B695" s="40" t="s">
        <v>3307</v>
      </c>
      <c r="C695" s="323"/>
      <c r="D695" s="323"/>
      <c r="E695" s="324" t="e">
        <f aca="false">общ.калькуляция!h694</f>
        <v>#NAME?</v>
      </c>
      <c r="F695" s="324"/>
      <c r="G695" s="324"/>
      <c r="H695" s="324" t="e">
        <f aca="false">общ.калькуляция!j694</f>
        <v>#NAME?</v>
      </c>
      <c r="I695" s="324"/>
      <c r="J695" s="324"/>
      <c r="K695" s="324" t="e">
        <f aca="false">общ.калькуляция!m694</f>
        <v>#NAME?</v>
      </c>
      <c r="L695" s="324"/>
      <c r="M695" s="324"/>
      <c r="N695" s="324" t="e">
        <f aca="false">E695+H695+K695</f>
        <v>#NAME?</v>
      </c>
    </row>
    <row r="696" customFormat="false" ht="15.75" hidden="false" customHeight="true" outlineLevel="0" collapsed="false">
      <c r="A696" s="28" t="s">
        <v>1150</v>
      </c>
      <c r="B696" s="40" t="s">
        <v>3315</v>
      </c>
      <c r="C696" s="323"/>
      <c r="D696" s="323"/>
      <c r="E696" s="324" t="e">
        <f aca="false">общ.калькуляция!h695</f>
        <v>#NAME?</v>
      </c>
      <c r="F696" s="324"/>
      <c r="G696" s="324"/>
      <c r="H696" s="324" t="e">
        <f aca="false">общ.калькуляция!j695</f>
        <v>#NAME?</v>
      </c>
      <c r="I696" s="324"/>
      <c r="J696" s="324"/>
      <c r="K696" s="324" t="e">
        <f aca="false">общ.калькуляция!m695</f>
        <v>#NAME?</v>
      </c>
      <c r="L696" s="324"/>
      <c r="M696" s="324"/>
      <c r="N696" s="324" t="e">
        <f aca="false">E696+H696+K696</f>
        <v>#NAME?</v>
      </c>
    </row>
    <row r="697" customFormat="false" ht="15.75" hidden="false" customHeight="true" outlineLevel="0" collapsed="false">
      <c r="A697" s="28" t="s">
        <v>1151</v>
      </c>
      <c r="B697" s="335" t="s">
        <v>3314</v>
      </c>
      <c r="C697" s="323"/>
      <c r="D697" s="323"/>
      <c r="E697" s="324" t="e">
        <f aca="false">общ.калькуляция!h696</f>
        <v>#NAME?</v>
      </c>
      <c r="F697" s="324"/>
      <c r="G697" s="324"/>
      <c r="H697" s="324" t="e">
        <f aca="false">общ.калькуляция!j696</f>
        <v>#NAME?</v>
      </c>
      <c r="I697" s="324"/>
      <c r="J697" s="324"/>
      <c r="K697" s="324" t="e">
        <f aca="false">общ.калькуляция!m696</f>
        <v>#NAME?</v>
      </c>
      <c r="L697" s="324"/>
      <c r="M697" s="324"/>
      <c r="N697" s="324" t="e">
        <f aca="false">E697+H697+K697</f>
        <v>#NAME?</v>
      </c>
    </row>
    <row r="698" customFormat="false" ht="15.75" hidden="false" customHeight="true" outlineLevel="0" collapsed="false">
      <c r="A698" s="28" t="s">
        <v>1152</v>
      </c>
      <c r="B698" s="335" t="s">
        <v>3324</v>
      </c>
      <c r="C698" s="323"/>
      <c r="D698" s="323"/>
      <c r="E698" s="324" t="e">
        <f aca="false">общ.калькуляция!h697</f>
        <v>#NAME?</v>
      </c>
      <c r="F698" s="324"/>
      <c r="G698" s="324"/>
      <c r="H698" s="324" t="e">
        <f aca="false">общ.калькуляция!j697</f>
        <v>#NAME?</v>
      </c>
      <c r="I698" s="324"/>
      <c r="J698" s="324"/>
      <c r="K698" s="324" t="e">
        <f aca="false">общ.калькуляция!m697</f>
        <v>#NAME?</v>
      </c>
      <c r="L698" s="324"/>
      <c r="M698" s="324"/>
      <c r="N698" s="324" t="e">
        <f aca="false">E698+H698+K698</f>
        <v>#NAME?</v>
      </c>
    </row>
    <row r="699" customFormat="false" ht="15.75" hidden="false" customHeight="true" outlineLevel="0" collapsed="false">
      <c r="A699" s="28" t="s">
        <v>1153</v>
      </c>
      <c r="B699" s="40" t="s">
        <v>3308</v>
      </c>
      <c r="C699" s="323"/>
      <c r="D699" s="323"/>
      <c r="E699" s="324" t="e">
        <f aca="false">общ.калькуляция!h698</f>
        <v>#NAME?</v>
      </c>
      <c r="F699" s="324"/>
      <c r="G699" s="324"/>
      <c r="H699" s="324" t="e">
        <f aca="false">общ.калькуляция!j698</f>
        <v>#NAME?</v>
      </c>
      <c r="I699" s="324"/>
      <c r="J699" s="324"/>
      <c r="K699" s="324" t="e">
        <f aca="false">общ.калькуляция!m698</f>
        <v>#NAME?</v>
      </c>
      <c r="L699" s="324"/>
      <c r="M699" s="324"/>
      <c r="N699" s="324" t="e">
        <f aca="false">E699+H699+K699</f>
        <v>#NAME?</v>
      </c>
    </row>
    <row r="700" customFormat="false" ht="15.75" hidden="false" customHeight="true" outlineLevel="0" collapsed="false">
      <c r="A700" s="15" t="s">
        <v>1155</v>
      </c>
      <c r="B700" s="16" t="s">
        <v>3341</v>
      </c>
      <c r="C700" s="321"/>
      <c r="D700" s="321"/>
      <c r="E700" s="329"/>
      <c r="F700" s="329"/>
      <c r="G700" s="329"/>
      <c r="H700" s="329"/>
      <c r="I700" s="329"/>
      <c r="J700" s="329"/>
      <c r="K700" s="329"/>
      <c r="L700" s="329"/>
      <c r="M700" s="329"/>
      <c r="N700" s="329"/>
    </row>
    <row r="701" customFormat="false" ht="15.75" hidden="false" customHeight="true" outlineLevel="0" collapsed="false">
      <c r="A701" s="28" t="s">
        <v>1157</v>
      </c>
      <c r="B701" s="59" t="s">
        <v>3342</v>
      </c>
      <c r="C701" s="323"/>
      <c r="D701" s="323"/>
      <c r="E701" s="324" t="e">
        <f aca="false">общ.калькуляция!h700</f>
        <v>#NAME?</v>
      </c>
      <c r="F701" s="324"/>
      <c r="G701" s="324"/>
      <c r="H701" s="324" t="e">
        <f aca="false">общ.калькуляция!j700</f>
        <v>#NAME?</v>
      </c>
      <c r="I701" s="324"/>
      <c r="J701" s="324"/>
      <c r="K701" s="324" t="e">
        <f aca="false">общ.калькуляция!m700</f>
        <v>#NAME?</v>
      </c>
      <c r="L701" s="324"/>
      <c r="M701" s="324"/>
      <c r="N701" s="324" t="e">
        <f aca="false">E701+H701+K701</f>
        <v>#NAME?</v>
      </c>
    </row>
    <row r="702" customFormat="false" ht="15.75" hidden="false" customHeight="true" outlineLevel="0" collapsed="false">
      <c r="A702" s="28" t="s">
        <v>1158</v>
      </c>
      <c r="B702" s="59" t="s">
        <v>3343</v>
      </c>
      <c r="C702" s="323"/>
      <c r="D702" s="323"/>
      <c r="E702" s="324" t="e">
        <f aca="false">общ.калькуляция!h701</f>
        <v>#NAME?</v>
      </c>
      <c r="F702" s="324"/>
      <c r="G702" s="324"/>
      <c r="H702" s="324" t="e">
        <f aca="false">общ.калькуляция!j701</f>
        <v>#NAME?</v>
      </c>
      <c r="I702" s="324"/>
      <c r="J702" s="324"/>
      <c r="K702" s="324" t="e">
        <f aca="false">общ.калькуляция!m701</f>
        <v>#NAME?</v>
      </c>
      <c r="L702" s="324"/>
      <c r="M702" s="324"/>
      <c r="N702" s="324" t="e">
        <f aca="false">E702+H702+K702</f>
        <v>#NAME?</v>
      </c>
    </row>
    <row r="703" customFormat="false" ht="15.75" hidden="false" customHeight="true" outlineLevel="0" collapsed="false">
      <c r="A703" s="28" t="s">
        <v>1160</v>
      </c>
      <c r="B703" s="59" t="s">
        <v>3344</v>
      </c>
      <c r="C703" s="323"/>
      <c r="D703" s="323"/>
      <c r="E703" s="324" t="e">
        <f aca="false">общ.калькуляция!h702</f>
        <v>#NAME?</v>
      </c>
      <c r="F703" s="324"/>
      <c r="G703" s="324"/>
      <c r="H703" s="324" t="e">
        <f aca="false">общ.калькуляция!j702</f>
        <v>#NAME?</v>
      </c>
      <c r="I703" s="324"/>
      <c r="J703" s="324"/>
      <c r="K703" s="324" t="e">
        <f aca="false">общ.калькуляция!m702</f>
        <v>#NAME?</v>
      </c>
      <c r="L703" s="324"/>
      <c r="M703" s="324"/>
      <c r="N703" s="324" t="e">
        <f aca="false">E703+H703+K703</f>
        <v>#NAME?</v>
      </c>
    </row>
    <row r="704" customFormat="false" ht="15.75" hidden="false" customHeight="true" outlineLevel="0" collapsed="false">
      <c r="A704" s="28" t="s">
        <v>1162</v>
      </c>
      <c r="B704" s="59" t="s">
        <v>3345</v>
      </c>
      <c r="C704" s="323"/>
      <c r="D704" s="323"/>
      <c r="E704" s="324" t="e">
        <f aca="false">общ.калькуляция!h703</f>
        <v>#NAME?</v>
      </c>
      <c r="F704" s="324"/>
      <c r="G704" s="324"/>
      <c r="H704" s="324" t="e">
        <f aca="false">общ.калькуляция!j703</f>
        <v>#NAME?</v>
      </c>
      <c r="I704" s="324"/>
      <c r="J704" s="324"/>
      <c r="K704" s="324" t="e">
        <f aca="false">общ.калькуляция!m703</f>
        <v>#NAME?</v>
      </c>
      <c r="L704" s="324"/>
      <c r="M704" s="324"/>
      <c r="N704" s="324" t="e">
        <f aca="false">E704+H704+K704</f>
        <v>#NAME?</v>
      </c>
    </row>
    <row r="705" customFormat="false" ht="15.75" hidden="false" customHeight="true" outlineLevel="0" collapsed="false">
      <c r="A705" s="15" t="s">
        <v>1164</v>
      </c>
      <c r="B705" s="54" t="s">
        <v>3346</v>
      </c>
      <c r="C705" s="321"/>
      <c r="D705" s="321"/>
      <c r="E705" s="329"/>
      <c r="F705" s="329"/>
      <c r="G705" s="329"/>
      <c r="H705" s="329"/>
      <c r="I705" s="329"/>
      <c r="J705" s="329"/>
      <c r="K705" s="329"/>
      <c r="L705" s="329"/>
      <c r="M705" s="329"/>
      <c r="N705" s="329"/>
    </row>
    <row r="706" customFormat="false" ht="15.75" hidden="false" customHeight="true" outlineLevel="0" collapsed="false">
      <c r="A706" s="28" t="s">
        <v>1166</v>
      </c>
      <c r="B706" s="40" t="s">
        <v>3317</v>
      </c>
      <c r="C706" s="323"/>
      <c r="D706" s="323"/>
      <c r="E706" s="324" t="e">
        <f aca="false">общ.калькуляция!h705</f>
        <v>#NAME?</v>
      </c>
      <c r="F706" s="324"/>
      <c r="G706" s="324"/>
      <c r="H706" s="324" t="e">
        <f aca="false">общ.калькуляция!j705</f>
        <v>#NAME?</v>
      </c>
      <c r="I706" s="324"/>
      <c r="J706" s="324"/>
      <c r="K706" s="324" t="e">
        <f aca="false">общ.калькуляция!m705</f>
        <v>#NAME?</v>
      </c>
      <c r="L706" s="324"/>
      <c r="M706" s="324"/>
      <c r="N706" s="324" t="e">
        <f aca="false">E706+H706+K706</f>
        <v>#NAME?</v>
      </c>
    </row>
    <row r="707" customFormat="false" ht="15.75" hidden="false" customHeight="true" outlineLevel="0" collapsed="false">
      <c r="A707" s="28" t="s">
        <v>1168</v>
      </c>
      <c r="B707" s="40" t="s">
        <v>3307</v>
      </c>
      <c r="C707" s="323"/>
      <c r="D707" s="323"/>
      <c r="E707" s="324" t="e">
        <f aca="false">общ.калькуляция!h706</f>
        <v>#NAME?</v>
      </c>
      <c r="F707" s="324"/>
      <c r="G707" s="324"/>
      <c r="H707" s="324" t="e">
        <f aca="false">общ.калькуляция!j706</f>
        <v>#NAME?</v>
      </c>
      <c r="I707" s="324"/>
      <c r="J707" s="324"/>
      <c r="K707" s="324" t="e">
        <f aca="false">общ.калькуляция!m706</f>
        <v>#NAME?</v>
      </c>
      <c r="L707" s="324"/>
      <c r="M707" s="324"/>
      <c r="N707" s="324" t="e">
        <f aca="false">E707+H707+K707</f>
        <v>#NAME?</v>
      </c>
    </row>
    <row r="708" customFormat="false" ht="15.75" hidden="false" customHeight="true" outlineLevel="0" collapsed="false">
      <c r="A708" s="28" t="s">
        <v>1169</v>
      </c>
      <c r="B708" s="40" t="s">
        <v>3347</v>
      </c>
      <c r="C708" s="323"/>
      <c r="D708" s="323"/>
      <c r="E708" s="324" t="e">
        <f aca="false">общ.калькуляция!h707</f>
        <v>#NAME?</v>
      </c>
      <c r="F708" s="324"/>
      <c r="G708" s="324"/>
      <c r="H708" s="324" t="e">
        <f aca="false">общ.калькуляция!j707</f>
        <v>#NAME?</v>
      </c>
      <c r="I708" s="324"/>
      <c r="J708" s="324"/>
      <c r="K708" s="324" t="e">
        <f aca="false">общ.калькуляция!m707</f>
        <v>#NAME?</v>
      </c>
      <c r="L708" s="324"/>
      <c r="M708" s="324"/>
      <c r="N708" s="324" t="e">
        <f aca="false">E708+H708+K708</f>
        <v>#NAME?</v>
      </c>
    </row>
    <row r="709" customFormat="false" ht="15.75" hidden="false" customHeight="true" outlineLevel="0" collapsed="false">
      <c r="A709" s="28" t="s">
        <v>1171</v>
      </c>
      <c r="B709" s="40" t="s">
        <v>3309</v>
      </c>
      <c r="C709" s="323"/>
      <c r="D709" s="323"/>
      <c r="E709" s="324" t="e">
        <f aca="false">общ.калькуляция!h708</f>
        <v>#NAME?</v>
      </c>
      <c r="F709" s="324"/>
      <c r="G709" s="324"/>
      <c r="H709" s="324" t="e">
        <f aca="false">общ.калькуляция!j708</f>
        <v>#NAME?</v>
      </c>
      <c r="I709" s="324"/>
      <c r="J709" s="324"/>
      <c r="K709" s="324" t="e">
        <f aca="false">общ.калькуляция!m708</f>
        <v>#NAME?</v>
      </c>
      <c r="L709" s="324"/>
      <c r="M709" s="324"/>
      <c r="N709" s="324" t="e">
        <f aca="false">E709+H709+K709</f>
        <v>#NAME?</v>
      </c>
    </row>
    <row r="710" customFormat="false" ht="15.75" hidden="false" customHeight="true" outlineLevel="0" collapsed="false">
      <c r="A710" s="15" t="s">
        <v>1172</v>
      </c>
      <c r="B710" s="54" t="s">
        <v>3348</v>
      </c>
      <c r="C710" s="321"/>
      <c r="D710" s="321"/>
      <c r="E710" s="329"/>
      <c r="F710" s="329"/>
      <c r="G710" s="329"/>
      <c r="H710" s="329"/>
      <c r="I710" s="329"/>
      <c r="J710" s="329"/>
      <c r="K710" s="329"/>
      <c r="L710" s="329"/>
      <c r="M710" s="329"/>
      <c r="N710" s="329"/>
    </row>
    <row r="711" customFormat="false" ht="15.75" hidden="false" customHeight="true" outlineLevel="0" collapsed="false">
      <c r="A711" s="28" t="s">
        <v>1174</v>
      </c>
      <c r="B711" s="40" t="s">
        <v>3323</v>
      </c>
      <c r="C711" s="323"/>
      <c r="D711" s="323"/>
      <c r="E711" s="324" t="e">
        <f aca="false">общ.калькуляция!h710</f>
        <v>#NAME?</v>
      </c>
      <c r="F711" s="324"/>
      <c r="G711" s="324"/>
      <c r="H711" s="324" t="e">
        <f aca="false">общ.калькуляция!j710</f>
        <v>#NAME?</v>
      </c>
      <c r="I711" s="324"/>
      <c r="J711" s="324"/>
      <c r="K711" s="324" t="e">
        <f aca="false">общ.калькуляция!m710</f>
        <v>#NAME?</v>
      </c>
      <c r="L711" s="324"/>
      <c r="M711" s="324"/>
      <c r="N711" s="324" t="e">
        <f aca="false">E711+H711+K711</f>
        <v>#NAME?</v>
      </c>
    </row>
    <row r="712" customFormat="false" ht="15.75" hidden="false" customHeight="true" outlineLevel="0" collapsed="false">
      <c r="A712" s="28" t="s">
        <v>1175</v>
      </c>
      <c r="B712" s="40" t="s">
        <v>3308</v>
      </c>
      <c r="C712" s="323"/>
      <c r="D712" s="323"/>
      <c r="E712" s="324" t="e">
        <f aca="false">общ.калькуляция!h711</f>
        <v>#NAME?</v>
      </c>
      <c r="F712" s="324"/>
      <c r="G712" s="324"/>
      <c r="H712" s="324" t="e">
        <f aca="false">общ.калькуляция!j711</f>
        <v>#NAME?</v>
      </c>
      <c r="I712" s="324"/>
      <c r="J712" s="324"/>
      <c r="K712" s="324" t="e">
        <f aca="false">общ.калькуляция!m711</f>
        <v>#NAME?</v>
      </c>
      <c r="L712" s="324"/>
      <c r="M712" s="324"/>
      <c r="N712" s="324" t="e">
        <f aca="false">E712+H712+K712</f>
        <v>#NAME?</v>
      </c>
    </row>
    <row r="713" customFormat="false" ht="15.75" hidden="false" customHeight="true" outlineLevel="0" collapsed="false">
      <c r="A713" s="15" t="s">
        <v>1176</v>
      </c>
      <c r="B713" s="54" t="s">
        <v>3349</v>
      </c>
      <c r="C713" s="321"/>
      <c r="D713" s="321"/>
      <c r="E713" s="329"/>
      <c r="F713" s="329"/>
      <c r="G713" s="329"/>
      <c r="H713" s="329"/>
      <c r="I713" s="329"/>
      <c r="J713" s="329"/>
      <c r="K713" s="329"/>
      <c r="L713" s="329"/>
      <c r="M713" s="329"/>
      <c r="N713" s="329"/>
    </row>
    <row r="714" customFormat="false" ht="15.75" hidden="false" customHeight="true" outlineLevel="0" collapsed="false">
      <c r="A714" s="28" t="s">
        <v>1178</v>
      </c>
      <c r="B714" s="40" t="s">
        <v>3350</v>
      </c>
      <c r="C714" s="323"/>
      <c r="D714" s="323"/>
      <c r="E714" s="324" t="e">
        <f aca="false">общ.калькуляция!h713</f>
        <v>#NAME?</v>
      </c>
      <c r="F714" s="324"/>
      <c r="G714" s="324"/>
      <c r="H714" s="324" t="e">
        <f aca="false">общ.калькуляция!j713</f>
        <v>#NAME?</v>
      </c>
      <c r="I714" s="324"/>
      <c r="J714" s="324"/>
      <c r="K714" s="324" t="e">
        <f aca="false">общ.калькуляция!m713</f>
        <v>#NAME?</v>
      </c>
      <c r="L714" s="324"/>
      <c r="M714" s="324"/>
      <c r="N714" s="324" t="e">
        <f aca="false">E714+H714+K714</f>
        <v>#NAME?</v>
      </c>
    </row>
    <row r="715" customFormat="false" ht="15.75" hidden="false" customHeight="true" outlineLevel="0" collapsed="false">
      <c r="A715" s="15" t="s">
        <v>1180</v>
      </c>
      <c r="B715" s="54" t="s">
        <v>3351</v>
      </c>
      <c r="C715" s="321"/>
      <c r="D715" s="321"/>
      <c r="E715" s="329"/>
      <c r="F715" s="329"/>
      <c r="G715" s="329"/>
      <c r="H715" s="329"/>
      <c r="I715" s="329"/>
      <c r="J715" s="329"/>
      <c r="K715" s="329"/>
      <c r="L715" s="329"/>
      <c r="M715" s="329"/>
      <c r="N715" s="329"/>
    </row>
    <row r="716" customFormat="false" ht="15.75" hidden="false" customHeight="true" outlineLevel="0" collapsed="false">
      <c r="A716" s="28" t="s">
        <v>1182</v>
      </c>
      <c r="B716" s="40" t="s">
        <v>3323</v>
      </c>
      <c r="C716" s="323"/>
      <c r="D716" s="323"/>
      <c r="E716" s="324" t="e">
        <f aca="false">общ.калькуляция!h715</f>
        <v>#NAME?</v>
      </c>
      <c r="F716" s="324"/>
      <c r="G716" s="324"/>
      <c r="H716" s="324" t="e">
        <f aca="false">общ.калькуляция!j715</f>
        <v>#NAME?</v>
      </c>
      <c r="I716" s="324"/>
      <c r="J716" s="324"/>
      <c r="K716" s="324" t="e">
        <f aca="false">общ.калькуляция!m715</f>
        <v>#NAME?</v>
      </c>
      <c r="L716" s="324"/>
      <c r="M716" s="324"/>
      <c r="N716" s="324" t="e">
        <f aca="false">E716+H716+K716</f>
        <v>#NAME?</v>
      </c>
    </row>
    <row r="717" customFormat="false" ht="15.75" hidden="false" customHeight="true" outlineLevel="0" collapsed="false">
      <c r="A717" s="15" t="s">
        <v>1183</v>
      </c>
      <c r="B717" s="54" t="s">
        <v>3352</v>
      </c>
      <c r="C717" s="321"/>
      <c r="D717" s="321"/>
      <c r="E717" s="329"/>
      <c r="F717" s="329"/>
      <c r="G717" s="329"/>
      <c r="H717" s="329"/>
      <c r="I717" s="329"/>
      <c r="J717" s="329"/>
      <c r="K717" s="329"/>
      <c r="L717" s="329"/>
      <c r="M717" s="329"/>
      <c r="N717" s="329"/>
    </row>
    <row r="718" customFormat="false" ht="15.75" hidden="false" customHeight="true" outlineLevel="0" collapsed="false">
      <c r="A718" s="28" t="s">
        <v>1185</v>
      </c>
      <c r="B718" s="40" t="s">
        <v>3307</v>
      </c>
      <c r="C718" s="323"/>
      <c r="D718" s="323"/>
      <c r="E718" s="324" t="e">
        <f aca="false">общ.калькуляция!h717</f>
        <v>#NAME?</v>
      </c>
      <c r="F718" s="324"/>
      <c r="G718" s="324"/>
      <c r="H718" s="324" t="e">
        <f aca="false">общ.калькуляция!j717</f>
        <v>#NAME?</v>
      </c>
      <c r="I718" s="324"/>
      <c r="J718" s="324"/>
      <c r="K718" s="324" t="e">
        <f aca="false">общ.калькуляция!m717</f>
        <v>#NAME?</v>
      </c>
      <c r="L718" s="324"/>
      <c r="M718" s="324"/>
      <c r="N718" s="324" t="e">
        <f aca="false">E718+H718+K718</f>
        <v>#NAME?</v>
      </c>
    </row>
    <row r="719" customFormat="false" ht="15.75" hidden="false" customHeight="true" outlineLevel="0" collapsed="false">
      <c r="A719" s="28" t="s">
        <v>1186</v>
      </c>
      <c r="B719" s="40" t="s">
        <v>3309</v>
      </c>
      <c r="C719" s="323"/>
      <c r="D719" s="323"/>
      <c r="E719" s="324" t="e">
        <f aca="false">общ.калькуляция!h718</f>
        <v>#NAME?</v>
      </c>
      <c r="F719" s="324"/>
      <c r="G719" s="324"/>
      <c r="H719" s="324" t="e">
        <f aca="false">общ.калькуляция!j718</f>
        <v>#NAME?</v>
      </c>
      <c r="I719" s="324"/>
      <c r="J719" s="324"/>
      <c r="K719" s="324" t="e">
        <f aca="false">общ.калькуляция!m718</f>
        <v>#NAME?</v>
      </c>
      <c r="L719" s="324"/>
      <c r="M719" s="324"/>
      <c r="N719" s="324" t="e">
        <f aca="false">E719+H719+K719</f>
        <v>#NAME?</v>
      </c>
    </row>
    <row r="720" customFormat="false" ht="15.75" hidden="false" customHeight="true" outlineLevel="0" collapsed="false">
      <c r="A720" s="28" t="s">
        <v>1187</v>
      </c>
      <c r="B720" s="40" t="s">
        <v>3310</v>
      </c>
      <c r="C720" s="323"/>
      <c r="D720" s="323"/>
      <c r="E720" s="324" t="e">
        <f aca="false">общ.калькуляция!h719</f>
        <v>#NAME?</v>
      </c>
      <c r="F720" s="324"/>
      <c r="G720" s="324"/>
      <c r="H720" s="324" t="e">
        <f aca="false">общ.калькуляция!j719</f>
        <v>#NAME?</v>
      </c>
      <c r="I720" s="324"/>
      <c r="J720" s="324"/>
      <c r="K720" s="324" t="e">
        <f aca="false">общ.калькуляция!m719</f>
        <v>#NAME?</v>
      </c>
      <c r="L720" s="324"/>
      <c r="M720" s="324"/>
      <c r="N720" s="324" t="e">
        <f aca="false">E720+H720+K720</f>
        <v>#NAME?</v>
      </c>
    </row>
    <row r="721" customFormat="false" ht="15.75" hidden="false" customHeight="true" outlineLevel="0" collapsed="false">
      <c r="A721" s="28" t="s">
        <v>1188</v>
      </c>
      <c r="B721" s="40" t="s">
        <v>3308</v>
      </c>
      <c r="C721" s="323"/>
      <c r="D721" s="323"/>
      <c r="E721" s="324" t="e">
        <f aca="false">общ.калькуляция!h720</f>
        <v>#NAME?</v>
      </c>
      <c r="F721" s="324"/>
      <c r="G721" s="324"/>
      <c r="H721" s="324" t="e">
        <f aca="false">общ.калькуляция!j720</f>
        <v>#NAME?</v>
      </c>
      <c r="I721" s="324"/>
      <c r="J721" s="324"/>
      <c r="K721" s="324" t="e">
        <f aca="false">общ.калькуляция!m720</f>
        <v>#NAME?</v>
      </c>
      <c r="L721" s="324"/>
      <c r="M721" s="324"/>
      <c r="N721" s="324" t="e">
        <f aca="false">E721+H721+K721</f>
        <v>#NAME?</v>
      </c>
    </row>
    <row r="722" customFormat="false" ht="15.75" hidden="false" customHeight="true" outlineLevel="0" collapsed="false">
      <c r="A722" s="28" t="s">
        <v>1189</v>
      </c>
      <c r="B722" s="40" t="s">
        <v>3324</v>
      </c>
      <c r="C722" s="323"/>
      <c r="D722" s="323"/>
      <c r="E722" s="324" t="e">
        <f aca="false">общ.калькуляция!h721</f>
        <v>#NAME?</v>
      </c>
      <c r="F722" s="324"/>
      <c r="G722" s="324"/>
      <c r="H722" s="324" t="e">
        <f aca="false">общ.калькуляция!j721</f>
        <v>#NAME?</v>
      </c>
      <c r="I722" s="324"/>
      <c r="J722" s="324"/>
      <c r="K722" s="324" t="e">
        <f aca="false">общ.калькуляция!m721</f>
        <v>#NAME?</v>
      </c>
      <c r="L722" s="324"/>
      <c r="M722" s="324"/>
      <c r="N722" s="324" t="e">
        <f aca="false">E722+H722+K722</f>
        <v>#NAME?</v>
      </c>
    </row>
    <row r="723" customFormat="false" ht="15.75" hidden="false" customHeight="true" outlineLevel="0" collapsed="false">
      <c r="A723" s="15" t="s">
        <v>1190</v>
      </c>
      <c r="B723" s="54" t="s">
        <v>3353</v>
      </c>
      <c r="C723" s="321"/>
      <c r="D723" s="321"/>
      <c r="E723" s="329"/>
      <c r="F723" s="329"/>
      <c r="G723" s="329"/>
      <c r="H723" s="329"/>
      <c r="I723" s="329"/>
      <c r="J723" s="329"/>
      <c r="K723" s="329"/>
      <c r="L723" s="329"/>
      <c r="M723" s="329"/>
      <c r="N723" s="329"/>
    </row>
    <row r="724" customFormat="false" ht="15.75" hidden="false" customHeight="true" outlineLevel="0" collapsed="false">
      <c r="A724" s="28" t="s">
        <v>1192</v>
      </c>
      <c r="B724" s="40" t="s">
        <v>3307</v>
      </c>
      <c r="C724" s="323"/>
      <c r="D724" s="323"/>
      <c r="E724" s="324" t="e">
        <f aca="false">общ.калькуляция!h723</f>
        <v>#NAME?</v>
      </c>
      <c r="F724" s="324"/>
      <c r="G724" s="324"/>
      <c r="H724" s="324" t="e">
        <f aca="false">общ.калькуляция!j723</f>
        <v>#NAME?</v>
      </c>
      <c r="I724" s="324"/>
      <c r="J724" s="324"/>
      <c r="K724" s="324" t="e">
        <f aca="false">общ.калькуляция!m723</f>
        <v>#NAME?</v>
      </c>
      <c r="L724" s="324"/>
      <c r="M724" s="324"/>
      <c r="N724" s="324" t="e">
        <f aca="false">E724+H724+K724</f>
        <v>#NAME?</v>
      </c>
    </row>
    <row r="725" customFormat="false" ht="15.75" hidden="false" customHeight="true" outlineLevel="0" collapsed="false">
      <c r="A725" s="15" t="s">
        <v>1193</v>
      </c>
      <c r="B725" s="67" t="s">
        <v>3354</v>
      </c>
      <c r="C725" s="321"/>
      <c r="D725" s="321"/>
      <c r="E725" s="329"/>
      <c r="F725" s="329"/>
      <c r="G725" s="329"/>
      <c r="H725" s="329"/>
      <c r="I725" s="329"/>
      <c r="J725" s="329"/>
      <c r="K725" s="329"/>
      <c r="L725" s="329"/>
      <c r="M725" s="329"/>
      <c r="N725" s="329"/>
    </row>
    <row r="726" customFormat="false" ht="15.75" hidden="false" customHeight="true" outlineLevel="0" collapsed="false">
      <c r="A726" s="28" t="s">
        <v>1195</v>
      </c>
      <c r="B726" s="40" t="s">
        <v>3307</v>
      </c>
      <c r="C726" s="323"/>
      <c r="D726" s="323"/>
      <c r="E726" s="324" t="e">
        <f aca="false">общ.калькуляция!h725</f>
        <v>#NAME?</v>
      </c>
      <c r="F726" s="324"/>
      <c r="G726" s="324"/>
      <c r="H726" s="324" t="e">
        <f aca="false">общ.калькуляция!j725</f>
        <v>#NAME?</v>
      </c>
      <c r="I726" s="324"/>
      <c r="J726" s="324"/>
      <c r="K726" s="324" t="e">
        <f aca="false">общ.калькуляция!m725</f>
        <v>#NAME?</v>
      </c>
      <c r="L726" s="324"/>
      <c r="M726" s="324"/>
      <c r="N726" s="324" t="e">
        <f aca="false">E726+H726+K726</f>
        <v>#NAME?</v>
      </c>
    </row>
    <row r="727" customFormat="false" ht="15" hidden="false" customHeight="true" outlineLevel="0" collapsed="false">
      <c r="A727" s="15" t="s">
        <v>1196</v>
      </c>
      <c r="B727" s="16" t="s">
        <v>3355</v>
      </c>
      <c r="C727" s="321"/>
      <c r="D727" s="321"/>
      <c r="E727" s="329"/>
      <c r="F727" s="329"/>
      <c r="G727" s="329"/>
      <c r="H727" s="329"/>
      <c r="I727" s="329"/>
      <c r="J727" s="329"/>
      <c r="K727" s="329"/>
      <c r="L727" s="329"/>
      <c r="M727" s="329"/>
      <c r="N727" s="329"/>
    </row>
    <row r="728" customFormat="false" ht="15" hidden="false" customHeight="true" outlineLevel="0" collapsed="false">
      <c r="A728" s="28" t="s">
        <v>1198</v>
      </c>
      <c r="B728" s="40" t="s">
        <v>3010</v>
      </c>
      <c r="C728" s="323"/>
      <c r="D728" s="323"/>
      <c r="E728" s="324" t="e">
        <f aca="false">общ.калькуляция!h727</f>
        <v>#NAME?</v>
      </c>
      <c r="F728" s="324"/>
      <c r="G728" s="324"/>
      <c r="H728" s="324" t="e">
        <f aca="false">общ.калькуляция!j727</f>
        <v>#NAME?</v>
      </c>
      <c r="I728" s="324"/>
      <c r="J728" s="324"/>
      <c r="K728" s="324" t="e">
        <f aca="false">общ.калькуляция!m727</f>
        <v>#NAME?</v>
      </c>
      <c r="L728" s="324"/>
      <c r="M728" s="324"/>
      <c r="N728" s="324" t="e">
        <f aca="false">E728+H728+K728</f>
        <v>#NAME?</v>
      </c>
    </row>
    <row r="729" customFormat="false" ht="15" hidden="false" customHeight="true" outlineLevel="0" collapsed="false">
      <c r="A729" s="28" t="s">
        <v>1199</v>
      </c>
      <c r="B729" s="40" t="s">
        <v>3356</v>
      </c>
      <c r="C729" s="323"/>
      <c r="D729" s="323"/>
      <c r="E729" s="324" t="e">
        <f aca="false">общ.калькуляция!h728</f>
        <v>#NAME?</v>
      </c>
      <c r="F729" s="324"/>
      <c r="G729" s="324"/>
      <c r="H729" s="324" t="e">
        <f aca="false">общ.калькуляция!j728</f>
        <v>#NAME?</v>
      </c>
      <c r="I729" s="324"/>
      <c r="J729" s="324"/>
      <c r="K729" s="324" t="e">
        <f aca="false">общ.калькуляция!m728</f>
        <v>#NAME?</v>
      </c>
      <c r="L729" s="324"/>
      <c r="M729" s="324"/>
      <c r="N729" s="324" t="e">
        <f aca="false">E729+H729+K729</f>
        <v>#NAME?</v>
      </c>
    </row>
    <row r="730" customFormat="false" ht="15" hidden="false" customHeight="true" outlineLevel="0" collapsed="false">
      <c r="A730" s="28" t="s">
        <v>1201</v>
      </c>
      <c r="B730" s="40" t="s">
        <v>3357</v>
      </c>
      <c r="C730" s="323"/>
      <c r="D730" s="323"/>
      <c r="E730" s="324" t="e">
        <f aca="false">общ.калькуляция!h729</f>
        <v>#NAME?</v>
      </c>
      <c r="F730" s="324"/>
      <c r="G730" s="324"/>
      <c r="H730" s="324" t="e">
        <f aca="false">общ.калькуляция!j729</f>
        <v>#NAME?</v>
      </c>
      <c r="I730" s="324"/>
      <c r="J730" s="324"/>
      <c r="K730" s="324" t="e">
        <f aca="false">общ.калькуляция!m729</f>
        <v>#NAME?</v>
      </c>
      <c r="L730" s="324"/>
      <c r="M730" s="324"/>
      <c r="N730" s="324" t="e">
        <f aca="false">E730+H730+K730</f>
        <v>#NAME?</v>
      </c>
    </row>
    <row r="731" customFormat="false" ht="15" hidden="false" customHeight="true" outlineLevel="0" collapsed="false">
      <c r="A731" s="28" t="s">
        <v>1203</v>
      </c>
      <c r="B731" s="40" t="s">
        <v>3358</v>
      </c>
      <c r="C731" s="323"/>
      <c r="D731" s="323"/>
      <c r="E731" s="324" t="e">
        <f aca="false">общ.калькуляция!h730</f>
        <v>#NAME?</v>
      </c>
      <c r="F731" s="324"/>
      <c r="G731" s="324"/>
      <c r="H731" s="324" t="e">
        <f aca="false">общ.калькуляция!j730</f>
        <v>#NAME?</v>
      </c>
      <c r="I731" s="324"/>
      <c r="J731" s="324"/>
      <c r="K731" s="324" t="e">
        <f aca="false">общ.калькуляция!m730</f>
        <v>#NAME?</v>
      </c>
      <c r="L731" s="324"/>
      <c r="M731" s="324"/>
      <c r="N731" s="324" t="e">
        <f aca="false">E731+H731+K731</f>
        <v>#NAME?</v>
      </c>
    </row>
    <row r="732" customFormat="false" ht="15" hidden="false" customHeight="true" outlineLevel="0" collapsed="false">
      <c r="A732" s="28" t="s">
        <v>1205</v>
      </c>
      <c r="B732" s="40" t="s">
        <v>3359</v>
      </c>
      <c r="C732" s="323"/>
      <c r="D732" s="323"/>
      <c r="E732" s="324" t="e">
        <f aca="false">общ.калькуляция!h731</f>
        <v>#NAME?</v>
      </c>
      <c r="F732" s="324"/>
      <c r="G732" s="324"/>
      <c r="H732" s="324" t="e">
        <f aca="false">общ.калькуляция!j731</f>
        <v>#NAME?</v>
      </c>
      <c r="I732" s="324"/>
      <c r="J732" s="324"/>
      <c r="K732" s="324" t="e">
        <f aca="false">общ.калькуляция!m731</f>
        <v>#NAME?</v>
      </c>
      <c r="L732" s="324"/>
      <c r="M732" s="324"/>
      <c r="N732" s="324" t="e">
        <f aca="false">E732+H732+K732</f>
        <v>#NAME?</v>
      </c>
    </row>
    <row r="733" customFormat="false" ht="15" hidden="false" customHeight="true" outlineLevel="0" collapsed="false">
      <c r="A733" s="28" t="s">
        <v>1207</v>
      </c>
      <c r="B733" s="40" t="s">
        <v>3360</v>
      </c>
      <c r="C733" s="323"/>
      <c r="D733" s="323"/>
      <c r="E733" s="324" t="e">
        <f aca="false">общ.калькуляция!h732</f>
        <v>#NAME?</v>
      </c>
      <c r="F733" s="324"/>
      <c r="G733" s="324"/>
      <c r="H733" s="324" t="e">
        <f aca="false">общ.калькуляция!j732</f>
        <v>#NAME?</v>
      </c>
      <c r="I733" s="324"/>
      <c r="J733" s="324"/>
      <c r="K733" s="324" t="e">
        <f aca="false">общ.калькуляция!m732</f>
        <v>#NAME?</v>
      </c>
      <c r="L733" s="324"/>
      <c r="M733" s="324"/>
      <c r="N733" s="324" t="e">
        <f aca="false">E733+H733+K733</f>
        <v>#NAME?</v>
      </c>
    </row>
    <row r="734" customFormat="false" ht="15" hidden="false" customHeight="true" outlineLevel="0" collapsed="false">
      <c r="A734" s="28" t="s">
        <v>1209</v>
      </c>
      <c r="B734" s="40" t="s">
        <v>3361</v>
      </c>
      <c r="C734" s="323"/>
      <c r="D734" s="323"/>
      <c r="E734" s="324" t="e">
        <f aca="false">общ.калькуляция!h733</f>
        <v>#NAME?</v>
      </c>
      <c r="F734" s="324"/>
      <c r="G734" s="324"/>
      <c r="H734" s="324" t="e">
        <f aca="false">общ.калькуляция!j733</f>
        <v>#NAME?</v>
      </c>
      <c r="I734" s="324"/>
      <c r="J734" s="324"/>
      <c r="K734" s="324" t="e">
        <f aca="false">общ.калькуляция!m733</f>
        <v>#NAME?</v>
      </c>
      <c r="L734" s="324"/>
      <c r="M734" s="324"/>
      <c r="N734" s="324" t="e">
        <f aca="false">E734+H734+K734</f>
        <v>#NAME?</v>
      </c>
    </row>
    <row r="735" customFormat="false" ht="15" hidden="false" customHeight="true" outlineLevel="0" collapsed="false">
      <c r="A735" s="28" t="s">
        <v>1211</v>
      </c>
      <c r="B735" s="40" t="s">
        <v>3362</v>
      </c>
      <c r="C735" s="323"/>
      <c r="D735" s="323"/>
      <c r="E735" s="324" t="e">
        <f aca="false">общ.калькуляция!h734</f>
        <v>#NAME?</v>
      </c>
      <c r="F735" s="324"/>
      <c r="G735" s="324"/>
      <c r="H735" s="324" t="e">
        <f aca="false">общ.калькуляция!j734</f>
        <v>#NAME?</v>
      </c>
      <c r="I735" s="324"/>
      <c r="J735" s="324"/>
      <c r="K735" s="324" t="e">
        <f aca="false">общ.калькуляция!m734</f>
        <v>#NAME?</v>
      </c>
      <c r="L735" s="324"/>
      <c r="M735" s="324"/>
      <c r="N735" s="324" t="e">
        <f aca="false">E735+H735+K735</f>
        <v>#NAME?</v>
      </c>
    </row>
    <row r="736" customFormat="false" ht="15" hidden="false" customHeight="true" outlineLevel="0" collapsed="false">
      <c r="A736" s="28" t="s">
        <v>1213</v>
      </c>
      <c r="B736" s="40" t="s">
        <v>3363</v>
      </c>
      <c r="C736" s="323"/>
      <c r="D736" s="323"/>
      <c r="E736" s="324" t="e">
        <f aca="false">общ.калькуляция!h735</f>
        <v>#NAME?</v>
      </c>
      <c r="F736" s="324"/>
      <c r="G736" s="324"/>
      <c r="H736" s="324" t="e">
        <f aca="false">общ.калькуляция!j735</f>
        <v>#NAME?</v>
      </c>
      <c r="I736" s="324"/>
      <c r="J736" s="324"/>
      <c r="K736" s="324" t="e">
        <f aca="false">общ.калькуляция!m735</f>
        <v>#NAME?</v>
      </c>
      <c r="L736" s="324"/>
      <c r="M736" s="324"/>
      <c r="N736" s="324" t="e">
        <f aca="false">E736+H736+K736</f>
        <v>#NAME?</v>
      </c>
    </row>
    <row r="737" customFormat="false" ht="15" hidden="false" customHeight="true" outlineLevel="0" collapsed="false">
      <c r="A737" s="28" t="s">
        <v>1215</v>
      </c>
      <c r="B737" s="40" t="s">
        <v>3364</v>
      </c>
      <c r="C737" s="323"/>
      <c r="D737" s="323"/>
      <c r="E737" s="324" t="e">
        <f aca="false">общ.калькуляция!h736</f>
        <v>#NAME?</v>
      </c>
      <c r="F737" s="324"/>
      <c r="G737" s="324"/>
      <c r="H737" s="324" t="e">
        <f aca="false">общ.калькуляция!j736</f>
        <v>#NAME?</v>
      </c>
      <c r="I737" s="324"/>
      <c r="J737" s="324"/>
      <c r="K737" s="324" t="e">
        <f aca="false">общ.калькуляция!m736</f>
        <v>#NAME?</v>
      </c>
      <c r="L737" s="324"/>
      <c r="M737" s="324"/>
      <c r="N737" s="324" t="e">
        <f aca="false">E737+H737+K737</f>
        <v>#NAME?</v>
      </c>
    </row>
    <row r="738" customFormat="false" ht="15" hidden="false" customHeight="true" outlineLevel="0" collapsed="false">
      <c r="A738" s="28" t="s">
        <v>1217</v>
      </c>
      <c r="B738" s="40" t="s">
        <v>3365</v>
      </c>
      <c r="C738" s="323"/>
      <c r="D738" s="323"/>
      <c r="E738" s="324" t="e">
        <f aca="false">общ.калькуляция!h737</f>
        <v>#NAME?</v>
      </c>
      <c r="F738" s="324"/>
      <c r="G738" s="324"/>
      <c r="H738" s="324" t="e">
        <f aca="false">общ.калькуляция!j737</f>
        <v>#NAME?</v>
      </c>
      <c r="I738" s="324"/>
      <c r="J738" s="324"/>
      <c r="K738" s="324" t="e">
        <f aca="false">общ.калькуляция!m737</f>
        <v>#NAME?</v>
      </c>
      <c r="L738" s="324"/>
      <c r="M738" s="324"/>
      <c r="N738" s="324" t="e">
        <f aca="false">E738+H738+K738</f>
        <v>#NAME?</v>
      </c>
    </row>
    <row r="739" customFormat="false" ht="15" hidden="false" customHeight="true" outlineLevel="0" collapsed="false">
      <c r="A739" s="28" t="s">
        <v>1219</v>
      </c>
      <c r="B739" s="40" t="s">
        <v>3366</v>
      </c>
      <c r="C739" s="323"/>
      <c r="D739" s="323"/>
      <c r="E739" s="324" t="e">
        <f aca="false">общ.калькуляция!h738</f>
        <v>#NAME?</v>
      </c>
      <c r="F739" s="324"/>
      <c r="G739" s="324"/>
      <c r="H739" s="324" t="e">
        <f aca="false">общ.калькуляция!j738</f>
        <v>#NAME?</v>
      </c>
      <c r="I739" s="324"/>
      <c r="J739" s="324"/>
      <c r="K739" s="324" t="e">
        <f aca="false">общ.калькуляция!m738</f>
        <v>#NAME?</v>
      </c>
      <c r="L739" s="324"/>
      <c r="M739" s="324"/>
      <c r="N739" s="324" t="e">
        <f aca="false">E739+H739+K739</f>
        <v>#NAME?</v>
      </c>
    </row>
    <row r="740" customFormat="false" ht="15" hidden="false" customHeight="true" outlineLevel="0" collapsed="false">
      <c r="A740" s="28" t="s">
        <v>1221</v>
      </c>
      <c r="B740" s="40" t="s">
        <v>3367</v>
      </c>
      <c r="C740" s="323"/>
      <c r="D740" s="323"/>
      <c r="E740" s="324" t="e">
        <f aca="false">общ.калькуляция!h739</f>
        <v>#NAME?</v>
      </c>
      <c r="F740" s="324"/>
      <c r="G740" s="324"/>
      <c r="H740" s="324" t="e">
        <f aca="false">общ.калькуляция!j739</f>
        <v>#NAME?</v>
      </c>
      <c r="I740" s="324"/>
      <c r="J740" s="324"/>
      <c r="K740" s="324" t="e">
        <f aca="false">общ.калькуляция!m739</f>
        <v>#NAME?</v>
      </c>
      <c r="L740" s="324"/>
      <c r="M740" s="324"/>
      <c r="N740" s="324" t="e">
        <f aca="false">E740+H740+K740</f>
        <v>#NAME?</v>
      </c>
    </row>
    <row r="741" customFormat="false" ht="15" hidden="false" customHeight="true" outlineLevel="0" collapsed="false">
      <c r="A741" s="28" t="s">
        <v>1223</v>
      </c>
      <c r="B741" s="40" t="s">
        <v>3368</v>
      </c>
      <c r="C741" s="323"/>
      <c r="D741" s="323"/>
      <c r="E741" s="324" t="e">
        <f aca="false">общ.калькуляция!h740</f>
        <v>#NAME?</v>
      </c>
      <c r="F741" s="324"/>
      <c r="G741" s="324"/>
      <c r="H741" s="324" t="e">
        <f aca="false">общ.калькуляция!j740</f>
        <v>#NAME?</v>
      </c>
      <c r="I741" s="324"/>
      <c r="J741" s="324"/>
      <c r="K741" s="324" t="e">
        <f aca="false">общ.калькуляция!m740</f>
        <v>#NAME?</v>
      </c>
      <c r="L741" s="324"/>
      <c r="M741" s="324"/>
      <c r="N741" s="324" t="e">
        <f aca="false">E741+H741+K741</f>
        <v>#NAME?</v>
      </c>
    </row>
    <row r="742" customFormat="false" ht="15" hidden="false" customHeight="true" outlineLevel="0" collapsed="false">
      <c r="A742" s="28" t="s">
        <v>1225</v>
      </c>
      <c r="B742" s="40" t="s">
        <v>3369</v>
      </c>
      <c r="C742" s="323"/>
      <c r="D742" s="323"/>
      <c r="E742" s="324" t="e">
        <f aca="false">общ.калькуляция!h741</f>
        <v>#NAME?</v>
      </c>
      <c r="F742" s="324"/>
      <c r="G742" s="324"/>
      <c r="H742" s="324" t="e">
        <f aca="false">общ.калькуляция!j741</f>
        <v>#NAME?</v>
      </c>
      <c r="I742" s="324"/>
      <c r="J742" s="324"/>
      <c r="K742" s="324" t="e">
        <f aca="false">общ.калькуляция!m741</f>
        <v>#NAME?</v>
      </c>
      <c r="L742" s="324"/>
      <c r="M742" s="324"/>
      <c r="N742" s="324" t="e">
        <f aca="false">E742+H742+K742</f>
        <v>#NAME?</v>
      </c>
    </row>
    <row r="743" customFormat="false" ht="15" hidden="false" customHeight="true" outlineLevel="0" collapsed="false">
      <c r="A743" s="28" t="s">
        <v>1227</v>
      </c>
      <c r="B743" s="40" t="s">
        <v>3370</v>
      </c>
      <c r="C743" s="323"/>
      <c r="D743" s="323"/>
      <c r="E743" s="324" t="e">
        <f aca="false">общ.калькуляция!h742</f>
        <v>#NAME?</v>
      </c>
      <c r="F743" s="324"/>
      <c r="G743" s="324"/>
      <c r="H743" s="324" t="e">
        <f aca="false">общ.калькуляция!j742</f>
        <v>#NAME?</v>
      </c>
      <c r="I743" s="324"/>
      <c r="J743" s="324"/>
      <c r="K743" s="324" t="e">
        <f aca="false">общ.калькуляция!m742</f>
        <v>#NAME?</v>
      </c>
      <c r="L743" s="324"/>
      <c r="M743" s="324"/>
      <c r="N743" s="324" t="e">
        <f aca="false">E743+H743+K743</f>
        <v>#NAME?</v>
      </c>
    </row>
    <row r="744" customFormat="false" ht="15" hidden="false" customHeight="true" outlineLevel="0" collapsed="false">
      <c r="A744" s="28" t="s">
        <v>1229</v>
      </c>
      <c r="B744" s="40" t="s">
        <v>3371</v>
      </c>
      <c r="C744" s="323"/>
      <c r="D744" s="323"/>
      <c r="E744" s="324" t="e">
        <f aca="false">общ.калькуляция!h743</f>
        <v>#NAME?</v>
      </c>
      <c r="F744" s="324"/>
      <c r="G744" s="324"/>
      <c r="H744" s="324" t="e">
        <f aca="false">общ.калькуляция!j743</f>
        <v>#NAME?</v>
      </c>
      <c r="I744" s="324"/>
      <c r="J744" s="324"/>
      <c r="K744" s="324" t="e">
        <f aca="false">общ.калькуляция!m743</f>
        <v>#NAME?</v>
      </c>
      <c r="L744" s="324"/>
      <c r="M744" s="324"/>
      <c r="N744" s="324" t="e">
        <f aca="false">E744+H744+K744</f>
        <v>#NAME?</v>
      </c>
    </row>
    <row r="745" customFormat="false" ht="15" hidden="false" customHeight="true" outlineLevel="0" collapsed="false">
      <c r="A745" s="28" t="s">
        <v>1231</v>
      </c>
      <c r="B745" s="40" t="s">
        <v>3372</v>
      </c>
      <c r="C745" s="323"/>
      <c r="D745" s="323"/>
      <c r="E745" s="324" t="e">
        <f aca="false">общ.калькуляция!h744</f>
        <v>#NAME?</v>
      </c>
      <c r="F745" s="324"/>
      <c r="G745" s="324"/>
      <c r="H745" s="324" t="e">
        <f aca="false">общ.калькуляция!j744</f>
        <v>#NAME?</v>
      </c>
      <c r="I745" s="324"/>
      <c r="J745" s="324"/>
      <c r="K745" s="324" t="e">
        <f aca="false">общ.калькуляция!m744</f>
        <v>#NAME?</v>
      </c>
      <c r="L745" s="324"/>
      <c r="M745" s="324"/>
      <c r="N745" s="324" t="e">
        <f aca="false">E745+H745+K745</f>
        <v>#NAME?</v>
      </c>
    </row>
    <row r="746" customFormat="false" ht="15" hidden="false" customHeight="true" outlineLevel="0" collapsed="false">
      <c r="A746" s="28" t="s">
        <v>1233</v>
      </c>
      <c r="B746" s="40" t="s">
        <v>3373</v>
      </c>
      <c r="C746" s="323"/>
      <c r="D746" s="323"/>
      <c r="E746" s="324" t="e">
        <f aca="false">общ.калькуляция!h745</f>
        <v>#NAME?</v>
      </c>
      <c r="F746" s="324"/>
      <c r="G746" s="324"/>
      <c r="H746" s="324" t="e">
        <f aca="false">общ.калькуляция!j745</f>
        <v>#NAME?</v>
      </c>
      <c r="I746" s="324"/>
      <c r="J746" s="324"/>
      <c r="K746" s="324" t="e">
        <f aca="false">общ.калькуляция!m745</f>
        <v>#NAME?</v>
      </c>
      <c r="L746" s="324"/>
      <c r="M746" s="324"/>
      <c r="N746" s="324" t="e">
        <f aca="false">E746+H746+K746</f>
        <v>#NAME?</v>
      </c>
    </row>
    <row r="747" customFormat="false" ht="15" hidden="false" customHeight="true" outlineLevel="0" collapsed="false">
      <c r="A747" s="28" t="s">
        <v>1235</v>
      </c>
      <c r="B747" s="40" t="s">
        <v>3374</v>
      </c>
      <c r="C747" s="323"/>
      <c r="D747" s="323"/>
      <c r="E747" s="324" t="e">
        <f aca="false">общ.калькуляция!h746</f>
        <v>#NAME?</v>
      </c>
      <c r="F747" s="324"/>
      <c r="G747" s="324"/>
      <c r="H747" s="324" t="e">
        <f aca="false">общ.калькуляция!j746</f>
        <v>#NAME?</v>
      </c>
      <c r="I747" s="324"/>
      <c r="J747" s="324"/>
      <c r="K747" s="324" t="e">
        <f aca="false">общ.калькуляция!m746</f>
        <v>#NAME?</v>
      </c>
      <c r="L747" s="324"/>
      <c r="M747" s="324"/>
      <c r="N747" s="324" t="e">
        <f aca="false">E747+H747+K747</f>
        <v>#NAME?</v>
      </c>
    </row>
    <row r="748" customFormat="false" ht="15" hidden="false" customHeight="true" outlineLevel="0" collapsed="false">
      <c r="A748" s="28" t="s">
        <v>1237</v>
      </c>
      <c r="B748" s="40" t="s">
        <v>3375</v>
      </c>
      <c r="C748" s="323"/>
      <c r="D748" s="323"/>
      <c r="E748" s="324" t="e">
        <f aca="false">общ.калькуляция!h747</f>
        <v>#NAME?</v>
      </c>
      <c r="F748" s="324"/>
      <c r="G748" s="324"/>
      <c r="H748" s="324" t="e">
        <f aca="false">общ.калькуляция!j747</f>
        <v>#NAME?</v>
      </c>
      <c r="I748" s="324"/>
      <c r="J748" s="324"/>
      <c r="K748" s="324" t="e">
        <f aca="false">общ.калькуляция!m747</f>
        <v>#NAME?</v>
      </c>
      <c r="L748" s="324"/>
      <c r="M748" s="324"/>
      <c r="N748" s="324" t="e">
        <f aca="false">E748+H748+K748</f>
        <v>#NAME?</v>
      </c>
    </row>
    <row r="749" customFormat="false" ht="15" hidden="false" customHeight="true" outlineLevel="0" collapsed="false">
      <c r="A749" s="28" t="s">
        <v>1238</v>
      </c>
      <c r="B749" s="40" t="s">
        <v>3376</v>
      </c>
      <c r="C749" s="323"/>
      <c r="D749" s="323"/>
      <c r="E749" s="324" t="e">
        <f aca="false">общ.калькуляция!h748</f>
        <v>#NAME?</v>
      </c>
      <c r="F749" s="324"/>
      <c r="G749" s="324"/>
      <c r="H749" s="324" t="e">
        <f aca="false">общ.калькуляция!j748</f>
        <v>#NAME?</v>
      </c>
      <c r="I749" s="324"/>
      <c r="J749" s="324"/>
      <c r="K749" s="324" t="e">
        <f aca="false">общ.калькуляция!m748</f>
        <v>#NAME?</v>
      </c>
      <c r="L749" s="324"/>
      <c r="M749" s="324"/>
      <c r="N749" s="324" t="e">
        <f aca="false">E749+H749+K749</f>
        <v>#NAME?</v>
      </c>
    </row>
    <row r="750" customFormat="false" ht="15" hidden="false" customHeight="true" outlineLevel="0" collapsed="false">
      <c r="A750" s="28" t="s">
        <v>1240</v>
      </c>
      <c r="B750" s="40" t="s">
        <v>3377</v>
      </c>
      <c r="C750" s="323"/>
      <c r="D750" s="323"/>
      <c r="E750" s="324" t="e">
        <f aca="false">общ.калькуляция!h749</f>
        <v>#NAME?</v>
      </c>
      <c r="F750" s="324"/>
      <c r="G750" s="324"/>
      <c r="H750" s="324" t="e">
        <f aca="false">общ.калькуляция!j749</f>
        <v>#NAME?</v>
      </c>
      <c r="I750" s="324"/>
      <c r="J750" s="324"/>
      <c r="K750" s="324" t="e">
        <f aca="false">общ.калькуляция!m749</f>
        <v>#NAME?</v>
      </c>
      <c r="L750" s="324"/>
      <c r="M750" s="324"/>
      <c r="N750" s="324" t="e">
        <f aca="false">E750+H750+K750</f>
        <v>#NAME?</v>
      </c>
    </row>
    <row r="751" customFormat="false" ht="15" hidden="false" customHeight="true" outlineLevel="0" collapsed="false">
      <c r="A751" s="28" t="s">
        <v>1242</v>
      </c>
      <c r="B751" s="40" t="s">
        <v>3378</v>
      </c>
      <c r="C751" s="323"/>
      <c r="D751" s="323"/>
      <c r="E751" s="324" t="e">
        <f aca="false">общ.калькуляция!h750</f>
        <v>#NAME?</v>
      </c>
      <c r="F751" s="324"/>
      <c r="G751" s="324"/>
      <c r="H751" s="324" t="e">
        <f aca="false">общ.калькуляция!j750</f>
        <v>#NAME?</v>
      </c>
      <c r="I751" s="324"/>
      <c r="J751" s="324"/>
      <c r="K751" s="324" t="e">
        <f aca="false">общ.калькуляция!m750</f>
        <v>#NAME?</v>
      </c>
      <c r="L751" s="324"/>
      <c r="M751" s="324"/>
      <c r="N751" s="324" t="e">
        <f aca="false">E751+H751+K751</f>
        <v>#NAME?</v>
      </c>
    </row>
    <row r="752" customFormat="false" ht="15" hidden="false" customHeight="true" outlineLevel="0" collapsed="false">
      <c r="A752" s="28" t="s">
        <v>1244</v>
      </c>
      <c r="B752" s="40" t="s">
        <v>3379</v>
      </c>
      <c r="C752" s="323"/>
      <c r="D752" s="323"/>
      <c r="E752" s="324" t="e">
        <f aca="false">общ.калькуляция!h751</f>
        <v>#NAME?</v>
      </c>
      <c r="F752" s="324"/>
      <c r="G752" s="324"/>
      <c r="H752" s="324" t="e">
        <f aca="false">общ.калькуляция!j751</f>
        <v>#NAME?</v>
      </c>
      <c r="I752" s="324"/>
      <c r="J752" s="324"/>
      <c r="K752" s="324" t="e">
        <f aca="false">общ.калькуляция!m751</f>
        <v>#NAME?</v>
      </c>
      <c r="L752" s="324"/>
      <c r="M752" s="324"/>
      <c r="N752" s="324" t="e">
        <f aca="false">E752+H752+K752</f>
        <v>#NAME?</v>
      </c>
    </row>
    <row r="753" customFormat="false" ht="15" hidden="false" customHeight="true" outlineLevel="0" collapsed="false">
      <c r="A753" s="28" t="s">
        <v>1246</v>
      </c>
      <c r="B753" s="40" t="s">
        <v>3380</v>
      </c>
      <c r="C753" s="323"/>
      <c r="D753" s="323"/>
      <c r="E753" s="324" t="e">
        <f aca="false">общ.калькуляция!h752</f>
        <v>#NAME?</v>
      </c>
      <c r="F753" s="324"/>
      <c r="G753" s="324"/>
      <c r="H753" s="324" t="e">
        <f aca="false">общ.калькуляция!j752</f>
        <v>#NAME?</v>
      </c>
      <c r="I753" s="324"/>
      <c r="J753" s="324"/>
      <c r="K753" s="324" t="e">
        <f aca="false">общ.калькуляция!m752</f>
        <v>#NAME?</v>
      </c>
      <c r="L753" s="324"/>
      <c r="M753" s="324"/>
      <c r="N753" s="324" t="e">
        <f aca="false">E753+H753+K753</f>
        <v>#NAME?</v>
      </c>
    </row>
    <row r="754" customFormat="false" ht="15" hidden="false" customHeight="true" outlineLevel="0" collapsed="false">
      <c r="A754" s="28" t="s">
        <v>1248</v>
      </c>
      <c r="B754" s="40" t="s">
        <v>3381</v>
      </c>
      <c r="C754" s="323"/>
      <c r="D754" s="323"/>
      <c r="E754" s="324" t="e">
        <f aca="false">общ.калькуляция!h753</f>
        <v>#NAME?</v>
      </c>
      <c r="F754" s="324"/>
      <c r="G754" s="324"/>
      <c r="H754" s="324" t="e">
        <f aca="false">общ.калькуляция!j753</f>
        <v>#NAME?</v>
      </c>
      <c r="I754" s="324"/>
      <c r="J754" s="324"/>
      <c r="K754" s="324" t="e">
        <f aca="false">общ.калькуляция!m753</f>
        <v>#NAME?</v>
      </c>
      <c r="L754" s="324"/>
      <c r="M754" s="324"/>
      <c r="N754" s="324" t="e">
        <f aca="false">E754+H754+K754</f>
        <v>#NAME?</v>
      </c>
    </row>
    <row r="755" customFormat="false" ht="15" hidden="false" customHeight="true" outlineLevel="0" collapsed="false">
      <c r="A755" s="28" t="s">
        <v>1250</v>
      </c>
      <c r="B755" s="40" t="s">
        <v>3382</v>
      </c>
      <c r="C755" s="323"/>
      <c r="D755" s="323"/>
      <c r="E755" s="324" t="e">
        <f aca="false">общ.калькуляция!h754</f>
        <v>#NAME?</v>
      </c>
      <c r="F755" s="324"/>
      <c r="G755" s="324"/>
      <c r="H755" s="324" t="e">
        <f aca="false">общ.калькуляция!j754</f>
        <v>#NAME?</v>
      </c>
      <c r="I755" s="324"/>
      <c r="J755" s="324"/>
      <c r="K755" s="324" t="e">
        <f aca="false">общ.калькуляция!m754</f>
        <v>#NAME?</v>
      </c>
      <c r="L755" s="324"/>
      <c r="M755" s="324"/>
      <c r="N755" s="324" t="e">
        <f aca="false">E755+H755+K755</f>
        <v>#NAME?</v>
      </c>
    </row>
    <row r="756" customFormat="false" ht="15" hidden="false" customHeight="true" outlineLevel="0" collapsed="false">
      <c r="A756" s="28" t="s">
        <v>1252</v>
      </c>
      <c r="B756" s="40" t="s">
        <v>3383</v>
      </c>
      <c r="C756" s="323"/>
      <c r="D756" s="323"/>
      <c r="E756" s="324" t="e">
        <f aca="false">общ.калькуляция!h755</f>
        <v>#NAME?</v>
      </c>
      <c r="F756" s="324"/>
      <c r="G756" s="324"/>
      <c r="H756" s="324" t="e">
        <f aca="false">общ.калькуляция!j755</f>
        <v>#NAME?</v>
      </c>
      <c r="I756" s="324"/>
      <c r="J756" s="324"/>
      <c r="K756" s="324" t="e">
        <f aca="false">общ.калькуляция!m755</f>
        <v>#NAME?</v>
      </c>
      <c r="L756" s="324"/>
      <c r="M756" s="324"/>
      <c r="N756" s="324" t="e">
        <f aca="false">E756+H756+K756</f>
        <v>#NAME?</v>
      </c>
    </row>
    <row r="757" customFormat="false" ht="15" hidden="false" customHeight="true" outlineLevel="0" collapsed="false">
      <c r="A757" s="28" t="s">
        <v>1254</v>
      </c>
      <c r="B757" s="40" t="s">
        <v>3384</v>
      </c>
      <c r="C757" s="323"/>
      <c r="D757" s="323"/>
      <c r="E757" s="324" t="e">
        <f aca="false">общ.калькуляция!h756</f>
        <v>#NAME?</v>
      </c>
      <c r="F757" s="324"/>
      <c r="G757" s="324"/>
      <c r="H757" s="324" t="e">
        <f aca="false">общ.калькуляция!j756</f>
        <v>#NAME?</v>
      </c>
      <c r="I757" s="324"/>
      <c r="J757" s="324"/>
      <c r="K757" s="324" t="e">
        <f aca="false">общ.калькуляция!m756</f>
        <v>#NAME?</v>
      </c>
      <c r="L757" s="324"/>
      <c r="M757" s="324"/>
      <c r="N757" s="324" t="e">
        <f aca="false">E757+H757+K757</f>
        <v>#NAME?</v>
      </c>
    </row>
    <row r="758" customFormat="false" ht="15" hidden="false" customHeight="true" outlineLevel="0" collapsed="false">
      <c r="A758" s="28" t="s">
        <v>1256</v>
      </c>
      <c r="B758" s="40" t="s">
        <v>3385</v>
      </c>
      <c r="C758" s="323"/>
      <c r="D758" s="323"/>
      <c r="E758" s="324" t="e">
        <f aca="false">общ.калькуляция!h757</f>
        <v>#NAME?</v>
      </c>
      <c r="F758" s="324"/>
      <c r="G758" s="324"/>
      <c r="H758" s="324" t="e">
        <f aca="false">общ.калькуляция!j757</f>
        <v>#NAME?</v>
      </c>
      <c r="I758" s="324"/>
      <c r="J758" s="324"/>
      <c r="K758" s="324" t="e">
        <f aca="false">общ.калькуляция!m757</f>
        <v>#NAME?</v>
      </c>
      <c r="L758" s="324"/>
      <c r="M758" s="324"/>
      <c r="N758" s="324" t="e">
        <f aca="false">E758+H758+K758</f>
        <v>#NAME?</v>
      </c>
    </row>
    <row r="759" customFormat="false" ht="15" hidden="false" customHeight="true" outlineLevel="0" collapsed="false">
      <c r="A759" s="28" t="s">
        <v>1258</v>
      </c>
      <c r="B759" s="40" t="s">
        <v>3386</v>
      </c>
      <c r="C759" s="323"/>
      <c r="D759" s="323"/>
      <c r="E759" s="324" t="e">
        <f aca="false">общ.калькуляция!h758</f>
        <v>#NAME?</v>
      </c>
      <c r="F759" s="324"/>
      <c r="G759" s="324"/>
      <c r="H759" s="324" t="e">
        <f aca="false">общ.калькуляция!j758</f>
        <v>#NAME?</v>
      </c>
      <c r="I759" s="324"/>
      <c r="J759" s="324"/>
      <c r="K759" s="324" t="e">
        <f aca="false">общ.калькуляция!m758</f>
        <v>#NAME?</v>
      </c>
      <c r="L759" s="324"/>
      <c r="M759" s="324"/>
      <c r="N759" s="324" t="e">
        <f aca="false">E759+H759+K759</f>
        <v>#NAME?</v>
      </c>
    </row>
    <row r="760" customFormat="false" ht="15" hidden="false" customHeight="true" outlineLevel="0" collapsed="false">
      <c r="A760" s="28" t="s">
        <v>1260</v>
      </c>
      <c r="B760" s="40" t="s">
        <v>3387</v>
      </c>
      <c r="C760" s="323"/>
      <c r="D760" s="323"/>
      <c r="E760" s="324" t="e">
        <f aca="false">общ.калькуляция!h759</f>
        <v>#NAME?</v>
      </c>
      <c r="F760" s="324"/>
      <c r="G760" s="324"/>
      <c r="H760" s="324" t="e">
        <f aca="false">общ.калькуляция!j759</f>
        <v>#NAME?</v>
      </c>
      <c r="I760" s="324"/>
      <c r="J760" s="324"/>
      <c r="K760" s="324" t="e">
        <f aca="false">общ.калькуляция!m759</f>
        <v>#NAME?</v>
      </c>
      <c r="L760" s="324"/>
      <c r="M760" s="324"/>
      <c r="N760" s="324" t="e">
        <f aca="false">E760+H760+K760</f>
        <v>#NAME?</v>
      </c>
    </row>
    <row r="761" customFormat="false" ht="15" hidden="false" customHeight="true" outlineLevel="0" collapsed="false">
      <c r="A761" s="28" t="s">
        <v>1262</v>
      </c>
      <c r="B761" s="40" t="s">
        <v>3388</v>
      </c>
      <c r="C761" s="323"/>
      <c r="D761" s="323"/>
      <c r="E761" s="324" t="e">
        <f aca="false">общ.калькуляция!h760</f>
        <v>#NAME?</v>
      </c>
      <c r="F761" s="324"/>
      <c r="G761" s="324"/>
      <c r="H761" s="324" t="e">
        <f aca="false">общ.калькуляция!j760</f>
        <v>#NAME?</v>
      </c>
      <c r="I761" s="324"/>
      <c r="J761" s="324"/>
      <c r="K761" s="324" t="e">
        <f aca="false">общ.калькуляция!m760</f>
        <v>#NAME?</v>
      </c>
      <c r="L761" s="324"/>
      <c r="M761" s="324"/>
      <c r="N761" s="324" t="e">
        <f aca="false">E761+H761+K761</f>
        <v>#NAME?</v>
      </c>
    </row>
    <row r="762" customFormat="false" ht="15" hidden="false" customHeight="true" outlineLevel="0" collapsed="false">
      <c r="A762" s="28" t="s">
        <v>1264</v>
      </c>
      <c r="B762" s="40" t="s">
        <v>3389</v>
      </c>
      <c r="C762" s="323"/>
      <c r="D762" s="323"/>
      <c r="E762" s="324" t="e">
        <f aca="false">общ.калькуляция!h761</f>
        <v>#NAME?</v>
      </c>
      <c r="F762" s="324"/>
      <c r="G762" s="324"/>
      <c r="H762" s="324" t="e">
        <f aca="false">общ.калькуляция!j761</f>
        <v>#NAME?</v>
      </c>
      <c r="I762" s="324"/>
      <c r="J762" s="324"/>
      <c r="K762" s="324" t="e">
        <f aca="false">общ.калькуляция!m761</f>
        <v>#NAME?</v>
      </c>
      <c r="L762" s="324"/>
      <c r="M762" s="324"/>
      <c r="N762" s="324" t="e">
        <f aca="false">E762+H762+K762</f>
        <v>#NAME?</v>
      </c>
    </row>
    <row r="763" customFormat="false" ht="15" hidden="false" customHeight="true" outlineLevel="0" collapsed="false">
      <c r="A763" s="28" t="s">
        <v>1266</v>
      </c>
      <c r="B763" s="40" t="s">
        <v>3390</v>
      </c>
      <c r="C763" s="323"/>
      <c r="D763" s="323"/>
      <c r="E763" s="324" t="e">
        <f aca="false">общ.калькуляция!h762</f>
        <v>#NAME?</v>
      </c>
      <c r="F763" s="324"/>
      <c r="G763" s="324"/>
      <c r="H763" s="324" t="e">
        <f aca="false">общ.калькуляция!j762</f>
        <v>#NAME?</v>
      </c>
      <c r="I763" s="324"/>
      <c r="J763" s="324"/>
      <c r="K763" s="324" t="e">
        <f aca="false">общ.калькуляция!m762</f>
        <v>#NAME?</v>
      </c>
      <c r="L763" s="324"/>
      <c r="M763" s="324"/>
      <c r="N763" s="324" t="e">
        <f aca="false">E763+H763+K763</f>
        <v>#NAME?</v>
      </c>
    </row>
    <row r="764" customFormat="false" ht="15" hidden="false" customHeight="true" outlineLevel="0" collapsed="false">
      <c r="A764" s="28" t="s">
        <v>1268</v>
      </c>
      <c r="B764" s="40" t="s">
        <v>3391</v>
      </c>
      <c r="C764" s="323"/>
      <c r="D764" s="323"/>
      <c r="E764" s="324" t="e">
        <f aca="false">общ.калькуляция!h763</f>
        <v>#NAME?</v>
      </c>
      <c r="F764" s="324"/>
      <c r="G764" s="324"/>
      <c r="H764" s="324" t="e">
        <f aca="false">общ.калькуляция!j763</f>
        <v>#NAME?</v>
      </c>
      <c r="I764" s="324"/>
      <c r="J764" s="324"/>
      <c r="K764" s="324" t="e">
        <f aca="false">общ.калькуляция!m763</f>
        <v>#NAME?</v>
      </c>
      <c r="L764" s="324"/>
      <c r="M764" s="324"/>
      <c r="N764" s="324" t="e">
        <f aca="false">E764+H764+K764</f>
        <v>#NAME?</v>
      </c>
    </row>
    <row r="765" customFormat="false" ht="15" hidden="false" customHeight="true" outlineLevel="0" collapsed="false">
      <c r="A765" s="28" t="s">
        <v>1270</v>
      </c>
      <c r="B765" s="40" t="s">
        <v>3392</v>
      </c>
      <c r="C765" s="323"/>
      <c r="D765" s="323"/>
      <c r="E765" s="324" t="e">
        <f aca="false">общ.калькуляция!h764</f>
        <v>#NAME?</v>
      </c>
      <c r="F765" s="324"/>
      <c r="G765" s="324"/>
      <c r="H765" s="324" t="e">
        <f aca="false">общ.калькуляция!j764</f>
        <v>#NAME?</v>
      </c>
      <c r="I765" s="324"/>
      <c r="J765" s="324"/>
      <c r="K765" s="324" t="e">
        <f aca="false">общ.калькуляция!m764</f>
        <v>#NAME?</v>
      </c>
      <c r="L765" s="324"/>
      <c r="M765" s="324"/>
      <c r="N765" s="324" t="e">
        <f aca="false">E765+H765+K765</f>
        <v>#NAME?</v>
      </c>
    </row>
    <row r="766" customFormat="false" ht="15" hidden="false" customHeight="true" outlineLevel="0" collapsed="false">
      <c r="A766" s="28" t="s">
        <v>1272</v>
      </c>
      <c r="B766" s="40" t="s">
        <v>3393</v>
      </c>
      <c r="C766" s="323"/>
      <c r="D766" s="323"/>
      <c r="E766" s="324" t="e">
        <f aca="false">общ.калькуляция!h765</f>
        <v>#NAME?</v>
      </c>
      <c r="F766" s="324"/>
      <c r="G766" s="324"/>
      <c r="H766" s="324" t="e">
        <f aca="false">общ.калькуляция!j765</f>
        <v>#NAME?</v>
      </c>
      <c r="I766" s="324"/>
      <c r="J766" s="324"/>
      <c r="K766" s="324" t="e">
        <f aca="false">общ.калькуляция!m765</f>
        <v>#NAME?</v>
      </c>
      <c r="L766" s="324"/>
      <c r="M766" s="324"/>
      <c r="N766" s="324" t="e">
        <f aca="false">E766+H766+K766</f>
        <v>#NAME?</v>
      </c>
    </row>
    <row r="767" customFormat="false" ht="15" hidden="false" customHeight="true" outlineLevel="0" collapsed="false">
      <c r="A767" s="28" t="s">
        <v>1274</v>
      </c>
      <c r="B767" s="40" t="s">
        <v>3394</v>
      </c>
      <c r="C767" s="323"/>
      <c r="D767" s="323"/>
      <c r="E767" s="324" t="e">
        <f aca="false">общ.калькуляция!h766</f>
        <v>#NAME?</v>
      </c>
      <c r="F767" s="324"/>
      <c r="G767" s="324"/>
      <c r="H767" s="324" t="e">
        <f aca="false">общ.калькуляция!j766</f>
        <v>#NAME?</v>
      </c>
      <c r="I767" s="324"/>
      <c r="J767" s="324"/>
      <c r="K767" s="324" t="e">
        <f aca="false">общ.калькуляция!m766</f>
        <v>#NAME?</v>
      </c>
      <c r="L767" s="324"/>
      <c r="M767" s="324"/>
      <c r="N767" s="324" t="e">
        <f aca="false">E767+H767+K767</f>
        <v>#NAME?</v>
      </c>
    </row>
    <row r="768" customFormat="false" ht="15" hidden="false" customHeight="true" outlineLevel="0" collapsed="false">
      <c r="A768" s="28" t="s">
        <v>1276</v>
      </c>
      <c r="B768" s="40" t="s">
        <v>3395</v>
      </c>
      <c r="C768" s="323"/>
      <c r="D768" s="323"/>
      <c r="E768" s="324" t="e">
        <f aca="false">общ.калькуляция!h767</f>
        <v>#NAME?</v>
      </c>
      <c r="F768" s="324"/>
      <c r="G768" s="324"/>
      <c r="H768" s="324" t="e">
        <f aca="false">общ.калькуляция!j767</f>
        <v>#NAME?</v>
      </c>
      <c r="I768" s="324"/>
      <c r="J768" s="324"/>
      <c r="K768" s="324" t="e">
        <f aca="false">общ.калькуляция!m767</f>
        <v>#NAME?</v>
      </c>
      <c r="L768" s="324"/>
      <c r="M768" s="324"/>
      <c r="N768" s="324" t="e">
        <f aca="false">E768+H768+K768</f>
        <v>#NAME?</v>
      </c>
    </row>
    <row r="769" customFormat="false" ht="15" hidden="false" customHeight="true" outlineLevel="0" collapsed="false">
      <c r="A769" s="28" t="s">
        <v>1278</v>
      </c>
      <c r="B769" s="40" t="s">
        <v>3396</v>
      </c>
      <c r="C769" s="323"/>
      <c r="D769" s="323"/>
      <c r="E769" s="324" t="e">
        <f aca="false">общ.калькуляция!h768</f>
        <v>#NAME?</v>
      </c>
      <c r="F769" s="324"/>
      <c r="G769" s="324"/>
      <c r="H769" s="324" t="e">
        <f aca="false">общ.калькуляция!j768</f>
        <v>#NAME?</v>
      </c>
      <c r="I769" s="324"/>
      <c r="J769" s="324"/>
      <c r="K769" s="324" t="e">
        <f aca="false">общ.калькуляция!m768</f>
        <v>#NAME?</v>
      </c>
      <c r="L769" s="324"/>
      <c r="M769" s="324"/>
      <c r="N769" s="324" t="e">
        <f aca="false">E769+H769+K769</f>
        <v>#NAME?</v>
      </c>
    </row>
    <row r="770" customFormat="false" ht="16.5" hidden="false" customHeight="true" outlineLevel="0" collapsed="false">
      <c r="A770" s="341" t="s">
        <v>1280</v>
      </c>
      <c r="B770" s="342" t="s">
        <v>3397</v>
      </c>
      <c r="C770" s="316"/>
      <c r="D770" s="316"/>
      <c r="E770" s="324" t="e">
        <f aca="false">общ.калькуляция!h769</f>
        <v>#NAME?</v>
      </c>
      <c r="F770" s="112"/>
      <c r="G770" s="112"/>
      <c r="H770" s="324" t="e">
        <f aca="false">общ.калькуляция!j769</f>
        <v>#NAME?</v>
      </c>
      <c r="I770" s="112"/>
      <c r="J770" s="112"/>
      <c r="K770" s="324" t="e">
        <f aca="false">общ.калькуляция!m769</f>
        <v>#NAME?</v>
      </c>
      <c r="L770" s="112"/>
      <c r="M770" s="112"/>
      <c r="N770" s="112" t="e">
        <f aca="false">E770+H770+K770</f>
        <v>#NAME?</v>
      </c>
    </row>
    <row r="771" customFormat="false" ht="19.5" hidden="false" customHeight="true" outlineLevel="0" collapsed="false">
      <c r="A771" s="343" t="s">
        <v>3398</v>
      </c>
      <c r="B771" s="318" t="s">
        <v>3399</v>
      </c>
      <c r="C771" s="319"/>
      <c r="D771" s="319"/>
      <c r="E771" s="344"/>
      <c r="F771" s="344"/>
      <c r="G771" s="344"/>
      <c r="H771" s="344"/>
      <c r="I771" s="344"/>
      <c r="J771" s="344"/>
      <c r="K771" s="344"/>
      <c r="L771" s="344"/>
      <c r="M771" s="344"/>
      <c r="N771" s="344"/>
    </row>
    <row r="772" customFormat="false" ht="15" hidden="false" customHeight="true" outlineLevel="0" collapsed="false">
      <c r="A772" s="28" t="s">
        <v>1284</v>
      </c>
      <c r="B772" s="59" t="s">
        <v>3400</v>
      </c>
      <c r="C772" s="323"/>
      <c r="D772" s="323"/>
      <c r="E772" s="324" t="e">
        <f aca="false">общ.калькуляция!h771</f>
        <v>#NAME?</v>
      </c>
      <c r="F772" s="324"/>
      <c r="G772" s="324"/>
      <c r="H772" s="324" t="e">
        <f aca="false">общ.калькуляция!j771</f>
        <v>#NAME?</v>
      </c>
      <c r="I772" s="324"/>
      <c r="J772" s="324"/>
      <c r="K772" s="324" t="e">
        <f aca="false">общ.калькуляция!m771</f>
        <v>#NAME?</v>
      </c>
      <c r="L772" s="324"/>
      <c r="M772" s="324"/>
      <c r="N772" s="324" t="e">
        <f aca="false">E772+H772+K772</f>
        <v>#NAME?</v>
      </c>
    </row>
    <row r="773" customFormat="false" ht="15" hidden="false" customHeight="true" outlineLevel="0" collapsed="false">
      <c r="A773" s="28" t="s">
        <v>1286</v>
      </c>
      <c r="B773" s="59" t="s">
        <v>3401</v>
      </c>
      <c r="C773" s="323"/>
      <c r="D773" s="323"/>
      <c r="E773" s="324" t="e">
        <f aca="false">общ.калькуляция!h772</f>
        <v>#NAME?</v>
      </c>
      <c r="F773" s="324"/>
      <c r="G773" s="324"/>
      <c r="H773" s="324" t="e">
        <f aca="false">общ.калькуляция!j772</f>
        <v>#NAME?</v>
      </c>
      <c r="I773" s="324"/>
      <c r="J773" s="324"/>
      <c r="K773" s="324" t="e">
        <f aca="false">общ.калькуляция!m772</f>
        <v>#NAME?</v>
      </c>
      <c r="L773" s="324"/>
      <c r="M773" s="324"/>
      <c r="N773" s="324" t="e">
        <f aca="false">E773+H773+K773</f>
        <v>#NAME?</v>
      </c>
    </row>
    <row r="774" customFormat="false" ht="15" hidden="false" customHeight="true" outlineLevel="0" collapsed="false">
      <c r="A774" s="28" t="s">
        <v>1288</v>
      </c>
      <c r="B774" s="59" t="s">
        <v>3402</v>
      </c>
      <c r="C774" s="323"/>
      <c r="D774" s="323"/>
      <c r="E774" s="324" t="e">
        <f aca="false">общ.калькуляция!h773</f>
        <v>#NAME?</v>
      </c>
      <c r="F774" s="324"/>
      <c r="G774" s="324"/>
      <c r="H774" s="324" t="e">
        <f aca="false">общ.калькуляция!j773</f>
        <v>#NAME?</v>
      </c>
      <c r="I774" s="324"/>
      <c r="J774" s="324"/>
      <c r="K774" s="324" t="e">
        <f aca="false">общ.калькуляция!m773</f>
        <v>#NAME?</v>
      </c>
      <c r="L774" s="324"/>
      <c r="M774" s="324"/>
      <c r="N774" s="324" t="e">
        <f aca="false">E774+H774+K774</f>
        <v>#NAME?</v>
      </c>
    </row>
    <row r="775" customFormat="false" ht="15" hidden="false" customHeight="true" outlineLevel="0" collapsed="false">
      <c r="A775" s="28" t="s">
        <v>1290</v>
      </c>
      <c r="B775" s="59" t="s">
        <v>3403</v>
      </c>
      <c r="C775" s="323"/>
      <c r="D775" s="323"/>
      <c r="E775" s="324" t="e">
        <f aca="false">общ.калькуляция!h774</f>
        <v>#NAME?</v>
      </c>
      <c r="F775" s="324"/>
      <c r="G775" s="324"/>
      <c r="H775" s="324" t="e">
        <f aca="false">общ.калькуляция!j774</f>
        <v>#NAME?</v>
      </c>
      <c r="I775" s="324"/>
      <c r="J775" s="324"/>
      <c r="K775" s="324" t="e">
        <f aca="false">общ.калькуляция!m774</f>
        <v>#NAME?</v>
      </c>
      <c r="L775" s="324"/>
      <c r="M775" s="324"/>
      <c r="N775" s="324" t="e">
        <f aca="false">E775+H775+K775</f>
        <v>#NAME?</v>
      </c>
    </row>
    <row r="776" customFormat="false" ht="15" hidden="false" customHeight="true" outlineLevel="0" collapsed="false">
      <c r="A776" s="28" t="s">
        <v>1292</v>
      </c>
      <c r="B776" s="59" t="s">
        <v>3404</v>
      </c>
      <c r="C776" s="323"/>
      <c r="D776" s="323"/>
      <c r="E776" s="324" t="e">
        <f aca="false">общ.калькуляция!h775</f>
        <v>#NAME?</v>
      </c>
      <c r="F776" s="324"/>
      <c r="G776" s="324"/>
      <c r="H776" s="324" t="e">
        <f aca="false">общ.калькуляция!j775</f>
        <v>#NAME?</v>
      </c>
      <c r="I776" s="324"/>
      <c r="J776" s="324"/>
      <c r="K776" s="324" t="e">
        <f aca="false">общ.калькуляция!m775</f>
        <v>#NAME?</v>
      </c>
      <c r="L776" s="324"/>
      <c r="M776" s="324"/>
      <c r="N776" s="324" t="e">
        <f aca="false">E776+H776+K776</f>
        <v>#NAME?</v>
      </c>
    </row>
    <row r="777" customFormat="false" ht="15" hidden="false" customHeight="true" outlineLevel="0" collapsed="false">
      <c r="A777" s="28" t="s">
        <v>1294</v>
      </c>
      <c r="B777" s="59" t="s">
        <v>3405</v>
      </c>
      <c r="C777" s="323"/>
      <c r="D777" s="323"/>
      <c r="E777" s="324" t="e">
        <f aca="false">общ.калькуляция!h776</f>
        <v>#NAME?</v>
      </c>
      <c r="F777" s="324"/>
      <c r="G777" s="324"/>
      <c r="H777" s="324" t="e">
        <f aca="false">общ.калькуляция!j776</f>
        <v>#NAME?</v>
      </c>
      <c r="I777" s="324"/>
      <c r="J777" s="324"/>
      <c r="K777" s="324" t="e">
        <f aca="false">общ.калькуляция!m776</f>
        <v>#NAME?</v>
      </c>
      <c r="L777" s="324"/>
      <c r="M777" s="324"/>
      <c r="N777" s="324" t="e">
        <f aca="false">E777+H777+K777</f>
        <v>#NAME?</v>
      </c>
    </row>
    <row r="778" customFormat="false" ht="15" hidden="false" customHeight="true" outlineLevel="0" collapsed="false">
      <c r="A778" s="28" t="s">
        <v>1296</v>
      </c>
      <c r="B778" s="59" t="s">
        <v>3406</v>
      </c>
      <c r="C778" s="323"/>
      <c r="D778" s="323"/>
      <c r="E778" s="324" t="e">
        <f aca="false">общ.калькуляция!h777</f>
        <v>#NAME?</v>
      </c>
      <c r="F778" s="324"/>
      <c r="G778" s="324"/>
      <c r="H778" s="324" t="e">
        <f aca="false">общ.калькуляция!j777</f>
        <v>#NAME?</v>
      </c>
      <c r="I778" s="324"/>
      <c r="J778" s="324"/>
      <c r="K778" s="324" t="e">
        <f aca="false">общ.калькуляция!m777</f>
        <v>#NAME?</v>
      </c>
      <c r="L778" s="324"/>
      <c r="M778" s="324"/>
      <c r="N778" s="324" t="e">
        <f aca="false">E778+H778+K778</f>
        <v>#NAME?</v>
      </c>
    </row>
    <row r="779" customFormat="false" ht="15" hidden="false" customHeight="true" outlineLevel="0" collapsed="false">
      <c r="A779" s="28" t="s">
        <v>1298</v>
      </c>
      <c r="B779" s="59" t="s">
        <v>3407</v>
      </c>
      <c r="C779" s="323"/>
      <c r="D779" s="323"/>
      <c r="E779" s="324" t="e">
        <f aca="false">общ.калькуляция!h778</f>
        <v>#NAME?</v>
      </c>
      <c r="F779" s="324"/>
      <c r="G779" s="324"/>
      <c r="H779" s="324" t="e">
        <f aca="false">общ.калькуляция!j778</f>
        <v>#NAME?</v>
      </c>
      <c r="I779" s="324"/>
      <c r="J779" s="324"/>
      <c r="K779" s="324" t="e">
        <f aca="false">общ.калькуляция!m778</f>
        <v>#NAME?</v>
      </c>
      <c r="L779" s="324"/>
      <c r="M779" s="324"/>
      <c r="N779" s="324" t="e">
        <f aca="false">E779+H779+K779</f>
        <v>#NAME?</v>
      </c>
    </row>
    <row r="780" customFormat="false" ht="15" hidden="false" customHeight="true" outlineLevel="0" collapsed="false">
      <c r="A780" s="28" t="s">
        <v>1300</v>
      </c>
      <c r="B780" s="59" t="s">
        <v>3408</v>
      </c>
      <c r="C780" s="323"/>
      <c r="D780" s="323"/>
      <c r="E780" s="324" t="e">
        <f aca="false">общ.калькуляция!h779</f>
        <v>#NAME?</v>
      </c>
      <c r="F780" s="324"/>
      <c r="G780" s="324"/>
      <c r="H780" s="324" t="e">
        <f aca="false">общ.калькуляция!j779</f>
        <v>#NAME?</v>
      </c>
      <c r="I780" s="324"/>
      <c r="J780" s="324"/>
      <c r="K780" s="324" t="e">
        <f aca="false">общ.калькуляция!m779</f>
        <v>#NAME?</v>
      </c>
      <c r="L780" s="324"/>
      <c r="M780" s="324"/>
      <c r="N780" s="324" t="e">
        <f aca="false">E780+H780+K780</f>
        <v>#NAME?</v>
      </c>
    </row>
    <row r="781" customFormat="false" ht="15" hidden="false" customHeight="true" outlineLevel="0" collapsed="false">
      <c r="A781" s="28" t="s">
        <v>1302</v>
      </c>
      <c r="B781" s="59" t="s">
        <v>3409</v>
      </c>
      <c r="C781" s="323"/>
      <c r="D781" s="323"/>
      <c r="E781" s="324" t="e">
        <f aca="false">общ.калькуляция!h780</f>
        <v>#NAME?</v>
      </c>
      <c r="F781" s="324"/>
      <c r="G781" s="324"/>
      <c r="H781" s="324" t="e">
        <f aca="false">общ.калькуляция!j780</f>
        <v>#NAME?</v>
      </c>
      <c r="I781" s="324"/>
      <c r="J781" s="324"/>
      <c r="K781" s="324" t="e">
        <f aca="false">общ.калькуляция!m780</f>
        <v>#NAME?</v>
      </c>
      <c r="L781" s="324"/>
      <c r="M781" s="324"/>
      <c r="N781" s="324" t="e">
        <f aca="false">E781+H781+K781</f>
        <v>#NAME?</v>
      </c>
    </row>
    <row r="782" customFormat="false" ht="15" hidden="false" customHeight="true" outlineLevel="0" collapsed="false">
      <c r="A782" s="28" t="s">
        <v>1304</v>
      </c>
      <c r="B782" s="59" t="s">
        <v>3410</v>
      </c>
      <c r="C782" s="323"/>
      <c r="D782" s="323"/>
      <c r="E782" s="324" t="e">
        <f aca="false">общ.калькуляция!h781</f>
        <v>#NAME?</v>
      </c>
      <c r="F782" s="324"/>
      <c r="G782" s="324"/>
      <c r="H782" s="324" t="e">
        <f aca="false">общ.калькуляция!j781</f>
        <v>#NAME?</v>
      </c>
      <c r="I782" s="324"/>
      <c r="J782" s="324"/>
      <c r="K782" s="324" t="e">
        <f aca="false">общ.калькуляция!m781</f>
        <v>#NAME?</v>
      </c>
      <c r="L782" s="324"/>
      <c r="M782" s="324"/>
      <c r="N782" s="324" t="e">
        <f aca="false">E782+H782+K782</f>
        <v>#NAME?</v>
      </c>
    </row>
    <row r="783" customFormat="false" ht="15" hidden="false" customHeight="true" outlineLevel="0" collapsed="false">
      <c r="A783" s="28" t="s">
        <v>1306</v>
      </c>
      <c r="B783" s="59" t="s">
        <v>3411</v>
      </c>
      <c r="C783" s="323"/>
      <c r="D783" s="323"/>
      <c r="E783" s="324" t="e">
        <f aca="false">общ.калькуляция!h782</f>
        <v>#NAME?</v>
      </c>
      <c r="F783" s="324"/>
      <c r="G783" s="324"/>
      <c r="H783" s="324" t="e">
        <f aca="false">общ.калькуляция!j782</f>
        <v>#NAME?</v>
      </c>
      <c r="I783" s="324"/>
      <c r="J783" s="324"/>
      <c r="K783" s="324" t="e">
        <f aca="false">общ.калькуляция!m782</f>
        <v>#NAME?</v>
      </c>
      <c r="L783" s="324"/>
      <c r="M783" s="324"/>
      <c r="N783" s="324" t="e">
        <f aca="false">E783+H783+K783</f>
        <v>#NAME?</v>
      </c>
    </row>
    <row r="784" customFormat="false" ht="15" hidden="false" customHeight="true" outlineLevel="0" collapsed="false">
      <c r="A784" s="28" t="s">
        <v>1308</v>
      </c>
      <c r="B784" s="59" t="s">
        <v>3412</v>
      </c>
      <c r="C784" s="323"/>
      <c r="D784" s="323"/>
      <c r="E784" s="324" t="e">
        <f aca="false">общ.калькуляция!h783</f>
        <v>#NAME?</v>
      </c>
      <c r="F784" s="324"/>
      <c r="G784" s="324"/>
      <c r="H784" s="324" t="e">
        <f aca="false">общ.калькуляция!j783</f>
        <v>#NAME?</v>
      </c>
      <c r="I784" s="324"/>
      <c r="J784" s="324"/>
      <c r="K784" s="324" t="e">
        <f aca="false">общ.калькуляция!m783</f>
        <v>#NAME?</v>
      </c>
      <c r="L784" s="324"/>
      <c r="M784" s="324"/>
      <c r="N784" s="324" t="e">
        <f aca="false">E784+H784+K784</f>
        <v>#NAME?</v>
      </c>
    </row>
    <row r="785" customFormat="false" ht="15" hidden="false" customHeight="true" outlineLevel="0" collapsed="false">
      <c r="A785" s="28" t="s">
        <v>1310</v>
      </c>
      <c r="B785" s="72" t="s">
        <v>3413</v>
      </c>
      <c r="C785" s="323"/>
      <c r="D785" s="323"/>
      <c r="E785" s="324" t="e">
        <f aca="false">общ.калькуляция!h784</f>
        <v>#NAME?</v>
      </c>
      <c r="F785" s="324"/>
      <c r="G785" s="324"/>
      <c r="H785" s="324" t="e">
        <f aca="false">общ.калькуляция!j784</f>
        <v>#NAME?</v>
      </c>
      <c r="I785" s="324"/>
      <c r="J785" s="324"/>
      <c r="K785" s="324" t="e">
        <f aca="false">общ.калькуляция!m784</f>
        <v>#NAME?</v>
      </c>
      <c r="L785" s="324"/>
      <c r="M785" s="324"/>
      <c r="N785" s="324" t="e">
        <f aca="false">E785+H785+K785</f>
        <v>#NAME?</v>
      </c>
    </row>
    <row r="786" customFormat="false" ht="15" hidden="false" customHeight="true" outlineLevel="0" collapsed="false">
      <c r="A786" s="28" t="s">
        <v>1312</v>
      </c>
      <c r="B786" s="59" t="s">
        <v>3414</v>
      </c>
      <c r="C786" s="323"/>
      <c r="D786" s="323"/>
      <c r="E786" s="324" t="e">
        <f aca="false">общ.калькуляция!h785</f>
        <v>#NAME?</v>
      </c>
      <c r="F786" s="324"/>
      <c r="G786" s="324"/>
      <c r="H786" s="324" t="e">
        <f aca="false">общ.калькуляция!j785</f>
        <v>#NAME?</v>
      </c>
      <c r="I786" s="324"/>
      <c r="J786" s="324"/>
      <c r="K786" s="324" t="e">
        <f aca="false">общ.калькуляция!m785</f>
        <v>#NAME?</v>
      </c>
      <c r="L786" s="324"/>
      <c r="M786" s="324"/>
      <c r="N786" s="324" t="e">
        <f aca="false">E786+H786+K786</f>
        <v>#NAME?</v>
      </c>
    </row>
    <row r="787" customFormat="false" ht="15" hidden="false" customHeight="true" outlineLevel="0" collapsed="false">
      <c r="A787" s="28" t="s">
        <v>1314</v>
      </c>
      <c r="B787" s="59" t="s">
        <v>3415</v>
      </c>
      <c r="C787" s="323"/>
      <c r="D787" s="323"/>
      <c r="E787" s="324" t="e">
        <f aca="false">общ.калькуляция!h786</f>
        <v>#NAME?</v>
      </c>
      <c r="F787" s="324"/>
      <c r="G787" s="324"/>
      <c r="H787" s="324" t="e">
        <f aca="false">общ.калькуляция!j786</f>
        <v>#NAME?</v>
      </c>
      <c r="I787" s="324"/>
      <c r="J787" s="324"/>
      <c r="K787" s="324" t="e">
        <f aca="false">общ.калькуляция!m786</f>
        <v>#NAME?</v>
      </c>
      <c r="L787" s="324"/>
      <c r="M787" s="324"/>
      <c r="N787" s="324" t="e">
        <f aca="false">E787+H787+K787</f>
        <v>#NAME?</v>
      </c>
    </row>
    <row r="788" customFormat="false" ht="15" hidden="false" customHeight="true" outlineLevel="0" collapsed="false">
      <c r="A788" s="28" t="s">
        <v>1316</v>
      </c>
      <c r="B788" s="41" t="s">
        <v>3416</v>
      </c>
      <c r="C788" s="323"/>
      <c r="D788" s="323"/>
      <c r="E788" s="324" t="e">
        <f aca="false">общ.калькуляция!h787</f>
        <v>#NAME?</v>
      </c>
      <c r="F788" s="324"/>
      <c r="G788" s="324"/>
      <c r="H788" s="324" t="e">
        <f aca="false">общ.калькуляция!j787</f>
        <v>#NAME?</v>
      </c>
      <c r="I788" s="324"/>
      <c r="J788" s="324"/>
      <c r="K788" s="324" t="e">
        <f aca="false">общ.калькуляция!m787</f>
        <v>#NAME?</v>
      </c>
      <c r="L788" s="324"/>
      <c r="M788" s="324"/>
      <c r="N788" s="324" t="e">
        <f aca="false">E788+H788+K788</f>
        <v>#NAME?</v>
      </c>
    </row>
    <row r="789" customFormat="false" ht="33.75" hidden="false" customHeight="true" outlineLevel="0" collapsed="false">
      <c r="A789" s="28" t="s">
        <v>1318</v>
      </c>
      <c r="B789" s="53" t="s">
        <v>3417</v>
      </c>
      <c r="C789" s="323"/>
      <c r="D789" s="323"/>
      <c r="E789" s="324" t="e">
        <f aca="false">общ.калькуляция!h788</f>
        <v>#NAME?</v>
      </c>
      <c r="F789" s="324"/>
      <c r="G789" s="324"/>
      <c r="H789" s="324" t="e">
        <f aca="false">общ.калькуляция!j788</f>
        <v>#NAME?</v>
      </c>
      <c r="I789" s="324"/>
      <c r="J789" s="324"/>
      <c r="K789" s="324" t="e">
        <f aca="false">общ.калькуляция!m788</f>
        <v>#NAME?</v>
      </c>
      <c r="L789" s="324"/>
      <c r="M789" s="324"/>
      <c r="N789" s="324" t="e">
        <f aca="false">E789+H789+K789</f>
        <v>#NAME?</v>
      </c>
    </row>
    <row r="790" customFormat="false" ht="34.5" hidden="false" customHeight="true" outlineLevel="0" collapsed="false">
      <c r="A790" s="68" t="s">
        <v>1320</v>
      </c>
      <c r="B790" s="345" t="s">
        <v>3418</v>
      </c>
      <c r="C790" s="68"/>
      <c r="D790" s="345"/>
      <c r="E790" s="68"/>
      <c r="F790" s="345"/>
      <c r="G790" s="68"/>
      <c r="H790" s="345"/>
      <c r="I790" s="68"/>
      <c r="J790" s="345"/>
      <c r="K790" s="68"/>
      <c r="L790" s="345"/>
      <c r="M790" s="68"/>
      <c r="N790" s="345"/>
    </row>
    <row r="791" customFormat="false" ht="42.75" hidden="false" customHeight="false" outlineLevel="0" collapsed="false">
      <c r="A791" s="77" t="s">
        <v>1322</v>
      </c>
      <c r="B791" s="346" t="s">
        <v>3419</v>
      </c>
      <c r="C791" s="321"/>
      <c r="D791" s="321"/>
      <c r="E791" s="329"/>
      <c r="F791" s="329"/>
      <c r="G791" s="329"/>
      <c r="H791" s="329"/>
      <c r="I791" s="329"/>
      <c r="J791" s="329"/>
      <c r="K791" s="329"/>
      <c r="L791" s="329"/>
      <c r="M791" s="329"/>
      <c r="N791" s="329"/>
    </row>
    <row r="792" customFormat="false" ht="15" hidden="false" customHeight="true" outlineLevel="0" collapsed="false">
      <c r="A792" s="28" t="s">
        <v>1324</v>
      </c>
      <c r="B792" s="29" t="s">
        <v>3420</v>
      </c>
      <c r="C792" s="323"/>
      <c r="D792" s="323"/>
      <c r="E792" s="324" t="e">
        <f aca="false">общ.калькуляция!h791</f>
        <v>#NAME?</v>
      </c>
      <c r="F792" s="324"/>
      <c r="G792" s="324"/>
      <c r="H792" s="324" t="e">
        <f aca="false">общ.калькуляция!j791</f>
        <v>#NAME?</v>
      </c>
      <c r="I792" s="324"/>
      <c r="J792" s="324"/>
      <c r="K792" s="324" t="e">
        <f aca="false">общ.калькуляция!m791</f>
        <v>#NAME?</v>
      </c>
      <c r="L792" s="324"/>
      <c r="M792" s="324"/>
      <c r="N792" s="324" t="e">
        <f aca="false">E792+H792+K792</f>
        <v>#NAME?</v>
      </c>
    </row>
    <row r="793" customFormat="false" ht="15" hidden="false" customHeight="true" outlineLevel="0" collapsed="false">
      <c r="A793" s="28" t="s">
        <v>1325</v>
      </c>
      <c r="B793" s="29" t="s">
        <v>3421</v>
      </c>
      <c r="C793" s="323"/>
      <c r="D793" s="323"/>
      <c r="E793" s="324" t="e">
        <f aca="false">общ.калькуляция!h792</f>
        <v>#NAME?</v>
      </c>
      <c r="F793" s="324"/>
      <c r="G793" s="324"/>
      <c r="H793" s="324" t="e">
        <f aca="false">общ.калькуляция!j792</f>
        <v>#NAME?</v>
      </c>
      <c r="I793" s="324"/>
      <c r="J793" s="324"/>
      <c r="K793" s="324" t="e">
        <f aca="false">общ.калькуляция!m792</f>
        <v>#NAME?</v>
      </c>
      <c r="L793" s="324"/>
      <c r="M793" s="324"/>
      <c r="N793" s="324" t="e">
        <f aca="false">E793+H793+K793</f>
        <v>#NAME?</v>
      </c>
    </row>
    <row r="794" customFormat="false" ht="15" hidden="false" customHeight="true" outlineLevel="0" collapsed="false">
      <c r="A794" s="28" t="s">
        <v>1327</v>
      </c>
      <c r="B794" s="29" t="s">
        <v>3422</v>
      </c>
      <c r="C794" s="323"/>
      <c r="D794" s="323"/>
      <c r="E794" s="324" t="e">
        <f aca="false">общ.калькуляция!h793</f>
        <v>#NAME?</v>
      </c>
      <c r="F794" s="324"/>
      <c r="G794" s="324"/>
      <c r="H794" s="324" t="e">
        <f aca="false">общ.калькуляция!j793</f>
        <v>#NAME?</v>
      </c>
      <c r="I794" s="324"/>
      <c r="J794" s="324"/>
      <c r="K794" s="324" t="e">
        <f aca="false">общ.калькуляция!m793</f>
        <v>#NAME?</v>
      </c>
      <c r="L794" s="324"/>
      <c r="M794" s="324"/>
      <c r="N794" s="324" t="e">
        <f aca="false">E794+H794+K794</f>
        <v>#NAME?</v>
      </c>
    </row>
    <row r="795" customFormat="false" ht="15" hidden="false" customHeight="true" outlineLevel="0" collapsed="false">
      <c r="A795" s="28" t="s">
        <v>1329</v>
      </c>
      <c r="B795" s="78" t="s">
        <v>3423</v>
      </c>
      <c r="C795" s="323"/>
      <c r="D795" s="323"/>
      <c r="E795" s="324" t="e">
        <f aca="false">общ.калькуляция!h794</f>
        <v>#NAME?</v>
      </c>
      <c r="F795" s="324"/>
      <c r="G795" s="324"/>
      <c r="H795" s="324" t="e">
        <f aca="false">общ.калькуляция!j794</f>
        <v>#NAME?</v>
      </c>
      <c r="I795" s="324"/>
      <c r="J795" s="324"/>
      <c r="K795" s="324" t="e">
        <f aca="false">общ.калькуляция!m794</f>
        <v>#NAME?</v>
      </c>
      <c r="L795" s="324"/>
      <c r="M795" s="324"/>
      <c r="N795" s="324" t="e">
        <f aca="false">E795+H795+K795</f>
        <v>#NAME?</v>
      </c>
    </row>
    <row r="796" customFormat="false" ht="15" hidden="false" customHeight="true" outlineLevel="0" collapsed="false">
      <c r="A796" s="28" t="s">
        <v>1331</v>
      </c>
      <c r="B796" s="78" t="s">
        <v>3424</v>
      </c>
      <c r="C796" s="323"/>
      <c r="D796" s="323"/>
      <c r="E796" s="324" t="e">
        <f aca="false">общ.калькуляция!h795</f>
        <v>#NAME?</v>
      </c>
      <c r="F796" s="324"/>
      <c r="G796" s="324"/>
      <c r="H796" s="324" t="e">
        <f aca="false">общ.калькуляция!j795</f>
        <v>#NAME?</v>
      </c>
      <c r="I796" s="324"/>
      <c r="J796" s="324"/>
      <c r="K796" s="324" t="e">
        <f aca="false">общ.калькуляция!m795</f>
        <v>#NAME?</v>
      </c>
      <c r="L796" s="324"/>
      <c r="M796" s="324"/>
      <c r="N796" s="324" t="e">
        <f aca="false">E796+H796+K796</f>
        <v>#NAME?</v>
      </c>
    </row>
    <row r="797" customFormat="false" ht="15" hidden="false" customHeight="true" outlineLevel="0" collapsed="false">
      <c r="A797" s="28" t="s">
        <v>1333</v>
      </c>
      <c r="B797" s="29" t="s">
        <v>3425</v>
      </c>
      <c r="C797" s="323"/>
      <c r="D797" s="323"/>
      <c r="E797" s="324" t="e">
        <f aca="false">общ.калькуляция!h796</f>
        <v>#NAME?</v>
      </c>
      <c r="F797" s="324"/>
      <c r="G797" s="324"/>
      <c r="H797" s="324" t="e">
        <f aca="false">общ.калькуляция!j796</f>
        <v>#NAME?</v>
      </c>
      <c r="I797" s="324"/>
      <c r="J797" s="324"/>
      <c r="K797" s="324" t="e">
        <f aca="false">общ.калькуляция!m796</f>
        <v>#NAME?</v>
      </c>
      <c r="L797" s="324"/>
      <c r="M797" s="324"/>
      <c r="N797" s="324" t="e">
        <f aca="false">E797+H797+K797</f>
        <v>#NAME?</v>
      </c>
    </row>
    <row r="798" customFormat="false" ht="15" hidden="false" customHeight="true" outlineLevel="0" collapsed="false">
      <c r="A798" s="28" t="s">
        <v>1335</v>
      </c>
      <c r="B798" s="29" t="s">
        <v>3426</v>
      </c>
      <c r="C798" s="323"/>
      <c r="D798" s="323"/>
      <c r="E798" s="324" t="e">
        <f aca="false">общ.калькуляция!h797</f>
        <v>#NAME?</v>
      </c>
      <c r="F798" s="324"/>
      <c r="G798" s="324"/>
      <c r="H798" s="324" t="e">
        <f aca="false">общ.калькуляция!j797</f>
        <v>#NAME?</v>
      </c>
      <c r="I798" s="324"/>
      <c r="J798" s="324"/>
      <c r="K798" s="324" t="e">
        <f aca="false">общ.калькуляция!m797</f>
        <v>#NAME?</v>
      </c>
      <c r="L798" s="324"/>
      <c r="M798" s="324"/>
      <c r="N798" s="324" t="e">
        <f aca="false">E798+H798+K798</f>
        <v>#NAME?</v>
      </c>
    </row>
    <row r="799" customFormat="false" ht="15" hidden="false" customHeight="true" outlineLevel="0" collapsed="false">
      <c r="A799" s="28" t="s">
        <v>1337</v>
      </c>
      <c r="B799" s="29" t="s">
        <v>3427</v>
      </c>
      <c r="C799" s="323"/>
      <c r="D799" s="323"/>
      <c r="E799" s="324" t="e">
        <f aca="false">общ.калькуляция!h798</f>
        <v>#NAME?</v>
      </c>
      <c r="F799" s="324"/>
      <c r="G799" s="324"/>
      <c r="H799" s="324" t="e">
        <f aca="false">общ.калькуляция!j798</f>
        <v>#NAME?</v>
      </c>
      <c r="I799" s="324"/>
      <c r="J799" s="324"/>
      <c r="K799" s="324" t="e">
        <f aca="false">общ.калькуляция!m798</f>
        <v>#NAME?</v>
      </c>
      <c r="L799" s="324"/>
      <c r="M799" s="324"/>
      <c r="N799" s="324" t="e">
        <f aca="false">E799+H799+K799</f>
        <v>#NAME?</v>
      </c>
    </row>
    <row r="800" customFormat="false" ht="15" hidden="false" customHeight="true" outlineLevel="0" collapsed="false">
      <c r="A800" s="28" t="s">
        <v>1339</v>
      </c>
      <c r="B800" s="29" t="s">
        <v>3428</v>
      </c>
      <c r="C800" s="323"/>
      <c r="D800" s="323"/>
      <c r="E800" s="324" t="e">
        <f aca="false">общ.калькуляция!h799</f>
        <v>#NAME?</v>
      </c>
      <c r="F800" s="324"/>
      <c r="G800" s="324"/>
      <c r="H800" s="324" t="e">
        <f aca="false">общ.калькуляция!j799</f>
        <v>#NAME?</v>
      </c>
      <c r="I800" s="324"/>
      <c r="J800" s="324"/>
      <c r="K800" s="324" t="e">
        <f aca="false">общ.калькуляция!m799</f>
        <v>#NAME?</v>
      </c>
      <c r="L800" s="324"/>
      <c r="M800" s="324"/>
      <c r="N800" s="324" t="e">
        <f aca="false">E800+H800+K800</f>
        <v>#NAME?</v>
      </c>
    </row>
    <row r="801" customFormat="false" ht="15" hidden="false" customHeight="true" outlineLevel="0" collapsed="false">
      <c r="A801" s="28" t="s">
        <v>1341</v>
      </c>
      <c r="B801" s="29" t="s">
        <v>3429</v>
      </c>
      <c r="C801" s="323"/>
      <c r="D801" s="323"/>
      <c r="E801" s="324" t="e">
        <f aca="false">общ.калькуляция!h800</f>
        <v>#NAME?</v>
      </c>
      <c r="F801" s="324"/>
      <c r="G801" s="324"/>
      <c r="H801" s="324" t="e">
        <f aca="false">общ.калькуляция!j800</f>
        <v>#NAME?</v>
      </c>
      <c r="I801" s="324"/>
      <c r="J801" s="324"/>
      <c r="K801" s="324" t="e">
        <f aca="false">общ.калькуляция!m800</f>
        <v>#NAME?</v>
      </c>
      <c r="L801" s="324"/>
      <c r="M801" s="324"/>
      <c r="N801" s="324" t="e">
        <f aca="false">E801+H801+K801</f>
        <v>#NAME?</v>
      </c>
    </row>
    <row r="802" customFormat="false" ht="15" hidden="false" customHeight="true" outlineLevel="0" collapsed="false">
      <c r="A802" s="28" t="s">
        <v>1343</v>
      </c>
      <c r="B802" s="29" t="s">
        <v>3430</v>
      </c>
      <c r="C802" s="323"/>
      <c r="D802" s="323"/>
      <c r="E802" s="324" t="e">
        <f aca="false">общ.калькуляция!h801</f>
        <v>#NAME?</v>
      </c>
      <c r="F802" s="324"/>
      <c r="G802" s="324"/>
      <c r="H802" s="324" t="e">
        <f aca="false">общ.калькуляция!j801</f>
        <v>#NAME?</v>
      </c>
      <c r="I802" s="324"/>
      <c r="J802" s="324"/>
      <c r="K802" s="324" t="e">
        <f aca="false">общ.калькуляция!m801</f>
        <v>#NAME?</v>
      </c>
      <c r="L802" s="324"/>
      <c r="M802" s="324"/>
      <c r="N802" s="324" t="e">
        <f aca="false">E802+H802+K802</f>
        <v>#NAME?</v>
      </c>
    </row>
    <row r="803" customFormat="false" ht="15" hidden="false" customHeight="true" outlineLevel="0" collapsed="false">
      <c r="A803" s="28" t="s">
        <v>1345</v>
      </c>
      <c r="B803" s="29" t="s">
        <v>3431</v>
      </c>
      <c r="C803" s="323"/>
      <c r="D803" s="323"/>
      <c r="E803" s="324" t="e">
        <f aca="false">общ.калькуляция!h802</f>
        <v>#NAME?</v>
      </c>
      <c r="F803" s="324"/>
      <c r="G803" s="324"/>
      <c r="H803" s="324" t="e">
        <f aca="false">общ.калькуляция!j802</f>
        <v>#NAME?</v>
      </c>
      <c r="I803" s="324"/>
      <c r="J803" s="324"/>
      <c r="K803" s="324" t="e">
        <f aca="false">общ.калькуляция!m802</f>
        <v>#NAME?</v>
      </c>
      <c r="L803" s="324"/>
      <c r="M803" s="324"/>
      <c r="N803" s="324" t="e">
        <f aca="false">E803+H803+K803</f>
        <v>#NAME?</v>
      </c>
    </row>
    <row r="804" customFormat="false" ht="15" hidden="false" customHeight="true" outlineLevel="0" collapsed="false">
      <c r="A804" s="28" t="s">
        <v>1346</v>
      </c>
      <c r="B804" s="29" t="s">
        <v>3199</v>
      </c>
      <c r="C804" s="323"/>
      <c r="D804" s="323"/>
      <c r="E804" s="324" t="e">
        <f aca="false">общ.калькуляция!h803</f>
        <v>#NAME?</v>
      </c>
      <c r="F804" s="324"/>
      <c r="G804" s="324"/>
      <c r="H804" s="324" t="e">
        <f aca="false">общ.калькуляция!j803</f>
        <v>#NAME?</v>
      </c>
      <c r="I804" s="324"/>
      <c r="J804" s="324"/>
      <c r="K804" s="324" t="e">
        <f aca="false">общ.калькуляция!m803</f>
        <v>#NAME?</v>
      </c>
      <c r="L804" s="324"/>
      <c r="M804" s="324"/>
      <c r="N804" s="324" t="e">
        <f aca="false">E804+H804+K804</f>
        <v>#NAME?</v>
      </c>
    </row>
    <row r="805" customFormat="false" ht="15" hidden="false" customHeight="true" outlineLevel="0" collapsed="false">
      <c r="A805" s="28" t="s">
        <v>1347</v>
      </c>
      <c r="B805" s="29" t="s">
        <v>3432</v>
      </c>
      <c r="C805" s="323"/>
      <c r="D805" s="323"/>
      <c r="E805" s="324" t="e">
        <f aca="false">общ.калькуляция!h804</f>
        <v>#NAME?</v>
      </c>
      <c r="F805" s="324"/>
      <c r="G805" s="324"/>
      <c r="H805" s="324" t="e">
        <f aca="false">общ.калькуляция!j804</f>
        <v>#NAME?</v>
      </c>
      <c r="I805" s="324"/>
      <c r="J805" s="324"/>
      <c r="K805" s="324" t="e">
        <f aca="false">общ.калькуляция!m804</f>
        <v>#NAME?</v>
      </c>
      <c r="L805" s="324"/>
      <c r="M805" s="324"/>
      <c r="N805" s="324" t="e">
        <f aca="false">E805+H805+K805</f>
        <v>#NAME?</v>
      </c>
    </row>
    <row r="806" customFormat="false" ht="15" hidden="false" customHeight="true" outlineLevel="0" collapsed="false">
      <c r="A806" s="28" t="s">
        <v>1349</v>
      </c>
      <c r="B806" s="29" t="s">
        <v>3433</v>
      </c>
      <c r="C806" s="323"/>
      <c r="D806" s="323"/>
      <c r="E806" s="324" t="e">
        <f aca="false">общ.калькуляция!h805</f>
        <v>#NAME?</v>
      </c>
      <c r="F806" s="324"/>
      <c r="G806" s="324"/>
      <c r="H806" s="324" t="e">
        <f aca="false">общ.калькуляция!j805</f>
        <v>#NAME?</v>
      </c>
      <c r="I806" s="324"/>
      <c r="J806" s="324"/>
      <c r="K806" s="324" t="e">
        <f aca="false">общ.калькуляция!m805</f>
        <v>#NAME?</v>
      </c>
      <c r="L806" s="324"/>
      <c r="M806" s="324"/>
      <c r="N806" s="324" t="e">
        <f aca="false">E806+H806+K806</f>
        <v>#NAME?</v>
      </c>
    </row>
    <row r="807" customFormat="false" ht="15" hidden="false" customHeight="true" outlineLevel="0" collapsed="false">
      <c r="A807" s="28" t="s">
        <v>1350</v>
      </c>
      <c r="B807" s="29" t="s">
        <v>3434</v>
      </c>
      <c r="C807" s="323"/>
      <c r="D807" s="323"/>
      <c r="E807" s="324" t="e">
        <f aca="false">общ.калькуляция!h806</f>
        <v>#NAME?</v>
      </c>
      <c r="F807" s="324"/>
      <c r="G807" s="324"/>
      <c r="H807" s="324" t="e">
        <f aca="false">общ.калькуляция!j806</f>
        <v>#NAME?</v>
      </c>
      <c r="I807" s="324"/>
      <c r="J807" s="324"/>
      <c r="K807" s="324" t="e">
        <f aca="false">общ.калькуляция!m806</f>
        <v>#NAME?</v>
      </c>
      <c r="L807" s="324"/>
      <c r="M807" s="324"/>
      <c r="N807" s="324" t="e">
        <f aca="false">E807+H807+K807</f>
        <v>#NAME?</v>
      </c>
    </row>
    <row r="808" customFormat="false" ht="15" hidden="false" customHeight="true" outlineLevel="0" collapsed="false">
      <c r="A808" s="28" t="s">
        <v>1351</v>
      </c>
      <c r="B808" s="29" t="s">
        <v>3435</v>
      </c>
      <c r="C808" s="323"/>
      <c r="D808" s="323"/>
      <c r="E808" s="324" t="e">
        <f aca="false">общ.калькуляция!h807</f>
        <v>#NAME?</v>
      </c>
      <c r="F808" s="324"/>
      <c r="G808" s="324"/>
      <c r="H808" s="324" t="e">
        <f aca="false">общ.калькуляция!j807</f>
        <v>#NAME?</v>
      </c>
      <c r="I808" s="324"/>
      <c r="J808" s="324"/>
      <c r="K808" s="324" t="e">
        <f aca="false">общ.калькуляция!m807</f>
        <v>#NAME?</v>
      </c>
      <c r="L808" s="324"/>
      <c r="M808" s="324"/>
      <c r="N808" s="324" t="e">
        <f aca="false">E808+H808+K808</f>
        <v>#NAME?</v>
      </c>
    </row>
    <row r="809" customFormat="false" ht="15" hidden="false" customHeight="true" outlineLevel="0" collapsed="false">
      <c r="A809" s="28" t="s">
        <v>1353</v>
      </c>
      <c r="B809" s="29" t="s">
        <v>2913</v>
      </c>
      <c r="C809" s="323"/>
      <c r="D809" s="323"/>
      <c r="E809" s="324" t="e">
        <f aca="false">общ.калькуляция!h808</f>
        <v>#NAME?</v>
      </c>
      <c r="F809" s="324"/>
      <c r="G809" s="324"/>
      <c r="H809" s="324" t="e">
        <f aca="false">общ.калькуляция!j808</f>
        <v>#NAME?</v>
      </c>
      <c r="I809" s="324"/>
      <c r="J809" s="324"/>
      <c r="K809" s="324" t="e">
        <f aca="false">общ.калькуляция!m808</f>
        <v>#NAME?</v>
      </c>
      <c r="L809" s="324"/>
      <c r="M809" s="324"/>
      <c r="N809" s="324" t="e">
        <f aca="false">E809+H809+K809</f>
        <v>#NAME?</v>
      </c>
    </row>
    <row r="810" customFormat="false" ht="15" hidden="false" customHeight="true" outlineLevel="0" collapsed="false">
      <c r="A810" s="28" t="s">
        <v>1354</v>
      </c>
      <c r="B810" s="78" t="s">
        <v>3104</v>
      </c>
      <c r="C810" s="323"/>
      <c r="D810" s="323"/>
      <c r="E810" s="324" t="e">
        <f aca="false">общ.калькуляция!h809</f>
        <v>#NAME?</v>
      </c>
      <c r="F810" s="324"/>
      <c r="G810" s="324"/>
      <c r="H810" s="324" t="e">
        <f aca="false">общ.калькуляция!j809</f>
        <v>#NAME?</v>
      </c>
      <c r="I810" s="324"/>
      <c r="J810" s="324"/>
      <c r="K810" s="324" t="e">
        <f aca="false">общ.калькуляция!m809</f>
        <v>#NAME?</v>
      </c>
      <c r="L810" s="324"/>
      <c r="M810" s="324"/>
      <c r="N810" s="324" t="e">
        <f aca="false">E810+H810+K810</f>
        <v>#NAME?</v>
      </c>
    </row>
    <row r="811" customFormat="false" ht="15" hidden="false" customHeight="true" outlineLevel="0" collapsed="false">
      <c r="A811" s="28" t="s">
        <v>1355</v>
      </c>
      <c r="B811" s="29" t="s">
        <v>3436</v>
      </c>
      <c r="C811" s="323"/>
      <c r="D811" s="323"/>
      <c r="E811" s="324" t="e">
        <f aca="false">общ.калькуляция!h810</f>
        <v>#NAME?</v>
      </c>
      <c r="F811" s="324"/>
      <c r="G811" s="324"/>
      <c r="H811" s="324" t="e">
        <f aca="false">общ.калькуляция!j810</f>
        <v>#NAME?</v>
      </c>
      <c r="I811" s="324"/>
      <c r="J811" s="324"/>
      <c r="K811" s="324" t="e">
        <f aca="false">общ.калькуляция!m810</f>
        <v>#NAME?</v>
      </c>
      <c r="L811" s="324"/>
      <c r="M811" s="324"/>
      <c r="N811" s="324" t="e">
        <f aca="false">E811+H811+K811</f>
        <v>#NAME?</v>
      </c>
    </row>
    <row r="812" customFormat="false" ht="15" hidden="false" customHeight="true" outlineLevel="0" collapsed="false">
      <c r="A812" s="28" t="s">
        <v>1356</v>
      </c>
      <c r="B812" s="29" t="s">
        <v>3437</v>
      </c>
      <c r="C812" s="323"/>
      <c r="D812" s="323"/>
      <c r="E812" s="324" t="e">
        <f aca="false">общ.калькуляция!h811</f>
        <v>#NAME?</v>
      </c>
      <c r="F812" s="324"/>
      <c r="G812" s="324"/>
      <c r="H812" s="324" t="e">
        <f aca="false">общ.калькуляция!j811</f>
        <v>#NAME?</v>
      </c>
      <c r="I812" s="324"/>
      <c r="J812" s="324"/>
      <c r="K812" s="324" t="e">
        <f aca="false">общ.калькуляция!m811</f>
        <v>#NAME?</v>
      </c>
      <c r="L812" s="324"/>
      <c r="M812" s="324"/>
      <c r="N812" s="324" t="e">
        <f aca="false">E812+H812+K812</f>
        <v>#NAME?</v>
      </c>
    </row>
    <row r="813" customFormat="false" ht="15" hidden="false" customHeight="true" outlineLevel="0" collapsed="false">
      <c r="A813" s="28" t="s">
        <v>1357</v>
      </c>
      <c r="B813" s="29" t="s">
        <v>3438</v>
      </c>
      <c r="C813" s="323"/>
      <c r="D813" s="323"/>
      <c r="E813" s="324" t="e">
        <f aca="false">общ.калькуляция!h812</f>
        <v>#NAME?</v>
      </c>
      <c r="F813" s="324"/>
      <c r="G813" s="324"/>
      <c r="H813" s="324" t="e">
        <f aca="false">общ.калькуляция!j812</f>
        <v>#NAME?</v>
      </c>
      <c r="I813" s="324"/>
      <c r="J813" s="324"/>
      <c r="K813" s="324" t="e">
        <f aca="false">общ.калькуляция!m812</f>
        <v>#NAME?</v>
      </c>
      <c r="L813" s="324"/>
      <c r="M813" s="324"/>
      <c r="N813" s="324" t="e">
        <f aca="false">E813+H813+K813</f>
        <v>#NAME?</v>
      </c>
    </row>
    <row r="814" customFormat="false" ht="15" hidden="false" customHeight="true" outlineLevel="0" collapsed="false">
      <c r="A814" s="28" t="s">
        <v>1359</v>
      </c>
      <c r="B814" s="29" t="s">
        <v>3439</v>
      </c>
      <c r="C814" s="323"/>
      <c r="D814" s="323"/>
      <c r="E814" s="324" t="e">
        <f aca="false">общ.калькуляция!h813</f>
        <v>#NAME?</v>
      </c>
      <c r="F814" s="324"/>
      <c r="G814" s="324"/>
      <c r="H814" s="324" t="e">
        <f aca="false">общ.калькуляция!j813</f>
        <v>#NAME?</v>
      </c>
      <c r="I814" s="324"/>
      <c r="J814" s="324"/>
      <c r="K814" s="324" t="e">
        <f aca="false">общ.калькуляция!m813</f>
        <v>#NAME?</v>
      </c>
      <c r="L814" s="324"/>
      <c r="M814" s="324"/>
      <c r="N814" s="324" t="e">
        <f aca="false">E814+H814+K814</f>
        <v>#NAME?</v>
      </c>
    </row>
    <row r="815" customFormat="false" ht="15" hidden="false" customHeight="true" outlineLevel="0" collapsed="false">
      <c r="A815" s="28" t="s">
        <v>1361</v>
      </c>
      <c r="B815" s="29" t="s">
        <v>3440</v>
      </c>
      <c r="C815" s="323"/>
      <c r="D815" s="323"/>
      <c r="E815" s="324" t="e">
        <f aca="false">общ.калькуляция!h814</f>
        <v>#NAME?</v>
      </c>
      <c r="F815" s="324"/>
      <c r="G815" s="324"/>
      <c r="H815" s="324" t="e">
        <f aca="false">общ.калькуляция!j814</f>
        <v>#NAME?</v>
      </c>
      <c r="I815" s="324"/>
      <c r="J815" s="324"/>
      <c r="K815" s="324" t="e">
        <f aca="false">общ.калькуляция!m814</f>
        <v>#NAME?</v>
      </c>
      <c r="L815" s="324"/>
      <c r="M815" s="324"/>
      <c r="N815" s="324" t="e">
        <f aca="false">E815+H815+K815</f>
        <v>#NAME?</v>
      </c>
    </row>
    <row r="816" customFormat="false" ht="15" hidden="false" customHeight="true" outlineLevel="0" collapsed="false">
      <c r="A816" s="28" t="s">
        <v>1363</v>
      </c>
      <c r="B816" s="29" t="s">
        <v>3441</v>
      </c>
      <c r="C816" s="323"/>
      <c r="D816" s="323"/>
      <c r="E816" s="324" t="e">
        <f aca="false">общ.калькуляция!h815</f>
        <v>#NAME?</v>
      </c>
      <c r="F816" s="324"/>
      <c r="G816" s="324"/>
      <c r="H816" s="324" t="e">
        <f aca="false">общ.калькуляция!j815</f>
        <v>#NAME?</v>
      </c>
      <c r="I816" s="324"/>
      <c r="J816" s="324"/>
      <c r="K816" s="324" t="e">
        <f aca="false">общ.калькуляция!m815</f>
        <v>#NAME?</v>
      </c>
      <c r="L816" s="324"/>
      <c r="M816" s="324"/>
      <c r="N816" s="324" t="e">
        <f aca="false">E816+H816+K816</f>
        <v>#NAME?</v>
      </c>
    </row>
    <row r="817" customFormat="false" ht="15" hidden="false" customHeight="true" outlineLevel="0" collapsed="false">
      <c r="A817" s="28" t="s">
        <v>1365</v>
      </c>
      <c r="B817" s="29" t="s">
        <v>3442</v>
      </c>
      <c r="C817" s="323"/>
      <c r="D817" s="323"/>
      <c r="E817" s="324" t="e">
        <f aca="false">общ.калькуляция!h816</f>
        <v>#NAME?</v>
      </c>
      <c r="F817" s="324"/>
      <c r="G817" s="324"/>
      <c r="H817" s="324" t="e">
        <f aca="false">общ.калькуляция!j816</f>
        <v>#NAME?</v>
      </c>
      <c r="I817" s="324"/>
      <c r="J817" s="324"/>
      <c r="K817" s="324" t="e">
        <f aca="false">общ.калькуляция!m816</f>
        <v>#NAME?</v>
      </c>
      <c r="L817" s="324"/>
      <c r="M817" s="324"/>
      <c r="N817" s="324" t="e">
        <f aca="false">E817+H817+K817</f>
        <v>#NAME?</v>
      </c>
    </row>
    <row r="818" customFormat="false" ht="15" hidden="false" customHeight="true" outlineLevel="0" collapsed="false">
      <c r="A818" s="28" t="s">
        <v>1367</v>
      </c>
      <c r="B818" s="29" t="s">
        <v>3443</v>
      </c>
      <c r="C818" s="323"/>
      <c r="D818" s="323"/>
      <c r="E818" s="324" t="e">
        <f aca="false">общ.калькуляция!h817</f>
        <v>#NAME?</v>
      </c>
      <c r="F818" s="324"/>
      <c r="G818" s="324"/>
      <c r="H818" s="324" t="e">
        <f aca="false">общ.калькуляция!j817</f>
        <v>#NAME?</v>
      </c>
      <c r="I818" s="324"/>
      <c r="J818" s="324"/>
      <c r="K818" s="324" t="e">
        <f aca="false">общ.калькуляция!m817</f>
        <v>#NAME?</v>
      </c>
      <c r="L818" s="324"/>
      <c r="M818" s="324"/>
      <c r="N818" s="324" t="e">
        <f aca="false">E818+H818+K818</f>
        <v>#NAME?</v>
      </c>
    </row>
    <row r="819" customFormat="false" ht="15" hidden="false" customHeight="true" outlineLevel="0" collapsed="false">
      <c r="A819" s="28" t="s">
        <v>1369</v>
      </c>
      <c r="B819" s="29" t="s">
        <v>3444</v>
      </c>
      <c r="C819" s="323"/>
      <c r="D819" s="323"/>
      <c r="E819" s="324" t="e">
        <f aca="false">общ.калькуляция!h818</f>
        <v>#NAME?</v>
      </c>
      <c r="F819" s="324"/>
      <c r="G819" s="324"/>
      <c r="H819" s="324" t="e">
        <f aca="false">общ.калькуляция!j818</f>
        <v>#NAME?</v>
      </c>
      <c r="I819" s="324"/>
      <c r="J819" s="324"/>
      <c r="K819" s="324" t="e">
        <f aca="false">общ.калькуляция!m818</f>
        <v>#NAME?</v>
      </c>
      <c r="L819" s="324"/>
      <c r="M819" s="324"/>
      <c r="N819" s="324" t="e">
        <f aca="false">E819+H819+K819</f>
        <v>#NAME?</v>
      </c>
    </row>
    <row r="820" customFormat="false" ht="15" hidden="false" customHeight="true" outlineLevel="0" collapsed="false">
      <c r="A820" s="28" t="s">
        <v>1371</v>
      </c>
      <c r="B820" s="29" t="s">
        <v>3445</v>
      </c>
      <c r="C820" s="323"/>
      <c r="D820" s="323"/>
      <c r="E820" s="324" t="e">
        <f aca="false">общ.калькуляция!h819</f>
        <v>#NAME?</v>
      </c>
      <c r="F820" s="324"/>
      <c r="G820" s="324"/>
      <c r="H820" s="324" t="e">
        <f aca="false">общ.калькуляция!j819</f>
        <v>#NAME?</v>
      </c>
      <c r="I820" s="324"/>
      <c r="J820" s="324"/>
      <c r="K820" s="324" t="e">
        <f aca="false">общ.калькуляция!m819</f>
        <v>#NAME?</v>
      </c>
      <c r="L820" s="324"/>
      <c r="M820" s="324"/>
      <c r="N820" s="324" t="e">
        <f aca="false">E820+H820+K820</f>
        <v>#NAME?</v>
      </c>
    </row>
    <row r="821" customFormat="false" ht="15" hidden="false" customHeight="true" outlineLevel="0" collapsed="false">
      <c r="A821" s="28" t="s">
        <v>1373</v>
      </c>
      <c r="B821" s="29" t="s">
        <v>3446</v>
      </c>
      <c r="C821" s="323"/>
      <c r="D821" s="323"/>
      <c r="E821" s="324" t="e">
        <f aca="false">общ.калькуляция!h820</f>
        <v>#NAME?</v>
      </c>
      <c r="F821" s="324"/>
      <c r="G821" s="324"/>
      <c r="H821" s="324" t="e">
        <f aca="false">общ.калькуляция!j820</f>
        <v>#NAME?</v>
      </c>
      <c r="I821" s="324"/>
      <c r="J821" s="324"/>
      <c r="K821" s="324" t="e">
        <f aca="false">общ.калькуляция!m820</f>
        <v>#NAME?</v>
      </c>
      <c r="L821" s="324"/>
      <c r="M821" s="324"/>
      <c r="N821" s="324" t="e">
        <f aca="false">E821+H821+K821</f>
        <v>#NAME?</v>
      </c>
    </row>
    <row r="822" customFormat="false" ht="15" hidden="false" customHeight="true" outlineLevel="0" collapsed="false">
      <c r="A822" s="28" t="s">
        <v>1375</v>
      </c>
      <c r="B822" s="29" t="s">
        <v>3447</v>
      </c>
      <c r="C822" s="323"/>
      <c r="D822" s="323"/>
      <c r="E822" s="324" t="e">
        <f aca="false">общ.калькуляция!h821</f>
        <v>#NAME?</v>
      </c>
      <c r="F822" s="324"/>
      <c r="G822" s="324"/>
      <c r="H822" s="324" t="e">
        <f aca="false">общ.калькуляция!j821</f>
        <v>#NAME?</v>
      </c>
      <c r="I822" s="324"/>
      <c r="J822" s="324"/>
      <c r="K822" s="324" t="e">
        <f aca="false">общ.калькуляция!m821</f>
        <v>#NAME?</v>
      </c>
      <c r="L822" s="324"/>
      <c r="M822" s="324"/>
      <c r="N822" s="324" t="e">
        <f aca="false">E822+H822+K822</f>
        <v>#NAME?</v>
      </c>
    </row>
    <row r="823" customFormat="false" ht="15" hidden="false" customHeight="true" outlineLevel="0" collapsed="false">
      <c r="A823" s="28" t="s">
        <v>1377</v>
      </c>
      <c r="B823" s="78" t="s">
        <v>3448</v>
      </c>
      <c r="C823" s="323"/>
      <c r="D823" s="323"/>
      <c r="E823" s="324" t="e">
        <f aca="false">общ.калькуляция!h822</f>
        <v>#NAME?</v>
      </c>
      <c r="F823" s="324"/>
      <c r="G823" s="324"/>
      <c r="H823" s="324" t="e">
        <f aca="false">общ.калькуляция!j822</f>
        <v>#NAME?</v>
      </c>
      <c r="I823" s="324"/>
      <c r="J823" s="324"/>
      <c r="K823" s="324" t="e">
        <f aca="false">общ.калькуляция!m822</f>
        <v>#NAME?</v>
      </c>
      <c r="L823" s="324"/>
      <c r="M823" s="324"/>
      <c r="N823" s="324" t="e">
        <f aca="false">E823+H823+K823</f>
        <v>#NAME?</v>
      </c>
    </row>
    <row r="824" customFormat="false" ht="15" hidden="false" customHeight="true" outlineLevel="0" collapsed="false">
      <c r="A824" s="28" t="s">
        <v>1379</v>
      </c>
      <c r="B824" s="78" t="s">
        <v>3449</v>
      </c>
      <c r="C824" s="323"/>
      <c r="D824" s="323"/>
      <c r="E824" s="324" t="e">
        <f aca="false">общ.калькуляция!h823</f>
        <v>#NAME?</v>
      </c>
      <c r="F824" s="324"/>
      <c r="G824" s="324"/>
      <c r="H824" s="324" t="e">
        <f aca="false">общ.калькуляция!j823</f>
        <v>#NAME?</v>
      </c>
      <c r="I824" s="324"/>
      <c r="J824" s="324"/>
      <c r="K824" s="324" t="e">
        <f aca="false">общ.калькуляция!m823</f>
        <v>#NAME?</v>
      </c>
      <c r="L824" s="324"/>
      <c r="M824" s="324"/>
      <c r="N824" s="324" t="e">
        <f aca="false">E824+H824+K824</f>
        <v>#NAME?</v>
      </c>
    </row>
    <row r="825" customFormat="false" ht="15" hidden="false" customHeight="true" outlineLevel="0" collapsed="false">
      <c r="A825" s="28" t="s">
        <v>1381</v>
      </c>
      <c r="B825" s="78" t="s">
        <v>3450</v>
      </c>
      <c r="C825" s="323"/>
      <c r="D825" s="323"/>
      <c r="E825" s="324" t="e">
        <f aca="false">общ.калькуляция!h824</f>
        <v>#NAME?</v>
      </c>
      <c r="F825" s="324"/>
      <c r="G825" s="324"/>
      <c r="H825" s="324" t="e">
        <f aca="false">общ.калькуляция!j824</f>
        <v>#NAME?</v>
      </c>
      <c r="I825" s="324"/>
      <c r="J825" s="324"/>
      <c r="K825" s="324" t="e">
        <f aca="false">общ.калькуляция!m824</f>
        <v>#NAME?</v>
      </c>
      <c r="L825" s="324"/>
      <c r="M825" s="324"/>
      <c r="N825" s="324" t="e">
        <f aca="false">E825+H825+K825</f>
        <v>#NAME?</v>
      </c>
    </row>
    <row r="826" customFormat="false" ht="15" hidden="false" customHeight="true" outlineLevel="0" collapsed="false">
      <c r="A826" s="28" t="s">
        <v>1383</v>
      </c>
      <c r="B826" s="78" t="s">
        <v>3451</v>
      </c>
      <c r="C826" s="323"/>
      <c r="D826" s="323"/>
      <c r="E826" s="324" t="e">
        <f aca="false">общ.калькуляция!h825</f>
        <v>#NAME?</v>
      </c>
      <c r="F826" s="324"/>
      <c r="G826" s="324"/>
      <c r="H826" s="324" t="e">
        <f aca="false">общ.калькуляция!j825</f>
        <v>#NAME?</v>
      </c>
      <c r="I826" s="324"/>
      <c r="J826" s="324"/>
      <c r="K826" s="324" t="e">
        <f aca="false">общ.калькуляция!m825</f>
        <v>#NAME?</v>
      </c>
      <c r="L826" s="324"/>
      <c r="M826" s="324"/>
      <c r="N826" s="324" t="e">
        <f aca="false">E826+H826+K826</f>
        <v>#NAME?</v>
      </c>
    </row>
    <row r="827" customFormat="false" ht="15" hidden="false" customHeight="true" outlineLevel="0" collapsed="false">
      <c r="A827" s="28" t="s">
        <v>1385</v>
      </c>
      <c r="B827" s="29" t="s">
        <v>3452</v>
      </c>
      <c r="C827" s="323"/>
      <c r="D827" s="323"/>
      <c r="E827" s="324" t="e">
        <f aca="false">общ.калькуляция!h826</f>
        <v>#NAME?</v>
      </c>
      <c r="F827" s="324"/>
      <c r="G827" s="324"/>
      <c r="H827" s="324" t="e">
        <f aca="false">общ.калькуляция!j826</f>
        <v>#NAME?</v>
      </c>
      <c r="I827" s="324"/>
      <c r="J827" s="324"/>
      <c r="K827" s="324" t="e">
        <f aca="false">общ.калькуляция!m826</f>
        <v>#NAME?</v>
      </c>
      <c r="L827" s="324"/>
      <c r="M827" s="324"/>
      <c r="N827" s="324" t="e">
        <f aca="false">E827+H827+K827</f>
        <v>#NAME?</v>
      </c>
    </row>
    <row r="828" customFormat="false" ht="15" hidden="false" customHeight="true" outlineLevel="0" collapsed="false">
      <c r="A828" s="28" t="s">
        <v>1387</v>
      </c>
      <c r="B828" s="29" t="s">
        <v>3453</v>
      </c>
      <c r="C828" s="323"/>
      <c r="D828" s="323"/>
      <c r="E828" s="324" t="e">
        <f aca="false">общ.калькуляция!h827</f>
        <v>#NAME?</v>
      </c>
      <c r="F828" s="324"/>
      <c r="G828" s="324"/>
      <c r="H828" s="324" t="e">
        <f aca="false">общ.калькуляция!j827</f>
        <v>#NAME?</v>
      </c>
      <c r="I828" s="324"/>
      <c r="J828" s="324"/>
      <c r="K828" s="324" t="e">
        <f aca="false">общ.калькуляция!m827</f>
        <v>#NAME?</v>
      </c>
      <c r="L828" s="324"/>
      <c r="M828" s="324"/>
      <c r="N828" s="324" t="e">
        <f aca="false">E828+H828+K828</f>
        <v>#NAME?</v>
      </c>
    </row>
    <row r="829" customFormat="false" ht="15" hidden="false" customHeight="true" outlineLevel="0" collapsed="false">
      <c r="A829" s="28" t="s">
        <v>1389</v>
      </c>
      <c r="B829" s="29" t="s">
        <v>3454</v>
      </c>
      <c r="C829" s="323"/>
      <c r="D829" s="323"/>
      <c r="E829" s="324" t="e">
        <f aca="false">общ.калькуляция!h828</f>
        <v>#NAME?</v>
      </c>
      <c r="F829" s="324"/>
      <c r="G829" s="324"/>
      <c r="H829" s="324" t="e">
        <f aca="false">общ.калькуляция!j828</f>
        <v>#NAME?</v>
      </c>
      <c r="I829" s="324"/>
      <c r="J829" s="324"/>
      <c r="K829" s="324" t="e">
        <f aca="false">общ.калькуляция!m828</f>
        <v>#NAME?</v>
      </c>
      <c r="L829" s="324"/>
      <c r="M829" s="324"/>
      <c r="N829" s="324" t="e">
        <f aca="false">E829+H829+K829</f>
        <v>#NAME?</v>
      </c>
    </row>
    <row r="830" customFormat="false" ht="15" hidden="false" customHeight="true" outlineLevel="0" collapsed="false">
      <c r="A830" s="28" t="s">
        <v>1391</v>
      </c>
      <c r="B830" s="29" t="s">
        <v>3455</v>
      </c>
      <c r="C830" s="323"/>
      <c r="D830" s="323"/>
      <c r="E830" s="324" t="e">
        <f aca="false">общ.калькуляция!h829</f>
        <v>#NAME?</v>
      </c>
      <c r="F830" s="324"/>
      <c r="G830" s="324"/>
      <c r="H830" s="324" t="e">
        <f aca="false">общ.калькуляция!j829</f>
        <v>#NAME?</v>
      </c>
      <c r="I830" s="324"/>
      <c r="J830" s="324"/>
      <c r="K830" s="324" t="e">
        <f aca="false">общ.калькуляция!m829</f>
        <v>#NAME?</v>
      </c>
      <c r="L830" s="324"/>
      <c r="M830" s="324"/>
      <c r="N830" s="324" t="e">
        <f aca="false">E830+H830+K830</f>
        <v>#NAME?</v>
      </c>
    </row>
    <row r="831" customFormat="false" ht="15" hidden="false" customHeight="true" outlineLevel="0" collapsed="false">
      <c r="A831" s="28" t="s">
        <v>1393</v>
      </c>
      <c r="B831" s="29" t="s">
        <v>3456</v>
      </c>
      <c r="C831" s="323"/>
      <c r="D831" s="323"/>
      <c r="E831" s="324" t="e">
        <f aca="false">общ.калькуляция!h830</f>
        <v>#NAME?</v>
      </c>
      <c r="F831" s="324"/>
      <c r="G831" s="324"/>
      <c r="H831" s="324" t="e">
        <f aca="false">общ.калькуляция!j830</f>
        <v>#NAME?</v>
      </c>
      <c r="I831" s="324"/>
      <c r="J831" s="324"/>
      <c r="K831" s="324" t="e">
        <f aca="false">общ.калькуляция!m830</f>
        <v>#NAME?</v>
      </c>
      <c r="L831" s="324"/>
      <c r="M831" s="324"/>
      <c r="N831" s="324" t="e">
        <f aca="false">E831+H831+K831</f>
        <v>#NAME?</v>
      </c>
    </row>
    <row r="832" customFormat="false" ht="15" hidden="false" customHeight="true" outlineLevel="0" collapsed="false">
      <c r="A832" s="28" t="s">
        <v>1395</v>
      </c>
      <c r="B832" s="29" t="s">
        <v>3457</v>
      </c>
      <c r="C832" s="323"/>
      <c r="D832" s="323"/>
      <c r="E832" s="324" t="e">
        <f aca="false">общ.калькуляция!h831</f>
        <v>#NAME?</v>
      </c>
      <c r="F832" s="324"/>
      <c r="G832" s="324"/>
      <c r="H832" s="324" t="e">
        <f aca="false">общ.калькуляция!j831</f>
        <v>#NAME?</v>
      </c>
      <c r="I832" s="324"/>
      <c r="J832" s="324"/>
      <c r="K832" s="324" t="e">
        <f aca="false">общ.калькуляция!m831</f>
        <v>#NAME?</v>
      </c>
      <c r="L832" s="324"/>
      <c r="M832" s="324"/>
      <c r="N832" s="324" t="e">
        <f aca="false">E832+H832+K832</f>
        <v>#NAME?</v>
      </c>
    </row>
    <row r="833" customFormat="false" ht="15" hidden="false" customHeight="true" outlineLevel="0" collapsed="false">
      <c r="A833" s="28" t="s">
        <v>1397</v>
      </c>
      <c r="B833" s="29" t="s">
        <v>3458</v>
      </c>
      <c r="C833" s="323"/>
      <c r="D833" s="323"/>
      <c r="E833" s="324" t="e">
        <f aca="false">общ.калькуляция!h832</f>
        <v>#NAME?</v>
      </c>
      <c r="F833" s="324"/>
      <c r="G833" s="324"/>
      <c r="H833" s="324" t="e">
        <f aca="false">общ.калькуляция!j832</f>
        <v>#NAME?</v>
      </c>
      <c r="I833" s="324"/>
      <c r="J833" s="324"/>
      <c r="K833" s="324" t="e">
        <f aca="false">общ.калькуляция!m832</f>
        <v>#NAME?</v>
      </c>
      <c r="L833" s="324"/>
      <c r="M833" s="324"/>
      <c r="N833" s="324" t="e">
        <f aca="false">E833+H833+K833</f>
        <v>#NAME?</v>
      </c>
    </row>
    <row r="834" customFormat="false" ht="15" hidden="false" customHeight="true" outlineLevel="0" collapsed="false">
      <c r="A834" s="28" t="s">
        <v>1399</v>
      </c>
      <c r="B834" s="29" t="s">
        <v>3459</v>
      </c>
      <c r="C834" s="323"/>
      <c r="D834" s="323"/>
      <c r="E834" s="324" t="e">
        <f aca="false">общ.калькуляция!h833</f>
        <v>#NAME?</v>
      </c>
      <c r="F834" s="324"/>
      <c r="G834" s="324"/>
      <c r="H834" s="324" t="e">
        <f aca="false">общ.калькуляция!j833</f>
        <v>#NAME?</v>
      </c>
      <c r="I834" s="324"/>
      <c r="J834" s="324"/>
      <c r="K834" s="324" t="e">
        <f aca="false">общ.калькуляция!m833</f>
        <v>#NAME?</v>
      </c>
      <c r="L834" s="324"/>
      <c r="M834" s="324"/>
      <c r="N834" s="324" t="e">
        <f aca="false">E834+H834+K834</f>
        <v>#NAME?</v>
      </c>
    </row>
    <row r="835" customFormat="false" ht="15" hidden="false" customHeight="true" outlineLevel="0" collapsed="false">
      <c r="A835" s="28" t="s">
        <v>1401</v>
      </c>
      <c r="B835" s="29" t="s">
        <v>3460</v>
      </c>
      <c r="C835" s="323"/>
      <c r="D835" s="323"/>
      <c r="E835" s="324" t="e">
        <f aca="false">общ.калькуляция!h834</f>
        <v>#NAME?</v>
      </c>
      <c r="F835" s="324"/>
      <c r="G835" s="324"/>
      <c r="H835" s="324" t="e">
        <f aca="false">общ.калькуляция!j834</f>
        <v>#NAME?</v>
      </c>
      <c r="I835" s="324"/>
      <c r="J835" s="324"/>
      <c r="K835" s="324" t="e">
        <f aca="false">общ.калькуляция!m834</f>
        <v>#NAME?</v>
      </c>
      <c r="L835" s="324"/>
      <c r="M835" s="324"/>
      <c r="N835" s="324" t="e">
        <f aca="false">E835+H835+K835</f>
        <v>#NAME?</v>
      </c>
    </row>
    <row r="836" customFormat="false" ht="15" hidden="false" customHeight="true" outlineLevel="0" collapsed="false">
      <c r="A836" s="28" t="s">
        <v>1403</v>
      </c>
      <c r="B836" s="29" t="s">
        <v>3461</v>
      </c>
      <c r="C836" s="323"/>
      <c r="D836" s="323"/>
      <c r="E836" s="324" t="e">
        <f aca="false">общ.калькуляция!h835</f>
        <v>#NAME?</v>
      </c>
      <c r="F836" s="324"/>
      <c r="G836" s="324"/>
      <c r="H836" s="324" t="e">
        <f aca="false">общ.калькуляция!j835</f>
        <v>#NAME?</v>
      </c>
      <c r="I836" s="324"/>
      <c r="J836" s="324"/>
      <c r="K836" s="324" t="e">
        <f aca="false">общ.калькуляция!m835</f>
        <v>#NAME?</v>
      </c>
      <c r="L836" s="324"/>
      <c r="M836" s="324"/>
      <c r="N836" s="324" t="e">
        <f aca="false">E836+H836+K836</f>
        <v>#NAME?</v>
      </c>
    </row>
    <row r="837" customFormat="false" ht="15" hidden="false" customHeight="true" outlineLevel="0" collapsed="false">
      <c r="A837" s="28" t="s">
        <v>1405</v>
      </c>
      <c r="B837" s="29" t="s">
        <v>3462</v>
      </c>
      <c r="C837" s="323"/>
      <c r="D837" s="323"/>
      <c r="E837" s="324" t="e">
        <f aca="false">общ.калькуляция!h836</f>
        <v>#NAME?</v>
      </c>
      <c r="F837" s="324"/>
      <c r="G837" s="324"/>
      <c r="H837" s="324" t="e">
        <f aca="false">общ.калькуляция!j836</f>
        <v>#NAME?</v>
      </c>
      <c r="I837" s="324"/>
      <c r="J837" s="324"/>
      <c r="K837" s="324" t="e">
        <f aca="false">общ.калькуляция!m836</f>
        <v>#NAME?</v>
      </c>
      <c r="L837" s="324"/>
      <c r="M837" s="324"/>
      <c r="N837" s="324" t="e">
        <f aca="false">E837+H837+K837</f>
        <v>#NAME?</v>
      </c>
    </row>
    <row r="838" customFormat="false" ht="15" hidden="false" customHeight="true" outlineLevel="0" collapsed="false">
      <c r="A838" s="28" t="s">
        <v>1407</v>
      </c>
      <c r="B838" s="29" t="s">
        <v>3463</v>
      </c>
      <c r="C838" s="323"/>
      <c r="D838" s="323"/>
      <c r="E838" s="324" t="e">
        <f aca="false">общ.калькуляция!h837</f>
        <v>#NAME?</v>
      </c>
      <c r="F838" s="324"/>
      <c r="G838" s="324"/>
      <c r="H838" s="324" t="e">
        <f aca="false">общ.калькуляция!j837</f>
        <v>#NAME?</v>
      </c>
      <c r="I838" s="324"/>
      <c r="J838" s="324"/>
      <c r="K838" s="324" t="e">
        <f aca="false">общ.калькуляция!m837</f>
        <v>#NAME?</v>
      </c>
      <c r="L838" s="324"/>
      <c r="M838" s="324"/>
      <c r="N838" s="324" t="e">
        <f aca="false">E838+H838+K838</f>
        <v>#NAME?</v>
      </c>
    </row>
    <row r="839" customFormat="false" ht="15" hidden="false" customHeight="true" outlineLevel="0" collapsed="false">
      <c r="A839" s="28" t="s">
        <v>1408</v>
      </c>
      <c r="B839" s="29" t="s">
        <v>3464</v>
      </c>
      <c r="C839" s="323"/>
      <c r="D839" s="323"/>
      <c r="E839" s="324" t="e">
        <f aca="false">общ.калькуляция!h838</f>
        <v>#NAME?</v>
      </c>
      <c r="F839" s="324"/>
      <c r="G839" s="324"/>
      <c r="H839" s="324" t="e">
        <f aca="false">общ.калькуляция!j838</f>
        <v>#NAME?</v>
      </c>
      <c r="I839" s="324"/>
      <c r="J839" s="324"/>
      <c r="K839" s="324" t="e">
        <f aca="false">общ.калькуляция!m838</f>
        <v>#NAME?</v>
      </c>
      <c r="L839" s="324"/>
      <c r="M839" s="324"/>
      <c r="N839" s="324" t="e">
        <f aca="false">E839+H839+K839</f>
        <v>#NAME?</v>
      </c>
    </row>
    <row r="840" customFormat="false" ht="15" hidden="false" customHeight="true" outlineLevel="0" collapsed="false">
      <c r="A840" s="28" t="s">
        <v>1409</v>
      </c>
      <c r="B840" s="29" t="s">
        <v>3465</v>
      </c>
      <c r="C840" s="323"/>
      <c r="D840" s="323"/>
      <c r="E840" s="324" t="e">
        <f aca="false">общ.калькуляция!h839</f>
        <v>#NAME?</v>
      </c>
      <c r="F840" s="324"/>
      <c r="G840" s="324"/>
      <c r="H840" s="324" t="e">
        <f aca="false">общ.калькуляция!j839</f>
        <v>#NAME?</v>
      </c>
      <c r="I840" s="324"/>
      <c r="J840" s="324"/>
      <c r="K840" s="324" t="e">
        <f aca="false">общ.калькуляция!m839</f>
        <v>#NAME?</v>
      </c>
      <c r="L840" s="324"/>
      <c r="M840" s="324"/>
      <c r="N840" s="324" t="e">
        <f aca="false">E840+H840+K840</f>
        <v>#NAME?</v>
      </c>
    </row>
    <row r="841" customFormat="false" ht="15" hidden="false" customHeight="true" outlineLevel="0" collapsed="false">
      <c r="A841" s="28" t="s">
        <v>1411</v>
      </c>
      <c r="B841" s="29" t="s">
        <v>3466</v>
      </c>
      <c r="C841" s="323"/>
      <c r="D841" s="323"/>
      <c r="E841" s="324" t="e">
        <f aca="false">общ.калькуляция!h840</f>
        <v>#NAME?</v>
      </c>
      <c r="F841" s="324"/>
      <c r="G841" s="324"/>
      <c r="H841" s="324" t="e">
        <f aca="false">общ.калькуляция!j840</f>
        <v>#NAME?</v>
      </c>
      <c r="I841" s="324"/>
      <c r="J841" s="324"/>
      <c r="K841" s="324" t="e">
        <f aca="false">общ.калькуляция!m840</f>
        <v>#NAME?</v>
      </c>
      <c r="L841" s="324"/>
      <c r="M841" s="324"/>
      <c r="N841" s="324" t="e">
        <f aca="false">E841+H841+K841</f>
        <v>#NAME?</v>
      </c>
    </row>
    <row r="842" customFormat="false" ht="15" hidden="false" customHeight="true" outlineLevel="0" collapsed="false">
      <c r="A842" s="28" t="s">
        <v>1413</v>
      </c>
      <c r="B842" s="78" t="s">
        <v>3467</v>
      </c>
      <c r="C842" s="323"/>
      <c r="D842" s="323"/>
      <c r="E842" s="324" t="e">
        <f aca="false">общ.калькуляция!h841</f>
        <v>#NAME?</v>
      </c>
      <c r="F842" s="324"/>
      <c r="G842" s="324"/>
      <c r="H842" s="324" t="e">
        <f aca="false">общ.калькуляция!j841</f>
        <v>#NAME?</v>
      </c>
      <c r="I842" s="324"/>
      <c r="J842" s="324"/>
      <c r="K842" s="324" t="e">
        <f aca="false">общ.калькуляция!m841</f>
        <v>#NAME?</v>
      </c>
      <c r="L842" s="324"/>
      <c r="M842" s="324"/>
      <c r="N842" s="324" t="e">
        <f aca="false">E842+H842+K842</f>
        <v>#NAME?</v>
      </c>
    </row>
    <row r="843" customFormat="false" ht="15" hidden="false" customHeight="true" outlineLevel="0" collapsed="false">
      <c r="A843" s="28" t="s">
        <v>1415</v>
      </c>
      <c r="B843" s="78" t="s">
        <v>3468</v>
      </c>
      <c r="C843" s="323"/>
      <c r="D843" s="323"/>
      <c r="E843" s="324" t="e">
        <f aca="false">общ.калькуляция!h842</f>
        <v>#NAME?</v>
      </c>
      <c r="F843" s="324"/>
      <c r="G843" s="324"/>
      <c r="H843" s="324" t="e">
        <f aca="false">общ.калькуляция!j842</f>
        <v>#NAME?</v>
      </c>
      <c r="I843" s="324"/>
      <c r="J843" s="324"/>
      <c r="K843" s="324" t="e">
        <f aca="false">общ.калькуляция!m842</f>
        <v>#NAME?</v>
      </c>
      <c r="L843" s="324"/>
      <c r="M843" s="324"/>
      <c r="N843" s="324" t="e">
        <f aca="false">E843+H843+K843</f>
        <v>#NAME?</v>
      </c>
    </row>
    <row r="844" customFormat="false" ht="15" hidden="false" customHeight="true" outlineLevel="0" collapsed="false">
      <c r="A844" s="28" t="s">
        <v>1417</v>
      </c>
      <c r="B844" s="78" t="s">
        <v>3469</v>
      </c>
      <c r="C844" s="323"/>
      <c r="D844" s="323"/>
      <c r="E844" s="324" t="e">
        <f aca="false">общ.калькуляция!h843</f>
        <v>#NAME?</v>
      </c>
      <c r="F844" s="324"/>
      <c r="G844" s="324"/>
      <c r="H844" s="324" t="e">
        <f aca="false">общ.калькуляция!j843</f>
        <v>#NAME?</v>
      </c>
      <c r="I844" s="324"/>
      <c r="J844" s="324"/>
      <c r="K844" s="324" t="e">
        <f aca="false">общ.калькуляция!m843</f>
        <v>#NAME?</v>
      </c>
      <c r="L844" s="324"/>
      <c r="M844" s="324"/>
      <c r="N844" s="324" t="e">
        <f aca="false">E844+H844+K844</f>
        <v>#NAME?</v>
      </c>
    </row>
    <row r="845" customFormat="false" ht="15" hidden="false" customHeight="false" outlineLevel="0" collapsed="false">
      <c r="A845" s="15" t="s">
        <v>1419</v>
      </c>
      <c r="B845" s="347" t="s">
        <v>3470</v>
      </c>
      <c r="C845" s="321"/>
      <c r="D845" s="321"/>
      <c r="E845" s="329"/>
      <c r="F845" s="329"/>
      <c r="G845" s="329"/>
      <c r="H845" s="329"/>
      <c r="I845" s="329"/>
      <c r="J845" s="329"/>
      <c r="K845" s="329"/>
      <c r="L845" s="329"/>
      <c r="M845" s="329"/>
      <c r="N845" s="329"/>
    </row>
    <row r="846" customFormat="false" ht="15" hidden="false" customHeight="true" outlineLevel="0" collapsed="false">
      <c r="A846" s="28" t="s">
        <v>1421</v>
      </c>
      <c r="B846" s="80" t="s">
        <v>3471</v>
      </c>
      <c r="C846" s="323"/>
      <c r="D846" s="323"/>
      <c r="E846" s="324" t="e">
        <f aca="false">общ.калькуляция!h845</f>
        <v>#NAME?</v>
      </c>
      <c r="F846" s="324"/>
      <c r="G846" s="324"/>
      <c r="H846" s="324" t="e">
        <f aca="false">общ.калькуляция!j845</f>
        <v>#NAME?</v>
      </c>
      <c r="I846" s="324"/>
      <c r="J846" s="324"/>
      <c r="K846" s="324" t="e">
        <f aca="false">общ.калькуляция!m845</f>
        <v>#NAME?</v>
      </c>
      <c r="L846" s="324"/>
      <c r="M846" s="324"/>
      <c r="N846" s="324" t="e">
        <f aca="false">E846+H846+K846</f>
        <v>#NAME?</v>
      </c>
    </row>
    <row r="847" customFormat="false" ht="30" hidden="false" customHeight="true" outlineLevel="0" collapsed="false">
      <c r="A847" s="28" t="s">
        <v>1423</v>
      </c>
      <c r="B847" s="80" t="s">
        <v>3472</v>
      </c>
      <c r="C847" s="323"/>
      <c r="D847" s="323"/>
      <c r="E847" s="324" t="e">
        <f aca="false">общ.калькуляция!h846</f>
        <v>#NAME?</v>
      </c>
      <c r="F847" s="324"/>
      <c r="G847" s="324"/>
      <c r="H847" s="324" t="e">
        <f aca="false">общ.калькуляция!j846</f>
        <v>#NAME?</v>
      </c>
      <c r="I847" s="324"/>
      <c r="J847" s="324"/>
      <c r="K847" s="324" t="e">
        <f aca="false">общ.калькуляция!m846</f>
        <v>#NAME?</v>
      </c>
      <c r="L847" s="324"/>
      <c r="M847" s="324"/>
      <c r="N847" s="324" t="e">
        <f aca="false">E847+H847+K847</f>
        <v>#NAME?</v>
      </c>
    </row>
    <row r="848" customFormat="false" ht="15" hidden="false" customHeight="true" outlineLevel="0" collapsed="false">
      <c r="A848" s="28" t="s">
        <v>1425</v>
      </c>
      <c r="B848" s="80" t="s">
        <v>3473</v>
      </c>
      <c r="C848" s="323"/>
      <c r="D848" s="323"/>
      <c r="E848" s="324" t="e">
        <f aca="false">общ.калькуляция!h847</f>
        <v>#NAME?</v>
      </c>
      <c r="F848" s="324"/>
      <c r="G848" s="324"/>
      <c r="H848" s="324" t="e">
        <f aca="false">общ.калькуляция!j847</f>
        <v>#NAME?</v>
      </c>
      <c r="I848" s="324"/>
      <c r="J848" s="324"/>
      <c r="K848" s="324" t="e">
        <f aca="false">общ.калькуляция!m847</f>
        <v>#NAME?</v>
      </c>
      <c r="L848" s="324"/>
      <c r="M848" s="324"/>
      <c r="N848" s="324" t="e">
        <f aca="false">E848+H848+K848</f>
        <v>#NAME?</v>
      </c>
    </row>
    <row r="849" customFormat="false" ht="15" hidden="false" customHeight="true" outlineLevel="0" collapsed="false">
      <c r="A849" s="28" t="s">
        <v>1427</v>
      </c>
      <c r="B849" s="80" t="s">
        <v>3436</v>
      </c>
      <c r="C849" s="323"/>
      <c r="D849" s="323"/>
      <c r="E849" s="324" t="e">
        <f aca="false">общ.калькуляция!h848</f>
        <v>#NAME?</v>
      </c>
      <c r="F849" s="324"/>
      <c r="G849" s="324"/>
      <c r="H849" s="324" t="e">
        <f aca="false">общ.калькуляция!j848</f>
        <v>#NAME?</v>
      </c>
      <c r="I849" s="324"/>
      <c r="J849" s="324"/>
      <c r="K849" s="324" t="e">
        <f aca="false">общ.калькуляция!m848</f>
        <v>#NAME?</v>
      </c>
      <c r="L849" s="324"/>
      <c r="M849" s="324"/>
      <c r="N849" s="324" t="e">
        <f aca="false">E849+H849+K849</f>
        <v>#NAME?</v>
      </c>
    </row>
    <row r="850" customFormat="false" ht="15" hidden="false" customHeight="true" outlineLevel="0" collapsed="false">
      <c r="A850" s="28" t="s">
        <v>1428</v>
      </c>
      <c r="B850" s="80" t="s">
        <v>3437</v>
      </c>
      <c r="C850" s="323"/>
      <c r="D850" s="323"/>
      <c r="E850" s="324" t="e">
        <f aca="false">общ.калькуляция!h849</f>
        <v>#NAME?</v>
      </c>
      <c r="F850" s="324"/>
      <c r="G850" s="324"/>
      <c r="H850" s="324" t="e">
        <f aca="false">общ.калькуляция!j849</f>
        <v>#NAME?</v>
      </c>
      <c r="I850" s="324"/>
      <c r="J850" s="324"/>
      <c r="K850" s="324" t="e">
        <f aca="false">общ.калькуляция!m849</f>
        <v>#NAME?</v>
      </c>
      <c r="L850" s="324"/>
      <c r="M850" s="324"/>
      <c r="N850" s="324" t="e">
        <f aca="false">E850+H850+K850</f>
        <v>#NAME?</v>
      </c>
    </row>
    <row r="851" customFormat="false" ht="15" hidden="false" customHeight="true" outlineLevel="0" collapsed="false">
      <c r="A851" s="28" t="s">
        <v>1429</v>
      </c>
      <c r="B851" s="80" t="s">
        <v>3474</v>
      </c>
      <c r="C851" s="323"/>
      <c r="D851" s="323"/>
      <c r="E851" s="324" t="e">
        <f aca="false">общ.калькуляция!h850</f>
        <v>#NAME?</v>
      </c>
      <c r="F851" s="324"/>
      <c r="G851" s="324"/>
      <c r="H851" s="324" t="e">
        <f aca="false">общ.калькуляция!j850</f>
        <v>#NAME?</v>
      </c>
      <c r="I851" s="324"/>
      <c r="J851" s="324"/>
      <c r="K851" s="324" t="e">
        <f aca="false">общ.калькуляция!m850</f>
        <v>#NAME?</v>
      </c>
      <c r="L851" s="324"/>
      <c r="M851" s="324"/>
      <c r="N851" s="324" t="e">
        <f aca="false">E851+H851+K851</f>
        <v>#NAME?</v>
      </c>
    </row>
    <row r="852" customFormat="false" ht="15" hidden="false" customHeight="true" outlineLevel="0" collapsed="false">
      <c r="A852" s="28" t="s">
        <v>1430</v>
      </c>
      <c r="B852" s="80" t="s">
        <v>3475</v>
      </c>
      <c r="C852" s="323"/>
      <c r="D852" s="323"/>
      <c r="E852" s="324" t="e">
        <f aca="false">общ.калькуляция!h851</f>
        <v>#NAME?</v>
      </c>
      <c r="F852" s="324"/>
      <c r="G852" s="324"/>
      <c r="H852" s="324" t="e">
        <f aca="false">общ.калькуляция!j851</f>
        <v>#NAME?</v>
      </c>
      <c r="I852" s="324"/>
      <c r="J852" s="324"/>
      <c r="K852" s="324" t="e">
        <f aca="false">общ.калькуляция!m851</f>
        <v>#NAME?</v>
      </c>
      <c r="L852" s="324"/>
      <c r="M852" s="324"/>
      <c r="N852" s="324" t="e">
        <f aca="false">E852+H852+K852</f>
        <v>#NAME?</v>
      </c>
    </row>
    <row r="853" customFormat="false" ht="15" hidden="false" customHeight="true" outlineLevel="0" collapsed="false">
      <c r="A853" s="28" t="s">
        <v>1432</v>
      </c>
      <c r="B853" s="80" t="s">
        <v>3476</v>
      </c>
      <c r="C853" s="323"/>
      <c r="D853" s="323"/>
      <c r="E853" s="324" t="e">
        <f aca="false">общ.калькуляция!h852</f>
        <v>#NAME?</v>
      </c>
      <c r="F853" s="324"/>
      <c r="G853" s="324"/>
      <c r="H853" s="324" t="e">
        <f aca="false">общ.калькуляция!j852</f>
        <v>#NAME?</v>
      </c>
      <c r="I853" s="324"/>
      <c r="J853" s="324"/>
      <c r="K853" s="324" t="e">
        <f aca="false">общ.калькуляция!m852</f>
        <v>#NAME?</v>
      </c>
      <c r="L853" s="324"/>
      <c r="M853" s="324"/>
      <c r="N853" s="324" t="e">
        <f aca="false">E853+H853+K853</f>
        <v>#NAME?</v>
      </c>
    </row>
    <row r="854" customFormat="false" ht="15" hidden="false" customHeight="true" outlineLevel="0" collapsed="false">
      <c r="A854" s="28" t="s">
        <v>1433</v>
      </c>
      <c r="B854" s="80" t="s">
        <v>3445</v>
      </c>
      <c r="C854" s="323"/>
      <c r="D854" s="323"/>
      <c r="E854" s="324" t="e">
        <f aca="false">общ.калькуляция!h853</f>
        <v>#NAME?</v>
      </c>
      <c r="F854" s="324"/>
      <c r="G854" s="324"/>
      <c r="H854" s="324" t="e">
        <f aca="false">общ.калькуляция!j853</f>
        <v>#NAME?</v>
      </c>
      <c r="I854" s="324"/>
      <c r="J854" s="324"/>
      <c r="K854" s="324" t="e">
        <f aca="false">общ.калькуляция!m853</f>
        <v>#NAME?</v>
      </c>
      <c r="L854" s="324"/>
      <c r="M854" s="324"/>
      <c r="N854" s="324" t="e">
        <f aca="false">E854+H854+K854</f>
        <v>#NAME?</v>
      </c>
    </row>
    <row r="855" customFormat="false" ht="15" hidden="false" customHeight="true" outlineLevel="0" collapsed="false">
      <c r="A855" s="28" t="s">
        <v>1434</v>
      </c>
      <c r="B855" s="80" t="s">
        <v>3440</v>
      </c>
      <c r="C855" s="323"/>
      <c r="D855" s="323"/>
      <c r="E855" s="324" t="e">
        <f aca="false">общ.калькуляция!h854</f>
        <v>#NAME?</v>
      </c>
      <c r="F855" s="324"/>
      <c r="G855" s="324"/>
      <c r="H855" s="324" t="e">
        <f aca="false">общ.калькуляция!j854</f>
        <v>#NAME?</v>
      </c>
      <c r="I855" s="324"/>
      <c r="J855" s="324"/>
      <c r="K855" s="324" t="e">
        <f aca="false">общ.калькуляция!m854</f>
        <v>#NAME?</v>
      </c>
      <c r="L855" s="324"/>
      <c r="M855" s="324"/>
      <c r="N855" s="324" t="e">
        <f aca="false">E855+H855+K855</f>
        <v>#NAME?</v>
      </c>
    </row>
    <row r="856" customFormat="false" ht="15" hidden="false" customHeight="true" outlineLevel="0" collapsed="false">
      <c r="A856" s="28" t="s">
        <v>1435</v>
      </c>
      <c r="B856" s="80" t="s">
        <v>3444</v>
      </c>
      <c r="C856" s="323"/>
      <c r="D856" s="323"/>
      <c r="E856" s="324" t="e">
        <f aca="false">общ.калькуляция!h855</f>
        <v>#NAME?</v>
      </c>
      <c r="F856" s="324"/>
      <c r="G856" s="324"/>
      <c r="H856" s="324" t="e">
        <f aca="false">общ.калькуляция!j855</f>
        <v>#NAME?</v>
      </c>
      <c r="I856" s="324"/>
      <c r="J856" s="324"/>
      <c r="K856" s="324" t="e">
        <f aca="false">общ.калькуляция!m855</f>
        <v>#NAME?</v>
      </c>
      <c r="L856" s="324"/>
      <c r="M856" s="324"/>
      <c r="N856" s="324" t="e">
        <f aca="false">E856+H856+K856</f>
        <v>#NAME?</v>
      </c>
    </row>
    <row r="857" customFormat="false" ht="15" hidden="false" customHeight="true" outlineLevel="0" collapsed="false">
      <c r="A857" s="28" t="s">
        <v>1436</v>
      </c>
      <c r="B857" s="80" t="s">
        <v>3441</v>
      </c>
      <c r="C857" s="323"/>
      <c r="D857" s="323"/>
      <c r="E857" s="324" t="e">
        <f aca="false">общ.калькуляция!h856</f>
        <v>#NAME?</v>
      </c>
      <c r="F857" s="324"/>
      <c r="G857" s="324"/>
      <c r="H857" s="324" t="e">
        <f aca="false">общ.калькуляция!j856</f>
        <v>#NAME?</v>
      </c>
      <c r="I857" s="324"/>
      <c r="J857" s="324"/>
      <c r="K857" s="324" t="e">
        <f aca="false">общ.калькуляция!m856</f>
        <v>#NAME?</v>
      </c>
      <c r="L857" s="324"/>
      <c r="M857" s="324"/>
      <c r="N857" s="324" t="e">
        <f aca="false">E857+H857+K857</f>
        <v>#NAME?</v>
      </c>
    </row>
    <row r="858" customFormat="false" ht="15" hidden="false" customHeight="true" outlineLevel="0" collapsed="false">
      <c r="A858" s="28" t="s">
        <v>1437</v>
      </c>
      <c r="B858" s="80" t="s">
        <v>3446</v>
      </c>
      <c r="C858" s="323"/>
      <c r="D858" s="323"/>
      <c r="E858" s="324" t="e">
        <f aca="false">общ.калькуляция!h857</f>
        <v>#NAME?</v>
      </c>
      <c r="F858" s="324"/>
      <c r="G858" s="324"/>
      <c r="H858" s="324" t="e">
        <f aca="false">общ.калькуляция!j857</f>
        <v>#NAME?</v>
      </c>
      <c r="I858" s="324"/>
      <c r="J858" s="324"/>
      <c r="K858" s="324" t="e">
        <f aca="false">общ.калькуляция!m857</f>
        <v>#NAME?</v>
      </c>
      <c r="L858" s="324"/>
      <c r="M858" s="324"/>
      <c r="N858" s="324" t="e">
        <f aca="false">E858+H858+K858</f>
        <v>#NAME?</v>
      </c>
    </row>
    <row r="859" customFormat="false" ht="15" hidden="false" customHeight="true" outlineLevel="0" collapsed="false">
      <c r="A859" s="28" t="s">
        <v>1438</v>
      </c>
      <c r="B859" s="80" t="s">
        <v>3447</v>
      </c>
      <c r="C859" s="323"/>
      <c r="D859" s="323"/>
      <c r="E859" s="324" t="e">
        <f aca="false">общ.калькуляция!h858</f>
        <v>#NAME?</v>
      </c>
      <c r="F859" s="324"/>
      <c r="G859" s="324"/>
      <c r="H859" s="324" t="e">
        <f aca="false">общ.калькуляция!j858</f>
        <v>#NAME?</v>
      </c>
      <c r="I859" s="324"/>
      <c r="J859" s="324"/>
      <c r="K859" s="324" t="e">
        <f aca="false">общ.калькуляция!m858</f>
        <v>#NAME?</v>
      </c>
      <c r="L859" s="324"/>
      <c r="M859" s="324"/>
      <c r="N859" s="324" t="e">
        <f aca="false">E859+H859+K859</f>
        <v>#NAME?</v>
      </c>
    </row>
    <row r="860" customFormat="false" ht="15" hidden="false" customHeight="true" outlineLevel="0" collapsed="false">
      <c r="A860" s="28" t="s">
        <v>1439</v>
      </c>
      <c r="B860" s="80" t="s">
        <v>3452</v>
      </c>
      <c r="C860" s="323"/>
      <c r="D860" s="323"/>
      <c r="E860" s="324" t="e">
        <f aca="false">общ.калькуляция!h859</f>
        <v>#NAME?</v>
      </c>
      <c r="F860" s="324"/>
      <c r="G860" s="324"/>
      <c r="H860" s="324" t="e">
        <f aca="false">общ.калькуляция!j859</f>
        <v>#NAME?</v>
      </c>
      <c r="I860" s="324"/>
      <c r="J860" s="324"/>
      <c r="K860" s="324" t="e">
        <f aca="false">общ.калькуляция!m859</f>
        <v>#NAME?</v>
      </c>
      <c r="L860" s="324"/>
      <c r="M860" s="324"/>
      <c r="N860" s="324" t="e">
        <f aca="false">E860+H860+K860</f>
        <v>#NAME?</v>
      </c>
    </row>
    <row r="861" customFormat="false" ht="15" hidden="false" customHeight="true" outlineLevel="0" collapsed="false">
      <c r="A861" s="28" t="s">
        <v>1440</v>
      </c>
      <c r="B861" s="80" t="s">
        <v>3453</v>
      </c>
      <c r="C861" s="323"/>
      <c r="D861" s="323"/>
      <c r="E861" s="324" t="e">
        <f aca="false">общ.калькуляция!h860</f>
        <v>#NAME?</v>
      </c>
      <c r="F861" s="324"/>
      <c r="G861" s="324"/>
      <c r="H861" s="324" t="e">
        <f aca="false">общ.калькуляция!j860</f>
        <v>#NAME?</v>
      </c>
      <c r="I861" s="324"/>
      <c r="J861" s="324"/>
      <c r="K861" s="324" t="e">
        <f aca="false">общ.калькуляция!m860</f>
        <v>#NAME?</v>
      </c>
      <c r="L861" s="324"/>
      <c r="M861" s="324"/>
      <c r="N861" s="324" t="e">
        <f aca="false">E861+H861+K861</f>
        <v>#NAME?</v>
      </c>
    </row>
    <row r="862" customFormat="false" ht="15" hidden="false" customHeight="true" outlineLevel="0" collapsed="false">
      <c r="A862" s="28" t="s">
        <v>1441</v>
      </c>
      <c r="B862" s="80" t="s">
        <v>3477</v>
      </c>
      <c r="C862" s="323"/>
      <c r="D862" s="323"/>
      <c r="E862" s="324" t="e">
        <f aca="false">общ.калькуляция!h861</f>
        <v>#NAME?</v>
      </c>
      <c r="F862" s="324"/>
      <c r="G862" s="324"/>
      <c r="H862" s="324" t="e">
        <f aca="false">общ.калькуляция!j861</f>
        <v>#NAME?</v>
      </c>
      <c r="I862" s="324"/>
      <c r="J862" s="324"/>
      <c r="K862" s="324" t="e">
        <f aca="false">общ.калькуляция!m861</f>
        <v>#NAME?</v>
      </c>
      <c r="L862" s="324"/>
      <c r="M862" s="324"/>
      <c r="N862" s="324" t="e">
        <f aca="false">E862+H862+K862</f>
        <v>#NAME?</v>
      </c>
    </row>
    <row r="863" customFormat="false" ht="15" hidden="false" customHeight="true" outlineLevel="0" collapsed="false">
      <c r="A863" s="28" t="s">
        <v>1443</v>
      </c>
      <c r="B863" s="80" t="s">
        <v>3478</v>
      </c>
      <c r="C863" s="323"/>
      <c r="D863" s="323"/>
      <c r="E863" s="324" t="e">
        <f aca="false">общ.калькуляция!h862</f>
        <v>#NAME?</v>
      </c>
      <c r="F863" s="324"/>
      <c r="G863" s="324"/>
      <c r="H863" s="324" t="e">
        <f aca="false">общ.калькуляция!j862</f>
        <v>#NAME?</v>
      </c>
      <c r="I863" s="324"/>
      <c r="J863" s="324"/>
      <c r="K863" s="324" t="e">
        <f aca="false">общ.калькуляция!m862</f>
        <v>#NAME?</v>
      </c>
      <c r="L863" s="324"/>
      <c r="M863" s="324"/>
      <c r="N863" s="324" t="e">
        <f aca="false">E863+H863+K863</f>
        <v>#NAME?</v>
      </c>
    </row>
    <row r="864" customFormat="false" ht="15" hidden="false" customHeight="true" outlineLevel="0" collapsed="false">
      <c r="A864" s="28" t="s">
        <v>1444</v>
      </c>
      <c r="B864" s="80" t="s">
        <v>3479</v>
      </c>
      <c r="C864" s="323"/>
      <c r="D864" s="323"/>
      <c r="E864" s="324" t="e">
        <f aca="false">общ.калькуляция!h863</f>
        <v>#NAME?</v>
      </c>
      <c r="F864" s="324"/>
      <c r="G864" s="324"/>
      <c r="H864" s="324" t="e">
        <f aca="false">общ.калькуляция!j863</f>
        <v>#NAME?</v>
      </c>
      <c r="I864" s="324"/>
      <c r="J864" s="324"/>
      <c r="K864" s="324" t="e">
        <f aca="false">общ.калькуляция!m863</f>
        <v>#NAME?</v>
      </c>
      <c r="L864" s="324"/>
      <c r="M864" s="324"/>
      <c r="N864" s="324" t="e">
        <f aca="false">E864+H864+K864</f>
        <v>#NAME?</v>
      </c>
    </row>
    <row r="865" customFormat="false" ht="15" hidden="false" customHeight="true" outlineLevel="0" collapsed="false">
      <c r="A865" s="28" t="s">
        <v>1445</v>
      </c>
      <c r="B865" s="80" t="s">
        <v>3480</v>
      </c>
      <c r="C865" s="323"/>
      <c r="D865" s="323"/>
      <c r="E865" s="324" t="e">
        <f aca="false">общ.калькуляция!h864</f>
        <v>#NAME?</v>
      </c>
      <c r="F865" s="324"/>
      <c r="G865" s="324"/>
      <c r="H865" s="324" t="e">
        <f aca="false">общ.калькуляция!j864</f>
        <v>#NAME?</v>
      </c>
      <c r="I865" s="324"/>
      <c r="J865" s="324"/>
      <c r="K865" s="324" t="e">
        <f aca="false">общ.калькуляция!m864</f>
        <v>#NAME?</v>
      </c>
      <c r="L865" s="324"/>
      <c r="M865" s="324"/>
      <c r="N865" s="324" t="e">
        <f aca="false">E865+H865+K865</f>
        <v>#NAME?</v>
      </c>
    </row>
    <row r="866" customFormat="false" ht="15" hidden="false" customHeight="true" outlineLevel="0" collapsed="false">
      <c r="A866" s="28" t="s">
        <v>1446</v>
      </c>
      <c r="B866" s="80" t="s">
        <v>3432</v>
      </c>
      <c r="C866" s="323"/>
      <c r="D866" s="323"/>
      <c r="E866" s="324" t="e">
        <f aca="false">общ.калькуляция!h865</f>
        <v>#NAME?</v>
      </c>
      <c r="F866" s="324"/>
      <c r="G866" s="324"/>
      <c r="H866" s="324" t="e">
        <f aca="false">общ.калькуляция!j865</f>
        <v>#NAME?</v>
      </c>
      <c r="I866" s="324"/>
      <c r="J866" s="324"/>
      <c r="K866" s="324" t="e">
        <f aca="false">общ.калькуляция!m865</f>
        <v>#NAME?</v>
      </c>
      <c r="L866" s="324"/>
      <c r="M866" s="324"/>
      <c r="N866" s="324" t="e">
        <f aca="false">E866+H866+K866</f>
        <v>#NAME?</v>
      </c>
    </row>
    <row r="867" customFormat="false" ht="15" hidden="false" customHeight="true" outlineLevel="0" collapsed="false">
      <c r="A867" s="28" t="s">
        <v>1447</v>
      </c>
      <c r="B867" s="80" t="s">
        <v>3149</v>
      </c>
      <c r="C867" s="323"/>
      <c r="D867" s="323"/>
      <c r="E867" s="324" t="e">
        <f aca="false">общ.калькуляция!h866</f>
        <v>#NAME?</v>
      </c>
      <c r="F867" s="324"/>
      <c r="G867" s="324"/>
      <c r="H867" s="324" t="e">
        <f aca="false">общ.калькуляция!j866</f>
        <v>#NAME?</v>
      </c>
      <c r="I867" s="324"/>
      <c r="J867" s="324"/>
      <c r="K867" s="324" t="e">
        <f aca="false">общ.калькуляция!m866</f>
        <v>#NAME?</v>
      </c>
      <c r="L867" s="324"/>
      <c r="M867" s="324"/>
      <c r="N867" s="324" t="e">
        <f aca="false">E867+H867+K867</f>
        <v>#NAME?</v>
      </c>
    </row>
    <row r="868" customFormat="false" ht="15" hidden="false" customHeight="true" outlineLevel="0" collapsed="false">
      <c r="A868" s="28" t="s">
        <v>1448</v>
      </c>
      <c r="B868" s="80" t="s">
        <v>3461</v>
      </c>
      <c r="C868" s="323"/>
      <c r="D868" s="323"/>
      <c r="E868" s="324" t="e">
        <f aca="false">общ.калькуляция!h867</f>
        <v>#NAME?</v>
      </c>
      <c r="F868" s="324"/>
      <c r="G868" s="324"/>
      <c r="H868" s="324" t="e">
        <f aca="false">общ.калькуляция!j867</f>
        <v>#NAME?</v>
      </c>
      <c r="I868" s="324"/>
      <c r="J868" s="324"/>
      <c r="K868" s="324" t="e">
        <f aca="false">общ.калькуляция!m867</f>
        <v>#NAME?</v>
      </c>
      <c r="L868" s="324"/>
      <c r="M868" s="324"/>
      <c r="N868" s="324" t="e">
        <f aca="false">E868+H868+K868</f>
        <v>#NAME?</v>
      </c>
    </row>
    <row r="869" customFormat="false" ht="15" hidden="false" customHeight="true" outlineLevel="0" collapsed="false">
      <c r="A869" s="28" t="s">
        <v>1449</v>
      </c>
      <c r="B869" s="80" t="s">
        <v>3462</v>
      </c>
      <c r="C869" s="323"/>
      <c r="D869" s="323"/>
      <c r="E869" s="324" t="e">
        <f aca="false">общ.калькуляция!h868</f>
        <v>#NAME?</v>
      </c>
      <c r="F869" s="324"/>
      <c r="G869" s="324"/>
      <c r="H869" s="324" t="e">
        <f aca="false">общ.калькуляция!j868</f>
        <v>#NAME?</v>
      </c>
      <c r="I869" s="324"/>
      <c r="J869" s="324"/>
      <c r="K869" s="324" t="e">
        <f aca="false">общ.калькуляция!m868</f>
        <v>#NAME?</v>
      </c>
      <c r="L869" s="324"/>
      <c r="M869" s="324"/>
      <c r="N869" s="324" t="e">
        <f aca="false">E869+H869+K869</f>
        <v>#NAME?</v>
      </c>
    </row>
    <row r="870" customFormat="false" ht="15" hidden="false" customHeight="true" outlineLevel="0" collapsed="false">
      <c r="A870" s="28" t="s">
        <v>1450</v>
      </c>
      <c r="B870" s="80" t="s">
        <v>3463</v>
      </c>
      <c r="C870" s="323"/>
      <c r="D870" s="323"/>
      <c r="E870" s="324" t="e">
        <f aca="false">общ.калькуляция!h869</f>
        <v>#NAME?</v>
      </c>
      <c r="F870" s="324"/>
      <c r="G870" s="324"/>
      <c r="H870" s="324" t="e">
        <f aca="false">общ.калькуляция!j869</f>
        <v>#NAME?</v>
      </c>
      <c r="I870" s="324"/>
      <c r="J870" s="324"/>
      <c r="K870" s="324" t="e">
        <f aca="false">общ.калькуляция!m869</f>
        <v>#NAME?</v>
      </c>
      <c r="L870" s="324"/>
      <c r="M870" s="324"/>
      <c r="N870" s="324" t="e">
        <f aca="false">E870+H870+K870</f>
        <v>#NAME?</v>
      </c>
    </row>
    <row r="871" customFormat="false" ht="15" hidden="false" customHeight="true" outlineLevel="0" collapsed="false">
      <c r="A871" s="28" t="s">
        <v>1451</v>
      </c>
      <c r="B871" s="80" t="s">
        <v>3466</v>
      </c>
      <c r="C871" s="323"/>
      <c r="D871" s="323"/>
      <c r="E871" s="324" t="e">
        <f aca="false">общ.калькуляция!h870</f>
        <v>#NAME?</v>
      </c>
      <c r="F871" s="324"/>
      <c r="G871" s="324"/>
      <c r="H871" s="324" t="e">
        <f aca="false">общ.калькуляция!j870</f>
        <v>#NAME?</v>
      </c>
      <c r="I871" s="324"/>
      <c r="J871" s="324"/>
      <c r="K871" s="324" t="e">
        <f aca="false">общ.калькуляция!m870</f>
        <v>#NAME?</v>
      </c>
      <c r="L871" s="324"/>
      <c r="M871" s="324"/>
      <c r="N871" s="324" t="e">
        <f aca="false">E871+H871+K871</f>
        <v>#NAME?</v>
      </c>
    </row>
    <row r="872" customFormat="false" ht="15" hidden="false" customHeight="true" outlineLevel="0" collapsed="false">
      <c r="A872" s="28" t="s">
        <v>1452</v>
      </c>
      <c r="B872" s="81" t="s">
        <v>3481</v>
      </c>
      <c r="C872" s="323"/>
      <c r="D872" s="323"/>
      <c r="E872" s="324" t="e">
        <f aca="false">общ.калькуляция!h871</f>
        <v>#NAME?</v>
      </c>
      <c r="F872" s="324"/>
      <c r="G872" s="324"/>
      <c r="H872" s="324" t="e">
        <f aca="false">общ.калькуляция!j871</f>
        <v>#NAME?</v>
      </c>
      <c r="I872" s="324"/>
      <c r="J872" s="324"/>
      <c r="K872" s="324" t="e">
        <f aca="false">общ.калькуляция!m871</f>
        <v>#NAME?</v>
      </c>
      <c r="L872" s="324"/>
      <c r="M872" s="324"/>
      <c r="N872" s="324" t="e">
        <f aca="false">E872+H872+K872</f>
        <v>#NAME?</v>
      </c>
    </row>
    <row r="873" customFormat="false" ht="15" hidden="false" customHeight="true" outlineLevel="0" collapsed="false">
      <c r="A873" s="28" t="s">
        <v>1454</v>
      </c>
      <c r="B873" s="81" t="s">
        <v>3482</v>
      </c>
      <c r="C873" s="323"/>
      <c r="D873" s="323"/>
      <c r="E873" s="324" t="e">
        <f aca="false">общ.калькуляция!h872</f>
        <v>#NAME?</v>
      </c>
      <c r="F873" s="324"/>
      <c r="G873" s="324"/>
      <c r="H873" s="324" t="e">
        <f aca="false">общ.калькуляция!j872</f>
        <v>#NAME?</v>
      </c>
      <c r="I873" s="324"/>
      <c r="J873" s="324"/>
      <c r="K873" s="324" t="e">
        <f aca="false">общ.калькуляция!m872</f>
        <v>#NAME?</v>
      </c>
      <c r="L873" s="324"/>
      <c r="M873" s="324"/>
      <c r="N873" s="324" t="e">
        <f aca="false">E873+H873+K873</f>
        <v>#NAME?</v>
      </c>
    </row>
    <row r="874" customFormat="false" ht="15" hidden="false" customHeight="true" outlineLevel="0" collapsed="false">
      <c r="A874" s="28" t="s">
        <v>1455</v>
      </c>
      <c r="B874" s="81" t="s">
        <v>3483</v>
      </c>
      <c r="C874" s="323"/>
      <c r="D874" s="323"/>
      <c r="E874" s="324" t="e">
        <f aca="false">общ.калькуляция!h873</f>
        <v>#NAME?</v>
      </c>
      <c r="F874" s="324"/>
      <c r="G874" s="324"/>
      <c r="H874" s="324" t="e">
        <f aca="false">общ.калькуляция!j873</f>
        <v>#NAME?</v>
      </c>
      <c r="I874" s="324"/>
      <c r="J874" s="324"/>
      <c r="K874" s="324" t="e">
        <f aca="false">общ.калькуляция!m873</f>
        <v>#NAME?</v>
      </c>
      <c r="L874" s="324"/>
      <c r="M874" s="324"/>
      <c r="N874" s="324" t="e">
        <f aca="false">E874+H874+K874</f>
        <v>#NAME?</v>
      </c>
    </row>
    <row r="875" customFormat="false" ht="15" hidden="false" customHeight="true" outlineLevel="0" collapsed="false">
      <c r="A875" s="28" t="s">
        <v>1456</v>
      </c>
      <c r="B875" s="81" t="s">
        <v>3484</v>
      </c>
      <c r="C875" s="323"/>
      <c r="D875" s="323"/>
      <c r="E875" s="324" t="e">
        <f aca="false">общ.калькуляция!h874</f>
        <v>#NAME?</v>
      </c>
      <c r="F875" s="324"/>
      <c r="G875" s="324"/>
      <c r="H875" s="324" t="e">
        <f aca="false">общ.калькуляция!j874</f>
        <v>#NAME?</v>
      </c>
      <c r="I875" s="324"/>
      <c r="J875" s="324"/>
      <c r="K875" s="324" t="e">
        <f aca="false">общ.калькуляция!m874</f>
        <v>#NAME?</v>
      </c>
      <c r="L875" s="324"/>
      <c r="M875" s="324"/>
      <c r="N875" s="324" t="e">
        <f aca="false">E875+H875+K875</f>
        <v>#NAME?</v>
      </c>
    </row>
    <row r="876" customFormat="false" ht="15" hidden="false" customHeight="true" outlineLevel="0" collapsed="false">
      <c r="A876" s="28" t="s">
        <v>1458</v>
      </c>
      <c r="B876" s="81" t="s">
        <v>3485</v>
      </c>
      <c r="C876" s="323"/>
      <c r="D876" s="323"/>
      <c r="E876" s="324" t="e">
        <f aca="false">общ.калькуляция!h875</f>
        <v>#NAME?</v>
      </c>
      <c r="F876" s="324"/>
      <c r="G876" s="324"/>
      <c r="H876" s="324" t="e">
        <f aca="false">общ.калькуляция!j875</f>
        <v>#NAME?</v>
      </c>
      <c r="I876" s="324"/>
      <c r="J876" s="324"/>
      <c r="K876" s="324" t="e">
        <f aca="false">общ.калькуляция!m875</f>
        <v>#NAME?</v>
      </c>
      <c r="L876" s="324"/>
      <c r="M876" s="324"/>
      <c r="N876" s="324" t="e">
        <f aca="false">E876+H876+K876</f>
        <v>#NAME?</v>
      </c>
    </row>
    <row r="877" customFormat="false" ht="15" hidden="false" customHeight="true" outlineLevel="0" collapsed="false">
      <c r="A877" s="28" t="s">
        <v>1459</v>
      </c>
      <c r="B877" s="81" t="s">
        <v>3486</v>
      </c>
      <c r="C877" s="323"/>
      <c r="D877" s="323"/>
      <c r="E877" s="324" t="e">
        <f aca="false">общ.калькуляция!h876</f>
        <v>#NAME?</v>
      </c>
      <c r="F877" s="324"/>
      <c r="G877" s="324"/>
      <c r="H877" s="324" t="e">
        <f aca="false">общ.калькуляция!j876</f>
        <v>#NAME?</v>
      </c>
      <c r="I877" s="324"/>
      <c r="J877" s="324"/>
      <c r="K877" s="324" t="e">
        <f aca="false">общ.калькуляция!m876</f>
        <v>#NAME?</v>
      </c>
      <c r="L877" s="324"/>
      <c r="M877" s="324"/>
      <c r="N877" s="324" t="e">
        <f aca="false">E877+H877+K877</f>
        <v>#NAME?</v>
      </c>
    </row>
    <row r="878" customFormat="false" ht="15" hidden="false" customHeight="true" outlineLevel="0" collapsed="false">
      <c r="A878" s="28" t="s">
        <v>1461</v>
      </c>
      <c r="B878" s="81" t="s">
        <v>3487</v>
      </c>
      <c r="C878" s="323"/>
      <c r="D878" s="323"/>
      <c r="E878" s="324" t="e">
        <f aca="false">общ.калькуляция!h877</f>
        <v>#NAME?</v>
      </c>
      <c r="F878" s="324"/>
      <c r="G878" s="324"/>
      <c r="H878" s="324" t="e">
        <f aca="false">общ.калькуляция!j877</f>
        <v>#NAME?</v>
      </c>
      <c r="I878" s="324"/>
      <c r="J878" s="324"/>
      <c r="K878" s="324" t="e">
        <f aca="false">общ.калькуляция!m877</f>
        <v>#NAME?</v>
      </c>
      <c r="L878" s="324"/>
      <c r="M878" s="324"/>
      <c r="N878" s="324" t="e">
        <f aca="false">E878+H878+K878</f>
        <v>#NAME?</v>
      </c>
    </row>
    <row r="879" customFormat="false" ht="15" hidden="false" customHeight="true" outlineLevel="0" collapsed="false">
      <c r="A879" s="28" t="s">
        <v>1463</v>
      </c>
      <c r="B879" s="81" t="s">
        <v>3488</v>
      </c>
      <c r="C879" s="323"/>
      <c r="D879" s="323"/>
      <c r="E879" s="324" t="e">
        <f aca="false">общ.калькуляция!h878</f>
        <v>#NAME?</v>
      </c>
      <c r="F879" s="324"/>
      <c r="G879" s="324"/>
      <c r="H879" s="324" t="e">
        <f aca="false">общ.калькуляция!j878</f>
        <v>#NAME?</v>
      </c>
      <c r="I879" s="324"/>
      <c r="J879" s="324"/>
      <c r="K879" s="324" t="e">
        <f aca="false">общ.калькуляция!m878</f>
        <v>#NAME?</v>
      </c>
      <c r="L879" s="324"/>
      <c r="M879" s="324"/>
      <c r="N879" s="324" t="e">
        <f aca="false">E879+H879+K879</f>
        <v>#NAME?</v>
      </c>
    </row>
    <row r="880" customFormat="false" ht="15" hidden="false" customHeight="true" outlineLevel="0" collapsed="false">
      <c r="A880" s="28" t="s">
        <v>1465</v>
      </c>
      <c r="B880" s="82" t="s">
        <v>3489</v>
      </c>
      <c r="C880" s="323"/>
      <c r="D880" s="323"/>
      <c r="E880" s="324" t="e">
        <f aca="false">общ.калькуляция!h879</f>
        <v>#NAME?</v>
      </c>
      <c r="F880" s="324"/>
      <c r="G880" s="324"/>
      <c r="H880" s="324" t="e">
        <f aca="false">общ.калькуляция!j879</f>
        <v>#NAME?</v>
      </c>
      <c r="I880" s="324"/>
      <c r="J880" s="324"/>
      <c r="K880" s="324" t="e">
        <f aca="false">общ.калькуляция!m879</f>
        <v>#NAME?</v>
      </c>
      <c r="L880" s="324"/>
      <c r="M880" s="324"/>
      <c r="N880" s="324" t="e">
        <f aca="false">E880+H880+K880</f>
        <v>#NAME?</v>
      </c>
    </row>
    <row r="881" customFormat="false" ht="15" hidden="false" customHeight="true" outlineLevel="0" collapsed="false">
      <c r="A881" s="28" t="s">
        <v>1467</v>
      </c>
      <c r="B881" s="82" t="s">
        <v>3490</v>
      </c>
      <c r="C881" s="323"/>
      <c r="D881" s="323"/>
      <c r="E881" s="324" t="e">
        <f aca="false">общ.калькуляция!h880</f>
        <v>#NAME?</v>
      </c>
      <c r="F881" s="324"/>
      <c r="G881" s="324"/>
      <c r="H881" s="324" t="e">
        <f aca="false">общ.калькуляция!j880</f>
        <v>#NAME?</v>
      </c>
      <c r="I881" s="324"/>
      <c r="J881" s="324"/>
      <c r="K881" s="324" t="e">
        <f aca="false">общ.калькуляция!m880</f>
        <v>#NAME?</v>
      </c>
      <c r="L881" s="324"/>
      <c r="M881" s="324"/>
      <c r="N881" s="324" t="e">
        <f aca="false">E881+H881+K881</f>
        <v>#NAME?</v>
      </c>
    </row>
    <row r="882" customFormat="false" ht="15" hidden="false" customHeight="true" outlineLevel="0" collapsed="false">
      <c r="A882" s="28" t="s">
        <v>1469</v>
      </c>
      <c r="B882" s="81" t="s">
        <v>3491</v>
      </c>
      <c r="C882" s="323"/>
      <c r="D882" s="323"/>
      <c r="E882" s="324" t="e">
        <f aca="false">общ.калькуляция!h881</f>
        <v>#NAME?</v>
      </c>
      <c r="F882" s="324"/>
      <c r="G882" s="324"/>
      <c r="H882" s="324" t="e">
        <f aca="false">общ.калькуляция!j881</f>
        <v>#NAME?</v>
      </c>
      <c r="I882" s="324"/>
      <c r="J882" s="324"/>
      <c r="K882" s="324" t="e">
        <f aca="false">общ.калькуляция!m881</f>
        <v>#NAME?</v>
      </c>
      <c r="L882" s="324"/>
      <c r="M882" s="324"/>
      <c r="N882" s="324" t="e">
        <f aca="false">E882+H882+K882</f>
        <v>#NAME?</v>
      </c>
    </row>
    <row r="883" customFormat="false" ht="42.75" hidden="false" customHeight="false" outlineLevel="0" collapsed="false">
      <c r="A883" s="15" t="s">
        <v>1471</v>
      </c>
      <c r="B883" s="348" t="s">
        <v>3492</v>
      </c>
      <c r="C883" s="321"/>
      <c r="D883" s="321"/>
      <c r="E883" s="329"/>
      <c r="F883" s="329"/>
      <c r="G883" s="329"/>
      <c r="H883" s="329"/>
      <c r="I883" s="329"/>
      <c r="J883" s="329"/>
      <c r="K883" s="329"/>
      <c r="L883" s="329"/>
      <c r="M883" s="329"/>
      <c r="N883" s="329"/>
    </row>
    <row r="884" customFormat="false" ht="15" hidden="false" customHeight="true" outlineLevel="0" collapsed="false">
      <c r="A884" s="28" t="s">
        <v>1473</v>
      </c>
      <c r="B884" s="80" t="s">
        <v>3493</v>
      </c>
      <c r="C884" s="323"/>
      <c r="D884" s="323"/>
      <c r="E884" s="324" t="e">
        <f aca="false">общ.калькуляция!h883</f>
        <v>#NAME?</v>
      </c>
      <c r="F884" s="324"/>
      <c r="G884" s="324"/>
      <c r="H884" s="324" t="e">
        <f aca="false">общ.калькуляция!j883</f>
        <v>#NAME?</v>
      </c>
      <c r="I884" s="324"/>
      <c r="J884" s="324"/>
      <c r="K884" s="324" t="e">
        <f aca="false">общ.калькуляция!m883</f>
        <v>#NAME?</v>
      </c>
      <c r="L884" s="324"/>
      <c r="M884" s="324"/>
      <c r="N884" s="324" t="e">
        <f aca="false">E884+H884+K884</f>
        <v>#NAME?</v>
      </c>
    </row>
    <row r="885" customFormat="false" ht="15" hidden="false" customHeight="true" outlineLevel="0" collapsed="false">
      <c r="A885" s="28" t="s">
        <v>1475</v>
      </c>
      <c r="B885" s="80" t="s">
        <v>3494</v>
      </c>
      <c r="C885" s="323"/>
      <c r="D885" s="323"/>
      <c r="E885" s="324" t="e">
        <f aca="false">общ.калькуляция!h884</f>
        <v>#NAME?</v>
      </c>
      <c r="F885" s="324"/>
      <c r="G885" s="324"/>
      <c r="H885" s="324" t="e">
        <f aca="false">общ.калькуляция!j884</f>
        <v>#NAME?</v>
      </c>
      <c r="I885" s="324"/>
      <c r="J885" s="324"/>
      <c r="K885" s="324" t="e">
        <f aca="false">общ.калькуляция!m884</f>
        <v>#NAME?</v>
      </c>
      <c r="L885" s="324"/>
      <c r="M885" s="324"/>
      <c r="N885" s="324" t="e">
        <f aca="false">E885+H885+K885</f>
        <v>#NAME?</v>
      </c>
    </row>
    <row r="886" customFormat="false" ht="15" hidden="false" customHeight="true" outlineLevel="0" collapsed="false">
      <c r="A886" s="28" t="s">
        <v>1476</v>
      </c>
      <c r="B886" s="80" t="s">
        <v>3495</v>
      </c>
      <c r="C886" s="323"/>
      <c r="D886" s="323"/>
      <c r="E886" s="324" t="e">
        <f aca="false">общ.калькуляция!h885</f>
        <v>#NAME?</v>
      </c>
      <c r="F886" s="324"/>
      <c r="G886" s="324"/>
      <c r="H886" s="324" t="e">
        <f aca="false">общ.калькуляция!j885</f>
        <v>#NAME?</v>
      </c>
      <c r="I886" s="324"/>
      <c r="J886" s="324"/>
      <c r="K886" s="324" t="e">
        <f aca="false">общ.калькуляция!m885</f>
        <v>#NAME?</v>
      </c>
      <c r="L886" s="324"/>
      <c r="M886" s="324"/>
      <c r="N886" s="324" t="e">
        <f aca="false">E886+H886+K886</f>
        <v>#NAME?</v>
      </c>
    </row>
    <row r="887" customFormat="false" ht="15" hidden="false" customHeight="true" outlineLevel="0" collapsed="false">
      <c r="A887" s="28" t="s">
        <v>1477</v>
      </c>
      <c r="B887" s="80" t="s">
        <v>3496</v>
      </c>
      <c r="C887" s="323"/>
      <c r="D887" s="323"/>
      <c r="E887" s="324" t="e">
        <f aca="false">общ.калькуляция!h886</f>
        <v>#NAME?</v>
      </c>
      <c r="F887" s="324"/>
      <c r="G887" s="324"/>
      <c r="H887" s="324" t="e">
        <f aca="false">общ.калькуляция!j886</f>
        <v>#NAME?</v>
      </c>
      <c r="I887" s="324"/>
      <c r="J887" s="324"/>
      <c r="K887" s="324" t="e">
        <f aca="false">общ.калькуляция!m886</f>
        <v>#NAME?</v>
      </c>
      <c r="L887" s="324"/>
      <c r="M887" s="324"/>
      <c r="N887" s="324" t="e">
        <f aca="false">E887+H887+K887</f>
        <v>#NAME?</v>
      </c>
    </row>
    <row r="888" customFormat="false" ht="15" hidden="false" customHeight="true" outlineLevel="0" collapsed="false">
      <c r="A888" s="28" t="s">
        <v>1478</v>
      </c>
      <c r="B888" s="80" t="s">
        <v>3497</v>
      </c>
      <c r="C888" s="323"/>
      <c r="D888" s="323"/>
      <c r="E888" s="324" t="e">
        <f aca="false">общ.калькуляция!h887</f>
        <v>#NAME?</v>
      </c>
      <c r="F888" s="324"/>
      <c r="G888" s="324"/>
      <c r="H888" s="324" t="e">
        <f aca="false">общ.калькуляция!j887</f>
        <v>#NAME?</v>
      </c>
      <c r="I888" s="324"/>
      <c r="J888" s="324"/>
      <c r="K888" s="324" t="e">
        <f aca="false">общ.калькуляция!m887</f>
        <v>#NAME?</v>
      </c>
      <c r="L888" s="324"/>
      <c r="M888" s="324"/>
      <c r="N888" s="324" t="e">
        <f aca="false">E888+H888+K888</f>
        <v>#NAME?</v>
      </c>
    </row>
    <row r="889" customFormat="false" ht="15" hidden="false" customHeight="true" outlineLevel="0" collapsed="false">
      <c r="A889" s="28" t="s">
        <v>1479</v>
      </c>
      <c r="B889" s="80" t="s">
        <v>3498</v>
      </c>
      <c r="C889" s="323"/>
      <c r="D889" s="323"/>
      <c r="E889" s="324" t="e">
        <f aca="false">общ.калькуляция!h888</f>
        <v>#NAME?</v>
      </c>
      <c r="F889" s="324"/>
      <c r="G889" s="324"/>
      <c r="H889" s="324" t="e">
        <f aca="false">общ.калькуляция!j888</f>
        <v>#NAME?</v>
      </c>
      <c r="I889" s="324"/>
      <c r="J889" s="324"/>
      <c r="K889" s="324" t="e">
        <f aca="false">общ.калькуляция!m888</f>
        <v>#NAME?</v>
      </c>
      <c r="L889" s="324"/>
      <c r="M889" s="324"/>
      <c r="N889" s="324" t="e">
        <f aca="false">E889+H889+K889</f>
        <v>#NAME?</v>
      </c>
    </row>
    <row r="890" customFormat="false" ht="15" hidden="false" customHeight="true" outlineLevel="0" collapsed="false">
      <c r="A890" s="28" t="s">
        <v>1480</v>
      </c>
      <c r="B890" s="80" t="s">
        <v>3499</v>
      </c>
      <c r="C890" s="323"/>
      <c r="D890" s="323"/>
      <c r="E890" s="324" t="e">
        <f aca="false">общ.калькуляция!h889</f>
        <v>#NAME?</v>
      </c>
      <c r="F890" s="324"/>
      <c r="G890" s="324"/>
      <c r="H890" s="324" t="e">
        <f aca="false">общ.калькуляция!j889</f>
        <v>#NAME?</v>
      </c>
      <c r="I890" s="324"/>
      <c r="J890" s="324"/>
      <c r="K890" s="324" t="e">
        <f aca="false">общ.калькуляция!m889</f>
        <v>#NAME?</v>
      </c>
      <c r="L890" s="324"/>
      <c r="M890" s="324"/>
      <c r="N890" s="324" t="e">
        <f aca="false">E890+H890+K890</f>
        <v>#NAME?</v>
      </c>
    </row>
    <row r="891" customFormat="false" ht="15" hidden="false" customHeight="true" outlineLevel="0" collapsed="false">
      <c r="A891" s="28" t="s">
        <v>1481</v>
      </c>
      <c r="B891" s="80" t="s">
        <v>3500</v>
      </c>
      <c r="C891" s="323"/>
      <c r="D891" s="323"/>
      <c r="E891" s="324" t="e">
        <f aca="false">общ.калькуляция!h890</f>
        <v>#NAME?</v>
      </c>
      <c r="F891" s="324"/>
      <c r="G891" s="324"/>
      <c r="H891" s="324" t="e">
        <f aca="false">общ.калькуляция!j890</f>
        <v>#NAME?</v>
      </c>
      <c r="I891" s="324"/>
      <c r="J891" s="324"/>
      <c r="K891" s="324" t="e">
        <f aca="false">общ.калькуляция!m890</f>
        <v>#NAME?</v>
      </c>
      <c r="L891" s="324"/>
      <c r="M891" s="324"/>
      <c r="N891" s="324" t="e">
        <f aca="false">E891+H891+K891</f>
        <v>#NAME?</v>
      </c>
    </row>
    <row r="892" customFormat="false" ht="15" hidden="false" customHeight="true" outlineLevel="0" collapsed="false">
      <c r="A892" s="28" t="s">
        <v>1482</v>
      </c>
      <c r="B892" s="80" t="s">
        <v>3501</v>
      </c>
      <c r="C892" s="323"/>
      <c r="D892" s="323"/>
      <c r="E892" s="324" t="e">
        <f aca="false">общ.калькуляция!h891</f>
        <v>#NAME?</v>
      </c>
      <c r="F892" s="324"/>
      <c r="G892" s="324"/>
      <c r="H892" s="324" t="e">
        <f aca="false">общ.калькуляция!j891</f>
        <v>#NAME?</v>
      </c>
      <c r="I892" s="324"/>
      <c r="J892" s="324"/>
      <c r="K892" s="324" t="e">
        <f aca="false">общ.калькуляция!m891</f>
        <v>#NAME?</v>
      </c>
      <c r="L892" s="324"/>
      <c r="M892" s="324"/>
      <c r="N892" s="324" t="e">
        <f aca="false">E892+H892+K892</f>
        <v>#NAME?</v>
      </c>
    </row>
    <row r="893" customFormat="false" ht="15" hidden="false" customHeight="true" outlineLevel="0" collapsed="false">
      <c r="A893" s="28" t="s">
        <v>1483</v>
      </c>
      <c r="B893" s="80" t="s">
        <v>3431</v>
      </c>
      <c r="C893" s="323"/>
      <c r="D893" s="323"/>
      <c r="E893" s="324" t="e">
        <f aca="false">общ.калькуляция!h892</f>
        <v>#NAME?</v>
      </c>
      <c r="F893" s="324"/>
      <c r="G893" s="324"/>
      <c r="H893" s="324" t="e">
        <f aca="false">общ.калькуляция!j892</f>
        <v>#NAME?</v>
      </c>
      <c r="I893" s="324"/>
      <c r="J893" s="324"/>
      <c r="K893" s="324" t="e">
        <f aca="false">общ.калькуляция!m892</f>
        <v>#NAME?</v>
      </c>
      <c r="L893" s="324"/>
      <c r="M893" s="324"/>
      <c r="N893" s="324" t="e">
        <f aca="false">E893+H893+K893</f>
        <v>#NAME?</v>
      </c>
    </row>
    <row r="894" customFormat="false" ht="15" hidden="false" customHeight="true" outlineLevel="0" collapsed="false">
      <c r="A894" s="28" t="s">
        <v>1484</v>
      </c>
      <c r="B894" s="80" t="s">
        <v>3199</v>
      </c>
      <c r="C894" s="323"/>
      <c r="D894" s="323"/>
      <c r="E894" s="324" t="e">
        <f aca="false">общ.калькуляция!h893</f>
        <v>#NAME?</v>
      </c>
      <c r="F894" s="324"/>
      <c r="G894" s="324"/>
      <c r="H894" s="324" t="e">
        <f aca="false">общ.калькуляция!j893</f>
        <v>#NAME?</v>
      </c>
      <c r="I894" s="324"/>
      <c r="J894" s="324"/>
      <c r="K894" s="324" t="e">
        <f aca="false">общ.калькуляция!m893</f>
        <v>#NAME?</v>
      </c>
      <c r="L894" s="324"/>
      <c r="M894" s="324"/>
      <c r="N894" s="324" t="e">
        <f aca="false">E894+H894+K894</f>
        <v>#NAME?</v>
      </c>
    </row>
    <row r="895" customFormat="false" ht="15" hidden="false" customHeight="true" outlineLevel="0" collapsed="false">
      <c r="A895" s="28" t="s">
        <v>1485</v>
      </c>
      <c r="B895" s="80" t="s">
        <v>3502</v>
      </c>
      <c r="C895" s="323"/>
      <c r="D895" s="323"/>
      <c r="E895" s="324" t="e">
        <f aca="false">общ.калькуляция!h894</f>
        <v>#NAME?</v>
      </c>
      <c r="F895" s="324"/>
      <c r="G895" s="324"/>
      <c r="H895" s="324" t="e">
        <f aca="false">общ.калькуляция!j894</f>
        <v>#NAME?</v>
      </c>
      <c r="I895" s="324"/>
      <c r="J895" s="324"/>
      <c r="K895" s="324" t="e">
        <f aca="false">общ.калькуляция!m894</f>
        <v>#NAME?</v>
      </c>
      <c r="L895" s="324"/>
      <c r="M895" s="324"/>
      <c r="N895" s="324" t="e">
        <f aca="false">E895+H895+K895</f>
        <v>#NAME?</v>
      </c>
    </row>
    <row r="896" customFormat="false" ht="15" hidden="false" customHeight="true" outlineLevel="0" collapsed="false">
      <c r="A896" s="28" t="s">
        <v>1486</v>
      </c>
      <c r="B896" s="80" t="s">
        <v>3433</v>
      </c>
      <c r="C896" s="323"/>
      <c r="D896" s="323"/>
      <c r="E896" s="324" t="e">
        <f aca="false">общ.калькуляция!h895</f>
        <v>#NAME?</v>
      </c>
      <c r="F896" s="324"/>
      <c r="G896" s="324"/>
      <c r="H896" s="324" t="e">
        <f aca="false">общ.калькуляция!j895</f>
        <v>#NAME?</v>
      </c>
      <c r="I896" s="324"/>
      <c r="J896" s="324"/>
      <c r="K896" s="324" t="e">
        <f aca="false">общ.калькуляция!m895</f>
        <v>#NAME?</v>
      </c>
      <c r="L896" s="324"/>
      <c r="M896" s="324"/>
      <c r="N896" s="324" t="e">
        <f aca="false">E896+H896+K896</f>
        <v>#NAME?</v>
      </c>
    </row>
    <row r="897" customFormat="false" ht="15" hidden="false" customHeight="true" outlineLevel="0" collapsed="false">
      <c r="A897" s="28" t="s">
        <v>1487</v>
      </c>
      <c r="B897" s="80" t="s">
        <v>3434</v>
      </c>
      <c r="C897" s="323"/>
      <c r="D897" s="323"/>
      <c r="E897" s="324" t="e">
        <f aca="false">общ.калькуляция!h896</f>
        <v>#NAME?</v>
      </c>
      <c r="F897" s="324"/>
      <c r="G897" s="324"/>
      <c r="H897" s="324" t="e">
        <f aca="false">общ.калькуляция!j896</f>
        <v>#NAME?</v>
      </c>
      <c r="I897" s="324"/>
      <c r="J897" s="324"/>
      <c r="K897" s="324" t="e">
        <f aca="false">общ.калькуляция!m896</f>
        <v>#NAME?</v>
      </c>
      <c r="L897" s="324"/>
      <c r="M897" s="324"/>
      <c r="N897" s="324" t="e">
        <f aca="false">E897+H897+K897</f>
        <v>#NAME?</v>
      </c>
    </row>
    <row r="898" customFormat="false" ht="15" hidden="false" customHeight="true" outlineLevel="0" collapsed="false">
      <c r="A898" s="28" t="s">
        <v>1488</v>
      </c>
      <c r="B898" s="80" t="s">
        <v>3435</v>
      </c>
      <c r="C898" s="323"/>
      <c r="D898" s="323"/>
      <c r="E898" s="324" t="e">
        <f aca="false">общ.калькуляция!h897</f>
        <v>#NAME?</v>
      </c>
      <c r="F898" s="324"/>
      <c r="G898" s="324"/>
      <c r="H898" s="324" t="e">
        <f aca="false">общ.калькуляция!j897</f>
        <v>#NAME?</v>
      </c>
      <c r="I898" s="324"/>
      <c r="J898" s="324"/>
      <c r="K898" s="324" t="e">
        <f aca="false">общ.калькуляция!m897</f>
        <v>#NAME?</v>
      </c>
      <c r="L898" s="324"/>
      <c r="M898" s="324"/>
      <c r="N898" s="324" t="e">
        <f aca="false">E898+H898+K898</f>
        <v>#NAME?</v>
      </c>
    </row>
    <row r="899" customFormat="false" ht="15" hidden="false" customHeight="true" outlineLevel="0" collapsed="false">
      <c r="A899" s="28" t="s">
        <v>1489</v>
      </c>
      <c r="B899" s="80" t="s">
        <v>3436</v>
      </c>
      <c r="C899" s="323"/>
      <c r="D899" s="323"/>
      <c r="E899" s="324" t="e">
        <f aca="false">общ.калькуляция!h898</f>
        <v>#NAME?</v>
      </c>
      <c r="F899" s="324"/>
      <c r="G899" s="324"/>
      <c r="H899" s="324" t="e">
        <f aca="false">общ.калькуляция!j898</f>
        <v>#NAME?</v>
      </c>
      <c r="I899" s="324"/>
      <c r="J899" s="324"/>
      <c r="K899" s="324" t="e">
        <f aca="false">общ.калькуляция!m898</f>
        <v>#NAME?</v>
      </c>
      <c r="L899" s="324"/>
      <c r="M899" s="324"/>
      <c r="N899" s="324" t="e">
        <f aca="false">E899+H899+K899</f>
        <v>#NAME?</v>
      </c>
    </row>
    <row r="900" customFormat="false" ht="15" hidden="false" customHeight="true" outlineLevel="0" collapsed="false">
      <c r="A900" s="28" t="s">
        <v>1490</v>
      </c>
      <c r="B900" s="80" t="s">
        <v>3437</v>
      </c>
      <c r="C900" s="323"/>
      <c r="D900" s="323"/>
      <c r="E900" s="324" t="e">
        <f aca="false">общ.калькуляция!h899</f>
        <v>#NAME?</v>
      </c>
      <c r="F900" s="324"/>
      <c r="G900" s="324"/>
      <c r="H900" s="324" t="e">
        <f aca="false">общ.калькуляция!j899</f>
        <v>#NAME?</v>
      </c>
      <c r="I900" s="324"/>
      <c r="J900" s="324"/>
      <c r="K900" s="324" t="e">
        <f aca="false">общ.калькуляция!m899</f>
        <v>#NAME?</v>
      </c>
      <c r="L900" s="324"/>
      <c r="M900" s="324"/>
      <c r="N900" s="324" t="e">
        <f aca="false">E900+H900+K900</f>
        <v>#NAME?</v>
      </c>
    </row>
    <row r="901" customFormat="false" ht="15" hidden="false" customHeight="true" outlineLevel="0" collapsed="false">
      <c r="A901" s="28" t="s">
        <v>1491</v>
      </c>
      <c r="B901" s="80" t="s">
        <v>3438</v>
      </c>
      <c r="C901" s="323"/>
      <c r="D901" s="323"/>
      <c r="E901" s="324" t="e">
        <f aca="false">общ.калькуляция!h900</f>
        <v>#NAME?</v>
      </c>
      <c r="F901" s="324"/>
      <c r="G901" s="324"/>
      <c r="H901" s="324" t="e">
        <f aca="false">общ.калькуляция!j900</f>
        <v>#NAME?</v>
      </c>
      <c r="I901" s="324"/>
      <c r="J901" s="324"/>
      <c r="K901" s="324" t="e">
        <f aca="false">общ.калькуляция!m900</f>
        <v>#NAME?</v>
      </c>
      <c r="L901" s="324"/>
      <c r="M901" s="324"/>
      <c r="N901" s="324" t="e">
        <f aca="false">E901+H901+K901</f>
        <v>#NAME?</v>
      </c>
    </row>
    <row r="902" customFormat="false" ht="15" hidden="false" customHeight="true" outlineLevel="0" collapsed="false">
      <c r="A902" s="28" t="s">
        <v>1492</v>
      </c>
      <c r="B902" s="80" t="s">
        <v>3503</v>
      </c>
      <c r="C902" s="323"/>
      <c r="D902" s="323"/>
      <c r="E902" s="324" t="e">
        <f aca="false">общ.калькуляция!h901</f>
        <v>#NAME?</v>
      </c>
      <c r="F902" s="324"/>
      <c r="G902" s="324"/>
      <c r="H902" s="324" t="e">
        <f aca="false">общ.калькуляция!j901</f>
        <v>#NAME?</v>
      </c>
      <c r="I902" s="324"/>
      <c r="J902" s="324"/>
      <c r="K902" s="324" t="e">
        <f aca="false">общ.калькуляция!m901</f>
        <v>#NAME?</v>
      </c>
      <c r="L902" s="324"/>
      <c r="M902" s="324"/>
      <c r="N902" s="324" t="e">
        <f aca="false">E902+H902+K902</f>
        <v>#NAME?</v>
      </c>
    </row>
    <row r="903" customFormat="false" ht="15" hidden="false" customHeight="true" outlineLevel="0" collapsed="false">
      <c r="A903" s="28" t="s">
        <v>1493</v>
      </c>
      <c r="B903" s="80" t="s">
        <v>3504</v>
      </c>
      <c r="C903" s="323"/>
      <c r="D903" s="323"/>
      <c r="E903" s="324" t="e">
        <f aca="false">общ.калькуляция!h902</f>
        <v>#NAME?</v>
      </c>
      <c r="F903" s="324"/>
      <c r="G903" s="324"/>
      <c r="H903" s="324" t="e">
        <f aca="false">общ.калькуляция!j902</f>
        <v>#NAME?</v>
      </c>
      <c r="I903" s="324"/>
      <c r="J903" s="324"/>
      <c r="K903" s="324" t="e">
        <f aca="false">общ.калькуляция!m902</f>
        <v>#NAME?</v>
      </c>
      <c r="L903" s="324"/>
      <c r="M903" s="324"/>
      <c r="N903" s="324" t="e">
        <f aca="false">E903+H903+K903</f>
        <v>#NAME?</v>
      </c>
    </row>
    <row r="904" customFormat="false" ht="15" hidden="false" customHeight="true" outlineLevel="0" collapsed="false">
      <c r="A904" s="28" t="s">
        <v>1494</v>
      </c>
      <c r="B904" s="80" t="s">
        <v>3440</v>
      </c>
      <c r="C904" s="323"/>
      <c r="D904" s="323"/>
      <c r="E904" s="324" t="e">
        <f aca="false">общ.калькуляция!h903</f>
        <v>#NAME?</v>
      </c>
      <c r="F904" s="324"/>
      <c r="G904" s="324"/>
      <c r="H904" s="324" t="e">
        <f aca="false">общ.калькуляция!j903</f>
        <v>#NAME?</v>
      </c>
      <c r="I904" s="324"/>
      <c r="J904" s="324"/>
      <c r="K904" s="324" t="e">
        <f aca="false">общ.калькуляция!m903</f>
        <v>#NAME?</v>
      </c>
      <c r="L904" s="324"/>
      <c r="M904" s="324"/>
      <c r="N904" s="324" t="e">
        <f aca="false">E904+H904+K904</f>
        <v>#NAME?</v>
      </c>
    </row>
    <row r="905" customFormat="false" ht="15" hidden="false" customHeight="true" outlineLevel="0" collapsed="false">
      <c r="A905" s="28" t="s">
        <v>1495</v>
      </c>
      <c r="B905" s="80" t="s">
        <v>3505</v>
      </c>
      <c r="C905" s="323"/>
      <c r="D905" s="323"/>
      <c r="E905" s="324" t="e">
        <f aca="false">общ.калькуляция!h904</f>
        <v>#NAME?</v>
      </c>
      <c r="F905" s="324"/>
      <c r="G905" s="324"/>
      <c r="H905" s="324" t="e">
        <f aca="false">общ.калькуляция!j904</f>
        <v>#NAME?</v>
      </c>
      <c r="I905" s="324"/>
      <c r="J905" s="324"/>
      <c r="K905" s="324" t="e">
        <f aca="false">общ.калькуляция!m904</f>
        <v>#NAME?</v>
      </c>
      <c r="L905" s="324"/>
      <c r="M905" s="324"/>
      <c r="N905" s="324" t="e">
        <f aca="false">E905+H905+K905</f>
        <v>#NAME?</v>
      </c>
    </row>
    <row r="906" customFormat="false" ht="15" hidden="false" customHeight="true" outlineLevel="0" collapsed="false">
      <c r="A906" s="28" t="s">
        <v>1496</v>
      </c>
      <c r="B906" s="80" t="s">
        <v>3466</v>
      </c>
      <c r="C906" s="323"/>
      <c r="D906" s="323"/>
      <c r="E906" s="324" t="e">
        <f aca="false">общ.калькуляция!h905</f>
        <v>#NAME?</v>
      </c>
      <c r="F906" s="324"/>
      <c r="G906" s="324"/>
      <c r="H906" s="324" t="e">
        <f aca="false">общ.калькуляция!j905</f>
        <v>#NAME?</v>
      </c>
      <c r="I906" s="324"/>
      <c r="J906" s="324"/>
      <c r="K906" s="324" t="e">
        <f aca="false">общ.калькуляция!m905</f>
        <v>#NAME?</v>
      </c>
      <c r="L906" s="324"/>
      <c r="M906" s="324"/>
      <c r="N906" s="324" t="e">
        <f aca="false">E906+H906+K906</f>
        <v>#NAME?</v>
      </c>
    </row>
    <row r="907" customFormat="false" ht="15" hidden="false" customHeight="true" outlineLevel="0" collapsed="false">
      <c r="A907" s="28" t="s">
        <v>1497</v>
      </c>
      <c r="B907" s="80" t="s">
        <v>3506</v>
      </c>
      <c r="C907" s="323"/>
      <c r="D907" s="323"/>
      <c r="E907" s="324" t="e">
        <f aca="false">общ.калькуляция!h906</f>
        <v>#NAME?</v>
      </c>
      <c r="F907" s="324"/>
      <c r="G907" s="324"/>
      <c r="H907" s="324" t="e">
        <f aca="false">общ.калькуляция!j906</f>
        <v>#NAME?</v>
      </c>
      <c r="I907" s="324"/>
      <c r="J907" s="324"/>
      <c r="K907" s="324" t="e">
        <f aca="false">общ.калькуляция!m906</f>
        <v>#NAME?</v>
      </c>
      <c r="L907" s="324"/>
      <c r="M907" s="324"/>
      <c r="N907" s="324" t="e">
        <f aca="false">E907+H907+K907</f>
        <v>#NAME?</v>
      </c>
    </row>
    <row r="908" customFormat="false" ht="15" hidden="false" customHeight="true" outlineLevel="0" collapsed="false">
      <c r="A908" s="28" t="s">
        <v>1498</v>
      </c>
      <c r="B908" s="80" t="s">
        <v>3457</v>
      </c>
      <c r="C908" s="323"/>
      <c r="D908" s="323"/>
      <c r="E908" s="324" t="e">
        <f aca="false">общ.калькуляция!h907</f>
        <v>#NAME?</v>
      </c>
      <c r="F908" s="324"/>
      <c r="G908" s="324"/>
      <c r="H908" s="324" t="e">
        <f aca="false">общ.калькуляция!j907</f>
        <v>#NAME?</v>
      </c>
      <c r="I908" s="324"/>
      <c r="J908" s="324"/>
      <c r="K908" s="324" t="e">
        <f aca="false">общ.калькуляция!m907</f>
        <v>#NAME?</v>
      </c>
      <c r="L908" s="324"/>
      <c r="M908" s="324"/>
      <c r="N908" s="324" t="e">
        <f aca="false">E908+H908+K908</f>
        <v>#NAME?</v>
      </c>
    </row>
    <row r="909" customFormat="false" ht="15" hidden="false" customHeight="true" outlineLevel="0" collapsed="false">
      <c r="A909" s="28" t="s">
        <v>1499</v>
      </c>
      <c r="B909" s="80" t="s">
        <v>3507</v>
      </c>
      <c r="C909" s="323"/>
      <c r="D909" s="323"/>
      <c r="E909" s="324" t="e">
        <f aca="false">общ.калькуляция!h908</f>
        <v>#NAME?</v>
      </c>
      <c r="F909" s="324"/>
      <c r="G909" s="324"/>
      <c r="H909" s="324" t="e">
        <f aca="false">общ.калькуляция!j908</f>
        <v>#NAME?</v>
      </c>
      <c r="I909" s="324"/>
      <c r="J909" s="324"/>
      <c r="K909" s="324" t="e">
        <f aca="false">общ.калькуляция!m908</f>
        <v>#NAME?</v>
      </c>
      <c r="L909" s="324"/>
      <c r="M909" s="324"/>
      <c r="N909" s="324" t="e">
        <f aca="false">E909+H909+K909</f>
        <v>#NAME?</v>
      </c>
    </row>
    <row r="910" customFormat="false" ht="15" hidden="false" customHeight="true" outlineLevel="0" collapsed="false">
      <c r="A910" s="28" t="s">
        <v>1500</v>
      </c>
      <c r="B910" s="80" t="s">
        <v>3508</v>
      </c>
      <c r="C910" s="323"/>
      <c r="D910" s="323"/>
      <c r="E910" s="324" t="e">
        <f aca="false">общ.калькуляция!h909</f>
        <v>#NAME?</v>
      </c>
      <c r="F910" s="324"/>
      <c r="G910" s="324"/>
      <c r="H910" s="324" t="e">
        <f aca="false">общ.калькуляция!j909</f>
        <v>#NAME?</v>
      </c>
      <c r="I910" s="324"/>
      <c r="J910" s="324"/>
      <c r="K910" s="324" t="e">
        <f aca="false">общ.калькуляция!m909</f>
        <v>#NAME?</v>
      </c>
      <c r="L910" s="324"/>
      <c r="M910" s="324"/>
      <c r="N910" s="324" t="e">
        <f aca="false">E910+H910+K910</f>
        <v>#NAME?</v>
      </c>
    </row>
    <row r="911" customFormat="false" ht="15" hidden="false" customHeight="true" outlineLevel="0" collapsed="false">
      <c r="A911" s="28" t="s">
        <v>1501</v>
      </c>
      <c r="B911" s="80" t="s">
        <v>3509</v>
      </c>
      <c r="C911" s="323"/>
      <c r="D911" s="323"/>
      <c r="E911" s="324" t="e">
        <f aca="false">общ.калькуляция!h910</f>
        <v>#NAME?</v>
      </c>
      <c r="F911" s="324"/>
      <c r="G911" s="324"/>
      <c r="H911" s="324" t="e">
        <f aca="false">общ.калькуляция!j910</f>
        <v>#NAME?</v>
      </c>
      <c r="I911" s="324"/>
      <c r="J911" s="324"/>
      <c r="K911" s="324" t="e">
        <f aca="false">общ.калькуляция!m910</f>
        <v>#NAME?</v>
      </c>
      <c r="L911" s="324"/>
      <c r="M911" s="324"/>
      <c r="N911" s="324" t="e">
        <f aca="false">E911+H911+K911</f>
        <v>#NAME?</v>
      </c>
    </row>
    <row r="912" customFormat="false" ht="15" hidden="false" customHeight="true" outlineLevel="0" collapsed="false">
      <c r="A912" s="28" t="s">
        <v>1502</v>
      </c>
      <c r="B912" s="80" t="s">
        <v>3460</v>
      </c>
      <c r="C912" s="323"/>
      <c r="D912" s="323"/>
      <c r="E912" s="324" t="e">
        <f aca="false">общ.калькуляция!h911</f>
        <v>#NAME?</v>
      </c>
      <c r="F912" s="324"/>
      <c r="G912" s="324"/>
      <c r="H912" s="324" t="e">
        <f aca="false">общ.калькуляция!j911</f>
        <v>#NAME?</v>
      </c>
      <c r="I912" s="324"/>
      <c r="J912" s="324"/>
      <c r="K912" s="324" t="e">
        <f aca="false">общ.калькуляция!m911</f>
        <v>#NAME?</v>
      </c>
      <c r="L912" s="324"/>
      <c r="M912" s="324"/>
      <c r="N912" s="324" t="e">
        <f aca="false">E912+H912+K912</f>
        <v>#NAME?</v>
      </c>
    </row>
    <row r="913" customFormat="false" ht="15" hidden="false" customHeight="true" outlineLevel="0" collapsed="false">
      <c r="A913" s="28" t="s">
        <v>1503</v>
      </c>
      <c r="B913" s="80" t="s">
        <v>3445</v>
      </c>
      <c r="C913" s="323"/>
      <c r="D913" s="323"/>
      <c r="E913" s="324" t="e">
        <f aca="false">общ.калькуляция!h912</f>
        <v>#NAME?</v>
      </c>
      <c r="F913" s="324"/>
      <c r="G913" s="324"/>
      <c r="H913" s="324" t="e">
        <f aca="false">общ.калькуляция!j912</f>
        <v>#NAME?</v>
      </c>
      <c r="I913" s="324"/>
      <c r="J913" s="324"/>
      <c r="K913" s="324" t="e">
        <f aca="false">общ.калькуляция!m912</f>
        <v>#NAME?</v>
      </c>
      <c r="L913" s="324"/>
      <c r="M913" s="324"/>
      <c r="N913" s="324" t="e">
        <f aca="false">E913+H913+K913</f>
        <v>#NAME?</v>
      </c>
    </row>
    <row r="914" customFormat="false" ht="15" hidden="false" customHeight="true" outlineLevel="0" collapsed="false">
      <c r="A914" s="28" t="s">
        <v>1504</v>
      </c>
      <c r="B914" s="80" t="s">
        <v>3510</v>
      </c>
      <c r="C914" s="323"/>
      <c r="D914" s="323"/>
      <c r="E914" s="324" t="e">
        <f aca="false">общ.калькуляция!h913</f>
        <v>#NAME?</v>
      </c>
      <c r="F914" s="324"/>
      <c r="G914" s="324"/>
      <c r="H914" s="324" t="e">
        <f aca="false">общ.калькуляция!j913</f>
        <v>#NAME?</v>
      </c>
      <c r="I914" s="324"/>
      <c r="J914" s="324"/>
      <c r="K914" s="324" t="e">
        <f aca="false">общ.калькуляция!m913</f>
        <v>#NAME?</v>
      </c>
      <c r="L914" s="324"/>
      <c r="M914" s="324"/>
      <c r="N914" s="324" t="e">
        <f aca="false">E914+H914+K914</f>
        <v>#NAME?</v>
      </c>
    </row>
    <row r="915" customFormat="false" ht="15" hidden="false" customHeight="true" outlineLevel="0" collapsed="false">
      <c r="A915" s="28" t="s">
        <v>1505</v>
      </c>
      <c r="B915" s="80" t="s">
        <v>3511</v>
      </c>
      <c r="C915" s="323"/>
      <c r="D915" s="323"/>
      <c r="E915" s="324" t="e">
        <f aca="false">общ.калькуляция!h914</f>
        <v>#NAME?</v>
      </c>
      <c r="F915" s="324"/>
      <c r="G915" s="324"/>
      <c r="H915" s="324" t="e">
        <f aca="false">общ.калькуляция!j914</f>
        <v>#NAME?</v>
      </c>
      <c r="I915" s="324"/>
      <c r="J915" s="324"/>
      <c r="K915" s="324" t="e">
        <f aca="false">общ.калькуляция!m914</f>
        <v>#NAME?</v>
      </c>
      <c r="L915" s="324"/>
      <c r="M915" s="324"/>
      <c r="N915" s="324" t="e">
        <f aca="false">E915+H915+K915</f>
        <v>#NAME?</v>
      </c>
    </row>
    <row r="916" customFormat="false" ht="15" hidden="false" customHeight="true" outlineLevel="0" collapsed="false">
      <c r="A916" s="28" t="s">
        <v>1507</v>
      </c>
      <c r="B916" s="80" t="s">
        <v>3512</v>
      </c>
      <c r="C916" s="323"/>
      <c r="D916" s="323"/>
      <c r="E916" s="324" t="e">
        <f aca="false">общ.калькуляция!h915</f>
        <v>#NAME?</v>
      </c>
      <c r="F916" s="324"/>
      <c r="G916" s="324"/>
      <c r="H916" s="324" t="e">
        <f aca="false">общ.калькуляция!j915</f>
        <v>#NAME?</v>
      </c>
      <c r="I916" s="324"/>
      <c r="J916" s="324"/>
      <c r="K916" s="324" t="e">
        <f aca="false">общ.калькуляция!m915</f>
        <v>#NAME?</v>
      </c>
      <c r="L916" s="324"/>
      <c r="M916" s="324"/>
      <c r="N916" s="324" t="e">
        <f aca="false">E916+H916+K916</f>
        <v>#NAME?</v>
      </c>
    </row>
    <row r="917" customFormat="false" ht="15" hidden="false" customHeight="true" outlineLevel="0" collapsed="false">
      <c r="A917" s="28" t="s">
        <v>1509</v>
      </c>
      <c r="B917" s="80" t="s">
        <v>3513</v>
      </c>
      <c r="C917" s="323"/>
      <c r="D917" s="323"/>
      <c r="E917" s="324" t="e">
        <f aca="false">общ.калькуляция!h916</f>
        <v>#NAME?</v>
      </c>
      <c r="F917" s="324"/>
      <c r="G917" s="324"/>
      <c r="H917" s="324" t="e">
        <f aca="false">общ.калькуляция!j916</f>
        <v>#NAME?</v>
      </c>
      <c r="I917" s="324"/>
      <c r="J917" s="324"/>
      <c r="K917" s="324" t="e">
        <f aca="false">общ.калькуляция!m916</f>
        <v>#NAME?</v>
      </c>
      <c r="L917" s="324"/>
      <c r="M917" s="324"/>
      <c r="N917" s="324" t="e">
        <f aca="false">E917+H917+K917</f>
        <v>#NAME?</v>
      </c>
    </row>
    <row r="918" customFormat="false" ht="15" hidden="false" customHeight="true" outlineLevel="0" collapsed="false">
      <c r="A918" s="28" t="s">
        <v>1510</v>
      </c>
      <c r="B918" s="80" t="s">
        <v>3514</v>
      </c>
      <c r="C918" s="323"/>
      <c r="D918" s="323"/>
      <c r="E918" s="324" t="e">
        <f aca="false">общ.калькуляция!h917</f>
        <v>#NAME?</v>
      </c>
      <c r="F918" s="324"/>
      <c r="G918" s="324"/>
      <c r="H918" s="324" t="e">
        <f aca="false">общ.калькуляция!j917</f>
        <v>#NAME?</v>
      </c>
      <c r="I918" s="324"/>
      <c r="J918" s="324"/>
      <c r="K918" s="324" t="e">
        <f aca="false">общ.калькуляция!m917</f>
        <v>#NAME?</v>
      </c>
      <c r="L918" s="324"/>
      <c r="M918" s="324"/>
      <c r="N918" s="324" t="e">
        <f aca="false">E918+H918+K918</f>
        <v>#NAME?</v>
      </c>
    </row>
    <row r="919" customFormat="false" ht="15" hidden="false" customHeight="true" outlineLevel="0" collapsed="false">
      <c r="A919" s="28" t="s">
        <v>1511</v>
      </c>
      <c r="B919" s="80" t="s">
        <v>3453</v>
      </c>
      <c r="C919" s="323"/>
      <c r="D919" s="323"/>
      <c r="E919" s="324" t="e">
        <f aca="false">общ.калькуляция!h918</f>
        <v>#NAME?</v>
      </c>
      <c r="F919" s="324"/>
      <c r="G919" s="324"/>
      <c r="H919" s="324" t="e">
        <f aca="false">общ.калькуляция!j918</f>
        <v>#NAME?</v>
      </c>
      <c r="I919" s="324"/>
      <c r="J919" s="324"/>
      <c r="K919" s="324" t="e">
        <f aca="false">общ.калькуляция!m918</f>
        <v>#NAME?</v>
      </c>
      <c r="L919" s="324"/>
      <c r="M919" s="324"/>
      <c r="N919" s="324" t="e">
        <f aca="false">E919+H919+K919</f>
        <v>#NAME?</v>
      </c>
    </row>
    <row r="920" customFormat="false" ht="15" hidden="false" customHeight="true" outlineLevel="0" collapsed="false">
      <c r="A920" s="28" t="s">
        <v>1512</v>
      </c>
      <c r="B920" s="80" t="s">
        <v>3462</v>
      </c>
      <c r="C920" s="323"/>
      <c r="D920" s="323"/>
      <c r="E920" s="324" t="e">
        <f aca="false">общ.калькуляция!h919</f>
        <v>#NAME?</v>
      </c>
      <c r="F920" s="324"/>
      <c r="G920" s="324"/>
      <c r="H920" s="324" t="e">
        <f aca="false">общ.калькуляция!j919</f>
        <v>#NAME?</v>
      </c>
      <c r="I920" s="324"/>
      <c r="J920" s="324"/>
      <c r="K920" s="324" t="e">
        <f aca="false">общ.калькуляция!m919</f>
        <v>#NAME?</v>
      </c>
      <c r="L920" s="324"/>
      <c r="M920" s="324"/>
      <c r="N920" s="324" t="e">
        <f aca="false">E920+H920+K920</f>
        <v>#NAME?</v>
      </c>
    </row>
    <row r="921" customFormat="false" ht="15" hidden="false" customHeight="true" outlineLevel="0" collapsed="false">
      <c r="A921" s="28" t="s">
        <v>1513</v>
      </c>
      <c r="B921" s="80" t="s">
        <v>3463</v>
      </c>
      <c r="C921" s="323"/>
      <c r="D921" s="323"/>
      <c r="E921" s="324" t="e">
        <f aca="false">общ.калькуляция!h920</f>
        <v>#NAME?</v>
      </c>
      <c r="F921" s="324"/>
      <c r="G921" s="324"/>
      <c r="H921" s="324" t="e">
        <f aca="false">общ.калькуляция!j920</f>
        <v>#NAME?</v>
      </c>
      <c r="I921" s="324"/>
      <c r="J921" s="324"/>
      <c r="K921" s="324" t="e">
        <f aca="false">общ.калькуляция!m920</f>
        <v>#NAME?</v>
      </c>
      <c r="L921" s="324"/>
      <c r="M921" s="324"/>
      <c r="N921" s="324" t="e">
        <f aca="false">E921+H921+K921</f>
        <v>#NAME?</v>
      </c>
    </row>
    <row r="922" customFormat="false" ht="15" hidden="false" customHeight="true" outlineLevel="0" collapsed="false">
      <c r="A922" s="28" t="s">
        <v>1514</v>
      </c>
      <c r="B922" s="80" t="s">
        <v>3455</v>
      </c>
      <c r="C922" s="323"/>
      <c r="D922" s="323"/>
      <c r="E922" s="324" t="e">
        <f aca="false">общ.калькуляция!h921</f>
        <v>#NAME?</v>
      </c>
      <c r="F922" s="324"/>
      <c r="G922" s="324"/>
      <c r="H922" s="324" t="e">
        <f aca="false">общ.калькуляция!j921</f>
        <v>#NAME?</v>
      </c>
      <c r="I922" s="324"/>
      <c r="J922" s="324"/>
      <c r="K922" s="324" t="e">
        <f aca="false">общ.калькуляция!m921</f>
        <v>#NAME?</v>
      </c>
      <c r="L922" s="324"/>
      <c r="M922" s="324"/>
      <c r="N922" s="324" t="e">
        <f aca="false">E922+H922+K922</f>
        <v>#NAME?</v>
      </c>
    </row>
    <row r="923" customFormat="false" ht="15" hidden="false" customHeight="true" outlineLevel="0" collapsed="false">
      <c r="A923" s="28" t="s">
        <v>1515</v>
      </c>
      <c r="B923" s="80" t="s">
        <v>3454</v>
      </c>
      <c r="C923" s="323"/>
      <c r="D923" s="323"/>
      <c r="E923" s="324" t="e">
        <f aca="false">общ.калькуляция!h922</f>
        <v>#NAME?</v>
      </c>
      <c r="F923" s="324"/>
      <c r="G923" s="324"/>
      <c r="H923" s="324" t="e">
        <f aca="false">общ.калькуляция!j922</f>
        <v>#NAME?</v>
      </c>
      <c r="I923" s="324"/>
      <c r="J923" s="324"/>
      <c r="K923" s="324" t="e">
        <f aca="false">общ.калькуляция!m922</f>
        <v>#NAME?</v>
      </c>
      <c r="L923" s="324"/>
      <c r="M923" s="324"/>
      <c r="N923" s="324" t="e">
        <f aca="false">E923+H923+K923</f>
        <v>#NAME?</v>
      </c>
    </row>
    <row r="924" customFormat="false" ht="15" hidden="false" customHeight="true" outlineLevel="0" collapsed="false">
      <c r="A924" s="28" t="s">
        <v>1516</v>
      </c>
      <c r="B924" s="80" t="s">
        <v>3465</v>
      </c>
      <c r="C924" s="323"/>
      <c r="D924" s="323"/>
      <c r="E924" s="324" t="e">
        <f aca="false">общ.калькуляция!h923</f>
        <v>#NAME?</v>
      </c>
      <c r="F924" s="324"/>
      <c r="G924" s="324"/>
      <c r="H924" s="324" t="e">
        <f aca="false">общ.калькуляция!j923</f>
        <v>#NAME?</v>
      </c>
      <c r="I924" s="324"/>
      <c r="J924" s="324"/>
      <c r="K924" s="324" t="e">
        <f aca="false">общ.калькуляция!m923</f>
        <v>#NAME?</v>
      </c>
      <c r="L924" s="324"/>
      <c r="M924" s="324"/>
      <c r="N924" s="324" t="e">
        <f aca="false">E924+H924+K924</f>
        <v>#NAME?</v>
      </c>
    </row>
    <row r="925" customFormat="false" ht="45" hidden="false" customHeight="true" outlineLevel="0" collapsed="false">
      <c r="A925" s="28" t="s">
        <v>1517</v>
      </c>
      <c r="B925" s="80" t="s">
        <v>3515</v>
      </c>
      <c r="C925" s="323"/>
      <c r="D925" s="323"/>
      <c r="E925" s="324" t="e">
        <f aca="false">общ.калькуляция!h924</f>
        <v>#NAME?</v>
      </c>
      <c r="F925" s="324"/>
      <c r="G925" s="324"/>
      <c r="H925" s="324" t="e">
        <f aca="false">общ.калькуляция!j924</f>
        <v>#NAME?</v>
      </c>
      <c r="I925" s="324"/>
      <c r="J925" s="324"/>
      <c r="K925" s="324" t="e">
        <f aca="false">общ.калькуляция!m924</f>
        <v>#NAME?</v>
      </c>
      <c r="L925" s="324"/>
      <c r="M925" s="324"/>
      <c r="N925" s="324" t="e">
        <f aca="false">E925+H925+K925</f>
        <v>#NAME?</v>
      </c>
    </row>
    <row r="926" customFormat="false" ht="15" hidden="false" customHeight="true" outlineLevel="0" collapsed="false">
      <c r="A926" s="28" t="s">
        <v>1519</v>
      </c>
      <c r="B926" s="81" t="s">
        <v>3486</v>
      </c>
      <c r="C926" s="323"/>
      <c r="D926" s="323"/>
      <c r="E926" s="324" t="e">
        <f aca="false">общ.калькуляция!h925</f>
        <v>#NAME?</v>
      </c>
      <c r="F926" s="324"/>
      <c r="G926" s="324"/>
      <c r="H926" s="324" t="e">
        <f aca="false">общ.калькуляция!j925</f>
        <v>#NAME?</v>
      </c>
      <c r="I926" s="324"/>
      <c r="J926" s="324"/>
      <c r="K926" s="324" t="e">
        <f aca="false">общ.калькуляция!m925</f>
        <v>#NAME?</v>
      </c>
      <c r="L926" s="324"/>
      <c r="M926" s="324"/>
      <c r="N926" s="324" t="e">
        <f aca="false">E926+H926+K926</f>
        <v>#NAME?</v>
      </c>
    </row>
    <row r="927" customFormat="false" ht="15" hidden="false" customHeight="true" outlineLevel="0" collapsed="false">
      <c r="A927" s="28" t="s">
        <v>1521</v>
      </c>
      <c r="B927" s="81" t="s">
        <v>3516</v>
      </c>
      <c r="C927" s="323"/>
      <c r="D927" s="323"/>
      <c r="E927" s="324" t="e">
        <f aca="false">общ.калькуляция!h926</f>
        <v>#NAME?</v>
      </c>
      <c r="F927" s="324"/>
      <c r="G927" s="324"/>
      <c r="H927" s="324" t="e">
        <f aca="false">общ.калькуляция!j926</f>
        <v>#NAME?</v>
      </c>
      <c r="I927" s="324"/>
      <c r="J927" s="324"/>
      <c r="K927" s="324" t="e">
        <f aca="false">общ.калькуляция!m926</f>
        <v>#NAME?</v>
      </c>
      <c r="L927" s="324"/>
      <c r="M927" s="324"/>
      <c r="N927" s="324" t="e">
        <f aca="false">E927+H927+K927</f>
        <v>#NAME?</v>
      </c>
    </row>
    <row r="928" customFormat="false" ht="28.5" hidden="false" customHeight="false" outlineLevel="0" collapsed="false">
      <c r="A928" s="15" t="s">
        <v>1523</v>
      </c>
      <c r="B928" s="84" t="s">
        <v>3517</v>
      </c>
      <c r="C928" s="321"/>
      <c r="D928" s="321"/>
      <c r="E928" s="329"/>
      <c r="F928" s="329"/>
      <c r="G928" s="329"/>
      <c r="H928" s="329"/>
      <c r="I928" s="329"/>
      <c r="J928" s="329"/>
      <c r="K928" s="329"/>
      <c r="L928" s="329"/>
      <c r="M928" s="329"/>
      <c r="N928" s="329"/>
    </row>
    <row r="929" customFormat="false" ht="15" hidden="false" customHeight="true" outlineLevel="0" collapsed="false">
      <c r="A929" s="28" t="s">
        <v>1525</v>
      </c>
      <c r="B929" s="80" t="s">
        <v>3518</v>
      </c>
      <c r="C929" s="323"/>
      <c r="D929" s="323"/>
      <c r="E929" s="324" t="e">
        <f aca="false">общ.калькуляция!h928</f>
        <v>#NAME?</v>
      </c>
      <c r="F929" s="324"/>
      <c r="G929" s="324"/>
      <c r="H929" s="324" t="e">
        <f aca="false">общ.калькуляция!j928</f>
        <v>#NAME?</v>
      </c>
      <c r="I929" s="324"/>
      <c r="J929" s="324"/>
      <c r="K929" s="324" t="e">
        <f aca="false">общ.калькуляция!m928</f>
        <v>#NAME?</v>
      </c>
      <c r="L929" s="324"/>
      <c r="M929" s="324"/>
      <c r="N929" s="324" t="e">
        <f aca="false">E929+H929+K929</f>
        <v>#NAME?</v>
      </c>
    </row>
    <row r="930" customFormat="false" ht="15" hidden="false" customHeight="true" outlineLevel="0" collapsed="false">
      <c r="A930" s="28" t="s">
        <v>1527</v>
      </c>
      <c r="B930" s="80" t="s">
        <v>3139</v>
      </c>
      <c r="C930" s="323"/>
      <c r="D930" s="323"/>
      <c r="E930" s="324" t="e">
        <f aca="false">общ.калькуляция!h929</f>
        <v>#NAME?</v>
      </c>
      <c r="F930" s="324"/>
      <c r="G930" s="324"/>
      <c r="H930" s="324" t="e">
        <f aca="false">общ.калькуляция!j929</f>
        <v>#NAME?</v>
      </c>
      <c r="I930" s="324"/>
      <c r="J930" s="324"/>
      <c r="K930" s="324" t="e">
        <f aca="false">общ.калькуляция!m929</f>
        <v>#NAME?</v>
      </c>
      <c r="L930" s="324"/>
      <c r="M930" s="324"/>
      <c r="N930" s="324" t="e">
        <f aca="false">E930+H930+K930</f>
        <v>#NAME?</v>
      </c>
    </row>
    <row r="931" customFormat="false" ht="15" hidden="false" customHeight="true" outlineLevel="0" collapsed="false">
      <c r="A931" s="28" t="s">
        <v>1528</v>
      </c>
      <c r="B931" s="80" t="s">
        <v>2964</v>
      </c>
      <c r="C931" s="323"/>
      <c r="D931" s="323"/>
      <c r="E931" s="324" t="e">
        <f aca="false">общ.калькуляция!h930</f>
        <v>#NAME?</v>
      </c>
      <c r="F931" s="324"/>
      <c r="G931" s="324"/>
      <c r="H931" s="324" t="e">
        <f aca="false">общ.калькуляция!j930</f>
        <v>#NAME?</v>
      </c>
      <c r="I931" s="324"/>
      <c r="J931" s="324"/>
      <c r="K931" s="324" t="e">
        <f aca="false">общ.калькуляция!m930</f>
        <v>#NAME?</v>
      </c>
      <c r="L931" s="324"/>
      <c r="M931" s="324"/>
      <c r="N931" s="324" t="e">
        <f aca="false">E931+H931+K931</f>
        <v>#NAME?</v>
      </c>
    </row>
    <row r="932" customFormat="false" ht="30" hidden="false" customHeight="true" outlineLevel="0" collapsed="false">
      <c r="A932" s="28" t="s">
        <v>1529</v>
      </c>
      <c r="B932" s="80" t="s">
        <v>3519</v>
      </c>
      <c r="C932" s="323"/>
      <c r="D932" s="323"/>
      <c r="E932" s="324" t="e">
        <f aca="false">общ.калькуляция!h931</f>
        <v>#NAME?</v>
      </c>
      <c r="F932" s="324"/>
      <c r="G932" s="324"/>
      <c r="H932" s="324" t="e">
        <f aca="false">общ.калькуляция!j931</f>
        <v>#NAME?</v>
      </c>
      <c r="I932" s="324"/>
      <c r="J932" s="324"/>
      <c r="K932" s="324" t="e">
        <f aca="false">общ.калькуляция!m931</f>
        <v>#NAME?</v>
      </c>
      <c r="L932" s="324"/>
      <c r="M932" s="324"/>
      <c r="N932" s="324" t="e">
        <f aca="false">E932+H932+K932</f>
        <v>#NAME?</v>
      </c>
    </row>
    <row r="933" customFormat="false" ht="30" hidden="false" customHeight="true" outlineLevel="0" collapsed="false">
      <c r="A933" s="28" t="s">
        <v>1531</v>
      </c>
      <c r="B933" s="80" t="s">
        <v>3520</v>
      </c>
      <c r="C933" s="323"/>
      <c r="D933" s="323"/>
      <c r="E933" s="324" t="e">
        <f aca="false">общ.калькуляция!h932</f>
        <v>#NAME?</v>
      </c>
      <c r="F933" s="324"/>
      <c r="G933" s="324"/>
      <c r="H933" s="324" t="e">
        <f aca="false">общ.калькуляция!j932</f>
        <v>#NAME?</v>
      </c>
      <c r="I933" s="324"/>
      <c r="J933" s="324"/>
      <c r="K933" s="324" t="e">
        <f aca="false">общ.калькуляция!m932</f>
        <v>#NAME?</v>
      </c>
      <c r="L933" s="324"/>
      <c r="M933" s="324"/>
      <c r="N933" s="324" t="e">
        <f aca="false">E933+H933+K933</f>
        <v>#NAME?</v>
      </c>
    </row>
    <row r="934" customFormat="false" ht="15" hidden="false" customHeight="true" outlineLevel="0" collapsed="false">
      <c r="A934" s="28" t="s">
        <v>1533</v>
      </c>
      <c r="B934" s="81" t="s">
        <v>3129</v>
      </c>
      <c r="C934" s="323"/>
      <c r="D934" s="323"/>
      <c r="E934" s="324" t="e">
        <f aca="false">общ.калькуляция!h933</f>
        <v>#NAME?</v>
      </c>
      <c r="F934" s="324"/>
      <c r="G934" s="324"/>
      <c r="H934" s="324" t="e">
        <f aca="false">общ.калькуляция!j933</f>
        <v>#NAME?</v>
      </c>
      <c r="I934" s="324"/>
      <c r="J934" s="324"/>
      <c r="K934" s="324" t="e">
        <f aca="false">общ.калькуляция!m933</f>
        <v>#NAME?</v>
      </c>
      <c r="L934" s="324"/>
      <c r="M934" s="324"/>
      <c r="N934" s="324" t="e">
        <f aca="false">E934+H934+K934</f>
        <v>#NAME?</v>
      </c>
    </row>
    <row r="935" customFormat="false" ht="15" hidden="false" customHeight="true" outlineLevel="0" collapsed="false">
      <c r="A935" s="28" t="s">
        <v>1534</v>
      </c>
      <c r="B935" s="81" t="s">
        <v>3521</v>
      </c>
      <c r="C935" s="323"/>
      <c r="D935" s="323"/>
      <c r="E935" s="324" t="e">
        <f aca="false">общ.калькуляция!h934</f>
        <v>#NAME?</v>
      </c>
      <c r="F935" s="324"/>
      <c r="G935" s="324"/>
      <c r="H935" s="324" t="e">
        <f aca="false">общ.калькуляция!j934</f>
        <v>#NAME?</v>
      </c>
      <c r="I935" s="324"/>
      <c r="J935" s="324"/>
      <c r="K935" s="324" t="e">
        <f aca="false">общ.калькуляция!m934</f>
        <v>#NAME?</v>
      </c>
      <c r="L935" s="324"/>
      <c r="M935" s="324"/>
      <c r="N935" s="324" t="e">
        <f aca="false">E935+H935+K935</f>
        <v>#NAME?</v>
      </c>
    </row>
    <row r="936" customFormat="false" ht="15" hidden="false" customHeight="true" outlineLevel="0" collapsed="false">
      <c r="A936" s="28" t="s">
        <v>1535</v>
      </c>
      <c r="B936" s="81" t="s">
        <v>3269</v>
      </c>
      <c r="C936" s="323"/>
      <c r="D936" s="323"/>
      <c r="E936" s="324" t="e">
        <f aca="false">общ.калькуляция!h935</f>
        <v>#NAME?</v>
      </c>
      <c r="F936" s="324"/>
      <c r="G936" s="324"/>
      <c r="H936" s="324" t="e">
        <f aca="false">общ.калькуляция!j935</f>
        <v>#NAME?</v>
      </c>
      <c r="I936" s="324"/>
      <c r="J936" s="324"/>
      <c r="K936" s="324" t="e">
        <f aca="false">общ.калькуляция!m935</f>
        <v>#NAME?</v>
      </c>
      <c r="L936" s="324"/>
      <c r="M936" s="324"/>
      <c r="N936" s="324" t="e">
        <f aca="false">E936+H936+K936</f>
        <v>#NAME?</v>
      </c>
    </row>
    <row r="937" customFormat="false" ht="15" hidden="false" customHeight="true" outlineLevel="0" collapsed="false">
      <c r="A937" s="28" t="s">
        <v>1536</v>
      </c>
      <c r="B937" s="82" t="s">
        <v>3522</v>
      </c>
      <c r="C937" s="323"/>
      <c r="D937" s="323"/>
      <c r="E937" s="324" t="e">
        <f aca="false">общ.калькуляция!h936</f>
        <v>#NAME?</v>
      </c>
      <c r="F937" s="324"/>
      <c r="G937" s="324"/>
      <c r="H937" s="324" t="e">
        <f aca="false">общ.калькуляция!j936</f>
        <v>#NAME?</v>
      </c>
      <c r="I937" s="324"/>
      <c r="J937" s="324"/>
      <c r="K937" s="324" t="e">
        <f aca="false">общ.калькуляция!m936</f>
        <v>#NAME?</v>
      </c>
      <c r="L937" s="324"/>
      <c r="M937" s="324"/>
      <c r="N937" s="324" t="e">
        <f aca="false">E937+H937+K937</f>
        <v>#NAME?</v>
      </c>
    </row>
    <row r="938" customFormat="false" ht="30" hidden="false" customHeight="true" outlineLevel="0" collapsed="false">
      <c r="A938" s="28" t="s">
        <v>1538</v>
      </c>
      <c r="B938" s="80" t="s">
        <v>3523</v>
      </c>
      <c r="C938" s="323"/>
      <c r="D938" s="323"/>
      <c r="E938" s="324" t="e">
        <f aca="false">общ.калькуляция!h937</f>
        <v>#NAME?</v>
      </c>
      <c r="F938" s="324"/>
      <c r="G938" s="324"/>
      <c r="H938" s="324" t="e">
        <f aca="false">общ.калькуляция!j937</f>
        <v>#NAME?</v>
      </c>
      <c r="I938" s="324"/>
      <c r="J938" s="324"/>
      <c r="K938" s="324" t="e">
        <f aca="false">общ.калькуляция!m937</f>
        <v>#NAME?</v>
      </c>
      <c r="L938" s="324"/>
      <c r="M938" s="324"/>
      <c r="N938" s="324" t="e">
        <f aca="false">E938+H938+K938</f>
        <v>#NAME?</v>
      </c>
    </row>
    <row r="939" customFormat="false" ht="15" hidden="false" customHeight="true" outlineLevel="0" collapsed="false">
      <c r="A939" s="28" t="s">
        <v>1540</v>
      </c>
      <c r="B939" s="80" t="s">
        <v>3524</v>
      </c>
      <c r="C939" s="323"/>
      <c r="D939" s="323"/>
      <c r="E939" s="324" t="e">
        <f aca="false">общ.калькуляция!h938</f>
        <v>#NAME?</v>
      </c>
      <c r="F939" s="324"/>
      <c r="G939" s="324"/>
      <c r="H939" s="324" t="e">
        <f aca="false">общ.калькуляция!j938</f>
        <v>#NAME?</v>
      </c>
      <c r="I939" s="324"/>
      <c r="J939" s="324"/>
      <c r="K939" s="324" t="e">
        <f aca="false">общ.калькуляция!m938</f>
        <v>#NAME?</v>
      </c>
      <c r="L939" s="324"/>
      <c r="M939" s="324"/>
      <c r="N939" s="324" t="e">
        <f aca="false">E939+H939+K939</f>
        <v>#NAME?</v>
      </c>
    </row>
    <row r="940" customFormat="false" ht="15" hidden="false" customHeight="true" outlineLevel="0" collapsed="false">
      <c r="A940" s="28" t="s">
        <v>1542</v>
      </c>
      <c r="B940" s="80" t="s">
        <v>3525</v>
      </c>
      <c r="C940" s="323"/>
      <c r="D940" s="323"/>
      <c r="E940" s="324" t="e">
        <f aca="false">общ.калькуляция!h939</f>
        <v>#NAME?</v>
      </c>
      <c r="F940" s="324"/>
      <c r="G940" s="324"/>
      <c r="H940" s="324" t="e">
        <f aca="false">общ.калькуляция!j939</f>
        <v>#NAME?</v>
      </c>
      <c r="I940" s="324"/>
      <c r="J940" s="324"/>
      <c r="K940" s="324" t="e">
        <f aca="false">общ.калькуляция!m939</f>
        <v>#NAME?</v>
      </c>
      <c r="L940" s="324"/>
      <c r="M940" s="324"/>
      <c r="N940" s="324" t="e">
        <f aca="false">E940+H940+K940</f>
        <v>#NAME?</v>
      </c>
    </row>
    <row r="941" customFormat="false" ht="30" hidden="false" customHeight="true" outlineLevel="0" collapsed="false">
      <c r="A941" s="28" t="s">
        <v>1544</v>
      </c>
      <c r="B941" s="80" t="s">
        <v>3526</v>
      </c>
      <c r="C941" s="323"/>
      <c r="D941" s="323"/>
      <c r="E941" s="324" t="e">
        <f aca="false">общ.калькуляция!h940</f>
        <v>#NAME?</v>
      </c>
      <c r="F941" s="324"/>
      <c r="G941" s="324"/>
      <c r="H941" s="324" t="e">
        <f aca="false">общ.калькуляция!j940</f>
        <v>#NAME?</v>
      </c>
      <c r="I941" s="324"/>
      <c r="J941" s="324"/>
      <c r="K941" s="324" t="e">
        <f aca="false">общ.калькуляция!m940</f>
        <v>#NAME?</v>
      </c>
      <c r="L941" s="324"/>
      <c r="M941" s="324"/>
      <c r="N941" s="324" t="e">
        <f aca="false">E941+H941+K941</f>
        <v>#NAME?</v>
      </c>
    </row>
    <row r="942" customFormat="false" ht="15" hidden="false" customHeight="true" outlineLevel="0" collapsed="false">
      <c r="A942" s="28" t="s">
        <v>1546</v>
      </c>
      <c r="B942" s="80" t="s">
        <v>3527</v>
      </c>
      <c r="C942" s="323"/>
      <c r="D942" s="323"/>
      <c r="E942" s="324" t="e">
        <f aca="false">общ.калькуляция!h941</f>
        <v>#NAME?</v>
      </c>
      <c r="F942" s="324"/>
      <c r="G942" s="324"/>
      <c r="H942" s="324" t="e">
        <f aca="false">общ.калькуляция!j941</f>
        <v>#NAME?</v>
      </c>
      <c r="I942" s="324"/>
      <c r="J942" s="324"/>
      <c r="K942" s="324" t="e">
        <f aca="false">общ.калькуляция!m941</f>
        <v>#NAME?</v>
      </c>
      <c r="L942" s="324"/>
      <c r="M942" s="324"/>
      <c r="N942" s="324" t="e">
        <f aca="false">E942+H942+K942</f>
        <v>#NAME?</v>
      </c>
    </row>
    <row r="943" customFormat="false" ht="15" hidden="false" customHeight="true" outlineLevel="0" collapsed="false">
      <c r="A943" s="28" t="s">
        <v>1548</v>
      </c>
      <c r="B943" s="80" t="s">
        <v>3528</v>
      </c>
      <c r="C943" s="323"/>
      <c r="D943" s="323"/>
      <c r="E943" s="324" t="e">
        <f aca="false">общ.калькуляция!h942</f>
        <v>#NAME?</v>
      </c>
      <c r="F943" s="324"/>
      <c r="G943" s="324"/>
      <c r="H943" s="324" t="e">
        <f aca="false">общ.калькуляция!j942</f>
        <v>#NAME?</v>
      </c>
      <c r="I943" s="324"/>
      <c r="J943" s="324"/>
      <c r="K943" s="324" t="e">
        <f aca="false">общ.калькуляция!m942</f>
        <v>#NAME?</v>
      </c>
      <c r="L943" s="324"/>
      <c r="M943" s="324"/>
      <c r="N943" s="324" t="e">
        <f aca="false">E943+H943+K943</f>
        <v>#NAME?</v>
      </c>
    </row>
    <row r="944" customFormat="false" ht="15" hidden="false" customHeight="true" outlineLevel="0" collapsed="false">
      <c r="A944" s="28" t="s">
        <v>1550</v>
      </c>
      <c r="B944" s="80" t="s">
        <v>3529</v>
      </c>
      <c r="C944" s="323"/>
      <c r="D944" s="323"/>
      <c r="E944" s="324" t="e">
        <f aca="false">общ.калькуляция!h943</f>
        <v>#NAME?</v>
      </c>
      <c r="F944" s="324"/>
      <c r="G944" s="324"/>
      <c r="H944" s="324" t="e">
        <f aca="false">общ.калькуляция!j943</f>
        <v>#NAME?</v>
      </c>
      <c r="I944" s="324"/>
      <c r="J944" s="324"/>
      <c r="K944" s="324" t="e">
        <f aca="false">общ.калькуляция!m943</f>
        <v>#NAME?</v>
      </c>
      <c r="L944" s="324"/>
      <c r="M944" s="324"/>
      <c r="N944" s="324" t="e">
        <f aca="false">E944+H944+K944</f>
        <v>#NAME?</v>
      </c>
    </row>
    <row r="945" customFormat="false" ht="30" hidden="false" customHeight="true" outlineLevel="0" collapsed="false">
      <c r="A945" s="28" t="s">
        <v>1552</v>
      </c>
      <c r="B945" s="80" t="s">
        <v>3530</v>
      </c>
      <c r="C945" s="323"/>
      <c r="D945" s="323"/>
      <c r="E945" s="324" t="e">
        <f aca="false">общ.калькуляция!h944</f>
        <v>#NAME?</v>
      </c>
      <c r="F945" s="324"/>
      <c r="G945" s="324"/>
      <c r="H945" s="324" t="e">
        <f aca="false">общ.калькуляция!j944</f>
        <v>#NAME?</v>
      </c>
      <c r="I945" s="324"/>
      <c r="J945" s="324"/>
      <c r="K945" s="324" t="e">
        <f aca="false">общ.калькуляция!m944</f>
        <v>#NAME?</v>
      </c>
      <c r="L945" s="324"/>
      <c r="M945" s="324"/>
      <c r="N945" s="324" t="e">
        <f aca="false">E945+H945+K945</f>
        <v>#NAME?</v>
      </c>
    </row>
    <row r="946" customFormat="false" ht="15" hidden="false" customHeight="true" outlineLevel="0" collapsed="false">
      <c r="A946" s="28" t="s">
        <v>1554</v>
      </c>
      <c r="B946" s="81" t="s">
        <v>3488</v>
      </c>
      <c r="C946" s="323"/>
      <c r="D946" s="323"/>
      <c r="E946" s="324" t="e">
        <f aca="false">общ.калькуляция!h945</f>
        <v>#NAME?</v>
      </c>
      <c r="F946" s="324"/>
      <c r="G946" s="324"/>
      <c r="H946" s="324" t="e">
        <f aca="false">общ.калькуляция!j945</f>
        <v>#NAME?</v>
      </c>
      <c r="I946" s="324"/>
      <c r="J946" s="324"/>
      <c r="K946" s="324" t="e">
        <f aca="false">общ.калькуляция!m945</f>
        <v>#NAME?</v>
      </c>
      <c r="L946" s="324"/>
      <c r="M946" s="324"/>
      <c r="N946" s="324" t="e">
        <f aca="false">E946+H946+K946</f>
        <v>#NAME?</v>
      </c>
    </row>
    <row r="947" customFormat="false" ht="15" hidden="false" customHeight="true" outlineLevel="0" collapsed="false">
      <c r="A947" s="28" t="s">
        <v>1556</v>
      </c>
      <c r="B947" s="81" t="s">
        <v>3531</v>
      </c>
      <c r="C947" s="323"/>
      <c r="D947" s="323"/>
      <c r="E947" s="324" t="e">
        <f aca="false">общ.калькуляция!h946</f>
        <v>#NAME?</v>
      </c>
      <c r="F947" s="324"/>
      <c r="G947" s="324"/>
      <c r="H947" s="324" t="e">
        <f aca="false">общ.калькуляция!j946</f>
        <v>#NAME?</v>
      </c>
      <c r="I947" s="324"/>
      <c r="J947" s="324"/>
      <c r="K947" s="324" t="e">
        <f aca="false">общ.калькуляция!m946</f>
        <v>#NAME?</v>
      </c>
      <c r="L947" s="324"/>
      <c r="M947" s="324"/>
      <c r="N947" s="324" t="e">
        <f aca="false">E947+H947+K947</f>
        <v>#NAME?</v>
      </c>
    </row>
    <row r="948" customFormat="false" ht="15" hidden="false" customHeight="true" outlineLevel="0" collapsed="false">
      <c r="A948" s="28" t="s">
        <v>1558</v>
      </c>
      <c r="B948" s="81" t="s">
        <v>3532</v>
      </c>
      <c r="C948" s="323"/>
      <c r="D948" s="323"/>
      <c r="E948" s="324" t="e">
        <f aca="false">общ.калькуляция!h947</f>
        <v>#NAME?</v>
      </c>
      <c r="F948" s="324"/>
      <c r="G948" s="324"/>
      <c r="H948" s="324" t="e">
        <f aca="false">общ.калькуляция!j947</f>
        <v>#NAME?</v>
      </c>
      <c r="I948" s="324"/>
      <c r="J948" s="324"/>
      <c r="K948" s="324" t="e">
        <f aca="false">общ.калькуляция!m947</f>
        <v>#NAME?</v>
      </c>
      <c r="L948" s="324"/>
      <c r="M948" s="324"/>
      <c r="N948" s="324" t="e">
        <f aca="false">E948+H948+K948</f>
        <v>#NAME?</v>
      </c>
    </row>
    <row r="949" customFormat="false" ht="30" hidden="false" customHeight="true" outlineLevel="0" collapsed="false">
      <c r="A949" s="28" t="s">
        <v>1560</v>
      </c>
      <c r="B949" s="80" t="s">
        <v>3533</v>
      </c>
      <c r="C949" s="323"/>
      <c r="D949" s="323"/>
      <c r="E949" s="324" t="e">
        <f aca="false">общ.калькуляция!h948</f>
        <v>#NAME?</v>
      </c>
      <c r="F949" s="324"/>
      <c r="G949" s="324"/>
      <c r="H949" s="324" t="e">
        <f aca="false">общ.калькуляция!j948</f>
        <v>#NAME?</v>
      </c>
      <c r="I949" s="324"/>
      <c r="J949" s="324"/>
      <c r="K949" s="324" t="e">
        <f aca="false">общ.калькуляция!m948</f>
        <v>#NAME?</v>
      </c>
      <c r="L949" s="324"/>
      <c r="M949" s="324"/>
      <c r="N949" s="324" t="e">
        <f aca="false">E949+H949+K949</f>
        <v>#NAME?</v>
      </c>
    </row>
    <row r="950" customFormat="false" ht="15" hidden="false" customHeight="true" outlineLevel="0" collapsed="false">
      <c r="A950" s="28" t="s">
        <v>1562</v>
      </c>
      <c r="B950" s="81" t="s">
        <v>3491</v>
      </c>
      <c r="C950" s="323"/>
      <c r="D950" s="323"/>
      <c r="E950" s="324" t="e">
        <f aca="false">общ.калькуляция!h949</f>
        <v>#NAME?</v>
      </c>
      <c r="F950" s="324"/>
      <c r="G950" s="324"/>
      <c r="H950" s="324" t="e">
        <f aca="false">общ.калькуляция!j949</f>
        <v>#NAME?</v>
      </c>
      <c r="I950" s="324"/>
      <c r="J950" s="324"/>
      <c r="K950" s="324" t="e">
        <f aca="false">общ.калькуляция!m949</f>
        <v>#NAME?</v>
      </c>
      <c r="L950" s="324"/>
      <c r="M950" s="324"/>
      <c r="N950" s="324" t="e">
        <f aca="false">E950+H950+K950</f>
        <v>#NAME?</v>
      </c>
    </row>
    <row r="951" customFormat="false" ht="30" hidden="false" customHeight="true" outlineLevel="0" collapsed="false">
      <c r="A951" s="28" t="s">
        <v>1563</v>
      </c>
      <c r="B951" s="85" t="s">
        <v>3534</v>
      </c>
      <c r="C951" s="323"/>
      <c r="D951" s="323"/>
      <c r="E951" s="324" t="e">
        <f aca="false">общ.калькуляция!h950</f>
        <v>#NAME?</v>
      </c>
      <c r="F951" s="324"/>
      <c r="G951" s="324"/>
      <c r="H951" s="324" t="e">
        <f aca="false">общ.калькуляция!j950</f>
        <v>#NAME?</v>
      </c>
      <c r="I951" s="324"/>
      <c r="J951" s="324"/>
      <c r="K951" s="324" t="e">
        <f aca="false">общ.калькуляция!m950</f>
        <v>#NAME?</v>
      </c>
      <c r="L951" s="324"/>
      <c r="M951" s="324"/>
      <c r="N951" s="324" t="e">
        <f aca="false">E951+H951+K951</f>
        <v>#NAME?</v>
      </c>
    </row>
    <row r="952" customFormat="false" ht="28.5" hidden="false" customHeight="false" outlineLevel="0" collapsed="false">
      <c r="A952" s="15" t="s">
        <v>1565</v>
      </c>
      <c r="B952" s="349" t="s">
        <v>3535</v>
      </c>
      <c r="C952" s="321"/>
      <c r="D952" s="321"/>
      <c r="E952" s="329"/>
      <c r="F952" s="329"/>
      <c r="G952" s="329"/>
      <c r="H952" s="329"/>
      <c r="I952" s="329"/>
      <c r="J952" s="329"/>
      <c r="K952" s="329"/>
      <c r="L952" s="329"/>
      <c r="M952" s="329"/>
      <c r="N952" s="329"/>
    </row>
    <row r="953" customFormat="false" ht="15" hidden="false" customHeight="true" outlineLevel="0" collapsed="false">
      <c r="A953" s="28" t="s">
        <v>1567</v>
      </c>
      <c r="B953" s="87" t="s">
        <v>3139</v>
      </c>
      <c r="C953" s="323"/>
      <c r="D953" s="323"/>
      <c r="E953" s="324" t="e">
        <f aca="false">общ.калькуляция!h952</f>
        <v>#NAME?</v>
      </c>
      <c r="F953" s="324"/>
      <c r="G953" s="324"/>
      <c r="H953" s="324" t="e">
        <f aca="false">общ.калькуляция!j952</f>
        <v>#NAME?</v>
      </c>
      <c r="I953" s="324"/>
      <c r="J953" s="324"/>
      <c r="K953" s="324" t="e">
        <f aca="false">общ.калькуляция!m952</f>
        <v>#NAME?</v>
      </c>
      <c r="L953" s="324"/>
      <c r="M953" s="324"/>
      <c r="N953" s="324" t="e">
        <f aca="false">E953+H953+K953</f>
        <v>#NAME?</v>
      </c>
    </row>
    <row r="954" customFormat="false" ht="15" hidden="false" customHeight="true" outlineLevel="0" collapsed="false">
      <c r="A954" s="28" t="s">
        <v>1568</v>
      </c>
      <c r="B954" s="80" t="s">
        <v>3536</v>
      </c>
      <c r="C954" s="323"/>
      <c r="D954" s="323"/>
      <c r="E954" s="324" t="e">
        <f aca="false">общ.калькуляция!h953</f>
        <v>#NAME?</v>
      </c>
      <c r="F954" s="324"/>
      <c r="G954" s="324"/>
      <c r="H954" s="324" t="e">
        <f aca="false">общ.калькуляция!j953</f>
        <v>#NAME?</v>
      </c>
      <c r="I954" s="324"/>
      <c r="J954" s="324"/>
      <c r="K954" s="324" t="e">
        <f aca="false">общ.калькуляция!m953</f>
        <v>#NAME?</v>
      </c>
      <c r="L954" s="324"/>
      <c r="M954" s="324"/>
      <c r="N954" s="324" t="e">
        <f aca="false">E954+H954+K954</f>
        <v>#NAME?</v>
      </c>
    </row>
    <row r="955" customFormat="false" ht="15" hidden="false" customHeight="true" outlineLevel="0" collapsed="false">
      <c r="A955" s="28" t="s">
        <v>1569</v>
      </c>
      <c r="B955" s="80" t="s">
        <v>3537</v>
      </c>
      <c r="C955" s="323"/>
      <c r="D955" s="323"/>
      <c r="E955" s="324" t="e">
        <f aca="false">общ.калькуляция!h954</f>
        <v>#NAME?</v>
      </c>
      <c r="F955" s="324"/>
      <c r="G955" s="324"/>
      <c r="H955" s="324" t="e">
        <f aca="false">общ.калькуляция!j954</f>
        <v>#NAME?</v>
      </c>
      <c r="I955" s="324"/>
      <c r="J955" s="324"/>
      <c r="K955" s="324" t="e">
        <f aca="false">общ.калькуляция!m954</f>
        <v>#NAME?</v>
      </c>
      <c r="L955" s="324"/>
      <c r="M955" s="324"/>
      <c r="N955" s="324" t="e">
        <f aca="false">E955+H955+K955</f>
        <v>#NAME?</v>
      </c>
    </row>
    <row r="956" customFormat="false" ht="15" hidden="false" customHeight="true" outlineLevel="0" collapsed="false">
      <c r="A956" s="28" t="s">
        <v>1570</v>
      </c>
      <c r="B956" s="80" t="s">
        <v>3436</v>
      </c>
      <c r="C956" s="323"/>
      <c r="D956" s="323"/>
      <c r="E956" s="324" t="e">
        <f aca="false">общ.калькуляция!h955</f>
        <v>#NAME?</v>
      </c>
      <c r="F956" s="324"/>
      <c r="G956" s="324"/>
      <c r="H956" s="324" t="e">
        <f aca="false">общ.калькуляция!j955</f>
        <v>#NAME?</v>
      </c>
      <c r="I956" s="324"/>
      <c r="J956" s="324"/>
      <c r="K956" s="324" t="e">
        <f aca="false">общ.калькуляция!m955</f>
        <v>#NAME?</v>
      </c>
      <c r="L956" s="324"/>
      <c r="M956" s="324"/>
      <c r="N956" s="324" t="e">
        <f aca="false">E956+H956+K956</f>
        <v>#NAME?</v>
      </c>
    </row>
    <row r="957" customFormat="false" ht="15" hidden="false" customHeight="true" outlineLevel="0" collapsed="false">
      <c r="A957" s="28" t="s">
        <v>1571</v>
      </c>
      <c r="B957" s="80" t="s">
        <v>3438</v>
      </c>
      <c r="C957" s="323"/>
      <c r="D957" s="323"/>
      <c r="E957" s="324" t="e">
        <f aca="false">общ.калькуляция!h956</f>
        <v>#NAME?</v>
      </c>
      <c r="F957" s="324"/>
      <c r="G957" s="324"/>
      <c r="H957" s="324" t="e">
        <f aca="false">общ.калькуляция!j956</f>
        <v>#NAME?</v>
      </c>
      <c r="I957" s="324"/>
      <c r="J957" s="324"/>
      <c r="K957" s="324" t="e">
        <f aca="false">общ.калькуляция!m956</f>
        <v>#NAME?</v>
      </c>
      <c r="L957" s="324"/>
      <c r="M957" s="324"/>
      <c r="N957" s="324" t="e">
        <f aca="false">E957+H957+K957</f>
        <v>#NAME?</v>
      </c>
    </row>
    <row r="958" customFormat="false" ht="15" hidden="false" customHeight="true" outlineLevel="0" collapsed="false">
      <c r="A958" s="28" t="s">
        <v>1572</v>
      </c>
      <c r="B958" s="80" t="s">
        <v>3474</v>
      </c>
      <c r="C958" s="323"/>
      <c r="D958" s="323"/>
      <c r="E958" s="324" t="e">
        <f aca="false">общ.калькуляция!h957</f>
        <v>#NAME?</v>
      </c>
      <c r="F958" s="324"/>
      <c r="G958" s="324"/>
      <c r="H958" s="324" t="e">
        <f aca="false">общ.калькуляция!j957</f>
        <v>#NAME?</v>
      </c>
      <c r="I958" s="324"/>
      <c r="J958" s="324"/>
      <c r="K958" s="324" t="e">
        <f aca="false">общ.калькуляция!m957</f>
        <v>#NAME?</v>
      </c>
      <c r="L958" s="324"/>
      <c r="M958" s="324"/>
      <c r="N958" s="324" t="e">
        <f aca="false">E958+H958+K958</f>
        <v>#NAME?</v>
      </c>
    </row>
    <row r="959" customFormat="false" ht="15" hidden="false" customHeight="true" outlineLevel="0" collapsed="false">
      <c r="A959" s="28" t="s">
        <v>1573</v>
      </c>
      <c r="B959" s="80" t="s">
        <v>3538</v>
      </c>
      <c r="C959" s="323"/>
      <c r="D959" s="323"/>
      <c r="E959" s="324" t="e">
        <f aca="false">общ.калькуляция!h958</f>
        <v>#NAME?</v>
      </c>
      <c r="F959" s="324"/>
      <c r="G959" s="324"/>
      <c r="H959" s="324" t="e">
        <f aca="false">общ.калькуляция!j958</f>
        <v>#NAME?</v>
      </c>
      <c r="I959" s="324"/>
      <c r="J959" s="324"/>
      <c r="K959" s="324" t="e">
        <f aca="false">общ.калькуляция!m958</f>
        <v>#NAME?</v>
      </c>
      <c r="L959" s="324"/>
      <c r="M959" s="324"/>
      <c r="N959" s="324" t="e">
        <f aca="false">E959+H959+K959</f>
        <v>#NAME?</v>
      </c>
    </row>
    <row r="960" customFormat="false" ht="15" hidden="false" customHeight="true" outlineLevel="0" collapsed="false">
      <c r="A960" s="28" t="s">
        <v>1575</v>
      </c>
      <c r="B960" s="80" t="s">
        <v>3539</v>
      </c>
      <c r="C960" s="323"/>
      <c r="D960" s="323"/>
      <c r="E960" s="324" t="e">
        <f aca="false">общ.калькуляция!h959</f>
        <v>#NAME?</v>
      </c>
      <c r="F960" s="324"/>
      <c r="G960" s="324"/>
      <c r="H960" s="324" t="e">
        <f aca="false">общ.калькуляция!j959</f>
        <v>#NAME?</v>
      </c>
      <c r="I960" s="324"/>
      <c r="J960" s="324"/>
      <c r="K960" s="324" t="e">
        <f aca="false">общ.калькуляция!m959</f>
        <v>#NAME?</v>
      </c>
      <c r="L960" s="324"/>
      <c r="M960" s="324"/>
      <c r="N960" s="324" t="e">
        <f aca="false">E960+H960+K960</f>
        <v>#NAME?</v>
      </c>
    </row>
    <row r="961" customFormat="false" ht="15" hidden="false" customHeight="true" outlineLevel="0" collapsed="false">
      <c r="A961" s="28" t="s">
        <v>1576</v>
      </c>
      <c r="B961" s="80" t="s">
        <v>3441</v>
      </c>
      <c r="C961" s="323"/>
      <c r="D961" s="323"/>
      <c r="E961" s="324" t="e">
        <f aca="false">общ.калькуляция!h960</f>
        <v>#NAME?</v>
      </c>
      <c r="F961" s="324"/>
      <c r="G961" s="324"/>
      <c r="H961" s="324" t="e">
        <f aca="false">общ.калькуляция!j960</f>
        <v>#NAME?</v>
      </c>
      <c r="I961" s="324"/>
      <c r="J961" s="324"/>
      <c r="K961" s="324" t="e">
        <f aca="false">общ.калькуляция!m960</f>
        <v>#NAME?</v>
      </c>
      <c r="L961" s="324"/>
      <c r="M961" s="324"/>
      <c r="N961" s="324" t="e">
        <f aca="false">E961+H961+K961</f>
        <v>#NAME?</v>
      </c>
    </row>
    <row r="962" customFormat="false" ht="15" hidden="false" customHeight="true" outlineLevel="0" collapsed="false">
      <c r="A962" s="28" t="s">
        <v>1577</v>
      </c>
      <c r="B962" s="80" t="s">
        <v>3442</v>
      </c>
      <c r="C962" s="323"/>
      <c r="D962" s="323"/>
      <c r="E962" s="324" t="e">
        <f aca="false">общ.калькуляция!h961</f>
        <v>#NAME?</v>
      </c>
      <c r="F962" s="324"/>
      <c r="G962" s="324"/>
      <c r="H962" s="324" t="e">
        <f aca="false">общ.калькуляция!j961</f>
        <v>#NAME?</v>
      </c>
      <c r="I962" s="324"/>
      <c r="J962" s="324"/>
      <c r="K962" s="324" t="e">
        <f aca="false">общ.калькуляция!m961</f>
        <v>#NAME?</v>
      </c>
      <c r="L962" s="324"/>
      <c r="M962" s="324"/>
      <c r="N962" s="324" t="e">
        <f aca="false">E962+H962+K962</f>
        <v>#NAME?</v>
      </c>
    </row>
    <row r="963" customFormat="false" ht="15" hidden="false" customHeight="true" outlineLevel="0" collapsed="false">
      <c r="A963" s="28" t="s">
        <v>1578</v>
      </c>
      <c r="B963" s="80" t="s">
        <v>3540</v>
      </c>
      <c r="C963" s="323"/>
      <c r="D963" s="323"/>
      <c r="E963" s="324" t="e">
        <f aca="false">общ.калькуляция!h962</f>
        <v>#NAME?</v>
      </c>
      <c r="F963" s="324"/>
      <c r="G963" s="324"/>
      <c r="H963" s="324" t="e">
        <f aca="false">общ.калькуляция!j962</f>
        <v>#NAME?</v>
      </c>
      <c r="I963" s="324"/>
      <c r="J963" s="324"/>
      <c r="K963" s="324" t="e">
        <f aca="false">общ.калькуляция!m962</f>
        <v>#NAME?</v>
      </c>
      <c r="L963" s="324"/>
      <c r="M963" s="324"/>
      <c r="N963" s="324" t="e">
        <f aca="false">E963+H963+K963</f>
        <v>#NAME?</v>
      </c>
    </row>
    <row r="964" customFormat="false" ht="15" hidden="false" customHeight="true" outlineLevel="0" collapsed="false">
      <c r="A964" s="28" t="s">
        <v>1579</v>
      </c>
      <c r="B964" s="80" t="s">
        <v>3541</v>
      </c>
      <c r="C964" s="323"/>
      <c r="D964" s="323"/>
      <c r="E964" s="324" t="e">
        <f aca="false">общ.калькуляция!h963</f>
        <v>#NAME?</v>
      </c>
      <c r="F964" s="324"/>
      <c r="G964" s="324"/>
      <c r="H964" s="324" t="e">
        <f aca="false">общ.калькуляция!j963</f>
        <v>#NAME?</v>
      </c>
      <c r="I964" s="324"/>
      <c r="J964" s="324"/>
      <c r="K964" s="324" t="e">
        <f aca="false">общ.калькуляция!m963</f>
        <v>#NAME?</v>
      </c>
      <c r="L964" s="324"/>
      <c r="M964" s="324"/>
      <c r="N964" s="324" t="e">
        <f aca="false">E964+H964+K964</f>
        <v>#NAME?</v>
      </c>
    </row>
    <row r="965" customFormat="false" ht="15" hidden="false" customHeight="true" outlineLevel="0" collapsed="false">
      <c r="A965" s="28" t="s">
        <v>1580</v>
      </c>
      <c r="B965" s="80" t="s">
        <v>3447</v>
      </c>
      <c r="C965" s="323"/>
      <c r="D965" s="323"/>
      <c r="E965" s="324" t="e">
        <f aca="false">общ.калькуляция!h964</f>
        <v>#NAME?</v>
      </c>
      <c r="F965" s="324"/>
      <c r="G965" s="324"/>
      <c r="H965" s="324" t="e">
        <f aca="false">общ.калькуляция!j964</f>
        <v>#NAME?</v>
      </c>
      <c r="I965" s="324"/>
      <c r="J965" s="324"/>
      <c r="K965" s="324" t="e">
        <f aca="false">общ.калькуляция!m964</f>
        <v>#NAME?</v>
      </c>
      <c r="L965" s="324"/>
      <c r="M965" s="324"/>
      <c r="N965" s="324" t="e">
        <f aca="false">E965+H965+K965</f>
        <v>#NAME?</v>
      </c>
    </row>
    <row r="966" customFormat="false" ht="15" hidden="false" customHeight="true" outlineLevel="0" collapsed="false">
      <c r="A966" s="28" t="s">
        <v>1581</v>
      </c>
      <c r="B966" s="80" t="s">
        <v>3514</v>
      </c>
      <c r="C966" s="323"/>
      <c r="D966" s="323"/>
      <c r="E966" s="324" t="e">
        <f aca="false">общ.калькуляция!h965</f>
        <v>#NAME?</v>
      </c>
      <c r="F966" s="324"/>
      <c r="G966" s="324"/>
      <c r="H966" s="324" t="e">
        <f aca="false">общ.калькуляция!j965</f>
        <v>#NAME?</v>
      </c>
      <c r="I966" s="324"/>
      <c r="J966" s="324"/>
      <c r="K966" s="324" t="e">
        <f aca="false">общ.калькуляция!m965</f>
        <v>#NAME?</v>
      </c>
      <c r="L966" s="324"/>
      <c r="M966" s="324"/>
      <c r="N966" s="324" t="e">
        <f aca="false">E966+H966+K966</f>
        <v>#NAME?</v>
      </c>
    </row>
    <row r="967" customFormat="false" ht="15" hidden="false" customHeight="true" outlineLevel="0" collapsed="false">
      <c r="A967" s="28" t="s">
        <v>1582</v>
      </c>
      <c r="B967" s="80" t="s">
        <v>3513</v>
      </c>
      <c r="C967" s="323"/>
      <c r="D967" s="323"/>
      <c r="E967" s="324" t="e">
        <f aca="false">общ.калькуляция!h966</f>
        <v>#NAME?</v>
      </c>
      <c r="F967" s="324"/>
      <c r="G967" s="324"/>
      <c r="H967" s="324" t="e">
        <f aca="false">общ.калькуляция!j966</f>
        <v>#NAME?</v>
      </c>
      <c r="I967" s="324"/>
      <c r="J967" s="324"/>
      <c r="K967" s="324" t="e">
        <f aca="false">общ.калькуляция!m966</f>
        <v>#NAME?</v>
      </c>
      <c r="L967" s="324"/>
      <c r="M967" s="324"/>
      <c r="N967" s="324" t="e">
        <f aca="false">E967+H967+K967</f>
        <v>#NAME?</v>
      </c>
    </row>
    <row r="968" customFormat="false" ht="15" hidden="false" customHeight="true" outlineLevel="0" collapsed="false">
      <c r="A968" s="28" t="s">
        <v>1583</v>
      </c>
      <c r="B968" s="80" t="s">
        <v>3542</v>
      </c>
      <c r="C968" s="323"/>
      <c r="D968" s="323"/>
      <c r="E968" s="324" t="e">
        <f aca="false">общ.калькуляция!h967</f>
        <v>#NAME?</v>
      </c>
      <c r="F968" s="324"/>
      <c r="G968" s="324"/>
      <c r="H968" s="324" t="e">
        <f aca="false">общ.калькуляция!j967</f>
        <v>#NAME?</v>
      </c>
      <c r="I968" s="324"/>
      <c r="J968" s="324"/>
      <c r="K968" s="324" t="e">
        <f aca="false">общ.калькуляция!m967</f>
        <v>#NAME?</v>
      </c>
      <c r="L968" s="324"/>
      <c r="M968" s="324"/>
      <c r="N968" s="324" t="e">
        <f aca="false">E968+H968+K968</f>
        <v>#NAME?</v>
      </c>
    </row>
    <row r="969" customFormat="false" ht="15" hidden="false" customHeight="true" outlineLevel="0" collapsed="false">
      <c r="A969" s="28" t="s">
        <v>1584</v>
      </c>
      <c r="B969" s="80" t="s">
        <v>3543</v>
      </c>
      <c r="C969" s="323"/>
      <c r="D969" s="323"/>
      <c r="E969" s="324" t="e">
        <f aca="false">общ.калькуляция!h968</f>
        <v>#NAME?</v>
      </c>
      <c r="F969" s="324"/>
      <c r="G969" s="324"/>
      <c r="H969" s="324" t="e">
        <f aca="false">общ.калькуляция!j968</f>
        <v>#NAME?</v>
      </c>
      <c r="I969" s="324"/>
      <c r="J969" s="324"/>
      <c r="K969" s="324" t="e">
        <f aca="false">общ.калькуляция!m968</f>
        <v>#NAME?</v>
      </c>
      <c r="L969" s="324"/>
      <c r="M969" s="324"/>
      <c r="N969" s="324" t="e">
        <f aca="false">E969+H969+K969</f>
        <v>#NAME?</v>
      </c>
    </row>
    <row r="970" customFormat="false" ht="15" hidden="false" customHeight="true" outlineLevel="0" collapsed="false">
      <c r="A970" s="28" t="s">
        <v>1585</v>
      </c>
      <c r="B970" s="80" t="s">
        <v>3544</v>
      </c>
      <c r="C970" s="323"/>
      <c r="D970" s="323"/>
      <c r="E970" s="324" t="e">
        <f aca="false">общ.калькуляция!h969</f>
        <v>#NAME?</v>
      </c>
      <c r="F970" s="324"/>
      <c r="G970" s="324"/>
      <c r="H970" s="324" t="e">
        <f aca="false">общ.калькуляция!j969</f>
        <v>#NAME?</v>
      </c>
      <c r="I970" s="324"/>
      <c r="J970" s="324"/>
      <c r="K970" s="324" t="e">
        <f aca="false">общ.калькуляция!m969</f>
        <v>#NAME?</v>
      </c>
      <c r="L970" s="324"/>
      <c r="M970" s="324"/>
      <c r="N970" s="324" t="e">
        <f aca="false">E970+H970+K970</f>
        <v>#NAME?</v>
      </c>
    </row>
    <row r="971" customFormat="false" ht="15" hidden="false" customHeight="true" outlineLevel="0" collapsed="false">
      <c r="A971" s="28" t="s">
        <v>1587</v>
      </c>
      <c r="B971" s="80" t="s">
        <v>3458</v>
      </c>
      <c r="C971" s="323"/>
      <c r="D971" s="323"/>
      <c r="E971" s="324" t="e">
        <f aca="false">общ.калькуляция!h970</f>
        <v>#NAME?</v>
      </c>
      <c r="F971" s="324"/>
      <c r="G971" s="324"/>
      <c r="H971" s="324" t="e">
        <f aca="false">общ.калькуляция!j970</f>
        <v>#NAME?</v>
      </c>
      <c r="I971" s="324"/>
      <c r="J971" s="324"/>
      <c r="K971" s="324" t="e">
        <f aca="false">общ.калькуляция!m970</f>
        <v>#NAME?</v>
      </c>
      <c r="L971" s="324"/>
      <c r="M971" s="324"/>
      <c r="N971" s="324" t="e">
        <f aca="false">E971+H971+K971</f>
        <v>#NAME?</v>
      </c>
    </row>
    <row r="972" customFormat="false" ht="15" hidden="false" customHeight="true" outlineLevel="0" collapsed="false">
      <c r="A972" s="28" t="s">
        <v>1588</v>
      </c>
      <c r="B972" s="80" t="s">
        <v>3443</v>
      </c>
      <c r="C972" s="323"/>
      <c r="D972" s="323"/>
      <c r="E972" s="324" t="e">
        <f aca="false">общ.калькуляция!h971</f>
        <v>#NAME?</v>
      </c>
      <c r="F972" s="324"/>
      <c r="G972" s="324"/>
      <c r="H972" s="324" t="e">
        <f aca="false">общ.калькуляция!j971</f>
        <v>#NAME?</v>
      </c>
      <c r="I972" s="324"/>
      <c r="J972" s="324"/>
      <c r="K972" s="324" t="e">
        <f aca="false">общ.калькуляция!m971</f>
        <v>#NAME?</v>
      </c>
      <c r="L972" s="324"/>
      <c r="M972" s="324"/>
      <c r="N972" s="324" t="e">
        <f aca="false">E972+H972+K972</f>
        <v>#NAME?</v>
      </c>
    </row>
    <row r="973" customFormat="false" ht="15" hidden="false" customHeight="true" outlineLevel="0" collapsed="false">
      <c r="A973" s="28" t="s">
        <v>1589</v>
      </c>
      <c r="B973" s="80" t="s">
        <v>3545</v>
      </c>
      <c r="C973" s="323"/>
      <c r="D973" s="323"/>
      <c r="E973" s="324" t="e">
        <f aca="false">общ.калькуляция!h972</f>
        <v>#NAME?</v>
      </c>
      <c r="F973" s="324"/>
      <c r="G973" s="324"/>
      <c r="H973" s="324" t="e">
        <f aca="false">общ.калькуляция!j972</f>
        <v>#NAME?</v>
      </c>
      <c r="I973" s="324"/>
      <c r="J973" s="324"/>
      <c r="K973" s="324" t="e">
        <f aca="false">общ.калькуляция!m972</f>
        <v>#NAME?</v>
      </c>
      <c r="L973" s="324"/>
      <c r="M973" s="324"/>
      <c r="N973" s="324" t="e">
        <f aca="false">E973+H973+K973</f>
        <v>#NAME?</v>
      </c>
    </row>
    <row r="974" customFormat="false" ht="15" hidden="false" customHeight="true" outlineLevel="0" collapsed="false">
      <c r="A974" s="28" t="s">
        <v>1591</v>
      </c>
      <c r="B974" s="80" t="s">
        <v>3444</v>
      </c>
      <c r="C974" s="323"/>
      <c r="D974" s="323"/>
      <c r="E974" s="324" t="e">
        <f aca="false">общ.калькуляция!h973</f>
        <v>#NAME?</v>
      </c>
      <c r="F974" s="324"/>
      <c r="G974" s="324"/>
      <c r="H974" s="324" t="e">
        <f aca="false">общ.калькуляция!j973</f>
        <v>#NAME?</v>
      </c>
      <c r="I974" s="324"/>
      <c r="J974" s="324"/>
      <c r="K974" s="324" t="e">
        <f aca="false">общ.калькуляция!m973</f>
        <v>#NAME?</v>
      </c>
      <c r="L974" s="324"/>
      <c r="M974" s="324"/>
      <c r="N974" s="324" t="e">
        <f aca="false">E974+H974+K974</f>
        <v>#NAME?</v>
      </c>
    </row>
    <row r="975" customFormat="false" ht="15" hidden="false" customHeight="true" outlineLevel="0" collapsed="false">
      <c r="A975" s="28" t="s">
        <v>1592</v>
      </c>
      <c r="B975" s="80" t="s">
        <v>3546</v>
      </c>
      <c r="C975" s="323"/>
      <c r="D975" s="323"/>
      <c r="E975" s="324" t="e">
        <f aca="false">общ.калькуляция!h974</f>
        <v>#NAME?</v>
      </c>
      <c r="F975" s="324"/>
      <c r="G975" s="324"/>
      <c r="H975" s="324" t="e">
        <f aca="false">общ.калькуляция!j974</f>
        <v>#NAME?</v>
      </c>
      <c r="I975" s="324"/>
      <c r="J975" s="324"/>
      <c r="K975" s="324" t="e">
        <f aca="false">общ.калькуляция!m974</f>
        <v>#NAME?</v>
      </c>
      <c r="L975" s="324"/>
      <c r="M975" s="324"/>
      <c r="N975" s="324" t="e">
        <f aca="false">E975+H975+K975</f>
        <v>#NAME?</v>
      </c>
    </row>
    <row r="976" customFormat="false" ht="15" hidden="false" customHeight="true" outlineLevel="0" collapsed="false">
      <c r="A976" s="28" t="s">
        <v>1593</v>
      </c>
      <c r="B976" s="80" t="s">
        <v>3547</v>
      </c>
      <c r="C976" s="323"/>
      <c r="D976" s="323"/>
      <c r="E976" s="324" t="e">
        <f aca="false">общ.калькуляция!h975</f>
        <v>#NAME?</v>
      </c>
      <c r="F976" s="324"/>
      <c r="G976" s="324"/>
      <c r="H976" s="324" t="e">
        <f aca="false">общ.калькуляция!j975</f>
        <v>#NAME?</v>
      </c>
      <c r="I976" s="324"/>
      <c r="J976" s="324"/>
      <c r="K976" s="324" t="e">
        <f aca="false">общ.калькуляция!m975</f>
        <v>#NAME?</v>
      </c>
      <c r="L976" s="324"/>
      <c r="M976" s="324"/>
      <c r="N976" s="324" t="e">
        <f aca="false">E976+H976+K976</f>
        <v>#NAME?</v>
      </c>
    </row>
    <row r="977" customFormat="false" ht="15" hidden="false" customHeight="true" outlineLevel="0" collapsed="false">
      <c r="A977" s="28" t="s">
        <v>1595</v>
      </c>
      <c r="B977" s="80" t="s">
        <v>3548</v>
      </c>
      <c r="C977" s="323"/>
      <c r="D977" s="323"/>
      <c r="E977" s="324" t="e">
        <f aca="false">общ.калькуляция!h976</f>
        <v>#NAME?</v>
      </c>
      <c r="F977" s="324"/>
      <c r="G977" s="324"/>
      <c r="H977" s="324" t="e">
        <f aca="false">общ.калькуляция!j976</f>
        <v>#NAME?</v>
      </c>
      <c r="I977" s="324"/>
      <c r="J977" s="324"/>
      <c r="K977" s="324" t="e">
        <f aca="false">общ.калькуляция!m976</f>
        <v>#NAME?</v>
      </c>
      <c r="L977" s="324"/>
      <c r="M977" s="324"/>
      <c r="N977" s="324" t="e">
        <f aca="false">E977+H977+K977</f>
        <v>#NAME?</v>
      </c>
    </row>
    <row r="978" customFormat="false" ht="15" hidden="false" customHeight="true" outlineLevel="0" collapsed="false">
      <c r="A978" s="28" t="s">
        <v>1596</v>
      </c>
      <c r="B978" s="80" t="s">
        <v>3549</v>
      </c>
      <c r="C978" s="323"/>
      <c r="D978" s="323"/>
      <c r="E978" s="324" t="e">
        <f aca="false">общ.калькуляция!h977</f>
        <v>#NAME?</v>
      </c>
      <c r="F978" s="324"/>
      <c r="G978" s="324"/>
      <c r="H978" s="324" t="e">
        <f aca="false">общ.калькуляция!j977</f>
        <v>#NAME?</v>
      </c>
      <c r="I978" s="324"/>
      <c r="J978" s="324"/>
      <c r="K978" s="324" t="e">
        <f aca="false">общ.калькуляция!m977</f>
        <v>#NAME?</v>
      </c>
      <c r="L978" s="324"/>
      <c r="M978" s="324"/>
      <c r="N978" s="324" t="e">
        <f aca="false">E978+H978+K978</f>
        <v>#NAME?</v>
      </c>
    </row>
    <row r="979" customFormat="false" ht="15" hidden="false" customHeight="true" outlineLevel="0" collapsed="false">
      <c r="A979" s="28" t="s">
        <v>1597</v>
      </c>
      <c r="B979" s="80" t="s">
        <v>3550</v>
      </c>
      <c r="C979" s="323"/>
      <c r="D979" s="323"/>
      <c r="E979" s="324" t="e">
        <f aca="false">общ.калькуляция!h978</f>
        <v>#NAME?</v>
      </c>
      <c r="F979" s="324"/>
      <c r="G979" s="324"/>
      <c r="H979" s="324" t="e">
        <f aca="false">общ.калькуляция!j978</f>
        <v>#NAME?</v>
      </c>
      <c r="I979" s="324"/>
      <c r="J979" s="324"/>
      <c r="K979" s="324" t="e">
        <f aca="false">общ.калькуляция!m978</f>
        <v>#NAME?</v>
      </c>
      <c r="L979" s="324"/>
      <c r="M979" s="324"/>
      <c r="N979" s="324" t="e">
        <f aca="false">E979+H979+K979</f>
        <v>#NAME?</v>
      </c>
    </row>
    <row r="980" customFormat="false" ht="15" hidden="false" customHeight="true" outlineLevel="0" collapsed="false">
      <c r="A980" s="28" t="s">
        <v>1598</v>
      </c>
      <c r="B980" s="80" t="s">
        <v>3551</v>
      </c>
      <c r="C980" s="323"/>
      <c r="D980" s="323"/>
      <c r="E980" s="324" t="e">
        <f aca="false">общ.калькуляция!h979</f>
        <v>#NAME?</v>
      </c>
      <c r="F980" s="324"/>
      <c r="G980" s="324"/>
      <c r="H980" s="324" t="e">
        <f aca="false">общ.калькуляция!j979</f>
        <v>#NAME?</v>
      </c>
      <c r="I980" s="324"/>
      <c r="J980" s="324"/>
      <c r="K980" s="324" t="e">
        <f aca="false">общ.калькуляция!m979</f>
        <v>#NAME?</v>
      </c>
      <c r="L980" s="324"/>
      <c r="M980" s="324"/>
      <c r="N980" s="324" t="e">
        <f aca="false">E980+H980+K980</f>
        <v>#NAME?</v>
      </c>
    </row>
    <row r="981" customFormat="false" ht="15" hidden="false" customHeight="true" outlineLevel="0" collapsed="false">
      <c r="A981" s="28" t="s">
        <v>1600</v>
      </c>
      <c r="B981" s="80" t="s">
        <v>3465</v>
      </c>
      <c r="C981" s="323"/>
      <c r="D981" s="323"/>
      <c r="E981" s="324" t="e">
        <f aca="false">общ.калькуляция!h980</f>
        <v>#NAME?</v>
      </c>
      <c r="F981" s="324"/>
      <c r="G981" s="324"/>
      <c r="H981" s="324" t="e">
        <f aca="false">общ.калькуляция!j980</f>
        <v>#NAME?</v>
      </c>
      <c r="I981" s="324"/>
      <c r="J981" s="324"/>
      <c r="K981" s="324" t="e">
        <f aca="false">общ.калькуляция!m980</f>
        <v>#NAME?</v>
      </c>
      <c r="L981" s="324"/>
      <c r="M981" s="324"/>
      <c r="N981" s="324" t="e">
        <f aca="false">E981+H981+K981</f>
        <v>#NAME?</v>
      </c>
    </row>
    <row r="982" customFormat="false" ht="15" hidden="false" customHeight="true" outlineLevel="0" collapsed="false">
      <c r="A982" s="28" t="s">
        <v>1601</v>
      </c>
      <c r="B982" s="80" t="s">
        <v>3552</v>
      </c>
      <c r="C982" s="323"/>
      <c r="D982" s="323"/>
      <c r="E982" s="324" t="e">
        <f aca="false">общ.калькуляция!h981</f>
        <v>#NAME?</v>
      </c>
      <c r="F982" s="324"/>
      <c r="G982" s="324"/>
      <c r="H982" s="324" t="e">
        <f aca="false">общ.калькуляция!j981</f>
        <v>#NAME?</v>
      </c>
      <c r="I982" s="324"/>
      <c r="J982" s="324"/>
      <c r="K982" s="324" t="e">
        <f aca="false">общ.калькуляция!m981</f>
        <v>#NAME?</v>
      </c>
      <c r="L982" s="324"/>
      <c r="M982" s="324"/>
      <c r="N982" s="324" t="e">
        <f aca="false">E982+H982+K982</f>
        <v>#NAME?</v>
      </c>
    </row>
    <row r="983" customFormat="false" ht="15" hidden="false" customHeight="true" outlineLevel="0" collapsed="false">
      <c r="A983" s="28" t="s">
        <v>1603</v>
      </c>
      <c r="B983" s="80" t="s">
        <v>3553</v>
      </c>
      <c r="C983" s="323"/>
      <c r="D983" s="323"/>
      <c r="E983" s="324" t="e">
        <f aca="false">общ.калькуляция!h982</f>
        <v>#NAME?</v>
      </c>
      <c r="F983" s="324"/>
      <c r="G983" s="324"/>
      <c r="H983" s="324" t="e">
        <f aca="false">общ.калькуляция!j982</f>
        <v>#NAME?</v>
      </c>
      <c r="I983" s="324"/>
      <c r="J983" s="324"/>
      <c r="K983" s="324" t="e">
        <f aca="false">общ.калькуляция!m982</f>
        <v>#NAME?</v>
      </c>
      <c r="L983" s="324"/>
      <c r="M983" s="324"/>
      <c r="N983" s="324" t="e">
        <f aca="false">E983+H983+K983</f>
        <v>#NAME?</v>
      </c>
    </row>
    <row r="984" customFormat="false" ht="15" hidden="false" customHeight="true" outlineLevel="0" collapsed="false">
      <c r="A984" s="28" t="s">
        <v>1605</v>
      </c>
      <c r="B984" s="81" t="s">
        <v>3481</v>
      </c>
      <c r="C984" s="323"/>
      <c r="D984" s="323"/>
      <c r="E984" s="324" t="e">
        <f aca="false">общ.калькуляция!h983</f>
        <v>#NAME?</v>
      </c>
      <c r="F984" s="324"/>
      <c r="G984" s="324"/>
      <c r="H984" s="324" t="e">
        <f aca="false">общ.калькуляция!j983</f>
        <v>#NAME?</v>
      </c>
      <c r="I984" s="324"/>
      <c r="J984" s="324"/>
      <c r="K984" s="324" t="e">
        <f aca="false">общ.калькуляция!m983</f>
        <v>#NAME?</v>
      </c>
      <c r="L984" s="324"/>
      <c r="M984" s="324"/>
      <c r="N984" s="324" t="e">
        <f aca="false">E984+H984+K984</f>
        <v>#NAME?</v>
      </c>
    </row>
    <row r="985" customFormat="false" ht="15" hidden="false" customHeight="true" outlineLevel="0" collapsed="false">
      <c r="A985" s="28" t="s">
        <v>1606</v>
      </c>
      <c r="B985" s="81" t="s">
        <v>3554</v>
      </c>
      <c r="C985" s="323"/>
      <c r="D985" s="323"/>
      <c r="E985" s="324" t="e">
        <f aca="false">общ.калькуляция!h984</f>
        <v>#NAME?</v>
      </c>
      <c r="F985" s="324"/>
      <c r="G985" s="324"/>
      <c r="H985" s="324" t="e">
        <f aca="false">общ.калькуляция!j984</f>
        <v>#NAME?</v>
      </c>
      <c r="I985" s="324"/>
      <c r="J985" s="324"/>
      <c r="K985" s="324" t="e">
        <f aca="false">общ.калькуляция!m984</f>
        <v>#NAME?</v>
      </c>
      <c r="L985" s="324"/>
      <c r="M985" s="324"/>
      <c r="N985" s="324" t="e">
        <f aca="false">E985+H985+K985</f>
        <v>#NAME?</v>
      </c>
    </row>
    <row r="986" customFormat="false" ht="15" hidden="false" customHeight="true" outlineLevel="0" collapsed="false">
      <c r="A986" s="28" t="s">
        <v>1608</v>
      </c>
      <c r="B986" s="81" t="s">
        <v>3486</v>
      </c>
      <c r="C986" s="323"/>
      <c r="D986" s="323"/>
      <c r="E986" s="324" t="e">
        <f aca="false">общ.калькуляция!h985</f>
        <v>#NAME?</v>
      </c>
      <c r="F986" s="324"/>
      <c r="G986" s="324"/>
      <c r="H986" s="324" t="e">
        <f aca="false">общ.калькуляция!j985</f>
        <v>#NAME?</v>
      </c>
      <c r="I986" s="324"/>
      <c r="J986" s="324"/>
      <c r="K986" s="324" t="e">
        <f aca="false">общ.калькуляция!m985</f>
        <v>#NAME?</v>
      </c>
      <c r="L986" s="324"/>
      <c r="M986" s="324"/>
      <c r="N986" s="324" t="e">
        <f aca="false">E986+H986+K986</f>
        <v>#NAME?</v>
      </c>
    </row>
    <row r="987" customFormat="false" ht="15" hidden="false" customHeight="true" outlineLevel="0" collapsed="false">
      <c r="A987" s="28" t="s">
        <v>1610</v>
      </c>
      <c r="B987" s="81" t="s">
        <v>3532</v>
      </c>
      <c r="C987" s="323"/>
      <c r="D987" s="323"/>
      <c r="E987" s="324" t="e">
        <f aca="false">общ.калькуляция!h986</f>
        <v>#NAME?</v>
      </c>
      <c r="F987" s="324"/>
      <c r="G987" s="324"/>
      <c r="H987" s="324" t="e">
        <f aca="false">общ.калькуляция!j986</f>
        <v>#NAME?</v>
      </c>
      <c r="I987" s="324"/>
      <c r="J987" s="324"/>
      <c r="K987" s="324" t="e">
        <f aca="false">общ.калькуляция!m986</f>
        <v>#NAME?</v>
      </c>
      <c r="L987" s="324"/>
      <c r="M987" s="324"/>
      <c r="N987" s="324" t="e">
        <f aca="false">E987+H987+K987</f>
        <v>#NAME?</v>
      </c>
    </row>
    <row r="988" customFormat="false" ht="15" hidden="false" customHeight="true" outlineLevel="0" collapsed="false">
      <c r="A988" s="28" t="s">
        <v>1611</v>
      </c>
      <c r="B988" s="85" t="s">
        <v>3555</v>
      </c>
      <c r="C988" s="323"/>
      <c r="D988" s="323"/>
      <c r="E988" s="324" t="e">
        <f aca="false">общ.калькуляция!h987</f>
        <v>#NAME?</v>
      </c>
      <c r="F988" s="324"/>
      <c r="G988" s="324"/>
      <c r="H988" s="324" t="e">
        <f aca="false">общ.калькуляция!j987</f>
        <v>#NAME?</v>
      </c>
      <c r="I988" s="324"/>
      <c r="J988" s="324"/>
      <c r="K988" s="324" t="e">
        <f aca="false">общ.калькуляция!m987</f>
        <v>#NAME?</v>
      </c>
      <c r="L988" s="324"/>
      <c r="M988" s="324"/>
      <c r="N988" s="324" t="e">
        <f aca="false">E988+H988+K988</f>
        <v>#NAME?</v>
      </c>
    </row>
    <row r="989" customFormat="false" ht="28.5" hidden="false" customHeight="false" outlineLevel="0" collapsed="false">
      <c r="A989" s="15" t="s">
        <v>1613</v>
      </c>
      <c r="B989" s="349" t="s">
        <v>3556</v>
      </c>
      <c r="C989" s="321"/>
      <c r="D989" s="321"/>
      <c r="E989" s="329"/>
      <c r="F989" s="329"/>
      <c r="G989" s="329"/>
      <c r="H989" s="329"/>
      <c r="I989" s="329"/>
      <c r="J989" s="329"/>
      <c r="K989" s="329"/>
      <c r="L989" s="329"/>
      <c r="M989" s="329"/>
      <c r="N989" s="329"/>
    </row>
    <row r="990" customFormat="false" ht="15" hidden="false" customHeight="true" outlineLevel="0" collapsed="false">
      <c r="A990" s="28" t="s">
        <v>1615</v>
      </c>
      <c r="B990" s="87" t="s">
        <v>3139</v>
      </c>
      <c r="C990" s="323"/>
      <c r="D990" s="323"/>
      <c r="E990" s="324" t="e">
        <f aca="false">общ.калькуляция!h989</f>
        <v>#NAME?</v>
      </c>
      <c r="F990" s="324"/>
      <c r="G990" s="324"/>
      <c r="H990" s="324" t="e">
        <f aca="false">общ.калькуляция!j989</f>
        <v>#NAME?</v>
      </c>
      <c r="I990" s="324"/>
      <c r="J990" s="324"/>
      <c r="K990" s="324" t="e">
        <f aca="false">общ.калькуляция!m989</f>
        <v>#NAME?</v>
      </c>
      <c r="L990" s="324"/>
      <c r="M990" s="324"/>
      <c r="N990" s="324" t="e">
        <f aca="false">E990+H990+K990</f>
        <v>#NAME?</v>
      </c>
    </row>
    <row r="991" customFormat="false" ht="15" hidden="false" customHeight="true" outlineLevel="0" collapsed="false">
      <c r="A991" s="28" t="s">
        <v>1616</v>
      </c>
      <c r="B991" s="80" t="s">
        <v>3549</v>
      </c>
      <c r="C991" s="323"/>
      <c r="D991" s="323"/>
      <c r="E991" s="324" t="e">
        <f aca="false">общ.калькуляция!h990</f>
        <v>#NAME?</v>
      </c>
      <c r="F991" s="324"/>
      <c r="G991" s="324"/>
      <c r="H991" s="324" t="e">
        <f aca="false">общ.калькуляция!j990</f>
        <v>#NAME?</v>
      </c>
      <c r="I991" s="324"/>
      <c r="J991" s="324"/>
      <c r="K991" s="324" t="e">
        <f aca="false">общ.калькуляция!m990</f>
        <v>#NAME?</v>
      </c>
      <c r="L991" s="324"/>
      <c r="M991" s="324"/>
      <c r="N991" s="324" t="e">
        <f aca="false">E991+H991+K991</f>
        <v>#NAME?</v>
      </c>
    </row>
    <row r="992" customFormat="false" ht="15" hidden="false" customHeight="true" outlineLevel="0" collapsed="false">
      <c r="A992" s="28" t="s">
        <v>1617</v>
      </c>
      <c r="B992" s="80" t="s">
        <v>3548</v>
      </c>
      <c r="C992" s="323"/>
      <c r="D992" s="323"/>
      <c r="E992" s="324" t="e">
        <f aca="false">общ.калькуляция!h991</f>
        <v>#NAME?</v>
      </c>
      <c r="F992" s="324"/>
      <c r="G992" s="324"/>
      <c r="H992" s="324" t="e">
        <f aca="false">общ.калькуляция!j991</f>
        <v>#NAME?</v>
      </c>
      <c r="I992" s="324"/>
      <c r="J992" s="324"/>
      <c r="K992" s="324" t="e">
        <f aca="false">общ.калькуляция!m991</f>
        <v>#NAME?</v>
      </c>
      <c r="L992" s="324"/>
      <c r="M992" s="324"/>
      <c r="N992" s="324" t="e">
        <f aca="false">E992+H992+K992</f>
        <v>#NAME?</v>
      </c>
    </row>
    <row r="993" customFormat="false" ht="15" hidden="false" customHeight="true" outlineLevel="0" collapsed="false">
      <c r="A993" s="28" t="s">
        <v>1618</v>
      </c>
      <c r="B993" s="80" t="s">
        <v>3557</v>
      </c>
      <c r="C993" s="323"/>
      <c r="D993" s="323"/>
      <c r="E993" s="324" t="e">
        <f aca="false">общ.калькуляция!h992</f>
        <v>#NAME?</v>
      </c>
      <c r="F993" s="324"/>
      <c r="G993" s="324"/>
      <c r="H993" s="324" t="e">
        <f aca="false">общ.калькуляция!j992</f>
        <v>#NAME?</v>
      </c>
      <c r="I993" s="324"/>
      <c r="J993" s="324"/>
      <c r="K993" s="324" t="e">
        <f aca="false">общ.калькуляция!m992</f>
        <v>#NAME?</v>
      </c>
      <c r="L993" s="324"/>
      <c r="M993" s="324"/>
      <c r="N993" s="324" t="e">
        <f aca="false">E993+H993+K993</f>
        <v>#NAME?</v>
      </c>
    </row>
    <row r="994" customFormat="false" ht="15" hidden="false" customHeight="true" outlineLevel="0" collapsed="false">
      <c r="A994" s="28" t="s">
        <v>1620</v>
      </c>
      <c r="B994" s="80" t="s">
        <v>3546</v>
      </c>
      <c r="C994" s="323"/>
      <c r="D994" s="323"/>
      <c r="E994" s="324" t="e">
        <f aca="false">общ.калькуляция!h993</f>
        <v>#NAME?</v>
      </c>
      <c r="F994" s="324"/>
      <c r="G994" s="324"/>
      <c r="H994" s="324" t="e">
        <f aca="false">общ.калькуляция!j993</f>
        <v>#NAME?</v>
      </c>
      <c r="I994" s="324"/>
      <c r="J994" s="324"/>
      <c r="K994" s="324" t="e">
        <f aca="false">общ.калькуляция!m993</f>
        <v>#NAME?</v>
      </c>
      <c r="L994" s="324"/>
      <c r="M994" s="324"/>
      <c r="N994" s="324" t="e">
        <f aca="false">E994+H994+K994</f>
        <v>#NAME?</v>
      </c>
    </row>
    <row r="995" customFormat="false" ht="15" hidden="false" customHeight="true" outlineLevel="0" collapsed="false">
      <c r="A995" s="28" t="s">
        <v>1621</v>
      </c>
      <c r="B995" s="80" t="s">
        <v>3558</v>
      </c>
      <c r="C995" s="323"/>
      <c r="D995" s="323"/>
      <c r="E995" s="324" t="e">
        <f aca="false">общ.калькуляция!h994</f>
        <v>#NAME?</v>
      </c>
      <c r="F995" s="324"/>
      <c r="G995" s="324"/>
      <c r="H995" s="324" t="e">
        <f aca="false">общ.калькуляция!j994</f>
        <v>#NAME?</v>
      </c>
      <c r="I995" s="324"/>
      <c r="J995" s="324"/>
      <c r="K995" s="324" t="e">
        <f aca="false">общ.калькуляция!m994</f>
        <v>#NAME?</v>
      </c>
      <c r="L995" s="324"/>
      <c r="M995" s="324"/>
      <c r="N995" s="324" t="e">
        <f aca="false">E995+H995+K995</f>
        <v>#NAME?</v>
      </c>
    </row>
    <row r="996" customFormat="false" ht="15" hidden="false" customHeight="true" outlineLevel="0" collapsed="false">
      <c r="A996" s="28" t="s">
        <v>1623</v>
      </c>
      <c r="B996" s="80" t="s">
        <v>3543</v>
      </c>
      <c r="C996" s="323"/>
      <c r="D996" s="323"/>
      <c r="E996" s="324" t="e">
        <f aca="false">общ.калькуляция!h995</f>
        <v>#NAME?</v>
      </c>
      <c r="F996" s="324"/>
      <c r="G996" s="324"/>
      <c r="H996" s="324" t="e">
        <f aca="false">общ.калькуляция!j995</f>
        <v>#NAME?</v>
      </c>
      <c r="I996" s="324"/>
      <c r="J996" s="324"/>
      <c r="K996" s="324" t="e">
        <f aca="false">общ.калькуляция!m995</f>
        <v>#NAME?</v>
      </c>
      <c r="L996" s="324"/>
      <c r="M996" s="324"/>
      <c r="N996" s="324" t="e">
        <f aca="false">E996+H996+K996</f>
        <v>#NAME?</v>
      </c>
    </row>
    <row r="997" customFormat="false" ht="15" hidden="false" customHeight="true" outlineLevel="0" collapsed="false">
      <c r="A997" s="28" t="s">
        <v>1624</v>
      </c>
      <c r="B997" s="80" t="s">
        <v>3514</v>
      </c>
      <c r="C997" s="323"/>
      <c r="D997" s="323"/>
      <c r="E997" s="324" t="e">
        <f aca="false">общ.калькуляция!h996</f>
        <v>#NAME?</v>
      </c>
      <c r="F997" s="324"/>
      <c r="G997" s="324"/>
      <c r="H997" s="324" t="e">
        <f aca="false">общ.калькуляция!j996</f>
        <v>#NAME?</v>
      </c>
      <c r="I997" s="324"/>
      <c r="J997" s="324"/>
      <c r="K997" s="324" t="e">
        <f aca="false">общ.калькуляция!m996</f>
        <v>#NAME?</v>
      </c>
      <c r="L997" s="324"/>
      <c r="M997" s="324"/>
      <c r="N997" s="324" t="e">
        <f aca="false">E997+H997+K997</f>
        <v>#NAME?</v>
      </c>
    </row>
    <row r="998" customFormat="false" ht="15" hidden="false" customHeight="true" outlineLevel="0" collapsed="false">
      <c r="A998" s="28" t="s">
        <v>1625</v>
      </c>
      <c r="B998" s="80" t="s">
        <v>3441</v>
      </c>
      <c r="C998" s="323"/>
      <c r="D998" s="323"/>
      <c r="E998" s="324" t="e">
        <f aca="false">общ.калькуляция!h997</f>
        <v>#NAME?</v>
      </c>
      <c r="F998" s="324"/>
      <c r="G998" s="324"/>
      <c r="H998" s="324" t="e">
        <f aca="false">общ.калькуляция!j997</f>
        <v>#NAME?</v>
      </c>
      <c r="I998" s="324"/>
      <c r="J998" s="324"/>
      <c r="K998" s="324" t="e">
        <f aca="false">общ.калькуляция!m997</f>
        <v>#NAME?</v>
      </c>
      <c r="L998" s="324"/>
      <c r="M998" s="324"/>
      <c r="N998" s="324" t="e">
        <f aca="false">E998+H998+K998</f>
        <v>#NAME?</v>
      </c>
    </row>
    <row r="999" customFormat="false" ht="15" hidden="false" customHeight="true" outlineLevel="0" collapsed="false">
      <c r="A999" s="28" t="s">
        <v>1626</v>
      </c>
      <c r="B999" s="80" t="s">
        <v>3438</v>
      </c>
      <c r="C999" s="323"/>
      <c r="D999" s="323"/>
      <c r="E999" s="324" t="e">
        <f aca="false">общ.калькуляция!h998</f>
        <v>#NAME?</v>
      </c>
      <c r="F999" s="324"/>
      <c r="G999" s="324"/>
      <c r="H999" s="324" t="e">
        <f aca="false">общ.калькуляция!j998</f>
        <v>#NAME?</v>
      </c>
      <c r="I999" s="324"/>
      <c r="J999" s="324"/>
      <c r="K999" s="324" t="e">
        <f aca="false">общ.калькуляция!m998</f>
        <v>#NAME?</v>
      </c>
      <c r="L999" s="324"/>
      <c r="M999" s="324"/>
      <c r="N999" s="324" t="e">
        <f aca="false">E999+H999+K999</f>
        <v>#NAME?</v>
      </c>
    </row>
    <row r="1000" customFormat="false" ht="15" hidden="false" customHeight="true" outlineLevel="0" collapsed="false">
      <c r="A1000" s="28" t="s">
        <v>1627</v>
      </c>
      <c r="B1000" s="80" t="s">
        <v>3465</v>
      </c>
      <c r="C1000" s="323"/>
      <c r="D1000" s="323"/>
      <c r="E1000" s="324" t="e">
        <f aca="false">общ.калькуляция!h999</f>
        <v>#NAME?</v>
      </c>
      <c r="F1000" s="324"/>
      <c r="G1000" s="324"/>
      <c r="H1000" s="324" t="e">
        <f aca="false">общ.калькуляция!j999</f>
        <v>#NAME?</v>
      </c>
      <c r="I1000" s="324"/>
      <c r="J1000" s="324"/>
      <c r="K1000" s="324" t="e">
        <f aca="false">общ.калькуляция!m999</f>
        <v>#NAME?</v>
      </c>
      <c r="L1000" s="324"/>
      <c r="M1000" s="324"/>
      <c r="N1000" s="324" t="e">
        <f aca="false">E1000+H1000+K1000</f>
        <v>#NAME?</v>
      </c>
    </row>
    <row r="1001" customFormat="false" ht="15" hidden="false" customHeight="true" outlineLevel="0" collapsed="false">
      <c r="A1001" s="28" t="s">
        <v>1628</v>
      </c>
      <c r="B1001" s="80" t="s">
        <v>3544</v>
      </c>
      <c r="C1001" s="323"/>
      <c r="D1001" s="323"/>
      <c r="E1001" s="324" t="e">
        <f aca="false">общ.калькуляция!h1000</f>
        <v>#NAME?</v>
      </c>
      <c r="F1001" s="324"/>
      <c r="G1001" s="324"/>
      <c r="H1001" s="324" t="e">
        <f aca="false">общ.калькуляция!j1000</f>
        <v>#NAME?</v>
      </c>
      <c r="I1001" s="324"/>
      <c r="J1001" s="324"/>
      <c r="K1001" s="324" t="e">
        <f aca="false">общ.калькуляция!m1000</f>
        <v>#NAME?</v>
      </c>
      <c r="L1001" s="324"/>
      <c r="M1001" s="324"/>
      <c r="N1001" s="324" t="e">
        <f aca="false">E1001+H1001+K1001</f>
        <v>#NAME?</v>
      </c>
    </row>
    <row r="1002" customFormat="false" ht="15" hidden="false" customHeight="true" outlineLevel="0" collapsed="false">
      <c r="A1002" s="28" t="s">
        <v>1629</v>
      </c>
      <c r="B1002" s="82" t="s">
        <v>3559</v>
      </c>
      <c r="C1002" s="323"/>
      <c r="D1002" s="323"/>
      <c r="E1002" s="324" t="e">
        <f aca="false">общ.калькуляция!h1001</f>
        <v>#NAME?</v>
      </c>
      <c r="F1002" s="324"/>
      <c r="G1002" s="324"/>
      <c r="H1002" s="324" t="e">
        <f aca="false">общ.калькуляция!j1001</f>
        <v>#NAME?</v>
      </c>
      <c r="I1002" s="324"/>
      <c r="J1002" s="324"/>
      <c r="K1002" s="324" t="e">
        <f aca="false">общ.калькуляция!m1001</f>
        <v>#NAME?</v>
      </c>
      <c r="L1002" s="324"/>
      <c r="M1002" s="324"/>
      <c r="N1002" s="324" t="e">
        <f aca="false">E1002+H1002+K1002</f>
        <v>#NAME?</v>
      </c>
    </row>
    <row r="1003" customFormat="false" ht="15" hidden="false" customHeight="true" outlineLevel="0" collapsed="false">
      <c r="A1003" s="28" t="s">
        <v>1630</v>
      </c>
      <c r="B1003" s="80" t="s">
        <v>3536</v>
      </c>
      <c r="C1003" s="323"/>
      <c r="D1003" s="323"/>
      <c r="E1003" s="324" t="e">
        <f aca="false">общ.калькуляция!h1002</f>
        <v>#NAME?</v>
      </c>
      <c r="F1003" s="324"/>
      <c r="G1003" s="324"/>
      <c r="H1003" s="324" t="e">
        <f aca="false">общ.калькуляция!j1002</f>
        <v>#NAME?</v>
      </c>
      <c r="I1003" s="324"/>
      <c r="J1003" s="324"/>
      <c r="K1003" s="324" t="e">
        <f aca="false">общ.калькуляция!m1002</f>
        <v>#NAME?</v>
      </c>
      <c r="L1003" s="324"/>
      <c r="M1003" s="324"/>
      <c r="N1003" s="324" t="e">
        <f aca="false">E1003+H1003+K1003</f>
        <v>#NAME?</v>
      </c>
    </row>
    <row r="1004" customFormat="false" ht="15" hidden="false" customHeight="true" outlineLevel="0" collapsed="false">
      <c r="A1004" s="28" t="s">
        <v>1631</v>
      </c>
      <c r="B1004" s="80" t="s">
        <v>3552</v>
      </c>
      <c r="C1004" s="323"/>
      <c r="D1004" s="323"/>
      <c r="E1004" s="324" t="e">
        <f aca="false">общ.калькуляция!h1003</f>
        <v>#NAME?</v>
      </c>
      <c r="F1004" s="324"/>
      <c r="G1004" s="324"/>
      <c r="H1004" s="324" t="e">
        <f aca="false">общ.калькуляция!j1003</f>
        <v>#NAME?</v>
      </c>
      <c r="I1004" s="324"/>
      <c r="J1004" s="324"/>
      <c r="K1004" s="324" t="e">
        <f aca="false">общ.калькуляция!m1003</f>
        <v>#NAME?</v>
      </c>
      <c r="L1004" s="324"/>
      <c r="M1004" s="324"/>
      <c r="N1004" s="324" t="e">
        <f aca="false">E1004+H1004+K1004</f>
        <v>#NAME?</v>
      </c>
    </row>
    <row r="1005" customFormat="false" ht="15" hidden="false" customHeight="true" outlineLevel="0" collapsed="false">
      <c r="A1005" s="28" t="s">
        <v>1632</v>
      </c>
      <c r="B1005" s="82" t="s">
        <v>3129</v>
      </c>
      <c r="C1005" s="323"/>
      <c r="D1005" s="323"/>
      <c r="E1005" s="324" t="e">
        <f aca="false">общ.калькуляция!h1004</f>
        <v>#NAME?</v>
      </c>
      <c r="F1005" s="324"/>
      <c r="G1005" s="324"/>
      <c r="H1005" s="324" t="e">
        <f aca="false">общ.калькуляция!j1004</f>
        <v>#NAME?</v>
      </c>
      <c r="I1005" s="324"/>
      <c r="J1005" s="324"/>
      <c r="K1005" s="324" t="e">
        <f aca="false">общ.калькуляция!m1004</f>
        <v>#NAME?</v>
      </c>
      <c r="L1005" s="324"/>
      <c r="M1005" s="324"/>
      <c r="N1005" s="324" t="e">
        <f aca="false">E1005+H1005+K1005</f>
        <v>#NAME?</v>
      </c>
    </row>
    <row r="1006" customFormat="false" ht="15" hidden="false" customHeight="true" outlineLevel="0" collapsed="false">
      <c r="A1006" s="28" t="s">
        <v>1633</v>
      </c>
      <c r="B1006" s="82" t="s">
        <v>3269</v>
      </c>
      <c r="C1006" s="323"/>
      <c r="D1006" s="323"/>
      <c r="E1006" s="324" t="e">
        <f aca="false">общ.калькуляция!h1005</f>
        <v>#NAME?</v>
      </c>
      <c r="F1006" s="324"/>
      <c r="G1006" s="324"/>
      <c r="H1006" s="324" t="e">
        <f aca="false">общ.калькуляция!j1005</f>
        <v>#NAME?</v>
      </c>
      <c r="I1006" s="324"/>
      <c r="J1006" s="324"/>
      <c r="K1006" s="324" t="e">
        <f aca="false">общ.калькуляция!m1005</f>
        <v>#NAME?</v>
      </c>
      <c r="L1006" s="324"/>
      <c r="M1006" s="324"/>
      <c r="N1006" s="324" t="e">
        <f aca="false">E1006+H1006+K1006</f>
        <v>#NAME?</v>
      </c>
    </row>
    <row r="1007" customFormat="false" ht="15" hidden="false" customHeight="true" outlineLevel="0" collapsed="false">
      <c r="A1007" s="28" t="s">
        <v>1634</v>
      </c>
      <c r="B1007" s="82" t="s">
        <v>3254</v>
      </c>
      <c r="C1007" s="323"/>
      <c r="D1007" s="323"/>
      <c r="E1007" s="324" t="e">
        <f aca="false">общ.калькуляция!h1006</f>
        <v>#NAME?</v>
      </c>
      <c r="F1007" s="324"/>
      <c r="G1007" s="324"/>
      <c r="H1007" s="324" t="e">
        <f aca="false">общ.калькуляция!j1006</f>
        <v>#NAME?</v>
      </c>
      <c r="I1007" s="324"/>
      <c r="J1007" s="324"/>
      <c r="K1007" s="324" t="e">
        <f aca="false">общ.калькуляция!m1006</f>
        <v>#NAME?</v>
      </c>
      <c r="L1007" s="324"/>
      <c r="M1007" s="324"/>
      <c r="N1007" s="324" t="e">
        <f aca="false">E1007+H1007+K1007</f>
        <v>#NAME?</v>
      </c>
    </row>
    <row r="1008" customFormat="false" ht="15" hidden="false" customHeight="true" outlineLevel="0" collapsed="false">
      <c r="A1008" s="28" t="s">
        <v>1635</v>
      </c>
      <c r="B1008" s="82" t="s">
        <v>3486</v>
      </c>
      <c r="C1008" s="323"/>
      <c r="D1008" s="323"/>
      <c r="E1008" s="324" t="e">
        <f aca="false">общ.калькуляция!h1007</f>
        <v>#NAME?</v>
      </c>
      <c r="F1008" s="324"/>
      <c r="G1008" s="324"/>
      <c r="H1008" s="324" t="e">
        <f aca="false">общ.калькуляция!j1007</f>
        <v>#NAME?</v>
      </c>
      <c r="I1008" s="324"/>
      <c r="J1008" s="324"/>
      <c r="K1008" s="324" t="e">
        <f aca="false">общ.калькуляция!m1007</f>
        <v>#NAME?</v>
      </c>
      <c r="L1008" s="324"/>
      <c r="M1008" s="324"/>
      <c r="N1008" s="324" t="e">
        <f aca="false">E1008+H1008+K1008</f>
        <v>#NAME?</v>
      </c>
    </row>
    <row r="1009" customFormat="false" ht="15" hidden="false" customHeight="true" outlineLevel="0" collapsed="false">
      <c r="A1009" s="28" t="s">
        <v>1636</v>
      </c>
      <c r="B1009" s="82" t="s">
        <v>3560</v>
      </c>
      <c r="C1009" s="323"/>
      <c r="D1009" s="323"/>
      <c r="E1009" s="324" t="e">
        <f aca="false">общ.калькуляция!h1008</f>
        <v>#NAME?</v>
      </c>
      <c r="F1009" s="324"/>
      <c r="G1009" s="324"/>
      <c r="H1009" s="324" t="e">
        <f aca="false">общ.калькуляция!j1008</f>
        <v>#NAME?</v>
      </c>
      <c r="I1009" s="324"/>
      <c r="J1009" s="324"/>
      <c r="K1009" s="324" t="e">
        <f aca="false">общ.калькуляция!m1008</f>
        <v>#NAME?</v>
      </c>
      <c r="L1009" s="324"/>
      <c r="M1009" s="324"/>
      <c r="N1009" s="324" t="e">
        <f aca="false">E1009+H1009+K1009</f>
        <v>#NAME?</v>
      </c>
    </row>
    <row r="1010" customFormat="false" ht="15" hidden="false" customHeight="true" outlineLevel="0" collapsed="false">
      <c r="A1010" s="28" t="s">
        <v>1637</v>
      </c>
      <c r="B1010" s="82" t="s">
        <v>3488</v>
      </c>
      <c r="C1010" s="323"/>
      <c r="D1010" s="323"/>
      <c r="E1010" s="324" t="e">
        <f aca="false">общ.калькуляция!h1009</f>
        <v>#NAME?</v>
      </c>
      <c r="F1010" s="324"/>
      <c r="G1010" s="324"/>
      <c r="H1010" s="324" t="e">
        <f aca="false">общ.калькуляция!j1009</f>
        <v>#NAME?</v>
      </c>
      <c r="I1010" s="324"/>
      <c r="J1010" s="324"/>
      <c r="K1010" s="324" t="e">
        <f aca="false">общ.калькуляция!m1009</f>
        <v>#NAME?</v>
      </c>
      <c r="L1010" s="324"/>
      <c r="M1010" s="324"/>
      <c r="N1010" s="324" t="e">
        <f aca="false">E1010+H1010+K1010</f>
        <v>#NAME?</v>
      </c>
    </row>
    <row r="1011" customFormat="false" ht="15" hidden="false" customHeight="true" outlineLevel="0" collapsed="false">
      <c r="A1011" s="28" t="s">
        <v>1638</v>
      </c>
      <c r="B1011" s="82" t="s">
        <v>3561</v>
      </c>
      <c r="C1011" s="323"/>
      <c r="D1011" s="323"/>
      <c r="E1011" s="324" t="e">
        <f aca="false">общ.калькуляция!h1010</f>
        <v>#NAME?</v>
      </c>
      <c r="F1011" s="324"/>
      <c r="G1011" s="324"/>
      <c r="H1011" s="324" t="e">
        <f aca="false">общ.калькуляция!j1010</f>
        <v>#NAME?</v>
      </c>
      <c r="I1011" s="324"/>
      <c r="J1011" s="324"/>
      <c r="K1011" s="324" t="e">
        <f aca="false">общ.калькуляция!m1010</f>
        <v>#NAME?</v>
      </c>
      <c r="L1011" s="324"/>
      <c r="M1011" s="324"/>
      <c r="N1011" s="324" t="e">
        <f aca="false">E1011+H1011+K1011</f>
        <v>#NAME?</v>
      </c>
    </row>
    <row r="1012" customFormat="false" ht="15" hidden="false" customHeight="true" outlineLevel="0" collapsed="false">
      <c r="A1012" s="28" t="s">
        <v>1640</v>
      </c>
      <c r="B1012" s="82" t="s">
        <v>3562</v>
      </c>
      <c r="C1012" s="323"/>
      <c r="D1012" s="323"/>
      <c r="E1012" s="324" t="e">
        <f aca="false">общ.калькуляция!h1011</f>
        <v>#NAME?</v>
      </c>
      <c r="F1012" s="324"/>
      <c r="G1012" s="324"/>
      <c r="H1012" s="324" t="e">
        <f aca="false">общ.калькуляция!j1011</f>
        <v>#NAME?</v>
      </c>
      <c r="I1012" s="324"/>
      <c r="J1012" s="324"/>
      <c r="K1012" s="324" t="e">
        <f aca="false">общ.калькуляция!m1011</f>
        <v>#NAME?</v>
      </c>
      <c r="L1012" s="324"/>
      <c r="M1012" s="324"/>
      <c r="N1012" s="324" t="e">
        <f aca="false">E1012+H1012+K1012</f>
        <v>#NAME?</v>
      </c>
    </row>
    <row r="1013" customFormat="false" ht="15" hidden="false" customHeight="true" outlineLevel="0" collapsed="false">
      <c r="A1013" s="28" t="s">
        <v>1642</v>
      </c>
      <c r="B1013" s="82" t="s">
        <v>3563</v>
      </c>
      <c r="C1013" s="323"/>
      <c r="D1013" s="323"/>
      <c r="E1013" s="324" t="e">
        <f aca="false">общ.калькуляция!h1012</f>
        <v>#NAME?</v>
      </c>
      <c r="F1013" s="324"/>
      <c r="G1013" s="324"/>
      <c r="H1013" s="324" t="e">
        <f aca="false">общ.калькуляция!j1012</f>
        <v>#NAME?</v>
      </c>
      <c r="I1013" s="324"/>
      <c r="J1013" s="324"/>
      <c r="K1013" s="324" t="e">
        <f aca="false">общ.калькуляция!m1012</f>
        <v>#NAME?</v>
      </c>
      <c r="L1013" s="324"/>
      <c r="M1013" s="324"/>
      <c r="N1013" s="324" t="e">
        <f aca="false">E1013+H1013+K1013</f>
        <v>#NAME?</v>
      </c>
    </row>
    <row r="1014" customFormat="false" ht="15" hidden="false" customHeight="true" outlineLevel="0" collapsed="false">
      <c r="A1014" s="28" t="s">
        <v>1644</v>
      </c>
      <c r="B1014" s="82" t="s">
        <v>3564</v>
      </c>
      <c r="C1014" s="323"/>
      <c r="D1014" s="323"/>
      <c r="E1014" s="324" t="e">
        <f aca="false">общ.калькуляция!h1013</f>
        <v>#NAME?</v>
      </c>
      <c r="F1014" s="324"/>
      <c r="G1014" s="324"/>
      <c r="H1014" s="324" t="e">
        <f aca="false">общ.калькуляция!j1013</f>
        <v>#NAME?</v>
      </c>
      <c r="I1014" s="324"/>
      <c r="J1014" s="324"/>
      <c r="K1014" s="324" t="e">
        <f aca="false">общ.калькуляция!m1013</f>
        <v>#NAME?</v>
      </c>
      <c r="L1014" s="324"/>
      <c r="M1014" s="324"/>
      <c r="N1014" s="324" t="e">
        <f aca="false">E1014+H1014+K1014</f>
        <v>#NAME?</v>
      </c>
    </row>
    <row r="1015" customFormat="false" ht="30" hidden="false" customHeight="true" outlineLevel="0" collapsed="false">
      <c r="A1015" s="28" t="s">
        <v>1646</v>
      </c>
      <c r="B1015" s="80" t="s">
        <v>3533</v>
      </c>
      <c r="C1015" s="323"/>
      <c r="D1015" s="323"/>
      <c r="E1015" s="324" t="e">
        <f aca="false">общ.калькуляция!h1014</f>
        <v>#NAME?</v>
      </c>
      <c r="F1015" s="324"/>
      <c r="G1015" s="324"/>
      <c r="H1015" s="324" t="e">
        <f aca="false">общ.калькуляция!j1014</f>
        <v>#NAME?</v>
      </c>
      <c r="I1015" s="324"/>
      <c r="J1015" s="324"/>
      <c r="K1015" s="324" t="e">
        <f aca="false">общ.калькуляция!m1014</f>
        <v>#NAME?</v>
      </c>
      <c r="L1015" s="324"/>
      <c r="M1015" s="324"/>
      <c r="N1015" s="324" t="e">
        <f aca="false">E1015+H1015+K1015</f>
        <v>#NAME?</v>
      </c>
    </row>
    <row r="1016" customFormat="false" ht="30" hidden="false" customHeight="true" outlineLevel="0" collapsed="false">
      <c r="A1016" s="28" t="s">
        <v>1647</v>
      </c>
      <c r="B1016" s="82" t="s">
        <v>3534</v>
      </c>
      <c r="C1016" s="323"/>
      <c r="D1016" s="323"/>
      <c r="E1016" s="324" t="e">
        <f aca="false">общ.калькуляция!h1015</f>
        <v>#NAME?</v>
      </c>
      <c r="F1016" s="324"/>
      <c r="G1016" s="324"/>
      <c r="H1016" s="324" t="e">
        <f aca="false">общ.калькуляция!j1015</f>
        <v>#NAME?</v>
      </c>
      <c r="I1016" s="324"/>
      <c r="J1016" s="324"/>
      <c r="K1016" s="324" t="e">
        <f aca="false">общ.калькуляция!m1015</f>
        <v>#NAME?</v>
      </c>
      <c r="L1016" s="324"/>
      <c r="M1016" s="324"/>
      <c r="N1016" s="324" t="e">
        <f aca="false">E1016+H1016+K1016</f>
        <v>#NAME?</v>
      </c>
    </row>
    <row r="1017" customFormat="false" ht="30" hidden="false" customHeight="true" outlineLevel="0" collapsed="false">
      <c r="A1017" s="28" t="s">
        <v>1648</v>
      </c>
      <c r="B1017" s="82" t="s">
        <v>3565</v>
      </c>
      <c r="C1017" s="323"/>
      <c r="D1017" s="323"/>
      <c r="E1017" s="324" t="e">
        <f aca="false">общ.калькуляция!h1016</f>
        <v>#NAME?</v>
      </c>
      <c r="F1017" s="324"/>
      <c r="G1017" s="324"/>
      <c r="H1017" s="324" t="e">
        <f aca="false">общ.калькуляция!j1016</f>
        <v>#NAME?</v>
      </c>
      <c r="I1017" s="324"/>
      <c r="J1017" s="324"/>
      <c r="K1017" s="324" t="e">
        <f aca="false">общ.калькуляция!m1016</f>
        <v>#NAME?</v>
      </c>
      <c r="L1017" s="324"/>
      <c r="M1017" s="324"/>
      <c r="N1017" s="324" t="e">
        <f aca="false">E1017+H1017+K1017</f>
        <v>#NAME?</v>
      </c>
    </row>
    <row r="1018" customFormat="false" ht="28.5" hidden="false" customHeight="false" outlineLevel="0" collapsed="false">
      <c r="A1018" s="15" t="s">
        <v>1650</v>
      </c>
      <c r="B1018" s="348" t="s">
        <v>3566</v>
      </c>
      <c r="C1018" s="321"/>
      <c r="D1018" s="321"/>
      <c r="E1018" s="329"/>
      <c r="F1018" s="329"/>
      <c r="G1018" s="329"/>
      <c r="H1018" s="329"/>
      <c r="I1018" s="329"/>
      <c r="J1018" s="329"/>
      <c r="K1018" s="329"/>
      <c r="L1018" s="329"/>
      <c r="M1018" s="329"/>
      <c r="N1018" s="329"/>
    </row>
    <row r="1019" customFormat="false" ht="15" hidden="false" customHeight="true" outlineLevel="0" collapsed="false">
      <c r="A1019" s="28" t="s">
        <v>1652</v>
      </c>
      <c r="B1019" s="80" t="s">
        <v>3139</v>
      </c>
      <c r="C1019" s="323"/>
      <c r="D1019" s="323"/>
      <c r="E1019" s="324" t="e">
        <f aca="false">общ.калькуляция!h1018</f>
        <v>#NAME?</v>
      </c>
      <c r="F1019" s="324"/>
      <c r="G1019" s="324"/>
      <c r="H1019" s="324" t="e">
        <f aca="false">общ.калькуляция!j1018</f>
        <v>#NAME?</v>
      </c>
      <c r="I1019" s="324"/>
      <c r="J1019" s="324"/>
      <c r="K1019" s="324" t="e">
        <f aca="false">общ.калькуляция!m1018</f>
        <v>#NAME?</v>
      </c>
      <c r="L1019" s="324"/>
      <c r="M1019" s="324"/>
      <c r="N1019" s="324" t="e">
        <f aca="false">E1019+H1019+K1019</f>
        <v>#NAME?</v>
      </c>
    </row>
    <row r="1020" customFormat="false" ht="15" hidden="false" customHeight="true" outlineLevel="0" collapsed="false">
      <c r="A1020" s="28" t="s">
        <v>1653</v>
      </c>
      <c r="B1020" s="80" t="s">
        <v>3567</v>
      </c>
      <c r="C1020" s="323"/>
      <c r="D1020" s="323"/>
      <c r="E1020" s="324" t="e">
        <f aca="false">общ.калькуляция!h1019</f>
        <v>#NAME?</v>
      </c>
      <c r="F1020" s="324"/>
      <c r="G1020" s="324"/>
      <c r="H1020" s="324" t="e">
        <f aca="false">общ.калькуляция!j1019</f>
        <v>#NAME?</v>
      </c>
      <c r="I1020" s="324"/>
      <c r="J1020" s="324"/>
      <c r="K1020" s="324" t="e">
        <f aca="false">общ.калькуляция!m1019</f>
        <v>#NAME?</v>
      </c>
      <c r="L1020" s="324"/>
      <c r="M1020" s="324"/>
      <c r="N1020" s="324" t="e">
        <f aca="false">E1020+H1020+K1020</f>
        <v>#NAME?</v>
      </c>
    </row>
    <row r="1021" customFormat="false" ht="15" hidden="false" customHeight="true" outlineLevel="0" collapsed="false">
      <c r="A1021" s="28" t="s">
        <v>1654</v>
      </c>
      <c r="B1021" s="80" t="s">
        <v>3497</v>
      </c>
      <c r="C1021" s="323"/>
      <c r="D1021" s="323"/>
      <c r="E1021" s="324" t="e">
        <f aca="false">общ.калькуляция!h1020</f>
        <v>#NAME?</v>
      </c>
      <c r="F1021" s="324"/>
      <c r="G1021" s="324"/>
      <c r="H1021" s="324" t="e">
        <f aca="false">общ.калькуляция!j1020</f>
        <v>#NAME?</v>
      </c>
      <c r="I1021" s="324"/>
      <c r="J1021" s="324"/>
      <c r="K1021" s="324" t="e">
        <f aca="false">общ.калькуляция!m1020</f>
        <v>#NAME?</v>
      </c>
      <c r="L1021" s="324"/>
      <c r="M1021" s="324"/>
      <c r="N1021" s="324" t="e">
        <f aca="false">E1021+H1021+K1021</f>
        <v>#NAME?</v>
      </c>
    </row>
    <row r="1022" customFormat="false" ht="15" hidden="false" customHeight="true" outlineLevel="0" collapsed="false">
      <c r="A1022" s="28" t="s">
        <v>1655</v>
      </c>
      <c r="B1022" s="80" t="s">
        <v>3568</v>
      </c>
      <c r="C1022" s="323"/>
      <c r="D1022" s="323"/>
      <c r="E1022" s="324" t="e">
        <f aca="false">общ.калькуляция!h1021</f>
        <v>#NAME?</v>
      </c>
      <c r="F1022" s="324"/>
      <c r="G1022" s="324"/>
      <c r="H1022" s="324" t="e">
        <f aca="false">общ.калькуляция!j1021</f>
        <v>#NAME?</v>
      </c>
      <c r="I1022" s="324"/>
      <c r="J1022" s="324"/>
      <c r="K1022" s="324" t="e">
        <f aca="false">общ.калькуляция!m1021</f>
        <v>#NAME?</v>
      </c>
      <c r="L1022" s="324"/>
      <c r="M1022" s="324"/>
      <c r="N1022" s="324" t="e">
        <f aca="false">E1022+H1022+K1022</f>
        <v>#NAME?</v>
      </c>
    </row>
    <row r="1023" customFormat="false" ht="15" hidden="false" customHeight="true" outlineLevel="0" collapsed="false">
      <c r="A1023" s="28" t="s">
        <v>1656</v>
      </c>
      <c r="B1023" s="80" t="s">
        <v>3463</v>
      </c>
      <c r="C1023" s="323"/>
      <c r="D1023" s="323"/>
      <c r="E1023" s="324" t="e">
        <f aca="false">общ.калькуляция!h1022</f>
        <v>#NAME?</v>
      </c>
      <c r="F1023" s="324"/>
      <c r="G1023" s="324"/>
      <c r="H1023" s="324" t="e">
        <f aca="false">общ.калькуляция!j1022</f>
        <v>#NAME?</v>
      </c>
      <c r="I1023" s="324"/>
      <c r="J1023" s="324"/>
      <c r="K1023" s="324" t="e">
        <f aca="false">общ.калькуляция!m1022</f>
        <v>#NAME?</v>
      </c>
      <c r="L1023" s="324"/>
      <c r="M1023" s="324"/>
      <c r="N1023" s="324" t="e">
        <f aca="false">E1023+H1023+K1023</f>
        <v>#NAME?</v>
      </c>
    </row>
    <row r="1024" customFormat="false" ht="15" hidden="false" customHeight="true" outlineLevel="0" collapsed="false">
      <c r="A1024" s="28" t="s">
        <v>1657</v>
      </c>
      <c r="B1024" s="80" t="s">
        <v>3466</v>
      </c>
      <c r="C1024" s="323"/>
      <c r="D1024" s="323"/>
      <c r="E1024" s="324" t="e">
        <f aca="false">общ.калькуляция!h1023</f>
        <v>#NAME?</v>
      </c>
      <c r="F1024" s="324"/>
      <c r="G1024" s="324"/>
      <c r="H1024" s="324" t="e">
        <f aca="false">общ.калькуляция!j1023</f>
        <v>#NAME?</v>
      </c>
      <c r="I1024" s="324"/>
      <c r="J1024" s="324"/>
      <c r="K1024" s="324" t="e">
        <f aca="false">общ.калькуляция!m1023</f>
        <v>#NAME?</v>
      </c>
      <c r="L1024" s="324"/>
      <c r="M1024" s="324"/>
      <c r="N1024" s="324" t="e">
        <f aca="false">E1024+H1024+K1024</f>
        <v>#NAME?</v>
      </c>
    </row>
    <row r="1025" customFormat="false" ht="15" hidden="false" customHeight="true" outlineLevel="0" collapsed="false">
      <c r="A1025" s="28" t="s">
        <v>1658</v>
      </c>
      <c r="B1025" s="81" t="s">
        <v>3486</v>
      </c>
      <c r="C1025" s="323"/>
      <c r="D1025" s="323"/>
      <c r="E1025" s="324" t="e">
        <f aca="false">общ.калькуляция!h1024</f>
        <v>#NAME?</v>
      </c>
      <c r="F1025" s="324"/>
      <c r="G1025" s="324"/>
      <c r="H1025" s="324" t="e">
        <f aca="false">общ.калькуляция!j1024</f>
        <v>#NAME?</v>
      </c>
      <c r="I1025" s="324"/>
      <c r="J1025" s="324"/>
      <c r="K1025" s="324" t="e">
        <f aca="false">общ.калькуляция!m1024</f>
        <v>#NAME?</v>
      </c>
      <c r="L1025" s="324"/>
      <c r="M1025" s="324"/>
      <c r="N1025" s="324" t="e">
        <f aca="false">E1025+H1025+K1025</f>
        <v>#NAME?</v>
      </c>
    </row>
    <row r="1026" customFormat="false" ht="15" hidden="false" customHeight="true" outlineLevel="0" collapsed="false">
      <c r="A1026" s="28" t="s">
        <v>1659</v>
      </c>
      <c r="B1026" s="81" t="s">
        <v>3560</v>
      </c>
      <c r="C1026" s="323"/>
      <c r="D1026" s="323"/>
      <c r="E1026" s="324" t="e">
        <f aca="false">общ.калькуляция!h1025</f>
        <v>#NAME?</v>
      </c>
      <c r="F1026" s="324"/>
      <c r="G1026" s="324"/>
      <c r="H1026" s="324" t="e">
        <f aca="false">общ.калькуляция!j1025</f>
        <v>#NAME?</v>
      </c>
      <c r="I1026" s="324"/>
      <c r="J1026" s="324"/>
      <c r="K1026" s="324" t="e">
        <f aca="false">общ.калькуляция!m1025</f>
        <v>#NAME?</v>
      </c>
      <c r="L1026" s="324"/>
      <c r="M1026" s="324"/>
      <c r="N1026" s="324" t="e">
        <f aca="false">E1026+H1026+K1026</f>
        <v>#NAME?</v>
      </c>
    </row>
    <row r="1027" customFormat="false" ht="15" hidden="false" customHeight="true" outlineLevel="0" collapsed="false">
      <c r="A1027" s="28" t="s">
        <v>1660</v>
      </c>
      <c r="B1027" s="80" t="s">
        <v>3569</v>
      </c>
      <c r="C1027" s="323"/>
      <c r="D1027" s="323"/>
      <c r="E1027" s="324" t="e">
        <f aca="false">общ.калькуляция!h1026</f>
        <v>#NAME?</v>
      </c>
      <c r="F1027" s="324"/>
      <c r="G1027" s="324"/>
      <c r="H1027" s="324" t="e">
        <f aca="false">общ.калькуляция!j1026</f>
        <v>#NAME?</v>
      </c>
      <c r="I1027" s="324"/>
      <c r="J1027" s="324"/>
      <c r="K1027" s="324" t="e">
        <f aca="false">общ.калькуляция!m1026</f>
        <v>#NAME?</v>
      </c>
      <c r="L1027" s="324"/>
      <c r="M1027" s="324"/>
      <c r="N1027" s="324" t="e">
        <f aca="false">E1027+H1027+K1027</f>
        <v>#NAME?</v>
      </c>
    </row>
    <row r="1028" customFormat="false" ht="30" hidden="false" customHeight="true" outlineLevel="0" collapsed="false">
      <c r="A1028" s="28" t="s">
        <v>1662</v>
      </c>
      <c r="B1028" s="80" t="s">
        <v>3523</v>
      </c>
      <c r="C1028" s="323"/>
      <c r="D1028" s="323"/>
      <c r="E1028" s="324" t="e">
        <f aca="false">общ.калькуляция!h1027</f>
        <v>#NAME?</v>
      </c>
      <c r="F1028" s="324"/>
      <c r="G1028" s="324"/>
      <c r="H1028" s="324" t="e">
        <f aca="false">общ.калькуляция!j1027</f>
        <v>#NAME?</v>
      </c>
      <c r="I1028" s="324"/>
      <c r="J1028" s="324"/>
      <c r="K1028" s="324" t="e">
        <f aca="false">общ.калькуляция!m1027</f>
        <v>#NAME?</v>
      </c>
      <c r="L1028" s="324"/>
      <c r="M1028" s="324"/>
      <c r="N1028" s="324" t="e">
        <f aca="false">E1028+H1028+K1028</f>
        <v>#NAME?</v>
      </c>
    </row>
    <row r="1029" customFormat="false" ht="42.75" hidden="false" customHeight="false" outlineLevel="0" collapsed="false">
      <c r="A1029" s="15" t="s">
        <v>1663</v>
      </c>
      <c r="B1029" s="348" t="s">
        <v>3570</v>
      </c>
      <c r="C1029" s="321"/>
      <c r="D1029" s="321"/>
      <c r="E1029" s="329"/>
      <c r="F1029" s="329"/>
      <c r="G1029" s="329"/>
      <c r="H1029" s="329"/>
      <c r="I1029" s="329"/>
      <c r="J1029" s="329"/>
      <c r="K1029" s="329"/>
      <c r="L1029" s="329"/>
      <c r="M1029" s="329"/>
      <c r="N1029" s="329"/>
    </row>
    <row r="1030" customFormat="false" ht="15" hidden="false" customHeight="true" outlineLevel="0" collapsed="false">
      <c r="A1030" s="28" t="s">
        <v>1665</v>
      </c>
      <c r="B1030" s="80" t="s">
        <v>3571</v>
      </c>
      <c r="C1030" s="323"/>
      <c r="D1030" s="323"/>
      <c r="E1030" s="324" t="e">
        <f aca="false">общ.калькуляция!h1029</f>
        <v>#NAME?</v>
      </c>
      <c r="F1030" s="324"/>
      <c r="G1030" s="324"/>
      <c r="H1030" s="324" t="e">
        <f aca="false">общ.калькуляция!j1029</f>
        <v>#NAME?</v>
      </c>
      <c r="I1030" s="324"/>
      <c r="J1030" s="324"/>
      <c r="K1030" s="324" t="e">
        <f aca="false">общ.калькуляция!m1029</f>
        <v>#NAME?</v>
      </c>
      <c r="L1030" s="324"/>
      <c r="M1030" s="324"/>
      <c r="N1030" s="324" t="e">
        <f aca="false">E1030+H1030+K1030</f>
        <v>#NAME?</v>
      </c>
    </row>
    <row r="1031" customFormat="false" ht="15" hidden="false" customHeight="true" outlineLevel="0" collapsed="false">
      <c r="A1031" s="28" t="s">
        <v>1666</v>
      </c>
      <c r="B1031" s="80" t="s">
        <v>3572</v>
      </c>
      <c r="C1031" s="323"/>
      <c r="D1031" s="323"/>
      <c r="E1031" s="324" t="e">
        <f aca="false">общ.калькуляция!h1030</f>
        <v>#NAME?</v>
      </c>
      <c r="F1031" s="324"/>
      <c r="G1031" s="324"/>
      <c r="H1031" s="324" t="e">
        <f aca="false">общ.калькуляция!j1030</f>
        <v>#NAME?</v>
      </c>
      <c r="I1031" s="324"/>
      <c r="J1031" s="324"/>
      <c r="K1031" s="324" t="e">
        <f aca="false">общ.калькуляция!m1030</f>
        <v>#NAME?</v>
      </c>
      <c r="L1031" s="324"/>
      <c r="M1031" s="324"/>
      <c r="N1031" s="324" t="e">
        <f aca="false">E1031+H1031+K1031</f>
        <v>#NAME?</v>
      </c>
    </row>
    <row r="1032" customFormat="false" ht="15" hidden="false" customHeight="true" outlineLevel="0" collapsed="false">
      <c r="A1032" s="28" t="s">
        <v>1667</v>
      </c>
      <c r="B1032" s="80" t="s">
        <v>3573</v>
      </c>
      <c r="C1032" s="323"/>
      <c r="D1032" s="323"/>
      <c r="E1032" s="324" t="e">
        <f aca="false">общ.калькуляция!h1031</f>
        <v>#NAME?</v>
      </c>
      <c r="F1032" s="324"/>
      <c r="G1032" s="324"/>
      <c r="H1032" s="324" t="e">
        <f aca="false">общ.калькуляция!j1031</f>
        <v>#NAME?</v>
      </c>
      <c r="I1032" s="324"/>
      <c r="J1032" s="324"/>
      <c r="K1032" s="324" t="e">
        <f aca="false">общ.калькуляция!m1031</f>
        <v>#NAME?</v>
      </c>
      <c r="L1032" s="324"/>
      <c r="M1032" s="324"/>
      <c r="N1032" s="324" t="e">
        <f aca="false">E1032+H1032+K1032</f>
        <v>#NAME?</v>
      </c>
    </row>
    <row r="1033" customFormat="false" ht="15" hidden="false" customHeight="true" outlineLevel="0" collapsed="false">
      <c r="A1033" s="28" t="s">
        <v>1669</v>
      </c>
      <c r="B1033" s="80" t="s">
        <v>3574</v>
      </c>
      <c r="C1033" s="323"/>
      <c r="D1033" s="323"/>
      <c r="E1033" s="324" t="e">
        <f aca="false">общ.калькуляция!h1032</f>
        <v>#NAME?</v>
      </c>
      <c r="F1033" s="324"/>
      <c r="G1033" s="324"/>
      <c r="H1033" s="324" t="e">
        <f aca="false">общ.калькуляция!j1032</f>
        <v>#NAME?</v>
      </c>
      <c r="I1033" s="324"/>
      <c r="J1033" s="324"/>
      <c r="K1033" s="324" t="e">
        <f aca="false">общ.калькуляция!m1032</f>
        <v>#NAME?</v>
      </c>
      <c r="L1033" s="324"/>
      <c r="M1033" s="324"/>
      <c r="N1033" s="324" t="e">
        <f aca="false">E1033+H1033+K1033</f>
        <v>#NAME?</v>
      </c>
    </row>
    <row r="1034" customFormat="false" ht="15" hidden="false" customHeight="true" outlineLevel="0" collapsed="false">
      <c r="A1034" s="28" t="s">
        <v>1671</v>
      </c>
      <c r="B1034" s="80" t="s">
        <v>3575</v>
      </c>
      <c r="C1034" s="323"/>
      <c r="D1034" s="323"/>
      <c r="E1034" s="324" t="e">
        <f aca="false">общ.калькуляция!h1033</f>
        <v>#NAME?</v>
      </c>
      <c r="F1034" s="324"/>
      <c r="G1034" s="324"/>
      <c r="H1034" s="324" t="e">
        <f aca="false">общ.калькуляция!j1033</f>
        <v>#NAME?</v>
      </c>
      <c r="I1034" s="324"/>
      <c r="J1034" s="324"/>
      <c r="K1034" s="324" t="e">
        <f aca="false">общ.калькуляция!m1033</f>
        <v>#NAME?</v>
      </c>
      <c r="L1034" s="324"/>
      <c r="M1034" s="324"/>
      <c r="N1034" s="324" t="e">
        <f aca="false">E1034+H1034+K1034</f>
        <v>#NAME?</v>
      </c>
    </row>
    <row r="1035" customFormat="false" ht="15" hidden="false" customHeight="true" outlineLevel="0" collapsed="false">
      <c r="A1035" s="28" t="s">
        <v>1673</v>
      </c>
      <c r="B1035" s="80" t="s">
        <v>3576</v>
      </c>
      <c r="C1035" s="323"/>
      <c r="D1035" s="323"/>
      <c r="E1035" s="324" t="e">
        <f aca="false">общ.калькуляция!h1034</f>
        <v>#NAME?</v>
      </c>
      <c r="F1035" s="324"/>
      <c r="G1035" s="324"/>
      <c r="H1035" s="324" t="e">
        <f aca="false">общ.калькуляция!j1034</f>
        <v>#NAME?</v>
      </c>
      <c r="I1035" s="324"/>
      <c r="J1035" s="324"/>
      <c r="K1035" s="324" t="e">
        <f aca="false">общ.калькуляция!m1034</f>
        <v>#NAME?</v>
      </c>
      <c r="L1035" s="324"/>
      <c r="M1035" s="324"/>
      <c r="N1035" s="324" t="e">
        <f aca="false">E1035+H1035+K1035</f>
        <v>#NAME?</v>
      </c>
    </row>
    <row r="1036" customFormat="false" ht="15" hidden="false" customHeight="true" outlineLevel="0" collapsed="false">
      <c r="A1036" s="28" t="s">
        <v>1675</v>
      </c>
      <c r="B1036" s="80" t="s">
        <v>3577</v>
      </c>
      <c r="C1036" s="323"/>
      <c r="D1036" s="323"/>
      <c r="E1036" s="324" t="e">
        <f aca="false">общ.калькуляция!h1035</f>
        <v>#NAME?</v>
      </c>
      <c r="F1036" s="324"/>
      <c r="G1036" s="324"/>
      <c r="H1036" s="324" t="e">
        <f aca="false">общ.калькуляция!j1035</f>
        <v>#NAME?</v>
      </c>
      <c r="I1036" s="324"/>
      <c r="J1036" s="324"/>
      <c r="K1036" s="324" t="e">
        <f aca="false">общ.калькуляция!m1035</f>
        <v>#NAME?</v>
      </c>
      <c r="L1036" s="324"/>
      <c r="M1036" s="324"/>
      <c r="N1036" s="324" t="e">
        <f aca="false">E1036+H1036+K1036</f>
        <v>#NAME?</v>
      </c>
    </row>
    <row r="1037" customFormat="false" ht="15" hidden="false" customHeight="true" outlineLevel="0" collapsed="false">
      <c r="A1037" s="28" t="s">
        <v>1677</v>
      </c>
      <c r="B1037" s="80" t="s">
        <v>3578</v>
      </c>
      <c r="C1037" s="323"/>
      <c r="D1037" s="323"/>
      <c r="E1037" s="324" t="e">
        <f aca="false">общ.калькуляция!h1036</f>
        <v>#NAME?</v>
      </c>
      <c r="F1037" s="324"/>
      <c r="G1037" s="324"/>
      <c r="H1037" s="324" t="e">
        <f aca="false">общ.калькуляция!j1036</f>
        <v>#NAME?</v>
      </c>
      <c r="I1037" s="324"/>
      <c r="J1037" s="324"/>
      <c r="K1037" s="324" t="e">
        <f aca="false">общ.калькуляция!m1036</f>
        <v>#NAME?</v>
      </c>
      <c r="L1037" s="324"/>
      <c r="M1037" s="324"/>
      <c r="N1037" s="324" t="e">
        <f aca="false">E1037+H1037+K1037</f>
        <v>#NAME?</v>
      </c>
    </row>
    <row r="1038" customFormat="false" ht="15" hidden="false" customHeight="true" outlineLevel="0" collapsed="false">
      <c r="A1038" s="28" t="s">
        <v>1678</v>
      </c>
      <c r="B1038" s="80" t="s">
        <v>3533</v>
      </c>
      <c r="C1038" s="323"/>
      <c r="D1038" s="323"/>
      <c r="E1038" s="324" t="e">
        <f aca="false">общ.калькуляция!h1037</f>
        <v>#NAME?</v>
      </c>
      <c r="F1038" s="324"/>
      <c r="G1038" s="324"/>
      <c r="H1038" s="324" t="e">
        <f aca="false">общ.калькуляция!j1037</f>
        <v>#NAME?</v>
      </c>
      <c r="I1038" s="324"/>
      <c r="J1038" s="324"/>
      <c r="K1038" s="324" t="e">
        <f aca="false">общ.калькуляция!m1037</f>
        <v>#NAME?</v>
      </c>
      <c r="L1038" s="324"/>
      <c r="M1038" s="324"/>
      <c r="N1038" s="324" t="e">
        <f aca="false">E1038+H1038+K1038</f>
        <v>#NAME?</v>
      </c>
    </row>
    <row r="1039" customFormat="false" ht="15" hidden="false" customHeight="true" outlineLevel="0" collapsed="false">
      <c r="A1039" s="28" t="s">
        <v>1679</v>
      </c>
      <c r="B1039" s="80" t="s">
        <v>3579</v>
      </c>
      <c r="C1039" s="323"/>
      <c r="D1039" s="323"/>
      <c r="E1039" s="324" t="e">
        <f aca="false">общ.калькуляция!h1038</f>
        <v>#NAME?</v>
      </c>
      <c r="F1039" s="324"/>
      <c r="G1039" s="324"/>
      <c r="H1039" s="324" t="e">
        <f aca="false">общ.калькуляция!j1038</f>
        <v>#NAME?</v>
      </c>
      <c r="I1039" s="324"/>
      <c r="J1039" s="324"/>
      <c r="K1039" s="324" t="e">
        <f aca="false">общ.калькуляция!m1038</f>
        <v>#NAME?</v>
      </c>
      <c r="L1039" s="324"/>
      <c r="M1039" s="324"/>
      <c r="N1039" s="324" t="e">
        <f aca="false">E1039+H1039+K1039</f>
        <v>#NAME?</v>
      </c>
    </row>
    <row r="1040" customFormat="false" ht="15" hidden="false" customHeight="true" outlineLevel="0" collapsed="false">
      <c r="A1040" s="28" t="s">
        <v>1681</v>
      </c>
      <c r="B1040" s="81" t="s">
        <v>3488</v>
      </c>
      <c r="C1040" s="323"/>
      <c r="D1040" s="323"/>
      <c r="E1040" s="324" t="e">
        <f aca="false">общ.калькуляция!h1039</f>
        <v>#NAME?</v>
      </c>
      <c r="F1040" s="324"/>
      <c r="G1040" s="324"/>
      <c r="H1040" s="324" t="e">
        <f aca="false">общ.калькуляция!j1039</f>
        <v>#NAME?</v>
      </c>
      <c r="I1040" s="324"/>
      <c r="J1040" s="324"/>
      <c r="K1040" s="324" t="e">
        <f aca="false">общ.калькуляция!m1039</f>
        <v>#NAME?</v>
      </c>
      <c r="L1040" s="324"/>
      <c r="M1040" s="324"/>
      <c r="N1040" s="324" t="e">
        <f aca="false">E1040+H1040+K1040</f>
        <v>#NAME?</v>
      </c>
    </row>
    <row r="1041" customFormat="false" ht="15" hidden="false" customHeight="false" outlineLevel="0" collapsed="false">
      <c r="A1041" s="15" t="s">
        <v>1682</v>
      </c>
      <c r="B1041" s="84" t="s">
        <v>3580</v>
      </c>
      <c r="C1041" s="321"/>
      <c r="D1041" s="321"/>
      <c r="E1041" s="329"/>
      <c r="F1041" s="329"/>
      <c r="G1041" s="329"/>
      <c r="H1041" s="329"/>
      <c r="I1041" s="329"/>
      <c r="J1041" s="329"/>
      <c r="K1041" s="329"/>
      <c r="L1041" s="329"/>
      <c r="M1041" s="329"/>
      <c r="N1041" s="329"/>
    </row>
    <row r="1042" customFormat="false" ht="15" hidden="false" customHeight="true" outlineLevel="0" collapsed="false">
      <c r="A1042" s="28" t="s">
        <v>1684</v>
      </c>
      <c r="B1042" s="80" t="s">
        <v>3581</v>
      </c>
      <c r="C1042" s="323"/>
      <c r="D1042" s="323"/>
      <c r="E1042" s="324" t="e">
        <f aca="false">общ.калькуляция!h1041</f>
        <v>#NAME?</v>
      </c>
      <c r="F1042" s="324"/>
      <c r="G1042" s="324"/>
      <c r="H1042" s="324" t="e">
        <f aca="false">общ.калькуляция!j1041</f>
        <v>#NAME?</v>
      </c>
      <c r="I1042" s="324"/>
      <c r="J1042" s="324"/>
      <c r="K1042" s="324" t="e">
        <f aca="false">общ.калькуляция!m1041</f>
        <v>#NAME?</v>
      </c>
      <c r="L1042" s="324"/>
      <c r="M1042" s="324"/>
      <c r="N1042" s="324" t="e">
        <f aca="false">E1042+H1042+K1042</f>
        <v>#NAME?</v>
      </c>
    </row>
    <row r="1043" customFormat="false" ht="15" hidden="false" customHeight="true" outlineLevel="0" collapsed="false">
      <c r="A1043" s="28" t="s">
        <v>1686</v>
      </c>
      <c r="B1043" s="80" t="s">
        <v>3582</v>
      </c>
      <c r="C1043" s="323"/>
      <c r="D1043" s="323"/>
      <c r="E1043" s="324" t="e">
        <f aca="false">общ.калькуляция!h1042</f>
        <v>#NAME?</v>
      </c>
      <c r="F1043" s="324"/>
      <c r="G1043" s="324"/>
      <c r="H1043" s="324" t="e">
        <f aca="false">общ.калькуляция!j1042</f>
        <v>#NAME?</v>
      </c>
      <c r="I1043" s="324"/>
      <c r="J1043" s="324"/>
      <c r="K1043" s="324" t="e">
        <f aca="false">общ.калькуляция!m1042</f>
        <v>#NAME?</v>
      </c>
      <c r="L1043" s="324"/>
      <c r="M1043" s="324"/>
      <c r="N1043" s="324" t="e">
        <f aca="false">E1043+H1043+K1043</f>
        <v>#NAME?</v>
      </c>
    </row>
    <row r="1044" customFormat="false" ht="15" hidden="false" customHeight="false" outlineLevel="0" collapsed="false">
      <c r="A1044" s="343" t="s">
        <v>1688</v>
      </c>
      <c r="B1044" s="318" t="s">
        <v>3583</v>
      </c>
      <c r="C1044" s="319"/>
      <c r="D1044" s="319"/>
      <c r="E1044" s="344"/>
      <c r="F1044" s="344"/>
      <c r="G1044" s="344"/>
      <c r="H1044" s="344"/>
      <c r="I1044" s="344"/>
      <c r="J1044" s="344"/>
      <c r="K1044" s="344"/>
      <c r="L1044" s="344"/>
      <c r="M1044" s="344"/>
      <c r="N1044" s="344"/>
    </row>
    <row r="1045" customFormat="false" ht="42.75" hidden="false" customHeight="false" outlineLevel="0" collapsed="false">
      <c r="A1045" s="350" t="s">
        <v>1690</v>
      </c>
      <c r="B1045" s="54" t="s">
        <v>3584</v>
      </c>
      <c r="C1045" s="329"/>
      <c r="D1045" s="329"/>
      <c r="E1045" s="329"/>
      <c r="F1045" s="329"/>
      <c r="G1045" s="329"/>
      <c r="H1045" s="329"/>
      <c r="I1045" s="329"/>
      <c r="J1045" s="329"/>
      <c r="K1045" s="329"/>
      <c r="L1045" s="329"/>
      <c r="M1045" s="329"/>
      <c r="N1045" s="329"/>
    </row>
    <row r="1046" customFormat="false" ht="15" hidden="false" customHeight="false" outlineLevel="0" collapsed="false">
      <c r="A1046" s="327" t="s">
        <v>1692</v>
      </c>
      <c r="B1046" s="40" t="s">
        <v>3585</v>
      </c>
      <c r="C1046" s="324"/>
      <c r="D1046" s="324"/>
      <c r="E1046" s="324" t="e">
        <f aca="false">общ.калькуляция!h1045</f>
        <v>#NAME?</v>
      </c>
      <c r="F1046" s="324"/>
      <c r="G1046" s="324"/>
      <c r="H1046" s="324" t="e">
        <f aca="false">общ.калькуляция!j1045</f>
        <v>#NAME?</v>
      </c>
      <c r="I1046" s="324"/>
      <c r="J1046" s="324"/>
      <c r="K1046" s="324" t="e">
        <f aca="false">общ.калькуляция!m1045</f>
        <v>#NAME?</v>
      </c>
      <c r="L1046" s="324"/>
      <c r="M1046" s="324"/>
      <c r="N1046" s="324" t="e">
        <f aca="false">E1046+H1046+K1046</f>
        <v>#NAME?</v>
      </c>
    </row>
    <row r="1047" customFormat="false" ht="15" hidden="false" customHeight="false" outlineLevel="0" collapsed="false">
      <c r="A1047" s="327" t="s">
        <v>1694</v>
      </c>
      <c r="B1047" s="40" t="s">
        <v>3586</v>
      </c>
      <c r="C1047" s="324"/>
      <c r="D1047" s="324"/>
      <c r="E1047" s="324" t="e">
        <f aca="false">общ.калькуляция!h1046</f>
        <v>#NAME?</v>
      </c>
      <c r="F1047" s="324"/>
      <c r="G1047" s="324"/>
      <c r="H1047" s="324" t="e">
        <f aca="false">общ.калькуляция!j1046</f>
        <v>#NAME?</v>
      </c>
      <c r="I1047" s="324"/>
      <c r="J1047" s="324"/>
      <c r="K1047" s="324" t="e">
        <f aca="false">общ.калькуляция!m1046</f>
        <v>#NAME?</v>
      </c>
      <c r="L1047" s="324"/>
      <c r="M1047" s="324"/>
      <c r="N1047" s="324" t="e">
        <f aca="false">E1047+H1047+K1047</f>
        <v>#NAME?</v>
      </c>
    </row>
    <row r="1048" customFormat="false" ht="42.75" hidden="false" customHeight="false" outlineLevel="0" collapsed="false">
      <c r="A1048" s="350" t="s">
        <v>1696</v>
      </c>
      <c r="B1048" s="88" t="s">
        <v>3587</v>
      </c>
      <c r="C1048" s="329"/>
      <c r="D1048" s="329"/>
      <c r="E1048" s="329"/>
      <c r="F1048" s="329"/>
      <c r="G1048" s="329"/>
      <c r="H1048" s="329"/>
      <c r="I1048" s="329"/>
      <c r="J1048" s="329"/>
      <c r="K1048" s="329"/>
      <c r="L1048" s="329"/>
      <c r="M1048" s="329"/>
      <c r="N1048" s="329"/>
    </row>
    <row r="1049" customFormat="false" ht="30" hidden="false" customHeight="false" outlineLevel="0" collapsed="false">
      <c r="A1049" s="327" t="s">
        <v>1698</v>
      </c>
      <c r="B1049" s="40" t="s">
        <v>3588</v>
      </c>
      <c r="C1049" s="324"/>
      <c r="D1049" s="324"/>
      <c r="E1049" s="324" t="e">
        <f aca="false">общ.калькуляция!h1048</f>
        <v>#NAME?</v>
      </c>
      <c r="F1049" s="324"/>
      <c r="G1049" s="324"/>
      <c r="H1049" s="324" t="e">
        <f aca="false">общ.калькуляция!j1048</f>
        <v>#NAME?</v>
      </c>
      <c r="I1049" s="324"/>
      <c r="J1049" s="324"/>
      <c r="K1049" s="324" t="e">
        <f aca="false">общ.калькуляция!m1048</f>
        <v>#NAME?</v>
      </c>
      <c r="L1049" s="324"/>
      <c r="M1049" s="324"/>
      <c r="N1049" s="324" t="e">
        <f aca="false">E1049+H1049+K1049</f>
        <v>#NAME?</v>
      </c>
    </row>
    <row r="1050" customFormat="false" ht="45" hidden="false" customHeight="false" outlineLevel="0" collapsed="false">
      <c r="A1050" s="327" t="s">
        <v>1700</v>
      </c>
      <c r="B1050" s="40" t="s">
        <v>3589</v>
      </c>
      <c r="C1050" s="324"/>
      <c r="D1050" s="324"/>
      <c r="E1050" s="324" t="e">
        <f aca="false">общ.калькуляция!h1049</f>
        <v>#NAME?</v>
      </c>
      <c r="F1050" s="324"/>
      <c r="G1050" s="324"/>
      <c r="H1050" s="324" t="e">
        <f aca="false">общ.калькуляция!j1049</f>
        <v>#NAME?</v>
      </c>
      <c r="I1050" s="324"/>
      <c r="J1050" s="324"/>
      <c r="K1050" s="324" t="e">
        <f aca="false">общ.калькуляция!m1049</f>
        <v>#NAME?</v>
      </c>
      <c r="L1050" s="324"/>
      <c r="M1050" s="324"/>
      <c r="N1050" s="324" t="e">
        <f aca="false">E1050+H1050+K1050</f>
        <v>#NAME?</v>
      </c>
    </row>
    <row r="1051" customFormat="false" ht="15" hidden="false" customHeight="false" outlineLevel="0" collapsed="false">
      <c r="A1051" s="351" t="s">
        <v>1702</v>
      </c>
      <c r="B1051" s="90" t="s">
        <v>3590</v>
      </c>
      <c r="C1051" s="329"/>
      <c r="D1051" s="329"/>
      <c r="E1051" s="329"/>
      <c r="F1051" s="329"/>
      <c r="G1051" s="329"/>
      <c r="H1051" s="329"/>
      <c r="I1051" s="329"/>
      <c r="J1051" s="329"/>
      <c r="K1051" s="329"/>
      <c r="L1051" s="329"/>
      <c r="M1051" s="329"/>
      <c r="N1051" s="329"/>
    </row>
    <row r="1052" customFormat="false" ht="15" hidden="false" customHeight="false" outlineLevel="0" collapsed="false">
      <c r="A1052" s="327" t="s">
        <v>1704</v>
      </c>
      <c r="B1052" s="40" t="s">
        <v>3591</v>
      </c>
      <c r="C1052" s="324"/>
      <c r="D1052" s="324"/>
      <c r="E1052" s="324" t="e">
        <f aca="false">общ.калькуляция!h1051</f>
        <v>#NAME?</v>
      </c>
      <c r="F1052" s="324"/>
      <c r="G1052" s="324"/>
      <c r="H1052" s="324" t="e">
        <f aca="false">общ.калькуляция!j1051</f>
        <v>#NAME?</v>
      </c>
      <c r="I1052" s="324"/>
      <c r="J1052" s="324"/>
      <c r="K1052" s="324" t="e">
        <f aca="false">общ.калькуляция!m1051</f>
        <v>#NAME?</v>
      </c>
      <c r="L1052" s="324"/>
      <c r="M1052" s="324"/>
      <c r="N1052" s="324" t="e">
        <f aca="false">E1052+H1052+K1052</f>
        <v>#NAME?</v>
      </c>
    </row>
    <row r="1053" customFormat="false" ht="15" hidden="false" customHeight="false" outlineLevel="0" collapsed="false">
      <c r="A1053" s="327" t="s">
        <v>1706</v>
      </c>
      <c r="B1053" s="40" t="s">
        <v>3592</v>
      </c>
      <c r="C1053" s="324"/>
      <c r="D1053" s="324"/>
      <c r="E1053" s="324" t="e">
        <f aca="false">общ.калькуляция!h1052</f>
        <v>#NAME?</v>
      </c>
      <c r="F1053" s="324"/>
      <c r="G1053" s="324"/>
      <c r="H1053" s="324" t="e">
        <f aca="false">общ.калькуляция!j1052</f>
        <v>#NAME?</v>
      </c>
      <c r="I1053" s="324"/>
      <c r="J1053" s="324"/>
      <c r="K1053" s="324" t="e">
        <f aca="false">общ.калькуляция!m1052</f>
        <v>#NAME?</v>
      </c>
      <c r="L1053" s="324"/>
      <c r="M1053" s="324"/>
      <c r="N1053" s="324" t="e">
        <f aca="false">E1053+H1053+K1053</f>
        <v>#NAME?</v>
      </c>
    </row>
    <row r="1054" customFormat="false" ht="28.5" hidden="false" customHeight="false" outlineLevel="0" collapsed="false">
      <c r="A1054" s="350" t="s">
        <v>1708</v>
      </c>
      <c r="B1054" s="88" t="s">
        <v>3593</v>
      </c>
      <c r="C1054" s="329"/>
      <c r="D1054" s="329"/>
      <c r="E1054" s="329"/>
      <c r="F1054" s="329"/>
      <c r="G1054" s="329"/>
      <c r="H1054" s="329"/>
      <c r="I1054" s="329"/>
      <c r="J1054" s="329"/>
      <c r="K1054" s="329"/>
      <c r="L1054" s="329"/>
      <c r="M1054" s="329"/>
      <c r="N1054" s="329"/>
    </row>
    <row r="1055" customFormat="false" ht="15" hidden="false" customHeight="false" outlineLevel="0" collapsed="false">
      <c r="A1055" s="327" t="s">
        <v>1710</v>
      </c>
      <c r="B1055" s="40" t="s">
        <v>3592</v>
      </c>
      <c r="C1055" s="324"/>
      <c r="D1055" s="324"/>
      <c r="E1055" s="324" t="e">
        <f aca="false">общ.калькуляция!h1054</f>
        <v>#NAME?</v>
      </c>
      <c r="F1055" s="324"/>
      <c r="G1055" s="324"/>
      <c r="H1055" s="324" t="e">
        <f aca="false">общ.калькуляция!j1054</f>
        <v>#NAME?</v>
      </c>
      <c r="I1055" s="324"/>
      <c r="J1055" s="324"/>
      <c r="K1055" s="324" t="e">
        <f aca="false">общ.калькуляция!m1054</f>
        <v>#NAME?</v>
      </c>
      <c r="L1055" s="324"/>
      <c r="M1055" s="324"/>
      <c r="N1055" s="324" t="e">
        <f aca="false">E1055+H1055+K1055</f>
        <v>#NAME?</v>
      </c>
    </row>
    <row r="1056" customFormat="false" ht="15" hidden="false" customHeight="false" outlineLevel="0" collapsed="false">
      <c r="A1056" s="327" t="s">
        <v>1711</v>
      </c>
      <c r="B1056" s="40" t="s">
        <v>3594</v>
      </c>
      <c r="C1056" s="324"/>
      <c r="D1056" s="324"/>
      <c r="E1056" s="324" t="e">
        <f aca="false">общ.калькуляция!h1055</f>
        <v>#NAME?</v>
      </c>
      <c r="F1056" s="324"/>
      <c r="G1056" s="324"/>
      <c r="H1056" s="324" t="e">
        <f aca="false">общ.калькуляция!j1055</f>
        <v>#NAME?</v>
      </c>
      <c r="I1056" s="324"/>
      <c r="J1056" s="324"/>
      <c r="K1056" s="324" t="e">
        <f aca="false">общ.калькуляция!m1055</f>
        <v>#NAME?</v>
      </c>
      <c r="L1056" s="324"/>
      <c r="M1056" s="324"/>
      <c r="N1056" s="324" t="e">
        <f aca="false">E1056+H1056+K1056</f>
        <v>#NAME?</v>
      </c>
    </row>
    <row r="1057" customFormat="false" ht="15" hidden="false" customHeight="false" outlineLevel="0" collapsed="false">
      <c r="A1057" s="327" t="s">
        <v>1713</v>
      </c>
      <c r="B1057" s="40" t="s">
        <v>3595</v>
      </c>
      <c r="C1057" s="324"/>
      <c r="D1057" s="324"/>
      <c r="E1057" s="324" t="e">
        <f aca="false">общ.калькуляция!h1056</f>
        <v>#NAME?</v>
      </c>
      <c r="F1057" s="324"/>
      <c r="G1057" s="324"/>
      <c r="H1057" s="324" t="e">
        <f aca="false">общ.калькуляция!j1056</f>
        <v>#NAME?</v>
      </c>
      <c r="I1057" s="324"/>
      <c r="J1057" s="324"/>
      <c r="K1057" s="324" t="e">
        <f aca="false">общ.калькуляция!m1056</f>
        <v>#NAME?</v>
      </c>
      <c r="L1057" s="324"/>
      <c r="M1057" s="324"/>
      <c r="N1057" s="324" t="e">
        <f aca="false">E1057+H1057+K1057</f>
        <v>#NAME?</v>
      </c>
    </row>
    <row r="1058" customFormat="false" ht="15" hidden="false" customHeight="false" outlineLevel="0" collapsed="false">
      <c r="A1058" s="327" t="s">
        <v>1715</v>
      </c>
      <c r="B1058" s="40" t="s">
        <v>3596</v>
      </c>
      <c r="C1058" s="324"/>
      <c r="D1058" s="324"/>
      <c r="E1058" s="324" t="e">
        <f aca="false">общ.калькуляция!h1057</f>
        <v>#NAME?</v>
      </c>
      <c r="F1058" s="324"/>
      <c r="G1058" s="324"/>
      <c r="H1058" s="324" t="e">
        <f aca="false">общ.калькуляция!j1057</f>
        <v>#NAME?</v>
      </c>
      <c r="I1058" s="324"/>
      <c r="J1058" s="324"/>
      <c r="K1058" s="324" t="e">
        <f aca="false">общ.калькуляция!m1057</f>
        <v>#NAME?</v>
      </c>
      <c r="L1058" s="324"/>
      <c r="M1058" s="324"/>
      <c r="N1058" s="324" t="e">
        <f aca="false">E1058+H1058+K1058</f>
        <v>#NAME?</v>
      </c>
    </row>
    <row r="1059" customFormat="false" ht="15" hidden="false" customHeight="false" outlineLevel="0" collapsed="false">
      <c r="A1059" s="327" t="s">
        <v>1717</v>
      </c>
      <c r="B1059" s="40" t="s">
        <v>3597</v>
      </c>
      <c r="C1059" s="324"/>
      <c r="D1059" s="324"/>
      <c r="E1059" s="324" t="e">
        <f aca="false">общ.калькуляция!h1058</f>
        <v>#NAME?</v>
      </c>
      <c r="F1059" s="324"/>
      <c r="G1059" s="324"/>
      <c r="H1059" s="324" t="e">
        <f aca="false">общ.калькуляция!j1058</f>
        <v>#NAME?</v>
      </c>
      <c r="I1059" s="324"/>
      <c r="J1059" s="324"/>
      <c r="K1059" s="324" t="e">
        <f aca="false">общ.калькуляция!m1058</f>
        <v>#NAME?</v>
      </c>
      <c r="L1059" s="324"/>
      <c r="M1059" s="324"/>
      <c r="N1059" s="324" t="e">
        <f aca="false">E1059+H1059+K1059</f>
        <v>#NAME?</v>
      </c>
    </row>
    <row r="1060" customFormat="false" ht="28.5" hidden="false" customHeight="false" outlineLevel="0" collapsed="false">
      <c r="A1060" s="350" t="s">
        <v>1719</v>
      </c>
      <c r="B1060" s="88" t="s">
        <v>3598</v>
      </c>
      <c r="C1060" s="329"/>
      <c r="D1060" s="329"/>
      <c r="E1060" s="329"/>
      <c r="F1060" s="329"/>
      <c r="G1060" s="329"/>
      <c r="H1060" s="329"/>
      <c r="I1060" s="329"/>
      <c r="J1060" s="329"/>
      <c r="K1060" s="329"/>
      <c r="L1060" s="329"/>
      <c r="M1060" s="329"/>
      <c r="N1060" s="329"/>
    </row>
    <row r="1061" customFormat="false" ht="15" hidden="false" customHeight="false" outlineLevel="0" collapsed="false">
      <c r="A1061" s="327" t="s">
        <v>1721</v>
      </c>
      <c r="B1061" s="40" t="s">
        <v>3599</v>
      </c>
      <c r="C1061" s="324"/>
      <c r="D1061" s="324"/>
      <c r="E1061" s="324" t="e">
        <f aca="false">общ.калькуляция!h1060</f>
        <v>#NAME?</v>
      </c>
      <c r="F1061" s="324"/>
      <c r="G1061" s="324"/>
      <c r="H1061" s="324" t="e">
        <f aca="false">общ.калькуляция!j1060</f>
        <v>#NAME?</v>
      </c>
      <c r="I1061" s="324"/>
      <c r="J1061" s="324"/>
      <c r="K1061" s="324" t="e">
        <f aca="false">общ.калькуляция!m1060</f>
        <v>#NAME?</v>
      </c>
      <c r="L1061" s="324"/>
      <c r="M1061" s="324"/>
      <c r="N1061" s="324" t="e">
        <f aca="false">E1061+H1061+K1061</f>
        <v>#NAME?</v>
      </c>
    </row>
    <row r="1062" customFormat="false" ht="15" hidden="false" customHeight="false" outlineLevel="0" collapsed="false">
      <c r="A1062" s="327" t="s">
        <v>1723</v>
      </c>
      <c r="B1062" s="40" t="s">
        <v>3600</v>
      </c>
      <c r="C1062" s="324"/>
      <c r="D1062" s="324"/>
      <c r="E1062" s="324" t="e">
        <f aca="false">общ.калькуляция!h1061</f>
        <v>#NAME?</v>
      </c>
      <c r="F1062" s="324"/>
      <c r="G1062" s="324"/>
      <c r="H1062" s="324" t="e">
        <f aca="false">общ.калькуляция!j1061</f>
        <v>#NAME?</v>
      </c>
      <c r="I1062" s="324"/>
      <c r="J1062" s="324"/>
      <c r="K1062" s="324" t="e">
        <f aca="false">общ.калькуляция!m1061</f>
        <v>#NAME?</v>
      </c>
      <c r="L1062" s="324"/>
      <c r="M1062" s="324"/>
      <c r="N1062" s="324" t="e">
        <f aca="false">E1062+H1062+K1062</f>
        <v>#NAME?</v>
      </c>
    </row>
    <row r="1063" customFormat="false" ht="15" hidden="false" customHeight="false" outlineLevel="0" collapsed="false">
      <c r="A1063" s="327" t="s">
        <v>1725</v>
      </c>
      <c r="B1063" s="40" t="s">
        <v>3601</v>
      </c>
      <c r="C1063" s="324"/>
      <c r="D1063" s="324"/>
      <c r="E1063" s="324" t="e">
        <f aca="false">общ.калькуляция!h1062</f>
        <v>#NAME?</v>
      </c>
      <c r="F1063" s="324"/>
      <c r="G1063" s="324"/>
      <c r="H1063" s="324" t="e">
        <f aca="false">общ.калькуляция!j1062</f>
        <v>#NAME?</v>
      </c>
      <c r="I1063" s="324"/>
      <c r="J1063" s="324"/>
      <c r="K1063" s="324" t="e">
        <f aca="false">общ.калькуляция!m1062</f>
        <v>#NAME?</v>
      </c>
      <c r="L1063" s="324"/>
      <c r="M1063" s="324"/>
      <c r="N1063" s="324" t="e">
        <f aca="false">E1063+H1063+K1063</f>
        <v>#NAME?</v>
      </c>
    </row>
    <row r="1064" customFormat="false" ht="15" hidden="false" customHeight="false" outlineLevel="0" collapsed="false">
      <c r="A1064" s="327" t="s">
        <v>1727</v>
      </c>
      <c r="B1064" s="40" t="s">
        <v>3602</v>
      </c>
      <c r="C1064" s="324"/>
      <c r="D1064" s="324"/>
      <c r="E1064" s="324" t="e">
        <f aca="false">общ.калькуляция!h1063</f>
        <v>#NAME?</v>
      </c>
      <c r="F1064" s="324"/>
      <c r="G1064" s="324"/>
      <c r="H1064" s="324" t="e">
        <f aca="false">общ.калькуляция!j1063</f>
        <v>#NAME?</v>
      </c>
      <c r="I1064" s="324"/>
      <c r="J1064" s="324"/>
      <c r="K1064" s="324" t="e">
        <f aca="false">общ.калькуляция!m1063</f>
        <v>#NAME?</v>
      </c>
      <c r="L1064" s="324"/>
      <c r="M1064" s="324"/>
      <c r="N1064" s="324" t="e">
        <f aca="false">E1064+H1064+K1064</f>
        <v>#NAME?</v>
      </c>
    </row>
    <row r="1065" customFormat="false" ht="15" hidden="false" customHeight="false" outlineLevel="0" collapsed="false">
      <c r="A1065" s="327" t="s">
        <v>1729</v>
      </c>
      <c r="B1065" s="40" t="s">
        <v>3603</v>
      </c>
      <c r="C1065" s="324"/>
      <c r="D1065" s="324"/>
      <c r="E1065" s="324" t="e">
        <f aca="false">общ.калькуляция!h1064</f>
        <v>#NAME?</v>
      </c>
      <c r="F1065" s="324"/>
      <c r="G1065" s="324"/>
      <c r="H1065" s="324" t="e">
        <f aca="false">общ.калькуляция!j1064</f>
        <v>#NAME?</v>
      </c>
      <c r="I1065" s="324"/>
      <c r="J1065" s="324"/>
      <c r="K1065" s="324" t="e">
        <f aca="false">общ.калькуляция!m1064</f>
        <v>#NAME?</v>
      </c>
      <c r="L1065" s="324"/>
      <c r="M1065" s="324"/>
      <c r="N1065" s="324" t="e">
        <f aca="false">E1065+H1065+K1065</f>
        <v>#NAME?</v>
      </c>
    </row>
    <row r="1066" customFormat="false" ht="15" hidden="false" customHeight="false" outlineLevel="0" collapsed="false">
      <c r="A1066" s="327" t="s">
        <v>1731</v>
      </c>
      <c r="B1066" s="40" t="s">
        <v>3604</v>
      </c>
      <c r="C1066" s="324"/>
      <c r="D1066" s="324"/>
      <c r="E1066" s="324" t="e">
        <f aca="false">общ.калькуляция!h1065</f>
        <v>#NAME?</v>
      </c>
      <c r="F1066" s="324"/>
      <c r="G1066" s="324"/>
      <c r="H1066" s="324" t="e">
        <f aca="false">общ.калькуляция!j1065</f>
        <v>#NAME?</v>
      </c>
      <c r="I1066" s="324"/>
      <c r="J1066" s="324"/>
      <c r="K1066" s="324" t="e">
        <f aca="false">общ.калькуляция!m1065</f>
        <v>#NAME?</v>
      </c>
      <c r="L1066" s="324"/>
      <c r="M1066" s="324"/>
      <c r="N1066" s="324" t="e">
        <f aca="false">E1066+H1066+K1066</f>
        <v>#NAME?</v>
      </c>
    </row>
    <row r="1067" customFormat="false" ht="15" hidden="false" customHeight="false" outlineLevel="0" collapsed="false">
      <c r="A1067" s="327" t="s">
        <v>1733</v>
      </c>
      <c r="B1067" s="40" t="s">
        <v>3605</v>
      </c>
      <c r="C1067" s="324"/>
      <c r="D1067" s="324"/>
      <c r="E1067" s="324" t="e">
        <f aca="false">общ.калькуляция!h1066</f>
        <v>#NAME?</v>
      </c>
      <c r="F1067" s="324"/>
      <c r="G1067" s="324"/>
      <c r="H1067" s="324" t="e">
        <f aca="false">общ.калькуляция!j1066</f>
        <v>#NAME?</v>
      </c>
      <c r="I1067" s="324"/>
      <c r="J1067" s="324"/>
      <c r="K1067" s="324" t="e">
        <f aca="false">общ.калькуляция!m1066</f>
        <v>#NAME?</v>
      </c>
      <c r="L1067" s="324"/>
      <c r="M1067" s="324"/>
      <c r="N1067" s="324" t="e">
        <f aca="false">E1067+H1067+K1067</f>
        <v>#NAME?</v>
      </c>
    </row>
    <row r="1068" customFormat="false" ht="30" hidden="false" customHeight="false" outlineLevel="0" collapsed="false">
      <c r="A1068" s="327" t="s">
        <v>1735</v>
      </c>
      <c r="B1068" s="40" t="s">
        <v>3606</v>
      </c>
      <c r="C1068" s="324"/>
      <c r="D1068" s="324"/>
      <c r="E1068" s="324" t="e">
        <f aca="false">общ.калькуляция!h1067</f>
        <v>#NAME?</v>
      </c>
      <c r="F1068" s="324"/>
      <c r="G1068" s="324"/>
      <c r="H1068" s="324" t="e">
        <f aca="false">общ.калькуляция!j1067</f>
        <v>#NAME?</v>
      </c>
      <c r="I1068" s="324"/>
      <c r="J1068" s="324"/>
      <c r="K1068" s="324" t="e">
        <f aca="false">общ.калькуляция!m1067</f>
        <v>#NAME?</v>
      </c>
      <c r="L1068" s="324"/>
      <c r="M1068" s="324"/>
      <c r="N1068" s="324" t="e">
        <f aca="false">E1068+H1068+K1068</f>
        <v>#NAME?</v>
      </c>
    </row>
    <row r="1069" customFormat="false" ht="30" hidden="false" customHeight="false" outlineLevel="0" collapsed="false">
      <c r="A1069" s="327" t="s">
        <v>1737</v>
      </c>
      <c r="B1069" s="40" t="s">
        <v>3607</v>
      </c>
      <c r="C1069" s="324"/>
      <c r="D1069" s="324"/>
      <c r="E1069" s="324" t="e">
        <f aca="false">общ.калькуляция!h1068</f>
        <v>#NAME?</v>
      </c>
      <c r="F1069" s="324"/>
      <c r="G1069" s="324"/>
      <c r="H1069" s="324" t="e">
        <f aca="false">общ.калькуляция!j1068</f>
        <v>#NAME?</v>
      </c>
      <c r="I1069" s="324"/>
      <c r="J1069" s="324"/>
      <c r="K1069" s="324" t="e">
        <f aca="false">общ.калькуляция!m1068</f>
        <v>#NAME?</v>
      </c>
      <c r="L1069" s="324"/>
      <c r="M1069" s="324"/>
      <c r="N1069" s="324" t="e">
        <f aca="false">E1069+H1069+K1069</f>
        <v>#NAME?</v>
      </c>
    </row>
    <row r="1070" customFormat="false" ht="57" hidden="false" customHeight="false" outlineLevel="0" collapsed="false">
      <c r="A1070" s="350" t="s">
        <v>1739</v>
      </c>
      <c r="B1070" s="88" t="s">
        <v>3608</v>
      </c>
      <c r="C1070" s="329"/>
      <c r="D1070" s="329"/>
      <c r="E1070" s="329"/>
      <c r="F1070" s="329"/>
      <c r="G1070" s="329"/>
      <c r="H1070" s="329"/>
      <c r="I1070" s="329"/>
      <c r="J1070" s="329"/>
      <c r="K1070" s="329"/>
      <c r="L1070" s="329"/>
      <c r="M1070" s="329"/>
      <c r="N1070" s="329"/>
    </row>
    <row r="1071" customFormat="false" ht="15" hidden="false" customHeight="false" outlineLevel="0" collapsed="false">
      <c r="A1071" s="327" t="s">
        <v>1741</v>
      </c>
      <c r="B1071" s="40" t="s">
        <v>3609</v>
      </c>
      <c r="C1071" s="324"/>
      <c r="D1071" s="324"/>
      <c r="E1071" s="324" t="e">
        <f aca="false">общ.калькуляция!h1070</f>
        <v>#NAME?</v>
      </c>
      <c r="F1071" s="324"/>
      <c r="G1071" s="324"/>
      <c r="H1071" s="324" t="e">
        <f aca="false">общ.калькуляция!j1070</f>
        <v>#NAME?</v>
      </c>
      <c r="I1071" s="324"/>
      <c r="J1071" s="324"/>
      <c r="K1071" s="324" t="e">
        <f aca="false">общ.калькуляция!m1070</f>
        <v>#NAME?</v>
      </c>
      <c r="L1071" s="324"/>
      <c r="M1071" s="324"/>
      <c r="N1071" s="324" t="e">
        <f aca="false">E1071+H1071+K1071</f>
        <v>#NAME?</v>
      </c>
    </row>
    <row r="1072" customFormat="false" ht="42.75" hidden="false" customHeight="false" outlineLevel="0" collapsed="false">
      <c r="A1072" s="351" t="s">
        <v>1743</v>
      </c>
      <c r="B1072" s="54" t="s">
        <v>3610</v>
      </c>
      <c r="C1072" s="329"/>
      <c r="D1072" s="329"/>
      <c r="E1072" s="329"/>
      <c r="F1072" s="329"/>
      <c r="G1072" s="329"/>
      <c r="H1072" s="329"/>
      <c r="I1072" s="329"/>
      <c r="J1072" s="329"/>
      <c r="K1072" s="329"/>
      <c r="L1072" s="329"/>
      <c r="M1072" s="329"/>
      <c r="N1072" s="329"/>
    </row>
    <row r="1073" customFormat="false" ht="15" hidden="false" customHeight="false" outlineLevel="0" collapsed="false">
      <c r="A1073" s="327" t="s">
        <v>1745</v>
      </c>
      <c r="B1073" s="40" t="s">
        <v>3611</v>
      </c>
      <c r="C1073" s="324"/>
      <c r="D1073" s="324"/>
      <c r="E1073" s="324" t="e">
        <f aca="false">общ.калькуляция!h1072</f>
        <v>#NAME?</v>
      </c>
      <c r="F1073" s="324"/>
      <c r="G1073" s="324"/>
      <c r="H1073" s="324" t="e">
        <f aca="false">общ.калькуляция!j1072</f>
        <v>#NAME?</v>
      </c>
      <c r="I1073" s="324"/>
      <c r="J1073" s="324"/>
      <c r="K1073" s="324" t="e">
        <f aca="false">общ.калькуляция!m1072</f>
        <v>#NAME?</v>
      </c>
      <c r="L1073" s="324"/>
      <c r="M1073" s="324"/>
      <c r="N1073" s="324" t="e">
        <f aca="false">E1073+H1073+K1073</f>
        <v>#NAME?</v>
      </c>
    </row>
    <row r="1074" customFormat="false" ht="15" hidden="false" customHeight="false" outlineLevel="0" collapsed="false">
      <c r="A1074" s="327" t="s">
        <v>1747</v>
      </c>
      <c r="B1074" s="40" t="s">
        <v>3612</v>
      </c>
      <c r="C1074" s="324"/>
      <c r="D1074" s="324"/>
      <c r="E1074" s="324" t="e">
        <f aca="false">общ.калькуляция!h1073</f>
        <v>#NAME?</v>
      </c>
      <c r="F1074" s="324"/>
      <c r="G1074" s="324"/>
      <c r="H1074" s="324" t="e">
        <f aca="false">общ.калькуляция!j1073</f>
        <v>#NAME?</v>
      </c>
      <c r="I1074" s="324"/>
      <c r="J1074" s="324"/>
      <c r="K1074" s="324" t="e">
        <f aca="false">общ.калькуляция!m1073</f>
        <v>#NAME?</v>
      </c>
      <c r="L1074" s="324"/>
      <c r="M1074" s="324"/>
      <c r="N1074" s="324" t="e">
        <f aca="false">E1074+H1074+K1074</f>
        <v>#NAME?</v>
      </c>
    </row>
    <row r="1075" customFormat="false" ht="15" hidden="false" customHeight="false" outlineLevel="0" collapsed="false">
      <c r="A1075" s="351" t="s">
        <v>1749</v>
      </c>
      <c r="B1075" s="54" t="s">
        <v>3613</v>
      </c>
      <c r="C1075" s="329"/>
      <c r="D1075" s="329"/>
      <c r="E1075" s="329"/>
      <c r="F1075" s="329"/>
      <c r="G1075" s="329"/>
      <c r="H1075" s="329"/>
      <c r="I1075" s="329"/>
      <c r="J1075" s="329"/>
      <c r="K1075" s="329"/>
      <c r="L1075" s="329"/>
      <c r="M1075" s="329"/>
      <c r="N1075" s="329"/>
    </row>
    <row r="1076" customFormat="false" ht="30" hidden="false" customHeight="false" outlineLevel="0" collapsed="false">
      <c r="A1076" s="327" t="s">
        <v>1751</v>
      </c>
      <c r="B1076" s="40" t="s">
        <v>3614</v>
      </c>
      <c r="C1076" s="324"/>
      <c r="D1076" s="324"/>
      <c r="E1076" s="324" t="e">
        <f aca="false">общ.калькуляция!h1075</f>
        <v>#NAME?</v>
      </c>
      <c r="F1076" s="324"/>
      <c r="G1076" s="324"/>
      <c r="H1076" s="324" t="e">
        <f aca="false">общ.калькуляция!j1075</f>
        <v>#NAME?</v>
      </c>
      <c r="I1076" s="324"/>
      <c r="J1076" s="324"/>
      <c r="K1076" s="324" t="e">
        <f aca="false">общ.калькуляция!m1075</f>
        <v>#NAME?</v>
      </c>
      <c r="L1076" s="324"/>
      <c r="M1076" s="324"/>
      <c r="N1076" s="324" t="e">
        <f aca="false">E1076+H1076+K1076</f>
        <v>#NAME?</v>
      </c>
    </row>
    <row r="1077" customFormat="false" ht="15" hidden="false" customHeight="false" outlineLevel="0" collapsed="false">
      <c r="A1077" s="327" t="s">
        <v>1753</v>
      </c>
      <c r="B1077" s="40" t="s">
        <v>3592</v>
      </c>
      <c r="C1077" s="324"/>
      <c r="D1077" s="324"/>
      <c r="E1077" s="324" t="e">
        <f aca="false">общ.калькуляция!h1076</f>
        <v>#NAME?</v>
      </c>
      <c r="F1077" s="324"/>
      <c r="G1077" s="324"/>
      <c r="H1077" s="324" t="e">
        <f aca="false">общ.калькуляция!j1076</f>
        <v>#NAME?</v>
      </c>
      <c r="I1077" s="324"/>
      <c r="J1077" s="324"/>
      <c r="K1077" s="324" t="e">
        <f aca="false">общ.калькуляция!m1076</f>
        <v>#NAME?</v>
      </c>
      <c r="L1077" s="324"/>
      <c r="M1077" s="324"/>
      <c r="N1077" s="324" t="e">
        <f aca="false">E1077+H1077+K1077</f>
        <v>#NAME?</v>
      </c>
    </row>
    <row r="1078" customFormat="false" ht="28.5" hidden="false" customHeight="false" outlineLevel="0" collapsed="false">
      <c r="A1078" s="351" t="s">
        <v>1754</v>
      </c>
      <c r="B1078" s="54" t="s">
        <v>3615</v>
      </c>
      <c r="C1078" s="329"/>
      <c r="D1078" s="329"/>
      <c r="E1078" s="329"/>
      <c r="F1078" s="329"/>
      <c r="G1078" s="329"/>
      <c r="H1078" s="329"/>
      <c r="I1078" s="329"/>
      <c r="J1078" s="329"/>
      <c r="K1078" s="329"/>
      <c r="L1078" s="329"/>
      <c r="M1078" s="329"/>
      <c r="N1078" s="329"/>
    </row>
    <row r="1079" customFormat="false" ht="15" hidden="false" customHeight="false" outlineLevel="0" collapsed="false">
      <c r="A1079" s="327" t="s">
        <v>1756</v>
      </c>
      <c r="B1079" s="40" t="s">
        <v>3616</v>
      </c>
      <c r="C1079" s="324"/>
      <c r="D1079" s="324"/>
      <c r="E1079" s="324" t="e">
        <f aca="false">общ.калькуляция!h1078</f>
        <v>#NAME?</v>
      </c>
      <c r="F1079" s="324"/>
      <c r="G1079" s="324"/>
      <c r="H1079" s="324" t="e">
        <f aca="false">общ.калькуляция!j1078</f>
        <v>#NAME?</v>
      </c>
      <c r="I1079" s="324"/>
      <c r="J1079" s="324"/>
      <c r="K1079" s="324" t="e">
        <f aca="false">общ.калькуляция!m1078</f>
        <v>#NAME?</v>
      </c>
      <c r="L1079" s="324"/>
      <c r="M1079" s="324"/>
      <c r="N1079" s="324" t="e">
        <f aca="false">E1079+H1079+K1079</f>
        <v>#NAME?</v>
      </c>
    </row>
    <row r="1080" customFormat="false" ht="15" hidden="false" customHeight="false" outlineLevel="0" collapsed="false">
      <c r="A1080" s="327" t="s">
        <v>1758</v>
      </c>
      <c r="B1080" s="40" t="s">
        <v>3594</v>
      </c>
      <c r="C1080" s="324"/>
      <c r="D1080" s="324"/>
      <c r="E1080" s="324" t="e">
        <f aca="false">общ.калькуляция!h1079</f>
        <v>#NAME?</v>
      </c>
      <c r="F1080" s="324"/>
      <c r="G1080" s="324"/>
      <c r="H1080" s="324" t="e">
        <f aca="false">общ.калькуляция!j1079</f>
        <v>#NAME?</v>
      </c>
      <c r="I1080" s="324"/>
      <c r="J1080" s="324"/>
      <c r="K1080" s="324" t="e">
        <f aca="false">общ.калькуляция!m1079</f>
        <v>#NAME?</v>
      </c>
      <c r="L1080" s="324"/>
      <c r="M1080" s="324"/>
      <c r="N1080" s="324" t="e">
        <f aca="false">E1080+H1080+K1080</f>
        <v>#NAME?</v>
      </c>
    </row>
    <row r="1081" customFormat="false" ht="15" hidden="false" customHeight="false" outlineLevel="0" collapsed="false">
      <c r="A1081" s="327" t="s">
        <v>1759</v>
      </c>
      <c r="B1081" s="40" t="s">
        <v>3595</v>
      </c>
      <c r="C1081" s="324"/>
      <c r="D1081" s="324"/>
      <c r="E1081" s="324" t="e">
        <f aca="false">общ.калькуляция!h1080</f>
        <v>#NAME?</v>
      </c>
      <c r="F1081" s="324"/>
      <c r="G1081" s="324"/>
      <c r="H1081" s="324" t="e">
        <f aca="false">общ.калькуляция!j1080</f>
        <v>#NAME?</v>
      </c>
      <c r="I1081" s="324"/>
      <c r="J1081" s="324"/>
      <c r="K1081" s="324" t="e">
        <f aca="false">общ.калькуляция!m1080</f>
        <v>#NAME?</v>
      </c>
      <c r="L1081" s="324"/>
      <c r="M1081" s="324"/>
      <c r="N1081" s="324" t="e">
        <f aca="false">E1081+H1081+K1081</f>
        <v>#NAME?</v>
      </c>
    </row>
    <row r="1082" customFormat="false" ht="15" hidden="false" customHeight="false" outlineLevel="0" collapsed="false">
      <c r="A1082" s="327" t="s">
        <v>1760</v>
      </c>
      <c r="B1082" s="40" t="s">
        <v>3617</v>
      </c>
      <c r="C1082" s="324"/>
      <c r="D1082" s="324"/>
      <c r="E1082" s="324" t="e">
        <f aca="false">общ.калькуляция!h1081</f>
        <v>#NAME?</v>
      </c>
      <c r="F1082" s="324"/>
      <c r="G1082" s="324"/>
      <c r="H1082" s="324" t="e">
        <f aca="false">общ.калькуляция!j1081</f>
        <v>#NAME?</v>
      </c>
      <c r="I1082" s="324"/>
      <c r="J1082" s="324"/>
      <c r="K1082" s="324" t="e">
        <f aca="false">общ.калькуляция!m1081</f>
        <v>#NAME?</v>
      </c>
      <c r="L1082" s="324"/>
      <c r="M1082" s="324"/>
      <c r="N1082" s="324" t="e">
        <f aca="false">E1082+H1082+K1082</f>
        <v>#NAME?</v>
      </c>
    </row>
    <row r="1083" customFormat="false" ht="15" hidden="false" customHeight="false" outlineLevel="0" collapsed="false">
      <c r="A1083" s="327" t="s">
        <v>1762</v>
      </c>
      <c r="B1083" s="40" t="s">
        <v>3618</v>
      </c>
      <c r="C1083" s="324"/>
      <c r="D1083" s="324"/>
      <c r="E1083" s="324" t="e">
        <f aca="false">общ.калькуляция!h1082</f>
        <v>#NAME?</v>
      </c>
      <c r="F1083" s="324"/>
      <c r="G1083" s="324"/>
      <c r="H1083" s="324" t="e">
        <f aca="false">общ.калькуляция!j1082</f>
        <v>#NAME?</v>
      </c>
      <c r="I1083" s="324"/>
      <c r="J1083" s="324"/>
      <c r="K1083" s="324" t="e">
        <f aca="false">общ.калькуляция!m1082</f>
        <v>#NAME?</v>
      </c>
      <c r="L1083" s="324"/>
      <c r="M1083" s="324"/>
      <c r="N1083" s="324" t="e">
        <f aca="false">E1083+H1083+K1083</f>
        <v>#NAME?</v>
      </c>
    </row>
    <row r="1084" customFormat="false" ht="15" hidden="false" customHeight="false" outlineLevel="0" collapsed="false">
      <c r="A1084" s="327" t="s">
        <v>1764</v>
      </c>
      <c r="B1084" s="40" t="s">
        <v>3619</v>
      </c>
      <c r="C1084" s="324"/>
      <c r="D1084" s="324"/>
      <c r="E1084" s="324" t="e">
        <f aca="false">общ.калькуляция!h1083</f>
        <v>#NAME?</v>
      </c>
      <c r="F1084" s="324"/>
      <c r="G1084" s="324"/>
      <c r="H1084" s="324" t="e">
        <f aca="false">общ.калькуляция!j1083</f>
        <v>#NAME?</v>
      </c>
      <c r="I1084" s="324"/>
      <c r="J1084" s="324"/>
      <c r="K1084" s="324" t="e">
        <f aca="false">общ.калькуляция!m1083</f>
        <v>#NAME?</v>
      </c>
      <c r="L1084" s="324"/>
      <c r="M1084" s="324"/>
      <c r="N1084" s="324" t="e">
        <f aca="false">E1084+H1084+K1084</f>
        <v>#NAME?</v>
      </c>
    </row>
    <row r="1085" customFormat="false" ht="30" hidden="false" customHeight="false" outlineLevel="0" collapsed="false">
      <c r="A1085" s="327" t="s">
        <v>1766</v>
      </c>
      <c r="B1085" s="29" t="s">
        <v>3620</v>
      </c>
      <c r="C1085" s="324"/>
      <c r="D1085" s="324"/>
      <c r="E1085" s="324" t="e">
        <f aca="false">общ.калькуляция!h1084</f>
        <v>#NAME?</v>
      </c>
      <c r="F1085" s="324"/>
      <c r="G1085" s="324"/>
      <c r="H1085" s="324" t="e">
        <f aca="false">общ.калькуляция!j1084</f>
        <v>#NAME?</v>
      </c>
      <c r="I1085" s="324"/>
      <c r="J1085" s="324"/>
      <c r="K1085" s="324" t="e">
        <f aca="false">общ.калькуляция!m1084</f>
        <v>#NAME?</v>
      </c>
      <c r="L1085" s="324"/>
      <c r="M1085" s="324"/>
      <c r="N1085" s="324" t="e">
        <f aca="false">E1085+H1085+K1085</f>
        <v>#NAME?</v>
      </c>
    </row>
    <row r="1086" customFormat="false" ht="15" hidden="false" customHeight="false" outlineLevel="0" collapsed="false">
      <c r="A1086" s="327" t="s">
        <v>1768</v>
      </c>
      <c r="B1086" s="40" t="s">
        <v>3621</v>
      </c>
      <c r="C1086" s="324"/>
      <c r="D1086" s="324"/>
      <c r="E1086" s="324" t="e">
        <f aca="false">общ.калькуляция!h1085</f>
        <v>#NAME?</v>
      </c>
      <c r="F1086" s="324"/>
      <c r="G1086" s="324"/>
      <c r="H1086" s="324" t="e">
        <f aca="false">общ.калькуляция!j1085</f>
        <v>#NAME?</v>
      </c>
      <c r="I1086" s="324"/>
      <c r="J1086" s="324"/>
      <c r="K1086" s="324" t="e">
        <f aca="false">общ.калькуляция!m1085</f>
        <v>#NAME?</v>
      </c>
      <c r="L1086" s="324"/>
      <c r="M1086" s="324"/>
      <c r="N1086" s="324" t="e">
        <f aca="false">E1086+H1086+K1086</f>
        <v>#NAME?</v>
      </c>
    </row>
    <row r="1087" customFormat="false" ht="15" hidden="false" customHeight="false" outlineLevel="0" collapsed="false">
      <c r="A1087" s="327" t="s">
        <v>1770</v>
      </c>
      <c r="B1087" s="40" t="s">
        <v>3622</v>
      </c>
      <c r="C1087" s="324"/>
      <c r="D1087" s="324"/>
      <c r="E1087" s="324" t="e">
        <f aca="false">общ.калькуляция!h1086</f>
        <v>#NAME?</v>
      </c>
      <c r="F1087" s="324"/>
      <c r="G1087" s="324"/>
      <c r="H1087" s="324" t="e">
        <f aca="false">общ.калькуляция!j1086</f>
        <v>#NAME?</v>
      </c>
      <c r="I1087" s="324"/>
      <c r="J1087" s="324"/>
      <c r="K1087" s="324" t="e">
        <f aca="false">общ.калькуляция!m1086</f>
        <v>#NAME?</v>
      </c>
      <c r="L1087" s="324"/>
      <c r="M1087" s="324"/>
      <c r="N1087" s="324" t="e">
        <f aca="false">E1087+H1087+K1087</f>
        <v>#NAME?</v>
      </c>
    </row>
    <row r="1088" customFormat="false" ht="15" hidden="false" customHeight="false" outlineLevel="0" collapsed="false">
      <c r="A1088" s="327" t="s">
        <v>1772</v>
      </c>
      <c r="B1088" s="40" t="s">
        <v>3623</v>
      </c>
      <c r="C1088" s="324"/>
      <c r="D1088" s="324"/>
      <c r="E1088" s="324" t="e">
        <f aca="false">общ.калькуляция!h1087</f>
        <v>#NAME?</v>
      </c>
      <c r="F1088" s="324"/>
      <c r="G1088" s="324"/>
      <c r="H1088" s="324" t="e">
        <f aca="false">общ.калькуляция!j1087</f>
        <v>#NAME?</v>
      </c>
      <c r="I1088" s="324"/>
      <c r="J1088" s="324"/>
      <c r="K1088" s="324" t="e">
        <f aca="false">общ.калькуляция!m1087</f>
        <v>#NAME?</v>
      </c>
      <c r="L1088" s="324"/>
      <c r="M1088" s="324"/>
      <c r="N1088" s="324" t="e">
        <f aca="false">E1088+H1088+K1088</f>
        <v>#NAME?</v>
      </c>
    </row>
    <row r="1089" customFormat="false" ht="15" hidden="false" customHeight="false" outlineLevel="0" collapsed="false">
      <c r="A1089" s="350" t="s">
        <v>1774</v>
      </c>
      <c r="B1089" s="16" t="s">
        <v>3624</v>
      </c>
      <c r="C1089" s="329"/>
      <c r="D1089" s="329"/>
      <c r="E1089" s="329"/>
      <c r="F1089" s="329"/>
      <c r="G1089" s="329"/>
      <c r="H1089" s="329"/>
      <c r="I1089" s="329"/>
      <c r="J1089" s="329"/>
      <c r="K1089" s="329"/>
      <c r="L1089" s="329"/>
      <c r="M1089" s="329"/>
      <c r="N1089" s="329"/>
    </row>
    <row r="1090" s="355" customFormat="true" ht="15" hidden="false" customHeight="false" outlineLevel="0" collapsed="false">
      <c r="A1090" s="352" t="s">
        <v>1776</v>
      </c>
      <c r="B1090" s="353" t="s">
        <v>3625</v>
      </c>
      <c r="C1090" s="354"/>
      <c r="D1090" s="354"/>
      <c r="E1090" s="354" t="e">
        <f aca="false">общ.калькуляция!h1089</f>
        <v>#NAME?</v>
      </c>
      <c r="F1090" s="354"/>
      <c r="G1090" s="354"/>
      <c r="H1090" s="354" t="e">
        <f aca="false">общ.калькуляция!j1089</f>
        <v>#NAME?</v>
      </c>
      <c r="I1090" s="354"/>
      <c r="J1090" s="354"/>
      <c r="K1090" s="354" t="e">
        <f aca="false">общ.калькуляция!m1089</f>
        <v>#NAME?</v>
      </c>
      <c r="L1090" s="354"/>
      <c r="M1090" s="354"/>
      <c r="N1090" s="354" t="e">
        <f aca="false">E1090+H1090+K1090</f>
        <v>#NAME?</v>
      </c>
    </row>
    <row r="1091" customFormat="false" ht="15" hidden="false" customHeight="false" outlineLevel="0" collapsed="false">
      <c r="A1091" s="350" t="s">
        <v>1778</v>
      </c>
      <c r="B1091" s="54" t="s">
        <v>3626</v>
      </c>
      <c r="C1091" s="329"/>
      <c r="D1091" s="329"/>
      <c r="E1091" s="329"/>
      <c r="F1091" s="329"/>
      <c r="G1091" s="329"/>
      <c r="H1091" s="329"/>
      <c r="I1091" s="329"/>
      <c r="J1091" s="329"/>
      <c r="K1091" s="329"/>
      <c r="L1091" s="329"/>
      <c r="M1091" s="329"/>
      <c r="N1091" s="329"/>
    </row>
    <row r="1092" customFormat="false" ht="15" hidden="false" customHeight="false" outlineLevel="0" collapsed="false">
      <c r="A1092" s="327" t="s">
        <v>1780</v>
      </c>
      <c r="B1092" s="40" t="s">
        <v>3627</v>
      </c>
      <c r="C1092" s="324"/>
      <c r="D1092" s="324"/>
      <c r="E1092" s="324" t="e">
        <f aca="false">общ.калькуляция!h1091</f>
        <v>#NAME?</v>
      </c>
      <c r="F1092" s="324"/>
      <c r="G1092" s="324"/>
      <c r="H1092" s="324" t="e">
        <f aca="false">общ.калькуляция!j1091</f>
        <v>#NAME?</v>
      </c>
      <c r="I1092" s="324"/>
      <c r="J1092" s="324"/>
      <c r="K1092" s="324" t="e">
        <f aca="false">общ.калькуляция!m1091</f>
        <v>#NAME?</v>
      </c>
      <c r="L1092" s="324"/>
      <c r="M1092" s="324"/>
      <c r="N1092" s="324" t="e">
        <f aca="false">E1092+H1092+K1092</f>
        <v>#NAME?</v>
      </c>
    </row>
    <row r="1093" s="358" customFormat="true" ht="40.5" hidden="false" customHeight="true" outlineLevel="0" collapsed="false">
      <c r="A1093" s="356" t="s">
        <v>1782</v>
      </c>
      <c r="B1093" s="357" t="s">
        <v>3628</v>
      </c>
      <c r="C1093" s="344"/>
      <c r="D1093" s="344"/>
      <c r="E1093" s="344"/>
      <c r="F1093" s="344"/>
      <c r="G1093" s="344"/>
      <c r="H1093" s="344"/>
      <c r="I1093" s="344"/>
      <c r="J1093" s="344"/>
      <c r="K1093" s="344"/>
      <c r="L1093" s="344"/>
      <c r="M1093" s="344"/>
      <c r="N1093" s="344"/>
    </row>
    <row r="1094" s="358" customFormat="true" ht="18" hidden="false" customHeight="true" outlineLevel="0" collapsed="false">
      <c r="A1094" s="350" t="s">
        <v>1784</v>
      </c>
      <c r="B1094" s="88" t="s">
        <v>3629</v>
      </c>
      <c r="C1094" s="359"/>
      <c r="D1094" s="359"/>
      <c r="E1094" s="359"/>
      <c r="F1094" s="359"/>
      <c r="G1094" s="359"/>
      <c r="H1094" s="359"/>
      <c r="I1094" s="359"/>
      <c r="J1094" s="359"/>
      <c r="K1094" s="359"/>
      <c r="L1094" s="359"/>
      <c r="M1094" s="359"/>
      <c r="N1094" s="359"/>
    </row>
    <row r="1095" s="358" customFormat="true" ht="19.5" hidden="false" customHeight="true" outlineLevel="0" collapsed="false">
      <c r="A1095" s="327" t="s">
        <v>1786</v>
      </c>
      <c r="B1095" s="78" t="s">
        <v>3630</v>
      </c>
      <c r="C1095" s="360"/>
      <c r="D1095" s="360"/>
      <c r="E1095" s="361" t="e">
        <f aca="false">общ.калькуляция!h1094</f>
        <v>#NAME?</v>
      </c>
      <c r="F1095" s="361"/>
      <c r="G1095" s="361"/>
      <c r="H1095" s="361" t="e">
        <f aca="false">общ.калькуляция!j1094</f>
        <v>#NAME?</v>
      </c>
      <c r="I1095" s="361"/>
      <c r="J1095" s="361"/>
      <c r="K1095" s="361" t="e">
        <f aca="false">общ.калькуляция!m1094</f>
        <v>#NAME?</v>
      </c>
      <c r="L1095" s="361"/>
      <c r="M1095" s="361"/>
      <c r="N1095" s="362" t="e">
        <f aca="false">E1095+H1095+K1095</f>
        <v>#NAME?</v>
      </c>
    </row>
    <row r="1096" s="358" customFormat="true" ht="30" hidden="false" customHeight="false" outlineLevel="0" collapsed="false">
      <c r="A1096" s="327" t="s">
        <v>1788</v>
      </c>
      <c r="B1096" s="78" t="s">
        <v>3631</v>
      </c>
      <c r="C1096" s="360"/>
      <c r="D1096" s="360"/>
      <c r="E1096" s="361" t="e">
        <f aca="false">общ.калькуляция!h1095</f>
        <v>#NAME?</v>
      </c>
      <c r="F1096" s="361"/>
      <c r="G1096" s="361"/>
      <c r="H1096" s="361" t="e">
        <f aca="false">общ.калькуляция!j1095</f>
        <v>#NAME?</v>
      </c>
      <c r="I1096" s="361"/>
      <c r="J1096" s="361"/>
      <c r="K1096" s="361" t="e">
        <f aca="false">общ.калькуляция!m1095</f>
        <v>#NAME?</v>
      </c>
      <c r="L1096" s="361"/>
      <c r="M1096" s="361"/>
      <c r="N1096" s="362" t="e">
        <f aca="false">E1096+H1096+K1096</f>
        <v>#NAME?</v>
      </c>
    </row>
    <row r="1097" s="358" customFormat="true" ht="15" hidden="false" customHeight="false" outlineLevel="0" collapsed="false">
      <c r="A1097" s="327" t="s">
        <v>1790</v>
      </c>
      <c r="B1097" s="99" t="s">
        <v>3632</v>
      </c>
      <c r="C1097" s="360"/>
      <c r="D1097" s="360"/>
      <c r="E1097" s="361" t="e">
        <f aca="false">общ.калькуляция!h1096</f>
        <v>#NAME?</v>
      </c>
      <c r="F1097" s="361"/>
      <c r="G1097" s="361"/>
      <c r="H1097" s="361" t="e">
        <f aca="false">общ.калькуляция!j1096</f>
        <v>#NAME?</v>
      </c>
      <c r="I1097" s="361"/>
      <c r="J1097" s="361"/>
      <c r="K1097" s="361" t="e">
        <f aca="false">общ.калькуляция!m1096</f>
        <v>#NAME?</v>
      </c>
      <c r="L1097" s="361"/>
      <c r="M1097" s="361"/>
      <c r="N1097" s="362" t="e">
        <f aca="false">E1097+H1097+K1097</f>
        <v>#NAME?</v>
      </c>
    </row>
    <row r="1098" s="358" customFormat="true" ht="30" hidden="false" customHeight="false" outlineLevel="0" collapsed="false">
      <c r="A1098" s="327" t="s">
        <v>1792</v>
      </c>
      <c r="B1098" s="99" t="s">
        <v>3633</v>
      </c>
      <c r="C1098" s="360"/>
      <c r="D1098" s="360"/>
      <c r="E1098" s="361" t="e">
        <f aca="false">общ.калькуляция!h1097</f>
        <v>#NAME?</v>
      </c>
      <c r="F1098" s="361"/>
      <c r="G1098" s="361"/>
      <c r="H1098" s="361" t="e">
        <f aca="false">общ.калькуляция!j1097</f>
        <v>#NAME?</v>
      </c>
      <c r="I1098" s="361"/>
      <c r="J1098" s="361"/>
      <c r="K1098" s="361" t="e">
        <f aca="false">общ.калькуляция!m1097</f>
        <v>#NAME?</v>
      </c>
      <c r="L1098" s="361"/>
      <c r="M1098" s="361"/>
      <c r="N1098" s="362" t="e">
        <f aca="false">E1098+H1098+K1098</f>
        <v>#NAME?</v>
      </c>
    </row>
    <row r="1099" s="358" customFormat="true" ht="15" hidden="false" customHeight="false" outlineLevel="0" collapsed="false">
      <c r="A1099" s="327" t="s">
        <v>1794</v>
      </c>
      <c r="B1099" s="335" t="s">
        <v>3634</v>
      </c>
      <c r="C1099" s="360"/>
      <c r="D1099" s="360"/>
      <c r="E1099" s="361" t="e">
        <f aca="false">общ.калькуляция!h1098</f>
        <v>#NAME?</v>
      </c>
      <c r="F1099" s="361"/>
      <c r="G1099" s="361"/>
      <c r="H1099" s="361" t="e">
        <f aca="false">общ.калькуляция!j1098</f>
        <v>#NAME?</v>
      </c>
      <c r="I1099" s="361"/>
      <c r="J1099" s="361"/>
      <c r="K1099" s="361" t="e">
        <f aca="false">общ.калькуляция!m1098</f>
        <v>#NAME?</v>
      </c>
      <c r="L1099" s="361"/>
      <c r="M1099" s="361"/>
      <c r="N1099" s="362" t="e">
        <f aca="false">E1099+H1099+K1099</f>
        <v>#NAME?</v>
      </c>
    </row>
    <row r="1100" s="358" customFormat="true" ht="30" hidden="false" customHeight="false" outlineLevel="0" collapsed="false">
      <c r="A1100" s="327" t="s">
        <v>1796</v>
      </c>
      <c r="B1100" s="99" t="s">
        <v>3635</v>
      </c>
      <c r="C1100" s="360"/>
      <c r="D1100" s="360"/>
      <c r="E1100" s="361" t="e">
        <f aca="false">общ.калькуляция!h1099</f>
        <v>#NAME?</v>
      </c>
      <c r="F1100" s="361"/>
      <c r="G1100" s="361"/>
      <c r="H1100" s="361" t="e">
        <f aca="false">общ.калькуляция!j1099</f>
        <v>#NAME?</v>
      </c>
      <c r="I1100" s="361"/>
      <c r="J1100" s="361"/>
      <c r="K1100" s="361" t="e">
        <f aca="false">общ.калькуляция!m1099</f>
        <v>#NAME?</v>
      </c>
      <c r="L1100" s="361"/>
      <c r="M1100" s="361"/>
      <c r="N1100" s="362" t="e">
        <f aca="false">E1100+H1100+K1100</f>
        <v>#NAME?</v>
      </c>
    </row>
    <row r="1101" s="358" customFormat="true" ht="30" hidden="false" customHeight="false" outlineLevel="0" collapsed="false">
      <c r="A1101" s="327" t="s">
        <v>1798</v>
      </c>
      <c r="B1101" s="99" t="s">
        <v>3636</v>
      </c>
      <c r="C1101" s="360"/>
      <c r="D1101" s="360"/>
      <c r="E1101" s="361" t="e">
        <f aca="false">общ.калькуляция!h1100</f>
        <v>#NAME?</v>
      </c>
      <c r="F1101" s="361"/>
      <c r="G1101" s="361"/>
      <c r="H1101" s="361" t="e">
        <f aca="false">общ.калькуляция!j1100</f>
        <v>#NAME?</v>
      </c>
      <c r="I1101" s="361"/>
      <c r="J1101" s="361"/>
      <c r="K1101" s="361" t="e">
        <f aca="false">общ.калькуляция!m1100</f>
        <v>#NAME?</v>
      </c>
      <c r="L1101" s="361"/>
      <c r="M1101" s="361"/>
      <c r="N1101" s="362" t="e">
        <f aca="false">E1101+H1101+K1101</f>
        <v>#NAME?</v>
      </c>
    </row>
    <row r="1102" s="358" customFormat="true" ht="30" hidden="false" customHeight="false" outlineLevel="0" collapsed="false">
      <c r="A1102" s="327" t="s">
        <v>1800</v>
      </c>
      <c r="B1102" s="99" t="s">
        <v>3637</v>
      </c>
      <c r="C1102" s="360"/>
      <c r="D1102" s="360"/>
      <c r="E1102" s="361" t="e">
        <f aca="false">общ.калькуляция!h1101</f>
        <v>#NAME?</v>
      </c>
      <c r="F1102" s="361"/>
      <c r="G1102" s="361"/>
      <c r="H1102" s="361" t="e">
        <f aca="false">общ.калькуляция!j1101</f>
        <v>#NAME?</v>
      </c>
      <c r="I1102" s="361"/>
      <c r="J1102" s="361"/>
      <c r="K1102" s="361" t="e">
        <f aca="false">общ.калькуляция!m1101</f>
        <v>#NAME?</v>
      </c>
      <c r="L1102" s="361"/>
      <c r="M1102" s="361"/>
      <c r="N1102" s="362" t="e">
        <f aca="false">E1102+H1102+K1102</f>
        <v>#NAME?</v>
      </c>
    </row>
    <row r="1103" s="358" customFormat="true" ht="30" hidden="false" customHeight="false" outlineLevel="0" collapsed="false">
      <c r="A1103" s="327" t="s">
        <v>1802</v>
      </c>
      <c r="B1103" s="99" t="s">
        <v>3638</v>
      </c>
      <c r="C1103" s="360"/>
      <c r="D1103" s="360"/>
      <c r="E1103" s="361" t="e">
        <f aca="false">общ.калькуляция!h1102</f>
        <v>#NAME?</v>
      </c>
      <c r="F1103" s="361"/>
      <c r="G1103" s="361"/>
      <c r="H1103" s="361" t="e">
        <f aca="false">общ.калькуляция!j1102</f>
        <v>#NAME?</v>
      </c>
      <c r="I1103" s="361"/>
      <c r="J1103" s="361"/>
      <c r="K1103" s="361" t="e">
        <f aca="false">общ.калькуляция!m1102</f>
        <v>#NAME?</v>
      </c>
      <c r="L1103" s="361"/>
      <c r="M1103" s="361"/>
      <c r="N1103" s="362" t="e">
        <f aca="false">E1103+H1103+K1103</f>
        <v>#NAME?</v>
      </c>
    </row>
    <row r="1104" s="358" customFormat="true" ht="30" hidden="false" customHeight="false" outlineLevel="0" collapsed="false">
      <c r="A1104" s="327" t="s">
        <v>1804</v>
      </c>
      <c r="B1104" s="99" t="s">
        <v>3639</v>
      </c>
      <c r="C1104" s="363"/>
      <c r="D1104" s="363"/>
      <c r="E1104" s="361" t="e">
        <f aca="false">общ.калькуляция!h1103</f>
        <v>#NAME?</v>
      </c>
      <c r="F1104" s="361"/>
      <c r="G1104" s="361"/>
      <c r="H1104" s="361" t="e">
        <f aca="false">общ.калькуляция!j1103</f>
        <v>#NAME?</v>
      </c>
      <c r="I1104" s="361"/>
      <c r="J1104" s="361"/>
      <c r="K1104" s="361" t="e">
        <f aca="false">общ.калькуляция!m1103</f>
        <v>#NAME?</v>
      </c>
      <c r="L1104" s="361"/>
      <c r="M1104" s="361"/>
      <c r="N1104" s="362" t="e">
        <f aca="false">E1104+H1104+K1104</f>
        <v>#NAME?</v>
      </c>
    </row>
    <row r="1105" s="358" customFormat="true" ht="30" hidden="false" customHeight="false" outlineLevel="0" collapsed="false">
      <c r="A1105" s="327" t="s">
        <v>1806</v>
      </c>
      <c r="B1105" s="99" t="s">
        <v>3640</v>
      </c>
      <c r="C1105" s="363"/>
      <c r="D1105" s="363"/>
      <c r="E1105" s="361" t="e">
        <f aca="false">общ.калькуляция!h1104</f>
        <v>#NAME?</v>
      </c>
      <c r="F1105" s="361"/>
      <c r="G1105" s="361"/>
      <c r="H1105" s="361" t="e">
        <f aca="false">общ.калькуляция!j1104</f>
        <v>#NAME?</v>
      </c>
      <c r="I1105" s="361"/>
      <c r="J1105" s="361"/>
      <c r="K1105" s="361" t="e">
        <f aca="false">общ.калькуляция!m1104</f>
        <v>#NAME?</v>
      </c>
      <c r="L1105" s="361"/>
      <c r="M1105" s="361"/>
      <c r="N1105" s="362" t="e">
        <f aca="false">E1105+H1105+K1105</f>
        <v>#NAME?</v>
      </c>
    </row>
    <row r="1106" s="358" customFormat="true" ht="15" hidden="false" customHeight="false" outlineLevel="0" collapsed="false">
      <c r="A1106" s="327" t="s">
        <v>1808</v>
      </c>
      <c r="B1106" s="99" t="s">
        <v>3641</v>
      </c>
      <c r="C1106" s="363"/>
      <c r="D1106" s="363"/>
      <c r="E1106" s="361" t="e">
        <f aca="false">общ.калькуляция!h1105</f>
        <v>#NAME?</v>
      </c>
      <c r="F1106" s="361"/>
      <c r="G1106" s="361"/>
      <c r="H1106" s="361" t="e">
        <f aca="false">общ.калькуляция!j1105</f>
        <v>#NAME?</v>
      </c>
      <c r="I1106" s="361"/>
      <c r="J1106" s="361"/>
      <c r="K1106" s="361" t="e">
        <f aca="false">общ.калькуляция!m1105</f>
        <v>#NAME?</v>
      </c>
      <c r="L1106" s="361"/>
      <c r="M1106" s="361"/>
      <c r="N1106" s="362" t="e">
        <f aca="false">E1106+H1106+K1106</f>
        <v>#NAME?</v>
      </c>
    </row>
    <row r="1107" s="358" customFormat="true" ht="15" hidden="false" customHeight="false" outlineLevel="0" collapsed="false">
      <c r="A1107" s="327" t="s">
        <v>1810</v>
      </c>
      <c r="B1107" s="99" t="s">
        <v>3642</v>
      </c>
      <c r="C1107" s="363"/>
      <c r="D1107" s="363"/>
      <c r="E1107" s="361" t="e">
        <f aca="false">общ.калькуляция!h1106</f>
        <v>#NAME?</v>
      </c>
      <c r="F1107" s="361"/>
      <c r="G1107" s="361"/>
      <c r="H1107" s="361" t="e">
        <f aca="false">общ.калькуляция!j1106</f>
        <v>#NAME?</v>
      </c>
      <c r="I1107" s="361"/>
      <c r="J1107" s="361"/>
      <c r="K1107" s="361" t="e">
        <f aca="false">общ.калькуляция!m1106</f>
        <v>#NAME?</v>
      </c>
      <c r="L1107" s="361"/>
      <c r="M1107" s="361"/>
      <c r="N1107" s="362" t="e">
        <f aca="false">E1107+H1107+K1107</f>
        <v>#NAME?</v>
      </c>
    </row>
    <row r="1108" s="358" customFormat="true" ht="15" hidden="false" customHeight="false" outlineLevel="0" collapsed="false">
      <c r="A1108" s="327" t="s">
        <v>1812</v>
      </c>
      <c r="B1108" s="99" t="s">
        <v>3643</v>
      </c>
      <c r="C1108" s="363"/>
      <c r="D1108" s="363"/>
      <c r="E1108" s="361" t="e">
        <f aca="false">общ.калькуляция!h1107</f>
        <v>#NAME?</v>
      </c>
      <c r="F1108" s="361"/>
      <c r="G1108" s="361"/>
      <c r="H1108" s="361" t="e">
        <f aca="false">общ.калькуляция!j1107</f>
        <v>#NAME?</v>
      </c>
      <c r="I1108" s="361"/>
      <c r="J1108" s="361"/>
      <c r="K1108" s="361" t="e">
        <f aca="false">общ.калькуляция!m1107</f>
        <v>#NAME?</v>
      </c>
      <c r="L1108" s="361"/>
      <c r="M1108" s="361"/>
      <c r="N1108" s="362" t="e">
        <f aca="false">E1108+H1108+K1108</f>
        <v>#NAME?</v>
      </c>
    </row>
    <row r="1109" s="358" customFormat="true" ht="30" hidden="false" customHeight="false" outlineLevel="0" collapsed="false">
      <c r="A1109" s="327" t="s">
        <v>1814</v>
      </c>
      <c r="B1109" s="99" t="s">
        <v>3644</v>
      </c>
      <c r="C1109" s="363"/>
      <c r="D1109" s="363"/>
      <c r="E1109" s="361" t="e">
        <f aca="false">общ.калькуляция!h1108</f>
        <v>#NAME?</v>
      </c>
      <c r="F1109" s="361"/>
      <c r="G1109" s="361"/>
      <c r="H1109" s="361" t="e">
        <f aca="false">общ.калькуляция!j1108</f>
        <v>#NAME?</v>
      </c>
      <c r="I1109" s="361"/>
      <c r="J1109" s="361"/>
      <c r="K1109" s="361" t="e">
        <f aca="false">общ.калькуляция!m1108</f>
        <v>#NAME?</v>
      </c>
      <c r="L1109" s="361"/>
      <c r="M1109" s="361"/>
      <c r="N1109" s="362" t="e">
        <f aca="false">E1109+H1109+K1109</f>
        <v>#NAME?</v>
      </c>
    </row>
    <row r="1110" s="358" customFormat="true" ht="30" hidden="false" customHeight="false" outlineLevel="0" collapsed="false">
      <c r="A1110" s="327" t="s">
        <v>1816</v>
      </c>
      <c r="B1110" s="99" t="s">
        <v>3645</v>
      </c>
      <c r="C1110" s="363"/>
      <c r="D1110" s="363"/>
      <c r="E1110" s="361" t="e">
        <f aca="false">общ.калькуляция!h1109</f>
        <v>#NAME?</v>
      </c>
      <c r="F1110" s="361"/>
      <c r="G1110" s="361"/>
      <c r="H1110" s="361" t="e">
        <f aca="false">общ.калькуляция!j1109</f>
        <v>#NAME?</v>
      </c>
      <c r="I1110" s="361"/>
      <c r="J1110" s="361"/>
      <c r="K1110" s="361" t="e">
        <f aca="false">общ.калькуляция!m1109</f>
        <v>#NAME?</v>
      </c>
      <c r="L1110" s="361"/>
      <c r="M1110" s="361"/>
      <c r="N1110" s="362" t="e">
        <f aca="false">E1110+H1110+K1110</f>
        <v>#NAME?</v>
      </c>
    </row>
    <row r="1111" s="358" customFormat="true" ht="15" hidden="false" customHeight="false" outlineLevel="0" collapsed="false">
      <c r="A1111" s="327" t="s">
        <v>1818</v>
      </c>
      <c r="B1111" s="99" t="s">
        <v>3646</v>
      </c>
      <c r="C1111" s="363"/>
      <c r="D1111" s="363"/>
      <c r="E1111" s="361" t="e">
        <f aca="false">общ.калькуляция!h1110</f>
        <v>#NAME?</v>
      </c>
      <c r="F1111" s="361"/>
      <c r="G1111" s="361"/>
      <c r="H1111" s="361" t="e">
        <f aca="false">общ.калькуляция!j1110</f>
        <v>#NAME?</v>
      </c>
      <c r="I1111" s="361"/>
      <c r="J1111" s="361"/>
      <c r="K1111" s="361" t="e">
        <f aca="false">общ.калькуляция!m1110</f>
        <v>#NAME?</v>
      </c>
      <c r="L1111" s="361"/>
      <c r="M1111" s="361"/>
      <c r="N1111" s="362" t="e">
        <f aca="false">E1111+H1111+K1111</f>
        <v>#NAME?</v>
      </c>
    </row>
    <row r="1112" s="358" customFormat="true" ht="15" hidden="false" customHeight="false" outlineLevel="0" collapsed="false">
      <c r="A1112" s="327" t="s">
        <v>1820</v>
      </c>
      <c r="B1112" s="99" t="s">
        <v>3647</v>
      </c>
      <c r="C1112" s="363"/>
      <c r="D1112" s="363"/>
      <c r="E1112" s="361" t="e">
        <f aca="false">общ.калькуляция!h1111</f>
        <v>#NAME?</v>
      </c>
      <c r="F1112" s="361"/>
      <c r="G1112" s="361"/>
      <c r="H1112" s="361" t="e">
        <f aca="false">общ.калькуляция!j1111</f>
        <v>#NAME?</v>
      </c>
      <c r="I1112" s="361"/>
      <c r="J1112" s="361"/>
      <c r="K1112" s="361" t="e">
        <f aca="false">общ.калькуляция!m1111</f>
        <v>#NAME?</v>
      </c>
      <c r="L1112" s="361"/>
      <c r="M1112" s="361"/>
      <c r="N1112" s="362" t="e">
        <f aca="false">E1112+H1112+K1112</f>
        <v>#NAME?</v>
      </c>
    </row>
    <row r="1113" s="358" customFormat="true" ht="30" hidden="false" customHeight="false" outlineLevel="0" collapsed="false">
      <c r="A1113" s="327" t="s">
        <v>1822</v>
      </c>
      <c r="B1113" s="99" t="s">
        <v>3648</v>
      </c>
      <c r="C1113" s="363"/>
      <c r="D1113" s="363"/>
      <c r="E1113" s="361" t="e">
        <f aca="false">общ.калькуляция!h1112</f>
        <v>#NAME?</v>
      </c>
      <c r="F1113" s="361"/>
      <c r="G1113" s="361"/>
      <c r="H1113" s="361" t="e">
        <f aca="false">общ.калькуляция!j1112</f>
        <v>#NAME?</v>
      </c>
      <c r="I1113" s="361"/>
      <c r="J1113" s="361"/>
      <c r="K1113" s="361" t="e">
        <f aca="false">общ.калькуляция!m1112</f>
        <v>#NAME?</v>
      </c>
      <c r="L1113" s="361"/>
      <c r="M1113" s="361"/>
      <c r="N1113" s="362" t="e">
        <f aca="false">E1113+H1113+K1113</f>
        <v>#NAME?</v>
      </c>
    </row>
    <row r="1114" s="358" customFormat="true" ht="30" hidden="false" customHeight="false" outlineLevel="0" collapsed="false">
      <c r="A1114" s="327" t="s">
        <v>1824</v>
      </c>
      <c r="B1114" s="78" t="s">
        <v>3649</v>
      </c>
      <c r="C1114" s="363"/>
      <c r="D1114" s="363"/>
      <c r="E1114" s="361" t="e">
        <f aca="false">общ.калькуляция!h1113</f>
        <v>#NAME?</v>
      </c>
      <c r="F1114" s="361"/>
      <c r="G1114" s="361"/>
      <c r="H1114" s="361" t="e">
        <f aca="false">общ.калькуляция!j1113</f>
        <v>#NAME?</v>
      </c>
      <c r="I1114" s="361"/>
      <c r="J1114" s="361"/>
      <c r="K1114" s="361" t="e">
        <f aca="false">общ.калькуляция!m1113</f>
        <v>#NAME?</v>
      </c>
      <c r="L1114" s="361"/>
      <c r="M1114" s="361"/>
      <c r="N1114" s="362" t="e">
        <f aca="false">E1114+H1114+K1114</f>
        <v>#NAME?</v>
      </c>
    </row>
    <row r="1115" s="358" customFormat="true" ht="15" hidden="false" customHeight="false" outlineLevel="0" collapsed="false">
      <c r="A1115" s="350" t="s">
        <v>1826</v>
      </c>
      <c r="B1115" s="88" t="s">
        <v>3626</v>
      </c>
      <c r="C1115" s="359"/>
      <c r="D1115" s="359"/>
      <c r="E1115" s="364"/>
      <c r="F1115" s="364"/>
      <c r="G1115" s="364"/>
      <c r="H1115" s="364"/>
      <c r="I1115" s="364"/>
      <c r="J1115" s="364"/>
      <c r="K1115" s="364"/>
      <c r="L1115" s="364"/>
      <c r="M1115" s="364"/>
      <c r="N1115" s="365"/>
    </row>
    <row r="1116" s="358" customFormat="true" ht="45" hidden="false" customHeight="false" outlineLevel="0" collapsed="false">
      <c r="A1116" s="327" t="s">
        <v>1827</v>
      </c>
      <c r="B1116" s="78" t="s">
        <v>3650</v>
      </c>
      <c r="C1116" s="363"/>
      <c r="D1116" s="363"/>
      <c r="E1116" s="361" t="e">
        <f aca="false">общ.калькуляция!h1115</f>
        <v>#NAME?</v>
      </c>
      <c r="F1116" s="361"/>
      <c r="G1116" s="361"/>
      <c r="H1116" s="361" t="e">
        <f aca="false">общ.калькуляция!j1115</f>
        <v>#NAME?</v>
      </c>
      <c r="I1116" s="361"/>
      <c r="J1116" s="361"/>
      <c r="K1116" s="361" t="e">
        <f aca="false">общ.калькуляция!m1115</f>
        <v>#NAME?</v>
      </c>
      <c r="L1116" s="361"/>
      <c r="M1116" s="361"/>
      <c r="N1116" s="362" t="e">
        <f aca="false">E1116+H1116+K1116</f>
        <v>#NAME?</v>
      </c>
    </row>
    <row r="1117" s="358" customFormat="true" ht="30" hidden="false" customHeight="false" outlineLevel="0" collapsed="false">
      <c r="A1117" s="327" t="s">
        <v>1829</v>
      </c>
      <c r="B1117" s="78" t="s">
        <v>3651</v>
      </c>
      <c r="C1117" s="363"/>
      <c r="D1117" s="363"/>
      <c r="E1117" s="361" t="e">
        <f aca="false">общ.калькуляция!h1116</f>
        <v>#NAME?</v>
      </c>
      <c r="F1117" s="361"/>
      <c r="G1117" s="361"/>
      <c r="H1117" s="361" t="e">
        <f aca="false">общ.калькуляция!j1116</f>
        <v>#NAME?</v>
      </c>
      <c r="I1117" s="361"/>
      <c r="J1117" s="361"/>
      <c r="K1117" s="361" t="e">
        <f aca="false">общ.калькуляция!m1116</f>
        <v>#NAME?</v>
      </c>
      <c r="L1117" s="361"/>
      <c r="M1117" s="361"/>
      <c r="N1117" s="362" t="e">
        <f aca="false">E1117+H1117+K1117</f>
        <v>#NAME?</v>
      </c>
    </row>
    <row r="1118" s="358" customFormat="true" ht="30" hidden="false" customHeight="false" outlineLevel="0" collapsed="false">
      <c r="A1118" s="327" t="s">
        <v>1831</v>
      </c>
      <c r="B1118" s="99" t="s">
        <v>3652</v>
      </c>
      <c r="C1118" s="363"/>
      <c r="D1118" s="363"/>
      <c r="E1118" s="361" t="e">
        <f aca="false">общ.калькуляция!h1117</f>
        <v>#NAME?</v>
      </c>
      <c r="F1118" s="361"/>
      <c r="G1118" s="361"/>
      <c r="H1118" s="361" t="e">
        <f aca="false">общ.калькуляция!j1117</f>
        <v>#NAME?</v>
      </c>
      <c r="I1118" s="361"/>
      <c r="J1118" s="361"/>
      <c r="K1118" s="361" t="e">
        <f aca="false">общ.калькуляция!m1117</f>
        <v>#NAME?</v>
      </c>
      <c r="L1118" s="361"/>
      <c r="M1118" s="361"/>
      <c r="N1118" s="362" t="e">
        <f aca="false">E1118+H1118+K1118</f>
        <v>#NAME?</v>
      </c>
    </row>
    <row r="1119" s="358" customFormat="true" ht="30" hidden="false" customHeight="false" outlineLevel="0" collapsed="false">
      <c r="A1119" s="327" t="s">
        <v>1833</v>
      </c>
      <c r="B1119" s="99" t="s">
        <v>3653</v>
      </c>
      <c r="C1119" s="363"/>
      <c r="D1119" s="363"/>
      <c r="E1119" s="361" t="e">
        <f aca="false">общ.калькуляция!h1118</f>
        <v>#NAME?</v>
      </c>
      <c r="F1119" s="361"/>
      <c r="G1119" s="361"/>
      <c r="H1119" s="361" t="e">
        <f aca="false">общ.калькуляция!j1118</f>
        <v>#NAME?</v>
      </c>
      <c r="I1119" s="361"/>
      <c r="J1119" s="361"/>
      <c r="K1119" s="361" t="e">
        <f aca="false">общ.калькуляция!m1118</f>
        <v>#NAME?</v>
      </c>
      <c r="L1119" s="361"/>
      <c r="M1119" s="361"/>
      <c r="N1119" s="362" t="e">
        <f aca="false">E1119+H1119+K1119</f>
        <v>#NAME?</v>
      </c>
    </row>
    <row r="1120" s="358" customFormat="true" ht="15" hidden="false" customHeight="false" outlineLevel="0" collapsed="false">
      <c r="A1120" s="327" t="s">
        <v>1835</v>
      </c>
      <c r="B1120" s="99" t="s">
        <v>3654</v>
      </c>
      <c r="C1120" s="363"/>
      <c r="D1120" s="363"/>
      <c r="E1120" s="361" t="e">
        <f aca="false">общ.калькуляция!h1119</f>
        <v>#NAME?</v>
      </c>
      <c r="F1120" s="361"/>
      <c r="G1120" s="361"/>
      <c r="H1120" s="361" t="e">
        <f aca="false">общ.калькуляция!j1119</f>
        <v>#NAME?</v>
      </c>
      <c r="I1120" s="361"/>
      <c r="J1120" s="361"/>
      <c r="K1120" s="361" t="e">
        <f aca="false">общ.калькуляция!m1119</f>
        <v>#NAME?</v>
      </c>
      <c r="L1120" s="361"/>
      <c r="M1120" s="361"/>
      <c r="N1120" s="362" t="e">
        <f aca="false">E1120+H1120+K1120</f>
        <v>#NAME?</v>
      </c>
    </row>
    <row r="1121" s="358" customFormat="true" ht="15" hidden="false" customHeight="false" outlineLevel="0" collapsed="false">
      <c r="A1121" s="327" t="s">
        <v>1837</v>
      </c>
      <c r="B1121" s="99" t="s">
        <v>3655</v>
      </c>
      <c r="C1121" s="363"/>
      <c r="D1121" s="363"/>
      <c r="E1121" s="361" t="e">
        <f aca="false">общ.калькуляция!h1120</f>
        <v>#NAME?</v>
      </c>
      <c r="F1121" s="361"/>
      <c r="G1121" s="361"/>
      <c r="H1121" s="361" t="e">
        <f aca="false">общ.калькуляция!j1120</f>
        <v>#NAME?</v>
      </c>
      <c r="I1121" s="361"/>
      <c r="J1121" s="361"/>
      <c r="K1121" s="361" t="e">
        <f aca="false">общ.калькуляция!m1120</f>
        <v>#NAME?</v>
      </c>
      <c r="L1121" s="361"/>
      <c r="M1121" s="361"/>
      <c r="N1121" s="362" t="e">
        <f aca="false">E1121+H1121+K1121</f>
        <v>#NAME?</v>
      </c>
    </row>
    <row r="1122" s="358" customFormat="true" ht="15" hidden="false" customHeight="false" outlineLevel="0" collapsed="false">
      <c r="A1122" s="327" t="s">
        <v>1839</v>
      </c>
      <c r="B1122" s="99" t="s">
        <v>3642</v>
      </c>
      <c r="C1122" s="363"/>
      <c r="D1122" s="363"/>
      <c r="E1122" s="361" t="e">
        <f aca="false">общ.калькуляция!h1121</f>
        <v>#NAME?</v>
      </c>
      <c r="F1122" s="361"/>
      <c r="G1122" s="361"/>
      <c r="H1122" s="361" t="e">
        <f aca="false">общ.калькуляция!j1121</f>
        <v>#NAME?</v>
      </c>
      <c r="I1122" s="361"/>
      <c r="J1122" s="361"/>
      <c r="K1122" s="361" t="e">
        <f aca="false">общ.калькуляция!m1121</f>
        <v>#NAME?</v>
      </c>
      <c r="L1122" s="361"/>
      <c r="M1122" s="361"/>
      <c r="N1122" s="362" t="e">
        <f aca="false">E1122+H1122+K1122</f>
        <v>#NAME?</v>
      </c>
    </row>
    <row r="1123" s="358" customFormat="true" ht="15" hidden="false" customHeight="false" outlineLevel="0" collapsed="false">
      <c r="A1123" s="327" t="s">
        <v>1840</v>
      </c>
      <c r="B1123" s="99" t="s">
        <v>3643</v>
      </c>
      <c r="C1123" s="363"/>
      <c r="D1123" s="363"/>
      <c r="E1123" s="361" t="e">
        <f aca="false">общ.калькуляция!h1122</f>
        <v>#NAME?</v>
      </c>
      <c r="F1123" s="361"/>
      <c r="G1123" s="361"/>
      <c r="H1123" s="361" t="e">
        <f aca="false">общ.калькуляция!j1122</f>
        <v>#NAME?</v>
      </c>
      <c r="I1123" s="361"/>
      <c r="J1123" s="361"/>
      <c r="K1123" s="361" t="e">
        <f aca="false">общ.калькуляция!m1122</f>
        <v>#NAME?</v>
      </c>
      <c r="L1123" s="361"/>
      <c r="M1123" s="361"/>
      <c r="N1123" s="362" t="e">
        <f aca="false">E1123+H1123+K1123</f>
        <v>#NAME?</v>
      </c>
    </row>
    <row r="1124" s="358" customFormat="true" ht="15" hidden="false" customHeight="false" outlineLevel="0" collapsed="false">
      <c r="A1124" s="327" t="s">
        <v>1841</v>
      </c>
      <c r="B1124" s="99" t="s">
        <v>3656</v>
      </c>
      <c r="C1124" s="363"/>
      <c r="D1124" s="363"/>
      <c r="E1124" s="361" t="e">
        <f aca="false">общ.калькуляция!h1123</f>
        <v>#NAME?</v>
      </c>
      <c r="F1124" s="361"/>
      <c r="G1124" s="361"/>
      <c r="H1124" s="361" t="e">
        <f aca="false">общ.калькуляция!j1123</f>
        <v>#NAME?</v>
      </c>
      <c r="I1124" s="361"/>
      <c r="J1124" s="361"/>
      <c r="K1124" s="361" t="e">
        <f aca="false">общ.калькуляция!m1123</f>
        <v>#NAME?</v>
      </c>
      <c r="L1124" s="361"/>
      <c r="M1124" s="361"/>
      <c r="N1124" s="362" t="e">
        <f aca="false">E1124+H1124+K1124</f>
        <v>#NAME?</v>
      </c>
    </row>
    <row r="1125" s="358" customFormat="true" ht="15" hidden="false" customHeight="false" outlineLevel="0" collapsed="false">
      <c r="A1125" s="327" t="s">
        <v>1843</v>
      </c>
      <c r="B1125" s="99" t="s">
        <v>3657</v>
      </c>
      <c r="C1125" s="363"/>
      <c r="D1125" s="363"/>
      <c r="E1125" s="361" t="e">
        <f aca="false">общ.калькуляция!h1124</f>
        <v>#NAME?</v>
      </c>
      <c r="F1125" s="361"/>
      <c r="G1125" s="361"/>
      <c r="H1125" s="361" t="e">
        <f aca="false">общ.калькуляция!j1124</f>
        <v>#NAME?</v>
      </c>
      <c r="I1125" s="361"/>
      <c r="J1125" s="361"/>
      <c r="K1125" s="361" t="e">
        <f aca="false">общ.калькуляция!m1124</f>
        <v>#NAME?</v>
      </c>
      <c r="L1125" s="361"/>
      <c r="M1125" s="361"/>
      <c r="N1125" s="362" t="e">
        <f aca="false">E1125+H1125+K1125</f>
        <v>#NAME?</v>
      </c>
    </row>
    <row r="1126" s="358" customFormat="true" ht="30" hidden="false" customHeight="false" outlineLevel="0" collapsed="false">
      <c r="A1126" s="327" t="s">
        <v>1845</v>
      </c>
      <c r="B1126" s="99" t="s">
        <v>3658</v>
      </c>
      <c r="C1126" s="363"/>
      <c r="D1126" s="363"/>
      <c r="E1126" s="361" t="e">
        <f aca="false">общ.калькуляция!h1125</f>
        <v>#NAME?</v>
      </c>
      <c r="F1126" s="361"/>
      <c r="G1126" s="361"/>
      <c r="H1126" s="361" t="e">
        <f aca="false">общ.калькуляция!j1125</f>
        <v>#NAME?</v>
      </c>
      <c r="I1126" s="361"/>
      <c r="J1126" s="361"/>
      <c r="K1126" s="361" t="e">
        <f aca="false">общ.калькуляция!m1125</f>
        <v>#NAME?</v>
      </c>
      <c r="L1126" s="361"/>
      <c r="M1126" s="361"/>
      <c r="N1126" s="362" t="e">
        <f aca="false">E1126+H1126+K1126</f>
        <v>#NAME?</v>
      </c>
    </row>
    <row r="1127" s="358" customFormat="true" ht="30" hidden="false" customHeight="false" outlineLevel="0" collapsed="false">
      <c r="A1127" s="327" t="s">
        <v>1847</v>
      </c>
      <c r="B1127" s="99" t="s">
        <v>3659</v>
      </c>
      <c r="C1127" s="363"/>
      <c r="D1127" s="363"/>
      <c r="E1127" s="361" t="e">
        <f aca="false">общ.калькуляция!h1126</f>
        <v>#NAME?</v>
      </c>
      <c r="F1127" s="361"/>
      <c r="G1127" s="361"/>
      <c r="H1127" s="361" t="e">
        <f aca="false">общ.калькуляция!j1126</f>
        <v>#NAME?</v>
      </c>
      <c r="I1127" s="361"/>
      <c r="J1127" s="361"/>
      <c r="K1127" s="361" t="e">
        <f aca="false">общ.калькуляция!m1126</f>
        <v>#NAME?</v>
      </c>
      <c r="L1127" s="361"/>
      <c r="M1127" s="361"/>
      <c r="N1127" s="362" t="e">
        <f aca="false">E1127+H1127+K1127</f>
        <v>#NAME?</v>
      </c>
    </row>
    <row r="1128" s="358" customFormat="true" ht="30" hidden="false" customHeight="false" outlineLevel="0" collapsed="false">
      <c r="A1128" s="327" t="s">
        <v>1848</v>
      </c>
      <c r="B1128" s="99" t="s">
        <v>3660</v>
      </c>
      <c r="C1128" s="363"/>
      <c r="D1128" s="363"/>
      <c r="E1128" s="361" t="e">
        <f aca="false">общ.калькуляция!h1127</f>
        <v>#NAME?</v>
      </c>
      <c r="F1128" s="361"/>
      <c r="G1128" s="361"/>
      <c r="H1128" s="361" t="e">
        <f aca="false">общ.калькуляция!j1127</f>
        <v>#NAME?</v>
      </c>
      <c r="I1128" s="361"/>
      <c r="J1128" s="361"/>
      <c r="K1128" s="361" t="e">
        <f aca="false">общ.калькуляция!m1127</f>
        <v>#NAME?</v>
      </c>
      <c r="L1128" s="361"/>
      <c r="M1128" s="361"/>
      <c r="N1128" s="362" t="e">
        <f aca="false">E1128+H1128+K1128</f>
        <v>#NAME?</v>
      </c>
    </row>
    <row r="1129" s="358" customFormat="true" ht="30" hidden="false" customHeight="false" outlineLevel="0" collapsed="false">
      <c r="A1129" s="327" t="s">
        <v>1850</v>
      </c>
      <c r="B1129" s="99" t="s">
        <v>3661</v>
      </c>
      <c r="C1129" s="363"/>
      <c r="D1129" s="363"/>
      <c r="E1129" s="361" t="e">
        <f aca="false">общ.калькуляция!h1128</f>
        <v>#NAME?</v>
      </c>
      <c r="F1129" s="361"/>
      <c r="G1129" s="361"/>
      <c r="H1129" s="361" t="e">
        <f aca="false">общ.калькуляция!j1128</f>
        <v>#NAME?</v>
      </c>
      <c r="I1129" s="361"/>
      <c r="J1129" s="361"/>
      <c r="K1129" s="361" t="e">
        <f aca="false">общ.калькуляция!m1128</f>
        <v>#NAME?</v>
      </c>
      <c r="L1129" s="361"/>
      <c r="M1129" s="361"/>
      <c r="N1129" s="362" t="e">
        <f aca="false">E1129+H1129+K1129</f>
        <v>#NAME?</v>
      </c>
    </row>
    <row r="1130" s="358" customFormat="true" ht="15" hidden="false" customHeight="false" outlineLevel="0" collapsed="false">
      <c r="A1130" s="327" t="s">
        <v>1852</v>
      </c>
      <c r="B1130" s="99" t="s">
        <v>3662</v>
      </c>
      <c r="C1130" s="363"/>
      <c r="D1130" s="363"/>
      <c r="E1130" s="361" t="e">
        <f aca="false">общ.калькуляция!h1129</f>
        <v>#NAME?</v>
      </c>
      <c r="F1130" s="361"/>
      <c r="G1130" s="361"/>
      <c r="H1130" s="361" t="e">
        <f aca="false">общ.калькуляция!j1129</f>
        <v>#NAME?</v>
      </c>
      <c r="I1130" s="361"/>
      <c r="J1130" s="361"/>
      <c r="K1130" s="361" t="e">
        <f aca="false">общ.калькуляция!m1129</f>
        <v>#NAME?</v>
      </c>
      <c r="L1130" s="361"/>
      <c r="M1130" s="361"/>
      <c r="N1130" s="362" t="e">
        <f aca="false">E1130+H1130+K1130</f>
        <v>#NAME?</v>
      </c>
    </row>
    <row r="1131" s="358" customFormat="true" ht="30" hidden="false" customHeight="false" outlineLevel="0" collapsed="false">
      <c r="A1131" s="327" t="s">
        <v>1854</v>
      </c>
      <c r="B1131" s="99" t="s">
        <v>3663</v>
      </c>
      <c r="C1131" s="363"/>
      <c r="D1131" s="363"/>
      <c r="E1131" s="361" t="e">
        <f aca="false">общ.калькуляция!h1130</f>
        <v>#NAME?</v>
      </c>
      <c r="F1131" s="361"/>
      <c r="G1131" s="361"/>
      <c r="H1131" s="361" t="e">
        <f aca="false">общ.калькуляция!j1130</f>
        <v>#NAME?</v>
      </c>
      <c r="I1131" s="361"/>
      <c r="J1131" s="361"/>
      <c r="K1131" s="361" t="e">
        <f aca="false">общ.калькуляция!m1130</f>
        <v>#NAME?</v>
      </c>
      <c r="L1131" s="361"/>
      <c r="M1131" s="361"/>
      <c r="N1131" s="362" t="e">
        <f aca="false">E1131+H1131+K1131</f>
        <v>#NAME?</v>
      </c>
    </row>
    <row r="1132" s="358" customFormat="true" ht="30" hidden="false" customHeight="false" outlineLevel="0" collapsed="false">
      <c r="A1132" s="327" t="s">
        <v>1856</v>
      </c>
      <c r="B1132" s="99" t="s">
        <v>3664</v>
      </c>
      <c r="C1132" s="363"/>
      <c r="D1132" s="363"/>
      <c r="E1132" s="361" t="e">
        <f aca="false">общ.калькуляция!h1131</f>
        <v>#NAME?</v>
      </c>
      <c r="F1132" s="361"/>
      <c r="G1132" s="361"/>
      <c r="H1132" s="361" t="e">
        <f aca="false">общ.калькуляция!j1131</f>
        <v>#NAME?</v>
      </c>
      <c r="I1132" s="361"/>
      <c r="J1132" s="361"/>
      <c r="K1132" s="361" t="e">
        <f aca="false">общ.калькуляция!m1131</f>
        <v>#NAME?</v>
      </c>
      <c r="L1132" s="361"/>
      <c r="M1132" s="361"/>
      <c r="N1132" s="362" t="e">
        <f aca="false">E1132+H1132+K1132</f>
        <v>#NAME?</v>
      </c>
    </row>
    <row r="1133" s="358" customFormat="true" ht="30" hidden="false" customHeight="false" outlineLevel="0" collapsed="false">
      <c r="A1133" s="327" t="s">
        <v>1858</v>
      </c>
      <c r="B1133" s="99" t="s">
        <v>3665</v>
      </c>
      <c r="C1133" s="363"/>
      <c r="D1133" s="363"/>
      <c r="E1133" s="361" t="e">
        <f aca="false">общ.калькуляция!h1132</f>
        <v>#NAME?</v>
      </c>
      <c r="F1133" s="361"/>
      <c r="G1133" s="361"/>
      <c r="H1133" s="361" t="e">
        <f aca="false">общ.калькуляция!j1132</f>
        <v>#NAME?</v>
      </c>
      <c r="I1133" s="361"/>
      <c r="J1133" s="361"/>
      <c r="K1133" s="361" t="e">
        <f aca="false">общ.калькуляция!m1132</f>
        <v>#NAME?</v>
      </c>
      <c r="L1133" s="361"/>
      <c r="M1133" s="361"/>
      <c r="N1133" s="362" t="e">
        <f aca="false">E1133+H1133+K1133</f>
        <v>#NAME?</v>
      </c>
    </row>
    <row r="1134" s="358" customFormat="true" ht="30" hidden="false" customHeight="false" outlineLevel="0" collapsed="false">
      <c r="A1134" s="327" t="s">
        <v>1860</v>
      </c>
      <c r="B1134" s="99" t="s">
        <v>3666</v>
      </c>
      <c r="C1134" s="363"/>
      <c r="D1134" s="363"/>
      <c r="E1134" s="361" t="e">
        <f aca="false">общ.калькуляция!h1133</f>
        <v>#NAME?</v>
      </c>
      <c r="F1134" s="361"/>
      <c r="G1134" s="361"/>
      <c r="H1134" s="361" t="e">
        <f aca="false">общ.калькуляция!j1133</f>
        <v>#NAME?</v>
      </c>
      <c r="I1134" s="361"/>
      <c r="J1134" s="361"/>
      <c r="K1134" s="361" t="e">
        <f aca="false">общ.калькуляция!m1133</f>
        <v>#NAME?</v>
      </c>
      <c r="L1134" s="361"/>
      <c r="M1134" s="361"/>
      <c r="N1134" s="362" t="e">
        <f aca="false">E1134+H1134+K1134</f>
        <v>#NAME?</v>
      </c>
    </row>
    <row r="1135" s="358" customFormat="true" ht="15" hidden="false" customHeight="false" outlineLevel="0" collapsed="false">
      <c r="A1135" s="327" t="s">
        <v>1862</v>
      </c>
      <c r="B1135" s="99" t="s">
        <v>3667</v>
      </c>
      <c r="C1135" s="363"/>
      <c r="D1135" s="363"/>
      <c r="E1135" s="361" t="e">
        <f aca="false">общ.калькуляция!h1134</f>
        <v>#NAME?</v>
      </c>
      <c r="F1135" s="361"/>
      <c r="G1135" s="361"/>
      <c r="H1135" s="361" t="e">
        <f aca="false">общ.калькуляция!j1134</f>
        <v>#NAME?</v>
      </c>
      <c r="I1135" s="361"/>
      <c r="J1135" s="361"/>
      <c r="K1135" s="361" t="e">
        <f aca="false">общ.калькуляция!m1134</f>
        <v>#NAME?</v>
      </c>
      <c r="L1135" s="361"/>
      <c r="M1135" s="361"/>
      <c r="N1135" s="362" t="e">
        <f aca="false">E1135+H1135+K1135</f>
        <v>#NAME?</v>
      </c>
    </row>
    <row r="1136" s="358" customFormat="true" ht="15" hidden="false" customHeight="false" outlineLevel="0" collapsed="false">
      <c r="A1136" s="327" t="s">
        <v>1864</v>
      </c>
      <c r="B1136" s="99" t="s">
        <v>3668</v>
      </c>
      <c r="C1136" s="363"/>
      <c r="D1136" s="363"/>
      <c r="E1136" s="361" t="e">
        <f aca="false">общ.калькуляция!h1135</f>
        <v>#NAME?</v>
      </c>
      <c r="F1136" s="361"/>
      <c r="G1136" s="361"/>
      <c r="H1136" s="361" t="e">
        <f aca="false">общ.калькуляция!j1135</f>
        <v>#NAME?</v>
      </c>
      <c r="I1136" s="361"/>
      <c r="J1136" s="361"/>
      <c r="K1136" s="361" t="e">
        <f aca="false">общ.калькуляция!m1135</f>
        <v>#NAME?</v>
      </c>
      <c r="L1136" s="361"/>
      <c r="M1136" s="361"/>
      <c r="N1136" s="362" t="e">
        <f aca="false">E1136+H1136+K1136</f>
        <v>#NAME?</v>
      </c>
    </row>
    <row r="1137" s="358" customFormat="true" ht="15" hidden="false" customHeight="false" outlineLevel="0" collapsed="false">
      <c r="A1137" s="327" t="s">
        <v>1866</v>
      </c>
      <c r="B1137" s="99" t="s">
        <v>3669</v>
      </c>
      <c r="C1137" s="363"/>
      <c r="D1137" s="363"/>
      <c r="E1137" s="361" t="e">
        <f aca="false">общ.калькуляция!h1136</f>
        <v>#NAME?</v>
      </c>
      <c r="F1137" s="361"/>
      <c r="G1137" s="361"/>
      <c r="H1137" s="361" t="e">
        <f aca="false">общ.калькуляция!j1136</f>
        <v>#NAME?</v>
      </c>
      <c r="I1137" s="361"/>
      <c r="J1137" s="361"/>
      <c r="K1137" s="361" t="e">
        <f aca="false">общ.калькуляция!m1136</f>
        <v>#NAME?</v>
      </c>
      <c r="L1137" s="361"/>
      <c r="M1137" s="361"/>
      <c r="N1137" s="362" t="e">
        <f aca="false">E1137+H1137+K1137</f>
        <v>#NAME?</v>
      </c>
    </row>
    <row r="1138" s="358" customFormat="true" ht="30" hidden="false" customHeight="false" outlineLevel="0" collapsed="false">
      <c r="A1138" s="327" t="s">
        <v>1868</v>
      </c>
      <c r="B1138" s="99" t="s">
        <v>3670</v>
      </c>
      <c r="C1138" s="363"/>
      <c r="D1138" s="363"/>
      <c r="E1138" s="361" t="e">
        <f aca="false">общ.калькуляция!h1137</f>
        <v>#NAME?</v>
      </c>
      <c r="F1138" s="361"/>
      <c r="G1138" s="361"/>
      <c r="H1138" s="361" t="e">
        <f aca="false">общ.калькуляция!j1137</f>
        <v>#NAME?</v>
      </c>
      <c r="I1138" s="361"/>
      <c r="J1138" s="361"/>
      <c r="K1138" s="361" t="e">
        <f aca="false">общ.калькуляция!m1137</f>
        <v>#NAME?</v>
      </c>
      <c r="L1138" s="361"/>
      <c r="M1138" s="361"/>
      <c r="N1138" s="362" t="e">
        <f aca="false">E1138+H1138+K1138</f>
        <v>#NAME?</v>
      </c>
    </row>
    <row r="1139" s="358" customFormat="true" ht="15" hidden="false" customHeight="false" outlineLevel="0" collapsed="false">
      <c r="A1139" s="327" t="s">
        <v>1870</v>
      </c>
      <c r="B1139" s="99" t="s">
        <v>3671</v>
      </c>
      <c r="C1139" s="363"/>
      <c r="D1139" s="363"/>
      <c r="E1139" s="361" t="e">
        <f aca="false">общ.калькуляция!h1138</f>
        <v>#NAME?</v>
      </c>
      <c r="F1139" s="361"/>
      <c r="G1139" s="361"/>
      <c r="H1139" s="361" t="e">
        <f aca="false">общ.калькуляция!j1138</f>
        <v>#NAME?</v>
      </c>
      <c r="I1139" s="361"/>
      <c r="J1139" s="361"/>
      <c r="K1139" s="361" t="e">
        <f aca="false">общ.калькуляция!m1138</f>
        <v>#NAME?</v>
      </c>
      <c r="L1139" s="361"/>
      <c r="M1139" s="361"/>
      <c r="N1139" s="362" t="e">
        <f aca="false">E1139+H1139+K1139</f>
        <v>#NAME?</v>
      </c>
    </row>
    <row r="1140" s="358" customFormat="true" ht="30" hidden="false" customHeight="false" outlineLevel="0" collapsed="false">
      <c r="A1140" s="327" t="s">
        <v>1872</v>
      </c>
      <c r="B1140" s="99" t="s">
        <v>3672</v>
      </c>
      <c r="C1140" s="363"/>
      <c r="D1140" s="363"/>
      <c r="E1140" s="361" t="e">
        <f aca="false">общ.калькуляция!h1139</f>
        <v>#NAME?</v>
      </c>
      <c r="F1140" s="361"/>
      <c r="G1140" s="361"/>
      <c r="H1140" s="361" t="e">
        <f aca="false">общ.калькуляция!j1139</f>
        <v>#NAME?</v>
      </c>
      <c r="I1140" s="361"/>
      <c r="J1140" s="361"/>
      <c r="K1140" s="361" t="e">
        <f aca="false">общ.калькуляция!m1139</f>
        <v>#NAME?</v>
      </c>
      <c r="L1140" s="361"/>
      <c r="M1140" s="361"/>
      <c r="N1140" s="362" t="e">
        <f aca="false">E1140+H1140+K1140</f>
        <v>#NAME?</v>
      </c>
    </row>
    <row r="1141" s="358" customFormat="true" ht="15" hidden="false" customHeight="false" outlineLevel="0" collapsed="false">
      <c r="A1141" s="327" t="s">
        <v>1874</v>
      </c>
      <c r="B1141" s="99" t="s">
        <v>3673</v>
      </c>
      <c r="C1141" s="363"/>
      <c r="D1141" s="363"/>
      <c r="E1141" s="361" t="e">
        <f aca="false">общ.калькуляция!h1140</f>
        <v>#NAME?</v>
      </c>
      <c r="F1141" s="361"/>
      <c r="G1141" s="361"/>
      <c r="H1141" s="361" t="e">
        <f aca="false">общ.калькуляция!j1140</f>
        <v>#NAME?</v>
      </c>
      <c r="I1141" s="361"/>
      <c r="J1141" s="361"/>
      <c r="K1141" s="361" t="e">
        <f aca="false">общ.калькуляция!m1140</f>
        <v>#NAME?</v>
      </c>
      <c r="L1141" s="361"/>
      <c r="M1141" s="361"/>
      <c r="N1141" s="362" t="e">
        <f aca="false">E1141+H1141+K1141</f>
        <v>#NAME?</v>
      </c>
    </row>
    <row r="1142" s="358" customFormat="true" ht="15" hidden="false" customHeight="false" outlineLevel="0" collapsed="false">
      <c r="A1142" s="327" t="s">
        <v>1876</v>
      </c>
      <c r="B1142" s="99" t="s">
        <v>3674</v>
      </c>
      <c r="C1142" s="363"/>
      <c r="D1142" s="363"/>
      <c r="E1142" s="361" t="e">
        <f aca="false">общ.калькуляция!h1141</f>
        <v>#NAME?</v>
      </c>
      <c r="F1142" s="361"/>
      <c r="G1142" s="361"/>
      <c r="H1142" s="361" t="e">
        <f aca="false">общ.калькуляция!j1141</f>
        <v>#NAME?</v>
      </c>
      <c r="I1142" s="361"/>
      <c r="J1142" s="361"/>
      <c r="K1142" s="361" t="e">
        <f aca="false">общ.калькуляция!m1141</f>
        <v>#NAME?</v>
      </c>
      <c r="L1142" s="361"/>
      <c r="M1142" s="361"/>
      <c r="N1142" s="362" t="e">
        <f aca="false">E1142+H1142+K1142</f>
        <v>#NAME?</v>
      </c>
    </row>
    <row r="1143" s="358" customFormat="true" ht="30" hidden="false" customHeight="false" outlineLevel="0" collapsed="false">
      <c r="A1143" s="327" t="s">
        <v>1878</v>
      </c>
      <c r="B1143" s="99" t="s">
        <v>3675</v>
      </c>
      <c r="C1143" s="363"/>
      <c r="D1143" s="363"/>
      <c r="E1143" s="361" t="e">
        <f aca="false">общ.калькуляция!h1142</f>
        <v>#NAME?</v>
      </c>
      <c r="F1143" s="361"/>
      <c r="G1143" s="361"/>
      <c r="H1143" s="361" t="e">
        <f aca="false">общ.калькуляция!j1142</f>
        <v>#NAME?</v>
      </c>
      <c r="I1143" s="361"/>
      <c r="J1143" s="361"/>
      <c r="K1143" s="361" t="e">
        <f aca="false">общ.калькуляция!m1142</f>
        <v>#NAME?</v>
      </c>
      <c r="L1143" s="361"/>
      <c r="M1143" s="361"/>
      <c r="N1143" s="362" t="e">
        <f aca="false">E1143+H1143+K1143</f>
        <v>#NAME?</v>
      </c>
    </row>
    <row r="1144" s="358" customFormat="true" ht="30" hidden="false" customHeight="false" outlineLevel="0" collapsed="false">
      <c r="A1144" s="327" t="s">
        <v>1880</v>
      </c>
      <c r="B1144" s="99" t="s">
        <v>3676</v>
      </c>
      <c r="C1144" s="363"/>
      <c r="D1144" s="363"/>
      <c r="E1144" s="361" t="e">
        <f aca="false">общ.калькуляция!h1143</f>
        <v>#NAME?</v>
      </c>
      <c r="F1144" s="361"/>
      <c r="G1144" s="361"/>
      <c r="H1144" s="361" t="e">
        <f aca="false">общ.калькуляция!j1143</f>
        <v>#NAME?</v>
      </c>
      <c r="I1144" s="361"/>
      <c r="J1144" s="361"/>
      <c r="K1144" s="361" t="e">
        <f aca="false">общ.калькуляция!m1143</f>
        <v>#NAME?</v>
      </c>
      <c r="L1144" s="361"/>
      <c r="M1144" s="361"/>
      <c r="N1144" s="362" t="e">
        <f aca="false">E1144+H1144+K1144</f>
        <v>#NAME?</v>
      </c>
    </row>
    <row r="1145" s="358" customFormat="true" ht="30" hidden="false" customHeight="false" outlineLevel="0" collapsed="false">
      <c r="A1145" s="327" t="s">
        <v>1882</v>
      </c>
      <c r="B1145" s="78" t="s">
        <v>3677</v>
      </c>
      <c r="C1145" s="363"/>
      <c r="D1145" s="363"/>
      <c r="E1145" s="361" t="e">
        <f aca="false">общ.калькуляция!h1144</f>
        <v>#NAME?</v>
      </c>
      <c r="F1145" s="361"/>
      <c r="G1145" s="361"/>
      <c r="H1145" s="361" t="e">
        <f aca="false">общ.калькуляция!j1144</f>
        <v>#NAME?</v>
      </c>
      <c r="I1145" s="361"/>
      <c r="J1145" s="361"/>
      <c r="K1145" s="361" t="e">
        <f aca="false">общ.калькуляция!m1144</f>
        <v>#NAME?</v>
      </c>
      <c r="L1145" s="361"/>
      <c r="M1145" s="361"/>
      <c r="N1145" s="362" t="e">
        <f aca="false">E1145+H1145+K1145</f>
        <v>#NAME?</v>
      </c>
    </row>
    <row r="1146" s="358" customFormat="true" ht="15" hidden="false" customHeight="false" outlineLevel="0" collapsed="false">
      <c r="A1146" s="327" t="s">
        <v>1884</v>
      </c>
      <c r="B1146" s="99" t="s">
        <v>3678</v>
      </c>
      <c r="C1146" s="363"/>
      <c r="D1146" s="363"/>
      <c r="E1146" s="361" t="e">
        <f aca="false">общ.калькуляция!h1145</f>
        <v>#NAME?</v>
      </c>
      <c r="F1146" s="361"/>
      <c r="G1146" s="361"/>
      <c r="H1146" s="361" t="e">
        <f aca="false">общ.калькуляция!j1145</f>
        <v>#NAME?</v>
      </c>
      <c r="I1146" s="361"/>
      <c r="J1146" s="361"/>
      <c r="K1146" s="361" t="e">
        <f aca="false">общ.калькуляция!m1145</f>
        <v>#NAME?</v>
      </c>
      <c r="L1146" s="361"/>
      <c r="M1146" s="361"/>
      <c r="N1146" s="362" t="e">
        <f aca="false">E1146+H1146+K1146</f>
        <v>#NAME?</v>
      </c>
    </row>
    <row r="1147" s="358" customFormat="true" ht="15" hidden="false" customHeight="false" outlineLevel="0" collapsed="false">
      <c r="A1147" s="350" t="s">
        <v>1886</v>
      </c>
      <c r="B1147" s="88" t="s">
        <v>3580</v>
      </c>
      <c r="C1147" s="359"/>
      <c r="D1147" s="359"/>
      <c r="E1147" s="364"/>
      <c r="F1147" s="364"/>
      <c r="G1147" s="364"/>
      <c r="H1147" s="364"/>
      <c r="I1147" s="364"/>
      <c r="J1147" s="364"/>
      <c r="K1147" s="364"/>
      <c r="L1147" s="364"/>
      <c r="M1147" s="364"/>
      <c r="N1147" s="365"/>
    </row>
    <row r="1148" s="358" customFormat="true" ht="30" hidden="false" customHeight="false" outlineLevel="0" collapsed="false">
      <c r="A1148" s="327" t="s">
        <v>1887</v>
      </c>
      <c r="B1148" s="78" t="s">
        <v>3679</v>
      </c>
      <c r="C1148" s="363"/>
      <c r="D1148" s="363"/>
      <c r="E1148" s="361" t="e">
        <f aca="false">общ.калькуляция!h1147</f>
        <v>#NAME?</v>
      </c>
      <c r="F1148" s="361"/>
      <c r="G1148" s="361"/>
      <c r="H1148" s="361" t="e">
        <f aca="false">общ.калькуляция!j1147</f>
        <v>#NAME?</v>
      </c>
      <c r="I1148" s="361"/>
      <c r="J1148" s="361"/>
      <c r="K1148" s="361" t="e">
        <f aca="false">общ.калькуляция!m1147</f>
        <v>#NAME?</v>
      </c>
      <c r="L1148" s="361"/>
      <c r="M1148" s="361"/>
      <c r="N1148" s="362" t="e">
        <f aca="false">E1148+H1148+K1148</f>
        <v>#NAME?</v>
      </c>
    </row>
    <row r="1149" s="358" customFormat="true" ht="30" hidden="false" customHeight="false" outlineLevel="0" collapsed="false">
      <c r="A1149" s="327" t="s">
        <v>1889</v>
      </c>
      <c r="B1149" s="78" t="s">
        <v>3680</v>
      </c>
      <c r="C1149" s="363"/>
      <c r="D1149" s="363"/>
      <c r="E1149" s="361" t="e">
        <f aca="false">общ.калькуляция!h1148</f>
        <v>#NAME?</v>
      </c>
      <c r="F1149" s="361"/>
      <c r="G1149" s="361"/>
      <c r="H1149" s="361" t="e">
        <f aca="false">общ.калькуляция!j1148</f>
        <v>#NAME?</v>
      </c>
      <c r="I1149" s="361"/>
      <c r="J1149" s="361"/>
      <c r="K1149" s="361" t="e">
        <f aca="false">общ.калькуляция!m1148</f>
        <v>#NAME?</v>
      </c>
      <c r="L1149" s="361"/>
      <c r="M1149" s="361"/>
      <c r="N1149" s="362" t="e">
        <f aca="false">E1149+H1149+K1149</f>
        <v>#NAME?</v>
      </c>
    </row>
    <row r="1150" s="358" customFormat="true" ht="30" hidden="false" customHeight="false" outlineLevel="0" collapsed="false">
      <c r="A1150" s="327" t="s">
        <v>1891</v>
      </c>
      <c r="B1150" s="78" t="s">
        <v>3681</v>
      </c>
      <c r="C1150" s="363"/>
      <c r="D1150" s="363"/>
      <c r="E1150" s="361" t="e">
        <f aca="false">общ.калькуляция!h1149</f>
        <v>#NAME?</v>
      </c>
      <c r="F1150" s="361"/>
      <c r="G1150" s="361"/>
      <c r="H1150" s="361" t="e">
        <f aca="false">общ.калькуляция!j1149</f>
        <v>#NAME?</v>
      </c>
      <c r="I1150" s="361"/>
      <c r="J1150" s="361"/>
      <c r="K1150" s="361" t="e">
        <f aca="false">общ.калькуляция!m1149</f>
        <v>#NAME?</v>
      </c>
      <c r="L1150" s="361"/>
      <c r="M1150" s="361"/>
      <c r="N1150" s="362" t="e">
        <f aca="false">E1150+H1150+K1150</f>
        <v>#NAME?</v>
      </c>
    </row>
    <row r="1151" s="358" customFormat="true" ht="30" hidden="false" customHeight="false" outlineLevel="0" collapsed="false">
      <c r="A1151" s="327" t="s">
        <v>1893</v>
      </c>
      <c r="B1151" s="78" t="s">
        <v>3682</v>
      </c>
      <c r="C1151" s="363"/>
      <c r="D1151" s="363"/>
      <c r="E1151" s="361" t="e">
        <f aca="false">общ.калькуляция!h1150</f>
        <v>#NAME?</v>
      </c>
      <c r="F1151" s="361"/>
      <c r="G1151" s="361"/>
      <c r="H1151" s="361" t="e">
        <f aca="false">общ.калькуляция!j1150</f>
        <v>#NAME?</v>
      </c>
      <c r="I1151" s="361"/>
      <c r="J1151" s="361"/>
      <c r="K1151" s="361" t="e">
        <f aca="false">общ.калькуляция!m1150</f>
        <v>#NAME?</v>
      </c>
      <c r="L1151" s="361"/>
      <c r="M1151" s="361"/>
      <c r="N1151" s="362" t="e">
        <f aca="false">E1151+H1151+K1151</f>
        <v>#NAME?</v>
      </c>
    </row>
    <row r="1152" s="358" customFormat="true" ht="45" hidden="false" customHeight="false" outlineLevel="0" collapsed="false">
      <c r="A1152" s="327" t="s">
        <v>1895</v>
      </c>
      <c r="B1152" s="78" t="s">
        <v>3683</v>
      </c>
      <c r="C1152" s="363"/>
      <c r="D1152" s="363"/>
      <c r="E1152" s="361" t="e">
        <f aca="false">общ.калькуляция!h1151</f>
        <v>#NAME?</v>
      </c>
      <c r="F1152" s="361"/>
      <c r="G1152" s="361"/>
      <c r="H1152" s="361" t="e">
        <f aca="false">общ.калькуляция!j1151</f>
        <v>#NAME?</v>
      </c>
      <c r="I1152" s="361"/>
      <c r="J1152" s="361"/>
      <c r="K1152" s="361" t="e">
        <f aca="false">общ.калькуляция!m1151</f>
        <v>#NAME?</v>
      </c>
      <c r="L1152" s="361"/>
      <c r="M1152" s="361"/>
      <c r="N1152" s="362" t="e">
        <f aca="false">E1152+H1152+K1152</f>
        <v>#NAME?</v>
      </c>
    </row>
    <row r="1153" s="358" customFormat="true" ht="30" hidden="false" customHeight="false" outlineLevel="0" collapsed="false">
      <c r="A1153" s="327" t="s">
        <v>1897</v>
      </c>
      <c r="B1153" s="78" t="s">
        <v>3684</v>
      </c>
      <c r="C1153" s="363"/>
      <c r="D1153" s="363"/>
      <c r="E1153" s="361" t="e">
        <f aca="false">общ.калькуляция!h1152</f>
        <v>#NAME?</v>
      </c>
      <c r="F1153" s="361"/>
      <c r="G1153" s="361"/>
      <c r="H1153" s="361" t="e">
        <f aca="false">общ.калькуляция!j1152</f>
        <v>#NAME?</v>
      </c>
      <c r="I1153" s="361"/>
      <c r="J1153" s="361"/>
      <c r="K1153" s="361" t="e">
        <f aca="false">общ.калькуляция!m1152</f>
        <v>#NAME?</v>
      </c>
      <c r="L1153" s="361"/>
      <c r="M1153" s="361"/>
      <c r="N1153" s="362" t="e">
        <f aca="false">E1153+H1153+K1153</f>
        <v>#NAME?</v>
      </c>
    </row>
    <row r="1154" s="358" customFormat="true" ht="30" hidden="false" customHeight="false" outlineLevel="0" collapsed="false">
      <c r="A1154" s="327" t="s">
        <v>1899</v>
      </c>
      <c r="B1154" s="78" t="s">
        <v>3685</v>
      </c>
      <c r="C1154" s="363"/>
      <c r="D1154" s="363"/>
      <c r="E1154" s="361" t="e">
        <f aca="false">общ.калькуляция!h1153</f>
        <v>#NAME?</v>
      </c>
      <c r="F1154" s="361"/>
      <c r="G1154" s="361"/>
      <c r="H1154" s="361" t="e">
        <f aca="false">общ.калькуляция!j1153</f>
        <v>#NAME?</v>
      </c>
      <c r="I1154" s="361"/>
      <c r="J1154" s="361"/>
      <c r="K1154" s="361" t="e">
        <f aca="false">общ.калькуляция!m1153</f>
        <v>#NAME?</v>
      </c>
      <c r="L1154" s="361"/>
      <c r="M1154" s="361"/>
      <c r="N1154" s="362" t="e">
        <f aca="false">E1154+H1154+K1154</f>
        <v>#NAME?</v>
      </c>
    </row>
    <row r="1155" s="358" customFormat="true" ht="15" hidden="false" customHeight="false" outlineLevel="0" collapsed="false">
      <c r="A1155" s="327" t="s">
        <v>1901</v>
      </c>
      <c r="B1155" s="78" t="s">
        <v>3686</v>
      </c>
      <c r="C1155" s="363"/>
      <c r="D1155" s="363"/>
      <c r="E1155" s="361" t="e">
        <f aca="false">общ.калькуляция!h1154</f>
        <v>#NAME?</v>
      </c>
      <c r="F1155" s="361"/>
      <c r="G1155" s="361"/>
      <c r="H1155" s="361" t="e">
        <f aca="false">общ.калькуляция!j1154</f>
        <v>#NAME?</v>
      </c>
      <c r="I1155" s="361"/>
      <c r="J1155" s="361"/>
      <c r="K1155" s="361" t="e">
        <f aca="false">общ.калькуляция!m1154</f>
        <v>#NAME?</v>
      </c>
      <c r="L1155" s="361"/>
      <c r="M1155" s="361"/>
      <c r="N1155" s="362" t="e">
        <f aca="false">E1155+H1155+K1155</f>
        <v>#NAME?</v>
      </c>
    </row>
    <row r="1156" s="358" customFormat="true" ht="15" hidden="false" customHeight="false" outlineLevel="0" collapsed="false">
      <c r="A1156" s="327" t="s">
        <v>1903</v>
      </c>
      <c r="B1156" s="78" t="s">
        <v>3687</v>
      </c>
      <c r="C1156" s="363"/>
      <c r="D1156" s="363"/>
      <c r="E1156" s="361" t="e">
        <f aca="false">общ.калькуляция!h1155</f>
        <v>#NAME?</v>
      </c>
      <c r="F1156" s="361"/>
      <c r="G1156" s="361"/>
      <c r="H1156" s="361" t="e">
        <f aca="false">общ.калькуляция!j1155</f>
        <v>#NAME?</v>
      </c>
      <c r="I1156" s="361"/>
      <c r="J1156" s="361"/>
      <c r="K1156" s="361" t="e">
        <f aca="false">общ.калькуляция!m1155</f>
        <v>#NAME?</v>
      </c>
      <c r="L1156" s="361"/>
      <c r="M1156" s="361"/>
      <c r="N1156" s="362" t="e">
        <f aca="false">E1156+H1156+K1156</f>
        <v>#NAME?</v>
      </c>
    </row>
    <row r="1157" s="358" customFormat="true" ht="15" hidden="false" customHeight="false" outlineLevel="0" collapsed="false">
      <c r="A1157" s="327" t="s">
        <v>1905</v>
      </c>
      <c r="B1157" s="78" t="s">
        <v>3688</v>
      </c>
      <c r="C1157" s="363"/>
      <c r="D1157" s="363"/>
      <c r="E1157" s="361" t="e">
        <f aca="false">общ.калькуляция!h1156</f>
        <v>#NAME?</v>
      </c>
      <c r="F1157" s="361"/>
      <c r="G1157" s="361"/>
      <c r="H1157" s="361" t="e">
        <f aca="false">общ.калькуляция!j1156</f>
        <v>#NAME?</v>
      </c>
      <c r="I1157" s="361"/>
      <c r="J1157" s="361"/>
      <c r="K1157" s="361" t="e">
        <f aca="false">общ.калькуляция!m1156</f>
        <v>#NAME?</v>
      </c>
      <c r="L1157" s="361"/>
      <c r="M1157" s="361"/>
      <c r="N1157" s="362" t="e">
        <f aca="false">E1157+H1157+K1157</f>
        <v>#NAME?</v>
      </c>
    </row>
    <row r="1158" s="358" customFormat="true" ht="15" hidden="false" customHeight="false" outlineLevel="0" collapsed="false">
      <c r="A1158" s="327" t="s">
        <v>1907</v>
      </c>
      <c r="B1158" s="78" t="s">
        <v>3689</v>
      </c>
      <c r="C1158" s="363"/>
      <c r="D1158" s="363"/>
      <c r="E1158" s="361" t="e">
        <f aca="false">общ.калькуляция!h1157</f>
        <v>#NAME?</v>
      </c>
      <c r="F1158" s="361"/>
      <c r="G1158" s="361"/>
      <c r="H1158" s="361" t="e">
        <f aca="false">общ.калькуляция!j1157</f>
        <v>#NAME?</v>
      </c>
      <c r="I1158" s="361"/>
      <c r="J1158" s="361"/>
      <c r="K1158" s="361" t="e">
        <f aca="false">общ.калькуляция!m1157</f>
        <v>#NAME?</v>
      </c>
      <c r="L1158" s="361"/>
      <c r="M1158" s="361"/>
      <c r="N1158" s="362" t="e">
        <f aca="false">E1158+H1158+K1158</f>
        <v>#NAME?</v>
      </c>
    </row>
    <row r="1159" s="358" customFormat="true" ht="15" hidden="false" customHeight="false" outlineLevel="0" collapsed="false">
      <c r="A1159" s="327" t="s">
        <v>1909</v>
      </c>
      <c r="B1159" s="78" t="s">
        <v>3690</v>
      </c>
      <c r="C1159" s="363"/>
      <c r="D1159" s="363"/>
      <c r="E1159" s="361" t="e">
        <f aca="false">общ.калькуляция!h1158</f>
        <v>#NAME?</v>
      </c>
      <c r="F1159" s="361"/>
      <c r="G1159" s="361"/>
      <c r="H1159" s="361" t="e">
        <f aca="false">общ.калькуляция!j1158</f>
        <v>#NAME?</v>
      </c>
      <c r="I1159" s="361"/>
      <c r="J1159" s="361"/>
      <c r="K1159" s="361" t="e">
        <f aca="false">общ.калькуляция!m1158</f>
        <v>#NAME?</v>
      </c>
      <c r="L1159" s="361"/>
      <c r="M1159" s="361"/>
      <c r="N1159" s="362" t="e">
        <f aca="false">E1159+H1159+K1159</f>
        <v>#NAME?</v>
      </c>
    </row>
    <row r="1160" s="358" customFormat="true" ht="30" hidden="false" customHeight="false" outlineLevel="0" collapsed="false">
      <c r="A1160" s="327" t="s">
        <v>1911</v>
      </c>
      <c r="B1160" s="78" t="s">
        <v>3691</v>
      </c>
      <c r="C1160" s="363"/>
      <c r="D1160" s="363"/>
      <c r="E1160" s="361" t="e">
        <f aca="false">общ.калькуляция!h1159</f>
        <v>#NAME?</v>
      </c>
      <c r="F1160" s="361"/>
      <c r="G1160" s="361"/>
      <c r="H1160" s="361" t="e">
        <f aca="false">общ.калькуляция!j1159</f>
        <v>#NAME?</v>
      </c>
      <c r="I1160" s="361"/>
      <c r="J1160" s="361"/>
      <c r="K1160" s="361" t="e">
        <f aca="false">общ.калькуляция!m1159</f>
        <v>#NAME?</v>
      </c>
      <c r="L1160" s="361"/>
      <c r="M1160" s="361"/>
      <c r="N1160" s="362" t="e">
        <f aca="false">E1160+H1160+K1160</f>
        <v>#NAME?</v>
      </c>
    </row>
    <row r="1161" s="358" customFormat="true" ht="15" hidden="false" customHeight="false" outlineLevel="0" collapsed="false">
      <c r="A1161" s="327" t="s">
        <v>1913</v>
      </c>
      <c r="B1161" s="78" t="s">
        <v>3692</v>
      </c>
      <c r="C1161" s="363"/>
      <c r="D1161" s="363"/>
      <c r="E1161" s="361" t="e">
        <f aca="false">общ.калькуляция!h1160</f>
        <v>#NAME?</v>
      </c>
      <c r="F1161" s="361"/>
      <c r="G1161" s="361"/>
      <c r="H1161" s="361" t="e">
        <f aca="false">общ.калькуляция!j1160</f>
        <v>#NAME?</v>
      </c>
      <c r="I1161" s="361"/>
      <c r="J1161" s="361"/>
      <c r="K1161" s="361" t="e">
        <f aca="false">общ.калькуляция!m1160</f>
        <v>#NAME?</v>
      </c>
      <c r="L1161" s="361"/>
      <c r="M1161" s="361"/>
      <c r="N1161" s="362" t="e">
        <f aca="false">E1161+H1161+K1161</f>
        <v>#NAME?</v>
      </c>
    </row>
    <row r="1162" s="358" customFormat="true" ht="15" hidden="false" customHeight="false" outlineLevel="0" collapsed="false">
      <c r="A1162" s="327" t="s">
        <v>1915</v>
      </c>
      <c r="B1162" s="78" t="s">
        <v>3693</v>
      </c>
      <c r="C1162" s="363"/>
      <c r="D1162" s="363"/>
      <c r="E1162" s="361" t="e">
        <f aca="false">общ.калькуляция!h1161</f>
        <v>#NAME?</v>
      </c>
      <c r="F1162" s="361"/>
      <c r="G1162" s="361"/>
      <c r="H1162" s="361" t="e">
        <f aca="false">общ.калькуляция!j1161</f>
        <v>#NAME?</v>
      </c>
      <c r="I1162" s="361"/>
      <c r="J1162" s="361"/>
      <c r="K1162" s="361" t="e">
        <f aca="false">общ.калькуляция!m1161</f>
        <v>#NAME?</v>
      </c>
      <c r="L1162" s="361"/>
      <c r="M1162" s="361"/>
      <c r="N1162" s="362" t="e">
        <f aca="false">E1162+H1162+K1162</f>
        <v>#NAME?</v>
      </c>
    </row>
    <row r="1163" s="358" customFormat="true" ht="15" hidden="false" customHeight="false" outlineLevel="0" collapsed="false">
      <c r="A1163" s="327" t="s">
        <v>1917</v>
      </c>
      <c r="B1163" s="78" t="s">
        <v>3694</v>
      </c>
      <c r="C1163" s="363"/>
      <c r="D1163" s="363"/>
      <c r="E1163" s="361" t="e">
        <f aca="false">общ.калькуляция!h1162</f>
        <v>#NAME?</v>
      </c>
      <c r="F1163" s="361"/>
      <c r="G1163" s="361"/>
      <c r="H1163" s="361" t="e">
        <f aca="false">общ.калькуляция!j1162</f>
        <v>#NAME?</v>
      </c>
      <c r="I1163" s="361"/>
      <c r="J1163" s="361"/>
      <c r="K1163" s="361" t="e">
        <f aca="false">общ.калькуляция!m1162</f>
        <v>#NAME?</v>
      </c>
      <c r="L1163" s="361"/>
      <c r="M1163" s="361"/>
      <c r="N1163" s="362" t="e">
        <f aca="false">E1163+H1163+K1163</f>
        <v>#NAME?</v>
      </c>
    </row>
    <row r="1164" s="367" customFormat="true" ht="29.25" hidden="false" customHeight="true" outlineLevel="0" collapsed="false">
      <c r="A1164" s="327" t="s">
        <v>1919</v>
      </c>
      <c r="B1164" s="78" t="s">
        <v>3695</v>
      </c>
      <c r="C1164" s="366"/>
      <c r="D1164" s="366"/>
      <c r="E1164" s="361" t="e">
        <f aca="false">общ.калькуляция!h1163</f>
        <v>#NAME?</v>
      </c>
      <c r="F1164" s="361"/>
      <c r="G1164" s="361"/>
      <c r="H1164" s="361" t="e">
        <f aca="false">общ.калькуляция!j1163</f>
        <v>#NAME?</v>
      </c>
      <c r="I1164" s="361"/>
      <c r="J1164" s="361"/>
      <c r="K1164" s="361" t="e">
        <f aca="false">общ.калькуляция!m1163</f>
        <v>#NAME?</v>
      </c>
      <c r="L1164" s="361"/>
      <c r="M1164" s="361"/>
      <c r="N1164" s="362" t="e">
        <f aca="false">E1164+H1164+K1164</f>
        <v>#NAME?</v>
      </c>
    </row>
    <row r="1165" s="358" customFormat="true" ht="30" hidden="false" customHeight="false" outlineLevel="0" collapsed="false">
      <c r="A1165" s="327" t="s">
        <v>1921</v>
      </c>
      <c r="B1165" s="78" t="s">
        <v>3696</v>
      </c>
      <c r="C1165" s="363"/>
      <c r="D1165" s="363"/>
      <c r="E1165" s="361" t="e">
        <f aca="false">общ.калькуляция!h1164</f>
        <v>#NAME?</v>
      </c>
      <c r="F1165" s="361"/>
      <c r="G1165" s="361"/>
      <c r="H1165" s="361" t="e">
        <f aca="false">общ.калькуляция!j1164</f>
        <v>#NAME?</v>
      </c>
      <c r="I1165" s="361"/>
      <c r="J1165" s="361"/>
      <c r="K1165" s="361" t="e">
        <f aca="false">общ.калькуляция!m1164</f>
        <v>#NAME?</v>
      </c>
      <c r="L1165" s="361"/>
      <c r="M1165" s="361"/>
      <c r="N1165" s="362" t="e">
        <f aca="false">E1165+H1165+K1165</f>
        <v>#NAME?</v>
      </c>
    </row>
    <row r="1166" s="358" customFormat="true" ht="15" hidden="false" customHeight="false" outlineLevel="0" collapsed="false">
      <c r="A1166" s="350" t="s">
        <v>1922</v>
      </c>
      <c r="B1166" s="88" t="s">
        <v>3697</v>
      </c>
      <c r="C1166" s="359"/>
      <c r="D1166" s="359"/>
      <c r="E1166" s="364"/>
      <c r="F1166" s="364"/>
      <c r="G1166" s="364"/>
      <c r="H1166" s="364"/>
      <c r="I1166" s="364"/>
      <c r="J1166" s="364"/>
      <c r="K1166" s="364"/>
      <c r="L1166" s="364"/>
      <c r="M1166" s="364"/>
      <c r="N1166" s="365"/>
    </row>
    <row r="1167" s="358" customFormat="true" ht="30" hidden="false" customHeight="false" outlineLevel="0" collapsed="false">
      <c r="A1167" s="327" t="s">
        <v>1924</v>
      </c>
      <c r="B1167" s="78" t="s">
        <v>3698</v>
      </c>
      <c r="C1167" s="363"/>
      <c r="D1167" s="363"/>
      <c r="E1167" s="361" t="e">
        <f aca="false">общ.калькуляция!h1166</f>
        <v>#NAME?</v>
      </c>
      <c r="F1167" s="361"/>
      <c r="G1167" s="361"/>
      <c r="H1167" s="361" t="e">
        <f aca="false">общ.калькуляция!j1166</f>
        <v>#NAME?</v>
      </c>
      <c r="I1167" s="361"/>
      <c r="J1167" s="361"/>
      <c r="K1167" s="361" t="e">
        <f aca="false">общ.калькуляция!m1166</f>
        <v>#NAME?</v>
      </c>
      <c r="L1167" s="361"/>
      <c r="M1167" s="361"/>
      <c r="N1167" s="362" t="e">
        <f aca="false">E1167+H1167+K1167</f>
        <v>#NAME?</v>
      </c>
    </row>
    <row r="1168" s="358" customFormat="true" ht="15" hidden="false" customHeight="false" outlineLevel="0" collapsed="false">
      <c r="A1168" s="327" t="s">
        <v>1926</v>
      </c>
      <c r="B1168" s="78" t="s">
        <v>3699</v>
      </c>
      <c r="C1168" s="363"/>
      <c r="D1168" s="363"/>
      <c r="E1168" s="361" t="e">
        <f aca="false">общ.калькуляция!h1167</f>
        <v>#NAME?</v>
      </c>
      <c r="F1168" s="361"/>
      <c r="G1168" s="361"/>
      <c r="H1168" s="361" t="e">
        <f aca="false">общ.калькуляция!j1167</f>
        <v>#NAME?</v>
      </c>
      <c r="I1168" s="361"/>
      <c r="J1168" s="361"/>
      <c r="K1168" s="361" t="e">
        <f aca="false">общ.калькуляция!m1167</f>
        <v>#NAME?</v>
      </c>
      <c r="L1168" s="361"/>
      <c r="M1168" s="361"/>
      <c r="N1168" s="362" t="e">
        <f aca="false">E1168+H1168+K1168</f>
        <v>#NAME?</v>
      </c>
    </row>
    <row r="1169" s="358" customFormat="true" ht="30" hidden="false" customHeight="false" outlineLevel="0" collapsed="false">
      <c r="A1169" s="327" t="s">
        <v>1927</v>
      </c>
      <c r="B1169" s="78" t="s">
        <v>3700</v>
      </c>
      <c r="C1169" s="368"/>
      <c r="D1169" s="368"/>
      <c r="E1169" s="361" t="e">
        <f aca="false">общ.калькуляция!h1168</f>
        <v>#NAME?</v>
      </c>
      <c r="F1169" s="361"/>
      <c r="G1169" s="361"/>
      <c r="H1169" s="361" t="e">
        <f aca="false">общ.калькуляция!j1168</f>
        <v>#NAME?</v>
      </c>
      <c r="I1169" s="361"/>
      <c r="J1169" s="361"/>
      <c r="K1169" s="361" t="e">
        <f aca="false">общ.калькуляция!m1168</f>
        <v>#NAME?</v>
      </c>
      <c r="L1169" s="361"/>
      <c r="M1169" s="361"/>
      <c r="N1169" s="362" t="e">
        <f aca="false">E1169+H1169+K1169</f>
        <v>#NAME?</v>
      </c>
    </row>
    <row r="1170" s="358" customFormat="true" ht="30" hidden="false" customHeight="false" outlineLevel="0" collapsed="false">
      <c r="A1170" s="327" t="s">
        <v>1929</v>
      </c>
      <c r="B1170" s="78" t="s">
        <v>3701</v>
      </c>
      <c r="C1170" s="363"/>
      <c r="D1170" s="363"/>
      <c r="E1170" s="361" t="e">
        <f aca="false">общ.калькуляция!h1169</f>
        <v>#NAME?</v>
      </c>
      <c r="F1170" s="361"/>
      <c r="G1170" s="361"/>
      <c r="H1170" s="361" t="e">
        <f aca="false">общ.калькуляция!j1169</f>
        <v>#NAME?</v>
      </c>
      <c r="I1170" s="361"/>
      <c r="J1170" s="361"/>
      <c r="K1170" s="361" t="e">
        <f aca="false">общ.калькуляция!m1169</f>
        <v>#NAME?</v>
      </c>
      <c r="L1170" s="361"/>
      <c r="M1170" s="361"/>
      <c r="N1170" s="362" t="e">
        <f aca="false">E1170+H1170+K1170</f>
        <v>#NAME?</v>
      </c>
    </row>
    <row r="1171" s="358" customFormat="true" ht="15" hidden="false" customHeight="false" outlineLevel="0" collapsed="false">
      <c r="A1171" s="350" t="s">
        <v>1931</v>
      </c>
      <c r="B1171" s="88" t="s">
        <v>3702</v>
      </c>
      <c r="C1171" s="359"/>
      <c r="D1171" s="359"/>
      <c r="E1171" s="364"/>
      <c r="F1171" s="364"/>
      <c r="G1171" s="364"/>
      <c r="H1171" s="364"/>
      <c r="I1171" s="364"/>
      <c r="J1171" s="364"/>
      <c r="K1171" s="364"/>
      <c r="L1171" s="364"/>
      <c r="M1171" s="364"/>
      <c r="N1171" s="365"/>
    </row>
    <row r="1172" s="358" customFormat="true" ht="15" hidden="false" customHeight="false" outlineLevel="0" collapsed="false">
      <c r="A1172" s="327" t="s">
        <v>1933</v>
      </c>
      <c r="B1172" s="78" t="s">
        <v>3703</v>
      </c>
      <c r="C1172" s="363"/>
      <c r="D1172" s="363"/>
      <c r="E1172" s="361" t="e">
        <f aca="false">общ.калькуляция!h1171</f>
        <v>#NAME?</v>
      </c>
      <c r="F1172" s="361"/>
      <c r="G1172" s="361"/>
      <c r="H1172" s="361" t="e">
        <f aca="false">общ.калькуляция!j1171</f>
        <v>#NAME?</v>
      </c>
      <c r="I1172" s="361"/>
      <c r="J1172" s="361"/>
      <c r="K1172" s="361" t="e">
        <f aca="false">общ.калькуляция!m1171</f>
        <v>#NAME?</v>
      </c>
      <c r="L1172" s="361"/>
      <c r="M1172" s="361"/>
      <c r="N1172" s="362" t="e">
        <f aca="false">E1172+H1172+K1172</f>
        <v>#NAME?</v>
      </c>
    </row>
    <row r="1173" s="358" customFormat="true" ht="15" hidden="false" customHeight="false" outlineLevel="0" collapsed="false">
      <c r="A1173" s="327" t="s">
        <v>1935</v>
      </c>
      <c r="B1173" s="78" t="s">
        <v>3704</v>
      </c>
      <c r="C1173" s="363"/>
      <c r="D1173" s="363"/>
      <c r="E1173" s="361" t="e">
        <f aca="false">общ.калькуляция!h1172</f>
        <v>#NAME?</v>
      </c>
      <c r="F1173" s="361"/>
      <c r="G1173" s="361"/>
      <c r="H1173" s="361" t="e">
        <f aca="false">общ.калькуляция!j1172</f>
        <v>#NAME?</v>
      </c>
      <c r="I1173" s="361"/>
      <c r="J1173" s="361"/>
      <c r="K1173" s="361" t="e">
        <f aca="false">общ.калькуляция!m1172</f>
        <v>#NAME?</v>
      </c>
      <c r="L1173" s="361"/>
      <c r="M1173" s="361"/>
      <c r="N1173" s="362" t="e">
        <f aca="false">E1173+H1173+K1173</f>
        <v>#NAME?</v>
      </c>
    </row>
    <row r="1174" s="358" customFormat="true" ht="15" hidden="false" customHeight="false" outlineLevel="0" collapsed="false">
      <c r="A1174" s="327" t="s">
        <v>1937</v>
      </c>
      <c r="B1174" s="78" t="s">
        <v>3705</v>
      </c>
      <c r="C1174" s="363"/>
      <c r="D1174" s="363"/>
      <c r="E1174" s="361" t="e">
        <f aca="false">общ.калькуляция!h1173</f>
        <v>#NAME?</v>
      </c>
      <c r="F1174" s="361"/>
      <c r="G1174" s="361"/>
      <c r="H1174" s="361" t="e">
        <f aca="false">общ.калькуляция!j1173</f>
        <v>#NAME?</v>
      </c>
      <c r="I1174" s="361"/>
      <c r="J1174" s="361"/>
      <c r="K1174" s="361" t="e">
        <f aca="false">общ.калькуляция!m1173</f>
        <v>#NAME?</v>
      </c>
      <c r="L1174" s="361"/>
      <c r="M1174" s="361"/>
      <c r="N1174" s="362" t="e">
        <f aca="false">E1174+H1174+K1174</f>
        <v>#NAME?</v>
      </c>
    </row>
    <row r="1175" s="358" customFormat="true" ht="15" hidden="false" customHeight="false" outlineLevel="0" collapsed="false">
      <c r="A1175" s="327" t="s">
        <v>1939</v>
      </c>
      <c r="B1175" s="78" t="s">
        <v>3706</v>
      </c>
      <c r="C1175" s="363"/>
      <c r="D1175" s="363"/>
      <c r="E1175" s="361" t="e">
        <f aca="false">общ.калькуляция!h1174</f>
        <v>#NAME?</v>
      </c>
      <c r="F1175" s="361"/>
      <c r="G1175" s="361"/>
      <c r="H1175" s="361" t="e">
        <f aca="false">общ.калькуляция!j1174</f>
        <v>#NAME?</v>
      </c>
      <c r="I1175" s="361"/>
      <c r="J1175" s="361"/>
      <c r="K1175" s="361" t="e">
        <f aca="false">общ.калькуляция!m1174</f>
        <v>#NAME?</v>
      </c>
      <c r="L1175" s="361"/>
      <c r="M1175" s="361"/>
      <c r="N1175" s="362" t="e">
        <f aca="false">E1175+H1175+K1175</f>
        <v>#NAME?</v>
      </c>
    </row>
    <row r="1176" s="367" customFormat="true" ht="21" hidden="false" customHeight="true" outlineLevel="0" collapsed="false">
      <c r="A1176" s="327" t="s">
        <v>1941</v>
      </c>
      <c r="B1176" s="78" t="s">
        <v>3707</v>
      </c>
      <c r="C1176" s="366"/>
      <c r="D1176" s="366"/>
      <c r="E1176" s="361" t="e">
        <f aca="false">общ.калькуляция!h1175</f>
        <v>#NAME?</v>
      </c>
      <c r="F1176" s="361"/>
      <c r="G1176" s="361"/>
      <c r="H1176" s="361" t="e">
        <f aca="false">общ.калькуляция!j1175</f>
        <v>#NAME?</v>
      </c>
      <c r="I1176" s="361"/>
      <c r="J1176" s="361"/>
      <c r="K1176" s="361" t="e">
        <f aca="false">общ.калькуляция!m1175</f>
        <v>#NAME?</v>
      </c>
      <c r="L1176" s="361"/>
      <c r="M1176" s="361"/>
      <c r="N1176" s="362" t="e">
        <f aca="false">E1176+H1176+K1176</f>
        <v>#NAME?</v>
      </c>
    </row>
    <row r="1177" s="367" customFormat="true" ht="15" hidden="false" customHeight="false" outlineLevel="0" collapsed="false">
      <c r="A1177" s="327" t="s">
        <v>1943</v>
      </c>
      <c r="B1177" s="78" t="s">
        <v>3708</v>
      </c>
      <c r="C1177" s="369"/>
      <c r="D1177" s="369"/>
      <c r="E1177" s="361" t="e">
        <f aca="false">общ.калькуляция!h1176</f>
        <v>#NAME?</v>
      </c>
      <c r="F1177" s="361"/>
      <c r="G1177" s="361"/>
      <c r="H1177" s="361" t="e">
        <f aca="false">общ.калькуляция!j1176</f>
        <v>#NAME?</v>
      </c>
      <c r="I1177" s="361"/>
      <c r="J1177" s="361"/>
      <c r="K1177" s="361" t="e">
        <f aca="false">общ.калькуляция!m1176</f>
        <v>#NAME?</v>
      </c>
      <c r="L1177" s="361"/>
      <c r="M1177" s="361"/>
      <c r="N1177" s="362" t="e">
        <f aca="false">E1177+H1177+K1177</f>
        <v>#NAME?</v>
      </c>
    </row>
    <row r="1178" s="358" customFormat="true" ht="15" hidden="false" customHeight="false" outlineLevel="0" collapsed="false">
      <c r="A1178" s="350" t="s">
        <v>1945</v>
      </c>
      <c r="B1178" s="88" t="s">
        <v>3709</v>
      </c>
      <c r="C1178" s="359"/>
      <c r="D1178" s="359"/>
      <c r="E1178" s="364"/>
      <c r="F1178" s="364"/>
      <c r="G1178" s="364"/>
      <c r="H1178" s="364"/>
      <c r="I1178" s="364"/>
      <c r="J1178" s="364"/>
      <c r="K1178" s="364"/>
      <c r="L1178" s="364"/>
      <c r="M1178" s="364"/>
      <c r="N1178" s="365"/>
    </row>
    <row r="1179" s="358" customFormat="true" ht="45" hidden="false" customHeight="false" outlineLevel="0" collapsed="false">
      <c r="A1179" s="327" t="s">
        <v>1947</v>
      </c>
      <c r="B1179" s="78" t="s">
        <v>3710</v>
      </c>
      <c r="C1179" s="363"/>
      <c r="D1179" s="363"/>
      <c r="E1179" s="361" t="e">
        <f aca="false">общ.калькуляция!h1178</f>
        <v>#NAME?</v>
      </c>
      <c r="F1179" s="361"/>
      <c r="G1179" s="361"/>
      <c r="H1179" s="361" t="e">
        <f aca="false">общ.калькуляция!j1178</f>
        <v>#NAME?</v>
      </c>
      <c r="I1179" s="361"/>
      <c r="J1179" s="361"/>
      <c r="K1179" s="361" t="e">
        <f aca="false">общ.калькуляция!m1178</f>
        <v>#NAME?</v>
      </c>
      <c r="L1179" s="361"/>
      <c r="M1179" s="361"/>
      <c r="N1179" s="362" t="e">
        <f aca="false">E1179+H1179+K1179</f>
        <v>#NAME?</v>
      </c>
    </row>
    <row r="1180" s="358" customFormat="true" ht="30" hidden="false" customHeight="false" outlineLevel="0" collapsed="false">
      <c r="A1180" s="327" t="s">
        <v>1949</v>
      </c>
      <c r="B1180" s="99" t="s">
        <v>3711</v>
      </c>
      <c r="C1180" s="363"/>
      <c r="D1180" s="363"/>
      <c r="E1180" s="361" t="e">
        <f aca="false">общ.калькуляция!h1179</f>
        <v>#NAME?</v>
      </c>
      <c r="F1180" s="361"/>
      <c r="G1180" s="361"/>
      <c r="H1180" s="361" t="e">
        <f aca="false">общ.калькуляция!j1179</f>
        <v>#NAME?</v>
      </c>
      <c r="I1180" s="361"/>
      <c r="J1180" s="361"/>
      <c r="K1180" s="361" t="e">
        <f aca="false">общ.калькуляция!m1179</f>
        <v>#NAME?</v>
      </c>
      <c r="L1180" s="361"/>
      <c r="M1180" s="361"/>
      <c r="N1180" s="362" t="e">
        <f aca="false">E1180+H1180+K1180</f>
        <v>#NAME?</v>
      </c>
    </row>
    <row r="1181" s="358" customFormat="true" ht="15" hidden="false" customHeight="false" outlineLevel="0" collapsed="false">
      <c r="A1181" s="327" t="s">
        <v>1950</v>
      </c>
      <c r="B1181" s="99" t="s">
        <v>3693</v>
      </c>
      <c r="C1181" s="363"/>
      <c r="D1181" s="363"/>
      <c r="E1181" s="361" t="e">
        <f aca="false">общ.калькуляция!h1180</f>
        <v>#NAME?</v>
      </c>
      <c r="F1181" s="361"/>
      <c r="G1181" s="361"/>
      <c r="H1181" s="361" t="e">
        <f aca="false">общ.калькуляция!j1180</f>
        <v>#NAME?</v>
      </c>
      <c r="I1181" s="361"/>
      <c r="J1181" s="361"/>
      <c r="K1181" s="361" t="e">
        <f aca="false">общ.калькуляция!m1180</f>
        <v>#NAME?</v>
      </c>
      <c r="L1181" s="361"/>
      <c r="M1181" s="361"/>
      <c r="N1181" s="362" t="e">
        <f aca="false">E1181+H1181+K1181</f>
        <v>#NAME?</v>
      </c>
    </row>
    <row r="1182" s="358" customFormat="true" ht="19.5" hidden="false" customHeight="true" outlineLevel="0" collapsed="false">
      <c r="A1182" s="327" t="s">
        <v>1951</v>
      </c>
      <c r="B1182" s="99" t="s">
        <v>3691</v>
      </c>
      <c r="C1182" s="363"/>
      <c r="D1182" s="363"/>
      <c r="E1182" s="361" t="e">
        <f aca="false">общ.калькуляция!h1181</f>
        <v>#NAME?</v>
      </c>
      <c r="F1182" s="361"/>
      <c r="G1182" s="361"/>
      <c r="H1182" s="361" t="e">
        <f aca="false">общ.калькуляция!j1181</f>
        <v>#NAME?</v>
      </c>
      <c r="I1182" s="361"/>
      <c r="J1182" s="361"/>
      <c r="K1182" s="361" t="e">
        <f aca="false">общ.калькуляция!m1181</f>
        <v>#NAME?</v>
      </c>
      <c r="L1182" s="361"/>
      <c r="M1182" s="361"/>
      <c r="N1182" s="362" t="e">
        <f aca="false">E1182+H1182+K1182</f>
        <v>#NAME?</v>
      </c>
    </row>
    <row r="1183" s="367" customFormat="true" ht="32.25" hidden="false" customHeight="true" outlineLevel="0" collapsed="false">
      <c r="A1183" s="327" t="s">
        <v>1952</v>
      </c>
      <c r="B1183" s="99" t="s">
        <v>3712</v>
      </c>
      <c r="C1183" s="366"/>
      <c r="D1183" s="366"/>
      <c r="E1183" s="361" t="e">
        <f aca="false">общ.калькуляция!h1182</f>
        <v>#NAME?</v>
      </c>
      <c r="F1183" s="361"/>
      <c r="G1183" s="361"/>
      <c r="H1183" s="361" t="e">
        <f aca="false">общ.калькуляция!j1182</f>
        <v>#NAME?</v>
      </c>
      <c r="I1183" s="361"/>
      <c r="J1183" s="361"/>
      <c r="K1183" s="361" t="e">
        <f aca="false">общ.калькуляция!m1182</f>
        <v>#NAME?</v>
      </c>
      <c r="L1183" s="361"/>
      <c r="M1183" s="361"/>
      <c r="N1183" s="362" t="e">
        <f aca="false">E1183+H1183+K1183</f>
        <v>#NAME?</v>
      </c>
    </row>
    <row r="1184" s="358" customFormat="true" ht="15" hidden="false" customHeight="false" outlineLevel="0" collapsed="false">
      <c r="A1184" s="350" t="s">
        <v>1954</v>
      </c>
      <c r="B1184" s="370" t="s">
        <v>3713</v>
      </c>
      <c r="C1184" s="359"/>
      <c r="D1184" s="359"/>
      <c r="E1184" s="364"/>
      <c r="F1184" s="364"/>
      <c r="G1184" s="364"/>
      <c r="H1184" s="364"/>
      <c r="I1184" s="364"/>
      <c r="J1184" s="364"/>
      <c r="K1184" s="364"/>
      <c r="L1184" s="364"/>
      <c r="M1184" s="364"/>
      <c r="N1184" s="365"/>
    </row>
    <row r="1185" s="358" customFormat="true" ht="30" hidden="false" customHeight="false" outlineLevel="0" collapsed="false">
      <c r="A1185" s="327" t="s">
        <v>1956</v>
      </c>
      <c r="B1185" s="78" t="s">
        <v>3714</v>
      </c>
      <c r="C1185" s="363"/>
      <c r="D1185" s="363"/>
      <c r="E1185" s="361" t="e">
        <f aca="false">общ.калькуляция!h1184</f>
        <v>#NAME?</v>
      </c>
      <c r="F1185" s="361"/>
      <c r="G1185" s="361"/>
      <c r="H1185" s="361" t="e">
        <f aca="false">общ.калькуляция!j1184</f>
        <v>#NAME?</v>
      </c>
      <c r="I1185" s="361"/>
      <c r="J1185" s="361"/>
      <c r="K1185" s="361" t="e">
        <f aca="false">общ.калькуляция!m1184</f>
        <v>#NAME?</v>
      </c>
      <c r="L1185" s="361"/>
      <c r="M1185" s="361"/>
      <c r="N1185" s="362" t="e">
        <f aca="false">E1185+H1185+K1185</f>
        <v>#NAME?</v>
      </c>
    </row>
    <row r="1186" s="358" customFormat="true" ht="15" hidden="false" customHeight="false" outlineLevel="0" collapsed="false">
      <c r="A1186" s="327" t="s">
        <v>1958</v>
      </c>
      <c r="B1186" s="78" t="s">
        <v>3715</v>
      </c>
      <c r="C1186" s="363"/>
      <c r="D1186" s="363"/>
      <c r="E1186" s="361" t="e">
        <f aca="false">общ.калькуляция!h1185</f>
        <v>#NAME?</v>
      </c>
      <c r="F1186" s="361"/>
      <c r="G1186" s="361"/>
      <c r="H1186" s="361" t="e">
        <f aca="false">общ.калькуляция!j1185</f>
        <v>#NAME?</v>
      </c>
      <c r="I1186" s="361"/>
      <c r="J1186" s="361"/>
      <c r="K1186" s="361" t="e">
        <f aca="false">общ.калькуляция!m1185</f>
        <v>#NAME?</v>
      </c>
      <c r="L1186" s="361"/>
      <c r="M1186" s="361"/>
      <c r="N1186" s="362" t="e">
        <f aca="false">E1186+H1186+K1186</f>
        <v>#NAME?</v>
      </c>
    </row>
    <row r="1187" s="358" customFormat="true" ht="15" hidden="false" customHeight="false" outlineLevel="0" collapsed="false">
      <c r="A1187" s="327" t="s">
        <v>1960</v>
      </c>
      <c r="B1187" s="78" t="s">
        <v>3716</v>
      </c>
      <c r="C1187" s="363"/>
      <c r="D1187" s="363"/>
      <c r="E1187" s="361" t="e">
        <f aca="false">общ.калькуляция!h1186</f>
        <v>#NAME?</v>
      </c>
      <c r="F1187" s="361"/>
      <c r="G1187" s="361"/>
      <c r="H1187" s="361" t="e">
        <f aca="false">общ.калькуляция!j1186</f>
        <v>#NAME?</v>
      </c>
      <c r="I1187" s="361"/>
      <c r="J1187" s="361"/>
      <c r="K1187" s="361" t="e">
        <f aca="false">общ.калькуляция!m1186</f>
        <v>#NAME?</v>
      </c>
      <c r="L1187" s="361"/>
      <c r="M1187" s="361"/>
      <c r="N1187" s="362" t="e">
        <f aca="false">E1187+H1187+K1187</f>
        <v>#NAME?</v>
      </c>
    </row>
    <row r="1188" s="358" customFormat="true" ht="15" hidden="false" customHeight="false" outlineLevel="0" collapsed="false">
      <c r="A1188" s="327" t="s">
        <v>1962</v>
      </c>
      <c r="B1188" s="78" t="s">
        <v>3717</v>
      </c>
      <c r="C1188" s="363"/>
      <c r="D1188" s="363"/>
      <c r="E1188" s="361" t="e">
        <f aca="false">общ.калькуляция!h1187</f>
        <v>#NAME?</v>
      </c>
      <c r="F1188" s="361"/>
      <c r="G1188" s="361"/>
      <c r="H1188" s="361" t="e">
        <f aca="false">общ.калькуляция!j1187</f>
        <v>#NAME?</v>
      </c>
      <c r="I1188" s="361"/>
      <c r="J1188" s="361"/>
      <c r="K1188" s="361" t="e">
        <f aca="false">общ.калькуляция!m1187</f>
        <v>#NAME?</v>
      </c>
      <c r="L1188" s="361"/>
      <c r="M1188" s="361"/>
      <c r="N1188" s="362" t="e">
        <f aca="false">E1188+H1188+K1188</f>
        <v>#NAME?</v>
      </c>
    </row>
    <row r="1189" s="358" customFormat="true" ht="15" hidden="false" customHeight="false" outlineLevel="0" collapsed="false">
      <c r="A1189" s="327" t="s">
        <v>1964</v>
      </c>
      <c r="B1189" s="78" t="s">
        <v>3693</v>
      </c>
      <c r="C1189" s="363"/>
      <c r="D1189" s="363"/>
      <c r="E1189" s="361" t="e">
        <f aca="false">общ.калькуляция!h1188</f>
        <v>#NAME?</v>
      </c>
      <c r="F1189" s="361"/>
      <c r="G1189" s="361"/>
      <c r="H1189" s="361" t="e">
        <f aca="false">общ.калькуляция!j1188</f>
        <v>#NAME?</v>
      </c>
      <c r="I1189" s="361"/>
      <c r="J1189" s="361"/>
      <c r="K1189" s="361" t="e">
        <f aca="false">общ.калькуляция!m1188</f>
        <v>#NAME?</v>
      </c>
      <c r="L1189" s="361"/>
      <c r="M1189" s="361"/>
      <c r="N1189" s="362" t="e">
        <f aca="false">E1189+H1189+K1189</f>
        <v>#NAME?</v>
      </c>
    </row>
    <row r="1190" s="358" customFormat="true" ht="30" hidden="false" customHeight="false" outlineLevel="0" collapsed="false">
      <c r="A1190" s="327" t="s">
        <v>1965</v>
      </c>
      <c r="B1190" s="78" t="s">
        <v>3691</v>
      </c>
      <c r="C1190" s="363"/>
      <c r="D1190" s="363"/>
      <c r="E1190" s="361" t="e">
        <f aca="false">общ.калькуляция!h1189</f>
        <v>#NAME?</v>
      </c>
      <c r="F1190" s="361"/>
      <c r="G1190" s="361"/>
      <c r="H1190" s="361" t="e">
        <f aca="false">общ.калькуляция!j1189</f>
        <v>#NAME?</v>
      </c>
      <c r="I1190" s="361"/>
      <c r="J1190" s="361"/>
      <c r="K1190" s="361" t="e">
        <f aca="false">общ.калькуляция!m1189</f>
        <v>#NAME?</v>
      </c>
      <c r="L1190" s="361"/>
      <c r="M1190" s="361"/>
      <c r="N1190" s="362" t="e">
        <f aca="false">E1190+H1190+K1190</f>
        <v>#NAME?</v>
      </c>
    </row>
    <row r="1191" s="367" customFormat="true" ht="36.75" hidden="false" customHeight="true" outlineLevel="0" collapsed="false">
      <c r="A1191" s="327" t="s">
        <v>1966</v>
      </c>
      <c r="B1191" s="78" t="s">
        <v>3718</v>
      </c>
      <c r="C1191" s="366"/>
      <c r="D1191" s="366"/>
      <c r="E1191" s="361" t="e">
        <f aca="false">общ.калькуляция!h1190</f>
        <v>#NAME?</v>
      </c>
      <c r="F1191" s="361"/>
      <c r="G1191" s="361"/>
      <c r="H1191" s="361" t="e">
        <f aca="false">общ.калькуляция!j1190</f>
        <v>#NAME?</v>
      </c>
      <c r="I1191" s="361"/>
      <c r="J1191" s="361"/>
      <c r="K1191" s="361" t="e">
        <f aca="false">общ.калькуляция!m1190</f>
        <v>#NAME?</v>
      </c>
      <c r="L1191" s="361"/>
      <c r="M1191" s="361"/>
      <c r="N1191" s="362" t="e">
        <f aca="false">E1191+H1191+K1191</f>
        <v>#NAME?</v>
      </c>
    </row>
    <row r="1192" s="358" customFormat="true" ht="30" hidden="false" customHeight="false" outlineLevel="0" collapsed="false">
      <c r="A1192" s="327" t="s">
        <v>1968</v>
      </c>
      <c r="B1192" s="78" t="s">
        <v>3719</v>
      </c>
      <c r="C1192" s="363"/>
      <c r="D1192" s="363"/>
      <c r="E1192" s="361" t="e">
        <f aca="false">общ.калькуляция!h1191</f>
        <v>#NAME?</v>
      </c>
      <c r="F1192" s="361"/>
      <c r="G1192" s="361"/>
      <c r="H1192" s="361" t="e">
        <f aca="false">общ.калькуляция!j1191</f>
        <v>#NAME?</v>
      </c>
      <c r="I1192" s="361"/>
      <c r="J1192" s="361"/>
      <c r="K1192" s="361" t="e">
        <f aca="false">общ.калькуляция!m1191</f>
        <v>#NAME?</v>
      </c>
      <c r="L1192" s="361"/>
      <c r="M1192" s="361"/>
      <c r="N1192" s="362" t="e">
        <f aca="false">E1192+H1192+K1192</f>
        <v>#NAME?</v>
      </c>
    </row>
    <row r="1193" s="358" customFormat="true" ht="15" hidden="false" customHeight="false" outlineLevel="0" collapsed="false">
      <c r="A1193" s="350" t="s">
        <v>1969</v>
      </c>
      <c r="B1193" s="88" t="s">
        <v>3720</v>
      </c>
      <c r="C1193" s="359"/>
      <c r="D1193" s="359"/>
      <c r="E1193" s="364"/>
      <c r="F1193" s="364"/>
      <c r="G1193" s="364"/>
      <c r="H1193" s="364"/>
      <c r="I1193" s="364"/>
      <c r="J1193" s="364"/>
      <c r="K1193" s="364"/>
      <c r="L1193" s="364"/>
      <c r="M1193" s="364"/>
      <c r="N1193" s="365"/>
    </row>
    <row r="1194" s="358" customFormat="true" ht="30" hidden="false" customHeight="false" outlineLevel="0" collapsed="false">
      <c r="A1194" s="327" t="s">
        <v>1971</v>
      </c>
      <c r="B1194" s="78" t="s">
        <v>3721</v>
      </c>
      <c r="C1194" s="363"/>
      <c r="D1194" s="363"/>
      <c r="E1194" s="361" t="e">
        <f aca="false">общ.калькуляция!h1193</f>
        <v>#NAME?</v>
      </c>
      <c r="F1194" s="361"/>
      <c r="G1194" s="361"/>
      <c r="H1194" s="361" t="e">
        <f aca="false">общ.калькуляция!j1193</f>
        <v>#NAME?</v>
      </c>
      <c r="I1194" s="361"/>
      <c r="J1194" s="361"/>
      <c r="K1194" s="361" t="e">
        <f aca="false">общ.калькуляция!m1193</f>
        <v>#NAME?</v>
      </c>
      <c r="L1194" s="361"/>
      <c r="M1194" s="361"/>
      <c r="N1194" s="362" t="e">
        <f aca="false">E1194+H1194+K1194</f>
        <v>#NAME?</v>
      </c>
    </row>
    <row r="1195" s="358" customFormat="true" ht="15" hidden="false" customHeight="false" outlineLevel="0" collapsed="false">
      <c r="A1195" s="327" t="s">
        <v>1973</v>
      </c>
      <c r="B1195" s="78" t="s">
        <v>3722</v>
      </c>
      <c r="C1195" s="363"/>
      <c r="D1195" s="363"/>
      <c r="E1195" s="361" t="e">
        <f aca="false">общ.калькуляция!h1194</f>
        <v>#NAME?</v>
      </c>
      <c r="F1195" s="361"/>
      <c r="G1195" s="361"/>
      <c r="H1195" s="361" t="e">
        <f aca="false">общ.калькуляция!j1194</f>
        <v>#NAME?</v>
      </c>
      <c r="I1195" s="361"/>
      <c r="J1195" s="361"/>
      <c r="K1195" s="361" t="e">
        <f aca="false">общ.калькуляция!m1194</f>
        <v>#NAME?</v>
      </c>
      <c r="L1195" s="361"/>
      <c r="M1195" s="361"/>
      <c r="N1195" s="362" t="e">
        <f aca="false">E1195+H1195+K1195</f>
        <v>#NAME?</v>
      </c>
    </row>
    <row r="1196" s="358" customFormat="true" ht="15" hidden="false" customHeight="false" outlineLevel="0" collapsed="false">
      <c r="A1196" s="327" t="s">
        <v>1974</v>
      </c>
      <c r="B1196" s="78" t="s">
        <v>3693</v>
      </c>
      <c r="C1196" s="363"/>
      <c r="D1196" s="363"/>
      <c r="E1196" s="361" t="e">
        <f aca="false">общ.калькуляция!h1195</f>
        <v>#NAME?</v>
      </c>
      <c r="F1196" s="361"/>
      <c r="G1196" s="361"/>
      <c r="H1196" s="361" t="e">
        <f aca="false">общ.калькуляция!j1195</f>
        <v>#NAME?</v>
      </c>
      <c r="I1196" s="361"/>
      <c r="J1196" s="361"/>
      <c r="K1196" s="361" t="e">
        <f aca="false">общ.калькуляция!m1195</f>
        <v>#NAME?</v>
      </c>
      <c r="L1196" s="361"/>
      <c r="M1196" s="361"/>
      <c r="N1196" s="362" t="e">
        <f aca="false">E1196+H1196+K1196</f>
        <v>#NAME?</v>
      </c>
    </row>
    <row r="1197" s="358" customFormat="true" ht="15" hidden="false" customHeight="false" outlineLevel="0" collapsed="false">
      <c r="A1197" s="327" t="s">
        <v>1975</v>
      </c>
      <c r="B1197" s="78" t="s">
        <v>3723</v>
      </c>
      <c r="C1197" s="363"/>
      <c r="D1197" s="363"/>
      <c r="E1197" s="361" t="e">
        <f aca="false">общ.калькуляция!h1196</f>
        <v>#NAME?</v>
      </c>
      <c r="F1197" s="361"/>
      <c r="G1197" s="361"/>
      <c r="H1197" s="361" t="e">
        <f aca="false">общ.калькуляция!j1196</f>
        <v>#NAME?</v>
      </c>
      <c r="I1197" s="361"/>
      <c r="J1197" s="361"/>
      <c r="K1197" s="361" t="e">
        <f aca="false">общ.калькуляция!m1196</f>
        <v>#NAME?</v>
      </c>
      <c r="L1197" s="361"/>
      <c r="M1197" s="361"/>
      <c r="N1197" s="362" t="e">
        <f aca="false">E1197+H1197+K1197</f>
        <v>#NAME?</v>
      </c>
    </row>
    <row r="1198" s="358" customFormat="true" ht="30" hidden="false" customHeight="false" outlineLevel="0" collapsed="false">
      <c r="A1198" s="327" t="s">
        <v>1976</v>
      </c>
      <c r="B1198" s="78" t="s">
        <v>3724</v>
      </c>
      <c r="C1198" s="363"/>
      <c r="D1198" s="363"/>
      <c r="E1198" s="361" t="e">
        <f aca="false">общ.калькуляция!h1197</f>
        <v>#NAME?</v>
      </c>
      <c r="F1198" s="361"/>
      <c r="G1198" s="361"/>
      <c r="H1198" s="361" t="e">
        <f aca="false">общ.калькуляция!j1197</f>
        <v>#NAME?</v>
      </c>
      <c r="I1198" s="361"/>
      <c r="J1198" s="361"/>
      <c r="K1198" s="361" t="e">
        <f aca="false">общ.калькуляция!m1197</f>
        <v>#NAME?</v>
      </c>
      <c r="L1198" s="361"/>
      <c r="M1198" s="361"/>
      <c r="N1198" s="362" t="e">
        <f aca="false">E1198+H1198+K1198</f>
        <v>#NAME?</v>
      </c>
    </row>
    <row r="1199" s="358" customFormat="true" ht="30" hidden="false" customHeight="false" outlineLevel="0" collapsed="false">
      <c r="A1199" s="327" t="s">
        <v>1978</v>
      </c>
      <c r="B1199" s="78" t="s">
        <v>3725</v>
      </c>
      <c r="C1199" s="363"/>
      <c r="D1199" s="363"/>
      <c r="E1199" s="361" t="e">
        <f aca="false">общ.калькуляция!h1198</f>
        <v>#NAME?</v>
      </c>
      <c r="F1199" s="361"/>
      <c r="G1199" s="361"/>
      <c r="H1199" s="361" t="e">
        <f aca="false">общ.калькуляция!j1198</f>
        <v>#NAME?</v>
      </c>
      <c r="I1199" s="361"/>
      <c r="J1199" s="361"/>
      <c r="K1199" s="361" t="e">
        <f aca="false">общ.калькуляция!m1198</f>
        <v>#NAME?</v>
      </c>
      <c r="L1199" s="361"/>
      <c r="M1199" s="361"/>
      <c r="N1199" s="362" t="e">
        <f aca="false">E1199+H1199+K1199</f>
        <v>#NAME?</v>
      </c>
    </row>
    <row r="1200" s="358" customFormat="true" ht="15" hidden="false" customHeight="false" outlineLevel="0" collapsed="false">
      <c r="A1200" s="327" t="s">
        <v>1980</v>
      </c>
      <c r="B1200" s="78" t="s">
        <v>3667</v>
      </c>
      <c r="C1200" s="363"/>
      <c r="D1200" s="363"/>
      <c r="E1200" s="361" t="e">
        <f aca="false">общ.калькуляция!h1199</f>
        <v>#NAME?</v>
      </c>
      <c r="F1200" s="361"/>
      <c r="G1200" s="361"/>
      <c r="H1200" s="361" t="e">
        <f aca="false">общ.калькуляция!j1199</f>
        <v>#NAME?</v>
      </c>
      <c r="I1200" s="361"/>
      <c r="J1200" s="361"/>
      <c r="K1200" s="361" t="e">
        <f aca="false">общ.калькуляция!m1199</f>
        <v>#NAME?</v>
      </c>
      <c r="L1200" s="361"/>
      <c r="M1200" s="361"/>
      <c r="N1200" s="362" t="e">
        <f aca="false">E1200+H1200+K1200</f>
        <v>#NAME?</v>
      </c>
    </row>
    <row r="1201" s="367" customFormat="true" ht="15" hidden="false" customHeight="false" outlineLevel="0" collapsed="false">
      <c r="A1201" s="327" t="s">
        <v>1982</v>
      </c>
      <c r="B1201" s="78" t="s">
        <v>3668</v>
      </c>
      <c r="C1201" s="366"/>
      <c r="D1201" s="366"/>
      <c r="E1201" s="361" t="e">
        <f aca="false">общ.калькуляция!h1200</f>
        <v>#NAME?</v>
      </c>
      <c r="F1201" s="361"/>
      <c r="G1201" s="361"/>
      <c r="H1201" s="361" t="e">
        <f aca="false">общ.калькуляция!j1200</f>
        <v>#NAME?</v>
      </c>
      <c r="I1201" s="361"/>
      <c r="J1201" s="361"/>
      <c r="K1201" s="361" t="e">
        <f aca="false">общ.калькуляция!m1200</f>
        <v>#NAME?</v>
      </c>
      <c r="L1201" s="361"/>
      <c r="M1201" s="361"/>
      <c r="N1201" s="362" t="e">
        <f aca="false">E1201+H1201+K1201</f>
        <v>#NAME?</v>
      </c>
    </row>
    <row r="1202" s="358" customFormat="true" ht="30" hidden="false" customHeight="false" outlineLevel="0" collapsed="false">
      <c r="A1202" s="327" t="s">
        <v>1984</v>
      </c>
      <c r="B1202" s="78" t="s">
        <v>3726</v>
      </c>
      <c r="C1202" s="363"/>
      <c r="D1202" s="363"/>
      <c r="E1202" s="361" t="e">
        <f aca="false">общ.калькуляция!h1201</f>
        <v>#NAME?</v>
      </c>
      <c r="F1202" s="361"/>
      <c r="G1202" s="361"/>
      <c r="H1202" s="361" t="e">
        <f aca="false">общ.калькуляция!j1201</f>
        <v>#NAME?</v>
      </c>
      <c r="I1202" s="361"/>
      <c r="J1202" s="361"/>
      <c r="K1202" s="361" t="e">
        <f aca="false">общ.калькуляция!m1201</f>
        <v>#NAME?</v>
      </c>
      <c r="L1202" s="361"/>
      <c r="M1202" s="361"/>
      <c r="N1202" s="362" t="e">
        <f aca="false">E1202+H1202+K1202</f>
        <v>#NAME?</v>
      </c>
    </row>
    <row r="1203" s="358" customFormat="true" ht="71.25" hidden="false" customHeight="false" outlineLevel="0" collapsed="false">
      <c r="A1203" s="350" t="s">
        <v>1986</v>
      </c>
      <c r="B1203" s="54" t="s">
        <v>3727</v>
      </c>
      <c r="C1203" s="359"/>
      <c r="D1203" s="359"/>
      <c r="E1203" s="364"/>
      <c r="F1203" s="364"/>
      <c r="G1203" s="364"/>
      <c r="H1203" s="364"/>
      <c r="I1203" s="364"/>
      <c r="J1203" s="364"/>
      <c r="K1203" s="364"/>
      <c r="L1203" s="364"/>
      <c r="M1203" s="364"/>
      <c r="N1203" s="365"/>
    </row>
    <row r="1204" s="358" customFormat="true" ht="30" hidden="false" customHeight="false" outlineLevel="0" collapsed="false">
      <c r="A1204" s="327" t="s">
        <v>1988</v>
      </c>
      <c r="B1204" s="78" t="s">
        <v>3728</v>
      </c>
      <c r="C1204" s="363"/>
      <c r="D1204" s="363"/>
      <c r="E1204" s="361" t="e">
        <f aca="false">общ.калькуляция!h1203</f>
        <v>#NAME?</v>
      </c>
      <c r="F1204" s="361"/>
      <c r="G1204" s="361"/>
      <c r="H1204" s="361" t="e">
        <f aca="false">общ.калькуляция!j1203</f>
        <v>#NAME?</v>
      </c>
      <c r="I1204" s="361"/>
      <c r="J1204" s="361"/>
      <c r="K1204" s="361" t="e">
        <f aca="false">общ.калькуляция!m1203</f>
        <v>#NAME?</v>
      </c>
      <c r="L1204" s="361"/>
      <c r="M1204" s="361"/>
      <c r="N1204" s="362" t="e">
        <f aca="false">E1204+H1204+K1204</f>
        <v>#NAME?</v>
      </c>
    </row>
    <row r="1205" s="358" customFormat="true" ht="45" hidden="false" customHeight="false" outlineLevel="0" collapsed="false">
      <c r="A1205" s="327" t="s">
        <v>1989</v>
      </c>
      <c r="B1205" s="78" t="s">
        <v>3729</v>
      </c>
      <c r="C1205" s="363"/>
      <c r="D1205" s="363"/>
      <c r="E1205" s="361" t="e">
        <f aca="false">общ.калькуляция!h1204</f>
        <v>#NAME?</v>
      </c>
      <c r="F1205" s="361"/>
      <c r="G1205" s="361"/>
      <c r="H1205" s="361" t="e">
        <f aca="false">общ.калькуляция!j1204</f>
        <v>#NAME?</v>
      </c>
      <c r="I1205" s="361"/>
      <c r="J1205" s="361"/>
      <c r="K1205" s="361" t="e">
        <f aca="false">общ.калькуляция!m1204</f>
        <v>#NAME?</v>
      </c>
      <c r="L1205" s="361"/>
      <c r="M1205" s="361"/>
      <c r="N1205" s="362" t="e">
        <f aca="false">E1205+H1205+K1205</f>
        <v>#NAME?</v>
      </c>
    </row>
    <row r="1206" s="358" customFormat="true" ht="30" hidden="false" customHeight="false" outlineLevel="0" collapsed="false">
      <c r="A1206" s="327" t="s">
        <v>1991</v>
      </c>
      <c r="B1206" s="78" t="s">
        <v>3730</v>
      </c>
      <c r="C1206" s="363"/>
      <c r="D1206" s="363"/>
      <c r="E1206" s="361" t="e">
        <f aca="false">общ.калькуляция!h1205</f>
        <v>#NAME?</v>
      </c>
      <c r="F1206" s="361"/>
      <c r="G1206" s="361"/>
      <c r="H1206" s="361" t="e">
        <f aca="false">общ.калькуляция!j1205</f>
        <v>#NAME?</v>
      </c>
      <c r="I1206" s="361"/>
      <c r="J1206" s="361"/>
      <c r="K1206" s="361" t="e">
        <f aca="false">общ.калькуляция!m1205</f>
        <v>#NAME?</v>
      </c>
      <c r="L1206" s="361"/>
      <c r="M1206" s="361"/>
      <c r="N1206" s="362" t="e">
        <f aca="false">E1206+H1206+K1206</f>
        <v>#NAME?</v>
      </c>
    </row>
    <row r="1207" s="358" customFormat="true" ht="45" hidden="false" customHeight="false" outlineLevel="0" collapsed="false">
      <c r="A1207" s="327" t="s">
        <v>1993</v>
      </c>
      <c r="B1207" s="78" t="s">
        <v>3731</v>
      </c>
      <c r="C1207" s="363"/>
      <c r="D1207" s="363"/>
      <c r="E1207" s="361" t="e">
        <f aca="false">общ.калькуляция!h1206</f>
        <v>#NAME?</v>
      </c>
      <c r="F1207" s="361"/>
      <c r="G1207" s="361"/>
      <c r="H1207" s="361" t="e">
        <f aca="false">общ.калькуляция!j1206</f>
        <v>#NAME?</v>
      </c>
      <c r="I1207" s="361"/>
      <c r="J1207" s="361"/>
      <c r="K1207" s="361" t="e">
        <f aca="false">общ.калькуляция!m1206</f>
        <v>#NAME?</v>
      </c>
      <c r="L1207" s="361"/>
      <c r="M1207" s="361"/>
      <c r="N1207" s="362" t="e">
        <f aca="false">E1207+H1207+K1207</f>
        <v>#NAME?</v>
      </c>
    </row>
    <row r="1208" s="358" customFormat="true" ht="45" hidden="false" customHeight="false" outlineLevel="0" collapsed="false">
      <c r="A1208" s="327" t="s">
        <v>1995</v>
      </c>
      <c r="B1208" s="78" t="s">
        <v>3732</v>
      </c>
      <c r="C1208" s="363"/>
      <c r="D1208" s="363"/>
      <c r="E1208" s="361" t="e">
        <f aca="false">общ.калькуляция!h1207</f>
        <v>#NAME?</v>
      </c>
      <c r="F1208" s="361"/>
      <c r="G1208" s="361"/>
      <c r="H1208" s="361" t="e">
        <f aca="false">общ.калькуляция!j1207</f>
        <v>#NAME?</v>
      </c>
      <c r="I1208" s="361"/>
      <c r="J1208" s="361"/>
      <c r="K1208" s="361" t="e">
        <f aca="false">общ.калькуляция!m1207</f>
        <v>#NAME?</v>
      </c>
      <c r="L1208" s="361"/>
      <c r="M1208" s="361"/>
      <c r="N1208" s="362" t="e">
        <f aca="false">E1208+H1208+K1208</f>
        <v>#NAME?</v>
      </c>
    </row>
    <row r="1209" s="358" customFormat="true" ht="45" hidden="false" customHeight="false" outlineLevel="0" collapsed="false">
      <c r="A1209" s="327" t="s">
        <v>1997</v>
      </c>
      <c r="B1209" s="78" t="s">
        <v>3733</v>
      </c>
      <c r="C1209" s="363"/>
      <c r="D1209" s="363"/>
      <c r="E1209" s="361" t="e">
        <f aca="false">общ.калькуляция!h1208</f>
        <v>#NAME?</v>
      </c>
      <c r="F1209" s="361"/>
      <c r="G1209" s="361"/>
      <c r="H1209" s="361" t="e">
        <f aca="false">общ.калькуляция!j1208</f>
        <v>#NAME?</v>
      </c>
      <c r="I1209" s="361"/>
      <c r="J1209" s="361"/>
      <c r="K1209" s="361" t="e">
        <f aca="false">общ.калькуляция!m1208</f>
        <v>#NAME?</v>
      </c>
      <c r="L1209" s="361"/>
      <c r="M1209" s="361"/>
      <c r="N1209" s="362" t="e">
        <f aca="false">E1209+H1209+K1209</f>
        <v>#NAME?</v>
      </c>
    </row>
    <row r="1210" s="358" customFormat="true" ht="30" hidden="false" customHeight="false" outlineLevel="0" collapsed="false">
      <c r="A1210" s="327" t="s">
        <v>1999</v>
      </c>
      <c r="B1210" s="78" t="s">
        <v>3734</v>
      </c>
      <c r="C1210" s="363"/>
      <c r="D1210" s="363"/>
      <c r="E1210" s="361" t="e">
        <f aca="false">общ.калькуляция!h1209</f>
        <v>#NAME?</v>
      </c>
      <c r="F1210" s="361"/>
      <c r="G1210" s="361"/>
      <c r="H1210" s="361" t="e">
        <f aca="false">общ.калькуляция!j1209</f>
        <v>#NAME?</v>
      </c>
      <c r="I1210" s="361"/>
      <c r="J1210" s="361"/>
      <c r="K1210" s="361" t="e">
        <f aca="false">общ.калькуляция!m1209</f>
        <v>#NAME?</v>
      </c>
      <c r="L1210" s="361"/>
      <c r="M1210" s="361"/>
      <c r="N1210" s="362" t="e">
        <f aca="false">E1210+H1210+K1210</f>
        <v>#NAME?</v>
      </c>
    </row>
    <row r="1211" s="358" customFormat="true" ht="29.25" hidden="false" customHeight="true" outlineLevel="0" collapsed="false">
      <c r="A1211" s="327" t="s">
        <v>2001</v>
      </c>
      <c r="B1211" s="78" t="s">
        <v>3735</v>
      </c>
      <c r="C1211" s="363"/>
      <c r="D1211" s="363"/>
      <c r="E1211" s="361" t="e">
        <f aca="false">общ.калькуляция!h1210</f>
        <v>#NAME?</v>
      </c>
      <c r="F1211" s="361"/>
      <c r="G1211" s="361"/>
      <c r="H1211" s="361" t="e">
        <f aca="false">общ.калькуляция!j1210</f>
        <v>#NAME?</v>
      </c>
      <c r="I1211" s="361"/>
      <c r="J1211" s="361"/>
      <c r="K1211" s="361" t="e">
        <f aca="false">общ.калькуляция!m1210</f>
        <v>#NAME?</v>
      </c>
      <c r="L1211" s="361"/>
      <c r="M1211" s="361"/>
      <c r="N1211" s="362" t="e">
        <f aca="false">E1211+H1211+K1211</f>
        <v>#NAME?</v>
      </c>
    </row>
    <row r="1212" s="358" customFormat="true" ht="45" hidden="false" customHeight="false" outlineLevel="0" collapsed="false">
      <c r="A1212" s="327" t="s">
        <v>2003</v>
      </c>
      <c r="B1212" s="78" t="s">
        <v>3736</v>
      </c>
      <c r="C1212" s="363"/>
      <c r="D1212" s="363"/>
      <c r="E1212" s="361" t="e">
        <f aca="false">общ.калькуляция!h1211</f>
        <v>#NAME?</v>
      </c>
      <c r="F1212" s="361"/>
      <c r="G1212" s="361"/>
      <c r="H1212" s="361" t="e">
        <f aca="false">общ.калькуляция!j1211</f>
        <v>#NAME?</v>
      </c>
      <c r="I1212" s="361"/>
      <c r="J1212" s="361"/>
      <c r="K1212" s="361" t="e">
        <f aca="false">общ.калькуляция!m1211</f>
        <v>#NAME?</v>
      </c>
      <c r="L1212" s="361"/>
      <c r="M1212" s="361"/>
      <c r="N1212" s="362" t="e">
        <f aca="false">E1212+H1212+K1212</f>
        <v>#NAME?</v>
      </c>
    </row>
    <row r="1213" s="358" customFormat="true" ht="30" hidden="false" customHeight="false" outlineLevel="0" collapsed="false">
      <c r="A1213" s="327" t="s">
        <v>2005</v>
      </c>
      <c r="B1213" s="78" t="s">
        <v>3737</v>
      </c>
      <c r="C1213" s="363"/>
      <c r="D1213" s="363"/>
      <c r="E1213" s="361" t="e">
        <f aca="false">общ.калькуляция!h1212</f>
        <v>#NAME?</v>
      </c>
      <c r="F1213" s="361"/>
      <c r="G1213" s="361"/>
      <c r="H1213" s="361" t="e">
        <f aca="false">общ.калькуляция!j1212</f>
        <v>#NAME?</v>
      </c>
      <c r="I1213" s="361"/>
      <c r="J1213" s="361"/>
      <c r="K1213" s="361" t="e">
        <f aca="false">общ.калькуляция!m1212</f>
        <v>#NAME?</v>
      </c>
      <c r="L1213" s="361"/>
      <c r="M1213" s="361"/>
      <c r="N1213" s="362" t="e">
        <f aca="false">E1213+H1213+K1213</f>
        <v>#NAME?</v>
      </c>
    </row>
    <row r="1214" s="358" customFormat="true" ht="30" hidden="false" customHeight="false" outlineLevel="0" collapsed="false">
      <c r="A1214" s="327" t="s">
        <v>2007</v>
      </c>
      <c r="B1214" s="78" t="s">
        <v>3738</v>
      </c>
      <c r="C1214" s="363"/>
      <c r="D1214" s="363"/>
      <c r="E1214" s="361" t="e">
        <f aca="false">общ.калькуляция!h1213</f>
        <v>#NAME?</v>
      </c>
      <c r="F1214" s="361"/>
      <c r="G1214" s="361"/>
      <c r="H1214" s="361" t="e">
        <f aca="false">общ.калькуляция!j1213</f>
        <v>#NAME?</v>
      </c>
      <c r="I1214" s="361"/>
      <c r="J1214" s="361"/>
      <c r="K1214" s="361" t="e">
        <f aca="false">общ.калькуляция!m1213</f>
        <v>#NAME?</v>
      </c>
      <c r="L1214" s="361"/>
      <c r="M1214" s="361"/>
      <c r="N1214" s="362" t="e">
        <f aca="false">E1214+H1214+K1214</f>
        <v>#NAME?</v>
      </c>
    </row>
    <row r="1215" s="358" customFormat="true" ht="16.5" hidden="false" customHeight="true" outlineLevel="0" collapsed="false">
      <c r="A1215" s="327" t="s">
        <v>2009</v>
      </c>
      <c r="B1215" s="78" t="s">
        <v>3739</v>
      </c>
      <c r="C1215" s="363"/>
      <c r="D1215" s="363"/>
      <c r="E1215" s="361" t="e">
        <f aca="false">общ.калькуляция!h1214</f>
        <v>#NAME?</v>
      </c>
      <c r="F1215" s="361"/>
      <c r="G1215" s="361"/>
      <c r="H1215" s="361" t="e">
        <f aca="false">общ.калькуляция!j1214</f>
        <v>#NAME?</v>
      </c>
      <c r="I1215" s="361"/>
      <c r="J1215" s="361"/>
      <c r="K1215" s="361" t="e">
        <f aca="false">общ.калькуляция!m1214</f>
        <v>#NAME?</v>
      </c>
      <c r="L1215" s="361"/>
      <c r="M1215" s="361"/>
      <c r="N1215" s="362" t="e">
        <f aca="false">E1215+H1215+K1215</f>
        <v>#NAME?</v>
      </c>
    </row>
    <row r="1216" s="358" customFormat="true" ht="45" hidden="false" customHeight="false" outlineLevel="0" collapsed="false">
      <c r="A1216" s="327" t="s">
        <v>2011</v>
      </c>
      <c r="B1216" s="78" t="s">
        <v>3740</v>
      </c>
      <c r="C1216" s="363"/>
      <c r="D1216" s="363"/>
      <c r="E1216" s="361" t="e">
        <f aca="false">общ.калькуляция!h1215</f>
        <v>#NAME?</v>
      </c>
      <c r="F1216" s="361"/>
      <c r="G1216" s="361"/>
      <c r="H1216" s="361" t="e">
        <f aca="false">общ.калькуляция!j1215</f>
        <v>#NAME?</v>
      </c>
      <c r="I1216" s="361"/>
      <c r="J1216" s="361"/>
      <c r="K1216" s="361" t="e">
        <f aca="false">общ.калькуляция!m1215</f>
        <v>#NAME?</v>
      </c>
      <c r="L1216" s="361"/>
      <c r="M1216" s="361"/>
      <c r="N1216" s="362" t="e">
        <f aca="false">E1216+H1216+K1216</f>
        <v>#NAME?</v>
      </c>
    </row>
    <row r="1217" s="358" customFormat="true" ht="29.25" hidden="false" customHeight="true" outlineLevel="0" collapsed="false">
      <c r="A1217" s="327" t="s">
        <v>2013</v>
      </c>
      <c r="B1217" s="78" t="s">
        <v>3741</v>
      </c>
      <c r="C1217" s="368"/>
      <c r="D1217" s="368"/>
      <c r="E1217" s="361" t="e">
        <f aca="false">общ.калькуляция!h1216</f>
        <v>#NAME?</v>
      </c>
      <c r="F1217" s="361"/>
      <c r="G1217" s="361"/>
      <c r="H1217" s="361" t="e">
        <f aca="false">общ.калькуляция!j1216</f>
        <v>#NAME?</v>
      </c>
      <c r="I1217" s="361"/>
      <c r="J1217" s="361"/>
      <c r="K1217" s="361" t="e">
        <f aca="false">общ.калькуляция!m1216</f>
        <v>#NAME?</v>
      </c>
      <c r="L1217" s="361"/>
      <c r="M1217" s="361"/>
      <c r="N1217" s="362" t="e">
        <f aca="false">E1217+H1217+K1217</f>
        <v>#NAME?</v>
      </c>
    </row>
    <row r="1218" s="358" customFormat="true" ht="45" hidden="false" customHeight="false" outlineLevel="0" collapsed="false">
      <c r="A1218" s="327" t="s">
        <v>2015</v>
      </c>
      <c r="B1218" s="78" t="s">
        <v>3742</v>
      </c>
      <c r="C1218" s="363"/>
      <c r="D1218" s="363"/>
      <c r="E1218" s="361" t="e">
        <f aca="false">общ.калькуляция!h1217</f>
        <v>#NAME?</v>
      </c>
      <c r="F1218" s="361"/>
      <c r="G1218" s="361"/>
      <c r="H1218" s="361" t="e">
        <f aca="false">общ.калькуляция!j1217</f>
        <v>#NAME?</v>
      </c>
      <c r="I1218" s="361"/>
      <c r="J1218" s="361"/>
      <c r="K1218" s="361" t="e">
        <f aca="false">общ.калькуляция!m1217</f>
        <v>#NAME?</v>
      </c>
      <c r="L1218" s="361"/>
      <c r="M1218" s="361"/>
      <c r="N1218" s="362" t="e">
        <f aca="false">E1218+H1218+K1218</f>
        <v>#NAME?</v>
      </c>
    </row>
    <row r="1219" s="358" customFormat="true" ht="15" hidden="false" customHeight="false" outlineLevel="0" collapsed="false">
      <c r="A1219" s="350" t="s">
        <v>2017</v>
      </c>
      <c r="B1219" s="88" t="s">
        <v>3743</v>
      </c>
      <c r="C1219" s="359"/>
      <c r="D1219" s="359"/>
      <c r="E1219" s="364"/>
      <c r="F1219" s="364"/>
      <c r="G1219" s="364"/>
      <c r="H1219" s="364"/>
      <c r="I1219" s="364"/>
      <c r="J1219" s="364"/>
      <c r="K1219" s="364"/>
      <c r="L1219" s="364"/>
      <c r="M1219" s="364"/>
      <c r="N1219" s="365"/>
    </row>
    <row r="1220" s="358" customFormat="true" ht="15" hidden="false" customHeight="false" outlineLevel="0" collapsed="false">
      <c r="A1220" s="327" t="s">
        <v>2019</v>
      </c>
      <c r="B1220" s="78" t="s">
        <v>3744</v>
      </c>
      <c r="C1220" s="363"/>
      <c r="D1220" s="363"/>
      <c r="E1220" s="361" t="e">
        <f aca="false">общ.калькуляция!h1219</f>
        <v>#NAME?</v>
      </c>
      <c r="F1220" s="361"/>
      <c r="G1220" s="361"/>
      <c r="H1220" s="361" t="e">
        <f aca="false">общ.калькуляция!j1219</f>
        <v>#NAME?</v>
      </c>
      <c r="I1220" s="361"/>
      <c r="J1220" s="361"/>
      <c r="K1220" s="361" t="e">
        <f aca="false">общ.калькуляция!m1219</f>
        <v>#NAME?</v>
      </c>
      <c r="L1220" s="361"/>
      <c r="M1220" s="361"/>
      <c r="N1220" s="362" t="e">
        <f aca="false">E1220+H1220+K1220</f>
        <v>#NAME?</v>
      </c>
    </row>
    <row r="1221" s="358" customFormat="true" ht="15" hidden="false" customHeight="false" outlineLevel="0" collapsed="false">
      <c r="A1221" s="327" t="s">
        <v>2021</v>
      </c>
      <c r="B1221" s="78" t="s">
        <v>3745</v>
      </c>
      <c r="C1221" s="363"/>
      <c r="D1221" s="363"/>
      <c r="E1221" s="361" t="e">
        <f aca="false">общ.калькуляция!h1220</f>
        <v>#NAME?</v>
      </c>
      <c r="F1221" s="361"/>
      <c r="G1221" s="361"/>
      <c r="H1221" s="361" t="e">
        <f aca="false">общ.калькуляция!j1220</f>
        <v>#NAME?</v>
      </c>
      <c r="I1221" s="361"/>
      <c r="J1221" s="361"/>
      <c r="K1221" s="361" t="e">
        <f aca="false">общ.калькуляция!m1220</f>
        <v>#NAME?</v>
      </c>
      <c r="L1221" s="361"/>
      <c r="M1221" s="361"/>
      <c r="N1221" s="362" t="e">
        <f aca="false">E1221+H1221+K1221</f>
        <v>#NAME?</v>
      </c>
    </row>
    <row r="1222" s="358" customFormat="true" ht="21" hidden="false" customHeight="true" outlineLevel="0" collapsed="false">
      <c r="A1222" s="327" t="s">
        <v>2023</v>
      </c>
      <c r="B1222" s="78" t="s">
        <v>3746</v>
      </c>
      <c r="C1222" s="368"/>
      <c r="D1222" s="368"/>
      <c r="E1222" s="361" t="e">
        <f aca="false">общ.калькуляция!h1221</f>
        <v>#NAME?</v>
      </c>
      <c r="F1222" s="361"/>
      <c r="G1222" s="361"/>
      <c r="H1222" s="361" t="e">
        <f aca="false">общ.калькуляция!j1221</f>
        <v>#NAME?</v>
      </c>
      <c r="I1222" s="361"/>
      <c r="J1222" s="361"/>
      <c r="K1222" s="361" t="e">
        <f aca="false">общ.калькуляция!m1221</f>
        <v>#NAME?</v>
      </c>
      <c r="L1222" s="361"/>
      <c r="M1222" s="361"/>
      <c r="N1222" s="362" t="e">
        <f aca="false">E1222+H1222+K1222</f>
        <v>#NAME?</v>
      </c>
    </row>
    <row r="1223" s="358" customFormat="true" ht="15" hidden="false" customHeight="false" outlineLevel="0" collapsed="false">
      <c r="A1223" s="327" t="s">
        <v>2025</v>
      </c>
      <c r="B1223" s="78" t="s">
        <v>3747</v>
      </c>
      <c r="C1223" s="363"/>
      <c r="D1223" s="363"/>
      <c r="E1223" s="361" t="e">
        <f aca="false">общ.калькуляция!h1222</f>
        <v>#NAME?</v>
      </c>
      <c r="F1223" s="361"/>
      <c r="G1223" s="361"/>
      <c r="H1223" s="361" t="e">
        <f aca="false">общ.калькуляция!j1222</f>
        <v>#NAME?</v>
      </c>
      <c r="I1223" s="361"/>
      <c r="J1223" s="361"/>
      <c r="K1223" s="361" t="e">
        <f aca="false">общ.калькуляция!m1222</f>
        <v>#NAME?</v>
      </c>
      <c r="L1223" s="361"/>
      <c r="M1223" s="361"/>
      <c r="N1223" s="362" t="e">
        <f aca="false">E1223+H1223+K1223</f>
        <v>#NAME?</v>
      </c>
    </row>
    <row r="1224" s="358" customFormat="true" ht="15" hidden="false" customHeight="false" outlineLevel="0" collapsed="false">
      <c r="A1224" s="350" t="s">
        <v>2027</v>
      </c>
      <c r="B1224" s="88" t="s">
        <v>3748</v>
      </c>
      <c r="C1224" s="359"/>
      <c r="D1224" s="359"/>
      <c r="E1224" s="364"/>
      <c r="F1224" s="364"/>
      <c r="G1224" s="364"/>
      <c r="H1224" s="364"/>
      <c r="I1224" s="364"/>
      <c r="J1224" s="364"/>
      <c r="K1224" s="364"/>
      <c r="L1224" s="364"/>
      <c r="M1224" s="364"/>
      <c r="N1224" s="365"/>
    </row>
    <row r="1225" s="367" customFormat="true" ht="36" hidden="false" customHeight="true" outlineLevel="0" collapsed="false">
      <c r="A1225" s="327" t="s">
        <v>2029</v>
      </c>
      <c r="B1225" s="78" t="s">
        <v>3749</v>
      </c>
      <c r="C1225" s="366"/>
      <c r="D1225" s="366"/>
      <c r="E1225" s="361" t="e">
        <f aca="false">общ.калькуляция!h1224</f>
        <v>#NAME?</v>
      </c>
      <c r="F1225" s="361"/>
      <c r="G1225" s="361"/>
      <c r="H1225" s="361" t="e">
        <f aca="false">общ.калькуляция!j1224</f>
        <v>#NAME?</v>
      </c>
      <c r="I1225" s="361"/>
      <c r="J1225" s="361"/>
      <c r="K1225" s="361" t="e">
        <f aca="false">общ.калькуляция!m1224</f>
        <v>#NAME?</v>
      </c>
      <c r="L1225" s="361"/>
      <c r="M1225" s="361"/>
      <c r="N1225" s="362" t="e">
        <f aca="false">E1225+H1225+K1225</f>
        <v>#NAME?</v>
      </c>
    </row>
    <row r="1226" s="358" customFormat="true" ht="15" hidden="false" customHeight="false" outlineLevel="0" collapsed="false">
      <c r="A1226" s="327" t="s">
        <v>2031</v>
      </c>
      <c r="B1226" s="78" t="s">
        <v>3750</v>
      </c>
      <c r="C1226" s="363"/>
      <c r="D1226" s="363"/>
      <c r="E1226" s="361" t="e">
        <f aca="false">общ.калькуляция!h1225</f>
        <v>#NAME?</v>
      </c>
      <c r="F1226" s="361"/>
      <c r="G1226" s="361"/>
      <c r="H1226" s="361" t="e">
        <f aca="false">общ.калькуляция!j1225</f>
        <v>#NAME?</v>
      </c>
      <c r="I1226" s="361"/>
      <c r="J1226" s="361"/>
      <c r="K1226" s="361" t="e">
        <f aca="false">общ.калькуляция!m1225</f>
        <v>#NAME?</v>
      </c>
      <c r="L1226" s="361"/>
      <c r="M1226" s="361"/>
      <c r="N1226" s="362" t="e">
        <f aca="false">E1226+H1226+K1226</f>
        <v>#NAME?</v>
      </c>
    </row>
    <row r="1227" s="358" customFormat="true" ht="15" hidden="false" customHeight="false" outlineLevel="0" collapsed="false">
      <c r="A1227" s="350" t="s">
        <v>2033</v>
      </c>
      <c r="B1227" s="88" t="s">
        <v>3751</v>
      </c>
      <c r="C1227" s="359"/>
      <c r="D1227" s="359"/>
      <c r="E1227" s="364"/>
      <c r="F1227" s="364"/>
      <c r="G1227" s="364"/>
      <c r="H1227" s="364"/>
      <c r="I1227" s="364"/>
      <c r="J1227" s="364"/>
      <c r="K1227" s="364"/>
      <c r="L1227" s="364"/>
      <c r="M1227" s="364"/>
      <c r="N1227" s="365"/>
    </row>
    <row r="1228" s="358" customFormat="true" ht="30" hidden="false" customHeight="false" outlineLevel="0" collapsed="false">
      <c r="A1228" s="327" t="s">
        <v>2035</v>
      </c>
      <c r="B1228" s="78" t="s">
        <v>3752</v>
      </c>
      <c r="C1228" s="363"/>
      <c r="D1228" s="363"/>
      <c r="E1228" s="361" t="e">
        <f aca="false">общ.калькуляция!h1227</f>
        <v>#NAME?</v>
      </c>
      <c r="F1228" s="361"/>
      <c r="G1228" s="361"/>
      <c r="H1228" s="361" t="e">
        <f aca="false">общ.калькуляция!j1227</f>
        <v>#NAME?</v>
      </c>
      <c r="I1228" s="361"/>
      <c r="J1228" s="361"/>
      <c r="K1228" s="361" t="e">
        <f aca="false">общ.калькуляция!m1227</f>
        <v>#NAME?</v>
      </c>
      <c r="L1228" s="361"/>
      <c r="M1228" s="361"/>
      <c r="N1228" s="362" t="e">
        <f aca="false">E1228+H1228+K1228</f>
        <v>#NAME?</v>
      </c>
    </row>
    <row r="1229" s="358" customFormat="true" ht="15" hidden="false" customHeight="false" outlineLevel="0" collapsed="false">
      <c r="A1229" s="350" t="s">
        <v>2037</v>
      </c>
      <c r="B1229" s="371" t="s">
        <v>3753</v>
      </c>
      <c r="C1229" s="359"/>
      <c r="D1229" s="359"/>
      <c r="E1229" s="364"/>
      <c r="F1229" s="364"/>
      <c r="G1229" s="364"/>
      <c r="H1229" s="364"/>
      <c r="I1229" s="364"/>
      <c r="J1229" s="364"/>
      <c r="K1229" s="364"/>
      <c r="L1229" s="364"/>
      <c r="M1229" s="364"/>
      <c r="N1229" s="365"/>
    </row>
    <row r="1230" s="358" customFormat="true" ht="30" hidden="false" customHeight="false" outlineLevel="0" collapsed="false">
      <c r="A1230" s="327" t="s">
        <v>2039</v>
      </c>
      <c r="B1230" s="104" t="s">
        <v>3754</v>
      </c>
      <c r="C1230" s="363"/>
      <c r="D1230" s="363"/>
      <c r="E1230" s="361" t="e">
        <f aca="false">общ.калькуляция!h1229</f>
        <v>#NAME?</v>
      </c>
      <c r="F1230" s="361"/>
      <c r="G1230" s="361"/>
      <c r="H1230" s="361" t="e">
        <f aca="false">общ.калькуляция!j1229</f>
        <v>#NAME?</v>
      </c>
      <c r="I1230" s="361"/>
      <c r="J1230" s="361"/>
      <c r="K1230" s="361" t="e">
        <f aca="false">общ.калькуляция!m1229</f>
        <v>#NAME?</v>
      </c>
      <c r="L1230" s="361"/>
      <c r="M1230" s="361"/>
      <c r="N1230" s="362" t="e">
        <f aca="false">E1230+H1230+K1230</f>
        <v>#NAME?</v>
      </c>
    </row>
    <row r="1231" s="358" customFormat="true" ht="30" hidden="false" customHeight="false" outlineLevel="0" collapsed="false">
      <c r="A1231" s="327" t="s">
        <v>2041</v>
      </c>
      <c r="B1231" s="104" t="s">
        <v>3755</v>
      </c>
      <c r="C1231" s="363"/>
      <c r="D1231" s="363"/>
      <c r="E1231" s="361" t="e">
        <f aca="false">общ.калькуляция!h1230</f>
        <v>#NAME?</v>
      </c>
      <c r="F1231" s="361"/>
      <c r="G1231" s="361"/>
      <c r="H1231" s="361" t="e">
        <f aca="false">общ.калькуляция!j1230</f>
        <v>#NAME?</v>
      </c>
      <c r="I1231" s="361"/>
      <c r="J1231" s="361"/>
      <c r="K1231" s="361" t="e">
        <f aca="false">общ.калькуляция!m1230</f>
        <v>#NAME?</v>
      </c>
      <c r="L1231" s="361"/>
      <c r="M1231" s="361"/>
      <c r="N1231" s="362" t="e">
        <f aca="false">E1231+H1231+K1231</f>
        <v>#NAME?</v>
      </c>
    </row>
    <row r="1232" s="358" customFormat="true" ht="30" hidden="false" customHeight="false" outlineLevel="0" collapsed="false">
      <c r="A1232" s="327" t="s">
        <v>2043</v>
      </c>
      <c r="B1232" s="372" t="s">
        <v>3756</v>
      </c>
      <c r="C1232" s="363"/>
      <c r="D1232" s="363"/>
      <c r="E1232" s="361" t="e">
        <f aca="false">общ.калькуляция!h1231</f>
        <v>#NAME?</v>
      </c>
      <c r="F1232" s="361"/>
      <c r="G1232" s="361"/>
      <c r="H1232" s="361" t="e">
        <f aca="false">общ.калькуляция!j1231</f>
        <v>#NAME?</v>
      </c>
      <c r="I1232" s="361"/>
      <c r="J1232" s="361"/>
      <c r="K1232" s="361" t="e">
        <f aca="false">общ.калькуляция!m1231</f>
        <v>#NAME?</v>
      </c>
      <c r="L1232" s="361"/>
      <c r="M1232" s="361"/>
      <c r="N1232" s="362" t="e">
        <f aca="false">E1232+H1232+K1232</f>
        <v>#NAME?</v>
      </c>
    </row>
    <row r="1233" s="358" customFormat="true" ht="30" hidden="false" customHeight="false" outlineLevel="0" collapsed="false">
      <c r="A1233" s="327" t="s">
        <v>2045</v>
      </c>
      <c r="B1233" s="373" t="s">
        <v>3757</v>
      </c>
      <c r="C1233" s="363"/>
      <c r="D1233" s="363"/>
      <c r="E1233" s="361" t="e">
        <f aca="false">общ.калькуляция!h1232</f>
        <v>#NAME?</v>
      </c>
      <c r="F1233" s="361"/>
      <c r="G1233" s="361"/>
      <c r="H1233" s="361" t="e">
        <f aca="false">общ.калькуляция!j1232</f>
        <v>#NAME?</v>
      </c>
      <c r="I1233" s="361"/>
      <c r="J1233" s="361"/>
      <c r="K1233" s="361" t="e">
        <f aca="false">общ.калькуляция!m1232</f>
        <v>#NAME?</v>
      </c>
      <c r="L1233" s="361"/>
      <c r="M1233" s="361"/>
      <c r="N1233" s="362" t="e">
        <f aca="false">E1233+H1233+K1233</f>
        <v>#NAME?</v>
      </c>
    </row>
    <row r="1234" s="358" customFormat="true" ht="30" hidden="false" customHeight="false" outlineLevel="0" collapsed="false">
      <c r="A1234" s="327" t="s">
        <v>2047</v>
      </c>
      <c r="B1234" s="373" t="s">
        <v>3758</v>
      </c>
      <c r="C1234" s="363"/>
      <c r="D1234" s="363"/>
      <c r="E1234" s="361" t="e">
        <f aca="false">общ.калькуляция!h1233</f>
        <v>#NAME?</v>
      </c>
      <c r="F1234" s="361"/>
      <c r="G1234" s="361"/>
      <c r="H1234" s="361" t="e">
        <f aca="false">общ.калькуляция!j1233</f>
        <v>#NAME?</v>
      </c>
      <c r="I1234" s="361"/>
      <c r="J1234" s="361"/>
      <c r="K1234" s="361" t="e">
        <f aca="false">общ.калькуляция!m1233</f>
        <v>#NAME?</v>
      </c>
      <c r="L1234" s="361"/>
      <c r="M1234" s="361"/>
      <c r="N1234" s="362" t="e">
        <f aca="false">E1234+H1234+K1234</f>
        <v>#NAME?</v>
      </c>
    </row>
    <row r="1235" s="358" customFormat="true" ht="48" hidden="false" customHeight="true" outlineLevel="0" collapsed="false">
      <c r="A1235" s="327" t="s">
        <v>2049</v>
      </c>
      <c r="B1235" s="107" t="s">
        <v>3759</v>
      </c>
      <c r="C1235" s="363"/>
      <c r="D1235" s="363"/>
      <c r="E1235" s="361" t="e">
        <f aca="false">общ.калькуляция!h1234</f>
        <v>#NAME?</v>
      </c>
      <c r="F1235" s="361"/>
      <c r="G1235" s="361"/>
      <c r="H1235" s="361" t="e">
        <f aca="false">общ.калькуляция!j1234</f>
        <v>#NAME?</v>
      </c>
      <c r="I1235" s="361"/>
      <c r="J1235" s="361"/>
      <c r="K1235" s="361" t="e">
        <f aca="false">общ.калькуляция!m1234</f>
        <v>#NAME?</v>
      </c>
      <c r="L1235" s="361"/>
      <c r="M1235" s="361"/>
      <c r="N1235" s="362" t="e">
        <f aca="false">E1235+H1235+K1235</f>
        <v>#NAME?</v>
      </c>
    </row>
    <row r="1236" s="358" customFormat="true" ht="45" hidden="false" customHeight="false" outlineLevel="0" collapsed="false">
      <c r="A1236" s="327" t="s">
        <v>2051</v>
      </c>
      <c r="B1236" s="107" t="s">
        <v>3760</v>
      </c>
      <c r="C1236" s="363"/>
      <c r="D1236" s="363"/>
      <c r="E1236" s="361" t="e">
        <f aca="false">общ.калькуляция!h1235</f>
        <v>#NAME?</v>
      </c>
      <c r="F1236" s="361"/>
      <c r="G1236" s="361"/>
      <c r="H1236" s="361" t="e">
        <f aca="false">общ.калькуляция!j1235</f>
        <v>#NAME?</v>
      </c>
      <c r="I1236" s="361"/>
      <c r="J1236" s="361"/>
      <c r="K1236" s="361" t="e">
        <f aca="false">общ.калькуляция!m1235</f>
        <v>#NAME?</v>
      </c>
      <c r="L1236" s="361"/>
      <c r="M1236" s="361"/>
      <c r="N1236" s="362" t="e">
        <f aca="false">E1236+H1236+K1236</f>
        <v>#NAME?</v>
      </c>
    </row>
    <row r="1237" s="358" customFormat="true" ht="30" hidden="false" customHeight="false" outlineLevel="0" collapsed="false">
      <c r="A1237" s="327" t="s">
        <v>2053</v>
      </c>
      <c r="B1237" s="374" t="s">
        <v>3761</v>
      </c>
      <c r="C1237" s="363"/>
      <c r="D1237" s="363"/>
      <c r="E1237" s="361" t="e">
        <f aca="false">общ.калькуляция!h1236</f>
        <v>#NAME?</v>
      </c>
      <c r="F1237" s="361"/>
      <c r="G1237" s="361"/>
      <c r="H1237" s="361" t="e">
        <f aca="false">общ.калькуляция!j1236</f>
        <v>#NAME?</v>
      </c>
      <c r="I1237" s="361"/>
      <c r="J1237" s="361"/>
      <c r="K1237" s="361" t="e">
        <f aca="false">общ.калькуляция!m1236</f>
        <v>#NAME?</v>
      </c>
      <c r="L1237" s="361"/>
      <c r="M1237" s="361"/>
      <c r="N1237" s="362" t="e">
        <f aca="false">E1237+H1237+K1237</f>
        <v>#NAME?</v>
      </c>
    </row>
    <row r="1238" s="358" customFormat="true" ht="15" hidden="false" customHeight="false" outlineLevel="0" collapsed="false">
      <c r="A1238" s="327" t="s">
        <v>2055</v>
      </c>
      <c r="B1238" s="78" t="s">
        <v>3762</v>
      </c>
      <c r="C1238" s="363"/>
      <c r="D1238" s="363"/>
      <c r="E1238" s="361" t="e">
        <f aca="false">общ.калькуляция!h1237</f>
        <v>#NAME?</v>
      </c>
      <c r="F1238" s="361"/>
      <c r="G1238" s="361"/>
      <c r="H1238" s="361" t="e">
        <f aca="false">общ.калькуляция!j1237</f>
        <v>#NAME?</v>
      </c>
      <c r="I1238" s="361"/>
      <c r="J1238" s="361"/>
      <c r="K1238" s="361" t="e">
        <f aca="false">общ.калькуляция!m1237</f>
        <v>#NAME?</v>
      </c>
      <c r="L1238" s="361"/>
      <c r="M1238" s="361"/>
      <c r="N1238" s="362" t="e">
        <f aca="false">E1238+H1238+K1238</f>
        <v>#NAME?</v>
      </c>
    </row>
    <row r="1239" s="358" customFormat="true" ht="15" hidden="false" customHeight="false" outlineLevel="0" collapsed="false">
      <c r="A1239" s="327" t="s">
        <v>2057</v>
      </c>
      <c r="B1239" s="374" t="s">
        <v>3763</v>
      </c>
      <c r="C1239" s="363"/>
      <c r="D1239" s="363"/>
      <c r="E1239" s="361" t="e">
        <f aca="false">общ.калькуляция!h1238</f>
        <v>#NAME?</v>
      </c>
      <c r="F1239" s="361"/>
      <c r="G1239" s="361"/>
      <c r="H1239" s="361" t="e">
        <f aca="false">общ.калькуляция!j1238</f>
        <v>#NAME?</v>
      </c>
      <c r="I1239" s="361"/>
      <c r="J1239" s="361"/>
      <c r="K1239" s="361" t="e">
        <f aca="false">общ.калькуляция!m1238</f>
        <v>#NAME?</v>
      </c>
      <c r="L1239" s="361"/>
      <c r="M1239" s="361"/>
      <c r="N1239" s="362" t="e">
        <f aca="false">E1239+H1239+K1239</f>
        <v>#NAME?</v>
      </c>
    </row>
    <row r="1240" s="358" customFormat="true" ht="30" hidden="false" customHeight="false" outlineLevel="0" collapsed="false">
      <c r="A1240" s="327" t="s">
        <v>2059</v>
      </c>
      <c r="B1240" s="107" t="s">
        <v>3764</v>
      </c>
      <c r="C1240" s="363"/>
      <c r="D1240" s="363"/>
      <c r="E1240" s="361" t="e">
        <f aca="false">общ.калькуляция!h1239</f>
        <v>#NAME?</v>
      </c>
      <c r="F1240" s="361"/>
      <c r="G1240" s="361"/>
      <c r="H1240" s="361" t="e">
        <f aca="false">общ.калькуляция!j1239</f>
        <v>#NAME?</v>
      </c>
      <c r="I1240" s="361"/>
      <c r="J1240" s="361"/>
      <c r="K1240" s="361" t="e">
        <f aca="false">общ.калькуляция!m1239</f>
        <v>#NAME?</v>
      </c>
      <c r="L1240" s="361"/>
      <c r="M1240" s="361"/>
      <c r="N1240" s="362" t="e">
        <f aca="false">E1240+H1240+K1240</f>
        <v>#NAME?</v>
      </c>
    </row>
    <row r="1241" s="358" customFormat="true" ht="28.5" hidden="false" customHeight="false" outlineLevel="0" collapsed="false">
      <c r="A1241" s="375" t="s">
        <v>2061</v>
      </c>
      <c r="B1241" s="318" t="s">
        <v>3765</v>
      </c>
      <c r="C1241" s="376"/>
      <c r="D1241" s="376"/>
      <c r="E1241" s="377"/>
      <c r="F1241" s="377"/>
      <c r="G1241" s="377"/>
      <c r="H1241" s="377"/>
      <c r="I1241" s="377"/>
      <c r="J1241" s="377"/>
      <c r="K1241" s="377"/>
      <c r="L1241" s="377"/>
      <c r="M1241" s="377"/>
      <c r="N1241" s="378"/>
    </row>
    <row r="1242" s="358" customFormat="true" ht="15" hidden="false" customHeight="false" outlineLevel="0" collapsed="false">
      <c r="A1242" s="327" t="s">
        <v>2063</v>
      </c>
      <c r="B1242" s="78" t="s">
        <v>3766</v>
      </c>
      <c r="C1242" s="363"/>
      <c r="D1242" s="363"/>
      <c r="E1242" s="112" t="e">
        <f aca="false">общ.калькуляция!h1241</f>
        <v>#NAME?</v>
      </c>
      <c r="F1242" s="112"/>
      <c r="G1242" s="112"/>
      <c r="H1242" s="112" t="e">
        <f aca="false">общ.калькуляция!j1241</f>
        <v>#NAME?</v>
      </c>
      <c r="I1242" s="112"/>
      <c r="J1242" s="112"/>
      <c r="K1242" s="112" t="e">
        <f aca="false">общ.калькуляция!m1241</f>
        <v>#NAME?</v>
      </c>
      <c r="L1242" s="112"/>
      <c r="M1242" s="112"/>
      <c r="N1242" s="112" t="e">
        <f aca="false">SUM(C1242:M1242)</f>
        <v>#NAME?</v>
      </c>
    </row>
    <row r="1243" s="358" customFormat="true" ht="15" hidden="false" customHeight="false" outlineLevel="0" collapsed="false">
      <c r="A1243" s="327" t="s">
        <v>2065</v>
      </c>
      <c r="B1243" s="78" t="s">
        <v>3767</v>
      </c>
      <c r="C1243" s="363"/>
      <c r="D1243" s="363"/>
      <c r="E1243" s="112" t="e">
        <f aca="false">общ.калькуляция!h1242</f>
        <v>#NAME?</v>
      </c>
      <c r="F1243" s="112"/>
      <c r="G1243" s="112"/>
      <c r="H1243" s="112" t="e">
        <f aca="false">общ.калькуляция!j1242</f>
        <v>#NAME?</v>
      </c>
      <c r="I1243" s="112"/>
      <c r="J1243" s="112"/>
      <c r="K1243" s="112" t="e">
        <f aca="false">общ.калькуляция!m1242</f>
        <v>#NAME?</v>
      </c>
      <c r="L1243" s="112"/>
      <c r="M1243" s="112"/>
      <c r="N1243" s="112" t="e">
        <f aca="false">SUM(C1243:M1243)</f>
        <v>#NAME?</v>
      </c>
    </row>
    <row r="1244" s="358" customFormat="true" ht="15" hidden="false" customHeight="false" outlineLevel="0" collapsed="false">
      <c r="A1244" s="327" t="s">
        <v>2067</v>
      </c>
      <c r="B1244" s="78" t="s">
        <v>3768</v>
      </c>
      <c r="C1244" s="363"/>
      <c r="D1244" s="363"/>
      <c r="E1244" s="112" t="e">
        <f aca="false">общ.калькуляция!h1243</f>
        <v>#NAME?</v>
      </c>
      <c r="F1244" s="112"/>
      <c r="G1244" s="112"/>
      <c r="H1244" s="112" t="e">
        <f aca="false">общ.калькуляция!j1243</f>
        <v>#NAME?</v>
      </c>
      <c r="I1244" s="112"/>
      <c r="J1244" s="112"/>
      <c r="K1244" s="112" t="e">
        <f aca="false">общ.калькуляция!m1243</f>
        <v>#NAME?</v>
      </c>
      <c r="L1244" s="112"/>
      <c r="M1244" s="112"/>
      <c r="N1244" s="112" t="e">
        <f aca="false">SUM(C1244:M1244)</f>
        <v>#NAME?</v>
      </c>
    </row>
    <row r="1245" s="358" customFormat="true" ht="15" hidden="false" customHeight="false" outlineLevel="0" collapsed="false">
      <c r="A1245" s="327" t="s">
        <v>2069</v>
      </c>
      <c r="B1245" s="78" t="s">
        <v>3769</v>
      </c>
      <c r="C1245" s="363"/>
      <c r="D1245" s="363"/>
      <c r="E1245" s="112" t="e">
        <f aca="false">общ.калькуляция!h1244</f>
        <v>#NAME?</v>
      </c>
      <c r="F1245" s="112"/>
      <c r="G1245" s="112"/>
      <c r="H1245" s="112" t="e">
        <f aca="false">общ.калькуляция!j1244</f>
        <v>#NAME?</v>
      </c>
      <c r="I1245" s="112"/>
      <c r="J1245" s="112"/>
      <c r="K1245" s="112" t="e">
        <f aca="false">общ.калькуляция!m1244</f>
        <v>#NAME?</v>
      </c>
      <c r="L1245" s="112"/>
      <c r="M1245" s="112"/>
      <c r="N1245" s="112" t="e">
        <f aca="false">SUM(C1245:M1245)</f>
        <v>#NAME?</v>
      </c>
    </row>
    <row r="1246" s="358" customFormat="true" ht="15" hidden="false" customHeight="false" outlineLevel="0" collapsed="false">
      <c r="A1246" s="327" t="s">
        <v>2071</v>
      </c>
      <c r="B1246" s="40" t="s">
        <v>3770</v>
      </c>
      <c r="C1246" s="363"/>
      <c r="D1246" s="363"/>
      <c r="E1246" s="112" t="e">
        <f aca="false">общ.калькуляция!h1245</f>
        <v>#NAME?</v>
      </c>
      <c r="F1246" s="112"/>
      <c r="G1246" s="112"/>
      <c r="H1246" s="112" t="e">
        <f aca="false">общ.калькуляция!j1245</f>
        <v>#NAME?</v>
      </c>
      <c r="I1246" s="112"/>
      <c r="J1246" s="112"/>
      <c r="K1246" s="112" t="e">
        <f aca="false">общ.калькуляция!m1245</f>
        <v>#NAME?</v>
      </c>
      <c r="L1246" s="112"/>
      <c r="M1246" s="112"/>
      <c r="N1246" s="112" t="e">
        <f aca="false">SUM(C1246:M1246)</f>
        <v>#NAME?</v>
      </c>
    </row>
    <row r="1247" s="358" customFormat="true" ht="15" hidden="false" customHeight="false" outlineLevel="0" collapsed="false">
      <c r="A1247" s="327" t="s">
        <v>2073</v>
      </c>
      <c r="B1247" s="78" t="s">
        <v>3771</v>
      </c>
      <c r="C1247" s="363"/>
      <c r="D1247" s="363"/>
      <c r="E1247" s="112" t="e">
        <f aca="false">общ.калькуляция!h1246</f>
        <v>#NAME?</v>
      </c>
      <c r="F1247" s="112"/>
      <c r="G1247" s="112"/>
      <c r="H1247" s="112" t="e">
        <f aca="false">общ.калькуляция!j1246</f>
        <v>#NAME?</v>
      </c>
      <c r="I1247" s="112"/>
      <c r="J1247" s="112"/>
      <c r="K1247" s="112" t="e">
        <f aca="false">общ.калькуляция!m1246</f>
        <v>#NAME?</v>
      </c>
      <c r="L1247" s="112"/>
      <c r="M1247" s="112"/>
      <c r="N1247" s="112" t="e">
        <f aca="false">SUM(C1247:M1247)</f>
        <v>#NAME?</v>
      </c>
    </row>
    <row r="1248" s="358" customFormat="true" ht="15" hidden="false" customHeight="false" outlineLevel="0" collapsed="false">
      <c r="A1248" s="327" t="s">
        <v>2075</v>
      </c>
      <c r="B1248" s="78" t="s">
        <v>3772</v>
      </c>
      <c r="C1248" s="363"/>
      <c r="D1248" s="363"/>
      <c r="E1248" s="112" t="e">
        <f aca="false">общ.калькуляция!h1247</f>
        <v>#NAME?</v>
      </c>
      <c r="F1248" s="112"/>
      <c r="G1248" s="112"/>
      <c r="H1248" s="112" t="e">
        <f aca="false">общ.калькуляция!j1247</f>
        <v>#NAME?</v>
      </c>
      <c r="I1248" s="112"/>
      <c r="J1248" s="112"/>
      <c r="K1248" s="112" t="e">
        <f aca="false">общ.калькуляция!m1247</f>
        <v>#NAME?</v>
      </c>
      <c r="L1248" s="112"/>
      <c r="M1248" s="112"/>
      <c r="N1248" s="112" t="e">
        <f aca="false">SUM(C1248:M1248)</f>
        <v>#NAME?</v>
      </c>
    </row>
    <row r="1249" s="358" customFormat="true" ht="30" hidden="false" customHeight="false" outlineLevel="0" collapsed="false">
      <c r="A1249" s="327" t="s">
        <v>2077</v>
      </c>
      <c r="B1249" s="78" t="s">
        <v>3773</v>
      </c>
      <c r="C1249" s="363"/>
      <c r="D1249" s="363"/>
      <c r="E1249" s="112" t="e">
        <f aca="false">общ.калькуляция!h1248</f>
        <v>#NAME?</v>
      </c>
      <c r="F1249" s="112"/>
      <c r="G1249" s="112"/>
      <c r="H1249" s="112" t="e">
        <f aca="false">общ.калькуляция!j1248</f>
        <v>#NAME?</v>
      </c>
      <c r="I1249" s="112"/>
      <c r="J1249" s="112"/>
      <c r="K1249" s="112" t="e">
        <f aca="false">общ.калькуляция!m1248</f>
        <v>#NAME?</v>
      </c>
      <c r="L1249" s="112"/>
      <c r="M1249" s="112"/>
      <c r="N1249" s="112" t="e">
        <f aca="false">SUM(C1249:M1249)</f>
        <v>#NAME?</v>
      </c>
    </row>
    <row r="1250" s="358" customFormat="true" ht="30" hidden="false" customHeight="false" outlineLevel="0" collapsed="false">
      <c r="A1250" s="327" t="s">
        <v>2079</v>
      </c>
      <c r="B1250" s="379" t="s">
        <v>3774</v>
      </c>
      <c r="C1250" s="363"/>
      <c r="D1250" s="363"/>
      <c r="E1250" s="112" t="e">
        <f aca="false">общ.калькуляция!h1249</f>
        <v>#NAME?</v>
      </c>
      <c r="F1250" s="112"/>
      <c r="G1250" s="112"/>
      <c r="H1250" s="112" t="e">
        <f aca="false">общ.калькуляция!j1249</f>
        <v>#NAME?</v>
      </c>
      <c r="I1250" s="112"/>
      <c r="J1250" s="112"/>
      <c r="K1250" s="112" t="e">
        <f aca="false">общ.калькуляция!m1249</f>
        <v>#NAME?</v>
      </c>
      <c r="L1250" s="112"/>
      <c r="M1250" s="112"/>
      <c r="N1250" s="112" t="e">
        <f aca="false">SUM(C1250:M1250)</f>
        <v>#NAME?</v>
      </c>
    </row>
    <row r="1251" s="358" customFormat="true" ht="15" hidden="false" customHeight="false" outlineLevel="0" collapsed="false">
      <c r="A1251" s="327" t="s">
        <v>2081</v>
      </c>
      <c r="B1251" s="379" t="s">
        <v>3775</v>
      </c>
      <c r="C1251" s="363"/>
      <c r="D1251" s="363"/>
      <c r="E1251" s="112" t="e">
        <f aca="false">общ.калькуляция!h1250</f>
        <v>#NAME?</v>
      </c>
      <c r="F1251" s="112"/>
      <c r="G1251" s="112"/>
      <c r="H1251" s="112" t="e">
        <f aca="false">общ.калькуляция!j1250</f>
        <v>#NAME?</v>
      </c>
      <c r="I1251" s="112"/>
      <c r="J1251" s="112"/>
      <c r="K1251" s="112" t="e">
        <f aca="false">общ.калькуляция!m1250</f>
        <v>#NAME?</v>
      </c>
      <c r="L1251" s="112"/>
      <c r="M1251" s="112"/>
      <c r="N1251" s="112" t="e">
        <f aca="false">SUM(C1251:M1251)</f>
        <v>#NAME?</v>
      </c>
    </row>
    <row r="1252" s="358" customFormat="true" ht="15" hidden="false" customHeight="false" outlineLevel="0" collapsed="false">
      <c r="A1252" s="327" t="s">
        <v>2083</v>
      </c>
      <c r="B1252" s="78" t="s">
        <v>3776</v>
      </c>
      <c r="C1252" s="363"/>
      <c r="D1252" s="363"/>
      <c r="E1252" s="112" t="e">
        <f aca="false">общ.калькуляция!h1251</f>
        <v>#NAME?</v>
      </c>
      <c r="F1252" s="112"/>
      <c r="G1252" s="112"/>
      <c r="H1252" s="112" t="e">
        <f aca="false">общ.калькуляция!j1251</f>
        <v>#NAME?</v>
      </c>
      <c r="I1252" s="112"/>
      <c r="J1252" s="112"/>
      <c r="K1252" s="112" t="e">
        <f aca="false">общ.калькуляция!m1251</f>
        <v>#NAME?</v>
      </c>
      <c r="L1252" s="112"/>
      <c r="M1252" s="112"/>
      <c r="N1252" s="112" t="e">
        <f aca="false">SUM(C1252:M1252)</f>
        <v>#NAME?</v>
      </c>
    </row>
    <row r="1253" s="358" customFormat="true" ht="15" hidden="false" customHeight="false" outlineLevel="0" collapsed="false">
      <c r="A1253" s="327" t="s">
        <v>2085</v>
      </c>
      <c r="B1253" s="78" t="s">
        <v>3777</v>
      </c>
      <c r="C1253" s="363"/>
      <c r="D1253" s="363"/>
      <c r="E1253" s="112" t="e">
        <f aca="false">общ.калькуляция!h1252</f>
        <v>#NAME?</v>
      </c>
      <c r="F1253" s="112"/>
      <c r="G1253" s="112"/>
      <c r="H1253" s="112" t="e">
        <f aca="false">общ.калькуляция!j1252</f>
        <v>#NAME?</v>
      </c>
      <c r="I1253" s="112"/>
      <c r="J1253" s="112"/>
      <c r="K1253" s="112" t="e">
        <f aca="false">общ.калькуляция!m1252</f>
        <v>#NAME?</v>
      </c>
      <c r="L1253" s="112"/>
      <c r="M1253" s="112"/>
      <c r="N1253" s="112" t="e">
        <f aca="false">SUM(C1253:M1253)</f>
        <v>#NAME?</v>
      </c>
    </row>
    <row r="1254" s="358" customFormat="true" ht="15" hidden="false" customHeight="false" outlineLevel="0" collapsed="false">
      <c r="A1254" s="327" t="s">
        <v>2087</v>
      </c>
      <c r="B1254" s="78" t="s">
        <v>3778</v>
      </c>
      <c r="C1254" s="363"/>
      <c r="D1254" s="363"/>
      <c r="E1254" s="112" t="e">
        <f aca="false">общ.калькуляция!h1253</f>
        <v>#NAME?</v>
      </c>
      <c r="F1254" s="112"/>
      <c r="G1254" s="112"/>
      <c r="H1254" s="112" t="e">
        <f aca="false">общ.калькуляция!j1253</f>
        <v>#NAME?</v>
      </c>
      <c r="I1254" s="112"/>
      <c r="J1254" s="112"/>
      <c r="K1254" s="112" t="e">
        <f aca="false">общ.калькуляция!m1253</f>
        <v>#NAME?</v>
      </c>
      <c r="L1254" s="112"/>
      <c r="M1254" s="112"/>
      <c r="N1254" s="112" t="e">
        <f aca="false">SUM(C1254:M1254)</f>
        <v>#NAME?</v>
      </c>
    </row>
    <row r="1255" s="358" customFormat="true" ht="15" hidden="false" customHeight="false" outlineLevel="0" collapsed="false">
      <c r="A1255" s="327" t="s">
        <v>2089</v>
      </c>
      <c r="B1255" s="78" t="s">
        <v>3779</v>
      </c>
      <c r="C1255" s="363"/>
      <c r="D1255" s="363"/>
      <c r="E1255" s="112" t="e">
        <f aca="false">общ.калькуляция!h1254</f>
        <v>#NAME?</v>
      </c>
      <c r="F1255" s="112"/>
      <c r="G1255" s="112"/>
      <c r="H1255" s="112" t="e">
        <f aca="false">общ.калькуляция!j1254</f>
        <v>#NAME?</v>
      </c>
      <c r="I1255" s="112"/>
      <c r="J1255" s="112"/>
      <c r="K1255" s="112" t="e">
        <f aca="false">общ.калькуляция!m1254</f>
        <v>#NAME?</v>
      </c>
      <c r="L1255" s="112"/>
      <c r="M1255" s="112"/>
      <c r="N1255" s="112" t="e">
        <f aca="false">SUM(C1255:M1255)</f>
        <v>#NAME?</v>
      </c>
    </row>
    <row r="1256" s="358" customFormat="true" ht="15" hidden="false" customHeight="false" outlineLevel="0" collapsed="false">
      <c r="A1256" s="327" t="s">
        <v>2091</v>
      </c>
      <c r="B1256" s="78" t="s">
        <v>3780</v>
      </c>
      <c r="C1256" s="363"/>
      <c r="D1256" s="363"/>
      <c r="E1256" s="112" t="e">
        <f aca="false">общ.калькуляция!h1255</f>
        <v>#NAME?</v>
      </c>
      <c r="F1256" s="112"/>
      <c r="G1256" s="112"/>
      <c r="H1256" s="112" t="e">
        <f aca="false">общ.калькуляция!j1255</f>
        <v>#NAME?</v>
      </c>
      <c r="I1256" s="112"/>
      <c r="J1256" s="112"/>
      <c r="K1256" s="112" t="e">
        <f aca="false">общ.калькуляция!m1255</f>
        <v>#NAME?</v>
      </c>
      <c r="L1256" s="112"/>
      <c r="M1256" s="112"/>
      <c r="N1256" s="112" t="e">
        <f aca="false">SUM(C1256:M1256)</f>
        <v>#NAME?</v>
      </c>
    </row>
    <row r="1257" s="358" customFormat="true" ht="15" hidden="false" customHeight="false" outlineLevel="0" collapsed="false">
      <c r="A1257" s="327" t="s">
        <v>2093</v>
      </c>
      <c r="B1257" s="78" t="s">
        <v>3781</v>
      </c>
      <c r="C1257" s="363"/>
      <c r="D1257" s="363"/>
      <c r="E1257" s="112" t="e">
        <f aca="false">общ.калькуляция!h1256</f>
        <v>#NAME?</v>
      </c>
      <c r="F1257" s="112"/>
      <c r="G1257" s="112"/>
      <c r="H1257" s="112" t="e">
        <f aca="false">общ.калькуляция!j1256</f>
        <v>#NAME?</v>
      </c>
      <c r="I1257" s="112"/>
      <c r="J1257" s="112"/>
      <c r="K1257" s="112" t="e">
        <f aca="false">общ.калькуляция!m1256</f>
        <v>#NAME?</v>
      </c>
      <c r="L1257" s="112"/>
      <c r="M1257" s="112"/>
      <c r="N1257" s="112" t="e">
        <f aca="false">SUM(C1257:M1257)</f>
        <v>#NAME?</v>
      </c>
    </row>
    <row r="1258" s="358" customFormat="true" ht="15" hidden="false" customHeight="false" outlineLevel="0" collapsed="false">
      <c r="A1258" s="327" t="s">
        <v>2095</v>
      </c>
      <c r="B1258" s="78" t="s">
        <v>3782</v>
      </c>
      <c r="C1258" s="363"/>
      <c r="D1258" s="363"/>
      <c r="E1258" s="112" t="e">
        <f aca="false">общ.калькуляция!h1257</f>
        <v>#NAME?</v>
      </c>
      <c r="F1258" s="112"/>
      <c r="G1258" s="112"/>
      <c r="H1258" s="112" t="e">
        <f aca="false">общ.калькуляция!j1257</f>
        <v>#NAME?</v>
      </c>
      <c r="I1258" s="112"/>
      <c r="J1258" s="112"/>
      <c r="K1258" s="112" t="e">
        <f aca="false">общ.калькуляция!m1257</f>
        <v>#NAME?</v>
      </c>
      <c r="L1258" s="112"/>
      <c r="M1258" s="112"/>
      <c r="N1258" s="112" t="e">
        <f aca="false">SUM(C1258:M1258)</f>
        <v>#NAME?</v>
      </c>
    </row>
    <row r="1259" s="358" customFormat="true" ht="15" hidden="false" customHeight="false" outlineLevel="0" collapsed="false">
      <c r="A1259" s="327" t="s">
        <v>2097</v>
      </c>
      <c r="B1259" s="78" t="s">
        <v>3783</v>
      </c>
      <c r="C1259" s="363"/>
      <c r="D1259" s="363"/>
      <c r="E1259" s="112" t="e">
        <f aca="false">общ.калькуляция!h1258</f>
        <v>#NAME?</v>
      </c>
      <c r="F1259" s="112"/>
      <c r="G1259" s="112"/>
      <c r="H1259" s="112" t="e">
        <f aca="false">общ.калькуляция!j1258</f>
        <v>#NAME?</v>
      </c>
      <c r="I1259" s="112"/>
      <c r="J1259" s="112"/>
      <c r="K1259" s="112" t="e">
        <f aca="false">общ.калькуляция!m1258</f>
        <v>#NAME?</v>
      </c>
      <c r="L1259" s="112"/>
      <c r="M1259" s="112"/>
      <c r="N1259" s="112" t="e">
        <f aca="false">SUM(C1259:M1259)</f>
        <v>#NAME?</v>
      </c>
    </row>
    <row r="1260" s="358" customFormat="true" ht="15" hidden="false" customHeight="false" outlineLevel="0" collapsed="false">
      <c r="A1260" s="327" t="s">
        <v>2099</v>
      </c>
      <c r="B1260" s="78" t="s">
        <v>3784</v>
      </c>
      <c r="C1260" s="363"/>
      <c r="D1260" s="363"/>
      <c r="E1260" s="112" t="e">
        <f aca="false">общ.калькуляция!h1259</f>
        <v>#NAME?</v>
      </c>
      <c r="F1260" s="112"/>
      <c r="G1260" s="112"/>
      <c r="H1260" s="112" t="e">
        <f aca="false">общ.калькуляция!j1259</f>
        <v>#NAME?</v>
      </c>
      <c r="I1260" s="112"/>
      <c r="J1260" s="112"/>
      <c r="K1260" s="112" t="e">
        <f aca="false">общ.калькуляция!m1259</f>
        <v>#NAME?</v>
      </c>
      <c r="L1260" s="112"/>
      <c r="M1260" s="112"/>
      <c r="N1260" s="112" t="e">
        <f aca="false">SUM(C1260:M1260)</f>
        <v>#NAME?</v>
      </c>
    </row>
    <row r="1261" s="358" customFormat="true" ht="15" hidden="false" customHeight="false" outlineLevel="0" collapsed="false">
      <c r="A1261" s="327" t="s">
        <v>2101</v>
      </c>
      <c r="B1261" s="78" t="s">
        <v>3785</v>
      </c>
      <c r="C1261" s="363"/>
      <c r="D1261" s="363"/>
      <c r="E1261" s="112" t="e">
        <f aca="false">общ.калькуляция!h1260</f>
        <v>#NAME?</v>
      </c>
      <c r="F1261" s="112"/>
      <c r="G1261" s="112"/>
      <c r="H1261" s="112" t="e">
        <f aca="false">общ.калькуляция!j1260</f>
        <v>#NAME?</v>
      </c>
      <c r="I1261" s="112"/>
      <c r="J1261" s="112"/>
      <c r="K1261" s="112" t="e">
        <f aca="false">общ.калькуляция!m1260</f>
        <v>#NAME?</v>
      </c>
      <c r="L1261" s="112"/>
      <c r="M1261" s="112"/>
      <c r="N1261" s="112" t="e">
        <f aca="false">SUM(C1261:M1261)</f>
        <v>#NAME?</v>
      </c>
    </row>
    <row r="1262" s="358" customFormat="true" ht="15" hidden="false" customHeight="false" outlineLevel="0" collapsed="false">
      <c r="A1262" s="327" t="s">
        <v>2103</v>
      </c>
      <c r="B1262" s="78" t="s">
        <v>3786</v>
      </c>
      <c r="C1262" s="363"/>
      <c r="D1262" s="363"/>
      <c r="E1262" s="112" t="e">
        <f aca="false">общ.калькуляция!h1261</f>
        <v>#NAME?</v>
      </c>
      <c r="F1262" s="112"/>
      <c r="G1262" s="112"/>
      <c r="H1262" s="112" t="e">
        <f aca="false">общ.калькуляция!j1261</f>
        <v>#NAME?</v>
      </c>
      <c r="I1262" s="112"/>
      <c r="J1262" s="112"/>
      <c r="K1262" s="112" t="e">
        <f aca="false">общ.калькуляция!m1261</f>
        <v>#NAME?</v>
      </c>
      <c r="L1262" s="112"/>
      <c r="M1262" s="112"/>
      <c r="N1262" s="112" t="e">
        <f aca="false">SUM(C1262:M1262)</f>
        <v>#NAME?</v>
      </c>
    </row>
    <row r="1263" s="358" customFormat="true" ht="15" hidden="false" customHeight="false" outlineLevel="0" collapsed="false">
      <c r="A1263" s="327" t="s">
        <v>2105</v>
      </c>
      <c r="B1263" s="78" t="s">
        <v>3787</v>
      </c>
      <c r="C1263" s="363"/>
      <c r="D1263" s="363"/>
      <c r="E1263" s="112" t="e">
        <f aca="false">общ.калькуляция!h1262</f>
        <v>#NAME?</v>
      </c>
      <c r="F1263" s="112"/>
      <c r="G1263" s="112"/>
      <c r="H1263" s="112" t="e">
        <f aca="false">общ.калькуляция!j1262</f>
        <v>#NAME?</v>
      </c>
      <c r="I1263" s="112"/>
      <c r="J1263" s="112"/>
      <c r="K1263" s="112" t="e">
        <f aca="false">общ.калькуляция!m1262</f>
        <v>#NAME?</v>
      </c>
      <c r="L1263" s="112"/>
      <c r="M1263" s="112"/>
      <c r="N1263" s="112" t="e">
        <f aca="false">SUM(C1263:M1263)</f>
        <v>#NAME?</v>
      </c>
    </row>
    <row r="1264" s="358" customFormat="true" ht="15" hidden="false" customHeight="false" outlineLevel="0" collapsed="false">
      <c r="A1264" s="327" t="s">
        <v>2107</v>
      </c>
      <c r="B1264" s="78" t="s">
        <v>3788</v>
      </c>
      <c r="C1264" s="363"/>
      <c r="D1264" s="363"/>
      <c r="E1264" s="112" t="e">
        <f aca="false">общ.калькуляция!h1263</f>
        <v>#NAME?</v>
      </c>
      <c r="F1264" s="112"/>
      <c r="G1264" s="112"/>
      <c r="H1264" s="112" t="e">
        <f aca="false">общ.калькуляция!j1263</f>
        <v>#NAME?</v>
      </c>
      <c r="I1264" s="112"/>
      <c r="J1264" s="112"/>
      <c r="K1264" s="112" t="e">
        <f aca="false">общ.калькуляция!m1263</f>
        <v>#NAME?</v>
      </c>
      <c r="L1264" s="112"/>
      <c r="M1264" s="112"/>
      <c r="N1264" s="112" t="e">
        <f aca="false">SUM(C1264:M1264)</f>
        <v>#NAME?</v>
      </c>
    </row>
    <row r="1265" s="358" customFormat="true" ht="15" hidden="false" customHeight="false" outlineLevel="0" collapsed="false">
      <c r="A1265" s="327" t="s">
        <v>2109</v>
      </c>
      <c r="B1265" s="78" t="s">
        <v>3789</v>
      </c>
      <c r="C1265" s="363"/>
      <c r="D1265" s="363"/>
      <c r="E1265" s="112" t="e">
        <f aca="false">общ.калькуляция!h1264</f>
        <v>#NAME?</v>
      </c>
      <c r="F1265" s="112"/>
      <c r="G1265" s="112"/>
      <c r="H1265" s="112" t="e">
        <f aca="false">общ.калькуляция!j1264</f>
        <v>#NAME?</v>
      </c>
      <c r="I1265" s="112"/>
      <c r="J1265" s="112"/>
      <c r="K1265" s="112" t="e">
        <f aca="false">общ.калькуляция!m1264</f>
        <v>#NAME?</v>
      </c>
      <c r="L1265" s="112"/>
      <c r="M1265" s="112"/>
      <c r="N1265" s="112" t="e">
        <f aca="false">SUM(C1265:M1265)</f>
        <v>#NAME?</v>
      </c>
    </row>
    <row r="1266" s="358" customFormat="true" ht="15" hidden="false" customHeight="false" outlineLevel="0" collapsed="false">
      <c r="A1266" s="327" t="s">
        <v>2111</v>
      </c>
      <c r="B1266" s="78" t="s">
        <v>3790</v>
      </c>
      <c r="C1266" s="363"/>
      <c r="D1266" s="363"/>
      <c r="E1266" s="112" t="e">
        <f aca="false">общ.калькуляция!h1265</f>
        <v>#NAME?</v>
      </c>
      <c r="F1266" s="112"/>
      <c r="G1266" s="112"/>
      <c r="H1266" s="112" t="e">
        <f aca="false">общ.калькуляция!j1265</f>
        <v>#NAME?</v>
      </c>
      <c r="I1266" s="112"/>
      <c r="J1266" s="112"/>
      <c r="K1266" s="112" t="e">
        <f aca="false">общ.калькуляция!m1265</f>
        <v>#NAME?</v>
      </c>
      <c r="L1266" s="112"/>
      <c r="M1266" s="112"/>
      <c r="N1266" s="112" t="e">
        <f aca="false">SUM(C1266:M1266)</f>
        <v>#NAME?</v>
      </c>
    </row>
    <row r="1267" s="358" customFormat="true" ht="15" hidden="false" customHeight="false" outlineLevel="0" collapsed="false">
      <c r="A1267" s="327" t="s">
        <v>2113</v>
      </c>
      <c r="B1267" s="78" t="s">
        <v>3791</v>
      </c>
      <c r="C1267" s="363"/>
      <c r="D1267" s="363"/>
      <c r="E1267" s="112" t="e">
        <f aca="false">общ.калькуляция!h1266</f>
        <v>#NAME?</v>
      </c>
      <c r="F1267" s="112"/>
      <c r="G1267" s="112"/>
      <c r="H1267" s="112" t="e">
        <f aca="false">общ.калькуляция!j1266</f>
        <v>#NAME?</v>
      </c>
      <c r="I1267" s="112"/>
      <c r="J1267" s="112"/>
      <c r="K1267" s="112" t="e">
        <f aca="false">общ.калькуляция!m1266</f>
        <v>#NAME?</v>
      </c>
      <c r="L1267" s="112"/>
      <c r="M1267" s="112"/>
      <c r="N1267" s="112" t="e">
        <f aca="false">SUM(C1267:M1267)</f>
        <v>#NAME?</v>
      </c>
    </row>
    <row r="1268" s="358" customFormat="true" ht="30" hidden="false" customHeight="false" outlineLevel="0" collapsed="false">
      <c r="A1268" s="327" t="s">
        <v>2115</v>
      </c>
      <c r="B1268" s="78" t="s">
        <v>3792</v>
      </c>
      <c r="C1268" s="363"/>
      <c r="D1268" s="363"/>
      <c r="E1268" s="112" t="e">
        <f aca="false">общ.калькуляция!h1267</f>
        <v>#NAME?</v>
      </c>
      <c r="F1268" s="112"/>
      <c r="G1268" s="112"/>
      <c r="H1268" s="112" t="e">
        <f aca="false">общ.калькуляция!j1267</f>
        <v>#NAME?</v>
      </c>
      <c r="I1268" s="112"/>
      <c r="J1268" s="112"/>
      <c r="K1268" s="112" t="e">
        <f aca="false">общ.калькуляция!m1267</f>
        <v>#NAME?</v>
      </c>
      <c r="L1268" s="112"/>
      <c r="M1268" s="112"/>
      <c r="N1268" s="112" t="e">
        <f aca="false">SUM(C1268:M1268)</f>
        <v>#NAME?</v>
      </c>
    </row>
    <row r="1269" s="358" customFormat="true" ht="15" hidden="false" customHeight="false" outlineLevel="0" collapsed="false">
      <c r="A1269" s="327" t="s">
        <v>2117</v>
      </c>
      <c r="B1269" s="78" t="s">
        <v>3793</v>
      </c>
      <c r="C1269" s="363"/>
      <c r="D1269" s="363"/>
      <c r="E1269" s="112" t="e">
        <f aca="false">общ.калькуляция!h1268</f>
        <v>#NAME?</v>
      </c>
      <c r="F1269" s="112"/>
      <c r="G1269" s="112"/>
      <c r="H1269" s="112" t="e">
        <f aca="false">общ.калькуляция!j1268</f>
        <v>#NAME?</v>
      </c>
      <c r="I1269" s="112"/>
      <c r="J1269" s="112"/>
      <c r="K1269" s="112" t="e">
        <f aca="false">общ.калькуляция!m1268</f>
        <v>#NAME?</v>
      </c>
      <c r="L1269" s="112"/>
      <c r="M1269" s="112"/>
      <c r="N1269" s="112" t="e">
        <f aca="false">SUM(C1269:M1269)</f>
        <v>#NAME?</v>
      </c>
    </row>
    <row r="1270" s="358" customFormat="true" ht="15.75" hidden="false" customHeight="true" outlineLevel="0" collapsed="false">
      <c r="A1270" s="327" t="s">
        <v>2119</v>
      </c>
      <c r="B1270" s="78" t="s">
        <v>3794</v>
      </c>
      <c r="C1270" s="363"/>
      <c r="D1270" s="363"/>
      <c r="E1270" s="112" t="e">
        <f aca="false">общ.калькуляция!h1269</f>
        <v>#NAME?</v>
      </c>
      <c r="F1270" s="112"/>
      <c r="G1270" s="112"/>
      <c r="H1270" s="112" t="e">
        <f aca="false">общ.калькуляция!j1269</f>
        <v>#NAME?</v>
      </c>
      <c r="I1270" s="112"/>
      <c r="J1270" s="112"/>
      <c r="K1270" s="112" t="e">
        <f aca="false">общ.калькуляция!m1269</f>
        <v>#NAME?</v>
      </c>
      <c r="L1270" s="112"/>
      <c r="M1270" s="112"/>
      <c r="N1270" s="112" t="e">
        <f aca="false">SUM(C1270:M1270)</f>
        <v>#NAME?</v>
      </c>
    </row>
    <row r="1271" s="358" customFormat="true" ht="15" hidden="false" customHeight="false" outlineLevel="0" collapsed="false">
      <c r="A1271" s="327" t="s">
        <v>2121</v>
      </c>
      <c r="B1271" s="78" t="s">
        <v>3795</v>
      </c>
      <c r="C1271" s="363"/>
      <c r="D1271" s="363"/>
      <c r="E1271" s="112" t="e">
        <f aca="false">общ.калькуляция!h1270</f>
        <v>#NAME?</v>
      </c>
      <c r="F1271" s="112"/>
      <c r="G1271" s="112"/>
      <c r="H1271" s="112" t="e">
        <f aca="false">общ.калькуляция!j1270</f>
        <v>#NAME?</v>
      </c>
      <c r="I1271" s="112"/>
      <c r="J1271" s="112"/>
      <c r="K1271" s="112" t="e">
        <f aca="false">общ.калькуляция!m1270</f>
        <v>#NAME?</v>
      </c>
      <c r="L1271" s="112"/>
      <c r="M1271" s="112"/>
      <c r="N1271" s="112" t="e">
        <f aca="false">SUM(C1271:M1271)</f>
        <v>#NAME?</v>
      </c>
    </row>
    <row r="1272" s="358" customFormat="true" ht="15" hidden="false" customHeight="false" outlineLevel="0" collapsed="false">
      <c r="A1272" s="327" t="s">
        <v>2123</v>
      </c>
      <c r="B1272" s="78" t="s">
        <v>3796</v>
      </c>
      <c r="C1272" s="363"/>
      <c r="D1272" s="363"/>
      <c r="E1272" s="112" t="e">
        <f aca="false">общ.калькуляция!h1271</f>
        <v>#NAME?</v>
      </c>
      <c r="F1272" s="112"/>
      <c r="G1272" s="112"/>
      <c r="H1272" s="112" t="e">
        <f aca="false">общ.калькуляция!j1271</f>
        <v>#NAME?</v>
      </c>
      <c r="I1272" s="112"/>
      <c r="J1272" s="112"/>
      <c r="K1272" s="112" t="e">
        <f aca="false">общ.калькуляция!m1271</f>
        <v>#NAME?</v>
      </c>
      <c r="L1272" s="112"/>
      <c r="M1272" s="112"/>
      <c r="N1272" s="112" t="e">
        <f aca="false">SUM(C1272:M1272)</f>
        <v>#NAME?</v>
      </c>
    </row>
    <row r="1273" s="358" customFormat="true" ht="15" hidden="false" customHeight="false" outlineLevel="0" collapsed="false">
      <c r="A1273" s="327" t="s">
        <v>2125</v>
      </c>
      <c r="B1273" s="78" t="s">
        <v>3797</v>
      </c>
      <c r="C1273" s="363"/>
      <c r="D1273" s="363"/>
      <c r="E1273" s="112" t="e">
        <f aca="false">общ.калькуляция!h1272</f>
        <v>#NAME?</v>
      </c>
      <c r="F1273" s="112"/>
      <c r="G1273" s="112"/>
      <c r="H1273" s="112" t="e">
        <f aca="false">общ.калькуляция!j1272</f>
        <v>#NAME?</v>
      </c>
      <c r="I1273" s="112"/>
      <c r="J1273" s="112"/>
      <c r="K1273" s="112" t="e">
        <f aca="false">общ.калькуляция!m1272</f>
        <v>#NAME?</v>
      </c>
      <c r="L1273" s="112"/>
      <c r="M1273" s="112"/>
      <c r="N1273" s="112" t="e">
        <f aca="false">SUM(C1273:M1273)</f>
        <v>#NAME?</v>
      </c>
    </row>
    <row r="1274" s="358" customFormat="true" ht="15" hidden="false" customHeight="false" outlineLevel="0" collapsed="false">
      <c r="A1274" s="327" t="s">
        <v>2127</v>
      </c>
      <c r="B1274" s="78" t="s">
        <v>3798</v>
      </c>
      <c r="C1274" s="363"/>
      <c r="D1274" s="363"/>
      <c r="E1274" s="112" t="e">
        <f aca="false">общ.калькуляция!h1273</f>
        <v>#NAME?</v>
      </c>
      <c r="F1274" s="112"/>
      <c r="G1274" s="112"/>
      <c r="H1274" s="112" t="e">
        <f aca="false">общ.калькуляция!j1273</f>
        <v>#NAME?</v>
      </c>
      <c r="I1274" s="112"/>
      <c r="J1274" s="112"/>
      <c r="K1274" s="112" t="e">
        <f aca="false">общ.калькуляция!m1273</f>
        <v>#NAME?</v>
      </c>
      <c r="L1274" s="112"/>
      <c r="M1274" s="112"/>
      <c r="N1274" s="112" t="e">
        <f aca="false">SUM(C1274:M1274)</f>
        <v>#NAME?</v>
      </c>
    </row>
    <row r="1275" s="358" customFormat="true" ht="30" hidden="false" customHeight="false" outlineLevel="0" collapsed="false">
      <c r="A1275" s="327" t="s">
        <v>2129</v>
      </c>
      <c r="B1275" s="78" t="s">
        <v>3799</v>
      </c>
      <c r="C1275" s="363"/>
      <c r="D1275" s="363"/>
      <c r="E1275" s="112" t="e">
        <f aca="false">общ.калькуляция!h1274</f>
        <v>#NAME?</v>
      </c>
      <c r="F1275" s="112"/>
      <c r="G1275" s="112"/>
      <c r="H1275" s="112" t="e">
        <f aca="false">общ.калькуляция!j1274</f>
        <v>#NAME?</v>
      </c>
      <c r="I1275" s="112"/>
      <c r="J1275" s="112"/>
      <c r="K1275" s="112" t="e">
        <f aca="false">общ.калькуляция!m1274</f>
        <v>#NAME?</v>
      </c>
      <c r="L1275" s="112"/>
      <c r="M1275" s="112"/>
      <c r="N1275" s="112" t="e">
        <f aca="false">SUM(C1275:M1275)</f>
        <v>#NAME?</v>
      </c>
    </row>
    <row r="1276" s="358" customFormat="true" ht="15" hidden="false" customHeight="false" outlineLevel="0" collapsed="false">
      <c r="A1276" s="327" t="s">
        <v>2131</v>
      </c>
      <c r="B1276" s="78" t="s">
        <v>3800</v>
      </c>
      <c r="C1276" s="363"/>
      <c r="D1276" s="363"/>
      <c r="E1276" s="112" t="e">
        <f aca="false">общ.калькуляция!h1275</f>
        <v>#NAME?</v>
      </c>
      <c r="F1276" s="112"/>
      <c r="G1276" s="112"/>
      <c r="H1276" s="112" t="e">
        <f aca="false">общ.калькуляция!j1275</f>
        <v>#NAME?</v>
      </c>
      <c r="I1276" s="112"/>
      <c r="J1276" s="112"/>
      <c r="K1276" s="112" t="e">
        <f aca="false">общ.калькуляция!m1275</f>
        <v>#NAME?</v>
      </c>
      <c r="L1276" s="112"/>
      <c r="M1276" s="112"/>
      <c r="N1276" s="112" t="e">
        <f aca="false">SUM(C1276:M1276)</f>
        <v>#NAME?</v>
      </c>
    </row>
    <row r="1277" s="358" customFormat="true" ht="15" hidden="false" customHeight="false" outlineLevel="0" collapsed="false">
      <c r="A1277" s="327" t="s">
        <v>2133</v>
      </c>
      <c r="B1277" s="78" t="s">
        <v>3801</v>
      </c>
      <c r="C1277" s="363"/>
      <c r="D1277" s="363"/>
      <c r="E1277" s="112" t="e">
        <f aca="false">общ.калькуляция!h1276</f>
        <v>#NAME?</v>
      </c>
      <c r="F1277" s="112"/>
      <c r="G1277" s="112"/>
      <c r="H1277" s="112" t="e">
        <f aca="false">общ.калькуляция!j1276</f>
        <v>#NAME?</v>
      </c>
      <c r="I1277" s="112"/>
      <c r="J1277" s="112"/>
      <c r="K1277" s="112" t="e">
        <f aca="false">общ.калькуляция!m1276</f>
        <v>#NAME?</v>
      </c>
      <c r="L1277" s="112"/>
      <c r="M1277" s="112"/>
      <c r="N1277" s="112" t="e">
        <f aca="false">SUM(C1277:M1277)</f>
        <v>#NAME?</v>
      </c>
    </row>
    <row r="1278" s="358" customFormat="true" ht="15" hidden="false" customHeight="false" outlineLevel="0" collapsed="false">
      <c r="A1278" s="327" t="s">
        <v>2135</v>
      </c>
      <c r="B1278" s="78" t="s">
        <v>3802</v>
      </c>
      <c r="C1278" s="363"/>
      <c r="D1278" s="363"/>
      <c r="E1278" s="112" t="e">
        <f aca="false">общ.калькуляция!h1277</f>
        <v>#NAME?</v>
      </c>
      <c r="F1278" s="112"/>
      <c r="G1278" s="112"/>
      <c r="H1278" s="112" t="e">
        <f aca="false">общ.калькуляция!j1277</f>
        <v>#NAME?</v>
      </c>
      <c r="I1278" s="112"/>
      <c r="J1278" s="112"/>
      <c r="K1278" s="112" t="e">
        <f aca="false">общ.калькуляция!m1277</f>
        <v>#NAME?</v>
      </c>
      <c r="L1278" s="112"/>
      <c r="M1278" s="112"/>
      <c r="N1278" s="112" t="e">
        <f aca="false">SUM(C1278:M1278)</f>
        <v>#NAME?</v>
      </c>
    </row>
    <row r="1279" s="358" customFormat="true" ht="15" hidden="false" customHeight="false" outlineLevel="0" collapsed="false">
      <c r="A1279" s="327" t="s">
        <v>2137</v>
      </c>
      <c r="B1279" s="78" t="s">
        <v>3803</v>
      </c>
      <c r="C1279" s="363"/>
      <c r="D1279" s="363"/>
      <c r="E1279" s="112" t="e">
        <f aca="false">общ.калькуляция!h1278</f>
        <v>#NAME?</v>
      </c>
      <c r="F1279" s="112"/>
      <c r="G1279" s="112"/>
      <c r="H1279" s="112" t="e">
        <f aca="false">общ.калькуляция!j1278</f>
        <v>#NAME?</v>
      </c>
      <c r="I1279" s="112"/>
      <c r="J1279" s="112"/>
      <c r="K1279" s="112" t="e">
        <f aca="false">общ.калькуляция!m1278</f>
        <v>#NAME?</v>
      </c>
      <c r="L1279" s="112"/>
      <c r="M1279" s="112"/>
      <c r="N1279" s="112" t="e">
        <f aca="false">SUM(C1279:M1279)</f>
        <v>#NAME?</v>
      </c>
    </row>
    <row r="1280" s="358" customFormat="true" ht="15" hidden="false" customHeight="false" outlineLevel="0" collapsed="false">
      <c r="A1280" s="327" t="s">
        <v>2139</v>
      </c>
      <c r="B1280" s="78" t="s">
        <v>3804</v>
      </c>
      <c r="C1280" s="363"/>
      <c r="D1280" s="363"/>
      <c r="E1280" s="112" t="e">
        <f aca="false">общ.калькуляция!h1279</f>
        <v>#NAME?</v>
      </c>
      <c r="F1280" s="112"/>
      <c r="G1280" s="112"/>
      <c r="H1280" s="112" t="e">
        <f aca="false">общ.калькуляция!j1279</f>
        <v>#NAME?</v>
      </c>
      <c r="I1280" s="112"/>
      <c r="J1280" s="112"/>
      <c r="K1280" s="112" t="e">
        <f aca="false">общ.калькуляция!m1279</f>
        <v>#NAME?</v>
      </c>
      <c r="L1280" s="112"/>
      <c r="M1280" s="112"/>
      <c r="N1280" s="112" t="e">
        <f aca="false">SUM(C1280:M1280)</f>
        <v>#NAME?</v>
      </c>
    </row>
    <row r="1281" s="358" customFormat="true" ht="15" hidden="false" customHeight="false" outlineLevel="0" collapsed="false">
      <c r="A1281" s="327" t="s">
        <v>2141</v>
      </c>
      <c r="B1281" s="78" t="s">
        <v>3805</v>
      </c>
      <c r="C1281" s="363"/>
      <c r="D1281" s="363"/>
      <c r="E1281" s="112" t="e">
        <f aca="false">общ.калькуляция!h1280</f>
        <v>#NAME?</v>
      </c>
      <c r="F1281" s="112"/>
      <c r="G1281" s="112"/>
      <c r="H1281" s="112" t="e">
        <f aca="false">общ.калькуляция!j1280</f>
        <v>#NAME?</v>
      </c>
      <c r="I1281" s="112"/>
      <c r="J1281" s="112"/>
      <c r="K1281" s="112" t="e">
        <f aca="false">общ.калькуляция!m1280</f>
        <v>#NAME?</v>
      </c>
      <c r="L1281" s="112"/>
      <c r="M1281" s="112"/>
      <c r="N1281" s="112" t="e">
        <f aca="false">SUM(C1281:M1281)</f>
        <v>#NAME?</v>
      </c>
    </row>
    <row r="1282" s="358" customFormat="true" ht="15" hidden="false" customHeight="false" outlineLevel="0" collapsed="false">
      <c r="A1282" s="327" t="s">
        <v>2143</v>
      </c>
      <c r="B1282" s="78" t="s">
        <v>3806</v>
      </c>
      <c r="C1282" s="363"/>
      <c r="D1282" s="363"/>
      <c r="E1282" s="112" t="e">
        <f aca="false">общ.калькуляция!h1281</f>
        <v>#NAME?</v>
      </c>
      <c r="F1282" s="112"/>
      <c r="G1282" s="112"/>
      <c r="H1282" s="112" t="e">
        <f aca="false">общ.калькуляция!j1281</f>
        <v>#NAME?</v>
      </c>
      <c r="I1282" s="112"/>
      <c r="J1282" s="112"/>
      <c r="K1282" s="112" t="e">
        <f aca="false">общ.калькуляция!m1281</f>
        <v>#NAME?</v>
      </c>
      <c r="L1282" s="112"/>
      <c r="M1282" s="112"/>
      <c r="N1282" s="112" t="e">
        <f aca="false">SUM(C1282:M1282)</f>
        <v>#NAME?</v>
      </c>
    </row>
    <row r="1283" s="358" customFormat="true" ht="15" hidden="false" customHeight="false" outlineLevel="0" collapsed="false">
      <c r="A1283" s="327" t="s">
        <v>2145</v>
      </c>
      <c r="B1283" s="78" t="s">
        <v>3807</v>
      </c>
      <c r="C1283" s="363"/>
      <c r="D1283" s="363"/>
      <c r="E1283" s="112" t="e">
        <f aca="false">общ.калькуляция!h1282</f>
        <v>#NAME?</v>
      </c>
      <c r="F1283" s="112"/>
      <c r="G1283" s="112"/>
      <c r="H1283" s="112" t="e">
        <f aca="false">общ.калькуляция!j1282</f>
        <v>#NAME?</v>
      </c>
      <c r="I1283" s="112"/>
      <c r="J1283" s="112"/>
      <c r="K1283" s="112" t="e">
        <f aca="false">общ.калькуляция!m1282</f>
        <v>#NAME?</v>
      </c>
      <c r="L1283" s="112"/>
      <c r="M1283" s="112"/>
      <c r="N1283" s="112" t="e">
        <f aca="false">SUM(C1283:M1283)</f>
        <v>#NAME?</v>
      </c>
    </row>
    <row r="1284" s="358" customFormat="true" ht="30" hidden="false" customHeight="false" outlineLevel="0" collapsed="false">
      <c r="A1284" s="327" t="s">
        <v>2147</v>
      </c>
      <c r="B1284" s="78" t="s">
        <v>3808</v>
      </c>
      <c r="C1284" s="363"/>
      <c r="D1284" s="363"/>
      <c r="E1284" s="112" t="e">
        <f aca="false">общ.калькуляция!h1283</f>
        <v>#NAME?</v>
      </c>
      <c r="F1284" s="112"/>
      <c r="G1284" s="112"/>
      <c r="H1284" s="112" t="e">
        <f aca="false">общ.калькуляция!j1283</f>
        <v>#NAME?</v>
      </c>
      <c r="I1284" s="112"/>
      <c r="J1284" s="112"/>
      <c r="K1284" s="112" t="e">
        <f aca="false">общ.калькуляция!m1283</f>
        <v>#NAME?</v>
      </c>
      <c r="L1284" s="112"/>
      <c r="M1284" s="112"/>
      <c r="N1284" s="112" t="e">
        <f aca="false">SUM(C1284:M1284)</f>
        <v>#NAME?</v>
      </c>
    </row>
    <row r="1285" s="358" customFormat="true" ht="15" hidden="false" customHeight="false" outlineLevel="0" collapsed="false">
      <c r="A1285" s="327" t="s">
        <v>2149</v>
      </c>
      <c r="B1285" s="78" t="s">
        <v>3809</v>
      </c>
      <c r="C1285" s="363"/>
      <c r="D1285" s="363"/>
      <c r="E1285" s="112" t="e">
        <f aca="false">общ.калькуляция!h1284</f>
        <v>#NAME?</v>
      </c>
      <c r="F1285" s="112"/>
      <c r="G1285" s="112"/>
      <c r="H1285" s="112" t="e">
        <f aca="false">общ.калькуляция!j1284</f>
        <v>#NAME?</v>
      </c>
      <c r="I1285" s="112"/>
      <c r="J1285" s="112"/>
      <c r="K1285" s="112" t="e">
        <f aca="false">общ.калькуляция!m1284</f>
        <v>#NAME?</v>
      </c>
      <c r="L1285" s="112"/>
      <c r="M1285" s="112"/>
      <c r="N1285" s="112" t="e">
        <f aca="false">SUM(C1285:M1285)</f>
        <v>#NAME?</v>
      </c>
    </row>
    <row r="1286" s="358" customFormat="true" ht="15" hidden="false" customHeight="false" outlineLevel="0" collapsed="false">
      <c r="A1286" s="327" t="s">
        <v>2151</v>
      </c>
      <c r="B1286" s="78" t="s">
        <v>3810</v>
      </c>
      <c r="C1286" s="363"/>
      <c r="D1286" s="363"/>
      <c r="E1286" s="112" t="e">
        <f aca="false">общ.калькуляция!h1285</f>
        <v>#NAME?</v>
      </c>
      <c r="F1286" s="112"/>
      <c r="G1286" s="112"/>
      <c r="H1286" s="112" t="e">
        <f aca="false">общ.калькуляция!j1285</f>
        <v>#NAME?</v>
      </c>
      <c r="I1286" s="112"/>
      <c r="J1286" s="112"/>
      <c r="K1286" s="112" t="e">
        <f aca="false">общ.калькуляция!m1285</f>
        <v>#NAME?</v>
      </c>
      <c r="L1286" s="112"/>
      <c r="M1286" s="112"/>
      <c r="N1286" s="112" t="e">
        <f aca="false">SUM(C1286:M1286)</f>
        <v>#NAME?</v>
      </c>
    </row>
    <row r="1287" s="358" customFormat="true" ht="19.5" hidden="false" customHeight="true" outlineLevel="0" collapsed="false">
      <c r="A1287" s="327" t="s">
        <v>2153</v>
      </c>
      <c r="B1287" s="78" t="s">
        <v>3811</v>
      </c>
      <c r="C1287" s="363"/>
      <c r="D1287" s="363"/>
      <c r="E1287" s="112" t="e">
        <f aca="false">общ.калькуляция!h1286</f>
        <v>#NAME?</v>
      </c>
      <c r="F1287" s="112"/>
      <c r="G1287" s="112"/>
      <c r="H1287" s="112" t="e">
        <f aca="false">общ.калькуляция!j1286</f>
        <v>#NAME?</v>
      </c>
      <c r="I1287" s="112"/>
      <c r="J1287" s="112"/>
      <c r="K1287" s="112" t="e">
        <f aca="false">общ.калькуляция!m1286</f>
        <v>#NAME?</v>
      </c>
      <c r="L1287" s="112"/>
      <c r="M1287" s="112"/>
      <c r="N1287" s="112" t="e">
        <f aca="false">SUM(C1287:M1287)</f>
        <v>#NAME?</v>
      </c>
    </row>
    <row r="1288" s="358" customFormat="true" ht="15" hidden="false" customHeight="false" outlineLevel="0" collapsed="false">
      <c r="A1288" s="327" t="s">
        <v>2155</v>
      </c>
      <c r="B1288" s="78" t="s">
        <v>3812</v>
      </c>
      <c r="C1288" s="363"/>
      <c r="D1288" s="363"/>
      <c r="E1288" s="112" t="e">
        <f aca="false">общ.калькуляция!h1287</f>
        <v>#NAME?</v>
      </c>
      <c r="F1288" s="112"/>
      <c r="G1288" s="112"/>
      <c r="H1288" s="112" t="e">
        <f aca="false">общ.калькуляция!j1287</f>
        <v>#NAME?</v>
      </c>
      <c r="I1288" s="112"/>
      <c r="J1288" s="112"/>
      <c r="K1288" s="112" t="e">
        <f aca="false">общ.калькуляция!m1287</f>
        <v>#NAME?</v>
      </c>
      <c r="L1288" s="112"/>
      <c r="M1288" s="112"/>
      <c r="N1288" s="112" t="e">
        <f aca="false">SUM(C1288:M1288)</f>
        <v>#NAME?</v>
      </c>
    </row>
    <row r="1289" s="358" customFormat="true" ht="15" hidden="false" customHeight="false" outlineLevel="0" collapsed="false">
      <c r="A1289" s="327" t="s">
        <v>2157</v>
      </c>
      <c r="B1289" s="78" t="s">
        <v>3813</v>
      </c>
      <c r="C1289" s="363"/>
      <c r="D1289" s="363"/>
      <c r="E1289" s="112" t="e">
        <f aca="false">общ.калькуляция!h1288</f>
        <v>#NAME?</v>
      </c>
      <c r="F1289" s="112"/>
      <c r="G1289" s="112"/>
      <c r="H1289" s="112" t="e">
        <f aca="false">общ.калькуляция!j1288</f>
        <v>#NAME?</v>
      </c>
      <c r="I1289" s="112"/>
      <c r="J1289" s="112"/>
      <c r="K1289" s="112" t="e">
        <f aca="false">общ.калькуляция!m1288</f>
        <v>#NAME?</v>
      </c>
      <c r="L1289" s="112"/>
      <c r="M1289" s="112"/>
      <c r="N1289" s="112" t="e">
        <f aca="false">SUM(C1289:M1289)</f>
        <v>#NAME?</v>
      </c>
    </row>
    <row r="1290" customFormat="false" ht="18" hidden="false" customHeight="true" outlineLevel="0" collapsed="false">
      <c r="A1290" s="343" t="s">
        <v>2159</v>
      </c>
      <c r="B1290" s="318" t="s">
        <v>3814</v>
      </c>
      <c r="C1290" s="111"/>
      <c r="D1290" s="111"/>
      <c r="E1290" s="111"/>
      <c r="F1290" s="111"/>
      <c r="G1290" s="111"/>
      <c r="H1290" s="111"/>
      <c r="I1290" s="111"/>
      <c r="J1290" s="111"/>
      <c r="K1290" s="111"/>
      <c r="L1290" s="111"/>
      <c r="M1290" s="111"/>
      <c r="N1290" s="111"/>
    </row>
    <row r="1291" customFormat="false" ht="15" hidden="false" customHeight="false" outlineLevel="0" collapsed="false">
      <c r="A1291" s="380" t="s">
        <v>2161</v>
      </c>
      <c r="B1291" s="47" t="s">
        <v>3815</v>
      </c>
      <c r="C1291" s="112"/>
      <c r="D1291" s="112"/>
      <c r="E1291" s="112" t="e">
        <f aca="false">общ.калькуляция!h1290</f>
        <v>#NAME?</v>
      </c>
      <c r="F1291" s="112"/>
      <c r="G1291" s="112"/>
      <c r="H1291" s="112" t="e">
        <f aca="false">общ.калькуляция!j1290</f>
        <v>#NAME?</v>
      </c>
      <c r="I1291" s="112"/>
      <c r="J1291" s="112"/>
      <c r="K1291" s="112" t="e">
        <f aca="false">общ.калькуляция!m1290</f>
        <v>#NAME?</v>
      </c>
      <c r="L1291" s="112"/>
      <c r="M1291" s="112"/>
      <c r="N1291" s="112" t="e">
        <f aca="false">SUM(C1291:M1291)</f>
        <v>#NAME?</v>
      </c>
    </row>
    <row r="1292" customFormat="false" ht="15" hidden="false" customHeight="false" outlineLevel="0" collapsed="false">
      <c r="A1292" s="380" t="s">
        <v>2163</v>
      </c>
      <c r="B1292" s="47" t="s">
        <v>3816</v>
      </c>
      <c r="C1292" s="112"/>
      <c r="D1292" s="112"/>
      <c r="E1292" s="112" t="e">
        <f aca="false">общ.калькуляция!h1291</f>
        <v>#NAME?</v>
      </c>
      <c r="F1292" s="112"/>
      <c r="G1292" s="112"/>
      <c r="H1292" s="112" t="e">
        <f aca="false">общ.калькуляция!j1291</f>
        <v>#NAME?</v>
      </c>
      <c r="I1292" s="112"/>
      <c r="J1292" s="112"/>
      <c r="K1292" s="112" t="e">
        <f aca="false">общ.калькуляция!m1291</f>
        <v>#NAME?</v>
      </c>
      <c r="L1292" s="112"/>
      <c r="M1292" s="112"/>
      <c r="N1292" s="112" t="e">
        <f aca="false">SUM(C1292:M1292)</f>
        <v>#NAME?</v>
      </c>
    </row>
    <row r="1293" customFormat="false" ht="30" hidden="false" customHeight="false" outlineLevel="0" collapsed="false">
      <c r="A1293" s="380" t="s">
        <v>2165</v>
      </c>
      <c r="B1293" s="118" t="s">
        <v>3817</v>
      </c>
      <c r="C1293" s="112"/>
      <c r="D1293" s="112"/>
      <c r="E1293" s="112" t="e">
        <f aca="false">общ.калькуляция!h1292</f>
        <v>#NAME?</v>
      </c>
      <c r="F1293" s="112"/>
      <c r="G1293" s="112"/>
      <c r="H1293" s="112" t="e">
        <f aca="false">общ.калькуляция!j1292</f>
        <v>#NAME?</v>
      </c>
      <c r="I1293" s="112"/>
      <c r="J1293" s="112"/>
      <c r="K1293" s="112" t="e">
        <f aca="false">общ.калькуляция!m1292</f>
        <v>#NAME?</v>
      </c>
      <c r="L1293" s="112"/>
      <c r="M1293" s="112"/>
      <c r="N1293" s="112" t="e">
        <f aca="false">SUM(C1293:M1293)</f>
        <v>#NAME?</v>
      </c>
    </row>
    <row r="1294" customFormat="false" ht="30" hidden="false" customHeight="false" outlineLevel="0" collapsed="false">
      <c r="A1294" s="380" t="s">
        <v>2167</v>
      </c>
      <c r="B1294" s="47" t="s">
        <v>3818</v>
      </c>
      <c r="C1294" s="112"/>
      <c r="D1294" s="112"/>
      <c r="E1294" s="112" t="e">
        <f aca="false">общ.калькуляция!h1293</f>
        <v>#NAME?</v>
      </c>
      <c r="F1294" s="112"/>
      <c r="G1294" s="112"/>
      <c r="H1294" s="112" t="e">
        <f aca="false">общ.калькуляция!j1293</f>
        <v>#NAME?</v>
      </c>
      <c r="I1294" s="112"/>
      <c r="J1294" s="112"/>
      <c r="K1294" s="112" t="e">
        <f aca="false">общ.калькуляция!m1293</f>
        <v>#NAME?</v>
      </c>
      <c r="L1294" s="112"/>
      <c r="M1294" s="112"/>
      <c r="N1294" s="112" t="e">
        <f aca="false">SUM(C1294:M1294)</f>
        <v>#NAME?</v>
      </c>
    </row>
    <row r="1295" customFormat="false" ht="30" hidden="false" customHeight="false" outlineLevel="0" collapsed="false">
      <c r="A1295" s="380" t="s">
        <v>2169</v>
      </c>
      <c r="B1295" s="47" t="s">
        <v>3819</v>
      </c>
      <c r="C1295" s="112"/>
      <c r="D1295" s="112"/>
      <c r="E1295" s="112" t="e">
        <f aca="false">общ.калькуляция!h1294</f>
        <v>#NAME?</v>
      </c>
      <c r="F1295" s="112"/>
      <c r="G1295" s="112"/>
      <c r="H1295" s="112" t="e">
        <f aca="false">общ.калькуляция!j1294</f>
        <v>#NAME?</v>
      </c>
      <c r="I1295" s="112"/>
      <c r="J1295" s="112"/>
      <c r="K1295" s="112" t="e">
        <f aca="false">общ.калькуляция!m1294</f>
        <v>#NAME?</v>
      </c>
      <c r="L1295" s="112"/>
      <c r="M1295" s="112"/>
      <c r="N1295" s="112" t="e">
        <f aca="false">SUM(C1295:M1295)</f>
        <v>#NAME?</v>
      </c>
    </row>
    <row r="1296" customFormat="false" ht="15" hidden="false" customHeight="false" outlineLevel="0" collapsed="false">
      <c r="A1296" s="380" t="s">
        <v>2171</v>
      </c>
      <c r="B1296" s="47" t="s">
        <v>3820</v>
      </c>
      <c r="C1296" s="112"/>
      <c r="D1296" s="112"/>
      <c r="E1296" s="112" t="e">
        <f aca="false">общ.калькуляция!h1295</f>
        <v>#NAME?</v>
      </c>
      <c r="F1296" s="112"/>
      <c r="G1296" s="112"/>
      <c r="H1296" s="112" t="e">
        <f aca="false">общ.калькуляция!j1295</f>
        <v>#NAME?</v>
      </c>
      <c r="I1296" s="112"/>
      <c r="J1296" s="112"/>
      <c r="K1296" s="112" t="e">
        <f aca="false">общ.калькуляция!m1295</f>
        <v>#NAME?</v>
      </c>
      <c r="L1296" s="112"/>
      <c r="M1296" s="112"/>
      <c r="N1296" s="112" t="e">
        <f aca="false">SUM(C1296:M1296)</f>
        <v>#NAME?</v>
      </c>
    </row>
    <row r="1297" customFormat="false" ht="45" hidden="false" customHeight="false" outlineLevel="0" collapsed="false">
      <c r="A1297" s="380" t="s">
        <v>2173</v>
      </c>
      <c r="B1297" s="123" t="s">
        <v>3821</v>
      </c>
      <c r="C1297" s="112"/>
      <c r="D1297" s="112"/>
      <c r="E1297" s="112" t="e">
        <f aca="false">общ.калькуляция!h1296</f>
        <v>#NAME?</v>
      </c>
      <c r="F1297" s="112"/>
      <c r="G1297" s="112"/>
      <c r="H1297" s="112" t="e">
        <f aca="false">общ.калькуляция!j1296</f>
        <v>#NAME?</v>
      </c>
      <c r="I1297" s="112"/>
      <c r="J1297" s="112"/>
      <c r="K1297" s="112" t="e">
        <f aca="false">общ.калькуляция!m1296</f>
        <v>#NAME?</v>
      </c>
      <c r="L1297" s="112"/>
      <c r="M1297" s="112"/>
      <c r="N1297" s="112" t="e">
        <f aca="false">SUM(C1297:M1297)</f>
        <v>#NAME?</v>
      </c>
    </row>
    <row r="1298" customFormat="false" ht="30" hidden="false" customHeight="false" outlineLevel="0" collapsed="false">
      <c r="A1298" s="380" t="s">
        <v>2175</v>
      </c>
      <c r="B1298" s="118" t="s">
        <v>3822</v>
      </c>
      <c r="C1298" s="112"/>
      <c r="D1298" s="112"/>
      <c r="E1298" s="112" t="e">
        <f aca="false">общ.калькуляция!h1297</f>
        <v>#NAME?</v>
      </c>
      <c r="F1298" s="112"/>
      <c r="G1298" s="112"/>
      <c r="H1298" s="112" t="e">
        <f aca="false">общ.калькуляция!j1297</f>
        <v>#NAME?</v>
      </c>
      <c r="I1298" s="112"/>
      <c r="J1298" s="112"/>
      <c r="K1298" s="112" t="e">
        <f aca="false">общ.калькуляция!m1297</f>
        <v>#NAME?</v>
      </c>
      <c r="L1298" s="112"/>
      <c r="M1298" s="112"/>
      <c r="N1298" s="112" t="e">
        <f aca="false">SUM(C1298:M1298)</f>
        <v>#NAME?</v>
      </c>
    </row>
    <row r="1299" customFormat="false" ht="30" hidden="false" customHeight="false" outlineLevel="0" collapsed="false">
      <c r="A1299" s="380" t="s">
        <v>2177</v>
      </c>
      <c r="B1299" s="47" t="s">
        <v>3823</v>
      </c>
      <c r="C1299" s="112"/>
      <c r="D1299" s="112"/>
      <c r="E1299" s="112" t="e">
        <f aca="false">общ.калькуляция!h1298</f>
        <v>#NAME?</v>
      </c>
      <c r="F1299" s="112"/>
      <c r="G1299" s="112"/>
      <c r="H1299" s="112" t="e">
        <f aca="false">общ.калькуляция!j1298</f>
        <v>#NAME?</v>
      </c>
      <c r="I1299" s="112"/>
      <c r="J1299" s="112"/>
      <c r="K1299" s="112" t="e">
        <f aca="false">общ.калькуляция!m1298</f>
        <v>#NAME?</v>
      </c>
      <c r="L1299" s="112"/>
      <c r="M1299" s="112"/>
      <c r="N1299" s="112" t="e">
        <f aca="false">SUM(C1299:M1299)</f>
        <v>#NAME?</v>
      </c>
    </row>
    <row r="1300" customFormat="false" ht="30" hidden="false" customHeight="false" outlineLevel="0" collapsed="false">
      <c r="A1300" s="380" t="s">
        <v>2179</v>
      </c>
      <c r="B1300" s="47" t="s">
        <v>3824</v>
      </c>
      <c r="C1300" s="112"/>
      <c r="D1300" s="112"/>
      <c r="E1300" s="112" t="e">
        <f aca="false">общ.калькуляция!h1299</f>
        <v>#NAME?</v>
      </c>
      <c r="F1300" s="112"/>
      <c r="G1300" s="112"/>
      <c r="H1300" s="112" t="e">
        <f aca="false">общ.калькуляция!j1299</f>
        <v>#NAME?</v>
      </c>
      <c r="I1300" s="112"/>
      <c r="J1300" s="112"/>
      <c r="K1300" s="112" t="e">
        <f aca="false">общ.калькуляция!m1299</f>
        <v>#NAME?</v>
      </c>
      <c r="L1300" s="112"/>
      <c r="M1300" s="112"/>
      <c r="N1300" s="112" t="e">
        <f aca="false">SUM(C1300:M1300)</f>
        <v>#NAME?</v>
      </c>
    </row>
    <row r="1301" customFormat="false" ht="15" hidden="false" customHeight="false" outlineLevel="0" collapsed="false">
      <c r="A1301" s="380" t="s">
        <v>2181</v>
      </c>
      <c r="B1301" s="47" t="s">
        <v>3825</v>
      </c>
      <c r="C1301" s="112"/>
      <c r="D1301" s="112"/>
      <c r="E1301" s="112" t="e">
        <f aca="false">общ.калькуляция!h1300</f>
        <v>#NAME?</v>
      </c>
      <c r="F1301" s="112"/>
      <c r="G1301" s="112"/>
      <c r="H1301" s="112" t="e">
        <f aca="false">общ.калькуляция!j1300</f>
        <v>#NAME?</v>
      </c>
      <c r="I1301" s="112"/>
      <c r="J1301" s="112"/>
      <c r="K1301" s="112" t="e">
        <f aca="false">общ.калькуляция!m1300</f>
        <v>#NAME?</v>
      </c>
      <c r="L1301" s="112"/>
      <c r="M1301" s="112"/>
      <c r="N1301" s="112" t="e">
        <f aca="false">SUM(C1301:M1301)</f>
        <v>#NAME?</v>
      </c>
    </row>
    <row r="1302" customFormat="false" ht="15" hidden="false" customHeight="false" outlineLevel="0" collapsed="false">
      <c r="A1302" s="380" t="s">
        <v>2183</v>
      </c>
      <c r="B1302" s="118" t="s">
        <v>3826</v>
      </c>
      <c r="C1302" s="112"/>
      <c r="D1302" s="112"/>
      <c r="E1302" s="112" t="e">
        <f aca="false">общ.калькуляция!h1301</f>
        <v>#NAME?</v>
      </c>
      <c r="F1302" s="112"/>
      <c r="G1302" s="112"/>
      <c r="H1302" s="112" t="e">
        <f aca="false">общ.калькуляция!j1301</f>
        <v>#NAME?</v>
      </c>
      <c r="I1302" s="112"/>
      <c r="J1302" s="112"/>
      <c r="K1302" s="112" t="e">
        <f aca="false">общ.калькуляция!m1301</f>
        <v>#NAME?</v>
      </c>
      <c r="L1302" s="112"/>
      <c r="M1302" s="112"/>
      <c r="N1302" s="112" t="e">
        <f aca="false">SUM(C1302:M1302)</f>
        <v>#NAME?</v>
      </c>
    </row>
    <row r="1303" customFormat="false" ht="15" hidden="false" customHeight="false" outlineLevel="0" collapsed="false">
      <c r="A1303" s="380" t="s">
        <v>2185</v>
      </c>
      <c r="B1303" s="118" t="s">
        <v>3827</v>
      </c>
      <c r="C1303" s="112"/>
      <c r="D1303" s="112"/>
      <c r="E1303" s="112" t="e">
        <f aca="false">общ.калькуляция!h1302</f>
        <v>#NAME?</v>
      </c>
      <c r="F1303" s="112"/>
      <c r="G1303" s="112"/>
      <c r="H1303" s="112" t="e">
        <f aca="false">общ.калькуляция!j1302</f>
        <v>#NAME?</v>
      </c>
      <c r="I1303" s="112"/>
      <c r="J1303" s="112"/>
      <c r="K1303" s="112" t="e">
        <f aca="false">общ.калькуляция!m1302</f>
        <v>#NAME?</v>
      </c>
      <c r="L1303" s="112"/>
      <c r="M1303" s="112"/>
      <c r="N1303" s="112" t="e">
        <f aca="false">SUM(C1303:M1303)</f>
        <v>#NAME?</v>
      </c>
    </row>
    <row r="1304" customFormat="false" ht="15" hidden="false" customHeight="false" outlineLevel="0" collapsed="false">
      <c r="A1304" s="380" t="s">
        <v>2187</v>
      </c>
      <c r="B1304" s="118" t="s">
        <v>3828</v>
      </c>
      <c r="C1304" s="112"/>
      <c r="D1304" s="112"/>
      <c r="E1304" s="112" t="e">
        <f aca="false">общ.калькуляция!h1303</f>
        <v>#NAME?</v>
      </c>
      <c r="F1304" s="112"/>
      <c r="G1304" s="112"/>
      <c r="H1304" s="112" t="e">
        <f aca="false">общ.калькуляция!j1303</f>
        <v>#NAME?</v>
      </c>
      <c r="I1304" s="112"/>
      <c r="J1304" s="112"/>
      <c r="K1304" s="112" t="e">
        <f aca="false">общ.калькуляция!m1303</f>
        <v>#NAME?</v>
      </c>
      <c r="L1304" s="112"/>
      <c r="M1304" s="112"/>
      <c r="N1304" s="112" t="e">
        <f aca="false">SUM(C1304:M1304)</f>
        <v>#NAME?</v>
      </c>
    </row>
    <row r="1305" customFormat="false" ht="15" hidden="false" customHeight="false" outlineLevel="0" collapsed="false">
      <c r="A1305" s="380" t="s">
        <v>2189</v>
      </c>
      <c r="B1305" s="118" t="s">
        <v>3829</v>
      </c>
      <c r="C1305" s="112"/>
      <c r="D1305" s="112"/>
      <c r="E1305" s="112" t="e">
        <f aca="false">общ.калькуляция!h1304</f>
        <v>#NAME?</v>
      </c>
      <c r="F1305" s="112"/>
      <c r="G1305" s="112"/>
      <c r="H1305" s="112" t="e">
        <f aca="false">общ.калькуляция!j1304</f>
        <v>#NAME?</v>
      </c>
      <c r="I1305" s="112"/>
      <c r="J1305" s="112"/>
      <c r="K1305" s="112" t="e">
        <f aca="false">общ.калькуляция!m1304</f>
        <v>#NAME?</v>
      </c>
      <c r="L1305" s="112"/>
      <c r="M1305" s="112"/>
      <c r="N1305" s="112" t="e">
        <f aca="false">SUM(C1305:M1305)</f>
        <v>#NAME?</v>
      </c>
    </row>
    <row r="1306" customFormat="false" ht="15" hidden="false" customHeight="false" outlineLevel="0" collapsed="false">
      <c r="A1306" s="380" t="s">
        <v>2191</v>
      </c>
      <c r="B1306" s="118" t="s">
        <v>3830</v>
      </c>
      <c r="C1306" s="112"/>
      <c r="D1306" s="112"/>
      <c r="E1306" s="112" t="e">
        <f aca="false">общ.калькуляция!h1305</f>
        <v>#NAME?</v>
      </c>
      <c r="F1306" s="112"/>
      <c r="G1306" s="112"/>
      <c r="H1306" s="112" t="e">
        <f aca="false">общ.калькуляция!j1305</f>
        <v>#NAME?</v>
      </c>
      <c r="I1306" s="112"/>
      <c r="J1306" s="112"/>
      <c r="K1306" s="112" t="e">
        <f aca="false">общ.калькуляция!m1305</f>
        <v>#NAME?</v>
      </c>
      <c r="L1306" s="112"/>
      <c r="M1306" s="112"/>
      <c r="N1306" s="112" t="e">
        <f aca="false">SUM(C1306:M1306)</f>
        <v>#NAME?</v>
      </c>
    </row>
    <row r="1307" customFormat="false" ht="15" hidden="false" customHeight="false" outlineLevel="0" collapsed="false">
      <c r="A1307" s="380" t="s">
        <v>2193</v>
      </c>
      <c r="B1307" s="118" t="s">
        <v>3831</v>
      </c>
      <c r="C1307" s="112"/>
      <c r="D1307" s="112"/>
      <c r="E1307" s="112" t="e">
        <f aca="false">общ.калькуляция!h1306</f>
        <v>#NAME?</v>
      </c>
      <c r="F1307" s="112"/>
      <c r="G1307" s="112"/>
      <c r="H1307" s="112" t="e">
        <f aca="false">общ.калькуляция!j1306</f>
        <v>#NAME?</v>
      </c>
      <c r="I1307" s="112"/>
      <c r="J1307" s="112"/>
      <c r="K1307" s="112" t="e">
        <f aca="false">общ.калькуляция!m1306</f>
        <v>#NAME?</v>
      </c>
      <c r="L1307" s="112"/>
      <c r="M1307" s="112"/>
      <c r="N1307" s="112" t="e">
        <f aca="false">SUM(C1307:M1307)</f>
        <v>#NAME?</v>
      </c>
    </row>
    <row r="1308" customFormat="false" ht="15" hidden="false" customHeight="false" outlineLevel="0" collapsed="false">
      <c r="A1308" s="380" t="s">
        <v>2195</v>
      </c>
      <c r="B1308" s="118" t="s">
        <v>3832</v>
      </c>
      <c r="C1308" s="112"/>
      <c r="D1308" s="112"/>
      <c r="E1308" s="112" t="e">
        <f aca="false">общ.калькуляция!h1307</f>
        <v>#NAME?</v>
      </c>
      <c r="F1308" s="112"/>
      <c r="G1308" s="112"/>
      <c r="H1308" s="112" t="e">
        <f aca="false">общ.калькуляция!j1307</f>
        <v>#NAME?</v>
      </c>
      <c r="I1308" s="112"/>
      <c r="J1308" s="112"/>
      <c r="K1308" s="112" t="e">
        <f aca="false">общ.калькуляция!m1307</f>
        <v>#NAME?</v>
      </c>
      <c r="L1308" s="112"/>
      <c r="M1308" s="112"/>
      <c r="N1308" s="112" t="e">
        <f aca="false">SUM(C1308:M1308)</f>
        <v>#NAME?</v>
      </c>
    </row>
    <row r="1309" customFormat="false" ht="30" hidden="false" customHeight="false" outlineLevel="0" collapsed="false">
      <c r="A1309" s="380" t="s">
        <v>2197</v>
      </c>
      <c r="B1309" s="47" t="s">
        <v>3833</v>
      </c>
      <c r="C1309" s="112"/>
      <c r="D1309" s="112"/>
      <c r="E1309" s="112" t="e">
        <f aca="false">общ.калькуляция!h1308</f>
        <v>#NAME?</v>
      </c>
      <c r="F1309" s="112"/>
      <c r="G1309" s="112"/>
      <c r="H1309" s="112" t="e">
        <f aca="false">общ.калькуляция!j1308</f>
        <v>#NAME?</v>
      </c>
      <c r="I1309" s="112"/>
      <c r="J1309" s="112"/>
      <c r="K1309" s="112" t="e">
        <f aca="false">общ.калькуляция!m1308</f>
        <v>#NAME?</v>
      </c>
      <c r="L1309" s="112"/>
      <c r="M1309" s="112"/>
      <c r="N1309" s="112" t="e">
        <f aca="false">SUM(C1309:M1309)</f>
        <v>#NAME?</v>
      </c>
    </row>
    <row r="1310" customFormat="false" ht="30" hidden="false" customHeight="false" outlineLevel="0" collapsed="false">
      <c r="A1310" s="380" t="s">
        <v>2199</v>
      </c>
      <c r="B1310" s="47" t="s">
        <v>3834</v>
      </c>
      <c r="C1310" s="112"/>
      <c r="D1310" s="112"/>
      <c r="E1310" s="112" t="e">
        <f aca="false">общ.калькуляция!h1309</f>
        <v>#NAME?</v>
      </c>
      <c r="F1310" s="112"/>
      <c r="G1310" s="112"/>
      <c r="H1310" s="112" t="e">
        <f aca="false">общ.калькуляция!j1309</f>
        <v>#NAME?</v>
      </c>
      <c r="I1310" s="112"/>
      <c r="J1310" s="112"/>
      <c r="K1310" s="112" t="e">
        <f aca="false">общ.калькуляция!m1309</f>
        <v>#NAME?</v>
      </c>
      <c r="L1310" s="112"/>
      <c r="M1310" s="112"/>
      <c r="N1310" s="112" t="e">
        <f aca="false">SUM(C1310:M1310)</f>
        <v>#NAME?</v>
      </c>
    </row>
    <row r="1311" customFormat="false" ht="19.5" hidden="false" customHeight="true" outlineLevel="0" collapsed="false">
      <c r="A1311" s="380" t="s">
        <v>2201</v>
      </c>
      <c r="B1311" s="118" t="s">
        <v>3835</v>
      </c>
      <c r="C1311" s="112"/>
      <c r="D1311" s="112"/>
      <c r="E1311" s="112" t="e">
        <f aca="false">общ.калькуляция!h1310</f>
        <v>#NAME?</v>
      </c>
      <c r="F1311" s="112"/>
      <c r="G1311" s="112"/>
      <c r="H1311" s="112" t="e">
        <f aca="false">общ.калькуляция!j1310</f>
        <v>#NAME?</v>
      </c>
      <c r="I1311" s="112"/>
      <c r="J1311" s="112"/>
      <c r="K1311" s="112" t="e">
        <f aca="false">общ.калькуляция!m1310</f>
        <v>#NAME?</v>
      </c>
      <c r="L1311" s="112"/>
      <c r="M1311" s="112"/>
      <c r="N1311" s="112" t="e">
        <f aca="false">SUM(C1311:M1311)</f>
        <v>#NAME?</v>
      </c>
    </row>
    <row r="1312" customFormat="false" ht="30" hidden="false" customHeight="false" outlineLevel="0" collapsed="false">
      <c r="A1312" s="380" t="s">
        <v>2203</v>
      </c>
      <c r="B1312" s="123" t="s">
        <v>3836</v>
      </c>
      <c r="C1312" s="112"/>
      <c r="D1312" s="112"/>
      <c r="E1312" s="112" t="e">
        <f aca="false">общ.калькуляция!h1311</f>
        <v>#NAME?</v>
      </c>
      <c r="F1312" s="112"/>
      <c r="G1312" s="112"/>
      <c r="H1312" s="112" t="e">
        <f aca="false">общ.калькуляция!j1311</f>
        <v>#NAME?</v>
      </c>
      <c r="I1312" s="112"/>
      <c r="J1312" s="112"/>
      <c r="K1312" s="112" t="e">
        <f aca="false">общ.калькуляция!m1311</f>
        <v>#NAME?</v>
      </c>
      <c r="L1312" s="112"/>
      <c r="M1312" s="112"/>
      <c r="N1312" s="112" t="e">
        <f aca="false">SUM(C1312:M1312)</f>
        <v>#NAME?</v>
      </c>
    </row>
    <row r="1313" customFormat="false" ht="15" hidden="false" customHeight="false" outlineLevel="0" collapsed="false">
      <c r="A1313" s="380" t="s">
        <v>2205</v>
      </c>
      <c r="B1313" s="47" t="s">
        <v>3837</v>
      </c>
      <c r="C1313" s="112"/>
      <c r="D1313" s="112"/>
      <c r="E1313" s="112" t="e">
        <f aca="false">общ.калькуляция!h1312</f>
        <v>#NAME?</v>
      </c>
      <c r="F1313" s="112"/>
      <c r="G1313" s="112"/>
      <c r="H1313" s="112" t="e">
        <f aca="false">общ.калькуляция!j1312</f>
        <v>#NAME?</v>
      </c>
      <c r="I1313" s="112"/>
      <c r="J1313" s="112"/>
      <c r="K1313" s="112" t="e">
        <f aca="false">общ.калькуляция!m1312</f>
        <v>#NAME?</v>
      </c>
      <c r="L1313" s="112"/>
      <c r="M1313" s="112"/>
      <c r="N1313" s="112" t="e">
        <f aca="false">SUM(C1313:M1313)</f>
        <v>#NAME?</v>
      </c>
    </row>
    <row r="1314" customFormat="false" ht="30" hidden="false" customHeight="false" outlineLevel="0" collapsed="false">
      <c r="A1314" s="380" t="s">
        <v>2207</v>
      </c>
      <c r="B1314" s="118" t="s">
        <v>3838</v>
      </c>
      <c r="C1314" s="112"/>
      <c r="D1314" s="112"/>
      <c r="E1314" s="112" t="e">
        <f aca="false">общ.калькуляция!h1313</f>
        <v>#NAME?</v>
      </c>
      <c r="F1314" s="112"/>
      <c r="G1314" s="112"/>
      <c r="H1314" s="112" t="e">
        <f aca="false">общ.калькуляция!j1313</f>
        <v>#NAME?</v>
      </c>
      <c r="I1314" s="112"/>
      <c r="J1314" s="112"/>
      <c r="K1314" s="112" t="e">
        <f aca="false">общ.калькуляция!m1313</f>
        <v>#NAME?</v>
      </c>
      <c r="L1314" s="112"/>
      <c r="M1314" s="112"/>
      <c r="N1314" s="112" t="e">
        <f aca="false">SUM(C1314:M1314)</f>
        <v>#NAME?</v>
      </c>
    </row>
    <row r="1315" customFormat="false" ht="30" hidden="false" customHeight="false" outlineLevel="0" collapsed="false">
      <c r="A1315" s="380" t="s">
        <v>2209</v>
      </c>
      <c r="B1315" s="118" t="s">
        <v>3839</v>
      </c>
      <c r="C1315" s="112"/>
      <c r="D1315" s="112"/>
      <c r="E1315" s="112" t="e">
        <f aca="false">общ.калькуляция!h1314</f>
        <v>#NAME?</v>
      </c>
      <c r="F1315" s="112"/>
      <c r="G1315" s="112"/>
      <c r="H1315" s="112" t="e">
        <f aca="false">общ.калькуляция!j1314</f>
        <v>#NAME?</v>
      </c>
      <c r="I1315" s="112"/>
      <c r="J1315" s="112"/>
      <c r="K1315" s="112" t="e">
        <f aca="false">общ.калькуляция!m1314</f>
        <v>#NAME?</v>
      </c>
      <c r="L1315" s="112"/>
      <c r="M1315" s="112"/>
      <c r="N1315" s="112" t="e">
        <f aca="false">SUM(C1315:M1315)</f>
        <v>#NAME?</v>
      </c>
    </row>
    <row r="1316" customFormat="false" ht="15" hidden="false" customHeight="false" outlineLevel="0" collapsed="false">
      <c r="A1316" s="380" t="s">
        <v>2211</v>
      </c>
      <c r="B1316" s="47" t="s">
        <v>3840</v>
      </c>
      <c r="C1316" s="112"/>
      <c r="D1316" s="112"/>
      <c r="E1316" s="112" t="e">
        <f aca="false">общ.калькуляция!h1315</f>
        <v>#NAME?</v>
      </c>
      <c r="F1316" s="112"/>
      <c r="G1316" s="112"/>
      <c r="H1316" s="112" t="e">
        <f aca="false">общ.калькуляция!j1315</f>
        <v>#NAME?</v>
      </c>
      <c r="I1316" s="112"/>
      <c r="J1316" s="112"/>
      <c r="K1316" s="112" t="e">
        <f aca="false">общ.калькуляция!m1315</f>
        <v>#NAME?</v>
      </c>
      <c r="L1316" s="112"/>
      <c r="M1316" s="112"/>
      <c r="N1316" s="112" t="e">
        <f aca="false">SUM(C1316:M1316)</f>
        <v>#NAME?</v>
      </c>
    </row>
    <row r="1317" customFormat="false" ht="15" hidden="false" customHeight="false" outlineLevel="0" collapsed="false">
      <c r="A1317" s="380" t="s">
        <v>2213</v>
      </c>
      <c r="B1317" s="47" t="s">
        <v>3841</v>
      </c>
      <c r="C1317" s="112"/>
      <c r="D1317" s="112"/>
      <c r="E1317" s="112" t="e">
        <f aca="false">общ.калькуляция!h1316</f>
        <v>#NAME?</v>
      </c>
      <c r="F1317" s="112"/>
      <c r="G1317" s="112"/>
      <c r="H1317" s="112" t="e">
        <f aca="false">общ.калькуляция!j1316</f>
        <v>#NAME?</v>
      </c>
      <c r="I1317" s="112"/>
      <c r="J1317" s="112"/>
      <c r="K1317" s="112" t="e">
        <f aca="false">общ.калькуляция!m1316</f>
        <v>#NAME?</v>
      </c>
      <c r="L1317" s="112"/>
      <c r="M1317" s="112"/>
      <c r="N1317" s="112" t="e">
        <f aca="false">SUM(C1317:M1317)</f>
        <v>#NAME?</v>
      </c>
    </row>
    <row r="1318" customFormat="false" ht="30" hidden="false" customHeight="false" outlineLevel="0" collapsed="false">
      <c r="A1318" s="380" t="s">
        <v>2215</v>
      </c>
      <c r="B1318" s="47" t="s">
        <v>3842</v>
      </c>
      <c r="C1318" s="112"/>
      <c r="D1318" s="112"/>
      <c r="E1318" s="112" t="e">
        <f aca="false">общ.калькуляция!h1317</f>
        <v>#NAME?</v>
      </c>
      <c r="F1318" s="112"/>
      <c r="G1318" s="112"/>
      <c r="H1318" s="112" t="e">
        <f aca="false">общ.калькуляция!j1317</f>
        <v>#NAME?</v>
      </c>
      <c r="I1318" s="112"/>
      <c r="J1318" s="112"/>
      <c r="K1318" s="112" t="e">
        <f aca="false">общ.калькуляция!m1317</f>
        <v>#NAME?</v>
      </c>
      <c r="L1318" s="112"/>
      <c r="M1318" s="112"/>
      <c r="N1318" s="112" t="e">
        <f aca="false">SUM(C1318:M1318)</f>
        <v>#NAME?</v>
      </c>
    </row>
    <row r="1319" customFormat="false" ht="30" hidden="false" customHeight="false" outlineLevel="0" collapsed="false">
      <c r="A1319" s="380" t="s">
        <v>2217</v>
      </c>
      <c r="B1319" s="47" t="s">
        <v>3843</v>
      </c>
      <c r="C1319" s="112"/>
      <c r="D1319" s="112"/>
      <c r="E1319" s="112" t="e">
        <f aca="false">общ.калькуляция!h1318</f>
        <v>#NAME?</v>
      </c>
      <c r="F1319" s="112"/>
      <c r="G1319" s="112"/>
      <c r="H1319" s="112" t="e">
        <f aca="false">общ.калькуляция!j1318</f>
        <v>#NAME?</v>
      </c>
      <c r="I1319" s="112"/>
      <c r="J1319" s="112"/>
      <c r="K1319" s="112" t="e">
        <f aca="false">общ.калькуляция!m1318</f>
        <v>#NAME?</v>
      </c>
      <c r="L1319" s="112"/>
      <c r="M1319" s="112"/>
      <c r="N1319" s="112" t="e">
        <f aca="false">SUM(C1319:M1319)</f>
        <v>#NAME?</v>
      </c>
    </row>
    <row r="1320" customFormat="false" ht="15" hidden="false" customHeight="false" outlineLevel="0" collapsed="false">
      <c r="A1320" s="380" t="s">
        <v>2219</v>
      </c>
      <c r="B1320" s="118" t="s">
        <v>3844</v>
      </c>
      <c r="C1320" s="112"/>
      <c r="D1320" s="112"/>
      <c r="E1320" s="112" t="e">
        <f aca="false">общ.калькуляция!h1319</f>
        <v>#NAME?</v>
      </c>
      <c r="F1320" s="112"/>
      <c r="G1320" s="112"/>
      <c r="H1320" s="112" t="e">
        <f aca="false">общ.калькуляция!j1319</f>
        <v>#NAME?</v>
      </c>
      <c r="I1320" s="112"/>
      <c r="J1320" s="112"/>
      <c r="K1320" s="112" t="e">
        <f aca="false">общ.калькуляция!m1319</f>
        <v>#NAME?</v>
      </c>
      <c r="L1320" s="112"/>
      <c r="M1320" s="112"/>
      <c r="N1320" s="112" t="e">
        <f aca="false">SUM(C1320:M1320)</f>
        <v>#NAME?</v>
      </c>
    </row>
    <row r="1321" customFormat="false" ht="15" hidden="false" customHeight="false" outlineLevel="0" collapsed="false">
      <c r="A1321" s="380" t="s">
        <v>2221</v>
      </c>
      <c r="B1321" s="47" t="s">
        <v>3845</v>
      </c>
      <c r="C1321" s="112"/>
      <c r="D1321" s="112"/>
      <c r="E1321" s="112" t="e">
        <f aca="false">общ.калькуляция!h1320</f>
        <v>#NAME?</v>
      </c>
      <c r="F1321" s="112"/>
      <c r="G1321" s="112"/>
      <c r="H1321" s="112" t="e">
        <f aca="false">общ.калькуляция!j1320</f>
        <v>#NAME?</v>
      </c>
      <c r="I1321" s="112"/>
      <c r="J1321" s="112"/>
      <c r="K1321" s="112" t="e">
        <f aca="false">общ.калькуляция!m1320</f>
        <v>#NAME?</v>
      </c>
      <c r="L1321" s="112"/>
      <c r="M1321" s="112"/>
      <c r="N1321" s="112" t="e">
        <f aca="false">SUM(C1321:M1321)</f>
        <v>#NAME?</v>
      </c>
    </row>
    <row r="1322" customFormat="false" ht="15" hidden="false" customHeight="false" outlineLevel="0" collapsed="false">
      <c r="A1322" s="380" t="s">
        <v>2223</v>
      </c>
      <c r="B1322" s="118" t="s">
        <v>3846</v>
      </c>
      <c r="C1322" s="112"/>
      <c r="D1322" s="112"/>
      <c r="E1322" s="112" t="e">
        <f aca="false">общ.калькуляция!h1321</f>
        <v>#NAME?</v>
      </c>
      <c r="F1322" s="112"/>
      <c r="G1322" s="112"/>
      <c r="H1322" s="112" t="e">
        <f aca="false">общ.калькуляция!j1321</f>
        <v>#NAME?</v>
      </c>
      <c r="I1322" s="112"/>
      <c r="J1322" s="112"/>
      <c r="K1322" s="112" t="e">
        <f aca="false">общ.калькуляция!m1321</f>
        <v>#NAME?</v>
      </c>
      <c r="L1322" s="112"/>
      <c r="M1322" s="112"/>
      <c r="N1322" s="112" t="e">
        <f aca="false">SUM(C1322:M1322)</f>
        <v>#NAME?</v>
      </c>
    </row>
    <row r="1323" customFormat="false" ht="18.75" hidden="false" customHeight="true" outlineLevel="0" collapsed="false">
      <c r="A1323" s="380" t="s">
        <v>2225</v>
      </c>
      <c r="B1323" s="47" t="s">
        <v>3847</v>
      </c>
      <c r="C1323" s="112"/>
      <c r="D1323" s="112"/>
      <c r="E1323" s="112" t="e">
        <f aca="false">общ.калькуляция!h1322</f>
        <v>#NAME?</v>
      </c>
      <c r="F1323" s="112"/>
      <c r="G1323" s="112"/>
      <c r="H1323" s="112" t="e">
        <f aca="false">общ.калькуляция!j1322</f>
        <v>#NAME?</v>
      </c>
      <c r="I1323" s="112"/>
      <c r="J1323" s="112"/>
      <c r="K1323" s="112" t="e">
        <f aca="false">общ.калькуляция!m1322</f>
        <v>#NAME?</v>
      </c>
      <c r="L1323" s="112"/>
      <c r="M1323" s="112"/>
      <c r="N1323" s="112" t="e">
        <f aca="false">SUM(C1323:M1323)</f>
        <v>#NAME?</v>
      </c>
    </row>
    <row r="1324" customFormat="false" ht="15" hidden="false" customHeight="false" outlineLevel="0" collapsed="false">
      <c r="A1324" s="380" t="s">
        <v>2227</v>
      </c>
      <c r="B1324" s="47" t="s">
        <v>3848</v>
      </c>
      <c r="C1324" s="112"/>
      <c r="D1324" s="112"/>
      <c r="E1324" s="112" t="e">
        <f aca="false">общ.калькуляция!h1323</f>
        <v>#NAME?</v>
      </c>
      <c r="F1324" s="112"/>
      <c r="G1324" s="112"/>
      <c r="H1324" s="112" t="e">
        <f aca="false">общ.калькуляция!j1323</f>
        <v>#NAME?</v>
      </c>
      <c r="I1324" s="112"/>
      <c r="J1324" s="112"/>
      <c r="K1324" s="112" t="e">
        <f aca="false">общ.калькуляция!m1323</f>
        <v>#NAME?</v>
      </c>
      <c r="L1324" s="112"/>
      <c r="M1324" s="112"/>
      <c r="N1324" s="112" t="e">
        <f aca="false">SUM(C1324:M1324)</f>
        <v>#NAME?</v>
      </c>
    </row>
    <row r="1325" customFormat="false" ht="30" hidden="false" customHeight="false" outlineLevel="0" collapsed="false">
      <c r="A1325" s="380" t="s">
        <v>2229</v>
      </c>
      <c r="B1325" s="47" t="s">
        <v>3849</v>
      </c>
      <c r="C1325" s="112"/>
      <c r="D1325" s="112"/>
      <c r="E1325" s="112" t="e">
        <f aca="false">общ.калькуляция!h1324</f>
        <v>#NAME?</v>
      </c>
      <c r="F1325" s="112"/>
      <c r="G1325" s="112"/>
      <c r="H1325" s="112" t="e">
        <f aca="false">общ.калькуляция!j1324</f>
        <v>#NAME?</v>
      </c>
      <c r="I1325" s="112"/>
      <c r="J1325" s="112"/>
      <c r="K1325" s="112" t="e">
        <f aca="false">общ.калькуляция!m1324</f>
        <v>#NAME?</v>
      </c>
      <c r="L1325" s="112"/>
      <c r="M1325" s="112"/>
      <c r="N1325" s="112" t="e">
        <f aca="false">SUM(C1325:M1325)</f>
        <v>#NAME?</v>
      </c>
    </row>
    <row r="1326" customFormat="false" ht="30" hidden="false" customHeight="false" outlineLevel="0" collapsed="false">
      <c r="A1326" s="380" t="s">
        <v>2231</v>
      </c>
      <c r="B1326" s="47" t="s">
        <v>3850</v>
      </c>
      <c r="C1326" s="112"/>
      <c r="D1326" s="112"/>
      <c r="E1326" s="112" t="e">
        <f aca="false">общ.калькуляция!h1325</f>
        <v>#NAME?</v>
      </c>
      <c r="F1326" s="112"/>
      <c r="G1326" s="112"/>
      <c r="H1326" s="112" t="e">
        <f aca="false">общ.калькуляция!j1325</f>
        <v>#NAME?</v>
      </c>
      <c r="I1326" s="112"/>
      <c r="J1326" s="112"/>
      <c r="K1326" s="112" t="e">
        <f aca="false">общ.калькуляция!m1325</f>
        <v>#NAME?</v>
      </c>
      <c r="L1326" s="112"/>
      <c r="M1326" s="112"/>
      <c r="N1326" s="112" t="e">
        <f aca="false">SUM(C1326:M1326)</f>
        <v>#NAME?</v>
      </c>
    </row>
    <row r="1327" customFormat="false" ht="30" hidden="false" customHeight="false" outlineLevel="0" collapsed="false">
      <c r="A1327" s="380" t="s">
        <v>2233</v>
      </c>
      <c r="B1327" s="47" t="s">
        <v>3851</v>
      </c>
      <c r="C1327" s="112"/>
      <c r="D1327" s="112"/>
      <c r="E1327" s="112" t="e">
        <f aca="false">общ.калькуляция!h1326</f>
        <v>#NAME?</v>
      </c>
      <c r="F1327" s="112"/>
      <c r="G1327" s="112"/>
      <c r="H1327" s="112" t="e">
        <f aca="false">общ.калькуляция!j1326</f>
        <v>#NAME?</v>
      </c>
      <c r="I1327" s="112"/>
      <c r="J1327" s="112"/>
      <c r="K1327" s="112" t="e">
        <f aca="false">общ.калькуляция!m1326</f>
        <v>#NAME?</v>
      </c>
      <c r="L1327" s="112"/>
      <c r="M1327" s="112"/>
      <c r="N1327" s="112" t="e">
        <f aca="false">SUM(C1327:M1327)</f>
        <v>#NAME?</v>
      </c>
    </row>
    <row r="1328" customFormat="false" ht="15" hidden="false" customHeight="false" outlineLevel="0" collapsed="false">
      <c r="A1328" s="380" t="s">
        <v>2235</v>
      </c>
      <c r="B1328" s="47" t="s">
        <v>3852</v>
      </c>
      <c r="C1328" s="112"/>
      <c r="D1328" s="112"/>
      <c r="E1328" s="112" t="e">
        <f aca="false">общ.калькуляция!h1327</f>
        <v>#NAME?</v>
      </c>
      <c r="F1328" s="112"/>
      <c r="G1328" s="112"/>
      <c r="H1328" s="112" t="e">
        <f aca="false">общ.калькуляция!j1327</f>
        <v>#NAME?</v>
      </c>
      <c r="I1328" s="112"/>
      <c r="J1328" s="112"/>
      <c r="K1328" s="112" t="e">
        <f aca="false">общ.калькуляция!m1327</f>
        <v>#NAME?</v>
      </c>
      <c r="L1328" s="112"/>
      <c r="M1328" s="112"/>
      <c r="N1328" s="112" t="e">
        <f aca="false">SUM(C1328:M1328)</f>
        <v>#NAME?</v>
      </c>
    </row>
    <row r="1329" customFormat="false" ht="15" hidden="false" customHeight="false" outlineLevel="0" collapsed="false">
      <c r="A1329" s="380" t="s">
        <v>2237</v>
      </c>
      <c r="B1329" s="47" t="s">
        <v>3853</v>
      </c>
      <c r="C1329" s="112"/>
      <c r="D1329" s="112"/>
      <c r="E1329" s="112" t="e">
        <f aca="false">общ.калькуляция!h1328</f>
        <v>#NAME?</v>
      </c>
      <c r="F1329" s="112"/>
      <c r="G1329" s="112"/>
      <c r="H1329" s="112" t="e">
        <f aca="false">общ.калькуляция!j1328</f>
        <v>#NAME?</v>
      </c>
      <c r="I1329" s="112"/>
      <c r="J1329" s="112"/>
      <c r="K1329" s="112" t="e">
        <f aca="false">общ.калькуляция!m1328</f>
        <v>#NAME?</v>
      </c>
      <c r="L1329" s="112"/>
      <c r="M1329" s="112"/>
      <c r="N1329" s="112" t="e">
        <f aca="false">SUM(C1329:M1329)</f>
        <v>#NAME?</v>
      </c>
    </row>
    <row r="1330" customFormat="false" ht="30" hidden="false" customHeight="false" outlineLevel="0" collapsed="false">
      <c r="A1330" s="380" t="s">
        <v>2239</v>
      </c>
      <c r="B1330" s="118" t="s">
        <v>3854</v>
      </c>
      <c r="C1330" s="112"/>
      <c r="D1330" s="112"/>
      <c r="E1330" s="112" t="e">
        <f aca="false">общ.калькуляция!h1329</f>
        <v>#NAME?</v>
      </c>
      <c r="F1330" s="112"/>
      <c r="G1330" s="112"/>
      <c r="H1330" s="112" t="e">
        <f aca="false">общ.калькуляция!j1329</f>
        <v>#NAME?</v>
      </c>
      <c r="I1330" s="112"/>
      <c r="J1330" s="112"/>
      <c r="K1330" s="112" t="e">
        <f aca="false">общ.калькуляция!m1329</f>
        <v>#NAME?</v>
      </c>
      <c r="L1330" s="112"/>
      <c r="M1330" s="112"/>
      <c r="N1330" s="112" t="e">
        <f aca="false">SUM(C1330:M1330)</f>
        <v>#NAME?</v>
      </c>
    </row>
    <row r="1331" customFormat="false" ht="30" hidden="false" customHeight="false" outlineLevel="0" collapsed="false">
      <c r="A1331" s="380" t="s">
        <v>2241</v>
      </c>
      <c r="B1331" s="381" t="s">
        <v>3855</v>
      </c>
      <c r="C1331" s="112"/>
      <c r="D1331" s="112"/>
      <c r="E1331" s="112" t="e">
        <f aca="false">общ.калькуляция!h1330</f>
        <v>#NAME?</v>
      </c>
      <c r="F1331" s="112"/>
      <c r="G1331" s="112"/>
      <c r="H1331" s="112" t="e">
        <f aca="false">общ.калькуляция!j1330</f>
        <v>#NAME?</v>
      </c>
      <c r="I1331" s="112"/>
      <c r="J1331" s="112"/>
      <c r="K1331" s="112" t="e">
        <f aca="false">общ.калькуляция!m1330</f>
        <v>#NAME?</v>
      </c>
      <c r="L1331" s="112"/>
      <c r="M1331" s="112"/>
      <c r="N1331" s="112" t="e">
        <f aca="false">SUM(C1331:M1331)</f>
        <v>#NAME?</v>
      </c>
    </row>
    <row r="1332" customFormat="false" ht="30" hidden="false" customHeight="false" outlineLevel="0" collapsed="false">
      <c r="A1332" s="380" t="s">
        <v>2243</v>
      </c>
      <c r="B1332" s="382" t="s">
        <v>3856</v>
      </c>
      <c r="C1332" s="112"/>
      <c r="D1332" s="112"/>
      <c r="E1332" s="112" t="e">
        <f aca="false">общ.калькуляция!h1331</f>
        <v>#NAME?</v>
      </c>
      <c r="F1332" s="112"/>
      <c r="G1332" s="112"/>
      <c r="H1332" s="112" t="e">
        <f aca="false">общ.калькуляция!j1331</f>
        <v>#NAME?</v>
      </c>
      <c r="I1332" s="112"/>
      <c r="J1332" s="112"/>
      <c r="K1332" s="112" t="e">
        <f aca="false">общ.калькуляция!m1331</f>
        <v>#NAME?</v>
      </c>
      <c r="L1332" s="112"/>
      <c r="M1332" s="112"/>
      <c r="N1332" s="112" t="e">
        <f aca="false">SUM(C1332:M1332)</f>
        <v>#NAME?</v>
      </c>
    </row>
    <row r="1333" customFormat="false" ht="30" hidden="false" customHeight="false" outlineLevel="0" collapsed="false">
      <c r="A1333" s="380" t="s">
        <v>2245</v>
      </c>
      <c r="B1333" s="383" t="s">
        <v>3857</v>
      </c>
      <c r="C1333" s="112"/>
      <c r="D1333" s="112"/>
      <c r="E1333" s="112" t="e">
        <f aca="false">общ.калькуляция!h1332</f>
        <v>#NAME?</v>
      </c>
      <c r="F1333" s="112"/>
      <c r="G1333" s="112"/>
      <c r="H1333" s="112" t="e">
        <f aca="false">общ.калькуляция!j1332</f>
        <v>#NAME?</v>
      </c>
      <c r="I1333" s="112"/>
      <c r="J1333" s="112"/>
      <c r="K1333" s="112" t="e">
        <f aca="false">общ.калькуляция!m1332</f>
        <v>#NAME?</v>
      </c>
      <c r="L1333" s="112"/>
      <c r="M1333" s="112"/>
      <c r="N1333" s="112" t="e">
        <f aca="false">SUM(C1333:M1333)</f>
        <v>#NAME?</v>
      </c>
    </row>
    <row r="1334" customFormat="false" ht="30" hidden="false" customHeight="false" outlineLevel="0" collapsed="false">
      <c r="A1334" s="380" t="s">
        <v>2247</v>
      </c>
      <c r="B1334" s="384" t="s">
        <v>3858</v>
      </c>
      <c r="C1334" s="112"/>
      <c r="D1334" s="112"/>
      <c r="E1334" s="112" t="e">
        <f aca="false">общ.калькуляция!h1333</f>
        <v>#NAME?</v>
      </c>
      <c r="F1334" s="112"/>
      <c r="G1334" s="112"/>
      <c r="H1334" s="112" t="e">
        <f aca="false">общ.калькуляция!j1333</f>
        <v>#NAME?</v>
      </c>
      <c r="I1334" s="112"/>
      <c r="J1334" s="112"/>
      <c r="K1334" s="112" t="e">
        <f aca="false">общ.калькуляция!m1333</f>
        <v>#NAME?</v>
      </c>
      <c r="L1334" s="112"/>
      <c r="M1334" s="112"/>
      <c r="N1334" s="112" t="e">
        <f aca="false">SUM(C1334:M1334)</f>
        <v>#NAME?</v>
      </c>
    </row>
    <row r="1335" customFormat="false" ht="15" hidden="false" customHeight="false" outlineLevel="0" collapsed="false">
      <c r="A1335" s="380" t="s">
        <v>2249</v>
      </c>
      <c r="B1335" s="328" t="s">
        <v>3859</v>
      </c>
      <c r="C1335" s="112"/>
      <c r="D1335" s="112"/>
      <c r="E1335" s="112" t="e">
        <f aca="false">общ.калькуляция!h1334</f>
        <v>#NAME?</v>
      </c>
      <c r="F1335" s="112"/>
      <c r="G1335" s="112"/>
      <c r="H1335" s="112" t="e">
        <f aca="false">общ.калькуляция!j1334</f>
        <v>#NAME?</v>
      </c>
      <c r="I1335" s="112"/>
      <c r="J1335" s="112"/>
      <c r="K1335" s="112" t="e">
        <f aca="false">общ.калькуляция!m1334</f>
        <v>#NAME?</v>
      </c>
      <c r="L1335" s="112"/>
      <c r="M1335" s="112"/>
      <c r="N1335" s="112" t="e">
        <f aca="false">SUM(C1335:M1335)</f>
        <v>#NAME?</v>
      </c>
    </row>
    <row r="1336" customFormat="false" ht="15" hidden="false" customHeight="false" outlineLevel="0" collapsed="false">
      <c r="A1336" s="380" t="s">
        <v>2251</v>
      </c>
      <c r="B1336" s="328" t="s">
        <v>3860</v>
      </c>
      <c r="C1336" s="112"/>
      <c r="D1336" s="112"/>
      <c r="E1336" s="112" t="e">
        <f aca="false">общ.калькуляция!h1335</f>
        <v>#NAME?</v>
      </c>
      <c r="F1336" s="112"/>
      <c r="G1336" s="112"/>
      <c r="H1336" s="112" t="e">
        <f aca="false">общ.калькуляция!j1335</f>
        <v>#NAME?</v>
      </c>
      <c r="I1336" s="112"/>
      <c r="J1336" s="112"/>
      <c r="K1336" s="112" t="e">
        <f aca="false">общ.калькуляция!m1335</f>
        <v>#NAME?</v>
      </c>
      <c r="L1336" s="112"/>
      <c r="M1336" s="112"/>
      <c r="N1336" s="112" t="e">
        <f aca="false">SUM(C1336:M1336)</f>
        <v>#NAME?</v>
      </c>
    </row>
    <row r="1337" customFormat="false" ht="15" hidden="false" customHeight="false" outlineLevel="0" collapsed="false">
      <c r="A1337" s="380" t="s">
        <v>2253</v>
      </c>
      <c r="B1337" s="328" t="s">
        <v>3861</v>
      </c>
      <c r="C1337" s="112"/>
      <c r="D1337" s="112"/>
      <c r="E1337" s="112" t="e">
        <f aca="false">общ.калькуляция!h1336</f>
        <v>#NAME?</v>
      </c>
      <c r="F1337" s="112"/>
      <c r="G1337" s="112"/>
      <c r="H1337" s="112" t="e">
        <f aca="false">общ.калькуляция!j1336</f>
        <v>#NAME?</v>
      </c>
      <c r="I1337" s="112"/>
      <c r="J1337" s="112"/>
      <c r="K1337" s="112" t="e">
        <f aca="false">общ.калькуляция!m1336</f>
        <v>#NAME?</v>
      </c>
      <c r="L1337" s="112"/>
      <c r="M1337" s="112"/>
      <c r="N1337" s="112" t="e">
        <f aca="false">SUM(C1337:M1337)</f>
        <v>#NAME?</v>
      </c>
    </row>
    <row r="1338" customFormat="false" ht="15" hidden="false" customHeight="false" outlineLevel="0" collapsed="false">
      <c r="A1338" s="380" t="s">
        <v>2255</v>
      </c>
      <c r="B1338" s="328" t="s">
        <v>3862</v>
      </c>
      <c r="C1338" s="112"/>
      <c r="D1338" s="112"/>
      <c r="E1338" s="112" t="e">
        <f aca="false">общ.калькуляция!h1337</f>
        <v>#NAME?</v>
      </c>
      <c r="F1338" s="112"/>
      <c r="G1338" s="112"/>
      <c r="H1338" s="112" t="e">
        <f aca="false">общ.калькуляция!j1337</f>
        <v>#NAME?</v>
      </c>
      <c r="I1338" s="112"/>
      <c r="J1338" s="112"/>
      <c r="K1338" s="112" t="e">
        <f aca="false">общ.калькуляция!m1337</f>
        <v>#NAME?</v>
      </c>
      <c r="L1338" s="112"/>
      <c r="M1338" s="112"/>
      <c r="N1338" s="112" t="e">
        <f aca="false">SUM(C1338:M1338)</f>
        <v>#NAME?</v>
      </c>
    </row>
    <row r="1339" customFormat="false" ht="15" hidden="false" customHeight="false" outlineLevel="0" collapsed="false">
      <c r="A1339" s="380" t="s">
        <v>2257</v>
      </c>
      <c r="B1339" s="328" t="s">
        <v>3863</v>
      </c>
      <c r="C1339" s="112"/>
      <c r="D1339" s="112"/>
      <c r="E1339" s="112" t="e">
        <f aca="false">общ.калькуляция!h1338</f>
        <v>#NAME?</v>
      </c>
      <c r="F1339" s="112"/>
      <c r="G1339" s="112"/>
      <c r="H1339" s="112" t="e">
        <f aca="false">общ.калькуляция!j1338</f>
        <v>#NAME?</v>
      </c>
      <c r="I1339" s="112"/>
      <c r="J1339" s="112"/>
      <c r="K1339" s="112" t="e">
        <f aca="false">общ.калькуляция!m1338</f>
        <v>#NAME?</v>
      </c>
      <c r="L1339" s="112"/>
      <c r="M1339" s="112"/>
      <c r="N1339" s="112" t="e">
        <f aca="false">SUM(C1339:M1339)</f>
        <v>#NAME?</v>
      </c>
    </row>
    <row r="1340" customFormat="false" ht="28.5" hidden="false" customHeight="false" outlineLevel="0" collapsed="false">
      <c r="A1340" s="375" t="s">
        <v>2259</v>
      </c>
      <c r="B1340" s="385" t="s">
        <v>3864</v>
      </c>
      <c r="C1340" s="386"/>
      <c r="D1340" s="386"/>
      <c r="E1340" s="111"/>
      <c r="F1340" s="111"/>
      <c r="G1340" s="111"/>
      <c r="H1340" s="111"/>
      <c r="I1340" s="111"/>
      <c r="J1340" s="111"/>
      <c r="K1340" s="111"/>
      <c r="L1340" s="111"/>
      <c r="M1340" s="111"/>
      <c r="N1340" s="111"/>
    </row>
    <row r="1341" customFormat="false" ht="15" hidden="false" customHeight="false" outlineLevel="0" collapsed="false">
      <c r="A1341" s="350" t="s">
        <v>2261</v>
      </c>
      <c r="B1341" s="16" t="s">
        <v>3865</v>
      </c>
      <c r="C1341" s="387"/>
      <c r="D1341" s="387"/>
      <c r="E1341" s="126"/>
      <c r="F1341" s="126"/>
      <c r="G1341" s="126"/>
      <c r="H1341" s="126"/>
      <c r="I1341" s="126"/>
      <c r="J1341" s="126"/>
      <c r="K1341" s="126"/>
      <c r="L1341" s="126"/>
      <c r="M1341" s="126"/>
      <c r="N1341" s="126"/>
    </row>
    <row r="1342" customFormat="false" ht="15" hidden="false" customHeight="false" outlineLevel="0" collapsed="false">
      <c r="A1342" s="327" t="s">
        <v>2263</v>
      </c>
      <c r="B1342" s="40" t="s">
        <v>3866</v>
      </c>
      <c r="C1342" s="316"/>
      <c r="D1342" s="316"/>
      <c r="E1342" s="112" t="e">
        <f aca="false">общ.калькуляция!h1341</f>
        <v>#NAME?</v>
      </c>
      <c r="F1342" s="112"/>
      <c r="G1342" s="112"/>
      <c r="H1342" s="112" t="e">
        <f aca="false">общ.калькуляция!j1341</f>
        <v>#NAME?</v>
      </c>
      <c r="I1342" s="112"/>
      <c r="J1342" s="112"/>
      <c r="K1342" s="112" t="e">
        <f aca="false">общ.калькуляция!m1341</f>
        <v>#NAME?</v>
      </c>
      <c r="L1342" s="112"/>
      <c r="M1342" s="112"/>
      <c r="N1342" s="112" t="e">
        <f aca="false">SUM(C1342:M1342)</f>
        <v>#NAME?</v>
      </c>
    </row>
    <row r="1343" customFormat="false" ht="15" hidden="false" customHeight="false" outlineLevel="0" collapsed="false">
      <c r="A1343" s="327" t="s">
        <v>2265</v>
      </c>
      <c r="B1343" s="40" t="s">
        <v>3867</v>
      </c>
      <c r="C1343" s="316"/>
      <c r="D1343" s="316"/>
      <c r="E1343" s="112" t="e">
        <f aca="false">общ.калькуляция!h1342</f>
        <v>#NAME?</v>
      </c>
      <c r="F1343" s="112"/>
      <c r="G1343" s="112"/>
      <c r="H1343" s="112" t="e">
        <f aca="false">общ.калькуляция!j1342</f>
        <v>#NAME?</v>
      </c>
      <c r="I1343" s="112"/>
      <c r="J1343" s="112"/>
      <c r="K1343" s="112" t="e">
        <f aca="false">общ.калькуляция!m1342</f>
        <v>#NAME?</v>
      </c>
      <c r="L1343" s="112"/>
      <c r="M1343" s="112"/>
      <c r="N1343" s="112" t="e">
        <f aca="false">SUM(C1343:M1343)</f>
        <v>#NAME?</v>
      </c>
    </row>
    <row r="1344" customFormat="false" ht="15" hidden="false" customHeight="false" outlineLevel="0" collapsed="false">
      <c r="A1344" s="327" t="s">
        <v>2267</v>
      </c>
      <c r="B1344" s="40" t="s">
        <v>3868</v>
      </c>
      <c r="C1344" s="316"/>
      <c r="D1344" s="316"/>
      <c r="E1344" s="112" t="e">
        <f aca="false">общ.калькуляция!h1343</f>
        <v>#NAME?</v>
      </c>
      <c r="F1344" s="112"/>
      <c r="G1344" s="112"/>
      <c r="H1344" s="112" t="e">
        <f aca="false">общ.калькуляция!j1343</f>
        <v>#NAME?</v>
      </c>
      <c r="I1344" s="112"/>
      <c r="J1344" s="112"/>
      <c r="K1344" s="112" t="e">
        <f aca="false">общ.калькуляция!m1343</f>
        <v>#NAME?</v>
      </c>
      <c r="L1344" s="112"/>
      <c r="M1344" s="112"/>
      <c r="N1344" s="112" t="e">
        <f aca="false">SUM(C1344:M1344)</f>
        <v>#NAME?</v>
      </c>
    </row>
    <row r="1345" customFormat="false" ht="15" hidden="false" customHeight="false" outlineLevel="0" collapsed="false">
      <c r="A1345" s="327" t="s">
        <v>2269</v>
      </c>
      <c r="B1345" s="40" t="s">
        <v>3869</v>
      </c>
      <c r="C1345" s="316"/>
      <c r="D1345" s="316"/>
      <c r="E1345" s="112" t="e">
        <f aca="false">общ.калькуляция!h1344</f>
        <v>#NAME?</v>
      </c>
      <c r="F1345" s="112"/>
      <c r="G1345" s="112"/>
      <c r="H1345" s="112" t="e">
        <f aca="false">общ.калькуляция!j1344</f>
        <v>#NAME?</v>
      </c>
      <c r="I1345" s="112"/>
      <c r="J1345" s="112"/>
      <c r="K1345" s="112" t="e">
        <f aca="false">общ.калькуляция!m1344</f>
        <v>#NAME?</v>
      </c>
      <c r="L1345" s="112"/>
      <c r="M1345" s="112"/>
      <c r="N1345" s="112" t="e">
        <f aca="false">SUM(C1345:M1345)</f>
        <v>#NAME?</v>
      </c>
    </row>
    <row r="1346" customFormat="false" ht="30" hidden="false" customHeight="false" outlineLevel="0" collapsed="false">
      <c r="A1346" s="327" t="s">
        <v>2271</v>
      </c>
      <c r="B1346" s="40" t="s">
        <v>3870</v>
      </c>
      <c r="C1346" s="316"/>
      <c r="D1346" s="316"/>
      <c r="E1346" s="112" t="e">
        <f aca="false">общ.калькуляция!h1345</f>
        <v>#NAME?</v>
      </c>
      <c r="F1346" s="112"/>
      <c r="G1346" s="112"/>
      <c r="H1346" s="112" t="e">
        <f aca="false">общ.калькуляция!j1345</f>
        <v>#NAME?</v>
      </c>
      <c r="I1346" s="112"/>
      <c r="J1346" s="112"/>
      <c r="K1346" s="112" t="e">
        <f aca="false">общ.калькуляция!m1345</f>
        <v>#NAME?</v>
      </c>
      <c r="L1346" s="112"/>
      <c r="M1346" s="112"/>
      <c r="N1346" s="112" t="e">
        <f aca="false">SUM(C1346:M1346)</f>
        <v>#NAME?</v>
      </c>
    </row>
    <row r="1347" customFormat="false" ht="15" hidden="false" customHeight="false" outlineLevel="0" collapsed="false">
      <c r="A1347" s="388" t="s">
        <v>2273</v>
      </c>
      <c r="B1347" s="128" t="s">
        <v>3871</v>
      </c>
      <c r="C1347" s="387"/>
      <c r="D1347" s="387"/>
      <c r="E1347" s="126" t="e">
        <f aca="false">общ.калькуляция!h1346</f>
        <v>#NAME?</v>
      </c>
      <c r="F1347" s="126"/>
      <c r="G1347" s="126"/>
      <c r="H1347" s="126" t="e">
        <f aca="false">общ.калькуляция!j1346</f>
        <v>#NAME?</v>
      </c>
      <c r="I1347" s="126"/>
      <c r="J1347" s="126"/>
      <c r="K1347" s="126" t="e">
        <f aca="false">общ.калькуляция!m1346</f>
        <v>#NAME?</v>
      </c>
      <c r="L1347" s="126"/>
      <c r="M1347" s="126"/>
      <c r="N1347" s="126" t="e">
        <f aca="false">SUM(C1347:M1347)</f>
        <v>#NAME?</v>
      </c>
    </row>
    <row r="1348" customFormat="false" ht="30" hidden="false" customHeight="false" outlineLevel="0" collapsed="false">
      <c r="A1348" s="327" t="s">
        <v>2275</v>
      </c>
      <c r="B1348" s="40" t="s">
        <v>3872</v>
      </c>
      <c r="C1348" s="316"/>
      <c r="D1348" s="316"/>
      <c r="E1348" s="112" t="e">
        <f aca="false">общ.калькуляция!h1347</f>
        <v>#NAME?</v>
      </c>
      <c r="F1348" s="112"/>
      <c r="G1348" s="112"/>
      <c r="H1348" s="112" t="e">
        <f aca="false">общ.калькуляция!j1347</f>
        <v>#NAME?</v>
      </c>
      <c r="I1348" s="112"/>
      <c r="J1348" s="112"/>
      <c r="K1348" s="112" t="e">
        <f aca="false">общ.калькуляция!m1347</f>
        <v>#NAME?</v>
      </c>
      <c r="L1348" s="112"/>
      <c r="M1348" s="112"/>
      <c r="N1348" s="112" t="e">
        <f aca="false">SUM(C1348:M1348)</f>
        <v>#NAME?</v>
      </c>
    </row>
    <row r="1349" customFormat="false" ht="30" hidden="false" customHeight="false" outlineLevel="0" collapsed="false">
      <c r="A1349" s="327" t="s">
        <v>2277</v>
      </c>
      <c r="B1349" s="40" t="s">
        <v>3873</v>
      </c>
      <c r="C1349" s="316"/>
      <c r="D1349" s="316"/>
      <c r="E1349" s="112" t="e">
        <f aca="false">общ.калькуляция!h1348</f>
        <v>#NAME?</v>
      </c>
      <c r="F1349" s="112"/>
      <c r="G1349" s="112"/>
      <c r="H1349" s="112" t="e">
        <f aca="false">общ.калькуляция!j1348</f>
        <v>#NAME?</v>
      </c>
      <c r="I1349" s="112"/>
      <c r="J1349" s="112"/>
      <c r="K1349" s="112" t="e">
        <f aca="false">общ.калькуляция!m1348</f>
        <v>#NAME?</v>
      </c>
      <c r="L1349" s="112"/>
      <c r="M1349" s="112"/>
      <c r="N1349" s="112" t="e">
        <f aca="false">SUM(C1349:M1349)</f>
        <v>#NAME?</v>
      </c>
    </row>
    <row r="1350" customFormat="false" ht="15" hidden="false" customHeight="false" outlineLevel="0" collapsed="false">
      <c r="A1350" s="327" t="s">
        <v>2279</v>
      </c>
      <c r="B1350" s="40" t="s">
        <v>3874</v>
      </c>
      <c r="C1350" s="316"/>
      <c r="D1350" s="316"/>
      <c r="E1350" s="112" t="e">
        <f aca="false">общ.калькуляция!h1349</f>
        <v>#NAME?</v>
      </c>
      <c r="F1350" s="112"/>
      <c r="G1350" s="112"/>
      <c r="H1350" s="112" t="e">
        <f aca="false">общ.калькуляция!j1349</f>
        <v>#NAME?</v>
      </c>
      <c r="I1350" s="112"/>
      <c r="J1350" s="112"/>
      <c r="K1350" s="112" t="e">
        <f aca="false">общ.калькуляция!m1349</f>
        <v>#NAME?</v>
      </c>
      <c r="L1350" s="112"/>
      <c r="M1350" s="112"/>
      <c r="N1350" s="112" t="e">
        <f aca="false">SUM(C1350:M1350)</f>
        <v>#NAME?</v>
      </c>
    </row>
    <row r="1351" customFormat="false" ht="30" hidden="false" customHeight="false" outlineLevel="0" collapsed="false">
      <c r="A1351" s="327" t="s">
        <v>2281</v>
      </c>
      <c r="B1351" s="40" t="s">
        <v>3875</v>
      </c>
      <c r="C1351" s="316"/>
      <c r="D1351" s="316"/>
      <c r="E1351" s="112" t="e">
        <f aca="false">общ.калькуляция!h1350</f>
        <v>#NAME?</v>
      </c>
      <c r="F1351" s="112"/>
      <c r="G1351" s="112"/>
      <c r="H1351" s="112" t="e">
        <f aca="false">общ.калькуляция!j1350</f>
        <v>#NAME?</v>
      </c>
      <c r="I1351" s="112"/>
      <c r="J1351" s="112"/>
      <c r="K1351" s="112" t="e">
        <f aca="false">общ.калькуляция!m1350</f>
        <v>#NAME?</v>
      </c>
      <c r="L1351" s="112"/>
      <c r="M1351" s="112"/>
      <c r="N1351" s="112" t="e">
        <f aca="false">SUM(C1351:M1351)</f>
        <v>#NAME?</v>
      </c>
    </row>
    <row r="1352" customFormat="false" ht="15" hidden="false" customHeight="false" outlineLevel="0" collapsed="false">
      <c r="A1352" s="388" t="s">
        <v>2283</v>
      </c>
      <c r="B1352" s="128" t="s">
        <v>2284</v>
      </c>
      <c r="C1352" s="387"/>
      <c r="D1352" s="387"/>
      <c r="E1352" s="126" t="e">
        <f aca="false">общ.калькуляция!h1351</f>
        <v>#NAME?</v>
      </c>
      <c r="F1352" s="126"/>
      <c r="G1352" s="126"/>
      <c r="H1352" s="126" t="e">
        <f aca="false">общ.калькуляция!j1351</f>
        <v>#NAME?</v>
      </c>
      <c r="I1352" s="126"/>
      <c r="J1352" s="126"/>
      <c r="K1352" s="126" t="e">
        <f aca="false">общ.калькуляция!m1351</f>
        <v>#NAME?</v>
      </c>
      <c r="L1352" s="126"/>
      <c r="M1352" s="126"/>
      <c r="N1352" s="126" t="e">
        <f aca="false">SUM(C1352:M1352)</f>
        <v>#NAME?</v>
      </c>
    </row>
    <row r="1353" customFormat="false" ht="15" hidden="false" customHeight="false" outlineLevel="0" collapsed="false">
      <c r="A1353" s="327" t="s">
        <v>2285</v>
      </c>
      <c r="B1353" s="40" t="s">
        <v>3876</v>
      </c>
      <c r="C1353" s="316"/>
      <c r="D1353" s="316"/>
      <c r="E1353" s="112" t="e">
        <f aca="false">общ.калькуляция!h1352</f>
        <v>#NAME?</v>
      </c>
      <c r="F1353" s="112"/>
      <c r="G1353" s="112"/>
      <c r="H1353" s="112" t="e">
        <f aca="false">общ.калькуляция!j1352</f>
        <v>#NAME?</v>
      </c>
      <c r="I1353" s="112"/>
      <c r="J1353" s="112"/>
      <c r="K1353" s="112" t="e">
        <f aca="false">общ.калькуляция!m1352</f>
        <v>#NAME?</v>
      </c>
      <c r="L1353" s="112"/>
      <c r="M1353" s="112"/>
      <c r="N1353" s="112" t="e">
        <f aca="false">SUM(C1353:M1353)</f>
        <v>#NAME?</v>
      </c>
    </row>
    <row r="1354" customFormat="false" ht="30" hidden="false" customHeight="false" outlineLevel="0" collapsed="false">
      <c r="A1354" s="327" t="s">
        <v>2287</v>
      </c>
      <c r="B1354" s="40" t="s">
        <v>3877</v>
      </c>
      <c r="C1354" s="316"/>
      <c r="D1354" s="316"/>
      <c r="E1354" s="112" t="e">
        <f aca="false">общ.калькуляция!h1353</f>
        <v>#NAME?</v>
      </c>
      <c r="F1354" s="112"/>
      <c r="G1354" s="112"/>
      <c r="H1354" s="112" t="e">
        <f aca="false">общ.калькуляция!j1353</f>
        <v>#NAME?</v>
      </c>
      <c r="I1354" s="112"/>
      <c r="J1354" s="112"/>
      <c r="K1354" s="112" t="e">
        <f aca="false">общ.калькуляция!m1353</f>
        <v>#NAME?</v>
      </c>
      <c r="L1354" s="112"/>
      <c r="M1354" s="112"/>
      <c r="N1354" s="112" t="e">
        <f aca="false">SUM(C1354:M1354)</f>
        <v>#NAME?</v>
      </c>
    </row>
    <row r="1355" customFormat="false" ht="30" hidden="false" customHeight="false" outlineLevel="0" collapsed="false">
      <c r="A1355" s="327" t="s">
        <v>2289</v>
      </c>
      <c r="B1355" s="78" t="s">
        <v>3878</v>
      </c>
      <c r="C1355" s="316"/>
      <c r="D1355" s="316"/>
      <c r="E1355" s="112" t="e">
        <f aca="false">общ.калькуляция!h1354</f>
        <v>#NAME?</v>
      </c>
      <c r="F1355" s="112"/>
      <c r="G1355" s="112"/>
      <c r="H1355" s="112" t="e">
        <f aca="false">общ.калькуляция!j1354</f>
        <v>#NAME?</v>
      </c>
      <c r="I1355" s="112"/>
      <c r="J1355" s="112"/>
      <c r="K1355" s="112" t="e">
        <f aca="false">общ.калькуляция!m1354</f>
        <v>#NAME?</v>
      </c>
      <c r="L1355" s="112"/>
      <c r="M1355" s="112"/>
      <c r="N1355" s="112" t="e">
        <f aca="false">SUM(C1355:M1355)</f>
        <v>#NAME?</v>
      </c>
    </row>
    <row r="1356" customFormat="false" ht="30" hidden="false" customHeight="false" outlineLevel="0" collapsed="false">
      <c r="A1356" s="327" t="s">
        <v>2291</v>
      </c>
      <c r="B1356" s="78" t="s">
        <v>3879</v>
      </c>
      <c r="C1356" s="316"/>
      <c r="D1356" s="316"/>
      <c r="E1356" s="112" t="e">
        <f aca="false">общ.калькуляция!h1355</f>
        <v>#NAME?</v>
      </c>
      <c r="F1356" s="112"/>
      <c r="G1356" s="112"/>
      <c r="H1356" s="112" t="e">
        <f aca="false">общ.калькуляция!j1355</f>
        <v>#NAME?</v>
      </c>
      <c r="I1356" s="112"/>
      <c r="J1356" s="112"/>
      <c r="K1356" s="112" t="e">
        <f aca="false">общ.калькуляция!m1355</f>
        <v>#NAME?</v>
      </c>
      <c r="L1356" s="112"/>
      <c r="M1356" s="112"/>
      <c r="N1356" s="112" t="e">
        <f aca="false">SUM(C1356:M1356)</f>
        <v>#NAME?</v>
      </c>
    </row>
    <row r="1357" customFormat="false" ht="30" hidden="false" customHeight="false" outlineLevel="0" collapsed="false">
      <c r="A1357" s="327" t="s">
        <v>2293</v>
      </c>
      <c r="B1357" s="40" t="s">
        <v>3880</v>
      </c>
      <c r="C1357" s="316"/>
      <c r="D1357" s="316"/>
      <c r="E1357" s="112" t="e">
        <f aca="false">общ.калькуляция!h1356</f>
        <v>#NAME?</v>
      </c>
      <c r="F1357" s="112"/>
      <c r="G1357" s="112"/>
      <c r="H1357" s="112" t="e">
        <f aca="false">общ.калькуляция!j1356</f>
        <v>#NAME?</v>
      </c>
      <c r="I1357" s="112"/>
      <c r="J1357" s="112"/>
      <c r="K1357" s="112" t="e">
        <f aca="false">общ.калькуляция!m1356</f>
        <v>#NAME?</v>
      </c>
      <c r="L1357" s="112"/>
      <c r="M1357" s="112"/>
      <c r="N1357" s="112" t="e">
        <f aca="false">SUM(C1357:M1357)</f>
        <v>#NAME?</v>
      </c>
    </row>
    <row r="1358" customFormat="false" ht="30" hidden="false" customHeight="false" outlineLevel="0" collapsed="false">
      <c r="A1358" s="327" t="s">
        <v>2295</v>
      </c>
      <c r="B1358" s="40" t="s">
        <v>3881</v>
      </c>
      <c r="C1358" s="316"/>
      <c r="D1358" s="316"/>
      <c r="E1358" s="112" t="e">
        <f aca="false">общ.калькуляция!h1357</f>
        <v>#NAME?</v>
      </c>
      <c r="F1358" s="112"/>
      <c r="G1358" s="112"/>
      <c r="H1358" s="112" t="e">
        <f aca="false">общ.калькуляция!j1357</f>
        <v>#NAME?</v>
      </c>
      <c r="I1358" s="112"/>
      <c r="J1358" s="112"/>
      <c r="K1358" s="112" t="e">
        <f aca="false">общ.калькуляция!m1357</f>
        <v>#NAME?</v>
      </c>
      <c r="L1358" s="112"/>
      <c r="M1358" s="112"/>
      <c r="N1358" s="112" t="e">
        <f aca="false">SUM(C1358:M1358)</f>
        <v>#NAME?</v>
      </c>
    </row>
    <row r="1359" customFormat="false" ht="15" hidden="false" customHeight="false" outlineLevel="0" collapsed="false">
      <c r="A1359" s="327" t="s">
        <v>2297</v>
      </c>
      <c r="B1359" s="40" t="s">
        <v>3882</v>
      </c>
      <c r="C1359" s="316"/>
      <c r="D1359" s="316"/>
      <c r="E1359" s="112" t="e">
        <f aca="false">общ.калькуляция!h1358</f>
        <v>#NAME?</v>
      </c>
      <c r="F1359" s="112"/>
      <c r="G1359" s="112"/>
      <c r="H1359" s="112" t="e">
        <f aca="false">общ.калькуляция!j1358</f>
        <v>#NAME?</v>
      </c>
      <c r="I1359" s="112"/>
      <c r="J1359" s="112"/>
      <c r="K1359" s="112" t="e">
        <f aca="false">общ.калькуляция!m1358</f>
        <v>#NAME?</v>
      </c>
      <c r="L1359" s="112"/>
      <c r="M1359" s="112"/>
      <c r="N1359" s="112" t="e">
        <f aca="false">SUM(C1359:M1359)</f>
        <v>#NAME?</v>
      </c>
    </row>
    <row r="1360" customFormat="false" ht="15" hidden="false" customHeight="false" outlineLevel="0" collapsed="false">
      <c r="A1360" s="327" t="s">
        <v>2299</v>
      </c>
      <c r="B1360" s="40" t="s">
        <v>3883</v>
      </c>
      <c r="C1360" s="316"/>
      <c r="D1360" s="316"/>
      <c r="E1360" s="112" t="e">
        <f aca="false">общ.калькуляция!h1359</f>
        <v>#NAME?</v>
      </c>
      <c r="F1360" s="112"/>
      <c r="G1360" s="112"/>
      <c r="H1360" s="112" t="e">
        <f aca="false">общ.калькуляция!j1359</f>
        <v>#NAME?</v>
      </c>
      <c r="I1360" s="112"/>
      <c r="J1360" s="112"/>
      <c r="K1360" s="112" t="e">
        <f aca="false">общ.калькуляция!m1359</f>
        <v>#NAME?</v>
      </c>
      <c r="L1360" s="112"/>
      <c r="M1360" s="112"/>
      <c r="N1360" s="112" t="e">
        <f aca="false">SUM(C1360:M1360)</f>
        <v>#NAME?</v>
      </c>
    </row>
    <row r="1361" customFormat="false" ht="15" hidden="false" customHeight="false" outlineLevel="0" collapsed="false">
      <c r="A1361" s="327" t="s">
        <v>2301</v>
      </c>
      <c r="B1361" s="29" t="s">
        <v>3884</v>
      </c>
      <c r="C1361" s="316"/>
      <c r="D1361" s="316"/>
      <c r="E1361" s="112" t="e">
        <f aca="false">общ.калькуляция!h1360</f>
        <v>#NAME?</v>
      </c>
      <c r="F1361" s="112"/>
      <c r="G1361" s="112"/>
      <c r="H1361" s="112" t="e">
        <f aca="false">общ.калькуляция!j1360</f>
        <v>#NAME?</v>
      </c>
      <c r="I1361" s="112"/>
      <c r="J1361" s="112"/>
      <c r="K1361" s="112" t="e">
        <f aca="false">общ.калькуляция!m1360</f>
        <v>#NAME?</v>
      </c>
      <c r="L1361" s="112"/>
      <c r="M1361" s="112"/>
      <c r="N1361" s="112" t="e">
        <f aca="false">SUM(C1361:M1361)</f>
        <v>#NAME?</v>
      </c>
    </row>
    <row r="1362" customFormat="false" ht="15" hidden="false" customHeight="false" outlineLevel="0" collapsed="false">
      <c r="A1362" s="327" t="s">
        <v>2303</v>
      </c>
      <c r="B1362" s="29" t="s">
        <v>3885</v>
      </c>
      <c r="C1362" s="316"/>
      <c r="D1362" s="316"/>
      <c r="E1362" s="112" t="e">
        <f aca="false">общ.калькуляция!h1361</f>
        <v>#NAME?</v>
      </c>
      <c r="F1362" s="112"/>
      <c r="G1362" s="112"/>
      <c r="H1362" s="112" t="e">
        <f aca="false">общ.калькуляция!j1361</f>
        <v>#NAME?</v>
      </c>
      <c r="I1362" s="112"/>
      <c r="J1362" s="112"/>
      <c r="K1362" s="112" t="e">
        <f aca="false">общ.калькуляция!m1361</f>
        <v>#NAME?</v>
      </c>
      <c r="L1362" s="112"/>
      <c r="M1362" s="112"/>
      <c r="N1362" s="112" t="e">
        <f aca="false">SUM(C1362:M1362)</f>
        <v>#NAME?</v>
      </c>
    </row>
    <row r="1363" customFormat="false" ht="30" hidden="false" customHeight="false" outlineLevel="0" collapsed="false">
      <c r="A1363" s="327" t="s">
        <v>2305</v>
      </c>
      <c r="B1363" s="29" t="s">
        <v>3886</v>
      </c>
      <c r="C1363" s="316"/>
      <c r="D1363" s="316"/>
      <c r="E1363" s="112" t="e">
        <f aca="false">общ.калькуляция!h1362</f>
        <v>#NAME?</v>
      </c>
      <c r="F1363" s="112"/>
      <c r="G1363" s="112"/>
      <c r="H1363" s="112" t="e">
        <f aca="false">общ.калькуляция!j1362</f>
        <v>#NAME?</v>
      </c>
      <c r="I1363" s="112"/>
      <c r="J1363" s="112"/>
      <c r="K1363" s="112" t="e">
        <f aca="false">общ.калькуляция!m1362</f>
        <v>#NAME?</v>
      </c>
      <c r="L1363" s="112"/>
      <c r="M1363" s="112"/>
      <c r="N1363" s="112" t="e">
        <f aca="false">SUM(C1363:M1363)</f>
        <v>#NAME?</v>
      </c>
    </row>
    <row r="1364" customFormat="false" ht="15" hidden="false" customHeight="false" outlineLevel="0" collapsed="false">
      <c r="A1364" s="389" t="s">
        <v>2307</v>
      </c>
      <c r="B1364" s="130" t="s">
        <v>2308</v>
      </c>
      <c r="C1364" s="387"/>
      <c r="D1364" s="387"/>
      <c r="E1364" s="126" t="e">
        <f aca="false">общ.калькуляция!h1363</f>
        <v>#NAME?</v>
      </c>
      <c r="F1364" s="126"/>
      <c r="G1364" s="126"/>
      <c r="H1364" s="126" t="e">
        <f aca="false">общ.калькуляция!j1363</f>
        <v>#NAME?</v>
      </c>
      <c r="I1364" s="126"/>
      <c r="J1364" s="126"/>
      <c r="K1364" s="126" t="e">
        <f aca="false">общ.калькуляция!m1363</f>
        <v>#NAME?</v>
      </c>
      <c r="L1364" s="126"/>
      <c r="M1364" s="126"/>
      <c r="N1364" s="126" t="e">
        <f aca="false">SUM(C1364:M1364)</f>
        <v>#NAME?</v>
      </c>
    </row>
    <row r="1365" customFormat="false" ht="30" hidden="false" customHeight="false" outlineLevel="0" collapsed="false">
      <c r="A1365" s="327" t="s">
        <v>2309</v>
      </c>
      <c r="B1365" s="40" t="s">
        <v>3887</v>
      </c>
      <c r="C1365" s="316"/>
      <c r="D1365" s="316"/>
      <c r="E1365" s="112" t="e">
        <f aca="false">общ.калькуляция!h1364</f>
        <v>#NAME?</v>
      </c>
      <c r="F1365" s="112"/>
      <c r="G1365" s="112"/>
      <c r="H1365" s="112" t="e">
        <f aca="false">общ.калькуляция!j1364</f>
        <v>#NAME?</v>
      </c>
      <c r="I1365" s="112"/>
      <c r="J1365" s="112"/>
      <c r="K1365" s="112" t="e">
        <f aca="false">общ.калькуляция!m1364</f>
        <v>#NAME?</v>
      </c>
      <c r="L1365" s="112"/>
      <c r="M1365" s="112"/>
      <c r="N1365" s="112" t="e">
        <f aca="false">SUM(C1365:M1365)</f>
        <v>#NAME?</v>
      </c>
    </row>
    <row r="1366" customFormat="false" ht="15" hidden="false" customHeight="false" outlineLevel="0" collapsed="false">
      <c r="A1366" s="327" t="s">
        <v>2311</v>
      </c>
      <c r="B1366" s="40" t="s">
        <v>3888</v>
      </c>
      <c r="C1366" s="316"/>
      <c r="D1366" s="316"/>
      <c r="E1366" s="112" t="e">
        <f aca="false">общ.калькуляция!h1365</f>
        <v>#NAME?</v>
      </c>
      <c r="F1366" s="112"/>
      <c r="G1366" s="112"/>
      <c r="H1366" s="112" t="e">
        <f aca="false">общ.калькуляция!j1365</f>
        <v>#NAME?</v>
      </c>
      <c r="I1366" s="112"/>
      <c r="J1366" s="112"/>
      <c r="K1366" s="112" t="e">
        <f aca="false">общ.калькуляция!m1365</f>
        <v>#NAME?</v>
      </c>
      <c r="L1366" s="112"/>
      <c r="M1366" s="112"/>
      <c r="N1366" s="112" t="e">
        <f aca="false">SUM(C1366:M1366)</f>
        <v>#NAME?</v>
      </c>
    </row>
    <row r="1367" customFormat="false" ht="15" hidden="false" customHeight="false" outlineLevel="0" collapsed="false">
      <c r="A1367" s="327" t="s">
        <v>2313</v>
      </c>
      <c r="B1367" s="40" t="s">
        <v>3889</v>
      </c>
      <c r="C1367" s="316"/>
      <c r="D1367" s="316"/>
      <c r="E1367" s="112" t="e">
        <f aca="false">общ.калькуляция!h1366</f>
        <v>#NAME?</v>
      </c>
      <c r="F1367" s="112"/>
      <c r="G1367" s="112"/>
      <c r="H1367" s="112" t="e">
        <f aca="false">общ.калькуляция!j1366</f>
        <v>#NAME?</v>
      </c>
      <c r="I1367" s="112"/>
      <c r="J1367" s="112"/>
      <c r="K1367" s="112" t="e">
        <f aca="false">общ.калькуляция!m1366</f>
        <v>#NAME?</v>
      </c>
      <c r="L1367" s="112"/>
      <c r="M1367" s="112"/>
      <c r="N1367" s="112" t="e">
        <f aca="false">SUM(C1367:M1367)</f>
        <v>#NAME?</v>
      </c>
    </row>
    <row r="1368" customFormat="false" ht="15" hidden="false" customHeight="false" outlineLevel="0" collapsed="false">
      <c r="A1368" s="388" t="s">
        <v>2315</v>
      </c>
      <c r="B1368" s="128" t="s">
        <v>2316</v>
      </c>
      <c r="C1368" s="387"/>
      <c r="D1368" s="387"/>
      <c r="E1368" s="126" t="e">
        <f aca="false">общ.калькуляция!h1367</f>
        <v>#NAME?</v>
      </c>
      <c r="F1368" s="126"/>
      <c r="G1368" s="126"/>
      <c r="H1368" s="126" t="e">
        <f aca="false">общ.калькуляция!j1367</f>
        <v>#NAME?</v>
      </c>
      <c r="I1368" s="126"/>
      <c r="J1368" s="126"/>
      <c r="K1368" s="126" t="e">
        <f aca="false">общ.калькуляция!m1367</f>
        <v>#NAME?</v>
      </c>
      <c r="L1368" s="126"/>
      <c r="M1368" s="126"/>
      <c r="N1368" s="126" t="e">
        <f aca="false">SUM(C1368:M1368)</f>
        <v>#NAME?</v>
      </c>
    </row>
    <row r="1369" customFormat="false" ht="30" hidden="false" customHeight="false" outlineLevel="0" collapsed="false">
      <c r="A1369" s="327" t="s">
        <v>2317</v>
      </c>
      <c r="B1369" s="40" t="s">
        <v>3890</v>
      </c>
      <c r="C1369" s="316"/>
      <c r="D1369" s="316"/>
      <c r="E1369" s="112" t="e">
        <f aca="false">общ.калькуляция!h1368</f>
        <v>#NAME?</v>
      </c>
      <c r="F1369" s="112"/>
      <c r="G1369" s="112"/>
      <c r="H1369" s="112" t="e">
        <f aca="false">общ.калькуляция!j1368</f>
        <v>#NAME?</v>
      </c>
      <c r="I1369" s="112"/>
      <c r="J1369" s="112"/>
      <c r="K1369" s="112" t="e">
        <f aca="false">общ.калькуляция!m1368</f>
        <v>#NAME?</v>
      </c>
      <c r="L1369" s="112"/>
      <c r="M1369" s="112"/>
      <c r="N1369" s="112" t="e">
        <f aca="false">SUM(C1369:M1369)</f>
        <v>#NAME?</v>
      </c>
    </row>
    <row r="1370" customFormat="false" ht="15" hidden="false" customHeight="false" outlineLevel="0" collapsed="false">
      <c r="A1370" s="327" t="s">
        <v>2319</v>
      </c>
      <c r="B1370" s="40" t="s">
        <v>3891</v>
      </c>
      <c r="C1370" s="316"/>
      <c r="D1370" s="316"/>
      <c r="E1370" s="112" t="e">
        <f aca="false">общ.калькуляция!h1369</f>
        <v>#NAME?</v>
      </c>
      <c r="F1370" s="112"/>
      <c r="G1370" s="112"/>
      <c r="H1370" s="112" t="e">
        <f aca="false">общ.калькуляция!j1369</f>
        <v>#NAME?</v>
      </c>
      <c r="I1370" s="112"/>
      <c r="J1370" s="112"/>
      <c r="K1370" s="112" t="e">
        <f aca="false">общ.калькуляция!m1369</f>
        <v>#NAME?</v>
      </c>
      <c r="L1370" s="112"/>
      <c r="M1370" s="112"/>
      <c r="N1370" s="112" t="e">
        <f aca="false">SUM(C1370:M1370)</f>
        <v>#NAME?</v>
      </c>
    </row>
    <row r="1371" customFormat="false" ht="30" hidden="false" customHeight="false" outlineLevel="0" collapsed="false">
      <c r="A1371" s="327" t="s">
        <v>2321</v>
      </c>
      <c r="B1371" s="40" t="s">
        <v>3892</v>
      </c>
      <c r="C1371" s="316"/>
      <c r="D1371" s="316"/>
      <c r="E1371" s="112" t="e">
        <f aca="false">общ.калькуляция!h1370</f>
        <v>#NAME?</v>
      </c>
      <c r="F1371" s="112"/>
      <c r="G1371" s="112"/>
      <c r="H1371" s="112" t="e">
        <f aca="false">общ.калькуляция!j1370</f>
        <v>#NAME?</v>
      </c>
      <c r="I1371" s="112"/>
      <c r="J1371" s="112"/>
      <c r="K1371" s="112" t="e">
        <f aca="false">общ.калькуляция!m1370</f>
        <v>#NAME?</v>
      </c>
      <c r="L1371" s="112"/>
      <c r="M1371" s="112"/>
      <c r="N1371" s="112" t="e">
        <f aca="false">SUM(C1371:M1371)</f>
        <v>#NAME?</v>
      </c>
    </row>
    <row r="1372" customFormat="false" ht="30" hidden="false" customHeight="false" outlineLevel="0" collapsed="false">
      <c r="A1372" s="327" t="s">
        <v>2323</v>
      </c>
      <c r="B1372" s="40" t="s">
        <v>3893</v>
      </c>
      <c r="C1372" s="316"/>
      <c r="D1372" s="316"/>
      <c r="E1372" s="112" t="e">
        <f aca="false">общ.калькуляция!h1371</f>
        <v>#NAME?</v>
      </c>
      <c r="F1372" s="112"/>
      <c r="G1372" s="112"/>
      <c r="H1372" s="112" t="e">
        <f aca="false">общ.калькуляция!j1371</f>
        <v>#NAME?</v>
      </c>
      <c r="I1372" s="112"/>
      <c r="J1372" s="112"/>
      <c r="K1372" s="112" t="e">
        <f aca="false">общ.калькуляция!m1371</f>
        <v>#NAME?</v>
      </c>
      <c r="L1372" s="112"/>
      <c r="M1372" s="112"/>
      <c r="N1372" s="112" t="e">
        <f aca="false">SUM(C1372:M1372)</f>
        <v>#NAME?</v>
      </c>
    </row>
    <row r="1373" customFormat="false" ht="15" hidden="false" customHeight="false" outlineLevel="0" collapsed="false">
      <c r="A1373" s="327" t="s">
        <v>2325</v>
      </c>
      <c r="B1373" s="40" t="s">
        <v>3894</v>
      </c>
      <c r="C1373" s="316"/>
      <c r="D1373" s="316"/>
      <c r="E1373" s="112" t="e">
        <f aca="false">общ.калькуляция!h1372</f>
        <v>#NAME?</v>
      </c>
      <c r="F1373" s="112"/>
      <c r="G1373" s="112"/>
      <c r="H1373" s="112" t="e">
        <f aca="false">общ.калькуляция!j1372</f>
        <v>#NAME?</v>
      </c>
      <c r="I1373" s="112"/>
      <c r="J1373" s="112"/>
      <c r="K1373" s="112" t="e">
        <f aca="false">общ.калькуляция!m1372</f>
        <v>#NAME?</v>
      </c>
      <c r="L1373" s="112"/>
      <c r="M1373" s="112"/>
      <c r="N1373" s="112" t="e">
        <f aca="false">SUM(C1373:M1373)</f>
        <v>#NAME?</v>
      </c>
    </row>
    <row r="1374" customFormat="false" ht="30" hidden="false" customHeight="false" outlineLevel="0" collapsed="false">
      <c r="A1374" s="327" t="s">
        <v>2327</v>
      </c>
      <c r="B1374" s="40" t="s">
        <v>3895</v>
      </c>
      <c r="C1374" s="316"/>
      <c r="D1374" s="316"/>
      <c r="E1374" s="112" t="e">
        <f aca="false">общ.калькуляция!h1373</f>
        <v>#NAME?</v>
      </c>
      <c r="F1374" s="112"/>
      <c r="G1374" s="112"/>
      <c r="H1374" s="112" t="e">
        <f aca="false">общ.калькуляция!j1373</f>
        <v>#NAME?</v>
      </c>
      <c r="I1374" s="112"/>
      <c r="J1374" s="112"/>
      <c r="K1374" s="112" t="e">
        <f aca="false">общ.калькуляция!m1373</f>
        <v>#NAME?</v>
      </c>
      <c r="L1374" s="112"/>
      <c r="M1374" s="112"/>
      <c r="N1374" s="112" t="e">
        <f aca="false">SUM(C1374:M1374)</f>
        <v>#NAME?</v>
      </c>
    </row>
    <row r="1375" customFormat="false" ht="30" hidden="false" customHeight="false" outlineLevel="0" collapsed="false">
      <c r="A1375" s="327" t="s">
        <v>2329</v>
      </c>
      <c r="B1375" s="40" t="s">
        <v>3896</v>
      </c>
      <c r="C1375" s="316"/>
      <c r="D1375" s="316"/>
      <c r="E1375" s="112" t="e">
        <f aca="false">общ.калькуляция!h1374</f>
        <v>#NAME?</v>
      </c>
      <c r="F1375" s="112"/>
      <c r="G1375" s="112"/>
      <c r="H1375" s="112" t="e">
        <f aca="false">общ.калькуляция!j1374</f>
        <v>#NAME?</v>
      </c>
      <c r="I1375" s="112"/>
      <c r="J1375" s="112"/>
      <c r="K1375" s="112" t="e">
        <f aca="false">общ.калькуляция!m1374</f>
        <v>#NAME?</v>
      </c>
      <c r="L1375" s="112"/>
      <c r="M1375" s="112"/>
      <c r="N1375" s="112" t="e">
        <f aca="false">SUM(C1375:M1375)</f>
        <v>#NAME?</v>
      </c>
    </row>
    <row r="1376" customFormat="false" ht="30" hidden="false" customHeight="false" outlineLevel="0" collapsed="false">
      <c r="A1376" s="327" t="s">
        <v>2331</v>
      </c>
      <c r="B1376" s="29" t="s">
        <v>3897</v>
      </c>
      <c r="C1376" s="316"/>
      <c r="D1376" s="316"/>
      <c r="E1376" s="112" t="e">
        <f aca="false">общ.калькуляция!h1375</f>
        <v>#NAME?</v>
      </c>
      <c r="F1376" s="112"/>
      <c r="G1376" s="112"/>
      <c r="H1376" s="112" t="e">
        <f aca="false">общ.калькуляция!j1375</f>
        <v>#NAME?</v>
      </c>
      <c r="I1376" s="112"/>
      <c r="J1376" s="112"/>
      <c r="K1376" s="112" t="e">
        <f aca="false">общ.калькуляция!m1375</f>
        <v>#NAME?</v>
      </c>
      <c r="L1376" s="112"/>
      <c r="M1376" s="112"/>
      <c r="N1376" s="112" t="e">
        <f aca="false">SUM(C1376:M1376)</f>
        <v>#NAME?</v>
      </c>
    </row>
    <row r="1377" customFormat="false" ht="15" hidden="false" customHeight="false" outlineLevel="0" collapsed="false">
      <c r="A1377" s="388" t="s">
        <v>2333</v>
      </c>
      <c r="B1377" s="128" t="s">
        <v>2334</v>
      </c>
      <c r="C1377" s="387"/>
      <c r="D1377" s="387"/>
      <c r="E1377" s="126" t="e">
        <f aca="false">общ.калькуляция!h1376</f>
        <v>#NAME?</v>
      </c>
      <c r="F1377" s="126"/>
      <c r="G1377" s="126"/>
      <c r="H1377" s="126" t="e">
        <f aca="false">общ.калькуляция!j1376</f>
        <v>#NAME?</v>
      </c>
      <c r="I1377" s="126"/>
      <c r="J1377" s="126"/>
      <c r="K1377" s="126" t="e">
        <f aca="false">общ.калькуляция!m1376</f>
        <v>#NAME?</v>
      </c>
      <c r="L1377" s="126"/>
      <c r="M1377" s="126"/>
      <c r="N1377" s="126" t="e">
        <f aca="false">SUM(C1377:M1377)</f>
        <v>#NAME?</v>
      </c>
    </row>
    <row r="1378" customFormat="false" ht="15" hidden="false" customHeight="false" outlineLevel="0" collapsed="false">
      <c r="A1378" s="327" t="s">
        <v>2335</v>
      </c>
      <c r="B1378" s="40" t="s">
        <v>3898</v>
      </c>
      <c r="C1378" s="316"/>
      <c r="D1378" s="316"/>
      <c r="E1378" s="112" t="e">
        <f aca="false">общ.калькуляция!h1377</f>
        <v>#NAME?</v>
      </c>
      <c r="F1378" s="112"/>
      <c r="G1378" s="112"/>
      <c r="H1378" s="112" t="e">
        <f aca="false">общ.калькуляция!j1377</f>
        <v>#NAME?</v>
      </c>
      <c r="I1378" s="112"/>
      <c r="J1378" s="112"/>
      <c r="K1378" s="112" t="e">
        <f aca="false">общ.калькуляция!m1377</f>
        <v>#NAME?</v>
      </c>
      <c r="L1378" s="112"/>
      <c r="M1378" s="112"/>
      <c r="N1378" s="112" t="e">
        <f aca="false">SUM(C1378:M1378)</f>
        <v>#NAME?</v>
      </c>
    </row>
    <row r="1379" customFormat="false" ht="30" hidden="false" customHeight="false" outlineLevel="0" collapsed="false">
      <c r="A1379" s="327" t="s">
        <v>2337</v>
      </c>
      <c r="B1379" s="47" t="s">
        <v>3899</v>
      </c>
      <c r="C1379" s="316"/>
      <c r="D1379" s="316"/>
      <c r="E1379" s="112" t="e">
        <f aca="false">общ.калькуляция!h1378</f>
        <v>#NAME?</v>
      </c>
      <c r="F1379" s="112"/>
      <c r="G1379" s="112"/>
      <c r="H1379" s="112" t="e">
        <f aca="false">общ.калькуляция!j1378</f>
        <v>#NAME?</v>
      </c>
      <c r="I1379" s="112"/>
      <c r="J1379" s="112"/>
      <c r="K1379" s="112" t="e">
        <f aca="false">общ.калькуляция!m1378</f>
        <v>#NAME?</v>
      </c>
      <c r="L1379" s="112"/>
      <c r="M1379" s="112"/>
      <c r="N1379" s="112" t="e">
        <f aca="false">SUM(C1379:M1379)</f>
        <v>#NAME?</v>
      </c>
    </row>
    <row r="1380" customFormat="false" ht="30" hidden="false" customHeight="false" outlineLevel="0" collapsed="false">
      <c r="A1380" s="327" t="s">
        <v>2339</v>
      </c>
      <c r="B1380" s="47" t="s">
        <v>3900</v>
      </c>
      <c r="C1380" s="316"/>
      <c r="D1380" s="316"/>
      <c r="E1380" s="112" t="e">
        <f aca="false">общ.калькуляция!h1379</f>
        <v>#NAME?</v>
      </c>
      <c r="F1380" s="112"/>
      <c r="G1380" s="112"/>
      <c r="H1380" s="112" t="e">
        <f aca="false">общ.калькуляция!j1379</f>
        <v>#NAME?</v>
      </c>
      <c r="I1380" s="112"/>
      <c r="J1380" s="112"/>
      <c r="K1380" s="112" t="e">
        <f aca="false">общ.калькуляция!m1379</f>
        <v>#NAME?</v>
      </c>
      <c r="L1380" s="112"/>
      <c r="M1380" s="112"/>
      <c r="N1380" s="112" t="e">
        <f aca="false">SUM(C1380:M1380)</f>
        <v>#NAME?</v>
      </c>
    </row>
    <row r="1381" customFormat="false" ht="15" hidden="false" customHeight="false" outlineLevel="0" collapsed="false">
      <c r="A1381" s="327" t="s">
        <v>2341</v>
      </c>
      <c r="B1381" s="40" t="s">
        <v>3901</v>
      </c>
      <c r="C1381" s="316"/>
      <c r="D1381" s="316"/>
      <c r="E1381" s="112" t="e">
        <f aca="false">общ.калькуляция!h1380</f>
        <v>#NAME?</v>
      </c>
      <c r="F1381" s="112"/>
      <c r="G1381" s="112"/>
      <c r="H1381" s="112" t="e">
        <f aca="false">общ.калькуляция!j1380</f>
        <v>#NAME?</v>
      </c>
      <c r="I1381" s="112"/>
      <c r="J1381" s="112"/>
      <c r="K1381" s="112" t="e">
        <f aca="false">общ.калькуляция!m1380</f>
        <v>#NAME?</v>
      </c>
      <c r="L1381" s="112"/>
      <c r="M1381" s="112"/>
      <c r="N1381" s="112" t="e">
        <f aca="false">SUM(C1381:M1381)</f>
        <v>#NAME?</v>
      </c>
    </row>
    <row r="1382" customFormat="false" ht="15" hidden="false" customHeight="false" outlineLevel="0" collapsed="false">
      <c r="A1382" s="388" t="s">
        <v>2343</v>
      </c>
      <c r="B1382" s="128" t="s">
        <v>2344</v>
      </c>
      <c r="C1382" s="387"/>
      <c r="D1382" s="387"/>
      <c r="E1382" s="126" t="e">
        <f aca="false">общ.калькуляция!h1381</f>
        <v>#NAME?</v>
      </c>
      <c r="F1382" s="126"/>
      <c r="G1382" s="126"/>
      <c r="H1382" s="126" t="e">
        <f aca="false">общ.калькуляция!j1381</f>
        <v>#NAME?</v>
      </c>
      <c r="I1382" s="126"/>
      <c r="J1382" s="126"/>
      <c r="K1382" s="126" t="e">
        <f aca="false">общ.калькуляция!m1381</f>
        <v>#NAME?</v>
      </c>
      <c r="L1382" s="126"/>
      <c r="M1382" s="126"/>
      <c r="N1382" s="126" t="e">
        <f aca="false">SUM(C1382:M1382)</f>
        <v>#NAME?</v>
      </c>
    </row>
    <row r="1383" customFormat="false" ht="15" hidden="false" customHeight="false" outlineLevel="0" collapsed="false">
      <c r="A1383" s="327" t="s">
        <v>2345</v>
      </c>
      <c r="B1383" s="40" t="s">
        <v>3902</v>
      </c>
      <c r="C1383" s="316"/>
      <c r="D1383" s="316"/>
      <c r="E1383" s="112" t="e">
        <f aca="false">общ.калькуляция!h1382</f>
        <v>#NAME?</v>
      </c>
      <c r="F1383" s="112"/>
      <c r="G1383" s="112"/>
      <c r="H1383" s="112" t="e">
        <f aca="false">общ.калькуляция!j1382</f>
        <v>#NAME?</v>
      </c>
      <c r="I1383" s="112"/>
      <c r="J1383" s="112"/>
      <c r="K1383" s="112" t="e">
        <f aca="false">общ.калькуляция!m1382</f>
        <v>#NAME?</v>
      </c>
      <c r="L1383" s="112"/>
      <c r="M1383" s="112"/>
      <c r="N1383" s="112" t="e">
        <f aca="false">SUM(C1383:M1383)</f>
        <v>#NAME?</v>
      </c>
    </row>
    <row r="1384" customFormat="false" ht="30" hidden="false" customHeight="false" outlineLevel="0" collapsed="false">
      <c r="A1384" s="327" t="s">
        <v>2347</v>
      </c>
      <c r="B1384" s="40" t="s">
        <v>3903</v>
      </c>
      <c r="C1384" s="316"/>
      <c r="D1384" s="316"/>
      <c r="E1384" s="112" t="e">
        <f aca="false">общ.калькуляция!h1383</f>
        <v>#NAME?</v>
      </c>
      <c r="F1384" s="112"/>
      <c r="G1384" s="112"/>
      <c r="H1384" s="112" t="e">
        <f aca="false">общ.калькуляция!j1383</f>
        <v>#NAME?</v>
      </c>
      <c r="I1384" s="112"/>
      <c r="J1384" s="112"/>
      <c r="K1384" s="112" t="e">
        <f aca="false">общ.калькуляция!m1383</f>
        <v>#NAME?</v>
      </c>
      <c r="L1384" s="112"/>
      <c r="M1384" s="112"/>
      <c r="N1384" s="112" t="e">
        <f aca="false">SUM(C1384:M1384)</f>
        <v>#NAME?</v>
      </c>
    </row>
    <row r="1385" customFormat="false" ht="30" hidden="false" customHeight="false" outlineLevel="0" collapsed="false">
      <c r="A1385" s="327" t="s">
        <v>2349</v>
      </c>
      <c r="B1385" s="40" t="s">
        <v>3904</v>
      </c>
      <c r="C1385" s="316"/>
      <c r="D1385" s="316"/>
      <c r="E1385" s="112" t="e">
        <f aca="false">общ.калькуляция!h1384</f>
        <v>#NAME?</v>
      </c>
      <c r="F1385" s="112"/>
      <c r="G1385" s="112"/>
      <c r="H1385" s="112" t="e">
        <f aca="false">общ.калькуляция!j1384</f>
        <v>#NAME?</v>
      </c>
      <c r="I1385" s="112"/>
      <c r="J1385" s="112"/>
      <c r="K1385" s="112" t="e">
        <f aca="false">общ.калькуляция!m1384</f>
        <v>#NAME?</v>
      </c>
      <c r="L1385" s="112"/>
      <c r="M1385" s="112"/>
      <c r="N1385" s="112" t="e">
        <f aca="false">SUM(C1385:M1385)</f>
        <v>#NAME?</v>
      </c>
    </row>
    <row r="1386" customFormat="false" ht="15" hidden="false" customHeight="false" outlineLevel="0" collapsed="false">
      <c r="A1386" s="327" t="s">
        <v>2351</v>
      </c>
      <c r="B1386" s="40" t="s">
        <v>3905</v>
      </c>
      <c r="C1386" s="316"/>
      <c r="D1386" s="316"/>
      <c r="E1386" s="112" t="e">
        <f aca="false">общ.калькуляция!h1385</f>
        <v>#NAME?</v>
      </c>
      <c r="F1386" s="112"/>
      <c r="G1386" s="112"/>
      <c r="H1386" s="112" t="e">
        <f aca="false">общ.калькуляция!j1385</f>
        <v>#NAME?</v>
      </c>
      <c r="I1386" s="112"/>
      <c r="J1386" s="112"/>
      <c r="K1386" s="112" t="e">
        <f aca="false">общ.калькуляция!m1385</f>
        <v>#NAME?</v>
      </c>
      <c r="L1386" s="112"/>
      <c r="M1386" s="112"/>
      <c r="N1386" s="112" t="e">
        <f aca="false">SUM(C1386:M1386)</f>
        <v>#NAME?</v>
      </c>
    </row>
    <row r="1387" customFormat="false" ht="15" hidden="false" customHeight="false" outlineLevel="0" collapsed="false">
      <c r="A1387" s="389" t="s">
        <v>2353</v>
      </c>
      <c r="B1387" s="131" t="s">
        <v>2354</v>
      </c>
      <c r="C1387" s="387"/>
      <c r="D1387" s="387"/>
      <c r="E1387" s="126" t="e">
        <f aca="false">общ.калькуляция!h1386</f>
        <v>#NAME?</v>
      </c>
      <c r="F1387" s="126"/>
      <c r="G1387" s="126"/>
      <c r="H1387" s="126" t="e">
        <f aca="false">общ.калькуляция!j1386</f>
        <v>#NAME?</v>
      </c>
      <c r="I1387" s="126"/>
      <c r="J1387" s="126"/>
      <c r="K1387" s="126" t="e">
        <f aca="false">общ.калькуляция!m1386</f>
        <v>#NAME?</v>
      </c>
      <c r="L1387" s="126"/>
      <c r="M1387" s="126"/>
      <c r="N1387" s="126" t="e">
        <f aca="false">SUM(C1387:M1387)</f>
        <v>#NAME?</v>
      </c>
    </row>
    <row r="1388" customFormat="false" ht="30" hidden="false" customHeight="false" outlineLevel="0" collapsed="false">
      <c r="A1388" s="327" t="s">
        <v>2355</v>
      </c>
      <c r="B1388" s="40" t="s">
        <v>3906</v>
      </c>
      <c r="C1388" s="316"/>
      <c r="D1388" s="316"/>
      <c r="E1388" s="112" t="e">
        <f aca="false">общ.калькуляция!h1387</f>
        <v>#NAME?</v>
      </c>
      <c r="F1388" s="112"/>
      <c r="G1388" s="112"/>
      <c r="H1388" s="112" t="e">
        <f aca="false">общ.калькуляция!j1387</f>
        <v>#NAME?</v>
      </c>
      <c r="I1388" s="112"/>
      <c r="J1388" s="112"/>
      <c r="K1388" s="112" t="e">
        <f aca="false">общ.калькуляция!m1387</f>
        <v>#NAME?</v>
      </c>
      <c r="L1388" s="112"/>
      <c r="M1388" s="112"/>
      <c r="N1388" s="112" t="e">
        <f aca="false">SUM(C1388:M1388)</f>
        <v>#NAME?</v>
      </c>
    </row>
    <row r="1389" customFormat="false" ht="30" hidden="false" customHeight="false" outlineLevel="0" collapsed="false">
      <c r="A1389" s="327" t="s">
        <v>2357</v>
      </c>
      <c r="B1389" s="40" t="s">
        <v>3907</v>
      </c>
      <c r="C1389" s="316"/>
      <c r="D1389" s="316"/>
      <c r="E1389" s="112" t="e">
        <f aca="false">общ.калькуляция!h1388</f>
        <v>#NAME?</v>
      </c>
      <c r="F1389" s="112"/>
      <c r="G1389" s="112"/>
      <c r="H1389" s="112" t="e">
        <f aca="false">общ.калькуляция!j1388</f>
        <v>#NAME?</v>
      </c>
      <c r="I1389" s="112"/>
      <c r="J1389" s="112"/>
      <c r="K1389" s="112" t="e">
        <f aca="false">общ.калькуляция!m1388</f>
        <v>#NAME?</v>
      </c>
      <c r="L1389" s="112"/>
      <c r="M1389" s="112"/>
      <c r="N1389" s="112" t="e">
        <f aca="false">SUM(C1389:M1389)</f>
        <v>#NAME?</v>
      </c>
    </row>
    <row r="1390" customFormat="false" ht="15" hidden="false" customHeight="false" outlineLevel="0" collapsed="false">
      <c r="A1390" s="327" t="s">
        <v>2359</v>
      </c>
      <c r="B1390" s="40" t="s">
        <v>3908</v>
      </c>
      <c r="C1390" s="316"/>
      <c r="D1390" s="316"/>
      <c r="E1390" s="112" t="e">
        <f aca="false">общ.калькуляция!h1389</f>
        <v>#NAME?</v>
      </c>
      <c r="F1390" s="112"/>
      <c r="G1390" s="112"/>
      <c r="H1390" s="112" t="e">
        <f aca="false">общ.калькуляция!j1389</f>
        <v>#NAME?</v>
      </c>
      <c r="I1390" s="112"/>
      <c r="J1390" s="112"/>
      <c r="K1390" s="112" t="e">
        <f aca="false">общ.калькуляция!m1389</f>
        <v>#NAME?</v>
      </c>
      <c r="L1390" s="112"/>
      <c r="M1390" s="112"/>
      <c r="N1390" s="112" t="e">
        <f aca="false">SUM(C1390:M1390)</f>
        <v>#NAME?</v>
      </c>
    </row>
    <row r="1391" customFormat="false" ht="30" hidden="false" customHeight="false" outlineLevel="0" collapsed="false">
      <c r="A1391" s="327" t="s">
        <v>2361</v>
      </c>
      <c r="B1391" s="40" t="s">
        <v>3909</v>
      </c>
      <c r="C1391" s="316"/>
      <c r="D1391" s="316"/>
      <c r="E1391" s="112" t="e">
        <f aca="false">общ.калькуляция!h1390</f>
        <v>#NAME?</v>
      </c>
      <c r="F1391" s="112"/>
      <c r="G1391" s="112"/>
      <c r="H1391" s="112" t="e">
        <f aca="false">общ.калькуляция!j1390</f>
        <v>#NAME?</v>
      </c>
      <c r="I1391" s="112"/>
      <c r="J1391" s="112"/>
      <c r="K1391" s="112" t="e">
        <f aca="false">общ.калькуляция!m1390</f>
        <v>#NAME?</v>
      </c>
      <c r="L1391" s="112"/>
      <c r="M1391" s="112"/>
      <c r="N1391" s="112" t="e">
        <f aca="false">SUM(C1391:M1391)</f>
        <v>#NAME?</v>
      </c>
    </row>
    <row r="1392" customFormat="false" ht="15" hidden="false" customHeight="false" outlineLevel="0" collapsed="false">
      <c r="A1392" s="389" t="s">
        <v>2363</v>
      </c>
      <c r="B1392" s="130" t="s">
        <v>3910</v>
      </c>
      <c r="C1392" s="387"/>
      <c r="D1392" s="387"/>
      <c r="E1392" s="126" t="e">
        <f aca="false">общ.калькуляция!h1391</f>
        <v>#NAME?</v>
      </c>
      <c r="F1392" s="126"/>
      <c r="G1392" s="126"/>
      <c r="H1392" s="126" t="e">
        <f aca="false">общ.калькуляция!j1391</f>
        <v>#NAME?</v>
      </c>
      <c r="I1392" s="126"/>
      <c r="J1392" s="126"/>
      <c r="K1392" s="126" t="e">
        <f aca="false">общ.калькуляция!m1391</f>
        <v>#NAME?</v>
      </c>
      <c r="L1392" s="126"/>
      <c r="M1392" s="126"/>
      <c r="N1392" s="126" t="e">
        <f aca="false">SUM(C1392:M1392)</f>
        <v>#NAME?</v>
      </c>
    </row>
    <row r="1393" customFormat="false" ht="30" hidden="false" customHeight="false" outlineLevel="0" collapsed="false">
      <c r="A1393" s="327" t="s">
        <v>2365</v>
      </c>
      <c r="B1393" s="40" t="s">
        <v>3911</v>
      </c>
      <c r="C1393" s="316"/>
      <c r="D1393" s="316"/>
      <c r="E1393" s="112" t="e">
        <f aca="false">общ.калькуляция!h1392</f>
        <v>#NAME?</v>
      </c>
      <c r="F1393" s="112"/>
      <c r="G1393" s="112"/>
      <c r="H1393" s="112" t="e">
        <f aca="false">общ.калькуляция!j1392</f>
        <v>#NAME?</v>
      </c>
      <c r="I1393" s="112"/>
      <c r="J1393" s="112"/>
      <c r="K1393" s="112" t="e">
        <f aca="false">общ.калькуляция!m1392</f>
        <v>#NAME?</v>
      </c>
      <c r="L1393" s="112"/>
      <c r="M1393" s="112"/>
      <c r="N1393" s="112" t="e">
        <f aca="false">SUM(C1393:M1393)</f>
        <v>#NAME?</v>
      </c>
    </row>
    <row r="1394" customFormat="false" ht="15" hidden="false" customHeight="false" outlineLevel="0" collapsed="false">
      <c r="A1394" s="327" t="s">
        <v>2367</v>
      </c>
      <c r="B1394" s="40" t="s">
        <v>3912</v>
      </c>
      <c r="C1394" s="316"/>
      <c r="D1394" s="316"/>
      <c r="E1394" s="112" t="e">
        <f aca="false">общ.калькуляция!h1393</f>
        <v>#NAME?</v>
      </c>
      <c r="F1394" s="112"/>
      <c r="G1394" s="112"/>
      <c r="H1394" s="112" t="e">
        <f aca="false">общ.калькуляция!j1393</f>
        <v>#NAME?</v>
      </c>
      <c r="I1394" s="112"/>
      <c r="J1394" s="112"/>
      <c r="K1394" s="112" t="e">
        <f aca="false">общ.калькуляция!m1393</f>
        <v>#NAME?</v>
      </c>
      <c r="L1394" s="112"/>
      <c r="M1394" s="112"/>
      <c r="N1394" s="112" t="e">
        <f aca="false">SUM(C1394:M1394)</f>
        <v>#NAME?</v>
      </c>
    </row>
    <row r="1395" customFormat="false" ht="30" hidden="false" customHeight="false" outlineLevel="0" collapsed="false">
      <c r="A1395" s="327" t="s">
        <v>2369</v>
      </c>
      <c r="B1395" s="40" t="s">
        <v>3913</v>
      </c>
      <c r="C1395" s="316"/>
      <c r="D1395" s="316"/>
      <c r="E1395" s="112" t="e">
        <f aca="false">общ.калькуляция!h1394</f>
        <v>#NAME?</v>
      </c>
      <c r="F1395" s="112"/>
      <c r="G1395" s="112"/>
      <c r="H1395" s="112" t="e">
        <f aca="false">общ.калькуляция!j1394</f>
        <v>#NAME?</v>
      </c>
      <c r="I1395" s="112"/>
      <c r="J1395" s="112"/>
      <c r="K1395" s="112" t="e">
        <f aca="false">общ.калькуляция!m1394</f>
        <v>#NAME?</v>
      </c>
      <c r="L1395" s="112"/>
      <c r="M1395" s="112"/>
      <c r="N1395" s="112" t="e">
        <f aca="false">SUM(C1395:M1395)</f>
        <v>#NAME?</v>
      </c>
    </row>
    <row r="1396" customFormat="false" ht="15" hidden="false" customHeight="false" outlineLevel="0" collapsed="false">
      <c r="A1396" s="388" t="s">
        <v>2371</v>
      </c>
      <c r="B1396" s="128" t="s">
        <v>3914</v>
      </c>
      <c r="C1396" s="387"/>
      <c r="D1396" s="387"/>
      <c r="E1396" s="126" t="e">
        <f aca="false">общ.калькуляция!h1395</f>
        <v>#NAME?</v>
      </c>
      <c r="F1396" s="126"/>
      <c r="G1396" s="126"/>
      <c r="H1396" s="126" t="e">
        <f aca="false">общ.калькуляция!j1395</f>
        <v>#NAME?</v>
      </c>
      <c r="I1396" s="126"/>
      <c r="J1396" s="126"/>
      <c r="K1396" s="126" t="e">
        <f aca="false">общ.калькуляция!m1395</f>
        <v>#NAME?</v>
      </c>
      <c r="L1396" s="126"/>
      <c r="M1396" s="126"/>
      <c r="N1396" s="126" t="e">
        <f aca="false">SUM(C1396:M1396)</f>
        <v>#NAME?</v>
      </c>
    </row>
    <row r="1397" customFormat="false" ht="30" hidden="false" customHeight="false" outlineLevel="0" collapsed="false">
      <c r="A1397" s="327" t="s">
        <v>2373</v>
      </c>
      <c r="B1397" s="40" t="s">
        <v>3915</v>
      </c>
      <c r="C1397" s="316"/>
      <c r="D1397" s="316"/>
      <c r="E1397" s="112" t="e">
        <f aca="false">общ.калькуляция!h1396</f>
        <v>#NAME?</v>
      </c>
      <c r="F1397" s="112"/>
      <c r="G1397" s="112"/>
      <c r="H1397" s="112" t="e">
        <f aca="false">общ.калькуляция!j1396</f>
        <v>#NAME?</v>
      </c>
      <c r="I1397" s="112"/>
      <c r="J1397" s="112"/>
      <c r="K1397" s="112" t="e">
        <f aca="false">общ.калькуляция!m1396</f>
        <v>#NAME?</v>
      </c>
      <c r="L1397" s="112"/>
      <c r="M1397" s="112"/>
      <c r="N1397" s="112" t="e">
        <f aca="false">SUM(C1397:M1397)</f>
        <v>#NAME?</v>
      </c>
    </row>
    <row r="1398" customFormat="false" ht="15" hidden="false" customHeight="false" outlineLevel="0" collapsed="false">
      <c r="A1398" s="327" t="s">
        <v>2375</v>
      </c>
      <c r="B1398" s="40" t="s">
        <v>3916</v>
      </c>
      <c r="C1398" s="316"/>
      <c r="D1398" s="316"/>
      <c r="E1398" s="112" t="e">
        <f aca="false">общ.калькуляция!h1397</f>
        <v>#NAME?</v>
      </c>
      <c r="F1398" s="112"/>
      <c r="G1398" s="112"/>
      <c r="H1398" s="112" t="e">
        <f aca="false">общ.калькуляция!j1397</f>
        <v>#NAME?</v>
      </c>
      <c r="I1398" s="112"/>
      <c r="J1398" s="112"/>
      <c r="K1398" s="112" t="e">
        <f aca="false">общ.калькуляция!m1397</f>
        <v>#NAME?</v>
      </c>
      <c r="L1398" s="112"/>
      <c r="M1398" s="112"/>
      <c r="N1398" s="112" t="e">
        <f aca="false">SUM(C1398:M1398)</f>
        <v>#NAME?</v>
      </c>
    </row>
    <row r="1399" customFormat="false" ht="30" hidden="false" customHeight="false" outlineLevel="0" collapsed="false">
      <c r="A1399" s="327" t="s">
        <v>2377</v>
      </c>
      <c r="B1399" s="40" t="s">
        <v>3917</v>
      </c>
      <c r="C1399" s="316"/>
      <c r="D1399" s="316"/>
      <c r="E1399" s="112" t="e">
        <f aca="false">общ.калькуляция!h1398</f>
        <v>#NAME?</v>
      </c>
      <c r="F1399" s="112"/>
      <c r="G1399" s="112"/>
      <c r="H1399" s="112" t="e">
        <f aca="false">общ.калькуляция!j1398</f>
        <v>#NAME?</v>
      </c>
      <c r="I1399" s="112"/>
      <c r="J1399" s="112"/>
      <c r="K1399" s="112" t="e">
        <f aca="false">общ.калькуляция!m1398</f>
        <v>#NAME?</v>
      </c>
      <c r="L1399" s="112"/>
      <c r="M1399" s="112"/>
      <c r="N1399" s="112" t="e">
        <f aca="false">SUM(C1399:M1399)</f>
        <v>#NAME?</v>
      </c>
    </row>
    <row r="1400" customFormat="false" ht="15" hidden="false" customHeight="false" outlineLevel="0" collapsed="false">
      <c r="A1400" s="388" t="s">
        <v>2379</v>
      </c>
      <c r="B1400" s="128" t="s">
        <v>3918</v>
      </c>
      <c r="C1400" s="387"/>
      <c r="D1400" s="387"/>
      <c r="E1400" s="126" t="e">
        <f aca="false">общ.калькуляция!h1399</f>
        <v>#NAME?</v>
      </c>
      <c r="F1400" s="126"/>
      <c r="G1400" s="126"/>
      <c r="H1400" s="126" t="e">
        <f aca="false">общ.калькуляция!j1399</f>
        <v>#NAME?</v>
      </c>
      <c r="I1400" s="126"/>
      <c r="J1400" s="126"/>
      <c r="K1400" s="126" t="e">
        <f aca="false">общ.калькуляция!m1399</f>
        <v>#NAME?</v>
      </c>
      <c r="L1400" s="126"/>
      <c r="M1400" s="126"/>
      <c r="N1400" s="126" t="e">
        <f aca="false">SUM(C1400:M1400)</f>
        <v>#NAME?</v>
      </c>
    </row>
    <row r="1401" customFormat="false" ht="30" hidden="false" customHeight="false" outlineLevel="0" collapsed="false">
      <c r="A1401" s="327" t="s">
        <v>2381</v>
      </c>
      <c r="B1401" s="40" t="s">
        <v>3919</v>
      </c>
      <c r="C1401" s="316"/>
      <c r="D1401" s="316"/>
      <c r="E1401" s="112" t="e">
        <f aca="false">общ.калькуляция!h1400</f>
        <v>#NAME?</v>
      </c>
      <c r="F1401" s="112"/>
      <c r="G1401" s="112"/>
      <c r="H1401" s="112" t="e">
        <f aca="false">общ.калькуляция!j1400</f>
        <v>#NAME?</v>
      </c>
      <c r="I1401" s="112"/>
      <c r="J1401" s="112"/>
      <c r="K1401" s="112" t="e">
        <f aca="false">общ.калькуляция!m1400</f>
        <v>#NAME?</v>
      </c>
      <c r="L1401" s="112"/>
      <c r="M1401" s="112"/>
      <c r="N1401" s="112" t="e">
        <f aca="false">SUM(C1401:M1401)</f>
        <v>#NAME?</v>
      </c>
    </row>
    <row r="1402" customFormat="false" ht="15" hidden="false" customHeight="false" outlineLevel="0" collapsed="false">
      <c r="A1402" s="327" t="s">
        <v>2383</v>
      </c>
      <c r="B1402" s="40" t="s">
        <v>3920</v>
      </c>
      <c r="C1402" s="316"/>
      <c r="D1402" s="316"/>
      <c r="E1402" s="112" t="e">
        <f aca="false">общ.калькуляция!h1401</f>
        <v>#NAME?</v>
      </c>
      <c r="F1402" s="112"/>
      <c r="G1402" s="112"/>
      <c r="H1402" s="112" t="e">
        <f aca="false">общ.калькуляция!j1401</f>
        <v>#NAME?</v>
      </c>
      <c r="I1402" s="112"/>
      <c r="J1402" s="112"/>
      <c r="K1402" s="112" t="e">
        <f aca="false">общ.калькуляция!m1401</f>
        <v>#NAME?</v>
      </c>
      <c r="L1402" s="112"/>
      <c r="M1402" s="112"/>
      <c r="N1402" s="112" t="e">
        <f aca="false">SUM(C1402:M1402)</f>
        <v>#NAME?</v>
      </c>
    </row>
    <row r="1403" customFormat="false" ht="30" hidden="false" customHeight="false" outlineLevel="0" collapsed="false">
      <c r="A1403" s="327" t="s">
        <v>2385</v>
      </c>
      <c r="B1403" s="40" t="s">
        <v>3921</v>
      </c>
      <c r="C1403" s="316"/>
      <c r="D1403" s="316"/>
      <c r="E1403" s="112" t="e">
        <f aca="false">общ.калькуляция!h1402</f>
        <v>#NAME?</v>
      </c>
      <c r="F1403" s="112"/>
      <c r="G1403" s="112"/>
      <c r="H1403" s="112" t="e">
        <f aca="false">общ.калькуляция!j1402</f>
        <v>#NAME?</v>
      </c>
      <c r="I1403" s="112"/>
      <c r="J1403" s="112"/>
      <c r="K1403" s="112" t="e">
        <f aca="false">общ.калькуляция!m1402</f>
        <v>#NAME?</v>
      </c>
      <c r="L1403" s="112"/>
      <c r="M1403" s="112"/>
      <c r="N1403" s="112" t="e">
        <f aca="false">SUM(C1403:M1403)</f>
        <v>#NAME?</v>
      </c>
    </row>
    <row r="1404" customFormat="false" ht="15" hidden="false" customHeight="false" outlineLevel="0" collapsed="false">
      <c r="A1404" s="388" t="s">
        <v>2387</v>
      </c>
      <c r="B1404" s="128" t="s">
        <v>3922</v>
      </c>
      <c r="C1404" s="387"/>
      <c r="D1404" s="387"/>
      <c r="E1404" s="126" t="e">
        <f aca="false">общ.калькуляция!h1403</f>
        <v>#NAME?</v>
      </c>
      <c r="F1404" s="126"/>
      <c r="G1404" s="126"/>
      <c r="H1404" s="126" t="e">
        <f aca="false">общ.калькуляция!j1403</f>
        <v>#NAME?</v>
      </c>
      <c r="I1404" s="126"/>
      <c r="J1404" s="126"/>
      <c r="K1404" s="126" t="e">
        <f aca="false">общ.калькуляция!m1403</f>
        <v>#NAME?</v>
      </c>
      <c r="L1404" s="126"/>
      <c r="M1404" s="126"/>
      <c r="N1404" s="126" t="e">
        <f aca="false">SUM(C1404:M1404)</f>
        <v>#NAME?</v>
      </c>
    </row>
    <row r="1405" customFormat="false" ht="30" hidden="false" customHeight="false" outlineLevel="0" collapsed="false">
      <c r="A1405" s="327" t="s">
        <v>2389</v>
      </c>
      <c r="B1405" s="40" t="s">
        <v>3923</v>
      </c>
      <c r="C1405" s="316"/>
      <c r="D1405" s="316"/>
      <c r="E1405" s="112" t="e">
        <f aca="false">общ.калькуляция!h1404</f>
        <v>#NAME?</v>
      </c>
      <c r="F1405" s="112"/>
      <c r="G1405" s="112"/>
      <c r="H1405" s="112" t="e">
        <f aca="false">общ.калькуляция!j1404</f>
        <v>#NAME?</v>
      </c>
      <c r="I1405" s="112"/>
      <c r="J1405" s="112"/>
      <c r="K1405" s="112" t="e">
        <f aca="false">общ.калькуляция!m1404</f>
        <v>#NAME?</v>
      </c>
      <c r="L1405" s="112"/>
      <c r="M1405" s="112"/>
      <c r="N1405" s="112" t="e">
        <f aca="false">SUM(C1405:M1405)</f>
        <v>#NAME?</v>
      </c>
    </row>
    <row r="1406" customFormat="false" ht="30" hidden="false" customHeight="false" outlineLevel="0" collapsed="false">
      <c r="A1406" s="327" t="s">
        <v>2391</v>
      </c>
      <c r="B1406" s="40" t="s">
        <v>3924</v>
      </c>
      <c r="C1406" s="316"/>
      <c r="D1406" s="316"/>
      <c r="E1406" s="112" t="e">
        <f aca="false">общ.калькуляция!h1405</f>
        <v>#NAME?</v>
      </c>
      <c r="F1406" s="112"/>
      <c r="G1406" s="112"/>
      <c r="H1406" s="112" t="e">
        <f aca="false">общ.калькуляция!j1405</f>
        <v>#NAME?</v>
      </c>
      <c r="I1406" s="112"/>
      <c r="J1406" s="112"/>
      <c r="K1406" s="112" t="e">
        <f aca="false">общ.калькуляция!m1405</f>
        <v>#NAME?</v>
      </c>
      <c r="L1406" s="112"/>
      <c r="M1406" s="112"/>
      <c r="N1406" s="112" t="e">
        <f aca="false">SUM(C1406:M1406)</f>
        <v>#NAME?</v>
      </c>
    </row>
    <row r="1407" customFormat="false" ht="15" hidden="false" customHeight="false" outlineLevel="0" collapsed="false">
      <c r="A1407" s="388" t="s">
        <v>2393</v>
      </c>
      <c r="B1407" s="128" t="s">
        <v>2394</v>
      </c>
      <c r="C1407" s="387"/>
      <c r="D1407" s="387"/>
      <c r="E1407" s="126" t="e">
        <f aca="false">общ.калькуляция!h1406</f>
        <v>#NAME?</v>
      </c>
      <c r="F1407" s="126"/>
      <c r="G1407" s="126"/>
      <c r="H1407" s="126" t="e">
        <f aca="false">общ.калькуляция!j1406</f>
        <v>#NAME?</v>
      </c>
      <c r="I1407" s="126"/>
      <c r="J1407" s="126"/>
      <c r="K1407" s="126" t="e">
        <f aca="false">общ.калькуляция!m1406</f>
        <v>#NAME?</v>
      </c>
      <c r="L1407" s="126"/>
      <c r="M1407" s="126"/>
      <c r="N1407" s="126" t="e">
        <f aca="false">SUM(C1407:M1407)</f>
        <v>#NAME?</v>
      </c>
    </row>
    <row r="1408" customFormat="false" ht="30" hidden="false" customHeight="false" outlineLevel="0" collapsed="false">
      <c r="A1408" s="327" t="s">
        <v>2395</v>
      </c>
      <c r="B1408" s="40" t="s">
        <v>3925</v>
      </c>
      <c r="C1408" s="316"/>
      <c r="D1408" s="316"/>
      <c r="E1408" s="112" t="e">
        <f aca="false">общ.калькуляция!h1407</f>
        <v>#NAME?</v>
      </c>
      <c r="F1408" s="112"/>
      <c r="G1408" s="112"/>
      <c r="H1408" s="112" t="e">
        <f aca="false">общ.калькуляция!j1407</f>
        <v>#NAME?</v>
      </c>
      <c r="I1408" s="112"/>
      <c r="J1408" s="112"/>
      <c r="K1408" s="112" t="e">
        <f aca="false">общ.калькуляция!m1407</f>
        <v>#NAME?</v>
      </c>
      <c r="L1408" s="112"/>
      <c r="M1408" s="112"/>
      <c r="N1408" s="112" t="e">
        <f aca="false">SUM(C1408:M1408)</f>
        <v>#NAME?</v>
      </c>
    </row>
    <row r="1409" customFormat="false" ht="15" hidden="false" customHeight="false" outlineLevel="0" collapsed="false">
      <c r="A1409" s="327" t="s">
        <v>2397</v>
      </c>
      <c r="B1409" s="40" t="s">
        <v>3926</v>
      </c>
      <c r="C1409" s="316"/>
      <c r="D1409" s="316"/>
      <c r="E1409" s="112" t="e">
        <f aca="false">общ.калькуляция!h1408</f>
        <v>#NAME?</v>
      </c>
      <c r="F1409" s="112"/>
      <c r="G1409" s="112"/>
      <c r="H1409" s="112" t="e">
        <f aca="false">общ.калькуляция!j1408</f>
        <v>#NAME?</v>
      </c>
      <c r="I1409" s="112"/>
      <c r="J1409" s="112"/>
      <c r="K1409" s="112" t="e">
        <f aca="false">общ.калькуляция!m1408</f>
        <v>#NAME?</v>
      </c>
      <c r="L1409" s="112"/>
      <c r="M1409" s="112"/>
      <c r="N1409" s="112" t="e">
        <f aca="false">SUM(C1409:M1409)</f>
        <v>#NAME?</v>
      </c>
    </row>
    <row r="1410" customFormat="false" ht="15" hidden="false" customHeight="false" outlineLevel="0" collapsed="false">
      <c r="A1410" s="388" t="s">
        <v>2399</v>
      </c>
      <c r="B1410" s="132" t="s">
        <v>3927</v>
      </c>
      <c r="C1410" s="387"/>
      <c r="D1410" s="387"/>
      <c r="E1410" s="126" t="e">
        <f aca="false">общ.калькуляция!h1409</f>
        <v>#NAME?</v>
      </c>
      <c r="F1410" s="126"/>
      <c r="G1410" s="126"/>
      <c r="H1410" s="126" t="e">
        <f aca="false">общ.калькуляция!j1409</f>
        <v>#NAME?</v>
      </c>
      <c r="I1410" s="126"/>
      <c r="J1410" s="126"/>
      <c r="K1410" s="126" t="e">
        <f aca="false">общ.калькуляция!m1409</f>
        <v>#NAME?</v>
      </c>
      <c r="L1410" s="126"/>
      <c r="M1410" s="126"/>
      <c r="N1410" s="126" t="e">
        <f aca="false">SUM(C1410:M1410)</f>
        <v>#NAME?</v>
      </c>
    </row>
    <row r="1411" customFormat="false" ht="30" hidden="false" customHeight="false" outlineLevel="0" collapsed="false">
      <c r="A1411" s="390" t="s">
        <v>2401</v>
      </c>
      <c r="B1411" s="29" t="s">
        <v>3928</v>
      </c>
      <c r="C1411" s="316"/>
      <c r="D1411" s="316"/>
      <c r="E1411" s="112" t="e">
        <f aca="false">общ.калькуляция!h1410</f>
        <v>#NAME?</v>
      </c>
      <c r="F1411" s="112"/>
      <c r="G1411" s="112"/>
      <c r="H1411" s="112" t="e">
        <f aca="false">общ.калькуляция!j1410</f>
        <v>#NAME?</v>
      </c>
      <c r="I1411" s="112"/>
      <c r="J1411" s="112"/>
      <c r="K1411" s="112" t="e">
        <f aca="false">общ.калькуляция!m1410</f>
        <v>#NAME?</v>
      </c>
      <c r="L1411" s="112"/>
      <c r="M1411" s="112"/>
      <c r="N1411" s="112" t="e">
        <f aca="false">SUM(C1411:M1411)</f>
        <v>#NAME?</v>
      </c>
    </row>
    <row r="1412" customFormat="false" ht="30" hidden="false" customHeight="false" outlineLevel="0" collapsed="false">
      <c r="A1412" s="390" t="s">
        <v>2403</v>
      </c>
      <c r="B1412" s="29" t="s">
        <v>3929</v>
      </c>
      <c r="C1412" s="316"/>
      <c r="D1412" s="316"/>
      <c r="E1412" s="112" t="e">
        <f aca="false">общ.калькуляция!h1411</f>
        <v>#NAME?</v>
      </c>
      <c r="F1412" s="112"/>
      <c r="G1412" s="112"/>
      <c r="H1412" s="112" t="e">
        <f aca="false">общ.калькуляция!j1411</f>
        <v>#NAME?</v>
      </c>
      <c r="I1412" s="112"/>
      <c r="J1412" s="112"/>
      <c r="K1412" s="112" t="e">
        <f aca="false">общ.калькуляция!m1411</f>
        <v>#NAME?</v>
      </c>
      <c r="L1412" s="112"/>
      <c r="M1412" s="112"/>
      <c r="N1412" s="112" t="e">
        <f aca="false">SUM(C1412:M1412)</f>
        <v>#NAME?</v>
      </c>
    </row>
    <row r="1413" customFormat="false" ht="15" hidden="false" customHeight="false" outlineLevel="0" collapsed="false">
      <c r="A1413" s="390" t="s">
        <v>2405</v>
      </c>
      <c r="B1413" s="29" t="s">
        <v>3930</v>
      </c>
      <c r="C1413" s="316"/>
      <c r="D1413" s="316"/>
      <c r="E1413" s="112" t="e">
        <f aca="false">общ.калькуляция!h1412</f>
        <v>#NAME?</v>
      </c>
      <c r="F1413" s="112"/>
      <c r="G1413" s="112"/>
      <c r="H1413" s="112" t="e">
        <f aca="false">общ.калькуляция!j1412</f>
        <v>#NAME?</v>
      </c>
      <c r="I1413" s="112"/>
      <c r="J1413" s="112"/>
      <c r="K1413" s="112" t="e">
        <f aca="false">общ.калькуляция!m1412</f>
        <v>#NAME?</v>
      </c>
      <c r="L1413" s="112"/>
      <c r="M1413" s="112"/>
      <c r="N1413" s="112" t="e">
        <f aca="false">SUM(C1413:M1413)</f>
        <v>#NAME?</v>
      </c>
    </row>
    <row r="1414" customFormat="false" ht="15" hidden="false" customHeight="false" outlineLevel="0" collapsed="false">
      <c r="A1414" s="388" t="s">
        <v>2407</v>
      </c>
      <c r="B1414" s="128" t="s">
        <v>2408</v>
      </c>
      <c r="C1414" s="387"/>
      <c r="D1414" s="387"/>
      <c r="E1414" s="126" t="e">
        <f aca="false">общ.калькуляция!h1413</f>
        <v>#NAME?</v>
      </c>
      <c r="F1414" s="126"/>
      <c r="G1414" s="126"/>
      <c r="H1414" s="126" t="e">
        <f aca="false">общ.калькуляция!j1413</f>
        <v>#NAME?</v>
      </c>
      <c r="I1414" s="126"/>
      <c r="J1414" s="126"/>
      <c r="K1414" s="126" t="e">
        <f aca="false">общ.калькуляция!m1413</f>
        <v>#NAME?</v>
      </c>
      <c r="L1414" s="126"/>
      <c r="M1414" s="126"/>
      <c r="N1414" s="126" t="e">
        <f aca="false">SUM(C1414:M1414)</f>
        <v>#NAME?</v>
      </c>
    </row>
    <row r="1415" customFormat="false" ht="30" hidden="false" customHeight="false" outlineLevel="0" collapsed="false">
      <c r="A1415" s="327" t="s">
        <v>2409</v>
      </c>
      <c r="B1415" s="40" t="s">
        <v>3931</v>
      </c>
      <c r="C1415" s="316"/>
      <c r="D1415" s="316"/>
      <c r="E1415" s="112" t="e">
        <f aca="false">общ.калькуляция!h1414</f>
        <v>#NAME?</v>
      </c>
      <c r="F1415" s="112"/>
      <c r="G1415" s="112"/>
      <c r="H1415" s="112" t="e">
        <f aca="false">общ.калькуляция!j1414</f>
        <v>#NAME?</v>
      </c>
      <c r="I1415" s="112"/>
      <c r="J1415" s="112"/>
      <c r="K1415" s="112" t="e">
        <f aca="false">общ.калькуляция!m1414</f>
        <v>#NAME?</v>
      </c>
      <c r="L1415" s="112"/>
      <c r="M1415" s="112"/>
      <c r="N1415" s="112" t="e">
        <f aca="false">SUM(C1415:M1415)</f>
        <v>#NAME?</v>
      </c>
    </row>
    <row r="1416" customFormat="false" ht="30" hidden="false" customHeight="false" outlineLevel="0" collapsed="false">
      <c r="A1416" s="327" t="s">
        <v>2411</v>
      </c>
      <c r="B1416" s="40" t="s">
        <v>3932</v>
      </c>
      <c r="C1416" s="316"/>
      <c r="D1416" s="316"/>
      <c r="E1416" s="112" t="e">
        <f aca="false">общ.калькуляция!h1415</f>
        <v>#NAME?</v>
      </c>
      <c r="F1416" s="112"/>
      <c r="G1416" s="112"/>
      <c r="H1416" s="112" t="e">
        <f aca="false">общ.калькуляция!j1415</f>
        <v>#NAME?</v>
      </c>
      <c r="I1416" s="112"/>
      <c r="J1416" s="112"/>
      <c r="K1416" s="112" t="e">
        <f aca="false">общ.калькуляция!m1415</f>
        <v>#NAME?</v>
      </c>
      <c r="L1416" s="112"/>
      <c r="M1416" s="112"/>
      <c r="N1416" s="112" t="e">
        <f aca="false">SUM(C1416:M1416)</f>
        <v>#NAME?</v>
      </c>
    </row>
    <row r="1417" customFormat="false" ht="15" hidden="false" customHeight="false" outlineLevel="0" collapsed="false">
      <c r="A1417" s="388" t="s">
        <v>2413</v>
      </c>
      <c r="B1417" s="128" t="s">
        <v>3933</v>
      </c>
      <c r="C1417" s="387"/>
      <c r="D1417" s="387"/>
      <c r="E1417" s="126" t="e">
        <f aca="false">общ.калькуляция!h1416</f>
        <v>#NAME?</v>
      </c>
      <c r="F1417" s="126"/>
      <c r="G1417" s="126"/>
      <c r="H1417" s="126" t="e">
        <f aca="false">общ.калькуляция!j1416</f>
        <v>#NAME?</v>
      </c>
      <c r="I1417" s="126"/>
      <c r="J1417" s="126"/>
      <c r="K1417" s="126" t="e">
        <f aca="false">общ.калькуляция!m1416</f>
        <v>#NAME?</v>
      </c>
      <c r="L1417" s="126"/>
      <c r="M1417" s="126"/>
      <c r="N1417" s="126" t="e">
        <f aca="false">SUM(C1417:M1417)</f>
        <v>#NAME?</v>
      </c>
    </row>
    <row r="1418" customFormat="false" ht="30" hidden="false" customHeight="false" outlineLevel="0" collapsed="false">
      <c r="A1418" s="327" t="s">
        <v>2415</v>
      </c>
      <c r="B1418" s="40" t="s">
        <v>3934</v>
      </c>
      <c r="C1418" s="316"/>
      <c r="D1418" s="316"/>
      <c r="E1418" s="112" t="e">
        <f aca="false">общ.калькуляция!h1417</f>
        <v>#NAME?</v>
      </c>
      <c r="F1418" s="112"/>
      <c r="G1418" s="112"/>
      <c r="H1418" s="112" t="e">
        <f aca="false">общ.калькуляция!j1417</f>
        <v>#NAME?</v>
      </c>
      <c r="I1418" s="112"/>
      <c r="J1418" s="112"/>
      <c r="K1418" s="112" t="e">
        <f aca="false">общ.калькуляция!m1417</f>
        <v>#NAME?</v>
      </c>
      <c r="L1418" s="112"/>
      <c r="M1418" s="112"/>
      <c r="N1418" s="112" t="e">
        <f aca="false">SUM(C1418:M1418)</f>
        <v>#NAME?</v>
      </c>
    </row>
    <row r="1419" customFormat="false" ht="15" hidden="false" customHeight="false" outlineLevel="0" collapsed="false">
      <c r="A1419" s="327" t="s">
        <v>2417</v>
      </c>
      <c r="B1419" s="134" t="s">
        <v>3935</v>
      </c>
      <c r="C1419" s="316"/>
      <c r="D1419" s="316"/>
      <c r="E1419" s="112" t="e">
        <f aca="false">общ.калькуляция!h1418</f>
        <v>#NAME?</v>
      </c>
      <c r="F1419" s="112"/>
      <c r="G1419" s="112"/>
      <c r="H1419" s="112" t="e">
        <f aca="false">общ.калькуляция!j1418</f>
        <v>#NAME?</v>
      </c>
      <c r="I1419" s="112"/>
      <c r="J1419" s="112"/>
      <c r="K1419" s="112" t="e">
        <f aca="false">общ.калькуляция!m1418</f>
        <v>#NAME?</v>
      </c>
      <c r="L1419" s="112"/>
      <c r="M1419" s="112"/>
      <c r="N1419" s="112" t="e">
        <f aca="false">SUM(C1419:M1419)</f>
        <v>#NAME?</v>
      </c>
    </row>
    <row r="1420" customFormat="false" ht="15" hidden="false" customHeight="false" outlineLevel="0" collapsed="false">
      <c r="A1420" s="388" t="s">
        <v>2419</v>
      </c>
      <c r="B1420" s="128" t="s">
        <v>3936</v>
      </c>
      <c r="C1420" s="387"/>
      <c r="D1420" s="387"/>
      <c r="E1420" s="126" t="e">
        <f aca="false">общ.калькуляция!h1419</f>
        <v>#NAME?</v>
      </c>
      <c r="F1420" s="126"/>
      <c r="G1420" s="126"/>
      <c r="H1420" s="126" t="e">
        <f aca="false">общ.калькуляция!j1419</f>
        <v>#NAME?</v>
      </c>
      <c r="I1420" s="126"/>
      <c r="J1420" s="126"/>
      <c r="K1420" s="126" t="e">
        <f aca="false">общ.калькуляция!m1419</f>
        <v>#NAME?</v>
      </c>
      <c r="L1420" s="126"/>
      <c r="M1420" s="126"/>
      <c r="N1420" s="126" t="e">
        <f aca="false">SUM(C1420:M1420)</f>
        <v>#NAME?</v>
      </c>
    </row>
    <row r="1421" customFormat="false" ht="30" hidden="false" customHeight="false" outlineLevel="0" collapsed="false">
      <c r="A1421" s="327" t="s">
        <v>2421</v>
      </c>
      <c r="B1421" s="40" t="s">
        <v>3937</v>
      </c>
      <c r="C1421" s="316"/>
      <c r="D1421" s="316"/>
      <c r="E1421" s="112" t="e">
        <f aca="false">общ.калькуляция!h1420</f>
        <v>#NAME?</v>
      </c>
      <c r="F1421" s="112"/>
      <c r="G1421" s="112"/>
      <c r="H1421" s="112" t="e">
        <f aca="false">общ.калькуляция!j1420</f>
        <v>#NAME?</v>
      </c>
      <c r="I1421" s="112"/>
      <c r="J1421" s="112"/>
      <c r="K1421" s="112" t="e">
        <f aca="false">общ.калькуляция!m1420</f>
        <v>#NAME?</v>
      </c>
      <c r="L1421" s="112"/>
      <c r="M1421" s="112"/>
      <c r="N1421" s="112" t="e">
        <f aca="false">SUM(C1421:M1421)</f>
        <v>#NAME?</v>
      </c>
    </row>
    <row r="1422" customFormat="false" ht="15" hidden="false" customHeight="false" outlineLevel="0" collapsed="false">
      <c r="A1422" s="327" t="s">
        <v>2423</v>
      </c>
      <c r="B1422" s="40" t="s">
        <v>3938</v>
      </c>
      <c r="C1422" s="316"/>
      <c r="D1422" s="316"/>
      <c r="E1422" s="112" t="e">
        <f aca="false">общ.калькуляция!h1421</f>
        <v>#NAME?</v>
      </c>
      <c r="F1422" s="112"/>
      <c r="G1422" s="112"/>
      <c r="H1422" s="112" t="e">
        <f aca="false">общ.калькуляция!j1421</f>
        <v>#NAME?</v>
      </c>
      <c r="I1422" s="112"/>
      <c r="J1422" s="112"/>
      <c r="K1422" s="112" t="e">
        <f aca="false">общ.калькуляция!m1421</f>
        <v>#NAME?</v>
      </c>
      <c r="L1422" s="112"/>
      <c r="M1422" s="112"/>
      <c r="N1422" s="112" t="e">
        <f aca="false">SUM(C1422:M1422)</f>
        <v>#NAME?</v>
      </c>
    </row>
    <row r="1423" customFormat="false" ht="15" hidden="false" customHeight="false" outlineLevel="0" collapsed="false">
      <c r="A1423" s="327" t="s">
        <v>2425</v>
      </c>
      <c r="B1423" s="40" t="s">
        <v>3939</v>
      </c>
      <c r="C1423" s="316"/>
      <c r="D1423" s="316"/>
      <c r="E1423" s="112" t="e">
        <f aca="false">общ.калькуляция!h1422</f>
        <v>#NAME?</v>
      </c>
      <c r="F1423" s="112"/>
      <c r="G1423" s="112"/>
      <c r="H1423" s="112" t="e">
        <f aca="false">общ.калькуляция!j1422</f>
        <v>#NAME?</v>
      </c>
      <c r="I1423" s="112"/>
      <c r="J1423" s="112"/>
      <c r="K1423" s="112" t="e">
        <f aca="false">общ.калькуляция!m1422</f>
        <v>#NAME?</v>
      </c>
      <c r="L1423" s="112"/>
      <c r="M1423" s="112"/>
      <c r="N1423" s="112" t="e">
        <f aca="false">SUM(C1423:M1423)</f>
        <v>#NAME?</v>
      </c>
    </row>
    <row r="1424" customFormat="false" ht="15" hidden="false" customHeight="false" outlineLevel="0" collapsed="false">
      <c r="A1424" s="388" t="s">
        <v>2427</v>
      </c>
      <c r="B1424" s="128" t="s">
        <v>3940</v>
      </c>
      <c r="C1424" s="387"/>
      <c r="D1424" s="387"/>
      <c r="E1424" s="126" t="e">
        <f aca="false">общ.калькуляция!h1423</f>
        <v>#NAME?</v>
      </c>
      <c r="F1424" s="126"/>
      <c r="G1424" s="126"/>
      <c r="H1424" s="126" t="e">
        <f aca="false">общ.калькуляция!j1423</f>
        <v>#NAME?</v>
      </c>
      <c r="I1424" s="126"/>
      <c r="J1424" s="126"/>
      <c r="K1424" s="126" t="e">
        <f aca="false">общ.калькуляция!m1423</f>
        <v>#NAME?</v>
      </c>
      <c r="L1424" s="126"/>
      <c r="M1424" s="126"/>
      <c r="N1424" s="126" t="e">
        <f aca="false">SUM(C1424:M1424)</f>
        <v>#NAME?</v>
      </c>
    </row>
    <row r="1425" customFormat="false" ht="30" hidden="false" customHeight="false" outlineLevel="0" collapsed="false">
      <c r="A1425" s="327" t="s">
        <v>2429</v>
      </c>
      <c r="B1425" s="40" t="s">
        <v>3941</v>
      </c>
      <c r="C1425" s="316"/>
      <c r="D1425" s="316"/>
      <c r="E1425" s="112" t="e">
        <f aca="false">общ.калькуляция!h1424</f>
        <v>#NAME?</v>
      </c>
      <c r="F1425" s="112"/>
      <c r="G1425" s="112"/>
      <c r="H1425" s="112" t="e">
        <f aca="false">общ.калькуляция!j1424</f>
        <v>#NAME?</v>
      </c>
      <c r="I1425" s="112"/>
      <c r="J1425" s="112"/>
      <c r="K1425" s="112" t="e">
        <f aca="false">общ.калькуляция!m1424</f>
        <v>#NAME?</v>
      </c>
      <c r="L1425" s="112"/>
      <c r="M1425" s="112"/>
      <c r="N1425" s="112" t="e">
        <f aca="false">SUM(C1425:M1425)</f>
        <v>#NAME?</v>
      </c>
    </row>
    <row r="1426" customFormat="false" ht="15" hidden="false" customHeight="false" outlineLevel="0" collapsed="false">
      <c r="A1426" s="327" t="s">
        <v>2431</v>
      </c>
      <c r="B1426" s="40" t="s">
        <v>3942</v>
      </c>
      <c r="C1426" s="316"/>
      <c r="D1426" s="316"/>
      <c r="E1426" s="112" t="e">
        <f aca="false">общ.калькуляция!h1425</f>
        <v>#NAME?</v>
      </c>
      <c r="F1426" s="112"/>
      <c r="G1426" s="112"/>
      <c r="H1426" s="112" t="e">
        <f aca="false">общ.калькуляция!j1425</f>
        <v>#NAME?</v>
      </c>
      <c r="I1426" s="112"/>
      <c r="J1426" s="112"/>
      <c r="K1426" s="112" t="e">
        <f aca="false">общ.калькуляция!m1425</f>
        <v>#NAME?</v>
      </c>
      <c r="L1426" s="112"/>
      <c r="M1426" s="112"/>
      <c r="N1426" s="112" t="e">
        <f aca="false">SUM(C1426:M1426)</f>
        <v>#NAME?</v>
      </c>
    </row>
    <row r="1427" customFormat="false" ht="15" hidden="false" customHeight="false" outlineLevel="0" collapsed="false">
      <c r="A1427" s="350" t="s">
        <v>2433</v>
      </c>
      <c r="B1427" s="16" t="s">
        <v>3943</v>
      </c>
      <c r="C1427" s="387"/>
      <c r="D1427" s="387"/>
      <c r="E1427" s="126" t="e">
        <f aca="false">общ.калькуляция!h1426</f>
        <v>#NAME?</v>
      </c>
      <c r="F1427" s="126"/>
      <c r="G1427" s="126"/>
      <c r="H1427" s="126" t="e">
        <f aca="false">общ.калькуляция!j1426</f>
        <v>#NAME?</v>
      </c>
      <c r="I1427" s="126"/>
      <c r="J1427" s="126"/>
      <c r="K1427" s="126" t="e">
        <f aca="false">общ.калькуляция!m1426</f>
        <v>#NAME?</v>
      </c>
      <c r="L1427" s="126"/>
      <c r="M1427" s="126"/>
      <c r="N1427" s="126" t="e">
        <f aca="false">SUM(C1427:M1427)</f>
        <v>#NAME?</v>
      </c>
    </row>
    <row r="1428" customFormat="false" ht="30" hidden="false" customHeight="false" outlineLevel="0" collapsed="false">
      <c r="A1428" s="327" t="s">
        <v>2435</v>
      </c>
      <c r="B1428" s="29" t="s">
        <v>3944</v>
      </c>
      <c r="C1428" s="316"/>
      <c r="D1428" s="316"/>
      <c r="E1428" s="112" t="e">
        <f aca="false">общ.калькуляция!h1427</f>
        <v>#NAME?</v>
      </c>
      <c r="F1428" s="112"/>
      <c r="G1428" s="112"/>
      <c r="H1428" s="112" t="e">
        <f aca="false">общ.калькуляция!j1427</f>
        <v>#NAME?</v>
      </c>
      <c r="I1428" s="112"/>
      <c r="J1428" s="112"/>
      <c r="K1428" s="112" t="e">
        <f aca="false">общ.калькуляция!m1427</f>
        <v>#NAME?</v>
      </c>
      <c r="L1428" s="112"/>
      <c r="M1428" s="112"/>
      <c r="N1428" s="112" t="e">
        <f aca="false">SUM(C1428:M1428)</f>
        <v>#NAME?</v>
      </c>
    </row>
    <row r="1429" customFormat="false" ht="15" hidden="false" customHeight="false" outlineLevel="0" collapsed="false">
      <c r="A1429" s="327" t="s">
        <v>2437</v>
      </c>
      <c r="B1429" s="29" t="s">
        <v>3945</v>
      </c>
      <c r="C1429" s="316"/>
      <c r="D1429" s="316"/>
      <c r="E1429" s="112" t="e">
        <f aca="false">общ.калькуляция!h1428</f>
        <v>#NAME?</v>
      </c>
      <c r="F1429" s="112"/>
      <c r="G1429" s="112"/>
      <c r="H1429" s="112" t="e">
        <f aca="false">общ.калькуляция!j1428</f>
        <v>#NAME?</v>
      </c>
      <c r="I1429" s="112"/>
      <c r="J1429" s="112"/>
      <c r="K1429" s="112" t="e">
        <f aca="false">общ.калькуляция!m1428</f>
        <v>#NAME?</v>
      </c>
      <c r="L1429" s="112"/>
      <c r="M1429" s="112"/>
      <c r="N1429" s="112" t="e">
        <f aca="false">SUM(C1429:M1429)</f>
        <v>#NAME?</v>
      </c>
    </row>
    <row r="1430" customFormat="false" ht="15" hidden="false" customHeight="false" outlineLevel="0" collapsed="false">
      <c r="A1430" s="350" t="s">
        <v>2439</v>
      </c>
      <c r="B1430" s="16" t="s">
        <v>3946</v>
      </c>
      <c r="C1430" s="387"/>
      <c r="D1430" s="387"/>
      <c r="E1430" s="126" t="e">
        <f aca="false">общ.калькуляция!h1429</f>
        <v>#NAME?</v>
      </c>
      <c r="F1430" s="126"/>
      <c r="G1430" s="126"/>
      <c r="H1430" s="126" t="e">
        <f aca="false">общ.калькуляция!j1429</f>
        <v>#NAME?</v>
      </c>
      <c r="I1430" s="126"/>
      <c r="J1430" s="126"/>
      <c r="K1430" s="126" t="e">
        <f aca="false">общ.калькуляция!m1429</f>
        <v>#NAME?</v>
      </c>
      <c r="L1430" s="126"/>
      <c r="M1430" s="126"/>
      <c r="N1430" s="126" t="e">
        <f aca="false">SUM(C1430:M1430)</f>
        <v>#NAME?</v>
      </c>
    </row>
    <row r="1431" customFormat="false" ht="30" hidden="false" customHeight="false" outlineLevel="0" collapsed="false">
      <c r="A1431" s="327" t="s">
        <v>2441</v>
      </c>
      <c r="B1431" s="29" t="s">
        <v>3947</v>
      </c>
      <c r="C1431" s="316"/>
      <c r="D1431" s="316"/>
      <c r="E1431" s="112" t="e">
        <f aca="false">общ.калькуляция!h1430</f>
        <v>#NAME?</v>
      </c>
      <c r="F1431" s="112"/>
      <c r="G1431" s="112"/>
      <c r="H1431" s="112" t="e">
        <f aca="false">общ.калькуляция!j1430</f>
        <v>#NAME?</v>
      </c>
      <c r="I1431" s="112"/>
      <c r="J1431" s="112"/>
      <c r="K1431" s="112" t="e">
        <f aca="false">общ.калькуляция!m1430</f>
        <v>#NAME?</v>
      </c>
      <c r="L1431" s="112"/>
      <c r="M1431" s="112"/>
      <c r="N1431" s="112" t="e">
        <f aca="false">SUM(C1431:M1431)</f>
        <v>#NAME?</v>
      </c>
    </row>
    <row r="1432" customFormat="false" ht="15" hidden="false" customHeight="false" outlineLevel="0" collapsed="false">
      <c r="A1432" s="327" t="s">
        <v>2443</v>
      </c>
      <c r="B1432" s="29" t="s">
        <v>3948</v>
      </c>
      <c r="C1432" s="316"/>
      <c r="D1432" s="316"/>
      <c r="E1432" s="112" t="e">
        <f aca="false">общ.калькуляция!h1431</f>
        <v>#NAME?</v>
      </c>
      <c r="F1432" s="112"/>
      <c r="G1432" s="112"/>
      <c r="H1432" s="112" t="e">
        <f aca="false">общ.калькуляция!j1431</f>
        <v>#NAME?</v>
      </c>
      <c r="I1432" s="112"/>
      <c r="J1432" s="112"/>
      <c r="K1432" s="112" t="e">
        <f aca="false">общ.калькуляция!m1431</f>
        <v>#NAME?</v>
      </c>
      <c r="L1432" s="112"/>
      <c r="M1432" s="112"/>
      <c r="N1432" s="112" t="e">
        <f aca="false">SUM(C1432:M1432)</f>
        <v>#NAME?</v>
      </c>
    </row>
    <row r="1433" customFormat="false" ht="15" hidden="false" customHeight="false" outlineLevel="0" collapsed="false">
      <c r="A1433" s="350" t="s">
        <v>2445</v>
      </c>
      <c r="B1433" s="16" t="s">
        <v>3949</v>
      </c>
      <c r="C1433" s="387"/>
      <c r="D1433" s="387"/>
      <c r="E1433" s="126" t="e">
        <f aca="false">общ.калькуляция!h1432</f>
        <v>#NAME?</v>
      </c>
      <c r="F1433" s="126"/>
      <c r="G1433" s="126"/>
      <c r="H1433" s="126" t="e">
        <f aca="false">общ.калькуляция!j1432</f>
        <v>#NAME?</v>
      </c>
      <c r="I1433" s="126"/>
      <c r="J1433" s="126"/>
      <c r="K1433" s="126" t="e">
        <f aca="false">общ.калькуляция!m1432</f>
        <v>#NAME?</v>
      </c>
      <c r="L1433" s="126"/>
      <c r="M1433" s="126"/>
      <c r="N1433" s="126" t="e">
        <f aca="false">SUM(C1433:M1433)</f>
        <v>#NAME?</v>
      </c>
    </row>
    <row r="1434" customFormat="false" ht="30" hidden="false" customHeight="false" outlineLevel="0" collapsed="false">
      <c r="A1434" s="327" t="s">
        <v>2447</v>
      </c>
      <c r="B1434" s="29" t="s">
        <v>3950</v>
      </c>
      <c r="C1434" s="316"/>
      <c r="D1434" s="316"/>
      <c r="E1434" s="112" t="e">
        <f aca="false">общ.калькуляция!h1433</f>
        <v>#NAME?</v>
      </c>
      <c r="F1434" s="112"/>
      <c r="G1434" s="112"/>
      <c r="H1434" s="112" t="e">
        <f aca="false">общ.калькуляция!j1433</f>
        <v>#NAME?</v>
      </c>
      <c r="I1434" s="112"/>
      <c r="J1434" s="112"/>
      <c r="K1434" s="112" t="e">
        <f aca="false">общ.калькуляция!m1433</f>
        <v>#NAME?</v>
      </c>
      <c r="L1434" s="112"/>
      <c r="M1434" s="112"/>
      <c r="N1434" s="112" t="e">
        <f aca="false">SUM(C1434:M1434)</f>
        <v>#NAME?</v>
      </c>
    </row>
    <row r="1435" customFormat="false" ht="15" hidden="false" customHeight="false" outlineLevel="0" collapsed="false">
      <c r="A1435" s="327" t="s">
        <v>2449</v>
      </c>
      <c r="B1435" s="29" t="s">
        <v>3951</v>
      </c>
      <c r="C1435" s="316"/>
      <c r="D1435" s="316"/>
      <c r="E1435" s="112" t="e">
        <f aca="false">общ.калькуляция!h1434</f>
        <v>#NAME?</v>
      </c>
      <c r="F1435" s="112"/>
      <c r="G1435" s="112"/>
      <c r="H1435" s="112" t="e">
        <f aca="false">общ.калькуляция!j1434</f>
        <v>#NAME?</v>
      </c>
      <c r="I1435" s="112"/>
      <c r="J1435" s="112"/>
      <c r="K1435" s="112" t="e">
        <f aca="false">общ.калькуляция!m1434</f>
        <v>#NAME?</v>
      </c>
      <c r="L1435" s="112"/>
      <c r="M1435" s="112"/>
      <c r="N1435" s="112" t="e">
        <f aca="false">SUM(C1435:M1435)</f>
        <v>#NAME?</v>
      </c>
    </row>
    <row r="1436" customFormat="false" ht="15" hidden="false" customHeight="false" outlineLevel="0" collapsed="false">
      <c r="A1436" s="350" t="s">
        <v>2451</v>
      </c>
      <c r="B1436" s="16" t="s">
        <v>3952</v>
      </c>
      <c r="C1436" s="387"/>
      <c r="D1436" s="387"/>
      <c r="E1436" s="126" t="e">
        <f aca="false">общ.калькуляция!h1435</f>
        <v>#NAME?</v>
      </c>
      <c r="F1436" s="126"/>
      <c r="G1436" s="126"/>
      <c r="H1436" s="126" t="e">
        <f aca="false">общ.калькуляция!j1435</f>
        <v>#NAME?</v>
      </c>
      <c r="I1436" s="126"/>
      <c r="J1436" s="126"/>
      <c r="K1436" s="126" t="e">
        <f aca="false">общ.калькуляция!m1435</f>
        <v>#NAME?</v>
      </c>
      <c r="L1436" s="126"/>
      <c r="M1436" s="126"/>
      <c r="N1436" s="126" t="e">
        <f aca="false">SUM(C1436:M1436)</f>
        <v>#NAME?</v>
      </c>
    </row>
    <row r="1437" customFormat="false" ht="30" hidden="false" customHeight="false" outlineLevel="0" collapsed="false">
      <c r="A1437" s="327" t="s">
        <v>2453</v>
      </c>
      <c r="B1437" s="29" t="s">
        <v>3953</v>
      </c>
      <c r="C1437" s="316"/>
      <c r="D1437" s="316"/>
      <c r="E1437" s="112" t="e">
        <f aca="false">общ.калькуляция!h1436</f>
        <v>#NAME?</v>
      </c>
      <c r="F1437" s="112"/>
      <c r="G1437" s="112"/>
      <c r="H1437" s="112" t="e">
        <f aca="false">общ.калькуляция!j1436</f>
        <v>#NAME?</v>
      </c>
      <c r="I1437" s="112"/>
      <c r="J1437" s="112"/>
      <c r="K1437" s="112" t="e">
        <f aca="false">общ.калькуляция!m1436</f>
        <v>#NAME?</v>
      </c>
      <c r="L1437" s="112"/>
      <c r="M1437" s="112"/>
      <c r="N1437" s="112" t="e">
        <f aca="false">SUM(C1437:M1437)</f>
        <v>#NAME?</v>
      </c>
    </row>
    <row r="1438" customFormat="false" ht="15" hidden="false" customHeight="false" outlineLevel="0" collapsed="false">
      <c r="A1438" s="327" t="s">
        <v>2455</v>
      </c>
      <c r="B1438" s="29" t="s">
        <v>3954</v>
      </c>
      <c r="C1438" s="316"/>
      <c r="D1438" s="316"/>
      <c r="E1438" s="112" t="e">
        <f aca="false">общ.калькуляция!h1437</f>
        <v>#NAME?</v>
      </c>
      <c r="F1438" s="112"/>
      <c r="G1438" s="112"/>
      <c r="H1438" s="112" t="e">
        <f aca="false">общ.калькуляция!j1437</f>
        <v>#NAME?</v>
      </c>
      <c r="I1438" s="112"/>
      <c r="J1438" s="112"/>
      <c r="K1438" s="112" t="e">
        <f aca="false">общ.калькуляция!m1437</f>
        <v>#NAME?</v>
      </c>
      <c r="L1438" s="112"/>
      <c r="M1438" s="112"/>
      <c r="N1438" s="112" t="e">
        <f aca="false">SUM(C1438:M1438)</f>
        <v>#NAME?</v>
      </c>
    </row>
    <row r="1439" customFormat="false" ht="15" hidden="false" customHeight="false" outlineLevel="0" collapsed="false">
      <c r="A1439" s="388" t="s">
        <v>2457</v>
      </c>
      <c r="B1439" s="128" t="s">
        <v>2458</v>
      </c>
      <c r="C1439" s="387"/>
      <c r="D1439" s="387"/>
      <c r="E1439" s="126" t="e">
        <f aca="false">общ.калькуляция!h1438</f>
        <v>#NAME?</v>
      </c>
      <c r="F1439" s="126"/>
      <c r="G1439" s="126"/>
      <c r="H1439" s="126" t="e">
        <f aca="false">общ.калькуляция!j1438</f>
        <v>#NAME?</v>
      </c>
      <c r="I1439" s="126"/>
      <c r="J1439" s="126"/>
      <c r="K1439" s="126" t="e">
        <f aca="false">общ.калькуляция!m1438</f>
        <v>#NAME?</v>
      </c>
      <c r="L1439" s="126"/>
      <c r="M1439" s="126"/>
      <c r="N1439" s="126" t="e">
        <f aca="false">SUM(C1439:M1439)</f>
        <v>#NAME?</v>
      </c>
    </row>
    <row r="1440" customFormat="false" ht="30" hidden="false" customHeight="false" outlineLevel="0" collapsed="false">
      <c r="A1440" s="327" t="s">
        <v>2459</v>
      </c>
      <c r="B1440" s="40" t="s">
        <v>3955</v>
      </c>
      <c r="C1440" s="316"/>
      <c r="D1440" s="316"/>
      <c r="E1440" s="112" t="e">
        <f aca="false">общ.калькуляция!h1439</f>
        <v>#NAME?</v>
      </c>
      <c r="F1440" s="112"/>
      <c r="G1440" s="112"/>
      <c r="H1440" s="112" t="e">
        <f aca="false">общ.калькуляция!j1439</f>
        <v>#NAME?</v>
      </c>
      <c r="I1440" s="112"/>
      <c r="J1440" s="112"/>
      <c r="K1440" s="112" t="e">
        <f aca="false">общ.калькуляция!m1439</f>
        <v>#NAME?</v>
      </c>
      <c r="L1440" s="112"/>
      <c r="M1440" s="112"/>
      <c r="N1440" s="112" t="e">
        <f aca="false">SUM(C1440:M1440)</f>
        <v>#NAME?</v>
      </c>
    </row>
    <row r="1441" customFormat="false" ht="15" hidden="false" customHeight="false" outlineLevel="0" collapsed="false">
      <c r="A1441" s="327" t="s">
        <v>2461</v>
      </c>
      <c r="B1441" s="40" t="s">
        <v>3956</v>
      </c>
      <c r="C1441" s="316"/>
      <c r="D1441" s="316"/>
      <c r="E1441" s="112" t="e">
        <f aca="false">общ.калькуляция!h1440</f>
        <v>#NAME?</v>
      </c>
      <c r="F1441" s="112"/>
      <c r="G1441" s="112"/>
      <c r="H1441" s="112" t="e">
        <f aca="false">общ.калькуляция!j1440</f>
        <v>#NAME?</v>
      </c>
      <c r="I1441" s="112"/>
      <c r="J1441" s="112"/>
      <c r="K1441" s="112" t="e">
        <f aca="false">общ.калькуляция!m1440</f>
        <v>#NAME?</v>
      </c>
      <c r="L1441" s="112"/>
      <c r="M1441" s="112"/>
      <c r="N1441" s="112" t="e">
        <f aca="false">SUM(C1441:M1441)</f>
        <v>#NAME?</v>
      </c>
    </row>
    <row r="1442" customFormat="false" ht="15" hidden="false" customHeight="false" outlineLevel="0" collapsed="false">
      <c r="A1442" s="388" t="s">
        <v>2463</v>
      </c>
      <c r="B1442" s="128" t="s">
        <v>3957</v>
      </c>
      <c r="C1442" s="387"/>
      <c r="D1442" s="387"/>
      <c r="E1442" s="126" t="e">
        <f aca="false">общ.калькуляция!h1441</f>
        <v>#NAME?</v>
      </c>
      <c r="F1442" s="126"/>
      <c r="G1442" s="126"/>
      <c r="H1442" s="126" t="e">
        <f aca="false">общ.калькуляция!j1441</f>
        <v>#NAME?</v>
      </c>
      <c r="I1442" s="126"/>
      <c r="J1442" s="126"/>
      <c r="K1442" s="126" t="e">
        <f aca="false">общ.калькуляция!m1441</f>
        <v>#NAME?</v>
      </c>
      <c r="L1442" s="126"/>
      <c r="M1442" s="126"/>
      <c r="N1442" s="126" t="e">
        <f aca="false">SUM(C1442:M1442)</f>
        <v>#NAME?</v>
      </c>
    </row>
    <row r="1443" customFormat="false" ht="30" hidden="false" customHeight="false" outlineLevel="0" collapsed="false">
      <c r="A1443" s="327" t="s">
        <v>2465</v>
      </c>
      <c r="B1443" s="40" t="s">
        <v>3958</v>
      </c>
      <c r="C1443" s="316"/>
      <c r="D1443" s="316"/>
      <c r="E1443" s="112" t="e">
        <f aca="false">общ.калькуляция!h1442</f>
        <v>#NAME?</v>
      </c>
      <c r="F1443" s="112"/>
      <c r="G1443" s="112"/>
      <c r="H1443" s="112" t="e">
        <f aca="false">общ.калькуляция!j1442</f>
        <v>#NAME?</v>
      </c>
      <c r="I1443" s="112"/>
      <c r="J1443" s="112"/>
      <c r="K1443" s="112" t="e">
        <f aca="false">общ.калькуляция!m1442</f>
        <v>#NAME?</v>
      </c>
      <c r="L1443" s="112"/>
      <c r="M1443" s="112"/>
      <c r="N1443" s="112" t="e">
        <f aca="false">SUM(C1443:M1443)</f>
        <v>#NAME?</v>
      </c>
    </row>
    <row r="1444" customFormat="false" ht="15" hidden="false" customHeight="false" outlineLevel="0" collapsed="false">
      <c r="A1444" s="327" t="s">
        <v>2467</v>
      </c>
      <c r="B1444" s="40" t="s">
        <v>3959</v>
      </c>
      <c r="C1444" s="316"/>
      <c r="D1444" s="316"/>
      <c r="E1444" s="112" t="e">
        <f aca="false">общ.калькуляция!h1443</f>
        <v>#NAME?</v>
      </c>
      <c r="F1444" s="112"/>
      <c r="G1444" s="112"/>
      <c r="H1444" s="112" t="e">
        <f aca="false">общ.калькуляция!j1443</f>
        <v>#NAME?</v>
      </c>
      <c r="I1444" s="112"/>
      <c r="J1444" s="112"/>
      <c r="K1444" s="112" t="e">
        <f aca="false">общ.калькуляция!m1443</f>
        <v>#NAME?</v>
      </c>
      <c r="L1444" s="112"/>
      <c r="M1444" s="112"/>
      <c r="N1444" s="112" t="e">
        <f aca="false">SUM(C1444:M1444)</f>
        <v>#NAME?</v>
      </c>
    </row>
    <row r="1445" customFormat="false" ht="15" hidden="false" customHeight="false" outlineLevel="0" collapsed="false">
      <c r="A1445" s="388" t="s">
        <v>2469</v>
      </c>
      <c r="B1445" s="16" t="s">
        <v>3960</v>
      </c>
      <c r="C1445" s="387"/>
      <c r="D1445" s="387"/>
      <c r="E1445" s="126" t="e">
        <f aca="false">общ.калькуляция!h1444</f>
        <v>#NAME?</v>
      </c>
      <c r="F1445" s="126"/>
      <c r="G1445" s="126"/>
      <c r="H1445" s="126" t="e">
        <f aca="false">общ.калькуляция!j1444</f>
        <v>#NAME?</v>
      </c>
      <c r="I1445" s="126"/>
      <c r="J1445" s="126"/>
      <c r="K1445" s="126" t="e">
        <f aca="false">общ.калькуляция!m1444</f>
        <v>#NAME?</v>
      </c>
      <c r="L1445" s="126"/>
      <c r="M1445" s="126"/>
      <c r="N1445" s="126" t="e">
        <f aca="false">SUM(C1445:M1445)</f>
        <v>#NAME?</v>
      </c>
    </row>
    <row r="1446" customFormat="false" ht="30" hidden="false" customHeight="false" outlineLevel="0" collapsed="false">
      <c r="A1446" s="390" t="s">
        <v>2471</v>
      </c>
      <c r="B1446" s="29" t="s">
        <v>3961</v>
      </c>
      <c r="C1446" s="316"/>
      <c r="D1446" s="316"/>
      <c r="E1446" s="112" t="e">
        <f aca="false">общ.калькуляция!h1445</f>
        <v>#NAME?</v>
      </c>
      <c r="F1446" s="112"/>
      <c r="G1446" s="112"/>
      <c r="H1446" s="112" t="e">
        <f aca="false">общ.калькуляция!j1445</f>
        <v>#NAME?</v>
      </c>
      <c r="I1446" s="112"/>
      <c r="J1446" s="112"/>
      <c r="K1446" s="112" t="e">
        <f aca="false">общ.калькуляция!m1445</f>
        <v>#NAME?</v>
      </c>
      <c r="L1446" s="112"/>
      <c r="M1446" s="112"/>
      <c r="N1446" s="112" t="e">
        <f aca="false">SUM(C1446:M1446)</f>
        <v>#NAME?</v>
      </c>
    </row>
    <row r="1447" customFormat="false" ht="15" hidden="false" customHeight="false" outlineLevel="0" collapsed="false">
      <c r="A1447" s="390" t="s">
        <v>2473</v>
      </c>
      <c r="B1447" s="29" t="s">
        <v>3962</v>
      </c>
      <c r="C1447" s="316"/>
      <c r="D1447" s="316"/>
      <c r="E1447" s="112" t="e">
        <f aca="false">общ.калькуляция!h1446</f>
        <v>#NAME?</v>
      </c>
      <c r="F1447" s="112"/>
      <c r="G1447" s="112"/>
      <c r="H1447" s="112" t="e">
        <f aca="false">общ.калькуляция!j1446</f>
        <v>#NAME?</v>
      </c>
      <c r="I1447" s="112"/>
      <c r="J1447" s="112"/>
      <c r="K1447" s="112" t="e">
        <f aca="false">общ.калькуляция!m1446</f>
        <v>#NAME?</v>
      </c>
      <c r="L1447" s="112"/>
      <c r="M1447" s="112"/>
      <c r="N1447" s="112" t="e">
        <f aca="false">SUM(C1447:M1447)</f>
        <v>#NAME?</v>
      </c>
    </row>
    <row r="1448" customFormat="false" ht="15" hidden="false" customHeight="false" outlineLevel="0" collapsed="false">
      <c r="A1448" s="388" t="s">
        <v>2475</v>
      </c>
      <c r="B1448" s="128" t="s">
        <v>3963</v>
      </c>
      <c r="C1448" s="387"/>
      <c r="D1448" s="387"/>
      <c r="E1448" s="126" t="e">
        <f aca="false">общ.калькуляция!h1447</f>
        <v>#NAME?</v>
      </c>
      <c r="F1448" s="126"/>
      <c r="G1448" s="126"/>
      <c r="H1448" s="126" t="e">
        <f aca="false">общ.калькуляция!j1447</f>
        <v>#NAME?</v>
      </c>
      <c r="I1448" s="126"/>
      <c r="J1448" s="126"/>
      <c r="K1448" s="126" t="e">
        <f aca="false">общ.калькуляция!m1447</f>
        <v>#NAME?</v>
      </c>
      <c r="L1448" s="126"/>
      <c r="M1448" s="126"/>
      <c r="N1448" s="126" t="e">
        <f aca="false">SUM(C1448:M1448)</f>
        <v>#NAME?</v>
      </c>
    </row>
    <row r="1449" customFormat="false" ht="30" hidden="false" customHeight="false" outlineLevel="0" collapsed="false">
      <c r="A1449" s="391" t="s">
        <v>2477</v>
      </c>
      <c r="B1449" s="29" t="s">
        <v>3964</v>
      </c>
      <c r="C1449" s="316"/>
      <c r="D1449" s="316"/>
      <c r="E1449" s="112" t="e">
        <f aca="false">общ.калькуляция!h1448</f>
        <v>#NAME?</v>
      </c>
      <c r="F1449" s="112"/>
      <c r="G1449" s="112"/>
      <c r="H1449" s="112" t="e">
        <f aca="false">общ.калькуляция!j1448</f>
        <v>#NAME?</v>
      </c>
      <c r="I1449" s="112"/>
      <c r="J1449" s="112"/>
      <c r="K1449" s="112" t="e">
        <f aca="false">общ.калькуляция!m1448</f>
        <v>#NAME?</v>
      </c>
      <c r="L1449" s="112"/>
      <c r="M1449" s="112"/>
      <c r="N1449" s="112" t="e">
        <f aca="false">SUM(C1449:M1449)</f>
        <v>#NAME?</v>
      </c>
    </row>
    <row r="1450" customFormat="false" ht="30" hidden="false" customHeight="false" outlineLevel="0" collapsed="false">
      <c r="A1450" s="391" t="s">
        <v>2479</v>
      </c>
      <c r="B1450" s="29" t="s">
        <v>3965</v>
      </c>
      <c r="C1450" s="316"/>
      <c r="D1450" s="316"/>
      <c r="E1450" s="112" t="e">
        <f aca="false">общ.калькуляция!h1449</f>
        <v>#NAME?</v>
      </c>
      <c r="F1450" s="112"/>
      <c r="G1450" s="112"/>
      <c r="H1450" s="112" t="e">
        <f aca="false">общ.калькуляция!j1449</f>
        <v>#NAME?</v>
      </c>
      <c r="I1450" s="112"/>
      <c r="J1450" s="112"/>
      <c r="K1450" s="112" t="e">
        <f aca="false">общ.калькуляция!m1449</f>
        <v>#NAME?</v>
      </c>
      <c r="L1450" s="112"/>
      <c r="M1450" s="112"/>
      <c r="N1450" s="112" t="e">
        <f aca="false">SUM(C1450:M1450)</f>
        <v>#NAME?</v>
      </c>
    </row>
    <row r="1451" customFormat="false" ht="30" hidden="false" customHeight="false" outlineLevel="0" collapsed="false">
      <c r="A1451" s="391" t="s">
        <v>2481</v>
      </c>
      <c r="B1451" s="29" t="s">
        <v>3966</v>
      </c>
      <c r="C1451" s="316"/>
      <c r="D1451" s="316"/>
      <c r="E1451" s="112" t="e">
        <f aca="false">общ.калькуляция!h1450</f>
        <v>#NAME?</v>
      </c>
      <c r="F1451" s="112"/>
      <c r="G1451" s="112"/>
      <c r="H1451" s="112" t="e">
        <f aca="false">общ.калькуляция!j1450</f>
        <v>#NAME?</v>
      </c>
      <c r="I1451" s="112"/>
      <c r="J1451" s="112"/>
      <c r="K1451" s="112" t="e">
        <f aca="false">общ.калькуляция!m1450</f>
        <v>#NAME?</v>
      </c>
      <c r="L1451" s="112"/>
      <c r="M1451" s="112"/>
      <c r="N1451" s="112" t="e">
        <f aca="false">SUM(C1451:M1451)</f>
        <v>#NAME?</v>
      </c>
    </row>
    <row r="1452" customFormat="false" ht="30" hidden="false" customHeight="false" outlineLevel="0" collapsed="false">
      <c r="A1452" s="392" t="s">
        <v>2483</v>
      </c>
      <c r="B1452" s="47" t="s">
        <v>3967</v>
      </c>
      <c r="C1452" s="316"/>
      <c r="D1452" s="316"/>
      <c r="E1452" s="112" t="e">
        <f aca="false">общ.калькуляция!h1451</f>
        <v>#NAME?</v>
      </c>
      <c r="F1452" s="112"/>
      <c r="G1452" s="112"/>
      <c r="H1452" s="112" t="e">
        <f aca="false">общ.калькуляция!j1451</f>
        <v>#NAME?</v>
      </c>
      <c r="I1452" s="112"/>
      <c r="J1452" s="112"/>
      <c r="K1452" s="112" t="e">
        <f aca="false">общ.калькуляция!m1451</f>
        <v>#NAME?</v>
      </c>
      <c r="L1452" s="112"/>
      <c r="M1452" s="112"/>
      <c r="N1452" s="112" t="e">
        <f aca="false">SUM(C1452:M1452)</f>
        <v>#NAME?</v>
      </c>
    </row>
    <row r="1453" customFormat="false" ht="30" hidden="false" customHeight="false" outlineLevel="0" collapsed="false">
      <c r="A1453" s="392" t="s">
        <v>2485</v>
      </c>
      <c r="B1453" s="47" t="s">
        <v>3968</v>
      </c>
      <c r="C1453" s="316"/>
      <c r="D1453" s="316"/>
      <c r="E1453" s="112" t="e">
        <f aca="false">общ.калькуляция!h1452</f>
        <v>#NAME?</v>
      </c>
      <c r="F1453" s="112"/>
      <c r="G1453" s="112"/>
      <c r="H1453" s="112" t="e">
        <f aca="false">общ.калькуляция!j1452</f>
        <v>#NAME?</v>
      </c>
      <c r="I1453" s="112"/>
      <c r="J1453" s="112"/>
      <c r="K1453" s="112" t="e">
        <f aca="false">общ.калькуляция!m1452</f>
        <v>#NAME?</v>
      </c>
      <c r="L1453" s="112"/>
      <c r="M1453" s="112"/>
      <c r="N1453" s="112" t="e">
        <f aca="false">SUM(C1453:M1453)</f>
        <v>#NAME?</v>
      </c>
    </row>
    <row r="1454" customFormat="false" ht="30" hidden="false" customHeight="false" outlineLevel="0" collapsed="false">
      <c r="A1454" s="392" t="s">
        <v>2487</v>
      </c>
      <c r="B1454" s="47" t="s">
        <v>3969</v>
      </c>
      <c r="C1454" s="316"/>
      <c r="D1454" s="316"/>
      <c r="E1454" s="112" t="e">
        <f aca="false">общ.калькуляция!h1453</f>
        <v>#NAME?</v>
      </c>
      <c r="F1454" s="112"/>
      <c r="G1454" s="112"/>
      <c r="H1454" s="112" t="e">
        <f aca="false">общ.калькуляция!j1453</f>
        <v>#NAME?</v>
      </c>
      <c r="I1454" s="112"/>
      <c r="J1454" s="112"/>
      <c r="K1454" s="112" t="e">
        <f aca="false">общ.калькуляция!m1453</f>
        <v>#NAME?</v>
      </c>
      <c r="L1454" s="112"/>
      <c r="M1454" s="112"/>
      <c r="N1454" s="112" t="e">
        <f aca="false">SUM(C1454:M1454)</f>
        <v>#NAME?</v>
      </c>
    </row>
    <row r="1455" customFormat="false" ht="15" hidden="false" customHeight="false" outlineLevel="0" collapsed="false">
      <c r="A1455" s="392" t="s">
        <v>2489</v>
      </c>
      <c r="B1455" s="47" t="s">
        <v>3970</v>
      </c>
      <c r="C1455" s="316"/>
      <c r="D1455" s="316"/>
      <c r="E1455" s="112" t="e">
        <f aca="false">общ.калькуляция!h1454</f>
        <v>#NAME?</v>
      </c>
      <c r="F1455" s="112"/>
      <c r="G1455" s="112"/>
      <c r="H1455" s="112" t="e">
        <f aca="false">общ.калькуляция!j1454</f>
        <v>#NAME?</v>
      </c>
      <c r="I1455" s="112"/>
      <c r="J1455" s="112"/>
      <c r="K1455" s="112" t="e">
        <f aca="false">общ.калькуляция!m1454</f>
        <v>#NAME?</v>
      </c>
      <c r="L1455" s="112"/>
      <c r="M1455" s="112"/>
      <c r="N1455" s="112" t="e">
        <f aca="false">SUM(C1455:M1455)</f>
        <v>#NAME?</v>
      </c>
    </row>
    <row r="1456" customFormat="false" ht="30" hidden="false" customHeight="false" outlineLevel="0" collapsed="false">
      <c r="A1456" s="392" t="s">
        <v>2491</v>
      </c>
      <c r="B1456" s="47" t="s">
        <v>3971</v>
      </c>
      <c r="C1456" s="316"/>
      <c r="D1456" s="316"/>
      <c r="E1456" s="112" t="e">
        <f aca="false">общ.калькуляция!h1455</f>
        <v>#NAME?</v>
      </c>
      <c r="F1456" s="112"/>
      <c r="G1456" s="112"/>
      <c r="H1456" s="112" t="e">
        <f aca="false">общ.калькуляция!j1455</f>
        <v>#NAME?</v>
      </c>
      <c r="I1456" s="112"/>
      <c r="J1456" s="112"/>
      <c r="K1456" s="112" t="e">
        <f aca="false">общ.калькуляция!m1455</f>
        <v>#NAME?</v>
      </c>
      <c r="L1456" s="112"/>
      <c r="M1456" s="112"/>
      <c r="N1456" s="112" t="e">
        <f aca="false">SUM(C1456:M1456)</f>
        <v>#NAME?</v>
      </c>
    </row>
    <row r="1457" customFormat="false" ht="30" hidden="false" customHeight="false" outlineLevel="0" collapsed="false">
      <c r="A1457" s="392" t="s">
        <v>2493</v>
      </c>
      <c r="B1457" s="47" t="s">
        <v>3972</v>
      </c>
      <c r="C1457" s="316"/>
      <c r="D1457" s="316"/>
      <c r="E1457" s="112" t="e">
        <f aca="false">общ.калькуляция!h1456</f>
        <v>#NAME?</v>
      </c>
      <c r="F1457" s="112"/>
      <c r="G1457" s="112"/>
      <c r="H1457" s="112" t="e">
        <f aca="false">общ.калькуляция!j1456</f>
        <v>#NAME?</v>
      </c>
      <c r="I1457" s="112"/>
      <c r="J1457" s="112"/>
      <c r="K1457" s="112" t="e">
        <f aca="false">общ.калькуляция!m1456</f>
        <v>#NAME?</v>
      </c>
      <c r="L1457" s="112"/>
      <c r="M1457" s="112"/>
      <c r="N1457" s="112" t="e">
        <f aca="false">SUM(C1457:M1457)</f>
        <v>#NAME?</v>
      </c>
    </row>
    <row r="1458" customFormat="false" ht="30" hidden="false" customHeight="false" outlineLevel="0" collapsed="false">
      <c r="A1458" s="392" t="s">
        <v>2495</v>
      </c>
      <c r="B1458" s="47" t="s">
        <v>3973</v>
      </c>
      <c r="C1458" s="316"/>
      <c r="D1458" s="316"/>
      <c r="E1458" s="112" t="e">
        <f aca="false">общ.калькуляция!h1457</f>
        <v>#NAME?</v>
      </c>
      <c r="F1458" s="112"/>
      <c r="G1458" s="112"/>
      <c r="H1458" s="112" t="e">
        <f aca="false">общ.калькуляция!j1457</f>
        <v>#NAME?</v>
      </c>
      <c r="I1458" s="112"/>
      <c r="J1458" s="112"/>
      <c r="K1458" s="112" t="e">
        <f aca="false">общ.калькуляция!m1457</f>
        <v>#NAME?</v>
      </c>
      <c r="L1458" s="112"/>
      <c r="M1458" s="112"/>
      <c r="N1458" s="112" t="e">
        <f aca="false">SUM(C1458:M1458)</f>
        <v>#NAME?</v>
      </c>
    </row>
    <row r="1459" customFormat="false" ht="30" hidden="false" customHeight="false" outlineLevel="0" collapsed="false">
      <c r="A1459" s="392" t="s">
        <v>2497</v>
      </c>
      <c r="B1459" s="47" t="s">
        <v>3974</v>
      </c>
      <c r="C1459" s="316"/>
      <c r="D1459" s="316"/>
      <c r="E1459" s="112" t="e">
        <f aca="false">общ.калькуляция!h1458</f>
        <v>#NAME?</v>
      </c>
      <c r="F1459" s="112"/>
      <c r="G1459" s="112"/>
      <c r="H1459" s="112" t="e">
        <f aca="false">общ.калькуляция!j1458</f>
        <v>#NAME?</v>
      </c>
      <c r="I1459" s="112"/>
      <c r="J1459" s="112"/>
      <c r="K1459" s="112" t="e">
        <f aca="false">общ.калькуляция!m1458</f>
        <v>#NAME?</v>
      </c>
      <c r="L1459" s="112"/>
      <c r="M1459" s="112"/>
      <c r="N1459" s="112" t="e">
        <f aca="false">SUM(C1459:M1459)</f>
        <v>#NAME?</v>
      </c>
    </row>
    <row r="1460" customFormat="false" ht="30" hidden="false" customHeight="false" outlineLevel="0" collapsed="false">
      <c r="A1460" s="392" t="s">
        <v>2499</v>
      </c>
      <c r="B1460" s="47" t="s">
        <v>3975</v>
      </c>
      <c r="C1460" s="316"/>
      <c r="D1460" s="316"/>
      <c r="E1460" s="112" t="e">
        <f aca="false">общ.калькуляция!h1459</f>
        <v>#NAME?</v>
      </c>
      <c r="F1460" s="112"/>
      <c r="G1460" s="112"/>
      <c r="H1460" s="112" t="e">
        <f aca="false">общ.калькуляция!j1459</f>
        <v>#NAME?</v>
      </c>
      <c r="I1460" s="112"/>
      <c r="J1460" s="112"/>
      <c r="K1460" s="112" t="e">
        <f aca="false">общ.калькуляция!m1459</f>
        <v>#NAME?</v>
      </c>
      <c r="L1460" s="112"/>
      <c r="M1460" s="112"/>
      <c r="N1460" s="112" t="e">
        <f aca="false">SUM(C1460:M1460)</f>
        <v>#NAME?</v>
      </c>
    </row>
    <row r="1461" customFormat="false" ht="30" hidden="false" customHeight="false" outlineLevel="0" collapsed="false">
      <c r="A1461" s="392" t="s">
        <v>2501</v>
      </c>
      <c r="B1461" s="47" t="s">
        <v>3976</v>
      </c>
      <c r="C1461" s="316"/>
      <c r="D1461" s="316"/>
      <c r="E1461" s="112" t="e">
        <f aca="false">общ.калькуляция!h1460</f>
        <v>#NAME?</v>
      </c>
      <c r="F1461" s="112"/>
      <c r="G1461" s="112"/>
      <c r="H1461" s="112" t="e">
        <f aca="false">общ.калькуляция!j1460</f>
        <v>#NAME?</v>
      </c>
      <c r="I1461" s="112"/>
      <c r="J1461" s="112"/>
      <c r="K1461" s="112" t="e">
        <f aca="false">общ.калькуляция!m1460</f>
        <v>#NAME?</v>
      </c>
      <c r="L1461" s="112"/>
      <c r="M1461" s="112"/>
      <c r="N1461" s="112" t="e">
        <f aca="false">SUM(C1461:M1461)</f>
        <v>#NAME?</v>
      </c>
    </row>
    <row r="1462" customFormat="false" ht="30" hidden="false" customHeight="false" outlineLevel="0" collapsed="false">
      <c r="A1462" s="392" t="s">
        <v>2503</v>
      </c>
      <c r="B1462" s="47" t="s">
        <v>3977</v>
      </c>
      <c r="C1462" s="316"/>
      <c r="D1462" s="316"/>
      <c r="E1462" s="112" t="e">
        <f aca="false">общ.калькуляция!h1461</f>
        <v>#NAME?</v>
      </c>
      <c r="F1462" s="112"/>
      <c r="G1462" s="112"/>
      <c r="H1462" s="112" t="e">
        <f aca="false">общ.калькуляция!j1461</f>
        <v>#NAME?</v>
      </c>
      <c r="I1462" s="112"/>
      <c r="J1462" s="112"/>
      <c r="K1462" s="112" t="e">
        <f aca="false">общ.калькуляция!m1461</f>
        <v>#NAME?</v>
      </c>
      <c r="L1462" s="112"/>
      <c r="M1462" s="112"/>
      <c r="N1462" s="112" t="e">
        <f aca="false">SUM(C1462:M1462)</f>
        <v>#NAME?</v>
      </c>
    </row>
    <row r="1463" customFormat="false" ht="30" hidden="false" customHeight="false" outlineLevel="0" collapsed="false">
      <c r="A1463" s="392" t="s">
        <v>2505</v>
      </c>
      <c r="B1463" s="47" t="s">
        <v>3978</v>
      </c>
      <c r="C1463" s="316"/>
      <c r="D1463" s="316"/>
      <c r="E1463" s="112" t="e">
        <f aca="false">общ.калькуляция!h1462</f>
        <v>#NAME?</v>
      </c>
      <c r="F1463" s="112"/>
      <c r="G1463" s="112"/>
      <c r="H1463" s="112" t="e">
        <f aca="false">общ.калькуляция!j1462</f>
        <v>#NAME?</v>
      </c>
      <c r="I1463" s="112"/>
      <c r="J1463" s="112"/>
      <c r="K1463" s="112" t="e">
        <f aca="false">общ.калькуляция!m1462</f>
        <v>#NAME?</v>
      </c>
      <c r="L1463" s="112"/>
      <c r="M1463" s="112"/>
      <c r="N1463" s="112" t="e">
        <f aca="false">SUM(C1463:M1463)</f>
        <v>#NAME?</v>
      </c>
    </row>
    <row r="1464" customFormat="false" ht="30" hidden="false" customHeight="false" outlineLevel="0" collapsed="false">
      <c r="A1464" s="392" t="s">
        <v>2507</v>
      </c>
      <c r="B1464" s="47" t="s">
        <v>3979</v>
      </c>
      <c r="C1464" s="316"/>
      <c r="D1464" s="316"/>
      <c r="E1464" s="112" t="e">
        <f aca="false">общ.калькуляция!h1463</f>
        <v>#NAME?</v>
      </c>
      <c r="F1464" s="112"/>
      <c r="G1464" s="112"/>
      <c r="H1464" s="112" t="e">
        <f aca="false">общ.калькуляция!j1463</f>
        <v>#NAME?</v>
      </c>
      <c r="I1464" s="112"/>
      <c r="J1464" s="112"/>
      <c r="K1464" s="112" t="e">
        <f aca="false">общ.калькуляция!m1463</f>
        <v>#NAME?</v>
      </c>
      <c r="L1464" s="112"/>
      <c r="M1464" s="112"/>
      <c r="N1464" s="112" t="e">
        <f aca="false">SUM(C1464:M1464)</f>
        <v>#NAME?</v>
      </c>
    </row>
    <row r="1465" customFormat="false" ht="30" hidden="false" customHeight="false" outlineLevel="0" collapsed="false">
      <c r="A1465" s="392" t="s">
        <v>2509</v>
      </c>
      <c r="B1465" s="47" t="s">
        <v>3980</v>
      </c>
      <c r="C1465" s="316"/>
      <c r="D1465" s="316"/>
      <c r="E1465" s="112" t="e">
        <f aca="false">общ.калькуляция!h1464</f>
        <v>#NAME?</v>
      </c>
      <c r="F1465" s="112"/>
      <c r="G1465" s="112"/>
      <c r="H1465" s="112" t="e">
        <f aca="false">общ.калькуляция!j1464</f>
        <v>#NAME?</v>
      </c>
      <c r="I1465" s="112"/>
      <c r="J1465" s="112"/>
      <c r="K1465" s="112" t="e">
        <f aca="false">общ.калькуляция!m1464</f>
        <v>#NAME?</v>
      </c>
      <c r="L1465" s="112"/>
      <c r="M1465" s="112"/>
      <c r="N1465" s="112" t="e">
        <f aca="false">SUM(C1465:M1465)</f>
        <v>#NAME?</v>
      </c>
    </row>
    <row r="1466" customFormat="false" ht="30" hidden="false" customHeight="false" outlineLevel="0" collapsed="false">
      <c r="A1466" s="392" t="s">
        <v>2511</v>
      </c>
      <c r="B1466" s="47" t="s">
        <v>3981</v>
      </c>
      <c r="C1466" s="316"/>
      <c r="D1466" s="316"/>
      <c r="E1466" s="112" t="e">
        <f aca="false">общ.калькуляция!h1465</f>
        <v>#NAME?</v>
      </c>
      <c r="F1466" s="112"/>
      <c r="G1466" s="112"/>
      <c r="H1466" s="112" t="e">
        <f aca="false">общ.калькуляция!j1465</f>
        <v>#NAME?</v>
      </c>
      <c r="I1466" s="112"/>
      <c r="J1466" s="112"/>
      <c r="K1466" s="112" t="e">
        <f aca="false">общ.калькуляция!m1465</f>
        <v>#NAME?</v>
      </c>
      <c r="L1466" s="112"/>
      <c r="M1466" s="112"/>
      <c r="N1466" s="112" t="e">
        <f aca="false">SUM(C1466:M1466)</f>
        <v>#NAME?</v>
      </c>
    </row>
    <row r="1467" customFormat="false" ht="30" hidden="false" customHeight="false" outlineLevel="0" collapsed="false">
      <c r="A1467" s="391" t="s">
        <v>2513</v>
      </c>
      <c r="B1467" s="29" t="s">
        <v>3982</v>
      </c>
      <c r="C1467" s="316"/>
      <c r="D1467" s="316"/>
      <c r="E1467" s="112" t="e">
        <f aca="false">общ.калькуляция!h1466</f>
        <v>#NAME?</v>
      </c>
      <c r="F1467" s="112"/>
      <c r="G1467" s="112"/>
      <c r="H1467" s="112" t="e">
        <f aca="false">общ.калькуляция!j1466</f>
        <v>#NAME?</v>
      </c>
      <c r="I1467" s="112"/>
      <c r="J1467" s="112"/>
      <c r="K1467" s="112" t="e">
        <f aca="false">общ.калькуляция!m1466</f>
        <v>#NAME?</v>
      </c>
      <c r="L1467" s="112"/>
      <c r="M1467" s="112"/>
      <c r="N1467" s="112" t="e">
        <f aca="false">SUM(C1467:M1467)</f>
        <v>#NAME?</v>
      </c>
    </row>
    <row r="1468" customFormat="false" ht="30" hidden="false" customHeight="false" outlineLevel="0" collapsed="false">
      <c r="A1468" s="391" t="s">
        <v>2515</v>
      </c>
      <c r="B1468" s="29" t="s">
        <v>3983</v>
      </c>
      <c r="C1468" s="316"/>
      <c r="D1468" s="316"/>
      <c r="E1468" s="112" t="e">
        <f aca="false">общ.калькуляция!h1467</f>
        <v>#NAME?</v>
      </c>
      <c r="F1468" s="112"/>
      <c r="G1468" s="112"/>
      <c r="H1468" s="112" t="e">
        <f aca="false">общ.калькуляция!j1467</f>
        <v>#NAME?</v>
      </c>
      <c r="I1468" s="112"/>
      <c r="J1468" s="112"/>
      <c r="K1468" s="112" t="e">
        <f aca="false">общ.калькуляция!m1467</f>
        <v>#NAME?</v>
      </c>
      <c r="L1468" s="112"/>
      <c r="M1468" s="112"/>
      <c r="N1468" s="112" t="e">
        <f aca="false">SUM(C1468:M1468)</f>
        <v>#NAME?</v>
      </c>
    </row>
    <row r="1469" customFormat="false" ht="30" hidden="false" customHeight="false" outlineLevel="0" collapsed="false">
      <c r="A1469" s="391" t="s">
        <v>2517</v>
      </c>
      <c r="B1469" s="29" t="s">
        <v>3984</v>
      </c>
      <c r="C1469" s="316"/>
      <c r="D1469" s="316"/>
      <c r="E1469" s="112" t="e">
        <f aca="false">общ.калькуляция!h1468</f>
        <v>#NAME?</v>
      </c>
      <c r="F1469" s="112"/>
      <c r="G1469" s="112"/>
      <c r="H1469" s="112" t="e">
        <f aca="false">общ.калькуляция!j1468</f>
        <v>#NAME?</v>
      </c>
      <c r="I1469" s="112"/>
      <c r="J1469" s="112"/>
      <c r="K1469" s="112" t="e">
        <f aca="false">общ.калькуляция!m1468</f>
        <v>#NAME?</v>
      </c>
      <c r="L1469" s="112"/>
      <c r="M1469" s="112"/>
      <c r="N1469" s="112" t="e">
        <f aca="false">SUM(C1469:M1469)</f>
        <v>#NAME?</v>
      </c>
    </row>
    <row r="1470" customFormat="false" ht="30" hidden="false" customHeight="false" outlineLevel="0" collapsed="false">
      <c r="A1470" s="391" t="s">
        <v>2519</v>
      </c>
      <c r="B1470" s="29" t="s">
        <v>3985</v>
      </c>
      <c r="C1470" s="316"/>
      <c r="D1470" s="316"/>
      <c r="E1470" s="112" t="e">
        <f aca="false">общ.калькуляция!h1469</f>
        <v>#NAME?</v>
      </c>
      <c r="F1470" s="112"/>
      <c r="G1470" s="112"/>
      <c r="H1470" s="112" t="e">
        <f aca="false">общ.калькуляция!j1469</f>
        <v>#NAME?</v>
      </c>
      <c r="I1470" s="112"/>
      <c r="J1470" s="112"/>
      <c r="K1470" s="112" t="e">
        <f aca="false">общ.калькуляция!m1469</f>
        <v>#NAME?</v>
      </c>
      <c r="L1470" s="112"/>
      <c r="M1470" s="112"/>
      <c r="N1470" s="112" t="e">
        <f aca="false">SUM(C1470:M1470)</f>
        <v>#NAME?</v>
      </c>
    </row>
    <row r="1471" customFormat="false" ht="15" hidden="false" customHeight="false" outlineLevel="0" collapsed="false">
      <c r="A1471" s="388" t="s">
        <v>2521</v>
      </c>
      <c r="B1471" s="128" t="s">
        <v>3751</v>
      </c>
      <c r="C1471" s="387"/>
      <c r="D1471" s="387"/>
      <c r="E1471" s="126" t="e">
        <f aca="false">общ.калькуляция!h1470</f>
        <v>#NAME?</v>
      </c>
      <c r="F1471" s="126"/>
      <c r="G1471" s="126"/>
      <c r="H1471" s="126" t="e">
        <f aca="false">общ.калькуляция!j1470</f>
        <v>#NAME?</v>
      </c>
      <c r="I1471" s="126"/>
      <c r="J1471" s="126"/>
      <c r="K1471" s="126" t="e">
        <f aca="false">общ.калькуляция!m1470</f>
        <v>#NAME?</v>
      </c>
      <c r="L1471" s="126"/>
      <c r="M1471" s="126"/>
      <c r="N1471" s="126" t="e">
        <f aca="false">SUM(C1471:M1471)</f>
        <v>#NAME?</v>
      </c>
    </row>
    <row r="1472" customFormat="false" ht="30" hidden="false" customHeight="false" outlineLevel="0" collapsed="false">
      <c r="A1472" s="327" t="s">
        <v>2522</v>
      </c>
      <c r="B1472" s="137" t="s">
        <v>3986</v>
      </c>
      <c r="C1472" s="316"/>
      <c r="D1472" s="316"/>
      <c r="E1472" s="112" t="e">
        <f aca="false">общ.калькуляция!h1471</f>
        <v>#NAME?</v>
      </c>
      <c r="F1472" s="112"/>
      <c r="G1472" s="112"/>
      <c r="H1472" s="112" t="e">
        <f aca="false">общ.калькуляция!j1471</f>
        <v>#NAME?</v>
      </c>
      <c r="I1472" s="112"/>
      <c r="J1472" s="112"/>
      <c r="K1472" s="112" t="e">
        <f aca="false">общ.калькуляция!m1471</f>
        <v>#NAME?</v>
      </c>
      <c r="L1472" s="112"/>
      <c r="M1472" s="112"/>
      <c r="N1472" s="112" t="e">
        <f aca="false">SUM(C1472:M1472)</f>
        <v>#NAME?</v>
      </c>
    </row>
    <row r="1473" customFormat="false" ht="15" hidden="false" customHeight="false" outlineLevel="0" collapsed="false">
      <c r="A1473" s="350" t="s">
        <v>2524</v>
      </c>
      <c r="B1473" s="393" t="s">
        <v>3987</v>
      </c>
      <c r="C1473" s="316"/>
      <c r="D1473" s="316"/>
      <c r="E1473" s="112" t="e">
        <f aca="false">общ.калькуляция!h1472</f>
        <v>#NAME?</v>
      </c>
      <c r="F1473" s="112"/>
      <c r="G1473" s="112"/>
      <c r="H1473" s="112" t="e">
        <f aca="false">общ.калькуляция!j1472</f>
        <v>#NAME?</v>
      </c>
      <c r="I1473" s="112"/>
      <c r="J1473" s="112"/>
      <c r="K1473" s="112" t="e">
        <f aca="false">общ.калькуляция!m1472</f>
        <v>#NAME?</v>
      </c>
      <c r="L1473" s="112"/>
      <c r="M1473" s="112"/>
      <c r="N1473" s="112" t="e">
        <f aca="false">SUM(C1473:M1473)</f>
        <v>#NAME?</v>
      </c>
    </row>
    <row r="1474" customFormat="false" ht="15" hidden="false" customHeight="false" outlineLevel="0" collapsed="false">
      <c r="A1474" s="350" t="s">
        <v>2526</v>
      </c>
      <c r="B1474" s="16" t="s">
        <v>3988</v>
      </c>
      <c r="C1474" s="387"/>
      <c r="D1474" s="387"/>
      <c r="E1474" s="126" t="e">
        <f aca="false">общ.калькуляция!h1473</f>
        <v>#NAME?</v>
      </c>
      <c r="F1474" s="126"/>
      <c r="G1474" s="126"/>
      <c r="H1474" s="126" t="e">
        <f aca="false">общ.калькуляция!j1473</f>
        <v>#NAME?</v>
      </c>
      <c r="I1474" s="126"/>
      <c r="J1474" s="126"/>
      <c r="K1474" s="126" t="e">
        <f aca="false">общ.калькуляция!m1473</f>
        <v>#NAME?</v>
      </c>
      <c r="L1474" s="126"/>
      <c r="M1474" s="126"/>
      <c r="N1474" s="126" t="e">
        <f aca="false">SUM(C1474:M1474)</f>
        <v>#NAME?</v>
      </c>
    </row>
    <row r="1475" customFormat="false" ht="28.5" hidden="false" customHeight="false" outlineLevel="0" collapsed="false">
      <c r="A1475" s="350" t="s">
        <v>2528</v>
      </c>
      <c r="B1475" s="16" t="s">
        <v>3989</v>
      </c>
      <c r="C1475" s="387"/>
      <c r="D1475" s="387"/>
      <c r="E1475" s="126" t="e">
        <f aca="false">общ.калькуляция!h1474</f>
        <v>#NAME?</v>
      </c>
      <c r="F1475" s="126"/>
      <c r="G1475" s="126"/>
      <c r="H1475" s="126" t="e">
        <f aca="false">общ.калькуляция!j1474</f>
        <v>#NAME?</v>
      </c>
      <c r="I1475" s="126"/>
      <c r="J1475" s="126"/>
      <c r="K1475" s="126" t="e">
        <f aca="false">общ.калькуляция!m1474</f>
        <v>#NAME?</v>
      </c>
      <c r="L1475" s="126"/>
      <c r="M1475" s="126"/>
      <c r="N1475" s="126" t="e">
        <f aca="false">SUM(C1475:M1475)</f>
        <v>#NAME?</v>
      </c>
    </row>
    <row r="1476" customFormat="false" ht="28.5" hidden="false" customHeight="false" outlineLevel="0" collapsed="false">
      <c r="A1476" s="350" t="s">
        <v>2530</v>
      </c>
      <c r="B1476" s="16" t="s">
        <v>3990</v>
      </c>
      <c r="C1476" s="387"/>
      <c r="D1476" s="387"/>
      <c r="E1476" s="126" t="e">
        <f aca="false">общ.калькуляция!h1475</f>
        <v>#NAME?</v>
      </c>
      <c r="F1476" s="126"/>
      <c r="G1476" s="126"/>
      <c r="H1476" s="126" t="e">
        <f aca="false">общ.калькуляция!j1475</f>
        <v>#NAME?</v>
      </c>
      <c r="I1476" s="126"/>
      <c r="J1476" s="126"/>
      <c r="K1476" s="126" t="e">
        <f aca="false">общ.калькуляция!m1475</f>
        <v>#NAME?</v>
      </c>
      <c r="L1476" s="126"/>
      <c r="M1476" s="126"/>
      <c r="N1476" s="126" t="e">
        <f aca="false">SUM(C1476:M1476)</f>
        <v>#NAME?</v>
      </c>
    </row>
    <row r="1477" customFormat="false" ht="42.75" hidden="false" customHeight="false" outlineLevel="0" collapsed="false">
      <c r="A1477" s="350" t="s">
        <v>2532</v>
      </c>
      <c r="B1477" s="16" t="s">
        <v>3991</v>
      </c>
      <c r="C1477" s="387"/>
      <c r="D1477" s="387"/>
      <c r="E1477" s="126" t="e">
        <f aca="false">общ.калькуляция!h1476</f>
        <v>#NAME?</v>
      </c>
      <c r="F1477" s="126"/>
      <c r="G1477" s="126"/>
      <c r="H1477" s="126" t="e">
        <f aca="false">общ.калькуляция!j1476</f>
        <v>#NAME?</v>
      </c>
      <c r="I1477" s="126"/>
      <c r="J1477" s="126"/>
      <c r="K1477" s="126" t="e">
        <f aca="false">общ.калькуляция!m1476</f>
        <v>#NAME?</v>
      </c>
      <c r="L1477" s="126"/>
      <c r="M1477" s="126"/>
      <c r="N1477" s="126" t="e">
        <f aca="false">SUM(C1477:M1477)</f>
        <v>#NAME?</v>
      </c>
    </row>
    <row r="1478" customFormat="false" ht="42.75" hidden="false" customHeight="false" outlineLevel="0" collapsed="false">
      <c r="A1478" s="350" t="s">
        <v>2534</v>
      </c>
      <c r="B1478" s="16" t="s">
        <v>3992</v>
      </c>
      <c r="C1478" s="387"/>
      <c r="D1478" s="387"/>
      <c r="E1478" s="126" t="e">
        <f aca="false">общ.калькуляция!h1477</f>
        <v>#NAME?</v>
      </c>
      <c r="F1478" s="126"/>
      <c r="G1478" s="126"/>
      <c r="H1478" s="126" t="e">
        <f aca="false">общ.калькуляция!j1477</f>
        <v>#NAME?</v>
      </c>
      <c r="I1478" s="126"/>
      <c r="J1478" s="126"/>
      <c r="K1478" s="126" t="e">
        <f aca="false">общ.калькуляция!m1477</f>
        <v>#NAME?</v>
      </c>
      <c r="L1478" s="126"/>
      <c r="M1478" s="126"/>
      <c r="N1478" s="126" t="e">
        <f aca="false">SUM(C1478:M1478)</f>
        <v>#NAME?</v>
      </c>
    </row>
    <row r="1479" customFormat="false" ht="42.75" hidden="false" customHeight="false" outlineLevel="0" collapsed="false">
      <c r="A1479" s="350" t="s">
        <v>2536</v>
      </c>
      <c r="B1479" s="16" t="s">
        <v>3993</v>
      </c>
      <c r="C1479" s="387"/>
      <c r="D1479" s="387"/>
      <c r="E1479" s="126" t="e">
        <f aca="false">общ.калькуляция!h1478</f>
        <v>#NAME?</v>
      </c>
      <c r="F1479" s="126"/>
      <c r="G1479" s="126"/>
      <c r="H1479" s="126" t="e">
        <f aca="false">общ.калькуляция!j1478</f>
        <v>#NAME?</v>
      </c>
      <c r="I1479" s="126"/>
      <c r="J1479" s="126"/>
      <c r="K1479" s="126" t="e">
        <f aca="false">общ.калькуляция!m1478</f>
        <v>#NAME?</v>
      </c>
      <c r="L1479" s="126"/>
      <c r="M1479" s="126"/>
      <c r="N1479" s="126" t="e">
        <f aca="false">SUM(C1479:M1479)</f>
        <v>#NAME?</v>
      </c>
    </row>
    <row r="1480" customFormat="false" ht="42.75" hidden="false" customHeight="false" outlineLevel="0" collapsed="false">
      <c r="A1480" s="350" t="s">
        <v>2538</v>
      </c>
      <c r="B1480" s="16" t="s">
        <v>3994</v>
      </c>
      <c r="C1480" s="387"/>
      <c r="D1480" s="387"/>
      <c r="E1480" s="126" t="e">
        <f aca="false">общ.калькуляция!h1479</f>
        <v>#NAME?</v>
      </c>
      <c r="F1480" s="126"/>
      <c r="G1480" s="126"/>
      <c r="H1480" s="126" t="e">
        <f aca="false">общ.калькуляция!j1479</f>
        <v>#NAME?</v>
      </c>
      <c r="I1480" s="126"/>
      <c r="J1480" s="126"/>
      <c r="K1480" s="126" t="e">
        <f aca="false">общ.калькуляция!m1479</f>
        <v>#NAME?</v>
      </c>
      <c r="L1480" s="126"/>
      <c r="M1480" s="126"/>
      <c r="N1480" s="126" t="e">
        <f aca="false">SUM(C1480:M1480)</f>
        <v>#NAME?</v>
      </c>
    </row>
    <row r="1481" customFormat="false" ht="15" hidden="false" customHeight="false" outlineLevel="0" collapsed="false">
      <c r="A1481" s="138" t="s">
        <v>2540</v>
      </c>
      <c r="B1481" s="92" t="s">
        <v>3995</v>
      </c>
      <c r="C1481" s="316"/>
      <c r="D1481" s="316"/>
      <c r="E1481" s="112"/>
      <c r="F1481" s="112"/>
      <c r="G1481" s="112"/>
      <c r="H1481" s="112"/>
      <c r="I1481" s="112"/>
      <c r="J1481" s="112"/>
      <c r="K1481" s="112"/>
      <c r="L1481" s="112"/>
      <c r="M1481" s="112"/>
      <c r="N1481" s="112"/>
    </row>
    <row r="1482" customFormat="false" ht="30" hidden="false" customHeight="false" outlineLevel="0" collapsed="false">
      <c r="A1482" s="142" t="s">
        <v>2542</v>
      </c>
      <c r="B1482" s="49" t="s">
        <v>3996</v>
      </c>
      <c r="C1482" s="316"/>
      <c r="D1482" s="316"/>
      <c r="E1482" s="112" t="e">
        <f aca="false">общ.калькуляция!h1481</f>
        <v>#NAME?</v>
      </c>
      <c r="F1482" s="112"/>
      <c r="G1482" s="112"/>
      <c r="H1482" s="112" t="e">
        <f aca="false">общ.калькуляция!j1481</f>
        <v>#NAME?</v>
      </c>
      <c r="I1482" s="112"/>
      <c r="J1482" s="112"/>
      <c r="K1482" s="112" t="e">
        <f aca="false">общ.калькуляция!m1481</f>
        <v>#NAME?</v>
      </c>
      <c r="L1482" s="112"/>
      <c r="M1482" s="112"/>
      <c r="N1482" s="112" t="e">
        <f aca="false">SUM(C1482:M1482)</f>
        <v>#NAME?</v>
      </c>
    </row>
    <row r="1483" customFormat="false" ht="15" hidden="false" customHeight="false" outlineLevel="0" collapsed="false">
      <c r="A1483" s="142" t="s">
        <v>2545</v>
      </c>
      <c r="B1483" s="49" t="s">
        <v>3997</v>
      </c>
      <c r="C1483" s="316"/>
      <c r="D1483" s="316"/>
      <c r="E1483" s="112" t="e">
        <f aca="false">общ.калькуляция!h1482</f>
        <v>#NAME?</v>
      </c>
      <c r="F1483" s="112"/>
      <c r="G1483" s="112"/>
      <c r="H1483" s="112" t="e">
        <f aca="false">общ.калькуляция!j1482</f>
        <v>#NAME?</v>
      </c>
      <c r="I1483" s="112"/>
      <c r="J1483" s="112"/>
      <c r="K1483" s="112" t="e">
        <f aca="false">общ.калькуляция!m1482</f>
        <v>#NAME?</v>
      </c>
      <c r="L1483" s="112"/>
      <c r="M1483" s="112"/>
      <c r="N1483" s="112" t="e">
        <f aca="false">SUM(C1483:M1483)</f>
        <v>#NAME?</v>
      </c>
    </row>
    <row r="1484" customFormat="false" ht="28.5" hidden="false" customHeight="false" outlineLevel="0" collapsed="false">
      <c r="A1484" s="138" t="s">
        <v>2548</v>
      </c>
      <c r="B1484" s="92" t="s">
        <v>3998</v>
      </c>
      <c r="C1484" s="92"/>
      <c r="D1484" s="92"/>
      <c r="E1484" s="92"/>
      <c r="F1484" s="92"/>
      <c r="G1484" s="92"/>
      <c r="H1484" s="92"/>
      <c r="I1484" s="92"/>
      <c r="J1484" s="92"/>
      <c r="K1484" s="92"/>
      <c r="L1484" s="92"/>
      <c r="M1484" s="92"/>
      <c r="N1484" s="92"/>
    </row>
    <row r="1485" customFormat="false" ht="30" hidden="false" customHeight="false" outlineLevel="0" collapsed="false">
      <c r="A1485" s="142" t="s">
        <v>2550</v>
      </c>
      <c r="B1485" s="49" t="s">
        <v>3999</v>
      </c>
      <c r="C1485" s="316"/>
      <c r="D1485" s="316"/>
      <c r="E1485" s="112" t="e">
        <f aca="false">общ.калькуляция!h1484</f>
        <v>#NAME?</v>
      </c>
      <c r="F1485" s="112"/>
      <c r="G1485" s="112"/>
      <c r="H1485" s="112" t="e">
        <f aca="false">общ.калькуляция!j1484</f>
        <v>#NAME?</v>
      </c>
      <c r="I1485" s="112"/>
      <c r="J1485" s="112"/>
      <c r="K1485" s="112" t="e">
        <f aca="false">общ.калькуляция!m1484</f>
        <v>#NAME?</v>
      </c>
      <c r="L1485" s="112"/>
      <c r="M1485" s="112"/>
      <c r="N1485" s="112" t="e">
        <f aca="false">SUM(C1485:M1485)</f>
        <v>#NAME?</v>
      </c>
    </row>
    <row r="1486" customFormat="false" ht="30" hidden="false" customHeight="false" outlineLevel="0" collapsed="false">
      <c r="A1486" s="142" t="s">
        <v>2553</v>
      </c>
      <c r="B1486" s="49" t="s">
        <v>4000</v>
      </c>
      <c r="C1486" s="316"/>
      <c r="D1486" s="316"/>
      <c r="E1486" s="112" t="e">
        <f aca="false">общ.калькуляция!h1485</f>
        <v>#NAME?</v>
      </c>
      <c r="F1486" s="112"/>
      <c r="G1486" s="112"/>
      <c r="H1486" s="112" t="e">
        <f aca="false">общ.калькуляция!j1485</f>
        <v>#NAME?</v>
      </c>
      <c r="I1486" s="112"/>
      <c r="J1486" s="112"/>
      <c r="K1486" s="112" t="e">
        <f aca="false">общ.калькуляция!m1485</f>
        <v>#NAME?</v>
      </c>
      <c r="L1486" s="112"/>
      <c r="M1486" s="112"/>
      <c r="N1486" s="112" t="e">
        <f aca="false">SUM(C1486:M1486)</f>
        <v>#NAME?</v>
      </c>
    </row>
    <row r="1487" customFormat="false" ht="30.75" hidden="false" customHeight="true" outlineLevel="0" collapsed="false">
      <c r="A1487" s="138" t="s">
        <v>2555</v>
      </c>
      <c r="B1487" s="92" t="s">
        <v>4001</v>
      </c>
      <c r="C1487" s="92"/>
      <c r="D1487" s="92"/>
      <c r="E1487" s="92"/>
      <c r="F1487" s="92"/>
      <c r="G1487" s="92"/>
      <c r="H1487" s="92"/>
      <c r="I1487" s="92"/>
      <c r="J1487" s="92"/>
      <c r="K1487" s="92"/>
      <c r="L1487" s="92"/>
      <c r="M1487" s="92"/>
      <c r="N1487" s="92"/>
    </row>
    <row r="1488" customFormat="false" ht="15" hidden="false" customHeight="false" outlineLevel="0" collapsed="false">
      <c r="A1488" s="142" t="s">
        <v>2557</v>
      </c>
      <c r="B1488" s="49" t="s">
        <v>4002</v>
      </c>
      <c r="C1488" s="316"/>
      <c r="D1488" s="316"/>
      <c r="E1488" s="112" t="e">
        <f aca="false">общ.калькуляция!h1487</f>
        <v>#NAME?</v>
      </c>
      <c r="F1488" s="112"/>
      <c r="G1488" s="112"/>
      <c r="H1488" s="112" t="e">
        <f aca="false">общ.калькуляция!j1487</f>
        <v>#NAME?</v>
      </c>
      <c r="I1488" s="112"/>
      <c r="J1488" s="112"/>
      <c r="K1488" s="112" t="e">
        <f aca="false">общ.калькуляция!m1487</f>
        <v>#NAME?</v>
      </c>
      <c r="L1488" s="112"/>
      <c r="M1488" s="112"/>
      <c r="N1488" s="112" t="e">
        <f aca="false">SUM(C1488:M1488)</f>
        <v>#NAME?</v>
      </c>
    </row>
    <row r="1489" customFormat="false" ht="15" hidden="false" customHeight="false" outlineLevel="0" collapsed="false">
      <c r="A1489" s="142" t="s">
        <v>2560</v>
      </c>
      <c r="B1489" s="49" t="s">
        <v>4003</v>
      </c>
      <c r="C1489" s="316"/>
      <c r="D1489" s="316"/>
      <c r="E1489" s="112" t="e">
        <f aca="false">общ.калькуляция!h1488</f>
        <v>#NAME?</v>
      </c>
      <c r="F1489" s="112"/>
      <c r="G1489" s="112"/>
      <c r="H1489" s="112" t="e">
        <f aca="false">общ.калькуляция!j1488</f>
        <v>#NAME?</v>
      </c>
      <c r="I1489" s="112"/>
      <c r="J1489" s="112"/>
      <c r="K1489" s="112" t="e">
        <f aca="false">общ.калькуляция!m1488</f>
        <v>#NAME?</v>
      </c>
      <c r="L1489" s="112"/>
      <c r="M1489" s="112"/>
      <c r="N1489" s="112" t="e">
        <f aca="false">SUM(C1489:M1489)</f>
        <v>#NAME?</v>
      </c>
    </row>
    <row r="1490" customFormat="false" ht="15" hidden="false" customHeight="false" outlineLevel="0" collapsed="false">
      <c r="A1490" s="142" t="s">
        <v>2562</v>
      </c>
      <c r="B1490" s="49" t="s">
        <v>4004</v>
      </c>
      <c r="C1490" s="316"/>
      <c r="D1490" s="316"/>
      <c r="E1490" s="112" t="e">
        <f aca="false">общ.калькуляция!h1489</f>
        <v>#NAME?</v>
      </c>
      <c r="F1490" s="112"/>
      <c r="G1490" s="112"/>
      <c r="H1490" s="112" t="e">
        <f aca="false">общ.калькуляция!j1489</f>
        <v>#NAME?</v>
      </c>
      <c r="I1490" s="112"/>
      <c r="J1490" s="112"/>
      <c r="K1490" s="112" t="e">
        <f aca="false">общ.калькуляция!m1489</f>
        <v>#NAME?</v>
      </c>
      <c r="L1490" s="112"/>
      <c r="M1490" s="112"/>
      <c r="N1490" s="112" t="e">
        <f aca="false">SUM(C1490:M1490)</f>
        <v>#NAME?</v>
      </c>
    </row>
    <row r="1491" customFormat="false" ht="15" hidden="false" customHeight="false" outlineLevel="0" collapsed="false">
      <c r="A1491" s="142" t="s">
        <v>2564</v>
      </c>
      <c r="B1491" s="49" t="s">
        <v>4005</v>
      </c>
      <c r="C1491" s="316"/>
      <c r="D1491" s="316"/>
      <c r="E1491" s="112" t="e">
        <f aca="false">общ.калькуляция!h1490</f>
        <v>#NAME?</v>
      </c>
      <c r="F1491" s="112"/>
      <c r="G1491" s="112"/>
      <c r="H1491" s="112" t="e">
        <f aca="false">общ.калькуляция!j1490</f>
        <v>#NAME?</v>
      </c>
      <c r="I1491" s="112"/>
      <c r="J1491" s="112"/>
      <c r="K1491" s="112" t="e">
        <f aca="false">общ.калькуляция!m1490</f>
        <v>#NAME?</v>
      </c>
      <c r="L1491" s="112"/>
      <c r="M1491" s="112"/>
      <c r="N1491" s="112" t="e">
        <f aca="false">SUM(C1491:M1491)</f>
        <v>#NAME?</v>
      </c>
    </row>
    <row r="1492" customFormat="false" ht="42.75" hidden="false" customHeight="false" outlineLevel="0" collapsed="false">
      <c r="A1492" s="148" t="n">
        <v>11</v>
      </c>
      <c r="B1492" s="149" t="s">
        <v>4006</v>
      </c>
      <c r="C1492" s="316"/>
      <c r="D1492" s="316"/>
      <c r="E1492" s="112" t="e">
        <f aca="false">общ.калькуляция!h1491</f>
        <v>#NAME?</v>
      </c>
      <c r="F1492" s="112"/>
      <c r="G1492" s="112"/>
      <c r="H1492" s="112" t="e">
        <f aca="false">общ.калькуляция!j1491</f>
        <v>#NAME?</v>
      </c>
      <c r="I1492" s="112"/>
      <c r="J1492" s="112"/>
      <c r="K1492" s="112" t="e">
        <f aca="false">общ.калькуляция!m1491</f>
        <v>#NAME?</v>
      </c>
      <c r="L1492" s="112"/>
      <c r="M1492" s="112"/>
      <c r="N1492" s="112" t="e">
        <f aca="false">SUM(C1492:M1492)</f>
        <v>#NAME?</v>
      </c>
    </row>
    <row r="1493" customFormat="false" ht="15" hidden="false" customHeight="false" outlineLevel="0" collapsed="false">
      <c r="A1493" s="148" t="n">
        <v>12</v>
      </c>
      <c r="B1493" s="149" t="s">
        <v>4007</v>
      </c>
      <c r="C1493" s="316"/>
      <c r="D1493" s="316"/>
      <c r="E1493" s="112" t="e">
        <f aca="false">общ.калькуляция!h1492</f>
        <v>#NAME?</v>
      </c>
      <c r="F1493" s="112"/>
      <c r="G1493" s="112"/>
      <c r="H1493" s="112" t="e">
        <f aca="false">общ.калькуляция!j1492</f>
        <v>#NAME?</v>
      </c>
      <c r="I1493" s="112"/>
      <c r="J1493" s="112"/>
      <c r="K1493" s="112" t="e">
        <f aca="false">общ.калькуляция!m1492</f>
        <v>#NAME?</v>
      </c>
      <c r="L1493" s="112"/>
      <c r="M1493" s="112"/>
      <c r="N1493" s="112" t="e">
        <f aca="false">SUM(C1493:M1493)</f>
        <v>#NAME?</v>
      </c>
    </row>
    <row r="1494" customFormat="false" ht="15" hidden="false" customHeight="false" outlineLevel="0" collapsed="false">
      <c r="A1494" s="148" t="n">
        <v>13</v>
      </c>
      <c r="B1494" s="149" t="s">
        <v>4008</v>
      </c>
      <c r="C1494" s="316"/>
      <c r="D1494" s="316"/>
      <c r="E1494" s="112" t="e">
        <f aca="false">общ.калькуляция!h1493</f>
        <v>#NAME?</v>
      </c>
      <c r="F1494" s="112"/>
      <c r="G1494" s="112"/>
      <c r="H1494" s="112" t="e">
        <f aca="false">общ.калькуляция!j1493</f>
        <v>#NAME?</v>
      </c>
      <c r="I1494" s="112"/>
      <c r="J1494" s="112"/>
      <c r="K1494" s="112" t="e">
        <f aca="false">общ.калькуляция!m1493</f>
        <v>#NAME?</v>
      </c>
      <c r="L1494" s="112"/>
      <c r="M1494" s="112"/>
      <c r="N1494" s="112" t="e">
        <f aca="false">SUM(C1494:M1494)</f>
        <v>#NAME?</v>
      </c>
    </row>
    <row r="1495" customFormat="false" ht="15" hidden="false" customHeight="false" outlineLevel="0" collapsed="false">
      <c r="A1495" s="148" t="n">
        <v>14</v>
      </c>
      <c r="B1495" s="149" t="s">
        <v>4009</v>
      </c>
      <c r="C1495" s="316"/>
      <c r="D1495" s="316"/>
      <c r="E1495" s="112" t="e">
        <f aca="false">общ.калькуляция!h1494</f>
        <v>#NAME?</v>
      </c>
      <c r="F1495" s="112"/>
      <c r="G1495" s="112"/>
      <c r="H1495" s="112" t="e">
        <f aca="false">общ.калькуляция!j1494</f>
        <v>#NAME?</v>
      </c>
      <c r="I1495" s="112"/>
      <c r="J1495" s="112"/>
      <c r="K1495" s="112" t="e">
        <f aca="false">общ.калькуляция!m1494</f>
        <v>#NAME?</v>
      </c>
      <c r="L1495" s="112"/>
      <c r="M1495" s="112"/>
      <c r="N1495" s="112" t="e">
        <f aca="false">SUM(C1495:M1495)</f>
        <v>#NAME?</v>
      </c>
    </row>
    <row r="1496" customFormat="false" ht="28.5" hidden="false" customHeight="false" outlineLevel="0" collapsed="false">
      <c r="A1496" s="394" t="s">
        <v>2573</v>
      </c>
      <c r="B1496" s="395" t="s">
        <v>4010</v>
      </c>
      <c r="C1496" s="395"/>
      <c r="D1496" s="395"/>
      <c r="E1496" s="395"/>
      <c r="F1496" s="395"/>
      <c r="G1496" s="395"/>
      <c r="H1496" s="395"/>
      <c r="I1496" s="395"/>
      <c r="J1496" s="395"/>
      <c r="K1496" s="395"/>
      <c r="L1496" s="395"/>
      <c r="M1496" s="395"/>
      <c r="N1496" s="395"/>
    </row>
    <row r="1497" customFormat="false" ht="45" hidden="false" customHeight="false" outlineLevel="0" collapsed="false">
      <c r="A1497" s="396" t="s">
        <v>2577</v>
      </c>
      <c r="B1497" s="163" t="s">
        <v>4011</v>
      </c>
      <c r="C1497" s="316"/>
      <c r="D1497" s="316"/>
      <c r="E1497" s="112" t="e">
        <f aca="false">общ.калькуляция!h1496</f>
        <v>#NAME?</v>
      </c>
      <c r="F1497" s="112"/>
      <c r="G1497" s="112"/>
      <c r="H1497" s="112" t="e">
        <f aca="false">общ.калькуляция!j1496</f>
        <v>#NAME?</v>
      </c>
      <c r="I1497" s="112"/>
      <c r="J1497" s="112"/>
      <c r="K1497" s="112" t="e">
        <f aca="false">общ.калькуляция!m1496</f>
        <v>#NAME?</v>
      </c>
      <c r="L1497" s="112"/>
      <c r="M1497" s="112"/>
      <c r="N1497" s="112" t="e">
        <f aca="false">SUM(C1497:M1497)</f>
        <v>#NAME?</v>
      </c>
    </row>
    <row r="1498" customFormat="false" ht="31.5" hidden="false" customHeight="false" outlineLevel="0" collapsed="false">
      <c r="A1498" s="396" t="s">
        <v>2579</v>
      </c>
      <c r="B1498" s="397" t="s">
        <v>4012</v>
      </c>
      <c r="C1498" s="316"/>
      <c r="D1498" s="316"/>
      <c r="E1498" s="112" t="e">
        <f aca="false">общ.калькуляция!h1497</f>
        <v>#NAME?</v>
      </c>
      <c r="F1498" s="112"/>
      <c r="G1498" s="112"/>
      <c r="H1498" s="112" t="e">
        <f aca="false">общ.калькуляция!j1497</f>
        <v>#NAME?</v>
      </c>
      <c r="I1498" s="112"/>
      <c r="J1498" s="112"/>
      <c r="K1498" s="112" t="e">
        <f aca="false">общ.калькуляция!m1497</f>
        <v>#NAME?</v>
      </c>
      <c r="L1498" s="112"/>
      <c r="M1498" s="112"/>
      <c r="N1498" s="112" t="e">
        <f aca="false">SUM(C1498:M1498)</f>
        <v>#NAME?</v>
      </c>
    </row>
    <row r="1499" customFormat="false" ht="15.75" hidden="false" customHeight="false" outlineLevel="0" collapsed="false">
      <c r="A1499" s="396" t="s">
        <v>2581</v>
      </c>
      <c r="B1499" s="398" t="s">
        <v>4013</v>
      </c>
      <c r="C1499" s="316"/>
      <c r="D1499" s="316"/>
      <c r="E1499" s="112" t="e">
        <f aca="false">общ.калькуляция!h1498</f>
        <v>#NAME?</v>
      </c>
      <c r="F1499" s="112"/>
      <c r="G1499" s="112"/>
      <c r="H1499" s="112" t="e">
        <f aca="false">общ.калькуляция!j1498</f>
        <v>#NAME?</v>
      </c>
      <c r="I1499" s="112"/>
      <c r="J1499" s="112"/>
      <c r="K1499" s="112" t="e">
        <f aca="false">общ.калькуляция!m1498</f>
        <v>#NAME?</v>
      </c>
      <c r="L1499" s="112"/>
      <c r="M1499" s="112"/>
      <c r="N1499" s="112" t="e">
        <f aca="false">SUM(C1499:M1499)</f>
        <v>#NAME?</v>
      </c>
    </row>
    <row r="1500" customFormat="false" ht="63" hidden="false" customHeight="false" outlineLevel="0" collapsed="false">
      <c r="A1500" s="396" t="s">
        <v>2583</v>
      </c>
      <c r="B1500" s="398" t="s">
        <v>4014</v>
      </c>
      <c r="C1500" s="316"/>
      <c r="D1500" s="316"/>
      <c r="E1500" s="112" t="e">
        <f aca="false">общ.калькуляция!h1499</f>
        <v>#NAME?</v>
      </c>
      <c r="F1500" s="112"/>
      <c r="G1500" s="112"/>
      <c r="H1500" s="112" t="e">
        <f aca="false">общ.калькуляция!j1499</f>
        <v>#NAME?</v>
      </c>
      <c r="I1500" s="112"/>
      <c r="J1500" s="112"/>
      <c r="K1500" s="112" t="e">
        <f aca="false">общ.калькуляция!m1499</f>
        <v>#NAME?</v>
      </c>
      <c r="L1500" s="112"/>
      <c r="M1500" s="112"/>
      <c r="N1500" s="112" t="e">
        <f aca="false">SUM(C1500:M1500)</f>
        <v>#NAME?</v>
      </c>
    </row>
    <row r="1501" s="97" customFormat="true" ht="50.25" hidden="false" customHeight="true" outlineLevel="0" collapsed="false">
      <c r="A1501" s="399" t="s">
        <v>2586</v>
      </c>
      <c r="B1501" s="400" t="s">
        <v>4015</v>
      </c>
      <c r="C1501" s="169"/>
      <c r="D1501" s="155"/>
      <c r="E1501" s="155"/>
      <c r="F1501" s="155"/>
      <c r="G1501" s="155"/>
      <c r="H1501" s="155"/>
      <c r="I1501" s="155"/>
      <c r="J1501" s="155"/>
      <c r="K1501" s="155"/>
      <c r="L1501" s="155"/>
      <c r="M1501" s="155"/>
      <c r="N1501" s="155"/>
    </row>
    <row r="1502" s="97" customFormat="true" ht="31.5" hidden="false" customHeight="false" outlineLevel="0" collapsed="false">
      <c r="A1502" s="399"/>
      <c r="B1502" s="401" t="s">
        <v>4016</v>
      </c>
      <c r="C1502" s="402"/>
      <c r="D1502" s="141"/>
      <c r="E1502" s="155"/>
      <c r="F1502" s="155"/>
      <c r="G1502" s="155"/>
      <c r="H1502" s="141"/>
      <c r="I1502" s="141"/>
      <c r="J1502" s="141"/>
      <c r="K1502" s="141"/>
      <c r="L1502" s="141"/>
      <c r="M1502" s="141"/>
      <c r="N1502" s="141"/>
    </row>
    <row r="1503" s="97" customFormat="true" ht="15.75" hidden="false" customHeight="false" outlineLevel="0" collapsed="false">
      <c r="A1503" s="399" t="s">
        <v>2588</v>
      </c>
      <c r="B1503" s="401" t="s">
        <v>4017</v>
      </c>
      <c r="C1503" s="169"/>
      <c r="D1503" s="155"/>
      <c r="E1503" s="155"/>
      <c r="F1503" s="155"/>
      <c r="G1503" s="155"/>
      <c r="H1503" s="155"/>
      <c r="I1503" s="155"/>
      <c r="J1503" s="155"/>
      <c r="K1503" s="155"/>
      <c r="L1503" s="155"/>
      <c r="M1503" s="155"/>
      <c r="N1503" s="155"/>
    </row>
    <row r="1504" s="97" customFormat="true" ht="15.75" hidden="false" customHeight="false" outlineLevel="0" collapsed="false">
      <c r="A1504" s="396" t="s">
        <v>2590</v>
      </c>
      <c r="B1504" s="398" t="s">
        <v>4018</v>
      </c>
      <c r="C1504" s="164"/>
      <c r="D1504" s="175"/>
      <c r="E1504" s="403"/>
      <c r="F1504" s="161"/>
      <c r="G1504" s="161"/>
      <c r="H1504" s="175"/>
      <c r="I1504" s="175"/>
      <c r="J1504" s="175"/>
      <c r="K1504" s="175"/>
      <c r="L1504" s="175"/>
      <c r="M1504" s="175"/>
      <c r="N1504" s="175"/>
    </row>
    <row r="1505" s="97" customFormat="true" ht="15.75" hidden="false" customHeight="false" outlineLevel="0" collapsed="false">
      <c r="A1505" s="396" t="s">
        <v>2592</v>
      </c>
      <c r="B1505" s="398" t="s">
        <v>4019</v>
      </c>
      <c r="C1505" s="164"/>
      <c r="D1505" s="175"/>
      <c r="E1505" s="403"/>
      <c r="F1505" s="161"/>
      <c r="G1505" s="161"/>
      <c r="H1505" s="175"/>
      <c r="I1505" s="175"/>
      <c r="J1505" s="175"/>
      <c r="K1505" s="175"/>
      <c r="L1505" s="175"/>
      <c r="M1505" s="175"/>
      <c r="N1505" s="175"/>
    </row>
    <row r="1506" s="97" customFormat="true" ht="15.75" hidden="false" customHeight="false" outlineLevel="0" collapsed="false">
      <c r="A1506" s="396" t="s">
        <v>2594</v>
      </c>
      <c r="B1506" s="398" t="s">
        <v>4020</v>
      </c>
      <c r="C1506" s="164"/>
      <c r="D1506" s="175"/>
      <c r="E1506" s="403"/>
      <c r="F1506" s="161"/>
      <c r="G1506" s="161"/>
      <c r="H1506" s="175"/>
      <c r="I1506" s="175"/>
      <c r="J1506" s="175"/>
      <c r="K1506" s="175"/>
      <c r="L1506" s="175"/>
      <c r="M1506" s="175"/>
      <c r="N1506" s="175"/>
    </row>
    <row r="1507" s="97" customFormat="true" ht="15.75" hidden="false" customHeight="false" outlineLevel="0" collapsed="false">
      <c r="A1507" s="396" t="s">
        <v>2596</v>
      </c>
      <c r="B1507" s="398" t="s">
        <v>4021</v>
      </c>
      <c r="C1507" s="164"/>
      <c r="D1507" s="175"/>
      <c r="E1507" s="403"/>
      <c r="F1507" s="161"/>
      <c r="G1507" s="161"/>
      <c r="H1507" s="175"/>
      <c r="I1507" s="175"/>
      <c r="J1507" s="175"/>
      <c r="K1507" s="175"/>
      <c r="L1507" s="175"/>
      <c r="M1507" s="175"/>
      <c r="N1507" s="175"/>
    </row>
    <row r="1508" s="97" customFormat="true" ht="15.75" hidden="false" customHeight="false" outlineLevel="0" collapsed="false">
      <c r="A1508" s="396" t="s">
        <v>2598</v>
      </c>
      <c r="B1508" s="398" t="s">
        <v>4022</v>
      </c>
      <c r="C1508" s="164"/>
      <c r="D1508" s="175"/>
      <c r="E1508" s="403"/>
      <c r="F1508" s="161"/>
      <c r="G1508" s="161"/>
      <c r="H1508" s="175"/>
      <c r="I1508" s="175"/>
      <c r="J1508" s="175"/>
      <c r="K1508" s="175"/>
      <c r="L1508" s="175"/>
      <c r="M1508" s="175"/>
      <c r="N1508" s="175"/>
    </row>
    <row r="1509" s="97" customFormat="true" ht="15.75" hidden="false" customHeight="false" outlineLevel="0" collapsed="false">
      <c r="A1509" s="396" t="s">
        <v>2600</v>
      </c>
      <c r="B1509" s="398" t="s">
        <v>4023</v>
      </c>
      <c r="C1509" s="164"/>
      <c r="D1509" s="175"/>
      <c r="E1509" s="403"/>
      <c r="F1509" s="161"/>
      <c r="G1509" s="161"/>
      <c r="H1509" s="175"/>
      <c r="I1509" s="175"/>
      <c r="J1509" s="175"/>
      <c r="K1509" s="175"/>
      <c r="L1509" s="175"/>
      <c r="M1509" s="175"/>
      <c r="N1509" s="175"/>
    </row>
    <row r="1510" s="97" customFormat="true" ht="42.75" hidden="false" customHeight="false" outlineLevel="0" collapsed="false">
      <c r="A1510" s="178" t="s">
        <v>2602</v>
      </c>
      <c r="B1510" s="172" t="s">
        <v>4024</v>
      </c>
      <c r="C1510" s="164"/>
      <c r="D1510" s="404"/>
      <c r="E1510" s="405"/>
      <c r="F1510" s="405"/>
      <c r="G1510" s="405"/>
      <c r="H1510" s="175"/>
      <c r="I1510" s="175"/>
      <c r="J1510" s="175"/>
      <c r="K1510" s="175"/>
      <c r="L1510" s="175"/>
      <c r="M1510" s="175"/>
      <c r="N1510" s="175"/>
    </row>
    <row r="1511" s="97" customFormat="true" ht="18" hidden="false" customHeight="true" outlineLevel="0" collapsed="false">
      <c r="A1511" s="183" t="s">
        <v>2603</v>
      </c>
      <c r="B1511" s="163" t="s">
        <v>4025</v>
      </c>
      <c r="C1511" s="164"/>
      <c r="D1511" s="404"/>
      <c r="E1511" s="406"/>
      <c r="F1511" s="405"/>
      <c r="G1511" s="405"/>
      <c r="H1511" s="175"/>
      <c r="I1511" s="175"/>
      <c r="J1511" s="175"/>
      <c r="K1511" s="175"/>
      <c r="L1511" s="175"/>
      <c r="M1511" s="175"/>
      <c r="N1511" s="175"/>
    </row>
    <row r="1512" s="97" customFormat="true" ht="15" hidden="false" customHeight="false" outlineLevel="0" collapsed="false">
      <c r="A1512" s="183" t="s">
        <v>2605</v>
      </c>
      <c r="B1512" s="163" t="s">
        <v>4026</v>
      </c>
      <c r="C1512" s="164"/>
      <c r="D1512" s="404"/>
      <c r="E1512" s="175"/>
      <c r="F1512" s="405"/>
      <c r="G1512" s="405"/>
      <c r="H1512" s="175"/>
      <c r="I1512" s="175"/>
      <c r="J1512" s="175"/>
      <c r="K1512" s="175"/>
      <c r="L1512" s="175"/>
      <c r="M1512" s="175"/>
      <c r="N1512" s="175"/>
    </row>
    <row r="1513" s="97" customFormat="true" ht="15" hidden="false" customHeight="false" outlineLevel="0" collapsed="false">
      <c r="A1513" s="183" t="s">
        <v>2607</v>
      </c>
      <c r="B1513" s="163" t="s">
        <v>4027</v>
      </c>
      <c r="C1513" s="164"/>
      <c r="D1513" s="404"/>
      <c r="E1513" s="406"/>
      <c r="F1513" s="405"/>
      <c r="G1513" s="405"/>
      <c r="H1513" s="166"/>
      <c r="I1513" s="161"/>
      <c r="J1513" s="161"/>
      <c r="K1513" s="166"/>
      <c r="L1513" s="161"/>
      <c r="M1513" s="161"/>
      <c r="N1513" s="407"/>
    </row>
    <row r="1514" s="97" customFormat="true" ht="22.5" hidden="false" customHeight="true" outlineLevel="0" collapsed="false">
      <c r="A1514" s="178" t="s">
        <v>2609</v>
      </c>
      <c r="B1514" s="172" t="s">
        <v>3814</v>
      </c>
      <c r="C1514" s="164"/>
      <c r="D1514" s="404"/>
      <c r="E1514" s="408"/>
      <c r="F1514" s="405"/>
      <c r="G1514" s="405"/>
      <c r="H1514" s="175"/>
      <c r="I1514" s="175"/>
      <c r="J1514" s="175"/>
      <c r="K1514" s="175"/>
      <c r="L1514" s="175"/>
      <c r="M1514" s="175"/>
      <c r="N1514" s="175"/>
    </row>
    <row r="1515" s="97" customFormat="true" ht="15" hidden="false" customHeight="false" outlineLevel="0" collapsed="false">
      <c r="A1515" s="183"/>
      <c r="B1515" s="172" t="s">
        <v>4028</v>
      </c>
      <c r="C1515" s="164"/>
      <c r="D1515" s="404"/>
      <c r="E1515" s="408"/>
      <c r="F1515" s="405"/>
      <c r="G1515" s="405"/>
      <c r="H1515" s="175"/>
      <c r="I1515" s="175"/>
      <c r="J1515" s="175"/>
      <c r="K1515" s="175"/>
      <c r="L1515" s="175"/>
      <c r="M1515" s="175"/>
      <c r="N1515" s="175"/>
    </row>
    <row r="1516" s="97" customFormat="true" ht="30" hidden="false" customHeight="false" outlineLevel="0" collapsed="false">
      <c r="A1516" s="183" t="s">
        <v>2611</v>
      </c>
      <c r="B1516" s="163" t="s">
        <v>3849</v>
      </c>
      <c r="C1516" s="164"/>
      <c r="D1516" s="404"/>
      <c r="E1516" s="408"/>
      <c r="F1516" s="405"/>
      <c r="G1516" s="405"/>
      <c r="H1516" s="175"/>
      <c r="I1516" s="175"/>
      <c r="J1516" s="175"/>
      <c r="K1516" s="175"/>
      <c r="L1516" s="175"/>
      <c r="M1516" s="175"/>
      <c r="N1516" s="175"/>
    </row>
    <row r="1517" s="97" customFormat="true" ht="15" hidden="false" customHeight="false" outlineLevel="0" collapsed="false">
      <c r="A1517" s="183" t="s">
        <v>2612</v>
      </c>
      <c r="B1517" s="163" t="s">
        <v>4029</v>
      </c>
      <c r="C1517" s="164"/>
      <c r="D1517" s="404"/>
      <c r="E1517" s="408"/>
      <c r="F1517" s="405"/>
      <c r="G1517" s="405"/>
      <c r="H1517" s="175"/>
      <c r="I1517" s="175"/>
      <c r="J1517" s="175"/>
      <c r="K1517" s="175"/>
      <c r="L1517" s="175"/>
      <c r="M1517" s="175"/>
      <c r="N1517" s="175"/>
    </row>
    <row r="1518" s="97" customFormat="true" ht="15" hidden="false" customHeight="false" outlineLevel="0" collapsed="false">
      <c r="A1518" s="183" t="s">
        <v>2614</v>
      </c>
      <c r="B1518" s="163" t="s">
        <v>4030</v>
      </c>
      <c r="C1518" s="164"/>
      <c r="D1518" s="404"/>
      <c r="E1518" s="408"/>
      <c r="F1518" s="405"/>
      <c r="G1518" s="405"/>
      <c r="H1518" s="175"/>
      <c r="I1518" s="175"/>
      <c r="J1518" s="175"/>
      <c r="K1518" s="175"/>
      <c r="L1518" s="175"/>
      <c r="M1518" s="175"/>
      <c r="N1518" s="175"/>
    </row>
    <row r="1519" s="97" customFormat="true" ht="15" hidden="false" customHeight="false" outlineLevel="0" collapsed="false">
      <c r="A1519" s="409" t="s">
        <v>2616</v>
      </c>
      <c r="B1519" s="410" t="s">
        <v>4031</v>
      </c>
      <c r="C1519" s="411"/>
      <c r="D1519" s="404"/>
      <c r="E1519" s="408"/>
      <c r="F1519" s="412"/>
      <c r="G1519" s="412"/>
      <c r="H1519" s="175"/>
      <c r="I1519" s="175"/>
      <c r="J1519" s="175"/>
      <c r="K1519" s="175"/>
      <c r="L1519" s="175"/>
      <c r="M1519" s="175"/>
      <c r="N1519" s="175"/>
    </row>
    <row r="1520" s="97" customFormat="true" ht="15" hidden="false" customHeight="false" outlineLevel="0" collapsed="false">
      <c r="A1520" s="178" t="s">
        <v>2618</v>
      </c>
      <c r="B1520" s="172" t="s">
        <v>4032</v>
      </c>
      <c r="C1520" s="164"/>
      <c r="D1520" s="404"/>
      <c r="E1520" s="408"/>
      <c r="F1520" s="405"/>
      <c r="G1520" s="405"/>
      <c r="H1520" s="175"/>
      <c r="I1520" s="175"/>
      <c r="J1520" s="175"/>
      <c r="K1520" s="175"/>
      <c r="L1520" s="175"/>
      <c r="M1520" s="175"/>
      <c r="N1520" s="175"/>
    </row>
    <row r="1521" s="97" customFormat="true" ht="15" hidden="false" customHeight="false" outlineLevel="0" collapsed="false">
      <c r="A1521" s="178"/>
      <c r="B1521" s="172" t="s">
        <v>4033</v>
      </c>
      <c r="C1521" s="164"/>
      <c r="D1521" s="404"/>
      <c r="E1521" s="408"/>
      <c r="F1521" s="405"/>
      <c r="G1521" s="405"/>
      <c r="H1521" s="175"/>
      <c r="I1521" s="175"/>
      <c r="J1521" s="175"/>
      <c r="K1521" s="175"/>
      <c r="L1521" s="175"/>
      <c r="M1521" s="175"/>
      <c r="N1521" s="175"/>
    </row>
    <row r="1522" s="97" customFormat="true" ht="15" hidden="false" customHeight="false" outlineLevel="0" collapsed="false">
      <c r="A1522" s="409" t="s">
        <v>2621</v>
      </c>
      <c r="B1522" s="410" t="s">
        <v>4034</v>
      </c>
      <c r="C1522" s="411"/>
      <c r="D1522" s="404"/>
      <c r="E1522" s="408"/>
      <c r="F1522" s="412"/>
      <c r="G1522" s="412"/>
      <c r="H1522" s="175"/>
      <c r="I1522" s="175"/>
      <c r="J1522" s="175"/>
      <c r="K1522" s="175"/>
      <c r="L1522" s="175"/>
      <c r="M1522" s="175"/>
      <c r="N1522" s="175"/>
    </row>
    <row r="1523" s="97" customFormat="true" ht="28.5" hidden="false" customHeight="false" outlineLevel="0" collapsed="false">
      <c r="A1523" s="178" t="s">
        <v>2623</v>
      </c>
      <c r="B1523" s="172" t="s">
        <v>4035</v>
      </c>
      <c r="C1523" s="413"/>
      <c r="D1523" s="414"/>
      <c r="E1523" s="415"/>
      <c r="F1523" s="405"/>
      <c r="G1523" s="405"/>
      <c r="H1523" s="175"/>
      <c r="I1523" s="175"/>
      <c r="J1523" s="175"/>
      <c r="K1523" s="175"/>
      <c r="L1523" s="175"/>
      <c r="M1523" s="175"/>
      <c r="N1523" s="175"/>
    </row>
    <row r="1524" s="97" customFormat="true" ht="30" hidden="false" customHeight="false" outlineLevel="0" collapsed="false">
      <c r="A1524" s="409" t="s">
        <v>2624</v>
      </c>
      <c r="B1524" s="410" t="s">
        <v>4036</v>
      </c>
      <c r="C1524" s="411"/>
      <c r="D1524" s="404"/>
      <c r="E1524" s="408"/>
      <c r="F1524" s="412"/>
      <c r="G1524" s="412"/>
      <c r="H1524" s="175"/>
      <c r="I1524" s="175"/>
      <c r="J1524" s="175"/>
      <c r="K1524" s="175"/>
      <c r="L1524" s="175"/>
      <c r="M1524" s="175"/>
      <c r="N1524" s="175"/>
    </row>
    <row r="1525" s="97" customFormat="true" ht="28.5" hidden="false" customHeight="false" outlineLevel="0" collapsed="false">
      <c r="A1525" s="416" t="s">
        <v>2626</v>
      </c>
      <c r="B1525" s="172" t="s">
        <v>4037</v>
      </c>
      <c r="C1525" s="405"/>
      <c r="D1525" s="417"/>
      <c r="E1525" s="418"/>
      <c r="F1525" s="405"/>
      <c r="G1525" s="405"/>
      <c r="H1525" s="175"/>
      <c r="I1525" s="175"/>
      <c r="J1525" s="175"/>
      <c r="K1525" s="175"/>
      <c r="L1525" s="175"/>
      <c r="M1525" s="175"/>
      <c r="N1525" s="175"/>
    </row>
    <row r="1526" s="97" customFormat="true" ht="15" hidden="false" customHeight="false" outlineLevel="0" collapsed="false">
      <c r="A1526" s="409" t="s">
        <v>2627</v>
      </c>
      <c r="B1526" s="419" t="s">
        <v>4038</v>
      </c>
      <c r="C1526" s="411"/>
      <c r="D1526" s="420"/>
      <c r="E1526" s="418"/>
      <c r="F1526" s="412"/>
      <c r="G1526" s="412"/>
      <c r="H1526" s="175"/>
      <c r="I1526" s="175"/>
      <c r="J1526" s="175"/>
      <c r="K1526" s="175"/>
      <c r="L1526" s="175"/>
      <c r="M1526" s="175"/>
      <c r="N1526" s="175"/>
    </row>
    <row r="1527" s="97" customFormat="true" ht="31.5" hidden="false" customHeight="false" outlineLevel="0" collapsed="false">
      <c r="A1527" s="421" t="s">
        <v>2629</v>
      </c>
      <c r="B1527" s="397" t="s">
        <v>4039</v>
      </c>
      <c r="C1527" s="164"/>
      <c r="D1527" s="175"/>
      <c r="E1527" s="175" t="e">
        <f aca="false">общ.калькуляция!h1501</f>
        <v>#NAME?</v>
      </c>
      <c r="F1527" s="166"/>
      <c r="G1527" s="166"/>
      <c r="H1527" s="175" t="e">
        <f aca="false">общ.калькуляция!j1501</f>
        <v>#NAME?</v>
      </c>
      <c r="I1527" s="175"/>
      <c r="J1527" s="175"/>
      <c r="K1527" s="175" t="e">
        <f aca="false">общ.калькуляция!m1501</f>
        <v>#NAME?</v>
      </c>
      <c r="L1527" s="175"/>
      <c r="M1527" s="175"/>
      <c r="N1527" s="112" t="e">
        <f aca="false">SUM(C1527:M1527)</f>
        <v>#NAME?</v>
      </c>
    </row>
    <row r="1528" customFormat="false" ht="15" hidden="false" customHeight="true" outlineLevel="0" collapsed="false">
      <c r="A1528" s="192" t="n">
        <v>17</v>
      </c>
      <c r="B1528" s="211" t="s">
        <v>4040</v>
      </c>
      <c r="C1528" s="211"/>
      <c r="D1528" s="93"/>
      <c r="E1528" s="12"/>
      <c r="F1528" s="12"/>
      <c r="G1528" s="110"/>
      <c r="H1528" s="12"/>
      <c r="I1528" s="12"/>
      <c r="J1528" s="93"/>
      <c r="K1528" s="193"/>
      <c r="L1528" s="193"/>
      <c r="M1528" s="93"/>
      <c r="N1528" s="193"/>
    </row>
    <row r="1529" customFormat="false" ht="15" hidden="false" customHeight="false" outlineLevel="0" collapsed="false">
      <c r="A1529" s="409" t="s">
        <v>2638</v>
      </c>
      <c r="B1529" s="422" t="s">
        <v>4041</v>
      </c>
      <c r="C1529" s="423"/>
      <c r="D1529" s="424"/>
      <c r="E1529" s="48" t="e">
        <f aca="false">общ.калькуляция!h1503</f>
        <v>#NAME?</v>
      </c>
      <c r="F1529" s="55"/>
      <c r="G1529" s="425"/>
      <c r="H1529" s="48" t="e">
        <f aca="false">общ.калькуляция!j1503</f>
        <v>#NAME?</v>
      </c>
      <c r="I1529" s="55"/>
      <c r="J1529" s="424"/>
      <c r="K1529" s="48" t="e">
        <f aca="false">общ.калькуляция!m1503</f>
        <v>#NAME?</v>
      </c>
      <c r="L1529" s="158"/>
      <c r="M1529" s="424"/>
      <c r="N1529" s="112" t="e">
        <f aca="false">(E1529+H1529+K1529)</f>
        <v>#NAME?</v>
      </c>
    </row>
    <row r="1530" customFormat="false" ht="16.5" hidden="false" customHeight="true" outlineLevel="0" collapsed="false">
      <c r="A1530" s="93" t="n">
        <v>18</v>
      </c>
      <c r="B1530" s="92" t="s">
        <v>4042</v>
      </c>
      <c r="C1530" s="92"/>
      <c r="D1530" s="92"/>
      <c r="E1530" s="92"/>
      <c r="F1530" s="92"/>
      <c r="G1530" s="92"/>
      <c r="H1530" s="92"/>
      <c r="I1530" s="92"/>
      <c r="J1530" s="92"/>
      <c r="K1530" s="92"/>
      <c r="L1530" s="92"/>
      <c r="M1530" s="92"/>
      <c r="N1530" s="92"/>
    </row>
    <row r="1531" customFormat="false" ht="16.5" hidden="false" customHeight="true" outlineLevel="0" collapsed="false">
      <c r="A1531" s="142" t="s">
        <v>2644</v>
      </c>
      <c r="B1531" s="62" t="s">
        <v>4043</v>
      </c>
      <c r="C1531" s="149"/>
      <c r="D1531" s="149"/>
      <c r="E1531" s="48" t="e">
        <f aca="false">общ.калькуляция!h1505</f>
        <v>#NAME?</v>
      </c>
      <c r="F1531" s="55"/>
      <c r="G1531" s="55"/>
      <c r="H1531" s="48" t="e">
        <f aca="false">общ.калькуляция!j1505</f>
        <v>#NAME?</v>
      </c>
      <c r="I1531" s="55"/>
      <c r="J1531" s="55"/>
      <c r="K1531" s="48" t="e">
        <f aca="false">общ.калькуляция!m1505</f>
        <v>#NAME?</v>
      </c>
      <c r="L1531" s="55"/>
      <c r="M1531" s="55"/>
      <c r="N1531" s="413" t="e">
        <f aca="false">(E1531+H1531+K1531)</f>
        <v>#NAME?</v>
      </c>
    </row>
    <row r="1532" customFormat="false" ht="16.5" hidden="false" customHeight="true" outlineLevel="0" collapsed="false">
      <c r="A1532" s="142" t="s">
        <v>2646</v>
      </c>
      <c r="B1532" s="62" t="s">
        <v>4044</v>
      </c>
      <c r="C1532" s="149"/>
      <c r="D1532" s="149"/>
      <c r="E1532" s="48" t="e">
        <f aca="false">общ.калькуляция!h1506</f>
        <v>#NAME?</v>
      </c>
      <c r="F1532" s="55"/>
      <c r="G1532" s="55"/>
      <c r="H1532" s="48" t="e">
        <f aca="false">общ.калькуляция!j1506</f>
        <v>#NAME?</v>
      </c>
      <c r="I1532" s="55"/>
      <c r="J1532" s="55"/>
      <c r="K1532" s="48" t="e">
        <f aca="false">общ.калькуляция!m1506</f>
        <v>#NAME?</v>
      </c>
      <c r="L1532" s="55"/>
      <c r="M1532" s="55"/>
      <c r="N1532" s="413" t="e">
        <f aca="false">(E1532+H1532+K1532)</f>
        <v>#NAME?</v>
      </c>
    </row>
    <row r="1533" customFormat="false" ht="63" hidden="false" customHeight="true" outlineLevel="0" collapsed="false">
      <c r="A1533" s="142" t="s">
        <v>2648</v>
      </c>
      <c r="B1533" s="422" t="s">
        <v>4045</v>
      </c>
      <c r="C1533" s="158"/>
      <c r="D1533" s="424"/>
      <c r="E1533" s="48" t="e">
        <f aca="false">общ.калькуляция!h1507</f>
        <v>#NAME?</v>
      </c>
      <c r="F1533" s="158"/>
      <c r="G1533" s="424"/>
      <c r="H1533" s="48" t="e">
        <f aca="false">общ.калькуляция!j1507</f>
        <v>#NAME?</v>
      </c>
      <c r="I1533" s="158"/>
      <c r="J1533" s="424"/>
      <c r="K1533" s="48" t="e">
        <f aca="false">общ.калькуляция!m1507</f>
        <v>#NAME?</v>
      </c>
      <c r="L1533" s="158"/>
      <c r="M1533" s="424"/>
      <c r="N1533" s="413" t="e">
        <f aca="false">(E1533+H1533+K1533)</f>
        <v>#NAME?</v>
      </c>
    </row>
    <row r="1534" customFormat="false" ht="33" hidden="false" customHeight="true" outlineLevel="0" collapsed="false">
      <c r="A1534" s="142" t="s">
        <v>2650</v>
      </c>
      <c r="B1534" s="422" t="s">
        <v>4046</v>
      </c>
      <c r="C1534" s="158"/>
      <c r="D1534" s="424"/>
      <c r="E1534" s="48" t="e">
        <f aca="false">общ.калькуляция!h1508</f>
        <v>#NAME?</v>
      </c>
      <c r="F1534" s="158"/>
      <c r="G1534" s="424"/>
      <c r="H1534" s="48" t="e">
        <f aca="false">общ.калькуляция!j1508</f>
        <v>#NAME?</v>
      </c>
      <c r="I1534" s="158"/>
      <c r="J1534" s="424"/>
      <c r="K1534" s="48" t="e">
        <f aca="false">общ.калькуляция!m1508</f>
        <v>#NAME?</v>
      </c>
      <c r="L1534" s="158"/>
      <c r="M1534" s="424"/>
      <c r="N1534" s="413" t="e">
        <f aca="false">(E1534+H1534+K1534)</f>
        <v>#NAME?</v>
      </c>
    </row>
    <row r="1535" customFormat="false" ht="15.75" hidden="false" customHeight="true" outlineLevel="0" collapsed="false">
      <c r="A1535" s="207" t="n">
        <v>19</v>
      </c>
      <c r="B1535" s="92" t="s">
        <v>4047</v>
      </c>
      <c r="C1535" s="92"/>
      <c r="D1535" s="92"/>
      <c r="E1535" s="92"/>
      <c r="F1535" s="92"/>
      <c r="G1535" s="92"/>
      <c r="H1535" s="92"/>
      <c r="I1535" s="92"/>
      <c r="J1535" s="92"/>
      <c r="K1535" s="92"/>
      <c r="L1535" s="92"/>
      <c r="M1535" s="92"/>
      <c r="N1535" s="92"/>
    </row>
    <row r="1536" customFormat="false" ht="19.5" hidden="false" customHeight="true" outlineLevel="0" collapsed="false">
      <c r="A1536" s="142" t="s">
        <v>2656</v>
      </c>
      <c r="B1536" s="49" t="s">
        <v>4048</v>
      </c>
      <c r="C1536" s="158"/>
      <c r="D1536" s="424"/>
      <c r="E1536" s="48" t="e">
        <f aca="false">общ.калькуляция!h1510</f>
        <v>#NAME?</v>
      </c>
      <c r="F1536" s="158"/>
      <c r="G1536" s="424"/>
      <c r="H1536" s="48" t="e">
        <f aca="false">общ.калькуляция!j1510</f>
        <v>#NAME?</v>
      </c>
      <c r="I1536" s="158"/>
      <c r="J1536" s="424"/>
      <c r="K1536" s="48" t="e">
        <f aca="false">общ.калькуляция!m1510</f>
        <v>#NAME?</v>
      </c>
      <c r="L1536" s="158"/>
      <c r="M1536" s="424"/>
      <c r="N1536" s="413" t="e">
        <f aca="false">E1536+H1536+K1536</f>
        <v>#NAME?</v>
      </c>
    </row>
    <row r="1537" customFormat="false" ht="19.5" hidden="false" customHeight="true" outlineLevel="0" collapsed="false">
      <c r="A1537" s="152" t="s">
        <v>2658</v>
      </c>
      <c r="B1537" s="211" t="s">
        <v>4049</v>
      </c>
      <c r="C1537" s="211"/>
      <c r="D1537" s="211"/>
      <c r="E1537" s="211"/>
      <c r="F1537" s="92"/>
      <c r="G1537" s="92"/>
      <c r="H1537" s="92"/>
      <c r="I1537" s="92"/>
      <c r="J1537" s="92"/>
      <c r="K1537" s="92"/>
      <c r="L1537" s="92"/>
      <c r="M1537" s="92"/>
      <c r="N1537" s="92"/>
    </row>
    <row r="1538" customFormat="false" ht="15.75" hidden="false" customHeight="true" outlineLevel="0" collapsed="false">
      <c r="A1538" s="426"/>
      <c r="B1538" s="213" t="s">
        <v>4050</v>
      </c>
      <c r="C1538" s="423"/>
      <c r="D1538" s="423"/>
      <c r="E1538" s="423"/>
      <c r="F1538" s="149"/>
      <c r="G1538" s="149"/>
      <c r="H1538" s="149"/>
      <c r="I1538" s="149"/>
      <c r="J1538" s="149"/>
      <c r="K1538" s="149"/>
      <c r="L1538" s="149"/>
      <c r="M1538" s="149"/>
      <c r="N1538" s="149"/>
    </row>
    <row r="1539" customFormat="false" ht="28.5" hidden="false" customHeight="true" outlineLevel="0" collapsed="false">
      <c r="A1539" s="427" t="s">
        <v>2662</v>
      </c>
      <c r="B1539" s="40" t="s">
        <v>4049</v>
      </c>
      <c r="C1539" s="316"/>
      <c r="D1539" s="316"/>
      <c r="E1539" s="112"/>
      <c r="F1539" s="112"/>
      <c r="G1539" s="112"/>
      <c r="H1539" s="112"/>
      <c r="I1539" s="112"/>
      <c r="J1539" s="112"/>
      <c r="K1539" s="112"/>
      <c r="L1539" s="112"/>
      <c r="M1539" s="112"/>
      <c r="N1539" s="413"/>
    </row>
    <row r="1540" customFormat="false" ht="13.5" hidden="false" customHeight="true" outlineLevel="0" collapsed="false">
      <c r="A1540" s="428"/>
      <c r="B1540" s="40" t="s">
        <v>4051</v>
      </c>
      <c r="C1540" s="316"/>
      <c r="D1540" s="316"/>
      <c r="E1540" s="112"/>
      <c r="F1540" s="112"/>
      <c r="G1540" s="112"/>
      <c r="H1540" s="112"/>
      <c r="I1540" s="112"/>
      <c r="J1540" s="112"/>
      <c r="K1540" s="112"/>
      <c r="L1540" s="112"/>
      <c r="M1540" s="112"/>
      <c r="N1540" s="112"/>
    </row>
    <row r="1541" customFormat="false" ht="13.5" hidden="false" customHeight="true" outlineLevel="0" collapsed="false">
      <c r="A1541" s="428"/>
      <c r="B1541" s="40" t="s">
        <v>4052</v>
      </c>
      <c r="C1541" s="316"/>
      <c r="D1541" s="316"/>
      <c r="E1541" s="112" t="e">
        <f aca="false">общ.калькуляция!h1515</f>
        <v>#NAME?</v>
      </c>
      <c r="F1541" s="112"/>
      <c r="G1541" s="112"/>
      <c r="H1541" s="112" t="e">
        <f aca="false">общ.калькуляция!j1515</f>
        <v>#NAME?</v>
      </c>
      <c r="I1541" s="112"/>
      <c r="J1541" s="112"/>
      <c r="K1541" s="112" t="e">
        <f aca="false">общ.калькуляция!m1515</f>
        <v>#NAME?</v>
      </c>
      <c r="L1541" s="112"/>
      <c r="M1541" s="112"/>
      <c r="N1541" s="112" t="e">
        <f aca="false">(E1541+H1541+K1541)</f>
        <v>#NAME?</v>
      </c>
      <c r="O1541" s="310" t="e">
        <f aca="false">N1541*60</f>
        <v>#NAME?</v>
      </c>
    </row>
    <row r="1542" customFormat="false" ht="13.5" hidden="false" customHeight="true" outlineLevel="0" collapsed="false">
      <c r="A1542" s="428"/>
      <c r="B1542" s="40" t="s">
        <v>4053</v>
      </c>
      <c r="C1542" s="316"/>
      <c r="D1542" s="316"/>
      <c r="E1542" s="112" t="e">
        <f aca="false">общ.калькуляция!h1516</f>
        <v>#NAME?</v>
      </c>
      <c r="F1542" s="112"/>
      <c r="G1542" s="112"/>
      <c r="H1542" s="112" t="e">
        <f aca="false">общ.калькуляция!j1516</f>
        <v>#NAME?</v>
      </c>
      <c r="I1542" s="112"/>
      <c r="J1542" s="112"/>
      <c r="K1542" s="112" t="e">
        <f aca="false">общ.калькуляция!m1516</f>
        <v>#NAME?</v>
      </c>
      <c r="L1542" s="112"/>
      <c r="M1542" s="112"/>
      <c r="N1542" s="112" t="e">
        <f aca="false">(E1542+H1542+K1542)</f>
        <v>#NAME?</v>
      </c>
      <c r="O1542" s="310" t="e">
        <f aca="false">N1542*90</f>
        <v>#NAME?</v>
      </c>
    </row>
    <row r="1543" customFormat="false" ht="13.5" hidden="false" customHeight="true" outlineLevel="0" collapsed="false">
      <c r="A1543" s="428"/>
      <c r="B1543" s="40" t="s">
        <v>4054</v>
      </c>
      <c r="C1543" s="316"/>
      <c r="D1543" s="316"/>
      <c r="E1543" s="112" t="e">
        <f aca="false">общ.калькуляция!h1517</f>
        <v>#NAME?</v>
      </c>
      <c r="F1543" s="112"/>
      <c r="G1543" s="112"/>
      <c r="H1543" s="112" t="e">
        <f aca="false">общ.калькуляция!j1517</f>
        <v>#NAME?</v>
      </c>
      <c r="I1543" s="112"/>
      <c r="J1543" s="112"/>
      <c r="K1543" s="112" t="e">
        <f aca="false">общ.калькуляция!m1517</f>
        <v>#NAME?</v>
      </c>
      <c r="L1543" s="112"/>
      <c r="M1543" s="112"/>
      <c r="N1543" s="112" t="e">
        <f aca="false">(E1543+H1543+K1543)</f>
        <v>#NAME?</v>
      </c>
    </row>
    <row r="1544" customFormat="false" ht="13.5" hidden="false" customHeight="true" outlineLevel="0" collapsed="false">
      <c r="A1544" s="428"/>
      <c r="B1544" s="40" t="s">
        <v>4055</v>
      </c>
      <c r="C1544" s="316"/>
      <c r="D1544" s="316"/>
      <c r="E1544" s="112" t="e">
        <f aca="false">общ.калькуляция!h1518</f>
        <v>#NAME?</v>
      </c>
      <c r="F1544" s="112"/>
      <c r="G1544" s="112"/>
      <c r="H1544" s="112" t="e">
        <f aca="false">общ.калькуляция!j1518</f>
        <v>#NAME?</v>
      </c>
      <c r="I1544" s="112"/>
      <c r="J1544" s="112"/>
      <c r="K1544" s="112" t="e">
        <f aca="false">общ.калькуляция!m1518</f>
        <v>#NAME?</v>
      </c>
      <c r="L1544" s="112"/>
      <c r="M1544" s="112"/>
      <c r="N1544" s="112" t="e">
        <f aca="false">(E1544+H1544+K1544)</f>
        <v>#NAME?</v>
      </c>
    </row>
    <row r="1545" customFormat="false" ht="33" hidden="false" customHeight="true" outlineLevel="0" collapsed="false">
      <c r="A1545" s="427" t="s">
        <v>2672</v>
      </c>
      <c r="B1545" s="217" t="s">
        <v>4056</v>
      </c>
      <c r="C1545" s="316"/>
      <c r="D1545" s="316"/>
      <c r="E1545" s="112"/>
      <c r="F1545" s="112"/>
      <c r="G1545" s="112"/>
      <c r="H1545" s="112"/>
      <c r="I1545" s="112"/>
      <c r="J1545" s="112"/>
      <c r="K1545" s="112"/>
      <c r="L1545" s="112"/>
      <c r="M1545" s="112"/>
      <c r="N1545" s="112"/>
    </row>
    <row r="1546" customFormat="false" ht="13.5" hidden="false" customHeight="true" outlineLevel="0" collapsed="false">
      <c r="A1546" s="429"/>
      <c r="B1546" s="40" t="s">
        <v>4051</v>
      </c>
      <c r="C1546" s="316"/>
      <c r="D1546" s="316"/>
      <c r="E1546" s="112"/>
      <c r="F1546" s="112"/>
      <c r="G1546" s="112"/>
      <c r="H1546" s="112"/>
      <c r="I1546" s="112"/>
      <c r="J1546" s="112"/>
      <c r="K1546" s="112"/>
      <c r="L1546" s="112"/>
      <c r="M1546" s="112"/>
      <c r="N1546" s="112"/>
    </row>
    <row r="1547" customFormat="false" ht="13.5" hidden="false" customHeight="true" outlineLevel="0" collapsed="false">
      <c r="A1547" s="429"/>
      <c r="B1547" s="40" t="s">
        <v>4052</v>
      </c>
      <c r="C1547" s="316"/>
      <c r="D1547" s="316"/>
      <c r="E1547" s="112" t="e">
        <f aca="false">общ.калькуляция!h1521</f>
        <v>#NAME?</v>
      </c>
      <c r="F1547" s="112"/>
      <c r="G1547" s="112"/>
      <c r="H1547" s="112" t="e">
        <f aca="false">общ.калькуляция!j1521</f>
        <v>#NAME?</v>
      </c>
      <c r="I1547" s="112"/>
      <c r="J1547" s="112"/>
      <c r="K1547" s="112" t="e">
        <f aca="false">общ.калькуляция!m1521</f>
        <v>#NAME?</v>
      </c>
      <c r="L1547" s="112"/>
      <c r="M1547" s="112"/>
      <c r="N1547" s="112" t="e">
        <f aca="false">(E1547+H1547+K1547)</f>
        <v>#NAME?</v>
      </c>
    </row>
    <row r="1548" customFormat="false" ht="13.5" hidden="false" customHeight="true" outlineLevel="0" collapsed="false">
      <c r="A1548" s="429"/>
      <c r="B1548" s="40" t="s">
        <v>4053</v>
      </c>
      <c r="C1548" s="316"/>
      <c r="D1548" s="316"/>
      <c r="E1548" s="112" t="e">
        <f aca="false">общ.калькуляция!h1522</f>
        <v>#NAME?</v>
      </c>
      <c r="F1548" s="112"/>
      <c r="G1548" s="112"/>
      <c r="H1548" s="112" t="e">
        <f aca="false">общ.калькуляция!j1522</f>
        <v>#NAME?</v>
      </c>
      <c r="I1548" s="112"/>
      <c r="J1548" s="112"/>
      <c r="K1548" s="112" t="e">
        <f aca="false">общ.калькуляция!m1522</f>
        <v>#NAME?</v>
      </c>
      <c r="L1548" s="112"/>
      <c r="M1548" s="112"/>
      <c r="N1548" s="112" t="e">
        <f aca="false">(E1548+H1548+K1548)</f>
        <v>#NAME?</v>
      </c>
    </row>
    <row r="1549" customFormat="false" ht="13.5" hidden="false" customHeight="true" outlineLevel="0" collapsed="false">
      <c r="A1549" s="429"/>
      <c r="B1549" s="40" t="s">
        <v>4054</v>
      </c>
      <c r="C1549" s="316"/>
      <c r="D1549" s="316"/>
      <c r="E1549" s="112" t="e">
        <f aca="false">общ.калькуляция!h1523</f>
        <v>#NAME?</v>
      </c>
      <c r="F1549" s="112"/>
      <c r="G1549" s="112"/>
      <c r="H1549" s="112" t="e">
        <f aca="false">общ.калькуляция!j1523</f>
        <v>#NAME?</v>
      </c>
      <c r="I1549" s="112"/>
      <c r="J1549" s="112"/>
      <c r="K1549" s="112" t="e">
        <f aca="false">общ.калькуляция!m1523</f>
        <v>#NAME?</v>
      </c>
      <c r="L1549" s="112"/>
      <c r="M1549" s="112"/>
      <c r="N1549" s="112" t="e">
        <f aca="false">(E1549+H1549+K1549)</f>
        <v>#NAME?</v>
      </c>
    </row>
    <row r="1550" customFormat="false" ht="13.5" hidden="false" customHeight="true" outlineLevel="0" collapsed="false">
      <c r="A1550" s="429"/>
      <c r="B1550" s="40" t="s">
        <v>4055</v>
      </c>
      <c r="C1550" s="316"/>
      <c r="D1550" s="316"/>
      <c r="E1550" s="112" t="e">
        <f aca="false">общ.калькуляция!h1524</f>
        <v>#NAME?</v>
      </c>
      <c r="F1550" s="112"/>
      <c r="G1550" s="112"/>
      <c r="H1550" s="112" t="e">
        <f aca="false">общ.калькуляция!j1524</f>
        <v>#NAME?</v>
      </c>
      <c r="I1550" s="112"/>
      <c r="J1550" s="112"/>
      <c r="K1550" s="112" t="e">
        <f aca="false">общ.калькуляция!m1524</f>
        <v>#NAME?</v>
      </c>
      <c r="L1550" s="112"/>
      <c r="M1550" s="112"/>
      <c r="N1550" s="112" t="e">
        <f aca="false">(E1550+H1550+K1550)</f>
        <v>#NAME?</v>
      </c>
    </row>
    <row r="1551" customFormat="false" ht="30.75" hidden="false" customHeight="true" outlineLevel="0" collapsed="false">
      <c r="A1551" s="142" t="s">
        <v>2674</v>
      </c>
      <c r="B1551" s="430" t="s">
        <v>4057</v>
      </c>
      <c r="C1551" s="316"/>
      <c r="D1551" s="316"/>
      <c r="E1551" s="112"/>
      <c r="F1551" s="112"/>
      <c r="G1551" s="112"/>
      <c r="H1551" s="112"/>
      <c r="I1551" s="112"/>
      <c r="J1551" s="112"/>
      <c r="K1551" s="112"/>
      <c r="L1551" s="112"/>
      <c r="M1551" s="112"/>
      <c r="N1551" s="112"/>
    </row>
    <row r="1552" customFormat="false" ht="16.5" hidden="false" customHeight="true" outlineLevel="0" collapsed="false">
      <c r="A1552" s="142"/>
      <c r="B1552" s="40" t="s">
        <v>4052</v>
      </c>
      <c r="C1552" s="316"/>
      <c r="D1552" s="316"/>
      <c r="E1552" s="112" t="e">
        <f aca="false">общ.калькуляция!h1526</f>
        <v>#NAME?</v>
      </c>
      <c r="F1552" s="112"/>
      <c r="G1552" s="112"/>
      <c r="H1552" s="112" t="e">
        <f aca="false">общ.калькуляция!j1526</f>
        <v>#NAME?</v>
      </c>
      <c r="I1552" s="112"/>
      <c r="J1552" s="112"/>
      <c r="K1552" s="112" t="e">
        <f aca="false">общ.калькуляция!m1526</f>
        <v>#NAME?</v>
      </c>
      <c r="L1552" s="112"/>
      <c r="M1552" s="112"/>
      <c r="N1552" s="112" t="e">
        <f aca="false">(E1552+H1552+K1552)</f>
        <v>#NAME?</v>
      </c>
    </row>
    <row r="1553" customFormat="false" ht="15.75" hidden="false" customHeight="true" outlineLevel="0" collapsed="false">
      <c r="A1553" s="142"/>
      <c r="B1553" s="40" t="s">
        <v>4053</v>
      </c>
      <c r="C1553" s="316"/>
      <c r="D1553" s="316"/>
      <c r="E1553" s="112" t="e">
        <f aca="false">общ.калькуляция!h1527</f>
        <v>#NAME?</v>
      </c>
      <c r="F1553" s="112"/>
      <c r="G1553" s="112"/>
      <c r="H1553" s="112" t="e">
        <f aca="false">общ.калькуляция!j1527</f>
        <v>#NAME?</v>
      </c>
      <c r="I1553" s="112"/>
      <c r="J1553" s="112"/>
      <c r="K1553" s="112" t="e">
        <f aca="false">общ.калькуляция!m1527</f>
        <v>#NAME?</v>
      </c>
      <c r="L1553" s="112"/>
      <c r="M1553" s="112"/>
      <c r="N1553" s="112" t="e">
        <f aca="false">(E1553+H1553+K1553)</f>
        <v>#NAME?</v>
      </c>
    </row>
    <row r="1554" customFormat="false" ht="15.75" hidden="false" customHeight="true" outlineLevel="0" collapsed="false">
      <c r="A1554" s="142"/>
      <c r="B1554" s="40" t="s">
        <v>4054</v>
      </c>
      <c r="C1554" s="316"/>
      <c r="D1554" s="316"/>
      <c r="E1554" s="112" t="e">
        <f aca="false">общ.калькуляция!h1528</f>
        <v>#NAME?</v>
      </c>
      <c r="F1554" s="112"/>
      <c r="G1554" s="112"/>
      <c r="H1554" s="112" t="e">
        <f aca="false">общ.калькуляция!j1528</f>
        <v>#NAME?</v>
      </c>
      <c r="I1554" s="112"/>
      <c r="J1554" s="112"/>
      <c r="K1554" s="112" t="e">
        <f aca="false">общ.калькуляция!m1528</f>
        <v>#NAME?</v>
      </c>
      <c r="L1554" s="112"/>
      <c r="M1554" s="112"/>
      <c r="N1554" s="112" t="e">
        <f aca="false">(E1554+H1554+K1554)</f>
        <v>#NAME?</v>
      </c>
    </row>
    <row r="1555" customFormat="false" ht="15.75" hidden="false" customHeight="true" outlineLevel="0" collapsed="false">
      <c r="A1555" s="142"/>
      <c r="B1555" s="40" t="s">
        <v>4055</v>
      </c>
      <c r="C1555" s="316"/>
      <c r="D1555" s="316"/>
      <c r="E1555" s="112" t="e">
        <f aca="false">общ.калькуляция!h1529</f>
        <v>#NAME?</v>
      </c>
      <c r="F1555" s="112"/>
      <c r="G1555" s="112"/>
      <c r="H1555" s="112" t="e">
        <f aca="false">общ.калькуляция!j1529</f>
        <v>#NAME?</v>
      </c>
      <c r="I1555" s="112"/>
      <c r="J1555" s="112"/>
      <c r="K1555" s="112" t="e">
        <f aca="false">общ.калькуляция!m1529</f>
        <v>#NAME?</v>
      </c>
      <c r="L1555" s="112"/>
      <c r="M1555" s="112"/>
      <c r="N1555" s="112" t="e">
        <f aca="false">(E1555+H1555+K1555)</f>
        <v>#NAME?</v>
      </c>
    </row>
    <row r="1556" customFormat="false" ht="15.75" hidden="false" customHeight="true" outlineLevel="0" collapsed="false">
      <c r="A1556" s="142"/>
      <c r="B1556" s="213" t="s">
        <v>4058</v>
      </c>
      <c r="C1556" s="316"/>
      <c r="D1556" s="316"/>
      <c r="E1556" s="112"/>
      <c r="F1556" s="112"/>
      <c r="G1556" s="112"/>
      <c r="H1556" s="112"/>
      <c r="I1556" s="112"/>
      <c r="J1556" s="112"/>
      <c r="K1556" s="112"/>
      <c r="L1556" s="112"/>
      <c r="M1556" s="112"/>
      <c r="N1556" s="112"/>
    </row>
    <row r="1557" customFormat="false" ht="15.75" hidden="false" customHeight="true" outlineLevel="0" collapsed="false">
      <c r="A1557" s="431" t="s">
        <v>2677</v>
      </c>
      <c r="B1557" s="430" t="s">
        <v>4059</v>
      </c>
      <c r="C1557" s="316"/>
      <c r="D1557" s="316"/>
      <c r="E1557" s="112"/>
      <c r="F1557" s="112"/>
      <c r="G1557" s="112"/>
      <c r="H1557" s="112"/>
      <c r="I1557" s="112"/>
      <c r="J1557" s="112"/>
      <c r="K1557" s="112"/>
      <c r="L1557" s="112"/>
      <c r="M1557" s="112"/>
      <c r="N1557" s="112"/>
    </row>
    <row r="1558" customFormat="false" ht="15.75" hidden="false" customHeight="true" outlineLevel="0" collapsed="false">
      <c r="A1558" s="431"/>
      <c r="B1558" s="432" t="s">
        <v>4052</v>
      </c>
      <c r="C1558" s="316"/>
      <c r="D1558" s="316"/>
      <c r="E1558" s="112" t="e">
        <f aca="false">общ.калькуляция!h1532</f>
        <v>#NAME?</v>
      </c>
      <c r="F1558" s="112"/>
      <c r="G1558" s="112"/>
      <c r="H1558" s="112" t="e">
        <f aca="false">общ.калькуляция!j1532</f>
        <v>#NAME?</v>
      </c>
      <c r="I1558" s="112"/>
      <c r="J1558" s="112"/>
      <c r="K1558" s="112" t="e">
        <f aca="false">общ.калькуляция!m1532</f>
        <v>#NAME?</v>
      </c>
      <c r="L1558" s="112"/>
      <c r="M1558" s="112"/>
      <c r="N1558" s="112" t="e">
        <f aca="false">(E1558+H1558+K1558)</f>
        <v>#NAME?</v>
      </c>
    </row>
    <row r="1559" customFormat="false" ht="15.75" hidden="false" customHeight="true" outlineLevel="0" collapsed="false">
      <c r="A1559" s="431"/>
      <c r="B1559" s="432" t="s">
        <v>4053</v>
      </c>
      <c r="C1559" s="316"/>
      <c r="D1559" s="316"/>
      <c r="E1559" s="112" t="e">
        <f aca="false">общ.калькуляция!h1533</f>
        <v>#NAME?</v>
      </c>
      <c r="F1559" s="112"/>
      <c r="G1559" s="112"/>
      <c r="H1559" s="112" t="e">
        <f aca="false">общ.калькуляция!j1533</f>
        <v>#NAME?</v>
      </c>
      <c r="I1559" s="112"/>
      <c r="J1559" s="112"/>
      <c r="K1559" s="112" t="e">
        <f aca="false">общ.калькуляция!m1533</f>
        <v>#NAME?</v>
      </c>
      <c r="L1559" s="112"/>
      <c r="M1559" s="112"/>
      <c r="N1559" s="112" t="e">
        <f aca="false">(E1559+H1559+K1559)</f>
        <v>#NAME?</v>
      </c>
    </row>
    <row r="1560" customFormat="false" ht="15.75" hidden="false" customHeight="true" outlineLevel="0" collapsed="false">
      <c r="A1560" s="431"/>
      <c r="B1560" s="432" t="s">
        <v>4054</v>
      </c>
      <c r="C1560" s="316"/>
      <c r="D1560" s="316"/>
      <c r="E1560" s="112" t="e">
        <f aca="false">общ.калькуляция!h1534</f>
        <v>#NAME?</v>
      </c>
      <c r="F1560" s="112"/>
      <c r="G1560" s="112"/>
      <c r="H1560" s="112" t="e">
        <f aca="false">общ.калькуляция!j1534</f>
        <v>#NAME?</v>
      </c>
      <c r="I1560" s="112"/>
      <c r="J1560" s="112"/>
      <c r="K1560" s="112" t="e">
        <f aca="false">общ.калькуляция!m1534</f>
        <v>#NAME?</v>
      </c>
      <c r="L1560" s="112"/>
      <c r="M1560" s="112"/>
      <c r="N1560" s="112" t="e">
        <f aca="false">(E1560+H1560+K1560)</f>
        <v>#NAME?</v>
      </c>
    </row>
    <row r="1561" customFormat="false" ht="20.25" hidden="false" customHeight="true" outlineLevel="0" collapsed="false">
      <c r="A1561" s="431" t="s">
        <v>2678</v>
      </c>
      <c r="B1561" s="217" t="s">
        <v>4060</v>
      </c>
      <c r="C1561" s="8"/>
      <c r="D1561" s="316"/>
      <c r="E1561" s="112"/>
      <c r="F1561" s="112"/>
      <c r="G1561" s="112"/>
      <c r="H1561" s="112"/>
      <c r="I1561" s="112"/>
      <c r="J1561" s="112"/>
      <c r="K1561" s="112"/>
      <c r="L1561" s="112"/>
      <c r="M1561" s="112"/>
      <c r="N1561" s="112"/>
    </row>
    <row r="1562" customFormat="false" ht="15.75" hidden="false" customHeight="true" outlineLevel="0" collapsed="false">
      <c r="A1562" s="431"/>
      <c r="B1562" s="217" t="s">
        <v>4052</v>
      </c>
      <c r="C1562" s="8"/>
      <c r="D1562" s="316"/>
      <c r="E1562" s="112" t="e">
        <f aca="false">общ.калькуляция!h1536</f>
        <v>#NAME?</v>
      </c>
      <c r="F1562" s="112"/>
      <c r="G1562" s="112"/>
      <c r="H1562" s="112" t="e">
        <f aca="false">общ.калькуляция!j1536</f>
        <v>#NAME?</v>
      </c>
      <c r="I1562" s="112"/>
      <c r="J1562" s="112"/>
      <c r="K1562" s="112" t="e">
        <f aca="false">общ.калькуляция!m1536</f>
        <v>#NAME?</v>
      </c>
      <c r="L1562" s="112"/>
      <c r="M1562" s="112"/>
      <c r="N1562" s="112" t="e">
        <f aca="false">(E1562+H1562+K1562)</f>
        <v>#NAME?</v>
      </c>
    </row>
    <row r="1563" customFormat="false" ht="15.75" hidden="false" customHeight="true" outlineLevel="0" collapsed="false">
      <c r="A1563" s="431"/>
      <c r="B1563" s="217" t="s">
        <v>4053</v>
      </c>
      <c r="C1563" s="8"/>
      <c r="D1563" s="316"/>
      <c r="E1563" s="112" t="e">
        <f aca="false">общ.калькуляция!h1537</f>
        <v>#NAME?</v>
      </c>
      <c r="F1563" s="112"/>
      <c r="G1563" s="112"/>
      <c r="H1563" s="112" t="e">
        <f aca="false">общ.калькуляция!j1537</f>
        <v>#NAME?</v>
      </c>
      <c r="I1563" s="112"/>
      <c r="J1563" s="112"/>
      <c r="K1563" s="112" t="e">
        <f aca="false">общ.калькуляция!m1537</f>
        <v>#NAME?</v>
      </c>
      <c r="L1563" s="112"/>
      <c r="M1563" s="112"/>
      <c r="N1563" s="112" t="e">
        <f aca="false">(E1563+H1563+K1563)</f>
        <v>#NAME?</v>
      </c>
    </row>
    <row r="1564" customFormat="false" ht="15.75" hidden="false" customHeight="true" outlineLevel="0" collapsed="false">
      <c r="A1564" s="431"/>
      <c r="B1564" s="217" t="s">
        <v>4054</v>
      </c>
      <c r="C1564" s="8"/>
      <c r="D1564" s="316"/>
      <c r="E1564" s="112" t="e">
        <f aca="false">общ.калькуляция!h1538</f>
        <v>#NAME?</v>
      </c>
      <c r="F1564" s="112"/>
      <c r="G1564" s="112"/>
      <c r="H1564" s="112" t="e">
        <f aca="false">общ.калькуляция!j1538</f>
        <v>#NAME?</v>
      </c>
      <c r="I1564" s="112"/>
      <c r="J1564" s="112"/>
      <c r="K1564" s="112" t="e">
        <f aca="false">общ.калькуляция!m1538</f>
        <v>#NAME?</v>
      </c>
      <c r="L1564" s="112"/>
      <c r="M1564" s="112"/>
      <c r="N1564" s="112" t="e">
        <f aca="false">(E1564+H1564+K1564)</f>
        <v>#NAME?</v>
      </c>
    </row>
    <row r="1565" customFormat="false" ht="33" hidden="false" customHeight="true" outlineLevel="0" collapsed="false">
      <c r="A1565" s="431" t="s">
        <v>2679</v>
      </c>
      <c r="B1565" s="430" t="s">
        <v>4061</v>
      </c>
      <c r="C1565" s="8"/>
      <c r="D1565" s="316"/>
      <c r="E1565" s="112"/>
      <c r="F1565" s="112"/>
      <c r="G1565" s="112"/>
      <c r="H1565" s="112"/>
      <c r="I1565" s="112"/>
      <c r="J1565" s="112"/>
      <c r="K1565" s="112"/>
      <c r="L1565" s="112"/>
      <c r="M1565" s="112"/>
      <c r="N1565" s="112"/>
    </row>
    <row r="1566" customFormat="false" ht="15.75" hidden="false" customHeight="true" outlineLevel="0" collapsed="false">
      <c r="A1566" s="142"/>
      <c r="B1566" s="217" t="s">
        <v>4052</v>
      </c>
      <c r="C1566" s="316"/>
      <c r="D1566" s="316"/>
      <c r="E1566" s="112" t="e">
        <f aca="false">общ.калькуляция!h1540</f>
        <v>#NAME?</v>
      </c>
      <c r="F1566" s="112"/>
      <c r="G1566" s="112"/>
      <c r="H1566" s="112" t="e">
        <f aca="false">общ.калькуляция!j1540</f>
        <v>#NAME?</v>
      </c>
      <c r="I1566" s="112"/>
      <c r="J1566" s="112"/>
      <c r="K1566" s="112" t="e">
        <f aca="false">общ.калькуляция!m1540</f>
        <v>#NAME?</v>
      </c>
      <c r="L1566" s="112"/>
      <c r="M1566" s="112"/>
      <c r="N1566" s="112" t="e">
        <f aca="false">(E1566+H1566+K1566)</f>
        <v>#NAME?</v>
      </c>
    </row>
    <row r="1567" customFormat="false" ht="15.75" hidden="false" customHeight="true" outlineLevel="0" collapsed="false">
      <c r="A1567" s="142"/>
      <c r="B1567" s="217" t="s">
        <v>4053</v>
      </c>
      <c r="C1567" s="316"/>
      <c r="D1567" s="316"/>
      <c r="E1567" s="112" t="e">
        <f aca="false">общ.калькуляция!h1541</f>
        <v>#NAME?</v>
      </c>
      <c r="F1567" s="112"/>
      <c r="G1567" s="112"/>
      <c r="H1567" s="112" t="e">
        <f aca="false">общ.калькуляция!j1541</f>
        <v>#NAME?</v>
      </c>
      <c r="I1567" s="112"/>
      <c r="J1567" s="112"/>
      <c r="K1567" s="112" t="e">
        <f aca="false">общ.калькуляция!m1541</f>
        <v>#NAME?</v>
      </c>
      <c r="L1567" s="112"/>
      <c r="M1567" s="112"/>
      <c r="N1567" s="112" t="e">
        <f aca="false">(E1567+H1567+K1567)</f>
        <v>#NAME?</v>
      </c>
    </row>
    <row r="1568" customFormat="false" ht="15.75" hidden="false" customHeight="true" outlineLevel="0" collapsed="false">
      <c r="A1568" s="142"/>
      <c r="B1568" s="217" t="s">
        <v>4054</v>
      </c>
      <c r="C1568" s="316"/>
      <c r="D1568" s="316"/>
      <c r="E1568" s="112" t="e">
        <f aca="false">общ.калькуляция!h1542</f>
        <v>#NAME?</v>
      </c>
      <c r="F1568" s="112"/>
      <c r="G1568" s="112"/>
      <c r="H1568" s="112" t="e">
        <f aca="false">общ.калькуляция!j1542</f>
        <v>#NAME?</v>
      </c>
      <c r="I1568" s="112"/>
      <c r="J1568" s="112"/>
      <c r="K1568" s="112" t="e">
        <f aca="false">общ.калькуляция!m1542</f>
        <v>#NAME?</v>
      </c>
      <c r="L1568" s="112"/>
      <c r="M1568" s="112"/>
      <c r="N1568" s="112" t="e">
        <f aca="false">(E1568+H1568+K1568)</f>
        <v>#NAME?</v>
      </c>
    </row>
    <row r="1569" customFormat="false" ht="15.75" hidden="false" customHeight="true" outlineLevel="0" collapsed="false">
      <c r="A1569" s="431" t="s">
        <v>2680</v>
      </c>
      <c r="B1569" s="217" t="s">
        <v>4062</v>
      </c>
      <c r="C1569" s="316"/>
      <c r="D1569" s="316"/>
      <c r="E1569" s="112" t="e">
        <f aca="false">общ.калькуляция!h1543</f>
        <v>#NAME?</v>
      </c>
      <c r="F1569" s="112"/>
      <c r="G1569" s="112"/>
      <c r="H1569" s="112" t="e">
        <f aca="false">общ.калькуляция!j1543</f>
        <v>#NAME?</v>
      </c>
      <c r="I1569" s="112"/>
      <c r="J1569" s="112"/>
      <c r="K1569" s="112" t="e">
        <f aca="false">общ.калькуляция!m1543</f>
        <v>#NAME?</v>
      </c>
      <c r="L1569" s="112"/>
      <c r="M1569" s="112"/>
      <c r="N1569" s="112" t="e">
        <f aca="false">(E1569+H1569+K1569)</f>
        <v>#NAME?</v>
      </c>
    </row>
    <row r="1570" customFormat="false" ht="15.75" hidden="false" customHeight="true" outlineLevel="0" collapsed="false">
      <c r="A1570" s="431" t="s">
        <v>2682</v>
      </c>
      <c r="B1570" s="217" t="s">
        <v>4063</v>
      </c>
      <c r="C1570" s="316"/>
      <c r="D1570" s="316"/>
      <c r="E1570" s="112" t="e">
        <f aca="false">общ.калькуляция!h1544</f>
        <v>#NAME?</v>
      </c>
      <c r="F1570" s="112"/>
      <c r="G1570" s="112"/>
      <c r="H1570" s="112" t="e">
        <f aca="false">общ.калькуляция!j1544</f>
        <v>#NAME?</v>
      </c>
      <c r="I1570" s="112"/>
      <c r="J1570" s="112"/>
      <c r="K1570" s="112" t="e">
        <f aca="false">общ.калькуляция!m1544</f>
        <v>#NAME?</v>
      </c>
      <c r="L1570" s="112"/>
      <c r="M1570" s="112"/>
      <c r="N1570" s="112" t="e">
        <f aca="false">(E1570+H1570+K1570)</f>
        <v>#NAME?</v>
      </c>
    </row>
    <row r="1571" customFormat="false" ht="15" hidden="false" customHeight="false" outlineLevel="0" collapsed="false">
      <c r="A1571" s="142" t="s">
        <v>2684</v>
      </c>
      <c r="B1571" s="433" t="s">
        <v>4064</v>
      </c>
      <c r="C1571" s="316"/>
      <c r="D1571" s="316"/>
      <c r="E1571" s="317" t="e">
        <f aca="false">общ.калькуляция!h1545</f>
        <v>#NAME?</v>
      </c>
      <c r="F1571" s="317"/>
      <c r="G1571" s="317"/>
      <c r="H1571" s="317" t="e">
        <f aca="false">общ.калькуляция!j1545</f>
        <v>#NAME?</v>
      </c>
      <c r="I1571" s="317"/>
      <c r="J1571" s="317"/>
      <c r="K1571" s="317" t="e">
        <f aca="false">общ.калькуляция!m1545</f>
        <v>#NAME?</v>
      </c>
      <c r="L1571" s="317"/>
      <c r="M1571" s="317"/>
      <c r="N1571" s="317" t="e">
        <f aca="false">E1571+H1571+K1571</f>
        <v>#NAME?</v>
      </c>
    </row>
    <row r="1572" customFormat="false" ht="15" hidden="false" customHeight="false" outlineLevel="0" collapsed="false">
      <c r="A1572" s="68" t="s">
        <v>4065</v>
      </c>
      <c r="B1572" s="318" t="s">
        <v>4066</v>
      </c>
      <c r="C1572" s="386"/>
      <c r="D1572" s="386"/>
      <c r="E1572" s="434"/>
      <c r="F1572" s="434"/>
      <c r="G1572" s="434"/>
      <c r="H1572" s="434"/>
      <c r="I1572" s="434"/>
      <c r="J1572" s="434"/>
      <c r="K1572" s="434"/>
      <c r="L1572" s="434"/>
      <c r="M1572" s="434"/>
      <c r="N1572" s="434"/>
    </row>
    <row r="1573" customFormat="false" ht="15" hidden="false" customHeight="false" outlineLevel="0" collapsed="false">
      <c r="A1573" s="216" t="s">
        <v>2689</v>
      </c>
      <c r="B1573" s="40" t="s">
        <v>4067</v>
      </c>
      <c r="C1573" s="316"/>
      <c r="D1573" s="316"/>
      <c r="E1573" s="112" t="e">
        <f aca="false">общ.калькуляция!h1547</f>
        <v>#NAME?</v>
      </c>
      <c r="F1573" s="112"/>
      <c r="G1573" s="112"/>
      <c r="H1573" s="112" t="e">
        <f aca="false">общ.калькуляция!j1547</f>
        <v>#NAME?</v>
      </c>
      <c r="I1573" s="112"/>
      <c r="J1573" s="112"/>
      <c r="K1573" s="112" t="e">
        <f aca="false">общ.калькуляция!m1547</f>
        <v>#NAME?</v>
      </c>
      <c r="L1573" s="112"/>
      <c r="M1573" s="112"/>
      <c r="N1573" s="112" t="e">
        <f aca="false">SUM(C1573:M1573)</f>
        <v>#NAME?</v>
      </c>
    </row>
    <row r="1574" customFormat="false" ht="15" hidden="false" customHeight="false" outlineLevel="0" collapsed="false">
      <c r="A1574" s="216" t="s">
        <v>2692</v>
      </c>
      <c r="B1574" s="40" t="s">
        <v>4068</v>
      </c>
      <c r="C1574" s="316"/>
      <c r="D1574" s="316"/>
      <c r="E1574" s="112" t="e">
        <f aca="false">общ.калькуляция!h1548</f>
        <v>#NAME?</v>
      </c>
      <c r="F1574" s="112"/>
      <c r="G1574" s="112"/>
      <c r="H1574" s="112" t="e">
        <f aca="false">общ.калькуляция!j1548</f>
        <v>#NAME?</v>
      </c>
      <c r="I1574" s="112"/>
      <c r="J1574" s="112"/>
      <c r="K1574" s="112" t="e">
        <f aca="false">общ.калькуляция!m1548</f>
        <v>#NAME?</v>
      </c>
      <c r="L1574" s="112"/>
      <c r="M1574" s="112"/>
      <c r="N1574" s="112" t="e">
        <f aca="false">SUM(C1574:M1574)</f>
        <v>#NAME?</v>
      </c>
    </row>
    <row r="1575" customFormat="false" ht="15" hidden="false" customHeight="false" outlineLevel="0" collapsed="false">
      <c r="A1575" s="216" t="s">
        <v>2694</v>
      </c>
      <c r="B1575" s="40" t="s">
        <v>4069</v>
      </c>
      <c r="C1575" s="316"/>
      <c r="D1575" s="316"/>
      <c r="E1575" s="112" t="e">
        <f aca="false">общ.калькуляция!h1549</f>
        <v>#NAME?</v>
      </c>
      <c r="F1575" s="112"/>
      <c r="G1575" s="112"/>
      <c r="H1575" s="112" t="e">
        <f aca="false">общ.калькуляция!j1549</f>
        <v>#NAME?</v>
      </c>
      <c r="I1575" s="112"/>
      <c r="J1575" s="112"/>
      <c r="K1575" s="112" t="e">
        <f aca="false">общ.калькуляция!m1549</f>
        <v>#NAME?</v>
      </c>
      <c r="L1575" s="112"/>
      <c r="M1575" s="112"/>
      <c r="N1575" s="112" t="e">
        <f aca="false">SUM(C1575:M1575)</f>
        <v>#NAME?</v>
      </c>
    </row>
    <row r="1576" customFormat="false" ht="15" hidden="false" customHeight="false" outlineLevel="0" collapsed="false">
      <c r="A1576" s="216" t="s">
        <v>2696</v>
      </c>
      <c r="B1576" s="40" t="s">
        <v>4070</v>
      </c>
      <c r="C1576" s="316"/>
      <c r="D1576" s="316"/>
      <c r="E1576" s="112" t="e">
        <f aca="false">общ.калькуляция!h1550</f>
        <v>#NAME?</v>
      </c>
      <c r="F1576" s="112"/>
      <c r="G1576" s="112"/>
      <c r="H1576" s="112" t="e">
        <f aca="false">общ.калькуляция!j1550</f>
        <v>#NAME?</v>
      </c>
      <c r="I1576" s="112"/>
      <c r="J1576" s="112"/>
      <c r="K1576" s="112" t="e">
        <f aca="false">общ.калькуляция!m1550</f>
        <v>#NAME?</v>
      </c>
      <c r="L1576" s="112"/>
      <c r="M1576" s="112"/>
      <c r="N1576" s="112" t="e">
        <f aca="false">SUM(C1576:M1576)</f>
        <v>#NAME?</v>
      </c>
    </row>
    <row r="1577" s="97" customFormat="true" ht="15" hidden="false" customHeight="false" outlineLevel="0" collapsed="false">
      <c r="A1577" s="68" t="s">
        <v>2698</v>
      </c>
      <c r="B1577" s="318" t="s">
        <v>4071</v>
      </c>
      <c r="C1577" s="386"/>
      <c r="D1577" s="386"/>
      <c r="E1577" s="434"/>
      <c r="F1577" s="434"/>
      <c r="G1577" s="434"/>
      <c r="H1577" s="434"/>
      <c r="I1577" s="434"/>
      <c r="J1577" s="434"/>
      <c r="K1577" s="434"/>
      <c r="L1577" s="434"/>
      <c r="M1577" s="434"/>
      <c r="N1577" s="434"/>
    </row>
    <row r="1578" s="97" customFormat="true" ht="30" hidden="false" customHeight="false" outlineLevel="0" collapsed="false">
      <c r="A1578" s="435" t="s">
        <v>2700</v>
      </c>
      <c r="B1578" s="40" t="s">
        <v>4072</v>
      </c>
      <c r="C1578" s="199"/>
      <c r="D1578" s="436"/>
      <c r="E1578" s="436" t="e">
        <f aca="false">общ.калькуляция!h1552</f>
        <v>#NAME?</v>
      </c>
      <c r="F1578" s="437"/>
      <c r="G1578" s="437"/>
      <c r="H1578" s="438" t="e">
        <f aca="false">общ.калькуляция!j1552</f>
        <v>#NAME?</v>
      </c>
      <c r="I1578" s="161"/>
      <c r="J1578" s="161"/>
      <c r="K1578" s="438" t="e">
        <f aca="false">общ.калькуляция!m1552</f>
        <v>#NAME?</v>
      </c>
      <c r="L1578" s="161"/>
      <c r="M1578" s="161"/>
      <c r="N1578" s="112" t="e">
        <f aca="false">SUM(C1578:M1578)</f>
        <v>#NAME?</v>
      </c>
    </row>
    <row r="1579" s="97" customFormat="true" ht="30" hidden="false" customHeight="false" outlineLevel="0" collapsed="false">
      <c r="A1579" s="435" t="s">
        <v>2702</v>
      </c>
      <c r="B1579" s="40" t="s">
        <v>4073</v>
      </c>
      <c r="C1579" s="199"/>
      <c r="D1579" s="436"/>
      <c r="E1579" s="436" t="e">
        <f aca="false">общ.калькуляция!h1553</f>
        <v>#NAME?</v>
      </c>
      <c r="F1579" s="437"/>
      <c r="G1579" s="437"/>
      <c r="H1579" s="438" t="e">
        <f aca="false">общ.калькуляция!j1553</f>
        <v>#NAME?</v>
      </c>
      <c r="I1579" s="161"/>
      <c r="J1579" s="161"/>
      <c r="K1579" s="438" t="e">
        <f aca="false">общ.калькуляция!m1553</f>
        <v>#NAME?</v>
      </c>
      <c r="L1579" s="161"/>
      <c r="M1579" s="161"/>
      <c r="N1579" s="112" t="e">
        <f aca="false">SUM(C1579:M1579)</f>
        <v>#NAME?</v>
      </c>
    </row>
    <row r="1580" s="97" customFormat="true" ht="30" hidden="false" customHeight="false" outlineLevel="0" collapsed="false">
      <c r="A1580" s="435" t="s">
        <v>2704</v>
      </c>
      <c r="B1580" s="40" t="s">
        <v>4074</v>
      </c>
      <c r="C1580" s="199"/>
      <c r="D1580" s="31"/>
      <c r="E1580" s="31" t="e">
        <f aca="false">общ.калькуляция!h1554</f>
        <v>#NAME?</v>
      </c>
      <c r="F1580" s="166"/>
      <c r="G1580" s="166"/>
      <c r="H1580" s="438" t="e">
        <f aca="false">общ.калькуляция!j1554</f>
        <v>#NAME?</v>
      </c>
      <c r="I1580" s="161"/>
      <c r="J1580" s="161"/>
      <c r="K1580" s="438" t="e">
        <f aca="false">общ.калькуляция!m1554</f>
        <v>#NAME?</v>
      </c>
      <c r="L1580" s="161"/>
      <c r="M1580" s="161"/>
      <c r="N1580" s="112" t="e">
        <f aca="false">SUM(C1580:M1580)</f>
        <v>#NAME?</v>
      </c>
    </row>
    <row r="1581" s="97" customFormat="true" ht="85.5" hidden="false" customHeight="true" outlineLevel="0" collapsed="false">
      <c r="A1581" s="439" t="s">
        <v>2706</v>
      </c>
      <c r="B1581" s="440" t="s">
        <v>4075</v>
      </c>
      <c r="C1581" s="199"/>
      <c r="D1581" s="31"/>
      <c r="E1581" s="31" t="e">
        <f aca="false">общ.калькуляция!h1555</f>
        <v>#NAME?</v>
      </c>
      <c r="F1581" s="166"/>
      <c r="G1581" s="166"/>
      <c r="H1581" s="438" t="e">
        <f aca="false">общ.калькуляция!j1555</f>
        <v>#NAME?</v>
      </c>
      <c r="I1581" s="161"/>
      <c r="J1581" s="161"/>
      <c r="K1581" s="438" t="e">
        <f aca="false">общ.калькуляция!m1555</f>
        <v>#NAME?</v>
      </c>
      <c r="L1581" s="161"/>
      <c r="M1581" s="161"/>
      <c r="N1581" s="441" t="e">
        <f aca="false">E1581+H1581+K1581</f>
        <v>#NAME?</v>
      </c>
    </row>
    <row r="1582" s="97" customFormat="true" ht="24.75" hidden="false" customHeight="true" outlineLevel="0" collapsed="false">
      <c r="A1582" s="442" t="s">
        <v>2708</v>
      </c>
      <c r="B1582" s="401" t="s">
        <v>4076</v>
      </c>
      <c r="C1582" s="169"/>
      <c r="D1582" s="155"/>
      <c r="E1582" s="155"/>
      <c r="F1582" s="227"/>
      <c r="G1582" s="227"/>
      <c r="H1582" s="443"/>
      <c r="I1582" s="14"/>
      <c r="J1582" s="14"/>
      <c r="K1582" s="443"/>
      <c r="L1582" s="14"/>
      <c r="M1582" s="14"/>
      <c r="N1582" s="444"/>
    </row>
    <row r="1583" s="97" customFormat="true" ht="18" hidden="false" customHeight="true" outlineLevel="0" collapsed="false">
      <c r="A1583" s="68"/>
      <c r="B1583" s="318" t="s">
        <v>4077</v>
      </c>
      <c r="C1583" s="386"/>
      <c r="D1583" s="386"/>
      <c r="E1583" s="434" t="e">
        <f aca="false">общ.калькуляция!h1557</f>
        <v>#NAME?</v>
      </c>
      <c r="F1583" s="434"/>
      <c r="G1583" s="434"/>
      <c r="H1583" s="434" t="e">
        <f aca="false">общ.калькуляция!j1557</f>
        <v>#NAME?</v>
      </c>
      <c r="I1583" s="434"/>
      <c r="J1583" s="434"/>
      <c r="K1583" s="434" t="e">
        <f aca="false">общ.калькуляция!m1557</f>
        <v>#NAME?</v>
      </c>
      <c r="L1583" s="434"/>
      <c r="M1583" s="434"/>
      <c r="N1583" s="434" t="e">
        <f aca="false">E1583+H1583+K1583</f>
        <v>#NAME?</v>
      </c>
    </row>
  </sheetData>
  <mergeCells count="13">
    <mergeCell ref="A1:N1"/>
    <mergeCell ref="A3:N3"/>
    <mergeCell ref="A7:A8"/>
    <mergeCell ref="B7:B8"/>
    <mergeCell ref="C7:E7"/>
    <mergeCell ref="F7:H7"/>
    <mergeCell ref="I7:K7"/>
    <mergeCell ref="L7:N7"/>
    <mergeCell ref="B1528:C1528"/>
    <mergeCell ref="E1528:F1528"/>
    <mergeCell ref="H1528:I1528"/>
    <mergeCell ref="K1528:L1528"/>
    <mergeCell ref="B1537:E1537"/>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1558"/>
  <sheetViews>
    <sheetView showFormulas="false" showGridLines="true" showRowColHeaders="true" showZeros="true" rightToLeft="false" tabSelected="false" showOutlineSymbols="true" defaultGridColor="true" view="pageBreakPreview" topLeftCell="A1" colorId="64" zoomScale="100" zoomScaleNormal="93" zoomScalePageLayoutView="100" workbookViewId="0">
      <pane xSplit="0" ySplit="8" topLeftCell="A1498" activePane="bottomLeft" state="frozen"/>
      <selection pane="topLeft" activeCell="A1" activeCellId="0" sqref="A1"/>
      <selection pane="bottomLeft" activeCell="C1507" activeCellId="0" sqref="C1507"/>
    </sheetView>
  </sheetViews>
  <sheetFormatPr defaultColWidth="9.1484375" defaultRowHeight="15" zeroHeight="false" outlineLevelRow="0" outlineLevelCol="0"/>
  <cols>
    <col collapsed="false" customWidth="true" hidden="false" outlineLevel="0" max="1" min="1" style="445" width="8.86"/>
    <col collapsed="false" customWidth="true" hidden="false" outlineLevel="0" max="2" min="2" style="446" width="66.42"/>
    <col collapsed="false" customWidth="true" hidden="false" outlineLevel="0" max="3" min="3" style="447" width="11.43"/>
    <col collapsed="false" customWidth="true" hidden="false" outlineLevel="0" max="4" min="4" style="447" width="11"/>
    <col collapsed="false" customWidth="true" hidden="true" outlineLevel="0" max="5" min="5" style="447" width="14"/>
    <col collapsed="false" customWidth="true" hidden="false" outlineLevel="0" max="6" min="6" style="447" width="11.14"/>
    <col collapsed="false" customWidth="true" hidden="false" outlineLevel="0" max="7" min="7" style="447" width="11.57"/>
    <col collapsed="false" customWidth="true" hidden="false" outlineLevel="0" max="8" min="8" style="447" width="11.71"/>
    <col collapsed="false" customWidth="true" hidden="false" outlineLevel="0" max="9" min="9" style="448" width="10"/>
    <col collapsed="false" customWidth="true" hidden="false" outlineLevel="0" max="10" min="10" style="447" width="11"/>
    <col collapsed="false" customWidth="true" hidden="false" outlineLevel="0" max="11" min="11" style="447" width="11.29"/>
    <col collapsed="false" customWidth="true" hidden="false" outlineLevel="0" max="12" min="12" style="449" width="8.15"/>
    <col collapsed="false" customWidth="true" hidden="false" outlineLevel="0" max="13" min="13" style="447" width="8.86"/>
    <col collapsed="false" customWidth="true" hidden="false" outlineLevel="0" max="14" min="14" style="446" width="14.14"/>
    <col collapsed="false" customWidth="true" hidden="false" outlineLevel="0" max="15" min="15" style="450" width="12.71"/>
    <col collapsed="false" customWidth="false" hidden="false" outlineLevel="0" max="16384" min="16" style="451" width="9.14"/>
  </cols>
  <sheetData>
    <row r="1" customFormat="false" ht="16.5" hidden="false" customHeight="true" outlineLevel="0" collapsed="false">
      <c r="B1" s="452" t="s">
        <v>4078</v>
      </c>
    </row>
    <row r="2" customFormat="false" ht="16.5" hidden="false" customHeight="true" outlineLevel="0" collapsed="false">
      <c r="B2" s="452" t="s">
        <v>4079</v>
      </c>
    </row>
    <row r="3" customFormat="false" ht="16.5" hidden="false" customHeight="true" outlineLevel="0" collapsed="false">
      <c r="B3" s="452" t="s">
        <v>4080</v>
      </c>
    </row>
    <row r="4" customFormat="false" ht="24.75" hidden="false" customHeight="true" outlineLevel="0" collapsed="false">
      <c r="K4" s="450"/>
      <c r="L4" s="453"/>
      <c r="M4" s="450"/>
      <c r="N4" s="454"/>
      <c r="O4" s="455" t="s">
        <v>4081</v>
      </c>
    </row>
    <row r="5" s="461" customFormat="true" ht="13.5" hidden="false" customHeight="true" outlineLevel="0" collapsed="false">
      <c r="A5" s="456" t="s">
        <v>4082</v>
      </c>
      <c r="B5" s="457" t="s">
        <v>4083</v>
      </c>
      <c r="C5" s="458" t="s">
        <v>2872</v>
      </c>
      <c r="D5" s="458"/>
      <c r="E5" s="458"/>
      <c r="F5" s="458"/>
      <c r="G5" s="458"/>
      <c r="H5" s="458" t="s">
        <v>4084</v>
      </c>
      <c r="I5" s="459" t="s">
        <v>2873</v>
      </c>
      <c r="J5" s="459"/>
      <c r="K5" s="458" t="s">
        <v>4085</v>
      </c>
      <c r="L5" s="460" t="s">
        <v>4086</v>
      </c>
      <c r="M5" s="460"/>
      <c r="N5" s="457" t="s">
        <v>4087</v>
      </c>
      <c r="O5" s="458" t="s">
        <v>4088</v>
      </c>
    </row>
    <row r="6" s="461" customFormat="true" ht="30.75" hidden="false" customHeight="true" outlineLevel="0" collapsed="false">
      <c r="A6" s="456"/>
      <c r="B6" s="457"/>
      <c r="C6" s="458" t="s">
        <v>4089</v>
      </c>
      <c r="D6" s="458" t="s">
        <v>4090</v>
      </c>
      <c r="E6" s="458"/>
      <c r="F6" s="458"/>
      <c r="G6" s="458" t="s">
        <v>4091</v>
      </c>
      <c r="H6" s="458"/>
      <c r="I6" s="459"/>
      <c r="J6" s="459"/>
      <c r="K6" s="458"/>
      <c r="L6" s="460"/>
      <c r="M6" s="460"/>
      <c r="N6" s="457"/>
      <c r="O6" s="458"/>
    </row>
    <row r="7" s="461" customFormat="true" ht="66" hidden="false" customHeight="true" outlineLevel="0" collapsed="false">
      <c r="A7" s="456"/>
      <c r="B7" s="457"/>
      <c r="C7" s="458"/>
      <c r="D7" s="458" t="s">
        <v>4092</v>
      </c>
      <c r="E7" s="458" t="s">
        <v>4093</v>
      </c>
      <c r="F7" s="458" t="s">
        <v>4094</v>
      </c>
      <c r="G7" s="458"/>
      <c r="H7" s="458"/>
      <c r="I7" s="462" t="s">
        <v>4095</v>
      </c>
      <c r="J7" s="458" t="s">
        <v>4081</v>
      </c>
      <c r="K7" s="458"/>
      <c r="L7" s="462" t="s">
        <v>4095</v>
      </c>
      <c r="M7" s="458" t="s">
        <v>4081</v>
      </c>
      <c r="N7" s="457"/>
      <c r="O7" s="458"/>
    </row>
    <row r="8" s="461" customFormat="true" ht="15" hidden="false" customHeight="false" outlineLevel="0" collapsed="false">
      <c r="A8" s="456" t="n">
        <v>1</v>
      </c>
      <c r="B8" s="456" t="s">
        <v>1320</v>
      </c>
      <c r="C8" s="457" t="n">
        <v>3</v>
      </c>
      <c r="D8" s="457" t="n">
        <v>4</v>
      </c>
      <c r="E8" s="457" t="n">
        <v>5</v>
      </c>
      <c r="F8" s="457" t="n">
        <v>6</v>
      </c>
      <c r="G8" s="457" t="n">
        <v>7</v>
      </c>
      <c r="H8" s="457" t="n">
        <v>8</v>
      </c>
      <c r="I8" s="456" t="s">
        <v>2548</v>
      </c>
      <c r="J8" s="458" t="s">
        <v>4096</v>
      </c>
      <c r="K8" s="458" t="n">
        <v>11</v>
      </c>
      <c r="L8" s="456" t="n">
        <v>12</v>
      </c>
      <c r="M8" s="457" t="n">
        <v>13</v>
      </c>
      <c r="N8" s="457" t="n">
        <v>14</v>
      </c>
      <c r="O8" s="457" t="n">
        <v>15</v>
      </c>
    </row>
    <row r="9" s="461" customFormat="true" ht="42.75" hidden="false" customHeight="false" outlineLevel="0" collapsed="false">
      <c r="A9" s="463" t="n">
        <v>1</v>
      </c>
      <c r="B9" s="318" t="s">
        <v>2879</v>
      </c>
      <c r="C9" s="464"/>
      <c r="D9" s="464"/>
      <c r="E9" s="464"/>
      <c r="F9" s="464"/>
      <c r="G9" s="464"/>
      <c r="H9" s="464"/>
      <c r="I9" s="465"/>
      <c r="J9" s="466"/>
      <c r="K9" s="466"/>
      <c r="L9" s="465"/>
      <c r="M9" s="464"/>
      <c r="N9" s="464"/>
      <c r="O9" s="464"/>
    </row>
    <row r="10" s="461" customFormat="true" ht="114" hidden="false" customHeight="false" outlineLevel="0" collapsed="false">
      <c r="A10" s="350" t="s">
        <v>11</v>
      </c>
      <c r="B10" s="467" t="s">
        <v>2880</v>
      </c>
      <c r="C10" s="468"/>
      <c r="D10" s="468"/>
      <c r="E10" s="468"/>
      <c r="F10" s="468"/>
      <c r="G10" s="468"/>
      <c r="H10" s="468"/>
      <c r="I10" s="469"/>
      <c r="J10" s="470"/>
      <c r="K10" s="470"/>
      <c r="L10" s="469"/>
      <c r="M10" s="468"/>
      <c r="N10" s="468"/>
      <c r="O10" s="468"/>
    </row>
    <row r="11" s="461" customFormat="true" ht="15" hidden="false" customHeight="false" outlineLevel="0" collapsed="false">
      <c r="A11" s="380" t="s">
        <v>13</v>
      </c>
      <c r="B11" s="471" t="s">
        <v>2881</v>
      </c>
      <c r="C11" s="472" t="e">
        <f aca="false">мат.затр!g20</f>
        <v>#NAME?</v>
      </c>
      <c r="D11" s="472" t="n">
        <f aca="false">тарифик!J12</f>
        <v>150.602409638554</v>
      </c>
      <c r="E11" s="472"/>
      <c r="F11" s="473" t="n">
        <f aca="false">D11*0.9*0.095+D11*3%</f>
        <v>17.394578313253</v>
      </c>
      <c r="G11" s="472" t="n">
        <f aca="false">амортизация!M14</f>
        <v>0.697605235757846</v>
      </c>
      <c r="H11" s="473" t="e">
        <f aca="false">C11+D11+F11+G11</f>
        <v>#NAME?</v>
      </c>
      <c r="I11" s="462" t="n">
        <f aca="false">I$190</f>
        <v>0.240474587202079</v>
      </c>
      <c r="J11" s="473" t="n">
        <f aca="false">D11*I11</f>
        <v>36.2160522894697</v>
      </c>
      <c r="K11" s="473" t="e">
        <f aca="false">H11+J11</f>
        <v>#NAME?</v>
      </c>
      <c r="L11" s="462" t="n">
        <v>0.2</v>
      </c>
      <c r="M11" s="473" t="e">
        <f aca="false">K11*L11</f>
        <v>#NAME?</v>
      </c>
      <c r="N11" s="473" t="e">
        <f aca="false">K11+M11</f>
        <v>#NAME?</v>
      </c>
      <c r="O11" s="473" t="e">
        <f aca="false">M11</f>
        <v>#NAME?</v>
      </c>
    </row>
    <row r="12" s="461" customFormat="true" ht="15" hidden="false" customHeight="false" outlineLevel="0" collapsed="false">
      <c r="A12" s="380" t="s">
        <v>16</v>
      </c>
      <c r="B12" s="471" t="s">
        <v>2882</v>
      </c>
      <c r="C12" s="472" t="e">
        <f aca="false">мат.затр!g27</f>
        <v>#NAME?</v>
      </c>
      <c r="D12" s="472" t="n">
        <f aca="false">тарифик!J13</f>
        <v>150.602409638554</v>
      </c>
      <c r="E12" s="472"/>
      <c r="F12" s="473" t="n">
        <f aca="false">D12*0.9*0.095+D12*3%</f>
        <v>17.394578313253</v>
      </c>
      <c r="G12" s="472" t="n">
        <f aca="false">амортизация!M15</f>
        <v>3.48802617878923</v>
      </c>
      <c r="H12" s="473" t="e">
        <f aca="false">C12+D12+F12+G12</f>
        <v>#NAME?</v>
      </c>
      <c r="I12" s="462" t="n">
        <f aca="false">I$190</f>
        <v>0.240474587202079</v>
      </c>
      <c r="J12" s="473" t="n">
        <f aca="false">D12*I12</f>
        <v>36.2160522894697</v>
      </c>
      <c r="K12" s="473" t="e">
        <f aca="false">H12+J12</f>
        <v>#NAME?</v>
      </c>
      <c r="L12" s="462" t="n">
        <v>0.2</v>
      </c>
      <c r="M12" s="473" t="e">
        <f aca="false">K12*L12</f>
        <v>#NAME?</v>
      </c>
      <c r="N12" s="473" t="e">
        <f aca="false">K12+M12</f>
        <v>#NAME?</v>
      </c>
      <c r="O12" s="473" t="e">
        <f aca="false">M12</f>
        <v>#NAME?</v>
      </c>
    </row>
    <row r="13" s="461" customFormat="true" ht="15" hidden="false" customHeight="false" outlineLevel="0" collapsed="false">
      <c r="A13" s="380" t="s">
        <v>18</v>
      </c>
      <c r="B13" s="471" t="s">
        <v>2883</v>
      </c>
      <c r="C13" s="472" t="e">
        <f aca="false">мат.затр!g34</f>
        <v>#NAME?</v>
      </c>
      <c r="D13" s="472" t="n">
        <f aca="false">тарифик!J14</f>
        <v>200.803212851406</v>
      </c>
      <c r="E13" s="472"/>
      <c r="F13" s="473" t="n">
        <f aca="false">D13*0.9*0.095+D13*3%</f>
        <v>23.1927710843373</v>
      </c>
      <c r="G13" s="472" t="n">
        <f aca="false">амортизация!M16</f>
        <v>3.48802617878923</v>
      </c>
      <c r="H13" s="473" t="e">
        <f aca="false">C13+D13+F13+G13</f>
        <v>#NAME?</v>
      </c>
      <c r="I13" s="462" t="n">
        <f aca="false">I$190</f>
        <v>0.240474587202079</v>
      </c>
      <c r="J13" s="473" t="n">
        <f aca="false">D13*I13</f>
        <v>48.288069719293</v>
      </c>
      <c r="K13" s="473" t="e">
        <f aca="false">H13+J13</f>
        <v>#NAME?</v>
      </c>
      <c r="L13" s="462" t="n">
        <v>0.2</v>
      </c>
      <c r="M13" s="473" t="e">
        <f aca="false">K13*L13</f>
        <v>#NAME?</v>
      </c>
      <c r="N13" s="473" t="e">
        <f aca="false">K13+M13</f>
        <v>#NAME?</v>
      </c>
      <c r="O13" s="473" t="e">
        <f aca="false">M13</f>
        <v>#NAME?</v>
      </c>
    </row>
    <row r="14" s="461" customFormat="true" ht="15" hidden="false" customHeight="false" outlineLevel="0" collapsed="false">
      <c r="A14" s="380" t="s">
        <v>20</v>
      </c>
      <c r="B14" s="471" t="s">
        <v>2884</v>
      </c>
      <c r="C14" s="472" t="e">
        <f aca="false">мат.затр!g39</f>
        <v>#NAME?</v>
      </c>
      <c r="D14" s="472" t="n">
        <f aca="false">тарифик!J15</f>
        <v>557.786702365016</v>
      </c>
      <c r="E14" s="472"/>
      <c r="F14" s="473" t="n">
        <f aca="false">D14*0.9*0.095+D14*3%</f>
        <v>64.4243641231593</v>
      </c>
      <c r="G14" s="472" t="n">
        <f aca="false">амортизация!M17</f>
        <v>6.97605235757846</v>
      </c>
      <c r="H14" s="473" t="e">
        <f aca="false">C14+D14+F14+G14</f>
        <v>#NAME?</v>
      </c>
      <c r="I14" s="462" t="n">
        <f aca="false">I$190</f>
        <v>0.240474587202079</v>
      </c>
      <c r="J14" s="473" t="n">
        <f aca="false">D14*I14</f>
        <v>134.133526998036</v>
      </c>
      <c r="K14" s="473" t="e">
        <f aca="false">H14+J14</f>
        <v>#NAME?</v>
      </c>
      <c r="L14" s="462" t="n">
        <v>0.2</v>
      </c>
      <c r="M14" s="473" t="e">
        <f aca="false">K14*L14</f>
        <v>#NAME?</v>
      </c>
      <c r="N14" s="473" t="e">
        <f aca="false">K14+M14</f>
        <v>#NAME?</v>
      </c>
      <c r="O14" s="473" t="e">
        <f aca="false">M14</f>
        <v>#NAME?</v>
      </c>
    </row>
    <row r="15" s="461" customFormat="true" ht="15" hidden="false" customHeight="false" outlineLevel="0" collapsed="false">
      <c r="A15" s="380" t="s">
        <v>22</v>
      </c>
      <c r="B15" s="471" t="s">
        <v>2885</v>
      </c>
      <c r="C15" s="472" t="e">
        <f aca="false">мат.затр!g45</f>
        <v>#NAME?</v>
      </c>
      <c r="D15" s="472" t="n">
        <f aca="false">тарифик!J16</f>
        <v>502.008032128514</v>
      </c>
      <c r="E15" s="472"/>
      <c r="F15" s="473" t="n">
        <f aca="false">D15*0.9*0.095+D15*3%</f>
        <v>57.9819277108434</v>
      </c>
      <c r="G15" s="472" t="n">
        <f aca="false">амортизация!M18</f>
        <v>2.65878328127324</v>
      </c>
      <c r="H15" s="473" t="e">
        <f aca="false">C15+D15+F15+G15</f>
        <v>#NAME?</v>
      </c>
      <c r="I15" s="462" t="n">
        <f aca="false">I$190</f>
        <v>0.240474587202079</v>
      </c>
      <c r="J15" s="473" t="n">
        <f aca="false">D15*I15</f>
        <v>120.720174298232</v>
      </c>
      <c r="K15" s="473" t="e">
        <f aca="false">H15+J15</f>
        <v>#NAME?</v>
      </c>
      <c r="L15" s="462" t="n">
        <v>0.2</v>
      </c>
      <c r="M15" s="473" t="e">
        <f aca="false">K15*L15</f>
        <v>#NAME?</v>
      </c>
      <c r="N15" s="473" t="e">
        <f aca="false">K15+M15</f>
        <v>#NAME?</v>
      </c>
      <c r="O15" s="473" t="e">
        <f aca="false">M15</f>
        <v>#NAME?</v>
      </c>
    </row>
    <row r="16" s="461" customFormat="true" ht="15" hidden="false" customHeight="false" outlineLevel="0" collapsed="false">
      <c r="A16" s="380" t="s">
        <v>24</v>
      </c>
      <c r="B16" s="471" t="s">
        <v>2886</v>
      </c>
      <c r="C16" s="472" t="e">
        <f aca="false">мат.затр!g51</f>
        <v>#NAME?</v>
      </c>
      <c r="D16" s="472" t="n">
        <f aca="false">тарифик!J17</f>
        <v>301.204819277108</v>
      </c>
      <c r="E16" s="472"/>
      <c r="F16" s="473" t="n">
        <f aca="false">D16*0.9*0.095+D16*3%</f>
        <v>34.789156626506</v>
      </c>
      <c r="G16" s="472" t="n">
        <f aca="false">амортизация!M19</f>
        <v>3.89201249442213</v>
      </c>
      <c r="H16" s="473" t="e">
        <f aca="false">C16+D16+F16+G16</f>
        <v>#NAME?</v>
      </c>
      <c r="I16" s="462" t="n">
        <f aca="false">I$190</f>
        <v>0.240474587202079</v>
      </c>
      <c r="J16" s="473" t="n">
        <f aca="false">D16*I16</f>
        <v>72.4321045789394</v>
      </c>
      <c r="K16" s="473" t="e">
        <f aca="false">H16+J16</f>
        <v>#NAME?</v>
      </c>
      <c r="L16" s="462" t="n">
        <v>0.2</v>
      </c>
      <c r="M16" s="473" t="e">
        <f aca="false">K16*L16</f>
        <v>#NAME?</v>
      </c>
      <c r="N16" s="473" t="e">
        <f aca="false">K16+M16</f>
        <v>#NAME?</v>
      </c>
      <c r="O16" s="473" t="e">
        <f aca="false">M16</f>
        <v>#NAME?</v>
      </c>
    </row>
    <row r="17" s="461" customFormat="true" ht="15" hidden="false" customHeight="false" outlineLevel="0" collapsed="false">
      <c r="A17" s="380" t="s">
        <v>26</v>
      </c>
      <c r="B17" s="325" t="s">
        <v>2887</v>
      </c>
      <c r="C17" s="472" t="e">
        <f aca="false">мат.затр!g59</f>
        <v>#NAME?</v>
      </c>
      <c r="D17" s="472" t="n">
        <f aca="false">тарифик!J18</f>
        <v>89.2458723784025</v>
      </c>
      <c r="E17" s="472"/>
      <c r="F17" s="473" t="n">
        <f aca="false">D17*0.9*0.095+D17*3%</f>
        <v>10.3078982597055</v>
      </c>
      <c r="G17" s="472" t="n">
        <f aca="false">амортизация!M20</f>
        <v>3.25375576379592</v>
      </c>
      <c r="H17" s="473" t="e">
        <f aca="false">C17+D17+F17+G17</f>
        <v>#NAME?</v>
      </c>
      <c r="I17" s="462" t="n">
        <f aca="false">I$190</f>
        <v>0.240474587202079</v>
      </c>
      <c r="J17" s="473" t="n">
        <f aca="false">D17*I17</f>
        <v>21.4613643196858</v>
      </c>
      <c r="K17" s="473" t="e">
        <f aca="false">H17+J17</f>
        <v>#NAME?</v>
      </c>
      <c r="L17" s="462" t="n">
        <v>0.2</v>
      </c>
      <c r="M17" s="473" t="e">
        <f aca="false">K17*L17</f>
        <v>#NAME?</v>
      </c>
      <c r="N17" s="473" t="e">
        <f aca="false">K17+M17</f>
        <v>#NAME?</v>
      </c>
      <c r="O17" s="473" t="e">
        <f aca="false">M17</f>
        <v>#NAME?</v>
      </c>
    </row>
    <row r="18" s="461" customFormat="true" ht="15" hidden="false" customHeight="false" outlineLevel="0" collapsed="false">
      <c r="A18" s="380" t="s">
        <v>28</v>
      </c>
      <c r="B18" s="325" t="s">
        <v>2888</v>
      </c>
      <c r="C18" s="472" t="e">
        <f aca="false">мат.затр!g65</f>
        <v>#NAME?</v>
      </c>
      <c r="D18" s="472" t="n">
        <f aca="false">тарифик!J19</f>
        <v>920.348058902276</v>
      </c>
      <c r="E18" s="472"/>
      <c r="F18" s="473" t="n">
        <f aca="false">D18*0.9*0.095+D18*3%</f>
        <v>106.300200803213</v>
      </c>
      <c r="G18" s="472" t="n">
        <f aca="false">амортизация!M23</f>
        <v>5.19976201100699</v>
      </c>
      <c r="H18" s="473" t="e">
        <f aca="false">C18+D18+F18+G18</f>
        <v>#NAME?</v>
      </c>
      <c r="I18" s="462" t="n">
        <f aca="false">I$190</f>
        <v>0.240474587202079</v>
      </c>
      <c r="J18" s="473" t="n">
        <f aca="false">D18*I18</f>
        <v>221.320319546759</v>
      </c>
      <c r="K18" s="473" t="e">
        <f aca="false">H18+J18</f>
        <v>#NAME?</v>
      </c>
      <c r="L18" s="462" t="n">
        <v>0.2</v>
      </c>
      <c r="M18" s="473" t="e">
        <f aca="false">K18*L18</f>
        <v>#NAME?</v>
      </c>
      <c r="N18" s="473" t="e">
        <f aca="false">K18+M18</f>
        <v>#NAME?</v>
      </c>
      <c r="O18" s="473" t="e">
        <f aca="false">M18</f>
        <v>#NAME?</v>
      </c>
    </row>
    <row r="19" s="461" customFormat="true" ht="15" hidden="false" customHeight="false" outlineLevel="0" collapsed="false">
      <c r="A19" s="380" t="s">
        <v>30</v>
      </c>
      <c r="B19" s="325" t="s">
        <v>2889</v>
      </c>
      <c r="C19" s="472" t="e">
        <f aca="false">мат.затр!g70</f>
        <v>#NAME?</v>
      </c>
      <c r="D19" s="472" t="n">
        <f aca="false">тарифик!J20</f>
        <v>702.81124497992</v>
      </c>
      <c r="E19" s="472"/>
      <c r="F19" s="473" t="n">
        <f aca="false">D19*0.9*0.095+D19*3%</f>
        <v>81.1746987951807</v>
      </c>
      <c r="G19" s="472" t="n">
        <f aca="false">амортизация!M26</f>
        <v>5.19976201100699</v>
      </c>
      <c r="H19" s="473" t="e">
        <f aca="false">C19+D19+F19+G19</f>
        <v>#NAME?</v>
      </c>
      <c r="I19" s="462" t="n">
        <f aca="false">I$190</f>
        <v>0.240474587202079</v>
      </c>
      <c r="J19" s="473" t="n">
        <f aca="false">D19*I19</f>
        <v>169.008244017525</v>
      </c>
      <c r="K19" s="473" t="e">
        <f aca="false">H19+J19</f>
        <v>#NAME?</v>
      </c>
      <c r="L19" s="462" t="n">
        <v>0.2</v>
      </c>
      <c r="M19" s="473" t="e">
        <f aca="false">K19*L19</f>
        <v>#NAME?</v>
      </c>
      <c r="N19" s="473" t="e">
        <f aca="false">K19+M19</f>
        <v>#NAME?</v>
      </c>
      <c r="O19" s="473" t="e">
        <f aca="false">M19</f>
        <v>#NAME?</v>
      </c>
    </row>
    <row r="20" s="461" customFormat="true" ht="15" hidden="false" customHeight="false" outlineLevel="0" collapsed="false">
      <c r="A20" s="380" t="s">
        <v>32</v>
      </c>
      <c r="B20" s="325" t="s">
        <v>2890</v>
      </c>
      <c r="C20" s="472" t="e">
        <f aca="false">мат.затр!g77</f>
        <v>#NAME?</v>
      </c>
      <c r="D20" s="472" t="n">
        <f aca="false">тарифик!J21</f>
        <v>401.606425702811</v>
      </c>
      <c r="E20" s="472"/>
      <c r="F20" s="473" t="n">
        <f aca="false">D20*0.9*0.095+D20*3%</f>
        <v>46.3855421686747</v>
      </c>
      <c r="G20" s="472" t="n">
        <f aca="false">амортизация!M27</f>
        <v>3.25375576379592</v>
      </c>
      <c r="H20" s="473" t="e">
        <f aca="false">C20+D20+F20+G20</f>
        <v>#NAME?</v>
      </c>
      <c r="I20" s="462" t="n">
        <f aca="false">I$190</f>
        <v>0.240474587202079</v>
      </c>
      <c r="J20" s="473" t="n">
        <f aca="false">D20*I20</f>
        <v>96.5761394385859</v>
      </c>
      <c r="K20" s="473" t="e">
        <f aca="false">H20+J20</f>
        <v>#NAME?</v>
      </c>
      <c r="L20" s="462" t="n">
        <v>0.2</v>
      </c>
      <c r="M20" s="473" t="e">
        <f aca="false">K20*L20</f>
        <v>#NAME?</v>
      </c>
      <c r="N20" s="473" t="e">
        <f aca="false">K20+M20</f>
        <v>#NAME?</v>
      </c>
      <c r="O20" s="473" t="e">
        <f aca="false">M20</f>
        <v>#NAME?</v>
      </c>
    </row>
    <row r="21" s="461" customFormat="true" ht="15" hidden="false" customHeight="false" outlineLevel="0" collapsed="false">
      <c r="A21" s="380" t="s">
        <v>34</v>
      </c>
      <c r="B21" s="325" t="s">
        <v>2891</v>
      </c>
      <c r="C21" s="472" t="e">
        <f aca="false">мат.затр!g89</f>
        <v>#NAME?</v>
      </c>
      <c r="D21" s="472" t="n">
        <f aca="false">тарифик!J22</f>
        <v>451.807228915663</v>
      </c>
      <c r="E21" s="472"/>
      <c r="F21" s="473" t="n">
        <f aca="false">D21*0.9*0.095+D21*3%</f>
        <v>52.183734939759</v>
      </c>
      <c r="G21" s="472" t="n">
        <f aca="false">амортизация!M28</f>
        <v>3.25375576379592</v>
      </c>
      <c r="H21" s="473" t="e">
        <f aca="false">C21+D21+F21+G21</f>
        <v>#NAME?</v>
      </c>
      <c r="I21" s="462" t="n">
        <f aca="false">I$190</f>
        <v>0.240474587202079</v>
      </c>
      <c r="J21" s="473" t="n">
        <f aca="false">D21*I21</f>
        <v>108.648156868409</v>
      </c>
      <c r="K21" s="473" t="e">
        <f aca="false">H21+J21</f>
        <v>#NAME?</v>
      </c>
      <c r="L21" s="462" t="n">
        <v>0.2</v>
      </c>
      <c r="M21" s="473" t="e">
        <f aca="false">K21*L21</f>
        <v>#NAME?</v>
      </c>
      <c r="N21" s="473" t="e">
        <f aca="false">K21+M21</f>
        <v>#NAME?</v>
      </c>
      <c r="O21" s="473" t="e">
        <f aca="false">M21</f>
        <v>#NAME?</v>
      </c>
    </row>
    <row r="22" s="461" customFormat="true" ht="15" hidden="false" customHeight="false" outlineLevel="0" collapsed="false">
      <c r="A22" s="380" t="s">
        <v>36</v>
      </c>
      <c r="B22" s="325" t="s">
        <v>2892</v>
      </c>
      <c r="C22" s="472" t="e">
        <f aca="false">мат.затр!g97</f>
        <v>#NAME?</v>
      </c>
      <c r="D22" s="472" t="n">
        <f aca="false">тарифик!J23</f>
        <v>234.270414993307</v>
      </c>
      <c r="E22" s="472"/>
      <c r="F22" s="473" t="n">
        <f aca="false">D22*0.9*0.095+D22*3%</f>
        <v>27.0582329317269</v>
      </c>
      <c r="G22" s="472" t="n">
        <f aca="false">амортизация!M29</f>
        <v>3.25375576379592</v>
      </c>
      <c r="H22" s="473" t="e">
        <f aca="false">C22+D22+F22+G22</f>
        <v>#NAME?</v>
      </c>
      <c r="I22" s="462" t="n">
        <f aca="false">I$190</f>
        <v>0.240474587202079</v>
      </c>
      <c r="J22" s="473" t="n">
        <f aca="false">D22*I22</f>
        <v>56.3360813391751</v>
      </c>
      <c r="K22" s="473" t="e">
        <f aca="false">H22+J22</f>
        <v>#NAME?</v>
      </c>
      <c r="L22" s="462" t="n">
        <v>0.2</v>
      </c>
      <c r="M22" s="473" t="e">
        <f aca="false">K22*L22</f>
        <v>#NAME?</v>
      </c>
      <c r="N22" s="473" t="e">
        <f aca="false">K22+M22</f>
        <v>#NAME?</v>
      </c>
      <c r="O22" s="473" t="e">
        <f aca="false">M22</f>
        <v>#NAME?</v>
      </c>
    </row>
    <row r="23" s="461" customFormat="true" ht="15" hidden="false" customHeight="false" outlineLevel="0" collapsed="false">
      <c r="A23" s="380" t="s">
        <v>38</v>
      </c>
      <c r="B23" s="325" t="s">
        <v>2893</v>
      </c>
      <c r="C23" s="472" t="e">
        <f aca="false">мат.затр!g108</f>
        <v>#NAME?</v>
      </c>
      <c r="D23" s="472" t="n">
        <f aca="false">тарифик!J24</f>
        <v>602.409638554217</v>
      </c>
      <c r="E23" s="472"/>
      <c r="F23" s="473" t="n">
        <f aca="false">D23*0.9*0.095+D23*3%</f>
        <v>69.578313253012</v>
      </c>
      <c r="G23" s="472" t="n">
        <f aca="false">амортизация!M32</f>
        <v>6.74178194258516</v>
      </c>
      <c r="H23" s="473" t="e">
        <f aca="false">C23+D23+F23+G23</f>
        <v>#NAME?</v>
      </c>
      <c r="I23" s="462" t="n">
        <f aca="false">I$190</f>
        <v>0.240474587202079</v>
      </c>
      <c r="J23" s="473" t="n">
        <f aca="false">D23*I23</f>
        <v>144.864209157879</v>
      </c>
      <c r="K23" s="473" t="e">
        <f aca="false">H23+J23</f>
        <v>#NAME?</v>
      </c>
      <c r="L23" s="462" t="n">
        <v>0.2</v>
      </c>
      <c r="M23" s="473" t="e">
        <f aca="false">K23*L23</f>
        <v>#NAME?</v>
      </c>
      <c r="N23" s="473" t="e">
        <f aca="false">K23+M23</f>
        <v>#NAME?</v>
      </c>
      <c r="O23" s="473" t="e">
        <f aca="false">M23</f>
        <v>#NAME?</v>
      </c>
    </row>
    <row r="24" s="461" customFormat="true" ht="15" hidden="false" customHeight="false" outlineLevel="0" collapsed="false">
      <c r="A24" s="380" t="s">
        <v>40</v>
      </c>
      <c r="B24" s="325" t="s">
        <v>2894</v>
      </c>
      <c r="C24" s="472" t="e">
        <f aca="false">мат.затр!g118</f>
        <v>#NAME?</v>
      </c>
      <c r="D24" s="472" t="n">
        <f aca="false">тарифик!J25</f>
        <v>753.012048192771</v>
      </c>
      <c r="E24" s="472"/>
      <c r="F24" s="473" t="n">
        <f aca="false">D24*0.9*0.095+D24*3%</f>
        <v>86.9728915662651</v>
      </c>
      <c r="G24" s="472" t="n">
        <f aca="false">амортизация!M33</f>
        <v>3.48802617878923</v>
      </c>
      <c r="H24" s="473" t="e">
        <f aca="false">C24+D24+F24+G24</f>
        <v>#NAME?</v>
      </c>
      <c r="I24" s="462" t="n">
        <f aca="false">I$190</f>
        <v>0.240474587202079</v>
      </c>
      <c r="J24" s="473" t="n">
        <f aca="false">D24*I24</f>
        <v>181.080261447349</v>
      </c>
      <c r="K24" s="473" t="e">
        <f aca="false">H24+J24</f>
        <v>#NAME?</v>
      </c>
      <c r="L24" s="462" t="n">
        <v>0.2</v>
      </c>
      <c r="M24" s="473" t="e">
        <f aca="false">K24*L24</f>
        <v>#NAME?</v>
      </c>
      <c r="N24" s="473" t="e">
        <f aca="false">K24+M24</f>
        <v>#NAME?</v>
      </c>
      <c r="O24" s="473" t="e">
        <f aca="false">M24</f>
        <v>#NAME?</v>
      </c>
    </row>
    <row r="25" s="461" customFormat="true" ht="15" hidden="false" customHeight="false" outlineLevel="0" collapsed="false">
      <c r="A25" s="380" t="s">
        <v>42</v>
      </c>
      <c r="B25" s="325" t="s">
        <v>2895</v>
      </c>
      <c r="C25" s="472" t="e">
        <f aca="false">мат.затр!g129</f>
        <v>#NAME?</v>
      </c>
      <c r="D25" s="472" t="n">
        <f aca="false">тарифик!J26</f>
        <v>900.8255243195</v>
      </c>
      <c r="E25" s="472"/>
      <c r="F25" s="473" t="n">
        <f aca="false">D25*0.9*0.095+D25*3%</f>
        <v>104.045348058902</v>
      </c>
      <c r="G25" s="472" t="n">
        <f aca="false">амортизация!M36</f>
        <v>6.74178194258516</v>
      </c>
      <c r="H25" s="473" t="e">
        <f aca="false">C25+D25+F25+G25</f>
        <v>#NAME?</v>
      </c>
      <c r="I25" s="462" t="n">
        <f aca="false">I$190</f>
        <v>0.240474587202079</v>
      </c>
      <c r="J25" s="473" t="n">
        <f aca="false">D25*I25</f>
        <v>216.625646101828</v>
      </c>
      <c r="K25" s="473" t="e">
        <f aca="false">H25+J25</f>
        <v>#NAME?</v>
      </c>
      <c r="L25" s="462" t="n">
        <v>0.2</v>
      </c>
      <c r="M25" s="473" t="e">
        <f aca="false">K25*L25</f>
        <v>#NAME?</v>
      </c>
      <c r="N25" s="473" t="e">
        <f aca="false">K25+M25</f>
        <v>#NAME?</v>
      </c>
      <c r="O25" s="473" t="e">
        <f aca="false">M25</f>
        <v>#NAME?</v>
      </c>
    </row>
    <row r="26" s="461" customFormat="true" ht="15" hidden="false" customHeight="false" outlineLevel="0" collapsed="false">
      <c r="A26" s="380" t="s">
        <v>44</v>
      </c>
      <c r="B26" s="325" t="s">
        <v>2896</v>
      </c>
      <c r="C26" s="472" t="e">
        <f aca="false">мат.затр!g139</f>
        <v>#NAME?</v>
      </c>
      <c r="D26" s="472" t="n">
        <f aca="false">тарифик!J27</f>
        <v>853.413654618474</v>
      </c>
      <c r="E26" s="472"/>
      <c r="F26" s="473" t="n">
        <f aca="false">D26*0.9*0.095+D26*3%</f>
        <v>98.5692771084337</v>
      </c>
      <c r="G26" s="472" t="n">
        <f aca="false">амортизация!M39</f>
        <v>6.74178194258516</v>
      </c>
      <c r="H26" s="473" t="e">
        <f aca="false">C26+D26+F26+G26</f>
        <v>#NAME?</v>
      </c>
      <c r="I26" s="462" t="n">
        <f aca="false">I$190</f>
        <v>0.240474587202079</v>
      </c>
      <c r="J26" s="473" t="n">
        <f aca="false">D26*I26</f>
        <v>205.224296306995</v>
      </c>
      <c r="K26" s="473" t="e">
        <f aca="false">H26+J26</f>
        <v>#NAME?</v>
      </c>
      <c r="L26" s="462" t="n">
        <v>0.2</v>
      </c>
      <c r="M26" s="473" t="e">
        <f aca="false">K26*L26</f>
        <v>#NAME?</v>
      </c>
      <c r="N26" s="473" t="e">
        <f aca="false">K26+M26</f>
        <v>#NAME?</v>
      </c>
      <c r="O26" s="473" t="e">
        <f aca="false">M26</f>
        <v>#NAME?</v>
      </c>
    </row>
    <row r="27" s="461" customFormat="true" ht="15" hidden="false" customHeight="false" outlineLevel="0" collapsed="false">
      <c r="A27" s="380" t="s">
        <v>46</v>
      </c>
      <c r="B27" s="325" t="s">
        <v>2897</v>
      </c>
      <c r="C27" s="472" t="e">
        <f aca="false">мат.затр!g152</f>
        <v>#NAME?</v>
      </c>
      <c r="D27" s="472" t="n">
        <f aca="false">тарифик!J28</f>
        <v>390.450691655511</v>
      </c>
      <c r="E27" s="472"/>
      <c r="F27" s="473" t="n">
        <f aca="false">D27*0.9*0.095+D27*3%</f>
        <v>45.0970548862115</v>
      </c>
      <c r="G27" s="472" t="n">
        <f aca="false">амортизация!M40</f>
        <v>3.48802617878923</v>
      </c>
      <c r="H27" s="473" t="e">
        <f aca="false">C27+D27+F27+G27</f>
        <v>#NAME?</v>
      </c>
      <c r="I27" s="462" t="n">
        <f aca="false">I$190</f>
        <v>0.240474587202079</v>
      </c>
      <c r="J27" s="473" t="n">
        <f aca="false">D27*I27</f>
        <v>93.8934688986252</v>
      </c>
      <c r="K27" s="473" t="e">
        <f aca="false">H27+J27</f>
        <v>#NAME?</v>
      </c>
      <c r="L27" s="462" t="n">
        <v>0.2</v>
      </c>
      <c r="M27" s="473" t="e">
        <f aca="false">K27*L27</f>
        <v>#NAME?</v>
      </c>
      <c r="N27" s="473" t="e">
        <f aca="false">K27+M27</f>
        <v>#NAME?</v>
      </c>
      <c r="O27" s="473" t="e">
        <f aca="false">M27</f>
        <v>#NAME?</v>
      </c>
    </row>
    <row r="28" s="461" customFormat="true" ht="15" hidden="false" customHeight="false" outlineLevel="0" collapsed="false">
      <c r="A28" s="380" t="s">
        <v>48</v>
      </c>
      <c r="B28" s="325" t="s">
        <v>2898</v>
      </c>
      <c r="C28" s="472" t="e">
        <f aca="false">мат.затр!g158</f>
        <v>#NAME?</v>
      </c>
      <c r="D28" s="472" t="n">
        <f aca="false">тарифик!J29</f>
        <v>702.81124497992</v>
      </c>
      <c r="E28" s="472"/>
      <c r="F28" s="473" t="n">
        <f aca="false">D28*0.9*0.095+D28*3%</f>
        <v>81.1746987951807</v>
      </c>
      <c r="G28" s="472" t="n">
        <f aca="false">амортизация!M43</f>
        <v>6.50751152759185</v>
      </c>
      <c r="H28" s="473" t="e">
        <f aca="false">C28+D28+F28+G28</f>
        <v>#NAME?</v>
      </c>
      <c r="I28" s="462" t="n">
        <f aca="false">I$190</f>
        <v>0.240474587202079</v>
      </c>
      <c r="J28" s="473" t="n">
        <f aca="false">D28*I28</f>
        <v>169.008244017525</v>
      </c>
      <c r="K28" s="473" t="e">
        <f aca="false">H28+J28</f>
        <v>#NAME?</v>
      </c>
      <c r="L28" s="462" t="n">
        <v>0.2</v>
      </c>
      <c r="M28" s="473" t="e">
        <f aca="false">K28*L28</f>
        <v>#NAME?</v>
      </c>
      <c r="N28" s="473" t="e">
        <f aca="false">K28+M28</f>
        <v>#NAME?</v>
      </c>
      <c r="O28" s="473" t="e">
        <f aca="false">M28</f>
        <v>#NAME?</v>
      </c>
    </row>
    <row r="29" s="461" customFormat="true" ht="15" hidden="false" customHeight="false" outlineLevel="0" collapsed="false">
      <c r="A29" s="380" t="s">
        <v>50</v>
      </c>
      <c r="B29" s="325" t="s">
        <v>2899</v>
      </c>
      <c r="C29" s="472" t="e">
        <f aca="false">мат.затр!g169</f>
        <v>#NAME?</v>
      </c>
      <c r="D29" s="472" t="n">
        <f aca="false">тарифик!J30</f>
        <v>1004.01606425703</v>
      </c>
      <c r="E29" s="472"/>
      <c r="F29" s="473" t="n">
        <f aca="false">D29*0.9*0.095+D29*3%</f>
        <v>115.963855421687</v>
      </c>
      <c r="G29" s="472" t="n">
        <f aca="false">амортизация!M44</f>
        <v>3.25375576379592</v>
      </c>
      <c r="H29" s="473" t="e">
        <f aca="false">C29+D29+F29+G29</f>
        <v>#NAME?</v>
      </c>
      <c r="I29" s="462" t="n">
        <f aca="false">I$190</f>
        <v>0.240474587202079</v>
      </c>
      <c r="J29" s="473" t="n">
        <f aca="false">D29*I29</f>
        <v>241.440348596465</v>
      </c>
      <c r="K29" s="473" t="e">
        <f aca="false">H29+J29</f>
        <v>#NAME?</v>
      </c>
      <c r="L29" s="462" t="n">
        <v>0.2</v>
      </c>
      <c r="M29" s="473" t="e">
        <f aca="false">K29*L29</f>
        <v>#NAME?</v>
      </c>
      <c r="N29" s="473" t="e">
        <f aca="false">K29+M29</f>
        <v>#NAME?</v>
      </c>
      <c r="O29" s="473" t="e">
        <f aca="false">M29</f>
        <v>#NAME?</v>
      </c>
    </row>
    <row r="30" s="461" customFormat="true" ht="15" hidden="false" customHeight="false" outlineLevel="0" collapsed="false">
      <c r="A30" s="380" t="s">
        <v>52</v>
      </c>
      <c r="B30" s="325" t="s">
        <v>2900</v>
      </c>
      <c r="C30" s="472" t="e">
        <f aca="false">мат.затр!g179</f>
        <v>#NAME?</v>
      </c>
      <c r="D30" s="472" t="n">
        <f aca="false">тарифик!J31</f>
        <v>502.008032128514</v>
      </c>
      <c r="E30" s="472"/>
      <c r="F30" s="473" t="n">
        <f aca="false">D30*0.9*0.095+D30*3%</f>
        <v>57.9819277108434</v>
      </c>
      <c r="G30" s="472" t="n">
        <f aca="false">амортизация!M45</f>
        <v>3.25375576379592</v>
      </c>
      <c r="H30" s="473" t="e">
        <f aca="false">C30+D30+F30+G30</f>
        <v>#NAME?</v>
      </c>
      <c r="I30" s="462" t="n">
        <f aca="false">I$190</f>
        <v>0.240474587202079</v>
      </c>
      <c r="J30" s="473" t="n">
        <f aca="false">D30*I30</f>
        <v>120.720174298232</v>
      </c>
      <c r="K30" s="473" t="e">
        <f aca="false">H30+J30</f>
        <v>#NAME?</v>
      </c>
      <c r="L30" s="462" t="n">
        <v>0.2</v>
      </c>
      <c r="M30" s="473" t="e">
        <f aca="false">K30*L30</f>
        <v>#NAME?</v>
      </c>
      <c r="N30" s="473" t="e">
        <f aca="false">K30+M30</f>
        <v>#NAME?</v>
      </c>
      <c r="O30" s="473" t="e">
        <f aca="false">M30</f>
        <v>#NAME?</v>
      </c>
    </row>
    <row r="31" s="461" customFormat="true" ht="15" hidden="false" customHeight="false" outlineLevel="0" collapsed="false">
      <c r="A31" s="380" t="s">
        <v>54</v>
      </c>
      <c r="B31" s="325" t="s">
        <v>2901</v>
      </c>
      <c r="C31" s="472" t="e">
        <f aca="false">мат.затр!g186</f>
        <v>#NAME?</v>
      </c>
      <c r="D31" s="472" t="n">
        <f aca="false">тарифик!J32</f>
        <v>903.614457831325</v>
      </c>
      <c r="E31" s="472"/>
      <c r="F31" s="473" t="n">
        <f aca="false">D31*0.9*0.095+D31*3%</f>
        <v>104.367469879518</v>
      </c>
      <c r="G31" s="472" t="n">
        <f aca="false">амортизация!M46</f>
        <v>3.25375576379592</v>
      </c>
      <c r="H31" s="473" t="e">
        <f aca="false">C31+D31+F31+G31</f>
        <v>#NAME?</v>
      </c>
      <c r="I31" s="462" t="n">
        <f aca="false">I$190</f>
        <v>0.240474587202079</v>
      </c>
      <c r="J31" s="473" t="n">
        <f aca="false">D31*I31</f>
        <v>217.296313736818</v>
      </c>
      <c r="K31" s="473" t="e">
        <f aca="false">H31+J31</f>
        <v>#NAME?</v>
      </c>
      <c r="L31" s="462" t="n">
        <v>0.2</v>
      </c>
      <c r="M31" s="473" t="e">
        <f aca="false">K31*L31</f>
        <v>#NAME?</v>
      </c>
      <c r="N31" s="473" t="e">
        <f aca="false">K31+M31</f>
        <v>#NAME?</v>
      </c>
      <c r="O31" s="473" t="e">
        <f aca="false">M31</f>
        <v>#NAME?</v>
      </c>
    </row>
    <row r="32" s="461" customFormat="true" ht="15" hidden="false" customHeight="false" outlineLevel="0" collapsed="false">
      <c r="A32" s="380" t="s">
        <v>56</v>
      </c>
      <c r="B32" s="325" t="s">
        <v>2902</v>
      </c>
      <c r="C32" s="472" t="e">
        <f aca="false">мат.затр!g198</f>
        <v>#NAME?</v>
      </c>
      <c r="D32" s="472" t="n">
        <f aca="false">тарифик!J33</f>
        <v>602.409638554217</v>
      </c>
      <c r="E32" s="472"/>
      <c r="F32" s="473" t="n">
        <f aca="false">D32*0.9*0.095+D32*3%</f>
        <v>69.578313253012</v>
      </c>
      <c r="G32" s="472" t="n">
        <f aca="false">амортизация!M47</f>
        <v>3.25375576379592</v>
      </c>
      <c r="H32" s="473" t="e">
        <f aca="false">C32+D32+F32+G32</f>
        <v>#NAME?</v>
      </c>
      <c r="I32" s="462" t="n">
        <f aca="false">I$190</f>
        <v>0.240474587202079</v>
      </c>
      <c r="J32" s="473" t="n">
        <f aca="false">D32*I32</f>
        <v>144.864209157879</v>
      </c>
      <c r="K32" s="473" t="e">
        <f aca="false">H32+J32</f>
        <v>#NAME?</v>
      </c>
      <c r="L32" s="462" t="n">
        <v>0.2</v>
      </c>
      <c r="M32" s="473" t="e">
        <f aca="false">K32*L32</f>
        <v>#NAME?</v>
      </c>
      <c r="N32" s="473" t="e">
        <f aca="false">K32+M32</f>
        <v>#NAME?</v>
      </c>
      <c r="O32" s="473" t="e">
        <f aca="false">M32</f>
        <v>#NAME?</v>
      </c>
    </row>
    <row r="33" s="461" customFormat="true" ht="15" hidden="false" customHeight="false" outlineLevel="0" collapsed="false">
      <c r="A33" s="380" t="s">
        <v>58</v>
      </c>
      <c r="B33" s="325" t="s">
        <v>2903</v>
      </c>
      <c r="C33" s="472" t="e">
        <f aca="false">мат.затр!g213</f>
        <v>#NAME?</v>
      </c>
      <c r="D33" s="472" t="n">
        <f aca="false">тарифик!J34</f>
        <v>602.409638554217</v>
      </c>
      <c r="E33" s="472"/>
      <c r="F33" s="473" t="n">
        <f aca="false">D33*0.9*0.095+D33*3%</f>
        <v>69.578313253012</v>
      </c>
      <c r="G33" s="472" t="n">
        <f aca="false">амортизация!M48</f>
        <v>3.25375576379592</v>
      </c>
      <c r="H33" s="473" t="e">
        <f aca="false">C33+D33+F33+G33</f>
        <v>#NAME?</v>
      </c>
      <c r="I33" s="462" t="n">
        <f aca="false">I$190</f>
        <v>0.240474587202079</v>
      </c>
      <c r="J33" s="473" t="n">
        <f aca="false">D33*I33</f>
        <v>144.864209157879</v>
      </c>
      <c r="K33" s="473" t="e">
        <f aca="false">H33+J33</f>
        <v>#NAME?</v>
      </c>
      <c r="L33" s="462" t="n">
        <v>0.2</v>
      </c>
      <c r="M33" s="473" t="e">
        <f aca="false">K33*L33</f>
        <v>#NAME?</v>
      </c>
      <c r="N33" s="473" t="e">
        <f aca="false">K33+M33</f>
        <v>#NAME?</v>
      </c>
      <c r="O33" s="473" t="e">
        <f aca="false">M33</f>
        <v>#NAME?</v>
      </c>
    </row>
    <row r="34" s="461" customFormat="true" ht="15" hidden="false" customHeight="false" outlineLevel="0" collapsed="false">
      <c r="A34" s="380" t="s">
        <v>60</v>
      </c>
      <c r="B34" s="325" t="s">
        <v>2904</v>
      </c>
      <c r="C34" s="472" t="e">
        <f aca="false">мат.затр!g222</f>
        <v>#NAME?</v>
      </c>
      <c r="D34" s="472" t="n">
        <f aca="false">тарифик!J35</f>
        <v>803.212851405622</v>
      </c>
      <c r="E34" s="472"/>
      <c r="F34" s="473" t="n">
        <f aca="false">D34*0.9*0.095+D34*3%</f>
        <v>92.7710843373494</v>
      </c>
      <c r="G34" s="472" t="n">
        <f aca="false">амортизация!M49</f>
        <v>3.25375576379592</v>
      </c>
      <c r="H34" s="473" t="e">
        <f aca="false">C34+D34+F34+G34</f>
        <v>#NAME?</v>
      </c>
      <c r="I34" s="462" t="n">
        <f aca="false">I$190</f>
        <v>0.240474587202079</v>
      </c>
      <c r="J34" s="473" t="n">
        <f aca="false">D34*I34</f>
        <v>193.152278877172</v>
      </c>
      <c r="K34" s="473" t="e">
        <f aca="false">H34+J34</f>
        <v>#NAME?</v>
      </c>
      <c r="L34" s="462" t="n">
        <v>0.2</v>
      </c>
      <c r="M34" s="473" t="e">
        <f aca="false">K34*L34</f>
        <v>#NAME?</v>
      </c>
      <c r="N34" s="473" t="e">
        <f aca="false">K34+M34</f>
        <v>#NAME?</v>
      </c>
      <c r="O34" s="473" t="e">
        <f aca="false">M34</f>
        <v>#NAME?</v>
      </c>
    </row>
    <row r="35" s="461" customFormat="true" ht="15" hidden="false" customHeight="false" outlineLevel="0" collapsed="false">
      <c r="A35" s="380" t="s">
        <v>62</v>
      </c>
      <c r="B35" s="325" t="s">
        <v>2905</v>
      </c>
      <c r="C35" s="472" t="e">
        <f aca="false">мат.затр!g232</f>
        <v>#NAME?</v>
      </c>
      <c r="D35" s="472" t="n">
        <f aca="false">тарифик!J36</f>
        <v>602.409638554217</v>
      </c>
      <c r="E35" s="472"/>
      <c r="F35" s="473" t="n">
        <f aca="false">D35*0.9*0.095+D35*3%</f>
        <v>69.578313253012</v>
      </c>
      <c r="G35" s="472" t="n">
        <f aca="false">амортизация!M50</f>
        <v>3.25375576379592</v>
      </c>
      <c r="H35" s="473" t="e">
        <f aca="false">C35+D35+F35+G35</f>
        <v>#NAME?</v>
      </c>
      <c r="I35" s="462" t="n">
        <f aca="false">I$190</f>
        <v>0.240474587202079</v>
      </c>
      <c r="J35" s="473" t="n">
        <f aca="false">D35*I35</f>
        <v>144.864209157879</v>
      </c>
      <c r="K35" s="473" t="e">
        <f aca="false">H35+J35</f>
        <v>#NAME?</v>
      </c>
      <c r="L35" s="462" t="n">
        <v>0.2</v>
      </c>
      <c r="M35" s="473" t="e">
        <f aca="false">K35*L35</f>
        <v>#NAME?</v>
      </c>
      <c r="N35" s="473" t="e">
        <f aca="false">K35+M35</f>
        <v>#NAME?</v>
      </c>
      <c r="O35" s="473" t="e">
        <f aca="false">M35</f>
        <v>#NAME?</v>
      </c>
    </row>
    <row r="36" s="461" customFormat="true" ht="15" hidden="false" customHeight="false" outlineLevel="0" collapsed="false">
      <c r="A36" s="380" t="s">
        <v>64</v>
      </c>
      <c r="B36" s="325" t="s">
        <v>2906</v>
      </c>
      <c r="C36" s="472" t="e">
        <f aca="false">мат.затр!g243</f>
        <v>#NAME?</v>
      </c>
      <c r="D36" s="472" t="n">
        <f aca="false">тарифик!J37</f>
        <v>401.606425702811</v>
      </c>
      <c r="E36" s="472"/>
      <c r="F36" s="473" t="n">
        <f aca="false">D36*0.9*0.095+D36*3%</f>
        <v>46.3855421686747</v>
      </c>
      <c r="G36" s="472" t="n">
        <f aca="false">амортизация!M51</f>
        <v>3.25375576379592</v>
      </c>
      <c r="H36" s="473" t="e">
        <f aca="false">C36+D36+F36+G36</f>
        <v>#NAME?</v>
      </c>
      <c r="I36" s="462" t="n">
        <f aca="false">I$190</f>
        <v>0.240474587202079</v>
      </c>
      <c r="J36" s="473" t="n">
        <f aca="false">D36*I36</f>
        <v>96.5761394385859</v>
      </c>
      <c r="K36" s="473" t="e">
        <f aca="false">H36+J36</f>
        <v>#NAME?</v>
      </c>
      <c r="L36" s="462" t="n">
        <v>0.2</v>
      </c>
      <c r="M36" s="473" t="e">
        <f aca="false">K36*L36</f>
        <v>#NAME?</v>
      </c>
      <c r="N36" s="473" t="e">
        <f aca="false">K36+M36</f>
        <v>#NAME?</v>
      </c>
      <c r="O36" s="473" t="e">
        <f aca="false">M36</f>
        <v>#NAME?</v>
      </c>
    </row>
    <row r="37" s="461" customFormat="true" ht="15" hidden="false" customHeight="false" outlineLevel="0" collapsed="false">
      <c r="A37" s="380" t="s">
        <v>66</v>
      </c>
      <c r="B37" s="325" t="s">
        <v>2907</v>
      </c>
      <c r="C37" s="472" t="e">
        <f aca="false">мат.затр!g254</f>
        <v>#NAME?</v>
      </c>
      <c r="D37" s="472" t="n">
        <f aca="false">тарифик!J38</f>
        <v>1115.57340473003</v>
      </c>
      <c r="E37" s="472"/>
      <c r="F37" s="473" t="n">
        <f aca="false">D37*0.9*0.095+D37*3%</f>
        <v>128.848728246319</v>
      </c>
      <c r="G37" s="472" t="n">
        <f aca="false">амортизация!M52</f>
        <v>3.25375576379592</v>
      </c>
      <c r="H37" s="473" t="e">
        <f aca="false">C37+D37+F37+G37</f>
        <v>#NAME?</v>
      </c>
      <c r="I37" s="462" t="n">
        <f aca="false">I$190</f>
        <v>0.240474587202079</v>
      </c>
      <c r="J37" s="473" t="n">
        <f aca="false">D37*I37</f>
        <v>268.267053996072</v>
      </c>
      <c r="K37" s="473" t="e">
        <f aca="false">H37+J37</f>
        <v>#NAME?</v>
      </c>
      <c r="L37" s="462" t="n">
        <v>0.2</v>
      </c>
      <c r="M37" s="473" t="e">
        <f aca="false">K37*L37</f>
        <v>#NAME?</v>
      </c>
      <c r="N37" s="473" t="e">
        <f aca="false">K37+M37</f>
        <v>#NAME?</v>
      </c>
      <c r="O37" s="473" t="e">
        <f aca="false">M37</f>
        <v>#NAME?</v>
      </c>
    </row>
    <row r="38" s="461" customFormat="true" ht="15" hidden="false" customHeight="false" outlineLevel="0" collapsed="false">
      <c r="A38" s="380" t="s">
        <v>68</v>
      </c>
      <c r="B38" s="325" t="s">
        <v>2908</v>
      </c>
      <c r="C38" s="472" t="e">
        <f aca="false">мат.затр!g268</f>
        <v>#NAME?</v>
      </c>
      <c r="D38" s="472" t="n">
        <f aca="false">тарифик!J39</f>
        <v>1418.50736278447</v>
      </c>
      <c r="E38" s="472"/>
      <c r="F38" s="473" t="n">
        <f aca="false">D38*0.9*0.095+D38*3%</f>
        <v>163.837600401606</v>
      </c>
      <c r="G38" s="472" t="n">
        <f aca="false">амортизация!M53</f>
        <v>3.25375576379592</v>
      </c>
      <c r="H38" s="473" t="e">
        <f aca="false">C38+D38+F38+G38</f>
        <v>#NAME?</v>
      </c>
      <c r="I38" s="462" t="n">
        <f aca="false">I$190</f>
        <v>0.240474587202079</v>
      </c>
      <c r="J38" s="473" t="n">
        <f aca="false">D38*I38</f>
        <v>341.114972508705</v>
      </c>
      <c r="K38" s="473" t="e">
        <f aca="false">H38+J38</f>
        <v>#NAME?</v>
      </c>
      <c r="L38" s="462" t="n">
        <v>0.2</v>
      </c>
      <c r="M38" s="473" t="e">
        <f aca="false">K38*L38</f>
        <v>#NAME?</v>
      </c>
      <c r="N38" s="473" t="e">
        <f aca="false">K38+M38</f>
        <v>#NAME?</v>
      </c>
      <c r="O38" s="473" t="e">
        <f aca="false">M38</f>
        <v>#NAME?</v>
      </c>
    </row>
    <row r="39" s="461" customFormat="true" ht="15" hidden="false" customHeight="false" outlineLevel="0" collapsed="false">
      <c r="A39" s="380" t="s">
        <v>70</v>
      </c>
      <c r="B39" s="325" t="s">
        <v>2909</v>
      </c>
      <c r="C39" s="472" t="e">
        <f aca="false">мат.затр!g279</f>
        <v>#NAME?</v>
      </c>
      <c r="D39" s="472" t="n">
        <f aca="false">тарифик!J40</f>
        <v>1656.6265060241</v>
      </c>
      <c r="E39" s="472"/>
      <c r="F39" s="473" t="n">
        <f aca="false">D39*0.9*0.095+D39*3%</f>
        <v>191.340361445783</v>
      </c>
      <c r="G39" s="472" t="n">
        <f aca="false">амортизация!M54</f>
        <v>3.25375576379592</v>
      </c>
      <c r="H39" s="473" t="e">
        <f aca="false">C39+D39+F39+G39</f>
        <v>#NAME?</v>
      </c>
      <c r="I39" s="462" t="n">
        <f aca="false">I$190</f>
        <v>0.240474587202079</v>
      </c>
      <c r="J39" s="473" t="n">
        <f aca="false">D39*I39</f>
        <v>398.376575184167</v>
      </c>
      <c r="K39" s="473" t="e">
        <f aca="false">H39+J39</f>
        <v>#NAME?</v>
      </c>
      <c r="L39" s="462" t="n">
        <v>0.2</v>
      </c>
      <c r="M39" s="473" t="e">
        <f aca="false">K39*L39</f>
        <v>#NAME?</v>
      </c>
      <c r="N39" s="473" t="e">
        <f aca="false">K39+M39</f>
        <v>#NAME?</v>
      </c>
      <c r="O39" s="473" t="e">
        <f aca="false">M39</f>
        <v>#NAME?</v>
      </c>
    </row>
    <row r="40" s="461" customFormat="true" ht="15" hidden="false" customHeight="false" outlineLevel="0" collapsed="false">
      <c r="A40" s="380" t="s">
        <v>72</v>
      </c>
      <c r="B40" s="325" t="s">
        <v>2910</v>
      </c>
      <c r="C40" s="472" t="e">
        <f aca="false">мат.затр!g290</f>
        <v>#NAME?</v>
      </c>
      <c r="D40" s="472" t="n">
        <f aca="false">тарифик!J41</f>
        <v>1656.6265060241</v>
      </c>
      <c r="E40" s="472"/>
      <c r="F40" s="473" t="n">
        <f aca="false">D40*0.9*0.095+D40*3%</f>
        <v>191.340361445783</v>
      </c>
      <c r="G40" s="472" t="n">
        <f aca="false">амортизация!M55</f>
        <v>3.25375576379592</v>
      </c>
      <c r="H40" s="473" t="e">
        <f aca="false">C40+D40+F40+G40</f>
        <v>#NAME?</v>
      </c>
      <c r="I40" s="462" t="n">
        <f aca="false">I$190</f>
        <v>0.240474587202079</v>
      </c>
      <c r="J40" s="473" t="n">
        <f aca="false">D40*I40</f>
        <v>398.376575184167</v>
      </c>
      <c r="K40" s="473" t="e">
        <f aca="false">H40+J40</f>
        <v>#NAME?</v>
      </c>
      <c r="L40" s="462" t="n">
        <v>0.2</v>
      </c>
      <c r="M40" s="473" t="e">
        <f aca="false">K40*L40</f>
        <v>#NAME?</v>
      </c>
      <c r="N40" s="473" t="e">
        <f aca="false">K40+M40</f>
        <v>#NAME?</v>
      </c>
      <c r="O40" s="473" t="e">
        <f aca="false">M40</f>
        <v>#NAME?</v>
      </c>
    </row>
    <row r="41" s="461" customFormat="true" ht="30" hidden="false" customHeight="false" outlineLevel="0" collapsed="false">
      <c r="A41" s="380" t="s">
        <v>74</v>
      </c>
      <c r="B41" s="325" t="s">
        <v>2911</v>
      </c>
      <c r="C41" s="472" t="e">
        <f aca="false">мат.затр!g302</f>
        <v>#NAME?</v>
      </c>
      <c r="D41" s="472" t="n">
        <f aca="false">тарифик!J42</f>
        <v>1857.4297188755</v>
      </c>
      <c r="E41" s="472"/>
      <c r="F41" s="473" t="n">
        <f aca="false">D41*0.9*0.095+D41*3%</f>
        <v>214.53313253012</v>
      </c>
      <c r="G41" s="472" t="n">
        <f aca="false">амортизация!M58</f>
        <v>6.74178194258516</v>
      </c>
      <c r="H41" s="473" t="e">
        <f aca="false">C41+D41+F41+G41</f>
        <v>#NAME?</v>
      </c>
      <c r="I41" s="462" t="n">
        <f aca="false">I$190</f>
        <v>0.240474587202079</v>
      </c>
      <c r="J41" s="473" t="n">
        <f aca="false">D41*I41</f>
        <v>446.66464490346</v>
      </c>
      <c r="K41" s="473" t="e">
        <f aca="false">H41+J41</f>
        <v>#NAME?</v>
      </c>
      <c r="L41" s="462" t="n">
        <v>0.2</v>
      </c>
      <c r="M41" s="473" t="e">
        <f aca="false">K41*L41</f>
        <v>#NAME?</v>
      </c>
      <c r="N41" s="473" t="e">
        <f aca="false">K41+M41</f>
        <v>#NAME?</v>
      </c>
      <c r="O41" s="473" t="e">
        <f aca="false">M41</f>
        <v>#NAME?</v>
      </c>
    </row>
    <row r="42" s="461" customFormat="true" ht="15" hidden="false" customHeight="false" outlineLevel="0" collapsed="false">
      <c r="A42" s="380" t="s">
        <v>76</v>
      </c>
      <c r="B42" s="325" t="s">
        <v>2912</v>
      </c>
      <c r="C42" s="472" t="e">
        <f aca="false">мат.затр!g316</f>
        <v>#NAME?</v>
      </c>
      <c r="D42" s="472" t="n">
        <f aca="false">тарифик!J43</f>
        <v>1305.22088353414</v>
      </c>
      <c r="E42" s="472"/>
      <c r="F42" s="473" t="n">
        <f aca="false">D42*0.9*0.095+D42*3%</f>
        <v>150.753012048193</v>
      </c>
      <c r="G42" s="472" t="n">
        <f aca="false">амортизация!M61</f>
        <v>6.74178194258516</v>
      </c>
      <c r="H42" s="473" t="e">
        <f aca="false">C42+D42+F42+G42</f>
        <v>#NAME?</v>
      </c>
      <c r="I42" s="462" t="n">
        <f aca="false">I$190</f>
        <v>0.240474587202079</v>
      </c>
      <c r="J42" s="473" t="n">
        <f aca="false">D42*I42</f>
        <v>313.872453175404</v>
      </c>
      <c r="K42" s="473" t="e">
        <f aca="false">H42+J42</f>
        <v>#NAME?</v>
      </c>
      <c r="L42" s="462" t="n">
        <v>0.2</v>
      </c>
      <c r="M42" s="473" t="e">
        <f aca="false">K42*L42</f>
        <v>#NAME?</v>
      </c>
      <c r="N42" s="473" t="e">
        <f aca="false">K42+M42</f>
        <v>#NAME?</v>
      </c>
      <c r="O42" s="473" t="e">
        <f aca="false">M42</f>
        <v>#NAME?</v>
      </c>
    </row>
    <row r="43" s="461" customFormat="true" ht="15" hidden="false" customHeight="false" outlineLevel="0" collapsed="false">
      <c r="A43" s="380" t="s">
        <v>78</v>
      </c>
      <c r="B43" s="325" t="s">
        <v>2913</v>
      </c>
      <c r="C43" s="472" t="e">
        <f aca="false">мат.затр!g328</f>
        <v>#NAME?</v>
      </c>
      <c r="D43" s="472" t="n">
        <f aca="false">тарифик!J44</f>
        <v>1706.82730923695</v>
      </c>
      <c r="E43" s="472"/>
      <c r="F43" s="473" t="n">
        <f aca="false">D43*0.9*0.095+D43*3%</f>
        <v>197.138554216867</v>
      </c>
      <c r="G43" s="472" t="n">
        <f aca="false">амортизация!M64</f>
        <v>34.4898110962368</v>
      </c>
      <c r="H43" s="473" t="e">
        <f aca="false">C43+D43+F43+G43</f>
        <v>#NAME?</v>
      </c>
      <c r="I43" s="462" t="n">
        <f aca="false">I$190</f>
        <v>0.240474587202079</v>
      </c>
      <c r="J43" s="473" t="n">
        <f aca="false">D43*I43</f>
        <v>410.44859261399</v>
      </c>
      <c r="K43" s="473" t="e">
        <f aca="false">H43+J43</f>
        <v>#NAME?</v>
      </c>
      <c r="L43" s="462" t="n">
        <v>0.2</v>
      </c>
      <c r="M43" s="473" t="e">
        <f aca="false">K43*L43</f>
        <v>#NAME?</v>
      </c>
      <c r="N43" s="473" t="e">
        <f aca="false">K43+M43</f>
        <v>#NAME?</v>
      </c>
      <c r="O43" s="473" t="e">
        <f aca="false">M43</f>
        <v>#NAME?</v>
      </c>
    </row>
    <row r="44" s="461" customFormat="true" ht="15" hidden="false" customHeight="false" outlineLevel="0" collapsed="false">
      <c r="A44" s="380" t="s">
        <v>80</v>
      </c>
      <c r="B44" s="325" t="s">
        <v>2914</v>
      </c>
      <c r="C44" s="472" t="e">
        <f aca="false">мат.затр!g340</f>
        <v>#NAME?</v>
      </c>
      <c r="D44" s="472" t="n">
        <f aca="false">тарифик!J45</f>
        <v>2605.08701472557</v>
      </c>
      <c r="E44" s="472"/>
      <c r="F44" s="473" t="n">
        <f aca="false">D44*0.9*0.095+D44*3%</f>
        <v>300.887550200803</v>
      </c>
      <c r="G44" s="472" t="n">
        <f aca="false">амортизация!M67</f>
        <v>416.789314666072</v>
      </c>
      <c r="H44" s="473" t="e">
        <f aca="false">C44+D44+F44+G44</f>
        <v>#NAME?</v>
      </c>
      <c r="I44" s="462" t="n">
        <f aca="false">I$190</f>
        <v>0.240474587202079</v>
      </c>
      <c r="J44" s="473" t="n">
        <f aca="false">D44*I44</f>
        <v>626.457224491628</v>
      </c>
      <c r="K44" s="473" t="e">
        <f aca="false">H44+J44</f>
        <v>#NAME?</v>
      </c>
      <c r="L44" s="462" t="n">
        <v>0.2</v>
      </c>
      <c r="M44" s="473" t="e">
        <f aca="false">K44*L44</f>
        <v>#NAME?</v>
      </c>
      <c r="N44" s="473" t="e">
        <f aca="false">K44+M44</f>
        <v>#NAME?</v>
      </c>
      <c r="O44" s="473" t="e">
        <f aca="false">M44</f>
        <v>#NAME?</v>
      </c>
    </row>
    <row r="45" s="461" customFormat="true" ht="15" hidden="false" customHeight="false" outlineLevel="0" collapsed="false">
      <c r="A45" s="380" t="s">
        <v>82</v>
      </c>
      <c r="B45" s="325" t="s">
        <v>2915</v>
      </c>
      <c r="C45" s="472" t="e">
        <f aca="false">мат.затр!g351</f>
        <v>#NAME?</v>
      </c>
      <c r="D45" s="472" t="n">
        <f aca="false">тарифик!J46</f>
        <v>334.672021419009</v>
      </c>
      <c r="E45" s="472"/>
      <c r="F45" s="473" t="n">
        <f aca="false">D45*0.9*0.095+D45*3%</f>
        <v>38.6546184738956</v>
      </c>
      <c r="G45" s="472" t="n">
        <f aca="false">амортизация!M70</f>
        <v>6.74178194258516</v>
      </c>
      <c r="H45" s="473" t="e">
        <f aca="false">C45+D45+F45+G45</f>
        <v>#NAME?</v>
      </c>
      <c r="I45" s="462" t="n">
        <f aca="false">I$190</f>
        <v>0.240474587202079</v>
      </c>
      <c r="J45" s="473" t="n">
        <f aca="false">D45*I45</f>
        <v>80.4801161988216</v>
      </c>
      <c r="K45" s="473" t="e">
        <f aca="false">H45+J45</f>
        <v>#NAME?</v>
      </c>
      <c r="L45" s="462" t="n">
        <v>0.2</v>
      </c>
      <c r="M45" s="473" t="e">
        <f aca="false">K45*L45</f>
        <v>#NAME?</v>
      </c>
      <c r="N45" s="473" t="e">
        <f aca="false">K45+M45</f>
        <v>#NAME?</v>
      </c>
      <c r="O45" s="473" t="e">
        <f aca="false">M45</f>
        <v>#NAME?</v>
      </c>
    </row>
    <row r="46" s="461" customFormat="true" ht="15" hidden="false" customHeight="false" outlineLevel="0" collapsed="false">
      <c r="A46" s="380" t="s">
        <v>84</v>
      </c>
      <c r="B46" s="325" t="s">
        <v>2916</v>
      </c>
      <c r="C46" s="472" t="e">
        <f aca="false">мат.затр!g367</f>
        <v>#NAME?</v>
      </c>
      <c r="D46" s="472" t="n">
        <f aca="false">тарифик!J47</f>
        <v>702.81124497992</v>
      </c>
      <c r="E46" s="472"/>
      <c r="F46" s="473" t="n">
        <f aca="false">D46*0.9*0.095+D46*3%</f>
        <v>81.1746987951807</v>
      </c>
      <c r="G46" s="472" t="n">
        <f aca="false">амортизация!M73</f>
        <v>6.74178194258516</v>
      </c>
      <c r="H46" s="473" t="e">
        <f aca="false">C46+D46+F46+G46</f>
        <v>#NAME?</v>
      </c>
      <c r="I46" s="462" t="n">
        <f aca="false">I$190</f>
        <v>0.240474587202079</v>
      </c>
      <c r="J46" s="473" t="n">
        <f aca="false">D46*I46</f>
        <v>169.008244017525</v>
      </c>
      <c r="K46" s="473" t="e">
        <f aca="false">H46+J46</f>
        <v>#NAME?</v>
      </c>
      <c r="L46" s="462" t="n">
        <v>0.2</v>
      </c>
      <c r="M46" s="473" t="e">
        <f aca="false">K46*L46</f>
        <v>#NAME?</v>
      </c>
      <c r="N46" s="473" t="e">
        <f aca="false">K46+M46</f>
        <v>#NAME?</v>
      </c>
      <c r="O46" s="473" t="e">
        <f aca="false">M46</f>
        <v>#NAME?</v>
      </c>
    </row>
    <row r="47" s="461" customFormat="true" ht="15" hidden="false" customHeight="false" outlineLevel="0" collapsed="false">
      <c r="A47" s="380" t="s">
        <v>86</v>
      </c>
      <c r="B47" s="325" t="s">
        <v>2917</v>
      </c>
      <c r="C47" s="472" t="e">
        <f aca="false">мат.затр!g375</f>
        <v>#NAME?</v>
      </c>
      <c r="D47" s="472" t="n">
        <f aca="false">тарифик!J48</f>
        <v>3463.85542168675</v>
      </c>
      <c r="E47" s="472"/>
      <c r="F47" s="473" t="n">
        <f aca="false">D47*0.9*0.095+D47*3%</f>
        <v>400.075301204819</v>
      </c>
      <c r="G47" s="472" t="n">
        <f aca="false">амортизация!M76</f>
        <v>87.140803956567</v>
      </c>
      <c r="H47" s="473" t="e">
        <f aca="false">C47+D47+F47+G47</f>
        <v>#NAME?</v>
      </c>
      <c r="I47" s="462" t="n">
        <f aca="false">I$190</f>
        <v>0.240474587202079</v>
      </c>
      <c r="J47" s="473" t="n">
        <f aca="false">D47*I47</f>
        <v>832.969202657804</v>
      </c>
      <c r="K47" s="473" t="e">
        <f aca="false">H47+J47</f>
        <v>#NAME?</v>
      </c>
      <c r="L47" s="462" t="n">
        <v>0.2</v>
      </c>
      <c r="M47" s="473" t="e">
        <f aca="false">K47*L47</f>
        <v>#NAME?</v>
      </c>
      <c r="N47" s="473" t="e">
        <f aca="false">K47+M47</f>
        <v>#NAME?</v>
      </c>
      <c r="O47" s="473" t="e">
        <f aca="false">M47</f>
        <v>#NAME?</v>
      </c>
    </row>
    <row r="48" s="461" customFormat="true" ht="15" hidden="false" customHeight="false" outlineLevel="0" collapsed="false">
      <c r="A48" s="380" t="s">
        <v>88</v>
      </c>
      <c r="B48" s="325" t="s">
        <v>2918</v>
      </c>
      <c r="C48" s="472" t="e">
        <f aca="false">мат.затр!g383</f>
        <v>#NAME?</v>
      </c>
      <c r="D48" s="472" t="n">
        <f aca="false">тарифик!J49</f>
        <v>2560.24096385542</v>
      </c>
      <c r="E48" s="472"/>
      <c r="F48" s="473" t="n">
        <f aca="false">D48*0.9*0.095+D48*3%</f>
        <v>295.707831325301</v>
      </c>
      <c r="G48" s="472" t="n">
        <f aca="false">амортизация!M79</f>
        <v>711.907760672319</v>
      </c>
      <c r="H48" s="473" t="e">
        <f aca="false">C48+D48+F48+G48</f>
        <v>#NAME?</v>
      </c>
      <c r="I48" s="462" t="n">
        <f aca="false">I$190</f>
        <v>0.240474587202079</v>
      </c>
      <c r="J48" s="473" t="n">
        <f aca="false">D48*I48</f>
        <v>615.672888920985</v>
      </c>
      <c r="K48" s="473" t="e">
        <f aca="false">H48+J48</f>
        <v>#NAME?</v>
      </c>
      <c r="L48" s="462" t="n">
        <v>0.2</v>
      </c>
      <c r="M48" s="473" t="e">
        <f aca="false">K48*L48</f>
        <v>#NAME?</v>
      </c>
      <c r="N48" s="473" t="e">
        <f aca="false">K48+M48</f>
        <v>#NAME?</v>
      </c>
      <c r="O48" s="473" t="e">
        <f aca="false">M48</f>
        <v>#NAME?</v>
      </c>
    </row>
    <row r="49" s="461" customFormat="true" ht="15" hidden="false" customHeight="false" outlineLevel="0" collapsed="false">
      <c r="A49" s="380" t="s">
        <v>90</v>
      </c>
      <c r="B49" s="325" t="s">
        <v>2919</v>
      </c>
      <c r="C49" s="472" t="e">
        <f aca="false">мат.затр!g391</f>
        <v>#NAME?</v>
      </c>
      <c r="D49" s="472" t="n">
        <f aca="false">тарифик!J50</f>
        <v>2543.06113342258</v>
      </c>
      <c r="E49" s="472"/>
      <c r="F49" s="473" t="n">
        <f aca="false">D49*0.9*0.095+D49*3%</f>
        <v>293.723560910308</v>
      </c>
      <c r="G49" s="472" t="n">
        <f aca="false">амортизация!M82</f>
        <v>143.065502751748</v>
      </c>
      <c r="H49" s="473" t="e">
        <f aca="false">C49+D49+F49+G49</f>
        <v>#NAME?</v>
      </c>
      <c r="I49" s="462" t="n">
        <f aca="false">I$190</f>
        <v>0.240474587202079</v>
      </c>
      <c r="J49" s="473" t="n">
        <f aca="false">D49*I49</f>
        <v>611.541576289446</v>
      </c>
      <c r="K49" s="473" t="e">
        <f aca="false">H49+J49</f>
        <v>#NAME?</v>
      </c>
      <c r="L49" s="462" t="n">
        <v>0.2</v>
      </c>
      <c r="M49" s="473" t="e">
        <f aca="false">K49*L49</f>
        <v>#NAME?</v>
      </c>
      <c r="N49" s="473" t="e">
        <f aca="false">K49+M49</f>
        <v>#NAME?</v>
      </c>
      <c r="O49" s="473" t="e">
        <f aca="false">M49</f>
        <v>#NAME?</v>
      </c>
    </row>
    <row r="50" s="461" customFormat="true" ht="15" hidden="false" customHeight="false" outlineLevel="0" collapsed="false">
      <c r="A50" s="380" t="s">
        <v>92</v>
      </c>
      <c r="B50" s="325" t="s">
        <v>2920</v>
      </c>
      <c r="C50" s="472" t="e">
        <f aca="false">мат.затр!g399</f>
        <v>#NAME?</v>
      </c>
      <c r="D50" s="472" t="n">
        <f aca="false">тарифик!J51</f>
        <v>1706.82730923695</v>
      </c>
      <c r="E50" s="472"/>
      <c r="F50" s="473" t="n">
        <f aca="false">D50*0.9*0.095+D50*3%</f>
        <v>197.138554216867</v>
      </c>
      <c r="G50" s="472" t="n">
        <f aca="false">амортизация!M85</f>
        <v>1656.77976721702</v>
      </c>
      <c r="H50" s="473" t="e">
        <f aca="false">C50+D50+F50+G50</f>
        <v>#NAME?</v>
      </c>
      <c r="I50" s="462" t="n">
        <f aca="false">I$190</f>
        <v>0.240474587202079</v>
      </c>
      <c r="J50" s="473" t="n">
        <f aca="false">D50*I50</f>
        <v>410.44859261399</v>
      </c>
      <c r="K50" s="473" t="e">
        <f aca="false">H50+J50</f>
        <v>#NAME?</v>
      </c>
      <c r="L50" s="462" t="n">
        <v>0.2</v>
      </c>
      <c r="M50" s="473" t="e">
        <f aca="false">K50*L50</f>
        <v>#NAME?</v>
      </c>
      <c r="N50" s="473" t="e">
        <f aca="false">K50+M50</f>
        <v>#NAME?</v>
      </c>
      <c r="O50" s="473" t="e">
        <f aca="false">M50</f>
        <v>#NAME?</v>
      </c>
    </row>
    <row r="51" s="461" customFormat="true" ht="15" hidden="false" customHeight="false" outlineLevel="0" collapsed="false">
      <c r="A51" s="380" t="s">
        <v>94</v>
      </c>
      <c r="B51" s="325" t="s">
        <v>2921</v>
      </c>
      <c r="C51" s="472" t="e">
        <f aca="false">мат.затр!g407</f>
        <v>#NAME?</v>
      </c>
      <c r="D51" s="472" t="n">
        <f aca="false">тарифик!J52</f>
        <v>2058.23293172691</v>
      </c>
      <c r="E51" s="472"/>
      <c r="F51" s="473" t="n">
        <f aca="false">D51*0.9*0.095+D51*3%</f>
        <v>237.725903614458</v>
      </c>
      <c r="G51" s="472" t="n">
        <f aca="false">амортизация!M88</f>
        <v>115.103153354157</v>
      </c>
      <c r="H51" s="473" t="e">
        <f aca="false">C51+D51+F51+G51</f>
        <v>#NAME?</v>
      </c>
      <c r="I51" s="462" t="n">
        <f aca="false">I$190</f>
        <v>0.240474587202079</v>
      </c>
      <c r="J51" s="473" t="n">
        <f aca="false">D51*I51</f>
        <v>494.952714622753</v>
      </c>
      <c r="K51" s="473" t="e">
        <f aca="false">H51+J51</f>
        <v>#NAME?</v>
      </c>
      <c r="L51" s="462" t="n">
        <v>0.2</v>
      </c>
      <c r="M51" s="473" t="e">
        <f aca="false">K51*L51</f>
        <v>#NAME?</v>
      </c>
      <c r="N51" s="473" t="e">
        <f aca="false">K51+M51</f>
        <v>#NAME?</v>
      </c>
      <c r="O51" s="473" t="e">
        <f aca="false">M51</f>
        <v>#NAME?</v>
      </c>
    </row>
    <row r="52" s="461" customFormat="true" ht="15" hidden="false" customHeight="false" outlineLevel="0" collapsed="false">
      <c r="A52" s="380" t="s">
        <v>96</v>
      </c>
      <c r="B52" s="325" t="s">
        <v>2922</v>
      </c>
      <c r="C52" s="472" t="e">
        <f aca="false">мат.затр!g415</f>
        <v>#NAME?</v>
      </c>
      <c r="D52" s="472" t="n">
        <f aca="false">тарифик!J53</f>
        <v>1706.82730923695</v>
      </c>
      <c r="E52" s="472"/>
      <c r="F52" s="473" t="n">
        <f aca="false">D52*0.9*0.095+D52*3%</f>
        <v>197.138554216867</v>
      </c>
      <c r="G52" s="472" t="n">
        <f aca="false">амортизация!M92</f>
        <v>1656.77976721702</v>
      </c>
      <c r="H52" s="473" t="e">
        <f aca="false">C52+D52+F52+G52</f>
        <v>#NAME?</v>
      </c>
      <c r="I52" s="462" t="n">
        <f aca="false">I$190</f>
        <v>0.240474587202079</v>
      </c>
      <c r="J52" s="473" t="n">
        <f aca="false">D52*I52</f>
        <v>410.44859261399</v>
      </c>
      <c r="K52" s="473" t="e">
        <f aca="false">H52+J52</f>
        <v>#NAME?</v>
      </c>
      <c r="L52" s="462" t="n">
        <v>0.2</v>
      </c>
      <c r="M52" s="473" t="e">
        <f aca="false">K52*L52</f>
        <v>#NAME?</v>
      </c>
      <c r="N52" s="473" t="e">
        <f aca="false">K52+M52</f>
        <v>#NAME?</v>
      </c>
      <c r="O52" s="473" t="e">
        <f aca="false">M52</f>
        <v>#NAME?</v>
      </c>
    </row>
    <row r="53" s="461" customFormat="true" ht="15" hidden="false" customHeight="false" outlineLevel="0" collapsed="false">
      <c r="A53" s="380" t="s">
        <v>98</v>
      </c>
      <c r="B53" s="325" t="s">
        <v>2923</v>
      </c>
      <c r="C53" s="472" t="e">
        <f aca="false">мат.затр!g423</f>
        <v>#NAME?</v>
      </c>
      <c r="D53" s="472" t="n">
        <f aca="false">тарифик!J54</f>
        <v>2058.23293172691</v>
      </c>
      <c r="E53" s="472"/>
      <c r="F53" s="473" t="n">
        <f aca="false">D53*0.9*0.095+D53*3%</f>
        <v>237.725903614458</v>
      </c>
      <c r="G53" s="472" t="n">
        <f aca="false">амортизация!M95</f>
        <v>87.140803956567</v>
      </c>
      <c r="H53" s="473" t="e">
        <f aca="false">C53+D53+F53+G53</f>
        <v>#NAME?</v>
      </c>
      <c r="I53" s="462" t="n">
        <f aca="false">I$190</f>
        <v>0.240474587202079</v>
      </c>
      <c r="J53" s="473" t="n">
        <f aca="false">D53*I53</f>
        <v>494.952714622753</v>
      </c>
      <c r="K53" s="473" t="e">
        <f aca="false">H53+J53</f>
        <v>#NAME?</v>
      </c>
      <c r="L53" s="462" t="n">
        <v>0.2</v>
      </c>
      <c r="M53" s="473" t="e">
        <f aca="false">K53*L53</f>
        <v>#NAME?</v>
      </c>
      <c r="N53" s="473" t="e">
        <f aca="false">K53+M53</f>
        <v>#NAME?</v>
      </c>
      <c r="O53" s="473" t="e">
        <f aca="false">M53</f>
        <v>#NAME?</v>
      </c>
    </row>
    <row r="54" s="461" customFormat="true" ht="15" hidden="false" customHeight="false" outlineLevel="0" collapsed="false">
      <c r="A54" s="380" t="s">
        <v>100</v>
      </c>
      <c r="B54" s="325" t="s">
        <v>2924</v>
      </c>
      <c r="C54" s="472" t="e">
        <f aca="false">мат.затр!g431</f>
        <v>#NAME?</v>
      </c>
      <c r="D54" s="472" t="n">
        <f aca="false">тарифик!J55</f>
        <v>2175.36813922356</v>
      </c>
      <c r="E54" s="472"/>
      <c r="F54" s="473" t="n">
        <f aca="false">D54*0.9*0.095+D54*3%</f>
        <v>251.255020080321</v>
      </c>
      <c r="G54" s="472" t="n">
        <f aca="false">амортизация!M98</f>
        <v>475.689759036145</v>
      </c>
      <c r="H54" s="473" t="e">
        <f aca="false">C54+D54+F54+G54</f>
        <v>#NAME?</v>
      </c>
      <c r="I54" s="462" t="n">
        <f aca="false">I$190</f>
        <v>0.240474587202079</v>
      </c>
      <c r="J54" s="473" t="n">
        <f aca="false">D54*I54</f>
        <v>523.12075529234</v>
      </c>
      <c r="K54" s="473" t="e">
        <f aca="false">H54+J54</f>
        <v>#NAME?</v>
      </c>
      <c r="L54" s="462" t="n">
        <v>0.2</v>
      </c>
      <c r="M54" s="473" t="e">
        <f aca="false">K54*L54</f>
        <v>#NAME?</v>
      </c>
      <c r="N54" s="473" t="e">
        <f aca="false">K54+M54</f>
        <v>#NAME?</v>
      </c>
      <c r="O54" s="473" t="e">
        <f aca="false">M54</f>
        <v>#NAME?</v>
      </c>
    </row>
    <row r="55" s="461" customFormat="true" ht="15" hidden="false" customHeight="false" outlineLevel="0" collapsed="false">
      <c r="A55" s="380" t="s">
        <v>102</v>
      </c>
      <c r="B55" s="325" t="s">
        <v>2925</v>
      </c>
      <c r="C55" s="472" t="e">
        <f aca="false">мат.затр!g445</f>
        <v>#NAME?</v>
      </c>
      <c r="D55" s="472" t="n">
        <f aca="false">тарифик!J56</f>
        <v>2058.23293172691</v>
      </c>
      <c r="E55" s="472"/>
      <c r="F55" s="473" t="n">
        <f aca="false">D55*0.9*0.095+D55*3%</f>
        <v>237.725903614458</v>
      </c>
      <c r="G55" s="472" t="n">
        <f aca="false">амортизация!M101</f>
        <v>115.103153354157</v>
      </c>
      <c r="H55" s="473" t="e">
        <f aca="false">C55+D55+F55+G55</f>
        <v>#NAME?</v>
      </c>
      <c r="I55" s="462" t="n">
        <f aca="false">I$190</f>
        <v>0.240474587202079</v>
      </c>
      <c r="J55" s="473" t="n">
        <f aca="false">D55*I55</f>
        <v>494.952714622753</v>
      </c>
      <c r="K55" s="473" t="e">
        <f aca="false">H55+J55</f>
        <v>#NAME?</v>
      </c>
      <c r="L55" s="462" t="n">
        <v>0.2</v>
      </c>
      <c r="M55" s="473" t="e">
        <f aca="false">K55*L55</f>
        <v>#NAME?</v>
      </c>
      <c r="N55" s="473" t="e">
        <f aca="false">K55+M55</f>
        <v>#NAME?</v>
      </c>
      <c r="O55" s="473" t="e">
        <f aca="false">M55</f>
        <v>#NAME?</v>
      </c>
    </row>
    <row r="56" s="461" customFormat="true" ht="15" hidden="false" customHeight="false" outlineLevel="0" collapsed="false">
      <c r="A56" s="380" t="s">
        <v>104</v>
      </c>
      <c r="B56" s="325" t="s">
        <v>2926</v>
      </c>
      <c r="C56" s="472" t="e">
        <f aca="false">мат.затр!g455</f>
        <v>#NAME?</v>
      </c>
      <c r="D56" s="472" t="n">
        <f aca="false">тарифик!J57</f>
        <v>1991.29852744311</v>
      </c>
      <c r="E56" s="472"/>
      <c r="F56" s="473" t="n">
        <f aca="false">D56*0.9*0.095+D56*3%</f>
        <v>229.994979919679</v>
      </c>
      <c r="G56" s="472" t="n">
        <f aca="false">амортизация!M104</f>
        <v>1656.77976721702</v>
      </c>
      <c r="H56" s="473" t="e">
        <f aca="false">C56+D56+F56+G56</f>
        <v>#NAME?</v>
      </c>
      <c r="I56" s="462" t="n">
        <f aca="false">I$190</f>
        <v>0.240474587202079</v>
      </c>
      <c r="J56" s="473" t="n">
        <f aca="false">D56*I56</f>
        <v>478.856691382989</v>
      </c>
      <c r="K56" s="473" t="e">
        <f aca="false">H56+J56</f>
        <v>#NAME?</v>
      </c>
      <c r="L56" s="462" t="n">
        <v>0.2</v>
      </c>
      <c r="M56" s="473" t="e">
        <f aca="false">K56*L56</f>
        <v>#NAME?</v>
      </c>
      <c r="N56" s="473" t="e">
        <f aca="false">K56+M56</f>
        <v>#NAME?</v>
      </c>
      <c r="O56" s="473" t="e">
        <f aca="false">M56</f>
        <v>#NAME?</v>
      </c>
    </row>
    <row r="57" s="461" customFormat="true" ht="15" hidden="false" customHeight="false" outlineLevel="0" collapsed="false">
      <c r="A57" s="380" t="s">
        <v>106</v>
      </c>
      <c r="B57" s="325" t="s">
        <v>2927</v>
      </c>
      <c r="C57" s="472" t="e">
        <f aca="false">мат.затр!g468</f>
        <v>#NAME?</v>
      </c>
      <c r="D57" s="472" t="n">
        <f aca="false">тарифик!J58</f>
        <v>2058.23293172691</v>
      </c>
      <c r="E57" s="472"/>
      <c r="F57" s="473" t="n">
        <f aca="false">D57*0.9*0.095+D57*3%</f>
        <v>237.725903614458</v>
      </c>
      <c r="G57" s="472" t="n">
        <f aca="false">амортизация!M107</f>
        <v>87.140803956567</v>
      </c>
      <c r="H57" s="473" t="e">
        <f aca="false">C57+D57+F57+G57</f>
        <v>#NAME?</v>
      </c>
      <c r="I57" s="462" t="n">
        <f aca="false">I$190</f>
        <v>0.240474587202079</v>
      </c>
      <c r="J57" s="473" t="n">
        <f aca="false">D57*I57</f>
        <v>494.952714622753</v>
      </c>
      <c r="K57" s="473" t="e">
        <f aca="false">H57+J57</f>
        <v>#NAME?</v>
      </c>
      <c r="L57" s="462" t="n">
        <v>0.2</v>
      </c>
      <c r="M57" s="473" t="e">
        <f aca="false">K57*L57</f>
        <v>#NAME?</v>
      </c>
      <c r="N57" s="473" t="e">
        <f aca="false">K57+M57</f>
        <v>#NAME?</v>
      </c>
      <c r="O57" s="473" t="e">
        <f aca="false">M57</f>
        <v>#NAME?</v>
      </c>
    </row>
    <row r="58" s="461" customFormat="true" ht="15" hidden="false" customHeight="false" outlineLevel="0" collapsed="false">
      <c r="A58" s="380" t="s">
        <v>108</v>
      </c>
      <c r="B58" s="325" t="s">
        <v>2928</v>
      </c>
      <c r="C58" s="472" t="e">
        <f aca="false">мат.затр!g478</f>
        <v>#NAME?</v>
      </c>
      <c r="D58" s="472" t="n">
        <f aca="false">тарифик!J59</f>
        <v>1422.35609103079</v>
      </c>
      <c r="E58" s="472"/>
      <c r="F58" s="473" t="n">
        <f aca="false">D58*0.9*0.095+D58*3%</f>
        <v>164.282128514056</v>
      </c>
      <c r="G58" s="472" t="n">
        <f aca="false">амортизация!M110</f>
        <v>1656.77976721702</v>
      </c>
      <c r="H58" s="473" t="e">
        <f aca="false">C58+D58+F58+G58</f>
        <v>#NAME?</v>
      </c>
      <c r="I58" s="462" t="n">
        <f aca="false">I$190</f>
        <v>0.240474587202079</v>
      </c>
      <c r="J58" s="473" t="n">
        <f aca="false">D58*I58</f>
        <v>342.040493844992</v>
      </c>
      <c r="K58" s="473" t="e">
        <f aca="false">H58+J58</f>
        <v>#NAME?</v>
      </c>
      <c r="L58" s="462" t="n">
        <v>0.2</v>
      </c>
      <c r="M58" s="473" t="e">
        <f aca="false">K58*L58</f>
        <v>#NAME?</v>
      </c>
      <c r="N58" s="473" t="e">
        <f aca="false">K58+M58</f>
        <v>#NAME?</v>
      </c>
      <c r="O58" s="473" t="e">
        <f aca="false">M58</f>
        <v>#NAME?</v>
      </c>
    </row>
    <row r="59" s="461" customFormat="true" ht="15" hidden="false" customHeight="false" outlineLevel="0" collapsed="false">
      <c r="A59" s="380" t="s">
        <v>110</v>
      </c>
      <c r="B59" s="471" t="s">
        <v>2929</v>
      </c>
      <c r="C59" s="472" t="e">
        <f aca="false">мат.затр!g494</f>
        <v>#NAME?</v>
      </c>
      <c r="D59" s="472" t="n">
        <f aca="false">тарифик!J60</f>
        <v>543.84203480589</v>
      </c>
      <c r="E59" s="472"/>
      <c r="F59" s="473" t="n">
        <f aca="false">D59*0.9*0.095+D59*3%</f>
        <v>62.8137550200803</v>
      </c>
      <c r="G59" s="472" t="n">
        <f aca="false">амортизация!M113</f>
        <v>6.74178194258516</v>
      </c>
      <c r="H59" s="473" t="e">
        <f aca="false">C59+D59+F59+G59</f>
        <v>#NAME?</v>
      </c>
      <c r="I59" s="462" t="n">
        <f aca="false">I$190</f>
        <v>0.240474587202079</v>
      </c>
      <c r="J59" s="473" t="n">
        <f aca="false">D59*I59</f>
        <v>130.780188823085</v>
      </c>
      <c r="K59" s="473" t="e">
        <f aca="false">H59+J59</f>
        <v>#NAME?</v>
      </c>
      <c r="L59" s="462" t="n">
        <v>0.2</v>
      </c>
      <c r="M59" s="473" t="e">
        <f aca="false">K59*L59</f>
        <v>#NAME?</v>
      </c>
      <c r="N59" s="473" t="e">
        <f aca="false">K59+M59</f>
        <v>#NAME?</v>
      </c>
      <c r="O59" s="473" t="e">
        <f aca="false">M59</f>
        <v>#NAME?</v>
      </c>
    </row>
    <row r="60" s="461" customFormat="true" ht="15" hidden="false" customHeight="false" outlineLevel="0" collapsed="false">
      <c r="A60" s="380" t="s">
        <v>112</v>
      </c>
      <c r="B60" s="471" t="s">
        <v>2930</v>
      </c>
      <c r="C60" s="472" t="e">
        <f aca="false">мат.затр!g502</f>
        <v>#NAME?</v>
      </c>
      <c r="D60" s="472" t="n">
        <f aca="false">тарифик!J61</f>
        <v>1706.82730923695</v>
      </c>
      <c r="E60" s="472"/>
      <c r="F60" s="473" t="n">
        <f aca="false">D60*0.9*0.095+D60*3%</f>
        <v>197.138554216867</v>
      </c>
      <c r="G60" s="472" t="n">
        <f aca="false">амортизация!M116</f>
        <v>1656.77976721702</v>
      </c>
      <c r="H60" s="473" t="e">
        <f aca="false">C60+D60+F60+G60</f>
        <v>#NAME?</v>
      </c>
      <c r="I60" s="462" t="n">
        <f aca="false">I$190</f>
        <v>0.240474587202079</v>
      </c>
      <c r="J60" s="473" t="n">
        <f aca="false">D60*I60</f>
        <v>410.44859261399</v>
      </c>
      <c r="K60" s="473" t="e">
        <f aca="false">H60+J60</f>
        <v>#NAME?</v>
      </c>
      <c r="L60" s="462" t="n">
        <v>0.2</v>
      </c>
      <c r="M60" s="473" t="e">
        <f aca="false">K60*L60</f>
        <v>#NAME?</v>
      </c>
      <c r="N60" s="473" t="e">
        <f aca="false">K60+M60</f>
        <v>#NAME?</v>
      </c>
      <c r="O60" s="473" t="e">
        <f aca="false">M60</f>
        <v>#NAME?</v>
      </c>
    </row>
    <row r="61" s="461" customFormat="true" ht="15" hidden="false" customHeight="false" outlineLevel="0" collapsed="false">
      <c r="A61" s="380" t="s">
        <v>114</v>
      </c>
      <c r="B61" s="471" t="s">
        <v>2931</v>
      </c>
      <c r="C61" s="472" t="e">
        <f aca="false">мат.затр!g513</f>
        <v>#NAME?</v>
      </c>
      <c r="D61" s="472" t="n">
        <f aca="false">тарифик!J62</f>
        <v>836.680053547523</v>
      </c>
      <c r="E61" s="472"/>
      <c r="F61" s="473" t="n">
        <f aca="false">D61*0.9*0.095+D61*3%</f>
        <v>96.636546184739</v>
      </c>
      <c r="G61" s="472" t="n">
        <f aca="false">амортизация!M119</f>
        <v>711.907760672319</v>
      </c>
      <c r="H61" s="473" t="e">
        <f aca="false">C61+D61+F61+G61</f>
        <v>#NAME?</v>
      </c>
      <c r="I61" s="462" t="n">
        <f aca="false">I$190</f>
        <v>0.240474587202079</v>
      </c>
      <c r="J61" s="473" t="n">
        <f aca="false">D61*I61</f>
        <v>201.200290497054</v>
      </c>
      <c r="K61" s="473" t="e">
        <f aca="false">H61+J61</f>
        <v>#NAME?</v>
      </c>
      <c r="L61" s="462" t="n">
        <v>0.2</v>
      </c>
      <c r="M61" s="473" t="e">
        <f aca="false">K61*L61</f>
        <v>#NAME?</v>
      </c>
      <c r="N61" s="473" t="e">
        <f aca="false">K61+M61</f>
        <v>#NAME?</v>
      </c>
      <c r="O61" s="473" t="e">
        <f aca="false">M61</f>
        <v>#NAME?</v>
      </c>
    </row>
    <row r="62" s="461" customFormat="true" ht="15" hidden="false" customHeight="false" outlineLevel="0" collapsed="false">
      <c r="A62" s="380" t="s">
        <v>116</v>
      </c>
      <c r="B62" s="325" t="s">
        <v>2932</v>
      </c>
      <c r="C62" s="472" t="e">
        <f aca="false">мат.затр!g528</f>
        <v>#NAME?</v>
      </c>
      <c r="D62" s="472" t="n">
        <f aca="false">тарифик!J63</f>
        <v>2259.03614457831</v>
      </c>
      <c r="E62" s="472"/>
      <c r="F62" s="473" t="n">
        <f aca="false">D62*0.9*0.095+D62*3%</f>
        <v>260.918674698795</v>
      </c>
      <c r="G62" s="472" t="n">
        <f aca="false">амортизация!M122</f>
        <v>6.74178194258516</v>
      </c>
      <c r="H62" s="473" t="e">
        <f aca="false">C62+D62+F62+G62</f>
        <v>#NAME?</v>
      </c>
      <c r="I62" s="462" t="n">
        <f aca="false">I$190</f>
        <v>0.240474587202079</v>
      </c>
      <c r="J62" s="473" t="n">
        <f aca="false">D62*I62</f>
        <v>543.240784342046</v>
      </c>
      <c r="K62" s="473" t="e">
        <f aca="false">H62+J62</f>
        <v>#NAME?</v>
      </c>
      <c r="L62" s="462" t="n">
        <v>0.2</v>
      </c>
      <c r="M62" s="473" t="e">
        <f aca="false">K62*L62</f>
        <v>#NAME?</v>
      </c>
      <c r="N62" s="473" t="e">
        <f aca="false">K62+M62</f>
        <v>#NAME?</v>
      </c>
      <c r="O62" s="473" t="e">
        <f aca="false">M62</f>
        <v>#NAME?</v>
      </c>
    </row>
    <row r="63" s="461" customFormat="true" ht="15" hidden="false" customHeight="false" outlineLevel="0" collapsed="false">
      <c r="A63" s="380" t="s">
        <v>118</v>
      </c>
      <c r="B63" s="471" t="s">
        <v>2933</v>
      </c>
      <c r="C63" s="472" t="e">
        <f aca="false">мат.затр!g536</f>
        <v>#NAME?</v>
      </c>
      <c r="D63" s="472" t="n">
        <f aca="false">тарифик!J64</f>
        <v>2710.84337349398</v>
      </c>
      <c r="E63" s="472"/>
      <c r="F63" s="473" t="n">
        <f aca="false">D63*0.9*0.095+D63*3%</f>
        <v>313.102409638554</v>
      </c>
      <c r="G63" s="472" t="n">
        <f aca="false">амортизация!M125</f>
        <v>10.2298081213744</v>
      </c>
      <c r="H63" s="473" t="e">
        <f aca="false">C63+D63+F63+G63</f>
        <v>#NAME?</v>
      </c>
      <c r="I63" s="462" t="n">
        <f aca="false">I$190</f>
        <v>0.240474587202079</v>
      </c>
      <c r="J63" s="473" t="n">
        <f aca="false">D63*I63</f>
        <v>651.888941210455</v>
      </c>
      <c r="K63" s="473" t="e">
        <f aca="false">H63+J63</f>
        <v>#NAME?</v>
      </c>
      <c r="L63" s="462" t="n">
        <v>0.2</v>
      </c>
      <c r="M63" s="473" t="e">
        <f aca="false">K63*L63</f>
        <v>#NAME?</v>
      </c>
      <c r="N63" s="473" t="e">
        <f aca="false">K63+M63</f>
        <v>#NAME?</v>
      </c>
      <c r="O63" s="473" t="e">
        <f aca="false">M63</f>
        <v>#NAME?</v>
      </c>
    </row>
    <row r="64" s="461" customFormat="true" ht="15" hidden="false" customHeight="false" outlineLevel="0" collapsed="false">
      <c r="A64" s="380" t="s">
        <v>120</v>
      </c>
      <c r="B64" s="471" t="s">
        <v>2934</v>
      </c>
      <c r="C64" s="472" t="e">
        <f aca="false">мат.затр!g548</f>
        <v>#NAME?</v>
      </c>
      <c r="D64" s="472" t="n">
        <f aca="false">тарифик!J65</f>
        <v>1653.27978580991</v>
      </c>
      <c r="E64" s="472"/>
      <c r="F64" s="473" t="n">
        <f aca="false">D64*0.9*0.095+D64*3%</f>
        <v>190.953815261044</v>
      </c>
      <c r="G64" s="472" t="n">
        <f aca="false">амортизация!M128</f>
        <v>34.4898110962368</v>
      </c>
      <c r="H64" s="473" t="e">
        <f aca="false">C64+D64+F64+G64</f>
        <v>#NAME?</v>
      </c>
      <c r="I64" s="462" t="n">
        <f aca="false">I$190</f>
        <v>0.240474587202079</v>
      </c>
      <c r="J64" s="473" t="n">
        <f aca="false">D64*I64</f>
        <v>397.571774022179</v>
      </c>
      <c r="K64" s="473" t="e">
        <f aca="false">H64+J64</f>
        <v>#NAME?</v>
      </c>
      <c r="L64" s="462" t="n">
        <v>0.2</v>
      </c>
      <c r="M64" s="473" t="e">
        <f aca="false">K64*L64</f>
        <v>#NAME?</v>
      </c>
      <c r="N64" s="473" t="e">
        <f aca="false">K64+M64</f>
        <v>#NAME?</v>
      </c>
      <c r="O64" s="473" t="e">
        <f aca="false">M64</f>
        <v>#NAME?</v>
      </c>
    </row>
    <row r="65" s="461" customFormat="true" ht="15" hidden="false" customHeight="false" outlineLevel="0" collapsed="false">
      <c r="A65" s="380" t="s">
        <v>122</v>
      </c>
      <c r="B65" s="471" t="s">
        <v>2935</v>
      </c>
      <c r="C65" s="472" t="e">
        <f aca="false">мат.затр!g557</f>
        <v>#NAME?</v>
      </c>
      <c r="D65" s="472" t="n">
        <f aca="false">тарифик!J66</f>
        <v>2560.24096385542</v>
      </c>
      <c r="E65" s="472"/>
      <c r="F65" s="473" t="n">
        <f aca="false">D65*0.9*0.095+D65*3%</f>
        <v>295.707831325301</v>
      </c>
      <c r="G65" s="472" t="n">
        <f aca="false">амортизация!M131</f>
        <v>416.789314666072</v>
      </c>
      <c r="H65" s="473" t="e">
        <f aca="false">C65+D65+F65+G65</f>
        <v>#NAME?</v>
      </c>
      <c r="I65" s="462" t="n">
        <f aca="false">I$190</f>
        <v>0.240474587202079</v>
      </c>
      <c r="J65" s="473" t="n">
        <f aca="false">D65*I65</f>
        <v>615.672888920985</v>
      </c>
      <c r="K65" s="473" t="e">
        <f aca="false">H65+J65</f>
        <v>#NAME?</v>
      </c>
      <c r="L65" s="462" t="n">
        <v>0.2</v>
      </c>
      <c r="M65" s="473" t="e">
        <f aca="false">K65*L65</f>
        <v>#NAME?</v>
      </c>
      <c r="N65" s="473" t="e">
        <f aca="false">K65+M65</f>
        <v>#NAME?</v>
      </c>
      <c r="O65" s="473" t="e">
        <f aca="false">M65</f>
        <v>#NAME?</v>
      </c>
    </row>
    <row r="66" s="461" customFormat="true" ht="15" hidden="false" customHeight="false" outlineLevel="0" collapsed="false">
      <c r="A66" s="380" t="s">
        <v>124</v>
      </c>
      <c r="B66" s="325" t="s">
        <v>2936</v>
      </c>
      <c r="C66" s="472" t="e">
        <f aca="false">мат.затр!g569</f>
        <v>#NAME?</v>
      </c>
      <c r="D66" s="472" t="n">
        <f aca="false">тарифик!J67</f>
        <v>334.672021419009</v>
      </c>
      <c r="E66" s="472"/>
      <c r="F66" s="473" t="n">
        <f aca="false">D66*0.9*0.095+D66*3%</f>
        <v>38.6546184738956</v>
      </c>
      <c r="G66" s="472" t="n">
        <f aca="false">амортизация!M132</f>
        <v>13.0150230551837</v>
      </c>
      <c r="H66" s="473" t="e">
        <f aca="false">C66+D66+F66+G66</f>
        <v>#NAME?</v>
      </c>
      <c r="I66" s="462" t="n">
        <f aca="false">I$190</f>
        <v>0.240474587202079</v>
      </c>
      <c r="J66" s="473" t="n">
        <f aca="false">D66*I66</f>
        <v>80.4801161988216</v>
      </c>
      <c r="K66" s="473" t="e">
        <f aca="false">H66+J66</f>
        <v>#NAME?</v>
      </c>
      <c r="L66" s="462" t="n">
        <v>0.2</v>
      </c>
      <c r="M66" s="473" t="e">
        <f aca="false">K66*L66</f>
        <v>#NAME?</v>
      </c>
      <c r="N66" s="473" t="e">
        <f aca="false">K66+M66</f>
        <v>#NAME?</v>
      </c>
      <c r="O66" s="473" t="e">
        <f aca="false">M66</f>
        <v>#NAME?</v>
      </c>
    </row>
    <row r="67" s="461" customFormat="true" ht="15" hidden="false" customHeight="false" outlineLevel="0" collapsed="false">
      <c r="A67" s="380" t="s">
        <v>126</v>
      </c>
      <c r="B67" s="325" t="s">
        <v>2937</v>
      </c>
      <c r="C67" s="472" t="e">
        <f aca="false">мат.затр!g579</f>
        <v>#NAME?</v>
      </c>
      <c r="D67" s="472" t="n">
        <f aca="false">тарифик!J68</f>
        <v>803.212851405623</v>
      </c>
      <c r="E67" s="472"/>
      <c r="F67" s="473" t="n">
        <f aca="false">D67*0.9*0.095+D67*3%</f>
        <v>92.7710843373494</v>
      </c>
      <c r="G67" s="472" t="n">
        <f aca="false">амортизация!M135</f>
        <v>6.74178194258516</v>
      </c>
      <c r="H67" s="473" t="e">
        <f aca="false">C67+D67+F67+G67</f>
        <v>#NAME?</v>
      </c>
      <c r="I67" s="462" t="n">
        <f aca="false">I$190</f>
        <v>0.240474587202079</v>
      </c>
      <c r="J67" s="473" t="n">
        <f aca="false">D67*I67</f>
        <v>193.152278877172</v>
      </c>
      <c r="K67" s="473" t="e">
        <f aca="false">H67+J67</f>
        <v>#NAME?</v>
      </c>
      <c r="L67" s="462" t="n">
        <v>0.2</v>
      </c>
      <c r="M67" s="473" t="e">
        <f aca="false">K67*L67</f>
        <v>#NAME?</v>
      </c>
      <c r="N67" s="473" t="e">
        <f aca="false">K67+M67</f>
        <v>#NAME?</v>
      </c>
      <c r="O67" s="473" t="e">
        <f aca="false">M67</f>
        <v>#NAME?</v>
      </c>
    </row>
    <row r="68" s="461" customFormat="true" ht="15" hidden="false" customHeight="false" outlineLevel="0" collapsed="false">
      <c r="A68" s="380" t="s">
        <v>128</v>
      </c>
      <c r="B68" s="325" t="s">
        <v>2938</v>
      </c>
      <c r="C68" s="472" t="e">
        <f aca="false">мат.затр!g590</f>
        <v>#NAME?</v>
      </c>
      <c r="D68" s="472" t="n">
        <f aca="false">тарифик!J69</f>
        <v>460.174029451138</v>
      </c>
      <c r="E68" s="472"/>
      <c r="F68" s="473" t="n">
        <f aca="false">D68*0.9*0.095+D68*3%</f>
        <v>53.1501004016064</v>
      </c>
      <c r="G68" s="472" t="n">
        <f aca="false">амортизация!M138</f>
        <v>31.2161051613863</v>
      </c>
      <c r="H68" s="473" t="e">
        <f aca="false">C68+D68+F68+G68</f>
        <v>#NAME?</v>
      </c>
      <c r="I68" s="462" t="n">
        <f aca="false">I$190</f>
        <v>0.240474587202079</v>
      </c>
      <c r="J68" s="473" t="n">
        <f aca="false">D68*I68</f>
        <v>110.66015977338</v>
      </c>
      <c r="K68" s="473" t="e">
        <f aca="false">H68+J68</f>
        <v>#NAME?</v>
      </c>
      <c r="L68" s="462" t="n">
        <v>0.2</v>
      </c>
      <c r="M68" s="473" t="e">
        <f aca="false">K68*L68</f>
        <v>#NAME?</v>
      </c>
      <c r="N68" s="473" t="e">
        <f aca="false">K68+M68</f>
        <v>#NAME?</v>
      </c>
      <c r="O68" s="473" t="e">
        <f aca="false">M68</f>
        <v>#NAME?</v>
      </c>
    </row>
    <row r="69" s="461" customFormat="true" ht="15" hidden="false" customHeight="false" outlineLevel="0" collapsed="false">
      <c r="A69" s="380" t="s">
        <v>130</v>
      </c>
      <c r="B69" s="325" t="s">
        <v>2939</v>
      </c>
      <c r="C69" s="472" t="e">
        <f aca="false">мат.затр!g598</f>
        <v>#NAME?</v>
      </c>
      <c r="D69" s="472" t="n">
        <f aca="false">тарифик!J70</f>
        <v>1112.78447121821</v>
      </c>
      <c r="E69" s="472"/>
      <c r="F69" s="473" t="n">
        <f aca="false">D69*0.9*0.095+D69*3%</f>
        <v>128.526606425703</v>
      </c>
      <c r="G69" s="472" t="n">
        <f aca="false">амортизация!M141</f>
        <v>5.19976201100699</v>
      </c>
      <c r="H69" s="473" t="e">
        <f aca="false">C69+D69+F69+G69</f>
        <v>#NAME?</v>
      </c>
      <c r="I69" s="462" t="n">
        <f aca="false">I$190</f>
        <v>0.240474587202079</v>
      </c>
      <c r="J69" s="473" t="n">
        <f aca="false">D69*I69</f>
        <v>267.596386361082</v>
      </c>
      <c r="K69" s="473" t="e">
        <f aca="false">H69+J69</f>
        <v>#NAME?</v>
      </c>
      <c r="L69" s="462" t="n">
        <v>0.2</v>
      </c>
      <c r="M69" s="473" t="e">
        <f aca="false">K69*L69</f>
        <v>#NAME?</v>
      </c>
      <c r="N69" s="473" t="e">
        <f aca="false">K69+M69</f>
        <v>#NAME?</v>
      </c>
      <c r="O69" s="473" t="e">
        <f aca="false">M69</f>
        <v>#NAME?</v>
      </c>
    </row>
    <row r="70" s="461" customFormat="true" ht="15" hidden="false" customHeight="false" outlineLevel="0" collapsed="false">
      <c r="A70" s="380" t="s">
        <v>132</v>
      </c>
      <c r="B70" s="471" t="s">
        <v>2940</v>
      </c>
      <c r="C70" s="472" t="e">
        <f aca="false">мат.затр!g611</f>
        <v>#NAME?</v>
      </c>
      <c r="D70" s="472" t="n">
        <f aca="false">тарифик!J71</f>
        <v>2086.12226684516</v>
      </c>
      <c r="E70" s="472"/>
      <c r="F70" s="473" t="n">
        <f aca="false">D70*0.9*0.095+D70*3%</f>
        <v>240.947121820616</v>
      </c>
      <c r="G70" s="472" t="n">
        <f aca="false">амортизация!M144</f>
        <v>416.789314666072</v>
      </c>
      <c r="H70" s="473" t="e">
        <f aca="false">C70+D70+F70+G70</f>
        <v>#NAME?</v>
      </c>
      <c r="I70" s="462" t="n">
        <f aca="false">I$190</f>
        <v>0.240474587202079</v>
      </c>
      <c r="J70" s="473" t="n">
        <f aca="false">D70*I70</f>
        <v>501.659390972655</v>
      </c>
      <c r="K70" s="473" t="e">
        <f aca="false">H70+J70</f>
        <v>#NAME?</v>
      </c>
      <c r="L70" s="462" t="n">
        <v>0.2</v>
      </c>
      <c r="M70" s="473" t="e">
        <f aca="false">K70*L70</f>
        <v>#NAME?</v>
      </c>
      <c r="N70" s="473" t="e">
        <f aca="false">K70+M70</f>
        <v>#NAME?</v>
      </c>
      <c r="O70" s="473" t="e">
        <f aca="false">M70</f>
        <v>#NAME?</v>
      </c>
    </row>
    <row r="71" s="461" customFormat="true" ht="15" hidden="false" customHeight="false" outlineLevel="0" collapsed="false">
      <c r="A71" s="380" t="s">
        <v>134</v>
      </c>
      <c r="B71" s="471" t="s">
        <v>2941</v>
      </c>
      <c r="C71" s="472" t="e">
        <f aca="false">мат.затр!g619</f>
        <v>#NAME?</v>
      </c>
      <c r="D71" s="472" t="n">
        <f aca="false">тарифик!J72</f>
        <v>2158.63453815261</v>
      </c>
      <c r="E71" s="472"/>
      <c r="F71" s="473" t="n">
        <f aca="false">D71*0.9*0.095+D71*3%</f>
        <v>249.322289156626</v>
      </c>
      <c r="G71" s="472" t="n">
        <f aca="false">амортизация!M147</f>
        <v>708.654004908523</v>
      </c>
      <c r="H71" s="473" t="e">
        <f aca="false">C71+D71+F71+G71</f>
        <v>#NAME?</v>
      </c>
      <c r="I71" s="462" t="n">
        <f aca="false">I$190</f>
        <v>0.240474587202079</v>
      </c>
      <c r="J71" s="473" t="n">
        <f aca="false">D71*I71</f>
        <v>519.096749482399</v>
      </c>
      <c r="K71" s="473" t="e">
        <f aca="false">H71+J71</f>
        <v>#NAME?</v>
      </c>
      <c r="L71" s="462" t="n">
        <v>0.2</v>
      </c>
      <c r="M71" s="473" t="e">
        <f aca="false">K71*L71</f>
        <v>#NAME?</v>
      </c>
      <c r="N71" s="473" t="e">
        <f aca="false">K71+M71</f>
        <v>#NAME?</v>
      </c>
      <c r="O71" s="473" t="e">
        <f aca="false">M71</f>
        <v>#NAME?</v>
      </c>
    </row>
    <row r="72" s="461" customFormat="true" ht="15" hidden="false" customHeight="false" outlineLevel="0" collapsed="false">
      <c r="A72" s="380" t="s">
        <v>136</v>
      </c>
      <c r="B72" s="471" t="s">
        <v>2942</v>
      </c>
      <c r="C72" s="472" t="e">
        <f aca="false">мат.затр!g627</f>
        <v>#NAME?</v>
      </c>
      <c r="D72" s="472" t="n">
        <f aca="false">тарифик!J73</f>
        <v>2158.63453815261</v>
      </c>
      <c r="E72" s="472"/>
      <c r="F72" s="473" t="n">
        <f aca="false">D72*0.9*0.095+D72*3%</f>
        <v>249.322289156626</v>
      </c>
      <c r="G72" s="472" t="n">
        <f aca="false">амортизация!M150</f>
        <v>711.907760672319</v>
      </c>
      <c r="H72" s="473" t="e">
        <f aca="false">C72+D72+F72+G72</f>
        <v>#NAME?</v>
      </c>
      <c r="I72" s="462" t="n">
        <f aca="false">I$190</f>
        <v>0.240474587202079</v>
      </c>
      <c r="J72" s="473" t="n">
        <f aca="false">D72*I72</f>
        <v>519.096749482399</v>
      </c>
      <c r="K72" s="473" t="e">
        <f aca="false">H72+J72</f>
        <v>#NAME?</v>
      </c>
      <c r="L72" s="462" t="n">
        <v>0.2</v>
      </c>
      <c r="M72" s="473" t="e">
        <f aca="false">K72*L72</f>
        <v>#NAME?</v>
      </c>
      <c r="N72" s="473" t="e">
        <f aca="false">K72+M72</f>
        <v>#NAME?</v>
      </c>
      <c r="O72" s="473" t="e">
        <f aca="false">M72</f>
        <v>#NAME?</v>
      </c>
    </row>
    <row r="73" s="461" customFormat="true" ht="15" hidden="false" customHeight="false" outlineLevel="0" collapsed="false">
      <c r="A73" s="380" t="s">
        <v>138</v>
      </c>
      <c r="B73" s="471" t="s">
        <v>2943</v>
      </c>
      <c r="C73" s="472" t="e">
        <f aca="false">мат.затр!g628</f>
        <v>#NAME?</v>
      </c>
      <c r="D73" s="472" t="n">
        <f aca="false">тарифик!J74</f>
        <v>502.008032128514</v>
      </c>
      <c r="E73" s="472"/>
      <c r="F73" s="473" t="n">
        <f aca="false">D73*0.9*0.095+D73*3%</f>
        <v>57.9819277108434</v>
      </c>
      <c r="G73" s="472" t="n">
        <f aca="false">амортизация!M151</f>
        <v>0</v>
      </c>
      <c r="H73" s="473" t="e">
        <f aca="false">C73+D73+F73+G73</f>
        <v>#NAME?</v>
      </c>
      <c r="I73" s="462" t="n">
        <f aca="false">I$190</f>
        <v>0.240474587202079</v>
      </c>
      <c r="J73" s="473" t="n">
        <f aca="false">D73*I73</f>
        <v>120.720174298232</v>
      </c>
      <c r="K73" s="473" t="e">
        <f aca="false">H73+J73</f>
        <v>#NAME?</v>
      </c>
      <c r="L73" s="462" t="n">
        <v>0.2</v>
      </c>
      <c r="M73" s="473" t="e">
        <f aca="false">K73*L73</f>
        <v>#NAME?</v>
      </c>
      <c r="N73" s="473" t="e">
        <f aca="false">K73+M73</f>
        <v>#NAME?</v>
      </c>
      <c r="O73" s="473" t="e">
        <f aca="false">M73</f>
        <v>#NAME?</v>
      </c>
    </row>
    <row r="74" s="461" customFormat="true" ht="15" hidden="false" customHeight="false" outlineLevel="0" collapsed="false">
      <c r="A74" s="327" t="s">
        <v>140</v>
      </c>
      <c r="B74" s="328" t="s">
        <v>2944</v>
      </c>
      <c r="C74" s="472" t="e">
        <f aca="false">мат.затр!g634</f>
        <v>#NAME?</v>
      </c>
      <c r="D74" s="472" t="n">
        <f aca="false">тарифик!J75</f>
        <v>301.204819277108</v>
      </c>
      <c r="E74" s="472"/>
      <c r="F74" s="473" t="n">
        <f aca="false">D74*0.9*0.095+D74*3%</f>
        <v>34.789156626506</v>
      </c>
      <c r="G74" s="472" t="n">
        <f aca="false">амортизация!M152</f>
        <v>3.89201249442213</v>
      </c>
      <c r="H74" s="473" t="e">
        <f aca="false">C74+D74+F74+G74</f>
        <v>#NAME?</v>
      </c>
      <c r="I74" s="462" t="n">
        <f aca="false">I$190</f>
        <v>0.240474587202079</v>
      </c>
      <c r="J74" s="473" t="n">
        <f aca="false">D74*I74</f>
        <v>72.4321045789394</v>
      </c>
      <c r="K74" s="473" t="e">
        <f aca="false">H74+J74</f>
        <v>#NAME?</v>
      </c>
      <c r="L74" s="462" t="n">
        <v>0.2</v>
      </c>
      <c r="M74" s="473" t="e">
        <f aca="false">K74*L74</f>
        <v>#NAME?</v>
      </c>
      <c r="N74" s="473" t="e">
        <f aca="false">K74+M74</f>
        <v>#NAME?</v>
      </c>
      <c r="O74" s="473" t="e">
        <f aca="false">M74</f>
        <v>#NAME?</v>
      </c>
    </row>
    <row r="75" s="461" customFormat="true" ht="15" hidden="false" customHeight="false" outlineLevel="0" collapsed="false">
      <c r="A75" s="327" t="s">
        <v>142</v>
      </c>
      <c r="B75" s="328" t="s">
        <v>2945</v>
      </c>
      <c r="C75" s="472" t="e">
        <f aca="false">мат.затр!g643</f>
        <v>#NAME?</v>
      </c>
      <c r="D75" s="472" t="n">
        <f aca="false">тарифик!J76</f>
        <v>1581.32530120482</v>
      </c>
      <c r="E75" s="472"/>
      <c r="F75" s="473" t="n">
        <f aca="false">D75*0.9*0.095+D75*3%</f>
        <v>182.643072289157</v>
      </c>
      <c r="G75" s="472" t="n">
        <f aca="false">амортизация!M155</f>
        <v>603.493433484505</v>
      </c>
      <c r="H75" s="473" t="e">
        <f aca="false">C75+D75+F75+G75</f>
        <v>#NAME?</v>
      </c>
      <c r="I75" s="462" t="n">
        <f aca="false">'накл расходы'!D16</f>
        <v>0.240474587202079</v>
      </c>
      <c r="J75" s="473" t="n">
        <f aca="false">D75*I75</f>
        <v>380.268549039432</v>
      </c>
      <c r="K75" s="473" t="e">
        <f aca="false">H75+J75</f>
        <v>#NAME?</v>
      </c>
      <c r="L75" s="462" t="n">
        <v>0.2</v>
      </c>
      <c r="M75" s="473" t="e">
        <f aca="false">K75*L75</f>
        <v>#NAME?</v>
      </c>
      <c r="N75" s="473" t="e">
        <f aca="false">K75+M75</f>
        <v>#NAME?</v>
      </c>
      <c r="O75" s="473" t="e">
        <f aca="false">M75</f>
        <v>#NAME?</v>
      </c>
    </row>
    <row r="76" s="461" customFormat="true" ht="15" hidden="false" customHeight="false" outlineLevel="0" collapsed="false">
      <c r="A76" s="327" t="s">
        <v>144</v>
      </c>
      <c r="B76" s="328" t="s">
        <v>2946</v>
      </c>
      <c r="C76" s="472" t="e">
        <f aca="false">мат.затр!g652</f>
        <v>#NAME?</v>
      </c>
      <c r="D76" s="472" t="n">
        <f aca="false">тарифик!J77</f>
        <v>3087.34939759036</v>
      </c>
      <c r="E76" s="472"/>
      <c r="F76" s="473" t="n">
        <f aca="false">D76*0.9*0.095+D76*3%</f>
        <v>356.588855421687</v>
      </c>
      <c r="G76" s="472" t="n">
        <f aca="false">амортизация!M158</f>
        <v>88.5635109599395</v>
      </c>
      <c r="H76" s="473" t="e">
        <f aca="false">C76+D76+F76+G76</f>
        <v>#NAME?</v>
      </c>
      <c r="I76" s="462" t="n">
        <f aca="false">'накл расходы'!D16</f>
        <v>0.240474587202079</v>
      </c>
      <c r="J76" s="473" t="n">
        <f aca="false">D76*I76</f>
        <v>742.429071934129</v>
      </c>
      <c r="K76" s="473" t="e">
        <f aca="false">H76+J76</f>
        <v>#NAME?</v>
      </c>
      <c r="L76" s="462" t="n">
        <v>0.2</v>
      </c>
      <c r="M76" s="473" t="e">
        <f aca="false">K76*L76</f>
        <v>#NAME?</v>
      </c>
      <c r="N76" s="473" t="e">
        <f aca="false">K76+M76</f>
        <v>#NAME?</v>
      </c>
      <c r="O76" s="473" t="e">
        <f aca="false">M76</f>
        <v>#NAME?</v>
      </c>
    </row>
    <row r="77" s="461" customFormat="true" ht="15" hidden="false" customHeight="false" outlineLevel="0" collapsed="false">
      <c r="A77" s="327" t="s">
        <v>146</v>
      </c>
      <c r="B77" s="328" t="s">
        <v>2947</v>
      </c>
      <c r="C77" s="472" t="e">
        <f aca="false">мат.затр!g661</f>
        <v>#NAME?</v>
      </c>
      <c r="D77" s="472" t="n">
        <f aca="false">тарифик!J78</f>
        <v>3087.34939759036</v>
      </c>
      <c r="E77" s="472"/>
      <c r="F77" s="473" t="n">
        <f aca="false">D77*0.9*0.095+D77*3%</f>
        <v>356.588855421687</v>
      </c>
      <c r="G77" s="472" t="n">
        <f aca="false">амортизация!M161</f>
        <v>88.5635109599395</v>
      </c>
      <c r="H77" s="473" t="e">
        <f aca="false">C77+D77+F77+G77</f>
        <v>#NAME?</v>
      </c>
      <c r="I77" s="462" t="n">
        <f aca="false">'накл расходы'!D16</f>
        <v>0.240474587202079</v>
      </c>
      <c r="J77" s="473" t="n">
        <f aca="false">D77*I77</f>
        <v>742.429071934129</v>
      </c>
      <c r="K77" s="473" t="e">
        <f aca="false">H77+J77</f>
        <v>#NAME?</v>
      </c>
      <c r="L77" s="462" t="n">
        <v>0.2</v>
      </c>
      <c r="M77" s="473" t="e">
        <f aca="false">K77*L77</f>
        <v>#NAME?</v>
      </c>
      <c r="N77" s="473" t="e">
        <f aca="false">K77+M77</f>
        <v>#NAME?</v>
      </c>
      <c r="O77" s="473" t="e">
        <f aca="false">M77</f>
        <v>#NAME?</v>
      </c>
    </row>
    <row r="78" s="461" customFormat="true" ht="15" hidden="false" customHeight="false" outlineLevel="0" collapsed="false">
      <c r="A78" s="327" t="s">
        <v>148</v>
      </c>
      <c r="B78" s="328" t="s">
        <v>2948</v>
      </c>
      <c r="C78" s="472" t="e">
        <f aca="false">мат.затр!g670</f>
        <v>#NAME?</v>
      </c>
      <c r="D78" s="472" t="n">
        <f aca="false">тарифик!J79</f>
        <v>1123.94020526551</v>
      </c>
      <c r="E78" s="472"/>
      <c r="F78" s="473" t="n">
        <f aca="false">D78*0.9*0.095+D78*3%</f>
        <v>129.815093708166</v>
      </c>
      <c r="G78" s="472" t="n">
        <f aca="false">амортизация!M164</f>
        <v>123.344189342404</v>
      </c>
      <c r="H78" s="473" t="e">
        <f aca="false">C78+D78+F78+G78</f>
        <v>#NAME?</v>
      </c>
      <c r="I78" s="462" t="n">
        <f aca="false">'накл расходы'!D16</f>
        <v>0.240474587202079</v>
      </c>
      <c r="J78" s="473" t="n">
        <f aca="false">D78*I78</f>
        <v>270.279056901043</v>
      </c>
      <c r="K78" s="473" t="e">
        <f aca="false">H78+J78</f>
        <v>#NAME?</v>
      </c>
      <c r="L78" s="462" t="n">
        <v>0.2</v>
      </c>
      <c r="M78" s="473" t="e">
        <f aca="false">K78*L78</f>
        <v>#NAME?</v>
      </c>
      <c r="N78" s="473" t="e">
        <f aca="false">K78+M78</f>
        <v>#NAME?</v>
      </c>
      <c r="O78" s="473" t="e">
        <f aca="false">M78</f>
        <v>#NAME?</v>
      </c>
    </row>
    <row r="79" s="461" customFormat="true" ht="15" hidden="false" customHeight="false" outlineLevel="0" collapsed="false">
      <c r="A79" s="327" t="s">
        <v>150</v>
      </c>
      <c r="B79" s="328" t="s">
        <v>2949</v>
      </c>
      <c r="C79" s="472" t="e">
        <f aca="false">мат.затр!g679</f>
        <v>#NAME?</v>
      </c>
      <c r="D79" s="472" t="n">
        <f aca="false">тарифик!J80</f>
        <v>3087.34939759036</v>
      </c>
      <c r="E79" s="472"/>
      <c r="F79" s="473" t="n">
        <f aca="false">D79*0.9*0.095+D79*3%</f>
        <v>356.588855421687</v>
      </c>
      <c r="G79" s="472" t="n">
        <f aca="false">амортизация!M167</f>
        <v>88.5635109599395</v>
      </c>
      <c r="H79" s="473" t="e">
        <f aca="false">C79+D79+F79+G79</f>
        <v>#NAME?</v>
      </c>
      <c r="I79" s="462" t="n">
        <f aca="false">'накл расходы'!D16</f>
        <v>0.240474587202079</v>
      </c>
      <c r="J79" s="473" t="n">
        <f aca="false">D79*I79</f>
        <v>742.429071934129</v>
      </c>
      <c r="K79" s="473" t="e">
        <f aca="false">H79+J79</f>
        <v>#NAME?</v>
      </c>
      <c r="L79" s="462" t="n">
        <v>0.2</v>
      </c>
      <c r="M79" s="473" t="e">
        <f aca="false">K79*L79</f>
        <v>#NAME?</v>
      </c>
      <c r="N79" s="473" t="e">
        <f aca="false">K79+M79</f>
        <v>#NAME?</v>
      </c>
      <c r="O79" s="473" t="e">
        <f aca="false">M79</f>
        <v>#NAME?</v>
      </c>
    </row>
    <row r="80" s="461" customFormat="true" ht="28.5" hidden="false" customHeight="false" outlineLevel="0" collapsed="false">
      <c r="A80" s="350" t="s">
        <v>152</v>
      </c>
      <c r="B80" s="467" t="s">
        <v>2950</v>
      </c>
      <c r="C80" s="468"/>
      <c r="D80" s="468"/>
      <c r="E80" s="468"/>
      <c r="F80" s="474"/>
      <c r="G80" s="468"/>
      <c r="H80" s="474"/>
      <c r="I80" s="475"/>
      <c r="J80" s="474"/>
      <c r="K80" s="474"/>
      <c r="L80" s="475"/>
      <c r="M80" s="474"/>
      <c r="N80" s="474"/>
      <c r="O80" s="474"/>
    </row>
    <row r="81" s="461" customFormat="true" ht="15" hidden="false" customHeight="false" outlineLevel="0" collapsed="false">
      <c r="A81" s="327" t="s">
        <v>154</v>
      </c>
      <c r="B81" s="325" t="s">
        <v>2951</v>
      </c>
      <c r="C81" s="472" t="e">
        <f aca="false">мат.затр!g685</f>
        <v>#NAME?</v>
      </c>
      <c r="D81" s="472" t="n">
        <f aca="false">тарифик!J82</f>
        <v>133.868808567604</v>
      </c>
      <c r="E81" s="472"/>
      <c r="F81" s="473" t="n">
        <f aca="false">D81*0.9*0.095+D81*3%</f>
        <v>15.4618473895582</v>
      </c>
      <c r="G81" s="472" t="n">
        <f aca="false">амортизация!M169</f>
        <v>3.48802617878923</v>
      </c>
      <c r="H81" s="473" t="e">
        <f aca="false">C81+D81+F81+G81</f>
        <v>#NAME?</v>
      </c>
      <c r="I81" s="462" t="n">
        <f aca="false">I$190</f>
        <v>0.240474587202079</v>
      </c>
      <c r="J81" s="473" t="n">
        <f aca="false">D81*I81</f>
        <v>32.1920464795286</v>
      </c>
      <c r="K81" s="473" t="e">
        <f aca="false">H81+J81</f>
        <v>#NAME?</v>
      </c>
      <c r="L81" s="462" t="n">
        <v>0.2</v>
      </c>
      <c r="M81" s="473" t="e">
        <f aca="false">K81*L81</f>
        <v>#NAME?</v>
      </c>
      <c r="N81" s="473" t="e">
        <f aca="false">K81+M81</f>
        <v>#NAME?</v>
      </c>
      <c r="O81" s="473" t="e">
        <f aca="false">M81</f>
        <v>#NAME?</v>
      </c>
    </row>
    <row r="82" s="461" customFormat="true" ht="15" hidden="false" customHeight="false" outlineLevel="0" collapsed="false">
      <c r="A82" s="327" t="s">
        <v>155</v>
      </c>
      <c r="B82" s="325" t="s">
        <v>2952</v>
      </c>
      <c r="C82" s="472" t="e">
        <f aca="false">мат.затр!g691</f>
        <v>#NAME?</v>
      </c>
      <c r="D82" s="472" t="n">
        <f aca="false">тарифик!J83</f>
        <v>150.602409638554</v>
      </c>
      <c r="E82" s="472"/>
      <c r="F82" s="473" t="n">
        <f aca="false">D82*0.9*0.095+D82*3%</f>
        <v>17.394578313253</v>
      </c>
      <c r="G82" s="472" t="n">
        <f aca="false">амортизация!M170</f>
        <v>3.48802617878923</v>
      </c>
      <c r="H82" s="473" t="e">
        <f aca="false">C82+D82+F82+G82</f>
        <v>#NAME?</v>
      </c>
      <c r="I82" s="462" t="n">
        <f aca="false">I$190</f>
        <v>0.240474587202079</v>
      </c>
      <c r="J82" s="473" t="n">
        <f aca="false">D82*I82</f>
        <v>36.2160522894697</v>
      </c>
      <c r="K82" s="473" t="e">
        <f aca="false">H82+J82</f>
        <v>#NAME?</v>
      </c>
      <c r="L82" s="462" t="n">
        <v>0.2</v>
      </c>
      <c r="M82" s="473" t="e">
        <f aca="false">K82*L82</f>
        <v>#NAME?</v>
      </c>
      <c r="N82" s="473" t="e">
        <f aca="false">K82+M82</f>
        <v>#NAME?</v>
      </c>
      <c r="O82" s="473" t="e">
        <f aca="false">M82</f>
        <v>#NAME?</v>
      </c>
    </row>
    <row r="83" s="461" customFormat="true" ht="15" hidden="false" customHeight="false" outlineLevel="0" collapsed="false">
      <c r="A83" s="327" t="s">
        <v>156</v>
      </c>
      <c r="B83" s="471" t="s">
        <v>2883</v>
      </c>
      <c r="C83" s="472" t="e">
        <f aca="false">мат.затр!g697</f>
        <v>#NAME?</v>
      </c>
      <c r="D83" s="472" t="n">
        <f aca="false">тарифик!J84</f>
        <v>200.803212851406</v>
      </c>
      <c r="E83" s="472"/>
      <c r="F83" s="473" t="n">
        <f aca="false">D83*0.9*0.095+D83*3%</f>
        <v>23.1927710843373</v>
      </c>
      <c r="G83" s="472" t="n">
        <f aca="false">амортизация!M171</f>
        <v>3.48802617878923</v>
      </c>
      <c r="H83" s="473" t="e">
        <f aca="false">C83+D83+F83+G83</f>
        <v>#NAME?</v>
      </c>
      <c r="I83" s="462" t="n">
        <f aca="false">I$190</f>
        <v>0.240474587202079</v>
      </c>
      <c r="J83" s="473" t="n">
        <f aca="false">D83*I83</f>
        <v>48.288069719293</v>
      </c>
      <c r="K83" s="473" t="e">
        <f aca="false">H83+J83</f>
        <v>#NAME?</v>
      </c>
      <c r="L83" s="462" t="n">
        <v>0.2</v>
      </c>
      <c r="M83" s="473" t="e">
        <f aca="false">K83*L83</f>
        <v>#NAME?</v>
      </c>
      <c r="N83" s="473" t="e">
        <f aca="false">K83+M83</f>
        <v>#NAME?</v>
      </c>
      <c r="O83" s="473" t="e">
        <f aca="false">M83</f>
        <v>#NAME?</v>
      </c>
    </row>
    <row r="84" s="461" customFormat="true" ht="15" hidden="false" customHeight="false" outlineLevel="0" collapsed="false">
      <c r="A84" s="327" t="s">
        <v>157</v>
      </c>
      <c r="B84" s="471" t="s">
        <v>2884</v>
      </c>
      <c r="C84" s="472" t="e">
        <f aca="false">мат.затр!g702</f>
        <v>#NAME?</v>
      </c>
      <c r="D84" s="472" t="n">
        <f aca="false">тарифик!J85</f>
        <v>552.208835341365</v>
      </c>
      <c r="E84" s="472"/>
      <c r="F84" s="473" t="n">
        <f aca="false">D84*0.9*0.095+D84*3%</f>
        <v>63.7801204819277</v>
      </c>
      <c r="G84" s="472" t="n">
        <f aca="false">амортизация!M172</f>
        <v>3.48802617878923</v>
      </c>
      <c r="H84" s="473" t="e">
        <f aca="false">C84+D84+F84+G84</f>
        <v>#NAME?</v>
      </c>
      <c r="I84" s="462" t="n">
        <f aca="false">I$190</f>
        <v>0.240474587202079</v>
      </c>
      <c r="J84" s="473" t="n">
        <f aca="false">D84*I84</f>
        <v>132.792191728056</v>
      </c>
      <c r="K84" s="473" t="e">
        <f aca="false">H84+J84</f>
        <v>#NAME?</v>
      </c>
      <c r="L84" s="462" t="n">
        <v>0.2</v>
      </c>
      <c r="M84" s="473" t="e">
        <f aca="false">K84*L84</f>
        <v>#NAME?</v>
      </c>
      <c r="N84" s="473" t="e">
        <f aca="false">K84+M84</f>
        <v>#NAME?</v>
      </c>
      <c r="O84" s="473" t="e">
        <f aca="false">M84</f>
        <v>#NAME?</v>
      </c>
    </row>
    <row r="85" s="461" customFormat="true" ht="15" hidden="false" customHeight="false" outlineLevel="0" collapsed="false">
      <c r="A85" s="327" t="s">
        <v>158</v>
      </c>
      <c r="B85" s="471" t="s">
        <v>2885</v>
      </c>
      <c r="C85" s="472" t="e">
        <f aca="false">мат.затр!g708</f>
        <v>#NAME?</v>
      </c>
      <c r="D85" s="472" t="n">
        <f aca="false">тарифик!J86</f>
        <v>432.284694332887</v>
      </c>
      <c r="E85" s="472"/>
      <c r="F85" s="473" t="n">
        <f aca="false">D85*0.9*0.095+D85*3%</f>
        <v>49.9288821954485</v>
      </c>
      <c r="G85" s="472" t="n">
        <f aca="false">амортизация!M173</f>
        <v>1.32939164063662</v>
      </c>
      <c r="H85" s="473" t="e">
        <f aca="false">C85+D85+F85+G85</f>
        <v>#NAME?</v>
      </c>
      <c r="I85" s="462" t="n">
        <f aca="false">I$190</f>
        <v>0.240474587202079</v>
      </c>
      <c r="J85" s="473" t="n">
        <f aca="false">D85*I85</f>
        <v>103.953483423478</v>
      </c>
      <c r="K85" s="473" t="e">
        <f aca="false">H85+J85</f>
        <v>#NAME?</v>
      </c>
      <c r="L85" s="462" t="n">
        <v>0.2</v>
      </c>
      <c r="M85" s="473" t="e">
        <f aca="false">K85*L85</f>
        <v>#NAME?</v>
      </c>
      <c r="N85" s="473" t="e">
        <f aca="false">K85+M85</f>
        <v>#NAME?</v>
      </c>
      <c r="O85" s="473" t="e">
        <f aca="false">M85</f>
        <v>#NAME?</v>
      </c>
    </row>
    <row r="86" s="461" customFormat="true" ht="15" hidden="false" customHeight="false" outlineLevel="0" collapsed="false">
      <c r="A86" s="327" t="s">
        <v>159</v>
      </c>
      <c r="B86" s="471" t="s">
        <v>2886</v>
      </c>
      <c r="C86" s="472" t="e">
        <f aca="false">мат.затр!g714</f>
        <v>#NAME?</v>
      </c>
      <c r="D86" s="472" t="n">
        <f aca="false">тарифик!J87</f>
        <v>702.81124497992</v>
      </c>
      <c r="E86" s="472"/>
      <c r="F86" s="473" t="n">
        <f aca="false">D86*0.9*0.095+D86*3%</f>
        <v>81.1746987951807</v>
      </c>
      <c r="G86" s="472" t="n">
        <f aca="false">амортизация!M174</f>
        <v>1.94600624721107</v>
      </c>
      <c r="H86" s="473" t="e">
        <f aca="false">C86+D86+F86+G86</f>
        <v>#NAME?</v>
      </c>
      <c r="I86" s="462" t="n">
        <f aca="false">I$190</f>
        <v>0.240474587202079</v>
      </c>
      <c r="J86" s="473" t="n">
        <f aca="false">D86*I86</f>
        <v>169.008244017525</v>
      </c>
      <c r="K86" s="473" t="e">
        <f aca="false">H86+J86</f>
        <v>#NAME?</v>
      </c>
      <c r="L86" s="462" t="n">
        <v>0.2</v>
      </c>
      <c r="M86" s="473" t="e">
        <f aca="false">K86*L86</f>
        <v>#NAME?</v>
      </c>
      <c r="N86" s="473" t="e">
        <f aca="false">K86+M86</f>
        <v>#NAME?</v>
      </c>
      <c r="O86" s="473" t="e">
        <f aca="false">M86</f>
        <v>#NAME?</v>
      </c>
    </row>
    <row r="87" s="461" customFormat="true" ht="15" hidden="false" customHeight="false" outlineLevel="0" collapsed="false">
      <c r="A87" s="327" t="s">
        <v>160</v>
      </c>
      <c r="B87" s="325" t="s">
        <v>2887</v>
      </c>
      <c r="C87" s="472" t="e">
        <f aca="false">мат.затр!g722</f>
        <v>#NAME?</v>
      </c>
      <c r="D87" s="472" t="n">
        <f aca="false">тарифик!J88</f>
        <v>604.417670682731</v>
      </c>
      <c r="E87" s="472"/>
      <c r="F87" s="473" t="n">
        <f aca="false">D87*0.9*0.095+D87*3%</f>
        <v>69.8102409638554</v>
      </c>
      <c r="G87" s="472" t="n">
        <f aca="false">амортизация!M175</f>
        <v>3.25375576379592</v>
      </c>
      <c r="H87" s="473" t="e">
        <f aca="false">C87+D87+F87+G87</f>
        <v>#NAME?</v>
      </c>
      <c r="I87" s="462" t="n">
        <f aca="false">I$190</f>
        <v>0.240474587202079</v>
      </c>
      <c r="J87" s="473" t="n">
        <f aca="false">D87*I87</f>
        <v>145.347089855072</v>
      </c>
      <c r="K87" s="473" t="e">
        <f aca="false">H87+J87</f>
        <v>#NAME?</v>
      </c>
      <c r="L87" s="462" t="n">
        <v>0.2</v>
      </c>
      <c r="M87" s="473" t="e">
        <f aca="false">K87*L87</f>
        <v>#NAME?</v>
      </c>
      <c r="N87" s="473" t="e">
        <f aca="false">K87+M87</f>
        <v>#NAME?</v>
      </c>
      <c r="O87" s="473" t="e">
        <f aca="false">M87</f>
        <v>#NAME?</v>
      </c>
    </row>
    <row r="88" s="461" customFormat="true" ht="15" hidden="false" customHeight="false" outlineLevel="0" collapsed="false">
      <c r="A88" s="327" t="s">
        <v>161</v>
      </c>
      <c r="B88" s="471" t="s">
        <v>2953</v>
      </c>
      <c r="C88" s="472" t="e">
        <f aca="false">мат.затр!g729</f>
        <v>#NAME?</v>
      </c>
      <c r="D88" s="472" t="n">
        <f aca="false">тарифик!J89</f>
        <v>535.475234270415</v>
      </c>
      <c r="E88" s="472"/>
      <c r="F88" s="473" t="n">
        <f aca="false">D88*0.9*0.095+D88*3%</f>
        <v>61.8473895582329</v>
      </c>
      <c r="G88" s="472" t="n">
        <f aca="false">амортизация!M176</f>
        <v>3.25375576379592</v>
      </c>
      <c r="H88" s="473" t="e">
        <f aca="false">C88+D88+F88+G88</f>
        <v>#NAME?</v>
      </c>
      <c r="I88" s="462" t="n">
        <f aca="false">I$190</f>
        <v>0.240474587202079</v>
      </c>
      <c r="J88" s="473" t="n">
        <f aca="false">D88*I88</f>
        <v>128.768185918115</v>
      </c>
      <c r="K88" s="473" t="e">
        <f aca="false">H88+J88</f>
        <v>#NAME?</v>
      </c>
      <c r="L88" s="462" t="n">
        <v>0.2</v>
      </c>
      <c r="M88" s="473" t="e">
        <f aca="false">K88*L88</f>
        <v>#NAME?</v>
      </c>
      <c r="N88" s="473" t="e">
        <f aca="false">K88+M88</f>
        <v>#NAME?</v>
      </c>
      <c r="O88" s="473" t="e">
        <f aca="false">M88</f>
        <v>#NAME?</v>
      </c>
    </row>
    <row r="89" s="461" customFormat="true" ht="15" hidden="false" customHeight="false" outlineLevel="0" collapsed="false">
      <c r="A89" s="327" t="s">
        <v>163</v>
      </c>
      <c r="B89" s="471" t="s">
        <v>2954</v>
      </c>
      <c r="C89" s="472" t="e">
        <f aca="false">мат.затр!g741</f>
        <v>#NAME?</v>
      </c>
      <c r="D89" s="472" t="n">
        <f aca="false">тарифик!J90</f>
        <v>267.737617135208</v>
      </c>
      <c r="E89" s="472"/>
      <c r="F89" s="473" t="n">
        <f aca="false">D89*0.9*0.095+D89*3%</f>
        <v>30.9236947791165</v>
      </c>
      <c r="G89" s="472" t="n">
        <f aca="false">амортизация!M177</f>
        <v>3.25375576379592</v>
      </c>
      <c r="H89" s="473" t="e">
        <f aca="false">C89+D89+F89+G89</f>
        <v>#NAME?</v>
      </c>
      <c r="I89" s="462" t="n">
        <f aca="false">I$190</f>
        <v>0.240474587202079</v>
      </c>
      <c r="J89" s="473" t="n">
        <f aca="false">D89*I89</f>
        <v>64.3840929590573</v>
      </c>
      <c r="K89" s="473" t="e">
        <f aca="false">H89+J89</f>
        <v>#NAME?</v>
      </c>
      <c r="L89" s="462" t="n">
        <v>0.2</v>
      </c>
      <c r="M89" s="473" t="e">
        <f aca="false">K89*L89</f>
        <v>#NAME?</v>
      </c>
      <c r="N89" s="473" t="e">
        <f aca="false">K89+M89</f>
        <v>#NAME?</v>
      </c>
      <c r="O89" s="473" t="e">
        <f aca="false">M89</f>
        <v>#NAME?</v>
      </c>
    </row>
    <row r="90" s="461" customFormat="true" ht="15" hidden="false" customHeight="false" outlineLevel="0" collapsed="false">
      <c r="A90" s="327" t="s">
        <v>165</v>
      </c>
      <c r="B90" s="325" t="s">
        <v>2892</v>
      </c>
      <c r="C90" s="472" t="e">
        <f aca="false">мат.затр!g749</f>
        <v>#NAME?</v>
      </c>
      <c r="D90" s="472" t="n">
        <f aca="false">тарифик!J91</f>
        <v>133.868808567604</v>
      </c>
      <c r="E90" s="472"/>
      <c r="F90" s="473" t="n">
        <f aca="false">D90*0.9*0.095+D90*3%</f>
        <v>15.4618473895582</v>
      </c>
      <c r="G90" s="472" t="n">
        <f aca="false">амортизация!M178</f>
        <v>3.25375576379592</v>
      </c>
      <c r="H90" s="473" t="e">
        <f aca="false">C90+D90+F90+G90</f>
        <v>#NAME?</v>
      </c>
      <c r="I90" s="462" t="n">
        <f aca="false">I$190</f>
        <v>0.240474587202079</v>
      </c>
      <c r="J90" s="473" t="n">
        <f aca="false">D90*I90</f>
        <v>32.1920464795286</v>
      </c>
      <c r="K90" s="473" t="e">
        <f aca="false">H90+J90</f>
        <v>#NAME?</v>
      </c>
      <c r="L90" s="462" t="n">
        <v>0.2</v>
      </c>
      <c r="M90" s="473" t="e">
        <f aca="false">K90*L90</f>
        <v>#NAME?</v>
      </c>
      <c r="N90" s="473" t="e">
        <f aca="false">K90+M90</f>
        <v>#NAME?</v>
      </c>
      <c r="O90" s="473" t="e">
        <f aca="false">M90</f>
        <v>#NAME?</v>
      </c>
    </row>
    <row r="91" s="461" customFormat="true" ht="15" hidden="false" customHeight="false" outlineLevel="0" collapsed="false">
      <c r="A91" s="327" t="s">
        <v>166</v>
      </c>
      <c r="B91" s="325" t="s">
        <v>2893</v>
      </c>
      <c r="C91" s="472" t="e">
        <f aca="false">мат.затр!g760</f>
        <v>#NAME?</v>
      </c>
      <c r="D91" s="472" t="n">
        <f aca="false">тарифик!J92</f>
        <v>937.081659973226</v>
      </c>
      <c r="E91" s="472"/>
      <c r="F91" s="473" t="n">
        <f aca="false">D91*0.9*0.095+D91*3%</f>
        <v>108.232931726908</v>
      </c>
      <c r="G91" s="472" t="n">
        <f aca="false">амортизация!M181</f>
        <v>6.74178194258516</v>
      </c>
      <c r="H91" s="473" t="e">
        <f aca="false">C91+D91+F91+G91</f>
        <v>#NAME?</v>
      </c>
      <c r="I91" s="462" t="n">
        <f aca="false">I$190</f>
        <v>0.240474587202079</v>
      </c>
      <c r="J91" s="473" t="n">
        <f aca="false">D91*I91</f>
        <v>225.344325356701</v>
      </c>
      <c r="K91" s="473" t="e">
        <f aca="false">H91+J91</f>
        <v>#NAME?</v>
      </c>
      <c r="L91" s="462" t="n">
        <v>0.2</v>
      </c>
      <c r="M91" s="473" t="e">
        <f aca="false">K91*L91</f>
        <v>#NAME?</v>
      </c>
      <c r="N91" s="473" t="e">
        <f aca="false">K91+M91</f>
        <v>#NAME?</v>
      </c>
      <c r="O91" s="473" t="e">
        <f aca="false">M91</f>
        <v>#NAME?</v>
      </c>
    </row>
    <row r="92" s="461" customFormat="true" ht="15" hidden="false" customHeight="false" outlineLevel="0" collapsed="false">
      <c r="A92" s="327" t="s">
        <v>167</v>
      </c>
      <c r="B92" s="325" t="s">
        <v>2894</v>
      </c>
      <c r="C92" s="472" t="e">
        <f aca="false">мат.затр!g770</f>
        <v>#NAME?</v>
      </c>
      <c r="D92" s="472" t="n">
        <f aca="false">тарифик!J93</f>
        <v>937.081659973226</v>
      </c>
      <c r="E92" s="472"/>
      <c r="F92" s="473" t="n">
        <f aca="false">D92*0.9*0.095+D92*3%</f>
        <v>108.232931726908</v>
      </c>
      <c r="G92" s="472" t="n">
        <f aca="false">амортизация!M182</f>
        <v>3.48802617878923</v>
      </c>
      <c r="H92" s="473" t="e">
        <f aca="false">C92+D92+F92+G92</f>
        <v>#NAME?</v>
      </c>
      <c r="I92" s="462" t="n">
        <f aca="false">I$190</f>
        <v>0.240474587202079</v>
      </c>
      <c r="J92" s="473" t="n">
        <f aca="false">D92*I92</f>
        <v>225.344325356701</v>
      </c>
      <c r="K92" s="473" t="e">
        <f aca="false">H92+J92</f>
        <v>#NAME?</v>
      </c>
      <c r="L92" s="462" t="n">
        <v>0.2</v>
      </c>
      <c r="M92" s="473" t="e">
        <f aca="false">K92*L92</f>
        <v>#NAME?</v>
      </c>
      <c r="N92" s="473" t="e">
        <f aca="false">K92+M92</f>
        <v>#NAME?</v>
      </c>
      <c r="O92" s="473" t="e">
        <f aca="false">M92</f>
        <v>#NAME?</v>
      </c>
    </row>
    <row r="93" s="461" customFormat="true" ht="15" hidden="false" customHeight="false" outlineLevel="0" collapsed="false">
      <c r="A93" s="327" t="s">
        <v>168</v>
      </c>
      <c r="B93" s="325" t="s">
        <v>2895</v>
      </c>
      <c r="C93" s="472" t="e">
        <f aca="false">мат.затр!g781</f>
        <v>#NAME?</v>
      </c>
      <c r="D93" s="472" t="n">
        <f aca="false">тарифик!J94</f>
        <v>853.413654618474</v>
      </c>
      <c r="E93" s="472"/>
      <c r="F93" s="473" t="n">
        <f aca="false">D93*0.9*0.095+D93*3%</f>
        <v>98.5692771084337</v>
      </c>
      <c r="G93" s="472" t="n">
        <f aca="false">амортизация!M185</f>
        <v>6.74178194258516</v>
      </c>
      <c r="H93" s="473" t="e">
        <f aca="false">C93+D93+F93+G93</f>
        <v>#NAME?</v>
      </c>
      <c r="I93" s="462" t="n">
        <f aca="false">I$190</f>
        <v>0.240474587202079</v>
      </c>
      <c r="J93" s="473" t="n">
        <f aca="false">D93*I93</f>
        <v>205.224296306995</v>
      </c>
      <c r="K93" s="473" t="e">
        <f aca="false">H93+J93</f>
        <v>#NAME?</v>
      </c>
      <c r="L93" s="462" t="n">
        <v>0.2</v>
      </c>
      <c r="M93" s="473" t="e">
        <f aca="false">K93*L93</f>
        <v>#NAME?</v>
      </c>
      <c r="N93" s="473" t="e">
        <f aca="false">K93+M93</f>
        <v>#NAME?</v>
      </c>
      <c r="O93" s="473" t="e">
        <f aca="false">M93</f>
        <v>#NAME?</v>
      </c>
    </row>
    <row r="94" s="461" customFormat="true" ht="15" hidden="false" customHeight="false" outlineLevel="0" collapsed="false">
      <c r="A94" s="327" t="s">
        <v>169</v>
      </c>
      <c r="B94" s="325" t="s">
        <v>2955</v>
      </c>
      <c r="C94" s="472" t="e">
        <f aca="false">мат.затр!g788</f>
        <v>#NAME?</v>
      </c>
      <c r="D94" s="472" t="n">
        <f aca="false">тарифик!J95</f>
        <v>853.413654618474</v>
      </c>
      <c r="E94" s="472"/>
      <c r="F94" s="473" t="n">
        <f aca="false">D94*0.9*0.095+D94*3%</f>
        <v>98.5692771084337</v>
      </c>
      <c r="G94" s="472" t="n">
        <f aca="false">амортизация!M188</f>
        <v>6.74178194258516</v>
      </c>
      <c r="H94" s="473" t="e">
        <f aca="false">C94+D94+F94+G94</f>
        <v>#NAME?</v>
      </c>
      <c r="I94" s="462" t="n">
        <f aca="false">I$190</f>
        <v>0.240474587202079</v>
      </c>
      <c r="J94" s="473" t="n">
        <f aca="false">D94*I94</f>
        <v>205.224296306995</v>
      </c>
      <c r="K94" s="473" t="e">
        <f aca="false">H94+J94</f>
        <v>#NAME?</v>
      </c>
      <c r="L94" s="462" t="n">
        <v>0.2</v>
      </c>
      <c r="M94" s="473" t="e">
        <f aca="false">K94*L94</f>
        <v>#NAME?</v>
      </c>
      <c r="N94" s="473" t="e">
        <f aca="false">K94+M94</f>
        <v>#NAME?</v>
      </c>
      <c r="O94" s="473" t="e">
        <f aca="false">M94</f>
        <v>#NAME?</v>
      </c>
    </row>
    <row r="95" s="461" customFormat="true" ht="15" hidden="false" customHeight="false" outlineLevel="0" collapsed="false">
      <c r="A95" s="327" t="s">
        <v>171</v>
      </c>
      <c r="B95" s="325" t="s">
        <v>2897</v>
      </c>
      <c r="C95" s="472" t="e">
        <f aca="false">мат.затр!g803</f>
        <v>#NAME?</v>
      </c>
      <c r="D95" s="472" t="n">
        <f aca="false">тарифик!J96</f>
        <v>267.737617135208</v>
      </c>
      <c r="E95" s="472"/>
      <c r="F95" s="473" t="n">
        <f aca="false">D95*0.9*0.095+D95*3%</f>
        <v>30.9236947791165</v>
      </c>
      <c r="G95" s="472" t="n">
        <f aca="false">амортизация!M191</f>
        <v>6.74178194258516</v>
      </c>
      <c r="H95" s="473" t="e">
        <f aca="false">C95+D95+F95+G95</f>
        <v>#NAME?</v>
      </c>
      <c r="I95" s="462" t="n">
        <f aca="false">I$190</f>
        <v>0.240474587202079</v>
      </c>
      <c r="J95" s="473" t="n">
        <f aca="false">D95*I95</f>
        <v>64.3840929590573</v>
      </c>
      <c r="K95" s="473" t="e">
        <f aca="false">H95+J95</f>
        <v>#NAME?</v>
      </c>
      <c r="L95" s="462" t="n">
        <v>0.2</v>
      </c>
      <c r="M95" s="473" t="e">
        <f aca="false">K95*L95</f>
        <v>#NAME?</v>
      </c>
      <c r="N95" s="473" t="e">
        <f aca="false">K95+M95</f>
        <v>#NAME?</v>
      </c>
      <c r="O95" s="473" t="e">
        <f aca="false">M95</f>
        <v>#NAME?</v>
      </c>
    </row>
    <row r="96" s="461" customFormat="true" ht="15" hidden="false" customHeight="false" outlineLevel="0" collapsed="false">
      <c r="A96" s="327" t="s">
        <v>173</v>
      </c>
      <c r="B96" s="325" t="s">
        <v>2898</v>
      </c>
      <c r="C96" s="472" t="e">
        <f aca="false">мат.затр!g809</f>
        <v>#NAME?</v>
      </c>
      <c r="D96" s="472" t="n">
        <f aca="false">тарифик!J97</f>
        <v>702.81124497992</v>
      </c>
      <c r="E96" s="472"/>
      <c r="F96" s="473" t="n">
        <f aca="false">D96*0.9*0.095+D96*3%</f>
        <v>81.1746987951807</v>
      </c>
      <c r="G96" s="472" t="n">
        <f aca="false">амортизация!M192</f>
        <v>3.25375576379592</v>
      </c>
      <c r="H96" s="473" t="e">
        <f aca="false">C96+D96+F96+G96</f>
        <v>#NAME?</v>
      </c>
      <c r="I96" s="462" t="n">
        <f aca="false">I$190</f>
        <v>0.240474587202079</v>
      </c>
      <c r="J96" s="473" t="n">
        <f aca="false">D96*I96</f>
        <v>169.008244017525</v>
      </c>
      <c r="K96" s="473" t="e">
        <f aca="false">H96+J96</f>
        <v>#NAME?</v>
      </c>
      <c r="L96" s="462" t="n">
        <v>0.2</v>
      </c>
      <c r="M96" s="473" t="e">
        <f aca="false">K96*L96</f>
        <v>#NAME?</v>
      </c>
      <c r="N96" s="473" t="e">
        <f aca="false">K96+M96</f>
        <v>#NAME?</v>
      </c>
      <c r="O96" s="473" t="e">
        <f aca="false">M96</f>
        <v>#NAME?</v>
      </c>
    </row>
    <row r="97" s="461" customFormat="true" ht="15" hidden="false" customHeight="false" outlineLevel="0" collapsed="false">
      <c r="A97" s="327" t="s">
        <v>174</v>
      </c>
      <c r="B97" s="325" t="s">
        <v>2899</v>
      </c>
      <c r="C97" s="472" t="e">
        <f aca="false">мат.затр!g818</f>
        <v>#NAME?</v>
      </c>
      <c r="D97" s="472" t="n">
        <f aca="false">тарифик!J98</f>
        <v>780.901383311022</v>
      </c>
      <c r="E97" s="472"/>
      <c r="F97" s="473" t="n">
        <f aca="false">D97*0.9*0.095+D97*3%</f>
        <v>90.194109772423</v>
      </c>
      <c r="G97" s="472" t="n">
        <f aca="false">амортизация!M193</f>
        <v>3.25375576379592</v>
      </c>
      <c r="H97" s="473" t="e">
        <f aca="false">C97+D97+F97+G97</f>
        <v>#NAME?</v>
      </c>
      <c r="I97" s="462" t="n">
        <f aca="false">I$190</f>
        <v>0.240474587202079</v>
      </c>
      <c r="J97" s="473" t="n">
        <f aca="false">D97*I97</f>
        <v>187.78693779725</v>
      </c>
      <c r="K97" s="473" t="e">
        <f aca="false">H97+J97</f>
        <v>#NAME?</v>
      </c>
      <c r="L97" s="462" t="n">
        <v>0.2</v>
      </c>
      <c r="M97" s="473" t="e">
        <f aca="false">K97*L97</f>
        <v>#NAME?</v>
      </c>
      <c r="N97" s="473" t="e">
        <f aca="false">K97+M97</f>
        <v>#NAME?</v>
      </c>
      <c r="O97" s="473" t="e">
        <f aca="false">M97</f>
        <v>#NAME?</v>
      </c>
    </row>
    <row r="98" s="461" customFormat="true" ht="15" hidden="false" customHeight="false" outlineLevel="0" collapsed="false">
      <c r="A98" s="327" t="s">
        <v>175</v>
      </c>
      <c r="B98" s="325" t="s">
        <v>2900</v>
      </c>
      <c r="C98" s="472" t="e">
        <f aca="false">мат.затр!g827</f>
        <v>#NAME?</v>
      </c>
      <c r="D98" s="472" t="n">
        <f aca="false">тарифик!J99</f>
        <v>446.229361892013</v>
      </c>
      <c r="E98" s="472"/>
      <c r="F98" s="473" t="n">
        <f aca="false">D98*0.9*0.095+D98*3%</f>
        <v>51.5394912985274</v>
      </c>
      <c r="G98" s="472" t="n">
        <f aca="false">амортизация!M194</f>
        <v>3.25375576379592</v>
      </c>
      <c r="H98" s="473" t="e">
        <f aca="false">C98+D98+F98+G98</f>
        <v>#NAME?</v>
      </c>
      <c r="I98" s="462" t="n">
        <f aca="false">I$190</f>
        <v>0.240474587202079</v>
      </c>
      <c r="J98" s="473" t="n">
        <f aca="false">D98*I98</f>
        <v>107.306821598429</v>
      </c>
      <c r="K98" s="473" t="e">
        <f aca="false">H98+J98</f>
        <v>#NAME?</v>
      </c>
      <c r="L98" s="462" t="n">
        <v>0.2</v>
      </c>
      <c r="M98" s="473" t="e">
        <f aca="false">K98*L98</f>
        <v>#NAME?</v>
      </c>
      <c r="N98" s="473" t="e">
        <f aca="false">K98+M98</f>
        <v>#NAME?</v>
      </c>
      <c r="O98" s="473" t="e">
        <f aca="false">M98</f>
        <v>#NAME?</v>
      </c>
    </row>
    <row r="99" s="461" customFormat="true" ht="15" hidden="false" customHeight="false" outlineLevel="0" collapsed="false">
      <c r="A99" s="327" t="s">
        <v>176</v>
      </c>
      <c r="B99" s="325" t="s">
        <v>2901</v>
      </c>
      <c r="C99" s="472" t="e">
        <f aca="false">мат.затр!g834</f>
        <v>#NAME?</v>
      </c>
      <c r="D99" s="472" t="n">
        <f aca="false">тарифик!J100</f>
        <v>780.901383311022</v>
      </c>
      <c r="E99" s="472"/>
      <c r="F99" s="473" t="n">
        <f aca="false">D99*0.9*0.095+D99*3%</f>
        <v>90.194109772423</v>
      </c>
      <c r="G99" s="472" t="n">
        <f aca="false">амортизация!M195</f>
        <v>3.25375576379592</v>
      </c>
      <c r="H99" s="473" t="e">
        <f aca="false">C99+D99+F99+G99</f>
        <v>#NAME?</v>
      </c>
      <c r="I99" s="462" t="n">
        <f aca="false">I$190</f>
        <v>0.240474587202079</v>
      </c>
      <c r="J99" s="473" t="n">
        <f aca="false">D99*I99</f>
        <v>187.78693779725</v>
      </c>
      <c r="K99" s="473" t="e">
        <f aca="false">H99+J99</f>
        <v>#NAME?</v>
      </c>
      <c r="L99" s="462" t="n">
        <v>0.2</v>
      </c>
      <c r="M99" s="473" t="e">
        <f aca="false">K99*L99</f>
        <v>#NAME?</v>
      </c>
      <c r="N99" s="473" t="e">
        <f aca="false">K99+M99</f>
        <v>#NAME?</v>
      </c>
      <c r="O99" s="473" t="e">
        <f aca="false">M99</f>
        <v>#NAME?</v>
      </c>
    </row>
    <row r="100" s="461" customFormat="true" ht="15" hidden="false" customHeight="false" outlineLevel="0" collapsed="false">
      <c r="A100" s="327" t="s">
        <v>178</v>
      </c>
      <c r="B100" s="325" t="s">
        <v>2904</v>
      </c>
      <c r="C100" s="472" t="e">
        <f aca="false">мат.затр!g842</f>
        <v>#NAME?</v>
      </c>
      <c r="D100" s="472" t="n">
        <f aca="false">тарифик!J101</f>
        <v>1070.95046854083</v>
      </c>
      <c r="E100" s="472"/>
      <c r="F100" s="473" t="n">
        <f aca="false">D100*0.9*0.095+D100*3%</f>
        <v>123.694779116466</v>
      </c>
      <c r="G100" s="472" t="n">
        <f aca="false">амортизация!M196</f>
        <v>3.25375576379592</v>
      </c>
      <c r="H100" s="473" t="e">
        <f aca="false">C100+D100+F100+G100</f>
        <v>#NAME?</v>
      </c>
      <c r="I100" s="462" t="n">
        <f aca="false">I$190</f>
        <v>0.240474587202079</v>
      </c>
      <c r="J100" s="473" t="n">
        <f aca="false">D100*I100</f>
        <v>257.536371836229</v>
      </c>
      <c r="K100" s="473" t="e">
        <f aca="false">H100+J100</f>
        <v>#NAME?</v>
      </c>
      <c r="L100" s="462" t="n">
        <v>0.2</v>
      </c>
      <c r="M100" s="473" t="e">
        <f aca="false">K100*L100</f>
        <v>#NAME?</v>
      </c>
      <c r="N100" s="473" t="e">
        <f aca="false">K100+M100</f>
        <v>#NAME?</v>
      </c>
      <c r="O100" s="473" t="e">
        <f aca="false">M100</f>
        <v>#NAME?</v>
      </c>
    </row>
    <row r="101" s="461" customFormat="true" ht="15" hidden="false" customHeight="false" outlineLevel="0" collapsed="false">
      <c r="A101" s="327" t="s">
        <v>179</v>
      </c>
      <c r="B101" s="325" t="s">
        <v>2956</v>
      </c>
      <c r="C101" s="472" t="e">
        <f aca="false">мат.затр!g850</f>
        <v>#NAME?</v>
      </c>
      <c r="D101" s="472" t="n">
        <f aca="false">тарифик!J102</f>
        <v>644.243641231593</v>
      </c>
      <c r="E101" s="472"/>
      <c r="F101" s="473" t="n">
        <f aca="false">D101*0.9*0.095+D101*3%</f>
        <v>74.410140562249</v>
      </c>
      <c r="G101" s="472" t="n">
        <f aca="false">амортизация!M197</f>
        <v>3.25375576379592</v>
      </c>
      <c r="H101" s="473" t="e">
        <f aca="false">C101+D101+F101+G101</f>
        <v>#NAME?</v>
      </c>
      <c r="I101" s="462" t="n">
        <f aca="false">I$190</f>
        <v>0.240474587202079</v>
      </c>
      <c r="J101" s="473" t="n">
        <f aca="false">D101*I101</f>
        <v>154.924223682732</v>
      </c>
      <c r="K101" s="473" t="e">
        <f aca="false">H101+J101</f>
        <v>#NAME?</v>
      </c>
      <c r="L101" s="462" t="n">
        <v>0.2</v>
      </c>
      <c r="M101" s="473" t="e">
        <f aca="false">K101*L101</f>
        <v>#NAME?</v>
      </c>
      <c r="N101" s="473" t="e">
        <f aca="false">K101+M101</f>
        <v>#NAME?</v>
      </c>
      <c r="O101" s="473" t="e">
        <f aca="false">M101</f>
        <v>#NAME?</v>
      </c>
    </row>
    <row r="102" s="461" customFormat="true" ht="15" hidden="false" customHeight="false" outlineLevel="0" collapsed="false">
      <c r="A102" s="327" t="s">
        <v>180</v>
      </c>
      <c r="B102" s="325" t="s">
        <v>2906</v>
      </c>
      <c r="C102" s="472" t="e">
        <f aca="false">мат.затр!g861</f>
        <v>#NAME?</v>
      </c>
      <c r="D102" s="472" t="n">
        <f aca="false">тарифик!J103</f>
        <v>334.672021419009</v>
      </c>
      <c r="E102" s="472"/>
      <c r="F102" s="473" t="n">
        <f aca="false">D102*0.9*0.095+D102*3%</f>
        <v>38.6546184738956</v>
      </c>
      <c r="G102" s="472" t="n">
        <f aca="false">амортизация!M198</f>
        <v>3.25375576379592</v>
      </c>
      <c r="H102" s="473" t="e">
        <f aca="false">C102+D102+F102+G102</f>
        <v>#NAME?</v>
      </c>
      <c r="I102" s="462" t="n">
        <f aca="false">I$190</f>
        <v>0.240474587202079</v>
      </c>
      <c r="J102" s="473" t="n">
        <f aca="false">D102*I102</f>
        <v>80.4801161988216</v>
      </c>
      <c r="K102" s="473" t="e">
        <f aca="false">H102+J102</f>
        <v>#NAME?</v>
      </c>
      <c r="L102" s="462" t="n">
        <v>0.2</v>
      </c>
      <c r="M102" s="473" t="e">
        <f aca="false">K102*L102</f>
        <v>#NAME?</v>
      </c>
      <c r="N102" s="473" t="e">
        <f aca="false">K102+M102</f>
        <v>#NAME?</v>
      </c>
      <c r="O102" s="473" t="e">
        <f aca="false">M102</f>
        <v>#NAME?</v>
      </c>
    </row>
    <row r="103" s="461" customFormat="true" ht="15" hidden="false" customHeight="false" outlineLevel="0" collapsed="false">
      <c r="A103" s="327" t="s">
        <v>181</v>
      </c>
      <c r="B103" s="471" t="s">
        <v>2957</v>
      </c>
      <c r="C103" s="472" t="e">
        <f aca="false">мат.затр!g873</f>
        <v>#NAME?</v>
      </c>
      <c r="D103" s="472" t="n">
        <f aca="false">тарифик!J104</f>
        <v>1874.16331994645</v>
      </c>
      <c r="E103" s="472"/>
      <c r="F103" s="473" t="n">
        <f aca="false">D103*0.9*0.095+D103*3%</f>
        <v>216.465863453815</v>
      </c>
      <c r="G103" s="472" t="n">
        <f aca="false">амортизация!M199</f>
        <v>3.25375576379592</v>
      </c>
      <c r="H103" s="473" t="e">
        <f aca="false">C103+D103+F103+G103</f>
        <v>#NAME?</v>
      </c>
      <c r="I103" s="462" t="n">
        <f aca="false">I$190</f>
        <v>0.240474587202079</v>
      </c>
      <c r="J103" s="473" t="n">
        <f aca="false">D103*I103</f>
        <v>450.688650713401</v>
      </c>
      <c r="K103" s="473" t="e">
        <f aca="false">H103+J103</f>
        <v>#NAME?</v>
      </c>
      <c r="L103" s="462" t="n">
        <v>0.2</v>
      </c>
      <c r="M103" s="473" t="e">
        <f aca="false">K103*L103</f>
        <v>#NAME?</v>
      </c>
      <c r="N103" s="473" t="e">
        <f aca="false">K103+M103</f>
        <v>#NAME?</v>
      </c>
      <c r="O103" s="473" t="e">
        <f aca="false">M103</f>
        <v>#NAME?</v>
      </c>
    </row>
    <row r="104" s="461" customFormat="true" ht="30" hidden="false" customHeight="false" outlineLevel="0" collapsed="false">
      <c r="A104" s="327" t="s">
        <v>183</v>
      </c>
      <c r="B104" s="325" t="s">
        <v>2911</v>
      </c>
      <c r="C104" s="472" t="e">
        <f aca="false">мат.затр!g884</f>
        <v>#NAME?</v>
      </c>
      <c r="D104" s="472" t="n">
        <f aca="false">тарифик!J105</f>
        <v>3371.82061579652</v>
      </c>
      <c r="E104" s="472"/>
      <c r="F104" s="473" t="n">
        <f aca="false">D104*0.9*0.095+D104*3%</f>
        <v>389.445281124498</v>
      </c>
      <c r="G104" s="472" t="n">
        <f aca="false">амортизация!M202</f>
        <v>6.74178194258516</v>
      </c>
      <c r="H104" s="473" t="e">
        <f aca="false">C104+D104+F104+G104</f>
        <v>#NAME?</v>
      </c>
      <c r="I104" s="462" t="n">
        <f aca="false">I$190</f>
        <v>0.240474587202079</v>
      </c>
      <c r="J104" s="473" t="n">
        <f aca="false">D104*I104</f>
        <v>810.837170703128</v>
      </c>
      <c r="K104" s="473" t="e">
        <f aca="false">H104+J104</f>
        <v>#NAME?</v>
      </c>
      <c r="L104" s="462" t="n">
        <v>0.2</v>
      </c>
      <c r="M104" s="473" t="e">
        <f aca="false">K104*L104</f>
        <v>#NAME?</v>
      </c>
      <c r="N104" s="473" t="e">
        <f aca="false">K104+M104</f>
        <v>#NAME?</v>
      </c>
      <c r="O104" s="473" t="e">
        <f aca="false">M104</f>
        <v>#NAME?</v>
      </c>
    </row>
    <row r="105" s="461" customFormat="true" ht="15" hidden="false" customHeight="false" outlineLevel="0" collapsed="false">
      <c r="A105" s="327" t="s">
        <v>185</v>
      </c>
      <c r="B105" s="325" t="s">
        <v>2912</v>
      </c>
      <c r="C105" s="472" t="e">
        <f aca="false">мат.затр!g900</f>
        <v>#NAME?</v>
      </c>
      <c r="D105" s="472" t="n">
        <f aca="false">тарифик!J106</f>
        <v>1160.19634091923</v>
      </c>
      <c r="E105" s="472"/>
      <c r="F105" s="473" t="n">
        <f aca="false">D105*0.9*0.095+D105*3%</f>
        <v>134.002677376171</v>
      </c>
      <c r="G105" s="472" t="n">
        <f aca="false">амортизация!M205</f>
        <v>6.74178194258516</v>
      </c>
      <c r="H105" s="473" t="e">
        <f aca="false">C105+D105+F105+G105</f>
        <v>#NAME?</v>
      </c>
      <c r="I105" s="462" t="n">
        <f aca="false">I$190</f>
        <v>0.240474587202079</v>
      </c>
      <c r="J105" s="473" t="n">
        <f aca="false">D105*I105</f>
        <v>278.997736155915</v>
      </c>
      <c r="K105" s="473" t="e">
        <f aca="false">H105+J105</f>
        <v>#NAME?</v>
      </c>
      <c r="L105" s="462" t="n">
        <v>0.2</v>
      </c>
      <c r="M105" s="473" t="e">
        <f aca="false">K105*L105</f>
        <v>#NAME?</v>
      </c>
      <c r="N105" s="473" t="e">
        <f aca="false">K105+M105</f>
        <v>#NAME?</v>
      </c>
      <c r="O105" s="473" t="e">
        <f aca="false">M105</f>
        <v>#NAME?</v>
      </c>
    </row>
    <row r="106" s="461" customFormat="true" ht="15" hidden="false" customHeight="false" outlineLevel="0" collapsed="false">
      <c r="A106" s="327" t="s">
        <v>186</v>
      </c>
      <c r="B106" s="325" t="s">
        <v>2913</v>
      </c>
      <c r="C106" s="472" t="e">
        <f aca="false">мат.затр!g912</f>
        <v>#NAME?</v>
      </c>
      <c r="D106" s="472" t="n">
        <f aca="false">тарифик!J107</f>
        <v>1706.82730923695</v>
      </c>
      <c r="E106" s="472"/>
      <c r="F106" s="473" t="n">
        <f aca="false">D106*0.9*0.095+D106*3%</f>
        <v>197.138554216867</v>
      </c>
      <c r="G106" s="472" t="n">
        <f aca="false">амортизация!M208</f>
        <v>6.74178194258516</v>
      </c>
      <c r="H106" s="473" t="e">
        <f aca="false">C106+D106+F106+G106</f>
        <v>#NAME?</v>
      </c>
      <c r="I106" s="462" t="n">
        <f aca="false">I$190</f>
        <v>0.240474587202079</v>
      </c>
      <c r="J106" s="473" t="n">
        <f aca="false">D106*I106</f>
        <v>410.44859261399</v>
      </c>
      <c r="K106" s="473" t="e">
        <f aca="false">H106+J106</f>
        <v>#NAME?</v>
      </c>
      <c r="L106" s="462" t="n">
        <v>0.2</v>
      </c>
      <c r="M106" s="473" t="e">
        <f aca="false">K106*L106</f>
        <v>#NAME?</v>
      </c>
      <c r="N106" s="473" t="e">
        <f aca="false">K106+M106</f>
        <v>#NAME?</v>
      </c>
      <c r="O106" s="473" t="e">
        <f aca="false">M106</f>
        <v>#NAME?</v>
      </c>
    </row>
    <row r="107" s="461" customFormat="true" ht="15" hidden="false" customHeight="false" outlineLevel="0" collapsed="false">
      <c r="A107" s="327" t="s">
        <v>188</v>
      </c>
      <c r="B107" s="325" t="s">
        <v>2914</v>
      </c>
      <c r="C107" s="472" t="e">
        <f aca="false">мат.затр!g924</f>
        <v>#NAME?</v>
      </c>
      <c r="D107" s="472" t="n">
        <f aca="false">тарифик!J108</f>
        <v>2108.43373493976</v>
      </c>
      <c r="E107" s="472"/>
      <c r="F107" s="473" t="n">
        <f aca="false">D107*0.9*0.095+D107*3%</f>
        <v>243.524096385542</v>
      </c>
      <c r="G107" s="472" t="n">
        <f aca="false">амортизация!M211</f>
        <v>416.789314666072</v>
      </c>
      <c r="H107" s="473" t="e">
        <f aca="false">C107+D107+F107+G107</f>
        <v>#NAME?</v>
      </c>
      <c r="I107" s="462" t="n">
        <f aca="false">I$190</f>
        <v>0.240474587202079</v>
      </c>
      <c r="J107" s="473" t="n">
        <f aca="false">D107*I107</f>
        <v>507.024732052576</v>
      </c>
      <c r="K107" s="473" t="e">
        <f aca="false">H107+J107</f>
        <v>#NAME?</v>
      </c>
      <c r="L107" s="462" t="n">
        <v>0.2</v>
      </c>
      <c r="M107" s="473" t="e">
        <f aca="false">K107*L107</f>
        <v>#NAME?</v>
      </c>
      <c r="N107" s="473" t="e">
        <f aca="false">K107+M107</f>
        <v>#NAME?</v>
      </c>
      <c r="O107" s="473" t="e">
        <f aca="false">M107</f>
        <v>#NAME?</v>
      </c>
    </row>
    <row r="108" s="461" customFormat="true" ht="15" hidden="false" customHeight="false" outlineLevel="0" collapsed="false">
      <c r="A108" s="327" t="s">
        <v>189</v>
      </c>
      <c r="B108" s="325" t="s">
        <v>2915</v>
      </c>
      <c r="C108" s="472" t="e">
        <f aca="false">мат.затр!g935</f>
        <v>#NAME?</v>
      </c>
      <c r="D108" s="472" t="n">
        <f aca="false">тарифик!J109</f>
        <v>546.630968317715</v>
      </c>
      <c r="E108" s="472"/>
      <c r="F108" s="473" t="n">
        <f aca="false">D108*0.9*0.095+D108*3%</f>
        <v>63.1358768406961</v>
      </c>
      <c r="G108" s="472" t="n">
        <f aca="false">амортизация!M214</f>
        <v>6.74178194258516</v>
      </c>
      <c r="H108" s="473" t="e">
        <f aca="false">C108+D108+F108+G108</f>
        <v>#NAME?</v>
      </c>
      <c r="I108" s="462" t="n">
        <f aca="false">I$190</f>
        <v>0.240474587202079</v>
      </c>
      <c r="J108" s="473" t="n">
        <f aca="false">D108*I108</f>
        <v>131.450856458075</v>
      </c>
      <c r="K108" s="473" t="e">
        <f aca="false">H108+J108</f>
        <v>#NAME?</v>
      </c>
      <c r="L108" s="462" t="n">
        <v>0.2</v>
      </c>
      <c r="M108" s="473" t="e">
        <f aca="false">K108*L108</f>
        <v>#NAME?</v>
      </c>
      <c r="N108" s="473" t="e">
        <f aca="false">K108+M108</f>
        <v>#NAME?</v>
      </c>
      <c r="O108" s="473" t="e">
        <f aca="false">M108</f>
        <v>#NAME?</v>
      </c>
    </row>
    <row r="109" s="461" customFormat="true" ht="15" hidden="false" customHeight="false" outlineLevel="0" collapsed="false">
      <c r="A109" s="327" t="s">
        <v>190</v>
      </c>
      <c r="B109" s="325" t="s">
        <v>2958</v>
      </c>
      <c r="C109" s="472" t="e">
        <f aca="false">мат.затр!g951</f>
        <v>#NAME?</v>
      </c>
      <c r="D109" s="472" t="n">
        <f aca="false">тарифик!J110</f>
        <v>937.081659973226</v>
      </c>
      <c r="E109" s="472"/>
      <c r="F109" s="473" t="n">
        <f aca="false">D109*0.9*0.095+D109*3%</f>
        <v>108.232931726908</v>
      </c>
      <c r="G109" s="472" t="n">
        <f aca="false">амортизация!M217</f>
        <v>6.74178194258516</v>
      </c>
      <c r="H109" s="473" t="e">
        <f aca="false">C109+D109+F109+G109</f>
        <v>#NAME?</v>
      </c>
      <c r="I109" s="462" t="n">
        <f aca="false">I$190</f>
        <v>0.240474587202079</v>
      </c>
      <c r="J109" s="473" t="n">
        <f aca="false">D109*I109</f>
        <v>225.344325356701</v>
      </c>
      <c r="K109" s="473" t="e">
        <f aca="false">H109+J109</f>
        <v>#NAME?</v>
      </c>
      <c r="L109" s="462" t="n">
        <v>0.2</v>
      </c>
      <c r="M109" s="473" t="e">
        <f aca="false">K109*L109</f>
        <v>#NAME?</v>
      </c>
      <c r="N109" s="473" t="e">
        <f aca="false">K109+M109</f>
        <v>#NAME?</v>
      </c>
      <c r="O109" s="473" t="e">
        <f aca="false">M109</f>
        <v>#NAME?</v>
      </c>
    </row>
    <row r="110" s="461" customFormat="true" ht="15" hidden="false" customHeight="false" outlineLevel="0" collapsed="false">
      <c r="A110" s="327" t="s">
        <v>192</v>
      </c>
      <c r="B110" s="325" t="s">
        <v>2917</v>
      </c>
      <c r="C110" s="472" t="e">
        <f aca="false">мат.затр!g959</f>
        <v>#NAME?</v>
      </c>
      <c r="D110" s="472" t="n">
        <f aca="false">тарифик!J111</f>
        <v>3357.87594823739</v>
      </c>
      <c r="E110" s="472"/>
      <c r="F110" s="473" t="n">
        <f aca="false">D110*0.9*0.095+D110*3%</f>
        <v>387.834672021419</v>
      </c>
      <c r="G110" s="472" t="n">
        <f aca="false">амортизация!M220</f>
        <v>87.140803956567</v>
      </c>
      <c r="H110" s="473" t="e">
        <f aca="false">C110+D110+F110+G110</f>
        <v>#NAME?</v>
      </c>
      <c r="I110" s="462" t="n">
        <f aca="false">I$190</f>
        <v>0.240474587202079</v>
      </c>
      <c r="J110" s="473" t="n">
        <f aca="false">D110*I110</f>
        <v>807.483832528177</v>
      </c>
      <c r="K110" s="473" t="e">
        <f aca="false">H110+J110</f>
        <v>#NAME?</v>
      </c>
      <c r="L110" s="462" t="n">
        <v>0.2</v>
      </c>
      <c r="M110" s="473" t="e">
        <f aca="false">K110*L110</f>
        <v>#NAME?</v>
      </c>
      <c r="N110" s="473" t="e">
        <f aca="false">K110+M110</f>
        <v>#NAME?</v>
      </c>
      <c r="O110" s="473" t="e">
        <f aca="false">M110</f>
        <v>#NAME?</v>
      </c>
    </row>
    <row r="111" s="461" customFormat="true" ht="15" hidden="false" customHeight="false" outlineLevel="0" collapsed="false">
      <c r="A111" s="327" t="s">
        <v>193</v>
      </c>
      <c r="B111" s="325" t="s">
        <v>2918</v>
      </c>
      <c r="C111" s="472" t="e">
        <f aca="false">мат.затр!g967</f>
        <v>#NAME?</v>
      </c>
      <c r="D111" s="472" t="n">
        <f aca="false">тарифик!J112</f>
        <v>2560.24096385542</v>
      </c>
      <c r="E111" s="472"/>
      <c r="F111" s="473" t="n">
        <f aca="false">D111*0.9*0.095+D111*3%</f>
        <v>295.707831325301</v>
      </c>
      <c r="G111" s="472" t="n">
        <f aca="false">амортизация!M223</f>
        <v>1656.77976721702</v>
      </c>
      <c r="H111" s="473" t="e">
        <f aca="false">C111+D111+F111+G111</f>
        <v>#NAME?</v>
      </c>
      <c r="I111" s="462" t="n">
        <f aca="false">I$190</f>
        <v>0.240474587202079</v>
      </c>
      <c r="J111" s="473" t="n">
        <f aca="false">D111*I111</f>
        <v>615.672888920985</v>
      </c>
      <c r="K111" s="473" t="e">
        <f aca="false">H111+J111</f>
        <v>#NAME?</v>
      </c>
      <c r="L111" s="462" t="n">
        <v>0.2</v>
      </c>
      <c r="M111" s="473" t="e">
        <f aca="false">K111*L111</f>
        <v>#NAME?</v>
      </c>
      <c r="N111" s="473" t="e">
        <f aca="false">K111+M111</f>
        <v>#NAME?</v>
      </c>
      <c r="O111" s="473" t="e">
        <f aca="false">M111</f>
        <v>#NAME?</v>
      </c>
    </row>
    <row r="112" s="461" customFormat="true" ht="15" hidden="false" customHeight="false" outlineLevel="0" collapsed="false">
      <c r="A112" s="327" t="s">
        <v>194</v>
      </c>
      <c r="B112" s="325" t="s">
        <v>2919</v>
      </c>
      <c r="C112" s="472" t="e">
        <f aca="false">мат.затр!g975</f>
        <v>#NAME?</v>
      </c>
      <c r="D112" s="472" t="n">
        <f aca="false">тарифик!J113</f>
        <v>2515.61802766622</v>
      </c>
      <c r="E112" s="472"/>
      <c r="F112" s="473" t="n">
        <f aca="false">D112*0.9*0.095+D112*3%</f>
        <v>290.553882195448</v>
      </c>
      <c r="G112" s="472" t="n">
        <f aca="false">амортизация!M226</f>
        <v>87.140803956567</v>
      </c>
      <c r="H112" s="473" t="e">
        <f aca="false">C112+D112+F112+G112</f>
        <v>#NAME?</v>
      </c>
      <c r="I112" s="462" t="n">
        <f aca="false">I$190</f>
        <v>0.240474587202079</v>
      </c>
      <c r="J112" s="473" t="n">
        <f aca="false">D112*I112</f>
        <v>604.942206761142</v>
      </c>
      <c r="K112" s="473" t="e">
        <f aca="false">H112+J112</f>
        <v>#NAME?</v>
      </c>
      <c r="L112" s="462" t="n">
        <v>0.2</v>
      </c>
      <c r="M112" s="473" t="e">
        <f aca="false">K112*L112</f>
        <v>#NAME?</v>
      </c>
      <c r="N112" s="473" t="e">
        <f aca="false">K112+M112</f>
        <v>#NAME?</v>
      </c>
      <c r="O112" s="473" t="e">
        <f aca="false">M112</f>
        <v>#NAME?</v>
      </c>
    </row>
    <row r="113" s="461" customFormat="true" ht="15" hidden="false" customHeight="false" outlineLevel="0" collapsed="false">
      <c r="A113" s="327" t="s">
        <v>196</v>
      </c>
      <c r="B113" s="325" t="s">
        <v>2920</v>
      </c>
      <c r="C113" s="472" t="e">
        <f aca="false">мат.затр!g983</f>
        <v>#NAME?</v>
      </c>
      <c r="D113" s="472" t="n">
        <f aca="false">тарифик!J114</f>
        <v>2086.12226684516</v>
      </c>
      <c r="E113" s="472"/>
      <c r="F113" s="473" t="n">
        <f aca="false">D113*0.9*0.095+D113*3%</f>
        <v>240.947121820616</v>
      </c>
      <c r="G113" s="472" t="n">
        <f aca="false">амортизация!M229</f>
        <v>1656.77976721702</v>
      </c>
      <c r="H113" s="473" t="e">
        <f aca="false">C113+D113+F113+G113</f>
        <v>#NAME?</v>
      </c>
      <c r="I113" s="462" t="n">
        <f aca="false">I$190</f>
        <v>0.240474587202079</v>
      </c>
      <c r="J113" s="473" t="n">
        <f aca="false">D113*I113</f>
        <v>501.659390972655</v>
      </c>
      <c r="K113" s="473" t="e">
        <f aca="false">H113+J113</f>
        <v>#NAME?</v>
      </c>
      <c r="L113" s="462" t="n">
        <v>0.2</v>
      </c>
      <c r="M113" s="473" t="e">
        <f aca="false">K113*L113</f>
        <v>#NAME?</v>
      </c>
      <c r="N113" s="473" t="e">
        <f aca="false">K113+M113</f>
        <v>#NAME?</v>
      </c>
      <c r="O113" s="473" t="e">
        <f aca="false">M113</f>
        <v>#NAME?</v>
      </c>
    </row>
    <row r="114" s="461" customFormat="true" ht="15" hidden="false" customHeight="false" outlineLevel="0" collapsed="false">
      <c r="A114" s="327" t="s">
        <v>198</v>
      </c>
      <c r="B114" s="325" t="s">
        <v>2921</v>
      </c>
      <c r="C114" s="472" t="e">
        <f aca="false">мат.затр!g991</f>
        <v>#NAME?</v>
      </c>
      <c r="D114" s="472" t="n">
        <f aca="false">тарифик!J115</f>
        <v>2172.57920571174</v>
      </c>
      <c r="E114" s="472"/>
      <c r="F114" s="473" t="n">
        <f aca="false">D114*0.9*0.095+D114*3%</f>
        <v>250.932898259706</v>
      </c>
      <c r="G114" s="472" t="n">
        <f aca="false">амортизация!M232</f>
        <v>87.140803956567</v>
      </c>
      <c r="H114" s="473" t="e">
        <f aca="false">C114+D114+F114+G114</f>
        <v>#NAME?</v>
      </c>
      <c r="I114" s="462" t="n">
        <f aca="false">I$190</f>
        <v>0.240474587202079</v>
      </c>
      <c r="J114" s="473" t="n">
        <f aca="false">D114*I114</f>
        <v>522.45008765735</v>
      </c>
      <c r="K114" s="473" t="e">
        <f aca="false">H114+J114</f>
        <v>#NAME?</v>
      </c>
      <c r="L114" s="462" t="n">
        <v>0.2</v>
      </c>
      <c r="M114" s="473" t="e">
        <f aca="false">K114*L114</f>
        <v>#NAME?</v>
      </c>
      <c r="N114" s="473" t="e">
        <f aca="false">K114+M114</f>
        <v>#NAME?</v>
      </c>
      <c r="O114" s="473" t="e">
        <f aca="false">M114</f>
        <v>#NAME?</v>
      </c>
    </row>
    <row r="115" s="461" customFormat="true" ht="15" hidden="false" customHeight="false" outlineLevel="0" collapsed="false">
      <c r="A115" s="327" t="s">
        <v>200</v>
      </c>
      <c r="B115" s="325" t="s">
        <v>2922</v>
      </c>
      <c r="C115" s="472" t="e">
        <f aca="false">мат.затр!g999</f>
        <v>#NAME?</v>
      </c>
      <c r="D115" s="472" t="n">
        <f aca="false">тарифик!J116</f>
        <v>1517.17983043284</v>
      </c>
      <c r="E115" s="472"/>
      <c r="F115" s="473" t="n">
        <f aca="false">D115*0.9*0.095+D115*3%</f>
        <v>175.234270414993</v>
      </c>
      <c r="G115" s="472" t="n">
        <f aca="false">амортизация!M235</f>
        <v>1656.77976721702</v>
      </c>
      <c r="H115" s="473" t="e">
        <f aca="false">C115+D115+F115+G115</f>
        <v>#NAME?</v>
      </c>
      <c r="I115" s="462" t="n">
        <f aca="false">I$190</f>
        <v>0.240474587202079</v>
      </c>
      <c r="J115" s="473" t="n">
        <f aca="false">D115*I115</f>
        <v>364.843193434658</v>
      </c>
      <c r="K115" s="473" t="e">
        <f aca="false">H115+J115</f>
        <v>#NAME?</v>
      </c>
      <c r="L115" s="462" t="n">
        <v>0.2</v>
      </c>
      <c r="M115" s="473" t="e">
        <f aca="false">K115*L115</f>
        <v>#NAME?</v>
      </c>
      <c r="N115" s="473" t="e">
        <f aca="false">K115+M115</f>
        <v>#NAME?</v>
      </c>
      <c r="O115" s="473" t="e">
        <f aca="false">M115</f>
        <v>#NAME?</v>
      </c>
    </row>
    <row r="116" s="461" customFormat="true" ht="15" hidden="false" customHeight="false" outlineLevel="0" collapsed="false">
      <c r="A116" s="327" t="s">
        <v>202</v>
      </c>
      <c r="B116" s="325" t="s">
        <v>2923</v>
      </c>
      <c r="C116" s="472" t="e">
        <f aca="false">мат.затр!g1007</f>
        <v>#NAME?</v>
      </c>
      <c r="D116" s="472" t="n">
        <f aca="false">тарифик!J117</f>
        <v>2744.31057563588</v>
      </c>
      <c r="E116" s="472"/>
      <c r="F116" s="473" t="n">
        <f aca="false">D116*0.9*0.095+D116*3%</f>
        <v>316.967871485944</v>
      </c>
      <c r="G116" s="472" t="n">
        <f aca="false">амортизация!M238</f>
        <v>87.140803956567</v>
      </c>
      <c r="H116" s="473" t="e">
        <f aca="false">C116+D116+F116+G116</f>
        <v>#NAME?</v>
      </c>
      <c r="I116" s="462" t="n">
        <f aca="false">I$190</f>
        <v>0.240474587202079</v>
      </c>
      <c r="J116" s="473" t="n">
        <f aca="false">D116*I116</f>
        <v>659.936952830337</v>
      </c>
      <c r="K116" s="473" t="e">
        <f aca="false">H116+J116</f>
        <v>#NAME?</v>
      </c>
      <c r="L116" s="462" t="n">
        <v>0.2</v>
      </c>
      <c r="M116" s="473" t="e">
        <f aca="false">K116*L116</f>
        <v>#NAME?</v>
      </c>
      <c r="N116" s="473" t="e">
        <f aca="false">K116+M116</f>
        <v>#NAME?</v>
      </c>
      <c r="O116" s="473" t="e">
        <f aca="false">M116</f>
        <v>#NAME?</v>
      </c>
    </row>
    <row r="117" s="461" customFormat="true" ht="15" hidden="false" customHeight="false" outlineLevel="0" collapsed="false">
      <c r="A117" s="327" t="s">
        <v>203</v>
      </c>
      <c r="B117" s="325" t="s">
        <v>2924</v>
      </c>
      <c r="C117" s="472" t="e">
        <f aca="false">мат.затр!g1015</f>
        <v>#NAME?</v>
      </c>
      <c r="D117" s="472" t="n">
        <f aca="false">тарифик!J118</f>
        <v>1070.95046854083</v>
      </c>
      <c r="E117" s="472"/>
      <c r="F117" s="473" t="n">
        <f aca="false">D117*0.9*0.095+D117*3%</f>
        <v>123.694779116466</v>
      </c>
      <c r="G117" s="472" t="n">
        <f aca="false">амортизация!M241</f>
        <v>1656.77976721702</v>
      </c>
      <c r="H117" s="473" t="e">
        <f aca="false">C117+D117+F117+G117</f>
        <v>#NAME?</v>
      </c>
      <c r="I117" s="462" t="n">
        <f aca="false">I$190</f>
        <v>0.240474587202079</v>
      </c>
      <c r="J117" s="473" t="n">
        <f aca="false">D117*I117</f>
        <v>257.536371836229</v>
      </c>
      <c r="K117" s="473" t="e">
        <f aca="false">H117+J117</f>
        <v>#NAME?</v>
      </c>
      <c r="L117" s="462" t="n">
        <v>0.2</v>
      </c>
      <c r="M117" s="473" t="e">
        <f aca="false">K117*L117</f>
        <v>#NAME?</v>
      </c>
      <c r="N117" s="473" t="e">
        <f aca="false">K117+M117</f>
        <v>#NAME?</v>
      </c>
      <c r="O117" s="473" t="e">
        <f aca="false">M117</f>
        <v>#NAME?</v>
      </c>
    </row>
    <row r="118" s="461" customFormat="true" ht="15" hidden="false" customHeight="false" outlineLevel="0" collapsed="false">
      <c r="A118" s="327" t="s">
        <v>204</v>
      </c>
      <c r="B118" s="325" t="s">
        <v>2925</v>
      </c>
      <c r="C118" s="472" t="e">
        <f aca="false">мат.затр!g1029</f>
        <v>#NAME?</v>
      </c>
      <c r="D118" s="472" t="n">
        <f aca="false">тарифик!J119</f>
        <v>2858.6568496207</v>
      </c>
      <c r="E118" s="472"/>
      <c r="F118" s="473" t="n">
        <f aca="false">D118*0.9*0.095+D118*3%</f>
        <v>330.174866131191</v>
      </c>
      <c r="G118" s="472" t="n">
        <f aca="false">амортизация!M244</f>
        <v>87.140803956567</v>
      </c>
      <c r="H118" s="473" t="e">
        <f aca="false">C118+D118+F118+G118</f>
        <v>#NAME?</v>
      </c>
      <c r="I118" s="462" t="n">
        <f aca="false">I$190</f>
        <v>0.240474587202079</v>
      </c>
      <c r="J118" s="473" t="n">
        <f aca="false">D118*I118</f>
        <v>687.434325864934</v>
      </c>
      <c r="K118" s="473" t="e">
        <f aca="false">H118+J118</f>
        <v>#NAME?</v>
      </c>
      <c r="L118" s="462" t="n">
        <v>0.2</v>
      </c>
      <c r="M118" s="473" t="e">
        <f aca="false">K118*L118</f>
        <v>#NAME?</v>
      </c>
      <c r="N118" s="473" t="e">
        <f aca="false">K118+M118</f>
        <v>#NAME?</v>
      </c>
      <c r="O118" s="473" t="e">
        <f aca="false">M118</f>
        <v>#NAME?</v>
      </c>
    </row>
    <row r="119" s="461" customFormat="true" ht="15" hidden="false" customHeight="false" outlineLevel="0" collapsed="false">
      <c r="A119" s="327" t="s">
        <v>205</v>
      </c>
      <c r="B119" s="325" t="s">
        <v>2926</v>
      </c>
      <c r="C119" s="472" t="e">
        <f aca="false">мат.затр!g1039</f>
        <v>#NAME?</v>
      </c>
      <c r="D119" s="472" t="n">
        <f aca="false">тарифик!J120</f>
        <v>1991.29852744311</v>
      </c>
      <c r="E119" s="472"/>
      <c r="F119" s="473" t="n">
        <f aca="false">D119*0.9*0.095+D119*3%</f>
        <v>229.994979919679</v>
      </c>
      <c r="G119" s="472" t="n">
        <f aca="false">амортизация!M247</f>
        <v>1656.77976721702</v>
      </c>
      <c r="H119" s="473" t="e">
        <f aca="false">C119+D119+F119+G119</f>
        <v>#NAME?</v>
      </c>
      <c r="I119" s="462" t="n">
        <f aca="false">I$190</f>
        <v>0.240474587202079</v>
      </c>
      <c r="J119" s="473" t="n">
        <f aca="false">D119*I119</f>
        <v>478.856691382989</v>
      </c>
      <c r="K119" s="473" t="e">
        <f aca="false">H119+J119</f>
        <v>#NAME?</v>
      </c>
      <c r="L119" s="462" t="n">
        <v>0.2</v>
      </c>
      <c r="M119" s="473" t="e">
        <f aca="false">K119*L119</f>
        <v>#NAME?</v>
      </c>
      <c r="N119" s="473" t="e">
        <f aca="false">K119+M119</f>
        <v>#NAME?</v>
      </c>
      <c r="O119" s="473" t="e">
        <f aca="false">M119</f>
        <v>#NAME?</v>
      </c>
    </row>
    <row r="120" s="461" customFormat="true" ht="15" hidden="false" customHeight="false" outlineLevel="0" collapsed="false">
      <c r="A120" s="327" t="s">
        <v>206</v>
      </c>
      <c r="B120" s="325" t="s">
        <v>2927</v>
      </c>
      <c r="C120" s="472" t="e">
        <f aca="false">мат.затр!g1052</f>
        <v>#NAME?</v>
      </c>
      <c r="D120" s="472" t="n">
        <f aca="false">тарифик!J121</f>
        <v>3087.34939759036</v>
      </c>
      <c r="E120" s="472"/>
      <c r="F120" s="473" t="n">
        <f aca="false">D120*0.9*0.095+D120*3%</f>
        <v>356.588855421687</v>
      </c>
      <c r="G120" s="472" t="n">
        <f aca="false">амортизация!M250</f>
        <v>87.140803956567</v>
      </c>
      <c r="H120" s="473" t="e">
        <f aca="false">C120+D120+F120+G120</f>
        <v>#NAME?</v>
      </c>
      <c r="I120" s="462" t="n">
        <f aca="false">I$190</f>
        <v>0.240474587202079</v>
      </c>
      <c r="J120" s="473" t="n">
        <f aca="false">D120*I120</f>
        <v>742.429071934129</v>
      </c>
      <c r="K120" s="473" t="e">
        <f aca="false">H120+J120</f>
        <v>#NAME?</v>
      </c>
      <c r="L120" s="462" t="n">
        <v>0.2</v>
      </c>
      <c r="M120" s="473" t="e">
        <f aca="false">K120*L120</f>
        <v>#NAME?</v>
      </c>
      <c r="N120" s="473" t="e">
        <f aca="false">K120+M120</f>
        <v>#NAME?</v>
      </c>
      <c r="O120" s="473" t="e">
        <f aca="false">M120</f>
        <v>#NAME?</v>
      </c>
    </row>
    <row r="121" s="461" customFormat="true" ht="15" hidden="false" customHeight="false" outlineLevel="0" collapsed="false">
      <c r="A121" s="327" t="s">
        <v>207</v>
      </c>
      <c r="B121" s="325" t="s">
        <v>2928</v>
      </c>
      <c r="C121" s="472" t="e">
        <f aca="false">мат.затр!g1062</f>
        <v>#NAME?</v>
      </c>
      <c r="D121" s="472" t="n">
        <f aca="false">тарифик!J122</f>
        <v>2180.94600624721</v>
      </c>
      <c r="E121" s="472"/>
      <c r="F121" s="473" t="n">
        <f aca="false">D121*0.9*0.095+D121*3%</f>
        <v>251.899263721553</v>
      </c>
      <c r="G121" s="472" t="n">
        <f aca="false">амортизация!M253</f>
        <v>1656.77976721702</v>
      </c>
      <c r="H121" s="473" t="e">
        <f aca="false">C121+D121+F121+G121</f>
        <v>#NAME?</v>
      </c>
      <c r="I121" s="462" t="n">
        <f aca="false">I$190</f>
        <v>0.240474587202079</v>
      </c>
      <c r="J121" s="473" t="n">
        <f aca="false">D121*I121</f>
        <v>524.462090562321</v>
      </c>
      <c r="K121" s="473" t="e">
        <f aca="false">H121+J121</f>
        <v>#NAME?</v>
      </c>
      <c r="L121" s="462" t="n">
        <v>0.2</v>
      </c>
      <c r="M121" s="473" t="e">
        <f aca="false">K121*L121</f>
        <v>#NAME?</v>
      </c>
      <c r="N121" s="473" t="e">
        <f aca="false">K121+M121</f>
        <v>#NAME?</v>
      </c>
      <c r="O121" s="473" t="e">
        <f aca="false">M121</f>
        <v>#NAME?</v>
      </c>
    </row>
    <row r="122" s="461" customFormat="true" ht="15" hidden="false" customHeight="false" outlineLevel="0" collapsed="false">
      <c r="A122" s="327" t="s">
        <v>208</v>
      </c>
      <c r="B122" s="471" t="s">
        <v>2929</v>
      </c>
      <c r="C122" s="472" t="e">
        <f aca="false">мат.затр!g1078</f>
        <v>#NAME?</v>
      </c>
      <c r="D122" s="472" t="n">
        <f aca="false">тарифик!J123</f>
        <v>702.81124497992</v>
      </c>
      <c r="E122" s="472"/>
      <c r="F122" s="473" t="n">
        <f aca="false">D122*0.9*0.095+D122*3%</f>
        <v>81.1746987951807</v>
      </c>
      <c r="G122" s="472" t="n">
        <f aca="false">амортизация!M256</f>
        <v>6.74178194258516</v>
      </c>
      <c r="H122" s="473" t="e">
        <f aca="false">C122+D122+F122+G122</f>
        <v>#NAME?</v>
      </c>
      <c r="I122" s="462" t="n">
        <f aca="false">I$190</f>
        <v>0.240474587202079</v>
      </c>
      <c r="J122" s="473" t="n">
        <f aca="false">D122*I122</f>
        <v>169.008244017525</v>
      </c>
      <c r="K122" s="473" t="e">
        <f aca="false">H122+J122</f>
        <v>#NAME?</v>
      </c>
      <c r="L122" s="462" t="n">
        <v>0.2</v>
      </c>
      <c r="M122" s="473" t="e">
        <f aca="false">K122*L122</f>
        <v>#NAME?</v>
      </c>
      <c r="N122" s="473" t="e">
        <f aca="false">K122+M122</f>
        <v>#NAME?</v>
      </c>
      <c r="O122" s="473" t="e">
        <f aca="false">M122</f>
        <v>#NAME?</v>
      </c>
    </row>
    <row r="123" s="461" customFormat="true" ht="15" hidden="false" customHeight="false" outlineLevel="0" collapsed="false">
      <c r="A123" s="327" t="s">
        <v>209</v>
      </c>
      <c r="B123" s="471" t="s">
        <v>2930</v>
      </c>
      <c r="C123" s="472" t="e">
        <f aca="false">мат.затр!g1086</f>
        <v>#NAME?</v>
      </c>
      <c r="D123" s="472" t="n">
        <f aca="false">тарифик!J124</f>
        <v>1327.53235162874</v>
      </c>
      <c r="E123" s="472"/>
      <c r="F123" s="473" t="n">
        <f aca="false">D123*0.9*0.095+D123*3%</f>
        <v>153.329986613119</v>
      </c>
      <c r="G123" s="472" t="n">
        <f aca="false">амортизация!M259</f>
        <v>1656.77976721702</v>
      </c>
      <c r="H123" s="473" t="e">
        <f aca="false">C123+D123+F123+G123</f>
        <v>#NAME?</v>
      </c>
      <c r="I123" s="462" t="n">
        <f aca="false">I$190</f>
        <v>0.240474587202079</v>
      </c>
      <c r="J123" s="473" t="n">
        <f aca="false">D123*I123</f>
        <v>319.237794255326</v>
      </c>
      <c r="K123" s="473" t="e">
        <f aca="false">H123+J123</f>
        <v>#NAME?</v>
      </c>
      <c r="L123" s="462" t="n">
        <v>0.2</v>
      </c>
      <c r="M123" s="473" t="e">
        <f aca="false">K123*L123</f>
        <v>#NAME?</v>
      </c>
      <c r="N123" s="473" t="e">
        <f aca="false">K123+M123</f>
        <v>#NAME?</v>
      </c>
      <c r="O123" s="473" t="e">
        <f aca="false">M123</f>
        <v>#NAME?</v>
      </c>
    </row>
    <row r="124" s="461" customFormat="true" ht="15" hidden="false" customHeight="false" outlineLevel="0" collapsed="false">
      <c r="A124" s="327" t="s">
        <v>210</v>
      </c>
      <c r="B124" s="471" t="s">
        <v>2931</v>
      </c>
      <c r="C124" s="472" t="e">
        <f aca="false">мат.затр!g1097</f>
        <v>#NAME?</v>
      </c>
      <c r="D124" s="472" t="n">
        <f aca="false">тарифик!J125</f>
        <v>1701.2494422133</v>
      </c>
      <c r="E124" s="472"/>
      <c r="F124" s="473" t="n">
        <f aca="false">D124*0.9*0.095+D124*3%</f>
        <v>196.494310575636</v>
      </c>
      <c r="G124" s="472" t="n">
        <f aca="false">амортизация!M262</f>
        <v>1656.77976721702</v>
      </c>
      <c r="H124" s="473" t="e">
        <f aca="false">C124+D124+F124+G124</f>
        <v>#NAME?</v>
      </c>
      <c r="I124" s="462" t="n">
        <f aca="false">I$190</f>
        <v>0.240474587202079</v>
      </c>
      <c r="J124" s="473" t="n">
        <f aca="false">D124*I124</f>
        <v>409.10725734401</v>
      </c>
      <c r="K124" s="473" t="e">
        <f aca="false">H124+J124</f>
        <v>#NAME?</v>
      </c>
      <c r="L124" s="462" t="n">
        <v>0.2</v>
      </c>
      <c r="M124" s="473" t="e">
        <f aca="false">K124*L124</f>
        <v>#NAME?</v>
      </c>
      <c r="N124" s="473" t="e">
        <f aca="false">K124+M124</f>
        <v>#NAME?</v>
      </c>
      <c r="O124" s="473" t="e">
        <f aca="false">M124</f>
        <v>#NAME?</v>
      </c>
    </row>
    <row r="125" s="461" customFormat="true" ht="15" hidden="false" customHeight="false" outlineLevel="0" collapsed="false">
      <c r="A125" s="327" t="s">
        <v>211</v>
      </c>
      <c r="B125" s="325" t="s">
        <v>2932</v>
      </c>
      <c r="C125" s="472" t="e">
        <f aca="false">мат.затр!g1112</f>
        <v>#NAME?</v>
      </c>
      <c r="D125" s="472" t="n">
        <f aca="false">тарифик!J126</f>
        <v>1924.3641231593</v>
      </c>
      <c r="E125" s="472"/>
      <c r="F125" s="473" t="n">
        <f aca="false">D125*0.9*0.095+D125*3%</f>
        <v>222.2640562249</v>
      </c>
      <c r="G125" s="472" t="n">
        <f aca="false">амортизация!M265</f>
        <v>6.74178194258516</v>
      </c>
      <c r="H125" s="473" t="e">
        <f aca="false">C125+D125+F125+G125</f>
        <v>#NAME?</v>
      </c>
      <c r="I125" s="462" t="n">
        <f aca="false">I$190</f>
        <v>0.240474587202079</v>
      </c>
      <c r="J125" s="473" t="n">
        <f aca="false">D125*I125</f>
        <v>462.760668143224</v>
      </c>
      <c r="K125" s="473" t="e">
        <f aca="false">H125+J125</f>
        <v>#NAME?</v>
      </c>
      <c r="L125" s="462" t="n">
        <v>0.2</v>
      </c>
      <c r="M125" s="473" t="e">
        <f aca="false">K125*L125</f>
        <v>#NAME?</v>
      </c>
      <c r="N125" s="473" t="e">
        <f aca="false">K125+M125</f>
        <v>#NAME?</v>
      </c>
      <c r="O125" s="473" t="e">
        <f aca="false">M125</f>
        <v>#NAME?</v>
      </c>
    </row>
    <row r="126" s="461" customFormat="true" ht="15" hidden="false" customHeight="false" outlineLevel="0" collapsed="false">
      <c r="A126" s="327" t="s">
        <v>212</v>
      </c>
      <c r="B126" s="471" t="s">
        <v>2933</v>
      </c>
      <c r="C126" s="472" t="e">
        <f aca="false">мат.затр!g1120</f>
        <v>#NAME?</v>
      </c>
      <c r="D126" s="472" t="n">
        <f aca="false">тарифик!J127</f>
        <v>3012.04819277108</v>
      </c>
      <c r="E126" s="472"/>
      <c r="F126" s="473" t="n">
        <f aca="false">D126*0.9*0.095+D126*3%</f>
        <v>347.89156626506</v>
      </c>
      <c r="G126" s="472" t="n">
        <f aca="false">амортизация!M268</f>
        <v>6.74178194258516</v>
      </c>
      <c r="H126" s="473" t="e">
        <f aca="false">C126+D126+F126+G126</f>
        <v>#NAME?</v>
      </c>
      <c r="I126" s="462" t="n">
        <f aca="false">I$190</f>
        <v>0.240474587202079</v>
      </c>
      <c r="J126" s="473" t="n">
        <f aca="false">D126*I126</f>
        <v>724.321045789394</v>
      </c>
      <c r="K126" s="473" t="e">
        <f aca="false">H126+J126</f>
        <v>#NAME?</v>
      </c>
      <c r="L126" s="462" t="n">
        <v>0.2</v>
      </c>
      <c r="M126" s="473" t="e">
        <f aca="false">K126*L126</f>
        <v>#NAME?</v>
      </c>
      <c r="N126" s="473" t="e">
        <f aca="false">K126+M126</f>
        <v>#NAME?</v>
      </c>
      <c r="O126" s="473" t="e">
        <f aca="false">M126</f>
        <v>#NAME?</v>
      </c>
    </row>
    <row r="127" s="461" customFormat="true" ht="15" hidden="false" customHeight="false" outlineLevel="0" collapsed="false">
      <c r="A127" s="327" t="s">
        <v>213</v>
      </c>
      <c r="B127" s="471" t="s">
        <v>2934</v>
      </c>
      <c r="C127" s="472" t="e">
        <f aca="false">мат.затр!g1132</f>
        <v>#NAME?</v>
      </c>
      <c r="D127" s="472" t="n">
        <f aca="false">тарифик!J128</f>
        <v>2565.81883087907</v>
      </c>
      <c r="E127" s="472"/>
      <c r="F127" s="473" t="n">
        <f aca="false">D127*0.9*0.095+D127*3%</f>
        <v>296.352074966533</v>
      </c>
      <c r="G127" s="472" t="n">
        <f aca="false">амортизация!M271</f>
        <v>34.4898110962368</v>
      </c>
      <c r="H127" s="473" t="e">
        <f aca="false">C127+D127+F127+G127</f>
        <v>#NAME?</v>
      </c>
      <c r="I127" s="462" t="n">
        <f aca="false">I$199</f>
        <v>0.240474587202079</v>
      </c>
      <c r="J127" s="473" t="n">
        <f aca="false">D127*I127</f>
        <v>617.014224190966</v>
      </c>
      <c r="K127" s="473" t="e">
        <f aca="false">H127+J127</f>
        <v>#NAME?</v>
      </c>
      <c r="L127" s="462" t="n">
        <v>0.2</v>
      </c>
      <c r="M127" s="473" t="e">
        <f aca="false">K127*L127</f>
        <v>#NAME?</v>
      </c>
      <c r="N127" s="473" t="e">
        <f aca="false">K127+M127</f>
        <v>#NAME?</v>
      </c>
      <c r="O127" s="473" t="e">
        <f aca="false">M127</f>
        <v>#NAME?</v>
      </c>
    </row>
    <row r="128" s="461" customFormat="true" ht="15" hidden="false" customHeight="false" outlineLevel="0" collapsed="false">
      <c r="A128" s="327" t="s">
        <v>214</v>
      </c>
      <c r="B128" s="471" t="s">
        <v>2935</v>
      </c>
      <c r="C128" s="472" t="e">
        <f aca="false">мат.затр!g1141</f>
        <v>#NAME?</v>
      </c>
      <c r="D128" s="472" t="n">
        <f aca="false">тарифик!J129</f>
        <v>5522.08835341366</v>
      </c>
      <c r="E128" s="472"/>
      <c r="F128" s="473" t="n">
        <f aca="false">D128*0.9*0.095+D128*3%</f>
        <v>637.801204819277</v>
      </c>
      <c r="G128" s="472" t="n">
        <f aca="false">амортизация!M274</f>
        <v>416.789314666072</v>
      </c>
      <c r="H128" s="473" t="e">
        <f aca="false">C128+D128+F128+G128</f>
        <v>#NAME?</v>
      </c>
      <c r="I128" s="462" t="n">
        <f aca="false">I$199</f>
        <v>0.240474587202079</v>
      </c>
      <c r="J128" s="473" t="n">
        <f aca="false">D128*I128</f>
        <v>1327.92191728056</v>
      </c>
      <c r="K128" s="473" t="e">
        <f aca="false">H128+J128</f>
        <v>#NAME?</v>
      </c>
      <c r="L128" s="462" t="n">
        <v>0.2</v>
      </c>
      <c r="M128" s="473" t="e">
        <f aca="false">K128*L128</f>
        <v>#NAME?</v>
      </c>
      <c r="N128" s="473" t="e">
        <f aca="false">K128+M128</f>
        <v>#NAME?</v>
      </c>
      <c r="O128" s="473" t="e">
        <f aca="false">M128</f>
        <v>#NAME?</v>
      </c>
    </row>
    <row r="129" s="461" customFormat="true" ht="15" hidden="false" customHeight="false" outlineLevel="0" collapsed="false">
      <c r="A129" s="327" t="s">
        <v>215</v>
      </c>
      <c r="B129" s="325" t="s">
        <v>2936</v>
      </c>
      <c r="C129" s="472" t="e">
        <f aca="false">мат.затр!g1153</f>
        <v>#NAME?</v>
      </c>
      <c r="D129" s="472" t="n">
        <f aca="false">тарифик!J130</f>
        <v>624.721106648818</v>
      </c>
      <c r="E129" s="472"/>
      <c r="F129" s="473" t="n">
        <f aca="false">D129*0.9*0.095+D129*3%</f>
        <v>72.1552878179384</v>
      </c>
      <c r="G129" s="472" t="n">
        <f aca="false">амортизация!M275</f>
        <v>13.0150230551837</v>
      </c>
      <c r="H129" s="473" t="e">
        <f aca="false">C129+D129+F129+G129</f>
        <v>#NAME?</v>
      </c>
      <c r="I129" s="462" t="n">
        <f aca="false">I$190</f>
        <v>0.240474587202079</v>
      </c>
      <c r="J129" s="473" t="n">
        <f aca="false">D129*I129</f>
        <v>150.2295502378</v>
      </c>
      <c r="K129" s="473" t="e">
        <f aca="false">H129+J129</f>
        <v>#NAME?</v>
      </c>
      <c r="L129" s="462" t="n">
        <v>0.2</v>
      </c>
      <c r="M129" s="473" t="e">
        <f aca="false">K129*L129</f>
        <v>#NAME?</v>
      </c>
      <c r="N129" s="473" t="e">
        <f aca="false">K129+M129</f>
        <v>#NAME?</v>
      </c>
      <c r="O129" s="473" t="e">
        <f aca="false">M129</f>
        <v>#NAME?</v>
      </c>
    </row>
    <row r="130" s="461" customFormat="true" ht="15" hidden="false" customHeight="false" outlineLevel="0" collapsed="false">
      <c r="A130" s="327" t="s">
        <v>216</v>
      </c>
      <c r="B130" s="325" t="s">
        <v>2937</v>
      </c>
      <c r="C130" s="472" t="e">
        <f aca="false">мат.затр!g1163</f>
        <v>#NAME?</v>
      </c>
      <c r="D130" s="472" t="n">
        <f aca="false">тарифик!J131</f>
        <v>702.81124497992</v>
      </c>
      <c r="E130" s="472"/>
      <c r="F130" s="473" t="n">
        <f aca="false">D130*0.9*0.095+D130*3%</f>
        <v>81.1746987951807</v>
      </c>
      <c r="G130" s="472" t="n">
        <f aca="false">амортизация!M278</f>
        <v>6.74178194258516</v>
      </c>
      <c r="H130" s="473" t="e">
        <f aca="false">C130+D130+F130+G130</f>
        <v>#NAME?</v>
      </c>
      <c r="I130" s="462" t="n">
        <f aca="false">I$190</f>
        <v>0.240474587202079</v>
      </c>
      <c r="J130" s="473" t="n">
        <f aca="false">D130*I130</f>
        <v>169.008244017525</v>
      </c>
      <c r="K130" s="473" t="e">
        <f aca="false">H130+J130</f>
        <v>#NAME?</v>
      </c>
      <c r="L130" s="462" t="n">
        <v>0.2</v>
      </c>
      <c r="M130" s="473" t="e">
        <f aca="false">K130*L130</f>
        <v>#NAME?</v>
      </c>
      <c r="N130" s="473" t="e">
        <f aca="false">K130+M130</f>
        <v>#NAME?</v>
      </c>
      <c r="O130" s="473" t="e">
        <f aca="false">M130</f>
        <v>#NAME?</v>
      </c>
    </row>
    <row r="131" s="461" customFormat="true" ht="15" hidden="false" customHeight="false" outlineLevel="0" collapsed="false">
      <c r="A131" s="327" t="s">
        <v>217</v>
      </c>
      <c r="B131" s="325" t="s">
        <v>2938</v>
      </c>
      <c r="C131" s="472" t="e">
        <f aca="false">мат.затр!g1174</f>
        <v>#NAME?</v>
      </c>
      <c r="D131" s="472" t="n">
        <f aca="false">тарифик!J132</f>
        <v>920.348058902276</v>
      </c>
      <c r="E131" s="472"/>
      <c r="F131" s="473" t="n">
        <f aca="false">D131*0.9*0.095+D131*3%</f>
        <v>106.300200803213</v>
      </c>
      <c r="G131" s="472" t="n">
        <f aca="false">амортизация!M281</f>
        <v>31.2161051613863</v>
      </c>
      <c r="H131" s="473" t="e">
        <f aca="false">C131+D131+F131+G131</f>
        <v>#NAME?</v>
      </c>
      <c r="I131" s="462" t="n">
        <f aca="false">I$190</f>
        <v>0.240474587202079</v>
      </c>
      <c r="J131" s="473" t="n">
        <f aca="false">D131*I131</f>
        <v>221.320319546759</v>
      </c>
      <c r="K131" s="473" t="e">
        <f aca="false">H131+J131</f>
        <v>#NAME?</v>
      </c>
      <c r="L131" s="462" t="n">
        <v>0.2</v>
      </c>
      <c r="M131" s="473" t="e">
        <f aca="false">K131*L131</f>
        <v>#NAME?</v>
      </c>
      <c r="N131" s="473" t="e">
        <f aca="false">K131+M131</f>
        <v>#NAME?</v>
      </c>
      <c r="O131" s="473" t="e">
        <f aca="false">M131</f>
        <v>#NAME?</v>
      </c>
    </row>
    <row r="132" s="461" customFormat="true" ht="15" hidden="false" customHeight="false" outlineLevel="0" collapsed="false">
      <c r="A132" s="327" t="s">
        <v>218</v>
      </c>
      <c r="B132" s="325" t="s">
        <v>2959</v>
      </c>
      <c r="C132" s="472" t="e">
        <f aca="false">мат.затр!g1182</f>
        <v>#NAME?</v>
      </c>
      <c r="D132" s="472" t="n">
        <f aca="false">тарифик!J133</f>
        <v>1464.19009370817</v>
      </c>
      <c r="E132" s="472"/>
      <c r="F132" s="473" t="n">
        <f aca="false">D132*0.9*0.095+D132*3%</f>
        <v>169.113955823293</v>
      </c>
      <c r="G132" s="472" t="n">
        <f aca="false">амортизация!M284</f>
        <v>5.19976201100699</v>
      </c>
      <c r="H132" s="473" t="e">
        <f aca="false">C132+D132+F132+G132</f>
        <v>#NAME?</v>
      </c>
      <c r="I132" s="462" t="n">
        <f aca="false">I$190</f>
        <v>0.240474587202079</v>
      </c>
      <c r="J132" s="473" t="n">
        <f aca="false">D132*I132</f>
        <v>352.100508369845</v>
      </c>
      <c r="K132" s="473" t="e">
        <f aca="false">H132+J132</f>
        <v>#NAME?</v>
      </c>
      <c r="L132" s="462" t="n">
        <v>0.2</v>
      </c>
      <c r="M132" s="473" t="e">
        <f aca="false">K132*L132</f>
        <v>#NAME?</v>
      </c>
      <c r="N132" s="473" t="e">
        <f aca="false">K132+M132</f>
        <v>#NAME?</v>
      </c>
      <c r="O132" s="473" t="e">
        <f aca="false">M132</f>
        <v>#NAME?</v>
      </c>
    </row>
    <row r="133" s="461" customFormat="true" ht="15" hidden="false" customHeight="false" outlineLevel="0" collapsed="false">
      <c r="A133" s="327" t="s">
        <v>219</v>
      </c>
      <c r="B133" s="325" t="s">
        <v>2940</v>
      </c>
      <c r="C133" s="472" t="e">
        <f aca="false">мат.затр!g1195</f>
        <v>#NAME?</v>
      </c>
      <c r="D133" s="472" t="n">
        <f aca="false">тарифик!J134</f>
        <v>2180.94600624721</v>
      </c>
      <c r="E133" s="472"/>
      <c r="F133" s="473" t="n">
        <f aca="false">D133*0.9*0.095+D133*3%</f>
        <v>251.899263721553</v>
      </c>
      <c r="G133" s="472" t="n">
        <f aca="false">амортизация!M287</f>
        <v>416.789314666072</v>
      </c>
      <c r="H133" s="473" t="e">
        <f aca="false">C133+D133+F133+G133</f>
        <v>#NAME?</v>
      </c>
      <c r="I133" s="462" t="n">
        <f aca="false">I$190</f>
        <v>0.240474587202079</v>
      </c>
      <c r="J133" s="473" t="n">
        <f aca="false">D133*I133</f>
        <v>524.462090562321</v>
      </c>
      <c r="K133" s="473" t="e">
        <f aca="false">H133+J133</f>
        <v>#NAME?</v>
      </c>
      <c r="L133" s="462" t="n">
        <v>0.2</v>
      </c>
      <c r="M133" s="473" t="e">
        <f aca="false">K133*L133</f>
        <v>#NAME?</v>
      </c>
      <c r="N133" s="473" t="e">
        <f aca="false">K133+M133</f>
        <v>#NAME?</v>
      </c>
      <c r="O133" s="473" t="e">
        <f aca="false">M133</f>
        <v>#NAME?</v>
      </c>
    </row>
    <row r="134" s="461" customFormat="true" ht="15" hidden="false" customHeight="false" outlineLevel="0" collapsed="false">
      <c r="A134" s="327" t="s">
        <v>220</v>
      </c>
      <c r="B134" s="325" t="s">
        <v>2960</v>
      </c>
      <c r="C134" s="472" t="e">
        <f aca="false">мат.затр!g1204</f>
        <v>#NAME?</v>
      </c>
      <c r="D134" s="472" t="n">
        <f aca="false">тарифик!J135</f>
        <v>1653.27978580991</v>
      </c>
      <c r="E134" s="472"/>
      <c r="F134" s="473" t="n">
        <f aca="false">D134*0.9*0.095+D134*3%</f>
        <v>190.953815261044</v>
      </c>
      <c r="G134" s="472" t="n">
        <f aca="false">амортизация!M290</f>
        <v>6.74178194258516</v>
      </c>
      <c r="H134" s="473" t="e">
        <f aca="false">C134+D134+F134+G134</f>
        <v>#NAME?</v>
      </c>
      <c r="I134" s="462" t="n">
        <f aca="false">I$190</f>
        <v>0.240474587202079</v>
      </c>
      <c r="J134" s="473" t="n">
        <f aca="false">D134*I134</f>
        <v>397.571774022179</v>
      </c>
      <c r="K134" s="473" t="e">
        <f aca="false">H134+J134</f>
        <v>#NAME?</v>
      </c>
      <c r="L134" s="462" t="n">
        <v>0.2</v>
      </c>
      <c r="M134" s="473" t="e">
        <f aca="false">K134*L134</f>
        <v>#NAME?</v>
      </c>
      <c r="N134" s="473" t="e">
        <f aca="false">K134+M134</f>
        <v>#NAME?</v>
      </c>
      <c r="O134" s="473" t="e">
        <f aca="false">M134</f>
        <v>#NAME?</v>
      </c>
    </row>
    <row r="135" s="461" customFormat="true" ht="15" hidden="false" customHeight="false" outlineLevel="0" collapsed="false">
      <c r="A135" s="327" t="s">
        <v>222</v>
      </c>
      <c r="B135" s="325" t="s">
        <v>2941</v>
      </c>
      <c r="C135" s="472" t="e">
        <f aca="false">мат.затр!g1212</f>
        <v>#NAME?</v>
      </c>
      <c r="D135" s="472" t="n">
        <f aca="false">тарифик!J136</f>
        <v>2878.17938420348</v>
      </c>
      <c r="E135" s="472"/>
      <c r="F135" s="473" t="n">
        <f aca="false">D135*0.9*0.095+D135*3%</f>
        <v>332.429718875502</v>
      </c>
      <c r="G135" s="472" t="n">
        <f aca="false">амортизация!M293</f>
        <v>711.907760672319</v>
      </c>
      <c r="H135" s="473" t="e">
        <f aca="false">C135+D135+F135+G135</f>
        <v>#NAME?</v>
      </c>
      <c r="I135" s="462" t="n">
        <f aca="false">I$190</f>
        <v>0.240474587202079</v>
      </c>
      <c r="J135" s="473" t="n">
        <f aca="false">D135*I135</f>
        <v>692.128999309866</v>
      </c>
      <c r="K135" s="473" t="e">
        <f aca="false">H135+J135</f>
        <v>#NAME?</v>
      </c>
      <c r="L135" s="462" t="n">
        <v>0.2</v>
      </c>
      <c r="M135" s="473" t="e">
        <f aca="false">K135*L135</f>
        <v>#NAME?</v>
      </c>
      <c r="N135" s="473" t="e">
        <f aca="false">K135+M135</f>
        <v>#NAME?</v>
      </c>
      <c r="O135" s="473" t="e">
        <f aca="false">M135</f>
        <v>#NAME?</v>
      </c>
    </row>
    <row r="136" s="461" customFormat="true" ht="15" hidden="false" customHeight="false" outlineLevel="0" collapsed="false">
      <c r="A136" s="327" t="s">
        <v>223</v>
      </c>
      <c r="B136" s="325" t="s">
        <v>2942</v>
      </c>
      <c r="C136" s="472" t="e">
        <f aca="false">мат.затр!g1220</f>
        <v>#NAME?</v>
      </c>
      <c r="D136" s="472" t="n">
        <f aca="false">тарифик!J137</f>
        <v>2878.17938420348</v>
      </c>
      <c r="E136" s="472"/>
      <c r="F136" s="473" t="n">
        <f aca="false">D136*0.9*0.095+D136*3%</f>
        <v>332.429718875502</v>
      </c>
      <c r="G136" s="472" t="n">
        <f aca="false">амортизация!M296</f>
        <v>711.907760672319</v>
      </c>
      <c r="H136" s="473" t="e">
        <f aca="false">C136+D136+F136+G136</f>
        <v>#NAME?</v>
      </c>
      <c r="I136" s="462" t="n">
        <f aca="false">I$190</f>
        <v>0.240474587202079</v>
      </c>
      <c r="J136" s="473" t="n">
        <f aca="false">D136*I136</f>
        <v>692.128999309866</v>
      </c>
      <c r="K136" s="473" t="e">
        <f aca="false">H136+J136</f>
        <v>#NAME?</v>
      </c>
      <c r="L136" s="462" t="n">
        <v>0.2</v>
      </c>
      <c r="M136" s="473" t="e">
        <f aca="false">K136*L136</f>
        <v>#NAME?</v>
      </c>
      <c r="N136" s="473" t="e">
        <f aca="false">K136+M136</f>
        <v>#NAME?</v>
      </c>
      <c r="O136" s="473" t="e">
        <f aca="false">M136</f>
        <v>#NAME?</v>
      </c>
    </row>
    <row r="137" s="461" customFormat="true" ht="15" hidden="false" customHeight="false" outlineLevel="0" collapsed="false">
      <c r="A137" s="327" t="s">
        <v>224</v>
      </c>
      <c r="B137" s="471" t="s">
        <v>2961</v>
      </c>
      <c r="C137" s="472" t="e">
        <f aca="false">мат.затр!g1229</f>
        <v>#NAME?</v>
      </c>
      <c r="D137" s="472" t="n">
        <f aca="false">тарифик!J138</f>
        <v>1405.62248995984</v>
      </c>
      <c r="E137" s="472"/>
      <c r="F137" s="473" t="n">
        <f aca="false">D137*0.9*0.095+D137*3%</f>
        <v>162.349397590361</v>
      </c>
      <c r="G137" s="472" t="n">
        <f aca="false">амортизация!M297</f>
        <v>3.25375576379592</v>
      </c>
      <c r="H137" s="473" t="e">
        <f aca="false">C137+D137+F137+G137</f>
        <v>#NAME?</v>
      </c>
      <c r="I137" s="462" t="n">
        <f aca="false">I$190</f>
        <v>0.240474587202079</v>
      </c>
      <c r="J137" s="473" t="n">
        <f aca="false">D137*I137</f>
        <v>338.016488035051</v>
      </c>
      <c r="K137" s="473" t="e">
        <f aca="false">H137+J137</f>
        <v>#NAME?</v>
      </c>
      <c r="L137" s="462" t="n">
        <v>0.2</v>
      </c>
      <c r="M137" s="473" t="e">
        <f aca="false">K137*L137</f>
        <v>#NAME?</v>
      </c>
      <c r="N137" s="473" t="e">
        <f aca="false">K137+M137</f>
        <v>#NAME?</v>
      </c>
      <c r="O137" s="473" t="e">
        <f aca="false">M137</f>
        <v>#NAME?</v>
      </c>
    </row>
    <row r="138" s="461" customFormat="true" ht="15" hidden="false" customHeight="false" outlineLevel="0" collapsed="false">
      <c r="A138" s="350" t="s">
        <v>226</v>
      </c>
      <c r="B138" s="467" t="s">
        <v>2962</v>
      </c>
      <c r="C138" s="468"/>
      <c r="D138" s="468"/>
      <c r="E138" s="472"/>
      <c r="F138" s="474"/>
      <c r="G138" s="468"/>
      <c r="H138" s="474"/>
      <c r="I138" s="475"/>
      <c r="J138" s="474"/>
      <c r="K138" s="474"/>
      <c r="L138" s="475"/>
      <c r="M138" s="474"/>
      <c r="N138" s="474"/>
      <c r="O138" s="474"/>
    </row>
    <row r="139" s="461" customFormat="true" ht="15" hidden="false" customHeight="false" outlineLevel="0" collapsed="false">
      <c r="A139" s="327" t="s">
        <v>228</v>
      </c>
      <c r="B139" s="325" t="s">
        <v>2963</v>
      </c>
      <c r="C139" s="472" t="e">
        <f aca="false">мат.затр!g1235</f>
        <v>#NAME?</v>
      </c>
      <c r="D139" s="472" t="n">
        <f aca="false">тарифик!J140</f>
        <v>1296.85408299866</v>
      </c>
      <c r="E139" s="472"/>
      <c r="F139" s="473" t="n">
        <f aca="false">D139*0.9*0.095+D139*3%</f>
        <v>149.786646586345</v>
      </c>
      <c r="G139" s="472" t="n">
        <f aca="false">амортизация!M301</f>
        <v>5.19976201100699</v>
      </c>
      <c r="H139" s="473" t="e">
        <f aca="false">C139+D139+F139+G139</f>
        <v>#NAME?</v>
      </c>
      <c r="I139" s="462" t="n">
        <f aca="false">I$190</f>
        <v>0.240474587202079</v>
      </c>
      <c r="J139" s="473" t="n">
        <f aca="false">D139*I139</f>
        <v>311.860450270434</v>
      </c>
      <c r="K139" s="473" t="e">
        <f aca="false">H139+J139</f>
        <v>#NAME?</v>
      </c>
      <c r="L139" s="462" t="n">
        <v>0.2</v>
      </c>
      <c r="M139" s="473" t="e">
        <f aca="false">K139*L139</f>
        <v>#NAME?</v>
      </c>
      <c r="N139" s="473" t="e">
        <f aca="false">K139+M139</f>
        <v>#NAME?</v>
      </c>
      <c r="O139" s="473" t="e">
        <f aca="false">M139</f>
        <v>#NAME?</v>
      </c>
    </row>
    <row r="140" s="461" customFormat="true" ht="15" hidden="false" customHeight="false" outlineLevel="0" collapsed="false">
      <c r="A140" s="327" t="s">
        <v>230</v>
      </c>
      <c r="B140" s="325" t="s">
        <v>2964</v>
      </c>
      <c r="C140" s="472" t="e">
        <f aca="false">мат.затр!g1241</f>
        <v>#NAME?</v>
      </c>
      <c r="D140" s="472" t="n">
        <f aca="false">тарифик!J141</f>
        <v>209.170013386881</v>
      </c>
      <c r="E140" s="472"/>
      <c r="F140" s="473" t="n">
        <f aca="false">D140*0.9*0.095+D140*3%</f>
        <v>24.1591365461847</v>
      </c>
      <c r="G140" s="472" t="n">
        <f aca="false">амортизация!M302</f>
        <v>1.32939164063662</v>
      </c>
      <c r="H140" s="473" t="e">
        <f aca="false">C140+D140+F140+G140</f>
        <v>#NAME?</v>
      </c>
      <c r="I140" s="462" t="n">
        <f aca="false">I$190</f>
        <v>0.240474587202079</v>
      </c>
      <c r="J140" s="473" t="n">
        <f aca="false">D140*I140</f>
        <v>50.3000726242635</v>
      </c>
      <c r="K140" s="473" t="e">
        <f aca="false">H140+J140</f>
        <v>#NAME?</v>
      </c>
      <c r="L140" s="462" t="n">
        <v>0.2</v>
      </c>
      <c r="M140" s="473" t="e">
        <f aca="false">K140*L140</f>
        <v>#NAME?</v>
      </c>
      <c r="N140" s="473" t="e">
        <f aca="false">K140+M140</f>
        <v>#NAME?</v>
      </c>
      <c r="O140" s="473" t="e">
        <f aca="false">M140</f>
        <v>#NAME?</v>
      </c>
    </row>
    <row r="141" s="461" customFormat="true" ht="15" hidden="false" customHeight="false" outlineLevel="0" collapsed="false">
      <c r="A141" s="327" t="s">
        <v>232</v>
      </c>
      <c r="B141" s="325" t="s">
        <v>2965</v>
      </c>
      <c r="C141" s="472" t="e">
        <f aca="false">мат.затр!g1246</f>
        <v>#NAME?</v>
      </c>
      <c r="D141" s="472" t="n">
        <f aca="false">тарифик!J142</f>
        <v>1673.36010709505</v>
      </c>
      <c r="E141" s="472"/>
      <c r="F141" s="473" t="n">
        <f aca="false">D141*0.9*0.095+D141*3%</f>
        <v>193.273092369478</v>
      </c>
      <c r="G141" s="472" t="n">
        <f aca="false">амортизация!M303</f>
        <v>3.25375576379592</v>
      </c>
      <c r="H141" s="473" t="e">
        <f aca="false">C141+D141+F141+G141</f>
        <v>#NAME?</v>
      </c>
      <c r="I141" s="462" t="n">
        <f aca="false">I$190</f>
        <v>0.240474587202079</v>
      </c>
      <c r="J141" s="473" t="n">
        <f aca="false">D141*I141</f>
        <v>402.400580994108</v>
      </c>
      <c r="K141" s="473" t="e">
        <f aca="false">H141+J141</f>
        <v>#NAME?</v>
      </c>
      <c r="L141" s="462" t="n">
        <v>0.2</v>
      </c>
      <c r="M141" s="473" t="e">
        <f aca="false">K141*L141</f>
        <v>#NAME?</v>
      </c>
      <c r="N141" s="473" t="e">
        <f aca="false">K141+M141</f>
        <v>#NAME?</v>
      </c>
      <c r="O141" s="473" t="e">
        <f aca="false">M141</f>
        <v>#NAME?</v>
      </c>
    </row>
    <row r="142" s="461" customFormat="true" ht="15" hidden="false" customHeight="false" outlineLevel="0" collapsed="false">
      <c r="A142" s="327" t="s">
        <v>234</v>
      </c>
      <c r="B142" s="325" t="s">
        <v>2893</v>
      </c>
      <c r="C142" s="472" t="e">
        <f aca="false">мат.затр!g1256</f>
        <v>#NAME?</v>
      </c>
      <c r="D142" s="472" t="n">
        <f aca="false">тарифик!J143</f>
        <v>585.676037483266</v>
      </c>
      <c r="E142" s="472"/>
      <c r="F142" s="473" t="n">
        <f aca="false">D142*0.9*0.095+D142*3%</f>
        <v>67.6455823293173</v>
      </c>
      <c r="G142" s="472" t="n">
        <f aca="false">амортизация!M306</f>
        <v>6.74178194258516</v>
      </c>
      <c r="H142" s="473" t="e">
        <f aca="false">C142+D142+F142+G142</f>
        <v>#NAME?</v>
      </c>
      <c r="I142" s="462" t="n">
        <f aca="false">I$190</f>
        <v>0.240474587202079</v>
      </c>
      <c r="J142" s="473" t="n">
        <f aca="false">D142*I142</f>
        <v>140.840203347938</v>
      </c>
      <c r="K142" s="473" t="e">
        <f aca="false">H142+J142</f>
        <v>#NAME?</v>
      </c>
      <c r="L142" s="462" t="n">
        <v>0.2</v>
      </c>
      <c r="M142" s="473" t="e">
        <f aca="false">K142*L142</f>
        <v>#NAME?</v>
      </c>
      <c r="N142" s="473" t="e">
        <f aca="false">K142+M142</f>
        <v>#NAME?</v>
      </c>
      <c r="O142" s="473" t="e">
        <f aca="false">M142</f>
        <v>#NAME?</v>
      </c>
    </row>
    <row r="143" s="461" customFormat="true" ht="15" hidden="false" customHeight="false" outlineLevel="0" collapsed="false">
      <c r="A143" s="327" t="s">
        <v>235</v>
      </c>
      <c r="B143" s="325" t="s">
        <v>2966</v>
      </c>
      <c r="C143" s="472" t="e">
        <f aca="false">мат.затр!g1266</f>
        <v>#NAME?</v>
      </c>
      <c r="D143" s="472" t="n">
        <f aca="false">тарифик!J144</f>
        <v>669.344042838019</v>
      </c>
      <c r="E143" s="472"/>
      <c r="F143" s="473" t="n">
        <f aca="false">D143*0.9*0.095+D143*3%</f>
        <v>77.3092369477912</v>
      </c>
      <c r="G143" s="472" t="n">
        <f aca="false">амортизация!M309</f>
        <v>6.74178194258516</v>
      </c>
      <c r="H143" s="473" t="e">
        <f aca="false">C143+D143+F143+G143</f>
        <v>#NAME?</v>
      </c>
      <c r="I143" s="462" t="n">
        <f aca="false">I$190</f>
        <v>0.240474587202079</v>
      </c>
      <c r="J143" s="473" t="n">
        <f aca="false">D143*I143</f>
        <v>160.960232397643</v>
      </c>
      <c r="K143" s="473" t="e">
        <f aca="false">H143+J143</f>
        <v>#NAME?</v>
      </c>
      <c r="L143" s="462" t="n">
        <v>0.2</v>
      </c>
      <c r="M143" s="473" t="e">
        <f aca="false">K143*L143</f>
        <v>#NAME?</v>
      </c>
      <c r="N143" s="473" t="e">
        <f aca="false">K143+M143</f>
        <v>#NAME?</v>
      </c>
      <c r="O143" s="473" t="e">
        <f aca="false">M143</f>
        <v>#NAME?</v>
      </c>
    </row>
    <row r="144" s="461" customFormat="true" ht="15" hidden="false" customHeight="false" outlineLevel="0" collapsed="false">
      <c r="A144" s="327" t="s">
        <v>237</v>
      </c>
      <c r="B144" s="325" t="s">
        <v>2967</v>
      </c>
      <c r="C144" s="472" t="e">
        <f aca="false">мат.затр!g1280</f>
        <v>#NAME?</v>
      </c>
      <c r="D144" s="472" t="n">
        <f aca="false">тарифик!J145</f>
        <v>502.008032128514</v>
      </c>
      <c r="E144" s="472"/>
      <c r="F144" s="473" t="n">
        <f aca="false">D144*0.9*0.095+D144*3%</f>
        <v>57.9819277108434</v>
      </c>
      <c r="G144" s="472" t="n">
        <f aca="false">амортизация!M312</f>
        <v>6.74178194258516</v>
      </c>
      <c r="H144" s="473" t="e">
        <f aca="false">C144+D144+F144+G144</f>
        <v>#NAME?</v>
      </c>
      <c r="I144" s="462" t="n">
        <f aca="false">I$190</f>
        <v>0.240474587202079</v>
      </c>
      <c r="J144" s="473" t="n">
        <f aca="false">D144*I144</f>
        <v>120.720174298232</v>
      </c>
      <c r="K144" s="473" t="e">
        <f aca="false">H144+J144</f>
        <v>#NAME?</v>
      </c>
      <c r="L144" s="462" t="n">
        <v>0.2</v>
      </c>
      <c r="M144" s="473" t="e">
        <f aca="false">K144*L144</f>
        <v>#NAME?</v>
      </c>
      <c r="N144" s="473" t="e">
        <f aca="false">K144+M144</f>
        <v>#NAME?</v>
      </c>
      <c r="O144" s="473" t="e">
        <f aca="false">M144</f>
        <v>#NAME?</v>
      </c>
    </row>
    <row r="145" s="461" customFormat="true" ht="15" hidden="false" customHeight="false" outlineLevel="0" collapsed="false">
      <c r="A145" s="327" t="s">
        <v>239</v>
      </c>
      <c r="B145" s="325" t="s">
        <v>2968</v>
      </c>
      <c r="C145" s="472" t="e">
        <f aca="false">мат.затр!g1289</f>
        <v>#NAME?</v>
      </c>
      <c r="D145" s="472" t="n">
        <f aca="false">тарифик!J146</f>
        <v>758.589915216421</v>
      </c>
      <c r="E145" s="472"/>
      <c r="F145" s="473" t="n">
        <f aca="false">D145*0.9*0.095+D145*3%</f>
        <v>87.6171352074966</v>
      </c>
      <c r="G145" s="472" t="n">
        <f aca="false">амортизация!M315</f>
        <v>6.74178194258516</v>
      </c>
      <c r="H145" s="473" t="e">
        <f aca="false">C145+D145+F145+G145</f>
        <v>#NAME?</v>
      </c>
      <c r="I145" s="462" t="n">
        <f aca="false">I$190</f>
        <v>0.240474587202079</v>
      </c>
      <c r="J145" s="473" t="n">
        <f aca="false">D145*I145</f>
        <v>182.421596717329</v>
      </c>
      <c r="K145" s="473" t="e">
        <f aca="false">H145+J145</f>
        <v>#NAME?</v>
      </c>
      <c r="L145" s="462" t="n">
        <v>0.2</v>
      </c>
      <c r="M145" s="473" t="e">
        <f aca="false">K145*L145</f>
        <v>#NAME?</v>
      </c>
      <c r="N145" s="473" t="e">
        <f aca="false">K145+M145</f>
        <v>#NAME?</v>
      </c>
      <c r="O145" s="473" t="e">
        <f aca="false">M145</f>
        <v>#NAME?</v>
      </c>
    </row>
    <row r="146" s="461" customFormat="true" ht="15" hidden="false" customHeight="false" outlineLevel="0" collapsed="false">
      <c r="A146" s="327" t="s">
        <v>241</v>
      </c>
      <c r="B146" s="325" t="s">
        <v>2969</v>
      </c>
      <c r="C146" s="472" t="e">
        <f aca="false">мат.затр!g1297</f>
        <v>#NAME?</v>
      </c>
      <c r="D146" s="472" t="n">
        <f aca="false">тарифик!J147</f>
        <v>1405.62248995984</v>
      </c>
      <c r="E146" s="472"/>
      <c r="F146" s="473" t="n">
        <f aca="false">D146*0.9*0.095+D146*3%</f>
        <v>162.349397590361</v>
      </c>
      <c r="G146" s="472" t="n">
        <f aca="false">амортизация!M316</f>
        <v>3.25375576379592</v>
      </c>
      <c r="H146" s="473" t="e">
        <f aca="false">C146+D146+F146+G146</f>
        <v>#NAME?</v>
      </c>
      <c r="I146" s="462" t="n">
        <f aca="false">I$190</f>
        <v>0.240474587202079</v>
      </c>
      <c r="J146" s="473" t="n">
        <f aca="false">D146*I146</f>
        <v>338.016488035051</v>
      </c>
      <c r="K146" s="473" t="e">
        <f aca="false">H146+J146</f>
        <v>#NAME?</v>
      </c>
      <c r="L146" s="462" t="n">
        <v>0.2</v>
      </c>
      <c r="M146" s="473" t="e">
        <f aca="false">K146*L146</f>
        <v>#NAME?</v>
      </c>
      <c r="N146" s="473" t="e">
        <f aca="false">K146+M146</f>
        <v>#NAME?</v>
      </c>
      <c r="O146" s="473" t="e">
        <f aca="false">M146</f>
        <v>#NAME?</v>
      </c>
    </row>
    <row r="147" s="461" customFormat="true" ht="15" hidden="false" customHeight="false" outlineLevel="0" collapsed="false">
      <c r="A147" s="327" t="s">
        <v>243</v>
      </c>
      <c r="B147" s="325" t="s">
        <v>2970</v>
      </c>
      <c r="C147" s="472" t="e">
        <f aca="false">мат.затр!g1309</f>
        <v>#NAME?</v>
      </c>
      <c r="D147" s="472" t="n">
        <f aca="false">тарифик!J148</f>
        <v>1015.17179830433</v>
      </c>
      <c r="E147" s="472"/>
      <c r="F147" s="473" t="n">
        <f aca="false">D147*0.9*0.095+D147*3%</f>
        <v>117.25234270415</v>
      </c>
      <c r="G147" s="472" t="n">
        <f aca="false">амортизация!M317</f>
        <v>3.25375576379592</v>
      </c>
      <c r="H147" s="473" t="e">
        <f aca="false">C147+D147+F147+G147</f>
        <v>#NAME?</v>
      </c>
      <c r="I147" s="462" t="n">
        <f aca="false">I$190</f>
        <v>0.240474587202079</v>
      </c>
      <c r="J147" s="473" t="n">
        <f aca="false">D147*I147</f>
        <v>244.123019136426</v>
      </c>
      <c r="K147" s="473" t="e">
        <f aca="false">H147+J147</f>
        <v>#NAME?</v>
      </c>
      <c r="L147" s="462" t="n">
        <v>0.2</v>
      </c>
      <c r="M147" s="473" t="e">
        <f aca="false">K147*L147</f>
        <v>#NAME?</v>
      </c>
      <c r="N147" s="473" t="e">
        <f aca="false">K147+M147</f>
        <v>#NAME?</v>
      </c>
      <c r="O147" s="473" t="e">
        <f aca="false">M147</f>
        <v>#NAME?</v>
      </c>
    </row>
    <row r="148" s="461" customFormat="true" ht="15" hidden="false" customHeight="false" outlineLevel="0" collapsed="false">
      <c r="A148" s="327" t="s">
        <v>245</v>
      </c>
      <c r="B148" s="325" t="s">
        <v>2971</v>
      </c>
      <c r="C148" s="472" t="e">
        <f aca="false">мат.затр!g1317</f>
        <v>#NAME?</v>
      </c>
      <c r="D148" s="472" t="n">
        <f aca="false">тарифик!J149</f>
        <v>398.817492190986</v>
      </c>
      <c r="E148" s="472"/>
      <c r="F148" s="473" t="n">
        <f aca="false">D148*0.9*0.095+D148*3%</f>
        <v>46.0634203480589</v>
      </c>
      <c r="G148" s="472" t="n">
        <f aca="false">амортизация!M318</f>
        <v>3.25375576379592</v>
      </c>
      <c r="H148" s="473" t="e">
        <f aca="false">C148+D148+F148+G148</f>
        <v>#NAME?</v>
      </c>
      <c r="I148" s="462" t="n">
        <f aca="false">I$190</f>
        <v>0.240474587202079</v>
      </c>
      <c r="J148" s="473" t="n">
        <f aca="false">D148*I148</f>
        <v>95.9054718035957</v>
      </c>
      <c r="K148" s="473" t="e">
        <f aca="false">H148+J148</f>
        <v>#NAME?</v>
      </c>
      <c r="L148" s="462" t="n">
        <v>0.2</v>
      </c>
      <c r="M148" s="473" t="e">
        <f aca="false">K148*L148</f>
        <v>#NAME?</v>
      </c>
      <c r="N148" s="473" t="e">
        <f aca="false">K148+M148</f>
        <v>#NAME?</v>
      </c>
      <c r="O148" s="473" t="e">
        <f aca="false">M148</f>
        <v>#NAME?</v>
      </c>
    </row>
    <row r="149" s="461" customFormat="true" ht="15" hidden="false" customHeight="false" outlineLevel="0" collapsed="false">
      <c r="A149" s="327" t="s">
        <v>247</v>
      </c>
      <c r="B149" s="325" t="s">
        <v>2955</v>
      </c>
      <c r="C149" s="472" t="e">
        <f aca="false">мат.затр!g1323</f>
        <v>#NAME?</v>
      </c>
      <c r="D149" s="472" t="n">
        <f aca="false">тарифик!J150</f>
        <v>290.049085229808</v>
      </c>
      <c r="E149" s="472"/>
      <c r="F149" s="473" t="n">
        <f aca="false">D149*0.9*0.095+D149*3%</f>
        <v>33.5006693440428</v>
      </c>
      <c r="G149" s="472" t="n">
        <f aca="false">амортизация!M322</f>
        <v>8.68778818979622</v>
      </c>
      <c r="H149" s="473" t="e">
        <f aca="false">C149+D149+F149+G149</f>
        <v>#NAME?</v>
      </c>
      <c r="I149" s="462" t="n">
        <f aca="false">I$190</f>
        <v>0.240474587202079</v>
      </c>
      <c r="J149" s="473" t="n">
        <f aca="false">D149*I149</f>
        <v>69.7494340389787</v>
      </c>
      <c r="K149" s="473" t="e">
        <f aca="false">H149+J149</f>
        <v>#NAME?</v>
      </c>
      <c r="L149" s="462" t="n">
        <v>0.2</v>
      </c>
      <c r="M149" s="473" t="e">
        <f aca="false">K149*L149</f>
        <v>#NAME?</v>
      </c>
      <c r="N149" s="473" t="e">
        <f aca="false">K149+M149</f>
        <v>#NAME?</v>
      </c>
      <c r="O149" s="473" t="e">
        <f aca="false">M149</f>
        <v>#NAME?</v>
      </c>
    </row>
    <row r="150" s="461" customFormat="true" ht="15" hidden="false" customHeight="false" outlineLevel="0" collapsed="false">
      <c r="A150" s="327" t="s">
        <v>248</v>
      </c>
      <c r="B150" s="325" t="s">
        <v>2972</v>
      </c>
      <c r="C150" s="472" t="e">
        <f aca="false">мат.затр!g1346</f>
        <v>#NAME?</v>
      </c>
      <c r="D150" s="472" t="n">
        <f aca="false">тарифик!J151</f>
        <v>362.56135653726</v>
      </c>
      <c r="E150" s="472"/>
      <c r="F150" s="473" t="n">
        <f aca="false">D150*0.9*0.095+D150*3%</f>
        <v>41.8758366800536</v>
      </c>
      <c r="G150" s="472" t="n">
        <f aca="false">амортизация!M325</f>
        <v>6.74178194258516</v>
      </c>
      <c r="H150" s="473" t="e">
        <f aca="false">C150+D150+F150+G150</f>
        <v>#NAME?</v>
      </c>
      <c r="I150" s="462" t="n">
        <f aca="false">I$199</f>
        <v>0.240474587202079</v>
      </c>
      <c r="J150" s="473" t="n">
        <f aca="false">D150*I150</f>
        <v>87.1867925487234</v>
      </c>
      <c r="K150" s="473" t="e">
        <f aca="false">H150+J150</f>
        <v>#NAME?</v>
      </c>
      <c r="L150" s="462" t="n">
        <v>0.2</v>
      </c>
      <c r="M150" s="473" t="e">
        <f aca="false">K150*L150</f>
        <v>#NAME?</v>
      </c>
      <c r="N150" s="473" t="e">
        <f aca="false">K150+M150</f>
        <v>#NAME?</v>
      </c>
      <c r="O150" s="473" t="e">
        <f aca="false">M150</f>
        <v>#NAME?</v>
      </c>
    </row>
    <row r="151" s="461" customFormat="true" ht="15" hidden="false" customHeight="false" outlineLevel="0" collapsed="false">
      <c r="A151" s="327" t="s">
        <v>250</v>
      </c>
      <c r="B151" s="325" t="s">
        <v>2959</v>
      </c>
      <c r="C151" s="472" t="e">
        <f aca="false">мат.затр!g1354</f>
        <v>#NAME?</v>
      </c>
      <c r="D151" s="472" t="n">
        <f aca="false">тарифик!J152</f>
        <v>736.278447121821</v>
      </c>
      <c r="E151" s="472"/>
      <c r="F151" s="473" t="n">
        <f aca="false">D151*0.9*0.095+D151*3%</f>
        <v>85.0401606425703</v>
      </c>
      <c r="G151" s="472" t="n">
        <f aca="false">амортизация!M328</f>
        <v>5.19976201100699</v>
      </c>
      <c r="H151" s="473" t="e">
        <f aca="false">C151+D151+F151+G151</f>
        <v>#NAME?</v>
      </c>
      <c r="I151" s="462" t="n">
        <f aca="false">I$199</f>
        <v>0.240474587202079</v>
      </c>
      <c r="J151" s="473" t="n">
        <f aca="false">D151*I151</f>
        <v>177.056255637408</v>
      </c>
      <c r="K151" s="473" t="e">
        <f aca="false">H151+J151</f>
        <v>#NAME?</v>
      </c>
      <c r="L151" s="462" t="n">
        <v>0.2</v>
      </c>
      <c r="M151" s="473" t="e">
        <f aca="false">K151*L151</f>
        <v>#NAME?</v>
      </c>
      <c r="N151" s="473" t="e">
        <f aca="false">K151+M151</f>
        <v>#NAME?</v>
      </c>
      <c r="O151" s="473" t="e">
        <f aca="false">M151</f>
        <v>#NAME?</v>
      </c>
    </row>
    <row r="152" s="461" customFormat="true" ht="30" hidden="false" customHeight="false" outlineLevel="0" collapsed="false">
      <c r="A152" s="327" t="s">
        <v>251</v>
      </c>
      <c r="B152" s="325" t="s">
        <v>2973</v>
      </c>
      <c r="C152" s="472" t="e">
        <f aca="false">мат.затр!g1368</f>
        <v>#NAME?</v>
      </c>
      <c r="D152" s="472" t="n">
        <f aca="false">тарифик!J153</f>
        <v>7379.51807228916</v>
      </c>
      <c r="E152" s="472"/>
      <c r="F152" s="473" t="n">
        <f aca="false">D152*0.9*0.095+D152*3%</f>
        <v>852.334337349397</v>
      </c>
      <c r="G152" s="472" t="n">
        <f aca="false">амортизация!M331</f>
        <v>143.065502751748</v>
      </c>
      <c r="H152" s="473" t="e">
        <f aca="false">C152+D152+F152+G152</f>
        <v>#NAME?</v>
      </c>
      <c r="I152" s="462" t="n">
        <f aca="false">I$190</f>
        <v>0.240474587202079</v>
      </c>
      <c r="J152" s="473" t="n">
        <f aca="false">D152*I152</f>
        <v>1774.58656218402</v>
      </c>
      <c r="K152" s="473" t="e">
        <f aca="false">H152+J152</f>
        <v>#NAME?</v>
      </c>
      <c r="L152" s="462" t="n">
        <v>0.2</v>
      </c>
      <c r="M152" s="473" t="e">
        <f aca="false">K152*L152</f>
        <v>#NAME?</v>
      </c>
      <c r="N152" s="473" t="e">
        <f aca="false">K152+M152</f>
        <v>#NAME?</v>
      </c>
      <c r="O152" s="473" t="e">
        <f aca="false">M152</f>
        <v>#NAME?</v>
      </c>
    </row>
    <row r="153" s="461" customFormat="true" ht="15" hidden="false" customHeight="false" outlineLevel="0" collapsed="false">
      <c r="A153" s="327" t="s">
        <v>253</v>
      </c>
      <c r="B153" s="325" t="s">
        <v>2974</v>
      </c>
      <c r="C153" s="472" t="e">
        <f aca="false">мат.затр!g1380</f>
        <v>#NAME?</v>
      </c>
      <c r="D153" s="472" t="n">
        <f aca="false">тарифик!J154</f>
        <v>7379.51807228916</v>
      </c>
      <c r="E153" s="472"/>
      <c r="F153" s="473" t="n">
        <f aca="false">D153*0.9*0.095+D153*3%</f>
        <v>852.334337349397</v>
      </c>
      <c r="G153" s="472" t="n">
        <f aca="false">амортизация!M334</f>
        <v>87.140803956567</v>
      </c>
      <c r="H153" s="473" t="e">
        <f aca="false">C153+D153+F153+G153</f>
        <v>#NAME?</v>
      </c>
      <c r="I153" s="462" t="n">
        <f aca="false">I$190</f>
        <v>0.240474587202079</v>
      </c>
      <c r="J153" s="473" t="n">
        <f aca="false">D153*I153</f>
        <v>1774.58656218402</v>
      </c>
      <c r="K153" s="473" t="e">
        <f aca="false">H153+J153</f>
        <v>#NAME?</v>
      </c>
      <c r="L153" s="462" t="n">
        <v>0.2</v>
      </c>
      <c r="M153" s="473" t="e">
        <f aca="false">K153*L153</f>
        <v>#NAME?</v>
      </c>
      <c r="N153" s="473" t="e">
        <f aca="false">K153+M153</f>
        <v>#NAME?</v>
      </c>
      <c r="O153" s="473" t="e">
        <f aca="false">M153</f>
        <v>#NAME?</v>
      </c>
    </row>
    <row r="154" s="461" customFormat="true" ht="30" hidden="false" customHeight="false" outlineLevel="0" collapsed="false">
      <c r="A154" s="327" t="s">
        <v>255</v>
      </c>
      <c r="B154" s="325" t="s">
        <v>2975</v>
      </c>
      <c r="C154" s="472" t="e">
        <f aca="false">мат.затр!g1392</f>
        <v>#NAME?</v>
      </c>
      <c r="D154" s="472" t="n">
        <f aca="false">тарифик!J155</f>
        <v>7379.51807228916</v>
      </c>
      <c r="E154" s="472"/>
      <c r="F154" s="473" t="n">
        <f aca="false">D154*0.9*0.095+D154*3%</f>
        <v>852.334337349397</v>
      </c>
      <c r="G154" s="472" t="n">
        <f aca="false">амортизация!M337</f>
        <v>1656.77976721702</v>
      </c>
      <c r="H154" s="473" t="e">
        <f aca="false">C154+D154+F154+G154</f>
        <v>#NAME?</v>
      </c>
      <c r="I154" s="462" t="n">
        <f aca="false">I$190</f>
        <v>0.240474587202079</v>
      </c>
      <c r="J154" s="473" t="n">
        <f aca="false">D154*I154</f>
        <v>1774.58656218402</v>
      </c>
      <c r="K154" s="473" t="e">
        <f aca="false">H154+J154</f>
        <v>#NAME?</v>
      </c>
      <c r="L154" s="462" t="n">
        <v>0.2</v>
      </c>
      <c r="M154" s="473" t="e">
        <f aca="false">K154*L154</f>
        <v>#NAME?</v>
      </c>
      <c r="N154" s="473" t="e">
        <f aca="false">K154+M154</f>
        <v>#NAME?</v>
      </c>
      <c r="O154" s="473" t="e">
        <f aca="false">M154</f>
        <v>#NAME?</v>
      </c>
    </row>
    <row r="155" s="461" customFormat="true" ht="45" hidden="false" customHeight="false" outlineLevel="0" collapsed="false">
      <c r="A155" s="327" t="s">
        <v>257</v>
      </c>
      <c r="B155" s="433" t="s">
        <v>2976</v>
      </c>
      <c r="C155" s="472" t="e">
        <f aca="false">мат.затр!g1400</f>
        <v>#NAME?</v>
      </c>
      <c r="D155" s="472" t="n">
        <f aca="false">тарифик!J156</f>
        <v>742.135207496653</v>
      </c>
      <c r="E155" s="472"/>
      <c r="F155" s="473" t="n">
        <f aca="false">D155*0.9*0.095+D155*3%</f>
        <v>85.7166164658635</v>
      </c>
      <c r="G155" s="472" t="n">
        <f aca="false">амортизация!M340</f>
        <v>8.7850475977986</v>
      </c>
      <c r="H155" s="473" t="e">
        <f aca="false">C155+D155+F155+G155</f>
        <v>#NAME?</v>
      </c>
      <c r="I155" s="462" t="n">
        <f aca="false">I$190</f>
        <v>0.240474587202079</v>
      </c>
      <c r="J155" s="473" t="n">
        <f aca="false">D155*I155</f>
        <v>178.464657670887</v>
      </c>
      <c r="K155" s="473" t="e">
        <f aca="false">H155+J155</f>
        <v>#NAME?</v>
      </c>
      <c r="L155" s="462" t="n">
        <v>0.2</v>
      </c>
      <c r="M155" s="473" t="e">
        <f aca="false">K155*L155</f>
        <v>#NAME?</v>
      </c>
      <c r="N155" s="473" t="e">
        <f aca="false">K155+M155</f>
        <v>#NAME?</v>
      </c>
      <c r="O155" s="473" t="e">
        <f aca="false">M155</f>
        <v>#NAME?</v>
      </c>
    </row>
    <row r="156" s="461" customFormat="true" ht="15" hidden="false" customHeight="false" outlineLevel="0" collapsed="false">
      <c r="A156" s="327" t="s">
        <v>259</v>
      </c>
      <c r="B156" s="433" t="s">
        <v>2977</v>
      </c>
      <c r="C156" s="472" t="e">
        <f aca="false">мат.затр!g1408</f>
        <v>#NAME?</v>
      </c>
      <c r="D156" s="472" t="n">
        <f aca="false">тарифик!J157</f>
        <v>585.676037483266</v>
      </c>
      <c r="E156" s="472"/>
      <c r="F156" s="473" t="n">
        <f aca="false">D156*0.9*0.095+D156*3%</f>
        <v>67.6455823293173</v>
      </c>
      <c r="G156" s="472" t="n">
        <f aca="false">амортизация!M341</f>
        <v>3.25375576379592</v>
      </c>
      <c r="H156" s="473" t="e">
        <f aca="false">C156+D156+F156+G156</f>
        <v>#NAME?</v>
      </c>
      <c r="I156" s="462" t="n">
        <f aca="false">I$190</f>
        <v>0.240474587202079</v>
      </c>
      <c r="J156" s="473" t="n">
        <f aca="false">D156*I156</f>
        <v>140.840203347938</v>
      </c>
      <c r="K156" s="473" t="e">
        <f aca="false">H156+J156</f>
        <v>#NAME?</v>
      </c>
      <c r="L156" s="462" t="n">
        <v>0.2</v>
      </c>
      <c r="M156" s="473" t="e">
        <f aca="false">K156*L156</f>
        <v>#NAME?</v>
      </c>
      <c r="N156" s="473" t="e">
        <f aca="false">K156+M156</f>
        <v>#NAME?</v>
      </c>
      <c r="O156" s="473" t="e">
        <f aca="false">M156</f>
        <v>#NAME?</v>
      </c>
    </row>
    <row r="157" s="461" customFormat="true" ht="15" hidden="false" customHeight="false" outlineLevel="0" collapsed="false">
      <c r="A157" s="327" t="s">
        <v>261</v>
      </c>
      <c r="B157" s="476" t="s">
        <v>2978</v>
      </c>
      <c r="C157" s="472" t="e">
        <f aca="false">мат.затр!g1409</f>
        <v>#NAME?</v>
      </c>
      <c r="D157" s="472" t="n">
        <f aca="false">тарифик!J158</f>
        <v>432.284694332887</v>
      </c>
      <c r="E157" s="472"/>
      <c r="F157" s="473" t="n">
        <f aca="false">D157*0.9*0.095+D157*3%</f>
        <v>49.9288821954485</v>
      </c>
      <c r="G157" s="472" t="n">
        <f aca="false">амортизация!M342</f>
        <v>3.25375576379592</v>
      </c>
      <c r="H157" s="473" t="e">
        <f aca="false">C157+D157+F157+G157</f>
        <v>#NAME?</v>
      </c>
      <c r="I157" s="462" t="n">
        <f aca="false">I$190</f>
        <v>0.240474587202079</v>
      </c>
      <c r="J157" s="473" t="n">
        <f aca="false">D157*I157</f>
        <v>103.953483423478</v>
      </c>
      <c r="K157" s="473" t="e">
        <f aca="false">H157+J157</f>
        <v>#NAME?</v>
      </c>
      <c r="L157" s="462" t="n">
        <v>0.2</v>
      </c>
      <c r="M157" s="473" t="e">
        <f aca="false">K157*L157</f>
        <v>#NAME?</v>
      </c>
      <c r="N157" s="473" t="e">
        <f aca="false">K157+M157</f>
        <v>#NAME?</v>
      </c>
      <c r="O157" s="473" t="e">
        <f aca="false">M157</f>
        <v>#NAME?</v>
      </c>
    </row>
    <row r="158" s="461" customFormat="true" ht="85.5" hidden="false" customHeight="false" outlineLevel="0" collapsed="false">
      <c r="A158" s="477" t="s">
        <v>263</v>
      </c>
      <c r="B158" s="478" t="s">
        <v>2979</v>
      </c>
      <c r="C158" s="468"/>
      <c r="D158" s="468"/>
      <c r="E158" s="468"/>
      <c r="F158" s="468"/>
      <c r="G158" s="468"/>
      <c r="H158" s="468"/>
      <c r="I158" s="469"/>
      <c r="J158" s="470"/>
      <c r="K158" s="470"/>
      <c r="L158" s="469"/>
      <c r="M158" s="468"/>
      <c r="N158" s="468"/>
      <c r="O158" s="468"/>
    </row>
    <row r="159" s="461" customFormat="true" ht="15" hidden="false" customHeight="false" outlineLevel="0" collapsed="false">
      <c r="A159" s="479" t="s">
        <v>265</v>
      </c>
      <c r="B159" s="480" t="s">
        <v>2980</v>
      </c>
      <c r="C159" s="472" t="e">
        <f aca="false">мат.затр!g1417</f>
        <v>#NAME?</v>
      </c>
      <c r="D159" s="472" t="n">
        <f aca="false">тарифик!J160</f>
        <v>502.008032128514</v>
      </c>
      <c r="E159" s="472"/>
      <c r="F159" s="473" t="n">
        <f aca="false">D159*0.9*0.095+D159*3%</f>
        <v>57.9819277108434</v>
      </c>
      <c r="G159" s="472" t="n">
        <f aca="false">амортизация!M344</f>
        <v>0</v>
      </c>
      <c r="H159" s="473" t="e">
        <f aca="false">C159+D159+F159+G159</f>
        <v>#NAME?</v>
      </c>
      <c r="I159" s="462" t="n">
        <f aca="false">I$190</f>
        <v>0.240474587202079</v>
      </c>
      <c r="J159" s="473" t="n">
        <f aca="false">D159*I159</f>
        <v>120.720174298232</v>
      </c>
      <c r="K159" s="473" t="e">
        <f aca="false">H159+J159</f>
        <v>#NAME?</v>
      </c>
      <c r="L159" s="462" t="n">
        <v>0.2</v>
      </c>
      <c r="M159" s="473" t="e">
        <f aca="false">K159*L159</f>
        <v>#NAME?</v>
      </c>
      <c r="N159" s="473" t="e">
        <f aca="false">K159+M159</f>
        <v>#NAME?</v>
      </c>
      <c r="O159" s="473" t="e">
        <f aca="false">M159</f>
        <v>#NAME?</v>
      </c>
    </row>
    <row r="160" s="461" customFormat="true" ht="15" hidden="false" customHeight="false" outlineLevel="0" collapsed="false">
      <c r="A160" s="479" t="s">
        <v>267</v>
      </c>
      <c r="B160" s="480" t="s">
        <v>2981</v>
      </c>
      <c r="C160" s="472" t="e">
        <f aca="false">мат.затр!g1424</f>
        <v>#NAME?</v>
      </c>
      <c r="D160" s="472" t="n">
        <f aca="false">тарифик!J161</f>
        <v>502.008032128514</v>
      </c>
      <c r="E160" s="472"/>
      <c r="F160" s="473" t="n">
        <f aca="false">D160*0.9*0.095+D160*3%</f>
        <v>57.9819277108434</v>
      </c>
      <c r="G160" s="472" t="n">
        <f aca="false">амортизация!M345</f>
        <v>0</v>
      </c>
      <c r="H160" s="473" t="e">
        <f aca="false">C160+D160+F160+G160</f>
        <v>#NAME?</v>
      </c>
      <c r="I160" s="462" t="n">
        <f aca="false">I$190</f>
        <v>0.240474587202079</v>
      </c>
      <c r="J160" s="473" t="n">
        <f aca="false">D160*I160</f>
        <v>120.720174298232</v>
      </c>
      <c r="K160" s="473" t="e">
        <f aca="false">H160+J160</f>
        <v>#NAME?</v>
      </c>
      <c r="L160" s="462" t="n">
        <v>0.2</v>
      </c>
      <c r="M160" s="473" t="e">
        <f aca="false">K160*L160</f>
        <v>#NAME?</v>
      </c>
      <c r="N160" s="473" t="e">
        <f aca="false">K160+M160</f>
        <v>#NAME?</v>
      </c>
      <c r="O160" s="473" t="e">
        <f aca="false">M160</f>
        <v>#NAME?</v>
      </c>
    </row>
    <row r="161" s="461" customFormat="true" ht="15" hidden="false" customHeight="false" outlineLevel="0" collapsed="false">
      <c r="A161" s="479" t="s">
        <v>268</v>
      </c>
      <c r="B161" s="480" t="s">
        <v>2881</v>
      </c>
      <c r="C161" s="472" t="e">
        <f aca="false">мат.затр!g1431</f>
        <v>#NAME?</v>
      </c>
      <c r="D161" s="472" t="n">
        <f aca="false">тарифик!J162</f>
        <v>502.008032128514</v>
      </c>
      <c r="E161" s="472"/>
      <c r="F161" s="473" t="n">
        <f aca="false">D161*0.9*0.095+D161*3%</f>
        <v>57.9819277108434</v>
      </c>
      <c r="G161" s="472" t="n">
        <f aca="false">амортизация!M346</f>
        <v>0</v>
      </c>
      <c r="H161" s="473" t="e">
        <f aca="false">C161+D161+F161+G161</f>
        <v>#NAME?</v>
      </c>
      <c r="I161" s="462" t="n">
        <f aca="false">I$190</f>
        <v>0.240474587202079</v>
      </c>
      <c r="J161" s="473" t="n">
        <f aca="false">D161*I161</f>
        <v>120.720174298232</v>
      </c>
      <c r="K161" s="473" t="e">
        <f aca="false">H161+J161</f>
        <v>#NAME?</v>
      </c>
      <c r="L161" s="462" t="n">
        <v>0.2</v>
      </c>
      <c r="M161" s="473" t="e">
        <f aca="false">K161*L161</f>
        <v>#NAME?</v>
      </c>
      <c r="N161" s="473" t="e">
        <f aca="false">K161+M161</f>
        <v>#NAME?</v>
      </c>
      <c r="O161" s="473" t="e">
        <f aca="false">M161</f>
        <v>#NAME?</v>
      </c>
    </row>
    <row r="162" s="461" customFormat="true" ht="15" hidden="false" customHeight="false" outlineLevel="0" collapsed="false">
      <c r="A162" s="479" t="s">
        <v>269</v>
      </c>
      <c r="B162" s="481" t="s">
        <v>2982</v>
      </c>
      <c r="C162" s="472" t="e">
        <f aca="false">мат.затр!g1439</f>
        <v>#NAME?</v>
      </c>
      <c r="D162" s="472" t="n">
        <f aca="false">тарифик!J163</f>
        <v>828.313253012048</v>
      </c>
      <c r="E162" s="472"/>
      <c r="F162" s="473" t="n">
        <f aca="false">D162*0.9*0.095+D162*3%</f>
        <v>95.6701807228916</v>
      </c>
      <c r="G162" s="472" t="n">
        <f aca="false">амортизация!M349</f>
        <v>2.90327978580991</v>
      </c>
      <c r="H162" s="473" t="e">
        <f aca="false">C162+D162+F162+G162</f>
        <v>#NAME?</v>
      </c>
      <c r="I162" s="462" t="n">
        <f aca="false">I$190</f>
        <v>0.240474587202079</v>
      </c>
      <c r="J162" s="473" t="n">
        <f aca="false">D162*I162</f>
        <v>199.188287592083</v>
      </c>
      <c r="K162" s="473" t="e">
        <f aca="false">H162+J162</f>
        <v>#NAME?</v>
      </c>
      <c r="L162" s="462" t="n">
        <v>0.2</v>
      </c>
      <c r="M162" s="473" t="e">
        <f aca="false">K162*L162</f>
        <v>#NAME?</v>
      </c>
      <c r="N162" s="473" t="e">
        <f aca="false">K162+M162</f>
        <v>#NAME?</v>
      </c>
      <c r="O162" s="473" t="e">
        <f aca="false">M162</f>
        <v>#NAME?</v>
      </c>
    </row>
    <row r="163" s="461" customFormat="true" ht="15" hidden="false" customHeight="false" outlineLevel="0" collapsed="false">
      <c r="A163" s="479" t="s">
        <v>271</v>
      </c>
      <c r="B163" s="480" t="s">
        <v>2983</v>
      </c>
      <c r="C163" s="472" t="e">
        <f aca="false">мат.затр!g1447</f>
        <v>#NAME?</v>
      </c>
      <c r="D163" s="472" t="n">
        <f aca="false">тарифик!J164</f>
        <v>401.606425702811</v>
      </c>
      <c r="E163" s="472"/>
      <c r="F163" s="473" t="n">
        <f aca="false">D163*0.9*0.095+D163*3%</f>
        <v>46.3855421686747</v>
      </c>
      <c r="G163" s="472" t="n">
        <f aca="false">амортизация!M352</f>
        <v>2.05451435371114</v>
      </c>
      <c r="H163" s="473" t="e">
        <f aca="false">C163+D163+F163+G163</f>
        <v>#NAME?</v>
      </c>
      <c r="I163" s="462" t="n">
        <f aca="false">I$190</f>
        <v>0.240474587202079</v>
      </c>
      <c r="J163" s="473" t="n">
        <f aca="false">D163*I163</f>
        <v>96.5761394385859</v>
      </c>
      <c r="K163" s="473" t="e">
        <f aca="false">H163+J163</f>
        <v>#NAME?</v>
      </c>
      <c r="L163" s="462" t="n">
        <v>0.2</v>
      </c>
      <c r="M163" s="473" t="e">
        <f aca="false">K163*L163</f>
        <v>#NAME?</v>
      </c>
      <c r="N163" s="473" t="e">
        <f aca="false">K163+M163</f>
        <v>#NAME?</v>
      </c>
      <c r="O163" s="473" t="e">
        <f aca="false">M163</f>
        <v>#NAME?</v>
      </c>
    </row>
    <row r="164" s="461" customFormat="true" ht="15" hidden="false" customHeight="false" outlineLevel="0" collapsed="false">
      <c r="A164" s="479" t="s">
        <v>273</v>
      </c>
      <c r="B164" s="480" t="s">
        <v>2984</v>
      </c>
      <c r="C164" s="472" t="e">
        <f aca="false">мат.затр!g1453</f>
        <v>#NAME?</v>
      </c>
      <c r="D164" s="472" t="n">
        <f aca="false">тарифик!J165</f>
        <v>819.946452476573</v>
      </c>
      <c r="E164" s="472"/>
      <c r="F164" s="473" t="n">
        <f aca="false">D164*0.9*0.095+D164*3%</f>
        <v>94.7038152610442</v>
      </c>
      <c r="G164" s="472" t="n">
        <f aca="false">амортизация!M355</f>
        <v>1.09233694035401</v>
      </c>
      <c r="H164" s="473" t="e">
        <f aca="false">C164+D164+F164+G164</f>
        <v>#NAME?</v>
      </c>
      <c r="I164" s="462" t="n">
        <f aca="false">I$190</f>
        <v>0.240474587202079</v>
      </c>
      <c r="J164" s="473" t="n">
        <f aca="false">D164*I164</f>
        <v>197.176284687113</v>
      </c>
      <c r="K164" s="473" t="e">
        <f aca="false">H164+J164</f>
        <v>#NAME?</v>
      </c>
      <c r="L164" s="462" t="n">
        <v>0.2</v>
      </c>
      <c r="M164" s="473" t="e">
        <f aca="false">K164*L164</f>
        <v>#NAME?</v>
      </c>
      <c r="N164" s="473" t="e">
        <f aca="false">K164+M164</f>
        <v>#NAME?</v>
      </c>
      <c r="O164" s="473" t="e">
        <f aca="false">M164</f>
        <v>#NAME?</v>
      </c>
    </row>
    <row r="165" s="485" customFormat="true" ht="15" hidden="false" customHeight="false" outlineLevel="0" collapsed="false">
      <c r="A165" s="482" t="s">
        <v>275</v>
      </c>
      <c r="B165" s="483" t="s">
        <v>2985</v>
      </c>
      <c r="C165" s="484" t="e">
        <f aca="false">мат.затр!g1461</f>
        <v>#NAME?</v>
      </c>
      <c r="D165" s="472" t="n">
        <f aca="false">тарифик!J166</f>
        <v>376.506024096386</v>
      </c>
      <c r="E165" s="484"/>
      <c r="F165" s="473" t="n">
        <f aca="false">D165*0.9*0.095+D165*3%</f>
        <v>43.4864457831325</v>
      </c>
      <c r="G165" s="484" t="n">
        <f aca="false">амортизация!M358</f>
        <v>2.44662910902871</v>
      </c>
      <c r="H165" s="473" t="e">
        <f aca="false">C165+D165+F165+G165</f>
        <v>#NAME?</v>
      </c>
      <c r="I165" s="462" t="n">
        <f aca="false">I$190</f>
        <v>0.240474587202079</v>
      </c>
      <c r="J165" s="473" t="n">
        <f aca="false">D165*I165</f>
        <v>90.5401307236743</v>
      </c>
      <c r="K165" s="473" t="e">
        <f aca="false">H165+J165</f>
        <v>#NAME?</v>
      </c>
      <c r="L165" s="462" t="n">
        <v>0.2</v>
      </c>
      <c r="M165" s="473" t="e">
        <f aca="false">K165*L165</f>
        <v>#NAME?</v>
      </c>
      <c r="N165" s="473" t="e">
        <f aca="false">K165+M165</f>
        <v>#NAME?</v>
      </c>
      <c r="O165" s="473" t="e">
        <f aca="false">M165</f>
        <v>#NAME?</v>
      </c>
    </row>
    <row r="166" s="485" customFormat="true" ht="15" hidden="false" customHeight="false" outlineLevel="0" collapsed="false">
      <c r="A166" s="482" t="s">
        <v>277</v>
      </c>
      <c r="B166" s="483" t="s">
        <v>2986</v>
      </c>
      <c r="C166" s="484" t="e">
        <f aca="false">мат.затр!g1469</f>
        <v>#NAME?</v>
      </c>
      <c r="D166" s="472" t="n">
        <f aca="false">тарифик!J167</f>
        <v>1706.82730923695</v>
      </c>
      <c r="E166" s="484"/>
      <c r="F166" s="473" t="n">
        <f aca="false">D166*0.9*0.095+D166*3%</f>
        <v>197.138554216867</v>
      </c>
      <c r="G166" s="484" t="n">
        <f aca="false">амортизация!M361</f>
        <v>5.19976201100699</v>
      </c>
      <c r="H166" s="473" t="e">
        <f aca="false">C166+D166+F166+G166</f>
        <v>#NAME?</v>
      </c>
      <c r="I166" s="462" t="n">
        <f aca="false">I$190</f>
        <v>0.240474587202079</v>
      </c>
      <c r="J166" s="473" t="n">
        <f aca="false">D166*I166</f>
        <v>410.44859261399</v>
      </c>
      <c r="K166" s="473" t="e">
        <f aca="false">H166+J166</f>
        <v>#NAME?</v>
      </c>
      <c r="L166" s="462" t="n">
        <v>0.2</v>
      </c>
      <c r="M166" s="473" t="e">
        <f aca="false">K166*L166</f>
        <v>#NAME?</v>
      </c>
      <c r="N166" s="473" t="e">
        <f aca="false">K166+M166</f>
        <v>#NAME?</v>
      </c>
      <c r="O166" s="473" t="e">
        <f aca="false">M166</f>
        <v>#NAME?</v>
      </c>
    </row>
    <row r="167" s="485" customFormat="true" ht="45" hidden="false" customHeight="false" outlineLevel="0" collapsed="false">
      <c r="A167" s="482" t="s">
        <v>279</v>
      </c>
      <c r="B167" s="483" t="s">
        <v>2987</v>
      </c>
      <c r="C167" s="484" t="e">
        <f aca="false">мат.затр!g1481</f>
        <v>#NAME?</v>
      </c>
      <c r="D167" s="472" t="n">
        <f aca="false">тарифик!J168</f>
        <v>2409.63855421687</v>
      </c>
      <c r="E167" s="484"/>
      <c r="F167" s="473" t="n">
        <f aca="false">D167*0.9*0.095+D167*3%</f>
        <v>278.313253012048</v>
      </c>
      <c r="G167" s="484" t="n">
        <f aca="false">амортизация!M364</f>
        <v>2.15677524914473</v>
      </c>
      <c r="H167" s="473" t="e">
        <f aca="false">C167+D167+F167+G167</f>
        <v>#NAME?</v>
      </c>
      <c r="I167" s="462" t="n">
        <f aca="false">I$190</f>
        <v>0.240474587202079</v>
      </c>
      <c r="J167" s="473" t="n">
        <f aca="false">D167*I167</f>
        <v>579.456836631516</v>
      </c>
      <c r="K167" s="473" t="e">
        <f aca="false">H167+J167</f>
        <v>#NAME?</v>
      </c>
      <c r="L167" s="462" t="n">
        <v>0.2</v>
      </c>
      <c r="M167" s="473" t="e">
        <f aca="false">K167*L167</f>
        <v>#NAME?</v>
      </c>
      <c r="N167" s="473" t="e">
        <f aca="false">K167+M167</f>
        <v>#NAME?</v>
      </c>
      <c r="O167" s="473" t="e">
        <f aca="false">M167</f>
        <v>#NAME?</v>
      </c>
    </row>
    <row r="168" s="461" customFormat="true" ht="30" hidden="false" customHeight="false" outlineLevel="0" collapsed="false">
      <c r="A168" s="479" t="s">
        <v>281</v>
      </c>
      <c r="B168" s="480" t="s">
        <v>2988</v>
      </c>
      <c r="C168" s="472" t="e">
        <f aca="false">мат.затр!g1492</f>
        <v>#NAME?</v>
      </c>
      <c r="D168" s="472" t="n">
        <f aca="false">тарифик!J169</f>
        <v>2409.63855421687</v>
      </c>
      <c r="E168" s="472"/>
      <c r="F168" s="473" t="n">
        <f aca="false">D168*0.9*0.095+D168*3%</f>
        <v>278.313253012048</v>
      </c>
      <c r="G168" s="472" t="n">
        <f aca="false">амортизация!M370</f>
        <v>4.31355049828945</v>
      </c>
      <c r="H168" s="473" t="e">
        <f aca="false">C168+D168+F168+G168</f>
        <v>#NAME?</v>
      </c>
      <c r="I168" s="462" t="n">
        <f aca="false">I$190</f>
        <v>0.240474587202079</v>
      </c>
      <c r="J168" s="473" t="n">
        <f aca="false">D168*I168</f>
        <v>579.456836631516</v>
      </c>
      <c r="K168" s="473" t="e">
        <f aca="false">H168+J168</f>
        <v>#NAME?</v>
      </c>
      <c r="L168" s="462" t="n">
        <v>0.2</v>
      </c>
      <c r="M168" s="473" t="e">
        <f aca="false">K168*L168</f>
        <v>#NAME?</v>
      </c>
      <c r="N168" s="473" t="e">
        <f aca="false">K168+M168</f>
        <v>#NAME?</v>
      </c>
      <c r="O168" s="473" t="e">
        <f aca="false">M168</f>
        <v>#NAME?</v>
      </c>
    </row>
    <row r="169" s="461" customFormat="true" ht="30" hidden="false" customHeight="false" outlineLevel="0" collapsed="false">
      <c r="A169" s="479" t="s">
        <v>283</v>
      </c>
      <c r="B169" s="480" t="s">
        <v>4097</v>
      </c>
      <c r="C169" s="472" t="e">
        <f aca="false">мат.затр!g1503</f>
        <v>#NAME?</v>
      </c>
      <c r="D169" s="472" t="n">
        <f aca="false">тарифик!J170</f>
        <v>2409.63855421687</v>
      </c>
      <c r="E169" s="472"/>
      <c r="F169" s="473" t="n">
        <f aca="false">D169*0.9*0.095+D169*3%</f>
        <v>278.313253012048</v>
      </c>
      <c r="G169" s="472" t="n">
        <f aca="false">амортизация!M370</f>
        <v>4.31355049828945</v>
      </c>
      <c r="H169" s="473" t="e">
        <f aca="false">C169+D169+F169+G169</f>
        <v>#NAME?</v>
      </c>
      <c r="I169" s="462" t="n">
        <f aca="false">I$190</f>
        <v>0.240474587202079</v>
      </c>
      <c r="J169" s="473" t="n">
        <f aca="false">D169*I169</f>
        <v>579.456836631516</v>
      </c>
      <c r="K169" s="473" t="e">
        <f aca="false">H169+J169</f>
        <v>#NAME?</v>
      </c>
      <c r="L169" s="462" t="n">
        <v>0.2</v>
      </c>
      <c r="M169" s="473" t="e">
        <f aca="false">K169*L169</f>
        <v>#NAME?</v>
      </c>
      <c r="N169" s="473" t="e">
        <f aca="false">K169+M169</f>
        <v>#NAME?</v>
      </c>
      <c r="O169" s="473" t="e">
        <f aca="false">M169</f>
        <v>#NAME?</v>
      </c>
    </row>
    <row r="170" s="461" customFormat="true" ht="15" hidden="false" customHeight="false" outlineLevel="0" collapsed="false">
      <c r="A170" s="479" t="s">
        <v>285</v>
      </c>
      <c r="B170" s="480" t="s">
        <v>2990</v>
      </c>
      <c r="C170" s="472" t="e">
        <f aca="false">мат.затр!g1516</f>
        <v>#NAME?</v>
      </c>
      <c r="D170" s="472" t="n">
        <f aca="false">тарифик!J171</f>
        <v>1695.67157518965</v>
      </c>
      <c r="E170" s="472"/>
      <c r="F170" s="473" t="n">
        <f aca="false">D170*0.9*0.095+D170*3%</f>
        <v>195.850066934404</v>
      </c>
      <c r="G170" s="472" t="n">
        <f aca="false">амортизация!M373</f>
        <v>4.31355049828945</v>
      </c>
      <c r="H170" s="473" t="e">
        <f aca="false">C170+D170+F170+G170</f>
        <v>#NAME?</v>
      </c>
      <c r="I170" s="462" t="n">
        <f aca="false">I$190</f>
        <v>0.240474587202079</v>
      </c>
      <c r="J170" s="473" t="n">
        <f aca="false">D170*I170</f>
        <v>407.765922074029</v>
      </c>
      <c r="K170" s="473" t="e">
        <f aca="false">H170+J170</f>
        <v>#NAME?</v>
      </c>
      <c r="L170" s="462" t="n">
        <v>0.2</v>
      </c>
      <c r="M170" s="473" t="e">
        <f aca="false">K170*L170</f>
        <v>#NAME?</v>
      </c>
      <c r="N170" s="473" t="e">
        <f aca="false">K170+M170</f>
        <v>#NAME?</v>
      </c>
      <c r="O170" s="473" t="e">
        <f aca="false">M170</f>
        <v>#NAME?</v>
      </c>
    </row>
    <row r="171" s="461" customFormat="true" ht="15" hidden="false" customHeight="false" outlineLevel="0" collapsed="false">
      <c r="A171" s="479" t="s">
        <v>287</v>
      </c>
      <c r="B171" s="480" t="s">
        <v>2991</v>
      </c>
      <c r="C171" s="472" t="e">
        <f aca="false">мат.затр!g1529</f>
        <v>#NAME?</v>
      </c>
      <c r="D171" s="472" t="n">
        <f aca="false">тарифик!J172</f>
        <v>1695.67157518965</v>
      </c>
      <c r="E171" s="472"/>
      <c r="F171" s="473" t="n">
        <f aca="false">D171*0.9*0.095+D171*3%</f>
        <v>195.850066934404</v>
      </c>
      <c r="G171" s="472" t="n">
        <f aca="false">амортизация!M376</f>
        <v>4.31355049828945</v>
      </c>
      <c r="H171" s="473" t="e">
        <f aca="false">C171+D171+F171+G171</f>
        <v>#NAME?</v>
      </c>
      <c r="I171" s="462" t="n">
        <f aca="false">I$190</f>
        <v>0.240474587202079</v>
      </c>
      <c r="J171" s="473" t="n">
        <f aca="false">D171*I171</f>
        <v>407.765922074029</v>
      </c>
      <c r="K171" s="473" t="e">
        <f aca="false">H171+J171</f>
        <v>#NAME?</v>
      </c>
      <c r="L171" s="462" t="n">
        <v>0.2</v>
      </c>
      <c r="M171" s="473" t="e">
        <f aca="false">K171*L171</f>
        <v>#NAME?</v>
      </c>
      <c r="N171" s="473" t="e">
        <f aca="false">K171+M171</f>
        <v>#NAME?</v>
      </c>
      <c r="O171" s="473" t="e">
        <f aca="false">M171</f>
        <v>#NAME?</v>
      </c>
    </row>
    <row r="172" s="461" customFormat="true" ht="15" hidden="false" customHeight="false" outlineLevel="0" collapsed="false">
      <c r="A172" s="479" t="s">
        <v>289</v>
      </c>
      <c r="B172" s="480" t="s">
        <v>2992</v>
      </c>
      <c r="C172" s="472" t="e">
        <f aca="false">мат.затр!g1540</f>
        <v>#NAME?</v>
      </c>
      <c r="D172" s="472" t="n">
        <f aca="false">тарифик!J173</f>
        <v>1695.67157518965</v>
      </c>
      <c r="E172" s="472"/>
      <c r="F172" s="473" t="n">
        <f aca="false">D172*0.9*0.095+D172*3%</f>
        <v>195.850066934404</v>
      </c>
      <c r="G172" s="472" t="n">
        <f aca="false">амортизация!M379</f>
        <v>4.31355049828945</v>
      </c>
      <c r="H172" s="473" t="e">
        <f aca="false">C172+D172+F172+G172</f>
        <v>#NAME?</v>
      </c>
      <c r="I172" s="462" t="n">
        <f aca="false">I$190</f>
        <v>0.240474587202079</v>
      </c>
      <c r="J172" s="473" t="n">
        <f aca="false">D172*I172</f>
        <v>407.765922074029</v>
      </c>
      <c r="K172" s="473" t="e">
        <f aca="false">H172+J172</f>
        <v>#NAME?</v>
      </c>
      <c r="L172" s="462" t="n">
        <v>0.2</v>
      </c>
      <c r="M172" s="473" t="e">
        <f aca="false">K172*L172</f>
        <v>#NAME?</v>
      </c>
      <c r="N172" s="473" t="e">
        <f aca="false">K172+M172</f>
        <v>#NAME?</v>
      </c>
      <c r="O172" s="473" t="e">
        <f aca="false">M172</f>
        <v>#NAME?</v>
      </c>
    </row>
    <row r="173" s="461" customFormat="true" ht="15" hidden="false" customHeight="false" outlineLevel="0" collapsed="false">
      <c r="A173" s="479" t="s">
        <v>291</v>
      </c>
      <c r="B173" s="480" t="s">
        <v>2993</v>
      </c>
      <c r="C173" s="472" t="e">
        <f aca="false">мат.затр!g1551</f>
        <v>#NAME?</v>
      </c>
      <c r="D173" s="472" t="n">
        <f aca="false">тарифик!J174</f>
        <v>1907.63052208835</v>
      </c>
      <c r="E173" s="472"/>
      <c r="F173" s="473" t="n">
        <f aca="false">D173*0.9*0.095+D173*3%</f>
        <v>220.331325301205</v>
      </c>
      <c r="G173" s="472" t="n">
        <f aca="false">амортизация!M382</f>
        <v>4.31355049828945</v>
      </c>
      <c r="H173" s="473" t="e">
        <f aca="false">C173+D173+F173+G173</f>
        <v>#NAME?</v>
      </c>
      <c r="I173" s="462" t="n">
        <f aca="false">I$190</f>
        <v>0.240474587202079</v>
      </c>
      <c r="J173" s="473" t="n">
        <f aca="false">D173*I173</f>
        <v>458.736662333283</v>
      </c>
      <c r="K173" s="473" t="e">
        <f aca="false">H173+J173</f>
        <v>#NAME?</v>
      </c>
      <c r="L173" s="462" t="n">
        <v>0.2</v>
      </c>
      <c r="M173" s="473" t="e">
        <f aca="false">K173*L173</f>
        <v>#NAME?</v>
      </c>
      <c r="N173" s="473" t="e">
        <f aca="false">K173+M173</f>
        <v>#NAME?</v>
      </c>
      <c r="O173" s="473" t="e">
        <f aca="false">M173</f>
        <v>#NAME?</v>
      </c>
    </row>
    <row r="174" s="461" customFormat="true" ht="15" hidden="false" customHeight="false" outlineLevel="0" collapsed="false">
      <c r="A174" s="479" t="s">
        <v>293</v>
      </c>
      <c r="B174" s="480" t="s">
        <v>2994</v>
      </c>
      <c r="C174" s="472" t="e">
        <f aca="false">мат.затр!g1562</f>
        <v>#NAME?</v>
      </c>
      <c r="D174" s="472" t="n">
        <f aca="false">тарифик!J175</f>
        <v>2119.58946898706</v>
      </c>
      <c r="E174" s="472"/>
      <c r="F174" s="473" t="n">
        <f aca="false">D174*0.9*0.095+D174*3%</f>
        <v>244.812583668005</v>
      </c>
      <c r="G174" s="472" t="n">
        <f aca="false">амортизация!M385</f>
        <v>4.31355049828945</v>
      </c>
      <c r="H174" s="473" t="e">
        <f aca="false">C174+D174+F174+G174</f>
        <v>#NAME?</v>
      </c>
      <c r="I174" s="462" t="n">
        <f aca="false">I$190</f>
        <v>0.240474587202079</v>
      </c>
      <c r="J174" s="473" t="n">
        <f aca="false">D174*I174</f>
        <v>509.707402592537</v>
      </c>
      <c r="K174" s="473" t="e">
        <f aca="false">H174+J174</f>
        <v>#NAME?</v>
      </c>
      <c r="L174" s="462" t="n">
        <v>0.2</v>
      </c>
      <c r="M174" s="473" t="e">
        <f aca="false">K174*L174</f>
        <v>#NAME?</v>
      </c>
      <c r="N174" s="473" t="e">
        <f aca="false">K174+M174</f>
        <v>#NAME?</v>
      </c>
      <c r="O174" s="473" t="e">
        <f aca="false">M174</f>
        <v>#NAME?</v>
      </c>
    </row>
    <row r="175" s="461" customFormat="true" ht="15" hidden="false" customHeight="false" outlineLevel="0" collapsed="false">
      <c r="A175" s="479" t="s">
        <v>295</v>
      </c>
      <c r="B175" s="480" t="s">
        <v>2995</v>
      </c>
      <c r="C175" s="472" t="e">
        <f aca="false">мат.затр!g1575</f>
        <v>#NAME?</v>
      </c>
      <c r="D175" s="472" t="n">
        <f aca="false">тарифик!J176</f>
        <v>1907.63052208835</v>
      </c>
      <c r="E175" s="472"/>
      <c r="F175" s="473" t="n">
        <f aca="false">D175*0.9*0.095+D175*3%</f>
        <v>220.331325301205</v>
      </c>
      <c r="G175" s="472" t="n">
        <f aca="false">амортизация!M388</f>
        <v>4.31355049828945</v>
      </c>
      <c r="H175" s="473" t="e">
        <f aca="false">C175+D175+F175+G175</f>
        <v>#NAME?</v>
      </c>
      <c r="I175" s="462" t="n">
        <f aca="false">I$190</f>
        <v>0.240474587202079</v>
      </c>
      <c r="J175" s="473" t="n">
        <f aca="false">D175*I175</f>
        <v>458.736662333283</v>
      </c>
      <c r="K175" s="473" t="e">
        <f aca="false">H175+J175</f>
        <v>#NAME?</v>
      </c>
      <c r="L175" s="462" t="n">
        <v>0.2</v>
      </c>
      <c r="M175" s="473" t="e">
        <f aca="false">K175*L175</f>
        <v>#NAME?</v>
      </c>
      <c r="N175" s="473" t="e">
        <f aca="false">K175+M175</f>
        <v>#NAME?</v>
      </c>
      <c r="O175" s="473" t="e">
        <f aca="false">M175</f>
        <v>#NAME?</v>
      </c>
    </row>
    <row r="176" s="461" customFormat="true" ht="30" hidden="false" customHeight="false" outlineLevel="0" collapsed="false">
      <c r="A176" s="479" t="s">
        <v>297</v>
      </c>
      <c r="B176" s="480" t="s">
        <v>2996</v>
      </c>
      <c r="C176" s="472" t="e">
        <f aca="false">мат.затр!g1592</f>
        <v>#NAME?</v>
      </c>
      <c r="D176" s="472" t="n">
        <f aca="false">тарифик!J177</f>
        <v>2172.57920571174</v>
      </c>
      <c r="E176" s="472"/>
      <c r="F176" s="473" t="n">
        <f aca="false">D176*0.9*0.095+D176*3%</f>
        <v>250.932898259706</v>
      </c>
      <c r="G176" s="472" t="n">
        <f aca="false">амортизация!M391</f>
        <v>4.31355049828945</v>
      </c>
      <c r="H176" s="473" t="e">
        <f aca="false">C176+D176+F176+G176</f>
        <v>#NAME?</v>
      </c>
      <c r="I176" s="462" t="n">
        <f aca="false">I$190</f>
        <v>0.240474587202079</v>
      </c>
      <c r="J176" s="473" t="n">
        <f aca="false">D176*I176</f>
        <v>522.45008765735</v>
      </c>
      <c r="K176" s="473" t="e">
        <f aca="false">H176+J176</f>
        <v>#NAME?</v>
      </c>
      <c r="L176" s="462" t="n">
        <v>0.2</v>
      </c>
      <c r="M176" s="473" t="e">
        <f aca="false">K176*L176</f>
        <v>#NAME?</v>
      </c>
      <c r="N176" s="473" t="e">
        <f aca="false">K176+M176</f>
        <v>#NAME?</v>
      </c>
      <c r="O176" s="473" t="e">
        <f aca="false">M176</f>
        <v>#NAME?</v>
      </c>
    </row>
    <row r="177" s="461" customFormat="true" ht="15" hidden="false" customHeight="false" outlineLevel="0" collapsed="false">
      <c r="A177" s="479" t="s">
        <v>299</v>
      </c>
      <c r="B177" s="480" t="s">
        <v>2997</v>
      </c>
      <c r="C177" s="472" t="e">
        <f aca="false">мат.затр!g1609</f>
        <v>#NAME?</v>
      </c>
      <c r="D177" s="472" t="n">
        <f aca="false">тарифик!J178</f>
        <v>2172.57920571174</v>
      </c>
      <c r="E177" s="472"/>
      <c r="F177" s="473" t="n">
        <f aca="false">D177*0.9*0.095+D177*3%</f>
        <v>250.932898259706</v>
      </c>
      <c r="G177" s="472" t="n">
        <f aca="false">амортизация!M394</f>
        <v>4.31355049828945</v>
      </c>
      <c r="H177" s="473" t="e">
        <f aca="false">C177+D177+F177+G177</f>
        <v>#NAME?</v>
      </c>
      <c r="I177" s="462" t="n">
        <f aca="false">I$190</f>
        <v>0.240474587202079</v>
      </c>
      <c r="J177" s="473" t="n">
        <f aca="false">D177*I177</f>
        <v>522.45008765735</v>
      </c>
      <c r="K177" s="473" t="e">
        <f aca="false">H177+J177</f>
        <v>#NAME?</v>
      </c>
      <c r="L177" s="462" t="n">
        <v>0.2</v>
      </c>
      <c r="M177" s="473" t="e">
        <f aca="false">K177*L177</f>
        <v>#NAME?</v>
      </c>
      <c r="N177" s="473" t="e">
        <f aca="false">K177+M177</f>
        <v>#NAME?</v>
      </c>
      <c r="O177" s="473" t="e">
        <f aca="false">M177</f>
        <v>#NAME?</v>
      </c>
    </row>
    <row r="178" s="461" customFormat="true" ht="30" hidden="false" customHeight="false" outlineLevel="0" collapsed="false">
      <c r="A178" s="479" t="s">
        <v>301</v>
      </c>
      <c r="B178" s="480" t="s">
        <v>2998</v>
      </c>
      <c r="C178" s="472" t="e">
        <f aca="false">мат.затр!g1623</f>
        <v>#NAME?</v>
      </c>
      <c r="D178" s="472" t="n">
        <f aca="false">тарифик!J179</f>
        <v>2225.56894243641</v>
      </c>
      <c r="E178" s="472"/>
      <c r="F178" s="473" t="n">
        <f aca="false">D178*0.9*0.095+D178*3%</f>
        <v>257.053212851406</v>
      </c>
      <c r="G178" s="472" t="n">
        <f aca="false">амортизация!M398</f>
        <v>2.15677524914473</v>
      </c>
      <c r="H178" s="473" t="e">
        <f aca="false">C178+D178+F178+G178</f>
        <v>#NAME?</v>
      </c>
      <c r="I178" s="462" t="n">
        <f aca="false">I$190</f>
        <v>0.240474587202079</v>
      </c>
      <c r="J178" s="473" t="n">
        <f aca="false">D178*I178</f>
        <v>535.192772722164</v>
      </c>
      <c r="K178" s="473" t="e">
        <f aca="false">H178+J178</f>
        <v>#NAME?</v>
      </c>
      <c r="L178" s="462" t="n">
        <v>0.2</v>
      </c>
      <c r="M178" s="473" t="e">
        <f aca="false">K178*L178</f>
        <v>#NAME?</v>
      </c>
      <c r="N178" s="473" t="e">
        <f aca="false">K178+M178</f>
        <v>#NAME?</v>
      </c>
      <c r="O178" s="473" t="e">
        <f aca="false">M178</f>
        <v>#NAME?</v>
      </c>
    </row>
    <row r="179" s="461" customFormat="true" ht="15" hidden="false" customHeight="false" outlineLevel="0" collapsed="false">
      <c r="A179" s="479" t="s">
        <v>303</v>
      </c>
      <c r="B179" s="480" t="s">
        <v>2999</v>
      </c>
      <c r="C179" s="472" t="e">
        <f aca="false">мат.затр!g1632</f>
        <v>#NAME?</v>
      </c>
      <c r="D179" s="472" t="n">
        <f aca="false">тарифик!J180</f>
        <v>1757.0281124498</v>
      </c>
      <c r="E179" s="472"/>
      <c r="F179" s="473" t="n">
        <f aca="false">D179*0.9*0.095+D179*3%</f>
        <v>202.936746987952</v>
      </c>
      <c r="G179" s="472" t="n">
        <f aca="false">амортизация!M401</f>
        <v>4.31355049828945</v>
      </c>
      <c r="H179" s="473" t="e">
        <f aca="false">C179+D179+F179+G179</f>
        <v>#NAME?</v>
      </c>
      <c r="I179" s="462" t="n">
        <f aca="false">I$190</f>
        <v>0.240474587202079</v>
      </c>
      <c r="J179" s="473" t="n">
        <f aca="false">D179*I179</f>
        <v>422.520610043813</v>
      </c>
      <c r="K179" s="473" t="e">
        <f aca="false">H179+J179</f>
        <v>#NAME?</v>
      </c>
      <c r="L179" s="462" t="n">
        <v>0.2</v>
      </c>
      <c r="M179" s="473" t="e">
        <f aca="false">K179*L179</f>
        <v>#NAME?</v>
      </c>
      <c r="N179" s="473" t="e">
        <f aca="false">K179+M179</f>
        <v>#NAME?</v>
      </c>
      <c r="O179" s="473" t="e">
        <f aca="false">M179</f>
        <v>#NAME?</v>
      </c>
    </row>
    <row r="180" s="461" customFormat="true" ht="30" hidden="false" customHeight="false" outlineLevel="0" collapsed="false">
      <c r="A180" s="479" t="s">
        <v>305</v>
      </c>
      <c r="B180" s="480" t="s">
        <v>3000</v>
      </c>
      <c r="C180" s="472" t="e">
        <f aca="false">мат.затр!g1646</f>
        <v>#NAME?</v>
      </c>
      <c r="D180" s="472" t="n">
        <f aca="false">тарифик!J181</f>
        <v>5220.88353413655</v>
      </c>
      <c r="E180" s="472"/>
      <c r="F180" s="473" t="n">
        <f aca="false">D180*0.9*0.095+D180*3%</f>
        <v>603.012048192771</v>
      </c>
      <c r="G180" s="472" t="n">
        <f aca="false">амортизация!M406</f>
        <v>38.9270043135505</v>
      </c>
      <c r="H180" s="473" t="e">
        <f aca="false">C180+D180+F180+G180</f>
        <v>#NAME?</v>
      </c>
      <c r="I180" s="462" t="n">
        <f aca="false">I$190</f>
        <v>0.240474587202079</v>
      </c>
      <c r="J180" s="473" t="n">
        <f aca="false">D180*I180</f>
        <v>1255.48981270162</v>
      </c>
      <c r="K180" s="473" t="e">
        <f aca="false">H180+J180</f>
        <v>#NAME?</v>
      </c>
      <c r="L180" s="462" t="n">
        <v>0.2</v>
      </c>
      <c r="M180" s="473" t="e">
        <f aca="false">K180*L180</f>
        <v>#NAME?</v>
      </c>
      <c r="N180" s="473" t="e">
        <f aca="false">K180+M180</f>
        <v>#NAME?</v>
      </c>
      <c r="O180" s="473" t="e">
        <f aca="false">M180</f>
        <v>#NAME?</v>
      </c>
    </row>
    <row r="181" s="461" customFormat="true" ht="30" hidden="false" customHeight="false" outlineLevel="0" collapsed="false">
      <c r="A181" s="479" t="s">
        <v>307</v>
      </c>
      <c r="B181" s="480" t="s">
        <v>3001</v>
      </c>
      <c r="C181" s="472" t="e">
        <f aca="false">мат.затр!g1660</f>
        <v>#NAME?</v>
      </c>
      <c r="D181" s="472" t="n">
        <f aca="false">тарифик!J182</f>
        <v>5220.88353413655</v>
      </c>
      <c r="E181" s="472"/>
      <c r="F181" s="473" t="n">
        <f aca="false">D181*0.9*0.095+D181*3%</f>
        <v>603.012048192771</v>
      </c>
      <c r="G181" s="472" t="n">
        <f aca="false">амортизация!M416</f>
        <v>807.814591700134</v>
      </c>
      <c r="H181" s="473" t="e">
        <f aca="false">C181+D181+F181+G181</f>
        <v>#NAME?</v>
      </c>
      <c r="I181" s="462" t="n">
        <f aca="false">I$190</f>
        <v>0.240474587202079</v>
      </c>
      <c r="J181" s="473" t="n">
        <f aca="false">D181*I181</f>
        <v>1255.48981270162</v>
      </c>
      <c r="K181" s="473" t="e">
        <f aca="false">H181+J181</f>
        <v>#NAME?</v>
      </c>
      <c r="L181" s="462" t="n">
        <v>0.2</v>
      </c>
      <c r="M181" s="473" t="e">
        <f aca="false">K181*L181</f>
        <v>#NAME?</v>
      </c>
      <c r="N181" s="473" t="e">
        <f aca="false">K181+M181</f>
        <v>#NAME?</v>
      </c>
      <c r="O181" s="473" t="e">
        <f aca="false">M181</f>
        <v>#NAME?</v>
      </c>
    </row>
    <row r="182" s="461" customFormat="true" ht="30" hidden="false" customHeight="false" outlineLevel="0" collapsed="false">
      <c r="A182" s="479" t="s">
        <v>309</v>
      </c>
      <c r="B182" s="480" t="s">
        <v>3002</v>
      </c>
      <c r="C182" s="472" t="e">
        <f aca="false">мат.затр!g1674</f>
        <v>#NAME?</v>
      </c>
      <c r="D182" s="472" t="n">
        <f aca="false">тарифик!J183</f>
        <v>5220.88353413655</v>
      </c>
      <c r="E182" s="472"/>
      <c r="F182" s="473" t="n">
        <f aca="false">D182*0.9*0.095+D182*3%</f>
        <v>603.012048192771</v>
      </c>
      <c r="G182" s="472" t="n">
        <f aca="false">амортизация!M416</f>
        <v>807.814591700134</v>
      </c>
      <c r="H182" s="473" t="e">
        <f aca="false">C182+D182+F182+G182</f>
        <v>#NAME?</v>
      </c>
      <c r="I182" s="462" t="n">
        <f aca="false">I$190</f>
        <v>0.240474587202079</v>
      </c>
      <c r="J182" s="473" t="n">
        <f aca="false">D182*I182</f>
        <v>1255.48981270162</v>
      </c>
      <c r="K182" s="473" t="e">
        <f aca="false">H182+J182</f>
        <v>#NAME?</v>
      </c>
      <c r="L182" s="462" t="n">
        <v>0.2</v>
      </c>
      <c r="M182" s="473" t="e">
        <f aca="false">K182*L182</f>
        <v>#NAME?</v>
      </c>
      <c r="N182" s="473" t="e">
        <f aca="false">K182+M182</f>
        <v>#NAME?</v>
      </c>
      <c r="O182" s="473" t="e">
        <f aca="false">M182</f>
        <v>#NAME?</v>
      </c>
    </row>
    <row r="183" s="461" customFormat="true" ht="30" hidden="false" customHeight="false" outlineLevel="0" collapsed="false">
      <c r="A183" s="479" t="s">
        <v>311</v>
      </c>
      <c r="B183" s="480" t="s">
        <v>3003</v>
      </c>
      <c r="C183" s="472" t="e">
        <f aca="false">мат.затр!g1685</f>
        <v>#NAME?</v>
      </c>
      <c r="D183" s="472" t="n">
        <f aca="false">тарифик!J184</f>
        <v>4216.86746987952</v>
      </c>
      <c r="E183" s="472"/>
      <c r="F183" s="473" t="n">
        <f aca="false">D183*0.9*0.095+D183*3%</f>
        <v>487.048192771084</v>
      </c>
      <c r="G183" s="472" t="n">
        <f aca="false">амортизация!M421</f>
        <v>6228.7473700357</v>
      </c>
      <c r="H183" s="473" t="e">
        <f aca="false">C183+D183+F183+G183</f>
        <v>#NAME?</v>
      </c>
      <c r="I183" s="462" t="n">
        <f aca="false">I$190</f>
        <v>0.240474587202079</v>
      </c>
      <c r="J183" s="473" t="n">
        <f aca="false">D183*I183</f>
        <v>1014.04946410515</v>
      </c>
      <c r="K183" s="473" t="e">
        <f aca="false">H183+J183</f>
        <v>#NAME?</v>
      </c>
      <c r="L183" s="462" t="n">
        <v>0.2</v>
      </c>
      <c r="M183" s="473" t="e">
        <f aca="false">K183*L183</f>
        <v>#NAME?</v>
      </c>
      <c r="N183" s="473" t="e">
        <f aca="false">K183+M183</f>
        <v>#NAME?</v>
      </c>
      <c r="O183" s="473" t="e">
        <f aca="false">M183</f>
        <v>#NAME?</v>
      </c>
    </row>
    <row r="184" s="461" customFormat="true" ht="30" hidden="false" customHeight="false" outlineLevel="0" collapsed="false">
      <c r="A184" s="479" t="s">
        <v>313</v>
      </c>
      <c r="B184" s="480" t="s">
        <v>3004</v>
      </c>
      <c r="C184" s="472" t="e">
        <f aca="false">мат.затр!g1696</f>
        <v>#NAME?</v>
      </c>
      <c r="D184" s="472" t="n">
        <f aca="false">тарифик!J185</f>
        <v>4216.86746987952</v>
      </c>
      <c r="E184" s="472"/>
      <c r="F184" s="473" t="n">
        <f aca="false">D184*0.9*0.095+D184*3%</f>
        <v>487.048192771084</v>
      </c>
      <c r="G184" s="472" t="n">
        <f aca="false">амортизация!M426</f>
        <v>6228.74735051316</v>
      </c>
      <c r="H184" s="473" t="e">
        <f aca="false">C184+D184+F184+G184</f>
        <v>#NAME?</v>
      </c>
      <c r="I184" s="462" t="n">
        <f aca="false">I$190</f>
        <v>0.240474587202079</v>
      </c>
      <c r="J184" s="473" t="n">
        <f aca="false">D184*I184</f>
        <v>1014.04946410515</v>
      </c>
      <c r="K184" s="473" t="e">
        <f aca="false">H184+J184</f>
        <v>#NAME?</v>
      </c>
      <c r="L184" s="462" t="n">
        <v>0.2</v>
      </c>
      <c r="M184" s="473" t="e">
        <f aca="false">K184*L184</f>
        <v>#NAME?</v>
      </c>
      <c r="N184" s="473" t="e">
        <f aca="false">K184+M184</f>
        <v>#NAME?</v>
      </c>
      <c r="O184" s="473" t="e">
        <f aca="false">M184</f>
        <v>#NAME?</v>
      </c>
    </row>
    <row r="185" s="461" customFormat="true" ht="30" hidden="false" customHeight="false" outlineLevel="0" collapsed="false">
      <c r="A185" s="479" t="s">
        <v>315</v>
      </c>
      <c r="B185" s="480" t="s">
        <v>3005</v>
      </c>
      <c r="C185" s="472" t="e">
        <f aca="false">мат.затр!g1718</f>
        <v>#NAME?</v>
      </c>
      <c r="D185" s="472" t="n">
        <f aca="false">тарифик!J186</f>
        <v>4718.87550200803</v>
      </c>
      <c r="E185" s="472"/>
      <c r="F185" s="473" t="n">
        <f aca="false">D185*0.9*0.095+D185*3%</f>
        <v>545.030120481928</v>
      </c>
      <c r="G185" s="472" t="n">
        <f aca="false">амортизация!M433</f>
        <v>57.1251952253458</v>
      </c>
      <c r="H185" s="473" t="e">
        <f aca="false">C185+D185+F185+G185</f>
        <v>#NAME?</v>
      </c>
      <c r="I185" s="462" t="n">
        <f aca="false">I$190</f>
        <v>0.240474587202079</v>
      </c>
      <c r="J185" s="473" t="n">
        <f aca="false">D185*I185</f>
        <v>1134.76963840338</v>
      </c>
      <c r="K185" s="473" t="e">
        <f aca="false">H185+J185</f>
        <v>#NAME?</v>
      </c>
      <c r="L185" s="462" t="n">
        <v>0.2</v>
      </c>
      <c r="M185" s="473" t="e">
        <f aca="false">K185*L185</f>
        <v>#NAME?</v>
      </c>
      <c r="N185" s="473" t="e">
        <f aca="false">K185+M185</f>
        <v>#NAME?</v>
      </c>
      <c r="O185" s="473" t="e">
        <f aca="false">M185</f>
        <v>#NAME?</v>
      </c>
    </row>
    <row r="186" s="485" customFormat="true" ht="45" hidden="false" customHeight="false" outlineLevel="0" collapsed="false">
      <c r="A186" s="482" t="s">
        <v>317</v>
      </c>
      <c r="B186" s="483" t="s">
        <v>3006</v>
      </c>
      <c r="C186" s="484" t="e">
        <f aca="false">мат.затр!g1730</f>
        <v>#NAME?</v>
      </c>
      <c r="D186" s="472" t="n">
        <f aca="false">тарифик!J187</f>
        <v>4216.86746987952</v>
      </c>
      <c r="E186" s="484"/>
      <c r="F186" s="473" t="n">
        <f aca="false">D186*0.9*0.095+D186*3%</f>
        <v>487.048192771084</v>
      </c>
      <c r="G186" s="484" t="n">
        <f aca="false">амортизация!M439</f>
        <v>267.094075375576</v>
      </c>
      <c r="H186" s="473" t="e">
        <f aca="false">C186+D186+F186+G186</f>
        <v>#NAME?</v>
      </c>
      <c r="I186" s="462" t="n">
        <f aca="false">I$190</f>
        <v>0.240474587202079</v>
      </c>
      <c r="J186" s="473" t="n">
        <f aca="false">D186*I186</f>
        <v>1014.04946410515</v>
      </c>
      <c r="K186" s="473" t="e">
        <f aca="false">H186+J186</f>
        <v>#NAME?</v>
      </c>
      <c r="L186" s="462" t="n">
        <v>0.2</v>
      </c>
      <c r="M186" s="473" t="e">
        <f aca="false">K186*L186</f>
        <v>#NAME?</v>
      </c>
      <c r="N186" s="473" t="e">
        <f aca="false">K186+M186</f>
        <v>#NAME?</v>
      </c>
      <c r="O186" s="473" t="e">
        <f aca="false">M186</f>
        <v>#NAME?</v>
      </c>
    </row>
    <row r="187" s="485" customFormat="true" ht="30" hidden="false" customHeight="false" outlineLevel="0" collapsed="false">
      <c r="A187" s="482" t="s">
        <v>319</v>
      </c>
      <c r="B187" s="483" t="s">
        <v>3007</v>
      </c>
      <c r="C187" s="484" t="e">
        <f aca="false">мат.затр!g1733</f>
        <v>#NAME?</v>
      </c>
      <c r="D187" s="472" t="n">
        <f aca="false">тарифик!J188</f>
        <v>1639.89290495315</v>
      </c>
      <c r="E187" s="484"/>
      <c r="F187" s="473" t="n">
        <f aca="false">D187*0.9*0.095+D187*3%</f>
        <v>189.407630522088</v>
      </c>
      <c r="G187" s="484" t="n">
        <f aca="false">амортизация!M440</f>
        <v>0</v>
      </c>
      <c r="H187" s="473" t="e">
        <f aca="false">C187+D187+F187+G187</f>
        <v>#NAME?</v>
      </c>
      <c r="I187" s="462" t="n">
        <f aca="false">I$190</f>
        <v>0.240474587202079</v>
      </c>
      <c r="J187" s="473" t="n">
        <f aca="false">D187*I187</f>
        <v>394.352569374226</v>
      </c>
      <c r="K187" s="473" t="e">
        <f aca="false">H187+J187</f>
        <v>#NAME?</v>
      </c>
      <c r="L187" s="462" t="n">
        <v>0.2</v>
      </c>
      <c r="M187" s="473" t="e">
        <f aca="false">K187*L187</f>
        <v>#NAME?</v>
      </c>
      <c r="N187" s="473" t="e">
        <f aca="false">K187+M187</f>
        <v>#NAME?</v>
      </c>
      <c r="O187" s="473" t="e">
        <f aca="false">M187</f>
        <v>#NAME?</v>
      </c>
    </row>
    <row r="188" s="485" customFormat="true" ht="30" hidden="false" customHeight="false" outlineLevel="0" collapsed="false">
      <c r="A188" s="486" t="s">
        <v>321</v>
      </c>
      <c r="B188" s="480" t="s">
        <v>3008</v>
      </c>
      <c r="C188" s="484" t="e">
        <f aca="false">мат.затр!g1734</f>
        <v>#NAME?</v>
      </c>
      <c r="D188" s="472" t="n">
        <f aca="false">тарифик!J189</f>
        <v>468.540829986613</v>
      </c>
      <c r="E188" s="484"/>
      <c r="F188" s="473" t="n">
        <f aca="false">D188*0.9*0.095+D188*3%</f>
        <v>54.1164658634538</v>
      </c>
      <c r="G188" s="484" t="n">
        <f aca="false">амортизация!M441</f>
        <v>0</v>
      </c>
      <c r="H188" s="473" t="e">
        <f aca="false">C188+D188+F188+G188</f>
        <v>#NAME?</v>
      </c>
      <c r="I188" s="462" t="n">
        <f aca="false">I$190</f>
        <v>0.240474587202079</v>
      </c>
      <c r="J188" s="473" t="n">
        <f aca="false">D188*I188</f>
        <v>112.67216267835</v>
      </c>
      <c r="K188" s="473" t="e">
        <f aca="false">H188+J188</f>
        <v>#NAME?</v>
      </c>
      <c r="L188" s="462" t="n">
        <v>0.2</v>
      </c>
      <c r="M188" s="473" t="e">
        <f aca="false">K188*L188</f>
        <v>#NAME?</v>
      </c>
      <c r="N188" s="473" t="e">
        <f aca="false">K188+M188</f>
        <v>#NAME?</v>
      </c>
      <c r="O188" s="473" t="e">
        <f aca="false">M188</f>
        <v>#NAME?</v>
      </c>
    </row>
    <row r="189" s="461" customFormat="true" ht="28.5" hidden="false" customHeight="false" outlineLevel="0" collapsed="false">
      <c r="A189" s="350" t="s">
        <v>324</v>
      </c>
      <c r="B189" s="467" t="s">
        <v>3009</v>
      </c>
      <c r="C189" s="468"/>
      <c r="D189" s="468"/>
      <c r="E189" s="468"/>
      <c r="F189" s="468"/>
      <c r="G189" s="468"/>
      <c r="H189" s="468"/>
      <c r="I189" s="469"/>
      <c r="J189" s="470"/>
      <c r="K189" s="470"/>
      <c r="L189" s="469"/>
      <c r="M189" s="468"/>
      <c r="N189" s="468"/>
      <c r="O189" s="468"/>
    </row>
    <row r="190" s="461" customFormat="true" ht="15" hidden="false" customHeight="false" outlineLevel="0" collapsed="false">
      <c r="A190" s="380" t="s">
        <v>326</v>
      </c>
      <c r="B190" s="487" t="s">
        <v>3010</v>
      </c>
      <c r="C190" s="472" t="e">
        <f aca="false">мат.затр!g1737</f>
        <v>#NAME?</v>
      </c>
      <c r="D190" s="472" t="n">
        <f aca="false">тарифик!J191</f>
        <v>418.340026773762</v>
      </c>
      <c r="E190" s="472"/>
      <c r="F190" s="473" t="n">
        <f aca="false">D190*0.9*0.095+D190*3%</f>
        <v>48.3182730923695</v>
      </c>
      <c r="G190" s="472" t="n">
        <f aca="false">амортизация!M445</f>
        <v>7.58713093113194</v>
      </c>
      <c r="H190" s="473" t="e">
        <f aca="false">C190+D190+F190+G190</f>
        <v>#NAME?</v>
      </c>
      <c r="I190" s="462" t="n">
        <f aca="false">'накл расходы'!D16</f>
        <v>0.240474587202079</v>
      </c>
      <c r="J190" s="473" t="n">
        <f aca="false">D190*I190</f>
        <v>100.600145248527</v>
      </c>
      <c r="K190" s="473" t="e">
        <f aca="false">H190+J190</f>
        <v>#NAME?</v>
      </c>
      <c r="L190" s="462" t="n">
        <v>0.2</v>
      </c>
      <c r="M190" s="473" t="e">
        <f aca="false">K190*L190</f>
        <v>#NAME?</v>
      </c>
      <c r="N190" s="473" t="e">
        <f aca="false">K190+M190</f>
        <v>#NAME?</v>
      </c>
      <c r="O190" s="473" t="e">
        <f aca="false">M190</f>
        <v>#NAME?</v>
      </c>
    </row>
    <row r="191" s="461" customFormat="true" ht="15" hidden="false" customHeight="false" outlineLevel="0" collapsed="false">
      <c r="A191" s="380" t="s">
        <v>328</v>
      </c>
      <c r="B191" s="487" t="s">
        <v>3011</v>
      </c>
      <c r="C191" s="472" t="e">
        <f aca="false">мат.затр!g1741</f>
        <v>#NAME?</v>
      </c>
      <c r="D191" s="472" t="n">
        <f aca="false">тарифик!J192</f>
        <v>251.004016064257</v>
      </c>
      <c r="E191" s="472"/>
      <c r="F191" s="473" t="n">
        <f aca="false">D191*0.9*0.095+D191*3%</f>
        <v>28.9909638554217</v>
      </c>
      <c r="G191" s="472" t="n">
        <f aca="false">амортизация!M446</f>
        <v>4.56455451435371</v>
      </c>
      <c r="H191" s="473" t="e">
        <f aca="false">C191+D191+F191+G191</f>
        <v>#NAME?</v>
      </c>
      <c r="I191" s="462" t="n">
        <f aca="false">I$190</f>
        <v>0.240474587202079</v>
      </c>
      <c r="J191" s="473" t="n">
        <f aca="false">D191*I191</f>
        <v>60.3600871491162</v>
      </c>
      <c r="K191" s="473" t="e">
        <f aca="false">H191+J191</f>
        <v>#NAME?</v>
      </c>
      <c r="L191" s="462" t="n">
        <v>0.2</v>
      </c>
      <c r="M191" s="473" t="e">
        <f aca="false">K191*L191</f>
        <v>#NAME?</v>
      </c>
      <c r="N191" s="473" t="e">
        <f aca="false">K191+M191</f>
        <v>#NAME?</v>
      </c>
      <c r="O191" s="473" t="e">
        <f aca="false">M191</f>
        <v>#NAME?</v>
      </c>
    </row>
    <row r="192" s="461" customFormat="true" ht="15" hidden="false" customHeight="false" outlineLevel="0" collapsed="false">
      <c r="A192" s="380" t="s">
        <v>330</v>
      </c>
      <c r="B192" s="487" t="s">
        <v>3012</v>
      </c>
      <c r="C192" s="472" t="e">
        <f aca="false">мат.затр!g1744</f>
        <v>#NAME?</v>
      </c>
      <c r="D192" s="472" t="n">
        <f aca="false">тарифик!J193</f>
        <v>1338.68808567604</v>
      </c>
      <c r="E192" s="472"/>
      <c r="F192" s="473" t="n">
        <f aca="false">D192*0.9*0.095+D192*3%</f>
        <v>154.618473895582</v>
      </c>
      <c r="G192" s="472" t="n">
        <f aca="false">амортизация!M447</f>
        <v>11.4113862858843</v>
      </c>
      <c r="H192" s="473" t="e">
        <f aca="false">C192+D192+F192+G192</f>
        <v>#NAME?</v>
      </c>
      <c r="I192" s="462" t="n">
        <f aca="false">I$190</f>
        <v>0.240474587202079</v>
      </c>
      <c r="J192" s="473" t="n">
        <f aca="false">D192*I192</f>
        <v>321.920464795286</v>
      </c>
      <c r="K192" s="473" t="e">
        <f aca="false">H192+J192</f>
        <v>#NAME?</v>
      </c>
      <c r="L192" s="462" t="n">
        <v>0.2</v>
      </c>
      <c r="M192" s="473" t="e">
        <f aca="false">K192*L192</f>
        <v>#NAME?</v>
      </c>
      <c r="N192" s="473" t="e">
        <f aca="false">K192+M192</f>
        <v>#NAME?</v>
      </c>
      <c r="O192" s="473" t="e">
        <f aca="false">M192</f>
        <v>#NAME?</v>
      </c>
    </row>
    <row r="193" s="461" customFormat="true" ht="15" hidden="false" customHeight="false" outlineLevel="0" collapsed="false">
      <c r="A193" s="380" t="s">
        <v>331</v>
      </c>
      <c r="B193" s="487" t="s">
        <v>3013</v>
      </c>
      <c r="C193" s="472" t="e">
        <f aca="false">мат.затр!g1748</f>
        <v>#NAME?</v>
      </c>
      <c r="D193" s="472" t="n">
        <f aca="false">тарифик!J194</f>
        <v>1606.42570281124</v>
      </c>
      <c r="E193" s="472"/>
      <c r="F193" s="473" t="n">
        <f aca="false">D193*0.9*0.095+D193*3%</f>
        <v>185.542168674699</v>
      </c>
      <c r="G193" s="472" t="n">
        <f aca="false">амортизация!M450</f>
        <v>9.86352818682136</v>
      </c>
      <c r="H193" s="473" t="e">
        <f aca="false">C193+D193+F193+G193</f>
        <v>#NAME?</v>
      </c>
      <c r="I193" s="462" t="n">
        <f aca="false">I$190</f>
        <v>0.240474587202079</v>
      </c>
      <c r="J193" s="473" t="n">
        <f aca="false">D193*I193</f>
        <v>386.304557754344</v>
      </c>
      <c r="K193" s="473" t="e">
        <f aca="false">H193+J193</f>
        <v>#NAME?</v>
      </c>
      <c r="L193" s="462" t="n">
        <v>0.2</v>
      </c>
      <c r="M193" s="473" t="e">
        <f aca="false">K193*L193</f>
        <v>#NAME?</v>
      </c>
      <c r="N193" s="473" t="e">
        <f aca="false">K193+M193</f>
        <v>#NAME?</v>
      </c>
      <c r="O193" s="473" t="e">
        <f aca="false">M193</f>
        <v>#NAME?</v>
      </c>
    </row>
    <row r="194" s="461" customFormat="true" ht="15" hidden="false" customHeight="false" outlineLevel="0" collapsed="false">
      <c r="A194" s="380" t="s">
        <v>333</v>
      </c>
      <c r="B194" s="487" t="s">
        <v>3014</v>
      </c>
      <c r="C194" s="472" t="e">
        <f aca="false">мат.затр!g1754</f>
        <v>#NAME?</v>
      </c>
      <c r="D194" s="472" t="n">
        <f aca="false">тарифик!J195</f>
        <v>334.672021419009</v>
      </c>
      <c r="E194" s="472"/>
      <c r="F194" s="473" t="n">
        <f aca="false">D194*0.9*0.095+D194*3%</f>
        <v>38.6546184738956</v>
      </c>
      <c r="G194" s="472" t="n">
        <f aca="false">амортизация!M453</f>
        <v>9.86352818682136</v>
      </c>
      <c r="H194" s="473" t="e">
        <f aca="false">C194+D194+F194+G194</f>
        <v>#NAME?</v>
      </c>
      <c r="I194" s="462" t="n">
        <f aca="false">I$190</f>
        <v>0.240474587202079</v>
      </c>
      <c r="J194" s="473" t="n">
        <f aca="false">D194*I194</f>
        <v>80.4801161988216</v>
      </c>
      <c r="K194" s="473" t="e">
        <f aca="false">H194+J194</f>
        <v>#NAME?</v>
      </c>
      <c r="L194" s="462" t="n">
        <v>0.2</v>
      </c>
      <c r="M194" s="473" t="e">
        <f aca="false">K194*L194</f>
        <v>#NAME?</v>
      </c>
      <c r="N194" s="473" t="e">
        <f aca="false">K194+M194</f>
        <v>#NAME?</v>
      </c>
      <c r="O194" s="473" t="e">
        <f aca="false">M194</f>
        <v>#NAME?</v>
      </c>
    </row>
    <row r="195" s="461" customFormat="true" ht="15" hidden="false" customHeight="false" outlineLevel="0" collapsed="false">
      <c r="A195" s="380" t="s">
        <v>335</v>
      </c>
      <c r="B195" s="487" t="s">
        <v>3015</v>
      </c>
      <c r="C195" s="472" t="e">
        <f aca="false">мат.затр!g1763</f>
        <v>#NAME?</v>
      </c>
      <c r="D195" s="472" t="n">
        <f aca="false">тарифик!J196</f>
        <v>301.204819277108</v>
      </c>
      <c r="E195" s="472"/>
      <c r="F195" s="473" t="n">
        <f aca="false">D195*0.9*0.095+D195*3%</f>
        <v>34.789156626506</v>
      </c>
      <c r="G195" s="472" t="n">
        <f aca="false">амортизация!M456</f>
        <v>11.912975977986</v>
      </c>
      <c r="H195" s="473" t="e">
        <f aca="false">C195+D195+F195+G195</f>
        <v>#NAME?</v>
      </c>
      <c r="I195" s="462" t="n">
        <f aca="false">I$190</f>
        <v>0.240474587202079</v>
      </c>
      <c r="J195" s="473" t="n">
        <f aca="false">D195*I195</f>
        <v>72.4321045789394</v>
      </c>
      <c r="K195" s="473" t="e">
        <f aca="false">H195+J195</f>
        <v>#NAME?</v>
      </c>
      <c r="L195" s="462" t="n">
        <v>0.2</v>
      </c>
      <c r="M195" s="473" t="e">
        <f aca="false">K195*L195</f>
        <v>#NAME?</v>
      </c>
      <c r="N195" s="473" t="e">
        <f aca="false">K195+M195</f>
        <v>#NAME?</v>
      </c>
      <c r="O195" s="473" t="e">
        <f aca="false">M195</f>
        <v>#NAME?</v>
      </c>
    </row>
    <row r="196" s="461" customFormat="true" ht="15" hidden="false" customHeight="false" outlineLevel="0" collapsed="false">
      <c r="A196" s="380" t="s">
        <v>337</v>
      </c>
      <c r="B196" s="487" t="s">
        <v>3016</v>
      </c>
      <c r="C196" s="472" t="e">
        <f aca="false">мат.затр!g1772</f>
        <v>#NAME?</v>
      </c>
      <c r="D196" s="472" t="n">
        <f aca="false">тарифик!J197</f>
        <v>446.229361892013</v>
      </c>
      <c r="E196" s="472"/>
      <c r="F196" s="473" t="n">
        <f aca="false">D196*0.9*0.095+D196*3%</f>
        <v>51.5394912985274</v>
      </c>
      <c r="G196" s="472" t="n">
        <f aca="false">амортизация!M457</f>
        <v>4.56455451435371</v>
      </c>
      <c r="H196" s="473" t="e">
        <f aca="false">C196+D196+F196+G196</f>
        <v>#NAME?</v>
      </c>
      <c r="I196" s="462" t="n">
        <f aca="false">I$190</f>
        <v>0.240474587202079</v>
      </c>
      <c r="J196" s="473" t="n">
        <f aca="false">D196*I196</f>
        <v>107.306821598429</v>
      </c>
      <c r="K196" s="473" t="e">
        <f aca="false">H196+J196</f>
        <v>#NAME?</v>
      </c>
      <c r="L196" s="462" t="n">
        <v>0.2</v>
      </c>
      <c r="M196" s="473" t="e">
        <f aca="false">K196*L196</f>
        <v>#NAME?</v>
      </c>
      <c r="N196" s="473" t="e">
        <f aca="false">K196+M196</f>
        <v>#NAME?</v>
      </c>
      <c r="O196" s="473" t="e">
        <f aca="false">M196</f>
        <v>#NAME?</v>
      </c>
    </row>
    <row r="197" s="461" customFormat="true" ht="15" hidden="false" customHeight="false" outlineLevel="0" collapsed="false">
      <c r="A197" s="380" t="s">
        <v>339</v>
      </c>
      <c r="B197" s="487" t="s">
        <v>3017</v>
      </c>
      <c r="C197" s="472" t="e">
        <f aca="false">мат.затр!g1781</f>
        <v>#NAME?</v>
      </c>
      <c r="D197" s="472" t="n">
        <f aca="false">тарифик!J198</f>
        <v>535.475234270415</v>
      </c>
      <c r="E197" s="472"/>
      <c r="F197" s="473" t="n">
        <f aca="false">D197*0.9*0.095+D197*3%</f>
        <v>61.8473895582329</v>
      </c>
      <c r="G197" s="472" t="n">
        <f aca="false">амортизация!M458</f>
        <v>4.56455451435371</v>
      </c>
      <c r="H197" s="473" t="e">
        <f aca="false">C197+D197+F197+G197</f>
        <v>#NAME?</v>
      </c>
      <c r="I197" s="462" t="n">
        <f aca="false">I$190</f>
        <v>0.240474587202079</v>
      </c>
      <c r="J197" s="473" t="n">
        <f aca="false">D197*I197</f>
        <v>128.768185918115</v>
      </c>
      <c r="K197" s="473" t="e">
        <f aca="false">H197+J197</f>
        <v>#NAME?</v>
      </c>
      <c r="L197" s="462" t="n">
        <v>0.2</v>
      </c>
      <c r="M197" s="473" t="e">
        <f aca="false">K197*L197</f>
        <v>#NAME?</v>
      </c>
      <c r="N197" s="473" t="e">
        <f aca="false">K197+M197</f>
        <v>#NAME?</v>
      </c>
      <c r="O197" s="473" t="e">
        <f aca="false">M197</f>
        <v>#NAME?</v>
      </c>
    </row>
    <row r="198" s="461" customFormat="true" ht="15" hidden="false" customHeight="false" outlineLevel="0" collapsed="false">
      <c r="A198" s="380" t="s">
        <v>341</v>
      </c>
      <c r="B198" s="487" t="s">
        <v>3018</v>
      </c>
      <c r="C198" s="472" t="e">
        <f aca="false">мат.затр!g1785</f>
        <v>#NAME?</v>
      </c>
      <c r="D198" s="472" t="n">
        <f aca="false">тарифик!J199</f>
        <v>1506.02409638554</v>
      </c>
      <c r="E198" s="472"/>
      <c r="F198" s="473" t="n">
        <f aca="false">D198*0.9*0.095+D198*3%</f>
        <v>173.94578313253</v>
      </c>
      <c r="G198" s="472" t="n">
        <f aca="false">амортизация!M461</f>
        <v>12.5502008032129</v>
      </c>
      <c r="H198" s="473" t="e">
        <f aca="false">C198+D198+F198+G198</f>
        <v>#NAME?</v>
      </c>
      <c r="I198" s="462" t="n">
        <f aca="false">I$190</f>
        <v>0.240474587202079</v>
      </c>
      <c r="J198" s="473" t="n">
        <f aca="false">D198*I198</f>
        <v>362.160522894697</v>
      </c>
      <c r="K198" s="473" t="e">
        <f aca="false">H198+J198</f>
        <v>#NAME?</v>
      </c>
      <c r="L198" s="462" t="n">
        <v>0.2</v>
      </c>
      <c r="M198" s="473" t="e">
        <f aca="false">K198*L198</f>
        <v>#NAME?</v>
      </c>
      <c r="N198" s="473" t="e">
        <f aca="false">K198+M198</f>
        <v>#NAME?</v>
      </c>
      <c r="O198" s="473" t="e">
        <f aca="false">M198</f>
        <v>#NAME?</v>
      </c>
    </row>
    <row r="199" s="461" customFormat="true" ht="15" hidden="false" customHeight="false" outlineLevel="0" collapsed="false">
      <c r="A199" s="380" t="s">
        <v>343</v>
      </c>
      <c r="B199" s="487" t="s">
        <v>3019</v>
      </c>
      <c r="C199" s="472" t="e">
        <f aca="false">мат.затр!g1789</f>
        <v>#NAME?</v>
      </c>
      <c r="D199" s="472" t="n">
        <f aca="false">тарифик!J200</f>
        <v>1941.09772423025</v>
      </c>
      <c r="E199" s="472"/>
      <c r="F199" s="473" t="n">
        <f aca="false">D199*0.9*0.095+D199*3%</f>
        <v>224.196787148594</v>
      </c>
      <c r="G199" s="472" t="n">
        <f aca="false">амортизация!M462</f>
        <v>9.20272757697457</v>
      </c>
      <c r="H199" s="473" t="e">
        <f aca="false">C199+D199+F199+G199</f>
        <v>#NAME?</v>
      </c>
      <c r="I199" s="462" t="n">
        <f aca="false">I$190</f>
        <v>0.240474587202079</v>
      </c>
      <c r="J199" s="473" t="n">
        <f aca="false">D199*I199</f>
        <v>466.784673953165</v>
      </c>
      <c r="K199" s="473" t="e">
        <f aca="false">H199+J199</f>
        <v>#NAME?</v>
      </c>
      <c r="L199" s="462" t="n">
        <v>0.2</v>
      </c>
      <c r="M199" s="473" t="e">
        <f aca="false">K199*L199</f>
        <v>#NAME?</v>
      </c>
      <c r="N199" s="473" t="e">
        <f aca="false">K199+M199</f>
        <v>#NAME?</v>
      </c>
      <c r="O199" s="473" t="e">
        <f aca="false">M199</f>
        <v>#NAME?</v>
      </c>
    </row>
    <row r="200" s="461" customFormat="true" ht="15" hidden="false" customHeight="false" outlineLevel="0" collapsed="false">
      <c r="A200" s="380" t="s">
        <v>345</v>
      </c>
      <c r="B200" s="487" t="s">
        <v>3020</v>
      </c>
      <c r="C200" s="472" t="e">
        <f aca="false">мат.затр!g1797</f>
        <v>#NAME?</v>
      </c>
      <c r="D200" s="472" t="n">
        <f aca="false">тарифик!J201</f>
        <v>234.270414993307</v>
      </c>
      <c r="E200" s="472"/>
      <c r="F200" s="473" t="n">
        <f aca="false">D200*0.9*0.095+D200*3%</f>
        <v>27.0582329317269</v>
      </c>
      <c r="G200" s="472" t="n">
        <f aca="false">амортизация!M463</f>
        <v>9.20272757697457</v>
      </c>
      <c r="H200" s="473" t="e">
        <f aca="false">C200+D200+F200+G200</f>
        <v>#NAME?</v>
      </c>
      <c r="I200" s="462" t="n">
        <f aca="false">I$190</f>
        <v>0.240474587202079</v>
      </c>
      <c r="J200" s="473" t="n">
        <f aca="false">D200*I200</f>
        <v>56.3360813391751</v>
      </c>
      <c r="K200" s="473" t="e">
        <f aca="false">H200+J200</f>
        <v>#NAME?</v>
      </c>
      <c r="L200" s="462" t="n">
        <v>0.2</v>
      </c>
      <c r="M200" s="473" t="e">
        <f aca="false">K200*L200</f>
        <v>#NAME?</v>
      </c>
      <c r="N200" s="473" t="e">
        <f aca="false">K200+M200</f>
        <v>#NAME?</v>
      </c>
      <c r="O200" s="473" t="e">
        <f aca="false">M200</f>
        <v>#NAME?</v>
      </c>
    </row>
    <row r="201" s="461" customFormat="true" ht="15" hidden="false" customHeight="false" outlineLevel="0" collapsed="false">
      <c r="A201" s="380" t="s">
        <v>347</v>
      </c>
      <c r="B201" s="487" t="s">
        <v>3021</v>
      </c>
      <c r="C201" s="472" t="e">
        <f aca="false">мат.затр!g1806</f>
        <v>#NAME?</v>
      </c>
      <c r="D201" s="472" t="n">
        <f aca="false">тарифик!J202</f>
        <v>1874.16331994645</v>
      </c>
      <c r="E201" s="472"/>
      <c r="F201" s="473" t="n">
        <f aca="false">D201*0.9*0.095+D201*3%</f>
        <v>216.465863453815</v>
      </c>
      <c r="G201" s="472" t="n">
        <f aca="false">амортизация!M464</f>
        <v>4.56455451435371</v>
      </c>
      <c r="H201" s="473" t="e">
        <f aca="false">C201+D201+F201+G201</f>
        <v>#NAME?</v>
      </c>
      <c r="I201" s="462" t="n">
        <f aca="false">I$190</f>
        <v>0.240474587202079</v>
      </c>
      <c r="J201" s="473" t="n">
        <f aca="false">D201*I201</f>
        <v>450.688650713401</v>
      </c>
      <c r="K201" s="473" t="e">
        <f aca="false">H201+J201</f>
        <v>#NAME?</v>
      </c>
      <c r="L201" s="462" t="n">
        <v>0.2</v>
      </c>
      <c r="M201" s="473" t="e">
        <f aca="false">K201*L201</f>
        <v>#NAME?</v>
      </c>
      <c r="N201" s="473" t="e">
        <f aca="false">K201+M201</f>
        <v>#NAME?</v>
      </c>
      <c r="O201" s="473" t="e">
        <f aca="false">M201</f>
        <v>#NAME?</v>
      </c>
    </row>
    <row r="202" s="461" customFormat="true" ht="30" hidden="false" customHeight="false" outlineLevel="0" collapsed="false">
      <c r="A202" s="380" t="s">
        <v>349</v>
      </c>
      <c r="B202" s="487" t="s">
        <v>3022</v>
      </c>
      <c r="C202" s="472" t="e">
        <f aca="false">мат.затр!g1816</f>
        <v>#NAME?</v>
      </c>
      <c r="D202" s="472" t="n">
        <f aca="false">тарифик!J203</f>
        <v>753.012048192771</v>
      </c>
      <c r="E202" s="472"/>
      <c r="F202" s="473" t="n">
        <f aca="false">D202*0.9*0.095+D202*3%</f>
        <v>86.9728915662651</v>
      </c>
      <c r="G202" s="472" t="n">
        <f aca="false">амортизация!M468</f>
        <v>14.192929123903</v>
      </c>
      <c r="H202" s="473" t="e">
        <f aca="false">C202+D202+F202+G202</f>
        <v>#NAME?</v>
      </c>
      <c r="I202" s="462" t="n">
        <f aca="false">I$190</f>
        <v>0.240474587202079</v>
      </c>
      <c r="J202" s="473" t="n">
        <f aca="false">D202*I202</f>
        <v>181.080261447349</v>
      </c>
      <c r="K202" s="473" t="e">
        <f aca="false">H202+J202</f>
        <v>#NAME?</v>
      </c>
      <c r="L202" s="462" t="n">
        <v>0.2</v>
      </c>
      <c r="M202" s="473" t="e">
        <f aca="false">K202*L202</f>
        <v>#NAME?</v>
      </c>
      <c r="N202" s="473" t="e">
        <f aca="false">K202+M202</f>
        <v>#NAME?</v>
      </c>
      <c r="O202" s="473" t="e">
        <f aca="false">M202</f>
        <v>#NAME?</v>
      </c>
    </row>
    <row r="203" s="461" customFormat="true" ht="15" hidden="false" customHeight="false" outlineLevel="0" collapsed="false">
      <c r="A203" s="380" t="s">
        <v>351</v>
      </c>
      <c r="B203" s="487" t="s">
        <v>3023</v>
      </c>
      <c r="C203" s="472" t="e">
        <f aca="false">мат.затр!g1823</f>
        <v>#NAME?</v>
      </c>
      <c r="D203" s="472" t="n">
        <f aca="false">тарифик!J204</f>
        <v>200.803212851406</v>
      </c>
      <c r="E203" s="472"/>
      <c r="F203" s="473" t="n">
        <f aca="false">D203*0.9*0.095+D203*3%</f>
        <v>23.1927710843374</v>
      </c>
      <c r="G203" s="472" t="n">
        <f aca="false">амортизация!M469</f>
        <v>4.56455451435371</v>
      </c>
      <c r="H203" s="473" t="e">
        <f aca="false">C203+D203+F203+G203</f>
        <v>#NAME?</v>
      </c>
      <c r="I203" s="462" t="n">
        <f aca="false">I$190</f>
        <v>0.240474587202079</v>
      </c>
      <c r="J203" s="473" t="n">
        <f aca="false">D203*I203</f>
        <v>48.288069719293</v>
      </c>
      <c r="K203" s="473" t="e">
        <f aca="false">H203+J203</f>
        <v>#NAME?</v>
      </c>
      <c r="L203" s="462" t="n">
        <v>0.2</v>
      </c>
      <c r="M203" s="473" t="e">
        <f aca="false">K203*L203</f>
        <v>#NAME?</v>
      </c>
      <c r="N203" s="473" t="e">
        <f aca="false">K203+M203</f>
        <v>#NAME?</v>
      </c>
      <c r="O203" s="473" t="e">
        <f aca="false">M203</f>
        <v>#NAME?</v>
      </c>
    </row>
    <row r="204" s="461" customFormat="true" ht="15" hidden="false" customHeight="false" outlineLevel="0" collapsed="false">
      <c r="A204" s="380" t="s">
        <v>353</v>
      </c>
      <c r="B204" s="487" t="s">
        <v>3024</v>
      </c>
      <c r="C204" s="472" t="e">
        <f aca="false">мат.затр!g1830</f>
        <v>#NAME?</v>
      </c>
      <c r="D204" s="472" t="n">
        <f aca="false">тарифик!J205</f>
        <v>635.876840696118</v>
      </c>
      <c r="E204" s="472"/>
      <c r="F204" s="473" t="n">
        <f aca="false">D204*0.9*0.095+D204*3%</f>
        <v>73.4437751004016</v>
      </c>
      <c r="G204" s="472" t="n">
        <f aca="false">амортизация!M470</f>
        <v>4.56455451435371</v>
      </c>
      <c r="H204" s="473" t="e">
        <f aca="false">C204+D204+F204+G204</f>
        <v>#NAME?</v>
      </c>
      <c r="I204" s="462" t="n">
        <f aca="false">I$190</f>
        <v>0.240474587202079</v>
      </c>
      <c r="J204" s="473" t="n">
        <f aca="false">D204*I204</f>
        <v>152.912220777761</v>
      </c>
      <c r="K204" s="473" t="e">
        <f aca="false">H204+J204</f>
        <v>#NAME?</v>
      </c>
      <c r="L204" s="462" t="n">
        <v>0.2</v>
      </c>
      <c r="M204" s="473" t="e">
        <f aca="false">K204*L204</f>
        <v>#NAME?</v>
      </c>
      <c r="N204" s="473" t="e">
        <f aca="false">K204+M204</f>
        <v>#NAME?</v>
      </c>
      <c r="O204" s="473" t="e">
        <f aca="false">M204</f>
        <v>#NAME?</v>
      </c>
    </row>
    <row r="205" s="461" customFormat="true" ht="15" hidden="false" customHeight="false" outlineLevel="0" collapsed="false">
      <c r="A205" s="380" t="s">
        <v>355</v>
      </c>
      <c r="B205" s="328" t="s">
        <v>3025</v>
      </c>
      <c r="C205" s="472" t="e">
        <f aca="false">мат.затр!g1840</f>
        <v>#NAME?</v>
      </c>
      <c r="D205" s="472" t="n">
        <f aca="false">тарифик!J206</f>
        <v>1483.71262829094</v>
      </c>
      <c r="E205" s="472"/>
      <c r="F205" s="473" t="n">
        <f aca="false">D205*0.9*0.095+D205*3%</f>
        <v>171.368808567604</v>
      </c>
      <c r="G205" s="472" t="n">
        <f aca="false">амортизация!M475</f>
        <v>309.674810352521</v>
      </c>
      <c r="H205" s="473" t="e">
        <f aca="false">C205+D205+F205+G205</f>
        <v>#NAME?</v>
      </c>
      <c r="I205" s="462" t="n">
        <f aca="false">I$190</f>
        <v>0.240474587202079</v>
      </c>
      <c r="J205" s="473" t="n">
        <f aca="false">D205*I205</f>
        <v>356.795181814776</v>
      </c>
      <c r="K205" s="473" t="e">
        <f aca="false">H205+J205</f>
        <v>#NAME?</v>
      </c>
      <c r="L205" s="462" t="n">
        <v>0.2</v>
      </c>
      <c r="M205" s="473" t="e">
        <f aca="false">K205*L205</f>
        <v>#NAME?</v>
      </c>
      <c r="N205" s="473" t="e">
        <f aca="false">K205+M205</f>
        <v>#NAME?</v>
      </c>
      <c r="O205" s="473" t="e">
        <f aca="false">M205</f>
        <v>#NAME?</v>
      </c>
    </row>
    <row r="206" s="461" customFormat="true" ht="15" hidden="false" customHeight="false" outlineLevel="0" collapsed="false">
      <c r="A206" s="380" t="s">
        <v>357</v>
      </c>
      <c r="B206" s="328" t="s">
        <v>3026</v>
      </c>
      <c r="C206" s="472" t="e">
        <f aca="false">мат.затр!g1850</f>
        <v>#NAME?</v>
      </c>
      <c r="D206" s="472" t="n">
        <f aca="false">тарифик!J207</f>
        <v>1967.87148594378</v>
      </c>
      <c r="E206" s="472"/>
      <c r="F206" s="473" t="n">
        <f aca="false">D206*0.9*0.095+D206*3%</f>
        <v>227.289156626506</v>
      </c>
      <c r="G206" s="472" t="n">
        <f aca="false">амортизация!M478</f>
        <v>111.155808418861</v>
      </c>
      <c r="H206" s="473" t="e">
        <f aca="false">C206+D206+F206+G206</f>
        <v>#NAME?</v>
      </c>
      <c r="I206" s="462" t="n">
        <f aca="false">I$190</f>
        <v>0.240474587202079</v>
      </c>
      <c r="J206" s="473" t="n">
        <f aca="false">D206*I206</f>
        <v>473.223083249071</v>
      </c>
      <c r="K206" s="473" t="e">
        <f aca="false">H206+J206</f>
        <v>#NAME?</v>
      </c>
      <c r="L206" s="462" t="n">
        <v>0.2</v>
      </c>
      <c r="M206" s="473" t="e">
        <f aca="false">K206*L206</f>
        <v>#NAME?</v>
      </c>
      <c r="N206" s="473" t="e">
        <f aca="false">K206+M206</f>
        <v>#NAME?</v>
      </c>
      <c r="O206" s="473" t="e">
        <f aca="false">M206</f>
        <v>#NAME?</v>
      </c>
    </row>
    <row r="207" s="461" customFormat="true" ht="15" hidden="false" customHeight="false" outlineLevel="0" collapsed="false">
      <c r="A207" s="380" t="s">
        <v>359</v>
      </c>
      <c r="B207" s="328" t="s">
        <v>3027</v>
      </c>
      <c r="C207" s="472" t="e">
        <f aca="false">мат.затр!g1859</f>
        <v>#NAME?</v>
      </c>
      <c r="D207" s="472" t="n">
        <f aca="false">тарифик!J208</f>
        <v>2730.92369477912</v>
      </c>
      <c r="E207" s="472"/>
      <c r="F207" s="473" t="n">
        <f aca="false">D207*0.9*0.095+D207*3%</f>
        <v>315.421686746988</v>
      </c>
      <c r="G207" s="472" t="n">
        <f aca="false">амортизация!M483</f>
        <v>519.242711587089</v>
      </c>
      <c r="H207" s="473" t="e">
        <f aca="false">C207+D207+F207+G207</f>
        <v>#NAME?</v>
      </c>
      <c r="I207" s="462" t="n">
        <f aca="false">I$190</f>
        <v>0.240474587202079</v>
      </c>
      <c r="J207" s="473" t="n">
        <f aca="false">D207*I207</f>
        <v>656.717748182384</v>
      </c>
      <c r="K207" s="473" t="e">
        <f aca="false">H207+J207</f>
        <v>#NAME?</v>
      </c>
      <c r="L207" s="462" t="n">
        <v>0.2</v>
      </c>
      <c r="M207" s="473" t="e">
        <f aca="false">K207*L207</f>
        <v>#NAME?</v>
      </c>
      <c r="N207" s="473" t="e">
        <f aca="false">K207+M207</f>
        <v>#NAME?</v>
      </c>
      <c r="O207" s="473" t="e">
        <f aca="false">M207</f>
        <v>#NAME?</v>
      </c>
    </row>
    <row r="208" s="461" customFormat="true" ht="15" hidden="false" customHeight="false" outlineLevel="0" collapsed="false">
      <c r="A208" s="380" t="s">
        <v>361</v>
      </c>
      <c r="B208" s="328" t="s">
        <v>3028</v>
      </c>
      <c r="C208" s="472" t="e">
        <f aca="false">мат.затр!g1869</f>
        <v>#NAME?</v>
      </c>
      <c r="D208" s="472" t="n">
        <f aca="false">тарифик!J209</f>
        <v>1338.68808567604</v>
      </c>
      <c r="E208" s="472"/>
      <c r="F208" s="473" t="n">
        <f aca="false">D208*0.9*0.095+D208*3%</f>
        <v>154.618473895582</v>
      </c>
      <c r="G208" s="472" t="n">
        <f aca="false">амортизация!M486</f>
        <v>111.155808418861</v>
      </c>
      <c r="H208" s="473" t="e">
        <f aca="false">C208+D208+F208+G208</f>
        <v>#NAME?</v>
      </c>
      <c r="I208" s="462" t="n">
        <f aca="false">I$190</f>
        <v>0.240474587202079</v>
      </c>
      <c r="J208" s="473" t="n">
        <f aca="false">D208*I208</f>
        <v>321.920464795286</v>
      </c>
      <c r="K208" s="473" t="e">
        <f aca="false">H208+J208</f>
        <v>#NAME?</v>
      </c>
      <c r="L208" s="462" t="n">
        <v>0.2</v>
      </c>
      <c r="M208" s="473" t="e">
        <f aca="false">K208*L208</f>
        <v>#NAME?</v>
      </c>
      <c r="N208" s="473" t="e">
        <f aca="false">K208+M208</f>
        <v>#NAME?</v>
      </c>
      <c r="O208" s="473" t="e">
        <f aca="false">M208</f>
        <v>#NAME?</v>
      </c>
    </row>
    <row r="209" s="461" customFormat="true" ht="15" hidden="false" customHeight="false" outlineLevel="0" collapsed="false">
      <c r="A209" s="380" t="s">
        <v>363</v>
      </c>
      <c r="B209" s="328" t="s">
        <v>3029</v>
      </c>
      <c r="C209" s="472" t="e">
        <f aca="false">мат.затр!g1878</f>
        <v>#NAME?</v>
      </c>
      <c r="D209" s="472" t="n">
        <f aca="false">тарифик!J210</f>
        <v>1167.08500669344</v>
      </c>
      <c r="E209" s="472"/>
      <c r="F209" s="473" t="n">
        <f aca="false">D209*0.9*0.095+D209*3%</f>
        <v>134.798318273092</v>
      </c>
      <c r="G209" s="472" t="n">
        <f aca="false">амортизация!M491</f>
        <v>519.242711587089</v>
      </c>
      <c r="H209" s="473" t="e">
        <f aca="false">C209+D209+F209+G209</f>
        <v>#NAME?</v>
      </c>
      <c r="I209" s="462" t="n">
        <f aca="false">I$190</f>
        <v>0.240474587202079</v>
      </c>
      <c r="J209" s="473" t="n">
        <f aca="false">D209*I209</f>
        <v>280.654285214341</v>
      </c>
      <c r="K209" s="473" t="e">
        <f aca="false">H209+J209</f>
        <v>#NAME?</v>
      </c>
      <c r="L209" s="462" t="n">
        <v>0.2</v>
      </c>
      <c r="M209" s="473" t="e">
        <f aca="false">K209*L209</f>
        <v>#NAME?</v>
      </c>
      <c r="N209" s="473" t="e">
        <f aca="false">K209+M209</f>
        <v>#NAME?</v>
      </c>
      <c r="O209" s="473" t="e">
        <f aca="false">M209</f>
        <v>#NAME?</v>
      </c>
    </row>
    <row r="210" s="461" customFormat="true" ht="15" hidden="false" customHeight="false" outlineLevel="0" collapsed="false">
      <c r="A210" s="380" t="s">
        <v>365</v>
      </c>
      <c r="B210" s="328" t="s">
        <v>3030</v>
      </c>
      <c r="C210" s="472" t="e">
        <f aca="false">мат.затр!g1889</f>
        <v>#NAME?</v>
      </c>
      <c r="D210" s="472" t="n">
        <f aca="false">тарифик!J211</f>
        <v>1840.69611780455</v>
      </c>
      <c r="E210" s="472"/>
      <c r="F210" s="473" t="n">
        <f aca="false">D210*0.9*0.095+D210*3%</f>
        <v>212.600401606426</v>
      </c>
      <c r="G210" s="472" t="n">
        <f aca="false">амортизация!M494</f>
        <v>111.155808418861</v>
      </c>
      <c r="H210" s="473" t="e">
        <f aca="false">C210+D210+F210+G210</f>
        <v>#NAME?</v>
      </c>
      <c r="I210" s="462" t="n">
        <f aca="false">I$190</f>
        <v>0.240474587202079</v>
      </c>
      <c r="J210" s="473" t="n">
        <f aca="false">D210*I210</f>
        <v>442.640639093519</v>
      </c>
      <c r="K210" s="473" t="e">
        <f aca="false">H210+J210</f>
        <v>#NAME?</v>
      </c>
      <c r="L210" s="462" t="n">
        <v>0.2</v>
      </c>
      <c r="M210" s="473" t="e">
        <f aca="false">K210*L210</f>
        <v>#NAME?</v>
      </c>
      <c r="N210" s="473" t="e">
        <f aca="false">K210+M210</f>
        <v>#NAME?</v>
      </c>
      <c r="O210" s="473" t="e">
        <f aca="false">M210</f>
        <v>#NAME?</v>
      </c>
    </row>
    <row r="211" s="461" customFormat="true" ht="15" hidden="false" customHeight="false" outlineLevel="0" collapsed="false">
      <c r="A211" s="380" t="s">
        <v>367</v>
      </c>
      <c r="B211" s="328" t="s">
        <v>3031</v>
      </c>
      <c r="C211" s="472" t="e">
        <f aca="false">мат.затр!g1901</f>
        <v>#NAME?</v>
      </c>
      <c r="D211" s="472" t="n">
        <f aca="false">тарифик!J212</f>
        <v>1757.0281124498</v>
      </c>
      <c r="E211" s="472"/>
      <c r="F211" s="473" t="n">
        <f aca="false">D211*0.9*0.095+D211*3%</f>
        <v>202.936746987952</v>
      </c>
      <c r="G211" s="472" t="n">
        <f aca="false">амортизация!M499</f>
        <v>302.592778521493</v>
      </c>
      <c r="H211" s="473" t="e">
        <f aca="false">C211+D211+F211+G211</f>
        <v>#NAME?</v>
      </c>
      <c r="I211" s="462" t="n">
        <f aca="false">I$190</f>
        <v>0.240474587202079</v>
      </c>
      <c r="J211" s="473" t="n">
        <f aca="false">D211*I211</f>
        <v>422.520610043813</v>
      </c>
      <c r="K211" s="473" t="e">
        <f aca="false">H211+J211</f>
        <v>#NAME?</v>
      </c>
      <c r="L211" s="462" t="n">
        <v>0.2</v>
      </c>
      <c r="M211" s="473" t="e">
        <f aca="false">K211*L211</f>
        <v>#NAME?</v>
      </c>
      <c r="N211" s="473" t="e">
        <f aca="false">K211+M211</f>
        <v>#NAME?</v>
      </c>
      <c r="O211" s="473" t="e">
        <f aca="false">M211</f>
        <v>#NAME?</v>
      </c>
    </row>
    <row r="212" s="461" customFormat="true" ht="15" hidden="false" customHeight="false" outlineLevel="0" collapsed="false">
      <c r="A212" s="380" t="s">
        <v>369</v>
      </c>
      <c r="B212" s="328" t="s">
        <v>3032</v>
      </c>
      <c r="C212" s="472" t="e">
        <f aca="false">мат.затр!g1911</f>
        <v>#NAME?</v>
      </c>
      <c r="D212" s="472" t="n">
        <f aca="false">тарифик!J213</f>
        <v>1757.0281124498</v>
      </c>
      <c r="E212" s="472"/>
      <c r="F212" s="473" t="n">
        <f aca="false">D212*0.9*0.095+D212*3%</f>
        <v>202.936746987952</v>
      </c>
      <c r="G212" s="472" t="n">
        <f aca="false">амортизация!M502</f>
        <v>78.1724490554812</v>
      </c>
      <c r="H212" s="473" t="e">
        <f aca="false">C212+D212+F212+G212</f>
        <v>#NAME?</v>
      </c>
      <c r="I212" s="462" t="n">
        <f aca="false">I$190</f>
        <v>0.240474587202079</v>
      </c>
      <c r="J212" s="473" t="n">
        <f aca="false">D212*I212</f>
        <v>422.520610043813</v>
      </c>
      <c r="K212" s="473" t="e">
        <f aca="false">H212+J212</f>
        <v>#NAME?</v>
      </c>
      <c r="L212" s="462" t="n">
        <v>0.2</v>
      </c>
      <c r="M212" s="473" t="e">
        <f aca="false">K212*L212</f>
        <v>#NAME?</v>
      </c>
      <c r="N212" s="473" t="e">
        <f aca="false">K212+M212</f>
        <v>#NAME?</v>
      </c>
      <c r="O212" s="473" t="e">
        <f aca="false">M212</f>
        <v>#NAME?</v>
      </c>
    </row>
    <row r="213" s="461" customFormat="true" ht="15" hidden="false" customHeight="false" outlineLevel="0" collapsed="false">
      <c r="A213" s="380" t="s">
        <v>371</v>
      </c>
      <c r="B213" s="328" t="s">
        <v>3033</v>
      </c>
      <c r="C213" s="472" t="e">
        <f aca="false">мат.затр!g1925</f>
        <v>#NAME?</v>
      </c>
      <c r="D213" s="472" t="n">
        <f aca="false">тарифик!J214</f>
        <v>2655.06470325747</v>
      </c>
      <c r="E213" s="472"/>
      <c r="F213" s="473" t="n">
        <f aca="false">D213*0.9*0.095+D213*3%</f>
        <v>306.659973226238</v>
      </c>
      <c r="G213" s="472" t="n">
        <f aca="false">амортизация!M507</f>
        <v>519.242711587089</v>
      </c>
      <c r="H213" s="473" t="e">
        <f aca="false">C213+D213+F213+G213</f>
        <v>#NAME?</v>
      </c>
      <c r="I213" s="462" t="n">
        <f aca="false">I$190</f>
        <v>0.240474587202079</v>
      </c>
      <c r="J213" s="473" t="n">
        <f aca="false">D213*I213</f>
        <v>638.475588510651</v>
      </c>
      <c r="K213" s="473" t="e">
        <f aca="false">H213+J213</f>
        <v>#NAME?</v>
      </c>
      <c r="L213" s="462" t="n">
        <v>0.2</v>
      </c>
      <c r="M213" s="473" t="e">
        <f aca="false">K213*L213</f>
        <v>#NAME?</v>
      </c>
      <c r="N213" s="473" t="e">
        <f aca="false">K213+M213</f>
        <v>#NAME?</v>
      </c>
      <c r="O213" s="473" t="e">
        <f aca="false">M213</f>
        <v>#NAME?</v>
      </c>
    </row>
    <row r="214" s="461" customFormat="true" ht="15" hidden="false" customHeight="false" outlineLevel="0" collapsed="false">
      <c r="A214" s="380" t="s">
        <v>373</v>
      </c>
      <c r="B214" s="328" t="s">
        <v>3034</v>
      </c>
      <c r="C214" s="472" t="e">
        <f aca="false">мат.затр!g1938</f>
        <v>#NAME?</v>
      </c>
      <c r="D214" s="472" t="n">
        <f aca="false">тарифик!J215</f>
        <v>663.766175814369</v>
      </c>
      <c r="E214" s="472"/>
      <c r="F214" s="473" t="n">
        <f aca="false">D214*0.9*0.095+D214*3%</f>
        <v>76.6649933065596</v>
      </c>
      <c r="G214" s="472" t="n">
        <f aca="false">амортизация!M510</f>
        <v>111.155808418861</v>
      </c>
      <c r="H214" s="473" t="e">
        <f aca="false">C214+D214+F214+G214</f>
        <v>#NAME?</v>
      </c>
      <c r="I214" s="462" t="n">
        <f aca="false">I$190</f>
        <v>0.240474587202079</v>
      </c>
      <c r="J214" s="473" t="n">
        <f aca="false">D214*I214</f>
        <v>159.618897127663</v>
      </c>
      <c r="K214" s="473" t="e">
        <f aca="false">H214+J214</f>
        <v>#NAME?</v>
      </c>
      <c r="L214" s="462" t="n">
        <v>0.2</v>
      </c>
      <c r="M214" s="473" t="e">
        <f aca="false">K214*L214</f>
        <v>#NAME?</v>
      </c>
      <c r="N214" s="473" t="e">
        <f aca="false">K214+M214</f>
        <v>#NAME?</v>
      </c>
      <c r="O214" s="473" t="e">
        <f aca="false">M214</f>
        <v>#NAME?</v>
      </c>
    </row>
    <row r="215" s="461" customFormat="true" ht="15" hidden="false" customHeight="false" outlineLevel="0" collapsed="false">
      <c r="A215" s="380" t="s">
        <v>375</v>
      </c>
      <c r="B215" s="328" t="s">
        <v>3035</v>
      </c>
      <c r="C215" s="472" t="e">
        <f aca="false">мат.затр!g1950</f>
        <v>#NAME?</v>
      </c>
      <c r="D215" s="472" t="n">
        <f aca="false">тарифик!J216</f>
        <v>3179.38420348059</v>
      </c>
      <c r="E215" s="472"/>
      <c r="F215" s="473" t="n">
        <f aca="false">D215*0.9*0.095+D215*3%</f>
        <v>367.218875502008</v>
      </c>
      <c r="G215" s="472" t="n">
        <f aca="false">амортизация!M514</f>
        <v>797.792605607616</v>
      </c>
      <c r="H215" s="473" t="e">
        <f aca="false">C215+D215+F215+G215</f>
        <v>#NAME?</v>
      </c>
      <c r="I215" s="462" t="n">
        <f aca="false">I$190</f>
        <v>0.240474587202079</v>
      </c>
      <c r="J215" s="473" t="n">
        <f aca="false">D215*I215</f>
        <v>764.561103888805</v>
      </c>
      <c r="K215" s="473" t="e">
        <f aca="false">H215+J215</f>
        <v>#NAME?</v>
      </c>
      <c r="L215" s="462" t="n">
        <v>0.2</v>
      </c>
      <c r="M215" s="473" t="e">
        <f aca="false">K215*L215</f>
        <v>#NAME?</v>
      </c>
      <c r="N215" s="473" t="e">
        <f aca="false">K215+M215</f>
        <v>#NAME?</v>
      </c>
      <c r="O215" s="473" t="e">
        <f aca="false">M215</f>
        <v>#NAME?</v>
      </c>
    </row>
    <row r="216" s="461" customFormat="true" ht="15" hidden="false" customHeight="false" outlineLevel="0" collapsed="false">
      <c r="A216" s="380" t="s">
        <v>377</v>
      </c>
      <c r="B216" s="328" t="s">
        <v>3036</v>
      </c>
      <c r="C216" s="472" t="e">
        <f aca="false">мат.затр!g1963</f>
        <v>#NAME?</v>
      </c>
      <c r="D216" s="472" t="n">
        <f aca="false">тарифик!J217</f>
        <v>1539.49129852744</v>
      </c>
      <c r="E216" s="472"/>
      <c r="F216" s="473" t="n">
        <f aca="false">D216*0.9*0.095+D216*3%</f>
        <v>177.81124497992</v>
      </c>
      <c r="G216" s="472" t="n">
        <f aca="false">амортизация!M517</f>
        <v>111.155808418861</v>
      </c>
      <c r="H216" s="473" t="e">
        <f aca="false">C216+D216+F216+G216</f>
        <v>#NAME?</v>
      </c>
      <c r="I216" s="462" t="n">
        <f aca="false">I$190</f>
        <v>0.240474587202079</v>
      </c>
      <c r="J216" s="473" t="n">
        <f aca="false">D216*I216</f>
        <v>370.208534514579</v>
      </c>
      <c r="K216" s="473" t="e">
        <f aca="false">H216+J216</f>
        <v>#NAME?</v>
      </c>
      <c r="L216" s="462" t="n">
        <v>0.2</v>
      </c>
      <c r="M216" s="473" t="e">
        <f aca="false">K216*L216</f>
        <v>#NAME?</v>
      </c>
      <c r="N216" s="473" t="e">
        <f aca="false">K216+M216</f>
        <v>#NAME?</v>
      </c>
      <c r="O216" s="473" t="e">
        <f aca="false">M216</f>
        <v>#NAME?</v>
      </c>
    </row>
    <row r="217" s="461" customFormat="true" ht="15" hidden="false" customHeight="false" outlineLevel="0" collapsed="false">
      <c r="A217" s="380" t="s">
        <v>379</v>
      </c>
      <c r="B217" s="328" t="s">
        <v>3037</v>
      </c>
      <c r="C217" s="472" t="e">
        <f aca="false">мат.затр!g1972</f>
        <v>#NAME?</v>
      </c>
      <c r="D217" s="472" t="n">
        <f aca="false">тарифик!J218</f>
        <v>1874.16331994645</v>
      </c>
      <c r="E217" s="472"/>
      <c r="F217" s="473" t="n">
        <f aca="false">D217*0.9*0.095+D217*3%</f>
        <v>216.465863453815</v>
      </c>
      <c r="G217" s="472" t="n">
        <f aca="false">амортизация!M522</f>
        <v>55.0633552729436</v>
      </c>
      <c r="H217" s="473" t="e">
        <f aca="false">C217+D217+F217+G217</f>
        <v>#NAME?</v>
      </c>
      <c r="I217" s="462" t="n">
        <f aca="false">I$190</f>
        <v>0.240474587202079</v>
      </c>
      <c r="J217" s="473" t="n">
        <f aca="false">D217*I217</f>
        <v>450.688650713401</v>
      </c>
      <c r="K217" s="473" t="e">
        <f aca="false">H217+J217</f>
        <v>#NAME?</v>
      </c>
      <c r="L217" s="462" t="n">
        <v>0.2</v>
      </c>
      <c r="M217" s="473" t="e">
        <f aca="false">K217*L217</f>
        <v>#NAME?</v>
      </c>
      <c r="N217" s="473" t="e">
        <f aca="false">K217+M217</f>
        <v>#NAME?</v>
      </c>
      <c r="O217" s="473" t="e">
        <f aca="false">M217</f>
        <v>#NAME?</v>
      </c>
    </row>
    <row r="218" s="461" customFormat="true" ht="15" hidden="false" customHeight="false" outlineLevel="0" collapsed="false">
      <c r="A218" s="380" t="s">
        <v>381</v>
      </c>
      <c r="B218" s="328" t="s">
        <v>3038</v>
      </c>
      <c r="C218" s="472" t="e">
        <f aca="false">мат.затр!g1982</f>
        <v>#NAME?</v>
      </c>
      <c r="D218" s="472" t="n">
        <f aca="false">тарифик!J219</f>
        <v>1405.62248995984</v>
      </c>
      <c r="E218" s="472"/>
      <c r="F218" s="473" t="n">
        <f aca="false">D218*0.9*0.095+D218*3%</f>
        <v>162.349397590361</v>
      </c>
      <c r="G218" s="472" t="n">
        <f aca="false">амортизация!M525</f>
        <v>11.912975977986</v>
      </c>
      <c r="H218" s="473" t="e">
        <f aca="false">C218+D218+F218+G218</f>
        <v>#NAME?</v>
      </c>
      <c r="I218" s="462" t="n">
        <f aca="false">I$190</f>
        <v>0.240474587202079</v>
      </c>
      <c r="J218" s="473" t="n">
        <f aca="false">D218*I218</f>
        <v>338.016488035051</v>
      </c>
      <c r="K218" s="473" t="e">
        <f aca="false">H218+J218</f>
        <v>#NAME?</v>
      </c>
      <c r="L218" s="462" t="n">
        <v>0.2</v>
      </c>
      <c r="M218" s="473" t="e">
        <f aca="false">K218*L218</f>
        <v>#NAME?</v>
      </c>
      <c r="N218" s="473" t="e">
        <f aca="false">K218+M218</f>
        <v>#NAME?</v>
      </c>
      <c r="O218" s="473" t="e">
        <f aca="false">M218</f>
        <v>#NAME?</v>
      </c>
    </row>
    <row r="219" s="461" customFormat="true" ht="30" hidden="false" customHeight="false" outlineLevel="0" collapsed="false">
      <c r="A219" s="380" t="s">
        <v>383</v>
      </c>
      <c r="B219" s="328" t="s">
        <v>3039</v>
      </c>
      <c r="C219" s="472" t="e">
        <f aca="false">мат.затр!g2002</f>
        <v>#NAME?</v>
      </c>
      <c r="D219" s="472" t="n">
        <f aca="false">тарифик!J220</f>
        <v>1506.02409638554</v>
      </c>
      <c r="E219" s="472"/>
      <c r="F219" s="473" t="n">
        <f aca="false">D219*0.9*0.095+D219*3%</f>
        <v>173.94578313253</v>
      </c>
      <c r="G219" s="472" t="n">
        <f aca="false">амортизация!M529</f>
        <v>22.0158411423472</v>
      </c>
      <c r="H219" s="473" t="e">
        <f aca="false">C219+D219+F219+G219</f>
        <v>#NAME?</v>
      </c>
      <c r="I219" s="462" t="n">
        <f aca="false">I$190</f>
        <v>0.240474587202079</v>
      </c>
      <c r="J219" s="473" t="n">
        <f aca="false">D219*I219</f>
        <v>362.160522894697</v>
      </c>
      <c r="K219" s="473" t="e">
        <f aca="false">H219+J219</f>
        <v>#NAME?</v>
      </c>
      <c r="L219" s="462" t="n">
        <v>0.2</v>
      </c>
      <c r="M219" s="473" t="e">
        <f aca="false">K219*L219</f>
        <v>#NAME?</v>
      </c>
      <c r="N219" s="473" t="e">
        <f aca="false">K219+M219</f>
        <v>#NAME?</v>
      </c>
      <c r="O219" s="473" t="e">
        <f aca="false">M219</f>
        <v>#NAME?</v>
      </c>
    </row>
    <row r="220" s="461" customFormat="true" ht="15" hidden="false" customHeight="false" outlineLevel="0" collapsed="false">
      <c r="A220" s="380" t="s">
        <v>385</v>
      </c>
      <c r="B220" s="328" t="s">
        <v>3040</v>
      </c>
      <c r="C220" s="472" t="e">
        <f aca="false">мат.затр!g2015</f>
        <v>#NAME?</v>
      </c>
      <c r="D220" s="472" t="n">
        <f aca="false">тарифик!J221</f>
        <v>267.737617135208</v>
      </c>
      <c r="E220" s="472"/>
      <c r="F220" s="473" t="n">
        <f aca="false">D220*0.9*0.095+D220*3%</f>
        <v>30.9236947791165</v>
      </c>
      <c r="G220" s="472" t="n">
        <f aca="false">амортизация!M532</f>
        <v>7.08853934255541</v>
      </c>
      <c r="H220" s="473" t="e">
        <f aca="false">C220+D220+F220+G220</f>
        <v>#NAME?</v>
      </c>
      <c r="I220" s="462" t="n">
        <f aca="false">I$190</f>
        <v>0.240474587202079</v>
      </c>
      <c r="J220" s="473" t="n">
        <f aca="false">D220*I220</f>
        <v>64.3840929590573</v>
      </c>
      <c r="K220" s="473" t="e">
        <f aca="false">H220+J220</f>
        <v>#NAME?</v>
      </c>
      <c r="L220" s="462" t="n">
        <v>0.2</v>
      </c>
      <c r="M220" s="473" t="e">
        <f aca="false">K220*L220</f>
        <v>#NAME?</v>
      </c>
      <c r="N220" s="473" t="e">
        <f aca="false">K220+M220</f>
        <v>#NAME?</v>
      </c>
      <c r="O220" s="473" t="e">
        <f aca="false">M220</f>
        <v>#NAME?</v>
      </c>
    </row>
    <row r="221" s="461" customFormat="true" ht="15" hidden="false" customHeight="false" outlineLevel="0" collapsed="false">
      <c r="A221" s="380" t="s">
        <v>387</v>
      </c>
      <c r="B221" s="433" t="s">
        <v>3041</v>
      </c>
      <c r="C221" s="472" t="e">
        <f aca="false">мат.затр!g2032</f>
        <v>#NAME?</v>
      </c>
      <c r="D221" s="472" t="n">
        <f aca="false">тарифик!J222</f>
        <v>2629.96430165105</v>
      </c>
      <c r="E221" s="472"/>
      <c r="F221" s="473" t="n">
        <f aca="false">D221*0.9*0.095+D221*3%</f>
        <v>303.760876840696</v>
      </c>
      <c r="G221" s="472" t="n">
        <f aca="false">амортизация!M535</f>
        <v>790.444184143983</v>
      </c>
      <c r="H221" s="473" t="e">
        <f aca="false">C221+D221+F221+G221</f>
        <v>#NAME?</v>
      </c>
      <c r="I221" s="462" t="n">
        <f aca="false">I$190</f>
        <v>0.240474587202079</v>
      </c>
      <c r="J221" s="473" t="n">
        <f aca="false">D221*I221</f>
        <v>632.43957979574</v>
      </c>
      <c r="K221" s="473" t="e">
        <f aca="false">H221+J221</f>
        <v>#NAME?</v>
      </c>
      <c r="L221" s="462" t="n">
        <v>0.2</v>
      </c>
      <c r="M221" s="473" t="e">
        <f aca="false">K221*L221</f>
        <v>#NAME?</v>
      </c>
      <c r="N221" s="473" t="e">
        <f aca="false">K221+M221</f>
        <v>#NAME?</v>
      </c>
      <c r="O221" s="473" t="e">
        <f aca="false">M221</f>
        <v>#NAME?</v>
      </c>
    </row>
    <row r="222" s="461" customFormat="true" ht="15" hidden="false" customHeight="false" outlineLevel="0" collapsed="false">
      <c r="A222" s="380" t="s">
        <v>389</v>
      </c>
      <c r="B222" s="433" t="s">
        <v>3042</v>
      </c>
      <c r="C222" s="472" t="e">
        <f aca="false">мат.затр!g2049</f>
        <v>#NAME?</v>
      </c>
      <c r="D222" s="472" t="n">
        <f aca="false">тарифик!J223</f>
        <v>2459.83935742972</v>
      </c>
      <c r="E222" s="472"/>
      <c r="F222" s="473" t="n">
        <f aca="false">D222*0.9*0.095+D222*3%</f>
        <v>284.111445783133</v>
      </c>
      <c r="G222" s="472" t="n">
        <f aca="false">амортизация!M538</f>
        <v>790.444184143983</v>
      </c>
      <c r="H222" s="473" t="e">
        <f aca="false">C222+D222+F222+G222</f>
        <v>#NAME?</v>
      </c>
      <c r="I222" s="462" t="n">
        <f aca="false">I$190</f>
        <v>0.240474587202079</v>
      </c>
      <c r="J222" s="473" t="n">
        <f aca="false">D222*I222</f>
        <v>591.528854061339</v>
      </c>
      <c r="K222" s="473" t="e">
        <f aca="false">H222+J222</f>
        <v>#NAME?</v>
      </c>
      <c r="L222" s="462" t="n">
        <v>0.2</v>
      </c>
      <c r="M222" s="473" t="e">
        <f aca="false">K222*L222</f>
        <v>#NAME?</v>
      </c>
      <c r="N222" s="473" t="e">
        <f aca="false">K222+M222</f>
        <v>#NAME?</v>
      </c>
      <c r="O222" s="473" t="e">
        <f aca="false">M222</f>
        <v>#NAME?</v>
      </c>
    </row>
    <row r="223" s="461" customFormat="true" ht="15" hidden="false" customHeight="false" outlineLevel="0" collapsed="false">
      <c r="A223" s="380" t="s">
        <v>391</v>
      </c>
      <c r="B223" s="433" t="s">
        <v>3043</v>
      </c>
      <c r="C223" s="472" t="e">
        <f aca="false">мат.затр!g2063</f>
        <v>#NAME?</v>
      </c>
      <c r="D223" s="472" t="n">
        <f aca="false">тарифик!J224</f>
        <v>2030.34359660866</v>
      </c>
      <c r="E223" s="472"/>
      <c r="F223" s="473" t="n">
        <f aca="false">D223*0.9*0.095+D223*3%</f>
        <v>234.5046854083</v>
      </c>
      <c r="G223" s="472" t="n">
        <f aca="false">амортизация!M539</f>
        <v>4.56455451435371</v>
      </c>
      <c r="H223" s="473" t="e">
        <f aca="false">C223+D223+F223+G223</f>
        <v>#NAME?</v>
      </c>
      <c r="I223" s="462" t="n">
        <f aca="false">I$190</f>
        <v>0.240474587202079</v>
      </c>
      <c r="J223" s="473" t="n">
        <f aca="false">D223*I223</f>
        <v>488.246038272851</v>
      </c>
      <c r="K223" s="473" t="e">
        <f aca="false">H223+J223</f>
        <v>#NAME?</v>
      </c>
      <c r="L223" s="462" t="n">
        <v>0.2</v>
      </c>
      <c r="M223" s="473" t="e">
        <f aca="false">K223*L223</f>
        <v>#NAME?</v>
      </c>
      <c r="N223" s="473" t="e">
        <f aca="false">K223+M223</f>
        <v>#NAME?</v>
      </c>
      <c r="O223" s="473" t="e">
        <f aca="false">M223</f>
        <v>#NAME?</v>
      </c>
    </row>
    <row r="224" s="461" customFormat="true" ht="15" hidden="false" customHeight="false" outlineLevel="0" collapsed="false">
      <c r="A224" s="350" t="s">
        <v>393</v>
      </c>
      <c r="B224" s="467" t="s">
        <v>3044</v>
      </c>
      <c r="C224" s="468"/>
      <c r="D224" s="468"/>
      <c r="E224" s="468"/>
      <c r="F224" s="474"/>
      <c r="G224" s="468"/>
      <c r="H224" s="474"/>
      <c r="I224" s="475"/>
      <c r="J224" s="474"/>
      <c r="K224" s="474"/>
      <c r="L224" s="475"/>
      <c r="M224" s="474"/>
      <c r="N224" s="474"/>
      <c r="O224" s="474"/>
    </row>
    <row r="225" s="461" customFormat="true" ht="15" hidden="false" customHeight="false" outlineLevel="0" collapsed="false">
      <c r="A225" s="327" t="s">
        <v>395</v>
      </c>
      <c r="B225" s="328" t="s">
        <v>3010</v>
      </c>
      <c r="C225" s="472" t="e">
        <f aca="false">мат.затр!g2065</f>
        <v>#NAME?</v>
      </c>
      <c r="D225" s="472" t="n">
        <f aca="false">тарифик!J226</f>
        <v>602.409638554217</v>
      </c>
      <c r="E225" s="472"/>
      <c r="F225" s="473" t="n">
        <f aca="false">D225*0.9*0.095+D225*3%</f>
        <v>69.578313253012</v>
      </c>
      <c r="G225" s="472" t="n">
        <f aca="false">амортизация!M541</f>
        <v>11.2951807228916</v>
      </c>
      <c r="H225" s="473" t="e">
        <f aca="false">C225+D225+F225+G225</f>
        <v>#NAME?</v>
      </c>
      <c r="I225" s="462" t="n">
        <f aca="false">I$190</f>
        <v>0.240474587202079</v>
      </c>
      <c r="J225" s="473" t="n">
        <f aca="false">D225*I225</f>
        <v>144.864209157879</v>
      </c>
      <c r="K225" s="473" t="e">
        <f aca="false">H225+J225</f>
        <v>#NAME?</v>
      </c>
      <c r="L225" s="462" t="n">
        <v>0.2</v>
      </c>
      <c r="M225" s="473" t="e">
        <f aca="false">K225*L225</f>
        <v>#NAME?</v>
      </c>
      <c r="N225" s="473" t="e">
        <f aca="false">K225+M225</f>
        <v>#NAME?</v>
      </c>
      <c r="O225" s="473" t="e">
        <f aca="false">M225</f>
        <v>#NAME?</v>
      </c>
    </row>
    <row r="226" s="461" customFormat="true" ht="15" hidden="false" customHeight="false" outlineLevel="0" collapsed="false">
      <c r="A226" s="327" t="s">
        <v>396</v>
      </c>
      <c r="B226" s="487" t="s">
        <v>3045</v>
      </c>
      <c r="C226" s="472" t="e">
        <f aca="false">мат.затр!g2072</f>
        <v>#NAME?</v>
      </c>
      <c r="D226" s="472" t="n">
        <f aca="false">тарифик!J227</f>
        <v>803.212851405623</v>
      </c>
      <c r="E226" s="472"/>
      <c r="F226" s="473" t="n">
        <f aca="false">D226*0.9*0.095+D226*3%</f>
        <v>92.7710843373494</v>
      </c>
      <c r="G226" s="472" t="n">
        <f aca="false">амортизация!M542</f>
        <v>0.843001636174327</v>
      </c>
      <c r="H226" s="473" t="e">
        <f aca="false">C226+D226+F226+G226</f>
        <v>#NAME?</v>
      </c>
      <c r="I226" s="462" t="n">
        <f aca="false">I$190</f>
        <v>0.240474587202079</v>
      </c>
      <c r="J226" s="473" t="n">
        <f aca="false">D226*I226</f>
        <v>193.152278877172</v>
      </c>
      <c r="K226" s="473" t="e">
        <f aca="false">H226+J226</f>
        <v>#NAME?</v>
      </c>
      <c r="L226" s="462" t="n">
        <v>0.2</v>
      </c>
      <c r="M226" s="473" t="e">
        <f aca="false">K226*L226</f>
        <v>#NAME?</v>
      </c>
      <c r="N226" s="473" t="e">
        <f aca="false">K226+M226</f>
        <v>#NAME?</v>
      </c>
      <c r="O226" s="473" t="e">
        <f aca="false">M226</f>
        <v>#NAME?</v>
      </c>
    </row>
    <row r="227" s="461" customFormat="true" ht="15" hidden="false" customHeight="false" outlineLevel="0" collapsed="false">
      <c r="A227" s="327" t="s">
        <v>398</v>
      </c>
      <c r="B227" s="487" t="s">
        <v>3046</v>
      </c>
      <c r="C227" s="472" t="e">
        <f aca="false">мат.затр!g2078</f>
        <v>#NAME?</v>
      </c>
      <c r="D227" s="472" t="n">
        <f aca="false">тарифик!J228</f>
        <v>178.491744756805</v>
      </c>
      <c r="E227" s="472"/>
      <c r="F227" s="473" t="n">
        <f aca="false">D227*0.9*0.095+D227*3%</f>
        <v>20.615796519411</v>
      </c>
      <c r="G227" s="472" t="n">
        <f aca="false">амортизация!M543</f>
        <v>0.843001636174327</v>
      </c>
      <c r="H227" s="473" t="e">
        <f aca="false">C227+D227+F227+G227</f>
        <v>#NAME?</v>
      </c>
      <c r="I227" s="462" t="n">
        <f aca="false">I$190</f>
        <v>0.240474587202079</v>
      </c>
      <c r="J227" s="473" t="n">
        <f aca="false">D227*I227</f>
        <v>42.9227286393715</v>
      </c>
      <c r="K227" s="473" t="e">
        <f aca="false">H227+J227</f>
        <v>#NAME?</v>
      </c>
      <c r="L227" s="462" t="n">
        <v>0.2</v>
      </c>
      <c r="M227" s="473" t="e">
        <f aca="false">K227*L227</f>
        <v>#NAME?</v>
      </c>
      <c r="N227" s="473" t="e">
        <f aca="false">K227+M227</f>
        <v>#NAME?</v>
      </c>
      <c r="O227" s="473" t="e">
        <f aca="false">M227</f>
        <v>#NAME?</v>
      </c>
    </row>
    <row r="228" s="461" customFormat="true" ht="15" hidden="false" customHeight="false" outlineLevel="0" collapsed="false">
      <c r="A228" s="327" t="s">
        <v>400</v>
      </c>
      <c r="B228" s="487" t="s">
        <v>3047</v>
      </c>
      <c r="C228" s="472" t="e">
        <f aca="false">мат.затр!g2081</f>
        <v>#NAME?</v>
      </c>
      <c r="D228" s="472" t="n">
        <f aca="false">тарифик!J229</f>
        <v>669.344042838019</v>
      </c>
      <c r="E228" s="472"/>
      <c r="F228" s="473" t="n">
        <f aca="false">D228*0.9*0.095+D228*3%</f>
        <v>77.3092369477912</v>
      </c>
      <c r="G228" s="472" t="n">
        <f aca="false">амортизация!M544</f>
        <v>0.836680053547523</v>
      </c>
      <c r="H228" s="473" t="e">
        <f aca="false">C228+D228+F228+G228</f>
        <v>#NAME?</v>
      </c>
      <c r="I228" s="462" t="n">
        <f aca="false">I$190</f>
        <v>0.240474587202079</v>
      </c>
      <c r="J228" s="473" t="n">
        <f aca="false">D228*I228</f>
        <v>160.960232397643</v>
      </c>
      <c r="K228" s="473" t="e">
        <f aca="false">H228+J228</f>
        <v>#NAME?</v>
      </c>
      <c r="L228" s="462" t="n">
        <v>0.2</v>
      </c>
      <c r="M228" s="473" t="e">
        <f aca="false">K228*L228</f>
        <v>#NAME?</v>
      </c>
      <c r="N228" s="473" t="e">
        <f aca="false">K228+M228</f>
        <v>#NAME?</v>
      </c>
      <c r="O228" s="473" t="e">
        <f aca="false">M228</f>
        <v>#NAME?</v>
      </c>
    </row>
    <row r="229" s="461" customFormat="true" ht="15" hidden="false" customHeight="false" outlineLevel="0" collapsed="false">
      <c r="A229" s="327" t="s">
        <v>402</v>
      </c>
      <c r="B229" s="487" t="s">
        <v>3048</v>
      </c>
      <c r="C229" s="472" t="e">
        <f aca="false">мат.затр!g2084</f>
        <v>#NAME?</v>
      </c>
      <c r="D229" s="472" t="n">
        <f aca="false">тарифик!J230</f>
        <v>803.212851405623</v>
      </c>
      <c r="E229" s="472"/>
      <c r="F229" s="473" t="n">
        <f aca="false">D229*0.9*0.095+D229*3%</f>
        <v>92.7710843373494</v>
      </c>
      <c r="G229" s="472" t="n">
        <f aca="false">амортизация!M545</f>
        <v>0</v>
      </c>
      <c r="H229" s="473" t="e">
        <f aca="false">C229+D229+F229+G229</f>
        <v>#NAME?</v>
      </c>
      <c r="I229" s="462" t="n">
        <f aca="false">I$190</f>
        <v>0.240474587202079</v>
      </c>
      <c r="J229" s="473" t="n">
        <f aca="false">D229*I229</f>
        <v>193.152278877172</v>
      </c>
      <c r="K229" s="473" t="e">
        <f aca="false">H229+J229</f>
        <v>#NAME?</v>
      </c>
      <c r="L229" s="462" t="n">
        <v>0.2</v>
      </c>
      <c r="M229" s="473" t="e">
        <f aca="false">K229*L229</f>
        <v>#NAME?</v>
      </c>
      <c r="N229" s="473" t="e">
        <f aca="false">K229+M229</f>
        <v>#NAME?</v>
      </c>
      <c r="O229" s="473" t="e">
        <f aca="false">M229</f>
        <v>#NAME?</v>
      </c>
    </row>
    <row r="230" s="461" customFormat="true" ht="15" hidden="false" customHeight="false" outlineLevel="0" collapsed="false">
      <c r="A230" s="327" t="s">
        <v>404</v>
      </c>
      <c r="B230" s="487" t="s">
        <v>3049</v>
      </c>
      <c r="C230" s="472" t="e">
        <f aca="false">мат.затр!g2095</f>
        <v>#NAME?</v>
      </c>
      <c r="D230" s="472" t="n">
        <f aca="false">тарифик!J231</f>
        <v>937.081659973226</v>
      </c>
      <c r="E230" s="472"/>
      <c r="F230" s="473" t="n">
        <f aca="false">D230*0.9*0.095+D230*3%</f>
        <v>108.232931726908</v>
      </c>
      <c r="G230" s="472" t="n">
        <f aca="false">амортизация!M546</f>
        <v>0.843001636174327</v>
      </c>
      <c r="H230" s="473" t="e">
        <f aca="false">C230+D230+F230+G230</f>
        <v>#NAME?</v>
      </c>
      <c r="I230" s="462" t="n">
        <f aca="false">I$190</f>
        <v>0.240474587202079</v>
      </c>
      <c r="J230" s="473" t="n">
        <f aca="false">D230*I230</f>
        <v>225.344325356701</v>
      </c>
      <c r="K230" s="473" t="e">
        <f aca="false">H230+J230</f>
        <v>#NAME?</v>
      </c>
      <c r="L230" s="462" t="n">
        <v>0.2</v>
      </c>
      <c r="M230" s="473" t="e">
        <f aca="false">K230*L230</f>
        <v>#NAME?</v>
      </c>
      <c r="N230" s="473" t="e">
        <f aca="false">K230+M230</f>
        <v>#NAME?</v>
      </c>
      <c r="O230" s="473" t="e">
        <f aca="false">M230</f>
        <v>#NAME?</v>
      </c>
    </row>
    <row r="231" s="461" customFormat="true" ht="15" hidden="false" customHeight="false" outlineLevel="0" collapsed="false">
      <c r="A231" s="327" t="s">
        <v>406</v>
      </c>
      <c r="B231" s="487" t="s">
        <v>3050</v>
      </c>
      <c r="C231" s="472" t="e">
        <f aca="false">мат.затр!g2101</f>
        <v>#NAME?</v>
      </c>
      <c r="D231" s="472" t="n">
        <f aca="false">тарифик!J232</f>
        <v>1054.21686746988</v>
      </c>
      <c r="E231" s="472"/>
      <c r="F231" s="473" t="n">
        <f aca="false">D231*0.9*0.095+D231*3%</f>
        <v>121.762048192771</v>
      </c>
      <c r="G231" s="472" t="n">
        <f aca="false">амортизация!M547</f>
        <v>0.843001636174327</v>
      </c>
      <c r="H231" s="473" t="e">
        <f aca="false">C231+D231+F231+G231</f>
        <v>#NAME?</v>
      </c>
      <c r="I231" s="462" t="n">
        <f aca="false">I$190</f>
        <v>0.240474587202079</v>
      </c>
      <c r="J231" s="473" t="n">
        <f aca="false">D231*I231</f>
        <v>253.512366026288</v>
      </c>
      <c r="K231" s="473" t="e">
        <f aca="false">H231+J231</f>
        <v>#NAME?</v>
      </c>
      <c r="L231" s="462" t="n">
        <v>0.2</v>
      </c>
      <c r="M231" s="473" t="e">
        <f aca="false">K231*L231</f>
        <v>#NAME?</v>
      </c>
      <c r="N231" s="473" t="e">
        <f aca="false">K231+M231</f>
        <v>#NAME?</v>
      </c>
      <c r="O231" s="473" t="e">
        <f aca="false">M231</f>
        <v>#NAME?</v>
      </c>
    </row>
    <row r="232" s="461" customFormat="true" ht="15" hidden="false" customHeight="false" outlineLevel="0" collapsed="false">
      <c r="A232" s="327" t="s">
        <v>408</v>
      </c>
      <c r="B232" s="487" t="s">
        <v>3051</v>
      </c>
      <c r="C232" s="472" t="e">
        <f aca="false">мат.затр!g2108</f>
        <v>#NAME?</v>
      </c>
      <c r="D232" s="472" t="n">
        <f aca="false">тарифик!J233</f>
        <v>502.008032128514</v>
      </c>
      <c r="E232" s="472"/>
      <c r="F232" s="473" t="n">
        <f aca="false">D232*0.9*0.095+D232*3%</f>
        <v>57.9819277108434</v>
      </c>
      <c r="G232" s="472" t="n">
        <f aca="false">амортизация!M548</f>
        <v>0.843001636174327</v>
      </c>
      <c r="H232" s="473" t="e">
        <f aca="false">C232+D232+F232+G232</f>
        <v>#NAME?</v>
      </c>
      <c r="I232" s="462" t="n">
        <f aca="false">I$190</f>
        <v>0.240474587202079</v>
      </c>
      <c r="J232" s="473" t="n">
        <f aca="false">D232*I232</f>
        <v>120.720174298232</v>
      </c>
      <c r="K232" s="473" t="e">
        <f aca="false">H232+J232</f>
        <v>#NAME?</v>
      </c>
      <c r="L232" s="462" t="n">
        <v>0.2</v>
      </c>
      <c r="M232" s="473" t="e">
        <f aca="false">K232*L232</f>
        <v>#NAME?</v>
      </c>
      <c r="N232" s="473" t="e">
        <f aca="false">K232+M232</f>
        <v>#NAME?</v>
      </c>
      <c r="O232" s="473" t="e">
        <f aca="false">M232</f>
        <v>#NAME?</v>
      </c>
    </row>
    <row r="233" s="461" customFormat="true" ht="15" hidden="false" customHeight="false" outlineLevel="0" collapsed="false">
      <c r="A233" s="327" t="s">
        <v>410</v>
      </c>
      <c r="B233" s="487" t="s">
        <v>3052</v>
      </c>
      <c r="C233" s="472" t="e">
        <f aca="false">мат.затр!g2117</f>
        <v>#NAME?</v>
      </c>
      <c r="D233" s="472" t="n">
        <f aca="false">тарифик!J234</f>
        <v>1338.68808567604</v>
      </c>
      <c r="E233" s="472"/>
      <c r="F233" s="473" t="n">
        <f aca="false">D233*0.9*0.095+D233*3%</f>
        <v>154.618473895582</v>
      </c>
      <c r="G233" s="472" t="n">
        <f aca="false">амортизация!M551</f>
        <v>8.19142309980663</v>
      </c>
      <c r="H233" s="473" t="e">
        <f aca="false">C233+D233+F233+G233</f>
        <v>#NAME?</v>
      </c>
      <c r="I233" s="462" t="n">
        <f aca="false">I$190</f>
        <v>0.240474587202079</v>
      </c>
      <c r="J233" s="473" t="n">
        <f aca="false">D233*I233</f>
        <v>321.920464795286</v>
      </c>
      <c r="K233" s="473" t="e">
        <f aca="false">H233+J233</f>
        <v>#NAME?</v>
      </c>
      <c r="L233" s="462" t="n">
        <v>0.2</v>
      </c>
      <c r="M233" s="473" t="e">
        <f aca="false">K233*L233</f>
        <v>#NAME?</v>
      </c>
      <c r="N233" s="473" t="e">
        <f aca="false">K233+M233</f>
        <v>#NAME?</v>
      </c>
      <c r="O233" s="473" t="e">
        <f aca="false">M233</f>
        <v>#NAME?</v>
      </c>
    </row>
    <row r="234" s="461" customFormat="true" ht="15" hidden="false" customHeight="false" outlineLevel="0" collapsed="false">
      <c r="A234" s="327" t="s">
        <v>412</v>
      </c>
      <c r="B234" s="487" t="s">
        <v>3053</v>
      </c>
      <c r="C234" s="472" t="e">
        <f aca="false">мат.затр!g2120</f>
        <v>#NAME?</v>
      </c>
      <c r="D234" s="472" t="n">
        <f aca="false">тарифик!J235</f>
        <v>803.212851405623</v>
      </c>
      <c r="E234" s="472"/>
      <c r="F234" s="473" t="n">
        <f aca="false">D234*0.9*0.095+D234*3%</f>
        <v>92.7710843373494</v>
      </c>
      <c r="G234" s="472" t="n">
        <f aca="false">амортизация!M554</f>
        <v>6.14197530864198</v>
      </c>
      <c r="H234" s="473" t="e">
        <f aca="false">C234+D234+F234+G234</f>
        <v>#NAME?</v>
      </c>
      <c r="I234" s="462" t="n">
        <f aca="false">I$190</f>
        <v>0.240474587202079</v>
      </c>
      <c r="J234" s="473" t="n">
        <f aca="false">D234*I234</f>
        <v>193.152278877172</v>
      </c>
      <c r="K234" s="473" t="e">
        <f aca="false">H234+J234</f>
        <v>#NAME?</v>
      </c>
      <c r="L234" s="462" t="n">
        <v>0.2</v>
      </c>
      <c r="M234" s="473" t="e">
        <f aca="false">K234*L234</f>
        <v>#NAME?</v>
      </c>
      <c r="N234" s="473" t="e">
        <f aca="false">K234+M234</f>
        <v>#NAME?</v>
      </c>
      <c r="O234" s="473" t="e">
        <f aca="false">M234</f>
        <v>#NAME?</v>
      </c>
    </row>
    <row r="235" s="461" customFormat="true" ht="15" hidden="false" customHeight="false" outlineLevel="0" collapsed="false">
      <c r="A235" s="327" t="s">
        <v>414</v>
      </c>
      <c r="B235" s="487" t="s">
        <v>3054</v>
      </c>
      <c r="C235" s="472" t="e">
        <f aca="false">мат.затр!g2124</f>
        <v>#NAME?</v>
      </c>
      <c r="D235" s="472" t="n">
        <f aca="false">тарифик!J236</f>
        <v>1840.69611780455</v>
      </c>
      <c r="E235" s="472"/>
      <c r="F235" s="473" t="n">
        <f aca="false">D235*0.9*0.095+D235*3%</f>
        <v>212.600401606426</v>
      </c>
      <c r="G235" s="472" t="n">
        <f aca="false">амортизация!M557</f>
        <v>6.14197530864198</v>
      </c>
      <c r="H235" s="473" t="e">
        <f aca="false">C235+D235+F235+G235</f>
        <v>#NAME?</v>
      </c>
      <c r="I235" s="462" t="n">
        <f aca="false">I$190</f>
        <v>0.240474587202079</v>
      </c>
      <c r="J235" s="473" t="n">
        <f aca="false">D235*I235</f>
        <v>442.640639093519</v>
      </c>
      <c r="K235" s="473" t="e">
        <f aca="false">H235+J235</f>
        <v>#NAME?</v>
      </c>
      <c r="L235" s="462" t="n">
        <v>0.2</v>
      </c>
      <c r="M235" s="473" t="e">
        <f aca="false">K235*L235</f>
        <v>#NAME?</v>
      </c>
      <c r="N235" s="473" t="e">
        <f aca="false">K235+M235</f>
        <v>#NAME?</v>
      </c>
      <c r="O235" s="473" t="e">
        <f aca="false">M235</f>
        <v>#NAME?</v>
      </c>
    </row>
    <row r="236" s="461" customFormat="true" ht="15" hidden="false" customHeight="false" outlineLevel="0" collapsed="false">
      <c r="A236" s="327" t="s">
        <v>416</v>
      </c>
      <c r="B236" s="487" t="s">
        <v>3055</v>
      </c>
      <c r="C236" s="472" t="e">
        <f aca="false">мат.затр!g2132</f>
        <v>#NAME?</v>
      </c>
      <c r="D236" s="472" t="n">
        <f aca="false">тарифик!J237</f>
        <v>1255.02008032129</v>
      </c>
      <c r="E236" s="472"/>
      <c r="F236" s="473" t="n">
        <f aca="false">D236*0.9*0.095+D236*3%</f>
        <v>144.954819277108</v>
      </c>
      <c r="G236" s="472" t="n">
        <f aca="false">амортизация!M560</f>
        <v>8.19142309980663</v>
      </c>
      <c r="H236" s="473" t="e">
        <f aca="false">C236+D236+F236+G236</f>
        <v>#NAME?</v>
      </c>
      <c r="I236" s="462" t="n">
        <f aca="false">I$190</f>
        <v>0.240474587202079</v>
      </c>
      <c r="J236" s="473" t="n">
        <f aca="false">D236*I236</f>
        <v>301.800435745581</v>
      </c>
      <c r="K236" s="473" t="e">
        <f aca="false">H236+J236</f>
        <v>#NAME?</v>
      </c>
      <c r="L236" s="462" t="n">
        <v>0.2</v>
      </c>
      <c r="M236" s="473" t="e">
        <f aca="false">K236*L236</f>
        <v>#NAME?</v>
      </c>
      <c r="N236" s="473" t="e">
        <f aca="false">K236+M236</f>
        <v>#NAME?</v>
      </c>
      <c r="O236" s="473" t="e">
        <f aca="false">M236</f>
        <v>#NAME?</v>
      </c>
    </row>
    <row r="237" s="461" customFormat="true" ht="15" hidden="false" customHeight="false" outlineLevel="0" collapsed="false">
      <c r="A237" s="327" t="s">
        <v>418</v>
      </c>
      <c r="B237" s="487" t="s">
        <v>3056</v>
      </c>
      <c r="C237" s="472" t="e">
        <f aca="false">мат.затр!g2143</f>
        <v>#NAME?</v>
      </c>
      <c r="D237" s="472" t="n">
        <f aca="false">тарифик!J238</f>
        <v>1070.95046854083</v>
      </c>
      <c r="E237" s="472"/>
      <c r="F237" s="473" t="n">
        <f aca="false">D237*0.9*0.095+D237*3%</f>
        <v>123.694779116466</v>
      </c>
      <c r="G237" s="472" t="n">
        <f aca="false">амортизация!M561</f>
        <v>0.843001636174327</v>
      </c>
      <c r="H237" s="473" t="e">
        <f aca="false">C237+D237+F237+G237</f>
        <v>#NAME?</v>
      </c>
      <c r="I237" s="462" t="n">
        <f aca="false">I$190</f>
        <v>0.240474587202079</v>
      </c>
      <c r="J237" s="473" t="n">
        <f aca="false">D237*I237</f>
        <v>257.536371836229</v>
      </c>
      <c r="K237" s="473" t="e">
        <f aca="false">H237+J237</f>
        <v>#NAME?</v>
      </c>
      <c r="L237" s="462" t="n">
        <v>0.2</v>
      </c>
      <c r="M237" s="473" t="e">
        <f aca="false">K237*L237</f>
        <v>#NAME?</v>
      </c>
      <c r="N237" s="473" t="e">
        <f aca="false">K237+M237</f>
        <v>#NAME?</v>
      </c>
      <c r="O237" s="473" t="e">
        <f aca="false">M237</f>
        <v>#NAME?</v>
      </c>
    </row>
    <row r="238" s="461" customFormat="true" ht="15" hidden="false" customHeight="false" outlineLevel="0" collapsed="false">
      <c r="A238" s="327" t="s">
        <v>420</v>
      </c>
      <c r="B238" s="487" t="s">
        <v>3057</v>
      </c>
      <c r="C238" s="472" t="e">
        <f aca="false">мат.затр!g2151</f>
        <v>#NAME?</v>
      </c>
      <c r="D238" s="472" t="n">
        <f aca="false">тарифик!J239</f>
        <v>836.680053547523</v>
      </c>
      <c r="E238" s="472"/>
      <c r="F238" s="473" t="n">
        <f aca="false">D238*0.9*0.095+D238*3%</f>
        <v>96.636546184739</v>
      </c>
      <c r="G238" s="472" t="n">
        <f aca="false">амортизация!M562</f>
        <v>0.843001636174327</v>
      </c>
      <c r="H238" s="473" t="e">
        <f aca="false">C238+D238+F238+G238</f>
        <v>#NAME?</v>
      </c>
      <c r="I238" s="462" t="n">
        <f aca="false">I$190</f>
        <v>0.240474587202079</v>
      </c>
      <c r="J238" s="473" t="n">
        <f aca="false">D238*I238</f>
        <v>201.200290497054</v>
      </c>
      <c r="K238" s="473" t="e">
        <f aca="false">H238+J238</f>
        <v>#NAME?</v>
      </c>
      <c r="L238" s="462" t="n">
        <v>0.2</v>
      </c>
      <c r="M238" s="473" t="e">
        <f aca="false">K238*L238</f>
        <v>#NAME?</v>
      </c>
      <c r="N238" s="473" t="e">
        <f aca="false">K238+M238</f>
        <v>#NAME?</v>
      </c>
      <c r="O238" s="473" t="e">
        <f aca="false">M238</f>
        <v>#NAME?</v>
      </c>
    </row>
    <row r="239" s="461" customFormat="true" ht="15" hidden="false" customHeight="false" outlineLevel="0" collapsed="false">
      <c r="A239" s="327" t="s">
        <v>422</v>
      </c>
      <c r="B239" s="487" t="s">
        <v>3058</v>
      </c>
      <c r="C239" s="472" t="e">
        <f aca="false">мат.затр!g2155</f>
        <v>#NAME?</v>
      </c>
      <c r="D239" s="472" t="n">
        <f aca="false">тарифик!J240</f>
        <v>418.340026773762</v>
      </c>
      <c r="E239" s="472"/>
      <c r="F239" s="473" t="n">
        <f aca="false">D239*0.9*0.095+D239*3%</f>
        <v>48.3182730923695</v>
      </c>
      <c r="G239" s="472" t="n">
        <f aca="false">амортизация!M563</f>
        <v>1.82675145024543</v>
      </c>
      <c r="H239" s="473" t="e">
        <f aca="false">C239+D239+F239+G239</f>
        <v>#NAME?</v>
      </c>
      <c r="I239" s="462" t="n">
        <f aca="false">I$190</f>
        <v>0.240474587202079</v>
      </c>
      <c r="J239" s="473" t="n">
        <f aca="false">D239*I239</f>
        <v>100.600145248527</v>
      </c>
      <c r="K239" s="473" t="e">
        <f aca="false">H239+J239</f>
        <v>#NAME?</v>
      </c>
      <c r="L239" s="462" t="n">
        <v>0.2</v>
      </c>
      <c r="M239" s="473" t="e">
        <f aca="false">K239*L239</f>
        <v>#NAME?</v>
      </c>
      <c r="N239" s="473" t="e">
        <f aca="false">K239+M239</f>
        <v>#NAME?</v>
      </c>
      <c r="O239" s="473" t="e">
        <f aca="false">M239</f>
        <v>#NAME?</v>
      </c>
    </row>
    <row r="240" s="461" customFormat="true" ht="15" hidden="false" customHeight="false" outlineLevel="0" collapsed="false">
      <c r="A240" s="327" t="s">
        <v>424</v>
      </c>
      <c r="B240" s="487" t="s">
        <v>3059</v>
      </c>
      <c r="C240" s="472" t="e">
        <f aca="false">мат.затр!g2163</f>
        <v>#NAME?</v>
      </c>
      <c r="D240" s="472" t="n">
        <f aca="false">тарифик!J241</f>
        <v>669.344042838019</v>
      </c>
      <c r="E240" s="472"/>
      <c r="F240" s="473" t="n">
        <f aca="false">D240*0.9*0.095+D240*3%</f>
        <v>77.3092369477912</v>
      </c>
      <c r="G240" s="472" t="n">
        <f aca="false">амортизация!M566</f>
        <v>2.66975308641975</v>
      </c>
      <c r="H240" s="473" t="e">
        <f aca="false">C240+D240+F240+G240</f>
        <v>#NAME?</v>
      </c>
      <c r="I240" s="462" t="n">
        <f aca="false">I$190</f>
        <v>0.240474587202079</v>
      </c>
      <c r="J240" s="473" t="n">
        <f aca="false">D240*I240</f>
        <v>160.960232397643</v>
      </c>
      <c r="K240" s="473" t="e">
        <f aca="false">H240+J240</f>
        <v>#NAME?</v>
      </c>
      <c r="L240" s="462" t="n">
        <v>0.2</v>
      </c>
      <c r="M240" s="473" t="e">
        <f aca="false">K240*L240</f>
        <v>#NAME?</v>
      </c>
      <c r="N240" s="473" t="e">
        <f aca="false">K240+M240</f>
        <v>#NAME?</v>
      </c>
      <c r="O240" s="473" t="e">
        <f aca="false">M240</f>
        <v>#NAME?</v>
      </c>
    </row>
    <row r="241" s="461" customFormat="true" ht="15" hidden="false" customHeight="false" outlineLevel="0" collapsed="false">
      <c r="A241" s="327" t="s">
        <v>426</v>
      </c>
      <c r="B241" s="487" t="s">
        <v>3060</v>
      </c>
      <c r="C241" s="472" t="e">
        <f aca="false">мат.затр!g2170</f>
        <v>#NAME?</v>
      </c>
      <c r="D241" s="472" t="n">
        <f aca="false">тарифик!J242</f>
        <v>334.672021419009</v>
      </c>
      <c r="E241" s="472"/>
      <c r="F241" s="473" t="n">
        <f aca="false">D241*0.9*0.095+D241*3%</f>
        <v>38.6546184738956</v>
      </c>
      <c r="G241" s="472" t="n">
        <f aca="false">амортизация!M567</f>
        <v>0.843001636174327</v>
      </c>
      <c r="H241" s="473" t="e">
        <f aca="false">C241+D241+F241+G241</f>
        <v>#NAME?</v>
      </c>
      <c r="I241" s="462" t="n">
        <f aca="false">I$190</f>
        <v>0.240474587202079</v>
      </c>
      <c r="J241" s="473" t="n">
        <f aca="false">D241*I241</f>
        <v>80.4801161988216</v>
      </c>
      <c r="K241" s="473" t="e">
        <f aca="false">H241+J241</f>
        <v>#NAME?</v>
      </c>
      <c r="L241" s="462" t="n">
        <v>0.2</v>
      </c>
      <c r="M241" s="473" t="e">
        <f aca="false">K241*L241</f>
        <v>#NAME?</v>
      </c>
      <c r="N241" s="473" t="e">
        <f aca="false">K241+M241</f>
        <v>#NAME?</v>
      </c>
      <c r="O241" s="473" t="e">
        <f aca="false">M241</f>
        <v>#NAME?</v>
      </c>
    </row>
    <row r="242" s="461" customFormat="true" ht="15" hidden="false" customHeight="false" outlineLevel="0" collapsed="false">
      <c r="A242" s="327" t="s">
        <v>428</v>
      </c>
      <c r="B242" s="487" t="s">
        <v>3061</v>
      </c>
      <c r="C242" s="472" t="e">
        <f aca="false">мат.затр!g2180</f>
        <v>#NAME?</v>
      </c>
      <c r="D242" s="472" t="n">
        <f aca="false">тарифик!J243</f>
        <v>1137.88487282463</v>
      </c>
      <c r="E242" s="472"/>
      <c r="F242" s="473" t="n">
        <f aca="false">D242*0.9*0.095+D242*3%</f>
        <v>131.425702811245</v>
      </c>
      <c r="G242" s="472" t="n">
        <f aca="false">амортизация!M571</f>
        <v>11.7703685110814</v>
      </c>
      <c r="H242" s="473" t="e">
        <f aca="false">C242+D242+F242+G242</f>
        <v>#NAME?</v>
      </c>
      <c r="I242" s="462" t="n">
        <f aca="false">I$190</f>
        <v>0.240474587202079</v>
      </c>
      <c r="J242" s="473" t="n">
        <f aca="false">D242*I242</f>
        <v>273.632395075994</v>
      </c>
      <c r="K242" s="473" t="e">
        <f aca="false">H242+J242</f>
        <v>#NAME?</v>
      </c>
      <c r="L242" s="462" t="n">
        <v>0.2</v>
      </c>
      <c r="M242" s="473" t="e">
        <f aca="false">K242*L242</f>
        <v>#NAME?</v>
      </c>
      <c r="N242" s="473" t="e">
        <f aca="false">K242+M242</f>
        <v>#NAME?</v>
      </c>
      <c r="O242" s="473" t="e">
        <f aca="false">M242</f>
        <v>#NAME?</v>
      </c>
    </row>
    <row r="243" s="461" customFormat="true" ht="15" hidden="false" customHeight="false" outlineLevel="0" collapsed="false">
      <c r="A243" s="327" t="s">
        <v>430</v>
      </c>
      <c r="B243" s="487" t="s">
        <v>3062</v>
      </c>
      <c r="C243" s="472" t="e">
        <f aca="false">мат.затр!g2190</f>
        <v>#NAME?</v>
      </c>
      <c r="D243" s="472" t="n">
        <f aca="false">тарифик!J244</f>
        <v>1070.95046854083</v>
      </c>
      <c r="E243" s="472"/>
      <c r="F243" s="473" t="n">
        <f aca="false">D243*0.9*0.095+D243*3%</f>
        <v>123.694779116466</v>
      </c>
      <c r="G243" s="472" t="n">
        <f aca="false">амортизация!M575</f>
        <v>10.927366874907</v>
      </c>
      <c r="H243" s="473" t="e">
        <f aca="false">C243+D243+F243+G243</f>
        <v>#NAME?</v>
      </c>
      <c r="I243" s="462" t="n">
        <f aca="false">I$190</f>
        <v>0.240474587202079</v>
      </c>
      <c r="J243" s="473" t="n">
        <f aca="false">D243*I243</f>
        <v>257.536371836229</v>
      </c>
      <c r="K243" s="473" t="e">
        <f aca="false">H243+J243</f>
        <v>#NAME?</v>
      </c>
      <c r="L243" s="462" t="n">
        <v>0.2</v>
      </c>
      <c r="M243" s="473" t="e">
        <f aca="false">K243*L243</f>
        <v>#NAME?</v>
      </c>
      <c r="N243" s="473" t="e">
        <f aca="false">K243+M243</f>
        <v>#NAME?</v>
      </c>
      <c r="O243" s="473" t="e">
        <f aca="false">M243</f>
        <v>#NAME?</v>
      </c>
    </row>
    <row r="244" s="461" customFormat="true" ht="15" hidden="false" customHeight="false" outlineLevel="0" collapsed="false">
      <c r="A244" s="327" t="s">
        <v>432</v>
      </c>
      <c r="B244" s="487" t="s">
        <v>3063</v>
      </c>
      <c r="C244" s="472" t="e">
        <f aca="false">мат.затр!g2194</f>
        <v>#NAME?</v>
      </c>
      <c r="D244" s="472" t="n">
        <f aca="false">тарифик!J245</f>
        <v>602.409638554217</v>
      </c>
      <c r="E244" s="472"/>
      <c r="F244" s="473" t="n">
        <f aca="false">D244*0.9*0.095+D244*3%</f>
        <v>69.578313253012</v>
      </c>
      <c r="G244" s="472" t="n">
        <f aca="false">амортизация!M576</f>
        <v>1.39446675591254</v>
      </c>
      <c r="H244" s="473" t="e">
        <f aca="false">C244+D244+F244+G244</f>
        <v>#NAME?</v>
      </c>
      <c r="I244" s="462" t="n">
        <f aca="false">I$190</f>
        <v>0.240474587202079</v>
      </c>
      <c r="J244" s="473" t="n">
        <f aca="false">D244*I244</f>
        <v>144.864209157879</v>
      </c>
      <c r="K244" s="473" t="e">
        <f aca="false">H244+J244</f>
        <v>#NAME?</v>
      </c>
      <c r="L244" s="462" t="n">
        <v>0.2</v>
      </c>
      <c r="M244" s="473" t="e">
        <f aca="false">K244*L244</f>
        <v>#NAME?</v>
      </c>
      <c r="N244" s="473" t="e">
        <f aca="false">K244+M244</f>
        <v>#NAME?</v>
      </c>
      <c r="O244" s="473" t="e">
        <f aca="false">M244</f>
        <v>#NAME?</v>
      </c>
    </row>
    <row r="245" s="461" customFormat="true" ht="15" hidden="false" customHeight="false" outlineLevel="0" collapsed="false">
      <c r="A245" s="327" t="s">
        <v>434</v>
      </c>
      <c r="B245" s="328" t="s">
        <v>3064</v>
      </c>
      <c r="C245" s="472" t="e">
        <f aca="false">мат.затр!g2206</f>
        <v>#NAME?</v>
      </c>
      <c r="D245" s="472" t="n">
        <f aca="false">тарифик!J246</f>
        <v>1472.55689424364</v>
      </c>
      <c r="E245" s="472"/>
      <c r="F245" s="473" t="n">
        <f aca="false">D245*0.9*0.095+D245*3%</f>
        <v>170.080321285141</v>
      </c>
      <c r="G245" s="472" t="n">
        <f aca="false">амортизация!M579</f>
        <v>62.3401755168824</v>
      </c>
      <c r="H245" s="473" t="e">
        <f aca="false">C245+D245+F245+G245</f>
        <v>#NAME?</v>
      </c>
      <c r="I245" s="462" t="n">
        <f aca="false">I$190</f>
        <v>0.240474587202079</v>
      </c>
      <c r="J245" s="473" t="n">
        <f aca="false">D245*I245</f>
        <v>354.112511274815</v>
      </c>
      <c r="K245" s="473" t="e">
        <f aca="false">H245+J245</f>
        <v>#NAME?</v>
      </c>
      <c r="L245" s="462" t="n">
        <v>0.2</v>
      </c>
      <c r="M245" s="473" t="e">
        <f aca="false">K245*L245</f>
        <v>#NAME?</v>
      </c>
      <c r="N245" s="473" t="e">
        <f aca="false">K245+M245</f>
        <v>#NAME?</v>
      </c>
      <c r="O245" s="473" t="e">
        <f aca="false">M245</f>
        <v>#NAME?</v>
      </c>
    </row>
    <row r="246" s="461" customFormat="true" ht="15" hidden="false" customHeight="false" outlineLevel="0" collapsed="false">
      <c r="A246" s="327" t="s">
        <v>436</v>
      </c>
      <c r="B246" s="328" t="s">
        <v>3065</v>
      </c>
      <c r="C246" s="472" t="e">
        <f aca="false">мат.затр!g2215</f>
        <v>#NAME?</v>
      </c>
      <c r="D246" s="472" t="n">
        <f aca="false">тарифик!J247</f>
        <v>1338.68808567604</v>
      </c>
      <c r="E246" s="472"/>
      <c r="F246" s="473" t="n">
        <f aca="false">D246*0.9*0.095+D246*3%</f>
        <v>154.618473895582</v>
      </c>
      <c r="G246" s="472" t="n">
        <f aca="false">амортизация!M584</f>
        <v>751.278949129853</v>
      </c>
      <c r="H246" s="473" t="e">
        <f aca="false">C246+D246+F246+G246</f>
        <v>#NAME?</v>
      </c>
      <c r="I246" s="462" t="n">
        <f aca="false">I$190</f>
        <v>0.240474587202079</v>
      </c>
      <c r="J246" s="473" t="n">
        <f aca="false">D246*I246</f>
        <v>321.920464795286</v>
      </c>
      <c r="K246" s="473" t="e">
        <f aca="false">H246+J246</f>
        <v>#NAME?</v>
      </c>
      <c r="L246" s="462" t="n">
        <v>0.2</v>
      </c>
      <c r="M246" s="473" t="e">
        <f aca="false">K246*L246</f>
        <v>#NAME?</v>
      </c>
      <c r="N246" s="473" t="e">
        <f aca="false">K246+M246</f>
        <v>#NAME?</v>
      </c>
      <c r="O246" s="473" t="e">
        <f aca="false">M246</f>
        <v>#NAME?</v>
      </c>
    </row>
    <row r="247" s="461" customFormat="true" ht="15" hidden="false" customHeight="false" outlineLevel="0" collapsed="false">
      <c r="A247" s="327" t="s">
        <v>438</v>
      </c>
      <c r="B247" s="328" t="s">
        <v>3066</v>
      </c>
      <c r="C247" s="472" t="e">
        <f aca="false">мат.затр!g2230</f>
        <v>#NAME?</v>
      </c>
      <c r="D247" s="472" t="n">
        <f aca="false">тарифик!J248</f>
        <v>702.81124497992</v>
      </c>
      <c r="E247" s="472"/>
      <c r="F247" s="473" t="n">
        <f aca="false">D247*0.9*0.095+D247*3%</f>
        <v>81.1746987951807</v>
      </c>
      <c r="G247" s="472" t="n">
        <f aca="false">амортизация!M589</f>
        <v>133.335462219247</v>
      </c>
      <c r="H247" s="473" t="e">
        <f aca="false">C247+D247+F247+G247</f>
        <v>#NAME?</v>
      </c>
      <c r="I247" s="462" t="n">
        <f aca="false">I$190</f>
        <v>0.240474587202079</v>
      </c>
      <c r="J247" s="473" t="n">
        <f aca="false">D247*I247</f>
        <v>169.008244017525</v>
      </c>
      <c r="K247" s="473" t="e">
        <f aca="false">H247+J247</f>
        <v>#NAME?</v>
      </c>
      <c r="L247" s="462" t="n">
        <v>0.2</v>
      </c>
      <c r="M247" s="473" t="e">
        <f aca="false">K247*L247</f>
        <v>#NAME?</v>
      </c>
      <c r="N247" s="473" t="e">
        <f aca="false">K247+M247</f>
        <v>#NAME?</v>
      </c>
      <c r="O247" s="473" t="e">
        <f aca="false">M247</f>
        <v>#NAME?</v>
      </c>
    </row>
    <row r="248" s="461" customFormat="true" ht="15" hidden="false" customHeight="false" outlineLevel="0" collapsed="false">
      <c r="A248" s="327" t="s">
        <v>440</v>
      </c>
      <c r="B248" s="328" t="s">
        <v>3067</v>
      </c>
      <c r="C248" s="472" t="e">
        <f aca="false">мат.затр!g2242</f>
        <v>#NAME?</v>
      </c>
      <c r="D248" s="472" t="n">
        <f aca="false">тарифик!J249</f>
        <v>1405.62248995984</v>
      </c>
      <c r="E248" s="472"/>
      <c r="F248" s="473" t="n">
        <f aca="false">D248*0.9*0.095+D248*3%</f>
        <v>162.349397590361</v>
      </c>
      <c r="G248" s="472" t="n">
        <f aca="false">амортизация!M592</f>
        <v>111.155808418861</v>
      </c>
      <c r="H248" s="473" t="e">
        <f aca="false">C248+D248+F248+G248</f>
        <v>#NAME?</v>
      </c>
      <c r="I248" s="462" t="n">
        <f aca="false">I$190</f>
        <v>0.240474587202079</v>
      </c>
      <c r="J248" s="473" t="n">
        <f aca="false">D248*I248</f>
        <v>338.016488035051</v>
      </c>
      <c r="K248" s="473" t="e">
        <f aca="false">H248+J248</f>
        <v>#NAME?</v>
      </c>
      <c r="L248" s="462" t="n">
        <v>0.2</v>
      </c>
      <c r="M248" s="473" t="e">
        <f aca="false">K248*L248</f>
        <v>#NAME?</v>
      </c>
      <c r="N248" s="473" t="e">
        <f aca="false">K248+M248</f>
        <v>#NAME?</v>
      </c>
      <c r="O248" s="473" t="e">
        <f aca="false">M248</f>
        <v>#NAME?</v>
      </c>
    </row>
    <row r="249" s="461" customFormat="true" ht="15" hidden="false" customHeight="false" outlineLevel="0" collapsed="false">
      <c r="A249" s="327" t="s">
        <v>442</v>
      </c>
      <c r="B249" s="328" t="s">
        <v>3068</v>
      </c>
      <c r="C249" s="472" t="e">
        <f aca="false">мат.затр!g2254</f>
        <v>#NAME?</v>
      </c>
      <c r="D249" s="472" t="n">
        <f aca="false">тарифик!J250</f>
        <v>1606.42570281124</v>
      </c>
      <c r="E249" s="472"/>
      <c r="F249" s="473" t="n">
        <f aca="false">D249*0.9*0.095+D249*3%</f>
        <v>185.542168674699</v>
      </c>
      <c r="G249" s="472" t="n">
        <f aca="false">амортизация!M597</f>
        <v>51.3418023947642</v>
      </c>
      <c r="H249" s="473" t="e">
        <f aca="false">C249+D249+F249+G249</f>
        <v>#NAME?</v>
      </c>
      <c r="I249" s="462" t="n">
        <f aca="false">I$190</f>
        <v>0.240474587202079</v>
      </c>
      <c r="J249" s="473" t="n">
        <f aca="false">D249*I249</f>
        <v>386.304557754344</v>
      </c>
      <c r="K249" s="473" t="e">
        <f aca="false">H249+J249</f>
        <v>#NAME?</v>
      </c>
      <c r="L249" s="462" t="n">
        <v>0.2</v>
      </c>
      <c r="M249" s="473" t="e">
        <f aca="false">K249*L249</f>
        <v>#NAME?</v>
      </c>
      <c r="N249" s="473" t="e">
        <f aca="false">K249+M249</f>
        <v>#NAME?</v>
      </c>
      <c r="O249" s="473" t="e">
        <f aca="false">M249</f>
        <v>#NAME?</v>
      </c>
    </row>
    <row r="250" s="461" customFormat="true" ht="15" hidden="false" customHeight="false" outlineLevel="0" collapsed="false">
      <c r="A250" s="327" t="s">
        <v>444</v>
      </c>
      <c r="B250" s="328" t="s">
        <v>3069</v>
      </c>
      <c r="C250" s="472" t="e">
        <f aca="false">мат.затр!g2266</f>
        <v>#NAME?</v>
      </c>
      <c r="D250" s="472" t="n">
        <f aca="false">тарифик!J251</f>
        <v>1874.16331994645</v>
      </c>
      <c r="E250" s="472"/>
      <c r="F250" s="473" t="n">
        <f aca="false">D250*0.9*0.095+D250*3%</f>
        <v>216.465863453815</v>
      </c>
      <c r="G250" s="472" t="n">
        <f aca="false">амортизация!M600</f>
        <v>8.19142309980663</v>
      </c>
      <c r="H250" s="473" t="e">
        <f aca="false">C250+D250+F250+G250</f>
        <v>#NAME?</v>
      </c>
      <c r="I250" s="462" t="n">
        <f aca="false">I$190</f>
        <v>0.240474587202079</v>
      </c>
      <c r="J250" s="473" t="n">
        <f aca="false">D250*I250</f>
        <v>450.688650713401</v>
      </c>
      <c r="K250" s="473" t="e">
        <f aca="false">H250+J250</f>
        <v>#NAME?</v>
      </c>
      <c r="L250" s="462" t="n">
        <v>0.2</v>
      </c>
      <c r="M250" s="473" t="e">
        <f aca="false">K250*L250</f>
        <v>#NAME?</v>
      </c>
      <c r="N250" s="473" t="e">
        <f aca="false">K250+M250</f>
        <v>#NAME?</v>
      </c>
      <c r="O250" s="473" t="e">
        <f aca="false">M250</f>
        <v>#NAME?</v>
      </c>
    </row>
    <row r="251" s="461" customFormat="true" ht="15" hidden="false" customHeight="false" outlineLevel="0" collapsed="false">
      <c r="A251" s="327" t="s">
        <v>446</v>
      </c>
      <c r="B251" s="328" t="s">
        <v>3070</v>
      </c>
      <c r="C251" s="472" t="e">
        <f aca="false">мат.затр!g2278</f>
        <v>#NAME?</v>
      </c>
      <c r="D251" s="472" t="n">
        <f aca="false">тарифик!J252</f>
        <v>2576.97456492637</v>
      </c>
      <c r="E251" s="472"/>
      <c r="F251" s="473" t="n">
        <f aca="false">D251*0.9*0.095+D251*3%</f>
        <v>297.640562248996</v>
      </c>
      <c r="G251" s="472" t="n">
        <f aca="false">амортизация!M607</f>
        <v>287.157518964748</v>
      </c>
      <c r="H251" s="473" t="e">
        <f aca="false">C251+D251+F251+G251</f>
        <v>#NAME?</v>
      </c>
      <c r="I251" s="462" t="n">
        <f aca="false">I$190</f>
        <v>0.240474587202079</v>
      </c>
      <c r="J251" s="473" t="n">
        <f aca="false">D251*I251</f>
        <v>619.696894730926</v>
      </c>
      <c r="K251" s="473" t="e">
        <f aca="false">H251+J251</f>
        <v>#NAME?</v>
      </c>
      <c r="L251" s="462" t="n">
        <v>0.2</v>
      </c>
      <c r="M251" s="473" t="e">
        <f aca="false">K251*L251</f>
        <v>#NAME?</v>
      </c>
      <c r="N251" s="473" t="e">
        <f aca="false">K251+M251</f>
        <v>#NAME?</v>
      </c>
      <c r="O251" s="473" t="e">
        <f aca="false">M251</f>
        <v>#NAME?</v>
      </c>
    </row>
    <row r="252" s="461" customFormat="true" ht="15" hidden="false" customHeight="false" outlineLevel="0" collapsed="false">
      <c r="A252" s="327" t="s">
        <v>448</v>
      </c>
      <c r="B252" s="328" t="s">
        <v>3071</v>
      </c>
      <c r="C252" s="472" t="e">
        <f aca="false">мат.затр!g2293</f>
        <v>#NAME?</v>
      </c>
      <c r="D252" s="472" t="n">
        <f aca="false">тарифик!J253</f>
        <v>502.008032128514</v>
      </c>
      <c r="E252" s="472"/>
      <c r="F252" s="473" t="n">
        <f aca="false">D252*0.9*0.095+D252*3%</f>
        <v>57.9819277108434</v>
      </c>
      <c r="G252" s="472" t="n">
        <f aca="false">амортизация!M610</f>
        <v>69.2122843224751</v>
      </c>
      <c r="H252" s="473" t="e">
        <f aca="false">C252+D252+F252+G252</f>
        <v>#NAME?</v>
      </c>
      <c r="I252" s="462" t="n">
        <f aca="false">I$190</f>
        <v>0.240474587202079</v>
      </c>
      <c r="J252" s="473" t="n">
        <f aca="false">D252*I252</f>
        <v>120.720174298232</v>
      </c>
      <c r="K252" s="473" t="e">
        <f aca="false">H252+J252</f>
        <v>#NAME?</v>
      </c>
      <c r="L252" s="462" t="n">
        <v>0.2</v>
      </c>
      <c r="M252" s="473" t="e">
        <f aca="false">K252*L252</f>
        <v>#NAME?</v>
      </c>
      <c r="N252" s="473" t="e">
        <f aca="false">K252+M252</f>
        <v>#NAME?</v>
      </c>
      <c r="O252" s="473" t="e">
        <f aca="false">M252</f>
        <v>#NAME?</v>
      </c>
    </row>
    <row r="253" s="461" customFormat="true" ht="15" hidden="false" customHeight="false" outlineLevel="0" collapsed="false">
      <c r="A253" s="327" t="s">
        <v>450</v>
      </c>
      <c r="B253" s="328" t="s">
        <v>3072</v>
      </c>
      <c r="C253" s="472" t="e">
        <f aca="false">мат.затр!g2305</f>
        <v>#NAME?</v>
      </c>
      <c r="D253" s="472" t="n">
        <f aca="false">тарифик!J254</f>
        <v>3045.51539491299</v>
      </c>
      <c r="E253" s="472"/>
      <c r="F253" s="473" t="n">
        <f aca="false">D253*0.9*0.095+D253*3%</f>
        <v>351.75702811245</v>
      </c>
      <c r="G253" s="472" t="n">
        <f aca="false">амортизация!M614</f>
        <v>953.063429644504</v>
      </c>
      <c r="H253" s="473" t="e">
        <f aca="false">C253+D253+F253+G253</f>
        <v>#NAME?</v>
      </c>
      <c r="I253" s="462" t="n">
        <f aca="false">I$190</f>
        <v>0.240474587202079</v>
      </c>
      <c r="J253" s="473" t="n">
        <f aca="false">D253*I253</f>
        <v>732.369057409277</v>
      </c>
      <c r="K253" s="473" t="e">
        <f aca="false">H253+J253</f>
        <v>#NAME?</v>
      </c>
      <c r="L253" s="462" t="n">
        <v>0.2</v>
      </c>
      <c r="M253" s="473" t="e">
        <f aca="false">K253*L253</f>
        <v>#NAME?</v>
      </c>
      <c r="N253" s="473" t="e">
        <f aca="false">K253+M253</f>
        <v>#NAME?</v>
      </c>
      <c r="O253" s="473" t="e">
        <f aca="false">M253</f>
        <v>#NAME?</v>
      </c>
    </row>
    <row r="254" s="461" customFormat="true" ht="15" hidden="false" customHeight="false" outlineLevel="0" collapsed="false">
      <c r="A254" s="327" t="s">
        <v>452</v>
      </c>
      <c r="B254" s="328" t="s">
        <v>3073</v>
      </c>
      <c r="C254" s="472" t="e">
        <f aca="false">мат.затр!g2320</f>
        <v>#NAME?</v>
      </c>
      <c r="D254" s="472" t="n">
        <f aca="false">тарифик!J255</f>
        <v>803.212851405623</v>
      </c>
      <c r="E254" s="472"/>
      <c r="F254" s="473" t="n">
        <f aca="false">D254*0.9*0.095+D254*3%</f>
        <v>92.7710843373494</v>
      </c>
      <c r="G254" s="472" t="n">
        <f aca="false">амортизация!M617</f>
        <v>69.2122843224751</v>
      </c>
      <c r="H254" s="473" t="e">
        <f aca="false">C254+D254+F254+G254</f>
        <v>#NAME?</v>
      </c>
      <c r="I254" s="462" t="n">
        <f aca="false">I$190</f>
        <v>0.240474587202079</v>
      </c>
      <c r="J254" s="473" t="n">
        <f aca="false">D254*I254</f>
        <v>193.152278877172</v>
      </c>
      <c r="K254" s="473" t="e">
        <f aca="false">H254+J254</f>
        <v>#NAME?</v>
      </c>
      <c r="L254" s="462" t="n">
        <v>0.2</v>
      </c>
      <c r="M254" s="473" t="e">
        <f aca="false">K254*L254</f>
        <v>#NAME?</v>
      </c>
      <c r="N254" s="473" t="e">
        <f aca="false">K254+M254</f>
        <v>#NAME?</v>
      </c>
      <c r="O254" s="473" t="e">
        <f aca="false">M254</f>
        <v>#NAME?</v>
      </c>
    </row>
    <row r="255" s="461" customFormat="true" ht="15" hidden="false" customHeight="false" outlineLevel="0" collapsed="false">
      <c r="A255" s="327" t="s">
        <v>454</v>
      </c>
      <c r="B255" s="328" t="s">
        <v>3074</v>
      </c>
      <c r="C255" s="472" t="e">
        <f aca="false">мат.затр!g2338</f>
        <v>#NAME?</v>
      </c>
      <c r="D255" s="472" t="n">
        <f aca="false">тарифик!J256</f>
        <v>903.614457831325</v>
      </c>
      <c r="E255" s="472"/>
      <c r="F255" s="473" t="n">
        <f aca="false">D255*0.9*0.095+D255*3%</f>
        <v>104.367469879518</v>
      </c>
      <c r="G255" s="472" t="n">
        <f aca="false">амортизация!M621</f>
        <v>170.702997173881</v>
      </c>
      <c r="H255" s="473" t="e">
        <f aca="false">C255+D255+F255+G255</f>
        <v>#NAME?</v>
      </c>
      <c r="I255" s="462" t="n">
        <f aca="false">I$190</f>
        <v>0.240474587202079</v>
      </c>
      <c r="J255" s="473" t="n">
        <f aca="false">D255*I255</f>
        <v>217.296313736818</v>
      </c>
      <c r="K255" s="473" t="e">
        <f aca="false">H255+J255</f>
        <v>#NAME?</v>
      </c>
      <c r="L255" s="462" t="n">
        <v>0.2</v>
      </c>
      <c r="M255" s="473" t="e">
        <f aca="false">K255*L255</f>
        <v>#NAME?</v>
      </c>
      <c r="N255" s="473" t="e">
        <f aca="false">K255+M255</f>
        <v>#NAME?</v>
      </c>
      <c r="O255" s="473" t="e">
        <f aca="false">M255</f>
        <v>#NAME?</v>
      </c>
    </row>
    <row r="256" s="461" customFormat="true" ht="15" hidden="false" customHeight="false" outlineLevel="0" collapsed="false">
      <c r="A256" s="327" t="s">
        <v>456</v>
      </c>
      <c r="B256" s="433" t="s">
        <v>3075</v>
      </c>
      <c r="C256" s="472" t="e">
        <f aca="false">мат.затр!g2355</f>
        <v>#NAME?</v>
      </c>
      <c r="D256" s="472" t="n">
        <f aca="false">тарифик!J257</f>
        <v>1472.55689424364</v>
      </c>
      <c r="E256" s="472"/>
      <c r="F256" s="473" t="n">
        <f aca="false">D256*0.9*0.095+D256*3%</f>
        <v>170.080321285141</v>
      </c>
      <c r="G256" s="472" t="n">
        <f aca="false">амортизация!M622</f>
        <v>1031.25576379592</v>
      </c>
      <c r="H256" s="473" t="e">
        <f aca="false">C256+D256+F256+G256</f>
        <v>#NAME?</v>
      </c>
      <c r="I256" s="462" t="n">
        <f aca="false">I$190</f>
        <v>0.240474587202079</v>
      </c>
      <c r="J256" s="473" t="n">
        <f aca="false">D256*I256</f>
        <v>354.112511274815</v>
      </c>
      <c r="K256" s="473" t="e">
        <f aca="false">H256+J256</f>
        <v>#NAME?</v>
      </c>
      <c r="L256" s="462" t="n">
        <v>0.2</v>
      </c>
      <c r="M256" s="473" t="e">
        <f aca="false">K256*L256</f>
        <v>#NAME?</v>
      </c>
      <c r="N256" s="473" t="e">
        <f aca="false">K256+M256</f>
        <v>#NAME?</v>
      </c>
      <c r="O256" s="473" t="e">
        <f aca="false">M256</f>
        <v>#NAME?</v>
      </c>
    </row>
    <row r="257" s="461" customFormat="true" ht="15" hidden="false" customHeight="false" outlineLevel="0" collapsed="false">
      <c r="A257" s="327" t="s">
        <v>458</v>
      </c>
      <c r="B257" s="433" t="s">
        <v>459</v>
      </c>
      <c r="C257" s="472" t="e">
        <f aca="false">мат.затр!g2363</f>
        <v>#NAME?</v>
      </c>
      <c r="D257" s="472" t="n">
        <f aca="false">тарифик!J258</f>
        <v>2392.90495314592</v>
      </c>
      <c r="E257" s="472"/>
      <c r="F257" s="473" t="n">
        <f aca="false">D257*0.9*0.095+D257*3%</f>
        <v>276.380522088353</v>
      </c>
      <c r="G257" s="472" t="n">
        <f aca="false">амортизация!M623</f>
        <v>1771.63501227131</v>
      </c>
      <c r="H257" s="473" t="e">
        <f aca="false">C257+D257+F257+G257</f>
        <v>#NAME?</v>
      </c>
      <c r="I257" s="462" t="n">
        <f aca="false">I$190</f>
        <v>0.240474587202079</v>
      </c>
      <c r="J257" s="473" t="n">
        <f aca="false">D257*I257</f>
        <v>575.432830821574</v>
      </c>
      <c r="K257" s="473" t="e">
        <f aca="false">H257+J257</f>
        <v>#NAME?</v>
      </c>
      <c r="L257" s="462" t="n">
        <v>0.2</v>
      </c>
      <c r="M257" s="473" t="e">
        <f aca="false">K257*L257</f>
        <v>#NAME?</v>
      </c>
      <c r="N257" s="473" t="e">
        <f aca="false">K257+M257</f>
        <v>#NAME?</v>
      </c>
      <c r="O257" s="473" t="e">
        <f aca="false">M257</f>
        <v>#NAME?</v>
      </c>
    </row>
    <row r="258" s="461" customFormat="true" ht="15" hidden="false" customHeight="false" outlineLevel="0" collapsed="false">
      <c r="A258" s="327" t="s">
        <v>460</v>
      </c>
      <c r="B258" s="433" t="s">
        <v>461</v>
      </c>
      <c r="C258" s="472" t="e">
        <f aca="false">мат.затр!g2373</f>
        <v>#NAME?</v>
      </c>
      <c r="D258" s="472" t="n">
        <f aca="false">тарифик!J259</f>
        <v>2175.36813922356</v>
      </c>
      <c r="E258" s="472"/>
      <c r="F258" s="473" t="n">
        <f aca="false">D258*0.9*0.095+D258*3%</f>
        <v>251.255020080321</v>
      </c>
      <c r="G258" s="472" t="n">
        <f aca="false">амортизация!M624</f>
        <v>590.545004090436</v>
      </c>
      <c r="H258" s="473" t="e">
        <f aca="false">C258+D258+F258+G258</f>
        <v>#NAME?</v>
      </c>
      <c r="I258" s="462" t="n">
        <f aca="false">I$190</f>
        <v>0.240474587202079</v>
      </c>
      <c r="J258" s="473" t="n">
        <f aca="false">D258*I258</f>
        <v>523.12075529234</v>
      </c>
      <c r="K258" s="473" t="e">
        <f aca="false">H258+J258</f>
        <v>#NAME?</v>
      </c>
      <c r="L258" s="462" t="n">
        <v>0.2</v>
      </c>
      <c r="M258" s="473" t="e">
        <f aca="false">K258*L258</f>
        <v>#NAME?</v>
      </c>
      <c r="N258" s="473" t="e">
        <f aca="false">K258+M258</f>
        <v>#NAME?</v>
      </c>
      <c r="O258" s="473" t="e">
        <f aca="false">M258</f>
        <v>#NAME?</v>
      </c>
    </row>
    <row r="259" s="461" customFormat="true" ht="15" hidden="false" customHeight="false" outlineLevel="0" collapsed="false">
      <c r="A259" s="327" t="s">
        <v>462</v>
      </c>
      <c r="B259" s="433" t="s">
        <v>463</v>
      </c>
      <c r="C259" s="472" t="e">
        <f aca="false">мат.затр!g2383</f>
        <v>#NAME?</v>
      </c>
      <c r="D259" s="472" t="n">
        <f aca="false">тарифик!J260</f>
        <v>2392.90495314592</v>
      </c>
      <c r="E259" s="472"/>
      <c r="F259" s="473" t="n">
        <f aca="false">D259*0.9*0.095+D259*3%</f>
        <v>276.380522088353</v>
      </c>
      <c r="G259" s="472" t="n">
        <f aca="false">амортизация!M625</f>
        <v>826.76300572661</v>
      </c>
      <c r="H259" s="473" t="e">
        <f aca="false">C259+D259+F259+G259</f>
        <v>#NAME?</v>
      </c>
      <c r="I259" s="462" t="n">
        <f aca="false">I$190</f>
        <v>0.240474587202079</v>
      </c>
      <c r="J259" s="473" t="n">
        <f aca="false">D259*I259</f>
        <v>575.432830821574</v>
      </c>
      <c r="K259" s="473" t="e">
        <f aca="false">H259+J259</f>
        <v>#NAME?</v>
      </c>
      <c r="L259" s="462" t="n">
        <v>0.2</v>
      </c>
      <c r="M259" s="473" t="e">
        <f aca="false">K259*L259</f>
        <v>#NAME?</v>
      </c>
      <c r="N259" s="473" t="e">
        <f aca="false">K259+M259</f>
        <v>#NAME?</v>
      </c>
      <c r="O259" s="473" t="e">
        <f aca="false">M259</f>
        <v>#NAME?</v>
      </c>
    </row>
    <row r="260" s="461" customFormat="true" ht="15" hidden="false" customHeight="false" outlineLevel="0" collapsed="false">
      <c r="A260" s="327" t="s">
        <v>464</v>
      </c>
      <c r="B260" s="433" t="s">
        <v>465</v>
      </c>
      <c r="C260" s="472" t="e">
        <f aca="false">мат.затр!g2393</f>
        <v>#NAME?</v>
      </c>
      <c r="D260" s="472" t="n">
        <f aca="false">тарифик!J261</f>
        <v>1104.41767068273</v>
      </c>
      <c r="E260" s="472"/>
      <c r="F260" s="473" t="n">
        <f aca="false">D260*0.9*0.095+D260*3%</f>
        <v>127.560240963855</v>
      </c>
      <c r="G260" s="472" t="n">
        <f aca="false">амортизация!M626</f>
        <v>1031.25576379592</v>
      </c>
      <c r="H260" s="473" t="e">
        <f aca="false">C260+D260+F260+G260</f>
        <v>#NAME?</v>
      </c>
      <c r="I260" s="462" t="n">
        <f aca="false">I$190</f>
        <v>0.240474587202079</v>
      </c>
      <c r="J260" s="473" t="n">
        <f aca="false">D260*I260</f>
        <v>265.584383456111</v>
      </c>
      <c r="K260" s="473" t="e">
        <f aca="false">H260+J260</f>
        <v>#NAME?</v>
      </c>
      <c r="L260" s="462" t="n">
        <v>0.2</v>
      </c>
      <c r="M260" s="473" t="e">
        <f aca="false">K260*L260</f>
        <v>#NAME?</v>
      </c>
      <c r="N260" s="473" t="e">
        <f aca="false">K260+M260</f>
        <v>#NAME?</v>
      </c>
      <c r="O260" s="473" t="e">
        <f aca="false">M260</f>
        <v>#NAME?</v>
      </c>
    </row>
    <row r="261" s="461" customFormat="true" ht="15" hidden="false" customHeight="false" outlineLevel="0" collapsed="false">
      <c r="A261" s="327" t="s">
        <v>466</v>
      </c>
      <c r="B261" s="433" t="s">
        <v>3076</v>
      </c>
      <c r="C261" s="472" t="e">
        <f aca="false">мат.затр!g2411</f>
        <v>#NAME?</v>
      </c>
      <c r="D261" s="472" t="n">
        <f aca="false">тарифик!J262</f>
        <v>2945.11378848728</v>
      </c>
      <c r="E261" s="472"/>
      <c r="F261" s="473" t="n">
        <f aca="false">D261*0.9*0.095+D261*3%</f>
        <v>340.160642570281</v>
      </c>
      <c r="G261" s="472" t="n">
        <f aca="false">амортизация!M629</f>
        <v>2106.60205637364</v>
      </c>
      <c r="H261" s="473" t="e">
        <f aca="false">C261+D261+F261+G261</f>
        <v>#NAME?</v>
      </c>
      <c r="I261" s="462" t="n">
        <f aca="false">I$190</f>
        <v>0.240474587202079</v>
      </c>
      <c r="J261" s="473" t="n">
        <f aca="false">D261*I261</f>
        <v>708.22502254963</v>
      </c>
      <c r="K261" s="473" t="e">
        <f aca="false">H261+J261</f>
        <v>#NAME?</v>
      </c>
      <c r="L261" s="462" t="n">
        <v>0.2</v>
      </c>
      <c r="M261" s="473" t="e">
        <f aca="false">K261*L261</f>
        <v>#NAME?</v>
      </c>
      <c r="N261" s="473" t="e">
        <f aca="false">K261+M261</f>
        <v>#NAME?</v>
      </c>
      <c r="O261" s="473" t="e">
        <f aca="false">M261</f>
        <v>#NAME?</v>
      </c>
    </row>
    <row r="262" s="461" customFormat="true" ht="30" hidden="false" customHeight="false" outlineLevel="0" collapsed="false">
      <c r="A262" s="327" t="s">
        <v>468</v>
      </c>
      <c r="B262" s="433" t="s">
        <v>3077</v>
      </c>
      <c r="C262" s="472" t="e">
        <f aca="false">мат.затр!g2419</f>
        <v>#NAME?</v>
      </c>
      <c r="D262" s="472" t="n">
        <f aca="false">тарифик!J263</f>
        <v>1796.07318161535</v>
      </c>
      <c r="E262" s="472"/>
      <c r="F262" s="473" t="n">
        <f aca="false">D262*0.9*0.095+D262*3%</f>
        <v>207.446452476573</v>
      </c>
      <c r="G262" s="472" t="n">
        <f aca="false">амортизация!M629</f>
        <v>2106.60205637364</v>
      </c>
      <c r="H262" s="473" t="e">
        <f aca="false">C262+D262+F262+G262</f>
        <v>#NAME?</v>
      </c>
      <c r="I262" s="462" t="n">
        <f aca="false">I$190</f>
        <v>0.240474587202079</v>
      </c>
      <c r="J262" s="473" t="n">
        <f aca="false">D262*I262</f>
        <v>431.909956933676</v>
      </c>
      <c r="K262" s="473" t="e">
        <f aca="false">H262+J262</f>
        <v>#NAME?</v>
      </c>
      <c r="L262" s="462" t="n">
        <v>0.2</v>
      </c>
      <c r="M262" s="473" t="e">
        <f aca="false">K262*L262</f>
        <v>#NAME?</v>
      </c>
      <c r="N262" s="473" t="e">
        <f aca="false">K262+M262</f>
        <v>#NAME?</v>
      </c>
      <c r="O262" s="473" t="e">
        <f aca="false">M262</f>
        <v>#NAME?</v>
      </c>
    </row>
    <row r="263" s="461" customFormat="true" ht="15" hidden="false" customHeight="false" outlineLevel="0" collapsed="false">
      <c r="A263" s="327" t="s">
        <v>470</v>
      </c>
      <c r="B263" s="433" t="s">
        <v>3078</v>
      </c>
      <c r="C263" s="472" t="e">
        <f aca="false">мат.затр!g2433</f>
        <v>#NAME?</v>
      </c>
      <c r="D263" s="472" t="n">
        <f aca="false">тарифик!J264</f>
        <v>2733.15484158858</v>
      </c>
      <c r="E263" s="472"/>
      <c r="F263" s="473" t="n">
        <f aca="false">D263*0.9*0.095+D263*3%</f>
        <v>315.679384203481</v>
      </c>
      <c r="G263" s="472" t="n">
        <f aca="false">амортизация!M630</f>
        <v>2578.13940948981</v>
      </c>
      <c r="H263" s="473" t="e">
        <f aca="false">C263+D263+F263+G263</f>
        <v>#NAME?</v>
      </c>
      <c r="I263" s="462" t="n">
        <f aca="false">I$190</f>
        <v>0.240474587202079</v>
      </c>
      <c r="J263" s="473" t="n">
        <f aca="false">D263*I263</f>
        <v>657.254282290376</v>
      </c>
      <c r="K263" s="473" t="e">
        <f aca="false">H263+J263</f>
        <v>#NAME?</v>
      </c>
      <c r="L263" s="462" t="n">
        <v>0.2</v>
      </c>
      <c r="M263" s="473" t="e">
        <f aca="false">K263*L263</f>
        <v>#NAME?</v>
      </c>
      <c r="N263" s="473" t="e">
        <f aca="false">K263+M263</f>
        <v>#NAME?</v>
      </c>
      <c r="O263" s="473" t="e">
        <f aca="false">M263</f>
        <v>#NAME?</v>
      </c>
    </row>
    <row r="264" s="461" customFormat="true" ht="15" hidden="false" customHeight="false" outlineLevel="0" collapsed="false">
      <c r="A264" s="327" t="s">
        <v>472</v>
      </c>
      <c r="B264" s="433" t="s">
        <v>3079</v>
      </c>
      <c r="C264" s="472" t="e">
        <f aca="false">мат.затр!g2435</f>
        <v>#NAME?</v>
      </c>
      <c r="D264" s="472" t="n">
        <f aca="false">тарифик!J265</f>
        <v>702.81124497992</v>
      </c>
      <c r="E264" s="472"/>
      <c r="F264" s="473" t="n">
        <f aca="false">D264*0.9*0.095+D264*3%</f>
        <v>81.1746987951807</v>
      </c>
      <c r="G264" s="472" t="n">
        <f aca="false">амортизация!M631</f>
        <v>0</v>
      </c>
      <c r="H264" s="473" t="e">
        <f aca="false">C264+D264+F264+G264</f>
        <v>#NAME?</v>
      </c>
      <c r="I264" s="462" t="n">
        <f aca="false">I$190</f>
        <v>0.240474587202079</v>
      </c>
      <c r="J264" s="473" t="n">
        <f aca="false">D264*I264</f>
        <v>169.008244017525</v>
      </c>
      <c r="K264" s="473" t="e">
        <f aca="false">H264+J264</f>
        <v>#NAME?</v>
      </c>
      <c r="L264" s="462" t="n">
        <v>0.2</v>
      </c>
      <c r="M264" s="473" t="e">
        <f aca="false">K264*L264</f>
        <v>#NAME?</v>
      </c>
      <c r="N264" s="473" t="e">
        <f aca="false">K264+M264</f>
        <v>#NAME?</v>
      </c>
      <c r="O264" s="473" t="e">
        <f aca="false">M264</f>
        <v>#NAME?</v>
      </c>
    </row>
    <row r="265" s="461" customFormat="true" ht="15" hidden="false" customHeight="false" outlineLevel="0" collapsed="false">
      <c r="A265" s="327" t="s">
        <v>474</v>
      </c>
      <c r="B265" s="433" t="s">
        <v>3080</v>
      </c>
      <c r="C265" s="472" t="e">
        <f aca="false">мат.затр!g2446</f>
        <v>#NAME?</v>
      </c>
      <c r="D265" s="472" t="n">
        <f aca="false">тарифик!J266</f>
        <v>2973.00312360553</v>
      </c>
      <c r="E265" s="472"/>
      <c r="F265" s="473" t="n">
        <f aca="false">D265*0.9*0.095+D265*3%</f>
        <v>343.381860776439</v>
      </c>
      <c r="G265" s="472" t="n">
        <f aca="false">амортизация!M632</f>
        <v>3093.76729138777</v>
      </c>
      <c r="H265" s="473" t="e">
        <f aca="false">C265+D265+F265+G265</f>
        <v>#NAME?</v>
      </c>
      <c r="I265" s="462" t="n">
        <f aca="false">I$190</f>
        <v>0.240474587202079</v>
      </c>
      <c r="J265" s="473" t="n">
        <f aca="false">D265*I265</f>
        <v>714.931698899532</v>
      </c>
      <c r="K265" s="473" t="e">
        <f aca="false">H265+J265</f>
        <v>#NAME?</v>
      </c>
      <c r="L265" s="462" t="n">
        <v>0.2</v>
      </c>
      <c r="M265" s="473" t="e">
        <f aca="false">K265*L265</f>
        <v>#NAME?</v>
      </c>
      <c r="N265" s="473" t="e">
        <f aca="false">K265+M265</f>
        <v>#NAME?</v>
      </c>
      <c r="O265" s="473" t="e">
        <f aca="false">M265</f>
        <v>#NAME?</v>
      </c>
    </row>
    <row r="266" s="461" customFormat="true" ht="15" hidden="false" customHeight="false" outlineLevel="0" collapsed="false">
      <c r="A266" s="327" t="s">
        <v>476</v>
      </c>
      <c r="B266" s="433" t="s">
        <v>3081</v>
      </c>
      <c r="C266" s="472" t="e">
        <f aca="false">мат.затр!g2453</f>
        <v>#NAME?</v>
      </c>
      <c r="D266" s="472" t="n">
        <f aca="false">тарифик!J267</f>
        <v>674.921909861669</v>
      </c>
      <c r="E266" s="472"/>
      <c r="F266" s="473" t="n">
        <f aca="false">D266*0.9*0.095+D266*3%</f>
        <v>77.9534805890228</v>
      </c>
      <c r="G266" s="472" t="n">
        <f aca="false">амортизация!M633</f>
        <v>0.843001636174327</v>
      </c>
      <c r="H266" s="473" t="e">
        <f aca="false">C266+D266+F266+G266</f>
        <v>#NAME?</v>
      </c>
      <c r="I266" s="462" t="n">
        <f aca="false">I$190</f>
        <v>0.240474587202079</v>
      </c>
      <c r="J266" s="473" t="n">
        <f aca="false">D266*I266</f>
        <v>162.301567667624</v>
      </c>
      <c r="K266" s="473" t="e">
        <f aca="false">H266+J266</f>
        <v>#NAME?</v>
      </c>
      <c r="L266" s="462" t="n">
        <v>0.2</v>
      </c>
      <c r="M266" s="473" t="e">
        <f aca="false">K266*L266</f>
        <v>#NAME?</v>
      </c>
      <c r="N266" s="473" t="e">
        <f aca="false">K266+M266</f>
        <v>#NAME?</v>
      </c>
      <c r="O266" s="473" t="e">
        <f aca="false">M266</f>
        <v>#NAME?</v>
      </c>
    </row>
    <row r="267" s="461" customFormat="true" ht="15" hidden="false" customHeight="false" outlineLevel="0" collapsed="false">
      <c r="A267" s="327" t="s">
        <v>478</v>
      </c>
      <c r="B267" s="433" t="s">
        <v>3082</v>
      </c>
      <c r="C267" s="472" t="e">
        <f aca="false">мат.затр!g2460</f>
        <v>#NAME?</v>
      </c>
      <c r="D267" s="472" t="n">
        <f aca="false">тарифик!J268</f>
        <v>674.921909861669</v>
      </c>
      <c r="E267" s="472"/>
      <c r="F267" s="473" t="n">
        <f aca="false">D267*0.9*0.095+D267*3%</f>
        <v>77.9534805890228</v>
      </c>
      <c r="G267" s="472" t="n">
        <f aca="false">амортизация!M634</f>
        <v>0.843001636174327</v>
      </c>
      <c r="H267" s="473" t="e">
        <f aca="false">C267+D267+F267+G267</f>
        <v>#NAME?</v>
      </c>
      <c r="I267" s="462" t="n">
        <f aca="false">I$190</f>
        <v>0.240474587202079</v>
      </c>
      <c r="J267" s="473" t="n">
        <f aca="false">D267*I267</f>
        <v>162.301567667624</v>
      </c>
      <c r="K267" s="473" t="e">
        <f aca="false">H267+J267</f>
        <v>#NAME?</v>
      </c>
      <c r="L267" s="462" t="n">
        <v>0.2</v>
      </c>
      <c r="M267" s="473" t="e">
        <f aca="false">K267*L267</f>
        <v>#NAME?</v>
      </c>
      <c r="N267" s="473" t="e">
        <f aca="false">K267+M267</f>
        <v>#NAME?</v>
      </c>
      <c r="O267" s="473" t="e">
        <f aca="false">M267</f>
        <v>#NAME?</v>
      </c>
    </row>
    <row r="268" s="461" customFormat="true" ht="28.5" hidden="false" customHeight="false" outlineLevel="0" collapsed="false">
      <c r="A268" s="350" t="s">
        <v>480</v>
      </c>
      <c r="B268" s="467" t="s">
        <v>3083</v>
      </c>
      <c r="C268" s="468"/>
      <c r="D268" s="468"/>
      <c r="E268" s="468"/>
      <c r="F268" s="474"/>
      <c r="G268" s="468"/>
      <c r="H268" s="474"/>
      <c r="I268" s="475"/>
      <c r="J268" s="474"/>
      <c r="K268" s="474"/>
      <c r="L268" s="475"/>
      <c r="M268" s="474"/>
      <c r="N268" s="474"/>
      <c r="O268" s="474"/>
    </row>
    <row r="269" s="461" customFormat="true" ht="15" hidden="false" customHeight="false" outlineLevel="0" collapsed="false">
      <c r="A269" s="327" t="s">
        <v>482</v>
      </c>
      <c r="B269" s="328" t="s">
        <v>3010</v>
      </c>
      <c r="C269" s="472" t="e">
        <f aca="false">мат.затр!g2462</f>
        <v>#NAME?</v>
      </c>
      <c r="D269" s="472" t="n">
        <f aca="false">тарифик!J270</f>
        <v>602.409638554217</v>
      </c>
      <c r="E269" s="472"/>
      <c r="F269" s="473" t="n">
        <f aca="false">D269*0.9*0.095+D269*3%</f>
        <v>69.578313253012</v>
      </c>
      <c r="G269" s="472" t="n">
        <f aca="false">амортизация!M636</f>
        <v>11.2951807228916</v>
      </c>
      <c r="H269" s="473" t="e">
        <f aca="false">C269+D269+F269+G269</f>
        <v>#NAME?</v>
      </c>
      <c r="I269" s="462" t="n">
        <f aca="false">I$190</f>
        <v>0.240474587202079</v>
      </c>
      <c r="J269" s="473" t="n">
        <f aca="false">D269*I269</f>
        <v>144.864209157879</v>
      </c>
      <c r="K269" s="473" t="e">
        <f aca="false">H269+J269</f>
        <v>#NAME?</v>
      </c>
      <c r="L269" s="462" t="n">
        <v>0.2</v>
      </c>
      <c r="M269" s="473" t="e">
        <f aca="false">K269*L269</f>
        <v>#NAME?</v>
      </c>
      <c r="N269" s="473" t="e">
        <f aca="false">K269+M269</f>
        <v>#NAME?</v>
      </c>
      <c r="O269" s="473" t="e">
        <f aca="false">M269</f>
        <v>#NAME?</v>
      </c>
    </row>
    <row r="270" s="461" customFormat="true" ht="15" hidden="false" customHeight="false" outlineLevel="0" collapsed="false">
      <c r="A270" s="327" t="s">
        <v>483</v>
      </c>
      <c r="B270" s="328" t="s">
        <v>3014</v>
      </c>
      <c r="C270" s="472" t="e">
        <f aca="false">мат.затр!g2469</f>
        <v>#NAME?</v>
      </c>
      <c r="D270" s="472" t="n">
        <f aca="false">тарифик!J271</f>
        <v>669.344042838019</v>
      </c>
      <c r="E270" s="472"/>
      <c r="F270" s="473" t="n">
        <f aca="false">D270*0.9*0.095+D270*3%</f>
        <v>77.3092369477912</v>
      </c>
      <c r="G270" s="472" t="n">
        <f aca="false">амортизация!M637</f>
        <v>0</v>
      </c>
      <c r="H270" s="473" t="e">
        <f aca="false">C270+D270+F270+G270</f>
        <v>#NAME?</v>
      </c>
      <c r="I270" s="462" t="n">
        <f aca="false">I$190</f>
        <v>0.240474587202079</v>
      </c>
      <c r="J270" s="473" t="n">
        <f aca="false">D270*I270</f>
        <v>160.960232397643</v>
      </c>
      <c r="K270" s="473" t="e">
        <f aca="false">H270+J270</f>
        <v>#NAME?</v>
      </c>
      <c r="L270" s="462" t="n">
        <v>0.2</v>
      </c>
      <c r="M270" s="473" t="e">
        <f aca="false">K270*L270</f>
        <v>#NAME?</v>
      </c>
      <c r="N270" s="473" t="e">
        <f aca="false">K270+M270</f>
        <v>#NAME?</v>
      </c>
      <c r="O270" s="473" t="e">
        <f aca="false">M270</f>
        <v>#NAME?</v>
      </c>
    </row>
    <row r="271" s="461" customFormat="true" ht="15" hidden="false" customHeight="false" outlineLevel="0" collapsed="false">
      <c r="A271" s="327" t="s">
        <v>484</v>
      </c>
      <c r="B271" s="328" t="s">
        <v>3084</v>
      </c>
      <c r="C271" s="472" t="e">
        <f aca="false">мат.затр!g2472</f>
        <v>#NAME?</v>
      </c>
      <c r="D271" s="472" t="n">
        <f aca="false">тарифик!J272</f>
        <v>1506.02409638554</v>
      </c>
      <c r="E271" s="472"/>
      <c r="F271" s="473" t="n">
        <f aca="false">D271*0.9*0.095+D271*3%</f>
        <v>173.94578313253</v>
      </c>
      <c r="G271" s="472" t="n">
        <f aca="false">амортизация!M640</f>
        <v>6.14197530864198</v>
      </c>
      <c r="H271" s="473" t="e">
        <f aca="false">C271+D271+F271+G271</f>
        <v>#NAME?</v>
      </c>
      <c r="I271" s="462" t="n">
        <f aca="false">I$190</f>
        <v>0.240474587202079</v>
      </c>
      <c r="J271" s="473" t="n">
        <f aca="false">D271*I271</f>
        <v>362.160522894697</v>
      </c>
      <c r="K271" s="473" t="e">
        <f aca="false">H271+J271</f>
        <v>#NAME?</v>
      </c>
      <c r="L271" s="462" t="n">
        <v>0.2</v>
      </c>
      <c r="M271" s="473" t="e">
        <f aca="false">K271*L271</f>
        <v>#NAME?</v>
      </c>
      <c r="N271" s="473" t="e">
        <f aca="false">K271+M271</f>
        <v>#NAME?</v>
      </c>
      <c r="O271" s="473" t="e">
        <f aca="false">M271</f>
        <v>#NAME?</v>
      </c>
    </row>
    <row r="272" s="461" customFormat="true" ht="15" hidden="false" customHeight="false" outlineLevel="0" collapsed="false">
      <c r="A272" s="327" t="s">
        <v>486</v>
      </c>
      <c r="B272" s="328" t="s">
        <v>3085</v>
      </c>
      <c r="C272" s="472" t="e">
        <f aca="false">мат.затр!g2476</f>
        <v>#NAME?</v>
      </c>
      <c r="D272" s="472" t="n">
        <f aca="false">тарифик!J273</f>
        <v>1472.55689424364</v>
      </c>
      <c r="E272" s="472"/>
      <c r="F272" s="473" t="n">
        <f aca="false">D272*0.9*0.095+D272*3%</f>
        <v>170.080321285141</v>
      </c>
      <c r="G272" s="472" t="n">
        <f aca="false">амортизация!M643</f>
        <v>6.14197530864198</v>
      </c>
      <c r="H272" s="473" t="e">
        <f aca="false">C272+D272+F272+G272</f>
        <v>#NAME?</v>
      </c>
      <c r="I272" s="462" t="n">
        <f aca="false">I$190</f>
        <v>0.240474587202079</v>
      </c>
      <c r="J272" s="473" t="n">
        <f aca="false">D272*I272</f>
        <v>354.112511274815</v>
      </c>
      <c r="K272" s="473" t="e">
        <f aca="false">H272+J272</f>
        <v>#NAME?</v>
      </c>
      <c r="L272" s="462" t="n">
        <v>0.2</v>
      </c>
      <c r="M272" s="473" t="e">
        <f aca="false">K272*L272</f>
        <v>#NAME?</v>
      </c>
      <c r="N272" s="473" t="e">
        <f aca="false">K272+M272</f>
        <v>#NAME?</v>
      </c>
      <c r="O272" s="473" t="e">
        <f aca="false">M272</f>
        <v>#NAME?</v>
      </c>
    </row>
    <row r="273" s="461" customFormat="true" ht="15" hidden="false" customHeight="false" outlineLevel="0" collapsed="false">
      <c r="A273" s="327" t="s">
        <v>487</v>
      </c>
      <c r="B273" s="328" t="s">
        <v>3058</v>
      </c>
      <c r="C273" s="472" t="e">
        <f aca="false">мат.затр!g2480</f>
        <v>#NAME?</v>
      </c>
      <c r="D273" s="472" t="n">
        <f aca="false">тарифик!J274</f>
        <v>1472.55689424364</v>
      </c>
      <c r="E273" s="472"/>
      <c r="F273" s="473" t="n">
        <f aca="false">D273*0.9*0.095+D273*3%</f>
        <v>170.080321285141</v>
      </c>
      <c r="G273" s="472" t="n">
        <f aca="false">амортизация!M644</f>
        <v>1.82675145024543</v>
      </c>
      <c r="H273" s="473" t="e">
        <f aca="false">C273+D273+F273+G273</f>
        <v>#NAME?</v>
      </c>
      <c r="I273" s="462" t="n">
        <f aca="false">I$190</f>
        <v>0.240474587202079</v>
      </c>
      <c r="J273" s="473" t="n">
        <f aca="false">D273*I273</f>
        <v>354.112511274815</v>
      </c>
      <c r="K273" s="473" t="e">
        <f aca="false">H273+J273</f>
        <v>#NAME?</v>
      </c>
      <c r="L273" s="462" t="n">
        <v>0.2</v>
      </c>
      <c r="M273" s="473" t="e">
        <f aca="false">K273*L273</f>
        <v>#NAME?</v>
      </c>
      <c r="N273" s="473" t="e">
        <f aca="false">K273+M273</f>
        <v>#NAME?</v>
      </c>
      <c r="O273" s="473" t="e">
        <f aca="false">M273</f>
        <v>#NAME?</v>
      </c>
    </row>
    <row r="274" s="461" customFormat="true" ht="15" hidden="false" customHeight="false" outlineLevel="0" collapsed="false">
      <c r="A274" s="327" t="s">
        <v>488</v>
      </c>
      <c r="B274" s="328" t="s">
        <v>3059</v>
      </c>
      <c r="C274" s="472" t="e">
        <f aca="false">мат.затр!g2488</f>
        <v>#NAME?</v>
      </c>
      <c r="D274" s="472" t="n">
        <f aca="false">тарифик!J275</f>
        <v>251.004016064257</v>
      </c>
      <c r="E274" s="472"/>
      <c r="F274" s="473" t="n">
        <f aca="false">D274*0.9*0.095+D274*3%</f>
        <v>28.9909638554217</v>
      </c>
      <c r="G274" s="472" t="n">
        <f aca="false">амортизация!M646</f>
        <v>2.66975308641975</v>
      </c>
      <c r="H274" s="473" t="e">
        <f aca="false">C274+D274+F274+G274</f>
        <v>#NAME?</v>
      </c>
      <c r="I274" s="462" t="n">
        <f aca="false">I$190</f>
        <v>0.240474587202079</v>
      </c>
      <c r="J274" s="473" t="n">
        <f aca="false">D274*I274</f>
        <v>60.3600871491162</v>
      </c>
      <c r="K274" s="473" t="e">
        <f aca="false">H274+J274</f>
        <v>#NAME?</v>
      </c>
      <c r="L274" s="462" t="n">
        <v>0.2</v>
      </c>
      <c r="M274" s="473" t="e">
        <f aca="false">K274*L274</f>
        <v>#NAME?</v>
      </c>
      <c r="N274" s="473" t="e">
        <f aca="false">K274+M274</f>
        <v>#NAME?</v>
      </c>
      <c r="O274" s="473" t="e">
        <f aca="false">M274</f>
        <v>#NAME?</v>
      </c>
    </row>
    <row r="275" s="461" customFormat="true" ht="15" hidden="false" customHeight="false" outlineLevel="0" collapsed="false">
      <c r="A275" s="327" t="s">
        <v>489</v>
      </c>
      <c r="B275" s="328" t="s">
        <v>3086</v>
      </c>
      <c r="C275" s="472" t="e">
        <f aca="false">мат.затр!g2495</f>
        <v>#NAME?</v>
      </c>
      <c r="D275" s="472" t="n">
        <f aca="false">тарифик!J276</f>
        <v>1059.79473449353</v>
      </c>
      <c r="E275" s="472"/>
      <c r="F275" s="473" t="n">
        <f aca="false">D275*0.9*0.095+D275*3%</f>
        <v>122.406291834003</v>
      </c>
      <c r="G275" s="472" t="n">
        <f aca="false">амортизация!M647</f>
        <v>0.843001636174327</v>
      </c>
      <c r="H275" s="473" t="e">
        <f aca="false">C275+D275+F275+G275</f>
        <v>#NAME?</v>
      </c>
      <c r="I275" s="462" t="n">
        <f aca="false">I$190</f>
        <v>0.240474587202079</v>
      </c>
      <c r="J275" s="473" t="n">
        <f aca="false">D275*I275</f>
        <v>254.853701296268</v>
      </c>
      <c r="K275" s="473" t="e">
        <f aca="false">H275+J275</f>
        <v>#NAME?</v>
      </c>
      <c r="L275" s="462" t="n">
        <v>0.2</v>
      </c>
      <c r="M275" s="473" t="e">
        <f aca="false">K275*L275</f>
        <v>#NAME?</v>
      </c>
      <c r="N275" s="473" t="e">
        <f aca="false">K275+M275</f>
        <v>#NAME?</v>
      </c>
      <c r="O275" s="473" t="e">
        <f aca="false">M275</f>
        <v>#NAME?</v>
      </c>
    </row>
    <row r="276" s="461" customFormat="true" ht="15" hidden="false" customHeight="false" outlineLevel="0" collapsed="false">
      <c r="A276" s="327" t="s">
        <v>491</v>
      </c>
      <c r="B276" s="328" t="s">
        <v>3066</v>
      </c>
      <c r="C276" s="472" t="e">
        <f aca="false">мат.затр!g2505</f>
        <v>#NAME?</v>
      </c>
      <c r="D276" s="472" t="n">
        <f aca="false">тарифик!J277</f>
        <v>2454.26149040607</v>
      </c>
      <c r="E276" s="472"/>
      <c r="F276" s="473" t="n">
        <f aca="false">D276*0.9*0.095+D276*3%</f>
        <v>283.467202141901</v>
      </c>
      <c r="G276" s="472" t="n">
        <f aca="false">амортизация!M652</f>
        <v>133.335462219247</v>
      </c>
      <c r="H276" s="473" t="e">
        <f aca="false">C276+D276+F276+G276</f>
        <v>#NAME?</v>
      </c>
      <c r="I276" s="462" t="n">
        <f aca="false">I$190</f>
        <v>0.240474587202079</v>
      </c>
      <c r="J276" s="473" t="n">
        <f aca="false">D276*I276</f>
        <v>590.187518791359</v>
      </c>
      <c r="K276" s="473" t="e">
        <f aca="false">H276+J276</f>
        <v>#NAME?</v>
      </c>
      <c r="L276" s="462" t="n">
        <v>0.2</v>
      </c>
      <c r="M276" s="473" t="e">
        <f aca="false">K276*L276</f>
        <v>#NAME?</v>
      </c>
      <c r="N276" s="473" t="e">
        <f aca="false">K276+M276</f>
        <v>#NAME?</v>
      </c>
      <c r="O276" s="473" t="e">
        <f aca="false">M276</f>
        <v>#NAME?</v>
      </c>
    </row>
    <row r="277" s="461" customFormat="true" ht="15" hidden="false" customHeight="false" outlineLevel="0" collapsed="false">
      <c r="A277" s="327" t="s">
        <v>492</v>
      </c>
      <c r="B277" s="328" t="s">
        <v>3067</v>
      </c>
      <c r="C277" s="472" t="e">
        <f aca="false">мат.затр!g2517</f>
        <v>#NAME?</v>
      </c>
      <c r="D277" s="472" t="n">
        <f aca="false">тарифик!J278</f>
        <v>903.614457831325</v>
      </c>
      <c r="E277" s="472"/>
      <c r="F277" s="473" t="n">
        <f aca="false">D277*0.9*0.095+D277*3%</f>
        <v>104.367469879518</v>
      </c>
      <c r="G277" s="472" t="n">
        <f aca="false">амортизация!M655</f>
        <v>60.9457087609698</v>
      </c>
      <c r="H277" s="473" t="e">
        <f aca="false">C277+D277+F277+G277</f>
        <v>#NAME?</v>
      </c>
      <c r="I277" s="462" t="n">
        <f aca="false">I$190</f>
        <v>0.240474587202079</v>
      </c>
      <c r="J277" s="473" t="n">
        <f aca="false">D277*I277</f>
        <v>217.296313736818</v>
      </c>
      <c r="K277" s="473" t="e">
        <f aca="false">H277+J277</f>
        <v>#NAME?</v>
      </c>
      <c r="L277" s="462" t="n">
        <v>0.2</v>
      </c>
      <c r="M277" s="473" t="e">
        <f aca="false">K277*L277</f>
        <v>#NAME?</v>
      </c>
      <c r="N277" s="473" t="e">
        <f aca="false">K277+M277</f>
        <v>#NAME?</v>
      </c>
      <c r="O277" s="473" t="e">
        <f aca="false">M277</f>
        <v>#NAME?</v>
      </c>
    </row>
    <row r="278" s="461" customFormat="true" ht="15" hidden="false" customHeight="false" outlineLevel="0" collapsed="false">
      <c r="A278" s="327" t="s">
        <v>494</v>
      </c>
      <c r="B278" s="328" t="s">
        <v>3065</v>
      </c>
      <c r="C278" s="472" t="e">
        <f aca="false">мат.затр!g2527</f>
        <v>#NAME?</v>
      </c>
      <c r="D278" s="472" t="n">
        <f aca="false">тарифик!J279</f>
        <v>2454.26149040607</v>
      </c>
      <c r="E278" s="472"/>
      <c r="F278" s="473" t="n">
        <f aca="false">D278*0.9*0.095+D278*3%</f>
        <v>283.467202141901</v>
      </c>
      <c r="G278" s="472" t="n">
        <f aca="false">амортизация!M660</f>
        <v>39.8880708017254</v>
      </c>
      <c r="H278" s="473" t="e">
        <f aca="false">C278+D278+F278+G278</f>
        <v>#NAME?</v>
      </c>
      <c r="I278" s="462" t="n">
        <f aca="false">I$190</f>
        <v>0.240474587202079</v>
      </c>
      <c r="J278" s="473" t="n">
        <f aca="false">D278*I278</f>
        <v>590.187518791359</v>
      </c>
      <c r="K278" s="473" t="e">
        <f aca="false">H278+J278</f>
        <v>#NAME?</v>
      </c>
      <c r="L278" s="462" t="n">
        <v>0.2</v>
      </c>
      <c r="M278" s="473" t="e">
        <f aca="false">K278*L278</f>
        <v>#NAME?</v>
      </c>
      <c r="N278" s="473" t="e">
        <f aca="false">K278+M278</f>
        <v>#NAME?</v>
      </c>
      <c r="O278" s="473" t="e">
        <f aca="false">M278</f>
        <v>#NAME?</v>
      </c>
    </row>
    <row r="279" s="461" customFormat="true" ht="15" hidden="false" customHeight="false" outlineLevel="0" collapsed="false">
      <c r="A279" s="327" t="s">
        <v>496</v>
      </c>
      <c r="B279" s="328" t="s">
        <v>3064</v>
      </c>
      <c r="C279" s="472" t="e">
        <f aca="false">мат.затр!g2539</f>
        <v>#NAME?</v>
      </c>
      <c r="D279" s="472" t="n">
        <f aca="false">тарифик!J280</f>
        <v>981.704596162428</v>
      </c>
      <c r="E279" s="472"/>
      <c r="F279" s="473" t="n">
        <f aca="false">D279*0.9*0.095+D279*3%</f>
        <v>113.38688085676</v>
      </c>
      <c r="G279" s="472" t="n">
        <f aca="false">амортизация!M663</f>
        <v>60.9457087609698</v>
      </c>
      <c r="H279" s="473" t="e">
        <f aca="false">C279+D279+F279+G279</f>
        <v>#NAME?</v>
      </c>
      <c r="I279" s="462" t="n">
        <f aca="false">I$190</f>
        <v>0.240474587202079</v>
      </c>
      <c r="J279" s="473" t="n">
        <f aca="false">D279*I279</f>
        <v>236.075007516543</v>
      </c>
      <c r="K279" s="473" t="e">
        <f aca="false">H279+J279</f>
        <v>#NAME?</v>
      </c>
      <c r="L279" s="462" t="n">
        <v>0.2</v>
      </c>
      <c r="M279" s="473" t="e">
        <f aca="false">K279*L279</f>
        <v>#NAME?</v>
      </c>
      <c r="N279" s="473" t="e">
        <f aca="false">K279+M279</f>
        <v>#NAME?</v>
      </c>
      <c r="O279" s="473" t="e">
        <f aca="false">M279</f>
        <v>#NAME?</v>
      </c>
    </row>
    <row r="280" s="461" customFormat="true" ht="15" hidden="false" customHeight="false" outlineLevel="0" collapsed="false">
      <c r="A280" s="327" t="s">
        <v>498</v>
      </c>
      <c r="B280" s="328" t="s">
        <v>3063</v>
      </c>
      <c r="C280" s="472" t="e">
        <f aca="false">мат.затр!g2543</f>
        <v>#NAME?</v>
      </c>
      <c r="D280" s="472" t="n">
        <f aca="false">тарифик!J281</f>
        <v>803.212851405623</v>
      </c>
      <c r="E280" s="472"/>
      <c r="F280" s="473" t="n">
        <f aca="false">D280*0.9*0.095+D280*3%</f>
        <v>92.7710843373494</v>
      </c>
      <c r="G280" s="472" t="n">
        <f aca="false">амортизация!M664</f>
        <v>1.39446675591254</v>
      </c>
      <c r="H280" s="473" t="e">
        <f aca="false">C280+D280+F280+G280</f>
        <v>#NAME?</v>
      </c>
      <c r="I280" s="462" t="n">
        <f aca="false">I$190</f>
        <v>0.240474587202079</v>
      </c>
      <c r="J280" s="473" t="n">
        <f aca="false">D280*I280</f>
        <v>193.152278877172</v>
      </c>
      <c r="K280" s="473" t="e">
        <f aca="false">H280+J280</f>
        <v>#NAME?</v>
      </c>
      <c r="L280" s="462" t="n">
        <v>0.2</v>
      </c>
      <c r="M280" s="473" t="e">
        <f aca="false">K280*L280</f>
        <v>#NAME?</v>
      </c>
      <c r="N280" s="473" t="e">
        <f aca="false">K280+M280</f>
        <v>#NAME?</v>
      </c>
      <c r="O280" s="473" t="e">
        <f aca="false">M280</f>
        <v>#NAME?</v>
      </c>
    </row>
    <row r="281" s="461" customFormat="true" ht="15" hidden="false" customHeight="false" outlineLevel="0" collapsed="false">
      <c r="A281" s="327" t="s">
        <v>500</v>
      </c>
      <c r="B281" s="328" t="s">
        <v>3087</v>
      </c>
      <c r="C281" s="472" t="e">
        <f aca="false">мат.затр!g2555</f>
        <v>#NAME?</v>
      </c>
      <c r="D281" s="472" t="n">
        <f aca="false">тарифик!J282</f>
        <v>2560.24096385542</v>
      </c>
      <c r="E281" s="472"/>
      <c r="F281" s="473" t="n">
        <f aca="false">D281*0.9*0.095+D281*3%</f>
        <v>295.707831325301</v>
      </c>
      <c r="G281" s="472" t="n">
        <f aca="false">амортизация!M669</f>
        <v>51.3418023947642</v>
      </c>
      <c r="H281" s="473" t="e">
        <f aca="false">C281+D281+F281+G281</f>
        <v>#NAME?</v>
      </c>
      <c r="I281" s="462" t="n">
        <f aca="false">I$190</f>
        <v>0.240474587202079</v>
      </c>
      <c r="J281" s="473" t="n">
        <f aca="false">D281*I281</f>
        <v>615.672888920985</v>
      </c>
      <c r="K281" s="473" t="e">
        <f aca="false">H281+J281</f>
        <v>#NAME?</v>
      </c>
      <c r="L281" s="462" t="n">
        <v>0.2</v>
      </c>
      <c r="M281" s="473" t="e">
        <f aca="false">K281*L281</f>
        <v>#NAME?</v>
      </c>
      <c r="N281" s="473" t="e">
        <f aca="false">K281+M281</f>
        <v>#NAME?</v>
      </c>
      <c r="O281" s="473" t="e">
        <f aca="false">M281</f>
        <v>#NAME?</v>
      </c>
    </row>
    <row r="282" s="461" customFormat="true" ht="15" hidden="false" customHeight="false" outlineLevel="0" collapsed="false">
      <c r="A282" s="327" t="s">
        <v>501</v>
      </c>
      <c r="B282" s="328" t="s">
        <v>3069</v>
      </c>
      <c r="C282" s="472" t="e">
        <f aca="false">мат.затр!g2564</f>
        <v>#NAME?</v>
      </c>
      <c r="D282" s="472" t="n">
        <f aca="false">тарифик!J283</f>
        <v>2259.03614457831</v>
      </c>
      <c r="E282" s="472"/>
      <c r="F282" s="473" t="n">
        <f aca="false">D282*0.9*0.095+D282*3%</f>
        <v>260.918674698795</v>
      </c>
      <c r="G282" s="472" t="n">
        <f aca="false">амортизация!M672</f>
        <v>8.19142309980663</v>
      </c>
      <c r="H282" s="473" t="e">
        <f aca="false">C282+D282+F282+G282</f>
        <v>#NAME?</v>
      </c>
      <c r="I282" s="462" t="n">
        <f aca="false">I$190</f>
        <v>0.240474587202079</v>
      </c>
      <c r="J282" s="473" t="n">
        <f aca="false">D282*I282</f>
        <v>543.240784342046</v>
      </c>
      <c r="K282" s="473" t="e">
        <f aca="false">H282+J282</f>
        <v>#NAME?</v>
      </c>
      <c r="L282" s="462" t="n">
        <v>0.2</v>
      </c>
      <c r="M282" s="473" t="e">
        <f aca="false">K282*L282</f>
        <v>#NAME?</v>
      </c>
      <c r="N282" s="473" t="e">
        <f aca="false">K282+M282</f>
        <v>#NAME?</v>
      </c>
      <c r="O282" s="473" t="e">
        <f aca="false">M282</f>
        <v>#NAME?</v>
      </c>
    </row>
    <row r="283" s="461" customFormat="true" ht="15" hidden="false" customHeight="false" outlineLevel="0" collapsed="false">
      <c r="A283" s="327" t="s">
        <v>502</v>
      </c>
      <c r="B283" s="328" t="s">
        <v>3070</v>
      </c>
      <c r="C283" s="472" t="e">
        <f aca="false">мат.затр!g2575</f>
        <v>#NAME?</v>
      </c>
      <c r="D283" s="472" t="n">
        <f aca="false">тарифик!J284</f>
        <v>2275.76974564926</v>
      </c>
      <c r="E283" s="472"/>
      <c r="F283" s="473" t="n">
        <f aca="false">D283*0.9*0.095+D283*3%</f>
        <v>262.85140562249</v>
      </c>
      <c r="G283" s="472" t="n">
        <f aca="false">амортизация!M678</f>
        <v>138.234409861669</v>
      </c>
      <c r="H283" s="473" t="e">
        <f aca="false">C283+D283+F283+G283</f>
        <v>#NAME?</v>
      </c>
      <c r="I283" s="462" t="n">
        <f aca="false">I$190</f>
        <v>0.240474587202079</v>
      </c>
      <c r="J283" s="473" t="n">
        <f aca="false">D283*I283</f>
        <v>547.264790151987</v>
      </c>
      <c r="K283" s="473" t="e">
        <f aca="false">H283+J283</f>
        <v>#NAME?</v>
      </c>
      <c r="L283" s="462" t="n">
        <v>0.2</v>
      </c>
      <c r="M283" s="473" t="e">
        <f aca="false">K283*L283</f>
        <v>#NAME?</v>
      </c>
      <c r="N283" s="473" t="e">
        <f aca="false">K283+M283</f>
        <v>#NAME?</v>
      </c>
      <c r="O283" s="473" t="e">
        <f aca="false">M283</f>
        <v>#NAME?</v>
      </c>
    </row>
    <row r="284" s="461" customFormat="true" ht="15" hidden="false" customHeight="false" outlineLevel="0" collapsed="false">
      <c r="A284" s="327" t="s">
        <v>503</v>
      </c>
      <c r="B284" s="328" t="s">
        <v>3071</v>
      </c>
      <c r="C284" s="472" t="e">
        <f aca="false">мат.затр!g2586</f>
        <v>#NAME?</v>
      </c>
      <c r="D284" s="472" t="n">
        <f aca="false">тарифик!J285</f>
        <v>803.212851405623</v>
      </c>
      <c r="E284" s="472"/>
      <c r="F284" s="473" t="n">
        <f aca="false">D284*0.9*0.095+D284*3%</f>
        <v>92.7710843373494</v>
      </c>
      <c r="G284" s="472" t="n">
        <f aca="false">амортизация!M681</f>
        <v>111.155808418861</v>
      </c>
      <c r="H284" s="473" t="e">
        <f aca="false">C284+D284+F284+G284</f>
        <v>#NAME?</v>
      </c>
      <c r="I284" s="462" t="n">
        <f aca="false">I$190</f>
        <v>0.240474587202079</v>
      </c>
      <c r="J284" s="473" t="n">
        <f aca="false">D284*I284</f>
        <v>193.152278877172</v>
      </c>
      <c r="K284" s="473" t="e">
        <f aca="false">H284+J284</f>
        <v>#NAME?</v>
      </c>
      <c r="L284" s="462" t="n">
        <v>0.2</v>
      </c>
      <c r="M284" s="473" t="e">
        <f aca="false">K284*L284</f>
        <v>#NAME?</v>
      </c>
      <c r="N284" s="473" t="e">
        <f aca="false">K284+M284</f>
        <v>#NAME?</v>
      </c>
      <c r="O284" s="473" t="e">
        <f aca="false">M284</f>
        <v>#NAME?</v>
      </c>
    </row>
    <row r="285" s="461" customFormat="true" ht="15" hidden="false" customHeight="false" outlineLevel="0" collapsed="false">
      <c r="A285" s="327" t="s">
        <v>505</v>
      </c>
      <c r="B285" s="328" t="s">
        <v>3072</v>
      </c>
      <c r="C285" s="472" t="e">
        <f aca="false">мат.затр!g2598</f>
        <v>#NAME?</v>
      </c>
      <c r="D285" s="472" t="n">
        <f aca="false">тарифик!J286</f>
        <v>2576.97456492637</v>
      </c>
      <c r="E285" s="472"/>
      <c r="F285" s="473" t="n">
        <f aca="false">D285*0.9*0.095+D285*3%</f>
        <v>297.640562248996</v>
      </c>
      <c r="G285" s="472" t="n">
        <f aca="false">амортизация!M685</f>
        <v>1779.82643537111</v>
      </c>
      <c r="H285" s="473" t="e">
        <f aca="false">C285+D285+F285+G285</f>
        <v>#NAME?</v>
      </c>
      <c r="I285" s="462" t="n">
        <f aca="false">I$190</f>
        <v>0.240474587202079</v>
      </c>
      <c r="J285" s="473" t="n">
        <f aca="false">D285*I285</f>
        <v>619.696894730926</v>
      </c>
      <c r="K285" s="473" t="e">
        <f aca="false">H285+J285</f>
        <v>#NAME?</v>
      </c>
      <c r="L285" s="462" t="n">
        <v>0.2</v>
      </c>
      <c r="M285" s="473" t="e">
        <f aca="false">K285*L285</f>
        <v>#NAME?</v>
      </c>
      <c r="N285" s="473" t="e">
        <f aca="false">K285+M285</f>
        <v>#NAME?</v>
      </c>
      <c r="O285" s="473" t="e">
        <f aca="false">M285</f>
        <v>#NAME?</v>
      </c>
    </row>
    <row r="286" s="461" customFormat="true" ht="15" hidden="false" customHeight="false" outlineLevel="0" collapsed="false">
      <c r="A286" s="327" t="s">
        <v>507</v>
      </c>
      <c r="B286" s="328" t="s">
        <v>3073</v>
      </c>
      <c r="C286" s="472" t="e">
        <f aca="false">мат.затр!g2611</f>
        <v>#NAME?</v>
      </c>
      <c r="D286" s="472" t="n">
        <f aca="false">тарифик!J287</f>
        <v>858.991521642124</v>
      </c>
      <c r="E286" s="472"/>
      <c r="F286" s="473" t="n">
        <f aca="false">D286*0.9*0.095+D286*3%</f>
        <v>99.2135207496653</v>
      </c>
      <c r="G286" s="472" t="n">
        <f aca="false">амортизация!M688</f>
        <v>83.1934590212703</v>
      </c>
      <c r="H286" s="473" t="e">
        <f aca="false">C286+D286+F286+G286</f>
        <v>#NAME?</v>
      </c>
      <c r="I286" s="462" t="n">
        <f aca="false">I$190</f>
        <v>0.240474587202079</v>
      </c>
      <c r="J286" s="473" t="n">
        <f aca="false">D286*I286</f>
        <v>206.565631576975</v>
      </c>
      <c r="K286" s="473" t="e">
        <f aca="false">H286+J286</f>
        <v>#NAME?</v>
      </c>
      <c r="L286" s="462" t="n">
        <v>0.2</v>
      </c>
      <c r="M286" s="473" t="e">
        <f aca="false">K286*L286</f>
        <v>#NAME?</v>
      </c>
      <c r="N286" s="473" t="e">
        <f aca="false">K286+M286</f>
        <v>#NAME?</v>
      </c>
      <c r="O286" s="473" t="e">
        <f aca="false">M286</f>
        <v>#NAME?</v>
      </c>
    </row>
    <row r="287" s="461" customFormat="true" ht="30" hidden="false" customHeight="false" outlineLevel="0" collapsed="false">
      <c r="A287" s="327" t="s">
        <v>509</v>
      </c>
      <c r="B287" s="328" t="s">
        <v>3088</v>
      </c>
      <c r="C287" s="472" t="e">
        <f aca="false">мат.затр!g2625</f>
        <v>#NAME?</v>
      </c>
      <c r="D287" s="472" t="n">
        <f aca="false">тарифик!J288</f>
        <v>3221.21820615796</v>
      </c>
      <c r="E287" s="472"/>
      <c r="F287" s="473" t="n">
        <f aca="false">D287*0.9*0.095+D287*3%</f>
        <v>372.050702811245</v>
      </c>
      <c r="G287" s="472" t="n">
        <f aca="false">амортизация!M697</f>
        <v>94.0512048192771</v>
      </c>
      <c r="H287" s="473" t="e">
        <f aca="false">C287+D287+F287+G287</f>
        <v>#NAME?</v>
      </c>
      <c r="I287" s="462" t="n">
        <f aca="false">I$190</f>
        <v>0.240474587202079</v>
      </c>
      <c r="J287" s="473" t="n">
        <f aca="false">D287*I287</f>
        <v>774.621118413658</v>
      </c>
      <c r="K287" s="473" t="e">
        <f aca="false">H287+J287</f>
        <v>#NAME?</v>
      </c>
      <c r="L287" s="462" t="n">
        <v>0.2</v>
      </c>
      <c r="M287" s="473" t="e">
        <f aca="false">K287*L287</f>
        <v>#NAME?</v>
      </c>
      <c r="N287" s="473" t="e">
        <f aca="false">K287+M287</f>
        <v>#NAME?</v>
      </c>
      <c r="O287" s="473" t="e">
        <f aca="false">M287</f>
        <v>#NAME?</v>
      </c>
    </row>
    <row r="288" s="461" customFormat="true" ht="15" hidden="false" customHeight="false" outlineLevel="0" collapsed="false">
      <c r="A288" s="327" t="s">
        <v>511</v>
      </c>
      <c r="B288" s="328" t="s">
        <v>3089</v>
      </c>
      <c r="C288" s="472" t="e">
        <f aca="false">мат.затр!g2643</f>
        <v>#NAME?</v>
      </c>
      <c r="D288" s="472" t="n">
        <f aca="false">тарифик!J289</f>
        <v>1104.41767068273</v>
      </c>
      <c r="E288" s="472"/>
      <c r="F288" s="473" t="n">
        <f aca="false">D288*0.9*0.095+D288*3%</f>
        <v>127.560240963855</v>
      </c>
      <c r="G288" s="472" t="n">
        <f aca="false">амортизация!M701</f>
        <v>2.67626059794735</v>
      </c>
      <c r="H288" s="473" t="e">
        <f aca="false">C288+D288+F288+G288</f>
        <v>#NAME?</v>
      </c>
      <c r="I288" s="462" t="n">
        <f aca="false">I$190</f>
        <v>0.240474587202079</v>
      </c>
      <c r="J288" s="473" t="n">
        <f aca="false">D288*I288</f>
        <v>265.584383456111</v>
      </c>
      <c r="K288" s="473" t="e">
        <f aca="false">H288+J288</f>
        <v>#NAME?</v>
      </c>
      <c r="L288" s="462" t="n">
        <v>0.2</v>
      </c>
      <c r="M288" s="473" t="e">
        <f aca="false">K288*L288</f>
        <v>#NAME?</v>
      </c>
      <c r="N288" s="473" t="e">
        <f aca="false">K288+M288</f>
        <v>#NAME?</v>
      </c>
      <c r="O288" s="473" t="e">
        <f aca="false">M288</f>
        <v>#NAME?</v>
      </c>
    </row>
    <row r="289" s="461" customFormat="true" ht="15" hidden="false" customHeight="false" outlineLevel="0" collapsed="false">
      <c r="A289" s="327" t="s">
        <v>513</v>
      </c>
      <c r="B289" s="328" t="s">
        <v>3090</v>
      </c>
      <c r="C289" s="472" t="e">
        <f aca="false">мат.затр!g2656</f>
        <v>#NAME?</v>
      </c>
      <c r="D289" s="472" t="n">
        <f aca="false">тарифик!J290</f>
        <v>234.270414993307</v>
      </c>
      <c r="E289" s="472"/>
      <c r="F289" s="473" t="n">
        <f aca="false">D289*0.9*0.095+D289*3%</f>
        <v>27.0582329317269</v>
      </c>
      <c r="G289" s="472" t="n">
        <f aca="false">амортизация!M702</f>
        <v>0.843001636174327</v>
      </c>
      <c r="H289" s="473" t="e">
        <f aca="false">C289+D289+F289+G289</f>
        <v>#NAME?</v>
      </c>
      <c r="I289" s="462" t="n">
        <f aca="false">I$190</f>
        <v>0.240474587202079</v>
      </c>
      <c r="J289" s="473" t="n">
        <f aca="false">D289*I289</f>
        <v>56.3360813391751</v>
      </c>
      <c r="K289" s="473" t="e">
        <f aca="false">H289+J289</f>
        <v>#NAME?</v>
      </c>
      <c r="L289" s="462" t="n">
        <v>0.2</v>
      </c>
      <c r="M289" s="473" t="e">
        <f aca="false">K289*L289</f>
        <v>#NAME?</v>
      </c>
      <c r="N289" s="473" t="e">
        <f aca="false">K289+M289</f>
        <v>#NAME?</v>
      </c>
      <c r="O289" s="473" t="e">
        <f aca="false">M289</f>
        <v>#NAME?</v>
      </c>
    </row>
    <row r="290" s="461" customFormat="true" ht="15" hidden="false" customHeight="false" outlineLevel="0" collapsed="false">
      <c r="A290" s="327" t="s">
        <v>514</v>
      </c>
      <c r="B290" s="328" t="s">
        <v>3091</v>
      </c>
      <c r="C290" s="472" t="e">
        <f aca="false">мат.затр!g2664</f>
        <v>#NAME?</v>
      </c>
      <c r="D290" s="472" t="n">
        <f aca="false">тарифик!J291</f>
        <v>995.649263721553</v>
      </c>
      <c r="E290" s="472"/>
      <c r="F290" s="473" t="n">
        <f aca="false">D290*0.9*0.095+D290*3%</f>
        <v>114.997489959839</v>
      </c>
      <c r="G290" s="472" t="n">
        <f aca="false">амортизация!M703</f>
        <v>0.843001636174327</v>
      </c>
      <c r="H290" s="473" t="e">
        <f aca="false">C290+D290+F290+G290</f>
        <v>#NAME?</v>
      </c>
      <c r="I290" s="462" t="n">
        <f aca="false">I$190</f>
        <v>0.240474587202079</v>
      </c>
      <c r="J290" s="473" t="n">
        <f aca="false">D290*I290</f>
        <v>239.428345691494</v>
      </c>
      <c r="K290" s="473" t="e">
        <f aca="false">H290+J290</f>
        <v>#NAME?</v>
      </c>
      <c r="L290" s="462" t="n">
        <v>0.2</v>
      </c>
      <c r="M290" s="473" t="e">
        <f aca="false">K290*L290</f>
        <v>#NAME?</v>
      </c>
      <c r="N290" s="473" t="e">
        <f aca="false">K290+M290</f>
        <v>#NAME?</v>
      </c>
      <c r="O290" s="473" t="e">
        <f aca="false">M290</f>
        <v>#NAME?</v>
      </c>
    </row>
    <row r="291" s="461" customFormat="true" ht="15" hidden="false" customHeight="false" outlineLevel="0" collapsed="false">
      <c r="A291" s="327" t="s">
        <v>516</v>
      </c>
      <c r="B291" s="433" t="s">
        <v>3092</v>
      </c>
      <c r="C291" s="472" t="e">
        <f aca="false">мат.затр!g2674</f>
        <v>#NAME?</v>
      </c>
      <c r="D291" s="472" t="n">
        <f aca="false">тарифик!J292</f>
        <v>3012.04819277108</v>
      </c>
      <c r="E291" s="472"/>
      <c r="F291" s="473" t="n">
        <f aca="false">D291*0.9*0.095+D291*3%</f>
        <v>347.89156626506</v>
      </c>
      <c r="G291" s="472" t="n">
        <f aca="false">амортизация!M704</f>
        <v>515.627881897962</v>
      </c>
      <c r="H291" s="473" t="e">
        <f aca="false">C291+D291+F291+G291</f>
        <v>#NAME?</v>
      </c>
      <c r="I291" s="462" t="n">
        <f aca="false">I$190</f>
        <v>0.240474587202079</v>
      </c>
      <c r="J291" s="473" t="n">
        <f aca="false">D291*I291</f>
        <v>724.321045789394</v>
      </c>
      <c r="K291" s="473" t="e">
        <f aca="false">H291+J291</f>
        <v>#NAME?</v>
      </c>
      <c r="L291" s="462" t="n">
        <v>0.2</v>
      </c>
      <c r="M291" s="473" t="e">
        <f aca="false">K291*L291</f>
        <v>#NAME?</v>
      </c>
      <c r="N291" s="473" t="e">
        <f aca="false">K291+M291</f>
        <v>#NAME?</v>
      </c>
      <c r="O291" s="473" t="e">
        <f aca="false">M291</f>
        <v>#NAME?</v>
      </c>
    </row>
    <row r="292" s="461" customFormat="true" ht="15" hidden="false" customHeight="false" outlineLevel="0" collapsed="false">
      <c r="A292" s="327" t="s">
        <v>518</v>
      </c>
      <c r="B292" s="433" t="s">
        <v>3011</v>
      </c>
      <c r="C292" s="472" t="e">
        <f aca="false">мат.затр!g2675</f>
        <v>#NAME?</v>
      </c>
      <c r="D292" s="472" t="n">
        <f aca="false">тарифик!J293</f>
        <v>903.614457831325</v>
      </c>
      <c r="E292" s="472"/>
      <c r="F292" s="473" t="n">
        <f aca="false">D292*0.9*0.095+D292*3%</f>
        <v>104.367469879518</v>
      </c>
      <c r="G292" s="472" t="n">
        <f aca="false">амортизация!M705</f>
        <v>0.843001636174327</v>
      </c>
      <c r="H292" s="473" t="e">
        <f aca="false">C292+D292+F292+G292</f>
        <v>#NAME?</v>
      </c>
      <c r="I292" s="462" t="n">
        <f aca="false">I$190</f>
        <v>0.240474587202079</v>
      </c>
      <c r="J292" s="473" t="n">
        <f aca="false">D292*I292</f>
        <v>217.296313736818</v>
      </c>
      <c r="K292" s="473" t="e">
        <f aca="false">H292+J292</f>
        <v>#NAME?</v>
      </c>
      <c r="L292" s="462" t="n">
        <v>0.2</v>
      </c>
      <c r="M292" s="473" t="e">
        <f aca="false">K292*L292</f>
        <v>#NAME?</v>
      </c>
      <c r="N292" s="473" t="e">
        <f aca="false">K292+M292</f>
        <v>#NAME?</v>
      </c>
      <c r="O292" s="473" t="e">
        <f aca="false">M292</f>
        <v>#NAME?</v>
      </c>
    </row>
    <row r="293" s="461" customFormat="true" ht="15" hidden="false" customHeight="false" outlineLevel="0" collapsed="false">
      <c r="A293" s="327" t="s">
        <v>519</v>
      </c>
      <c r="B293" s="433" t="s">
        <v>3093</v>
      </c>
      <c r="C293" s="472" t="e">
        <f aca="false">мат.затр!g2676</f>
        <v>#NAME?</v>
      </c>
      <c r="D293" s="472" t="n">
        <f aca="false">тарифик!J294</f>
        <v>903.614457831325</v>
      </c>
      <c r="E293" s="472"/>
      <c r="F293" s="473" t="n">
        <f aca="false">D293*0.9*0.095+D293*3%</f>
        <v>104.367469879518</v>
      </c>
      <c r="G293" s="472" t="n">
        <f aca="false">амортизация!M706</f>
        <v>0.843001636174327</v>
      </c>
      <c r="H293" s="473" t="e">
        <f aca="false">C293+D293+F293+G293</f>
        <v>#NAME?</v>
      </c>
      <c r="I293" s="462" t="n">
        <f aca="false">I$190</f>
        <v>0.240474587202079</v>
      </c>
      <c r="J293" s="473" t="n">
        <f aca="false">D293*I293</f>
        <v>217.296313736818</v>
      </c>
      <c r="K293" s="473" t="e">
        <f aca="false">H293+J293</f>
        <v>#NAME?</v>
      </c>
      <c r="L293" s="462" t="n">
        <v>0.2</v>
      </c>
      <c r="M293" s="473" t="e">
        <f aca="false">K293*L293</f>
        <v>#NAME?</v>
      </c>
      <c r="N293" s="473" t="e">
        <f aca="false">K293+M293</f>
        <v>#NAME?</v>
      </c>
      <c r="O293" s="473" t="e">
        <f aca="false">M293</f>
        <v>#NAME?</v>
      </c>
    </row>
    <row r="294" s="461" customFormat="true" ht="15" hidden="false" customHeight="false" outlineLevel="0" collapsed="false">
      <c r="A294" s="327" t="s">
        <v>521</v>
      </c>
      <c r="B294" s="433" t="s">
        <v>3094</v>
      </c>
      <c r="C294" s="472" t="e">
        <f aca="false">мат.затр!g2677</f>
        <v>#NAME?</v>
      </c>
      <c r="D294" s="472" t="n">
        <f aca="false">тарифик!J295</f>
        <v>903.614457831325</v>
      </c>
      <c r="E294" s="472"/>
      <c r="F294" s="473" t="n">
        <f aca="false">D294*0.9*0.095+D294*3%</f>
        <v>104.367469879518</v>
      </c>
      <c r="G294" s="472" t="n">
        <f aca="false">амортизация!M707</f>
        <v>0.843001636174327</v>
      </c>
      <c r="H294" s="473" t="e">
        <f aca="false">C294+D294+F294+G294</f>
        <v>#NAME?</v>
      </c>
      <c r="I294" s="462" t="n">
        <f aca="false">I$190</f>
        <v>0.240474587202079</v>
      </c>
      <c r="J294" s="473" t="n">
        <f aca="false">D294*I294</f>
        <v>217.296313736818</v>
      </c>
      <c r="K294" s="473" t="e">
        <f aca="false">H294+J294</f>
        <v>#NAME?</v>
      </c>
      <c r="L294" s="462" t="n">
        <v>0.2</v>
      </c>
      <c r="M294" s="473" t="e">
        <f aca="false">K294*L294</f>
        <v>#NAME?</v>
      </c>
      <c r="N294" s="473" t="e">
        <f aca="false">K294+M294</f>
        <v>#NAME?</v>
      </c>
      <c r="O294" s="473" t="e">
        <f aca="false">M294</f>
        <v>#NAME?</v>
      </c>
    </row>
    <row r="295" s="461" customFormat="true" ht="15" hidden="false" customHeight="false" outlineLevel="0" collapsed="false">
      <c r="A295" s="327" t="s">
        <v>523</v>
      </c>
      <c r="B295" s="433" t="s">
        <v>3095</v>
      </c>
      <c r="C295" s="472" t="e">
        <f aca="false">мат.затр!g2686</f>
        <v>#NAME?</v>
      </c>
      <c r="D295" s="472" t="n">
        <f aca="false">тарифик!J296</f>
        <v>1639.89290495315</v>
      </c>
      <c r="E295" s="472"/>
      <c r="F295" s="473" t="n">
        <f aca="false">D295*0.9*0.095+D295*3%</f>
        <v>189.407630522088</v>
      </c>
      <c r="G295" s="472" t="n">
        <f aca="false">амортизация!M711</f>
        <v>3354.94821880113</v>
      </c>
      <c r="H295" s="473" t="e">
        <f aca="false">C295+D295+F295+G295</f>
        <v>#NAME?</v>
      </c>
      <c r="I295" s="462" t="n">
        <f aca="false">I$190</f>
        <v>0.240474587202079</v>
      </c>
      <c r="J295" s="473" t="n">
        <f aca="false">D295*I295</f>
        <v>394.352569374226</v>
      </c>
      <c r="K295" s="473" t="e">
        <f aca="false">H295+J295</f>
        <v>#NAME?</v>
      </c>
      <c r="L295" s="462" t="n">
        <v>0.2</v>
      </c>
      <c r="M295" s="473" t="e">
        <f aca="false">K295*L295</f>
        <v>#NAME?</v>
      </c>
      <c r="N295" s="473" t="e">
        <f aca="false">K295+M295</f>
        <v>#NAME?</v>
      </c>
      <c r="O295" s="473" t="e">
        <f aca="false">M295</f>
        <v>#NAME?</v>
      </c>
    </row>
    <row r="296" s="461" customFormat="true" ht="28.5" hidden="false" customHeight="false" outlineLevel="0" collapsed="false">
      <c r="A296" s="350" t="s">
        <v>525</v>
      </c>
      <c r="B296" s="467" t="s">
        <v>3096</v>
      </c>
      <c r="C296" s="468"/>
      <c r="D296" s="468"/>
      <c r="E296" s="468"/>
      <c r="F296" s="474"/>
      <c r="G296" s="468"/>
      <c r="H296" s="474"/>
      <c r="I296" s="475"/>
      <c r="J296" s="474"/>
      <c r="K296" s="474"/>
      <c r="L296" s="475"/>
      <c r="M296" s="474"/>
      <c r="N296" s="474"/>
      <c r="O296" s="474"/>
    </row>
    <row r="297" s="461" customFormat="true" ht="15" hidden="false" customHeight="false" outlineLevel="0" collapsed="false">
      <c r="A297" s="327" t="s">
        <v>527</v>
      </c>
      <c r="B297" s="328" t="s">
        <v>3010</v>
      </c>
      <c r="C297" s="472" t="e">
        <f aca="false">мат.затр!g2688</f>
        <v>#NAME?</v>
      </c>
      <c r="D297" s="472" t="n">
        <f aca="false">тарифик!J298</f>
        <v>602.409638554217</v>
      </c>
      <c r="E297" s="472"/>
      <c r="F297" s="473" t="n">
        <f aca="false">D297*0.9*0.095+D297*3%</f>
        <v>69.578313253012</v>
      </c>
      <c r="G297" s="472" t="n">
        <f aca="false">амортизация!M713</f>
        <v>7.53012048192771</v>
      </c>
      <c r="H297" s="473" t="e">
        <f aca="false">C297+D297+F297+G297</f>
        <v>#NAME?</v>
      </c>
      <c r="I297" s="462" t="n">
        <f aca="false">I$190</f>
        <v>0.240474587202079</v>
      </c>
      <c r="J297" s="473" t="n">
        <f aca="false">D297*I297</f>
        <v>144.864209157879</v>
      </c>
      <c r="K297" s="473" t="e">
        <f aca="false">H297+J297</f>
        <v>#NAME?</v>
      </c>
      <c r="L297" s="462" t="n">
        <v>0.2</v>
      </c>
      <c r="M297" s="473" t="e">
        <f aca="false">K297*L297</f>
        <v>#NAME?</v>
      </c>
      <c r="N297" s="473" t="e">
        <f aca="false">K297+M297</f>
        <v>#NAME?</v>
      </c>
      <c r="O297" s="473" t="e">
        <f aca="false">M297</f>
        <v>#NAME?</v>
      </c>
    </row>
    <row r="298" s="461" customFormat="true" ht="15" hidden="false" customHeight="false" outlineLevel="0" collapsed="false">
      <c r="A298" s="327" t="s">
        <v>528</v>
      </c>
      <c r="B298" s="328" t="s">
        <v>3097</v>
      </c>
      <c r="C298" s="472" t="e">
        <f aca="false">мат.затр!g2691</f>
        <v>#NAME?</v>
      </c>
      <c r="D298" s="472" t="n">
        <f aca="false">тарифик!J299</f>
        <v>602.409638554217</v>
      </c>
      <c r="E298" s="472"/>
      <c r="F298" s="473" t="n">
        <f aca="false">D298*0.9*0.095+D298*3%</f>
        <v>69.578313253012</v>
      </c>
      <c r="G298" s="472" t="n">
        <f aca="false">амортизация!M714</f>
        <v>4.56455451435371</v>
      </c>
      <c r="H298" s="473" t="e">
        <f aca="false">C298+D298+F298+G298</f>
        <v>#NAME?</v>
      </c>
      <c r="I298" s="462" t="n">
        <f aca="false">I$190</f>
        <v>0.240474587202079</v>
      </c>
      <c r="J298" s="473" t="n">
        <f aca="false">D298*I298</f>
        <v>144.864209157879</v>
      </c>
      <c r="K298" s="473" t="e">
        <f aca="false">H298+J298</f>
        <v>#NAME?</v>
      </c>
      <c r="L298" s="462" t="n">
        <v>0.2</v>
      </c>
      <c r="M298" s="473" t="e">
        <f aca="false">K298*L298</f>
        <v>#NAME?</v>
      </c>
      <c r="N298" s="473" t="e">
        <f aca="false">K298+M298</f>
        <v>#NAME?</v>
      </c>
      <c r="O298" s="473" t="e">
        <f aca="false">M298</f>
        <v>#NAME?</v>
      </c>
    </row>
    <row r="299" s="461" customFormat="true" ht="15" hidden="false" customHeight="false" outlineLevel="0" collapsed="false">
      <c r="A299" s="327" t="s">
        <v>530</v>
      </c>
      <c r="B299" s="328" t="s">
        <v>3084</v>
      </c>
      <c r="C299" s="472" t="e">
        <f aca="false">мат.затр!g2694</f>
        <v>#NAME?</v>
      </c>
      <c r="D299" s="472" t="n">
        <f aca="false">тарифик!J300</f>
        <v>1506.02409638554</v>
      </c>
      <c r="E299" s="472"/>
      <c r="F299" s="473" t="n">
        <f aca="false">D299*0.9*0.095+D299*3%</f>
        <v>173.94578313253</v>
      </c>
      <c r="G299" s="472" t="n">
        <f aca="false">амортизация!M718</f>
        <v>15.3019485348803</v>
      </c>
      <c r="H299" s="473" t="e">
        <f aca="false">C299+D299+F299+G299</f>
        <v>#NAME?</v>
      </c>
      <c r="I299" s="462" t="n">
        <f aca="false">I$190</f>
        <v>0.240474587202079</v>
      </c>
      <c r="J299" s="473" t="n">
        <f aca="false">D299*I299</f>
        <v>362.160522894697</v>
      </c>
      <c r="K299" s="473" t="e">
        <f aca="false">H299+J299</f>
        <v>#NAME?</v>
      </c>
      <c r="L299" s="462" t="n">
        <v>0.2</v>
      </c>
      <c r="M299" s="473" t="e">
        <f aca="false">K299*L299</f>
        <v>#NAME?</v>
      </c>
      <c r="N299" s="473" t="e">
        <f aca="false">K299+M299</f>
        <v>#NAME?</v>
      </c>
      <c r="O299" s="473" t="e">
        <f aca="false">M299</f>
        <v>#NAME?</v>
      </c>
    </row>
    <row r="300" s="461" customFormat="true" ht="15" hidden="false" customHeight="false" outlineLevel="0" collapsed="false">
      <c r="A300" s="327" t="s">
        <v>531</v>
      </c>
      <c r="B300" s="328" t="s">
        <v>3085</v>
      </c>
      <c r="C300" s="472" t="e">
        <f aca="false">мат.затр!g2698</f>
        <v>#NAME?</v>
      </c>
      <c r="D300" s="472" t="n">
        <f aca="false">тарифик!J301</f>
        <v>1840.69611780455</v>
      </c>
      <c r="E300" s="472"/>
      <c r="F300" s="473" t="n">
        <f aca="false">D300*0.9*0.095+D300*3%</f>
        <v>212.600401606426</v>
      </c>
      <c r="G300" s="472" t="n">
        <f aca="false">амортизация!M722</f>
        <v>15.3019485348803</v>
      </c>
      <c r="H300" s="473" t="e">
        <f aca="false">C300+D300+F300+G300</f>
        <v>#NAME?</v>
      </c>
      <c r="I300" s="462" t="n">
        <f aca="false">I$190</f>
        <v>0.240474587202079</v>
      </c>
      <c r="J300" s="473" t="n">
        <f aca="false">D300*I300</f>
        <v>442.640639093519</v>
      </c>
      <c r="K300" s="473" t="e">
        <f aca="false">H300+J300</f>
        <v>#NAME?</v>
      </c>
      <c r="L300" s="462" t="n">
        <v>0.2</v>
      </c>
      <c r="M300" s="473" t="e">
        <f aca="false">K300*L300</f>
        <v>#NAME?</v>
      </c>
      <c r="N300" s="473" t="e">
        <f aca="false">K300+M300</f>
        <v>#NAME?</v>
      </c>
      <c r="O300" s="473" t="e">
        <f aca="false">M300</f>
        <v>#NAME?</v>
      </c>
    </row>
    <row r="301" s="461" customFormat="true" ht="15" hidden="false" customHeight="false" outlineLevel="0" collapsed="false">
      <c r="A301" s="327" t="s">
        <v>532</v>
      </c>
      <c r="B301" s="328" t="s">
        <v>3098</v>
      </c>
      <c r="C301" s="472" t="e">
        <f aca="false">мат.затр!g2705</f>
        <v>#NAME?</v>
      </c>
      <c r="D301" s="472" t="n">
        <f aca="false">тарифик!J302</f>
        <v>178.491744756805</v>
      </c>
      <c r="E301" s="472"/>
      <c r="F301" s="473" t="n">
        <f aca="false">D301*0.9*0.095+D301*3%</f>
        <v>20.615796519411</v>
      </c>
      <c r="G301" s="472" t="n">
        <f aca="false">амортизация!M723</f>
        <v>4.56455451435371</v>
      </c>
      <c r="H301" s="473" t="e">
        <f aca="false">C301+D301+F301+G301</f>
        <v>#NAME?</v>
      </c>
      <c r="I301" s="462" t="n">
        <f aca="false">I$190</f>
        <v>0.240474587202079</v>
      </c>
      <c r="J301" s="473" t="n">
        <f aca="false">D301*I301</f>
        <v>42.9227286393715</v>
      </c>
      <c r="K301" s="473" t="e">
        <f aca="false">H301+J301</f>
        <v>#NAME?</v>
      </c>
      <c r="L301" s="462" t="n">
        <v>0.2</v>
      </c>
      <c r="M301" s="473" t="e">
        <f aca="false">K301*L301</f>
        <v>#NAME?</v>
      </c>
      <c r="N301" s="473" t="e">
        <f aca="false">K301+M301</f>
        <v>#NAME?</v>
      </c>
      <c r="O301" s="473" t="e">
        <f aca="false">M301</f>
        <v>#NAME?</v>
      </c>
    </row>
    <row r="302" s="461" customFormat="true" ht="15" hidden="false" customHeight="false" outlineLevel="0" collapsed="false">
      <c r="A302" s="327" t="s">
        <v>533</v>
      </c>
      <c r="B302" s="328" t="s">
        <v>3099</v>
      </c>
      <c r="C302" s="472" t="e">
        <f aca="false">мат.затр!g2706</f>
        <v>#NAME?</v>
      </c>
      <c r="D302" s="472" t="n">
        <f aca="false">тарифик!J303</f>
        <v>669.344042838019</v>
      </c>
      <c r="E302" s="472"/>
      <c r="F302" s="473" t="n">
        <f aca="false">D302*0.9*0.095+D302*3%</f>
        <v>77.3092369477912</v>
      </c>
      <c r="G302" s="472" t="n">
        <f aca="false">амортизация!M724</f>
        <v>4.56455451435371</v>
      </c>
      <c r="H302" s="473" t="e">
        <f aca="false">C302+D302+F302+G302</f>
        <v>#NAME?</v>
      </c>
      <c r="I302" s="462" t="n">
        <f aca="false">I$190</f>
        <v>0.240474587202079</v>
      </c>
      <c r="J302" s="473" t="n">
        <f aca="false">D302*I302</f>
        <v>160.960232397643</v>
      </c>
      <c r="K302" s="473" t="e">
        <f aca="false">H302+J302</f>
        <v>#NAME?</v>
      </c>
      <c r="L302" s="462" t="n">
        <v>0.2</v>
      </c>
      <c r="M302" s="473" t="e">
        <f aca="false">K302*L302</f>
        <v>#NAME?</v>
      </c>
      <c r="N302" s="473" t="e">
        <f aca="false">K302+M302</f>
        <v>#NAME?</v>
      </c>
      <c r="O302" s="473" t="e">
        <f aca="false">M302</f>
        <v>#NAME?</v>
      </c>
    </row>
    <row r="303" s="461" customFormat="true" ht="15" hidden="false" customHeight="false" outlineLevel="0" collapsed="false">
      <c r="A303" s="327" t="s">
        <v>535</v>
      </c>
      <c r="B303" s="328" t="s">
        <v>3058</v>
      </c>
      <c r="C303" s="472" t="e">
        <f aca="false">мат.затр!g2710</f>
        <v>#NAME?</v>
      </c>
      <c r="D303" s="472" t="n">
        <f aca="false">тарифик!J304</f>
        <v>1472.55689424364</v>
      </c>
      <c r="E303" s="472"/>
      <c r="F303" s="473" t="n">
        <f aca="false">D303*0.9*0.095+D303*3%</f>
        <v>170.080321285141</v>
      </c>
      <c r="G303" s="472" t="n">
        <f aca="false">амортизация!M727</f>
        <v>7.26517179830433</v>
      </c>
      <c r="H303" s="473" t="e">
        <f aca="false">C303+D303+F303+G303</f>
        <v>#NAME?</v>
      </c>
      <c r="I303" s="462" t="n">
        <f aca="false">I$190</f>
        <v>0.240474587202079</v>
      </c>
      <c r="J303" s="473" t="n">
        <f aca="false">D303*I303</f>
        <v>354.112511274815</v>
      </c>
      <c r="K303" s="473" t="e">
        <f aca="false">H303+J303</f>
        <v>#NAME?</v>
      </c>
      <c r="L303" s="462" t="n">
        <v>0.2</v>
      </c>
      <c r="M303" s="473" t="e">
        <f aca="false">K303*L303</f>
        <v>#NAME?</v>
      </c>
      <c r="N303" s="473" t="e">
        <f aca="false">K303+M303</f>
        <v>#NAME?</v>
      </c>
      <c r="O303" s="473" t="e">
        <f aca="false">M303</f>
        <v>#NAME?</v>
      </c>
    </row>
    <row r="304" s="461" customFormat="true" ht="15" hidden="false" customHeight="false" outlineLevel="0" collapsed="false">
      <c r="A304" s="327" t="s">
        <v>536</v>
      </c>
      <c r="B304" s="328" t="s">
        <v>3059</v>
      </c>
      <c r="C304" s="472" t="e">
        <f aca="false">мат.затр!g2718</f>
        <v>#NAME?</v>
      </c>
      <c r="D304" s="472" t="n">
        <f aca="false">тарифик!J305</f>
        <v>803.212851405622</v>
      </c>
      <c r="E304" s="472"/>
      <c r="F304" s="473" t="n">
        <f aca="false">D304*0.9*0.095+D304*3%</f>
        <v>92.7710843373494</v>
      </c>
      <c r="G304" s="472" t="n">
        <f aca="false">амортизация!M731</f>
        <v>11.829726312658</v>
      </c>
      <c r="H304" s="473" t="e">
        <f aca="false">C304+D304+F304+G304</f>
        <v>#NAME?</v>
      </c>
      <c r="I304" s="462" t="n">
        <f aca="false">I$190</f>
        <v>0.240474587202079</v>
      </c>
      <c r="J304" s="473" t="n">
        <f aca="false">D304*I304</f>
        <v>193.152278877172</v>
      </c>
      <c r="K304" s="473" t="e">
        <f aca="false">H304+J304</f>
        <v>#NAME?</v>
      </c>
      <c r="L304" s="462" t="n">
        <v>0.2</v>
      </c>
      <c r="M304" s="473" t="e">
        <f aca="false">K304*L304</f>
        <v>#NAME?</v>
      </c>
      <c r="N304" s="473" t="e">
        <f aca="false">K304+M304</f>
        <v>#NAME?</v>
      </c>
      <c r="O304" s="473" t="e">
        <f aca="false">M304</f>
        <v>#NAME?</v>
      </c>
    </row>
    <row r="305" s="461" customFormat="true" ht="15" hidden="false" customHeight="false" outlineLevel="0" collapsed="false">
      <c r="A305" s="327" t="s">
        <v>537</v>
      </c>
      <c r="B305" s="328" t="s">
        <v>3100</v>
      </c>
      <c r="C305" s="472" t="e">
        <f aca="false">мат.затр!g2726</f>
        <v>#NAME?</v>
      </c>
      <c r="D305" s="472" t="n">
        <f aca="false">тарифик!J306</f>
        <v>761.378848728246</v>
      </c>
      <c r="E305" s="472"/>
      <c r="F305" s="473" t="n">
        <f aca="false">D305*0.9*0.095+D305*3%</f>
        <v>87.9392570281125</v>
      </c>
      <c r="G305" s="472" t="n">
        <f aca="false">амортизация!M735</f>
        <v>17.3513963260449</v>
      </c>
      <c r="H305" s="473" t="e">
        <f aca="false">C305+D305+F305+G305</f>
        <v>#NAME?</v>
      </c>
      <c r="I305" s="462" t="n">
        <f aca="false">I$190</f>
        <v>0.240474587202079</v>
      </c>
      <c r="J305" s="473" t="n">
        <f aca="false">D305*I305</f>
        <v>183.092264352319</v>
      </c>
      <c r="K305" s="473" t="e">
        <f aca="false">H305+J305</f>
        <v>#NAME?</v>
      </c>
      <c r="L305" s="462" t="n">
        <v>0.2</v>
      </c>
      <c r="M305" s="473" t="e">
        <f aca="false">K305*L305</f>
        <v>#NAME?</v>
      </c>
      <c r="N305" s="473" t="e">
        <f aca="false">K305+M305</f>
        <v>#NAME?</v>
      </c>
      <c r="O305" s="473" t="e">
        <f aca="false">M305</f>
        <v>#NAME?</v>
      </c>
    </row>
    <row r="306" s="461" customFormat="true" ht="15" hidden="false" customHeight="false" outlineLevel="0" collapsed="false">
      <c r="A306" s="327" t="s">
        <v>539</v>
      </c>
      <c r="B306" s="328" t="s">
        <v>3101</v>
      </c>
      <c r="C306" s="472" t="e">
        <f aca="false">мат.затр!g2737</f>
        <v>#NAME?</v>
      </c>
      <c r="D306" s="472" t="n">
        <f aca="false">тарифик!J307</f>
        <v>669.344042838019</v>
      </c>
      <c r="E306" s="472"/>
      <c r="F306" s="473" t="n">
        <f aca="false">D306*0.9*0.095+D306*3%</f>
        <v>77.3092369477912</v>
      </c>
      <c r="G306" s="472" t="n">
        <f aca="false">амортизация!M736</f>
        <v>4.56455451435371</v>
      </c>
      <c r="H306" s="473" t="e">
        <f aca="false">C306+D306+F306+G306</f>
        <v>#NAME?</v>
      </c>
      <c r="I306" s="462" t="n">
        <f aca="false">I$190</f>
        <v>0.240474587202079</v>
      </c>
      <c r="J306" s="473" t="n">
        <f aca="false">D306*I306</f>
        <v>160.960232397643</v>
      </c>
      <c r="K306" s="473" t="e">
        <f aca="false">H306+J306</f>
        <v>#NAME?</v>
      </c>
      <c r="L306" s="462" t="n">
        <v>0.2</v>
      </c>
      <c r="M306" s="473" t="e">
        <f aca="false">K306*L306</f>
        <v>#NAME?</v>
      </c>
      <c r="N306" s="473" t="e">
        <f aca="false">K306+M306</f>
        <v>#NAME?</v>
      </c>
      <c r="O306" s="473" t="e">
        <f aca="false">M306</f>
        <v>#NAME?</v>
      </c>
    </row>
    <row r="307" s="461" customFormat="true" ht="15" hidden="false" customHeight="false" outlineLevel="0" collapsed="false">
      <c r="A307" s="327" t="s">
        <v>541</v>
      </c>
      <c r="B307" s="328" t="s">
        <v>3014</v>
      </c>
      <c r="C307" s="472" t="e">
        <f aca="false">мат.затр!g2743</f>
        <v>#NAME?</v>
      </c>
      <c r="D307" s="472" t="n">
        <f aca="false">тарифик!J308</f>
        <v>290.049085229808</v>
      </c>
      <c r="E307" s="472"/>
      <c r="F307" s="473" t="n">
        <f aca="false">D307*0.9*0.095+D307*3%</f>
        <v>33.5006693440428</v>
      </c>
      <c r="G307" s="472" t="n">
        <f aca="false">амортизация!M737</f>
        <v>4.56455451435371</v>
      </c>
      <c r="H307" s="473" t="e">
        <f aca="false">C307+D307+F307+G307</f>
        <v>#NAME?</v>
      </c>
      <c r="I307" s="462" t="n">
        <f aca="false">I$190</f>
        <v>0.240474587202079</v>
      </c>
      <c r="J307" s="473" t="n">
        <f aca="false">D307*I307</f>
        <v>69.7494340389787</v>
      </c>
      <c r="K307" s="473" t="e">
        <f aca="false">H307+J307</f>
        <v>#NAME?</v>
      </c>
      <c r="L307" s="462" t="n">
        <v>0.2</v>
      </c>
      <c r="M307" s="473" t="e">
        <f aca="false">K307*L307</f>
        <v>#NAME?</v>
      </c>
      <c r="N307" s="473" t="e">
        <f aca="false">K307+M307</f>
        <v>#NAME?</v>
      </c>
      <c r="O307" s="473" t="e">
        <f aca="false">M307</f>
        <v>#NAME?</v>
      </c>
    </row>
    <row r="308" s="461" customFormat="true" ht="15" hidden="false" customHeight="false" outlineLevel="0" collapsed="false">
      <c r="A308" s="327" t="s">
        <v>542</v>
      </c>
      <c r="B308" s="328" t="s">
        <v>3102</v>
      </c>
      <c r="C308" s="472" t="e">
        <f aca="false">мат.затр!g2755</f>
        <v>#NAME?</v>
      </c>
      <c r="D308" s="472" t="n">
        <f aca="false">тарифик!J309</f>
        <v>2108.43373493976</v>
      </c>
      <c r="E308" s="472"/>
      <c r="F308" s="473" t="n">
        <f aca="false">D308*0.9*0.095+D308*3%</f>
        <v>243.524096385542</v>
      </c>
      <c r="G308" s="472" t="n">
        <f aca="false">амортизация!M743</f>
        <v>524.681131935148</v>
      </c>
      <c r="H308" s="473" t="e">
        <f aca="false">C308+D308+F308+G308</f>
        <v>#NAME?</v>
      </c>
      <c r="I308" s="462" t="n">
        <f aca="false">I$190</f>
        <v>0.240474587202079</v>
      </c>
      <c r="J308" s="473" t="n">
        <f aca="false">D308*I308</f>
        <v>507.024732052576</v>
      </c>
      <c r="K308" s="473" t="e">
        <f aca="false">H308+J308</f>
        <v>#NAME?</v>
      </c>
      <c r="L308" s="462" t="n">
        <v>0.2</v>
      </c>
      <c r="M308" s="473" t="e">
        <f aca="false">K308*L308</f>
        <v>#NAME?</v>
      </c>
      <c r="N308" s="473" t="e">
        <f aca="false">K308+M308</f>
        <v>#NAME?</v>
      </c>
      <c r="O308" s="473" t="e">
        <f aca="false">M308</f>
        <v>#NAME?</v>
      </c>
    </row>
    <row r="309" s="461" customFormat="true" ht="15" hidden="false" customHeight="false" outlineLevel="0" collapsed="false">
      <c r="A309" s="327" t="s">
        <v>544</v>
      </c>
      <c r="B309" s="328" t="s">
        <v>3103</v>
      </c>
      <c r="C309" s="472" t="e">
        <f aca="false">мат.затр!g2767</f>
        <v>#NAME?</v>
      </c>
      <c r="D309" s="472" t="n">
        <f aca="false">тарифик!J310</f>
        <v>2008.03212851406</v>
      </c>
      <c r="E309" s="472"/>
      <c r="F309" s="473" t="n">
        <f aca="false">D309*0.9*0.095+D309*3%</f>
        <v>231.927710843374</v>
      </c>
      <c r="G309" s="472" t="n">
        <f aca="false">амортизация!M749</f>
        <v>524.681131935148</v>
      </c>
      <c r="H309" s="473" t="e">
        <f aca="false">C309+D309+F309+G309</f>
        <v>#NAME?</v>
      </c>
      <c r="I309" s="462" t="n">
        <f aca="false">I$190</f>
        <v>0.240474587202079</v>
      </c>
      <c r="J309" s="473" t="n">
        <f aca="false">D309*I309</f>
        <v>482.88069719293</v>
      </c>
      <c r="K309" s="473" t="e">
        <f aca="false">H309+J309</f>
        <v>#NAME?</v>
      </c>
      <c r="L309" s="462" t="n">
        <v>0.2</v>
      </c>
      <c r="M309" s="473" t="e">
        <f aca="false">K309*L309</f>
        <v>#NAME?</v>
      </c>
      <c r="N309" s="473" t="e">
        <f aca="false">K309+M309</f>
        <v>#NAME?</v>
      </c>
      <c r="O309" s="473" t="e">
        <f aca="false">M309</f>
        <v>#NAME?</v>
      </c>
    </row>
    <row r="310" s="461" customFormat="true" ht="15" hidden="false" customHeight="false" outlineLevel="0" collapsed="false">
      <c r="A310" s="327" t="s">
        <v>546</v>
      </c>
      <c r="B310" s="328" t="s">
        <v>3104</v>
      </c>
      <c r="C310" s="472" t="e">
        <f aca="false">мат.затр!g2781</f>
        <v>#NAME?</v>
      </c>
      <c r="D310" s="472" t="n">
        <f aca="false">тарифик!J311</f>
        <v>1093.26193663543</v>
      </c>
      <c r="E310" s="472"/>
      <c r="F310" s="473" t="n">
        <f aca="false">D310*0.9*0.095+D310*3%</f>
        <v>126.271753681392</v>
      </c>
      <c r="G310" s="472" t="n">
        <f aca="false">амортизация!M756</f>
        <v>582.515831845902</v>
      </c>
      <c r="H310" s="473" t="e">
        <f aca="false">C310+D310+F310+G310</f>
        <v>#NAME?</v>
      </c>
      <c r="I310" s="462" t="n">
        <f aca="false">I$190</f>
        <v>0.240474587202079</v>
      </c>
      <c r="J310" s="473" t="n">
        <f aca="false">D310*I310</f>
        <v>262.901712916151</v>
      </c>
      <c r="K310" s="473" t="e">
        <f aca="false">H310+J310</f>
        <v>#NAME?</v>
      </c>
      <c r="L310" s="462" t="n">
        <v>0.2</v>
      </c>
      <c r="M310" s="473" t="e">
        <f aca="false">K310*L310</f>
        <v>#NAME?</v>
      </c>
      <c r="N310" s="473" t="e">
        <f aca="false">K310+M310</f>
        <v>#NAME?</v>
      </c>
      <c r="O310" s="473" t="e">
        <f aca="false">M310</f>
        <v>#NAME?</v>
      </c>
    </row>
    <row r="311" s="461" customFormat="true" ht="15" hidden="false" customHeight="false" outlineLevel="0" collapsed="false">
      <c r="A311" s="327" t="s">
        <v>548</v>
      </c>
      <c r="B311" s="328" t="s">
        <v>3105</v>
      </c>
      <c r="C311" s="472" t="e">
        <f aca="false">мат.затр!g2793</f>
        <v>#NAME?</v>
      </c>
      <c r="D311" s="472" t="n">
        <f aca="false">тарифик!J312</f>
        <v>1093.26193663543</v>
      </c>
      <c r="E311" s="472"/>
      <c r="F311" s="473" t="n">
        <f aca="false">D311*0.9*0.095+D311*3%</f>
        <v>126.271753681392</v>
      </c>
      <c r="G311" s="472" t="n">
        <f aca="false">амортизация!M761</f>
        <v>803.231025955675</v>
      </c>
      <c r="H311" s="473" t="e">
        <f aca="false">C311+D311+F311+G311</f>
        <v>#NAME?</v>
      </c>
      <c r="I311" s="462" t="n">
        <f aca="false">I$190</f>
        <v>0.240474587202079</v>
      </c>
      <c r="J311" s="473" t="n">
        <f aca="false">D311*I311</f>
        <v>262.901712916151</v>
      </c>
      <c r="K311" s="473" t="e">
        <f aca="false">H311+J311</f>
        <v>#NAME?</v>
      </c>
      <c r="L311" s="462" t="n">
        <v>0.2</v>
      </c>
      <c r="M311" s="473" t="e">
        <f aca="false">K311*L311</f>
        <v>#NAME?</v>
      </c>
      <c r="N311" s="473" t="e">
        <f aca="false">K311+M311</f>
        <v>#NAME?</v>
      </c>
      <c r="O311" s="473" t="e">
        <f aca="false">M311</f>
        <v>#NAME?</v>
      </c>
    </row>
    <row r="312" s="461" customFormat="true" ht="15" hidden="false" customHeight="false" outlineLevel="0" collapsed="false">
      <c r="A312" s="327" t="s">
        <v>550</v>
      </c>
      <c r="B312" s="328" t="s">
        <v>3106</v>
      </c>
      <c r="C312" s="472" t="e">
        <f aca="false">мат.затр!g2811</f>
        <v>#NAME?</v>
      </c>
      <c r="D312" s="472" t="n">
        <f aca="false">тарифик!J313</f>
        <v>1015.17179830433</v>
      </c>
      <c r="E312" s="472"/>
      <c r="F312" s="473" t="n">
        <f aca="false">D312*0.9*0.095+D312*3%</f>
        <v>117.25234270415</v>
      </c>
      <c r="G312" s="472" t="n">
        <f aca="false">амортизация!M764</f>
        <v>171.900565223858</v>
      </c>
      <c r="H312" s="473" t="e">
        <f aca="false">C312+D312+F312+G312</f>
        <v>#NAME?</v>
      </c>
      <c r="I312" s="462" t="n">
        <f aca="false">I$190</f>
        <v>0.240474587202079</v>
      </c>
      <c r="J312" s="473" t="n">
        <f aca="false">D312*I312</f>
        <v>244.123019136426</v>
      </c>
      <c r="K312" s="473" t="e">
        <f aca="false">H312+J312</f>
        <v>#NAME?</v>
      </c>
      <c r="L312" s="462" t="n">
        <v>0.2</v>
      </c>
      <c r="M312" s="473" t="e">
        <f aca="false">K312*L312</f>
        <v>#NAME?</v>
      </c>
      <c r="N312" s="473" t="e">
        <f aca="false">K312+M312</f>
        <v>#NAME?</v>
      </c>
      <c r="O312" s="473" t="e">
        <f aca="false">M312</f>
        <v>#NAME?</v>
      </c>
    </row>
    <row r="313" s="461" customFormat="true" ht="15" hidden="false" customHeight="false" outlineLevel="0" collapsed="false">
      <c r="A313" s="327" t="s">
        <v>552</v>
      </c>
      <c r="B313" s="328" t="s">
        <v>3107</v>
      </c>
      <c r="C313" s="472" t="e">
        <f aca="false">мат.затр!g2821</f>
        <v>#NAME?</v>
      </c>
      <c r="D313" s="472" t="n">
        <f aca="false">тарифик!J314</f>
        <v>1093.26193663543</v>
      </c>
      <c r="E313" s="472"/>
      <c r="F313" s="473" t="n">
        <f aca="false">D313*0.9*0.095+D313*3%</f>
        <v>126.271753681392</v>
      </c>
      <c r="G313" s="472" t="n">
        <f aca="false">амортизация!M768</f>
        <v>12.5269596906143</v>
      </c>
      <c r="H313" s="473" t="e">
        <f aca="false">C313+D313+F313+G313</f>
        <v>#NAME?</v>
      </c>
      <c r="I313" s="462" t="n">
        <f aca="false">I$190</f>
        <v>0.240474587202079</v>
      </c>
      <c r="J313" s="473" t="n">
        <f aca="false">D313*I313</f>
        <v>262.901712916151</v>
      </c>
      <c r="K313" s="473" t="e">
        <f aca="false">H313+J313</f>
        <v>#NAME?</v>
      </c>
      <c r="L313" s="462" t="n">
        <v>0.2</v>
      </c>
      <c r="M313" s="473" t="e">
        <f aca="false">K313*L313</f>
        <v>#NAME?</v>
      </c>
      <c r="N313" s="473" t="e">
        <f aca="false">K313+M313</f>
        <v>#NAME?</v>
      </c>
      <c r="O313" s="473" t="e">
        <f aca="false">M313</f>
        <v>#NAME?</v>
      </c>
    </row>
    <row r="314" s="461" customFormat="true" ht="15" hidden="false" customHeight="false" outlineLevel="0" collapsed="false">
      <c r="A314" s="327" t="s">
        <v>554</v>
      </c>
      <c r="B314" s="328" t="s">
        <v>3108</v>
      </c>
      <c r="C314" s="472" t="e">
        <f aca="false">мат.затр!g2841</f>
        <v>#NAME?</v>
      </c>
      <c r="D314" s="472" t="n">
        <f aca="false">тарифик!J315</f>
        <v>1991.29852744311</v>
      </c>
      <c r="E314" s="472"/>
      <c r="F314" s="473" t="n">
        <f aca="false">D314*0.9*0.095+D314*3%</f>
        <v>229.994979919679</v>
      </c>
      <c r="G314" s="472" t="n">
        <f aca="false">амортизация!M772</f>
        <v>28.1384798453072</v>
      </c>
      <c r="H314" s="473" t="e">
        <f aca="false">C314+D314+F314+G314</f>
        <v>#NAME?</v>
      </c>
      <c r="I314" s="462" t="n">
        <f aca="false">I$190</f>
        <v>0.240474587202079</v>
      </c>
      <c r="J314" s="473" t="n">
        <f aca="false">D314*I314</f>
        <v>478.856691382989</v>
      </c>
      <c r="K314" s="473" t="e">
        <f aca="false">H314+J314</f>
        <v>#NAME?</v>
      </c>
      <c r="L314" s="462" t="n">
        <v>0.2</v>
      </c>
      <c r="M314" s="473" t="e">
        <f aca="false">K314*L314</f>
        <v>#NAME?</v>
      </c>
      <c r="N314" s="473" t="e">
        <f aca="false">K314+M314</f>
        <v>#NAME?</v>
      </c>
      <c r="O314" s="473" t="e">
        <f aca="false">M314</f>
        <v>#NAME?</v>
      </c>
    </row>
    <row r="315" s="461" customFormat="true" ht="15" hidden="false" customHeight="false" outlineLevel="0" collapsed="false">
      <c r="A315" s="327" t="s">
        <v>556</v>
      </c>
      <c r="B315" s="328" t="s">
        <v>3109</v>
      </c>
      <c r="C315" s="472" t="e">
        <f aca="false">мат.затр!g2854</f>
        <v>#NAME?</v>
      </c>
      <c r="D315" s="472" t="n">
        <f aca="false">тарифик!J316</f>
        <v>1165.77420794288</v>
      </c>
      <c r="E315" s="472"/>
      <c r="F315" s="473" t="n">
        <f aca="false">D315*0.9*0.095+D315*3%</f>
        <v>134.646921017403</v>
      </c>
      <c r="G315" s="472" t="n">
        <f aca="false">амортизация!M775</f>
        <v>23.1574445931876</v>
      </c>
      <c r="H315" s="473" t="e">
        <f aca="false">C315+D315+F315+G315</f>
        <v>#NAME?</v>
      </c>
      <c r="I315" s="462" t="n">
        <f aca="false">I$190</f>
        <v>0.240474587202079</v>
      </c>
      <c r="J315" s="473" t="n">
        <f aca="false">D315*I315</f>
        <v>280.339071425895</v>
      </c>
      <c r="K315" s="473" t="e">
        <f aca="false">H315+J315</f>
        <v>#NAME?</v>
      </c>
      <c r="L315" s="462" t="n">
        <v>0.2</v>
      </c>
      <c r="M315" s="473" t="e">
        <f aca="false">K315*L315</f>
        <v>#NAME?</v>
      </c>
      <c r="N315" s="473" t="e">
        <f aca="false">K315+M315</f>
        <v>#NAME?</v>
      </c>
      <c r="O315" s="473" t="e">
        <f aca="false">M315</f>
        <v>#NAME?</v>
      </c>
    </row>
    <row r="316" s="461" customFormat="true" ht="15" hidden="false" customHeight="false" outlineLevel="0" collapsed="false">
      <c r="A316" s="327" t="s">
        <v>558</v>
      </c>
      <c r="B316" s="328" t="s">
        <v>3110</v>
      </c>
      <c r="C316" s="472" t="e">
        <f aca="false">мат.затр!g2874</f>
        <v>#NAME?</v>
      </c>
      <c r="D316" s="472" t="n">
        <f aca="false">тарифик!J317</f>
        <v>1430.72289156627</v>
      </c>
      <c r="E316" s="472"/>
      <c r="F316" s="473" t="n">
        <f aca="false">D316*0.9*0.095+D316*3%</f>
        <v>165.248493975904</v>
      </c>
      <c r="G316" s="472" t="n">
        <f aca="false">амортизация!M779</f>
        <v>22.0158411423472</v>
      </c>
      <c r="H316" s="473" t="e">
        <f aca="false">C316+D316+F316+G316</f>
        <v>#NAME?</v>
      </c>
      <c r="I316" s="462" t="n">
        <f aca="false">I$190</f>
        <v>0.240474587202079</v>
      </c>
      <c r="J316" s="473" t="n">
        <f aca="false">D316*I316</f>
        <v>344.052496749962</v>
      </c>
      <c r="K316" s="473" t="e">
        <f aca="false">H316+J316</f>
        <v>#NAME?</v>
      </c>
      <c r="L316" s="462" t="n">
        <v>0.2</v>
      </c>
      <c r="M316" s="473" t="e">
        <f aca="false">K316*L316</f>
        <v>#NAME?</v>
      </c>
      <c r="N316" s="473" t="e">
        <f aca="false">K316+M316</f>
        <v>#NAME?</v>
      </c>
      <c r="O316" s="473" t="e">
        <f aca="false">M316</f>
        <v>#NAME?</v>
      </c>
    </row>
    <row r="317" s="461" customFormat="true" ht="15" hidden="false" customHeight="false" outlineLevel="0" collapsed="false">
      <c r="A317" s="327" t="s">
        <v>560</v>
      </c>
      <c r="B317" s="433" t="s">
        <v>3111</v>
      </c>
      <c r="C317" s="472" t="e">
        <f aca="false">мат.затр!g2875</f>
        <v>#NAME?</v>
      </c>
      <c r="D317" s="472" t="n">
        <f aca="false">тарифик!J318</f>
        <v>624.721106648818</v>
      </c>
      <c r="E317" s="472"/>
      <c r="F317" s="473" t="n">
        <f aca="false">D317*0.9*0.095+D317*3%</f>
        <v>72.1552878179384</v>
      </c>
      <c r="G317" s="472" t="n">
        <f aca="false">амортизация!M780</f>
        <v>4.56455451435371</v>
      </c>
      <c r="H317" s="473" t="e">
        <f aca="false">C317+D317+F317+G317</f>
        <v>#NAME?</v>
      </c>
      <c r="I317" s="462" t="n">
        <f aca="false">I$190</f>
        <v>0.240474587202079</v>
      </c>
      <c r="J317" s="473" t="n">
        <f aca="false">D317*I317</f>
        <v>150.2295502378</v>
      </c>
      <c r="K317" s="473" t="e">
        <f aca="false">H317+J317</f>
        <v>#NAME?</v>
      </c>
      <c r="L317" s="462" t="n">
        <v>0.2</v>
      </c>
      <c r="M317" s="473" t="e">
        <f aca="false">K317*L317</f>
        <v>#NAME?</v>
      </c>
      <c r="N317" s="473" t="e">
        <f aca="false">K317+M317</f>
        <v>#NAME?</v>
      </c>
      <c r="O317" s="473" t="e">
        <f aca="false">M317</f>
        <v>#NAME?</v>
      </c>
    </row>
    <row r="318" s="461" customFormat="true" ht="15" hidden="false" customHeight="false" outlineLevel="0" collapsed="false">
      <c r="A318" s="327" t="s">
        <v>562</v>
      </c>
      <c r="B318" s="433" t="s">
        <v>3112</v>
      </c>
      <c r="C318" s="472" t="e">
        <f aca="false">мат.затр!g2878</f>
        <v>#NAME?</v>
      </c>
      <c r="D318" s="472" t="n">
        <f aca="false">тарифик!J319</f>
        <v>1341.81169120928</v>
      </c>
      <c r="E318" s="472"/>
      <c r="F318" s="473" t="n">
        <f aca="false">D318*0.9*0.095+D318*3%</f>
        <v>154.979250334672</v>
      </c>
      <c r="G318" s="472" t="n">
        <f aca="false">амортизация!M783</f>
        <v>8.66986464376023</v>
      </c>
      <c r="H318" s="473" t="e">
        <f aca="false">C318+D318+F318+G318</f>
        <v>#NAME?</v>
      </c>
      <c r="I318" s="462" t="n">
        <f aca="false">I$190</f>
        <v>0.240474587202079</v>
      </c>
      <c r="J318" s="473" t="n">
        <f aca="false">D318*I318</f>
        <v>322.671612546475</v>
      </c>
      <c r="K318" s="473" t="e">
        <f aca="false">H318+J318</f>
        <v>#NAME?</v>
      </c>
      <c r="L318" s="462" t="n">
        <v>0.2</v>
      </c>
      <c r="M318" s="473" t="e">
        <f aca="false">K318*L318</f>
        <v>#NAME?</v>
      </c>
      <c r="N318" s="473" t="e">
        <f aca="false">K318+M318</f>
        <v>#NAME?</v>
      </c>
      <c r="O318" s="473" t="e">
        <f aca="false">M318</f>
        <v>#NAME?</v>
      </c>
    </row>
    <row r="319" s="461" customFormat="true" ht="15" hidden="false" customHeight="false" outlineLevel="0" collapsed="false">
      <c r="A319" s="327" t="s">
        <v>564</v>
      </c>
      <c r="B319" s="433" t="s">
        <v>3113</v>
      </c>
      <c r="C319" s="472" t="e">
        <f aca="false">мат.затр!g2888</f>
        <v>#NAME?</v>
      </c>
      <c r="D319" s="472" t="n">
        <f aca="false">тарифик!J320</f>
        <v>2348.17045961624</v>
      </c>
      <c r="E319" s="472"/>
      <c r="F319" s="473" t="n">
        <f aca="false">D319*0.9*0.095+D319*3%</f>
        <v>271.213688085676</v>
      </c>
      <c r="G319" s="472" t="n">
        <f aca="false">амортизация!M787</f>
        <v>227.67923546036</v>
      </c>
      <c r="H319" s="473" t="e">
        <f aca="false">C319+D319+F319+G319</f>
        <v>#NAME?</v>
      </c>
      <c r="I319" s="462" t="n">
        <f aca="false">I$190</f>
        <v>0.240474587202079</v>
      </c>
      <c r="J319" s="473" t="n">
        <f aca="false">D319*I319</f>
        <v>564.675321956332</v>
      </c>
      <c r="K319" s="473" t="e">
        <f aca="false">H319+J319</f>
        <v>#NAME?</v>
      </c>
      <c r="L319" s="462" t="n">
        <v>0.2</v>
      </c>
      <c r="M319" s="473" t="e">
        <f aca="false">K319*L319</f>
        <v>#NAME?</v>
      </c>
      <c r="N319" s="473" t="e">
        <f aca="false">K319+M319</f>
        <v>#NAME?</v>
      </c>
      <c r="O319" s="473" t="e">
        <f aca="false">M319</f>
        <v>#NAME?</v>
      </c>
    </row>
    <row r="320" s="461" customFormat="true" ht="15" hidden="false" customHeight="false" outlineLevel="0" collapsed="false">
      <c r="A320" s="327" t="s">
        <v>566</v>
      </c>
      <c r="B320" s="433" t="s">
        <v>567</v>
      </c>
      <c r="C320" s="472" t="e">
        <f aca="false">мат.затр!g2900</f>
        <v>#NAME?</v>
      </c>
      <c r="D320" s="472" t="n">
        <f aca="false">тарифик!J321</f>
        <v>711.178045515395</v>
      </c>
      <c r="E320" s="472"/>
      <c r="F320" s="473" t="n">
        <f aca="false">D320*0.9*0.095+D320*3%</f>
        <v>82.1410642570281</v>
      </c>
      <c r="G320" s="472" t="n">
        <f aca="false">амортизация!M790</f>
        <v>32.4538896326045</v>
      </c>
      <c r="H320" s="473" t="e">
        <f aca="false">C320+D320+F320+G320</f>
        <v>#NAME?</v>
      </c>
      <c r="I320" s="462" t="n">
        <f aca="false">I$190</f>
        <v>0.240474587202079</v>
      </c>
      <c r="J320" s="473" t="n">
        <f aca="false">D320*I320</f>
        <v>171.020246922496</v>
      </c>
      <c r="K320" s="473" t="e">
        <f aca="false">H320+J320</f>
        <v>#NAME?</v>
      </c>
      <c r="L320" s="462" t="n">
        <v>0.2</v>
      </c>
      <c r="M320" s="473" t="e">
        <f aca="false">K320*L320</f>
        <v>#NAME?</v>
      </c>
      <c r="N320" s="473" t="e">
        <f aca="false">K320+M320</f>
        <v>#NAME?</v>
      </c>
      <c r="O320" s="473" t="e">
        <f aca="false">M320</f>
        <v>#NAME?</v>
      </c>
    </row>
    <row r="321" s="461" customFormat="true" ht="15" hidden="false" customHeight="false" outlineLevel="0" collapsed="false">
      <c r="A321" s="327" t="s">
        <v>568</v>
      </c>
      <c r="B321" s="433" t="s">
        <v>3114</v>
      </c>
      <c r="C321" s="472" t="e">
        <f aca="false">мат.затр!g2912</f>
        <v>#NAME?</v>
      </c>
      <c r="D321" s="472" t="n">
        <f aca="false">тарифик!J322</f>
        <v>602.409638554217</v>
      </c>
      <c r="E321" s="472"/>
      <c r="F321" s="473" t="n">
        <f aca="false">D321*0.9*0.095+D321*3%</f>
        <v>69.578313253012</v>
      </c>
      <c r="G321" s="472" t="n">
        <f aca="false">амортизация!M791</f>
        <v>4.56455451435371</v>
      </c>
      <c r="H321" s="473" t="e">
        <f aca="false">C321+D321+F321+G321</f>
        <v>#NAME?</v>
      </c>
      <c r="I321" s="462" t="n">
        <f aca="false">I$190</f>
        <v>0.240474587202079</v>
      </c>
      <c r="J321" s="473" t="n">
        <f aca="false">D321*I321</f>
        <v>144.864209157879</v>
      </c>
      <c r="K321" s="473" t="e">
        <f aca="false">H321+J321</f>
        <v>#NAME?</v>
      </c>
      <c r="L321" s="462" t="n">
        <v>0.2</v>
      </c>
      <c r="M321" s="473" t="e">
        <f aca="false">K321*L321</f>
        <v>#NAME?</v>
      </c>
      <c r="N321" s="473" t="e">
        <f aca="false">K321+M321</f>
        <v>#NAME?</v>
      </c>
      <c r="O321" s="473" t="e">
        <f aca="false">M321</f>
        <v>#NAME?</v>
      </c>
    </row>
    <row r="322" s="461" customFormat="true" ht="15" hidden="false" customHeight="false" outlineLevel="0" collapsed="false">
      <c r="A322" s="327" t="s">
        <v>570</v>
      </c>
      <c r="B322" s="433" t="s">
        <v>3115</v>
      </c>
      <c r="C322" s="472" t="e">
        <f aca="false">мат.затр!g2916</f>
        <v>#NAME?</v>
      </c>
      <c r="D322" s="472" t="n">
        <f aca="false">тарифик!J323</f>
        <v>502.008032128514</v>
      </c>
      <c r="E322" s="472"/>
      <c r="F322" s="473" t="n">
        <f aca="false">D322*0.9*0.095+D322*3%</f>
        <v>57.9819277108434</v>
      </c>
      <c r="G322" s="472" t="n">
        <f aca="false">амортизация!M792</f>
        <v>4.56455451435371</v>
      </c>
      <c r="H322" s="473" t="e">
        <f aca="false">C322+D322+F322+G322</f>
        <v>#NAME?</v>
      </c>
      <c r="I322" s="462" t="n">
        <f aca="false">I$190</f>
        <v>0.240474587202079</v>
      </c>
      <c r="J322" s="473" t="n">
        <f aca="false">D322*I322</f>
        <v>120.720174298232</v>
      </c>
      <c r="K322" s="473" t="e">
        <f aca="false">H322+J322</f>
        <v>#NAME?</v>
      </c>
      <c r="L322" s="462" t="n">
        <v>0.2</v>
      </c>
      <c r="M322" s="473" t="e">
        <f aca="false">K322*L322</f>
        <v>#NAME?</v>
      </c>
      <c r="N322" s="473" t="e">
        <f aca="false">K322+M322</f>
        <v>#NAME?</v>
      </c>
      <c r="O322" s="473" t="e">
        <f aca="false">M322</f>
        <v>#NAME?</v>
      </c>
    </row>
    <row r="323" s="461" customFormat="true" ht="15" hidden="false" customHeight="false" outlineLevel="0" collapsed="false">
      <c r="A323" s="327" t="s">
        <v>572</v>
      </c>
      <c r="B323" s="433" t="s">
        <v>3116</v>
      </c>
      <c r="C323" s="472" t="e">
        <f aca="false">мат.затр!g2917</f>
        <v>#NAME?</v>
      </c>
      <c r="D323" s="472" t="n">
        <f aca="false">тарифик!J324</f>
        <v>635.876840696118</v>
      </c>
      <c r="E323" s="472"/>
      <c r="F323" s="473" t="n">
        <f aca="false">D323*0.9*0.095+D323*3%</f>
        <v>73.4437751004016</v>
      </c>
      <c r="G323" s="472" t="n">
        <f aca="false">амортизация!M793</f>
        <v>4.56455451435371</v>
      </c>
      <c r="H323" s="473" t="e">
        <f aca="false">C323+D323+F323+G323</f>
        <v>#NAME?</v>
      </c>
      <c r="I323" s="462" t="n">
        <f aca="false">I$190</f>
        <v>0.240474587202079</v>
      </c>
      <c r="J323" s="473" t="n">
        <f aca="false">D323*I323</f>
        <v>152.912220777761</v>
      </c>
      <c r="K323" s="473" t="e">
        <f aca="false">H323+J323</f>
        <v>#NAME?</v>
      </c>
      <c r="L323" s="462" t="n">
        <v>0.2</v>
      </c>
      <c r="M323" s="473" t="e">
        <f aca="false">K323*L323</f>
        <v>#NAME?</v>
      </c>
      <c r="N323" s="473" t="e">
        <f aca="false">K323+M323</f>
        <v>#NAME?</v>
      </c>
      <c r="O323" s="473" t="e">
        <f aca="false">M323</f>
        <v>#NAME?</v>
      </c>
    </row>
    <row r="324" s="461" customFormat="true" ht="15" hidden="false" customHeight="false" outlineLevel="0" collapsed="false">
      <c r="A324" s="327" t="s">
        <v>574</v>
      </c>
      <c r="B324" s="433" t="s">
        <v>3117</v>
      </c>
      <c r="C324" s="472" t="e">
        <f aca="false">мат.затр!g2931</f>
        <v>#NAME?</v>
      </c>
      <c r="D324" s="472" t="n">
        <f aca="false">тарифик!J325</f>
        <v>568.942436412316</v>
      </c>
      <c r="E324" s="472"/>
      <c r="F324" s="473" t="n">
        <f aca="false">D324*0.9*0.095+D324*3%</f>
        <v>65.7128514056225</v>
      </c>
      <c r="G324" s="472" t="n">
        <f aca="false">амортизация!M796</f>
        <v>623.318012791909</v>
      </c>
      <c r="H324" s="473" t="e">
        <f aca="false">C324+D324+F324+G324</f>
        <v>#NAME?</v>
      </c>
      <c r="I324" s="462" t="n">
        <f aca="false">I$190</f>
        <v>0.240474587202079</v>
      </c>
      <c r="J324" s="473" t="n">
        <f aca="false">D324*I324</f>
        <v>136.816197537997</v>
      </c>
      <c r="K324" s="473" t="e">
        <f aca="false">H324+J324</f>
        <v>#NAME?</v>
      </c>
      <c r="L324" s="462" t="n">
        <v>0.2</v>
      </c>
      <c r="M324" s="473" t="e">
        <f aca="false">K324*L324</f>
        <v>#NAME?</v>
      </c>
      <c r="N324" s="473" t="e">
        <f aca="false">K324+M324</f>
        <v>#NAME?</v>
      </c>
      <c r="O324" s="473" t="e">
        <f aca="false">M324</f>
        <v>#NAME?</v>
      </c>
    </row>
    <row r="325" s="461" customFormat="true" ht="15" hidden="false" customHeight="false" outlineLevel="0" collapsed="false">
      <c r="A325" s="327" t="s">
        <v>576</v>
      </c>
      <c r="B325" s="433" t="s">
        <v>3118</v>
      </c>
      <c r="C325" s="472" t="e">
        <f aca="false">мат.затр!g2938</f>
        <v>#NAME?</v>
      </c>
      <c r="D325" s="472" t="n">
        <f aca="false">тарифик!J326</f>
        <v>1706.82730923695</v>
      </c>
      <c r="E325" s="472"/>
      <c r="F325" s="473" t="n">
        <f aca="false">D325*0.9*0.095+D325*3%</f>
        <v>197.138554216867</v>
      </c>
      <c r="G325" s="472" t="n">
        <f aca="false">амортизация!M799</f>
        <v>520.192436412316</v>
      </c>
      <c r="H325" s="473" t="e">
        <f aca="false">C325+D325+F325+G325</f>
        <v>#NAME?</v>
      </c>
      <c r="I325" s="462" t="n">
        <f aca="false">I$190</f>
        <v>0.240474587202079</v>
      </c>
      <c r="J325" s="473" t="n">
        <f aca="false">D325*I325</f>
        <v>410.44859261399</v>
      </c>
      <c r="K325" s="473" t="e">
        <f aca="false">H325+J325</f>
        <v>#NAME?</v>
      </c>
      <c r="L325" s="462" t="n">
        <v>0.2</v>
      </c>
      <c r="M325" s="473" t="e">
        <f aca="false">K325*L325</f>
        <v>#NAME?</v>
      </c>
      <c r="N325" s="473" t="e">
        <f aca="false">K325+M325</f>
        <v>#NAME?</v>
      </c>
      <c r="O325" s="473" t="e">
        <f aca="false">M325</f>
        <v>#NAME?</v>
      </c>
    </row>
    <row r="326" s="461" customFormat="true" ht="15" hidden="false" customHeight="false" outlineLevel="0" collapsed="false">
      <c r="A326" s="327" t="s">
        <v>578</v>
      </c>
      <c r="B326" s="433" t="s">
        <v>3119</v>
      </c>
      <c r="C326" s="472" t="e">
        <f aca="false">мат.затр!g2942</f>
        <v>#NAME?</v>
      </c>
      <c r="D326" s="472" t="n">
        <f aca="false">тарифик!J327</f>
        <v>1383.31102186524</v>
      </c>
      <c r="E326" s="472"/>
      <c r="F326" s="473" t="n">
        <f aca="false">D326*0.9*0.095+D326*3%</f>
        <v>159.772423025435</v>
      </c>
      <c r="G326" s="472" t="n">
        <f aca="false">амортизация!M802</f>
        <v>4.56455451435371</v>
      </c>
      <c r="H326" s="473" t="e">
        <f aca="false">C326+D326+F326+G326</f>
        <v>#NAME?</v>
      </c>
      <c r="I326" s="462" t="n">
        <f aca="false">I$190</f>
        <v>0.240474587202079</v>
      </c>
      <c r="J326" s="473" t="n">
        <f aca="false">D326*I326</f>
        <v>332.651146955129</v>
      </c>
      <c r="K326" s="473" t="e">
        <f aca="false">H326+J326</f>
        <v>#NAME?</v>
      </c>
      <c r="L326" s="462" t="n">
        <v>0.2</v>
      </c>
      <c r="M326" s="473" t="e">
        <f aca="false">K326*L326</f>
        <v>#NAME?</v>
      </c>
      <c r="N326" s="473" t="e">
        <f aca="false">K326+M326</f>
        <v>#NAME?</v>
      </c>
      <c r="O326" s="473" t="e">
        <f aca="false">M326</f>
        <v>#NAME?</v>
      </c>
    </row>
    <row r="327" s="461" customFormat="true" ht="15" hidden="false" customHeight="false" outlineLevel="0" collapsed="false">
      <c r="A327" s="350" t="s">
        <v>580</v>
      </c>
      <c r="B327" s="467" t="s">
        <v>3120</v>
      </c>
      <c r="C327" s="468"/>
      <c r="D327" s="468"/>
      <c r="E327" s="468"/>
      <c r="F327" s="474"/>
      <c r="G327" s="468"/>
      <c r="H327" s="474"/>
      <c r="I327" s="475"/>
      <c r="J327" s="474"/>
      <c r="K327" s="474"/>
      <c r="L327" s="475"/>
      <c r="M327" s="474"/>
      <c r="N327" s="474"/>
      <c r="O327" s="474"/>
    </row>
    <row r="328" s="461" customFormat="true" ht="15" hidden="false" customHeight="false" outlineLevel="0" collapsed="false">
      <c r="A328" s="327" t="s">
        <v>582</v>
      </c>
      <c r="B328" s="328" t="s">
        <v>3010</v>
      </c>
      <c r="C328" s="472" t="e">
        <f aca="false">мат.затр!g2944</f>
        <v>#NAME?</v>
      </c>
      <c r="D328" s="472" t="n">
        <f aca="false">тарифик!J329</f>
        <v>602.409638554217</v>
      </c>
      <c r="E328" s="472"/>
      <c r="F328" s="473" t="n">
        <f aca="false">D328*0.9*0.095+D328*3%</f>
        <v>69.578313253012</v>
      </c>
      <c r="G328" s="472" t="n">
        <f aca="false">амортизация!M804</f>
        <v>7.53012048192771</v>
      </c>
      <c r="H328" s="473" t="e">
        <f aca="false">C328+D328+F328+G328</f>
        <v>#NAME?</v>
      </c>
      <c r="I328" s="462" t="n">
        <f aca="false">I$190</f>
        <v>0.240474587202079</v>
      </c>
      <c r="J328" s="473" t="n">
        <f aca="false">D328*I328</f>
        <v>144.864209157879</v>
      </c>
      <c r="K328" s="473" t="e">
        <f aca="false">H328+J328</f>
        <v>#NAME?</v>
      </c>
      <c r="L328" s="462" t="n">
        <v>0.2</v>
      </c>
      <c r="M328" s="473" t="e">
        <f aca="false">K328*L328</f>
        <v>#NAME?</v>
      </c>
      <c r="N328" s="473" t="e">
        <f aca="false">K328+M328</f>
        <v>#NAME?</v>
      </c>
      <c r="O328" s="473" t="e">
        <f aca="false">M328</f>
        <v>#NAME?</v>
      </c>
    </row>
    <row r="329" s="461" customFormat="true" ht="15" hidden="false" customHeight="false" outlineLevel="0" collapsed="false">
      <c r="A329" s="327" t="s">
        <v>583</v>
      </c>
      <c r="B329" s="328" t="s">
        <v>3084</v>
      </c>
      <c r="C329" s="472" t="e">
        <f aca="false">мат.затр!g2948</f>
        <v>#NAME?</v>
      </c>
      <c r="D329" s="472" t="n">
        <f aca="false">тарифик!J330</f>
        <v>1673.36010709505</v>
      </c>
      <c r="E329" s="472"/>
      <c r="F329" s="473" t="n">
        <f aca="false">D329*0.9*0.095+D329*3%</f>
        <v>193.273092369478</v>
      </c>
      <c r="G329" s="472" t="n">
        <f aca="false">амортизация!M808</f>
        <v>15.3019485348803</v>
      </c>
      <c r="H329" s="473" t="e">
        <f aca="false">C329+D329+F329+G329</f>
        <v>#NAME?</v>
      </c>
      <c r="I329" s="462" t="n">
        <f aca="false">I$190</f>
        <v>0.240474587202079</v>
      </c>
      <c r="J329" s="473" t="n">
        <f aca="false">D329*I329</f>
        <v>402.400580994108</v>
      </c>
      <c r="K329" s="473" t="e">
        <f aca="false">H329+J329</f>
        <v>#NAME?</v>
      </c>
      <c r="L329" s="462" t="n">
        <v>0.2</v>
      </c>
      <c r="M329" s="473" t="e">
        <f aca="false">K329*L329</f>
        <v>#NAME?</v>
      </c>
      <c r="N329" s="473" t="e">
        <f aca="false">K329+M329</f>
        <v>#NAME?</v>
      </c>
      <c r="O329" s="473" t="e">
        <f aca="false">M329</f>
        <v>#NAME?</v>
      </c>
    </row>
    <row r="330" s="461" customFormat="true" ht="15" hidden="false" customHeight="false" outlineLevel="0" collapsed="false">
      <c r="A330" s="327" t="s">
        <v>584</v>
      </c>
      <c r="B330" s="328" t="s">
        <v>3085</v>
      </c>
      <c r="C330" s="472" t="e">
        <f aca="false">мат.затр!g2952</f>
        <v>#NAME?</v>
      </c>
      <c r="D330" s="472" t="n">
        <f aca="false">тарифик!J331</f>
        <v>1840.69611780455</v>
      </c>
      <c r="E330" s="472"/>
      <c r="F330" s="473" t="n">
        <f aca="false">D330*0.9*0.095+D330*3%</f>
        <v>212.600401606426</v>
      </c>
      <c r="G330" s="472" t="n">
        <f aca="false">амортизация!M811</f>
        <v>9.86352818682136</v>
      </c>
      <c r="H330" s="473" t="e">
        <f aca="false">C330+D330+F330+G330</f>
        <v>#NAME?</v>
      </c>
      <c r="I330" s="462" t="n">
        <f aca="false">I$190</f>
        <v>0.240474587202079</v>
      </c>
      <c r="J330" s="473" t="n">
        <f aca="false">D330*I330</f>
        <v>442.640639093519</v>
      </c>
      <c r="K330" s="473" t="e">
        <f aca="false">H330+J330</f>
        <v>#NAME?</v>
      </c>
      <c r="L330" s="462" t="n">
        <v>0.2</v>
      </c>
      <c r="M330" s="473" t="e">
        <f aca="false">K330*L330</f>
        <v>#NAME?</v>
      </c>
      <c r="N330" s="473" t="e">
        <f aca="false">K330+M330</f>
        <v>#NAME?</v>
      </c>
      <c r="O330" s="473" t="e">
        <f aca="false">M330</f>
        <v>#NAME?</v>
      </c>
    </row>
    <row r="331" s="461" customFormat="true" ht="15" hidden="false" customHeight="false" outlineLevel="0" collapsed="false">
      <c r="A331" s="327" t="s">
        <v>585</v>
      </c>
      <c r="B331" s="328" t="s">
        <v>3121</v>
      </c>
      <c r="C331" s="472" t="e">
        <f aca="false">мат.затр!g2957</f>
        <v>#NAME?</v>
      </c>
      <c r="D331" s="472" t="n">
        <f aca="false">тарифик!J332</f>
        <v>858.991521642124</v>
      </c>
      <c r="E331" s="472"/>
      <c r="F331" s="473" t="n">
        <f aca="false">D331*0.9*0.095+D331*3%</f>
        <v>99.2135207496653</v>
      </c>
      <c r="G331" s="472" t="n">
        <f aca="false">амортизация!M812</f>
        <v>4.56455451435371</v>
      </c>
      <c r="H331" s="473" t="e">
        <f aca="false">C331+D331+F331+G331</f>
        <v>#NAME?</v>
      </c>
      <c r="I331" s="462" t="n">
        <f aca="false">I$190</f>
        <v>0.240474587202079</v>
      </c>
      <c r="J331" s="473" t="n">
        <f aca="false">D331*I331</f>
        <v>206.565631576975</v>
      </c>
      <c r="K331" s="473" t="e">
        <f aca="false">H331+J331</f>
        <v>#NAME?</v>
      </c>
      <c r="L331" s="462" t="n">
        <v>0.2</v>
      </c>
      <c r="M331" s="473" t="e">
        <f aca="false">K331*L331</f>
        <v>#NAME?</v>
      </c>
      <c r="N331" s="473" t="e">
        <f aca="false">K331+M331</f>
        <v>#NAME?</v>
      </c>
      <c r="O331" s="473" t="e">
        <f aca="false">M331</f>
        <v>#NAME?</v>
      </c>
    </row>
    <row r="332" s="461" customFormat="true" ht="15" hidden="false" customHeight="false" outlineLevel="0" collapsed="false">
      <c r="A332" s="327" t="s">
        <v>587</v>
      </c>
      <c r="B332" s="328" t="s">
        <v>3058</v>
      </c>
      <c r="C332" s="472" t="e">
        <f aca="false">мат.затр!g2961</f>
        <v>#NAME?</v>
      </c>
      <c r="D332" s="472" t="n">
        <f aca="false">тарифик!J333</f>
        <v>981.704596162428</v>
      </c>
      <c r="E332" s="472"/>
      <c r="F332" s="473" t="n">
        <f aca="false">D332*0.9*0.095+D332*3%</f>
        <v>113.38688085676</v>
      </c>
      <c r="G332" s="472" t="n">
        <f aca="false">амортизация!M813</f>
        <v>1.82675145024543</v>
      </c>
      <c r="H332" s="473" t="e">
        <f aca="false">C332+D332+F332+G332</f>
        <v>#NAME?</v>
      </c>
      <c r="I332" s="462" t="n">
        <f aca="false">I$190</f>
        <v>0.240474587202079</v>
      </c>
      <c r="J332" s="473" t="n">
        <f aca="false">D332*I332</f>
        <v>236.075007516543</v>
      </c>
      <c r="K332" s="473" t="e">
        <f aca="false">H332+J332</f>
        <v>#NAME?</v>
      </c>
      <c r="L332" s="462" t="n">
        <v>0.2</v>
      </c>
      <c r="M332" s="473" t="e">
        <f aca="false">K332*L332</f>
        <v>#NAME?</v>
      </c>
      <c r="N332" s="473" t="e">
        <f aca="false">K332+M332</f>
        <v>#NAME?</v>
      </c>
      <c r="O332" s="473" t="e">
        <f aca="false">M332</f>
        <v>#NAME?</v>
      </c>
    </row>
    <row r="333" s="461" customFormat="true" ht="15" hidden="false" customHeight="false" outlineLevel="0" collapsed="false">
      <c r="A333" s="327" t="s">
        <v>588</v>
      </c>
      <c r="B333" s="328" t="s">
        <v>3059</v>
      </c>
      <c r="C333" s="472" t="e">
        <f aca="false">мат.затр!g2969</f>
        <v>#NAME?</v>
      </c>
      <c r="D333" s="472" t="n">
        <f aca="false">тарифик!J334</f>
        <v>981.704596162428</v>
      </c>
      <c r="E333" s="472"/>
      <c r="F333" s="473" t="n">
        <f aca="false">D333*0.9*0.095+D333*3%</f>
        <v>113.38688085676</v>
      </c>
      <c r="G333" s="472" t="n">
        <f aca="false">амортизация!M816</f>
        <v>6.39130596459914</v>
      </c>
      <c r="H333" s="473" t="e">
        <f aca="false">C333+D333+F333+G333</f>
        <v>#NAME?</v>
      </c>
      <c r="I333" s="462" t="n">
        <f aca="false">I$190</f>
        <v>0.240474587202079</v>
      </c>
      <c r="J333" s="473" t="n">
        <f aca="false">D333*I333</f>
        <v>236.075007516543</v>
      </c>
      <c r="K333" s="473" t="e">
        <f aca="false">H333+J333</f>
        <v>#NAME?</v>
      </c>
      <c r="L333" s="462" t="n">
        <v>0.2</v>
      </c>
      <c r="M333" s="473" t="e">
        <f aca="false">K333*L333</f>
        <v>#NAME?</v>
      </c>
      <c r="N333" s="473" t="e">
        <f aca="false">K333+M333</f>
        <v>#NAME?</v>
      </c>
      <c r="O333" s="473" t="e">
        <f aca="false">M333</f>
        <v>#NAME?</v>
      </c>
    </row>
    <row r="334" s="461" customFormat="true" ht="15" hidden="false" customHeight="false" outlineLevel="0" collapsed="false">
      <c r="A334" s="327" t="s">
        <v>589</v>
      </c>
      <c r="B334" s="328" t="s">
        <v>3122</v>
      </c>
      <c r="C334" s="472" t="e">
        <f aca="false">мат.затр!g2973</f>
        <v>#NAME?</v>
      </c>
      <c r="D334" s="472" t="n">
        <f aca="false">тарифик!J335</f>
        <v>1037.48326639893</v>
      </c>
      <c r="E334" s="472"/>
      <c r="F334" s="473" t="n">
        <f aca="false">D334*0.9*0.095+D334*3%</f>
        <v>119.829317269076</v>
      </c>
      <c r="G334" s="472" t="n">
        <f aca="false">амортизация!M817</f>
        <v>1.67336010709505</v>
      </c>
      <c r="H334" s="473" t="e">
        <f aca="false">C334+D334+F334+G334</f>
        <v>#NAME?</v>
      </c>
      <c r="I334" s="462" t="n">
        <f aca="false">I$190</f>
        <v>0.240474587202079</v>
      </c>
      <c r="J334" s="473" t="n">
        <f aca="false">D334*I334</f>
        <v>249.488360216347</v>
      </c>
      <c r="K334" s="473" t="e">
        <f aca="false">H334+J334</f>
        <v>#NAME?</v>
      </c>
      <c r="L334" s="462" t="n">
        <v>0.2</v>
      </c>
      <c r="M334" s="473" t="e">
        <f aca="false">K334*L334</f>
        <v>#NAME?</v>
      </c>
      <c r="N334" s="473" t="e">
        <f aca="false">K334+M334</f>
        <v>#NAME?</v>
      </c>
      <c r="O334" s="473" t="e">
        <f aca="false">M334</f>
        <v>#NAME?</v>
      </c>
    </row>
    <row r="335" s="461" customFormat="true" ht="15" hidden="false" customHeight="false" outlineLevel="0" collapsed="false">
      <c r="A335" s="327" t="s">
        <v>590</v>
      </c>
      <c r="B335" s="328" t="s">
        <v>2883</v>
      </c>
      <c r="C335" s="472" t="e">
        <f aca="false">мат.затр!g2979</f>
        <v>#NAME?</v>
      </c>
      <c r="D335" s="472" t="n">
        <f aca="false">тарифик!J336</f>
        <v>836.680053547523</v>
      </c>
      <c r="E335" s="472"/>
      <c r="F335" s="473" t="n">
        <f aca="false">D335*0.9*0.095+D335*3%</f>
        <v>96.636546184739</v>
      </c>
      <c r="G335" s="472" t="n">
        <f aca="false">амортизация!M818</f>
        <v>7.53012048192771</v>
      </c>
      <c r="H335" s="473" t="e">
        <f aca="false">C335+D335+F335+G335</f>
        <v>#NAME?</v>
      </c>
      <c r="I335" s="462" t="n">
        <f aca="false">I$190</f>
        <v>0.240474587202079</v>
      </c>
      <c r="J335" s="473" t="n">
        <f aca="false">D335*I335</f>
        <v>201.200290497054</v>
      </c>
      <c r="K335" s="473" t="e">
        <f aca="false">H335+J335</f>
        <v>#NAME?</v>
      </c>
      <c r="L335" s="462" t="n">
        <v>0.2</v>
      </c>
      <c r="M335" s="473" t="e">
        <f aca="false">K335*L335</f>
        <v>#NAME?</v>
      </c>
      <c r="N335" s="473" t="e">
        <f aca="false">K335+M335</f>
        <v>#NAME?</v>
      </c>
      <c r="O335" s="473" t="e">
        <f aca="false">M335</f>
        <v>#NAME?</v>
      </c>
    </row>
    <row r="336" s="461" customFormat="true" ht="15" hidden="false" customHeight="false" outlineLevel="0" collapsed="false">
      <c r="A336" s="327" t="s">
        <v>591</v>
      </c>
      <c r="B336" s="328" t="s">
        <v>3123</v>
      </c>
      <c r="C336" s="472" t="e">
        <f aca="false">мат.затр!g2991</f>
        <v>#NAME?</v>
      </c>
      <c r="D336" s="472" t="n">
        <f aca="false">тарифик!J337</f>
        <v>1271.75368139224</v>
      </c>
      <c r="E336" s="472"/>
      <c r="F336" s="473" t="n">
        <f aca="false">D336*0.9*0.095+D336*3%</f>
        <v>146.887550200803</v>
      </c>
      <c r="G336" s="472" t="n">
        <f aca="false">амортизация!M823</f>
        <v>20.057080172542</v>
      </c>
      <c r="H336" s="473" t="e">
        <f aca="false">C336+D336+F336+G336</f>
        <v>#NAME?</v>
      </c>
      <c r="I336" s="462" t="n">
        <f aca="false">I$190</f>
        <v>0.240474587202079</v>
      </c>
      <c r="J336" s="473" t="n">
        <f aca="false">D336*I336</f>
        <v>305.824441555522</v>
      </c>
      <c r="K336" s="473" t="e">
        <f aca="false">H336+J336</f>
        <v>#NAME?</v>
      </c>
      <c r="L336" s="462" t="n">
        <v>0.2</v>
      </c>
      <c r="M336" s="473" t="e">
        <f aca="false">K336*L336</f>
        <v>#NAME?</v>
      </c>
      <c r="N336" s="473" t="e">
        <f aca="false">K336+M336</f>
        <v>#NAME?</v>
      </c>
      <c r="O336" s="473" t="e">
        <f aca="false">M336</f>
        <v>#NAME?</v>
      </c>
    </row>
    <row r="337" s="461" customFormat="true" ht="15" hidden="false" customHeight="false" outlineLevel="0" collapsed="false">
      <c r="A337" s="327" t="s">
        <v>593</v>
      </c>
      <c r="B337" s="328" t="s">
        <v>3124</v>
      </c>
      <c r="C337" s="472" t="e">
        <f aca="false">мат.затр!g2999</f>
        <v>#NAME?</v>
      </c>
      <c r="D337" s="472" t="n">
        <f aca="false">тарифик!J338</f>
        <v>1004.01606425703</v>
      </c>
      <c r="E337" s="472"/>
      <c r="F337" s="473" t="n">
        <f aca="false">D337*0.9*0.095+D337*3%</f>
        <v>115.963855421687</v>
      </c>
      <c r="G337" s="472" t="n">
        <f aca="false">амортизация!M826</f>
        <v>9.46350215677525</v>
      </c>
      <c r="H337" s="473" t="e">
        <f aca="false">C337+D337+F337+G337</f>
        <v>#NAME?</v>
      </c>
      <c r="I337" s="462" t="n">
        <f aca="false">I$190</f>
        <v>0.240474587202079</v>
      </c>
      <c r="J337" s="473" t="n">
        <f aca="false">D337*I337</f>
        <v>241.440348596465</v>
      </c>
      <c r="K337" s="473" t="e">
        <f aca="false">H337+J337</f>
        <v>#NAME?</v>
      </c>
      <c r="L337" s="462" t="n">
        <v>0.2</v>
      </c>
      <c r="M337" s="473" t="e">
        <f aca="false">K337*L337</f>
        <v>#NAME?</v>
      </c>
      <c r="N337" s="473" t="e">
        <f aca="false">K337+M337</f>
        <v>#NAME?</v>
      </c>
      <c r="O337" s="473" t="e">
        <f aca="false">M337</f>
        <v>#NAME?</v>
      </c>
    </row>
    <row r="338" s="461" customFormat="true" ht="15" hidden="false" customHeight="false" outlineLevel="0" collapsed="false">
      <c r="A338" s="327" t="s">
        <v>594</v>
      </c>
      <c r="B338" s="328" t="s">
        <v>3125</v>
      </c>
      <c r="C338" s="472" t="e">
        <f aca="false">мат.затр!g3010</f>
        <v>#NAME?</v>
      </c>
      <c r="D338" s="472" t="n">
        <f aca="false">тарифик!J339</f>
        <v>702.81124497992</v>
      </c>
      <c r="E338" s="472"/>
      <c r="F338" s="473" t="n">
        <f aca="false">D338*0.9*0.095+D338*3%</f>
        <v>81.1746987951807</v>
      </c>
      <c r="G338" s="472" t="n">
        <f aca="false">амортизация!M827</f>
        <v>4.56455451435371</v>
      </c>
      <c r="H338" s="473" t="e">
        <f aca="false">C338+D338+F338+G338</f>
        <v>#NAME?</v>
      </c>
      <c r="I338" s="462" t="n">
        <f aca="false">I$190</f>
        <v>0.240474587202079</v>
      </c>
      <c r="J338" s="473" t="n">
        <f aca="false">D338*I338</f>
        <v>169.008244017525</v>
      </c>
      <c r="K338" s="473" t="e">
        <f aca="false">H338+J338</f>
        <v>#NAME?</v>
      </c>
      <c r="L338" s="462" t="n">
        <v>0.2</v>
      </c>
      <c r="M338" s="473" t="e">
        <f aca="false">K338*L338</f>
        <v>#NAME?</v>
      </c>
      <c r="N338" s="473" t="e">
        <f aca="false">K338+M338</f>
        <v>#NAME?</v>
      </c>
      <c r="O338" s="473" t="e">
        <f aca="false">M338</f>
        <v>#NAME?</v>
      </c>
    </row>
    <row r="339" s="461" customFormat="true" ht="15" hidden="false" customHeight="false" outlineLevel="0" collapsed="false">
      <c r="A339" s="327" t="s">
        <v>595</v>
      </c>
      <c r="B339" s="328" t="s">
        <v>3126</v>
      </c>
      <c r="C339" s="472" t="e">
        <f aca="false">мат.затр!g3014</f>
        <v>#NAME?</v>
      </c>
      <c r="D339" s="472" t="n">
        <f aca="false">тарифик!J340</f>
        <v>1255.02008032129</v>
      </c>
      <c r="E339" s="472"/>
      <c r="F339" s="473" t="n">
        <f aca="false">D339*0.9*0.095+D339*3%</f>
        <v>144.954819277108</v>
      </c>
      <c r="G339" s="472" t="n">
        <f aca="false">амортизация!M830</f>
        <v>10.0029748624126</v>
      </c>
      <c r="H339" s="473" t="e">
        <f aca="false">C339+D339+F339+G339</f>
        <v>#NAME?</v>
      </c>
      <c r="I339" s="462" t="n">
        <f aca="false">I$190</f>
        <v>0.240474587202079</v>
      </c>
      <c r="J339" s="473" t="n">
        <f aca="false">D339*I339</f>
        <v>301.800435745581</v>
      </c>
      <c r="K339" s="473" t="e">
        <f aca="false">H339+J339</f>
        <v>#NAME?</v>
      </c>
      <c r="L339" s="462" t="n">
        <v>0.2</v>
      </c>
      <c r="M339" s="473" t="e">
        <f aca="false">K339*L339</f>
        <v>#NAME?</v>
      </c>
      <c r="N339" s="473" t="e">
        <f aca="false">K339+M339</f>
        <v>#NAME?</v>
      </c>
      <c r="O339" s="473" t="e">
        <f aca="false">M339</f>
        <v>#NAME?</v>
      </c>
    </row>
    <row r="340" s="461" customFormat="true" ht="15" hidden="false" customHeight="false" outlineLevel="0" collapsed="false">
      <c r="A340" s="327" t="s">
        <v>597</v>
      </c>
      <c r="B340" s="328" t="s">
        <v>3127</v>
      </c>
      <c r="C340" s="472" t="e">
        <f aca="false">мат.затр!g3025</f>
        <v>#NAME?</v>
      </c>
      <c r="D340" s="472" t="n">
        <f aca="false">тарифик!J341</f>
        <v>368.13922356091</v>
      </c>
      <c r="E340" s="472"/>
      <c r="F340" s="473" t="n">
        <f aca="false">D340*0.9*0.095+D340*3%</f>
        <v>42.5200803212851</v>
      </c>
      <c r="G340" s="472" t="n">
        <f aca="false">амортизация!M831</f>
        <v>4.56455451435371</v>
      </c>
      <c r="H340" s="473" t="e">
        <f aca="false">C340+D340+F340+G340</f>
        <v>#NAME?</v>
      </c>
      <c r="I340" s="462" t="n">
        <f aca="false">I$190</f>
        <v>0.240474587202079</v>
      </c>
      <c r="J340" s="473" t="n">
        <f aca="false">D340*I340</f>
        <v>88.5281278187038</v>
      </c>
      <c r="K340" s="473" t="e">
        <f aca="false">H340+J340</f>
        <v>#NAME?</v>
      </c>
      <c r="L340" s="462" t="n">
        <v>0.2</v>
      </c>
      <c r="M340" s="473" t="e">
        <f aca="false">K340*L340</f>
        <v>#NAME?</v>
      </c>
      <c r="N340" s="473" t="e">
        <f aca="false">K340+M340</f>
        <v>#NAME?</v>
      </c>
      <c r="O340" s="473" t="e">
        <f aca="false">M340</f>
        <v>#NAME?</v>
      </c>
    </row>
    <row r="341" s="461" customFormat="true" ht="15" hidden="false" customHeight="false" outlineLevel="0" collapsed="false">
      <c r="A341" s="327" t="s">
        <v>599</v>
      </c>
      <c r="B341" s="328" t="s">
        <v>3128</v>
      </c>
      <c r="C341" s="472" t="e">
        <f aca="false">мат.затр!g3034</f>
        <v>#NAME?</v>
      </c>
      <c r="D341" s="472" t="n">
        <f aca="false">тарифик!J342</f>
        <v>267.737617135208</v>
      </c>
      <c r="E341" s="472"/>
      <c r="F341" s="473" t="n">
        <f aca="false">D341*0.9*0.095+D341*3%</f>
        <v>30.9236947791165</v>
      </c>
      <c r="G341" s="472" t="n">
        <f aca="false">амортизация!M835</f>
        <v>10.4306113342258</v>
      </c>
      <c r="H341" s="473" t="e">
        <f aca="false">C341+D341+F341+G341</f>
        <v>#NAME?</v>
      </c>
      <c r="I341" s="462" t="n">
        <f aca="false">I$190</f>
        <v>0.240474587202079</v>
      </c>
      <c r="J341" s="473" t="n">
        <f aca="false">D341*I341</f>
        <v>64.3840929590573</v>
      </c>
      <c r="K341" s="473" t="e">
        <f aca="false">H341+J341</f>
        <v>#NAME?</v>
      </c>
      <c r="L341" s="462" t="n">
        <v>0.2</v>
      </c>
      <c r="M341" s="473" t="e">
        <f aca="false">K341*L341</f>
        <v>#NAME?</v>
      </c>
      <c r="N341" s="473" t="e">
        <f aca="false">K341+M341</f>
        <v>#NAME?</v>
      </c>
      <c r="O341" s="473" t="e">
        <f aca="false">M341</f>
        <v>#NAME?</v>
      </c>
    </row>
    <row r="342" s="461" customFormat="true" ht="15" hidden="false" customHeight="false" outlineLevel="0" collapsed="false">
      <c r="A342" s="327" t="s">
        <v>601</v>
      </c>
      <c r="B342" s="328" t="s">
        <v>3103</v>
      </c>
      <c r="C342" s="472" t="e">
        <f aca="false">мат.затр!g3046</f>
        <v>#NAME?</v>
      </c>
      <c r="D342" s="472" t="n">
        <f aca="false">тарифик!J343</f>
        <v>2008.03212851406</v>
      </c>
      <c r="E342" s="472"/>
      <c r="F342" s="473" t="n">
        <f aca="false">D342*0.9*0.095+D342*3%</f>
        <v>231.927710843374</v>
      </c>
      <c r="G342" s="472" t="n">
        <f aca="false">амортизация!M841</f>
        <v>524.681131935148</v>
      </c>
      <c r="H342" s="473" t="e">
        <f aca="false">C342+D342+F342+G342</f>
        <v>#NAME?</v>
      </c>
      <c r="I342" s="462" t="n">
        <f aca="false">I$190</f>
        <v>0.240474587202079</v>
      </c>
      <c r="J342" s="473" t="n">
        <f aca="false">D342*I342</f>
        <v>482.88069719293</v>
      </c>
      <c r="K342" s="473" t="e">
        <f aca="false">H342+J342</f>
        <v>#NAME?</v>
      </c>
      <c r="L342" s="462" t="n">
        <v>0.2</v>
      </c>
      <c r="M342" s="473" t="e">
        <f aca="false">K342*L342</f>
        <v>#NAME?</v>
      </c>
      <c r="N342" s="473" t="e">
        <f aca="false">K342+M342</f>
        <v>#NAME?</v>
      </c>
      <c r="O342" s="473" t="e">
        <f aca="false">M342</f>
        <v>#NAME?</v>
      </c>
    </row>
    <row r="343" s="461" customFormat="true" ht="15" hidden="false" customHeight="false" outlineLevel="0" collapsed="false">
      <c r="A343" s="327" t="s">
        <v>602</v>
      </c>
      <c r="B343" s="328" t="s">
        <v>3102</v>
      </c>
      <c r="C343" s="472" t="e">
        <f aca="false">мат.затр!g3058</f>
        <v>#NAME?</v>
      </c>
      <c r="D343" s="472" t="n">
        <f aca="false">тарифик!J344</f>
        <v>2008.03212851406</v>
      </c>
      <c r="E343" s="472"/>
      <c r="F343" s="473" t="n">
        <f aca="false">D343*0.9*0.095+D343*3%</f>
        <v>231.927710843374</v>
      </c>
      <c r="G343" s="472" t="n">
        <f aca="false">амортизация!M847</f>
        <v>524.681131935148</v>
      </c>
      <c r="H343" s="473" t="e">
        <f aca="false">C343+D343+F343+G343</f>
        <v>#NAME?</v>
      </c>
      <c r="I343" s="462" t="n">
        <f aca="false">I$190</f>
        <v>0.240474587202079</v>
      </c>
      <c r="J343" s="473" t="n">
        <f aca="false">D343*I343</f>
        <v>482.88069719293</v>
      </c>
      <c r="K343" s="473" t="e">
        <f aca="false">H343+J343</f>
        <v>#NAME?</v>
      </c>
      <c r="L343" s="462" t="n">
        <v>0.2</v>
      </c>
      <c r="M343" s="473" t="e">
        <f aca="false">K343*L343</f>
        <v>#NAME?</v>
      </c>
      <c r="N343" s="473" t="e">
        <f aca="false">K343+M343</f>
        <v>#NAME?</v>
      </c>
      <c r="O343" s="473" t="e">
        <f aca="false">M343</f>
        <v>#NAME?</v>
      </c>
    </row>
    <row r="344" s="461" customFormat="true" ht="15" hidden="false" customHeight="false" outlineLevel="0" collapsed="false">
      <c r="A344" s="327" t="s">
        <v>603</v>
      </c>
      <c r="B344" s="328" t="s">
        <v>3129</v>
      </c>
      <c r="C344" s="472" t="e">
        <f aca="false">мат.затр!g3072</f>
        <v>#NAME?</v>
      </c>
      <c r="D344" s="472" t="n">
        <f aca="false">тарифик!J345</f>
        <v>937.081659973226</v>
      </c>
      <c r="E344" s="472"/>
      <c r="F344" s="473" t="n">
        <f aca="false">D344*0.9*0.095+D344*3%</f>
        <v>108.232931726908</v>
      </c>
      <c r="G344" s="472" t="n">
        <f aca="false">амортизация!M855</f>
        <v>587.954252193961</v>
      </c>
      <c r="H344" s="473" t="e">
        <f aca="false">C344+D344+F344+G344</f>
        <v>#NAME?</v>
      </c>
      <c r="I344" s="462" t="n">
        <f aca="false">I$190</f>
        <v>0.240474587202079</v>
      </c>
      <c r="J344" s="473" t="n">
        <f aca="false">D344*I344</f>
        <v>225.344325356701</v>
      </c>
      <c r="K344" s="473" t="e">
        <f aca="false">H344+J344</f>
        <v>#NAME?</v>
      </c>
      <c r="L344" s="462" t="n">
        <v>0.2</v>
      </c>
      <c r="M344" s="473" t="e">
        <f aca="false">K344*L344</f>
        <v>#NAME?</v>
      </c>
      <c r="N344" s="473" t="e">
        <f aca="false">K344+M344</f>
        <v>#NAME?</v>
      </c>
      <c r="O344" s="473" t="e">
        <f aca="false">M344</f>
        <v>#NAME?</v>
      </c>
    </row>
    <row r="345" s="461" customFormat="true" ht="15" hidden="false" customHeight="false" outlineLevel="0" collapsed="false">
      <c r="A345" s="327" t="s">
        <v>604</v>
      </c>
      <c r="B345" s="328" t="s">
        <v>3105</v>
      </c>
      <c r="C345" s="472" t="e">
        <f aca="false">мат.затр!g3084</f>
        <v>#NAME?</v>
      </c>
      <c r="D345" s="472" t="n">
        <f aca="false">тарифик!J346</f>
        <v>2275.76974564926</v>
      </c>
      <c r="E345" s="472"/>
      <c r="F345" s="473" t="n">
        <f aca="false">D345*0.9*0.095+D345*3%</f>
        <v>262.85140562249</v>
      </c>
      <c r="G345" s="472" t="n">
        <f aca="false">амортизация!M860</f>
        <v>646.055100029749</v>
      </c>
      <c r="H345" s="473" t="e">
        <f aca="false">C345+D345+F345+G345</f>
        <v>#NAME?</v>
      </c>
      <c r="I345" s="462" t="n">
        <f aca="false">I$190</f>
        <v>0.240474587202079</v>
      </c>
      <c r="J345" s="473" t="n">
        <f aca="false">D345*I345</f>
        <v>547.264790151987</v>
      </c>
      <c r="K345" s="473" t="e">
        <f aca="false">H345+J345</f>
        <v>#NAME?</v>
      </c>
      <c r="L345" s="462" t="n">
        <v>0.2</v>
      </c>
      <c r="M345" s="473" t="e">
        <f aca="false">K345*L345</f>
        <v>#NAME?</v>
      </c>
      <c r="N345" s="473" t="e">
        <f aca="false">K345+M345</f>
        <v>#NAME?</v>
      </c>
      <c r="O345" s="473" t="e">
        <f aca="false">M345</f>
        <v>#NAME?</v>
      </c>
    </row>
    <row r="346" s="461" customFormat="true" ht="15" hidden="false" customHeight="false" outlineLevel="0" collapsed="false">
      <c r="A346" s="327" t="s">
        <v>605</v>
      </c>
      <c r="B346" s="328" t="s">
        <v>3130</v>
      </c>
      <c r="C346" s="472" t="e">
        <f aca="false">мат.затр!g3102</f>
        <v>#NAME?</v>
      </c>
      <c r="D346" s="472" t="n">
        <f aca="false">тарифик!J347</f>
        <v>970.548862115127</v>
      </c>
      <c r="E346" s="472"/>
      <c r="F346" s="473" t="n">
        <f aca="false">D346*0.9*0.095+D346*3%</f>
        <v>112.098393574297</v>
      </c>
      <c r="G346" s="472" t="n">
        <f aca="false">амортизация!M864</f>
        <v>15.5436561059051</v>
      </c>
      <c r="H346" s="473" t="e">
        <f aca="false">C346+D346+F346+G346</f>
        <v>#NAME?</v>
      </c>
      <c r="I346" s="462" t="n">
        <f aca="false">I$190</f>
        <v>0.240474587202079</v>
      </c>
      <c r="J346" s="473" t="n">
        <f aca="false">D346*I346</f>
        <v>233.392336976583</v>
      </c>
      <c r="K346" s="473" t="e">
        <f aca="false">H346+J346</f>
        <v>#NAME?</v>
      </c>
      <c r="L346" s="462" t="n">
        <v>0.2</v>
      </c>
      <c r="M346" s="473" t="e">
        <f aca="false">K346*L346</f>
        <v>#NAME?</v>
      </c>
      <c r="N346" s="473" t="e">
        <f aca="false">K346+M346</f>
        <v>#NAME?</v>
      </c>
      <c r="O346" s="473" t="e">
        <f aca="false">M346</f>
        <v>#NAME?</v>
      </c>
    </row>
    <row r="347" s="461" customFormat="true" ht="15" hidden="false" customHeight="false" outlineLevel="0" collapsed="false">
      <c r="A347" s="327" t="s">
        <v>607</v>
      </c>
      <c r="B347" s="328" t="s">
        <v>3107</v>
      </c>
      <c r="C347" s="472" t="e">
        <f aca="false">мат.затр!g3113</f>
        <v>#NAME?</v>
      </c>
      <c r="D347" s="472" t="n">
        <f aca="false">тарифик!J348</f>
        <v>736.278447121821</v>
      </c>
      <c r="E347" s="472"/>
      <c r="F347" s="473" t="n">
        <f aca="false">D347*0.9*0.095+D347*3%</f>
        <v>85.0401606425703</v>
      </c>
      <c r="G347" s="472" t="n">
        <f aca="false">амортизация!M867</f>
        <v>7.08853934255541</v>
      </c>
      <c r="H347" s="473" t="e">
        <f aca="false">C347+D347+F347+G347</f>
        <v>#NAME?</v>
      </c>
      <c r="I347" s="462" t="n">
        <f aca="false">I$190</f>
        <v>0.240474587202079</v>
      </c>
      <c r="J347" s="473" t="n">
        <f aca="false">D347*I347</f>
        <v>177.056255637408</v>
      </c>
      <c r="K347" s="473" t="e">
        <f aca="false">H347+J347</f>
        <v>#NAME?</v>
      </c>
      <c r="L347" s="462" t="n">
        <v>0.2</v>
      </c>
      <c r="M347" s="473" t="e">
        <f aca="false">K347*L347</f>
        <v>#NAME?</v>
      </c>
      <c r="N347" s="473" t="e">
        <f aca="false">K347+M347</f>
        <v>#NAME?</v>
      </c>
      <c r="O347" s="473" t="e">
        <f aca="false">M347</f>
        <v>#NAME?</v>
      </c>
    </row>
    <row r="348" s="461" customFormat="true" ht="15" hidden="false" customHeight="false" outlineLevel="0" collapsed="false">
      <c r="A348" s="327" t="s">
        <v>608</v>
      </c>
      <c r="B348" s="433" t="s">
        <v>3131</v>
      </c>
      <c r="C348" s="472" t="e">
        <f aca="false">мат.затр!g3121</f>
        <v>#NAME?</v>
      </c>
      <c r="D348" s="472" t="n">
        <f aca="false">тарифик!J349</f>
        <v>1271.75368139224</v>
      </c>
      <c r="E348" s="472"/>
      <c r="F348" s="473" t="n">
        <f aca="false">D348*0.9*0.095+D348*3%</f>
        <v>146.887550200803</v>
      </c>
      <c r="G348" s="472" t="n">
        <f aca="false">амортизация!M871</f>
        <v>953.058530417968</v>
      </c>
      <c r="H348" s="473" t="e">
        <f aca="false">C348+D348+F348+G348</f>
        <v>#NAME?</v>
      </c>
      <c r="I348" s="462" t="n">
        <f aca="false">I$190</f>
        <v>0.240474587202079</v>
      </c>
      <c r="J348" s="473" t="n">
        <f aca="false">D348*I348</f>
        <v>305.824441555522</v>
      </c>
      <c r="K348" s="473" t="e">
        <f aca="false">H348+J348</f>
        <v>#NAME?</v>
      </c>
      <c r="L348" s="462" t="n">
        <v>0.2</v>
      </c>
      <c r="M348" s="473" t="e">
        <f aca="false">K348*L348</f>
        <v>#NAME?</v>
      </c>
      <c r="N348" s="473" t="e">
        <f aca="false">K348+M348</f>
        <v>#NAME?</v>
      </c>
      <c r="O348" s="473" t="e">
        <f aca="false">M348</f>
        <v>#NAME?</v>
      </c>
    </row>
    <row r="349" s="461" customFormat="true" ht="15" hidden="false" customHeight="false" outlineLevel="0" collapsed="false">
      <c r="A349" s="327" t="s">
        <v>610</v>
      </c>
      <c r="B349" s="433" t="s">
        <v>3132</v>
      </c>
      <c r="C349" s="472" t="e">
        <f aca="false">мат.затр!g3122</f>
        <v>#NAME?</v>
      </c>
      <c r="D349" s="472" t="n">
        <f aca="false">тарифик!J350</f>
        <v>1004.01606425703</v>
      </c>
      <c r="E349" s="472"/>
      <c r="F349" s="473" t="n">
        <f aca="false">D349*0.9*0.095+D349*3%</f>
        <v>115.963855421687</v>
      </c>
      <c r="G349" s="472" t="n">
        <f aca="false">амортизация!M872</f>
        <v>4.56455451435371</v>
      </c>
      <c r="H349" s="473" t="e">
        <f aca="false">C349+D349+F349+G349</f>
        <v>#NAME?</v>
      </c>
      <c r="I349" s="462" t="n">
        <f aca="false">I$190</f>
        <v>0.240474587202079</v>
      </c>
      <c r="J349" s="473" t="n">
        <f aca="false">D349*I349</f>
        <v>241.440348596465</v>
      </c>
      <c r="K349" s="473" t="e">
        <f aca="false">H349+J349</f>
        <v>#NAME?</v>
      </c>
      <c r="L349" s="462" t="n">
        <v>0.2</v>
      </c>
      <c r="M349" s="473" t="e">
        <f aca="false">K349*L349</f>
        <v>#NAME?</v>
      </c>
      <c r="N349" s="473" t="e">
        <f aca="false">K349+M349</f>
        <v>#NAME?</v>
      </c>
      <c r="O349" s="473" t="e">
        <f aca="false">M349</f>
        <v>#NAME?</v>
      </c>
    </row>
    <row r="350" s="461" customFormat="true" ht="15" hidden="false" customHeight="false" outlineLevel="0" collapsed="false">
      <c r="A350" s="350" t="s">
        <v>612</v>
      </c>
      <c r="B350" s="467" t="s">
        <v>3133</v>
      </c>
      <c r="C350" s="468"/>
      <c r="D350" s="468"/>
      <c r="E350" s="468"/>
      <c r="F350" s="474"/>
      <c r="G350" s="468"/>
      <c r="H350" s="474"/>
      <c r="I350" s="475"/>
      <c r="J350" s="474"/>
      <c r="K350" s="474"/>
      <c r="L350" s="475"/>
      <c r="M350" s="474"/>
      <c r="N350" s="474"/>
      <c r="O350" s="474"/>
    </row>
    <row r="351" s="461" customFormat="true" ht="15" hidden="false" customHeight="false" outlineLevel="0" collapsed="false">
      <c r="A351" s="327" t="s">
        <v>614</v>
      </c>
      <c r="B351" s="488" t="s">
        <v>3084</v>
      </c>
      <c r="C351" s="472" t="e">
        <f aca="false">мат.затр!g3127</f>
        <v>#NAME?</v>
      </c>
      <c r="D351" s="472" t="n">
        <f aca="false">тарифик!J352</f>
        <v>1204.81927710843</v>
      </c>
      <c r="E351" s="472"/>
      <c r="F351" s="473" t="n">
        <f aca="false">D351*0.9*0.095+D351*3%</f>
        <v>139.156626506024</v>
      </c>
      <c r="G351" s="472" t="n">
        <f aca="false">амортизация!M876</f>
        <v>6.14197530864198</v>
      </c>
      <c r="H351" s="473" t="e">
        <f aca="false">C351+D351+F351+G351</f>
        <v>#NAME?</v>
      </c>
      <c r="I351" s="462" t="n">
        <f aca="false">I$190</f>
        <v>0.240474587202079</v>
      </c>
      <c r="J351" s="473" t="n">
        <f aca="false">D351*I351</f>
        <v>289.728418315758</v>
      </c>
      <c r="K351" s="473" t="e">
        <f aca="false">H351+J351</f>
        <v>#NAME?</v>
      </c>
      <c r="L351" s="462" t="n">
        <v>0.2</v>
      </c>
      <c r="M351" s="473" t="e">
        <f aca="false">K351*L351</f>
        <v>#NAME?</v>
      </c>
      <c r="N351" s="473" t="e">
        <f aca="false">K351+M351</f>
        <v>#NAME?</v>
      </c>
      <c r="O351" s="473" t="e">
        <f aca="false">M351</f>
        <v>#NAME?</v>
      </c>
    </row>
    <row r="352" s="461" customFormat="true" ht="15" hidden="false" customHeight="false" outlineLevel="0" collapsed="false">
      <c r="A352" s="327" t="s">
        <v>615</v>
      </c>
      <c r="B352" s="488" t="s">
        <v>3085</v>
      </c>
      <c r="C352" s="472" t="e">
        <f aca="false">мат.затр!g3131</f>
        <v>#NAME?</v>
      </c>
      <c r="D352" s="472" t="n">
        <f aca="false">тарифик!J353</f>
        <v>1840.69611780455</v>
      </c>
      <c r="E352" s="472"/>
      <c r="F352" s="473" t="n">
        <f aca="false">D352*0.9*0.095+D352*3%</f>
        <v>212.600401606426</v>
      </c>
      <c r="G352" s="472" t="n">
        <f aca="false">амортизация!M879</f>
        <v>6.14197530864198</v>
      </c>
      <c r="H352" s="473" t="e">
        <f aca="false">C352+D352+F352+G352</f>
        <v>#NAME?</v>
      </c>
      <c r="I352" s="462" t="n">
        <f aca="false">I$190</f>
        <v>0.240474587202079</v>
      </c>
      <c r="J352" s="473" t="n">
        <f aca="false">D352*I352</f>
        <v>442.640639093519</v>
      </c>
      <c r="K352" s="473" t="e">
        <f aca="false">H352+J352</f>
        <v>#NAME?</v>
      </c>
      <c r="L352" s="462" t="n">
        <v>0.2</v>
      </c>
      <c r="M352" s="473" t="e">
        <f aca="false">K352*L352</f>
        <v>#NAME?</v>
      </c>
      <c r="N352" s="473" t="e">
        <f aca="false">K352+M352</f>
        <v>#NAME?</v>
      </c>
      <c r="O352" s="473" t="e">
        <f aca="false">M352</f>
        <v>#NAME?</v>
      </c>
    </row>
    <row r="353" s="461" customFormat="true" ht="32.25" hidden="false" customHeight="true" outlineLevel="0" collapsed="false">
      <c r="A353" s="327" t="s">
        <v>616</v>
      </c>
      <c r="B353" s="488" t="s">
        <v>3134</v>
      </c>
      <c r="C353" s="472" t="e">
        <f aca="false">мат.затр!g3134</f>
        <v>#NAME?</v>
      </c>
      <c r="D353" s="472" t="n">
        <f aca="false">тарифик!J354</f>
        <v>502.008032128514</v>
      </c>
      <c r="E353" s="472"/>
      <c r="F353" s="473" t="n">
        <f aca="false">D353*0.9*0.095+D353*3%</f>
        <v>57.9819277108434</v>
      </c>
      <c r="G353" s="472" t="n">
        <f aca="false">амортизация!M880</f>
        <v>0.843001636174327</v>
      </c>
      <c r="H353" s="473" t="e">
        <f aca="false">C353+D353+F353+G353</f>
        <v>#NAME?</v>
      </c>
      <c r="I353" s="462" t="n">
        <f aca="false">I$190</f>
        <v>0.240474587202079</v>
      </c>
      <c r="J353" s="473" t="n">
        <f aca="false">D353*I353</f>
        <v>120.720174298232</v>
      </c>
      <c r="K353" s="473" t="e">
        <f aca="false">H353+J353</f>
        <v>#NAME?</v>
      </c>
      <c r="L353" s="462" t="n">
        <v>0.2</v>
      </c>
      <c r="M353" s="473" t="e">
        <f aca="false">K353*L353</f>
        <v>#NAME?</v>
      </c>
      <c r="N353" s="473" t="e">
        <f aca="false">K353+M353</f>
        <v>#NAME?</v>
      </c>
      <c r="O353" s="473" t="e">
        <f aca="false">M353</f>
        <v>#NAME?</v>
      </c>
    </row>
    <row r="354" s="461" customFormat="true" ht="15" hidden="false" customHeight="false" outlineLevel="0" collapsed="false">
      <c r="A354" s="327" t="s">
        <v>618</v>
      </c>
      <c r="B354" s="488" t="s">
        <v>3135</v>
      </c>
      <c r="C354" s="472" t="e">
        <f aca="false">мат.затр!g3143</f>
        <v>#NAME?</v>
      </c>
      <c r="D354" s="472" t="n">
        <f aca="false">тарифик!J355</f>
        <v>418.340026773762</v>
      </c>
      <c r="E354" s="472"/>
      <c r="F354" s="473" t="n">
        <f aca="false">D354*0.9*0.095+D354*3%</f>
        <v>48.3182730923695</v>
      </c>
      <c r="G354" s="472" t="n">
        <f aca="false">амортизация!M883</f>
        <v>8.19142309980663</v>
      </c>
      <c r="H354" s="473" t="e">
        <f aca="false">C354+D354+F354+G354</f>
        <v>#NAME?</v>
      </c>
      <c r="I354" s="462" t="n">
        <f aca="false">I$190</f>
        <v>0.240474587202079</v>
      </c>
      <c r="J354" s="473" t="n">
        <f aca="false">D354*I354</f>
        <v>100.600145248527</v>
      </c>
      <c r="K354" s="473" t="e">
        <f aca="false">H354+J354</f>
        <v>#NAME?</v>
      </c>
      <c r="L354" s="462" t="n">
        <v>0.2</v>
      </c>
      <c r="M354" s="473" t="e">
        <f aca="false">K354*L354</f>
        <v>#NAME?</v>
      </c>
      <c r="N354" s="473" t="e">
        <f aca="false">K354+M354</f>
        <v>#NAME?</v>
      </c>
      <c r="O354" s="473" t="e">
        <f aca="false">M354</f>
        <v>#NAME?</v>
      </c>
    </row>
    <row r="355" s="461" customFormat="true" ht="15" hidden="false" customHeight="false" outlineLevel="0" collapsed="false">
      <c r="A355" s="327" t="s">
        <v>620</v>
      </c>
      <c r="B355" s="488" t="s">
        <v>3136</v>
      </c>
      <c r="C355" s="472" t="e">
        <f aca="false">мат.затр!g3151</f>
        <v>#NAME?</v>
      </c>
      <c r="D355" s="472" t="n">
        <f aca="false">тарифик!J356</f>
        <v>334.672021419009</v>
      </c>
      <c r="E355" s="472"/>
      <c r="F355" s="473" t="n">
        <f aca="false">D355*0.9*0.095+D355*3%</f>
        <v>38.6546184738956</v>
      </c>
      <c r="G355" s="472" t="n">
        <f aca="false">амортизация!M884</f>
        <v>0.843001636174327</v>
      </c>
      <c r="H355" s="473" t="e">
        <f aca="false">C355+D355+F355+G355</f>
        <v>#NAME?</v>
      </c>
      <c r="I355" s="462" t="n">
        <f aca="false">I$190</f>
        <v>0.240474587202079</v>
      </c>
      <c r="J355" s="473" t="n">
        <f aca="false">D355*I355</f>
        <v>80.4801161988216</v>
      </c>
      <c r="K355" s="473" t="e">
        <f aca="false">H355+J355</f>
        <v>#NAME?</v>
      </c>
      <c r="L355" s="462" t="n">
        <v>0.2</v>
      </c>
      <c r="M355" s="473" t="e">
        <f aca="false">K355*L355</f>
        <v>#NAME?</v>
      </c>
      <c r="N355" s="473" t="e">
        <f aca="false">K355+M355</f>
        <v>#NAME?</v>
      </c>
      <c r="O355" s="473" t="e">
        <f aca="false">M355</f>
        <v>#NAME?</v>
      </c>
    </row>
    <row r="356" s="461" customFormat="true" ht="15" hidden="false" customHeight="false" outlineLevel="0" collapsed="false">
      <c r="A356" s="327" t="s">
        <v>622</v>
      </c>
      <c r="B356" s="488" t="s">
        <v>3137</v>
      </c>
      <c r="C356" s="472" t="e">
        <f aca="false">мат.затр!g3158</f>
        <v>#NAME?</v>
      </c>
      <c r="D356" s="472" t="n">
        <f aca="false">тарифик!J357</f>
        <v>167.336010709505</v>
      </c>
      <c r="E356" s="472"/>
      <c r="F356" s="473" t="n">
        <f aca="false">D356*0.9*0.095+D356*3%</f>
        <v>19.3273092369478</v>
      </c>
      <c r="G356" s="472" t="n">
        <f aca="false">амортизация!M885</f>
        <v>0.843001636174327</v>
      </c>
      <c r="H356" s="473" t="e">
        <f aca="false">C356+D356+F356+G356</f>
        <v>#NAME?</v>
      </c>
      <c r="I356" s="462" t="n">
        <f aca="false">I$190</f>
        <v>0.240474587202079</v>
      </c>
      <c r="J356" s="473" t="n">
        <f aca="false">D356*I356</f>
        <v>40.2400580994108</v>
      </c>
      <c r="K356" s="473" t="e">
        <f aca="false">H356+J356</f>
        <v>#NAME?</v>
      </c>
      <c r="L356" s="462" t="n">
        <v>0.2</v>
      </c>
      <c r="M356" s="473" t="e">
        <f aca="false">K356*L356</f>
        <v>#NAME?</v>
      </c>
      <c r="N356" s="473" t="e">
        <f aca="false">K356+M356</f>
        <v>#NAME?</v>
      </c>
      <c r="O356" s="473" t="e">
        <f aca="false">M356</f>
        <v>#NAME?</v>
      </c>
    </row>
    <row r="357" s="461" customFormat="true" ht="15" hidden="false" customHeight="false" outlineLevel="0" collapsed="false">
      <c r="A357" s="327" t="s">
        <v>624</v>
      </c>
      <c r="B357" s="488" t="s">
        <v>3138</v>
      </c>
      <c r="C357" s="472" t="e">
        <f aca="false">мат.затр!g3166</f>
        <v>#NAME?</v>
      </c>
      <c r="D357" s="472" t="n">
        <f aca="false">тарифик!J358</f>
        <v>616.354306113342</v>
      </c>
      <c r="E357" s="472"/>
      <c r="F357" s="473" t="n">
        <f aca="false">D357*0.9*0.095+D357*3%</f>
        <v>71.188922356091</v>
      </c>
      <c r="G357" s="472" t="n">
        <f aca="false">амортизация!M886</f>
        <v>0.843001636174327</v>
      </c>
      <c r="H357" s="473" t="e">
        <f aca="false">C357+D357+F357+G357</f>
        <v>#NAME?</v>
      </c>
      <c r="I357" s="462" t="n">
        <f aca="false">I$190</f>
        <v>0.240474587202079</v>
      </c>
      <c r="J357" s="473" t="n">
        <f aca="false">D357*I357</f>
        <v>148.21754733283</v>
      </c>
      <c r="K357" s="473" t="e">
        <f aca="false">H357+J357</f>
        <v>#NAME?</v>
      </c>
      <c r="L357" s="462" t="n">
        <v>0.2</v>
      </c>
      <c r="M357" s="473" t="e">
        <f aca="false">K357*L357</f>
        <v>#NAME?</v>
      </c>
      <c r="N357" s="473" t="e">
        <f aca="false">K357+M357</f>
        <v>#NAME?</v>
      </c>
      <c r="O357" s="473" t="e">
        <f aca="false">M357</f>
        <v>#NAME?</v>
      </c>
    </row>
    <row r="358" s="461" customFormat="true" ht="15" hidden="false" customHeight="false" outlineLevel="0" collapsed="false">
      <c r="A358" s="327" t="s">
        <v>626</v>
      </c>
      <c r="B358" s="488" t="s">
        <v>3103</v>
      </c>
      <c r="C358" s="472" t="e">
        <f aca="false">мат.затр!g3178</f>
        <v>#NAME?</v>
      </c>
      <c r="D358" s="472" t="n">
        <f aca="false">тарифик!J359</f>
        <v>3363.45381526104</v>
      </c>
      <c r="E358" s="472"/>
      <c r="F358" s="473" t="n">
        <f aca="false">D358*0.9*0.095+D358*3%</f>
        <v>388.478915662651</v>
      </c>
      <c r="G358" s="472" t="n">
        <f aca="false">амортизация!M891</f>
        <v>1106.97438829392</v>
      </c>
      <c r="H358" s="473" t="e">
        <f aca="false">C358+D358+F358+G358</f>
        <v>#NAME?</v>
      </c>
      <c r="I358" s="462" t="n">
        <f aca="false">I$190</f>
        <v>0.240474587202079</v>
      </c>
      <c r="J358" s="473" t="n">
        <f aca="false">D358*I358</f>
        <v>808.825167798157</v>
      </c>
      <c r="K358" s="473" t="e">
        <f aca="false">H358+J358</f>
        <v>#NAME?</v>
      </c>
      <c r="L358" s="462" t="n">
        <v>0.2</v>
      </c>
      <c r="M358" s="473" t="e">
        <f aca="false">K358*L358</f>
        <v>#NAME?</v>
      </c>
      <c r="N358" s="473" t="e">
        <f aca="false">K358+M358</f>
        <v>#NAME?</v>
      </c>
      <c r="O358" s="473" t="e">
        <f aca="false">M358</f>
        <v>#NAME?</v>
      </c>
    </row>
    <row r="359" s="461" customFormat="true" ht="15" hidden="false" customHeight="false" outlineLevel="0" collapsed="false">
      <c r="A359" s="327" t="s">
        <v>627</v>
      </c>
      <c r="B359" s="488" t="s">
        <v>3102</v>
      </c>
      <c r="C359" s="472" t="e">
        <f aca="false">мат.затр!g3190</f>
        <v>#NAME?</v>
      </c>
      <c r="D359" s="472" t="n">
        <f aca="false">тарифик!J360</f>
        <v>3363.45381526104</v>
      </c>
      <c r="E359" s="472"/>
      <c r="F359" s="473" t="n">
        <f aca="false">D359*0.9*0.095+D359*3%</f>
        <v>388.478915662651</v>
      </c>
      <c r="G359" s="472" t="n">
        <f aca="false">амортизация!M896</f>
        <v>1106.97438829392</v>
      </c>
      <c r="H359" s="473" t="e">
        <f aca="false">C359+D359+F359+G359</f>
        <v>#NAME?</v>
      </c>
      <c r="I359" s="462" t="n">
        <f aca="false">I$190</f>
        <v>0.240474587202079</v>
      </c>
      <c r="J359" s="473" t="n">
        <f aca="false">D359*I359</f>
        <v>808.825167798157</v>
      </c>
      <c r="K359" s="473" t="e">
        <f aca="false">H359+J359</f>
        <v>#NAME?</v>
      </c>
      <c r="L359" s="462" t="n">
        <v>0.2</v>
      </c>
      <c r="M359" s="473" t="e">
        <f aca="false">K359*L359</f>
        <v>#NAME?</v>
      </c>
      <c r="N359" s="473" t="e">
        <f aca="false">K359+M359</f>
        <v>#NAME?</v>
      </c>
      <c r="O359" s="473" t="e">
        <f aca="false">M359</f>
        <v>#NAME?</v>
      </c>
    </row>
    <row r="360" s="461" customFormat="true" ht="15" hidden="false" customHeight="false" outlineLevel="0" collapsed="false">
      <c r="A360" s="327" t="s">
        <v>628</v>
      </c>
      <c r="B360" s="488" t="s">
        <v>3129</v>
      </c>
      <c r="C360" s="472" t="e">
        <f aca="false">мат.затр!g3203</f>
        <v>#NAME?</v>
      </c>
      <c r="D360" s="472" t="n">
        <f aca="false">тарифик!J361</f>
        <v>870.147255689424</v>
      </c>
      <c r="E360" s="472"/>
      <c r="F360" s="473" t="n">
        <f aca="false">D360*0.9*0.095+D360*3%</f>
        <v>100.502008032129</v>
      </c>
      <c r="G360" s="472" t="n">
        <f aca="false">амортизация!M903</f>
        <v>934.029506916555</v>
      </c>
      <c r="H360" s="473" t="e">
        <f aca="false">C360+D360+F360+G360</f>
        <v>#NAME?</v>
      </c>
      <c r="I360" s="462" t="n">
        <f aca="false">I$190</f>
        <v>0.240474587202079</v>
      </c>
      <c r="J360" s="473" t="n">
        <f aca="false">D360*I360</f>
        <v>209.248302116936</v>
      </c>
      <c r="K360" s="473" t="e">
        <f aca="false">H360+J360</f>
        <v>#NAME?</v>
      </c>
      <c r="L360" s="462" t="n">
        <v>0.2</v>
      </c>
      <c r="M360" s="473" t="e">
        <f aca="false">K360*L360</f>
        <v>#NAME?</v>
      </c>
      <c r="N360" s="473" t="e">
        <f aca="false">K360+M360</f>
        <v>#NAME?</v>
      </c>
      <c r="O360" s="473" t="e">
        <f aca="false">M360</f>
        <v>#NAME?</v>
      </c>
    </row>
    <row r="361" s="461" customFormat="true" ht="15" hidden="false" customHeight="false" outlineLevel="0" collapsed="false">
      <c r="A361" s="327" t="s">
        <v>629</v>
      </c>
      <c r="B361" s="488" t="s">
        <v>3139</v>
      </c>
      <c r="C361" s="472" t="e">
        <f aca="false">мат.затр!g3204</f>
        <v>#NAME?</v>
      </c>
      <c r="D361" s="472" t="n">
        <f aca="false">тарифик!J362</f>
        <v>460.174029451138</v>
      </c>
      <c r="E361" s="472"/>
      <c r="F361" s="473" t="n">
        <f aca="false">D361*0.9*0.095+D361*3%</f>
        <v>53.1501004016064</v>
      </c>
      <c r="G361" s="472" t="n">
        <f aca="false">амортизация!M904</f>
        <v>0</v>
      </c>
      <c r="H361" s="473" t="e">
        <f aca="false">C361+D361+F361+G361</f>
        <v>#NAME?</v>
      </c>
      <c r="I361" s="462" t="n">
        <f aca="false">I$190</f>
        <v>0.240474587202079</v>
      </c>
      <c r="J361" s="473" t="n">
        <f aca="false">D361*I361</f>
        <v>110.66015977338</v>
      </c>
      <c r="K361" s="473" t="e">
        <f aca="false">H361+J361</f>
        <v>#NAME?</v>
      </c>
      <c r="L361" s="462" t="n">
        <v>0.2</v>
      </c>
      <c r="M361" s="473" t="e">
        <f aca="false">K361*L361</f>
        <v>#NAME?</v>
      </c>
      <c r="N361" s="473" t="e">
        <f aca="false">K361+M361</f>
        <v>#NAME?</v>
      </c>
      <c r="O361" s="473" t="e">
        <f aca="false">M361</f>
        <v>#NAME?</v>
      </c>
    </row>
    <row r="362" s="461" customFormat="true" ht="15" hidden="false" customHeight="false" outlineLevel="0" collapsed="false">
      <c r="A362" s="327" t="s">
        <v>631</v>
      </c>
      <c r="B362" s="488" t="s">
        <v>3140</v>
      </c>
      <c r="C362" s="472" t="e">
        <f aca="false">мат.затр!g3205</f>
        <v>#NAME?</v>
      </c>
      <c r="D362" s="472" t="n">
        <f aca="false">тарифик!J363</f>
        <v>920.348058902276</v>
      </c>
      <c r="E362" s="472"/>
      <c r="F362" s="473" t="n">
        <f aca="false">D362*0.9*0.095+D362*3%</f>
        <v>106.300200803213</v>
      </c>
      <c r="G362" s="472" t="n">
        <f aca="false">амортизация!M905</f>
        <v>0.843001636174327</v>
      </c>
      <c r="H362" s="473" t="e">
        <f aca="false">C362+D362+F362+G362</f>
        <v>#NAME?</v>
      </c>
      <c r="I362" s="462" t="n">
        <f aca="false">I$190</f>
        <v>0.240474587202079</v>
      </c>
      <c r="J362" s="473" t="n">
        <f aca="false">D362*I362</f>
        <v>221.320319546759</v>
      </c>
      <c r="K362" s="473" t="e">
        <f aca="false">H362+J362</f>
        <v>#NAME?</v>
      </c>
      <c r="L362" s="462" t="n">
        <v>0.2</v>
      </c>
      <c r="M362" s="473" t="e">
        <f aca="false">K362*L362</f>
        <v>#NAME?</v>
      </c>
      <c r="N362" s="473" t="e">
        <f aca="false">K362+M362</f>
        <v>#NAME?</v>
      </c>
      <c r="O362" s="473" t="e">
        <f aca="false">M362</f>
        <v>#NAME?</v>
      </c>
    </row>
    <row r="363" s="461" customFormat="true" ht="15" hidden="false" customHeight="false" outlineLevel="0" collapsed="false">
      <c r="A363" s="327" t="s">
        <v>633</v>
      </c>
      <c r="B363" s="488" t="s">
        <v>3141</v>
      </c>
      <c r="C363" s="472" t="e">
        <f aca="false">мат.затр!g3206</f>
        <v>#NAME?</v>
      </c>
      <c r="D363" s="472" t="n">
        <f aca="false">тарифик!J364</f>
        <v>920.348058902276</v>
      </c>
      <c r="E363" s="472"/>
      <c r="F363" s="473" t="n">
        <f aca="false">D363*0.9*0.095+D363*3%</f>
        <v>106.300200803213</v>
      </c>
      <c r="G363" s="472" t="n">
        <f aca="false">амортизация!M906</f>
        <v>0.843001636174327</v>
      </c>
      <c r="H363" s="473" t="e">
        <f aca="false">C363+D363+F363+G363</f>
        <v>#NAME?</v>
      </c>
      <c r="I363" s="462" t="n">
        <f aca="false">I$190</f>
        <v>0.240474587202079</v>
      </c>
      <c r="J363" s="473" t="n">
        <f aca="false">D363*I363</f>
        <v>221.320319546759</v>
      </c>
      <c r="K363" s="473" t="e">
        <f aca="false">H363+J363</f>
        <v>#NAME?</v>
      </c>
      <c r="L363" s="462" t="n">
        <v>0.2</v>
      </c>
      <c r="M363" s="473" t="e">
        <f aca="false">K363*L363</f>
        <v>#NAME?</v>
      </c>
      <c r="N363" s="473" t="e">
        <f aca="false">K363+M363</f>
        <v>#NAME?</v>
      </c>
      <c r="O363" s="473" t="e">
        <f aca="false">M363</f>
        <v>#NAME?</v>
      </c>
    </row>
    <row r="364" s="461" customFormat="true" ht="15" hidden="false" customHeight="false" outlineLevel="0" collapsed="false">
      <c r="A364" s="327" t="s">
        <v>635</v>
      </c>
      <c r="B364" s="488" t="s">
        <v>3142</v>
      </c>
      <c r="C364" s="472" t="e">
        <f aca="false">мат.затр!g3207</f>
        <v>#NAME?</v>
      </c>
      <c r="D364" s="472" t="n">
        <f aca="false">тарифик!J365</f>
        <v>920.348058902276</v>
      </c>
      <c r="E364" s="472"/>
      <c r="F364" s="473" t="n">
        <f aca="false">D364*0.9*0.095+D364*3%</f>
        <v>106.300200803213</v>
      </c>
      <c r="G364" s="472" t="n">
        <f aca="false">амортизация!M909</f>
        <v>9.20348058902276</v>
      </c>
      <c r="H364" s="473" t="e">
        <f aca="false">C364+D364+F364+G364</f>
        <v>#NAME?</v>
      </c>
      <c r="I364" s="462" t="n">
        <f aca="false">I$190</f>
        <v>0.240474587202079</v>
      </c>
      <c r="J364" s="473" t="n">
        <f aca="false">D364*I364</f>
        <v>221.320319546759</v>
      </c>
      <c r="K364" s="473" t="e">
        <f aca="false">H364+J364</f>
        <v>#NAME?</v>
      </c>
      <c r="L364" s="462" t="n">
        <v>0.2</v>
      </c>
      <c r="M364" s="473" t="e">
        <f aca="false">K364*L364</f>
        <v>#NAME?</v>
      </c>
      <c r="N364" s="473" t="e">
        <f aca="false">K364+M364</f>
        <v>#NAME?</v>
      </c>
      <c r="O364" s="473" t="e">
        <f aca="false">M364</f>
        <v>#NAME?</v>
      </c>
    </row>
    <row r="365" s="461" customFormat="true" ht="28.5" hidden="false" customHeight="false" outlineLevel="0" collapsed="false">
      <c r="A365" s="350" t="s">
        <v>637</v>
      </c>
      <c r="B365" s="467" t="s">
        <v>3143</v>
      </c>
      <c r="C365" s="468"/>
      <c r="D365" s="468"/>
      <c r="E365" s="468"/>
      <c r="F365" s="474"/>
      <c r="G365" s="468"/>
      <c r="H365" s="474"/>
      <c r="I365" s="475"/>
      <c r="J365" s="474"/>
      <c r="K365" s="474"/>
      <c r="L365" s="475"/>
      <c r="M365" s="474"/>
      <c r="N365" s="474"/>
      <c r="O365" s="474"/>
    </row>
    <row r="366" s="461" customFormat="true" ht="15" hidden="false" customHeight="false" outlineLevel="0" collapsed="false">
      <c r="A366" s="327" t="s">
        <v>639</v>
      </c>
      <c r="B366" s="328" t="s">
        <v>3010</v>
      </c>
      <c r="C366" s="472" t="e">
        <f aca="false">мат.затр!g3209</f>
        <v>#NAME?</v>
      </c>
      <c r="D366" s="472" t="n">
        <f aca="false">тарифик!J367</f>
        <v>602.409638554217</v>
      </c>
      <c r="E366" s="472"/>
      <c r="F366" s="473" t="n">
        <f aca="false">D366*0.9*0.095+D366*3%</f>
        <v>69.578313253012</v>
      </c>
      <c r="G366" s="472" t="n">
        <f aca="false">амортизация!M911</f>
        <v>7.53012048192771</v>
      </c>
      <c r="H366" s="473" t="e">
        <f aca="false">C366+D366+F366+G366</f>
        <v>#NAME?</v>
      </c>
      <c r="I366" s="462" t="n">
        <f aca="false">I$190</f>
        <v>0.240474587202079</v>
      </c>
      <c r="J366" s="473" t="n">
        <f aca="false">D366*I366</f>
        <v>144.864209157879</v>
      </c>
      <c r="K366" s="473" t="e">
        <f aca="false">H366+J366</f>
        <v>#NAME?</v>
      </c>
      <c r="L366" s="462" t="n">
        <v>0.2</v>
      </c>
      <c r="M366" s="473" t="e">
        <f aca="false">K366*L366</f>
        <v>#NAME?</v>
      </c>
      <c r="N366" s="473" t="e">
        <f aca="false">K366+M366</f>
        <v>#NAME?</v>
      </c>
      <c r="O366" s="473" t="e">
        <f aca="false">M366</f>
        <v>#NAME?</v>
      </c>
    </row>
    <row r="367" s="461" customFormat="true" ht="15" hidden="false" customHeight="false" outlineLevel="0" collapsed="false">
      <c r="A367" s="327" t="s">
        <v>640</v>
      </c>
      <c r="B367" s="328" t="s">
        <v>3084</v>
      </c>
      <c r="C367" s="472" t="e">
        <f aca="false">мат.затр!g3212</f>
        <v>#NAME?</v>
      </c>
      <c r="D367" s="472" t="n">
        <f aca="false">тарифик!J368</f>
        <v>1204.81927710843</v>
      </c>
      <c r="E367" s="472"/>
      <c r="F367" s="473" t="n">
        <f aca="false">D367*0.9*0.095+D367*3%</f>
        <v>139.156626506024</v>
      </c>
      <c r="G367" s="472" t="n">
        <f aca="false">амортизация!M915</f>
        <v>17.3936486687491</v>
      </c>
      <c r="H367" s="473" t="e">
        <f aca="false">C367+D367+F367+G367</f>
        <v>#NAME?</v>
      </c>
      <c r="I367" s="462" t="n">
        <f aca="false">I$190</f>
        <v>0.240474587202079</v>
      </c>
      <c r="J367" s="473" t="n">
        <f aca="false">D367*I367</f>
        <v>289.728418315758</v>
      </c>
      <c r="K367" s="473" t="e">
        <f aca="false">H367+J367</f>
        <v>#NAME?</v>
      </c>
      <c r="L367" s="462" t="n">
        <v>0.2</v>
      </c>
      <c r="M367" s="473" t="e">
        <f aca="false">K367*L367</f>
        <v>#NAME?</v>
      </c>
      <c r="N367" s="473" t="e">
        <f aca="false">K367+M367</f>
        <v>#NAME?</v>
      </c>
      <c r="O367" s="473" t="e">
        <f aca="false">M367</f>
        <v>#NAME?</v>
      </c>
    </row>
    <row r="368" s="461" customFormat="true" ht="15" hidden="false" customHeight="false" outlineLevel="0" collapsed="false">
      <c r="A368" s="327" t="s">
        <v>641</v>
      </c>
      <c r="B368" s="328" t="s">
        <v>3085</v>
      </c>
      <c r="C368" s="472" t="e">
        <f aca="false">мат.затр!g3216</f>
        <v>#NAME?</v>
      </c>
      <c r="D368" s="472" t="n">
        <f aca="false">тарифик!J369</f>
        <v>1472.55689424364</v>
      </c>
      <c r="E368" s="472"/>
      <c r="F368" s="473" t="n">
        <f aca="false">D368*0.9*0.095+D368*3%</f>
        <v>170.080321285141</v>
      </c>
      <c r="G368" s="472" t="n">
        <f aca="false">амортизация!M918</f>
        <v>9.86352818682136</v>
      </c>
      <c r="H368" s="473" t="e">
        <f aca="false">C368+D368+F368+G368</f>
        <v>#NAME?</v>
      </c>
      <c r="I368" s="462" t="n">
        <f aca="false">I$190</f>
        <v>0.240474587202079</v>
      </c>
      <c r="J368" s="473" t="n">
        <f aca="false">D368*I368</f>
        <v>354.112511274815</v>
      </c>
      <c r="K368" s="473" t="e">
        <f aca="false">H368+J368</f>
        <v>#NAME?</v>
      </c>
      <c r="L368" s="462" t="n">
        <v>0.2</v>
      </c>
      <c r="M368" s="473" t="e">
        <f aca="false">K368*L368</f>
        <v>#NAME?</v>
      </c>
      <c r="N368" s="473" t="e">
        <f aca="false">K368+M368</f>
        <v>#NAME?</v>
      </c>
      <c r="O368" s="473" t="e">
        <f aca="false">M368</f>
        <v>#NAME?</v>
      </c>
    </row>
    <row r="369" s="461" customFormat="true" ht="15" hidden="false" customHeight="false" outlineLevel="0" collapsed="false">
      <c r="A369" s="327" t="s">
        <v>642</v>
      </c>
      <c r="B369" s="328" t="s">
        <v>3144</v>
      </c>
      <c r="C369" s="472" t="e">
        <f aca="false">мат.затр!g3223</f>
        <v>#NAME?</v>
      </c>
      <c r="D369" s="472" t="n">
        <f aca="false">тарифик!J370</f>
        <v>362.56135653726</v>
      </c>
      <c r="E369" s="472"/>
      <c r="F369" s="473" t="n">
        <f aca="false">D369*0.9*0.095+D369*3%</f>
        <v>41.8758366800536</v>
      </c>
      <c r="G369" s="472" t="n">
        <f aca="false">амортизация!M919</f>
        <v>4.56455451435371</v>
      </c>
      <c r="H369" s="473" t="e">
        <f aca="false">C369+D369+F369+G369</f>
        <v>#NAME?</v>
      </c>
      <c r="I369" s="462" t="n">
        <f aca="false">I$190</f>
        <v>0.240474587202079</v>
      </c>
      <c r="J369" s="473" t="n">
        <f aca="false">D369*I369</f>
        <v>87.1867925487234</v>
      </c>
      <c r="K369" s="473" t="e">
        <f aca="false">H369+J369</f>
        <v>#NAME?</v>
      </c>
      <c r="L369" s="462" t="n">
        <v>0.2</v>
      </c>
      <c r="M369" s="473" t="e">
        <f aca="false">K369*L369</f>
        <v>#NAME?</v>
      </c>
      <c r="N369" s="473" t="e">
        <f aca="false">K369+M369</f>
        <v>#NAME?</v>
      </c>
      <c r="O369" s="473" t="e">
        <f aca="false">M369</f>
        <v>#NAME?</v>
      </c>
    </row>
    <row r="370" s="461" customFormat="true" ht="15" hidden="false" customHeight="false" outlineLevel="0" collapsed="false">
      <c r="A370" s="327" t="s">
        <v>644</v>
      </c>
      <c r="B370" s="328" t="s">
        <v>3058</v>
      </c>
      <c r="C370" s="472" t="e">
        <f aca="false">мат.затр!g3227</f>
        <v>#NAME?</v>
      </c>
      <c r="D370" s="472" t="n">
        <f aca="false">тарифик!J371</f>
        <v>1165.77420794288</v>
      </c>
      <c r="E370" s="472"/>
      <c r="F370" s="473" t="n">
        <f aca="false">D370*0.9*0.095+D370*3%</f>
        <v>134.646921017403</v>
      </c>
      <c r="G370" s="472" t="n">
        <f aca="false">амортизация!M922</f>
        <v>7.26517179830433</v>
      </c>
      <c r="H370" s="473" t="e">
        <f aca="false">C370+D370+F370+G370</f>
        <v>#NAME?</v>
      </c>
      <c r="I370" s="462" t="n">
        <f aca="false">I$190</f>
        <v>0.240474587202079</v>
      </c>
      <c r="J370" s="473" t="n">
        <f aca="false">D370*I370</f>
        <v>280.339071425895</v>
      </c>
      <c r="K370" s="473" t="e">
        <f aca="false">H370+J370</f>
        <v>#NAME?</v>
      </c>
      <c r="L370" s="462" t="n">
        <v>0.2</v>
      </c>
      <c r="M370" s="473" t="e">
        <f aca="false">K370*L370</f>
        <v>#NAME?</v>
      </c>
      <c r="N370" s="473" t="e">
        <f aca="false">K370+M370</f>
        <v>#NAME?</v>
      </c>
      <c r="O370" s="473" t="e">
        <f aca="false">M370</f>
        <v>#NAME?</v>
      </c>
    </row>
    <row r="371" s="461" customFormat="true" ht="15" hidden="false" customHeight="false" outlineLevel="0" collapsed="false">
      <c r="A371" s="327" t="s">
        <v>645</v>
      </c>
      <c r="B371" s="328" t="s">
        <v>3059</v>
      </c>
      <c r="C371" s="472" t="e">
        <f aca="false">мат.затр!g3235</f>
        <v>#NAME?</v>
      </c>
      <c r="D371" s="472" t="n">
        <f aca="false">тарифик!J372</f>
        <v>557.786702365016</v>
      </c>
      <c r="E371" s="472"/>
      <c r="F371" s="473" t="n">
        <f aca="false">D371*0.9*0.095+D371*3%</f>
        <v>64.4243641231593</v>
      </c>
      <c r="G371" s="472" t="n">
        <f aca="false">амортизация!M925</f>
        <v>6.39130596459914</v>
      </c>
      <c r="H371" s="473" t="e">
        <f aca="false">C371+D371+F371+G371</f>
        <v>#NAME?</v>
      </c>
      <c r="I371" s="462" t="n">
        <f aca="false">I$190</f>
        <v>0.240474587202079</v>
      </c>
      <c r="J371" s="473" t="n">
        <f aca="false">D371*I371</f>
        <v>134.133526998036</v>
      </c>
      <c r="K371" s="473" t="e">
        <f aca="false">H371+J371</f>
        <v>#NAME?</v>
      </c>
      <c r="L371" s="462" t="n">
        <v>0.2</v>
      </c>
      <c r="M371" s="473" t="e">
        <f aca="false">K371*L371</f>
        <v>#NAME?</v>
      </c>
      <c r="N371" s="473" t="e">
        <f aca="false">K371+M371</f>
        <v>#NAME?</v>
      </c>
      <c r="O371" s="473" t="e">
        <f aca="false">M371</f>
        <v>#NAME?</v>
      </c>
    </row>
    <row r="372" s="461" customFormat="true" ht="15" hidden="false" customHeight="false" outlineLevel="0" collapsed="false">
      <c r="A372" s="327" t="s">
        <v>646</v>
      </c>
      <c r="B372" s="328" t="s">
        <v>3122</v>
      </c>
      <c r="C372" s="472" t="e">
        <f aca="false">мат.затр!g3239</f>
        <v>#NAME?</v>
      </c>
      <c r="D372" s="472" t="n">
        <f aca="false">тарифик!J373</f>
        <v>803.212851405623</v>
      </c>
      <c r="E372" s="472"/>
      <c r="F372" s="473" t="n">
        <f aca="false">D372*0.9*0.095+D372*3%</f>
        <v>92.7710843373494</v>
      </c>
      <c r="G372" s="472" t="n">
        <f aca="false">амортизация!M928</f>
        <v>7.31444295701324</v>
      </c>
      <c r="H372" s="473" t="e">
        <f aca="false">C372+D372+F372+G372</f>
        <v>#NAME?</v>
      </c>
      <c r="I372" s="462" t="n">
        <f aca="false">I$190</f>
        <v>0.240474587202079</v>
      </c>
      <c r="J372" s="473" t="n">
        <f aca="false">D372*I372</f>
        <v>193.152278877172</v>
      </c>
      <c r="K372" s="473" t="e">
        <f aca="false">H372+J372</f>
        <v>#NAME?</v>
      </c>
      <c r="L372" s="462" t="n">
        <v>0.2</v>
      </c>
      <c r="M372" s="473" t="e">
        <f aca="false">K372*L372</f>
        <v>#NAME?</v>
      </c>
      <c r="N372" s="473" t="e">
        <f aca="false">K372+M372</f>
        <v>#NAME?</v>
      </c>
      <c r="O372" s="473" t="e">
        <f aca="false">M372</f>
        <v>#NAME?</v>
      </c>
    </row>
    <row r="373" s="461" customFormat="true" ht="15" hidden="false" customHeight="false" outlineLevel="0" collapsed="false">
      <c r="A373" s="327" t="s">
        <v>647</v>
      </c>
      <c r="B373" s="328" t="s">
        <v>3145</v>
      </c>
      <c r="C373" s="472" t="e">
        <f aca="false">мат.затр!g3247</f>
        <v>#NAME?</v>
      </c>
      <c r="D373" s="472" t="n">
        <f aca="false">тарифик!J374</f>
        <v>892.458723784025</v>
      </c>
      <c r="E373" s="472"/>
      <c r="F373" s="473" t="n">
        <f aca="false">D373*0.9*0.095+D373*3%</f>
        <v>103.078982597055</v>
      </c>
      <c r="G373" s="472" t="n">
        <f aca="false">амортизация!M931</f>
        <v>12.0946749962814</v>
      </c>
      <c r="H373" s="473" t="e">
        <f aca="false">C373+D373+F373+G373</f>
        <v>#NAME?</v>
      </c>
      <c r="I373" s="462" t="n">
        <f aca="false">I$190</f>
        <v>0.240474587202079</v>
      </c>
      <c r="J373" s="473" t="n">
        <f aca="false">D373*I373</f>
        <v>214.613643196858</v>
      </c>
      <c r="K373" s="473" t="e">
        <f aca="false">H373+J373</f>
        <v>#NAME?</v>
      </c>
      <c r="L373" s="462" t="n">
        <v>0.2</v>
      </c>
      <c r="M373" s="473" t="e">
        <f aca="false">K373*L373</f>
        <v>#NAME?</v>
      </c>
      <c r="N373" s="473" t="e">
        <f aca="false">K373+M373</f>
        <v>#NAME?</v>
      </c>
      <c r="O373" s="473" t="e">
        <f aca="false">M373</f>
        <v>#NAME?</v>
      </c>
    </row>
    <row r="374" s="461" customFormat="true" ht="15" hidden="false" customHeight="false" outlineLevel="0" collapsed="false">
      <c r="A374" s="327" t="s">
        <v>649</v>
      </c>
      <c r="B374" s="328" t="s">
        <v>3100</v>
      </c>
      <c r="C374" s="472" t="e">
        <f aca="false">мат.затр!g3255</f>
        <v>#NAME?</v>
      </c>
      <c r="D374" s="472" t="n">
        <f aca="false">тарифик!J375</f>
        <v>1004.01606425703</v>
      </c>
      <c r="E374" s="472"/>
      <c r="F374" s="473" t="n">
        <f aca="false">D374*0.9*0.095+D374*3%</f>
        <v>115.963855421687</v>
      </c>
      <c r="G374" s="472" t="n">
        <f aca="false">амортизация!M934</f>
        <v>11.912975977986</v>
      </c>
      <c r="H374" s="473" t="e">
        <f aca="false">C374+D374+F374+G374</f>
        <v>#NAME?</v>
      </c>
      <c r="I374" s="462" t="n">
        <f aca="false">I$190</f>
        <v>0.240474587202079</v>
      </c>
      <c r="J374" s="473" t="n">
        <f aca="false">D374*I374</f>
        <v>241.440348596465</v>
      </c>
      <c r="K374" s="473" t="e">
        <f aca="false">H374+J374</f>
        <v>#NAME?</v>
      </c>
      <c r="L374" s="462" t="n">
        <v>0.2</v>
      </c>
      <c r="M374" s="473" t="e">
        <f aca="false">K374*L374</f>
        <v>#NAME?</v>
      </c>
      <c r="N374" s="473" t="e">
        <f aca="false">K374+M374</f>
        <v>#NAME?</v>
      </c>
      <c r="O374" s="473" t="e">
        <f aca="false">M374</f>
        <v>#NAME?</v>
      </c>
    </row>
    <row r="375" s="461" customFormat="true" ht="15" hidden="false" customHeight="false" outlineLevel="0" collapsed="false">
      <c r="A375" s="327" t="s">
        <v>650</v>
      </c>
      <c r="B375" s="328" t="s">
        <v>3146</v>
      </c>
      <c r="C375" s="472" t="e">
        <f aca="false">мат.затр!g3266</f>
        <v>#NAME?</v>
      </c>
      <c r="D375" s="472" t="n">
        <f aca="false">тарифик!J376</f>
        <v>870.147255689424</v>
      </c>
      <c r="E375" s="472"/>
      <c r="F375" s="473" t="n">
        <f aca="false">D375*0.9*0.095+D375*3%</f>
        <v>100.502008032129</v>
      </c>
      <c r="G375" s="472" t="n">
        <f aca="false">амортизация!M935</f>
        <v>4.56455451435371</v>
      </c>
      <c r="H375" s="473" t="e">
        <f aca="false">C375+D375+F375+G375</f>
        <v>#NAME?</v>
      </c>
      <c r="I375" s="462" t="n">
        <f aca="false">I$190</f>
        <v>0.240474587202079</v>
      </c>
      <c r="J375" s="473" t="n">
        <f aca="false">D375*I375</f>
        <v>209.248302116936</v>
      </c>
      <c r="K375" s="473" t="e">
        <f aca="false">H375+J375</f>
        <v>#NAME?</v>
      </c>
      <c r="L375" s="462" t="n">
        <v>0.2</v>
      </c>
      <c r="M375" s="473" t="e">
        <f aca="false">K375*L375</f>
        <v>#NAME?</v>
      </c>
      <c r="N375" s="473" t="e">
        <f aca="false">K375+M375</f>
        <v>#NAME?</v>
      </c>
      <c r="O375" s="473" t="e">
        <f aca="false">M375</f>
        <v>#NAME?</v>
      </c>
    </row>
    <row r="376" s="461" customFormat="true" ht="15" hidden="false" customHeight="false" outlineLevel="0" collapsed="false">
      <c r="A376" s="327" t="s">
        <v>651</v>
      </c>
      <c r="B376" s="328" t="s">
        <v>3147</v>
      </c>
      <c r="C376" s="472" t="e">
        <f aca="false">мат.затр!g3278</f>
        <v>#NAME?</v>
      </c>
      <c r="D376" s="472" t="n">
        <f aca="false">тарифик!J377</f>
        <v>3458.2775546631</v>
      </c>
      <c r="E376" s="472"/>
      <c r="F376" s="473" t="n">
        <f aca="false">D376*0.9*0.095+D376*3%</f>
        <v>399.431057563588</v>
      </c>
      <c r="G376" s="472" t="n">
        <f aca="false">амортизация!M941</f>
        <v>524.681131935148</v>
      </c>
      <c r="H376" s="473" t="e">
        <f aca="false">C376+D376+F376+G376</f>
        <v>#NAME?</v>
      </c>
      <c r="I376" s="462" t="n">
        <f aca="false">I$190</f>
        <v>0.240474587202079</v>
      </c>
      <c r="J376" s="473" t="n">
        <f aca="false">D376*I376</f>
        <v>831.627867387823</v>
      </c>
      <c r="K376" s="473" t="e">
        <f aca="false">H376+J376</f>
        <v>#NAME?</v>
      </c>
      <c r="L376" s="462" t="n">
        <v>0.2</v>
      </c>
      <c r="M376" s="473" t="e">
        <f aca="false">K376*L376</f>
        <v>#NAME?</v>
      </c>
      <c r="N376" s="473" t="e">
        <f aca="false">K376+M376</f>
        <v>#NAME?</v>
      </c>
      <c r="O376" s="473" t="e">
        <f aca="false">M376</f>
        <v>#NAME?</v>
      </c>
    </row>
    <row r="377" s="461" customFormat="true" ht="15" hidden="false" customHeight="false" outlineLevel="0" collapsed="false">
      <c r="A377" s="327" t="s">
        <v>652</v>
      </c>
      <c r="B377" s="328" t="s">
        <v>3102</v>
      </c>
      <c r="C377" s="472" t="e">
        <f aca="false">мат.затр!g3290</f>
        <v>#NAME?</v>
      </c>
      <c r="D377" s="472" t="n">
        <f aca="false">тарифик!J378</f>
        <v>3569.8348951361</v>
      </c>
      <c r="E377" s="472"/>
      <c r="F377" s="473" t="n">
        <f aca="false">D377*0.9*0.095+D377*3%</f>
        <v>412.31593038822</v>
      </c>
      <c r="G377" s="472" t="n">
        <f aca="false">амортизация!M947</f>
        <v>524.681131935148</v>
      </c>
      <c r="H377" s="473" t="e">
        <f aca="false">C377+D377+F377+G377</f>
        <v>#NAME?</v>
      </c>
      <c r="I377" s="462" t="n">
        <f aca="false">I$190</f>
        <v>0.240474587202079</v>
      </c>
      <c r="J377" s="473" t="n">
        <f aca="false">D377*I377</f>
        <v>858.454572787431</v>
      </c>
      <c r="K377" s="473" t="e">
        <f aca="false">H377+J377</f>
        <v>#NAME?</v>
      </c>
      <c r="L377" s="462" t="n">
        <v>0.2</v>
      </c>
      <c r="M377" s="473" t="e">
        <f aca="false">K377*L377</f>
        <v>#NAME?</v>
      </c>
      <c r="N377" s="473" t="e">
        <f aca="false">K377+M377</f>
        <v>#NAME?</v>
      </c>
      <c r="O377" s="473" t="e">
        <f aca="false">M377</f>
        <v>#NAME?</v>
      </c>
    </row>
    <row r="378" s="461" customFormat="true" ht="15" hidden="false" customHeight="false" outlineLevel="0" collapsed="false">
      <c r="A378" s="327" t="s">
        <v>653</v>
      </c>
      <c r="B378" s="328" t="s">
        <v>3148</v>
      </c>
      <c r="C378" s="472" t="e">
        <f aca="false">мат.затр!g3304</f>
        <v>#NAME?</v>
      </c>
      <c r="D378" s="472" t="n">
        <f aca="false">тарифик!J379</f>
        <v>948.237394020527</v>
      </c>
      <c r="E378" s="472"/>
      <c r="F378" s="473" t="n">
        <f aca="false">D378*0.9*0.095+D378*3%</f>
        <v>109.521419009371</v>
      </c>
      <c r="G378" s="472" t="n">
        <f aca="false">амортизация!M955</f>
        <v>587.954252193961</v>
      </c>
      <c r="H378" s="473" t="e">
        <f aca="false">C378+D378+F378+G378</f>
        <v>#NAME?</v>
      </c>
      <c r="I378" s="462" t="n">
        <f aca="false">I$190</f>
        <v>0.240474587202079</v>
      </c>
      <c r="J378" s="473" t="n">
        <f aca="false">D378*I378</f>
        <v>228.026995896661</v>
      </c>
      <c r="K378" s="473" t="e">
        <f aca="false">H378+J378</f>
        <v>#NAME?</v>
      </c>
      <c r="L378" s="462" t="n">
        <v>0.2</v>
      </c>
      <c r="M378" s="473" t="e">
        <f aca="false">K378*L378</f>
        <v>#NAME?</v>
      </c>
      <c r="N378" s="473" t="e">
        <f aca="false">K378+M378</f>
        <v>#NAME?</v>
      </c>
      <c r="O378" s="473" t="e">
        <f aca="false">M378</f>
        <v>#NAME?</v>
      </c>
    </row>
    <row r="379" s="461" customFormat="true" ht="15" hidden="false" customHeight="false" outlineLevel="0" collapsed="false">
      <c r="A379" s="327" t="s">
        <v>654</v>
      </c>
      <c r="B379" s="328" t="s">
        <v>3149</v>
      </c>
      <c r="C379" s="472" t="e">
        <f aca="false">мат.затр!g3316</f>
        <v>#NAME?</v>
      </c>
      <c r="D379" s="472" t="n">
        <f aca="false">тарифик!J380</f>
        <v>1896.47478804105</v>
      </c>
      <c r="E379" s="472"/>
      <c r="F379" s="473" t="n">
        <f aca="false">D379*0.9*0.095+D379*3%</f>
        <v>219.042838018742</v>
      </c>
      <c r="G379" s="472" t="n">
        <f aca="false">амортизация!M960</f>
        <v>960.406951881601</v>
      </c>
      <c r="H379" s="473" t="e">
        <f aca="false">C379+D379+F379+G379</f>
        <v>#NAME?</v>
      </c>
      <c r="I379" s="462" t="n">
        <f aca="false">I$190</f>
        <v>0.240474587202079</v>
      </c>
      <c r="J379" s="473" t="n">
        <f aca="false">D379*I379</f>
        <v>456.053991793322</v>
      </c>
      <c r="K379" s="473" t="e">
        <f aca="false">H379+J379</f>
        <v>#NAME?</v>
      </c>
      <c r="L379" s="462" t="n">
        <v>0.2</v>
      </c>
      <c r="M379" s="473" t="e">
        <f aca="false">K379*L379</f>
        <v>#NAME?</v>
      </c>
      <c r="N379" s="473" t="e">
        <f aca="false">K379+M379</f>
        <v>#NAME?</v>
      </c>
      <c r="O379" s="473" t="e">
        <f aca="false">M379</f>
        <v>#NAME?</v>
      </c>
    </row>
    <row r="380" s="461" customFormat="true" ht="15" hidden="false" customHeight="false" outlineLevel="0" collapsed="false">
      <c r="A380" s="327" t="s">
        <v>655</v>
      </c>
      <c r="B380" s="328" t="s">
        <v>3150</v>
      </c>
      <c r="C380" s="472" t="e">
        <f aca="false">мат.затр!g3329</f>
        <v>#NAME?</v>
      </c>
      <c r="D380" s="472" t="n">
        <f aca="false">тарифик!J381</f>
        <v>780.901383311022</v>
      </c>
      <c r="E380" s="472"/>
      <c r="F380" s="473" t="n">
        <f aca="false">D380*0.9*0.095+D380*3%</f>
        <v>90.194109772423</v>
      </c>
      <c r="G380" s="472" t="n">
        <f aca="false">амортизация!M964</f>
        <v>12.5269596906143</v>
      </c>
      <c r="H380" s="473" t="e">
        <f aca="false">C380+D380+F380+G380</f>
        <v>#NAME?</v>
      </c>
      <c r="I380" s="462" t="n">
        <f aca="false">I$190</f>
        <v>0.240474587202079</v>
      </c>
      <c r="J380" s="473" t="n">
        <f aca="false">D380*I380</f>
        <v>187.78693779725</v>
      </c>
      <c r="K380" s="473" t="e">
        <f aca="false">H380+J380</f>
        <v>#NAME?</v>
      </c>
      <c r="L380" s="462" t="n">
        <v>0.2</v>
      </c>
      <c r="M380" s="473" t="e">
        <f aca="false">K380*L380</f>
        <v>#NAME?</v>
      </c>
      <c r="N380" s="473" t="e">
        <f aca="false">K380+M380</f>
        <v>#NAME?</v>
      </c>
      <c r="O380" s="473" t="e">
        <f aca="false">M380</f>
        <v>#NAME?</v>
      </c>
    </row>
    <row r="381" s="461" customFormat="true" ht="15" hidden="false" customHeight="false" outlineLevel="0" collapsed="false">
      <c r="A381" s="327" t="s">
        <v>657</v>
      </c>
      <c r="B381" s="328" t="s">
        <v>3151</v>
      </c>
      <c r="C381" s="472" t="e">
        <f aca="false">мат.затр!g3340</f>
        <v>#NAME?</v>
      </c>
      <c r="D381" s="472" t="n">
        <f aca="false">тарифик!J382</f>
        <v>948.237394020527</v>
      </c>
      <c r="E381" s="472"/>
      <c r="F381" s="473" t="n">
        <f aca="false">D381*0.9*0.095+D381*3%</f>
        <v>109.521419009371</v>
      </c>
      <c r="G381" s="472" t="n">
        <f aca="false">амортизация!M970</f>
        <v>60.5017756210025</v>
      </c>
      <c r="H381" s="473" t="e">
        <f aca="false">C381+D381+F381+G381</f>
        <v>#NAME?</v>
      </c>
      <c r="I381" s="462" t="n">
        <f aca="false">I$190</f>
        <v>0.240474587202079</v>
      </c>
      <c r="J381" s="473" t="n">
        <f aca="false">D381*I381</f>
        <v>228.026995896661</v>
      </c>
      <c r="K381" s="473" t="e">
        <f aca="false">H381+J381</f>
        <v>#NAME?</v>
      </c>
      <c r="L381" s="462" t="n">
        <v>0.2</v>
      </c>
      <c r="M381" s="473" t="e">
        <f aca="false">K381*L381</f>
        <v>#NAME?</v>
      </c>
      <c r="N381" s="473" t="e">
        <f aca="false">K381+M381</f>
        <v>#NAME?</v>
      </c>
      <c r="O381" s="473" t="e">
        <f aca="false">M381</f>
        <v>#NAME?</v>
      </c>
    </row>
    <row r="382" s="461" customFormat="true" ht="15" hidden="false" customHeight="false" outlineLevel="0" collapsed="false">
      <c r="A382" s="327" t="s">
        <v>658</v>
      </c>
      <c r="B382" s="328" t="s">
        <v>3152</v>
      </c>
      <c r="C382" s="472" t="e">
        <f aca="false">мат.затр!g3352</f>
        <v>#NAME?</v>
      </c>
      <c r="D382" s="472" t="n">
        <f aca="false">тарифик!J383</f>
        <v>892.458723784025</v>
      </c>
      <c r="E382" s="472"/>
      <c r="F382" s="473" t="n">
        <f aca="false">D382*0.9*0.095+D382*3%</f>
        <v>103.078982597055</v>
      </c>
      <c r="G382" s="472" t="n">
        <f aca="false">амортизация!M973</f>
        <v>11.912975977986</v>
      </c>
      <c r="H382" s="473" t="e">
        <f aca="false">C382+D382+F382+G382</f>
        <v>#NAME?</v>
      </c>
      <c r="I382" s="462" t="n">
        <f aca="false">I$190</f>
        <v>0.240474587202079</v>
      </c>
      <c r="J382" s="473" t="n">
        <f aca="false">D382*I382</f>
        <v>214.613643196858</v>
      </c>
      <c r="K382" s="473" t="e">
        <f aca="false">H382+J382</f>
        <v>#NAME?</v>
      </c>
      <c r="L382" s="462" t="n">
        <v>0.2</v>
      </c>
      <c r="M382" s="473" t="e">
        <f aca="false">K382*L382</f>
        <v>#NAME?</v>
      </c>
      <c r="N382" s="473" t="e">
        <f aca="false">K382+M382</f>
        <v>#NAME?</v>
      </c>
      <c r="O382" s="473" t="e">
        <f aca="false">M382</f>
        <v>#NAME?</v>
      </c>
    </row>
    <row r="383" s="461" customFormat="true" ht="15" hidden="false" customHeight="false" outlineLevel="0" collapsed="false">
      <c r="A383" s="327" t="s">
        <v>659</v>
      </c>
      <c r="B383" s="433" t="s">
        <v>3153</v>
      </c>
      <c r="C383" s="472" t="e">
        <f aca="false">мат.затр!g3360</f>
        <v>#NAME?</v>
      </c>
      <c r="D383" s="472" t="n">
        <f aca="false">тарифик!J384</f>
        <v>613.565372601517</v>
      </c>
      <c r="E383" s="472"/>
      <c r="F383" s="473" t="n">
        <f aca="false">D383*0.9*0.095+D383*3%</f>
        <v>70.8668005354752</v>
      </c>
      <c r="G383" s="472" t="n">
        <f aca="false">амортизация!M976</f>
        <v>1551.44820020824</v>
      </c>
      <c r="H383" s="473" t="e">
        <f aca="false">C383+D383+F383+G383</f>
        <v>#NAME?</v>
      </c>
      <c r="I383" s="462" t="n">
        <f aca="false">I$190</f>
        <v>0.240474587202079</v>
      </c>
      <c r="J383" s="473" t="n">
        <f aca="false">D383*I383</f>
        <v>147.54687969784</v>
      </c>
      <c r="K383" s="473" t="e">
        <f aca="false">H383+J383</f>
        <v>#NAME?</v>
      </c>
      <c r="L383" s="462" t="n">
        <v>0.2</v>
      </c>
      <c r="M383" s="473" t="e">
        <f aca="false">K383*L383</f>
        <v>#NAME?</v>
      </c>
      <c r="N383" s="473" t="e">
        <f aca="false">K383+M383</f>
        <v>#NAME?</v>
      </c>
      <c r="O383" s="473" t="e">
        <f aca="false">M383</f>
        <v>#NAME?</v>
      </c>
    </row>
    <row r="384" s="461" customFormat="true" ht="15" hidden="false" customHeight="false" outlineLevel="0" collapsed="false">
      <c r="A384" s="327" t="s">
        <v>661</v>
      </c>
      <c r="B384" s="433" t="s">
        <v>3154</v>
      </c>
      <c r="C384" s="472" t="e">
        <f aca="false">мат.затр!g3366</f>
        <v>#NAME?</v>
      </c>
      <c r="D384" s="472" t="n">
        <f aca="false">тарифик!J385</f>
        <v>1896.47478804105</v>
      </c>
      <c r="E384" s="472"/>
      <c r="F384" s="473" t="n">
        <f aca="false">D384*0.9*0.095+D384*3%</f>
        <v>219.042838018742</v>
      </c>
      <c r="G384" s="472" t="n">
        <f aca="false">амортизация!M979</f>
        <v>11.912975977986</v>
      </c>
      <c r="H384" s="473" t="e">
        <f aca="false">C384+D384+F384+G384</f>
        <v>#NAME?</v>
      </c>
      <c r="I384" s="462" t="n">
        <f aca="false">I$190</f>
        <v>0.240474587202079</v>
      </c>
      <c r="J384" s="473" t="n">
        <f aca="false">D384*I384</f>
        <v>456.053991793322</v>
      </c>
      <c r="K384" s="473" t="e">
        <f aca="false">H384+J384</f>
        <v>#NAME?</v>
      </c>
      <c r="L384" s="462" t="n">
        <v>0.2</v>
      </c>
      <c r="M384" s="473" t="e">
        <f aca="false">K384*L384</f>
        <v>#NAME?</v>
      </c>
      <c r="N384" s="473" t="e">
        <f aca="false">K384+M384</f>
        <v>#NAME?</v>
      </c>
      <c r="O384" s="473" t="e">
        <f aca="false">M384</f>
        <v>#NAME?</v>
      </c>
    </row>
    <row r="385" s="461" customFormat="true" ht="15" hidden="false" customHeight="false" outlineLevel="0" collapsed="false">
      <c r="A385" s="350" t="s">
        <v>663</v>
      </c>
      <c r="B385" s="467" t="s">
        <v>3155</v>
      </c>
      <c r="C385" s="468"/>
      <c r="D385" s="468"/>
      <c r="E385" s="468"/>
      <c r="F385" s="474"/>
      <c r="G385" s="468"/>
      <c r="H385" s="474"/>
      <c r="I385" s="475"/>
      <c r="J385" s="474"/>
      <c r="K385" s="474"/>
      <c r="L385" s="475"/>
      <c r="M385" s="474"/>
      <c r="N385" s="474"/>
      <c r="O385" s="474"/>
    </row>
    <row r="386" s="461" customFormat="true" ht="15" hidden="false" customHeight="false" outlineLevel="0" collapsed="false">
      <c r="A386" s="327" t="s">
        <v>665</v>
      </c>
      <c r="B386" s="328" t="s">
        <v>3010</v>
      </c>
      <c r="C386" s="472" t="e">
        <f aca="false">мат.затр!g3368</f>
        <v>#NAME?</v>
      </c>
      <c r="D386" s="472" t="n">
        <f aca="false">тарифик!J387</f>
        <v>401.606425702811</v>
      </c>
      <c r="E386" s="472"/>
      <c r="F386" s="473" t="n">
        <f aca="false">D386*0.9*0.095+D386*3%</f>
        <v>46.3855421686747</v>
      </c>
      <c r="G386" s="472" t="n">
        <f aca="false">амортизация!M981</f>
        <v>7.53012048192771</v>
      </c>
      <c r="H386" s="473" t="e">
        <f aca="false">C386+D386+F386+G386</f>
        <v>#NAME?</v>
      </c>
      <c r="I386" s="462" t="n">
        <f aca="false">I$190</f>
        <v>0.240474587202079</v>
      </c>
      <c r="J386" s="473" t="n">
        <f aca="false">D386*I386</f>
        <v>96.5761394385859</v>
      </c>
      <c r="K386" s="473" t="e">
        <f aca="false">H386+J386</f>
        <v>#NAME?</v>
      </c>
      <c r="L386" s="462" t="n">
        <v>0.2</v>
      </c>
      <c r="M386" s="473" t="e">
        <f aca="false">K386*L386</f>
        <v>#NAME?</v>
      </c>
      <c r="N386" s="473" t="e">
        <f aca="false">K386+M386</f>
        <v>#NAME?</v>
      </c>
      <c r="O386" s="473" t="e">
        <f aca="false">M386</f>
        <v>#NAME?</v>
      </c>
    </row>
    <row r="387" s="461" customFormat="true" ht="15" hidden="false" customHeight="false" outlineLevel="0" collapsed="false">
      <c r="A387" s="327" t="s">
        <v>666</v>
      </c>
      <c r="B387" s="328" t="s">
        <v>3156</v>
      </c>
      <c r="C387" s="472" t="e">
        <f aca="false">мат.затр!g3376</f>
        <v>#NAME?</v>
      </c>
      <c r="D387" s="472" t="n">
        <f aca="false">тарифик!J388</f>
        <v>1054.21686746988</v>
      </c>
      <c r="E387" s="472"/>
      <c r="F387" s="473" t="n">
        <f aca="false">D387*0.9*0.095+D387*3%</f>
        <v>121.762048192771</v>
      </c>
      <c r="G387" s="472" t="n">
        <f aca="false">амортизация!M984</f>
        <v>5.48118399524022</v>
      </c>
      <c r="H387" s="473" t="e">
        <f aca="false">C387+D387+F387+G387</f>
        <v>#NAME?</v>
      </c>
      <c r="I387" s="462" t="n">
        <f aca="false">I$190</f>
        <v>0.240474587202079</v>
      </c>
      <c r="J387" s="473" t="n">
        <f aca="false">D387*I387</f>
        <v>253.512366026288</v>
      </c>
      <c r="K387" s="473" t="e">
        <f aca="false">H387+J387</f>
        <v>#NAME?</v>
      </c>
      <c r="L387" s="462" t="n">
        <v>0.2</v>
      </c>
      <c r="M387" s="473" t="e">
        <f aca="false">K387*L387</f>
        <v>#NAME?</v>
      </c>
      <c r="N387" s="473" t="e">
        <f aca="false">K387+M387</f>
        <v>#NAME?</v>
      </c>
      <c r="O387" s="473" t="e">
        <f aca="false">M387</f>
        <v>#NAME?</v>
      </c>
    </row>
    <row r="388" s="461" customFormat="true" ht="15" hidden="false" customHeight="false" outlineLevel="0" collapsed="false">
      <c r="A388" s="327" t="s">
        <v>668</v>
      </c>
      <c r="B388" s="328" t="s">
        <v>3157</v>
      </c>
      <c r="C388" s="472" t="e">
        <f aca="false">мат.затр!g3383</f>
        <v>#NAME?</v>
      </c>
      <c r="D388" s="472" t="n">
        <f aca="false">тарифик!J389</f>
        <v>200.803212851406</v>
      </c>
      <c r="E388" s="472"/>
      <c r="F388" s="473" t="n">
        <f aca="false">D388*0.9*0.095+D388*3%</f>
        <v>23.1927710843374</v>
      </c>
      <c r="G388" s="472" t="n">
        <f aca="false">амортизация!M985</f>
        <v>4.56455451435371</v>
      </c>
      <c r="H388" s="473" t="e">
        <f aca="false">C388+D388+F388+G388</f>
        <v>#NAME?</v>
      </c>
      <c r="I388" s="462" t="n">
        <f aca="false">I$190</f>
        <v>0.240474587202079</v>
      </c>
      <c r="J388" s="473" t="n">
        <f aca="false">D388*I388</f>
        <v>48.288069719293</v>
      </c>
      <c r="K388" s="473" t="e">
        <f aca="false">H388+J388</f>
        <v>#NAME?</v>
      </c>
      <c r="L388" s="462" t="n">
        <v>0.2</v>
      </c>
      <c r="M388" s="473" t="e">
        <f aca="false">K388*L388</f>
        <v>#NAME?</v>
      </c>
      <c r="N388" s="473" t="e">
        <f aca="false">K388+M388</f>
        <v>#NAME?</v>
      </c>
      <c r="O388" s="473" t="e">
        <f aca="false">M388</f>
        <v>#NAME?</v>
      </c>
    </row>
    <row r="389" s="461" customFormat="true" ht="15" hidden="false" customHeight="false" outlineLevel="0" collapsed="false">
      <c r="A389" s="327" t="s">
        <v>669</v>
      </c>
      <c r="B389" s="328" t="s">
        <v>3158</v>
      </c>
      <c r="C389" s="472" t="e">
        <f aca="false">мат.затр!g3390</f>
        <v>#NAME?</v>
      </c>
      <c r="D389" s="472" t="n">
        <f aca="false">тарифик!J390</f>
        <v>200.803212851406</v>
      </c>
      <c r="E389" s="472"/>
      <c r="F389" s="473" t="n">
        <f aca="false">D389*0.9*0.095+D389*3%</f>
        <v>23.1927710843374</v>
      </c>
      <c r="G389" s="472" t="n">
        <f aca="false">амортизация!M986</f>
        <v>4.56455451435371</v>
      </c>
      <c r="H389" s="473" t="e">
        <f aca="false">C389+D389+F389+G389</f>
        <v>#NAME?</v>
      </c>
      <c r="I389" s="462" t="n">
        <f aca="false">I$190</f>
        <v>0.240474587202079</v>
      </c>
      <c r="J389" s="473" t="n">
        <f aca="false">D389*I389</f>
        <v>48.288069719293</v>
      </c>
      <c r="K389" s="473" t="e">
        <f aca="false">H389+J389</f>
        <v>#NAME?</v>
      </c>
      <c r="L389" s="462" t="n">
        <v>0.2</v>
      </c>
      <c r="M389" s="473" t="e">
        <f aca="false">K389*L389</f>
        <v>#NAME?</v>
      </c>
      <c r="N389" s="473" t="e">
        <f aca="false">K389+M389</f>
        <v>#NAME?</v>
      </c>
      <c r="O389" s="473" t="e">
        <f aca="false">M389</f>
        <v>#NAME?</v>
      </c>
    </row>
    <row r="390" s="461" customFormat="true" ht="15" hidden="false" customHeight="false" outlineLevel="0" collapsed="false">
      <c r="A390" s="327" t="s">
        <v>671</v>
      </c>
      <c r="B390" s="328" t="s">
        <v>3159</v>
      </c>
      <c r="C390" s="472" t="e">
        <f aca="false">мат.затр!g3396</f>
        <v>#NAME?</v>
      </c>
      <c r="D390" s="472" t="n">
        <f aca="false">тарифик!J391</f>
        <v>669.344042838019</v>
      </c>
      <c r="E390" s="472"/>
      <c r="F390" s="473" t="n">
        <f aca="false">D390*0.9*0.095+D390*3%</f>
        <v>77.3092369477912</v>
      </c>
      <c r="G390" s="472" t="n">
        <f aca="false">амортизация!M987</f>
        <v>4.56455451435371</v>
      </c>
      <c r="H390" s="473" t="e">
        <f aca="false">C390+D390+F390+G390</f>
        <v>#NAME?</v>
      </c>
      <c r="I390" s="462" t="n">
        <f aca="false">I$190</f>
        <v>0.240474587202079</v>
      </c>
      <c r="J390" s="473" t="n">
        <f aca="false">D390*I390</f>
        <v>160.960232397643</v>
      </c>
      <c r="K390" s="473" t="e">
        <f aca="false">H390+J390</f>
        <v>#NAME?</v>
      </c>
      <c r="L390" s="462" t="n">
        <v>0.2</v>
      </c>
      <c r="M390" s="473" t="e">
        <f aca="false">K390*L390</f>
        <v>#NAME?</v>
      </c>
      <c r="N390" s="473" t="e">
        <f aca="false">K390+M390</f>
        <v>#NAME?</v>
      </c>
      <c r="O390" s="473" t="e">
        <f aca="false">M390</f>
        <v>#NAME?</v>
      </c>
    </row>
    <row r="391" s="461" customFormat="true" ht="15" hidden="false" customHeight="false" outlineLevel="0" collapsed="false">
      <c r="A391" s="327" t="s">
        <v>673</v>
      </c>
      <c r="B391" s="328" t="s">
        <v>3084</v>
      </c>
      <c r="C391" s="472" t="e">
        <f aca="false">мат.затр!g3399</f>
        <v>#NAME?</v>
      </c>
      <c r="D391" s="472" t="n">
        <f aca="false">тарифик!J392</f>
        <v>1506.02409638554</v>
      </c>
      <c r="E391" s="472"/>
      <c r="F391" s="473" t="n">
        <f aca="false">D391*0.9*0.095+D391*3%</f>
        <v>173.94578313253</v>
      </c>
      <c r="G391" s="472" t="n">
        <f aca="false">амортизация!M991</f>
        <v>15.3019485348803</v>
      </c>
      <c r="H391" s="473" t="e">
        <f aca="false">C391+D391+F391+G391</f>
        <v>#NAME?</v>
      </c>
      <c r="I391" s="462" t="n">
        <f aca="false">I$190</f>
        <v>0.240474587202079</v>
      </c>
      <c r="J391" s="473" t="n">
        <f aca="false">D391*I391</f>
        <v>362.160522894697</v>
      </c>
      <c r="K391" s="473" t="e">
        <f aca="false">H391+J391</f>
        <v>#NAME?</v>
      </c>
      <c r="L391" s="462" t="n">
        <v>0.2</v>
      </c>
      <c r="M391" s="473" t="e">
        <f aca="false">K391*L391</f>
        <v>#NAME?</v>
      </c>
      <c r="N391" s="473" t="e">
        <f aca="false">K391+M391</f>
        <v>#NAME?</v>
      </c>
      <c r="O391" s="473" t="e">
        <f aca="false">M391</f>
        <v>#NAME?</v>
      </c>
    </row>
    <row r="392" s="461" customFormat="true" ht="15" hidden="false" customHeight="false" outlineLevel="0" collapsed="false">
      <c r="A392" s="327" t="s">
        <v>674</v>
      </c>
      <c r="B392" s="328" t="s">
        <v>3085</v>
      </c>
      <c r="C392" s="472" t="e">
        <f aca="false">мат.затр!g3403</f>
        <v>#NAME?</v>
      </c>
      <c r="D392" s="472" t="n">
        <f aca="false">тарифик!J393</f>
        <v>1840.69611780455</v>
      </c>
      <c r="E392" s="472"/>
      <c r="F392" s="473" t="n">
        <f aca="false">D392*0.9*0.095+D392*3%</f>
        <v>212.600401606426</v>
      </c>
      <c r="G392" s="472" t="n">
        <f aca="false">амортизация!M995</f>
        <v>15.3019485348803</v>
      </c>
      <c r="H392" s="473" t="e">
        <f aca="false">C392+D392+F392+G392</f>
        <v>#NAME?</v>
      </c>
      <c r="I392" s="462" t="n">
        <f aca="false">I$190</f>
        <v>0.240474587202079</v>
      </c>
      <c r="J392" s="473" t="n">
        <f aca="false">D392*I392</f>
        <v>442.640639093519</v>
      </c>
      <c r="K392" s="473" t="e">
        <f aca="false">H392+J392</f>
        <v>#NAME?</v>
      </c>
      <c r="L392" s="462" t="n">
        <v>0.2</v>
      </c>
      <c r="M392" s="473" t="e">
        <f aca="false">K392*L392</f>
        <v>#NAME?</v>
      </c>
      <c r="N392" s="473" t="e">
        <f aca="false">K392+M392</f>
        <v>#NAME?</v>
      </c>
      <c r="O392" s="473" t="e">
        <f aca="false">M392</f>
        <v>#NAME?</v>
      </c>
    </row>
    <row r="393" s="461" customFormat="true" ht="15" hidden="false" customHeight="false" outlineLevel="0" collapsed="false">
      <c r="A393" s="327" t="s">
        <v>675</v>
      </c>
      <c r="B393" s="328" t="s">
        <v>3160</v>
      </c>
      <c r="C393" s="472" t="e">
        <f aca="false">мат.затр!g3409</f>
        <v>#NAME?</v>
      </c>
      <c r="D393" s="472" t="n">
        <f aca="false">тарифик!J394</f>
        <v>543.84203480589</v>
      </c>
      <c r="E393" s="472"/>
      <c r="F393" s="473" t="n">
        <f aca="false">D393*0.9*0.095+D393*3%</f>
        <v>62.8137550200803</v>
      </c>
      <c r="G393" s="472" t="n">
        <f aca="false">амортизация!M996</f>
        <v>4.56455451435371</v>
      </c>
      <c r="H393" s="473" t="e">
        <f aca="false">C393+D393+F393+G393</f>
        <v>#NAME?</v>
      </c>
      <c r="I393" s="462" t="n">
        <f aca="false">I$190</f>
        <v>0.240474587202079</v>
      </c>
      <c r="J393" s="473" t="n">
        <f aca="false">D393*I393</f>
        <v>130.780188823085</v>
      </c>
      <c r="K393" s="473" t="e">
        <f aca="false">H393+J393</f>
        <v>#NAME?</v>
      </c>
      <c r="L393" s="462" t="n">
        <v>0.2</v>
      </c>
      <c r="M393" s="473" t="e">
        <f aca="false">K393*L393</f>
        <v>#NAME?</v>
      </c>
      <c r="N393" s="473" t="e">
        <f aca="false">K393+M393</f>
        <v>#NAME?</v>
      </c>
      <c r="O393" s="473" t="e">
        <f aca="false">M393</f>
        <v>#NAME?</v>
      </c>
    </row>
    <row r="394" s="461" customFormat="true" ht="15" hidden="false" customHeight="false" outlineLevel="0" collapsed="false">
      <c r="A394" s="327" t="s">
        <v>677</v>
      </c>
      <c r="B394" s="328" t="s">
        <v>3161</v>
      </c>
      <c r="C394" s="472" t="e">
        <f aca="false">мат.затр!g3413</f>
        <v>#NAME?</v>
      </c>
      <c r="D394" s="472" t="n">
        <f aca="false">тарифик!J395</f>
        <v>1288.48728246319</v>
      </c>
      <c r="E394" s="472"/>
      <c r="F394" s="473" t="n">
        <f aca="false">D394*0.9*0.095+D394*3%</f>
        <v>148.820281124498</v>
      </c>
      <c r="G394" s="472" t="n">
        <f aca="false">амортизация!M999</f>
        <v>7.26517179830433</v>
      </c>
      <c r="H394" s="473" t="e">
        <f aca="false">C394+D394+F394+G394</f>
        <v>#NAME?</v>
      </c>
      <c r="I394" s="462" t="n">
        <f aca="false">I$190</f>
        <v>0.240474587202079</v>
      </c>
      <c r="J394" s="473" t="n">
        <f aca="false">D394*I394</f>
        <v>309.848447365463</v>
      </c>
      <c r="K394" s="473" t="e">
        <f aca="false">H394+J394</f>
        <v>#NAME?</v>
      </c>
      <c r="L394" s="462" t="n">
        <v>0.2</v>
      </c>
      <c r="M394" s="473" t="e">
        <f aca="false">K394*L394</f>
        <v>#NAME?</v>
      </c>
      <c r="N394" s="473" t="e">
        <f aca="false">K394+M394</f>
        <v>#NAME?</v>
      </c>
      <c r="O394" s="473" t="e">
        <f aca="false">M394</f>
        <v>#NAME?</v>
      </c>
    </row>
    <row r="395" s="461" customFormat="true" ht="15" hidden="false" customHeight="false" outlineLevel="0" collapsed="false">
      <c r="A395" s="327" t="s">
        <v>678</v>
      </c>
      <c r="B395" s="328" t="s">
        <v>3059</v>
      </c>
      <c r="C395" s="472" t="e">
        <f aca="false">мат.затр!g3421</f>
        <v>#NAME?</v>
      </c>
      <c r="D395" s="472" t="n">
        <f aca="false">тарифик!J396</f>
        <v>1338.68808567604</v>
      </c>
      <c r="E395" s="472"/>
      <c r="F395" s="473" t="n">
        <f aca="false">D395*0.9*0.095+D395*3%</f>
        <v>154.618473895582</v>
      </c>
      <c r="G395" s="472" t="n">
        <f aca="false">амортизация!M1003</f>
        <v>10.6118920124944</v>
      </c>
      <c r="H395" s="473" t="e">
        <f aca="false">C395+D395+F395+G395</f>
        <v>#NAME?</v>
      </c>
      <c r="I395" s="462" t="n">
        <f aca="false">I$190</f>
        <v>0.240474587202079</v>
      </c>
      <c r="J395" s="473" t="n">
        <f aca="false">D395*I395</f>
        <v>321.920464795286</v>
      </c>
      <c r="K395" s="473" t="e">
        <f aca="false">H395+J395</f>
        <v>#NAME?</v>
      </c>
      <c r="L395" s="462" t="n">
        <v>0.2</v>
      </c>
      <c r="M395" s="473" t="e">
        <f aca="false">K395*L395</f>
        <v>#NAME?</v>
      </c>
      <c r="N395" s="473" t="e">
        <f aca="false">K395+M395</f>
        <v>#NAME?</v>
      </c>
      <c r="O395" s="473" t="e">
        <f aca="false">M395</f>
        <v>#NAME?</v>
      </c>
    </row>
    <row r="396" s="461" customFormat="true" ht="15" hidden="false" customHeight="false" outlineLevel="0" collapsed="false">
      <c r="A396" s="327" t="s">
        <v>679</v>
      </c>
      <c r="B396" s="328" t="s">
        <v>3162</v>
      </c>
      <c r="C396" s="472" t="e">
        <f aca="false">мат.затр!g3433</f>
        <v>#NAME?</v>
      </c>
      <c r="D396" s="472" t="n">
        <f aca="false">тарифик!J397</f>
        <v>1255.02008032129</v>
      </c>
      <c r="E396" s="472"/>
      <c r="F396" s="473" t="n">
        <f aca="false">D396*0.9*0.095+D396*3%</f>
        <v>144.954819277108</v>
      </c>
      <c r="G396" s="472" t="n">
        <f aca="false">амортизация!M1004</f>
        <v>4.56455451435371</v>
      </c>
      <c r="H396" s="473" t="e">
        <f aca="false">C396+D396+F396+G396</f>
        <v>#NAME?</v>
      </c>
      <c r="I396" s="462" t="n">
        <f aca="false">I$190</f>
        <v>0.240474587202079</v>
      </c>
      <c r="J396" s="473" t="n">
        <f aca="false">D396*I396</f>
        <v>301.800435745581</v>
      </c>
      <c r="K396" s="473" t="e">
        <f aca="false">H396+J396</f>
        <v>#NAME?</v>
      </c>
      <c r="L396" s="462" t="n">
        <v>0.2</v>
      </c>
      <c r="M396" s="473" t="e">
        <f aca="false">K396*L396</f>
        <v>#NAME?</v>
      </c>
      <c r="N396" s="473" t="e">
        <f aca="false">K396+M396</f>
        <v>#NAME?</v>
      </c>
      <c r="O396" s="473" t="e">
        <f aca="false">M396</f>
        <v>#NAME?</v>
      </c>
    </row>
    <row r="397" s="461" customFormat="true" ht="15" hidden="false" customHeight="false" outlineLevel="0" collapsed="false">
      <c r="A397" s="327" t="s">
        <v>681</v>
      </c>
      <c r="B397" s="328" t="s">
        <v>3163</v>
      </c>
      <c r="C397" s="472" t="e">
        <f aca="false">мат.затр!g3440</f>
        <v>#NAME?</v>
      </c>
      <c r="D397" s="472" t="n">
        <f aca="false">тарифик!J398</f>
        <v>711.178045515395</v>
      </c>
      <c r="E397" s="472"/>
      <c r="F397" s="473" t="n">
        <f aca="false">D397*0.9*0.095+D397*3%</f>
        <v>82.1410642570281</v>
      </c>
      <c r="G397" s="472" t="n">
        <f aca="false">амортизация!M1007</f>
        <v>10.0029748624126</v>
      </c>
      <c r="H397" s="473" t="e">
        <f aca="false">C397+D397+F397+G397</f>
        <v>#NAME?</v>
      </c>
      <c r="I397" s="462" t="n">
        <f aca="false">I$190</f>
        <v>0.240474587202079</v>
      </c>
      <c r="J397" s="473" t="n">
        <f aca="false">D397*I397</f>
        <v>171.020246922496</v>
      </c>
      <c r="K397" s="473" t="e">
        <f aca="false">H397+J397</f>
        <v>#NAME?</v>
      </c>
      <c r="L397" s="462" t="n">
        <v>0.2</v>
      </c>
      <c r="M397" s="473" t="e">
        <f aca="false">K397*L397</f>
        <v>#NAME?</v>
      </c>
      <c r="N397" s="473" t="e">
        <f aca="false">K397+M397</f>
        <v>#NAME?</v>
      </c>
      <c r="O397" s="473" t="e">
        <f aca="false">M397</f>
        <v>#NAME?</v>
      </c>
    </row>
    <row r="398" s="461" customFormat="true" ht="15" hidden="false" customHeight="false" outlineLevel="0" collapsed="false">
      <c r="A398" s="327" t="s">
        <v>683</v>
      </c>
      <c r="B398" s="328" t="s">
        <v>3147</v>
      </c>
      <c r="C398" s="472" t="e">
        <f aca="false">мат.затр!g3452</f>
        <v>#NAME?</v>
      </c>
      <c r="D398" s="472" t="n">
        <f aca="false">тарифик!J399</f>
        <v>3681.3922356091</v>
      </c>
      <c r="E398" s="472"/>
      <c r="F398" s="473" t="n">
        <f aca="false">D398*0.9*0.095+D398*3%</f>
        <v>425.200803212851</v>
      </c>
      <c r="G398" s="472" t="n">
        <f aca="false">амортизация!M1013</f>
        <v>328.294195299717</v>
      </c>
      <c r="H398" s="473" t="e">
        <f aca="false">C398+D398+F398+G398</f>
        <v>#NAME?</v>
      </c>
      <c r="I398" s="462" t="n">
        <f aca="false">I$190</f>
        <v>0.240474587202079</v>
      </c>
      <c r="J398" s="473" t="n">
        <f aca="false">D398*I398</f>
        <v>885.281278187038</v>
      </c>
      <c r="K398" s="473" t="e">
        <f aca="false">H398+J398</f>
        <v>#NAME?</v>
      </c>
      <c r="L398" s="462" t="n">
        <v>0.2</v>
      </c>
      <c r="M398" s="473" t="e">
        <f aca="false">K398*L398</f>
        <v>#NAME?</v>
      </c>
      <c r="N398" s="473" t="e">
        <f aca="false">K398+M398</f>
        <v>#NAME?</v>
      </c>
      <c r="O398" s="473" t="e">
        <f aca="false">M398</f>
        <v>#NAME?</v>
      </c>
    </row>
    <row r="399" s="461" customFormat="true" ht="15" hidden="false" customHeight="false" outlineLevel="0" collapsed="false">
      <c r="A399" s="327" t="s">
        <v>684</v>
      </c>
      <c r="B399" s="328" t="s">
        <v>3102</v>
      </c>
      <c r="C399" s="472" t="e">
        <f aca="false">мат.затр!g3464</f>
        <v>#NAME?</v>
      </c>
      <c r="D399" s="472" t="n">
        <f aca="false">тарифик!J400</f>
        <v>3681.3922356091</v>
      </c>
      <c r="E399" s="472"/>
      <c r="F399" s="473" t="n">
        <f aca="false">D399*0.9*0.095+D399*3%</f>
        <v>425.200803212851</v>
      </c>
      <c r="G399" s="472" t="n">
        <f aca="false">амортизация!M1019</f>
        <v>328.294195299717</v>
      </c>
      <c r="H399" s="473" t="e">
        <f aca="false">C399+D399+F399+G399</f>
        <v>#NAME?</v>
      </c>
      <c r="I399" s="462" t="n">
        <f aca="false">I$190</f>
        <v>0.240474587202079</v>
      </c>
      <c r="J399" s="473" t="n">
        <f aca="false">D399*I399</f>
        <v>885.281278187038</v>
      </c>
      <c r="K399" s="473" t="e">
        <f aca="false">H399+J399</f>
        <v>#NAME?</v>
      </c>
      <c r="L399" s="462" t="n">
        <v>0.2</v>
      </c>
      <c r="M399" s="473" t="e">
        <f aca="false">K399*L399</f>
        <v>#NAME?</v>
      </c>
      <c r="N399" s="473" t="e">
        <f aca="false">K399+M399</f>
        <v>#NAME?</v>
      </c>
      <c r="O399" s="473" t="e">
        <f aca="false">M399</f>
        <v>#NAME?</v>
      </c>
    </row>
    <row r="400" s="461" customFormat="true" ht="15" hidden="false" customHeight="false" outlineLevel="0" collapsed="false">
      <c r="A400" s="327" t="s">
        <v>685</v>
      </c>
      <c r="B400" s="328" t="s">
        <v>3148</v>
      </c>
      <c r="C400" s="472" t="e">
        <f aca="false">мат.затр!g3478</f>
        <v>#NAME?</v>
      </c>
      <c r="D400" s="472" t="n">
        <f aca="false">тарифик!J401</f>
        <v>1327.53235162874</v>
      </c>
      <c r="E400" s="472"/>
      <c r="F400" s="473" t="n">
        <f aca="false">D400*0.9*0.095+D400*3%</f>
        <v>153.329986613119</v>
      </c>
      <c r="G400" s="472" t="n">
        <f aca="false">амортизация!M1027</f>
        <v>283.648566488175</v>
      </c>
      <c r="H400" s="473" t="e">
        <f aca="false">C400+D400+F400+G400</f>
        <v>#NAME?</v>
      </c>
      <c r="I400" s="462" t="n">
        <f aca="false">I$190</f>
        <v>0.240474587202079</v>
      </c>
      <c r="J400" s="473" t="n">
        <f aca="false">D400*I400</f>
        <v>319.237794255326</v>
      </c>
      <c r="K400" s="473" t="e">
        <f aca="false">H400+J400</f>
        <v>#NAME?</v>
      </c>
      <c r="L400" s="462" t="n">
        <v>0.2</v>
      </c>
      <c r="M400" s="473" t="e">
        <f aca="false">K400*L400</f>
        <v>#NAME?</v>
      </c>
      <c r="N400" s="473" t="e">
        <f aca="false">K400+M400</f>
        <v>#NAME?</v>
      </c>
      <c r="O400" s="473" t="e">
        <f aca="false">M400</f>
        <v>#NAME?</v>
      </c>
    </row>
    <row r="401" s="461" customFormat="true" ht="15" hidden="false" customHeight="false" outlineLevel="0" collapsed="false">
      <c r="A401" s="327" t="s">
        <v>686</v>
      </c>
      <c r="B401" s="328" t="s">
        <v>3149</v>
      </c>
      <c r="C401" s="472" t="e">
        <f aca="false">мат.затр!g3490</f>
        <v>#NAME?</v>
      </c>
      <c r="D401" s="472" t="n">
        <f aca="false">тарифик!J402</f>
        <v>2180.94600624721</v>
      </c>
      <c r="E401" s="472"/>
      <c r="F401" s="473" t="n">
        <f aca="false">D401*0.9*0.095+D401*3%</f>
        <v>251.899263721553</v>
      </c>
      <c r="G401" s="472" t="n">
        <f aca="false">амортизация!M1032</f>
        <v>279.311272869255</v>
      </c>
      <c r="H401" s="473" t="e">
        <f aca="false">C401+D401+F401+G401</f>
        <v>#NAME?</v>
      </c>
      <c r="I401" s="462" t="n">
        <f aca="false">I$190</f>
        <v>0.240474587202079</v>
      </c>
      <c r="J401" s="473" t="n">
        <f aca="false">D401*I401</f>
        <v>524.462090562321</v>
      </c>
      <c r="K401" s="473" t="e">
        <f aca="false">H401+J401</f>
        <v>#NAME?</v>
      </c>
      <c r="L401" s="462" t="n">
        <v>0.2</v>
      </c>
      <c r="M401" s="473" t="e">
        <f aca="false">K401*L401</f>
        <v>#NAME?</v>
      </c>
      <c r="N401" s="473" t="e">
        <f aca="false">K401+M401</f>
        <v>#NAME?</v>
      </c>
      <c r="O401" s="473" t="e">
        <f aca="false">M401</f>
        <v>#NAME?</v>
      </c>
    </row>
    <row r="402" s="461" customFormat="true" ht="15" hidden="false" customHeight="false" outlineLevel="0" collapsed="false">
      <c r="A402" s="327" t="s">
        <v>687</v>
      </c>
      <c r="B402" s="328" t="s">
        <v>3164</v>
      </c>
      <c r="C402" s="472" t="e">
        <f aca="false">мат.затр!g3502</f>
        <v>#NAME?</v>
      </c>
      <c r="D402" s="472" t="n">
        <f aca="false">тарифик!J403</f>
        <v>1561.80276662204</v>
      </c>
      <c r="E402" s="472"/>
      <c r="F402" s="473" t="n">
        <f aca="false">D402*0.9*0.095+D402*3%</f>
        <v>180.388219544846</v>
      </c>
      <c r="G402" s="472" t="n">
        <f aca="false">амортизация!M1038</f>
        <v>210.329280083296</v>
      </c>
      <c r="H402" s="473" t="e">
        <f aca="false">C402+D402+F402+G402</f>
        <v>#NAME?</v>
      </c>
      <c r="I402" s="462" t="n">
        <f aca="false">I$190</f>
        <v>0.240474587202079</v>
      </c>
      <c r="J402" s="473" t="n">
        <f aca="false">D402*I402</f>
        <v>375.573875594501</v>
      </c>
      <c r="K402" s="473" t="e">
        <f aca="false">H402+J402</f>
        <v>#NAME?</v>
      </c>
      <c r="L402" s="462" t="n">
        <v>0.2</v>
      </c>
      <c r="M402" s="473" t="e">
        <f aca="false">K402*L402</f>
        <v>#NAME?</v>
      </c>
      <c r="N402" s="473" t="e">
        <f aca="false">K402+M402</f>
        <v>#NAME?</v>
      </c>
      <c r="O402" s="473" t="e">
        <f aca="false">M402</f>
        <v>#NAME?</v>
      </c>
    </row>
    <row r="403" s="461" customFormat="true" ht="15" hidden="false" customHeight="false" outlineLevel="0" collapsed="false">
      <c r="A403" s="327" t="s">
        <v>689</v>
      </c>
      <c r="B403" s="328" t="s">
        <v>3165</v>
      </c>
      <c r="C403" s="472" t="e">
        <f aca="false">мат.затр!g3520</f>
        <v>#NAME?</v>
      </c>
      <c r="D403" s="472" t="n">
        <f aca="false">тарифик!J404</f>
        <v>858.991521642124</v>
      </c>
      <c r="E403" s="472"/>
      <c r="F403" s="473" t="n">
        <f aca="false">D403*0.9*0.095+D403*3%</f>
        <v>99.2135207496653</v>
      </c>
      <c r="G403" s="472" t="n">
        <f aca="false">амортизация!M1042</f>
        <v>24.840101145322</v>
      </c>
      <c r="H403" s="473" t="e">
        <f aca="false">C403+D403+F403+G403</f>
        <v>#NAME?</v>
      </c>
      <c r="I403" s="462" t="n">
        <f aca="false">I$190</f>
        <v>0.240474587202079</v>
      </c>
      <c r="J403" s="473" t="n">
        <f aca="false">D403*I403</f>
        <v>206.565631576975</v>
      </c>
      <c r="K403" s="473" t="e">
        <f aca="false">H403+J403</f>
        <v>#NAME?</v>
      </c>
      <c r="L403" s="462" t="n">
        <v>0.2</v>
      </c>
      <c r="M403" s="473" t="e">
        <f aca="false">K403*L403</f>
        <v>#NAME?</v>
      </c>
      <c r="N403" s="473" t="e">
        <f aca="false">K403+M403</f>
        <v>#NAME?</v>
      </c>
      <c r="O403" s="473" t="e">
        <f aca="false">M403</f>
        <v>#NAME?</v>
      </c>
    </row>
    <row r="404" s="461" customFormat="true" ht="15" hidden="false" customHeight="false" outlineLevel="0" collapsed="false">
      <c r="A404" s="327" t="s">
        <v>691</v>
      </c>
      <c r="B404" s="433" t="s">
        <v>3166</v>
      </c>
      <c r="C404" s="472" t="e">
        <f aca="false">мат.затр!g3524</f>
        <v>#NAME?</v>
      </c>
      <c r="D404" s="472" t="n">
        <f aca="false">тарифик!J405</f>
        <v>1004.01606425703</v>
      </c>
      <c r="E404" s="472"/>
      <c r="F404" s="473" t="n">
        <f aca="false">D404*0.9*0.095+D404*3%</f>
        <v>115.963855421687</v>
      </c>
      <c r="G404" s="472" t="n">
        <f aca="false">амортизация!M1043</f>
        <v>1.67336010709505</v>
      </c>
      <c r="H404" s="473" t="e">
        <f aca="false">C404+D404+F404+G404</f>
        <v>#NAME?</v>
      </c>
      <c r="I404" s="462" t="n">
        <f aca="false">I$190</f>
        <v>0.240474587202079</v>
      </c>
      <c r="J404" s="473" t="n">
        <f aca="false">D404*I404</f>
        <v>241.440348596465</v>
      </c>
      <c r="K404" s="473" t="e">
        <f aca="false">H404+J404</f>
        <v>#NAME?</v>
      </c>
      <c r="L404" s="462" t="n">
        <v>0.2</v>
      </c>
      <c r="M404" s="473" t="e">
        <f aca="false">K404*L404</f>
        <v>#NAME?</v>
      </c>
      <c r="N404" s="473" t="e">
        <f aca="false">K404+M404</f>
        <v>#NAME?</v>
      </c>
      <c r="O404" s="473" t="e">
        <f aca="false">M404</f>
        <v>#NAME?</v>
      </c>
    </row>
    <row r="405" s="461" customFormat="true" ht="15" hidden="false" customHeight="false" outlineLevel="0" collapsed="false">
      <c r="A405" s="327" t="s">
        <v>693</v>
      </c>
      <c r="B405" s="433" t="s">
        <v>3167</v>
      </c>
      <c r="C405" s="472" t="e">
        <f aca="false">мат.затр!g3525</f>
        <v>#NAME?</v>
      </c>
      <c r="D405" s="472" t="n">
        <f aca="false">тарифик!J406</f>
        <v>1004.01606425703</v>
      </c>
      <c r="E405" s="472"/>
      <c r="F405" s="473" t="n">
        <f aca="false">D405*0.9*0.095+D405*3%</f>
        <v>115.963855421687</v>
      </c>
      <c r="G405" s="472" t="n">
        <f aca="false">амортизация!M1044</f>
        <v>0.843001636174327</v>
      </c>
      <c r="H405" s="473" t="e">
        <f aca="false">C405+D405+F405+G405</f>
        <v>#NAME?</v>
      </c>
      <c r="I405" s="462" t="n">
        <f aca="false">I$190</f>
        <v>0.240474587202079</v>
      </c>
      <c r="J405" s="473" t="n">
        <f aca="false">D405*I405</f>
        <v>241.440348596465</v>
      </c>
      <c r="K405" s="473" t="e">
        <f aca="false">H405+J405</f>
        <v>#NAME?</v>
      </c>
      <c r="L405" s="462" t="n">
        <v>0.2</v>
      </c>
      <c r="M405" s="473" t="e">
        <f aca="false">K405*L405</f>
        <v>#NAME?</v>
      </c>
      <c r="N405" s="473" t="e">
        <f aca="false">K405+M405</f>
        <v>#NAME?</v>
      </c>
      <c r="O405" s="473" t="e">
        <f aca="false">M405</f>
        <v>#NAME?</v>
      </c>
    </row>
    <row r="406" s="461" customFormat="true" ht="15" hidden="false" customHeight="false" outlineLevel="0" collapsed="false">
      <c r="A406" s="327" t="s">
        <v>695</v>
      </c>
      <c r="B406" s="433" t="s">
        <v>3168</v>
      </c>
      <c r="C406" s="472" t="e">
        <f aca="false">мат.затр!g3528</f>
        <v>#NAME?</v>
      </c>
      <c r="D406" s="472" t="n">
        <f aca="false">тарифик!J407</f>
        <v>1506.02409638554</v>
      </c>
      <c r="E406" s="472"/>
      <c r="F406" s="473" t="n">
        <f aca="false">D406*0.9*0.095+D406*3%</f>
        <v>173.94578313253</v>
      </c>
      <c r="G406" s="472" t="n">
        <f aca="false">амортизация!M1045</f>
        <v>0.843001636174327</v>
      </c>
      <c r="H406" s="473" t="e">
        <f aca="false">C406+D406+F406+G406</f>
        <v>#NAME?</v>
      </c>
      <c r="I406" s="462" t="n">
        <f aca="false">I$190</f>
        <v>0.240474587202079</v>
      </c>
      <c r="J406" s="473" t="n">
        <f aca="false">D406*I406</f>
        <v>362.160522894697</v>
      </c>
      <c r="K406" s="473" t="e">
        <f aca="false">H406+J406</f>
        <v>#NAME?</v>
      </c>
      <c r="L406" s="462" t="n">
        <v>0.2</v>
      </c>
      <c r="M406" s="473" t="e">
        <f aca="false">K406*L406</f>
        <v>#NAME?</v>
      </c>
      <c r="N406" s="473" t="e">
        <f aca="false">K406+M406</f>
        <v>#NAME?</v>
      </c>
      <c r="O406" s="473" t="e">
        <f aca="false">M406</f>
        <v>#NAME?</v>
      </c>
    </row>
    <row r="407" s="461" customFormat="true" ht="15" hidden="false" customHeight="false" outlineLevel="0" collapsed="false">
      <c r="A407" s="327" t="s">
        <v>697</v>
      </c>
      <c r="B407" s="433" t="s">
        <v>3169</v>
      </c>
      <c r="C407" s="472" t="e">
        <f aca="false">мат.затр!g3529</f>
        <v>#NAME?</v>
      </c>
      <c r="D407" s="472" t="n">
        <f aca="false">тарифик!J408</f>
        <v>803.212851405623</v>
      </c>
      <c r="E407" s="472"/>
      <c r="F407" s="473" t="n">
        <f aca="false">D407*0.9*0.095+D407*3%</f>
        <v>92.7710843373494</v>
      </c>
      <c r="G407" s="472" t="n">
        <f aca="false">амортизация!M1046</f>
        <v>7.53012048192771</v>
      </c>
      <c r="H407" s="473" t="e">
        <f aca="false">C407+D407+F407+G407</f>
        <v>#NAME?</v>
      </c>
      <c r="I407" s="462" t="n">
        <f aca="false">I$190</f>
        <v>0.240474587202079</v>
      </c>
      <c r="J407" s="473" t="n">
        <f aca="false">D407*I407</f>
        <v>193.152278877172</v>
      </c>
      <c r="K407" s="473" t="e">
        <f aca="false">H407+J407</f>
        <v>#NAME?</v>
      </c>
      <c r="L407" s="462" t="n">
        <v>0.2</v>
      </c>
      <c r="M407" s="473" t="e">
        <f aca="false">K407*L407</f>
        <v>#NAME?</v>
      </c>
      <c r="N407" s="473" t="e">
        <f aca="false">K407+M407</f>
        <v>#NAME?</v>
      </c>
      <c r="O407" s="473" t="e">
        <f aca="false">M407</f>
        <v>#NAME?</v>
      </c>
    </row>
    <row r="408" s="461" customFormat="true" ht="15" hidden="false" customHeight="false" outlineLevel="0" collapsed="false">
      <c r="A408" s="350" t="s">
        <v>699</v>
      </c>
      <c r="B408" s="467" t="s">
        <v>3170</v>
      </c>
      <c r="C408" s="468"/>
      <c r="D408" s="468"/>
      <c r="E408" s="468"/>
      <c r="F408" s="474"/>
      <c r="G408" s="468"/>
      <c r="H408" s="474"/>
      <c r="I408" s="475"/>
      <c r="J408" s="474"/>
      <c r="K408" s="474"/>
      <c r="L408" s="475"/>
      <c r="M408" s="474"/>
      <c r="N408" s="474"/>
      <c r="O408" s="474"/>
    </row>
    <row r="409" s="461" customFormat="true" ht="15" hidden="false" customHeight="false" outlineLevel="0" collapsed="false">
      <c r="A409" s="327" t="s">
        <v>701</v>
      </c>
      <c r="B409" s="328" t="s">
        <v>3010</v>
      </c>
      <c r="C409" s="472" t="e">
        <f aca="false">мат.затр!g3531</f>
        <v>#NAME?</v>
      </c>
      <c r="D409" s="472" t="n">
        <f aca="false">тарифик!J410</f>
        <v>753.012048192771</v>
      </c>
      <c r="E409" s="472"/>
      <c r="F409" s="473" t="n">
        <f aca="false">D409*0.9*0.095+D409*3%</f>
        <v>86.9728915662651</v>
      </c>
      <c r="G409" s="472" t="n">
        <f aca="false">амортизация!M1048</f>
        <v>7.53012048192771</v>
      </c>
      <c r="H409" s="473" t="e">
        <f aca="false">C409+D409+F409+G409</f>
        <v>#NAME?</v>
      </c>
      <c r="I409" s="462" t="n">
        <f aca="false">I$190</f>
        <v>0.240474587202079</v>
      </c>
      <c r="J409" s="473" t="n">
        <f aca="false">D409*I409</f>
        <v>181.080261447349</v>
      </c>
      <c r="K409" s="473" t="e">
        <f aca="false">H409+J409</f>
        <v>#NAME?</v>
      </c>
      <c r="L409" s="462" t="n">
        <v>0.2</v>
      </c>
      <c r="M409" s="473" t="e">
        <f aca="false">K409*L409</f>
        <v>#NAME?</v>
      </c>
      <c r="N409" s="473" t="e">
        <f aca="false">K409+M409</f>
        <v>#NAME?</v>
      </c>
      <c r="O409" s="473" t="e">
        <f aca="false">M409</f>
        <v>#NAME?</v>
      </c>
    </row>
    <row r="410" s="461" customFormat="true" ht="15" hidden="false" customHeight="false" outlineLevel="0" collapsed="false">
      <c r="A410" s="327" t="s">
        <v>702</v>
      </c>
      <c r="B410" s="328" t="s">
        <v>3171</v>
      </c>
      <c r="C410" s="472" t="e">
        <f aca="false">мат.затр!g3538</f>
        <v>#NAME?</v>
      </c>
      <c r="D410" s="472" t="n">
        <f aca="false">тарифик!J411</f>
        <v>150.602409638554</v>
      </c>
      <c r="E410" s="472"/>
      <c r="F410" s="473" t="n">
        <f aca="false">D410*0.9*0.095+D410*3%</f>
        <v>17.394578313253</v>
      </c>
      <c r="G410" s="472" t="n">
        <f aca="false">амортизация!M1049</f>
        <v>0.843001636174327</v>
      </c>
      <c r="H410" s="473" t="e">
        <f aca="false">C410+D410+F410+G410</f>
        <v>#NAME?</v>
      </c>
      <c r="I410" s="462" t="n">
        <f aca="false">I$190</f>
        <v>0.240474587202079</v>
      </c>
      <c r="J410" s="473" t="n">
        <f aca="false">D410*I410</f>
        <v>36.2160522894697</v>
      </c>
      <c r="K410" s="473" t="e">
        <f aca="false">H410+J410</f>
        <v>#NAME?</v>
      </c>
      <c r="L410" s="462" t="n">
        <v>0.2</v>
      </c>
      <c r="M410" s="473" t="e">
        <f aca="false">K410*L410</f>
        <v>#NAME?</v>
      </c>
      <c r="N410" s="473" t="e">
        <f aca="false">K410+M410</f>
        <v>#NAME?</v>
      </c>
      <c r="O410" s="473" t="e">
        <f aca="false">M410</f>
        <v>#NAME?</v>
      </c>
    </row>
    <row r="411" s="461" customFormat="true" ht="15" hidden="false" customHeight="false" outlineLevel="0" collapsed="false">
      <c r="A411" s="327" t="s">
        <v>703</v>
      </c>
      <c r="B411" s="328" t="s">
        <v>3172</v>
      </c>
      <c r="C411" s="472" t="e">
        <f aca="false">мат.затр!g3546</f>
        <v>#NAME?</v>
      </c>
      <c r="D411" s="472" t="n">
        <f aca="false">тарифик!J412</f>
        <v>1204.81927710843</v>
      </c>
      <c r="E411" s="472"/>
      <c r="F411" s="473" t="n">
        <f aca="false">D411*0.9*0.095+D411*3%</f>
        <v>139.156626506024</v>
      </c>
      <c r="G411" s="472" t="n">
        <f aca="false">амортизация!M1052</f>
        <v>8.19142309980663</v>
      </c>
      <c r="H411" s="473" t="e">
        <f aca="false">C411+D411+F411+G411</f>
        <v>#NAME?</v>
      </c>
      <c r="I411" s="462" t="n">
        <f aca="false">I$190</f>
        <v>0.240474587202079</v>
      </c>
      <c r="J411" s="473" t="n">
        <f aca="false">D411*I411</f>
        <v>289.728418315758</v>
      </c>
      <c r="K411" s="473" t="e">
        <f aca="false">H411+J411</f>
        <v>#NAME?</v>
      </c>
      <c r="L411" s="462" t="n">
        <v>0.2</v>
      </c>
      <c r="M411" s="473" t="e">
        <f aca="false">K411*L411</f>
        <v>#NAME?</v>
      </c>
      <c r="N411" s="473" t="e">
        <f aca="false">K411+M411</f>
        <v>#NAME?</v>
      </c>
      <c r="O411" s="473" t="e">
        <f aca="false">M411</f>
        <v>#NAME?</v>
      </c>
    </row>
    <row r="412" s="461" customFormat="true" ht="15" hidden="false" customHeight="false" outlineLevel="0" collapsed="false">
      <c r="A412" s="327" t="s">
        <v>705</v>
      </c>
      <c r="B412" s="328" t="s">
        <v>3173</v>
      </c>
      <c r="C412" s="472" t="e">
        <f aca="false">мат.затр!g3557</f>
        <v>#NAME?</v>
      </c>
      <c r="D412" s="472" t="n">
        <f aca="false">тарифик!J413</f>
        <v>803.212851405623</v>
      </c>
      <c r="E412" s="472"/>
      <c r="F412" s="473" t="n">
        <f aca="false">D412*0.9*0.095+D412*3%</f>
        <v>92.7710843373494</v>
      </c>
      <c r="G412" s="472" t="n">
        <f aca="false">амортизация!M1053</f>
        <v>0.843001636174327</v>
      </c>
      <c r="H412" s="473" t="e">
        <f aca="false">C412+D412+F412+G412</f>
        <v>#NAME?</v>
      </c>
      <c r="I412" s="462" t="n">
        <f aca="false">I$190</f>
        <v>0.240474587202079</v>
      </c>
      <c r="J412" s="473" t="n">
        <f aca="false">D412*I412</f>
        <v>193.152278877172</v>
      </c>
      <c r="K412" s="473" t="e">
        <f aca="false">H412+J412</f>
        <v>#NAME?</v>
      </c>
      <c r="L412" s="462" t="n">
        <v>0.2</v>
      </c>
      <c r="M412" s="473" t="e">
        <f aca="false">K412*L412</f>
        <v>#NAME?</v>
      </c>
      <c r="N412" s="473" t="e">
        <f aca="false">K412+M412</f>
        <v>#NAME?</v>
      </c>
      <c r="O412" s="473" t="e">
        <f aca="false">M412</f>
        <v>#NAME?</v>
      </c>
    </row>
    <row r="413" s="461" customFormat="true" ht="15" hidden="false" customHeight="false" outlineLevel="0" collapsed="false">
      <c r="A413" s="327" t="s">
        <v>707</v>
      </c>
      <c r="B413" s="328" t="s">
        <v>3174</v>
      </c>
      <c r="C413" s="472" t="e">
        <f aca="false">мат.затр!g3563</f>
        <v>#NAME?</v>
      </c>
      <c r="D413" s="472" t="n">
        <f aca="false">тарифик!J414</f>
        <v>1087.68406961178</v>
      </c>
      <c r="E413" s="472"/>
      <c r="F413" s="473" t="n">
        <f aca="false">D413*0.9*0.095+D413*3%</f>
        <v>125.627510040161</v>
      </c>
      <c r="G413" s="472" t="n">
        <f aca="false">амортизация!M1056</f>
        <v>8.19142309980663</v>
      </c>
      <c r="H413" s="473" t="e">
        <f aca="false">C413+D413+F413+G413</f>
        <v>#NAME?</v>
      </c>
      <c r="I413" s="462" t="n">
        <f aca="false">I$190</f>
        <v>0.240474587202079</v>
      </c>
      <c r="J413" s="473" t="n">
        <f aca="false">D413*I413</f>
        <v>261.56037764617</v>
      </c>
      <c r="K413" s="473" t="e">
        <f aca="false">H413+J413</f>
        <v>#NAME?</v>
      </c>
      <c r="L413" s="462" t="n">
        <v>0.2</v>
      </c>
      <c r="M413" s="473" t="e">
        <f aca="false">K413*L413</f>
        <v>#NAME?</v>
      </c>
      <c r="N413" s="473" t="e">
        <f aca="false">K413+M413</f>
        <v>#NAME?</v>
      </c>
      <c r="O413" s="473" t="e">
        <f aca="false">M413</f>
        <v>#NAME?</v>
      </c>
    </row>
    <row r="414" s="461" customFormat="true" ht="15" hidden="false" customHeight="false" outlineLevel="0" collapsed="false">
      <c r="A414" s="327" t="s">
        <v>709</v>
      </c>
      <c r="B414" s="328" t="s">
        <v>3175</v>
      </c>
      <c r="C414" s="472" t="e">
        <f aca="false">мат.затр!g3571</f>
        <v>#NAME?</v>
      </c>
      <c r="D414" s="472" t="n">
        <f aca="false">тарифик!J415</f>
        <v>736.278447121821</v>
      </c>
      <c r="E414" s="472"/>
      <c r="F414" s="473" t="n">
        <f aca="false">D414*0.9*0.095+D414*3%</f>
        <v>85.0401606425703</v>
      </c>
      <c r="G414" s="472" t="n">
        <f aca="false">амортизация!M1057</f>
        <v>0.843001636174327</v>
      </c>
      <c r="H414" s="473" t="e">
        <f aca="false">C414+D414+F414+G414</f>
        <v>#NAME?</v>
      </c>
      <c r="I414" s="462" t="n">
        <f aca="false">I$190</f>
        <v>0.240474587202079</v>
      </c>
      <c r="J414" s="473" t="n">
        <f aca="false">D414*I414</f>
        <v>177.056255637408</v>
      </c>
      <c r="K414" s="473" t="e">
        <f aca="false">H414+J414</f>
        <v>#NAME?</v>
      </c>
      <c r="L414" s="462" t="n">
        <v>0.2</v>
      </c>
      <c r="M414" s="473" t="e">
        <f aca="false">K414*L414</f>
        <v>#NAME?</v>
      </c>
      <c r="N414" s="473" t="e">
        <f aca="false">K414+M414</f>
        <v>#NAME?</v>
      </c>
      <c r="O414" s="473" t="e">
        <f aca="false">M414</f>
        <v>#NAME?</v>
      </c>
    </row>
    <row r="415" s="461" customFormat="true" ht="15" hidden="false" customHeight="false" outlineLevel="0" collapsed="false">
      <c r="A415" s="327" t="s">
        <v>711</v>
      </c>
      <c r="B415" s="328" t="s">
        <v>3176</v>
      </c>
      <c r="C415" s="472" t="e">
        <f aca="false">мат.затр!g3574</f>
        <v>#NAME?</v>
      </c>
      <c r="D415" s="472" t="n">
        <f aca="false">тарифик!J416</f>
        <v>920.348058902276</v>
      </c>
      <c r="E415" s="472"/>
      <c r="F415" s="473" t="n">
        <f aca="false">D415*0.9*0.095+D415*3%</f>
        <v>106.300200803213</v>
      </c>
      <c r="G415" s="472" t="n">
        <f aca="false">амортизация!M1060</f>
        <v>8.37312211810204</v>
      </c>
      <c r="H415" s="473" t="e">
        <f aca="false">C415+D415+F415+G415</f>
        <v>#NAME?</v>
      </c>
      <c r="I415" s="462" t="n">
        <f aca="false">I$190</f>
        <v>0.240474587202079</v>
      </c>
      <c r="J415" s="473" t="n">
        <f aca="false">D415*I415</f>
        <v>221.320319546759</v>
      </c>
      <c r="K415" s="473" t="e">
        <f aca="false">H415+J415</f>
        <v>#NAME?</v>
      </c>
      <c r="L415" s="462" t="n">
        <v>0.2</v>
      </c>
      <c r="M415" s="473" t="e">
        <f aca="false">K415*L415</f>
        <v>#NAME?</v>
      </c>
      <c r="N415" s="473" t="e">
        <f aca="false">K415+M415</f>
        <v>#NAME?</v>
      </c>
      <c r="O415" s="473" t="e">
        <f aca="false">M415</f>
        <v>#NAME?</v>
      </c>
    </row>
    <row r="416" s="461" customFormat="true" ht="15" hidden="false" customHeight="false" outlineLevel="0" collapsed="false">
      <c r="A416" s="327" t="s">
        <v>713</v>
      </c>
      <c r="B416" s="328" t="s">
        <v>3177</v>
      </c>
      <c r="C416" s="472" t="e">
        <f aca="false">мат.затр!g3581</f>
        <v>#NAME?</v>
      </c>
      <c r="D416" s="472" t="n">
        <f aca="false">тарифик!J417</f>
        <v>1227.13074520303</v>
      </c>
      <c r="E416" s="472"/>
      <c r="F416" s="473" t="n">
        <f aca="false">D416*0.9*0.095+D416*3%</f>
        <v>141.73360107095</v>
      </c>
      <c r="G416" s="472" t="n">
        <f aca="false">амортизация!M1063</f>
        <v>46.7877063810799</v>
      </c>
      <c r="H416" s="473" t="e">
        <f aca="false">C416+D416+F416+G416</f>
        <v>#NAME?</v>
      </c>
      <c r="I416" s="462" t="n">
        <f aca="false">I$190</f>
        <v>0.240474587202079</v>
      </c>
      <c r="J416" s="473" t="n">
        <f aca="false">D416*I416</f>
        <v>295.093759395679</v>
      </c>
      <c r="K416" s="473" t="e">
        <f aca="false">H416+J416</f>
        <v>#NAME?</v>
      </c>
      <c r="L416" s="462" t="n">
        <v>0.2</v>
      </c>
      <c r="M416" s="473" t="e">
        <f aca="false">K416*L416</f>
        <v>#NAME?</v>
      </c>
      <c r="N416" s="473" t="e">
        <f aca="false">K416+M416</f>
        <v>#NAME?</v>
      </c>
      <c r="O416" s="473" t="e">
        <f aca="false">M416</f>
        <v>#NAME?</v>
      </c>
    </row>
    <row r="417" s="461" customFormat="true" ht="15" hidden="false" customHeight="false" outlineLevel="0" collapsed="false">
      <c r="A417" s="327" t="s">
        <v>715</v>
      </c>
      <c r="B417" s="328" t="s">
        <v>3178</v>
      </c>
      <c r="C417" s="472" t="e">
        <f aca="false">мат.затр!g3588</f>
        <v>#NAME?</v>
      </c>
      <c r="D417" s="472" t="n">
        <f aca="false">тарифик!J418</f>
        <v>942.659526996876</v>
      </c>
      <c r="E417" s="472"/>
      <c r="F417" s="473" t="n">
        <f aca="false">D417*0.9*0.095+D417*3%</f>
        <v>108.877175368139</v>
      </c>
      <c r="G417" s="472" t="n">
        <f aca="false">амортизация!M1064</f>
        <v>0.843001636174327</v>
      </c>
      <c r="H417" s="473" t="e">
        <f aca="false">C417+D417+F417+G417</f>
        <v>#NAME?</v>
      </c>
      <c r="I417" s="462" t="n">
        <f aca="false">I$190</f>
        <v>0.240474587202079</v>
      </c>
      <c r="J417" s="473" t="n">
        <f aca="false">D417*I417</f>
        <v>226.685660626681</v>
      </c>
      <c r="K417" s="473" t="e">
        <f aca="false">H417+J417</f>
        <v>#NAME?</v>
      </c>
      <c r="L417" s="462" t="n">
        <v>0.2</v>
      </c>
      <c r="M417" s="473" t="e">
        <f aca="false">K417*L417</f>
        <v>#NAME?</v>
      </c>
      <c r="N417" s="473" t="e">
        <f aca="false">K417+M417</f>
        <v>#NAME?</v>
      </c>
      <c r="O417" s="473" t="e">
        <f aca="false">M417</f>
        <v>#NAME?</v>
      </c>
    </row>
    <row r="418" s="461" customFormat="true" ht="15" hidden="false" customHeight="false" outlineLevel="0" collapsed="false">
      <c r="A418" s="327" t="s">
        <v>716</v>
      </c>
      <c r="B418" s="328" t="s">
        <v>3179</v>
      </c>
      <c r="C418" s="472" t="e">
        <f aca="false">мат.затр!g3593</f>
        <v>#NAME?</v>
      </c>
      <c r="D418" s="472" t="n">
        <f aca="false">тарифик!J419</f>
        <v>942.659526996876</v>
      </c>
      <c r="E418" s="472"/>
      <c r="F418" s="473" t="n">
        <f aca="false">D418*0.9*0.095+D418*3%</f>
        <v>108.877175368139</v>
      </c>
      <c r="G418" s="472" t="n">
        <f aca="false">амортизация!M1065</f>
        <v>0.843001636174327</v>
      </c>
      <c r="H418" s="473" t="e">
        <f aca="false">C418+D418+F418+G418</f>
        <v>#NAME?</v>
      </c>
      <c r="I418" s="462" t="n">
        <f aca="false">I$190</f>
        <v>0.240474587202079</v>
      </c>
      <c r="J418" s="473" t="n">
        <f aca="false">D418*I418</f>
        <v>226.685660626681</v>
      </c>
      <c r="K418" s="473" t="e">
        <f aca="false">H418+J418</f>
        <v>#NAME?</v>
      </c>
      <c r="L418" s="462" t="n">
        <v>0.2</v>
      </c>
      <c r="M418" s="473" t="e">
        <f aca="false">K418*L418</f>
        <v>#NAME?</v>
      </c>
      <c r="N418" s="473" t="e">
        <f aca="false">K418+M418</f>
        <v>#NAME?</v>
      </c>
      <c r="O418" s="473" t="e">
        <f aca="false">M418</f>
        <v>#NAME?</v>
      </c>
    </row>
    <row r="419" s="461" customFormat="true" ht="15" hidden="false" customHeight="false" outlineLevel="0" collapsed="false">
      <c r="A419" s="327" t="s">
        <v>718</v>
      </c>
      <c r="B419" s="328" t="s">
        <v>3180</v>
      </c>
      <c r="C419" s="472" t="e">
        <f aca="false">мат.затр!g3596</f>
        <v>#NAME?</v>
      </c>
      <c r="D419" s="472" t="n">
        <f aca="false">тарифик!J420</f>
        <v>1271.75368139224</v>
      </c>
      <c r="E419" s="472"/>
      <c r="F419" s="473" t="n">
        <f aca="false">D419*0.9*0.095+D419*3%</f>
        <v>146.887550200803</v>
      </c>
      <c r="G419" s="472" t="n">
        <f aca="false">амортизация!M1066</f>
        <v>0.843001636174327</v>
      </c>
      <c r="H419" s="473" t="e">
        <f aca="false">C419+D419+F419+G419</f>
        <v>#NAME?</v>
      </c>
      <c r="I419" s="462" t="n">
        <f aca="false">I$190</f>
        <v>0.240474587202079</v>
      </c>
      <c r="J419" s="473" t="n">
        <f aca="false">D419*I419</f>
        <v>305.824441555522</v>
      </c>
      <c r="K419" s="473" t="e">
        <f aca="false">H419+J419</f>
        <v>#NAME?</v>
      </c>
      <c r="L419" s="462" t="n">
        <v>0.2</v>
      </c>
      <c r="M419" s="473" t="e">
        <f aca="false">K419*L419</f>
        <v>#NAME?</v>
      </c>
      <c r="N419" s="473" t="e">
        <f aca="false">K419+M419</f>
        <v>#NAME?</v>
      </c>
      <c r="O419" s="473" t="e">
        <f aca="false">M419</f>
        <v>#NAME?</v>
      </c>
    </row>
    <row r="420" s="461" customFormat="true" ht="15" hidden="false" customHeight="false" outlineLevel="0" collapsed="false">
      <c r="A420" s="327" t="s">
        <v>720</v>
      </c>
      <c r="B420" s="328" t="s">
        <v>3181</v>
      </c>
      <c r="C420" s="472" t="e">
        <f aca="false">мат.затр!g3601</f>
        <v>#NAME?</v>
      </c>
      <c r="D420" s="472" t="n">
        <f aca="false">тарифик!J421</f>
        <v>870.147255689424</v>
      </c>
      <c r="E420" s="472"/>
      <c r="F420" s="473" t="n">
        <f aca="false">D420*0.9*0.095+D420*3%</f>
        <v>100.502008032129</v>
      </c>
      <c r="G420" s="472" t="n">
        <f aca="false">амортизация!M1069</f>
        <v>8.19142309980663</v>
      </c>
      <c r="H420" s="473" t="e">
        <f aca="false">C420+D420+F420+G420</f>
        <v>#NAME?</v>
      </c>
      <c r="I420" s="462" t="n">
        <f aca="false">I$190</f>
        <v>0.240474587202079</v>
      </c>
      <c r="J420" s="473" t="n">
        <f aca="false">D420*I420</f>
        <v>209.248302116936</v>
      </c>
      <c r="K420" s="473" t="e">
        <f aca="false">H420+J420</f>
        <v>#NAME?</v>
      </c>
      <c r="L420" s="462" t="n">
        <v>0.2</v>
      </c>
      <c r="M420" s="473" t="e">
        <f aca="false">K420*L420</f>
        <v>#NAME?</v>
      </c>
      <c r="N420" s="473" t="e">
        <f aca="false">K420+M420</f>
        <v>#NAME?</v>
      </c>
      <c r="O420" s="473" t="e">
        <f aca="false">M420</f>
        <v>#NAME?</v>
      </c>
    </row>
    <row r="421" s="461" customFormat="true" ht="15" hidden="false" customHeight="false" outlineLevel="0" collapsed="false">
      <c r="A421" s="327" t="s">
        <v>722</v>
      </c>
      <c r="B421" s="328" t="s">
        <v>3182</v>
      </c>
      <c r="C421" s="472" t="e">
        <f aca="false">мат.затр!g3611</f>
        <v>#NAME?</v>
      </c>
      <c r="D421" s="472" t="n">
        <f aca="false">тарифик!J422</f>
        <v>1137.88487282463</v>
      </c>
      <c r="E421" s="472"/>
      <c r="F421" s="473" t="n">
        <f aca="false">D421*0.9*0.095+D421*3%</f>
        <v>131.425702811245</v>
      </c>
      <c r="G421" s="472" t="n">
        <f aca="false">амортизация!M1072</f>
        <v>276.511230105608</v>
      </c>
      <c r="H421" s="473" t="e">
        <f aca="false">C421+D421+F421+G421</f>
        <v>#NAME?</v>
      </c>
      <c r="I421" s="462" t="n">
        <f aca="false">I$190</f>
        <v>0.240474587202079</v>
      </c>
      <c r="J421" s="473" t="n">
        <f aca="false">D421*I421</f>
        <v>273.632395075994</v>
      </c>
      <c r="K421" s="473" t="e">
        <f aca="false">H421+J421</f>
        <v>#NAME?</v>
      </c>
      <c r="L421" s="462" t="n">
        <v>0.2</v>
      </c>
      <c r="M421" s="473" t="e">
        <f aca="false">K421*L421</f>
        <v>#NAME?</v>
      </c>
      <c r="N421" s="473" t="e">
        <f aca="false">K421+M421</f>
        <v>#NAME?</v>
      </c>
      <c r="O421" s="473" t="e">
        <f aca="false">M421</f>
        <v>#NAME?</v>
      </c>
    </row>
    <row r="422" s="461" customFormat="true" ht="15" hidden="false" customHeight="false" outlineLevel="0" collapsed="false">
      <c r="A422" s="327" t="s">
        <v>724</v>
      </c>
      <c r="B422" s="328" t="s">
        <v>3183</v>
      </c>
      <c r="C422" s="472" t="e">
        <f aca="false">мат.затр!g3614</f>
        <v>#NAME?</v>
      </c>
      <c r="D422" s="472" t="n">
        <f aca="false">тарифик!J423</f>
        <v>1227.13074520303</v>
      </c>
      <c r="E422" s="472"/>
      <c r="F422" s="473" t="n">
        <f aca="false">D422*0.9*0.095+D422*3%</f>
        <v>141.73360107095</v>
      </c>
      <c r="G422" s="472" t="n">
        <f aca="false">амортизация!M1075</f>
        <v>2.23746839208687</v>
      </c>
      <c r="H422" s="473" t="e">
        <f aca="false">C422+D422+F422+G422</f>
        <v>#NAME?</v>
      </c>
      <c r="I422" s="462" t="n">
        <f aca="false">I$190</f>
        <v>0.240474587202079</v>
      </c>
      <c r="J422" s="473" t="n">
        <f aca="false">D422*I422</f>
        <v>295.093759395679</v>
      </c>
      <c r="K422" s="473" t="e">
        <f aca="false">H422+J422</f>
        <v>#NAME?</v>
      </c>
      <c r="L422" s="462" t="n">
        <v>0.2</v>
      </c>
      <c r="M422" s="473" t="e">
        <f aca="false">K422*L422</f>
        <v>#NAME?</v>
      </c>
      <c r="N422" s="473" t="e">
        <f aca="false">K422+M422</f>
        <v>#NAME?</v>
      </c>
      <c r="O422" s="473" t="e">
        <f aca="false">M422</f>
        <v>#NAME?</v>
      </c>
    </row>
    <row r="423" s="461" customFormat="true" ht="15" hidden="false" customHeight="false" outlineLevel="0" collapsed="false">
      <c r="A423" s="327" t="s">
        <v>726</v>
      </c>
      <c r="B423" s="328" t="s">
        <v>3184</v>
      </c>
      <c r="C423" s="472" t="e">
        <f aca="false">мат.затр!g3621</f>
        <v>#NAME?</v>
      </c>
      <c r="D423" s="472" t="n">
        <f aca="false">тарифик!J424</f>
        <v>1271.75368139224</v>
      </c>
      <c r="E423" s="472"/>
      <c r="F423" s="473" t="n">
        <f aca="false">D423*0.9*0.095+D423*3%</f>
        <v>146.887550200803</v>
      </c>
      <c r="G423" s="472" t="n">
        <f aca="false">амортизация!M1078</f>
        <v>8.19142309980663</v>
      </c>
      <c r="H423" s="473" t="e">
        <f aca="false">C423+D423+F423+G423</f>
        <v>#NAME?</v>
      </c>
      <c r="I423" s="462" t="n">
        <f aca="false">I$190</f>
        <v>0.240474587202079</v>
      </c>
      <c r="J423" s="473" t="n">
        <f aca="false">D423*I423</f>
        <v>305.824441555522</v>
      </c>
      <c r="K423" s="473" t="e">
        <f aca="false">H423+J423</f>
        <v>#NAME?</v>
      </c>
      <c r="L423" s="462" t="n">
        <v>0.2</v>
      </c>
      <c r="M423" s="473" t="e">
        <f aca="false">K423*L423</f>
        <v>#NAME?</v>
      </c>
      <c r="N423" s="473" t="e">
        <f aca="false">K423+M423</f>
        <v>#NAME?</v>
      </c>
      <c r="O423" s="473" t="e">
        <f aca="false">M423</f>
        <v>#NAME?</v>
      </c>
    </row>
    <row r="424" s="461" customFormat="true" ht="15" hidden="false" customHeight="false" outlineLevel="0" collapsed="false">
      <c r="A424" s="327" t="s">
        <v>728</v>
      </c>
      <c r="B424" s="328" t="s">
        <v>3185</v>
      </c>
      <c r="C424" s="472" t="e">
        <f aca="false">мат.затр!g3627</f>
        <v>#NAME?</v>
      </c>
      <c r="D424" s="472" t="n">
        <f aca="false">тарифик!J425</f>
        <v>937.081659973226</v>
      </c>
      <c r="E424" s="472"/>
      <c r="F424" s="473" t="n">
        <f aca="false">D424*0.9*0.095+D424*3%</f>
        <v>108.232931726908</v>
      </c>
      <c r="G424" s="472" t="n">
        <f aca="false">амортизация!M1081</f>
        <v>8.19142309980663</v>
      </c>
      <c r="H424" s="473" t="e">
        <f aca="false">C424+D424+F424+G424</f>
        <v>#NAME?</v>
      </c>
      <c r="I424" s="462" t="n">
        <f aca="false">I$190</f>
        <v>0.240474587202079</v>
      </c>
      <c r="J424" s="473" t="n">
        <f aca="false">D424*I424</f>
        <v>225.344325356701</v>
      </c>
      <c r="K424" s="473" t="e">
        <f aca="false">H424+J424</f>
        <v>#NAME?</v>
      </c>
      <c r="L424" s="462" t="n">
        <v>0.2</v>
      </c>
      <c r="M424" s="473" t="e">
        <f aca="false">K424*L424</f>
        <v>#NAME?</v>
      </c>
      <c r="N424" s="473" t="e">
        <f aca="false">K424+M424</f>
        <v>#NAME?</v>
      </c>
      <c r="O424" s="473" t="e">
        <f aca="false">M424</f>
        <v>#NAME?</v>
      </c>
    </row>
    <row r="425" s="461" customFormat="true" ht="15" hidden="false" customHeight="false" outlineLevel="0" collapsed="false">
      <c r="A425" s="327" t="s">
        <v>730</v>
      </c>
      <c r="B425" s="328" t="s">
        <v>3186</v>
      </c>
      <c r="C425" s="472" t="e">
        <f aca="false">мат.затр!g3630</f>
        <v>#NAME?</v>
      </c>
      <c r="D425" s="472" t="n">
        <f aca="false">тарифик!J426</f>
        <v>1059.79473449353</v>
      </c>
      <c r="E425" s="472"/>
      <c r="F425" s="473" t="n">
        <f aca="false">D425*0.9*0.095+D425*3%</f>
        <v>122.406291834003</v>
      </c>
      <c r="G425" s="472" t="n">
        <f aca="false">амортизация!M1082</f>
        <v>7.53012048192771</v>
      </c>
      <c r="H425" s="473" t="e">
        <f aca="false">C425+D425+F425+G425</f>
        <v>#NAME?</v>
      </c>
      <c r="I425" s="462" t="n">
        <f aca="false">I$190</f>
        <v>0.240474587202079</v>
      </c>
      <c r="J425" s="473" t="n">
        <f aca="false">D425*I425</f>
        <v>254.853701296268</v>
      </c>
      <c r="K425" s="473" t="e">
        <f aca="false">H425+J425</f>
        <v>#NAME?</v>
      </c>
      <c r="L425" s="462" t="n">
        <v>0.2</v>
      </c>
      <c r="M425" s="473" t="e">
        <f aca="false">K425*L425</f>
        <v>#NAME?</v>
      </c>
      <c r="N425" s="473" t="e">
        <f aca="false">K425+M425</f>
        <v>#NAME?</v>
      </c>
      <c r="O425" s="473" t="e">
        <f aca="false">M425</f>
        <v>#NAME?</v>
      </c>
    </row>
    <row r="426" s="461" customFormat="true" ht="15" hidden="false" customHeight="false" outlineLevel="0" collapsed="false">
      <c r="A426" s="327" t="s">
        <v>731</v>
      </c>
      <c r="B426" s="328" t="s">
        <v>3187</v>
      </c>
      <c r="C426" s="472" t="e">
        <f aca="false">мат.затр!g3634</f>
        <v>#NAME?</v>
      </c>
      <c r="D426" s="472" t="n">
        <f aca="false">тарифик!J427</f>
        <v>836.680053547523</v>
      </c>
      <c r="E426" s="472"/>
      <c r="F426" s="473" t="n">
        <f aca="false">D426*0.9*0.095+D426*3%</f>
        <v>96.636546184739</v>
      </c>
      <c r="G426" s="472" t="n">
        <f aca="false">амортизация!M1086</f>
        <v>4.98735683474639</v>
      </c>
      <c r="H426" s="473" t="e">
        <f aca="false">C426+D426+F426+G426</f>
        <v>#NAME?</v>
      </c>
      <c r="I426" s="462" t="n">
        <f aca="false">I$190</f>
        <v>0.240474587202079</v>
      </c>
      <c r="J426" s="473" t="n">
        <f aca="false">D426*I426</f>
        <v>201.200290497054</v>
      </c>
      <c r="K426" s="473" t="e">
        <f aca="false">H426+J426</f>
        <v>#NAME?</v>
      </c>
      <c r="L426" s="462" t="n">
        <v>0.2</v>
      </c>
      <c r="M426" s="473" t="e">
        <f aca="false">K426*L426</f>
        <v>#NAME?</v>
      </c>
      <c r="N426" s="473" t="e">
        <f aca="false">K426+M426</f>
        <v>#NAME?</v>
      </c>
      <c r="O426" s="473" t="e">
        <f aca="false">M426</f>
        <v>#NAME?</v>
      </c>
    </row>
    <row r="427" s="461" customFormat="true" ht="15" hidden="false" customHeight="false" outlineLevel="0" collapsed="false">
      <c r="A427" s="327" t="s">
        <v>732</v>
      </c>
      <c r="B427" s="328" t="s">
        <v>3147</v>
      </c>
      <c r="C427" s="472" t="e">
        <f aca="false">мат.затр!g3646</f>
        <v>#NAME?</v>
      </c>
      <c r="D427" s="472" t="n">
        <f aca="false">тарифик!J428</f>
        <v>2945.11378848728</v>
      </c>
      <c r="E427" s="472"/>
      <c r="F427" s="473" t="n">
        <f aca="false">D427*0.9*0.095+D427*3%</f>
        <v>340.160642570281</v>
      </c>
      <c r="G427" s="472" t="n">
        <f aca="false">амортизация!M1091</f>
        <v>398.320383385394</v>
      </c>
      <c r="H427" s="473" t="e">
        <f aca="false">C427+D427+F427+G427</f>
        <v>#NAME?</v>
      </c>
      <c r="I427" s="462" t="n">
        <f aca="false">I$190</f>
        <v>0.240474587202079</v>
      </c>
      <c r="J427" s="473" t="n">
        <f aca="false">D427*I427</f>
        <v>708.22502254963</v>
      </c>
      <c r="K427" s="473" t="e">
        <f aca="false">H427+J427</f>
        <v>#NAME?</v>
      </c>
      <c r="L427" s="462" t="n">
        <v>0.2</v>
      </c>
      <c r="M427" s="473" t="e">
        <f aca="false">K427*L427</f>
        <v>#NAME?</v>
      </c>
      <c r="N427" s="473" t="e">
        <f aca="false">K427+M427</f>
        <v>#NAME?</v>
      </c>
      <c r="O427" s="473" t="e">
        <f aca="false">M427</f>
        <v>#NAME?</v>
      </c>
    </row>
    <row r="428" s="461" customFormat="true" ht="15" hidden="false" customHeight="false" outlineLevel="0" collapsed="false">
      <c r="A428" s="327" t="s">
        <v>733</v>
      </c>
      <c r="B428" s="328" t="s">
        <v>3102</v>
      </c>
      <c r="C428" s="472" t="e">
        <f aca="false">мат.затр!g3658</f>
        <v>#NAME?</v>
      </c>
      <c r="D428" s="472" t="n">
        <f aca="false">тарифик!J429</f>
        <v>2119.58946898706</v>
      </c>
      <c r="E428" s="472"/>
      <c r="F428" s="473" t="n">
        <f aca="false">D428*0.9*0.095+D428*3%</f>
        <v>244.812583668005</v>
      </c>
      <c r="G428" s="472" t="n">
        <f aca="false">амортизация!M1096</f>
        <v>516.429384203481</v>
      </c>
      <c r="H428" s="473" t="e">
        <f aca="false">C428+D428+F428+G428</f>
        <v>#NAME?</v>
      </c>
      <c r="I428" s="462" t="n">
        <f aca="false">I$190</f>
        <v>0.240474587202079</v>
      </c>
      <c r="J428" s="473" t="n">
        <f aca="false">D428*I428</f>
        <v>509.707402592537</v>
      </c>
      <c r="K428" s="473" t="e">
        <f aca="false">H428+J428</f>
        <v>#NAME?</v>
      </c>
      <c r="L428" s="462" t="n">
        <v>0.2</v>
      </c>
      <c r="M428" s="473" t="e">
        <f aca="false">K428*L428</f>
        <v>#NAME?</v>
      </c>
      <c r="N428" s="473" t="e">
        <f aca="false">K428+M428</f>
        <v>#NAME?</v>
      </c>
      <c r="O428" s="473" t="e">
        <f aca="false">M428</f>
        <v>#NAME?</v>
      </c>
    </row>
    <row r="429" s="461" customFormat="true" ht="15" hidden="false" customHeight="false" outlineLevel="0" collapsed="false">
      <c r="A429" s="327" t="s">
        <v>734</v>
      </c>
      <c r="B429" s="328" t="s">
        <v>3188</v>
      </c>
      <c r="C429" s="472" t="e">
        <f aca="false">мат.затр!g3670</f>
        <v>#NAME?</v>
      </c>
      <c r="D429" s="472" t="n">
        <f aca="false">тарифик!J430</f>
        <v>2119.58946898706</v>
      </c>
      <c r="E429" s="472"/>
      <c r="F429" s="473" t="n">
        <f aca="false">D429*0.9*0.095+D429*3%</f>
        <v>244.812583668005</v>
      </c>
      <c r="G429" s="472" t="n">
        <f aca="false">амортизация!M1101</f>
        <v>516.429384203481</v>
      </c>
      <c r="H429" s="473" t="e">
        <f aca="false">C429+D429+F429+G429</f>
        <v>#NAME?</v>
      </c>
      <c r="I429" s="462" t="n">
        <f aca="false">I$190</f>
        <v>0.240474587202079</v>
      </c>
      <c r="J429" s="473" t="n">
        <f aca="false">D429*I429</f>
        <v>509.707402592537</v>
      </c>
      <c r="K429" s="473" t="e">
        <f aca="false">H429+J429</f>
        <v>#NAME?</v>
      </c>
      <c r="L429" s="462" t="n">
        <v>0.2</v>
      </c>
      <c r="M429" s="473" t="e">
        <f aca="false">K429*L429</f>
        <v>#NAME?</v>
      </c>
      <c r="N429" s="473" t="e">
        <f aca="false">K429+M429</f>
        <v>#NAME?</v>
      </c>
      <c r="O429" s="473" t="e">
        <f aca="false">M429</f>
        <v>#NAME?</v>
      </c>
    </row>
    <row r="430" s="461" customFormat="true" ht="15" hidden="false" customHeight="false" outlineLevel="0" collapsed="false">
      <c r="A430" s="327" t="s">
        <v>736</v>
      </c>
      <c r="B430" s="328" t="s">
        <v>3189</v>
      </c>
      <c r="C430" s="472" t="e">
        <f aca="false">мат.затр!g3679</f>
        <v>#NAME?</v>
      </c>
      <c r="D430" s="472" t="n">
        <f aca="false">тарифик!J431</f>
        <v>3346.72021419009</v>
      </c>
      <c r="E430" s="472"/>
      <c r="F430" s="473" t="n">
        <f aca="false">D430*0.9*0.095+D430*3%</f>
        <v>386.546184738956</v>
      </c>
      <c r="G430" s="472" t="n">
        <f aca="false">амортизация!M1106</f>
        <v>51.3418023947642</v>
      </c>
      <c r="H430" s="473" t="e">
        <f aca="false">C430+D430+F430+G430</f>
        <v>#NAME?</v>
      </c>
      <c r="I430" s="462" t="n">
        <f aca="false">I$190</f>
        <v>0.240474587202079</v>
      </c>
      <c r="J430" s="473" t="n">
        <f aca="false">D430*I430</f>
        <v>804.801161988216</v>
      </c>
      <c r="K430" s="473" t="e">
        <f aca="false">H430+J430</f>
        <v>#NAME?</v>
      </c>
      <c r="L430" s="462" t="n">
        <v>0.2</v>
      </c>
      <c r="M430" s="473" t="e">
        <f aca="false">K430*L430</f>
        <v>#NAME?</v>
      </c>
      <c r="N430" s="473" t="e">
        <f aca="false">K430+M430</f>
        <v>#NAME?</v>
      </c>
      <c r="O430" s="473" t="e">
        <f aca="false">M430</f>
        <v>#NAME?</v>
      </c>
    </row>
    <row r="431" s="461" customFormat="true" ht="15" hidden="false" customHeight="false" outlineLevel="0" collapsed="false">
      <c r="A431" s="327" t="s">
        <v>737</v>
      </c>
      <c r="B431" s="328" t="s">
        <v>3148</v>
      </c>
      <c r="C431" s="472" t="e">
        <f aca="false">мат.затр!g3693</f>
        <v>#NAME?</v>
      </c>
      <c r="D431" s="472" t="n">
        <f aca="false">тарифик!J432</f>
        <v>1422.35609103079</v>
      </c>
      <c r="E431" s="472"/>
      <c r="F431" s="473" t="n">
        <f aca="false">D431*0.9*0.095+D431*3%</f>
        <v>164.282128514056</v>
      </c>
      <c r="G431" s="472" t="n">
        <f aca="false">амортизация!M1113</f>
        <v>579.702504462294</v>
      </c>
      <c r="H431" s="473" t="e">
        <f aca="false">C431+D431+F431+G431</f>
        <v>#NAME?</v>
      </c>
      <c r="I431" s="462" t="n">
        <f aca="false">I$190</f>
        <v>0.240474587202079</v>
      </c>
      <c r="J431" s="473" t="n">
        <f aca="false">D431*I431</f>
        <v>342.040493844992</v>
      </c>
      <c r="K431" s="473" t="e">
        <f aca="false">H431+J431</f>
        <v>#NAME?</v>
      </c>
      <c r="L431" s="462" t="n">
        <v>0.2</v>
      </c>
      <c r="M431" s="473" t="e">
        <f aca="false">K431*L431</f>
        <v>#NAME?</v>
      </c>
      <c r="N431" s="473" t="e">
        <f aca="false">K431+M431</f>
        <v>#NAME?</v>
      </c>
      <c r="O431" s="473" t="e">
        <f aca="false">M431</f>
        <v>#NAME?</v>
      </c>
    </row>
    <row r="432" s="461" customFormat="true" ht="15" hidden="false" customHeight="false" outlineLevel="0" collapsed="false">
      <c r="A432" s="327" t="s">
        <v>738</v>
      </c>
      <c r="B432" s="328" t="s">
        <v>3149</v>
      </c>
      <c r="C432" s="472" t="e">
        <f aca="false">мат.затр!g3705</f>
        <v>#NAME?</v>
      </c>
      <c r="D432" s="472" t="n">
        <f aca="false">тарифик!J433</f>
        <v>1338.68808567604</v>
      </c>
      <c r="E432" s="472"/>
      <c r="F432" s="473" t="n">
        <f aca="false">D432*0.9*0.095+D432*3%</f>
        <v>154.618473895582</v>
      </c>
      <c r="G432" s="472" t="n">
        <f aca="false">амортизация!M1117</f>
        <v>1838.88093578016</v>
      </c>
      <c r="H432" s="473" t="e">
        <f aca="false">C432+D432+F432+G432</f>
        <v>#NAME?</v>
      </c>
      <c r="I432" s="462" t="n">
        <f aca="false">I$190</f>
        <v>0.240474587202079</v>
      </c>
      <c r="J432" s="473" t="n">
        <f aca="false">D432*I432</f>
        <v>321.920464795286</v>
      </c>
      <c r="K432" s="473" t="e">
        <f aca="false">H432+J432</f>
        <v>#NAME?</v>
      </c>
      <c r="L432" s="462" t="n">
        <v>0.2</v>
      </c>
      <c r="M432" s="473" t="e">
        <f aca="false">K432*L432</f>
        <v>#NAME?</v>
      </c>
      <c r="N432" s="473" t="e">
        <f aca="false">K432+M432</f>
        <v>#NAME?</v>
      </c>
      <c r="O432" s="473" t="e">
        <f aca="false">M432</f>
        <v>#NAME?</v>
      </c>
    </row>
    <row r="433" s="461" customFormat="true" ht="15" hidden="false" customHeight="false" outlineLevel="0" collapsed="false">
      <c r="A433" s="327" t="s">
        <v>739</v>
      </c>
      <c r="B433" s="328" t="s">
        <v>3150</v>
      </c>
      <c r="C433" s="472" t="e">
        <f aca="false">мат.затр!g3718</f>
        <v>#NAME?</v>
      </c>
      <c r="D433" s="472" t="n">
        <f aca="false">тарифик!J434</f>
        <v>836.680053547523</v>
      </c>
      <c r="E433" s="472"/>
      <c r="F433" s="473" t="n">
        <f aca="false">D433*0.9*0.095+D433*3%</f>
        <v>96.636546184739</v>
      </c>
      <c r="G433" s="472" t="n">
        <f aca="false">амортизация!M1120</f>
        <v>4.63148891863751</v>
      </c>
      <c r="H433" s="473" t="e">
        <f aca="false">C433+D433+F433+G433</f>
        <v>#NAME?</v>
      </c>
      <c r="I433" s="462" t="n">
        <f aca="false">I$190</f>
        <v>0.240474587202079</v>
      </c>
      <c r="J433" s="473" t="n">
        <f aca="false">D433*I433</f>
        <v>201.200290497054</v>
      </c>
      <c r="K433" s="473" t="e">
        <f aca="false">H433+J433</f>
        <v>#NAME?</v>
      </c>
      <c r="L433" s="462" t="n">
        <v>0.2</v>
      </c>
      <c r="M433" s="473" t="e">
        <f aca="false">K433*L433</f>
        <v>#NAME?</v>
      </c>
      <c r="N433" s="473" t="e">
        <f aca="false">K433+M433</f>
        <v>#NAME?</v>
      </c>
      <c r="O433" s="473" t="e">
        <f aca="false">M433</f>
        <v>#NAME?</v>
      </c>
    </row>
    <row r="434" s="461" customFormat="true" ht="15" hidden="false" customHeight="false" outlineLevel="0" collapsed="false">
      <c r="A434" s="327" t="s">
        <v>740</v>
      </c>
      <c r="B434" s="328" t="s">
        <v>3190</v>
      </c>
      <c r="C434" s="472" t="e">
        <f aca="false">мат.затр!g3738</f>
        <v>#NAME?</v>
      </c>
      <c r="D434" s="472" t="n">
        <f aca="false">тарифик!J435</f>
        <v>753.012048192771</v>
      </c>
      <c r="E434" s="472"/>
      <c r="F434" s="473" t="n">
        <f aca="false">D434*0.9*0.095+D434*3%</f>
        <v>86.9728915662651</v>
      </c>
      <c r="G434" s="472" t="n">
        <f aca="false">амортизация!M1124</f>
        <v>23.5002974862413</v>
      </c>
      <c r="H434" s="473" t="e">
        <f aca="false">C434+D434+F434+G434</f>
        <v>#NAME?</v>
      </c>
      <c r="I434" s="462" t="n">
        <f aca="false">I$190</f>
        <v>0.240474587202079</v>
      </c>
      <c r="J434" s="473" t="n">
        <f aca="false">D434*I434</f>
        <v>181.080261447349</v>
      </c>
      <c r="K434" s="473" t="e">
        <f aca="false">H434+J434</f>
        <v>#NAME?</v>
      </c>
      <c r="L434" s="462" t="n">
        <v>0.2</v>
      </c>
      <c r="M434" s="473" t="e">
        <f aca="false">K434*L434</f>
        <v>#NAME?</v>
      </c>
      <c r="N434" s="473" t="e">
        <f aca="false">K434+M434</f>
        <v>#NAME?</v>
      </c>
      <c r="O434" s="473" t="e">
        <f aca="false">M434</f>
        <v>#NAME?</v>
      </c>
    </row>
    <row r="435" s="461" customFormat="true" ht="15" hidden="false" customHeight="false" outlineLevel="0" collapsed="false">
      <c r="A435" s="327" t="s">
        <v>742</v>
      </c>
      <c r="B435" s="328" t="s">
        <v>3191</v>
      </c>
      <c r="C435" s="472" t="e">
        <f aca="false">мат.затр!g3747</f>
        <v>#NAME?</v>
      </c>
      <c r="D435" s="472" t="n">
        <f aca="false">тарифик!J436</f>
        <v>2392.90495314592</v>
      </c>
      <c r="E435" s="472"/>
      <c r="F435" s="473" t="n">
        <f aca="false">D435*0.9*0.095+D435*3%</f>
        <v>276.380522088354</v>
      </c>
      <c r="G435" s="472" t="n">
        <f aca="false">амортизация!M1125</f>
        <v>0</v>
      </c>
      <c r="H435" s="473" t="e">
        <f aca="false">C435+D435+F435+G435</f>
        <v>#NAME?</v>
      </c>
      <c r="I435" s="462" t="n">
        <f aca="false">I$190</f>
        <v>0.240474587202079</v>
      </c>
      <c r="J435" s="473" t="n">
        <f aca="false">D435*I435</f>
        <v>575.432830821575</v>
      </c>
      <c r="K435" s="473" t="e">
        <f aca="false">H435+J435</f>
        <v>#NAME?</v>
      </c>
      <c r="L435" s="462" t="n">
        <v>0.2</v>
      </c>
      <c r="M435" s="473" t="e">
        <f aca="false">K435*L435</f>
        <v>#NAME?</v>
      </c>
      <c r="N435" s="473" t="e">
        <f aca="false">K435+M435</f>
        <v>#NAME?</v>
      </c>
      <c r="O435" s="473" t="e">
        <f aca="false">M435</f>
        <v>#NAME?</v>
      </c>
    </row>
    <row r="436" s="461" customFormat="true" ht="15" hidden="false" customHeight="false" outlineLevel="0" collapsed="false">
      <c r="A436" s="327" t="s">
        <v>744</v>
      </c>
      <c r="B436" s="336" t="s">
        <v>3192</v>
      </c>
      <c r="C436" s="472" t="e">
        <f aca="false">мат.затр!g3748</f>
        <v>#NAME?</v>
      </c>
      <c r="D436" s="472" t="n">
        <f aca="false">тарифик!J437</f>
        <v>1123.94020526551</v>
      </c>
      <c r="E436" s="472"/>
      <c r="F436" s="473" t="n">
        <f aca="false">D436*0.9*0.095+D436*3%</f>
        <v>129.815093708166</v>
      </c>
      <c r="G436" s="472" t="n">
        <f aca="false">амортизация!M1126</f>
        <v>0</v>
      </c>
      <c r="H436" s="473" t="e">
        <f aca="false">C436+D436+F436+G436</f>
        <v>#NAME?</v>
      </c>
      <c r="I436" s="462" t="n">
        <f aca="false">I$190</f>
        <v>0.240474587202079</v>
      </c>
      <c r="J436" s="473" t="n">
        <f aca="false">D436*I436</f>
        <v>270.279056901043</v>
      </c>
      <c r="K436" s="473" t="e">
        <f aca="false">H436+J436</f>
        <v>#NAME?</v>
      </c>
      <c r="L436" s="462" t="n">
        <v>0.2</v>
      </c>
      <c r="M436" s="473" t="e">
        <f aca="false">K436*L436</f>
        <v>#NAME?</v>
      </c>
      <c r="N436" s="473" t="e">
        <f aca="false">K436+M436</f>
        <v>#NAME?</v>
      </c>
      <c r="O436" s="473" t="e">
        <f aca="false">M436</f>
        <v>#NAME?</v>
      </c>
    </row>
    <row r="437" s="461" customFormat="true" ht="15" hidden="false" customHeight="false" outlineLevel="0" collapsed="false">
      <c r="A437" s="327" t="s">
        <v>746</v>
      </c>
      <c r="B437" s="433" t="s">
        <v>3193</v>
      </c>
      <c r="C437" s="472" t="e">
        <f aca="false">мат.затр!g3751</f>
        <v>#NAME?</v>
      </c>
      <c r="D437" s="472" t="n">
        <f aca="false">тарифик!J438</f>
        <v>995.649263721553</v>
      </c>
      <c r="E437" s="472"/>
      <c r="F437" s="473" t="n">
        <f aca="false">D437*0.9*0.095+D437*3%</f>
        <v>114.997489959839</v>
      </c>
      <c r="G437" s="472" t="n">
        <f aca="false">амортизация!M1127</f>
        <v>767.708505317567</v>
      </c>
      <c r="H437" s="473" t="e">
        <f aca="false">C437+D437+F437+G437</f>
        <v>#NAME?</v>
      </c>
      <c r="I437" s="462" t="n">
        <f aca="false">I$190</f>
        <v>0.240474587202079</v>
      </c>
      <c r="J437" s="473" t="n">
        <f aca="false">D437*I437</f>
        <v>239.428345691494</v>
      </c>
      <c r="K437" s="473" t="e">
        <f aca="false">H437+J437</f>
        <v>#NAME?</v>
      </c>
      <c r="L437" s="462" t="n">
        <v>0.2</v>
      </c>
      <c r="M437" s="473" t="e">
        <f aca="false">K437*L437</f>
        <v>#NAME?</v>
      </c>
      <c r="N437" s="473" t="e">
        <f aca="false">K437+M437</f>
        <v>#NAME?</v>
      </c>
      <c r="O437" s="473" t="e">
        <f aca="false">M437</f>
        <v>#NAME?</v>
      </c>
    </row>
    <row r="438" s="461" customFormat="true" ht="15" hidden="false" customHeight="false" outlineLevel="0" collapsed="false">
      <c r="A438" s="327" t="s">
        <v>748</v>
      </c>
      <c r="B438" s="337" t="s">
        <v>3194</v>
      </c>
      <c r="C438" s="472" t="e">
        <f aca="false">мат.затр!g3754</f>
        <v>#NAME?</v>
      </c>
      <c r="D438" s="472" t="n">
        <f aca="false">тарифик!J439</f>
        <v>616.354306113342</v>
      </c>
      <c r="E438" s="472"/>
      <c r="F438" s="473" t="n">
        <f aca="false">D438*0.9*0.095+D438*3%</f>
        <v>71.188922356091</v>
      </c>
      <c r="G438" s="472" t="n">
        <f aca="false">амортизация!M1130</f>
        <v>0.843001636174327</v>
      </c>
      <c r="H438" s="473" t="e">
        <f aca="false">C438+D438+F438+G438</f>
        <v>#NAME?</v>
      </c>
      <c r="I438" s="462" t="n">
        <f aca="false">I$190</f>
        <v>0.240474587202079</v>
      </c>
      <c r="J438" s="473" t="n">
        <f aca="false">D438*I438</f>
        <v>148.21754733283</v>
      </c>
      <c r="K438" s="473" t="e">
        <f aca="false">H438+J438</f>
        <v>#NAME?</v>
      </c>
      <c r="L438" s="462" t="n">
        <v>0.2</v>
      </c>
      <c r="M438" s="473" t="e">
        <f aca="false">K438*L438</f>
        <v>#NAME?</v>
      </c>
      <c r="N438" s="473" t="e">
        <f aca="false">K438+M438</f>
        <v>#NAME?</v>
      </c>
      <c r="O438" s="473" t="e">
        <f aca="false">M438</f>
        <v>#NAME?</v>
      </c>
    </row>
    <row r="439" s="461" customFormat="true" ht="15" hidden="false" customHeight="false" outlineLevel="0" collapsed="false">
      <c r="A439" s="327" t="s">
        <v>750</v>
      </c>
      <c r="B439" s="337" t="s">
        <v>3195</v>
      </c>
      <c r="C439" s="472" t="e">
        <f aca="false">мат.затр!g3757</f>
        <v>#NAME?</v>
      </c>
      <c r="D439" s="472" t="n">
        <f aca="false">тарифик!J440</f>
        <v>1160.19634091923</v>
      </c>
      <c r="E439" s="472"/>
      <c r="F439" s="473" t="n">
        <f aca="false">D439*0.9*0.095+D439*3%</f>
        <v>134.002677376171</v>
      </c>
      <c r="G439" s="472" t="n">
        <f aca="false">амортизация!M1131</f>
        <v>1.39446675591254</v>
      </c>
      <c r="H439" s="473" t="e">
        <f aca="false">C439+D439+F439+G439</f>
        <v>#NAME?</v>
      </c>
      <c r="I439" s="462" t="n">
        <f aca="false">I$190</f>
        <v>0.240474587202079</v>
      </c>
      <c r="J439" s="473" t="n">
        <f aca="false">D439*I439</f>
        <v>278.997736155915</v>
      </c>
      <c r="K439" s="473" t="e">
        <f aca="false">H439+J439</f>
        <v>#NAME?</v>
      </c>
      <c r="L439" s="462" t="n">
        <v>0.2</v>
      </c>
      <c r="M439" s="473" t="e">
        <f aca="false">K439*L439</f>
        <v>#NAME?</v>
      </c>
      <c r="N439" s="473" t="e">
        <f aca="false">K439+M439</f>
        <v>#NAME?</v>
      </c>
      <c r="O439" s="473" t="e">
        <f aca="false">M439</f>
        <v>#NAME?</v>
      </c>
    </row>
    <row r="440" s="461" customFormat="true" ht="15" hidden="false" customHeight="false" outlineLevel="0" collapsed="false">
      <c r="A440" s="327" t="s">
        <v>752</v>
      </c>
      <c r="B440" s="433" t="s">
        <v>3196</v>
      </c>
      <c r="C440" s="472" t="e">
        <f aca="false">мат.затр!g3760</f>
        <v>#NAME?</v>
      </c>
      <c r="D440" s="472" t="n">
        <f aca="false">тарифик!J441</f>
        <v>1695.67157518965</v>
      </c>
      <c r="E440" s="472"/>
      <c r="F440" s="473" t="n">
        <f aca="false">D440*0.9*0.095+D440*3%</f>
        <v>195.850066934404</v>
      </c>
      <c r="G440" s="472" t="n">
        <f aca="false">амортизация!M1132</f>
        <v>0.843001636174327</v>
      </c>
      <c r="H440" s="473" t="e">
        <f aca="false">C440+D440+F440+G440</f>
        <v>#NAME?</v>
      </c>
      <c r="I440" s="462" t="n">
        <f aca="false">I$190</f>
        <v>0.240474587202079</v>
      </c>
      <c r="J440" s="473" t="n">
        <f aca="false">D440*I440</f>
        <v>407.76592207403</v>
      </c>
      <c r="K440" s="473" t="e">
        <f aca="false">H440+J440</f>
        <v>#NAME?</v>
      </c>
      <c r="L440" s="462" t="n">
        <v>0.2</v>
      </c>
      <c r="M440" s="473" t="e">
        <f aca="false">K440*L440</f>
        <v>#NAME?</v>
      </c>
      <c r="N440" s="473" t="e">
        <f aca="false">K440+M440</f>
        <v>#NAME?</v>
      </c>
      <c r="O440" s="473" t="e">
        <f aca="false">M440</f>
        <v>#NAME?</v>
      </c>
    </row>
    <row r="441" s="461" customFormat="true" ht="15" hidden="false" customHeight="false" outlineLevel="0" collapsed="false">
      <c r="A441" s="327" t="s">
        <v>754</v>
      </c>
      <c r="B441" s="337" t="s">
        <v>3197</v>
      </c>
      <c r="C441" s="472" t="e">
        <f aca="false">мат.затр!g3763</f>
        <v>#NAME?</v>
      </c>
      <c r="D441" s="472" t="n">
        <f aca="false">тарифик!J442</f>
        <v>1160.19634091923</v>
      </c>
      <c r="E441" s="472"/>
      <c r="F441" s="473" t="n">
        <f aca="false">D441*0.9*0.095+D441*3%</f>
        <v>134.002677376171</v>
      </c>
      <c r="G441" s="472" t="n">
        <f aca="false">амортизация!M1135</f>
        <v>0.843001636174327</v>
      </c>
      <c r="H441" s="473" t="e">
        <f aca="false">C441+D441+F441+G441</f>
        <v>#NAME?</v>
      </c>
      <c r="I441" s="462" t="n">
        <f aca="false">I$190</f>
        <v>0.240474587202079</v>
      </c>
      <c r="J441" s="473" t="n">
        <f aca="false">D441*I441</f>
        <v>278.997736155915</v>
      </c>
      <c r="K441" s="473" t="e">
        <f aca="false">H441+J441</f>
        <v>#NAME?</v>
      </c>
      <c r="L441" s="462" t="n">
        <v>0.2</v>
      </c>
      <c r="M441" s="473" t="e">
        <f aca="false">K441*L441</f>
        <v>#NAME?</v>
      </c>
      <c r="N441" s="473" t="e">
        <f aca="false">K441+M441</f>
        <v>#NAME?</v>
      </c>
      <c r="O441" s="473" t="e">
        <f aca="false">M441</f>
        <v>#NAME?</v>
      </c>
    </row>
    <row r="442" s="461" customFormat="true" ht="15" hidden="false" customHeight="false" outlineLevel="0" collapsed="false">
      <c r="A442" s="327" t="s">
        <v>756</v>
      </c>
      <c r="B442" s="336" t="s">
        <v>3198</v>
      </c>
      <c r="C442" s="472" t="e">
        <f aca="false">мат.затр!g3770</f>
        <v>#NAME?</v>
      </c>
      <c r="D442" s="472" t="n">
        <f aca="false">тарифик!J443</f>
        <v>711.178045515395</v>
      </c>
      <c r="E442" s="472"/>
      <c r="F442" s="473" t="n">
        <f aca="false">D442*0.9*0.095+D442*3%</f>
        <v>82.1410642570281</v>
      </c>
      <c r="G442" s="472" t="n">
        <f aca="false">амортизация!M1138</f>
        <v>591.38800572661</v>
      </c>
      <c r="H442" s="473" t="e">
        <f aca="false">C442+D442+F442+G442</f>
        <v>#NAME?</v>
      </c>
      <c r="I442" s="462" t="n">
        <f aca="false">I$190</f>
        <v>0.240474587202079</v>
      </c>
      <c r="J442" s="473" t="n">
        <f aca="false">D442*I442</f>
        <v>171.020246922496</v>
      </c>
      <c r="K442" s="473" t="e">
        <f aca="false">H442+J442</f>
        <v>#NAME?</v>
      </c>
      <c r="L442" s="462" t="n">
        <v>0.2</v>
      </c>
      <c r="M442" s="473" t="e">
        <f aca="false">K442*L442</f>
        <v>#NAME?</v>
      </c>
      <c r="N442" s="473" t="e">
        <f aca="false">K442+M442</f>
        <v>#NAME?</v>
      </c>
      <c r="O442" s="473" t="e">
        <f aca="false">M442</f>
        <v>#NAME?</v>
      </c>
    </row>
    <row r="443" s="461" customFormat="true" ht="15" hidden="false" customHeight="false" outlineLevel="0" collapsed="false">
      <c r="A443" s="327" t="s">
        <v>758</v>
      </c>
      <c r="B443" s="337" t="s">
        <v>3199</v>
      </c>
      <c r="C443" s="472" t="e">
        <f aca="false">мат.затр!g3776</f>
        <v>#NAME?</v>
      </c>
      <c r="D443" s="472" t="n">
        <f aca="false">тарифик!J444</f>
        <v>1129.51807228916</v>
      </c>
      <c r="E443" s="472"/>
      <c r="F443" s="473" t="n">
        <f aca="false">D443*0.9*0.095+D443*3%</f>
        <v>130.459337349398</v>
      </c>
      <c r="G443" s="472" t="n">
        <f aca="false">амортизация!M1141</f>
        <v>70.7488751301502</v>
      </c>
      <c r="H443" s="473" t="e">
        <f aca="false">C443+D443+F443+G443</f>
        <v>#NAME?</v>
      </c>
      <c r="I443" s="462" t="n">
        <f aca="false">I$190</f>
        <v>0.240474587202079</v>
      </c>
      <c r="J443" s="473" t="n">
        <f aca="false">D443*I443</f>
        <v>271.620392171023</v>
      </c>
      <c r="K443" s="473" t="e">
        <f aca="false">H443+J443</f>
        <v>#NAME?</v>
      </c>
      <c r="L443" s="462" t="n">
        <v>0.2</v>
      </c>
      <c r="M443" s="473" t="e">
        <f aca="false">K443*L443</f>
        <v>#NAME?</v>
      </c>
      <c r="N443" s="473" t="e">
        <f aca="false">K443+M443</f>
        <v>#NAME?</v>
      </c>
      <c r="O443" s="473" t="e">
        <f aca="false">M443</f>
        <v>#NAME?</v>
      </c>
    </row>
    <row r="444" s="461" customFormat="true" ht="15" hidden="false" customHeight="false" outlineLevel="0" collapsed="false">
      <c r="A444" s="327" t="s">
        <v>759</v>
      </c>
      <c r="B444" s="338" t="s">
        <v>3200</v>
      </c>
      <c r="C444" s="472" t="e">
        <f aca="false">мат.затр!g3781</f>
        <v>#NAME?</v>
      </c>
      <c r="D444" s="472" t="n">
        <f aca="false">тарифик!J445</f>
        <v>2008.03212851406</v>
      </c>
      <c r="E444" s="472"/>
      <c r="F444" s="473" t="n">
        <f aca="false">D444*0.9*0.095+D444*3%</f>
        <v>231.927710843374</v>
      </c>
      <c r="G444" s="472" t="n">
        <f aca="false">амортизация!M1144</f>
        <v>2126.80501636174</v>
      </c>
      <c r="H444" s="473" t="e">
        <f aca="false">C444+D444+F444+G444</f>
        <v>#NAME?</v>
      </c>
      <c r="I444" s="462" t="n">
        <f aca="false">I$190</f>
        <v>0.240474587202079</v>
      </c>
      <c r="J444" s="473" t="n">
        <f aca="false">D444*I444</f>
        <v>482.88069719293</v>
      </c>
      <c r="K444" s="473" t="e">
        <f aca="false">H444+J444</f>
        <v>#NAME?</v>
      </c>
      <c r="L444" s="462" t="n">
        <v>0.2</v>
      </c>
      <c r="M444" s="473" t="e">
        <f aca="false">K444*L444</f>
        <v>#NAME?</v>
      </c>
      <c r="N444" s="473" t="e">
        <f aca="false">K444+M444</f>
        <v>#NAME?</v>
      </c>
      <c r="O444" s="473" t="e">
        <f aca="false">M444</f>
        <v>#NAME?</v>
      </c>
    </row>
    <row r="445" s="461" customFormat="true" ht="15" hidden="false" customHeight="false" outlineLevel="0" collapsed="false">
      <c r="A445" s="327" t="s">
        <v>761</v>
      </c>
      <c r="B445" s="336" t="s">
        <v>3201</v>
      </c>
      <c r="C445" s="472" t="e">
        <f aca="false">мат.затр!g3786</f>
        <v>#NAME?</v>
      </c>
      <c r="D445" s="472" t="n">
        <f aca="false">тарифик!J446</f>
        <v>1639.89290495315</v>
      </c>
      <c r="E445" s="472"/>
      <c r="F445" s="473" t="n">
        <f aca="false">D445*0.9*0.095+D445*3%</f>
        <v>189.407630522088</v>
      </c>
      <c r="G445" s="472" t="n">
        <f aca="false">амортизация!M1147</f>
        <v>1477.20551186226</v>
      </c>
      <c r="H445" s="473" t="e">
        <f aca="false">C445+D445+F445+G445</f>
        <v>#NAME?</v>
      </c>
      <c r="I445" s="462" t="n">
        <f aca="false">I$190</f>
        <v>0.240474587202079</v>
      </c>
      <c r="J445" s="473" t="n">
        <f aca="false">D445*I445</f>
        <v>394.352569374226</v>
      </c>
      <c r="K445" s="473" t="e">
        <f aca="false">H445+J445</f>
        <v>#NAME?</v>
      </c>
      <c r="L445" s="462" t="n">
        <v>0.2</v>
      </c>
      <c r="M445" s="473" t="e">
        <f aca="false">K445*L445</f>
        <v>#NAME?</v>
      </c>
      <c r="N445" s="473" t="e">
        <f aca="false">K445+M445</f>
        <v>#NAME?</v>
      </c>
      <c r="O445" s="473" t="e">
        <f aca="false">M445</f>
        <v>#NAME?</v>
      </c>
    </row>
    <row r="446" s="461" customFormat="true" ht="15" hidden="false" customHeight="false" outlineLevel="0" collapsed="false">
      <c r="A446" s="327" t="s">
        <v>763</v>
      </c>
      <c r="B446" s="336" t="s">
        <v>3202</v>
      </c>
      <c r="C446" s="472" t="e">
        <f aca="false">мат.затр!g3795</f>
        <v>#NAME?</v>
      </c>
      <c r="D446" s="472" t="n">
        <f aca="false">тарифик!J447</f>
        <v>398.817492190986</v>
      </c>
      <c r="E446" s="472"/>
      <c r="F446" s="473" t="n">
        <f aca="false">D446*0.9*0.095+D446*3%</f>
        <v>46.0634203480589</v>
      </c>
      <c r="G446" s="472" t="n">
        <f aca="false">амортизация!M1150</f>
        <v>0.843001636174327</v>
      </c>
      <c r="H446" s="473" t="e">
        <f aca="false">C446+D446+F446+G446</f>
        <v>#NAME?</v>
      </c>
      <c r="I446" s="462" t="n">
        <f aca="false">I$190</f>
        <v>0.240474587202079</v>
      </c>
      <c r="J446" s="473" t="n">
        <f aca="false">D446*I446</f>
        <v>95.9054718035957</v>
      </c>
      <c r="K446" s="473" t="e">
        <f aca="false">H446+J446</f>
        <v>#NAME?</v>
      </c>
      <c r="L446" s="462" t="n">
        <v>0.2</v>
      </c>
      <c r="M446" s="473" t="e">
        <f aca="false">K446*L446</f>
        <v>#NAME?</v>
      </c>
      <c r="N446" s="473" t="e">
        <f aca="false">K446+M446</f>
        <v>#NAME?</v>
      </c>
      <c r="O446" s="473" t="e">
        <f aca="false">M446</f>
        <v>#NAME?</v>
      </c>
    </row>
    <row r="447" s="461" customFormat="true" ht="15" hidden="false" customHeight="false" outlineLevel="0" collapsed="false">
      <c r="A447" s="327" t="s">
        <v>765</v>
      </c>
      <c r="B447" s="336" t="s">
        <v>2938</v>
      </c>
      <c r="C447" s="472" t="e">
        <f aca="false">мат.затр!g3806</f>
        <v>#NAME?</v>
      </c>
      <c r="D447" s="472" t="n">
        <f aca="false">тарифик!J448</f>
        <v>368.13922356091</v>
      </c>
      <c r="E447" s="472"/>
      <c r="F447" s="473" t="n">
        <f aca="false">D447*0.9*0.095+D447*3%</f>
        <v>42.5200803212851</v>
      </c>
      <c r="G447" s="472" t="n">
        <f aca="false">амортизация!M1153</f>
        <v>56.7677004313551</v>
      </c>
      <c r="H447" s="473" t="e">
        <f aca="false">C447+D447+F447+G447</f>
        <v>#NAME?</v>
      </c>
      <c r="I447" s="462" t="n">
        <f aca="false">I$190</f>
        <v>0.240474587202079</v>
      </c>
      <c r="J447" s="473" t="n">
        <f aca="false">D447*I447</f>
        <v>88.5281278187038</v>
      </c>
      <c r="K447" s="473" t="e">
        <f aca="false">H447+J447</f>
        <v>#NAME?</v>
      </c>
      <c r="L447" s="462" t="n">
        <v>0.2</v>
      </c>
      <c r="M447" s="473" t="e">
        <f aca="false">K447*L447</f>
        <v>#NAME?</v>
      </c>
      <c r="N447" s="473" t="e">
        <f aca="false">K447+M447</f>
        <v>#NAME?</v>
      </c>
      <c r="O447" s="473" t="e">
        <f aca="false">M447</f>
        <v>#NAME?</v>
      </c>
    </row>
    <row r="448" s="461" customFormat="true" ht="15" hidden="false" customHeight="false" outlineLevel="0" collapsed="false">
      <c r="A448" s="350" t="s">
        <v>766</v>
      </c>
      <c r="B448" s="467" t="s">
        <v>3203</v>
      </c>
      <c r="C448" s="468"/>
      <c r="D448" s="468"/>
      <c r="E448" s="468"/>
      <c r="F448" s="474"/>
      <c r="G448" s="468"/>
      <c r="H448" s="474"/>
      <c r="I448" s="475"/>
      <c r="J448" s="474"/>
      <c r="K448" s="474"/>
      <c r="L448" s="475"/>
      <c r="M448" s="474"/>
      <c r="N448" s="474"/>
      <c r="O448" s="474"/>
    </row>
    <row r="449" s="461" customFormat="true" ht="30" hidden="false" customHeight="false" outlineLevel="0" collapsed="false">
      <c r="A449" s="327" t="s">
        <v>768</v>
      </c>
      <c r="B449" s="328" t="s">
        <v>3204</v>
      </c>
      <c r="C449" s="472" t="e">
        <f aca="false">мат.затр!g3808</f>
        <v>#NAME?</v>
      </c>
      <c r="D449" s="472" t="n">
        <f aca="false">тарифик!J450</f>
        <v>778.112449799197</v>
      </c>
      <c r="E449" s="472"/>
      <c r="F449" s="473" t="n">
        <f aca="false">D449*0.9*0.095+D449*3%</f>
        <v>89.8719879518072</v>
      </c>
      <c r="G449" s="472" t="n">
        <f aca="false">амортизация!M1155</f>
        <v>7.53012048192771</v>
      </c>
      <c r="H449" s="473" t="e">
        <f aca="false">C449+D449+F449+G449</f>
        <v>#NAME?</v>
      </c>
      <c r="I449" s="462" t="n">
        <f aca="false">I$190</f>
        <v>0.240474587202079</v>
      </c>
      <c r="J449" s="473" t="n">
        <f aca="false">D449*I449</f>
        <v>187.11627016226</v>
      </c>
      <c r="K449" s="473" t="e">
        <f aca="false">H449+J449</f>
        <v>#NAME?</v>
      </c>
      <c r="L449" s="462" t="n">
        <v>0.2</v>
      </c>
      <c r="M449" s="473" t="e">
        <f aca="false">K449*L449</f>
        <v>#NAME?</v>
      </c>
      <c r="N449" s="473" t="e">
        <f aca="false">K449+M449</f>
        <v>#NAME?</v>
      </c>
      <c r="O449" s="473" t="e">
        <f aca="false">M449</f>
        <v>#NAME?</v>
      </c>
    </row>
    <row r="450" s="461" customFormat="true" ht="15" hidden="false" customHeight="false" outlineLevel="0" collapsed="false">
      <c r="A450" s="327" t="s">
        <v>770</v>
      </c>
      <c r="B450" s="328" t="s">
        <v>3084</v>
      </c>
      <c r="C450" s="472" t="e">
        <f aca="false">мат.затр!g3811</f>
        <v>#NAME?</v>
      </c>
      <c r="D450" s="472" t="n">
        <f aca="false">тарифик!J451</f>
        <v>1255.02008032129</v>
      </c>
      <c r="E450" s="472"/>
      <c r="F450" s="473" t="n">
        <f aca="false">D450*0.9*0.095+D450*3%</f>
        <v>144.954819277108</v>
      </c>
      <c r="G450" s="472" t="n">
        <f aca="false">амортизация!M1158</f>
        <v>9.86352818682136</v>
      </c>
      <c r="H450" s="473" t="e">
        <f aca="false">C450+D450+F450+G450</f>
        <v>#NAME?</v>
      </c>
      <c r="I450" s="462" t="n">
        <f aca="false">I$190</f>
        <v>0.240474587202079</v>
      </c>
      <c r="J450" s="473" t="n">
        <f aca="false">D450*I450</f>
        <v>301.800435745581</v>
      </c>
      <c r="K450" s="473" t="e">
        <f aca="false">H450+J450</f>
        <v>#NAME?</v>
      </c>
      <c r="L450" s="462" t="n">
        <v>0.2</v>
      </c>
      <c r="M450" s="473" t="e">
        <f aca="false">K450*L450</f>
        <v>#NAME?</v>
      </c>
      <c r="N450" s="473" t="e">
        <f aca="false">K450+M450</f>
        <v>#NAME?</v>
      </c>
      <c r="O450" s="473" t="e">
        <f aca="false">M450</f>
        <v>#NAME?</v>
      </c>
    </row>
    <row r="451" s="461" customFormat="true" ht="15" hidden="false" customHeight="false" outlineLevel="0" collapsed="false">
      <c r="A451" s="327" t="s">
        <v>771</v>
      </c>
      <c r="B451" s="328" t="s">
        <v>3085</v>
      </c>
      <c r="C451" s="472" t="e">
        <f aca="false">мат.затр!g3815</f>
        <v>#NAME?</v>
      </c>
      <c r="D451" s="472" t="n">
        <f aca="false">тарифик!J452</f>
        <v>1902.0526550647</v>
      </c>
      <c r="E451" s="472"/>
      <c r="F451" s="473" t="n">
        <f aca="false">D451*0.9*0.095+D451*3%</f>
        <v>219.687081659973</v>
      </c>
      <c r="G451" s="472" t="n">
        <f aca="false">амортизация!M1162</f>
        <v>15.3019485348803</v>
      </c>
      <c r="H451" s="473" t="e">
        <f aca="false">C451+D451+F451+G451</f>
        <v>#NAME?</v>
      </c>
      <c r="I451" s="462" t="n">
        <f aca="false">I$190</f>
        <v>0.240474587202079</v>
      </c>
      <c r="J451" s="473" t="n">
        <f aca="false">D451*I451</f>
        <v>457.395327063303</v>
      </c>
      <c r="K451" s="473" t="e">
        <f aca="false">H451+J451</f>
        <v>#NAME?</v>
      </c>
      <c r="L451" s="462" t="n">
        <v>0.2</v>
      </c>
      <c r="M451" s="473" t="e">
        <f aca="false">K451*L451</f>
        <v>#NAME?</v>
      </c>
      <c r="N451" s="473" t="e">
        <f aca="false">K451+M451</f>
        <v>#NAME?</v>
      </c>
      <c r="O451" s="473" t="e">
        <f aca="false">M451</f>
        <v>#NAME?</v>
      </c>
    </row>
    <row r="452" s="461" customFormat="true" ht="15" hidden="false" customHeight="false" outlineLevel="0" collapsed="false">
      <c r="A452" s="327" t="s">
        <v>772</v>
      </c>
      <c r="B452" s="328" t="s">
        <v>3205</v>
      </c>
      <c r="C452" s="472" t="e">
        <f aca="false">мат.затр!g3820</f>
        <v>#NAME?</v>
      </c>
      <c r="D452" s="472" t="n">
        <f aca="false">тарифик!J453</f>
        <v>1204.81927710843</v>
      </c>
      <c r="E452" s="472"/>
      <c r="F452" s="473" t="n">
        <f aca="false">D452*0.9*0.095+D452*3%</f>
        <v>139.156626506024</v>
      </c>
      <c r="G452" s="472" t="n">
        <f aca="false">амортизация!M1163</f>
        <v>4.56455451435371</v>
      </c>
      <c r="H452" s="473" t="e">
        <f aca="false">C452+D452+F452+G452</f>
        <v>#NAME?</v>
      </c>
      <c r="I452" s="462" t="n">
        <f aca="false">I$190</f>
        <v>0.240474587202079</v>
      </c>
      <c r="J452" s="473" t="n">
        <f aca="false">D452*I452</f>
        <v>289.728418315758</v>
      </c>
      <c r="K452" s="473" t="e">
        <f aca="false">H452+J452</f>
        <v>#NAME?</v>
      </c>
      <c r="L452" s="462" t="n">
        <v>0.2</v>
      </c>
      <c r="M452" s="473" t="e">
        <f aca="false">K452*L452</f>
        <v>#NAME?</v>
      </c>
      <c r="N452" s="473" t="e">
        <f aca="false">K452+M452</f>
        <v>#NAME?</v>
      </c>
      <c r="O452" s="473" t="e">
        <f aca="false">M452</f>
        <v>#NAME?</v>
      </c>
    </row>
    <row r="453" s="461" customFormat="true" ht="15" hidden="false" customHeight="false" outlineLevel="0" collapsed="false">
      <c r="A453" s="327" t="s">
        <v>774</v>
      </c>
      <c r="B453" s="328" t="s">
        <v>3206</v>
      </c>
      <c r="C453" s="472" t="e">
        <f aca="false">мат.затр!g3821</f>
        <v>#NAME?</v>
      </c>
      <c r="D453" s="472" t="n">
        <f aca="false">тарифик!J454</f>
        <v>1405.62248995984</v>
      </c>
      <c r="E453" s="472"/>
      <c r="F453" s="473" t="n">
        <f aca="false">D453*0.9*0.095+D453*3%</f>
        <v>162.349397590361</v>
      </c>
      <c r="G453" s="472" t="n">
        <f aca="false">амортизация!M1164</f>
        <v>4.56455451435371</v>
      </c>
      <c r="H453" s="473" t="e">
        <f aca="false">C453+D453+F453+G453</f>
        <v>#NAME?</v>
      </c>
      <c r="I453" s="462" t="n">
        <f aca="false">I$190</f>
        <v>0.240474587202079</v>
      </c>
      <c r="J453" s="473" t="n">
        <f aca="false">D453*I453</f>
        <v>338.016488035051</v>
      </c>
      <c r="K453" s="473" t="e">
        <f aca="false">H453+J453</f>
        <v>#NAME?</v>
      </c>
      <c r="L453" s="462" t="n">
        <v>0.2</v>
      </c>
      <c r="M453" s="473" t="e">
        <f aca="false">K453*L453</f>
        <v>#NAME?</v>
      </c>
      <c r="N453" s="473" t="e">
        <f aca="false">K453+M453</f>
        <v>#NAME?</v>
      </c>
      <c r="O453" s="473" t="e">
        <f aca="false">M453</f>
        <v>#NAME?</v>
      </c>
    </row>
    <row r="454" s="461" customFormat="true" ht="15" hidden="false" customHeight="false" outlineLevel="0" collapsed="false">
      <c r="A454" s="327" t="s">
        <v>776</v>
      </c>
      <c r="B454" s="328" t="s">
        <v>3207</v>
      </c>
      <c r="C454" s="472" t="e">
        <f aca="false">мат.затр!g3826</f>
        <v>#NAME?</v>
      </c>
      <c r="D454" s="472" t="n">
        <f aca="false">тарифик!J455</f>
        <v>1204.81927710843</v>
      </c>
      <c r="E454" s="472"/>
      <c r="F454" s="473" t="n">
        <f aca="false">D454*0.9*0.095+D454*3%</f>
        <v>139.156626506024</v>
      </c>
      <c r="G454" s="472" t="n">
        <f aca="false">амортизация!M1165</f>
        <v>4.56455451435371</v>
      </c>
      <c r="H454" s="473" t="e">
        <f aca="false">C454+D454+F454+G454</f>
        <v>#NAME?</v>
      </c>
      <c r="I454" s="462" t="n">
        <f aca="false">I$190</f>
        <v>0.240474587202079</v>
      </c>
      <c r="J454" s="473" t="n">
        <f aca="false">D454*I454</f>
        <v>289.728418315758</v>
      </c>
      <c r="K454" s="473" t="e">
        <f aca="false">H454+J454</f>
        <v>#NAME?</v>
      </c>
      <c r="L454" s="462" t="n">
        <v>0.2</v>
      </c>
      <c r="M454" s="473" t="e">
        <f aca="false">K454*L454</f>
        <v>#NAME?</v>
      </c>
      <c r="N454" s="473" t="e">
        <f aca="false">K454+M454</f>
        <v>#NAME?</v>
      </c>
      <c r="O454" s="473" t="e">
        <f aca="false">M454</f>
        <v>#NAME?</v>
      </c>
    </row>
    <row r="455" s="461" customFormat="true" ht="15" hidden="false" customHeight="false" outlineLevel="0" collapsed="false">
      <c r="A455" s="327" t="s">
        <v>778</v>
      </c>
      <c r="B455" s="328" t="s">
        <v>3208</v>
      </c>
      <c r="C455" s="472" t="e">
        <f aca="false">мат.затр!g3831</f>
        <v>#NAME?</v>
      </c>
      <c r="D455" s="472" t="n">
        <f aca="false">тарифик!J456</f>
        <v>995.649263721553</v>
      </c>
      <c r="E455" s="472"/>
      <c r="F455" s="473" t="n">
        <f aca="false">D455*0.9*0.095+D455*3%</f>
        <v>114.997489959839</v>
      </c>
      <c r="G455" s="472" t="n">
        <f aca="false">амортизация!M1168</f>
        <v>11.912975977986</v>
      </c>
      <c r="H455" s="473" t="e">
        <f aca="false">C455+D455+F455+G455</f>
        <v>#NAME?</v>
      </c>
      <c r="I455" s="462" t="n">
        <f aca="false">I$190</f>
        <v>0.240474587202079</v>
      </c>
      <c r="J455" s="473" t="n">
        <f aca="false">D455*I455</f>
        <v>239.428345691494</v>
      </c>
      <c r="K455" s="473" t="e">
        <f aca="false">H455+J455</f>
        <v>#NAME?</v>
      </c>
      <c r="L455" s="462" t="n">
        <v>0.2</v>
      </c>
      <c r="M455" s="473" t="e">
        <f aca="false">K455*L455</f>
        <v>#NAME?</v>
      </c>
      <c r="N455" s="473" t="e">
        <f aca="false">K455+M455</f>
        <v>#NAME?</v>
      </c>
      <c r="O455" s="473" t="e">
        <f aca="false">M455</f>
        <v>#NAME?</v>
      </c>
    </row>
    <row r="456" s="461" customFormat="true" ht="15" hidden="false" customHeight="false" outlineLevel="0" collapsed="false">
      <c r="A456" s="327" t="s">
        <v>780</v>
      </c>
      <c r="B456" s="328" t="s">
        <v>3209</v>
      </c>
      <c r="C456" s="472" t="e">
        <f aca="false">мат.затр!g3840</f>
        <v>#NAME?</v>
      </c>
      <c r="D456" s="472" t="n">
        <f aca="false">тарифик!J457</f>
        <v>1171.35207496653</v>
      </c>
      <c r="E456" s="472"/>
      <c r="F456" s="473" t="n">
        <f aca="false">D456*0.9*0.095+D456*3%</f>
        <v>135.291164658635</v>
      </c>
      <c r="G456" s="472" t="n">
        <f aca="false">амортизация!M1171</f>
        <v>11.912975977986</v>
      </c>
      <c r="H456" s="473" t="e">
        <f aca="false">C456+D456+F456+G456</f>
        <v>#NAME?</v>
      </c>
      <c r="I456" s="462" t="n">
        <f aca="false">I$190</f>
        <v>0.240474587202079</v>
      </c>
      <c r="J456" s="473" t="n">
        <f aca="false">D456*I456</f>
        <v>281.680406695876</v>
      </c>
      <c r="K456" s="473" t="e">
        <f aca="false">H456+J456</f>
        <v>#NAME?</v>
      </c>
      <c r="L456" s="462" t="n">
        <v>0.2</v>
      </c>
      <c r="M456" s="473" t="e">
        <f aca="false">K456*L456</f>
        <v>#NAME?</v>
      </c>
      <c r="N456" s="473" t="e">
        <f aca="false">K456+M456</f>
        <v>#NAME?</v>
      </c>
      <c r="O456" s="473" t="e">
        <f aca="false">M456</f>
        <v>#NAME?</v>
      </c>
    </row>
    <row r="457" s="461" customFormat="true" ht="15" hidden="false" customHeight="false" outlineLevel="0" collapsed="false">
      <c r="A457" s="327" t="s">
        <v>782</v>
      </c>
      <c r="B457" s="328" t="s">
        <v>3210</v>
      </c>
      <c r="C457" s="472" t="e">
        <f aca="false">мат.затр!g3845</f>
        <v>#NAME?</v>
      </c>
      <c r="D457" s="472" t="n">
        <f aca="false">тарифик!J458</f>
        <v>878.5140562249</v>
      </c>
      <c r="E457" s="472"/>
      <c r="F457" s="473" t="n">
        <f aca="false">D457*0.9*0.095+D457*3%</f>
        <v>101.468373493976</v>
      </c>
      <c r="G457" s="472" t="n">
        <f aca="false">амортизация!M1174</f>
        <v>11.912975977986</v>
      </c>
      <c r="H457" s="473" t="e">
        <f aca="false">C457+D457+F457+G457</f>
        <v>#NAME?</v>
      </c>
      <c r="I457" s="462" t="n">
        <f aca="false">I$190</f>
        <v>0.240474587202079</v>
      </c>
      <c r="J457" s="473" t="n">
        <f aca="false">D457*I457</f>
        <v>211.260305021907</v>
      </c>
      <c r="K457" s="473" t="e">
        <f aca="false">H457+J457</f>
        <v>#NAME?</v>
      </c>
      <c r="L457" s="462" t="n">
        <v>0.2</v>
      </c>
      <c r="M457" s="473" t="e">
        <f aca="false">K457*L457</f>
        <v>#NAME?</v>
      </c>
      <c r="N457" s="473" t="e">
        <f aca="false">K457+M457</f>
        <v>#NAME?</v>
      </c>
      <c r="O457" s="473" t="e">
        <f aca="false">M457</f>
        <v>#NAME?</v>
      </c>
    </row>
    <row r="458" s="461" customFormat="true" ht="15" hidden="false" customHeight="false" outlineLevel="0" collapsed="false">
      <c r="A458" s="327" t="s">
        <v>784</v>
      </c>
      <c r="B458" s="328" t="s">
        <v>3211</v>
      </c>
      <c r="C458" s="472" t="e">
        <f aca="false">мат.затр!g3851</f>
        <v>#NAME?</v>
      </c>
      <c r="D458" s="472" t="n">
        <f aca="false">тарифик!J459</f>
        <v>1204.81927710843</v>
      </c>
      <c r="E458" s="472"/>
      <c r="F458" s="473" t="n">
        <f aca="false">D458*0.9*0.095+D458*3%</f>
        <v>139.156626506024</v>
      </c>
      <c r="G458" s="472" t="n">
        <f aca="false">амортизация!M1175</f>
        <v>4.56455451435371</v>
      </c>
      <c r="H458" s="473" t="e">
        <f aca="false">C458+D458+F458+G458</f>
        <v>#NAME?</v>
      </c>
      <c r="I458" s="462" t="n">
        <f aca="false">I$190</f>
        <v>0.240474587202079</v>
      </c>
      <c r="J458" s="473" t="n">
        <f aca="false">D458*I458</f>
        <v>289.728418315758</v>
      </c>
      <c r="K458" s="473" t="e">
        <f aca="false">H458+J458</f>
        <v>#NAME?</v>
      </c>
      <c r="L458" s="462" t="n">
        <v>0.2</v>
      </c>
      <c r="M458" s="473" t="e">
        <f aca="false">K458*L458</f>
        <v>#NAME?</v>
      </c>
      <c r="N458" s="473" t="e">
        <f aca="false">K458+M458</f>
        <v>#NAME?</v>
      </c>
      <c r="O458" s="473" t="e">
        <f aca="false">M458</f>
        <v>#NAME?</v>
      </c>
    </row>
    <row r="459" s="461" customFormat="true" ht="15" hidden="false" customHeight="false" outlineLevel="0" collapsed="false">
      <c r="A459" s="327" t="s">
        <v>786</v>
      </c>
      <c r="B459" s="328" t="s">
        <v>3103</v>
      </c>
      <c r="C459" s="472" t="e">
        <f aca="false">мат.затр!g3863</f>
        <v>#NAME?</v>
      </c>
      <c r="D459" s="472" t="n">
        <f aca="false">тарифик!J460</f>
        <v>2342.70414993307</v>
      </c>
      <c r="E459" s="472"/>
      <c r="F459" s="473" t="n">
        <f aca="false">D459*0.9*0.095+D459*3%</f>
        <v>270.582329317269</v>
      </c>
      <c r="G459" s="472" t="n">
        <f aca="false">амортизация!M1181</f>
        <v>839.032983787</v>
      </c>
      <c r="H459" s="473" t="e">
        <f aca="false">C459+D459+F459+G459</f>
        <v>#NAME?</v>
      </c>
      <c r="I459" s="462" t="n">
        <f aca="false">I$190</f>
        <v>0.240474587202079</v>
      </c>
      <c r="J459" s="473" t="n">
        <f aca="false">D459*I459</f>
        <v>563.360813391751</v>
      </c>
      <c r="K459" s="473" t="e">
        <f aca="false">H459+J459</f>
        <v>#NAME?</v>
      </c>
      <c r="L459" s="462" t="n">
        <v>0.2</v>
      </c>
      <c r="M459" s="473" t="e">
        <f aca="false">K459*L459</f>
        <v>#NAME?</v>
      </c>
      <c r="N459" s="473" t="e">
        <f aca="false">K459+M459</f>
        <v>#NAME?</v>
      </c>
      <c r="O459" s="473" t="e">
        <f aca="false">M459</f>
        <v>#NAME?</v>
      </c>
    </row>
    <row r="460" s="461" customFormat="true" ht="15" hidden="false" customHeight="false" outlineLevel="0" collapsed="false">
      <c r="A460" s="327" t="s">
        <v>787</v>
      </c>
      <c r="B460" s="328" t="s">
        <v>3148</v>
      </c>
      <c r="C460" s="472" t="e">
        <f aca="false">мат.затр!g3877</f>
        <v>#NAME?</v>
      </c>
      <c r="D460" s="472" t="n">
        <f aca="false">тарифик!J461</f>
        <v>1801.651048639</v>
      </c>
      <c r="E460" s="472"/>
      <c r="F460" s="473" t="n">
        <f aca="false">D460*0.9*0.095+D460*3%</f>
        <v>208.090696117805</v>
      </c>
      <c r="G460" s="472" t="n">
        <f aca="false">амортизация!M1189</f>
        <v>587.954252193961</v>
      </c>
      <c r="H460" s="473" t="e">
        <f aca="false">C460+D460+F460+G460</f>
        <v>#NAME?</v>
      </c>
      <c r="I460" s="462" t="n">
        <f aca="false">I$190</f>
        <v>0.240474587202079</v>
      </c>
      <c r="J460" s="473" t="n">
        <f aca="false">D460*I460</f>
        <v>433.251292203656</v>
      </c>
      <c r="K460" s="473" t="e">
        <f aca="false">H460+J460</f>
        <v>#NAME?</v>
      </c>
      <c r="L460" s="462" t="n">
        <v>0.2</v>
      </c>
      <c r="M460" s="473" t="e">
        <f aca="false">K460*L460</f>
        <v>#NAME?</v>
      </c>
      <c r="N460" s="473" t="e">
        <f aca="false">K460+M460</f>
        <v>#NAME?</v>
      </c>
      <c r="O460" s="473" t="e">
        <f aca="false">M460</f>
        <v>#NAME?</v>
      </c>
    </row>
    <row r="461" s="461" customFormat="true" ht="15" hidden="false" customHeight="false" outlineLevel="0" collapsed="false">
      <c r="A461" s="327" t="s">
        <v>788</v>
      </c>
      <c r="B461" s="328" t="s">
        <v>3102</v>
      </c>
      <c r="C461" s="472" t="e">
        <f aca="false">мат.затр!g3889</f>
        <v>#NAME?</v>
      </c>
      <c r="D461" s="472" t="n">
        <f aca="false">тарифик!J462</f>
        <v>2677.37617135208</v>
      </c>
      <c r="E461" s="472"/>
      <c r="F461" s="473" t="n">
        <f aca="false">D461*0.9*0.095+D461*3%</f>
        <v>309.236947791165</v>
      </c>
      <c r="G461" s="472" t="n">
        <f aca="false">амортизация!M1195</f>
        <v>524.681131935148</v>
      </c>
      <c r="H461" s="473" t="e">
        <f aca="false">C461+D461+F461+G461</f>
        <v>#NAME?</v>
      </c>
      <c r="I461" s="462" t="n">
        <f aca="false">I$190</f>
        <v>0.240474587202079</v>
      </c>
      <c r="J461" s="473" t="n">
        <f aca="false">D461*I461</f>
        <v>643.840929590573</v>
      </c>
      <c r="K461" s="473" t="e">
        <f aca="false">H461+J461</f>
        <v>#NAME?</v>
      </c>
      <c r="L461" s="462" t="n">
        <v>0.2</v>
      </c>
      <c r="M461" s="473" t="e">
        <f aca="false">K461*L461</f>
        <v>#NAME?</v>
      </c>
      <c r="N461" s="473" t="e">
        <f aca="false">K461+M461</f>
        <v>#NAME?</v>
      </c>
      <c r="O461" s="473" t="e">
        <f aca="false">M461</f>
        <v>#NAME?</v>
      </c>
    </row>
    <row r="462" s="461" customFormat="true" ht="15" hidden="false" customHeight="false" outlineLevel="0" collapsed="false">
      <c r="A462" s="327" t="s">
        <v>789</v>
      </c>
      <c r="B462" s="328" t="s">
        <v>3149</v>
      </c>
      <c r="C462" s="472" t="e">
        <f aca="false">мат.затр!g3901</f>
        <v>#NAME?</v>
      </c>
      <c r="D462" s="472" t="n">
        <f aca="false">тарифик!J463</f>
        <v>1801.651048639</v>
      </c>
      <c r="E462" s="472"/>
      <c r="F462" s="473" t="n">
        <f aca="false">D462*0.9*0.095+D462*3%</f>
        <v>208.090696117805</v>
      </c>
      <c r="G462" s="472" t="n">
        <f aca="false">амортизация!M1199</f>
        <v>954.968531533542</v>
      </c>
      <c r="H462" s="473" t="e">
        <f aca="false">C462+D462+F462+G462</f>
        <v>#NAME?</v>
      </c>
      <c r="I462" s="462" t="n">
        <f aca="false">I$190</f>
        <v>0.240474587202079</v>
      </c>
      <c r="J462" s="473" t="n">
        <f aca="false">D462*I462</f>
        <v>433.251292203656</v>
      </c>
      <c r="K462" s="473" t="e">
        <f aca="false">H462+J462</f>
        <v>#NAME?</v>
      </c>
      <c r="L462" s="462" t="n">
        <v>0.2</v>
      </c>
      <c r="M462" s="473" t="e">
        <f aca="false">K462*L462</f>
        <v>#NAME?</v>
      </c>
      <c r="N462" s="473" t="e">
        <f aca="false">K462+M462</f>
        <v>#NAME?</v>
      </c>
      <c r="O462" s="473" t="e">
        <f aca="false">M462</f>
        <v>#NAME?</v>
      </c>
    </row>
    <row r="463" s="461" customFormat="true" ht="15" hidden="false" customHeight="false" outlineLevel="0" collapsed="false">
      <c r="A463" s="327" t="s">
        <v>790</v>
      </c>
      <c r="B463" s="433" t="s">
        <v>791</v>
      </c>
      <c r="C463" s="472" t="e">
        <f aca="false">мат.затр!g3908</f>
        <v>#NAME?</v>
      </c>
      <c r="D463" s="472" t="n">
        <f aca="false">тарифик!J464</f>
        <v>317.938420348059</v>
      </c>
      <c r="E463" s="472"/>
      <c r="F463" s="473" t="n">
        <f aca="false">D463*0.9*0.095+D463*3%</f>
        <v>36.7218875502008</v>
      </c>
      <c r="G463" s="472" t="n">
        <f aca="false">амортизация!M1202</f>
        <v>11.912975977986</v>
      </c>
      <c r="H463" s="473" t="e">
        <f aca="false">C463+D463+F463+G463</f>
        <v>#NAME?</v>
      </c>
      <c r="I463" s="462" t="n">
        <f aca="false">I$190</f>
        <v>0.240474587202079</v>
      </c>
      <c r="J463" s="473" t="n">
        <f aca="false">D463*I463</f>
        <v>76.4561103888805</v>
      </c>
      <c r="K463" s="473" t="e">
        <f aca="false">H463+J463</f>
        <v>#NAME?</v>
      </c>
      <c r="L463" s="462" t="n">
        <v>0.2</v>
      </c>
      <c r="M463" s="473" t="e">
        <f aca="false">K463*L463</f>
        <v>#NAME?</v>
      </c>
      <c r="N463" s="473" t="e">
        <f aca="false">K463+M463</f>
        <v>#NAME?</v>
      </c>
      <c r="O463" s="473" t="e">
        <f aca="false">M463</f>
        <v>#NAME?</v>
      </c>
    </row>
    <row r="464" s="461" customFormat="true" ht="15" hidden="false" customHeight="false" outlineLevel="0" collapsed="false">
      <c r="A464" s="327" t="s">
        <v>792</v>
      </c>
      <c r="B464" s="433" t="s">
        <v>3212</v>
      </c>
      <c r="C464" s="472" t="e">
        <f aca="false">мат.затр!g3909</f>
        <v>#NAME?</v>
      </c>
      <c r="D464" s="472" t="n">
        <f aca="false">тарифик!J465</f>
        <v>1963.40919232486</v>
      </c>
      <c r="E464" s="472"/>
      <c r="F464" s="473" t="n">
        <f aca="false">D464*0.9*0.095+D464*3%</f>
        <v>226.773761713521</v>
      </c>
      <c r="G464" s="472" t="n">
        <f aca="false">амортизация!M1203</f>
        <v>4.56455451435371</v>
      </c>
      <c r="H464" s="473" t="e">
        <f aca="false">C464+D464+F464+G464</f>
        <v>#NAME?</v>
      </c>
      <c r="I464" s="462" t="n">
        <f aca="false">I$190</f>
        <v>0.240474587202079</v>
      </c>
      <c r="J464" s="473" t="n">
        <f aca="false">D464*I464</f>
        <v>472.150015033087</v>
      </c>
      <c r="K464" s="473" t="e">
        <f aca="false">H464+J464</f>
        <v>#NAME?</v>
      </c>
      <c r="L464" s="462" t="n">
        <v>0.2</v>
      </c>
      <c r="M464" s="473" t="e">
        <f aca="false">K464*L464</f>
        <v>#NAME?</v>
      </c>
      <c r="N464" s="473" t="e">
        <f aca="false">K464+M464</f>
        <v>#NAME?</v>
      </c>
      <c r="O464" s="473" t="e">
        <f aca="false">M464</f>
        <v>#NAME?</v>
      </c>
    </row>
    <row r="465" s="461" customFormat="true" ht="15" hidden="false" customHeight="false" outlineLevel="0" collapsed="false">
      <c r="A465" s="350" t="s">
        <v>794</v>
      </c>
      <c r="B465" s="467" t="s">
        <v>3213</v>
      </c>
      <c r="C465" s="468"/>
      <c r="D465" s="468"/>
      <c r="E465" s="468"/>
      <c r="F465" s="474"/>
      <c r="G465" s="468"/>
      <c r="H465" s="474"/>
      <c r="I465" s="475"/>
      <c r="J465" s="474"/>
      <c r="K465" s="474"/>
      <c r="L465" s="475"/>
      <c r="M465" s="474"/>
      <c r="N465" s="474"/>
      <c r="O465" s="474"/>
    </row>
    <row r="466" s="461" customFormat="true" ht="15" hidden="false" customHeight="false" outlineLevel="0" collapsed="false">
      <c r="A466" s="327" t="s">
        <v>796</v>
      </c>
      <c r="B466" s="328" t="s">
        <v>3010</v>
      </c>
      <c r="C466" s="472" t="e">
        <f aca="false">мат.затр!g3911</f>
        <v>#NAME?</v>
      </c>
      <c r="D466" s="472" t="n">
        <f aca="false">тарифик!J467</f>
        <v>602.409638554217</v>
      </c>
      <c r="E466" s="472"/>
      <c r="F466" s="473" t="n">
        <f aca="false">D466*0.9*0.095+D466*3%</f>
        <v>69.578313253012</v>
      </c>
      <c r="G466" s="472" t="n">
        <f aca="false">амортизация!M1205</f>
        <v>7.53012048192771</v>
      </c>
      <c r="H466" s="473" t="e">
        <f aca="false">C466+D466+F466+G466</f>
        <v>#NAME?</v>
      </c>
      <c r="I466" s="462" t="n">
        <f aca="false">I$190</f>
        <v>0.240474587202079</v>
      </c>
      <c r="J466" s="473" t="n">
        <f aca="false">D466*I466</f>
        <v>144.864209157879</v>
      </c>
      <c r="K466" s="473" t="e">
        <f aca="false">H466+J466</f>
        <v>#NAME?</v>
      </c>
      <c r="L466" s="462" t="n">
        <v>0.2</v>
      </c>
      <c r="M466" s="473" t="e">
        <f aca="false">K466*L466</f>
        <v>#NAME?</v>
      </c>
      <c r="N466" s="473" t="e">
        <f aca="false">K466+M466</f>
        <v>#NAME?</v>
      </c>
      <c r="O466" s="473" t="e">
        <f aca="false">M466</f>
        <v>#NAME?</v>
      </c>
    </row>
    <row r="467" s="461" customFormat="true" ht="15" hidden="false" customHeight="false" outlineLevel="0" collapsed="false">
      <c r="A467" s="327" t="s">
        <v>797</v>
      </c>
      <c r="B467" s="328" t="s">
        <v>3084</v>
      </c>
      <c r="C467" s="472" t="e">
        <f aca="false">мат.затр!g3914</f>
        <v>#NAME?</v>
      </c>
      <c r="D467" s="472" t="n">
        <f aca="false">тарифик!J468</f>
        <v>1204.81927710843</v>
      </c>
      <c r="E467" s="472"/>
      <c r="F467" s="473" t="n">
        <f aca="false">D467*0.9*0.095+D467*3%</f>
        <v>139.156626506024</v>
      </c>
      <c r="G467" s="472" t="n">
        <f aca="false">амортизация!M1208</f>
        <v>6.14197530864198</v>
      </c>
      <c r="H467" s="473" t="e">
        <f aca="false">C467+D467+F467+G467</f>
        <v>#NAME?</v>
      </c>
      <c r="I467" s="462" t="n">
        <f aca="false">I$190</f>
        <v>0.240474587202079</v>
      </c>
      <c r="J467" s="473" t="n">
        <f aca="false">D467*I467</f>
        <v>289.728418315758</v>
      </c>
      <c r="K467" s="473" t="e">
        <f aca="false">H467+J467</f>
        <v>#NAME?</v>
      </c>
      <c r="L467" s="462" t="n">
        <v>0.2</v>
      </c>
      <c r="M467" s="473" t="e">
        <f aca="false">K467*L467</f>
        <v>#NAME?</v>
      </c>
      <c r="N467" s="473" t="e">
        <f aca="false">K467+M467</f>
        <v>#NAME?</v>
      </c>
      <c r="O467" s="473" t="e">
        <f aca="false">M467</f>
        <v>#NAME?</v>
      </c>
    </row>
    <row r="468" s="461" customFormat="true" ht="15" hidden="false" customHeight="false" outlineLevel="0" collapsed="false">
      <c r="A468" s="327" t="s">
        <v>798</v>
      </c>
      <c r="B468" s="328" t="s">
        <v>3085</v>
      </c>
      <c r="C468" s="472" t="e">
        <f aca="false">мат.затр!g3918</f>
        <v>#NAME?</v>
      </c>
      <c r="D468" s="472" t="n">
        <f aca="false">тарифик!J469</f>
        <v>1656.6265060241</v>
      </c>
      <c r="E468" s="472"/>
      <c r="F468" s="473" t="n">
        <f aca="false">D468*0.9*0.095+D468*3%</f>
        <v>191.340361445783</v>
      </c>
      <c r="G468" s="472" t="n">
        <f aca="false">амортизация!M1211</f>
        <v>6.14197530864198</v>
      </c>
      <c r="H468" s="473" t="e">
        <f aca="false">C468+D468+F468+G468</f>
        <v>#NAME?</v>
      </c>
      <c r="I468" s="462" t="n">
        <f aca="false">I$190</f>
        <v>0.240474587202079</v>
      </c>
      <c r="J468" s="473" t="n">
        <f aca="false">D468*I468</f>
        <v>398.376575184167</v>
      </c>
      <c r="K468" s="473" t="e">
        <f aca="false">H468+J468</f>
        <v>#NAME?</v>
      </c>
      <c r="L468" s="462" t="n">
        <v>0.2</v>
      </c>
      <c r="M468" s="473" t="e">
        <f aca="false">K468*L468</f>
        <v>#NAME?</v>
      </c>
      <c r="N468" s="473" t="e">
        <f aca="false">K468+M468</f>
        <v>#NAME?</v>
      </c>
      <c r="O468" s="473" t="e">
        <f aca="false">M468</f>
        <v>#NAME?</v>
      </c>
    </row>
    <row r="469" s="461" customFormat="true" ht="15" hidden="false" customHeight="false" outlineLevel="0" collapsed="false">
      <c r="A469" s="327" t="s">
        <v>799</v>
      </c>
      <c r="B469" s="328" t="s">
        <v>3126</v>
      </c>
      <c r="C469" s="472" t="e">
        <f aca="false">мат.затр!g3922</f>
        <v>#NAME?</v>
      </c>
      <c r="D469" s="472" t="n">
        <f aca="false">тарифик!J470</f>
        <v>1129.51807228916</v>
      </c>
      <c r="E469" s="472"/>
      <c r="F469" s="473" t="n">
        <f aca="false">D469*0.9*0.095+D469*3%</f>
        <v>130.459337349398</v>
      </c>
      <c r="G469" s="472" t="n">
        <f aca="false">амортизация!M1214</f>
        <v>4.94831176558084</v>
      </c>
      <c r="H469" s="473" t="e">
        <f aca="false">C469+D469+F469+G469</f>
        <v>#NAME?</v>
      </c>
      <c r="I469" s="462" t="n">
        <f aca="false">I$190</f>
        <v>0.240474587202079</v>
      </c>
      <c r="J469" s="473" t="n">
        <f aca="false">D469*I469</f>
        <v>271.620392171023</v>
      </c>
      <c r="K469" s="473" t="e">
        <f aca="false">H469+J469</f>
        <v>#NAME?</v>
      </c>
      <c r="L469" s="462" t="n">
        <v>0.2</v>
      </c>
      <c r="M469" s="473" t="e">
        <f aca="false">K469*L469</f>
        <v>#NAME?</v>
      </c>
      <c r="N469" s="473" t="e">
        <f aca="false">K469+M469</f>
        <v>#NAME?</v>
      </c>
      <c r="O469" s="473" t="e">
        <f aca="false">M469</f>
        <v>#NAME?</v>
      </c>
    </row>
    <row r="470" s="461" customFormat="true" ht="15" hidden="false" customHeight="false" outlineLevel="0" collapsed="false">
      <c r="A470" s="327" t="s">
        <v>800</v>
      </c>
      <c r="B470" s="328" t="s">
        <v>3214</v>
      </c>
      <c r="C470" s="472" t="e">
        <f aca="false">мат.затр!g3927</f>
        <v>#NAME?</v>
      </c>
      <c r="D470" s="472" t="n">
        <f aca="false">тарифик!J471</f>
        <v>669.344042838019</v>
      </c>
      <c r="E470" s="472"/>
      <c r="F470" s="473" t="n">
        <f aca="false">D470*0.9*0.095+D470*3%</f>
        <v>77.3092369477912</v>
      </c>
      <c r="G470" s="472" t="n">
        <f aca="false">амортизация!M1215</f>
        <v>7.53012048192771</v>
      </c>
      <c r="H470" s="473" t="e">
        <f aca="false">C470+D470+F470+G470</f>
        <v>#NAME?</v>
      </c>
      <c r="I470" s="462" t="n">
        <f aca="false">I$190</f>
        <v>0.240474587202079</v>
      </c>
      <c r="J470" s="473" t="n">
        <f aca="false">D470*I470</f>
        <v>160.960232397643</v>
      </c>
      <c r="K470" s="473" t="e">
        <f aca="false">H470+J470</f>
        <v>#NAME?</v>
      </c>
      <c r="L470" s="462" t="n">
        <v>0.2</v>
      </c>
      <c r="M470" s="473" t="e">
        <f aca="false">K470*L470</f>
        <v>#NAME?</v>
      </c>
      <c r="N470" s="473" t="e">
        <f aca="false">K470+M470</f>
        <v>#NAME?</v>
      </c>
      <c r="O470" s="473" t="e">
        <f aca="false">M470</f>
        <v>#NAME?</v>
      </c>
    </row>
    <row r="471" s="461" customFormat="true" ht="15" hidden="false" customHeight="false" outlineLevel="0" collapsed="false">
      <c r="A471" s="327" t="s">
        <v>802</v>
      </c>
      <c r="B471" s="328" t="s">
        <v>3215</v>
      </c>
      <c r="C471" s="472" t="e">
        <f aca="false">мат.затр!g3936</f>
        <v>#NAME?</v>
      </c>
      <c r="D471" s="472" t="n">
        <f aca="false">тарифик!J472</f>
        <v>1249.44221329764</v>
      </c>
      <c r="E471" s="472"/>
      <c r="F471" s="473" t="n">
        <f aca="false">D471*0.9*0.095+D471*3%</f>
        <v>144.310575635877</v>
      </c>
      <c r="G471" s="472" t="n">
        <f aca="false">амортизация!M1218</f>
        <v>8.19142309980663</v>
      </c>
      <c r="H471" s="473" t="e">
        <f aca="false">C471+D471+F471+G471</f>
        <v>#NAME?</v>
      </c>
      <c r="I471" s="462" t="n">
        <f aca="false">I$190</f>
        <v>0.240474587202079</v>
      </c>
      <c r="J471" s="473" t="n">
        <f aca="false">D471*I471</f>
        <v>300.459100475601</v>
      </c>
      <c r="K471" s="473" t="e">
        <f aca="false">H471+J471</f>
        <v>#NAME?</v>
      </c>
      <c r="L471" s="462" t="n">
        <v>0.2</v>
      </c>
      <c r="M471" s="473" t="e">
        <f aca="false">K471*L471</f>
        <v>#NAME?</v>
      </c>
      <c r="N471" s="473" t="e">
        <f aca="false">K471+M471</f>
        <v>#NAME?</v>
      </c>
      <c r="O471" s="473" t="e">
        <f aca="false">M471</f>
        <v>#NAME?</v>
      </c>
    </row>
    <row r="472" s="461" customFormat="true" ht="15" hidden="false" customHeight="false" outlineLevel="0" collapsed="false">
      <c r="A472" s="327" t="s">
        <v>804</v>
      </c>
      <c r="B472" s="328" t="s">
        <v>3216</v>
      </c>
      <c r="C472" s="472" t="e">
        <f aca="false">мат.затр!g3939</f>
        <v>#NAME?</v>
      </c>
      <c r="D472" s="472" t="n">
        <f aca="false">тарифик!J473</f>
        <v>557.786702365016</v>
      </c>
      <c r="E472" s="472"/>
      <c r="F472" s="473" t="n">
        <f aca="false">D472*0.9*0.095+D472*3%</f>
        <v>64.4243641231593</v>
      </c>
      <c r="G472" s="472" t="n">
        <f aca="false">амортизация!M1222</f>
        <v>11.1230105607616</v>
      </c>
      <c r="H472" s="473" t="e">
        <f aca="false">C472+D472+F472+G472</f>
        <v>#NAME?</v>
      </c>
      <c r="I472" s="462" t="n">
        <f aca="false">I$190</f>
        <v>0.240474587202079</v>
      </c>
      <c r="J472" s="473" t="n">
        <f aca="false">D472*I472</f>
        <v>134.133526998036</v>
      </c>
      <c r="K472" s="473" t="e">
        <f aca="false">H472+J472</f>
        <v>#NAME?</v>
      </c>
      <c r="L472" s="462" t="n">
        <v>0.2</v>
      </c>
      <c r="M472" s="473" t="e">
        <f aca="false">K472*L472</f>
        <v>#NAME?</v>
      </c>
      <c r="N472" s="473" t="e">
        <f aca="false">K472+M472</f>
        <v>#NAME?</v>
      </c>
      <c r="O472" s="473" t="e">
        <f aca="false">M472</f>
        <v>#NAME?</v>
      </c>
    </row>
    <row r="473" s="461" customFormat="true" ht="15" hidden="false" customHeight="false" outlineLevel="0" collapsed="false">
      <c r="A473" s="327" t="s">
        <v>806</v>
      </c>
      <c r="B473" s="328" t="s">
        <v>3217</v>
      </c>
      <c r="C473" s="472" t="e">
        <f aca="false">мат.затр!g3943</f>
        <v>#NAME?</v>
      </c>
      <c r="D473" s="472" t="n">
        <f aca="false">тарифик!J474</f>
        <v>602.409638554217</v>
      </c>
      <c r="E473" s="472"/>
      <c r="F473" s="473" t="n">
        <f aca="false">D473*0.9*0.095+D473*3%</f>
        <v>69.578313253012</v>
      </c>
      <c r="G473" s="472" t="n">
        <f aca="false">амортизация!M1226</f>
        <v>11.1230105607616</v>
      </c>
      <c r="H473" s="473" t="e">
        <f aca="false">C473+D473+F473+G473</f>
        <v>#NAME?</v>
      </c>
      <c r="I473" s="462" t="n">
        <f aca="false">I$190</f>
        <v>0.240474587202079</v>
      </c>
      <c r="J473" s="473" t="n">
        <f aca="false">D473*I473</f>
        <v>144.864209157879</v>
      </c>
      <c r="K473" s="473" t="e">
        <f aca="false">H473+J473</f>
        <v>#NAME?</v>
      </c>
      <c r="L473" s="462" t="n">
        <v>0.2</v>
      </c>
      <c r="M473" s="473" t="e">
        <f aca="false">K473*L473</f>
        <v>#NAME?</v>
      </c>
      <c r="N473" s="473" t="e">
        <f aca="false">K473+M473</f>
        <v>#NAME?</v>
      </c>
      <c r="O473" s="473" t="e">
        <f aca="false">M473</f>
        <v>#NAME?</v>
      </c>
    </row>
    <row r="474" s="461" customFormat="true" ht="15" hidden="false" customHeight="false" outlineLevel="0" collapsed="false">
      <c r="A474" s="327" t="s">
        <v>808</v>
      </c>
      <c r="B474" s="328" t="s">
        <v>3218</v>
      </c>
      <c r="C474" s="472" t="e">
        <f aca="false">мат.затр!g3951</f>
        <v>#NAME?</v>
      </c>
      <c r="D474" s="472" t="n">
        <f aca="false">тарифик!J475</f>
        <v>1015.17179830433</v>
      </c>
      <c r="E474" s="472"/>
      <c r="F474" s="473" t="n">
        <f aca="false">D474*0.9*0.095+D474*3%</f>
        <v>117.25234270415</v>
      </c>
      <c r="G474" s="472" t="n">
        <f aca="false">амортизация!M1229</f>
        <v>1.75963111706084</v>
      </c>
      <c r="H474" s="473" t="e">
        <f aca="false">C474+D474+F474+G474</f>
        <v>#NAME?</v>
      </c>
      <c r="I474" s="462" t="n">
        <f aca="false">I$190</f>
        <v>0.240474587202079</v>
      </c>
      <c r="J474" s="473" t="n">
        <f aca="false">D474*I474</f>
        <v>244.123019136426</v>
      </c>
      <c r="K474" s="473" t="e">
        <f aca="false">H474+J474</f>
        <v>#NAME?</v>
      </c>
      <c r="L474" s="462" t="n">
        <v>0.2</v>
      </c>
      <c r="M474" s="473" t="e">
        <f aca="false">K474*L474</f>
        <v>#NAME?</v>
      </c>
      <c r="N474" s="473" t="e">
        <f aca="false">K474+M474</f>
        <v>#NAME?</v>
      </c>
      <c r="O474" s="473" t="e">
        <f aca="false">M474</f>
        <v>#NAME?</v>
      </c>
    </row>
    <row r="475" s="461" customFormat="true" ht="15" hidden="false" customHeight="false" outlineLevel="0" collapsed="false">
      <c r="A475" s="327" t="s">
        <v>810</v>
      </c>
      <c r="B475" s="328" t="s">
        <v>3219</v>
      </c>
      <c r="C475" s="472" t="e">
        <f aca="false">мат.затр!g3955</f>
        <v>#NAME?</v>
      </c>
      <c r="D475" s="472" t="n">
        <f aca="false">тарифик!J476</f>
        <v>1305.22088353414</v>
      </c>
      <c r="E475" s="472"/>
      <c r="F475" s="473" t="n">
        <f aca="false">D475*0.9*0.095+D475*3%</f>
        <v>150.753012048193</v>
      </c>
      <c r="G475" s="472" t="n">
        <f aca="false">амортизация!M1233</f>
        <v>11.1230105607616</v>
      </c>
      <c r="H475" s="473" t="e">
        <f aca="false">C475+D475+F475+G475</f>
        <v>#NAME?</v>
      </c>
      <c r="I475" s="462" t="n">
        <f aca="false">I$190</f>
        <v>0.240474587202079</v>
      </c>
      <c r="J475" s="473" t="n">
        <f aca="false">D475*I475</f>
        <v>313.872453175404</v>
      </c>
      <c r="K475" s="473" t="e">
        <f aca="false">H475+J475</f>
        <v>#NAME?</v>
      </c>
      <c r="L475" s="462" t="n">
        <v>0.2</v>
      </c>
      <c r="M475" s="473" t="e">
        <f aca="false">K475*L475</f>
        <v>#NAME?</v>
      </c>
      <c r="N475" s="473" t="e">
        <f aca="false">K475+M475</f>
        <v>#NAME?</v>
      </c>
      <c r="O475" s="473" t="e">
        <f aca="false">M475</f>
        <v>#NAME?</v>
      </c>
    </row>
    <row r="476" s="461" customFormat="true" ht="15" hidden="false" customHeight="false" outlineLevel="0" collapsed="false">
      <c r="A476" s="327" t="s">
        <v>812</v>
      </c>
      <c r="B476" s="328" t="s">
        <v>3103</v>
      </c>
      <c r="C476" s="472" t="e">
        <f aca="false">мат.затр!g3967</f>
        <v>#NAME?</v>
      </c>
      <c r="D476" s="472" t="n">
        <f aca="false">тарифик!J477</f>
        <v>1667.7822400714</v>
      </c>
      <c r="E476" s="472"/>
      <c r="F476" s="473" t="n">
        <f aca="false">D476*0.9*0.095+D476*3%</f>
        <v>192.628848728246</v>
      </c>
      <c r="G476" s="472" t="n">
        <f aca="false">амортизация!M1238</f>
        <v>1106.97438829392</v>
      </c>
      <c r="H476" s="473" t="e">
        <f aca="false">C476+D476+F476+G476</f>
        <v>#NAME?</v>
      </c>
      <c r="I476" s="462" t="n">
        <f aca="false">I$190</f>
        <v>0.240474587202079</v>
      </c>
      <c r="J476" s="473" t="n">
        <f aca="false">D476*I476</f>
        <v>401.059245724128</v>
      </c>
      <c r="K476" s="473" t="e">
        <f aca="false">H476+J476</f>
        <v>#NAME?</v>
      </c>
      <c r="L476" s="462" t="n">
        <v>0.2</v>
      </c>
      <c r="M476" s="473" t="e">
        <f aca="false">K476*L476</f>
        <v>#NAME?</v>
      </c>
      <c r="N476" s="473" t="e">
        <f aca="false">K476+M476</f>
        <v>#NAME?</v>
      </c>
      <c r="O476" s="473" t="e">
        <f aca="false">M476</f>
        <v>#NAME?</v>
      </c>
    </row>
    <row r="477" s="461" customFormat="true" ht="15" hidden="false" customHeight="false" outlineLevel="0" collapsed="false">
      <c r="A477" s="327" t="s">
        <v>813</v>
      </c>
      <c r="B477" s="328" t="s">
        <v>3148</v>
      </c>
      <c r="C477" s="472" t="e">
        <f aca="false">мат.затр!g3981</f>
        <v>#NAME?</v>
      </c>
      <c r="D477" s="472" t="n">
        <f aca="false">тарифик!J478</f>
        <v>761.378848728246</v>
      </c>
      <c r="E477" s="472"/>
      <c r="F477" s="473" t="n">
        <f aca="false">D477*0.9*0.095+D477*3%</f>
        <v>87.9392570281125</v>
      </c>
      <c r="G477" s="472" t="n">
        <f aca="false">амортизация!M1245</f>
        <v>1170.24750855273</v>
      </c>
      <c r="H477" s="473" t="e">
        <f aca="false">C477+D477+F477+G477</f>
        <v>#NAME?</v>
      </c>
      <c r="I477" s="462" t="n">
        <f aca="false">I$190</f>
        <v>0.240474587202079</v>
      </c>
      <c r="J477" s="473" t="n">
        <f aca="false">D477*I477</f>
        <v>183.092264352319</v>
      </c>
      <c r="K477" s="473" t="e">
        <f aca="false">H477+J477</f>
        <v>#NAME?</v>
      </c>
      <c r="L477" s="462" t="n">
        <v>0.2</v>
      </c>
      <c r="M477" s="473" t="e">
        <f aca="false">K477*L477</f>
        <v>#NAME?</v>
      </c>
      <c r="N477" s="473" t="e">
        <f aca="false">K477+M477</f>
        <v>#NAME?</v>
      </c>
      <c r="O477" s="473" t="e">
        <f aca="false">M477</f>
        <v>#NAME?</v>
      </c>
    </row>
    <row r="478" s="461" customFormat="true" ht="15" hidden="false" customHeight="false" outlineLevel="0" collapsed="false">
      <c r="A478" s="327" t="s">
        <v>815</v>
      </c>
      <c r="B478" s="328" t="s">
        <v>3102</v>
      </c>
      <c r="C478" s="472" t="e">
        <f aca="false">мат.затр!g3993</f>
        <v>#NAME?</v>
      </c>
      <c r="D478" s="472" t="n">
        <f aca="false">тарифик!J479</f>
        <v>1338.68808567604</v>
      </c>
      <c r="E478" s="472"/>
      <c r="F478" s="473" t="n">
        <f aca="false">D478*0.9*0.095+D478*3%</f>
        <v>154.618473895582</v>
      </c>
      <c r="G478" s="472" t="n">
        <f aca="false">амортизация!M1250</f>
        <v>1106.97438829392</v>
      </c>
      <c r="H478" s="473" t="e">
        <f aca="false">C478+D478+F478+G478</f>
        <v>#NAME?</v>
      </c>
      <c r="I478" s="462" t="n">
        <f aca="false">I$190</f>
        <v>0.240474587202079</v>
      </c>
      <c r="J478" s="473" t="n">
        <f aca="false">D478*I478</f>
        <v>321.920464795286</v>
      </c>
      <c r="K478" s="473" t="e">
        <f aca="false">H478+J478</f>
        <v>#NAME?</v>
      </c>
      <c r="L478" s="462" t="n">
        <v>0.2</v>
      </c>
      <c r="M478" s="473" t="e">
        <f aca="false">K478*L478</f>
        <v>#NAME?</v>
      </c>
      <c r="N478" s="473" t="e">
        <f aca="false">K478+M478</f>
        <v>#NAME?</v>
      </c>
      <c r="O478" s="473" t="e">
        <f aca="false">M478</f>
        <v>#NAME?</v>
      </c>
    </row>
    <row r="479" s="461" customFormat="true" ht="15" hidden="false" customHeight="false" outlineLevel="0" collapsed="false">
      <c r="A479" s="327" t="s">
        <v>816</v>
      </c>
      <c r="B479" s="328" t="s">
        <v>3149</v>
      </c>
      <c r="C479" s="472" t="e">
        <f aca="false">мат.затр!g4005</f>
        <v>#NAME?</v>
      </c>
      <c r="D479" s="472" t="n">
        <f aca="false">тарифик!J480</f>
        <v>535.475234270415</v>
      </c>
      <c r="E479" s="472"/>
      <c r="F479" s="473" t="n">
        <f aca="false">D479*0.9*0.095+D479*3%</f>
        <v>61.8473895582329</v>
      </c>
      <c r="G479" s="472" t="n">
        <f aca="false">амортизация!M1254</f>
        <v>1897.9354361892</v>
      </c>
      <c r="H479" s="473" t="e">
        <f aca="false">C479+D479+F479+G479</f>
        <v>#NAME?</v>
      </c>
      <c r="I479" s="462" t="n">
        <f aca="false">I$190</f>
        <v>0.240474587202079</v>
      </c>
      <c r="J479" s="473" t="n">
        <f aca="false">D479*I479</f>
        <v>128.768185918115</v>
      </c>
      <c r="K479" s="473" t="e">
        <f aca="false">H479+J479</f>
        <v>#NAME?</v>
      </c>
      <c r="L479" s="462" t="n">
        <v>0.2</v>
      </c>
      <c r="M479" s="473" t="e">
        <f aca="false">K479*L479</f>
        <v>#NAME?</v>
      </c>
      <c r="N479" s="473" t="e">
        <f aca="false">K479+M479</f>
        <v>#NAME?</v>
      </c>
      <c r="O479" s="473" t="e">
        <f aca="false">M479</f>
        <v>#NAME?</v>
      </c>
    </row>
    <row r="480" s="461" customFormat="true" ht="15" hidden="false" customHeight="false" outlineLevel="0" collapsed="false">
      <c r="A480" s="327" t="s">
        <v>817</v>
      </c>
      <c r="B480" s="328" t="s">
        <v>3220</v>
      </c>
      <c r="C480" s="472" t="e">
        <f aca="false">мат.затр!g4022</f>
        <v>#NAME?</v>
      </c>
      <c r="D480" s="472" t="n">
        <f aca="false">тарифик!J481</f>
        <v>44.6229361892013</v>
      </c>
      <c r="E480" s="472"/>
      <c r="F480" s="473" t="n">
        <f aca="false">D480*0.9*0.095+D480*3%</f>
        <v>5.15394912985274</v>
      </c>
      <c r="G480" s="472" t="n">
        <f aca="false">амортизация!M1258</f>
        <v>170.702997173881</v>
      </c>
      <c r="H480" s="473" t="e">
        <f aca="false">C480+D480+F480+G480</f>
        <v>#NAME?</v>
      </c>
      <c r="I480" s="462" t="n">
        <f aca="false">I$190</f>
        <v>0.240474587202079</v>
      </c>
      <c r="J480" s="473" t="n">
        <f aca="false">D480*I480</f>
        <v>10.7306821598429</v>
      </c>
      <c r="K480" s="473" t="e">
        <f aca="false">H480+J480</f>
        <v>#NAME?</v>
      </c>
      <c r="L480" s="462" t="n">
        <v>0.2</v>
      </c>
      <c r="M480" s="473" t="e">
        <f aca="false">K480*L480</f>
        <v>#NAME?</v>
      </c>
      <c r="N480" s="473" t="e">
        <f aca="false">K480+M480</f>
        <v>#NAME?</v>
      </c>
      <c r="O480" s="473" t="e">
        <f aca="false">M480</f>
        <v>#NAME?</v>
      </c>
    </row>
    <row r="481" s="461" customFormat="true" ht="15" hidden="false" customHeight="false" outlineLevel="0" collapsed="false">
      <c r="A481" s="327" t="s">
        <v>819</v>
      </c>
      <c r="B481" s="433" t="s">
        <v>3221</v>
      </c>
      <c r="C481" s="472" t="e">
        <f aca="false">мат.затр!g4023</f>
        <v>#NAME?</v>
      </c>
      <c r="D481" s="472" t="n">
        <f aca="false">тарифик!J482</f>
        <v>669.344042838019</v>
      </c>
      <c r="E481" s="472"/>
      <c r="F481" s="473" t="n">
        <f aca="false">D481*0.9*0.095+D481*3%</f>
        <v>77.3092369477912</v>
      </c>
      <c r="G481" s="472" t="n">
        <f aca="false">амортизация!M1259</f>
        <v>0</v>
      </c>
      <c r="H481" s="473" t="e">
        <f aca="false">C481+D481+F481+G481</f>
        <v>#NAME?</v>
      </c>
      <c r="I481" s="462" t="n">
        <f aca="false">I$190</f>
        <v>0.240474587202079</v>
      </c>
      <c r="J481" s="473" t="n">
        <f aca="false">D481*I481</f>
        <v>160.960232397643</v>
      </c>
      <c r="K481" s="473" t="e">
        <f aca="false">H481+J481</f>
        <v>#NAME?</v>
      </c>
      <c r="L481" s="462" t="n">
        <v>0.2</v>
      </c>
      <c r="M481" s="473" t="e">
        <f aca="false">K481*L481</f>
        <v>#NAME?</v>
      </c>
      <c r="N481" s="473" t="e">
        <f aca="false">K481+M481</f>
        <v>#NAME?</v>
      </c>
      <c r="O481" s="473" t="e">
        <f aca="false">M481</f>
        <v>#NAME?</v>
      </c>
    </row>
    <row r="482" s="461" customFormat="true" ht="15" hidden="false" customHeight="false" outlineLevel="0" collapsed="false">
      <c r="A482" s="327" t="s">
        <v>821</v>
      </c>
      <c r="B482" s="433" t="s">
        <v>3222</v>
      </c>
      <c r="C482" s="472" t="e">
        <f aca="false">мат.затр!g4024</f>
        <v>#NAME?</v>
      </c>
      <c r="D482" s="472" t="n">
        <f aca="false">тарифик!J483</f>
        <v>580.098170459616</v>
      </c>
      <c r="E482" s="472"/>
      <c r="F482" s="473" t="n">
        <f aca="false">D482*0.9*0.095+D482*3%</f>
        <v>67.0013386880857</v>
      </c>
      <c r="G482" s="472" t="n">
        <f aca="false">амортизация!M1262</f>
        <v>0.843001636174327</v>
      </c>
      <c r="H482" s="473" t="e">
        <f aca="false">C482+D482+F482+G482</f>
        <v>#NAME?</v>
      </c>
      <c r="I482" s="462" t="n">
        <f aca="false">I$190</f>
        <v>0.240474587202079</v>
      </c>
      <c r="J482" s="473" t="n">
        <f aca="false">D482*I482</f>
        <v>139.498868077957</v>
      </c>
      <c r="K482" s="473" t="e">
        <f aca="false">H482+J482</f>
        <v>#NAME?</v>
      </c>
      <c r="L482" s="462" t="n">
        <v>0.2</v>
      </c>
      <c r="M482" s="473" t="e">
        <f aca="false">K482*L482</f>
        <v>#NAME?</v>
      </c>
      <c r="N482" s="473" t="e">
        <f aca="false">K482+M482</f>
        <v>#NAME?</v>
      </c>
      <c r="O482" s="473" t="e">
        <f aca="false">M482</f>
        <v>#NAME?</v>
      </c>
    </row>
    <row r="483" s="461" customFormat="true" ht="15" hidden="false" customHeight="false" outlineLevel="0" collapsed="false">
      <c r="A483" s="327" t="s">
        <v>823</v>
      </c>
      <c r="B483" s="433" t="s">
        <v>3223</v>
      </c>
      <c r="C483" s="472" t="e">
        <f aca="false">мат.затр!g4030</f>
        <v>#NAME?</v>
      </c>
      <c r="D483" s="472" t="n">
        <f aca="false">тарифик!J484</f>
        <v>1506.02409638554</v>
      </c>
      <c r="E483" s="472"/>
      <c r="F483" s="473" t="n">
        <f aca="false">D483*0.9*0.095+D483*3%</f>
        <v>173.94578313253</v>
      </c>
      <c r="G483" s="472" t="n">
        <f aca="false">амортизация!M1265</f>
        <v>2.66975308641975</v>
      </c>
      <c r="H483" s="473" t="e">
        <f aca="false">C483+D483+F483+G483</f>
        <v>#NAME?</v>
      </c>
      <c r="I483" s="462" t="n">
        <f aca="false">I$190</f>
        <v>0.240474587202079</v>
      </c>
      <c r="J483" s="473" t="n">
        <f aca="false">D483*I483</f>
        <v>362.160522894697</v>
      </c>
      <c r="K483" s="473" t="e">
        <f aca="false">H483+J483</f>
        <v>#NAME?</v>
      </c>
      <c r="L483" s="462" t="n">
        <v>0.2</v>
      </c>
      <c r="M483" s="473" t="e">
        <f aca="false">K483*L483</f>
        <v>#NAME?</v>
      </c>
      <c r="N483" s="473" t="e">
        <f aca="false">K483+M483</f>
        <v>#NAME?</v>
      </c>
      <c r="O483" s="473" t="e">
        <f aca="false">M483</f>
        <v>#NAME?</v>
      </c>
    </row>
    <row r="484" s="461" customFormat="true" ht="15" hidden="false" customHeight="false" outlineLevel="0" collapsed="false">
      <c r="A484" s="350" t="s">
        <v>825</v>
      </c>
      <c r="B484" s="467" t="s">
        <v>826</v>
      </c>
      <c r="C484" s="468"/>
      <c r="D484" s="468"/>
      <c r="E484" s="468"/>
      <c r="F484" s="474"/>
      <c r="G484" s="468"/>
      <c r="H484" s="474"/>
      <c r="I484" s="475"/>
      <c r="J484" s="474"/>
      <c r="K484" s="474"/>
      <c r="L484" s="475"/>
      <c r="M484" s="474"/>
      <c r="N484" s="474"/>
      <c r="O484" s="474"/>
    </row>
    <row r="485" s="461" customFormat="true" ht="15" hidden="false" customHeight="false" outlineLevel="0" collapsed="false">
      <c r="A485" s="327" t="s">
        <v>827</v>
      </c>
      <c r="B485" s="328" t="s">
        <v>3010</v>
      </c>
      <c r="C485" s="472" t="e">
        <f aca="false">мат.затр!g4032</f>
        <v>#NAME?</v>
      </c>
      <c r="D485" s="472" t="n">
        <f aca="false">тарифик!J486</f>
        <v>602.409638554217</v>
      </c>
      <c r="E485" s="472"/>
      <c r="F485" s="473" t="n">
        <f aca="false">D485*0.9*0.095+D485*3%</f>
        <v>69.578313253012</v>
      </c>
      <c r="G485" s="472" t="n">
        <f aca="false">амортизация!M1267</f>
        <v>7.53012048192771</v>
      </c>
      <c r="H485" s="473" t="e">
        <f aca="false">C485+D485+F485+G485</f>
        <v>#NAME?</v>
      </c>
      <c r="I485" s="462" t="n">
        <f aca="false">I$190</f>
        <v>0.240474587202079</v>
      </c>
      <c r="J485" s="473" t="n">
        <f aca="false">D485*I485</f>
        <v>144.864209157879</v>
      </c>
      <c r="K485" s="473" t="e">
        <f aca="false">H485+J485</f>
        <v>#NAME?</v>
      </c>
      <c r="L485" s="462" t="n">
        <v>0.2</v>
      </c>
      <c r="M485" s="473" t="e">
        <f aca="false">K485*L485</f>
        <v>#NAME?</v>
      </c>
      <c r="N485" s="473" t="e">
        <f aca="false">K485+M485</f>
        <v>#NAME?</v>
      </c>
      <c r="O485" s="473" t="e">
        <f aca="false">M485</f>
        <v>#NAME?</v>
      </c>
    </row>
    <row r="486" s="461" customFormat="true" ht="15" hidden="false" customHeight="false" outlineLevel="0" collapsed="false">
      <c r="A486" s="327" t="s">
        <v>828</v>
      </c>
      <c r="B486" s="328" t="s">
        <v>3084</v>
      </c>
      <c r="C486" s="472" t="e">
        <f aca="false">мат.затр!g4035</f>
        <v>#NAME?</v>
      </c>
      <c r="D486" s="472" t="n">
        <f aca="false">тарифик!J487</f>
        <v>1204.81927710843</v>
      </c>
      <c r="E486" s="472"/>
      <c r="F486" s="473" t="n">
        <f aca="false">D486*0.9*0.095+D486*3%</f>
        <v>139.156626506024</v>
      </c>
      <c r="G486" s="472" t="n">
        <f aca="false">амортизация!M1270</f>
        <v>9.86352818682136</v>
      </c>
      <c r="H486" s="473" t="e">
        <f aca="false">C486+D486+F486+G486</f>
        <v>#NAME?</v>
      </c>
      <c r="I486" s="462" t="n">
        <f aca="false">I$190</f>
        <v>0.240474587202079</v>
      </c>
      <c r="J486" s="473" t="n">
        <f aca="false">D486*I486</f>
        <v>289.728418315758</v>
      </c>
      <c r="K486" s="473" t="e">
        <f aca="false">H486+J486</f>
        <v>#NAME?</v>
      </c>
      <c r="L486" s="462" t="n">
        <v>0.2</v>
      </c>
      <c r="M486" s="473" t="e">
        <f aca="false">K486*L486</f>
        <v>#NAME?</v>
      </c>
      <c r="N486" s="473" t="e">
        <f aca="false">K486+M486</f>
        <v>#NAME?</v>
      </c>
      <c r="O486" s="473" t="e">
        <f aca="false">M486</f>
        <v>#NAME?</v>
      </c>
    </row>
    <row r="487" s="461" customFormat="true" ht="15" hidden="false" customHeight="false" outlineLevel="0" collapsed="false">
      <c r="A487" s="327" t="s">
        <v>829</v>
      </c>
      <c r="B487" s="328" t="s">
        <v>3085</v>
      </c>
      <c r="C487" s="472" t="e">
        <f aca="false">мат.затр!g4039</f>
        <v>#NAME?</v>
      </c>
      <c r="D487" s="472" t="n">
        <f aca="false">тарифик!J488</f>
        <v>1717.98304328425</v>
      </c>
      <c r="E487" s="472"/>
      <c r="F487" s="473" t="n">
        <f aca="false">D487*0.9*0.095+D487*3%</f>
        <v>198.427041499331</v>
      </c>
      <c r="G487" s="472" t="n">
        <f aca="false">амортизация!M1273</f>
        <v>9.86352818682136</v>
      </c>
      <c r="H487" s="473" t="e">
        <f aca="false">C487+D487+F487+G487</f>
        <v>#NAME?</v>
      </c>
      <c r="I487" s="462" t="n">
        <f aca="false">I$190</f>
        <v>0.240474587202079</v>
      </c>
      <c r="J487" s="473" t="n">
        <f aca="false">D487*I487</f>
        <v>413.131263153951</v>
      </c>
      <c r="K487" s="473" t="e">
        <f aca="false">H487+J487</f>
        <v>#NAME?</v>
      </c>
      <c r="L487" s="462" t="n">
        <v>0.2</v>
      </c>
      <c r="M487" s="473" t="e">
        <f aca="false">K487*L487</f>
        <v>#NAME?</v>
      </c>
      <c r="N487" s="473" t="e">
        <f aca="false">K487+M487</f>
        <v>#NAME?</v>
      </c>
      <c r="O487" s="473" t="e">
        <f aca="false">M487</f>
        <v>#NAME?</v>
      </c>
    </row>
    <row r="488" s="461" customFormat="true" ht="15" hidden="false" customHeight="false" outlineLevel="0" collapsed="false">
      <c r="A488" s="327" t="s">
        <v>830</v>
      </c>
      <c r="B488" s="328" t="s">
        <v>3126</v>
      </c>
      <c r="C488" s="472" t="e">
        <f aca="false">мат.затр!g4043</f>
        <v>#NAME?</v>
      </c>
      <c r="D488" s="472" t="n">
        <f aca="false">тарифик!J489</f>
        <v>1171.35207496653</v>
      </c>
      <c r="E488" s="472"/>
      <c r="F488" s="473" t="n">
        <f aca="false">D488*0.9*0.095+D488*3%</f>
        <v>135.291164658635</v>
      </c>
      <c r="G488" s="472" t="n">
        <f aca="false">амортизация!M1276</f>
        <v>8.66986464376023</v>
      </c>
      <c r="H488" s="473" t="e">
        <f aca="false">C488+D488+F488+G488</f>
        <v>#NAME?</v>
      </c>
      <c r="I488" s="462" t="n">
        <f aca="false">I$190</f>
        <v>0.240474587202079</v>
      </c>
      <c r="J488" s="473" t="n">
        <f aca="false">D488*I488</f>
        <v>281.680406695876</v>
      </c>
      <c r="K488" s="473" t="e">
        <f aca="false">H488+J488</f>
        <v>#NAME?</v>
      </c>
      <c r="L488" s="462" t="n">
        <v>0.2</v>
      </c>
      <c r="M488" s="473" t="e">
        <f aca="false">K488*L488</f>
        <v>#NAME?</v>
      </c>
      <c r="N488" s="473" t="e">
        <f aca="false">K488+M488</f>
        <v>#NAME?</v>
      </c>
      <c r="O488" s="473" t="e">
        <f aca="false">M488</f>
        <v>#NAME?</v>
      </c>
    </row>
    <row r="489" s="461" customFormat="true" ht="15" hidden="false" customHeight="false" outlineLevel="0" collapsed="false">
      <c r="A489" s="327" t="s">
        <v>831</v>
      </c>
      <c r="B489" s="328" t="s">
        <v>2964</v>
      </c>
      <c r="C489" s="472" t="e">
        <f aca="false">мат.затр!g4046</f>
        <v>#NAME?</v>
      </c>
      <c r="D489" s="472" t="n">
        <f aca="false">тарифик!J490</f>
        <v>736.278447121821</v>
      </c>
      <c r="E489" s="472"/>
      <c r="F489" s="473" t="n">
        <f aca="false">D489*0.9*0.095+D489*3%</f>
        <v>85.0401606425703</v>
      </c>
      <c r="G489" s="472" t="n">
        <f aca="false">амортизация!M1279</f>
        <v>5.77530027517477</v>
      </c>
      <c r="H489" s="473" t="e">
        <f aca="false">C489+D489+F489+G489</f>
        <v>#NAME?</v>
      </c>
      <c r="I489" s="462" t="n">
        <f aca="false">I$190</f>
        <v>0.240474587202079</v>
      </c>
      <c r="J489" s="473" t="n">
        <f aca="false">D489*I489</f>
        <v>177.056255637408</v>
      </c>
      <c r="K489" s="473" t="e">
        <f aca="false">H489+J489</f>
        <v>#NAME?</v>
      </c>
      <c r="L489" s="462" t="n">
        <v>0.2</v>
      </c>
      <c r="M489" s="473" t="e">
        <f aca="false">K489*L489</f>
        <v>#NAME?</v>
      </c>
      <c r="N489" s="473" t="e">
        <f aca="false">K489+M489</f>
        <v>#NAME?</v>
      </c>
      <c r="O489" s="473" t="e">
        <f aca="false">M489</f>
        <v>#NAME?</v>
      </c>
    </row>
    <row r="490" s="461" customFormat="true" ht="15" hidden="false" customHeight="false" outlineLevel="0" collapsed="false">
      <c r="A490" s="327" t="s">
        <v>832</v>
      </c>
      <c r="B490" s="328" t="s">
        <v>3215</v>
      </c>
      <c r="C490" s="472" t="e">
        <f aca="false">мат.затр!g4055</f>
        <v>#NAME?</v>
      </c>
      <c r="D490" s="472" t="n">
        <f aca="false">тарифик!J491</f>
        <v>2175.36813922356</v>
      </c>
      <c r="E490" s="472"/>
      <c r="F490" s="473" t="n">
        <f aca="false">D490*0.9*0.095+D490*3%</f>
        <v>251.255020080321</v>
      </c>
      <c r="G490" s="472" t="n">
        <f aca="false">амортизация!M1282</f>
        <v>11.912975977986</v>
      </c>
      <c r="H490" s="473" t="e">
        <f aca="false">C490+D490+F490+G490</f>
        <v>#NAME?</v>
      </c>
      <c r="I490" s="462" t="n">
        <f aca="false">I$190</f>
        <v>0.240474587202079</v>
      </c>
      <c r="J490" s="473" t="n">
        <f aca="false">D490*I490</f>
        <v>523.12075529234</v>
      </c>
      <c r="K490" s="473" t="e">
        <f aca="false">H490+J490</f>
        <v>#NAME?</v>
      </c>
      <c r="L490" s="462" t="n">
        <v>0.2</v>
      </c>
      <c r="M490" s="473" t="e">
        <f aca="false">K490*L490</f>
        <v>#NAME?</v>
      </c>
      <c r="N490" s="473" t="e">
        <f aca="false">K490+M490</f>
        <v>#NAME?</v>
      </c>
      <c r="O490" s="473" t="e">
        <f aca="false">M490</f>
        <v>#NAME?</v>
      </c>
    </row>
    <row r="491" s="461" customFormat="true" ht="15" hidden="false" customHeight="false" outlineLevel="0" collapsed="false">
      <c r="A491" s="327" t="s">
        <v>833</v>
      </c>
      <c r="B491" s="328" t="s">
        <v>3224</v>
      </c>
      <c r="C491" s="472" t="e">
        <f aca="false">мат.затр!g4058</f>
        <v>#NAME?</v>
      </c>
      <c r="D491" s="472" t="n">
        <f aca="false">тарифик!J492</f>
        <v>267.737617135208</v>
      </c>
      <c r="E491" s="472"/>
      <c r="F491" s="473" t="n">
        <f aca="false">D491*0.9*0.095+D491*3%</f>
        <v>30.9236947791165</v>
      </c>
      <c r="G491" s="472" t="n">
        <f aca="false">амортизация!M1283</f>
        <v>4.56455451435371</v>
      </c>
      <c r="H491" s="473" t="e">
        <f aca="false">C491+D491+F491+G491</f>
        <v>#NAME?</v>
      </c>
      <c r="I491" s="462" t="n">
        <f aca="false">I$190</f>
        <v>0.240474587202079</v>
      </c>
      <c r="J491" s="473" t="n">
        <f aca="false">D491*I491</f>
        <v>64.3840929590573</v>
      </c>
      <c r="K491" s="473" t="e">
        <f aca="false">H491+J491</f>
        <v>#NAME?</v>
      </c>
      <c r="L491" s="462" t="n">
        <v>0.2</v>
      </c>
      <c r="M491" s="473" t="e">
        <f aca="false">K491*L491</f>
        <v>#NAME?</v>
      </c>
      <c r="N491" s="473" t="e">
        <f aca="false">K491+M491</f>
        <v>#NAME?</v>
      </c>
      <c r="O491" s="473" t="e">
        <f aca="false">M491</f>
        <v>#NAME?</v>
      </c>
    </row>
    <row r="492" s="461" customFormat="true" ht="15" hidden="false" customHeight="false" outlineLevel="0" collapsed="false">
      <c r="A492" s="327" t="s">
        <v>835</v>
      </c>
      <c r="B492" s="328" t="s">
        <v>3225</v>
      </c>
      <c r="C492" s="472" t="e">
        <f aca="false">мат.затр!g4059</f>
        <v>#NAME?</v>
      </c>
      <c r="D492" s="472" t="n">
        <f aca="false">тарифик!J493</f>
        <v>669.344042838019</v>
      </c>
      <c r="E492" s="472"/>
      <c r="F492" s="473" t="n">
        <f aca="false">D492*0.9*0.095+D492*3%</f>
        <v>77.3092369477912</v>
      </c>
      <c r="G492" s="472" t="n">
        <f aca="false">амортизация!M1284</f>
        <v>4.56455451435371</v>
      </c>
      <c r="H492" s="473" t="e">
        <f aca="false">C492+D492+F492+G492</f>
        <v>#NAME?</v>
      </c>
      <c r="I492" s="462" t="n">
        <f aca="false">I$190</f>
        <v>0.240474587202079</v>
      </c>
      <c r="J492" s="473" t="n">
        <f aca="false">D492*I492</f>
        <v>160.960232397643</v>
      </c>
      <c r="K492" s="473" t="e">
        <f aca="false">H492+J492</f>
        <v>#NAME?</v>
      </c>
      <c r="L492" s="462" t="n">
        <v>0.2</v>
      </c>
      <c r="M492" s="473" t="e">
        <f aca="false">K492*L492</f>
        <v>#NAME?</v>
      </c>
      <c r="N492" s="473" t="e">
        <f aca="false">K492+M492</f>
        <v>#NAME?</v>
      </c>
      <c r="O492" s="473" t="e">
        <f aca="false">M492</f>
        <v>#NAME?</v>
      </c>
    </row>
    <row r="493" s="461" customFormat="true" ht="15" hidden="false" customHeight="false" outlineLevel="0" collapsed="false">
      <c r="A493" s="327" t="s">
        <v>837</v>
      </c>
      <c r="B493" s="328" t="s">
        <v>3226</v>
      </c>
      <c r="C493" s="472" t="e">
        <f aca="false">мат.затр!g4063</f>
        <v>#NAME?</v>
      </c>
      <c r="D493" s="472" t="n">
        <f aca="false">тарифик!J494</f>
        <v>1405.62248995984</v>
      </c>
      <c r="E493" s="472"/>
      <c r="F493" s="473" t="n">
        <f aca="false">D493*0.9*0.095+D493*3%</f>
        <v>162.349397590361</v>
      </c>
      <c r="G493" s="472" t="n">
        <f aca="false">амортизация!M1288</f>
        <v>14.844563438941</v>
      </c>
      <c r="H493" s="473" t="e">
        <f aca="false">C493+D493+F493+G493</f>
        <v>#NAME?</v>
      </c>
      <c r="I493" s="462" t="n">
        <f aca="false">I$190</f>
        <v>0.240474587202079</v>
      </c>
      <c r="J493" s="473" t="n">
        <f aca="false">D493*I493</f>
        <v>338.016488035051</v>
      </c>
      <c r="K493" s="473" t="e">
        <f aca="false">H493+J493</f>
        <v>#NAME?</v>
      </c>
      <c r="L493" s="462" t="n">
        <v>0.2</v>
      </c>
      <c r="M493" s="473" t="e">
        <f aca="false">K493*L493</f>
        <v>#NAME?</v>
      </c>
      <c r="N493" s="473" t="e">
        <f aca="false">K493+M493</f>
        <v>#NAME?</v>
      </c>
      <c r="O493" s="473" t="e">
        <f aca="false">M493</f>
        <v>#NAME?</v>
      </c>
    </row>
    <row r="494" s="461" customFormat="true" ht="15" hidden="false" customHeight="false" outlineLevel="0" collapsed="false">
      <c r="A494" s="327" t="s">
        <v>838</v>
      </c>
      <c r="B494" s="328" t="s">
        <v>3103</v>
      </c>
      <c r="C494" s="472" t="e">
        <f aca="false">мат.затр!g4075</f>
        <v>#NAME?</v>
      </c>
      <c r="D494" s="472" t="n">
        <f aca="false">тарифик!J495</f>
        <v>870.147255689424</v>
      </c>
      <c r="E494" s="472"/>
      <c r="F494" s="473" t="n">
        <f aca="false">D494*0.9*0.095+D494*3%</f>
        <v>100.502008032129</v>
      </c>
      <c r="G494" s="472" t="n">
        <f aca="false">амортизация!M1293</f>
        <v>519.242711587089</v>
      </c>
      <c r="H494" s="473" t="e">
        <f aca="false">C494+D494+F494+G494</f>
        <v>#NAME?</v>
      </c>
      <c r="I494" s="462" t="n">
        <f aca="false">I$190</f>
        <v>0.240474587202079</v>
      </c>
      <c r="J494" s="473" t="n">
        <f aca="false">D494*I494</f>
        <v>209.248302116936</v>
      </c>
      <c r="K494" s="473" t="e">
        <f aca="false">H494+J494</f>
        <v>#NAME?</v>
      </c>
      <c r="L494" s="462" t="n">
        <v>0.2</v>
      </c>
      <c r="M494" s="473" t="e">
        <f aca="false">K494*L494</f>
        <v>#NAME?</v>
      </c>
      <c r="N494" s="473" t="e">
        <f aca="false">K494+M494</f>
        <v>#NAME?</v>
      </c>
      <c r="O494" s="473" t="e">
        <f aca="false">M494</f>
        <v>#NAME?</v>
      </c>
    </row>
    <row r="495" s="461" customFormat="true" ht="15" hidden="false" customHeight="false" outlineLevel="0" collapsed="false">
      <c r="A495" s="327" t="s">
        <v>839</v>
      </c>
      <c r="B495" s="328" t="s">
        <v>3148</v>
      </c>
      <c r="C495" s="472" t="e">
        <f aca="false">мат.затр!g4089</f>
        <v>#NAME?</v>
      </c>
      <c r="D495" s="472" t="n">
        <f aca="false">тарифик!J496</f>
        <v>1015.17179830433</v>
      </c>
      <c r="E495" s="472"/>
      <c r="F495" s="473" t="n">
        <f aca="false">D495*0.9*0.095+D495*3%</f>
        <v>117.25234270415</v>
      </c>
      <c r="G495" s="472" t="n">
        <f aca="false">амортизация!M1300</f>
        <v>582.515831845902</v>
      </c>
      <c r="H495" s="473" t="e">
        <f aca="false">C495+D495+F495+G495</f>
        <v>#NAME?</v>
      </c>
      <c r="I495" s="462" t="n">
        <f aca="false">I$190</f>
        <v>0.240474587202079</v>
      </c>
      <c r="J495" s="473" t="n">
        <f aca="false">D495*I495</f>
        <v>244.123019136426</v>
      </c>
      <c r="K495" s="473" t="e">
        <f aca="false">H495+J495</f>
        <v>#NAME?</v>
      </c>
      <c r="L495" s="462" t="n">
        <v>0.2</v>
      </c>
      <c r="M495" s="473" t="e">
        <f aca="false">K495*L495</f>
        <v>#NAME?</v>
      </c>
      <c r="N495" s="473" t="e">
        <f aca="false">K495+M495</f>
        <v>#NAME?</v>
      </c>
      <c r="O495" s="473" t="e">
        <f aca="false">M495</f>
        <v>#NAME?</v>
      </c>
    </row>
    <row r="496" s="461" customFormat="true" ht="15" hidden="false" customHeight="false" outlineLevel="0" collapsed="false">
      <c r="A496" s="327" t="s">
        <v>840</v>
      </c>
      <c r="B496" s="328" t="s">
        <v>3102</v>
      </c>
      <c r="C496" s="472" t="e">
        <f aca="false">мат.затр!g4101</f>
        <v>#NAME?</v>
      </c>
      <c r="D496" s="472" t="n">
        <f aca="false">тарифик!J497</f>
        <v>1450.24542614904</v>
      </c>
      <c r="E496" s="472"/>
      <c r="F496" s="473" t="n">
        <f aca="false">D496*0.9*0.095+D496*3%</f>
        <v>167.503346720214</v>
      </c>
      <c r="G496" s="472" t="n">
        <f aca="false">амортизация!M1305</f>
        <v>519.242711587089</v>
      </c>
      <c r="H496" s="473" t="e">
        <f aca="false">C496+D496+F496+G496</f>
        <v>#NAME?</v>
      </c>
      <c r="I496" s="462" t="n">
        <f aca="false">I$190</f>
        <v>0.240474587202079</v>
      </c>
      <c r="J496" s="473" t="n">
        <f aca="false">D496*I496</f>
        <v>348.747170194894</v>
      </c>
      <c r="K496" s="473" t="e">
        <f aca="false">H496+J496</f>
        <v>#NAME?</v>
      </c>
      <c r="L496" s="462" t="n">
        <v>0.2</v>
      </c>
      <c r="M496" s="473" t="e">
        <f aca="false">K496*L496</f>
        <v>#NAME?</v>
      </c>
      <c r="N496" s="473" t="e">
        <f aca="false">K496+M496</f>
        <v>#NAME?</v>
      </c>
      <c r="O496" s="473" t="e">
        <f aca="false">M496</f>
        <v>#NAME?</v>
      </c>
    </row>
    <row r="497" s="461" customFormat="true" ht="15" hidden="false" customHeight="false" outlineLevel="0" collapsed="false">
      <c r="A497" s="327" t="s">
        <v>841</v>
      </c>
      <c r="B497" s="328" t="s">
        <v>3149</v>
      </c>
      <c r="C497" s="472" t="e">
        <f aca="false">мат.затр!g4113</f>
        <v>#NAME?</v>
      </c>
      <c r="D497" s="472" t="n">
        <f aca="false">тарифик!J498</f>
        <v>1885.31905399375</v>
      </c>
      <c r="E497" s="472"/>
      <c r="F497" s="473" t="n">
        <f aca="false">D497*0.9*0.095+D497*3%</f>
        <v>217.754350736278</v>
      </c>
      <c r="G497" s="472" t="n">
        <f aca="false">амортизация!M1309</f>
        <v>797.792605607616</v>
      </c>
      <c r="H497" s="473" t="e">
        <f aca="false">C497+D497+F497+G497</f>
        <v>#NAME?</v>
      </c>
      <c r="I497" s="462" t="n">
        <f aca="false">I$190</f>
        <v>0.240474587202079</v>
      </c>
      <c r="J497" s="473" t="n">
        <f aca="false">D497*I497</f>
        <v>453.371321253362</v>
      </c>
      <c r="K497" s="473" t="e">
        <f aca="false">H497+J497</f>
        <v>#NAME?</v>
      </c>
      <c r="L497" s="462" t="n">
        <v>0.2</v>
      </c>
      <c r="M497" s="473" t="e">
        <f aca="false">K497*L497</f>
        <v>#NAME?</v>
      </c>
      <c r="N497" s="473" t="e">
        <f aca="false">K497+M497</f>
        <v>#NAME?</v>
      </c>
      <c r="O497" s="473" t="e">
        <f aca="false">M497</f>
        <v>#NAME?</v>
      </c>
    </row>
    <row r="498" s="461" customFormat="true" ht="15" hidden="false" customHeight="false" outlineLevel="0" collapsed="false">
      <c r="A498" s="327" t="s">
        <v>842</v>
      </c>
      <c r="B498" s="433" t="s">
        <v>3227</v>
      </c>
      <c r="C498" s="472" t="e">
        <f aca="false">мат.затр!g4126</f>
        <v>#NAME?</v>
      </c>
      <c r="D498" s="472" t="n">
        <f aca="false">тарифик!J499</f>
        <v>652.610441767068</v>
      </c>
      <c r="E498" s="472"/>
      <c r="F498" s="473" t="n">
        <f aca="false">D498*0.9*0.095+D498*3%</f>
        <v>75.3765060240964</v>
      </c>
      <c r="G498" s="472" t="n">
        <f aca="false">амортизация!M1312</f>
        <v>318.916406366206</v>
      </c>
      <c r="H498" s="473" t="e">
        <f aca="false">C498+D498+F498+G498</f>
        <v>#NAME?</v>
      </c>
      <c r="I498" s="462" t="n">
        <f aca="false">I$190</f>
        <v>0.240474587202079</v>
      </c>
      <c r="J498" s="473" t="n">
        <f aca="false">D498*I498</f>
        <v>156.936226587702</v>
      </c>
      <c r="K498" s="473" t="e">
        <f aca="false">H498+J498</f>
        <v>#NAME?</v>
      </c>
      <c r="L498" s="462" t="n">
        <v>0.2</v>
      </c>
      <c r="M498" s="473" t="e">
        <f aca="false">K498*L498</f>
        <v>#NAME?</v>
      </c>
      <c r="N498" s="473" t="e">
        <f aca="false">K498+M498</f>
        <v>#NAME?</v>
      </c>
      <c r="O498" s="473" t="e">
        <f aca="false">M498</f>
        <v>#NAME?</v>
      </c>
    </row>
    <row r="499" s="461" customFormat="true" ht="15" hidden="false" customHeight="false" outlineLevel="0" collapsed="false">
      <c r="A499" s="350" t="s">
        <v>844</v>
      </c>
      <c r="B499" s="467" t="s">
        <v>3228</v>
      </c>
      <c r="C499" s="468"/>
      <c r="D499" s="468"/>
      <c r="E499" s="468"/>
      <c r="F499" s="474"/>
      <c r="G499" s="468"/>
      <c r="H499" s="474"/>
      <c r="I499" s="475"/>
      <c r="J499" s="474"/>
      <c r="K499" s="474"/>
      <c r="L499" s="475"/>
      <c r="M499" s="474"/>
      <c r="N499" s="474"/>
      <c r="O499" s="474"/>
    </row>
    <row r="500" s="461" customFormat="true" ht="15" hidden="false" customHeight="false" outlineLevel="0" collapsed="false">
      <c r="A500" s="327" t="s">
        <v>846</v>
      </c>
      <c r="B500" s="328" t="s">
        <v>3010</v>
      </c>
      <c r="C500" s="472" t="e">
        <f aca="false">мат.затр!g4128</f>
        <v>#NAME?</v>
      </c>
      <c r="D500" s="472" t="n">
        <f aca="false">тарифик!J501</f>
        <v>602.409638554217</v>
      </c>
      <c r="E500" s="472"/>
      <c r="F500" s="473" t="n">
        <f aca="false">D500*0.9*0.095+D500*3%</f>
        <v>69.578313253012</v>
      </c>
      <c r="G500" s="472" t="n">
        <f aca="false">амортизация!M1314</f>
        <v>7.53012048192771</v>
      </c>
      <c r="H500" s="473" t="e">
        <f aca="false">C500+D500+F500+G500</f>
        <v>#NAME?</v>
      </c>
      <c r="I500" s="462" t="n">
        <f aca="false">I$190</f>
        <v>0.240474587202079</v>
      </c>
      <c r="J500" s="473" t="n">
        <f aca="false">D500*I500</f>
        <v>144.864209157879</v>
      </c>
      <c r="K500" s="473" t="e">
        <f aca="false">H500+J500</f>
        <v>#NAME?</v>
      </c>
      <c r="L500" s="462" t="n">
        <v>0.2</v>
      </c>
      <c r="M500" s="473" t="e">
        <f aca="false">K500*L500</f>
        <v>#NAME?</v>
      </c>
      <c r="N500" s="473" t="e">
        <f aca="false">K500+M500</f>
        <v>#NAME?</v>
      </c>
      <c r="O500" s="473" t="e">
        <f aca="false">M500</f>
        <v>#NAME?</v>
      </c>
    </row>
    <row r="501" s="461" customFormat="true" ht="15" hidden="false" customHeight="false" outlineLevel="0" collapsed="false">
      <c r="A501" s="327" t="s">
        <v>847</v>
      </c>
      <c r="B501" s="328" t="s">
        <v>3084</v>
      </c>
      <c r="C501" s="472" t="e">
        <f aca="false">мат.затр!g4131</f>
        <v>#NAME?</v>
      </c>
      <c r="D501" s="472" t="n">
        <f aca="false">тарифик!J502</f>
        <v>1204.81927710843</v>
      </c>
      <c r="E501" s="472"/>
      <c r="F501" s="473" t="n">
        <f aca="false">D501*0.9*0.095+D501*3%</f>
        <v>139.156626506024</v>
      </c>
      <c r="G501" s="472" t="n">
        <f aca="false">амортизация!M1317</f>
        <v>9.86352818682136</v>
      </c>
      <c r="H501" s="473" t="e">
        <f aca="false">C501+D501+F501+G501</f>
        <v>#NAME?</v>
      </c>
      <c r="I501" s="462" t="n">
        <f aca="false">I$190</f>
        <v>0.240474587202079</v>
      </c>
      <c r="J501" s="473" t="n">
        <f aca="false">D501*I501</f>
        <v>289.728418315758</v>
      </c>
      <c r="K501" s="473" t="e">
        <f aca="false">H501+J501</f>
        <v>#NAME?</v>
      </c>
      <c r="L501" s="462" t="n">
        <v>0.2</v>
      </c>
      <c r="M501" s="473" t="e">
        <f aca="false">K501*L501</f>
        <v>#NAME?</v>
      </c>
      <c r="N501" s="473" t="e">
        <f aca="false">K501+M501</f>
        <v>#NAME?</v>
      </c>
      <c r="O501" s="473" t="e">
        <f aca="false">M501</f>
        <v>#NAME?</v>
      </c>
    </row>
    <row r="502" s="461" customFormat="true" ht="15" hidden="false" customHeight="false" outlineLevel="0" collapsed="false">
      <c r="A502" s="327" t="s">
        <v>848</v>
      </c>
      <c r="B502" s="328" t="s">
        <v>3085</v>
      </c>
      <c r="C502" s="472" t="e">
        <f aca="false">мат.затр!g4135</f>
        <v>#NAME?</v>
      </c>
      <c r="D502" s="472" t="n">
        <f aca="false">тарифик!J503</f>
        <v>1840.69611780455</v>
      </c>
      <c r="E502" s="472"/>
      <c r="F502" s="473" t="n">
        <f aca="false">D502*0.9*0.095+D502*3%</f>
        <v>212.600401606426</v>
      </c>
      <c r="G502" s="472" t="n">
        <f aca="false">амортизация!M1320</f>
        <v>9.86352818682136</v>
      </c>
      <c r="H502" s="473" t="e">
        <f aca="false">C502+D502+F502+G502</f>
        <v>#NAME?</v>
      </c>
      <c r="I502" s="462" t="n">
        <f aca="false">I$190</f>
        <v>0.240474587202079</v>
      </c>
      <c r="J502" s="473" t="n">
        <f aca="false">D502*I502</f>
        <v>442.640639093519</v>
      </c>
      <c r="K502" s="473" t="e">
        <f aca="false">H502+J502</f>
        <v>#NAME?</v>
      </c>
      <c r="L502" s="462" t="n">
        <v>0.2</v>
      </c>
      <c r="M502" s="473" t="e">
        <f aca="false">K502*L502</f>
        <v>#NAME?</v>
      </c>
      <c r="N502" s="473" t="e">
        <f aca="false">K502+M502</f>
        <v>#NAME?</v>
      </c>
      <c r="O502" s="473" t="e">
        <f aca="false">M502</f>
        <v>#NAME?</v>
      </c>
    </row>
    <row r="503" s="461" customFormat="true" ht="15" hidden="false" customHeight="false" outlineLevel="0" collapsed="false">
      <c r="A503" s="327" t="s">
        <v>849</v>
      </c>
      <c r="B503" s="328" t="s">
        <v>3161</v>
      </c>
      <c r="C503" s="472" t="e">
        <f aca="false">мат.затр!g4139</f>
        <v>#NAME?</v>
      </c>
      <c r="D503" s="472" t="n">
        <f aca="false">тарифик!J504</f>
        <v>1165.77420794288</v>
      </c>
      <c r="E503" s="472"/>
      <c r="F503" s="473" t="n">
        <f aca="false">D503*0.9*0.095+D503*3%</f>
        <v>134.646921017403</v>
      </c>
      <c r="G503" s="472" t="n">
        <f aca="false">амортизация!M1321</f>
        <v>1.82675145024543</v>
      </c>
      <c r="H503" s="473" t="e">
        <f aca="false">C503+D503+F503+G503</f>
        <v>#NAME?</v>
      </c>
      <c r="I503" s="462" t="n">
        <f aca="false">I$190</f>
        <v>0.240474587202079</v>
      </c>
      <c r="J503" s="473" t="n">
        <f aca="false">D503*I503</f>
        <v>280.339071425895</v>
      </c>
      <c r="K503" s="473" t="e">
        <f aca="false">H503+J503</f>
        <v>#NAME?</v>
      </c>
      <c r="L503" s="462" t="n">
        <v>0.2</v>
      </c>
      <c r="M503" s="473" t="e">
        <f aca="false">K503*L503</f>
        <v>#NAME?</v>
      </c>
      <c r="N503" s="473" t="e">
        <f aca="false">K503+M503</f>
        <v>#NAME?</v>
      </c>
      <c r="O503" s="473" t="e">
        <f aca="false">M503</f>
        <v>#NAME?</v>
      </c>
    </row>
    <row r="504" s="461" customFormat="true" ht="15" hidden="false" customHeight="false" outlineLevel="0" collapsed="false">
      <c r="A504" s="327" t="s">
        <v>850</v>
      </c>
      <c r="B504" s="328" t="s">
        <v>3059</v>
      </c>
      <c r="C504" s="472" t="e">
        <f aca="false">мат.затр!g4147</f>
        <v>#NAME?</v>
      </c>
      <c r="D504" s="472" t="n">
        <f aca="false">тарифик!J505</f>
        <v>150.602409638554</v>
      </c>
      <c r="E504" s="472"/>
      <c r="F504" s="473" t="n">
        <f aca="false">D504*0.9*0.095+D504*3%</f>
        <v>17.394578313253</v>
      </c>
      <c r="G504" s="472" t="n">
        <f aca="false">амортизация!M1324</f>
        <v>6.39130596459914</v>
      </c>
      <c r="H504" s="473" t="e">
        <f aca="false">C504+D504+F504+G504</f>
        <v>#NAME?</v>
      </c>
      <c r="I504" s="462" t="n">
        <f aca="false">I$190</f>
        <v>0.240474587202079</v>
      </c>
      <c r="J504" s="473" t="n">
        <f aca="false">D504*I504</f>
        <v>36.2160522894697</v>
      </c>
      <c r="K504" s="473" t="e">
        <f aca="false">H504+J504</f>
        <v>#NAME?</v>
      </c>
      <c r="L504" s="462" t="n">
        <v>0.2</v>
      </c>
      <c r="M504" s="473" t="e">
        <f aca="false">K504*L504</f>
        <v>#NAME?</v>
      </c>
      <c r="N504" s="473" t="e">
        <f aca="false">K504+M504</f>
        <v>#NAME?</v>
      </c>
      <c r="O504" s="473" t="e">
        <f aca="false">M504</f>
        <v>#NAME?</v>
      </c>
    </row>
    <row r="505" s="461" customFormat="true" ht="15" hidden="false" customHeight="false" outlineLevel="0" collapsed="false">
      <c r="A505" s="327" t="s">
        <v>851</v>
      </c>
      <c r="B505" s="328" t="s">
        <v>2964</v>
      </c>
      <c r="C505" s="472" t="e">
        <f aca="false">мат.затр!g4150</f>
        <v>#NAME?</v>
      </c>
      <c r="D505" s="472" t="n">
        <f aca="false">тарифик!J506</f>
        <v>702.81124497992</v>
      </c>
      <c r="E505" s="472"/>
      <c r="F505" s="473" t="n">
        <f aca="false">D505*0.9*0.095+D505*3%</f>
        <v>81.1746987951807</v>
      </c>
      <c r="G505" s="472" t="n">
        <f aca="false">амортизация!M1327</f>
        <v>5.77530027517477</v>
      </c>
      <c r="H505" s="473" t="e">
        <f aca="false">C505+D505+F505+G505</f>
        <v>#NAME?</v>
      </c>
      <c r="I505" s="462" t="n">
        <f aca="false">I$190</f>
        <v>0.240474587202079</v>
      </c>
      <c r="J505" s="473" t="n">
        <f aca="false">D505*I505</f>
        <v>169.008244017525</v>
      </c>
      <c r="K505" s="473" t="e">
        <f aca="false">H505+J505</f>
        <v>#NAME?</v>
      </c>
      <c r="L505" s="462" t="n">
        <v>0.2</v>
      </c>
      <c r="M505" s="473" t="e">
        <f aca="false">K505*L505</f>
        <v>#NAME?</v>
      </c>
      <c r="N505" s="473" t="e">
        <f aca="false">K505+M505</f>
        <v>#NAME?</v>
      </c>
      <c r="O505" s="473" t="e">
        <f aca="false">M505</f>
        <v>#NAME?</v>
      </c>
    </row>
    <row r="506" s="461" customFormat="true" ht="15" hidden="false" customHeight="false" outlineLevel="0" collapsed="false">
      <c r="A506" s="327" t="s">
        <v>852</v>
      </c>
      <c r="B506" s="328" t="s">
        <v>3126</v>
      </c>
      <c r="C506" s="472" t="e">
        <f aca="false">мат.затр!g4154</f>
        <v>#NAME?</v>
      </c>
      <c r="D506" s="472" t="n">
        <f aca="false">тарифик!J507</f>
        <v>1045.8500669344</v>
      </c>
      <c r="E506" s="472"/>
      <c r="F506" s="473" t="n">
        <f aca="false">D506*0.9*0.095+D506*3%</f>
        <v>120.795682730924</v>
      </c>
      <c r="G506" s="472" t="n">
        <f aca="false">амортизация!M1330</f>
        <v>8.66986464376023</v>
      </c>
      <c r="H506" s="473" t="e">
        <f aca="false">C506+D506+F506+G506</f>
        <v>#NAME?</v>
      </c>
      <c r="I506" s="462" t="n">
        <f aca="false">I$190</f>
        <v>0.240474587202079</v>
      </c>
      <c r="J506" s="473" t="n">
        <f aca="false">D506*I506</f>
        <v>251.500363121318</v>
      </c>
      <c r="K506" s="473" t="e">
        <f aca="false">H506+J506</f>
        <v>#NAME?</v>
      </c>
      <c r="L506" s="462" t="n">
        <v>0.2</v>
      </c>
      <c r="M506" s="473" t="e">
        <f aca="false">K506*L506</f>
        <v>#NAME?</v>
      </c>
      <c r="N506" s="473" t="e">
        <f aca="false">K506+M506</f>
        <v>#NAME?</v>
      </c>
      <c r="O506" s="473" t="e">
        <f aca="false">M506</f>
        <v>#NAME?</v>
      </c>
    </row>
    <row r="507" s="461" customFormat="true" ht="15" hidden="false" customHeight="false" outlineLevel="0" collapsed="false">
      <c r="A507" s="327" t="s">
        <v>853</v>
      </c>
      <c r="B507" s="328" t="s">
        <v>3224</v>
      </c>
      <c r="C507" s="472" t="e">
        <f aca="false">мат.затр!g4157</f>
        <v>#NAME?</v>
      </c>
      <c r="D507" s="472" t="n">
        <f aca="false">тарифик!J508</f>
        <v>209.170013386881</v>
      </c>
      <c r="E507" s="472"/>
      <c r="F507" s="473" t="n">
        <f aca="false">D507*0.9*0.095+D507*3%</f>
        <v>24.1591365461847</v>
      </c>
      <c r="G507" s="472" t="n">
        <f aca="false">амортизация!M1331</f>
        <v>4.56455451435371</v>
      </c>
      <c r="H507" s="473" t="e">
        <f aca="false">C507+D507+F507+G507</f>
        <v>#NAME?</v>
      </c>
      <c r="I507" s="462" t="n">
        <f aca="false">I$190</f>
        <v>0.240474587202079</v>
      </c>
      <c r="J507" s="473" t="n">
        <f aca="false">D507*I507</f>
        <v>50.3000726242635</v>
      </c>
      <c r="K507" s="473" t="e">
        <f aca="false">H507+J507</f>
        <v>#NAME?</v>
      </c>
      <c r="L507" s="462" t="n">
        <v>0.2</v>
      </c>
      <c r="M507" s="473" t="e">
        <f aca="false">K507*L507</f>
        <v>#NAME?</v>
      </c>
      <c r="N507" s="473" t="e">
        <f aca="false">K507+M507</f>
        <v>#NAME?</v>
      </c>
      <c r="O507" s="473" t="e">
        <f aca="false">M507</f>
        <v>#NAME?</v>
      </c>
    </row>
    <row r="508" s="461" customFormat="true" ht="15" hidden="false" customHeight="false" outlineLevel="0" collapsed="false">
      <c r="A508" s="327" t="s">
        <v>854</v>
      </c>
      <c r="B508" s="328" t="s">
        <v>3103</v>
      </c>
      <c r="C508" s="472" t="e">
        <f aca="false">мат.затр!g4169</f>
        <v>#NAME?</v>
      </c>
      <c r="D508" s="472" t="n">
        <f aca="false">тарифик!J509</f>
        <v>1450.24542614904</v>
      </c>
      <c r="E508" s="472"/>
      <c r="F508" s="473" t="n">
        <f aca="false">D508*0.9*0.095+D508*3%</f>
        <v>167.503346720214</v>
      </c>
      <c r="G508" s="472" t="n">
        <f aca="false">амортизация!M1336</f>
        <v>519.242711587089</v>
      </c>
      <c r="H508" s="473" t="e">
        <f aca="false">C508+D508+F508+G508</f>
        <v>#NAME?</v>
      </c>
      <c r="I508" s="462" t="n">
        <f aca="false">I$190</f>
        <v>0.240474587202079</v>
      </c>
      <c r="J508" s="473" t="n">
        <f aca="false">D508*I508</f>
        <v>348.747170194894</v>
      </c>
      <c r="K508" s="473" t="e">
        <f aca="false">H508+J508</f>
        <v>#NAME?</v>
      </c>
      <c r="L508" s="462" t="n">
        <v>0.2</v>
      </c>
      <c r="M508" s="473" t="e">
        <f aca="false">K508*L508</f>
        <v>#NAME?</v>
      </c>
      <c r="N508" s="473" t="e">
        <f aca="false">K508+M508</f>
        <v>#NAME?</v>
      </c>
      <c r="O508" s="473" t="e">
        <f aca="false">M508</f>
        <v>#NAME?</v>
      </c>
    </row>
    <row r="509" s="461" customFormat="true" ht="15" hidden="false" customHeight="false" outlineLevel="0" collapsed="false">
      <c r="A509" s="327" t="s">
        <v>855</v>
      </c>
      <c r="B509" s="328" t="s">
        <v>3148</v>
      </c>
      <c r="C509" s="472" t="e">
        <f aca="false">мат.затр!g4183</f>
        <v>#NAME?</v>
      </c>
      <c r="D509" s="472" t="n">
        <f aca="false">тарифик!J510</f>
        <v>1232.70861222668</v>
      </c>
      <c r="E509" s="472"/>
      <c r="F509" s="473" t="n">
        <f aca="false">D509*0.9*0.095+D509*3%</f>
        <v>142.377844712182</v>
      </c>
      <c r="G509" s="472" t="n">
        <f aca="false">амортизация!M1343</f>
        <v>582.515831845902</v>
      </c>
      <c r="H509" s="473" t="e">
        <f aca="false">C509+D509+F509+G509</f>
        <v>#NAME?</v>
      </c>
      <c r="I509" s="462" t="n">
        <f aca="false">I$190</f>
        <v>0.240474587202079</v>
      </c>
      <c r="J509" s="473" t="n">
        <f aca="false">D509*I509</f>
        <v>296.43509466566</v>
      </c>
      <c r="K509" s="473" t="e">
        <f aca="false">H509+J509</f>
        <v>#NAME?</v>
      </c>
      <c r="L509" s="462" t="n">
        <v>0.2</v>
      </c>
      <c r="M509" s="473" t="e">
        <f aca="false">K509*L509</f>
        <v>#NAME?</v>
      </c>
      <c r="N509" s="473" t="e">
        <f aca="false">K509+M509</f>
        <v>#NAME?</v>
      </c>
      <c r="O509" s="473" t="e">
        <f aca="false">M509</f>
        <v>#NAME?</v>
      </c>
    </row>
    <row r="510" s="461" customFormat="true" ht="15" hidden="false" customHeight="false" outlineLevel="0" collapsed="false">
      <c r="A510" s="327" t="s">
        <v>856</v>
      </c>
      <c r="B510" s="328" t="s">
        <v>3102</v>
      </c>
      <c r="C510" s="472" t="e">
        <f aca="false">мат.затр!g4195</f>
        <v>#NAME?</v>
      </c>
      <c r="D510" s="472" t="n">
        <f aca="false">тарифик!J511</f>
        <v>1450.24542614904</v>
      </c>
      <c r="E510" s="472"/>
      <c r="F510" s="473" t="n">
        <f aca="false">D510*0.9*0.095+D510*3%</f>
        <v>167.503346720214</v>
      </c>
      <c r="G510" s="472" t="n">
        <f aca="false">амортизация!M1348</f>
        <v>519.242711587089</v>
      </c>
      <c r="H510" s="473" t="e">
        <f aca="false">C510+D510+F510+G510</f>
        <v>#NAME?</v>
      </c>
      <c r="I510" s="462" t="n">
        <f aca="false">I$190</f>
        <v>0.240474587202079</v>
      </c>
      <c r="J510" s="473" t="n">
        <f aca="false">D510*I510</f>
        <v>348.747170194894</v>
      </c>
      <c r="K510" s="473" t="e">
        <f aca="false">H510+J510</f>
        <v>#NAME?</v>
      </c>
      <c r="L510" s="462" t="n">
        <v>0.2</v>
      </c>
      <c r="M510" s="473" t="e">
        <f aca="false">K510*L510</f>
        <v>#NAME?</v>
      </c>
      <c r="N510" s="473" t="e">
        <f aca="false">K510+M510</f>
        <v>#NAME?</v>
      </c>
      <c r="O510" s="473" t="e">
        <f aca="false">M510</f>
        <v>#NAME?</v>
      </c>
    </row>
    <row r="511" s="461" customFormat="true" ht="15" hidden="false" customHeight="false" outlineLevel="0" collapsed="false">
      <c r="A511" s="327" t="s">
        <v>857</v>
      </c>
      <c r="B511" s="328" t="s">
        <v>3149</v>
      </c>
      <c r="C511" s="472" t="e">
        <f aca="false">мат.затр!g4207</f>
        <v>#NAME?</v>
      </c>
      <c r="D511" s="472" t="n">
        <f aca="false">тарифик!J512</f>
        <v>1885.31905399375</v>
      </c>
      <c r="E511" s="472"/>
      <c r="F511" s="473" t="n">
        <f aca="false">D511*0.9*0.095+D511*3%</f>
        <v>217.754350736278</v>
      </c>
      <c r="G511" s="472" t="n">
        <f aca="false">амортизация!M1352</f>
        <v>797.792605607616</v>
      </c>
      <c r="H511" s="473" t="e">
        <f aca="false">C511+D511+F511+G511</f>
        <v>#NAME?</v>
      </c>
      <c r="I511" s="462" t="n">
        <f aca="false">I$190</f>
        <v>0.240474587202079</v>
      </c>
      <c r="J511" s="473" t="n">
        <f aca="false">D511*I511</f>
        <v>453.371321253362</v>
      </c>
      <c r="K511" s="473" t="e">
        <f aca="false">H511+J511</f>
        <v>#NAME?</v>
      </c>
      <c r="L511" s="462" t="n">
        <v>0.2</v>
      </c>
      <c r="M511" s="473" t="e">
        <f aca="false">K511*L511</f>
        <v>#NAME?</v>
      </c>
      <c r="N511" s="473" t="e">
        <f aca="false">K511+M511</f>
        <v>#NAME?</v>
      </c>
      <c r="O511" s="473" t="e">
        <f aca="false">M511</f>
        <v>#NAME?</v>
      </c>
    </row>
    <row r="512" s="461" customFormat="true" ht="15" hidden="false" customHeight="false" outlineLevel="0" collapsed="false">
      <c r="A512" s="350" t="s">
        <v>858</v>
      </c>
      <c r="B512" s="467" t="s">
        <v>3229</v>
      </c>
      <c r="C512" s="468"/>
      <c r="D512" s="468"/>
      <c r="E512" s="468"/>
      <c r="F512" s="474"/>
      <c r="G512" s="468"/>
      <c r="H512" s="474"/>
      <c r="I512" s="475"/>
      <c r="J512" s="474"/>
      <c r="K512" s="474"/>
      <c r="L512" s="475"/>
      <c r="M512" s="474"/>
      <c r="N512" s="474"/>
      <c r="O512" s="474"/>
    </row>
    <row r="513" s="461" customFormat="true" ht="15" hidden="false" customHeight="false" outlineLevel="0" collapsed="false">
      <c r="A513" s="327" t="s">
        <v>860</v>
      </c>
      <c r="B513" s="328" t="s">
        <v>3010</v>
      </c>
      <c r="C513" s="472" t="e">
        <f aca="false">мат.затр!g4209</f>
        <v>#NAME?</v>
      </c>
      <c r="D513" s="472" t="n">
        <f aca="false">тарифик!J514</f>
        <v>602.409638554217</v>
      </c>
      <c r="E513" s="472"/>
      <c r="F513" s="473" t="n">
        <f aca="false">D513*0.9*0.095+D513*3%</f>
        <v>69.578313253012</v>
      </c>
      <c r="G513" s="472" t="n">
        <f aca="false">амортизация!M1354</f>
        <v>7.53012048192771</v>
      </c>
      <c r="H513" s="473" t="e">
        <f aca="false">C513+D513+F513+G513</f>
        <v>#NAME?</v>
      </c>
      <c r="I513" s="462" t="n">
        <f aca="false">I$190</f>
        <v>0.240474587202079</v>
      </c>
      <c r="J513" s="473" t="n">
        <f aca="false">D513*I513</f>
        <v>144.864209157879</v>
      </c>
      <c r="K513" s="473" t="e">
        <f aca="false">H513+J513</f>
        <v>#NAME?</v>
      </c>
      <c r="L513" s="462" t="n">
        <v>0.2</v>
      </c>
      <c r="M513" s="473" t="e">
        <f aca="false">K513*L513</f>
        <v>#NAME?</v>
      </c>
      <c r="N513" s="473" t="e">
        <f aca="false">K513+M513</f>
        <v>#NAME?</v>
      </c>
      <c r="O513" s="473" t="e">
        <f aca="false">M513</f>
        <v>#NAME?</v>
      </c>
    </row>
    <row r="514" s="461" customFormat="true" ht="15" hidden="false" customHeight="false" outlineLevel="0" collapsed="false">
      <c r="A514" s="327" t="s">
        <v>861</v>
      </c>
      <c r="B514" s="328" t="s">
        <v>3084</v>
      </c>
      <c r="C514" s="472" t="e">
        <f aca="false">мат.затр!g4212</f>
        <v>#NAME?</v>
      </c>
      <c r="D514" s="472" t="n">
        <f aca="false">тарифик!J515</f>
        <v>1204.81927710843</v>
      </c>
      <c r="E514" s="472"/>
      <c r="F514" s="473" t="n">
        <f aca="false">D514*0.9*0.095+D514*3%</f>
        <v>139.156626506024</v>
      </c>
      <c r="G514" s="472" t="n">
        <f aca="false">амортизация!M1357</f>
        <v>9.86352818682136</v>
      </c>
      <c r="H514" s="473" t="e">
        <f aca="false">C514+D514+F514+G514</f>
        <v>#NAME?</v>
      </c>
      <c r="I514" s="462" t="n">
        <f aca="false">I$190</f>
        <v>0.240474587202079</v>
      </c>
      <c r="J514" s="473" t="n">
        <f aca="false">D514*I514</f>
        <v>289.728418315758</v>
      </c>
      <c r="K514" s="473" t="e">
        <f aca="false">H514+J514</f>
        <v>#NAME?</v>
      </c>
      <c r="L514" s="462" t="n">
        <v>0.2</v>
      </c>
      <c r="M514" s="473" t="e">
        <f aca="false">K514*L514</f>
        <v>#NAME?</v>
      </c>
      <c r="N514" s="473" t="e">
        <f aca="false">K514+M514</f>
        <v>#NAME?</v>
      </c>
      <c r="O514" s="473" t="e">
        <f aca="false">M514</f>
        <v>#NAME?</v>
      </c>
    </row>
    <row r="515" s="461" customFormat="true" ht="15" hidden="false" customHeight="false" outlineLevel="0" collapsed="false">
      <c r="A515" s="327" t="s">
        <v>862</v>
      </c>
      <c r="B515" s="328" t="s">
        <v>3085</v>
      </c>
      <c r="C515" s="472" t="e">
        <f aca="false">мат.затр!g4216</f>
        <v>#NAME?</v>
      </c>
      <c r="D515" s="472" t="n">
        <f aca="false">тарифик!J516</f>
        <v>1840.69611780455</v>
      </c>
      <c r="E515" s="472"/>
      <c r="F515" s="473" t="n">
        <f aca="false">D515*0.9*0.095+D515*3%</f>
        <v>212.600401606426</v>
      </c>
      <c r="G515" s="472" t="n">
        <f aca="false">амортизация!M1360</f>
        <v>9.86352818682136</v>
      </c>
      <c r="H515" s="473" t="e">
        <f aca="false">C515+D515+F515+G515</f>
        <v>#NAME?</v>
      </c>
      <c r="I515" s="462" t="n">
        <f aca="false">I$190</f>
        <v>0.240474587202079</v>
      </c>
      <c r="J515" s="473" t="n">
        <f aca="false">D515*I515</f>
        <v>442.640639093519</v>
      </c>
      <c r="K515" s="473" t="e">
        <f aca="false">H515+J515</f>
        <v>#NAME?</v>
      </c>
      <c r="L515" s="462" t="n">
        <v>0.2</v>
      </c>
      <c r="M515" s="473" t="e">
        <f aca="false">K515*L515</f>
        <v>#NAME?</v>
      </c>
      <c r="N515" s="473" t="e">
        <f aca="false">K515+M515</f>
        <v>#NAME?</v>
      </c>
      <c r="O515" s="473" t="e">
        <f aca="false">M515</f>
        <v>#NAME?</v>
      </c>
    </row>
    <row r="516" s="461" customFormat="true" ht="15" hidden="false" customHeight="false" outlineLevel="0" collapsed="false">
      <c r="A516" s="327" t="s">
        <v>863</v>
      </c>
      <c r="B516" s="328" t="s">
        <v>3126</v>
      </c>
      <c r="C516" s="472" t="e">
        <f aca="false">мат.затр!g4220</f>
        <v>#NAME?</v>
      </c>
      <c r="D516" s="472" t="n">
        <f aca="false">тарифик!J517</f>
        <v>1380.52208835341</v>
      </c>
      <c r="E516" s="472"/>
      <c r="F516" s="473" t="n">
        <f aca="false">D516*0.9*0.095+D516*3%</f>
        <v>159.450301204819</v>
      </c>
      <c r="G516" s="472" t="n">
        <f aca="false">амортизация!M1363</f>
        <v>8.66986464376023</v>
      </c>
      <c r="H516" s="473" t="e">
        <f aca="false">C516+D516+F516+G516</f>
        <v>#NAME?</v>
      </c>
      <c r="I516" s="462" t="n">
        <f aca="false">I$190</f>
        <v>0.240474587202079</v>
      </c>
      <c r="J516" s="473" t="n">
        <f aca="false">D516*I516</f>
        <v>331.980479320139</v>
      </c>
      <c r="K516" s="473" t="e">
        <f aca="false">H516+J516</f>
        <v>#NAME?</v>
      </c>
      <c r="L516" s="462" t="n">
        <v>0.2</v>
      </c>
      <c r="M516" s="473" t="e">
        <f aca="false">K516*L516</f>
        <v>#NAME?</v>
      </c>
      <c r="N516" s="473" t="e">
        <f aca="false">K516+M516</f>
        <v>#NAME?</v>
      </c>
      <c r="O516" s="473" t="e">
        <f aca="false">M516</f>
        <v>#NAME?</v>
      </c>
    </row>
    <row r="517" s="461" customFormat="true" ht="15" hidden="false" customHeight="false" outlineLevel="0" collapsed="false">
      <c r="A517" s="327" t="s">
        <v>864</v>
      </c>
      <c r="B517" s="328" t="s">
        <v>3103</v>
      </c>
      <c r="C517" s="472" t="e">
        <f aca="false">мат.затр!g4232</f>
        <v>#NAME?</v>
      </c>
      <c r="D517" s="472" t="n">
        <f aca="false">тарифик!J518</f>
        <v>3346.72021419009</v>
      </c>
      <c r="E517" s="472"/>
      <c r="F517" s="473" t="n">
        <f aca="false">D517*0.9*0.095+D517*3%</f>
        <v>386.546184738956</v>
      </c>
      <c r="G517" s="472" t="n">
        <f aca="false">амортизация!M1368</f>
        <v>519.242711587089</v>
      </c>
      <c r="H517" s="473" t="e">
        <f aca="false">C517+D517+F517+G517</f>
        <v>#NAME?</v>
      </c>
      <c r="I517" s="462" t="n">
        <f aca="false">I$190</f>
        <v>0.240474587202079</v>
      </c>
      <c r="J517" s="473" t="n">
        <f aca="false">D517*I517</f>
        <v>804.801161988216</v>
      </c>
      <c r="K517" s="473" t="e">
        <f aca="false">H517+J517</f>
        <v>#NAME?</v>
      </c>
      <c r="L517" s="462" t="n">
        <v>0.2</v>
      </c>
      <c r="M517" s="473" t="e">
        <f aca="false">K517*L517</f>
        <v>#NAME?</v>
      </c>
      <c r="N517" s="473" t="e">
        <f aca="false">K517+M517</f>
        <v>#NAME?</v>
      </c>
      <c r="O517" s="473" t="e">
        <f aca="false">M517</f>
        <v>#NAME?</v>
      </c>
    </row>
    <row r="518" s="461" customFormat="true" ht="15" hidden="false" customHeight="false" outlineLevel="0" collapsed="false">
      <c r="A518" s="327" t="s">
        <v>865</v>
      </c>
      <c r="B518" s="328" t="s">
        <v>3148</v>
      </c>
      <c r="C518" s="472" t="e">
        <f aca="false">мат.затр!g4246</f>
        <v>#NAME?</v>
      </c>
      <c r="D518" s="472" t="n">
        <f aca="false">тарифик!J519</f>
        <v>2655.06470325747</v>
      </c>
      <c r="E518" s="472"/>
      <c r="F518" s="473" t="n">
        <f aca="false">D518*0.9*0.095+D518*3%</f>
        <v>306.659973226238</v>
      </c>
      <c r="G518" s="472" t="n">
        <f aca="false">амортизация!M1375</f>
        <v>739.691757771828</v>
      </c>
      <c r="H518" s="473" t="e">
        <f aca="false">C518+D518+F518+G518</f>
        <v>#NAME?</v>
      </c>
      <c r="I518" s="462" t="n">
        <f aca="false">I$190</f>
        <v>0.240474587202079</v>
      </c>
      <c r="J518" s="473" t="n">
        <f aca="false">D518*I518</f>
        <v>638.475588510651</v>
      </c>
      <c r="K518" s="473" t="e">
        <f aca="false">H518+J518</f>
        <v>#NAME?</v>
      </c>
      <c r="L518" s="462" t="n">
        <v>0.2</v>
      </c>
      <c r="M518" s="473" t="e">
        <f aca="false">K518*L518</f>
        <v>#NAME?</v>
      </c>
      <c r="N518" s="473" t="e">
        <f aca="false">K518+M518</f>
        <v>#NAME?</v>
      </c>
      <c r="O518" s="473" t="e">
        <f aca="false">M518</f>
        <v>#NAME?</v>
      </c>
    </row>
    <row r="519" s="461" customFormat="true" ht="15" hidden="false" customHeight="false" outlineLevel="0" collapsed="false">
      <c r="A519" s="327" t="s">
        <v>866</v>
      </c>
      <c r="B519" s="328" t="s">
        <v>3102</v>
      </c>
      <c r="C519" s="472" t="e">
        <f aca="false">мат.затр!g4258</f>
        <v>#NAME?</v>
      </c>
      <c r="D519" s="472" t="n">
        <f aca="false">тарифик!J520</f>
        <v>3346.72021419009</v>
      </c>
      <c r="E519" s="472"/>
      <c r="F519" s="473" t="n">
        <f aca="false">D519*0.9*0.095+D519*3%</f>
        <v>386.546184738956</v>
      </c>
      <c r="G519" s="472" t="n">
        <f aca="false">амортизация!M1380</f>
        <v>519.242711587089</v>
      </c>
      <c r="H519" s="473" t="e">
        <f aca="false">C519+D519+F519+G519</f>
        <v>#NAME?</v>
      </c>
      <c r="I519" s="462" t="n">
        <f aca="false">I$190</f>
        <v>0.240474587202079</v>
      </c>
      <c r="J519" s="473" t="n">
        <f aca="false">D519*I519</f>
        <v>804.801161988216</v>
      </c>
      <c r="K519" s="473" t="e">
        <f aca="false">H519+J519</f>
        <v>#NAME?</v>
      </c>
      <c r="L519" s="462" t="n">
        <v>0.2</v>
      </c>
      <c r="M519" s="473" t="e">
        <f aca="false">K519*L519</f>
        <v>#NAME?</v>
      </c>
      <c r="N519" s="473" t="e">
        <f aca="false">K519+M519</f>
        <v>#NAME?</v>
      </c>
      <c r="O519" s="473" t="e">
        <f aca="false">M519</f>
        <v>#NAME?</v>
      </c>
    </row>
    <row r="520" s="461" customFormat="true" ht="15" hidden="false" customHeight="false" outlineLevel="0" collapsed="false">
      <c r="A520" s="327" t="s">
        <v>867</v>
      </c>
      <c r="B520" s="328" t="s">
        <v>3149</v>
      </c>
      <c r="C520" s="472" t="e">
        <f aca="false">мат.затр!g4270</f>
        <v>#NAME?</v>
      </c>
      <c r="D520" s="472" t="n">
        <f aca="false">тарифик!J521</f>
        <v>2655.06470325747</v>
      </c>
      <c r="E520" s="472"/>
      <c r="F520" s="473" t="n">
        <f aca="false">D520*0.9*0.095+D520*3%</f>
        <v>306.659973226238</v>
      </c>
      <c r="G520" s="472" t="n">
        <f aca="false">амортизация!M1384</f>
        <v>954.968531533542</v>
      </c>
      <c r="H520" s="473" t="e">
        <f aca="false">C520+D520+F520+G520</f>
        <v>#NAME?</v>
      </c>
      <c r="I520" s="462" t="n">
        <f aca="false">I$190</f>
        <v>0.240474587202079</v>
      </c>
      <c r="J520" s="473" t="n">
        <f aca="false">D520*I520</f>
        <v>638.475588510651</v>
      </c>
      <c r="K520" s="473" t="e">
        <f aca="false">H520+J520</f>
        <v>#NAME?</v>
      </c>
      <c r="L520" s="462" t="n">
        <v>0.2</v>
      </c>
      <c r="M520" s="473" t="e">
        <f aca="false">K520*L520</f>
        <v>#NAME?</v>
      </c>
      <c r="N520" s="473" t="e">
        <f aca="false">K520+M520</f>
        <v>#NAME?</v>
      </c>
      <c r="O520" s="473" t="e">
        <f aca="false">M520</f>
        <v>#NAME?</v>
      </c>
    </row>
    <row r="521" s="461" customFormat="true" ht="42.75" hidden="false" customHeight="false" outlineLevel="0" collapsed="false">
      <c r="A521" s="350" t="s">
        <v>868</v>
      </c>
      <c r="B521" s="467" t="s">
        <v>3230</v>
      </c>
      <c r="C521" s="468"/>
      <c r="D521" s="468"/>
      <c r="E521" s="468"/>
      <c r="F521" s="474"/>
      <c r="G521" s="468"/>
      <c r="H521" s="474"/>
      <c r="I521" s="475"/>
      <c r="J521" s="474"/>
      <c r="K521" s="474"/>
      <c r="L521" s="475"/>
      <c r="M521" s="474"/>
      <c r="N521" s="474"/>
      <c r="O521" s="474"/>
    </row>
    <row r="522" s="461" customFormat="true" ht="30" hidden="false" customHeight="false" outlineLevel="0" collapsed="false">
      <c r="A522" s="327" t="s">
        <v>870</v>
      </c>
      <c r="B522" s="489" t="s">
        <v>3231</v>
      </c>
      <c r="C522" s="472" t="e">
        <f aca="false">мат.затр!g4275</f>
        <v>#NAME?</v>
      </c>
      <c r="D522" s="472" t="n">
        <f aca="false">тарифик!J523</f>
        <v>1472.55689424364</v>
      </c>
      <c r="E522" s="472"/>
      <c r="F522" s="473" t="n">
        <f aca="false">D522*0.9*0.095+D522*3%</f>
        <v>170.080321285141</v>
      </c>
      <c r="G522" s="472" t="n">
        <f aca="false">амортизация!M1386</f>
        <v>4.56455451435371</v>
      </c>
      <c r="H522" s="473" t="e">
        <f aca="false">C522+D522+F522+G522</f>
        <v>#NAME?</v>
      </c>
      <c r="I522" s="462" t="n">
        <f aca="false">I$190</f>
        <v>0.240474587202079</v>
      </c>
      <c r="J522" s="473" t="n">
        <f aca="false">D522*I522</f>
        <v>354.112511274815</v>
      </c>
      <c r="K522" s="473" t="e">
        <f aca="false">H522+J522</f>
        <v>#NAME?</v>
      </c>
      <c r="L522" s="462" t="n">
        <v>0.2</v>
      </c>
      <c r="M522" s="473" t="e">
        <f aca="false">K522*L522</f>
        <v>#NAME?</v>
      </c>
      <c r="N522" s="473" t="e">
        <f aca="false">K522+M522</f>
        <v>#NAME?</v>
      </c>
      <c r="O522" s="473" t="e">
        <f aca="false">M522</f>
        <v>#NAME?</v>
      </c>
    </row>
    <row r="523" s="461" customFormat="true" ht="15" hidden="false" customHeight="false" outlineLevel="0" collapsed="false">
      <c r="A523" s="327" t="s">
        <v>872</v>
      </c>
      <c r="B523" s="489" t="s">
        <v>3232</v>
      </c>
      <c r="C523" s="472" t="e">
        <f aca="false">мат.затр!g4281</f>
        <v>#NAME?</v>
      </c>
      <c r="D523" s="472" t="n">
        <f aca="false">тарифик!J524</f>
        <v>2141.90093708166</v>
      </c>
      <c r="E523" s="472"/>
      <c r="F523" s="473" t="n">
        <f aca="false">D523*0.9*0.095+D523*3%</f>
        <v>247.389558232932</v>
      </c>
      <c r="G523" s="472" t="n">
        <f aca="false">амортизация!M1387</f>
        <v>4.56455451435371</v>
      </c>
      <c r="H523" s="473" t="e">
        <f aca="false">C523+D523+F523+G523</f>
        <v>#NAME?</v>
      </c>
      <c r="I523" s="462" t="n">
        <f aca="false">I$190</f>
        <v>0.240474587202079</v>
      </c>
      <c r="J523" s="473" t="n">
        <f aca="false">D523*I523</f>
        <v>515.072743672458</v>
      </c>
      <c r="K523" s="473" t="e">
        <f aca="false">H523+J523</f>
        <v>#NAME?</v>
      </c>
      <c r="L523" s="462" t="n">
        <v>0.2</v>
      </c>
      <c r="M523" s="473" t="e">
        <f aca="false">K523*L523</f>
        <v>#NAME?</v>
      </c>
      <c r="N523" s="473" t="e">
        <f aca="false">K523+M523</f>
        <v>#NAME?</v>
      </c>
      <c r="O523" s="473" t="e">
        <f aca="false">M523</f>
        <v>#NAME?</v>
      </c>
    </row>
    <row r="524" s="461" customFormat="true" ht="15" hidden="false" customHeight="false" outlineLevel="0" collapsed="false">
      <c r="A524" s="327" t="s">
        <v>874</v>
      </c>
      <c r="B524" s="489" t="s">
        <v>3233</v>
      </c>
      <c r="C524" s="472" t="e">
        <f aca="false">мат.затр!g4285</f>
        <v>#NAME?</v>
      </c>
      <c r="D524" s="472" t="n">
        <f aca="false">тарифик!J525</f>
        <v>1338.68808567604</v>
      </c>
      <c r="E524" s="472"/>
      <c r="F524" s="473" t="n">
        <f aca="false">D524*0.9*0.095+D524*3%</f>
        <v>154.618473895582</v>
      </c>
      <c r="G524" s="472" t="n">
        <f aca="false">амортизация!M1388</f>
        <v>1.67336010709505</v>
      </c>
      <c r="H524" s="473" t="e">
        <f aca="false">C524+D524+F524+G524</f>
        <v>#NAME?</v>
      </c>
      <c r="I524" s="462" t="n">
        <f aca="false">I$190</f>
        <v>0.240474587202079</v>
      </c>
      <c r="J524" s="473" t="n">
        <f aca="false">D524*I524</f>
        <v>321.920464795286</v>
      </c>
      <c r="K524" s="473" t="e">
        <f aca="false">H524+J524</f>
        <v>#NAME?</v>
      </c>
      <c r="L524" s="462" t="n">
        <v>0.2</v>
      </c>
      <c r="M524" s="473" t="e">
        <f aca="false">K524*L524</f>
        <v>#NAME?</v>
      </c>
      <c r="N524" s="473" t="e">
        <f aca="false">K524+M524</f>
        <v>#NAME?</v>
      </c>
      <c r="O524" s="473" t="e">
        <f aca="false">M524</f>
        <v>#NAME?</v>
      </c>
    </row>
    <row r="525" s="461" customFormat="true" ht="15" hidden="false" customHeight="false" outlineLevel="0" collapsed="false">
      <c r="A525" s="327" t="s">
        <v>876</v>
      </c>
      <c r="B525" s="489" t="s">
        <v>3234</v>
      </c>
      <c r="C525" s="472" t="e">
        <f aca="false">мат.затр!g4295</f>
        <v>#NAME?</v>
      </c>
      <c r="D525" s="472" t="n">
        <f aca="false">тарифик!J526</f>
        <v>2370.59348505132</v>
      </c>
      <c r="E525" s="472"/>
      <c r="F525" s="473" t="n">
        <f aca="false">D525*0.9*0.095+D525*3%</f>
        <v>273.803547523427</v>
      </c>
      <c r="G525" s="472" t="n">
        <f aca="false">амортизация!M1391</f>
        <v>7.31444295701324</v>
      </c>
      <c r="H525" s="473" t="e">
        <f aca="false">C525+D525+F525+G525</f>
        <v>#NAME?</v>
      </c>
      <c r="I525" s="462" t="n">
        <f aca="false">I$190</f>
        <v>0.240474587202079</v>
      </c>
      <c r="J525" s="473" t="n">
        <f aca="false">D525*I525</f>
        <v>570.067489741653</v>
      </c>
      <c r="K525" s="473" t="e">
        <f aca="false">H525+J525</f>
        <v>#NAME?</v>
      </c>
      <c r="L525" s="462" t="n">
        <v>0.2</v>
      </c>
      <c r="M525" s="473" t="e">
        <f aca="false">K525*L525</f>
        <v>#NAME?</v>
      </c>
      <c r="N525" s="473" t="e">
        <f aca="false">K525+M525</f>
        <v>#NAME?</v>
      </c>
      <c r="O525" s="473" t="e">
        <f aca="false">M525</f>
        <v>#NAME?</v>
      </c>
    </row>
    <row r="526" s="461" customFormat="true" ht="15" hidden="false" customHeight="false" outlineLevel="0" collapsed="false">
      <c r="A526" s="350" t="s">
        <v>878</v>
      </c>
      <c r="B526" s="467" t="s">
        <v>3235</v>
      </c>
      <c r="C526" s="468"/>
      <c r="D526" s="468"/>
      <c r="E526" s="468"/>
      <c r="F526" s="474"/>
      <c r="G526" s="468"/>
      <c r="H526" s="474"/>
      <c r="I526" s="475"/>
      <c r="J526" s="474"/>
      <c r="K526" s="474"/>
      <c r="L526" s="475"/>
      <c r="M526" s="474"/>
      <c r="N526" s="474"/>
      <c r="O526" s="474"/>
    </row>
    <row r="527" s="461" customFormat="true" ht="15" hidden="false" customHeight="false" outlineLevel="0" collapsed="false">
      <c r="A527" s="327" t="s">
        <v>880</v>
      </c>
      <c r="B527" s="328" t="s">
        <v>3010</v>
      </c>
      <c r="C527" s="472" t="e">
        <f aca="false">мат.затр!g4297</f>
        <v>#NAME?</v>
      </c>
      <c r="D527" s="472" t="n">
        <f aca="false">тарифик!J528</f>
        <v>451.807228915663</v>
      </c>
      <c r="E527" s="472"/>
      <c r="F527" s="473" t="n">
        <f aca="false">D527*0.9*0.095+D527*3%</f>
        <v>52.183734939759</v>
      </c>
      <c r="G527" s="472" t="n">
        <f aca="false">амортизация!M1395</f>
        <v>7.31444295701324</v>
      </c>
      <c r="H527" s="473" t="e">
        <f aca="false">C527+D527+F527+G527</f>
        <v>#NAME?</v>
      </c>
      <c r="I527" s="462" t="n">
        <f aca="false">I$190</f>
        <v>0.240474587202079</v>
      </c>
      <c r="J527" s="473" t="n">
        <f aca="false">D527*I527</f>
        <v>108.648156868409</v>
      </c>
      <c r="K527" s="473" t="e">
        <f aca="false">H527+J527</f>
        <v>#NAME?</v>
      </c>
      <c r="L527" s="462" t="n">
        <v>0.2</v>
      </c>
      <c r="M527" s="473" t="e">
        <f aca="false">K527*L527</f>
        <v>#NAME?</v>
      </c>
      <c r="N527" s="473" t="e">
        <f aca="false">K527+M527</f>
        <v>#NAME?</v>
      </c>
      <c r="O527" s="473" t="e">
        <f aca="false">M527</f>
        <v>#NAME?</v>
      </c>
    </row>
    <row r="528" s="461" customFormat="true" ht="15" hidden="false" customHeight="false" outlineLevel="0" collapsed="false">
      <c r="A528" s="327" t="s">
        <v>881</v>
      </c>
      <c r="B528" s="328" t="s">
        <v>3236</v>
      </c>
      <c r="C528" s="472" t="e">
        <f aca="false">мат.затр!g4300</f>
        <v>#NAME?</v>
      </c>
      <c r="D528" s="472" t="n">
        <f aca="false">тарифик!J529</f>
        <v>1506.02409638554</v>
      </c>
      <c r="E528" s="472"/>
      <c r="F528" s="473" t="n">
        <f aca="false">D528*0.9*0.095+D528*3%</f>
        <v>173.94578313253</v>
      </c>
      <c r="G528" s="472" t="n">
        <f aca="false">амортизация!M1398</f>
        <v>7.31444295701324</v>
      </c>
      <c r="H528" s="473" t="e">
        <f aca="false">C528+D528+F528+G528</f>
        <v>#NAME?</v>
      </c>
      <c r="I528" s="462" t="n">
        <f aca="false">I$190</f>
        <v>0.240474587202079</v>
      </c>
      <c r="J528" s="473" t="n">
        <f aca="false">D528*I528</f>
        <v>362.160522894697</v>
      </c>
      <c r="K528" s="473" t="e">
        <f aca="false">H528+J528</f>
        <v>#NAME?</v>
      </c>
      <c r="L528" s="462" t="n">
        <v>0.2</v>
      </c>
      <c r="M528" s="473" t="e">
        <f aca="false">K528*L528</f>
        <v>#NAME?</v>
      </c>
      <c r="N528" s="473" t="e">
        <f aca="false">K528+M528</f>
        <v>#NAME?</v>
      </c>
      <c r="O528" s="473" t="e">
        <f aca="false">M528</f>
        <v>#NAME?</v>
      </c>
    </row>
    <row r="529" s="461" customFormat="true" ht="15" hidden="false" customHeight="false" outlineLevel="0" collapsed="false">
      <c r="A529" s="327" t="s">
        <v>882</v>
      </c>
      <c r="B529" s="328" t="s">
        <v>3237</v>
      </c>
      <c r="C529" s="472" t="e">
        <f aca="false">мат.затр!g4307</f>
        <v>#NAME?</v>
      </c>
      <c r="D529" s="472" t="n">
        <f aca="false">тарифик!J530</f>
        <v>1374.94422132976</v>
      </c>
      <c r="E529" s="472"/>
      <c r="F529" s="473" t="n">
        <f aca="false">D529*0.9*0.095+D529*3%</f>
        <v>158.806057563588</v>
      </c>
      <c r="G529" s="472" t="n">
        <f aca="false">амортизация!M1401</f>
        <v>30.7888963260449</v>
      </c>
      <c r="H529" s="473" t="e">
        <f aca="false">C529+D529+F529+G529</f>
        <v>#NAME?</v>
      </c>
      <c r="I529" s="462" t="n">
        <f aca="false">I$190</f>
        <v>0.240474587202079</v>
      </c>
      <c r="J529" s="473" t="n">
        <f aca="false">D529*I529</f>
        <v>330.639144050159</v>
      </c>
      <c r="K529" s="473" t="e">
        <f aca="false">H529+J529</f>
        <v>#NAME?</v>
      </c>
      <c r="L529" s="462" t="n">
        <v>0.2</v>
      </c>
      <c r="M529" s="473" t="e">
        <f aca="false">K529*L529</f>
        <v>#NAME?</v>
      </c>
      <c r="N529" s="473" t="e">
        <f aca="false">K529+M529</f>
        <v>#NAME?</v>
      </c>
      <c r="O529" s="473" t="e">
        <f aca="false">M529</f>
        <v>#NAME?</v>
      </c>
    </row>
    <row r="530" s="461" customFormat="true" ht="15" hidden="false" customHeight="false" outlineLevel="0" collapsed="false">
      <c r="A530" s="327" t="s">
        <v>884</v>
      </c>
      <c r="B530" s="328" t="s">
        <v>3238</v>
      </c>
      <c r="C530" s="472" t="e">
        <f aca="false">мат.затр!g4312</f>
        <v>#NAME?</v>
      </c>
      <c r="D530" s="472" t="n">
        <f aca="false">тарифик!J531</f>
        <v>995.649263721553</v>
      </c>
      <c r="E530" s="472"/>
      <c r="F530" s="473" t="n">
        <f aca="false">D530*0.9*0.095+D530*3%</f>
        <v>114.997489959839</v>
      </c>
      <c r="G530" s="472" t="n">
        <f aca="false">амортизация!M1402</f>
        <v>4.56455451435371</v>
      </c>
      <c r="H530" s="473" t="e">
        <f aca="false">C530+D530+F530+G530</f>
        <v>#NAME?</v>
      </c>
      <c r="I530" s="462" t="n">
        <f aca="false">I$190</f>
        <v>0.240474587202079</v>
      </c>
      <c r="J530" s="473" t="n">
        <f aca="false">D530*I530</f>
        <v>239.428345691494</v>
      </c>
      <c r="K530" s="473" t="e">
        <f aca="false">H530+J530</f>
        <v>#NAME?</v>
      </c>
      <c r="L530" s="462" t="n">
        <v>0.2</v>
      </c>
      <c r="M530" s="473" t="e">
        <f aca="false">K530*L530</f>
        <v>#NAME?</v>
      </c>
      <c r="N530" s="473" t="e">
        <f aca="false">K530+M530</f>
        <v>#NAME?</v>
      </c>
      <c r="O530" s="473" t="e">
        <f aca="false">M530</f>
        <v>#NAME?</v>
      </c>
    </row>
    <row r="531" s="461" customFormat="true" ht="15" hidden="false" customHeight="false" outlineLevel="0" collapsed="false">
      <c r="A531" s="327" t="s">
        <v>886</v>
      </c>
      <c r="B531" s="328" t="s">
        <v>3239</v>
      </c>
      <c r="C531" s="472" t="e">
        <f aca="false">мат.затр!g4318</f>
        <v>#NAME?</v>
      </c>
      <c r="D531" s="472" t="n">
        <f aca="false">тарифик!J532</f>
        <v>2024.76572958501</v>
      </c>
      <c r="E531" s="472"/>
      <c r="F531" s="473" t="n">
        <f aca="false">D531*0.9*0.095+D531*3%</f>
        <v>233.860441767068</v>
      </c>
      <c r="G531" s="472" t="n">
        <f aca="false">амортизация!M1406</f>
        <v>33.5387847687045</v>
      </c>
      <c r="H531" s="473" t="e">
        <f aca="false">C531+D531+F531+G531</f>
        <v>#NAME?</v>
      </c>
      <c r="I531" s="462" t="n">
        <f aca="false">I$190</f>
        <v>0.240474587202079</v>
      </c>
      <c r="J531" s="473" t="n">
        <f aca="false">D531*I531</f>
        <v>486.904703002871</v>
      </c>
      <c r="K531" s="473" t="e">
        <f aca="false">H531+J531</f>
        <v>#NAME?</v>
      </c>
      <c r="L531" s="462" t="n">
        <v>0.2</v>
      </c>
      <c r="M531" s="473" t="e">
        <f aca="false">K531*L531</f>
        <v>#NAME?</v>
      </c>
      <c r="N531" s="473" t="e">
        <f aca="false">K531+M531</f>
        <v>#NAME?</v>
      </c>
      <c r="O531" s="473" t="e">
        <f aca="false">M531</f>
        <v>#NAME?</v>
      </c>
    </row>
    <row r="532" s="461" customFormat="true" ht="15" hidden="false" customHeight="false" outlineLevel="0" collapsed="false">
      <c r="A532" s="350" t="s">
        <v>888</v>
      </c>
      <c r="B532" s="346" t="s">
        <v>3240</v>
      </c>
      <c r="C532" s="468"/>
      <c r="D532" s="468"/>
      <c r="E532" s="468"/>
      <c r="F532" s="474"/>
      <c r="G532" s="468"/>
      <c r="H532" s="474"/>
      <c r="I532" s="475"/>
      <c r="J532" s="474"/>
      <c r="K532" s="474"/>
      <c r="L532" s="475"/>
      <c r="M532" s="474"/>
      <c r="N532" s="474"/>
      <c r="O532" s="474"/>
    </row>
    <row r="533" s="461" customFormat="true" ht="15" hidden="false" customHeight="false" outlineLevel="0" collapsed="false">
      <c r="A533" s="327" t="s">
        <v>890</v>
      </c>
      <c r="B533" s="433" t="s">
        <v>3241</v>
      </c>
      <c r="C533" s="472" t="e">
        <f aca="false">мат.затр!g4327</f>
        <v>#NAME?</v>
      </c>
      <c r="D533" s="472" t="n">
        <f aca="false">тарифик!J534</f>
        <v>1165.77420794288</v>
      </c>
      <c r="E533" s="472"/>
      <c r="F533" s="473" t="n">
        <f aca="false">D533*0.9*0.095+D533*3%</f>
        <v>134.646921017403</v>
      </c>
      <c r="G533" s="472" t="n">
        <f aca="false">амортизация!M1410</f>
        <v>56.7677004313551</v>
      </c>
      <c r="H533" s="473" t="e">
        <f aca="false">C533+D533+F533+G533</f>
        <v>#NAME?</v>
      </c>
      <c r="I533" s="462" t="n">
        <f aca="false">I$190</f>
        <v>0.240474587202079</v>
      </c>
      <c r="J533" s="473" t="n">
        <f aca="false">D533*I533</f>
        <v>280.339071425895</v>
      </c>
      <c r="K533" s="473" t="e">
        <f aca="false">H533+J533</f>
        <v>#NAME?</v>
      </c>
      <c r="L533" s="462" t="n">
        <v>0.2</v>
      </c>
      <c r="M533" s="473" t="e">
        <f aca="false">K533*L533</f>
        <v>#NAME?</v>
      </c>
      <c r="N533" s="473" t="e">
        <f aca="false">K533+M533</f>
        <v>#NAME?</v>
      </c>
      <c r="O533" s="473" t="e">
        <f aca="false">M533</f>
        <v>#NAME?</v>
      </c>
    </row>
    <row r="534" s="461" customFormat="true" ht="15" hidden="false" customHeight="false" outlineLevel="0" collapsed="false">
      <c r="A534" s="327" t="s">
        <v>892</v>
      </c>
      <c r="B534" s="433" t="s">
        <v>3242</v>
      </c>
      <c r="C534" s="472" t="e">
        <f aca="false">мат.затр!g4337</f>
        <v>#NAME?</v>
      </c>
      <c r="D534" s="472" t="n">
        <f aca="false">тарифик!J535</f>
        <v>552.208835341365</v>
      </c>
      <c r="E534" s="472"/>
      <c r="F534" s="473" t="n">
        <f aca="false">D534*0.9*0.095+D534*3%</f>
        <v>63.7801204819277</v>
      </c>
      <c r="G534" s="472" t="n">
        <f aca="false">амортизация!M1413</f>
        <v>414.22450449948</v>
      </c>
      <c r="H534" s="473" t="e">
        <f aca="false">C534+D534+F534+G534</f>
        <v>#NAME?</v>
      </c>
      <c r="I534" s="462" t="n">
        <f aca="false">I$190</f>
        <v>0.240474587202079</v>
      </c>
      <c r="J534" s="473" t="n">
        <f aca="false">D534*I534</f>
        <v>132.792191728056</v>
      </c>
      <c r="K534" s="473" t="e">
        <f aca="false">H534+J534</f>
        <v>#NAME?</v>
      </c>
      <c r="L534" s="462" t="n">
        <v>0.2</v>
      </c>
      <c r="M534" s="473" t="e">
        <f aca="false">K534*L534</f>
        <v>#NAME?</v>
      </c>
      <c r="N534" s="473" t="e">
        <f aca="false">K534+M534</f>
        <v>#NAME?</v>
      </c>
      <c r="O534" s="473" t="e">
        <f aca="false">M534</f>
        <v>#NAME?</v>
      </c>
    </row>
    <row r="535" s="461" customFormat="true" ht="15" hidden="false" customHeight="false" outlineLevel="0" collapsed="false">
      <c r="A535" s="327" t="s">
        <v>894</v>
      </c>
      <c r="B535" s="433" t="s">
        <v>3076</v>
      </c>
      <c r="C535" s="472" t="e">
        <f aca="false">мат.затр!g4355</f>
        <v>#NAME?</v>
      </c>
      <c r="D535" s="472" t="n">
        <f aca="false">тарифик!J536</f>
        <v>705.600178491745</v>
      </c>
      <c r="E535" s="472"/>
      <c r="F535" s="473" t="n">
        <f aca="false">D535*0.9*0.095+D535*3%</f>
        <v>81.4968206157965</v>
      </c>
      <c r="G535" s="472" t="n">
        <f aca="false">амортизация!M1418</f>
        <v>2073.40863453815</v>
      </c>
      <c r="H535" s="473" t="e">
        <f aca="false">C535+D535+F535+G535</f>
        <v>#NAME?</v>
      </c>
      <c r="I535" s="462" t="n">
        <f aca="false">I$190</f>
        <v>0.240474587202079</v>
      </c>
      <c r="J535" s="473" t="n">
        <f aca="false">D535*I535</f>
        <v>169.678911652516</v>
      </c>
      <c r="K535" s="473" t="e">
        <f aca="false">H535+J535</f>
        <v>#NAME?</v>
      </c>
      <c r="L535" s="462" t="n">
        <v>0.2</v>
      </c>
      <c r="M535" s="473" t="e">
        <f aca="false">K535*L535</f>
        <v>#NAME?</v>
      </c>
      <c r="N535" s="473" t="e">
        <f aca="false">K535+M535</f>
        <v>#NAME?</v>
      </c>
      <c r="O535" s="473" t="e">
        <f aca="false">M535</f>
        <v>#NAME?</v>
      </c>
    </row>
    <row r="536" s="461" customFormat="true" ht="30" hidden="false" customHeight="false" outlineLevel="0" collapsed="false">
      <c r="A536" s="327" t="s">
        <v>896</v>
      </c>
      <c r="B536" s="433" t="s">
        <v>3077</v>
      </c>
      <c r="C536" s="472" t="e">
        <f aca="false">мат.затр!g4363</f>
        <v>#NAME?</v>
      </c>
      <c r="D536" s="472" t="n">
        <f aca="false">тарифик!J537</f>
        <v>2610.44176706827</v>
      </c>
      <c r="E536" s="472"/>
      <c r="F536" s="473" t="n">
        <f aca="false">D536*0.9*0.095+D536*3%</f>
        <v>301.506024096386</v>
      </c>
      <c r="G536" s="472" t="n">
        <f aca="false">амортизация!M1421</f>
        <v>8.19142309980663</v>
      </c>
      <c r="H536" s="473" t="e">
        <f aca="false">C536+D536+F536+G536</f>
        <v>#NAME?</v>
      </c>
      <c r="I536" s="462" t="n">
        <f aca="false">I$190</f>
        <v>0.240474587202079</v>
      </c>
      <c r="J536" s="473" t="n">
        <f aca="false">D536*I536</f>
        <v>627.744906350809</v>
      </c>
      <c r="K536" s="473" t="e">
        <f aca="false">H536+J536</f>
        <v>#NAME?</v>
      </c>
      <c r="L536" s="462" t="n">
        <v>0.2</v>
      </c>
      <c r="M536" s="473" t="e">
        <f aca="false">K536*L536</f>
        <v>#NAME?</v>
      </c>
      <c r="N536" s="473" t="e">
        <f aca="false">K536+M536</f>
        <v>#NAME?</v>
      </c>
      <c r="O536" s="473" t="e">
        <f aca="false">M536</f>
        <v>#NAME?</v>
      </c>
    </row>
    <row r="537" s="461" customFormat="true" ht="15" hidden="false" customHeight="false" outlineLevel="0" collapsed="false">
      <c r="A537" s="327" t="s">
        <v>897</v>
      </c>
      <c r="B537" s="433" t="s">
        <v>3243</v>
      </c>
      <c r="C537" s="472" t="e">
        <f aca="false">мат.затр!g4371</f>
        <v>#NAME?</v>
      </c>
      <c r="D537" s="472" t="n">
        <f aca="false">тарифик!J538</f>
        <v>3497.32262382865</v>
      </c>
      <c r="E537" s="472"/>
      <c r="F537" s="473" t="n">
        <f aca="false">D537*0.9*0.095+D537*3%</f>
        <v>403.940763052209</v>
      </c>
      <c r="G537" s="472" t="n">
        <f aca="false">амортизация!M1422</f>
        <v>0.843001636174327</v>
      </c>
      <c r="H537" s="473" t="e">
        <f aca="false">C537+D537+F537+G537</f>
        <v>#NAME?</v>
      </c>
      <c r="I537" s="462" t="n">
        <f aca="false">I$190</f>
        <v>0.240474587202079</v>
      </c>
      <c r="J537" s="473" t="n">
        <f aca="false">D537*I537</f>
        <v>841.017214277686</v>
      </c>
      <c r="K537" s="473" t="e">
        <f aca="false">H537+J537</f>
        <v>#NAME?</v>
      </c>
      <c r="L537" s="462" t="n">
        <v>0.2</v>
      </c>
      <c r="M537" s="473" t="e">
        <f aca="false">K537*L537</f>
        <v>#NAME?</v>
      </c>
      <c r="N537" s="473" t="e">
        <f aca="false">K537+M537</f>
        <v>#NAME?</v>
      </c>
      <c r="O537" s="473" t="e">
        <f aca="false">M537</f>
        <v>#NAME?</v>
      </c>
    </row>
    <row r="538" s="461" customFormat="true" ht="15" hidden="false" customHeight="false" outlineLevel="0" collapsed="false">
      <c r="A538" s="327" t="s">
        <v>899</v>
      </c>
      <c r="B538" s="433" t="s">
        <v>3244</v>
      </c>
      <c r="C538" s="472" t="e">
        <f aca="false">мат.затр!g4377</f>
        <v>#NAME?</v>
      </c>
      <c r="D538" s="472" t="n">
        <f aca="false">тарифик!J539</f>
        <v>1740.29451137885</v>
      </c>
      <c r="E538" s="472"/>
      <c r="F538" s="473" t="n">
        <f aca="false">D538*0.9*0.095+D538*3%</f>
        <v>201.004016064257</v>
      </c>
      <c r="G538" s="472" t="n">
        <f aca="false">амортизация!M1423</f>
        <v>0.843001636174327</v>
      </c>
      <c r="H538" s="473" t="e">
        <f aca="false">C538+D538+F538+G538</f>
        <v>#NAME?</v>
      </c>
      <c r="I538" s="462" t="n">
        <f aca="false">I$190</f>
        <v>0.240474587202079</v>
      </c>
      <c r="J538" s="473" t="n">
        <f aca="false">D538*I538</f>
        <v>418.496604233872</v>
      </c>
      <c r="K538" s="473" t="e">
        <f aca="false">H538+J538</f>
        <v>#NAME?</v>
      </c>
      <c r="L538" s="462" t="n">
        <v>0.2</v>
      </c>
      <c r="M538" s="473" t="e">
        <f aca="false">K538*L538</f>
        <v>#NAME?</v>
      </c>
      <c r="N538" s="473" t="e">
        <f aca="false">K538+M538</f>
        <v>#NAME?</v>
      </c>
      <c r="O538" s="473" t="e">
        <f aca="false">M538</f>
        <v>#NAME?</v>
      </c>
    </row>
    <row r="539" s="461" customFormat="true" ht="15" hidden="false" customHeight="false" outlineLevel="0" collapsed="false">
      <c r="A539" s="327" t="s">
        <v>901</v>
      </c>
      <c r="B539" s="433" t="s">
        <v>3245</v>
      </c>
      <c r="C539" s="472" t="e">
        <f aca="false">мат.затр!g4387</f>
        <v>#NAME?</v>
      </c>
      <c r="D539" s="472" t="n">
        <f aca="false">тарифик!J540</f>
        <v>903.614457831325</v>
      </c>
      <c r="E539" s="472"/>
      <c r="F539" s="473" t="n">
        <f aca="false">D539*0.9*0.095+D539*3%</f>
        <v>104.367469879518</v>
      </c>
      <c r="G539" s="472" t="n">
        <f aca="false">амортизация!M1424</f>
        <v>0.8567649281935</v>
      </c>
      <c r="H539" s="473" t="e">
        <f aca="false">C539+D539+F539+G539</f>
        <v>#NAME?</v>
      </c>
      <c r="I539" s="462" t="n">
        <f aca="false">I$190</f>
        <v>0.240474587202079</v>
      </c>
      <c r="J539" s="473" t="n">
        <f aca="false">D539*I539</f>
        <v>217.296313736818</v>
      </c>
      <c r="K539" s="473" t="e">
        <f aca="false">H539+J539</f>
        <v>#NAME?</v>
      </c>
      <c r="L539" s="462" t="n">
        <v>0.2</v>
      </c>
      <c r="M539" s="473" t="e">
        <f aca="false">K539*L539</f>
        <v>#NAME?</v>
      </c>
      <c r="N539" s="473" t="e">
        <f aca="false">K539+M539</f>
        <v>#NAME?</v>
      </c>
      <c r="O539" s="473" t="e">
        <f aca="false">M539</f>
        <v>#NAME?</v>
      </c>
    </row>
    <row r="540" s="461" customFormat="true" ht="15" hidden="false" customHeight="false" outlineLevel="0" collapsed="false">
      <c r="A540" s="327" t="s">
        <v>902</v>
      </c>
      <c r="B540" s="433" t="s">
        <v>903</v>
      </c>
      <c r="C540" s="472" t="e">
        <f aca="false">мат.затр!g4398</f>
        <v>#NAME?</v>
      </c>
      <c r="D540" s="472" t="n">
        <f aca="false">тарифик!J541</f>
        <v>1015.17179830433</v>
      </c>
      <c r="E540" s="472"/>
      <c r="F540" s="473" t="n">
        <f aca="false">D540*0.9*0.095+D540*3%</f>
        <v>117.25234270415</v>
      </c>
      <c r="G540" s="472" t="n">
        <f aca="false">амортизация!M1429</f>
        <v>778.469712182062</v>
      </c>
      <c r="H540" s="473" t="e">
        <f aca="false">C540+D540+F540+G540</f>
        <v>#NAME?</v>
      </c>
      <c r="I540" s="462" t="n">
        <f aca="false">I$190</f>
        <v>0.240474587202079</v>
      </c>
      <c r="J540" s="473" t="n">
        <f aca="false">D540*I540</f>
        <v>244.123019136426</v>
      </c>
      <c r="K540" s="473" t="e">
        <f aca="false">H540+J540</f>
        <v>#NAME?</v>
      </c>
      <c r="L540" s="462" t="n">
        <v>0.2</v>
      </c>
      <c r="M540" s="473" t="e">
        <f aca="false">K540*L540</f>
        <v>#NAME?</v>
      </c>
      <c r="N540" s="473" t="e">
        <f aca="false">K540+M540</f>
        <v>#NAME?</v>
      </c>
      <c r="O540" s="473" t="e">
        <f aca="false">M540</f>
        <v>#NAME?</v>
      </c>
    </row>
    <row r="541" s="461" customFormat="true" ht="15.75" hidden="false" customHeight="true" outlineLevel="0" collapsed="false">
      <c r="A541" s="327" t="s">
        <v>904</v>
      </c>
      <c r="B541" s="433" t="s">
        <v>905</v>
      </c>
      <c r="C541" s="472" t="e">
        <f aca="false">мат.затр!g4406</f>
        <v>#NAME?</v>
      </c>
      <c r="D541" s="472" t="n">
        <f aca="false">тарифик!J542</f>
        <v>1054.21686746988</v>
      </c>
      <c r="E541" s="472"/>
      <c r="F541" s="473" t="n">
        <f aca="false">D541*0.9*0.095+D541*3%</f>
        <v>121.762048192771</v>
      </c>
      <c r="G541" s="472" t="n">
        <f aca="false">амортизация!M1432</f>
        <v>768.551506953741</v>
      </c>
      <c r="H541" s="473" t="e">
        <f aca="false">C541+D541+F541+G541</f>
        <v>#NAME?</v>
      </c>
      <c r="I541" s="462" t="n">
        <f aca="false">I$190</f>
        <v>0.240474587202079</v>
      </c>
      <c r="J541" s="473" t="n">
        <f aca="false">D541*I541</f>
        <v>253.512366026288</v>
      </c>
      <c r="K541" s="473" t="e">
        <f aca="false">H541+J541</f>
        <v>#NAME?</v>
      </c>
      <c r="L541" s="462" t="n">
        <v>0.2</v>
      </c>
      <c r="M541" s="473" t="e">
        <f aca="false">K541*L541</f>
        <v>#NAME?</v>
      </c>
      <c r="N541" s="473" t="e">
        <f aca="false">K541+M541</f>
        <v>#NAME?</v>
      </c>
      <c r="O541" s="473" t="e">
        <f aca="false">M541</f>
        <v>#NAME?</v>
      </c>
    </row>
    <row r="542" s="461" customFormat="true" ht="15" hidden="false" customHeight="false" outlineLevel="0" collapsed="false">
      <c r="A542" s="327" t="s">
        <v>906</v>
      </c>
      <c r="B542" s="433" t="s">
        <v>3246</v>
      </c>
      <c r="C542" s="472" t="e">
        <f aca="false">мат.затр!g4417</f>
        <v>#NAME?</v>
      </c>
      <c r="D542" s="472" t="n">
        <f aca="false">тарифик!J543</f>
        <v>761.378848728246</v>
      </c>
      <c r="E542" s="472"/>
      <c r="F542" s="473" t="n">
        <f aca="false">D542*0.9*0.095+D542*3%</f>
        <v>87.9392570281125</v>
      </c>
      <c r="G542" s="472" t="n">
        <f aca="false">амортизация!M1437</f>
        <v>1557.78075264019</v>
      </c>
      <c r="H542" s="473" t="e">
        <f aca="false">C542+D542+F542+G542</f>
        <v>#NAME?</v>
      </c>
      <c r="I542" s="462" t="n">
        <f aca="false">I$190</f>
        <v>0.240474587202079</v>
      </c>
      <c r="J542" s="473" t="n">
        <f aca="false">D542*I542</f>
        <v>183.092264352319</v>
      </c>
      <c r="K542" s="473" t="e">
        <f aca="false">H542+J542</f>
        <v>#NAME?</v>
      </c>
      <c r="L542" s="462" t="n">
        <v>0.2</v>
      </c>
      <c r="M542" s="473" t="e">
        <f aca="false">K542*L542</f>
        <v>#NAME?</v>
      </c>
      <c r="N542" s="473" t="e">
        <f aca="false">K542+M542</f>
        <v>#NAME?</v>
      </c>
      <c r="O542" s="473" t="e">
        <f aca="false">M542</f>
        <v>#NAME?</v>
      </c>
    </row>
    <row r="543" s="461" customFormat="true" ht="15" hidden="false" customHeight="false" outlineLevel="0" collapsed="false">
      <c r="A543" s="327" t="s">
        <v>908</v>
      </c>
      <c r="B543" s="433" t="s">
        <v>909</v>
      </c>
      <c r="C543" s="472" t="e">
        <f aca="false">мат.затр!g4425</f>
        <v>#NAME?</v>
      </c>
      <c r="D543" s="472" t="n">
        <f aca="false">тарифик!J544</f>
        <v>1137.88487282463</v>
      </c>
      <c r="E543" s="472"/>
      <c r="F543" s="473" t="n">
        <f aca="false">D543*0.9*0.095+D543*3%</f>
        <v>131.425702811245</v>
      </c>
      <c r="G543" s="472" t="n">
        <f aca="false">амортизация!M1442</f>
        <v>2073.40863453815</v>
      </c>
      <c r="H543" s="473" t="e">
        <f aca="false">C543+D543+F543+G543</f>
        <v>#NAME?</v>
      </c>
      <c r="I543" s="462" t="n">
        <f aca="false">I$190</f>
        <v>0.240474587202079</v>
      </c>
      <c r="J543" s="473" t="n">
        <f aca="false">D543*I543</f>
        <v>273.632395075994</v>
      </c>
      <c r="K543" s="473" t="e">
        <f aca="false">H543+J543</f>
        <v>#NAME?</v>
      </c>
      <c r="L543" s="462" t="n">
        <v>0.2</v>
      </c>
      <c r="M543" s="473" t="e">
        <f aca="false">K543*L543</f>
        <v>#NAME?</v>
      </c>
      <c r="N543" s="473" t="e">
        <f aca="false">K543+M543</f>
        <v>#NAME?</v>
      </c>
      <c r="O543" s="473" t="e">
        <f aca="false">M543</f>
        <v>#NAME?</v>
      </c>
    </row>
    <row r="544" s="461" customFormat="true" ht="15" hidden="false" customHeight="false" outlineLevel="0" collapsed="false">
      <c r="A544" s="327" t="s">
        <v>910</v>
      </c>
      <c r="B544" s="433" t="s">
        <v>911</v>
      </c>
      <c r="C544" s="472" t="e">
        <f aca="false">мат.затр!g4432</f>
        <v>#NAME?</v>
      </c>
      <c r="D544" s="472" t="n">
        <f aca="false">тарифик!J545</f>
        <v>468.540829986613</v>
      </c>
      <c r="E544" s="472"/>
      <c r="F544" s="473" t="n">
        <f aca="false">D544*0.9*0.095+D544*3%</f>
        <v>54.1164658634538</v>
      </c>
      <c r="G544" s="472" t="n">
        <f aca="false">амортизация!M1447</f>
        <v>2075.93261936635</v>
      </c>
      <c r="H544" s="473" t="e">
        <f aca="false">C544+D544+F544+G544</f>
        <v>#NAME?</v>
      </c>
      <c r="I544" s="462" t="n">
        <f aca="false">I$190</f>
        <v>0.240474587202079</v>
      </c>
      <c r="J544" s="473" t="n">
        <f aca="false">D544*I544</f>
        <v>112.67216267835</v>
      </c>
      <c r="K544" s="473" t="e">
        <f aca="false">H544+J544</f>
        <v>#NAME?</v>
      </c>
      <c r="L544" s="462" t="n">
        <v>0.2</v>
      </c>
      <c r="M544" s="473" t="e">
        <f aca="false">K544*L544</f>
        <v>#NAME?</v>
      </c>
      <c r="N544" s="473" t="e">
        <f aca="false">K544+M544</f>
        <v>#NAME?</v>
      </c>
      <c r="O544" s="473" t="e">
        <f aca="false">M544</f>
        <v>#NAME?</v>
      </c>
    </row>
    <row r="545" s="461" customFormat="true" ht="15" hidden="false" customHeight="false" outlineLevel="0" collapsed="false">
      <c r="A545" s="327" t="s">
        <v>912</v>
      </c>
      <c r="B545" s="433" t="s">
        <v>3247</v>
      </c>
      <c r="C545" s="472" t="e">
        <f aca="false">мат.затр!g4443</f>
        <v>#NAME?</v>
      </c>
      <c r="D545" s="472" t="n">
        <f aca="false">тарифик!J546</f>
        <v>669.344042838019</v>
      </c>
      <c r="E545" s="472"/>
      <c r="F545" s="473" t="n">
        <f aca="false">D545*0.9*0.095+D545*3%</f>
        <v>77.3092369477912</v>
      </c>
      <c r="G545" s="472" t="n">
        <f aca="false">амортизация!M1452</f>
        <v>1042.15287074223</v>
      </c>
      <c r="H545" s="473" t="e">
        <f aca="false">C545+D545+F545+G545</f>
        <v>#NAME?</v>
      </c>
      <c r="I545" s="462" t="n">
        <f aca="false">I$190</f>
        <v>0.240474587202079</v>
      </c>
      <c r="J545" s="473" t="n">
        <f aca="false">D545*I545</f>
        <v>160.960232397643</v>
      </c>
      <c r="K545" s="473" t="e">
        <f aca="false">H545+J545</f>
        <v>#NAME?</v>
      </c>
      <c r="L545" s="462" t="n">
        <v>0.2</v>
      </c>
      <c r="M545" s="473" t="e">
        <f aca="false">K545*L545</f>
        <v>#NAME?</v>
      </c>
      <c r="N545" s="473" t="e">
        <f aca="false">K545+M545</f>
        <v>#NAME?</v>
      </c>
      <c r="O545" s="473" t="e">
        <f aca="false">M545</f>
        <v>#NAME?</v>
      </c>
    </row>
    <row r="546" s="461" customFormat="true" ht="15" hidden="false" customHeight="false" outlineLevel="0" collapsed="false">
      <c r="A546" s="350" t="s">
        <v>914</v>
      </c>
      <c r="B546" s="467" t="s">
        <v>3248</v>
      </c>
      <c r="C546" s="468"/>
      <c r="D546" s="468"/>
      <c r="E546" s="472"/>
      <c r="F546" s="490"/>
      <c r="G546" s="468"/>
      <c r="H546" s="490"/>
      <c r="I546" s="491"/>
      <c r="J546" s="490"/>
      <c r="K546" s="490"/>
      <c r="L546" s="491"/>
      <c r="M546" s="490"/>
      <c r="N546" s="490"/>
      <c r="O546" s="490"/>
    </row>
    <row r="547" s="461" customFormat="true" ht="30" hidden="false" customHeight="false" outlineLevel="0" collapsed="false">
      <c r="A547" s="327" t="s">
        <v>916</v>
      </c>
      <c r="B547" s="433" t="s">
        <v>3249</v>
      </c>
      <c r="C547" s="472" t="e">
        <f aca="false">мат.затр!g4448</f>
        <v>#NAME?</v>
      </c>
      <c r="D547" s="472" t="n">
        <f aca="false">тарифик!J548</f>
        <v>468.540829986613</v>
      </c>
      <c r="E547" s="472"/>
      <c r="F547" s="473" t="n">
        <f aca="false">D547*0.9*0.095+D547*3%</f>
        <v>54.1164658634538</v>
      </c>
      <c r="G547" s="472" t="n">
        <f aca="false">амортизация!M1454</f>
        <v>2.18466458426298</v>
      </c>
      <c r="H547" s="473" t="e">
        <f aca="false">C547+D547+F547+G547</f>
        <v>#NAME?</v>
      </c>
      <c r="I547" s="462" t="n">
        <f aca="false">I$190</f>
        <v>0.240474587202079</v>
      </c>
      <c r="J547" s="473" t="n">
        <f aca="false">D547*I547</f>
        <v>112.67216267835</v>
      </c>
      <c r="K547" s="473" t="e">
        <f aca="false">H547+J547</f>
        <v>#NAME?</v>
      </c>
      <c r="L547" s="462" t="n">
        <v>0.2</v>
      </c>
      <c r="M547" s="473" t="e">
        <f aca="false">K547*L547</f>
        <v>#NAME?</v>
      </c>
      <c r="N547" s="473" t="e">
        <f aca="false">K547+M547</f>
        <v>#NAME?</v>
      </c>
      <c r="O547" s="473" t="e">
        <f aca="false">M547</f>
        <v>#NAME?</v>
      </c>
    </row>
    <row r="548" s="461" customFormat="true" ht="15" hidden="false" customHeight="false" outlineLevel="0" collapsed="false">
      <c r="A548" s="327" t="s">
        <v>918</v>
      </c>
      <c r="B548" s="492" t="s">
        <v>3250</v>
      </c>
      <c r="C548" s="472" t="e">
        <f aca="false">мат.затр!g4452</f>
        <v>#NAME?</v>
      </c>
      <c r="D548" s="472" t="n">
        <f aca="false">тарифик!J549</f>
        <v>401.606425702811</v>
      </c>
      <c r="E548" s="472"/>
      <c r="F548" s="473" t="n">
        <f aca="false">D548*0.9*0.095+D548*3%</f>
        <v>46.3855421686747</v>
      </c>
      <c r="G548" s="472" t="n">
        <f aca="false">амортизация!M1456</f>
        <v>1.74921909861669</v>
      </c>
      <c r="H548" s="473" t="e">
        <f aca="false">C548+D548+F548+G548</f>
        <v>#NAME?</v>
      </c>
      <c r="I548" s="462" t="n">
        <f aca="false">I$190</f>
        <v>0.240474587202079</v>
      </c>
      <c r="J548" s="473" t="n">
        <f aca="false">D548*I548</f>
        <v>96.5761394385859</v>
      </c>
      <c r="K548" s="473" t="e">
        <f aca="false">H548+J548</f>
        <v>#NAME?</v>
      </c>
      <c r="L548" s="462" t="n">
        <v>0.2</v>
      </c>
      <c r="M548" s="473" t="e">
        <f aca="false">K548*L548</f>
        <v>#NAME?</v>
      </c>
      <c r="N548" s="473" t="e">
        <f aca="false">K548+M548</f>
        <v>#NAME?</v>
      </c>
      <c r="O548" s="473" t="e">
        <f aca="false">M548</f>
        <v>#NAME?</v>
      </c>
    </row>
    <row r="549" s="461" customFormat="true" ht="15" hidden="false" customHeight="false" outlineLevel="0" collapsed="false">
      <c r="A549" s="327" t="s">
        <v>920</v>
      </c>
      <c r="B549" s="433" t="s">
        <v>3238</v>
      </c>
      <c r="C549" s="472" t="e">
        <f aca="false">мат.затр!g4458</f>
        <v>#NAME?</v>
      </c>
      <c r="D549" s="472" t="n">
        <f aca="false">тарифик!J550</f>
        <v>1196.45247657296</v>
      </c>
      <c r="E549" s="472"/>
      <c r="F549" s="473" t="n">
        <f aca="false">D549*0.9*0.095+D549*3%</f>
        <v>138.190261044177</v>
      </c>
      <c r="G549" s="472" t="n">
        <f aca="false">амортизация!M1459</f>
        <v>8.58633608508107</v>
      </c>
      <c r="H549" s="473" t="e">
        <f aca="false">C549+D549+F549+G549</f>
        <v>#NAME?</v>
      </c>
      <c r="I549" s="462" t="n">
        <f aca="false">I$190</f>
        <v>0.240474587202079</v>
      </c>
      <c r="J549" s="473" t="n">
        <f aca="false">D549*I549</f>
        <v>287.716415410787</v>
      </c>
      <c r="K549" s="473" t="e">
        <f aca="false">H549+J549</f>
        <v>#NAME?</v>
      </c>
      <c r="L549" s="462" t="n">
        <v>0.2</v>
      </c>
      <c r="M549" s="473" t="e">
        <f aca="false">K549*L549</f>
        <v>#NAME?</v>
      </c>
      <c r="N549" s="473" t="e">
        <f aca="false">K549+M549</f>
        <v>#NAME?</v>
      </c>
      <c r="O549" s="473" t="e">
        <f aca="false">M549</f>
        <v>#NAME?</v>
      </c>
    </row>
    <row r="550" s="461" customFormat="true" ht="30" hidden="false" customHeight="false" outlineLevel="0" collapsed="false">
      <c r="A550" s="327" t="s">
        <v>921</v>
      </c>
      <c r="B550" s="488" t="s">
        <v>3251</v>
      </c>
      <c r="C550" s="472" t="e">
        <f aca="false">мат.затр!g4463</f>
        <v>#NAME?</v>
      </c>
      <c r="D550" s="472" t="n">
        <f aca="false">тарифик!J551</f>
        <v>870.147255689424</v>
      </c>
      <c r="E550" s="472"/>
      <c r="F550" s="473" t="n">
        <f aca="false">D550*0.9*0.095+D550*3%</f>
        <v>100.502008032129</v>
      </c>
      <c r="G550" s="472" t="n">
        <f aca="false">амортизация!M1464</f>
        <v>15.1938308790718</v>
      </c>
      <c r="H550" s="473" t="e">
        <f aca="false">C550+D550+F550+G550</f>
        <v>#NAME?</v>
      </c>
      <c r="I550" s="462" t="n">
        <f aca="false">I$190</f>
        <v>0.240474587202079</v>
      </c>
      <c r="J550" s="473" t="n">
        <f aca="false">D550*I550</f>
        <v>209.248302116936</v>
      </c>
      <c r="K550" s="473" t="e">
        <f aca="false">H550+J550</f>
        <v>#NAME?</v>
      </c>
      <c r="L550" s="462" t="n">
        <v>0.2</v>
      </c>
      <c r="M550" s="473" t="e">
        <f aca="false">K550*L550</f>
        <v>#NAME?</v>
      </c>
      <c r="N550" s="473" t="e">
        <f aca="false">K550+M550</f>
        <v>#NAME?</v>
      </c>
      <c r="O550" s="473" t="e">
        <f aca="false">M550</f>
        <v>#NAME?</v>
      </c>
    </row>
    <row r="551" s="461" customFormat="true" ht="15" hidden="false" customHeight="false" outlineLevel="0" collapsed="false">
      <c r="A551" s="327" t="s">
        <v>923</v>
      </c>
      <c r="B551" s="433" t="s">
        <v>3252</v>
      </c>
      <c r="C551" s="472" t="e">
        <f aca="false">мат.затр!g4476</f>
        <v>#NAME?</v>
      </c>
      <c r="D551" s="472" t="n">
        <f aca="false">тарифик!J552</f>
        <v>1004.01606425703</v>
      </c>
      <c r="E551" s="472"/>
      <c r="F551" s="473" t="n">
        <f aca="false">D551*0.9*0.095+D551*3%</f>
        <v>115.963855421687</v>
      </c>
      <c r="G551" s="472" t="n">
        <f aca="false">амортизация!M1469</f>
        <v>17.1849434776142</v>
      </c>
      <c r="H551" s="473" t="e">
        <f aca="false">C551+D551+F551+G551</f>
        <v>#NAME?</v>
      </c>
      <c r="I551" s="462" t="n">
        <f aca="false">I$190</f>
        <v>0.240474587202079</v>
      </c>
      <c r="J551" s="473" t="n">
        <f aca="false">D551*I551</f>
        <v>241.440348596465</v>
      </c>
      <c r="K551" s="473" t="e">
        <f aca="false">H551+J551</f>
        <v>#NAME?</v>
      </c>
      <c r="L551" s="462" t="n">
        <v>0.2</v>
      </c>
      <c r="M551" s="473" t="e">
        <f aca="false">K551*L551</f>
        <v>#NAME?</v>
      </c>
      <c r="N551" s="473" t="e">
        <f aca="false">K551+M551</f>
        <v>#NAME?</v>
      </c>
      <c r="O551" s="473" t="e">
        <f aca="false">M551</f>
        <v>#NAME?</v>
      </c>
    </row>
    <row r="552" s="461" customFormat="true" ht="15" hidden="false" customHeight="false" outlineLevel="0" collapsed="false">
      <c r="A552" s="327" t="s">
        <v>925</v>
      </c>
      <c r="B552" s="433" t="s">
        <v>3253</v>
      </c>
      <c r="C552" s="472" t="e">
        <f aca="false">мат.затр!g4487</f>
        <v>#NAME?</v>
      </c>
      <c r="D552" s="472" t="n">
        <f aca="false">тарифик!J553</f>
        <v>602.409638554217</v>
      </c>
      <c r="E552" s="472"/>
      <c r="F552" s="473" t="n">
        <f aca="false">D552*0.9*0.095+D552*3%</f>
        <v>69.578313253012</v>
      </c>
      <c r="G552" s="472" t="n">
        <f aca="false">амортизация!M1473</f>
        <v>9.8071452476573</v>
      </c>
      <c r="H552" s="473" t="e">
        <f aca="false">C552+D552+F552+G552</f>
        <v>#NAME?</v>
      </c>
      <c r="I552" s="462" t="n">
        <f aca="false">I$190</f>
        <v>0.240474587202079</v>
      </c>
      <c r="J552" s="473" t="n">
        <f aca="false">D552*I552</f>
        <v>144.864209157879</v>
      </c>
      <c r="K552" s="473" t="e">
        <f aca="false">H552+J552</f>
        <v>#NAME?</v>
      </c>
      <c r="L552" s="462" t="n">
        <v>0.2</v>
      </c>
      <c r="M552" s="473" t="e">
        <f aca="false">K552*L552</f>
        <v>#NAME?</v>
      </c>
      <c r="N552" s="473" t="e">
        <f aca="false">K552+M552</f>
        <v>#NAME?</v>
      </c>
      <c r="O552" s="473" t="e">
        <f aca="false">M552</f>
        <v>#NAME?</v>
      </c>
    </row>
    <row r="553" s="461" customFormat="true" ht="15" hidden="false" customHeight="false" outlineLevel="0" collapsed="false">
      <c r="A553" s="327" t="s">
        <v>927</v>
      </c>
      <c r="B553" s="433" t="s">
        <v>3254</v>
      </c>
      <c r="C553" s="472" t="e">
        <f aca="false">мат.затр!g4496</f>
        <v>#NAME?</v>
      </c>
      <c r="D553" s="472" t="n">
        <f aca="false">тарифик!J554</f>
        <v>1631.52610441767</v>
      </c>
      <c r="E553" s="472"/>
      <c r="F553" s="473" t="n">
        <f aca="false">D553*0.9*0.095+D553*3%</f>
        <v>188.441265060241</v>
      </c>
      <c r="G553" s="472" t="n">
        <f aca="false">амортизация!M1478</f>
        <v>17.1849434776142</v>
      </c>
      <c r="H553" s="473" t="e">
        <f aca="false">C553+D553+F553+G553</f>
        <v>#NAME?</v>
      </c>
      <c r="I553" s="462" t="n">
        <f aca="false">I$190</f>
        <v>0.240474587202079</v>
      </c>
      <c r="J553" s="473" t="n">
        <f aca="false">D553*I553</f>
        <v>392.340566469255</v>
      </c>
      <c r="K553" s="473" t="e">
        <f aca="false">H553+J553</f>
        <v>#NAME?</v>
      </c>
      <c r="L553" s="462" t="n">
        <v>0.2</v>
      </c>
      <c r="M553" s="473" t="e">
        <f aca="false">K553*L553</f>
        <v>#NAME?</v>
      </c>
      <c r="N553" s="473" t="e">
        <f aca="false">K553+M553</f>
        <v>#NAME?</v>
      </c>
      <c r="O553" s="473" t="e">
        <f aca="false">M553</f>
        <v>#NAME?</v>
      </c>
    </row>
    <row r="554" s="461" customFormat="true" ht="30" hidden="false" customHeight="false" outlineLevel="0" collapsed="false">
      <c r="A554" s="327" t="s">
        <v>928</v>
      </c>
      <c r="B554" s="433" t="s">
        <v>3255</v>
      </c>
      <c r="C554" s="472" t="e">
        <f aca="false">мат.затр!g4507</f>
        <v>#NAME?</v>
      </c>
      <c r="D554" s="472" t="n">
        <f aca="false">тарифик!J555</f>
        <v>1204.81927710843</v>
      </c>
      <c r="E554" s="472"/>
      <c r="F554" s="473" t="n">
        <f aca="false">D554*0.9*0.095+D554*3%</f>
        <v>139.156626506024</v>
      </c>
      <c r="G554" s="472" t="n">
        <f aca="false">амортизация!M1483</f>
        <v>61.4517328573554</v>
      </c>
      <c r="H554" s="473" t="e">
        <f aca="false">C554+D554+F554+G554</f>
        <v>#NAME?</v>
      </c>
      <c r="I554" s="462" t="n">
        <f aca="false">I$190</f>
        <v>0.240474587202079</v>
      </c>
      <c r="J554" s="473" t="n">
        <f aca="false">D554*I554</f>
        <v>289.728418315758</v>
      </c>
      <c r="K554" s="473" t="e">
        <f aca="false">H554+J554</f>
        <v>#NAME?</v>
      </c>
      <c r="L554" s="462" t="n">
        <v>0.2</v>
      </c>
      <c r="M554" s="473" t="e">
        <f aca="false">K554*L554</f>
        <v>#NAME?</v>
      </c>
      <c r="N554" s="473" t="e">
        <f aca="false">K554+M554</f>
        <v>#NAME?</v>
      </c>
      <c r="O554" s="473" t="e">
        <f aca="false">M554</f>
        <v>#NAME?</v>
      </c>
    </row>
    <row r="555" s="461" customFormat="true" ht="15" hidden="false" customHeight="false" outlineLevel="0" collapsed="false">
      <c r="A555" s="327" t="s">
        <v>930</v>
      </c>
      <c r="B555" s="433" t="s">
        <v>3256</v>
      </c>
      <c r="C555" s="472" t="e">
        <f aca="false">мат.затр!g4514</f>
        <v>#NAME?</v>
      </c>
      <c r="D555" s="472" t="n">
        <f aca="false">тарифик!J556</f>
        <v>1405.62248995984</v>
      </c>
      <c r="E555" s="472"/>
      <c r="F555" s="473" t="n">
        <f aca="false">D555*0.9*0.095+D555*3%</f>
        <v>162.349397590361</v>
      </c>
      <c r="G555" s="472" t="n">
        <f aca="false">амортизация!M1488</f>
        <v>17.1849434776142</v>
      </c>
      <c r="H555" s="473" t="e">
        <f aca="false">C555+D555+F555+G555</f>
        <v>#NAME?</v>
      </c>
      <c r="I555" s="462" t="n">
        <f aca="false">I$190</f>
        <v>0.240474587202079</v>
      </c>
      <c r="J555" s="473" t="n">
        <f aca="false">D555*I555</f>
        <v>338.016488035051</v>
      </c>
      <c r="K555" s="473" t="e">
        <f aca="false">H555+J555</f>
        <v>#NAME?</v>
      </c>
      <c r="L555" s="462" t="n">
        <v>0.2</v>
      </c>
      <c r="M555" s="473" t="e">
        <f aca="false">K555*L555</f>
        <v>#NAME?</v>
      </c>
      <c r="N555" s="473" t="e">
        <f aca="false">K555+M555</f>
        <v>#NAME?</v>
      </c>
      <c r="O555" s="473" t="e">
        <f aca="false">M555</f>
        <v>#NAME?</v>
      </c>
    </row>
    <row r="556" s="461" customFormat="true" ht="15" hidden="false" customHeight="false" outlineLevel="0" collapsed="false">
      <c r="A556" s="327" t="s">
        <v>931</v>
      </c>
      <c r="B556" s="433" t="s">
        <v>3257</v>
      </c>
      <c r="C556" s="472" t="e">
        <f aca="false">мат.затр!g4525</f>
        <v>#NAME?</v>
      </c>
      <c r="D556" s="472" t="n">
        <f aca="false">тарифик!J557</f>
        <v>1413.98929049531</v>
      </c>
      <c r="E556" s="472"/>
      <c r="F556" s="473" t="n">
        <f aca="false">D556*0.9*0.095+D556*3%</f>
        <v>163.315763052209</v>
      </c>
      <c r="G556" s="472" t="n">
        <f aca="false">амортизация!M1493</f>
        <v>17.1849434776142</v>
      </c>
      <c r="H556" s="473" t="e">
        <f aca="false">C556+D556+F556+G556</f>
        <v>#NAME?</v>
      </c>
      <c r="I556" s="462" t="n">
        <f aca="false">I$190</f>
        <v>0.240474587202079</v>
      </c>
      <c r="J556" s="473" t="n">
        <f aca="false">D556*I556</f>
        <v>340.028490940021</v>
      </c>
      <c r="K556" s="473" t="e">
        <f aca="false">H556+J556</f>
        <v>#NAME?</v>
      </c>
      <c r="L556" s="462" t="n">
        <v>0.2</v>
      </c>
      <c r="M556" s="473" t="e">
        <f aca="false">K556*L556</f>
        <v>#NAME?</v>
      </c>
      <c r="N556" s="473" t="e">
        <f aca="false">K556+M556</f>
        <v>#NAME?</v>
      </c>
      <c r="O556" s="473" t="e">
        <f aca="false">M556</f>
        <v>#NAME?</v>
      </c>
    </row>
    <row r="557" s="461" customFormat="true" ht="15" hidden="false" customHeight="false" outlineLevel="0" collapsed="false">
      <c r="A557" s="327" t="s">
        <v>933</v>
      </c>
      <c r="B557" s="433" t="s">
        <v>3258</v>
      </c>
      <c r="C557" s="472" t="e">
        <f aca="false">мат.затр!g4537</f>
        <v>#NAME?</v>
      </c>
      <c r="D557" s="472" t="n">
        <f aca="false">тарифик!J558</f>
        <v>401.606425702811</v>
      </c>
      <c r="E557" s="472"/>
      <c r="F557" s="473" t="n">
        <f aca="false">D557*0.9*0.095+D557*3%</f>
        <v>46.3855421686747</v>
      </c>
      <c r="G557" s="472" t="n">
        <f aca="false">амортизация!M1498</f>
        <v>39.3183381674848</v>
      </c>
      <c r="H557" s="473" t="e">
        <f aca="false">C557+D557+F557+G557</f>
        <v>#NAME?</v>
      </c>
      <c r="I557" s="462" t="n">
        <f aca="false">I$190</f>
        <v>0.240474587202079</v>
      </c>
      <c r="J557" s="473" t="n">
        <f aca="false">D557*I557</f>
        <v>96.5761394385859</v>
      </c>
      <c r="K557" s="473" t="e">
        <f aca="false">H557+J557</f>
        <v>#NAME?</v>
      </c>
      <c r="L557" s="462" t="n">
        <v>0.2</v>
      </c>
      <c r="M557" s="473" t="e">
        <f aca="false">K557*L557</f>
        <v>#NAME?</v>
      </c>
      <c r="N557" s="473" t="e">
        <f aca="false">K557+M557</f>
        <v>#NAME?</v>
      </c>
      <c r="O557" s="473" t="e">
        <f aca="false">M557</f>
        <v>#NAME?</v>
      </c>
    </row>
    <row r="558" s="461" customFormat="true" ht="15" hidden="false" customHeight="false" outlineLevel="0" collapsed="false">
      <c r="A558" s="327" t="s">
        <v>935</v>
      </c>
      <c r="B558" s="433" t="s">
        <v>3259</v>
      </c>
      <c r="C558" s="472" t="e">
        <f aca="false">мат.затр!g4546</f>
        <v>#NAME?</v>
      </c>
      <c r="D558" s="472" t="n">
        <f aca="false">тарифик!J559</f>
        <v>1196.45247657296</v>
      </c>
      <c r="E558" s="472"/>
      <c r="F558" s="473" t="n">
        <f aca="false">D558*0.9*0.095+D558*3%</f>
        <v>138.190261044177</v>
      </c>
      <c r="G558" s="472" t="n">
        <f aca="false">амортизация!M1503</f>
        <v>39.3183381674848</v>
      </c>
      <c r="H558" s="473" t="e">
        <f aca="false">C558+D558+F558+G558</f>
        <v>#NAME?</v>
      </c>
      <c r="I558" s="462" t="n">
        <f aca="false">I$190</f>
        <v>0.240474587202079</v>
      </c>
      <c r="J558" s="473" t="n">
        <f aca="false">D558*I558</f>
        <v>287.716415410787</v>
      </c>
      <c r="K558" s="473" t="e">
        <f aca="false">H558+J558</f>
        <v>#NAME?</v>
      </c>
      <c r="L558" s="462" t="n">
        <v>0.2</v>
      </c>
      <c r="M558" s="473" t="e">
        <f aca="false">K558*L558</f>
        <v>#NAME?</v>
      </c>
      <c r="N558" s="473" t="e">
        <f aca="false">K558+M558</f>
        <v>#NAME?</v>
      </c>
      <c r="O558" s="473" t="e">
        <f aca="false">M558</f>
        <v>#NAME?</v>
      </c>
    </row>
    <row r="559" s="461" customFormat="true" ht="15" hidden="false" customHeight="false" outlineLevel="0" collapsed="false">
      <c r="A559" s="327" t="s">
        <v>937</v>
      </c>
      <c r="B559" s="433" t="s">
        <v>3260</v>
      </c>
      <c r="C559" s="472" t="e">
        <f aca="false">мат.затр!g4556</f>
        <v>#NAME?</v>
      </c>
      <c r="D559" s="472" t="n">
        <f aca="false">тарифик!J560</f>
        <v>1740.29451137885</v>
      </c>
      <c r="E559" s="472"/>
      <c r="F559" s="473" t="n">
        <f aca="false">D559*0.9*0.095+D559*3%</f>
        <v>201.004016064257</v>
      </c>
      <c r="G559" s="472" t="n">
        <f aca="false">амортизация!M1508</f>
        <v>17.1849434776142</v>
      </c>
      <c r="H559" s="473" t="e">
        <f aca="false">C559+D559+F559+G559</f>
        <v>#NAME?</v>
      </c>
      <c r="I559" s="462" t="n">
        <f aca="false">I$190</f>
        <v>0.240474587202079</v>
      </c>
      <c r="J559" s="473" t="n">
        <f aca="false">D559*I559</f>
        <v>418.496604233872</v>
      </c>
      <c r="K559" s="473" t="e">
        <f aca="false">H559+J559</f>
        <v>#NAME?</v>
      </c>
      <c r="L559" s="462" t="n">
        <v>0.2</v>
      </c>
      <c r="M559" s="473" t="e">
        <f aca="false">K559*L559</f>
        <v>#NAME?</v>
      </c>
      <c r="N559" s="473" t="e">
        <f aca="false">K559+M559</f>
        <v>#NAME?</v>
      </c>
      <c r="O559" s="473" t="e">
        <f aca="false">M559</f>
        <v>#NAME?</v>
      </c>
    </row>
    <row r="560" s="461" customFormat="true" ht="15" hidden="false" customHeight="false" outlineLevel="0" collapsed="false">
      <c r="A560" s="327" t="s">
        <v>939</v>
      </c>
      <c r="B560" s="433" t="s">
        <v>3261</v>
      </c>
      <c r="C560" s="472" t="e">
        <f aca="false">мат.затр!g4565</f>
        <v>#NAME?</v>
      </c>
      <c r="D560" s="472" t="n">
        <f aca="false">тарифик!J561</f>
        <v>1631.52610441767</v>
      </c>
      <c r="E560" s="472"/>
      <c r="F560" s="473" t="n">
        <f aca="false">D560*0.9*0.095+D560*3%</f>
        <v>188.441265060241</v>
      </c>
      <c r="G560" s="472" t="n">
        <f aca="false">амортизация!M1513</f>
        <v>17.1849434776142</v>
      </c>
      <c r="H560" s="473" t="e">
        <f aca="false">C560+D560+F560+G560</f>
        <v>#NAME?</v>
      </c>
      <c r="I560" s="462" t="n">
        <f aca="false">I$190</f>
        <v>0.240474587202079</v>
      </c>
      <c r="J560" s="473" t="n">
        <f aca="false">D560*I560</f>
        <v>392.340566469255</v>
      </c>
      <c r="K560" s="473" t="e">
        <f aca="false">H560+J560</f>
        <v>#NAME?</v>
      </c>
      <c r="L560" s="462" t="n">
        <v>0.2</v>
      </c>
      <c r="M560" s="473" t="e">
        <f aca="false">K560*L560</f>
        <v>#NAME?</v>
      </c>
      <c r="N560" s="473" t="e">
        <f aca="false">K560+M560</f>
        <v>#NAME?</v>
      </c>
      <c r="O560" s="473" t="e">
        <f aca="false">M560</f>
        <v>#NAME?</v>
      </c>
    </row>
    <row r="561" s="461" customFormat="true" ht="15" hidden="false" customHeight="false" outlineLevel="0" collapsed="false">
      <c r="A561" s="327" t="s">
        <v>940</v>
      </c>
      <c r="B561" s="433" t="s">
        <v>3262</v>
      </c>
      <c r="C561" s="472" t="e">
        <f aca="false">мат.затр!g4575</f>
        <v>#NAME?</v>
      </c>
      <c r="D561" s="472" t="n">
        <f aca="false">тарифик!J562</f>
        <v>652.610441767068</v>
      </c>
      <c r="E561" s="472"/>
      <c r="F561" s="473" t="n">
        <f aca="false">D561*0.9*0.095+D561*3%</f>
        <v>75.3765060240964</v>
      </c>
      <c r="G561" s="472" t="n">
        <f aca="false">амортизация!M1518</f>
        <v>39.3183381674848</v>
      </c>
      <c r="H561" s="473" t="e">
        <f aca="false">C561+D561+F561+G561</f>
        <v>#NAME?</v>
      </c>
      <c r="I561" s="462" t="n">
        <f aca="false">I$190</f>
        <v>0.240474587202079</v>
      </c>
      <c r="J561" s="473" t="n">
        <f aca="false">D561*I561</f>
        <v>156.936226587702</v>
      </c>
      <c r="K561" s="473" t="e">
        <f aca="false">H561+J561</f>
        <v>#NAME?</v>
      </c>
      <c r="L561" s="462" t="n">
        <v>0.2</v>
      </c>
      <c r="M561" s="473" t="e">
        <f aca="false">K561*L561</f>
        <v>#NAME?</v>
      </c>
      <c r="N561" s="473" t="e">
        <f aca="false">K561+M561</f>
        <v>#NAME?</v>
      </c>
      <c r="O561" s="473" t="e">
        <f aca="false">M561</f>
        <v>#NAME?</v>
      </c>
    </row>
    <row r="562" s="461" customFormat="true" ht="15" hidden="false" customHeight="false" outlineLevel="0" collapsed="false">
      <c r="A562" s="327" t="s">
        <v>942</v>
      </c>
      <c r="B562" s="433" t="s">
        <v>3263</v>
      </c>
      <c r="C562" s="472" t="e">
        <f aca="false">мат.затр!g4584</f>
        <v>#NAME?</v>
      </c>
      <c r="D562" s="472" t="n">
        <f aca="false">тарифик!J563</f>
        <v>1740.29451137885</v>
      </c>
      <c r="E562" s="472"/>
      <c r="F562" s="473" t="n">
        <f aca="false">D562*0.9*0.095+D562*3%</f>
        <v>201.004016064257</v>
      </c>
      <c r="G562" s="472" t="n">
        <f aca="false">амортизация!M1522</f>
        <v>9.8071452476573</v>
      </c>
      <c r="H562" s="473" t="e">
        <f aca="false">C562+D562+F562+G562</f>
        <v>#NAME?</v>
      </c>
      <c r="I562" s="462" t="n">
        <f aca="false">I$190</f>
        <v>0.240474587202079</v>
      </c>
      <c r="J562" s="473" t="n">
        <f aca="false">D562*I562</f>
        <v>418.496604233872</v>
      </c>
      <c r="K562" s="473" t="e">
        <f aca="false">H562+J562</f>
        <v>#NAME?</v>
      </c>
      <c r="L562" s="462" t="n">
        <v>0.2</v>
      </c>
      <c r="M562" s="473" t="e">
        <f aca="false">K562*L562</f>
        <v>#NAME?</v>
      </c>
      <c r="N562" s="473" t="e">
        <f aca="false">K562+M562</f>
        <v>#NAME?</v>
      </c>
      <c r="O562" s="473" t="e">
        <f aca="false">M562</f>
        <v>#NAME?</v>
      </c>
    </row>
    <row r="563" s="461" customFormat="true" ht="30" hidden="false" customHeight="false" outlineLevel="0" collapsed="false">
      <c r="A563" s="327" t="s">
        <v>944</v>
      </c>
      <c r="B563" s="433" t="s">
        <v>3264</v>
      </c>
      <c r="C563" s="472" t="e">
        <f aca="false">мат.затр!g4590</f>
        <v>#NAME?</v>
      </c>
      <c r="D563" s="472" t="n">
        <f aca="false">тарифик!J564</f>
        <v>1413.98929049531</v>
      </c>
      <c r="E563" s="472"/>
      <c r="F563" s="473" t="n">
        <f aca="false">D563*0.9*0.095+D563*3%</f>
        <v>163.315763052209</v>
      </c>
      <c r="G563" s="472" t="n">
        <f aca="false">амортизация!M1527</f>
        <v>17.1849434776142</v>
      </c>
      <c r="H563" s="473" t="e">
        <f aca="false">C563+D563+F563+G563</f>
        <v>#NAME?</v>
      </c>
      <c r="I563" s="462" t="n">
        <f aca="false">I$190</f>
        <v>0.240474587202079</v>
      </c>
      <c r="J563" s="473" t="n">
        <f aca="false">D563*I563</f>
        <v>340.028490940021</v>
      </c>
      <c r="K563" s="473" t="e">
        <f aca="false">H563+J563</f>
        <v>#NAME?</v>
      </c>
      <c r="L563" s="462" t="n">
        <v>0.2</v>
      </c>
      <c r="M563" s="473" t="e">
        <f aca="false">K563*L563</f>
        <v>#NAME?</v>
      </c>
      <c r="N563" s="473" t="e">
        <f aca="false">K563+M563</f>
        <v>#NAME?</v>
      </c>
      <c r="O563" s="473" t="e">
        <f aca="false">M563</f>
        <v>#NAME?</v>
      </c>
    </row>
    <row r="564" s="461" customFormat="true" ht="15" hidden="false" customHeight="false" outlineLevel="0" collapsed="false">
      <c r="A564" s="327" t="s">
        <v>946</v>
      </c>
      <c r="B564" s="433" t="s">
        <v>3265</v>
      </c>
      <c r="C564" s="472" t="e">
        <f aca="false">мат.затр!g4602</f>
        <v>#NAME?</v>
      </c>
      <c r="D564" s="472" t="n">
        <f aca="false">тарифик!J565</f>
        <v>1196.45247657296</v>
      </c>
      <c r="E564" s="472"/>
      <c r="F564" s="473" t="n">
        <f aca="false">D564*0.9*0.095+D564*3%</f>
        <v>138.190261044177</v>
      </c>
      <c r="G564" s="472" t="n">
        <f aca="false">амортизация!M1532</f>
        <v>17.1849434776142</v>
      </c>
      <c r="H564" s="473" t="e">
        <f aca="false">C564+D564+F564+G564</f>
        <v>#NAME?</v>
      </c>
      <c r="I564" s="462" t="n">
        <f aca="false">I$190</f>
        <v>0.240474587202079</v>
      </c>
      <c r="J564" s="473" t="n">
        <f aca="false">D564*I564</f>
        <v>287.716415410787</v>
      </c>
      <c r="K564" s="473" t="e">
        <f aca="false">H564+J564</f>
        <v>#NAME?</v>
      </c>
      <c r="L564" s="462" t="n">
        <v>0.2</v>
      </c>
      <c r="M564" s="473" t="e">
        <f aca="false">K564*L564</f>
        <v>#NAME?</v>
      </c>
      <c r="N564" s="473" t="e">
        <f aca="false">K564+M564</f>
        <v>#NAME?</v>
      </c>
      <c r="O564" s="473" t="e">
        <f aca="false">M564</f>
        <v>#NAME?</v>
      </c>
    </row>
    <row r="565" s="461" customFormat="true" ht="15" hidden="false" customHeight="false" outlineLevel="0" collapsed="false">
      <c r="A565" s="327" t="s">
        <v>948</v>
      </c>
      <c r="B565" s="433" t="s">
        <v>3266</v>
      </c>
      <c r="C565" s="472" t="e">
        <f aca="false">мат.затр!g4608</f>
        <v>#NAME?</v>
      </c>
      <c r="D565" s="472" t="n">
        <f aca="false">тарифик!J566</f>
        <v>1413.98929049531</v>
      </c>
      <c r="E565" s="472"/>
      <c r="F565" s="473" t="n">
        <f aca="false">D565*0.9*0.095+D565*3%</f>
        <v>163.315763052209</v>
      </c>
      <c r="G565" s="472" t="n">
        <f aca="false">амортизация!M1537</f>
        <v>17.1849434776142</v>
      </c>
      <c r="H565" s="473" t="e">
        <f aca="false">C565+D565+F565+G565</f>
        <v>#NAME?</v>
      </c>
      <c r="I565" s="462" t="n">
        <f aca="false">I$190</f>
        <v>0.240474587202079</v>
      </c>
      <c r="J565" s="473" t="n">
        <f aca="false">D565*I565</f>
        <v>340.028490940021</v>
      </c>
      <c r="K565" s="473" t="e">
        <f aca="false">H565+J565</f>
        <v>#NAME?</v>
      </c>
      <c r="L565" s="462" t="n">
        <v>0.2</v>
      </c>
      <c r="M565" s="473" t="e">
        <f aca="false">K565*L565</f>
        <v>#NAME?</v>
      </c>
      <c r="N565" s="473" t="e">
        <f aca="false">K565+M565</f>
        <v>#NAME?</v>
      </c>
      <c r="O565" s="473" t="e">
        <f aca="false">M565</f>
        <v>#NAME?</v>
      </c>
    </row>
    <row r="566" s="461" customFormat="true" ht="15" hidden="false" customHeight="false" outlineLevel="0" collapsed="false">
      <c r="A566" s="327" t="s">
        <v>950</v>
      </c>
      <c r="B566" s="433" t="s">
        <v>3267</v>
      </c>
      <c r="C566" s="472" t="e">
        <f aca="false">мат.затр!g4618</f>
        <v>#NAME?</v>
      </c>
      <c r="D566" s="472" t="n">
        <f aca="false">тарифик!J567</f>
        <v>1305.22088353414</v>
      </c>
      <c r="E566" s="472"/>
      <c r="F566" s="473" t="n">
        <f aca="false">D566*0.9*0.095+D566*3%</f>
        <v>150.753012048193</v>
      </c>
      <c r="G566" s="472" t="n">
        <f aca="false">амортизация!M1542</f>
        <v>17.1849434776142</v>
      </c>
      <c r="H566" s="473" t="e">
        <f aca="false">C566+D566+F566+G566</f>
        <v>#NAME?</v>
      </c>
      <c r="I566" s="462" t="n">
        <f aca="false">I$190</f>
        <v>0.240474587202079</v>
      </c>
      <c r="J566" s="473" t="n">
        <f aca="false">D566*I566</f>
        <v>313.872453175404</v>
      </c>
      <c r="K566" s="473" t="e">
        <f aca="false">H566+J566</f>
        <v>#NAME?</v>
      </c>
      <c r="L566" s="462" t="n">
        <v>0.2</v>
      </c>
      <c r="M566" s="473" t="e">
        <f aca="false">K566*L566</f>
        <v>#NAME?</v>
      </c>
      <c r="N566" s="473" t="e">
        <f aca="false">K566+M566</f>
        <v>#NAME?</v>
      </c>
      <c r="O566" s="473" t="e">
        <f aca="false">M566</f>
        <v>#NAME?</v>
      </c>
    </row>
    <row r="567" s="461" customFormat="true" ht="15" hidden="false" customHeight="false" outlineLevel="0" collapsed="false">
      <c r="A567" s="327" t="s">
        <v>952</v>
      </c>
      <c r="B567" s="433" t="s">
        <v>3268</v>
      </c>
      <c r="C567" s="472" t="e">
        <f aca="false">мат.затр!g4627</f>
        <v>#NAME?</v>
      </c>
      <c r="D567" s="472" t="n">
        <f aca="false">тарифик!J568</f>
        <v>1305.22088353414</v>
      </c>
      <c r="E567" s="472"/>
      <c r="F567" s="473" t="n">
        <f aca="false">D567*0.9*0.095+D567*3%</f>
        <v>150.753012048193</v>
      </c>
      <c r="G567" s="472" t="n">
        <f aca="false">амортизация!M1547</f>
        <v>17.1849434776142</v>
      </c>
      <c r="H567" s="473" t="e">
        <f aca="false">C567+D567+F567+G567</f>
        <v>#NAME?</v>
      </c>
      <c r="I567" s="462" t="n">
        <f aca="false">I$190</f>
        <v>0.240474587202079</v>
      </c>
      <c r="J567" s="473" t="n">
        <f aca="false">D567*I567</f>
        <v>313.872453175404</v>
      </c>
      <c r="K567" s="473" t="e">
        <f aca="false">H567+J567</f>
        <v>#NAME?</v>
      </c>
      <c r="L567" s="462" t="n">
        <v>0.2</v>
      </c>
      <c r="M567" s="473" t="e">
        <f aca="false">K567*L567</f>
        <v>#NAME?</v>
      </c>
      <c r="N567" s="473" t="e">
        <f aca="false">K567+M567</f>
        <v>#NAME?</v>
      </c>
      <c r="O567" s="473" t="e">
        <f aca="false">M567</f>
        <v>#NAME?</v>
      </c>
    </row>
    <row r="568" s="461" customFormat="true" ht="15" hidden="false" customHeight="false" outlineLevel="0" collapsed="false">
      <c r="A568" s="327" t="s">
        <v>954</v>
      </c>
      <c r="B568" s="433" t="s">
        <v>3269</v>
      </c>
      <c r="C568" s="472" t="e">
        <f aca="false">мат.затр!g4636</f>
        <v>#NAME?</v>
      </c>
      <c r="D568" s="472" t="n">
        <f aca="false">тарифик!J569</f>
        <v>652.610441767068</v>
      </c>
      <c r="E568" s="472"/>
      <c r="F568" s="473" t="n">
        <f aca="false">D568*0.9*0.095+D568*3%</f>
        <v>75.3765060240964</v>
      </c>
      <c r="G568" s="472" t="n">
        <f aca="false">амортизация!M1552</f>
        <v>17.1849434776142</v>
      </c>
      <c r="H568" s="473" t="e">
        <f aca="false">C568+D568+F568+G568</f>
        <v>#NAME?</v>
      </c>
      <c r="I568" s="462" t="n">
        <f aca="false">I$190</f>
        <v>0.240474587202079</v>
      </c>
      <c r="J568" s="473" t="n">
        <f aca="false">D568*I568</f>
        <v>156.936226587702</v>
      </c>
      <c r="K568" s="473" t="e">
        <f aca="false">H568+J568</f>
        <v>#NAME?</v>
      </c>
      <c r="L568" s="462" t="n">
        <v>0.2</v>
      </c>
      <c r="M568" s="473" t="e">
        <f aca="false">K568*L568</f>
        <v>#NAME?</v>
      </c>
      <c r="N568" s="473" t="e">
        <f aca="false">K568+M568</f>
        <v>#NAME?</v>
      </c>
      <c r="O568" s="473" t="e">
        <f aca="false">M568</f>
        <v>#NAME?</v>
      </c>
    </row>
    <row r="569" s="461" customFormat="true" ht="15" hidden="false" customHeight="false" outlineLevel="0" collapsed="false">
      <c r="A569" s="327" t="s">
        <v>955</v>
      </c>
      <c r="B569" s="433" t="s">
        <v>3270</v>
      </c>
      <c r="C569" s="472" t="e">
        <f aca="false">мат.затр!g4647</f>
        <v>#NAME?</v>
      </c>
      <c r="D569" s="472" t="n">
        <f aca="false">тарифик!J570</f>
        <v>1413.98929049531</v>
      </c>
      <c r="E569" s="472"/>
      <c r="F569" s="473" t="n">
        <f aca="false">D569*0.9*0.095+D569*3%</f>
        <v>163.315763052209</v>
      </c>
      <c r="G569" s="472" t="n">
        <f aca="false">амортизация!M1557</f>
        <v>17.1849434776142</v>
      </c>
      <c r="H569" s="473" t="e">
        <f aca="false">C569+D569+F569+G569</f>
        <v>#NAME?</v>
      </c>
      <c r="I569" s="462" t="n">
        <f aca="false">I$190</f>
        <v>0.240474587202079</v>
      </c>
      <c r="J569" s="473" t="n">
        <f aca="false">D569*I569</f>
        <v>340.028490940021</v>
      </c>
      <c r="K569" s="473" t="e">
        <f aca="false">H569+J569</f>
        <v>#NAME?</v>
      </c>
      <c r="L569" s="462" t="n">
        <v>0.2</v>
      </c>
      <c r="M569" s="473" t="e">
        <f aca="false">K569*L569</f>
        <v>#NAME?</v>
      </c>
      <c r="N569" s="473" t="e">
        <f aca="false">K569+M569</f>
        <v>#NAME?</v>
      </c>
      <c r="O569" s="473" t="e">
        <f aca="false">M569</f>
        <v>#NAME?</v>
      </c>
    </row>
    <row r="570" s="461" customFormat="true" ht="15" hidden="false" customHeight="false" outlineLevel="0" collapsed="false">
      <c r="A570" s="327" t="s">
        <v>957</v>
      </c>
      <c r="B570" s="433" t="s">
        <v>3271</v>
      </c>
      <c r="C570" s="472" t="e">
        <f aca="false">мат.затр!g4655</f>
        <v>#NAME?</v>
      </c>
      <c r="D570" s="472" t="n">
        <f aca="false">тарифик!J571</f>
        <v>1196.45247657296</v>
      </c>
      <c r="E570" s="472"/>
      <c r="F570" s="473" t="n">
        <f aca="false">D570*0.9*0.095+D570*3%</f>
        <v>138.190261044177</v>
      </c>
      <c r="G570" s="472" t="n">
        <f aca="false">амортизация!M1562</f>
        <v>17.1849434776142</v>
      </c>
      <c r="H570" s="473" t="e">
        <f aca="false">C570+D570+F570+G570</f>
        <v>#NAME?</v>
      </c>
      <c r="I570" s="462" t="n">
        <f aca="false">I$190</f>
        <v>0.240474587202079</v>
      </c>
      <c r="J570" s="473" t="n">
        <f aca="false">D570*I570</f>
        <v>287.716415410787</v>
      </c>
      <c r="K570" s="473" t="e">
        <f aca="false">H570+J570</f>
        <v>#NAME?</v>
      </c>
      <c r="L570" s="462" t="n">
        <v>0.2</v>
      </c>
      <c r="M570" s="473" t="e">
        <f aca="false">K570*L570</f>
        <v>#NAME?</v>
      </c>
      <c r="N570" s="473" t="e">
        <f aca="false">K570+M570</f>
        <v>#NAME?</v>
      </c>
      <c r="O570" s="473" t="e">
        <f aca="false">M570</f>
        <v>#NAME?</v>
      </c>
    </row>
    <row r="571" s="461" customFormat="true" ht="15" hidden="false" customHeight="false" outlineLevel="0" collapsed="false">
      <c r="A571" s="327" t="s">
        <v>959</v>
      </c>
      <c r="B571" s="433" t="s">
        <v>3272</v>
      </c>
      <c r="C571" s="472" t="e">
        <f aca="false">мат.затр!g4664</f>
        <v>#NAME?</v>
      </c>
      <c r="D571" s="472" t="n">
        <f aca="false">тарифик!J572</f>
        <v>1631.52610441767</v>
      </c>
      <c r="E571" s="472"/>
      <c r="F571" s="473" t="n">
        <f aca="false">D571*0.9*0.095+D571*3%</f>
        <v>188.441265060241</v>
      </c>
      <c r="G571" s="472" t="n">
        <f aca="false">амортизация!M1567</f>
        <v>17.1849434776142</v>
      </c>
      <c r="H571" s="473" t="e">
        <f aca="false">C571+D571+F571+G571</f>
        <v>#NAME?</v>
      </c>
      <c r="I571" s="462" t="n">
        <f aca="false">I$190</f>
        <v>0.240474587202079</v>
      </c>
      <c r="J571" s="473" t="n">
        <f aca="false">D571*I571</f>
        <v>392.340566469255</v>
      </c>
      <c r="K571" s="473" t="e">
        <f aca="false">H571+J571</f>
        <v>#NAME?</v>
      </c>
      <c r="L571" s="462" t="n">
        <v>0.2</v>
      </c>
      <c r="M571" s="473" t="e">
        <f aca="false">K571*L571</f>
        <v>#NAME?</v>
      </c>
      <c r="N571" s="473" t="e">
        <f aca="false">K571+M571</f>
        <v>#NAME?</v>
      </c>
      <c r="O571" s="473" t="e">
        <f aca="false">M571</f>
        <v>#NAME?</v>
      </c>
    </row>
    <row r="572" s="461" customFormat="true" ht="15" hidden="false" customHeight="false" outlineLevel="0" collapsed="false">
      <c r="A572" s="327" t="s">
        <v>961</v>
      </c>
      <c r="B572" s="493" t="s">
        <v>3273</v>
      </c>
      <c r="C572" s="472" t="e">
        <f aca="false">мат.затр!g4670</f>
        <v>#NAME?</v>
      </c>
      <c r="D572" s="472" t="n">
        <f aca="false">тарифик!J573</f>
        <v>1413.98929049531</v>
      </c>
      <c r="E572" s="472"/>
      <c r="F572" s="473" t="n">
        <f aca="false">D572*0.9*0.095+D572*3%</f>
        <v>163.315763052209</v>
      </c>
      <c r="G572" s="472" t="n">
        <f aca="false">амортизация!M1572</f>
        <v>17.1849434776142</v>
      </c>
      <c r="H572" s="473" t="e">
        <f aca="false">C572+D572+F572+G572</f>
        <v>#NAME?</v>
      </c>
      <c r="I572" s="462" t="n">
        <f aca="false">I$190</f>
        <v>0.240474587202079</v>
      </c>
      <c r="J572" s="473" t="n">
        <f aca="false">D572*I572</f>
        <v>340.028490940021</v>
      </c>
      <c r="K572" s="473" t="e">
        <f aca="false">H572+J572</f>
        <v>#NAME?</v>
      </c>
      <c r="L572" s="462" t="n">
        <v>0.2</v>
      </c>
      <c r="M572" s="473" t="e">
        <f aca="false">K572*L572</f>
        <v>#NAME?</v>
      </c>
      <c r="N572" s="473" t="e">
        <f aca="false">K572+M572</f>
        <v>#NAME?</v>
      </c>
      <c r="O572" s="473" t="e">
        <f aca="false">M572</f>
        <v>#NAME?</v>
      </c>
    </row>
    <row r="573" s="461" customFormat="true" ht="15" hidden="false" customHeight="false" outlineLevel="0" collapsed="false">
      <c r="A573" s="327" t="s">
        <v>963</v>
      </c>
      <c r="B573" s="493" t="s">
        <v>3274</v>
      </c>
      <c r="C573" s="472" t="e">
        <f aca="false">мат.затр!g4676</f>
        <v>#NAME?</v>
      </c>
      <c r="D573" s="472" t="n">
        <f aca="false">тарифик!J574</f>
        <v>652.610441767068</v>
      </c>
      <c r="E573" s="472"/>
      <c r="F573" s="473" t="n">
        <f aca="false">D573*0.9*0.095+D573*3%</f>
        <v>75.3765060240964</v>
      </c>
      <c r="G573" s="472" t="n">
        <f aca="false">амортизация!M1577</f>
        <v>17.1849434776142</v>
      </c>
      <c r="H573" s="473" t="e">
        <f aca="false">C573+D573+F573+G573</f>
        <v>#NAME?</v>
      </c>
      <c r="I573" s="462" t="n">
        <f aca="false">I$190</f>
        <v>0.240474587202079</v>
      </c>
      <c r="J573" s="473" t="n">
        <f aca="false">D573*I573</f>
        <v>156.936226587702</v>
      </c>
      <c r="K573" s="473" t="e">
        <f aca="false">H573+J573</f>
        <v>#NAME?</v>
      </c>
      <c r="L573" s="462" t="n">
        <v>0.2</v>
      </c>
      <c r="M573" s="473" t="e">
        <f aca="false">K573*L573</f>
        <v>#NAME?</v>
      </c>
      <c r="N573" s="473" t="e">
        <f aca="false">K573+M573</f>
        <v>#NAME?</v>
      </c>
      <c r="O573" s="473" t="e">
        <f aca="false">M573</f>
        <v>#NAME?</v>
      </c>
    </row>
    <row r="574" s="461" customFormat="true" ht="15" hidden="false" customHeight="false" outlineLevel="0" collapsed="false">
      <c r="A574" s="327" t="s">
        <v>965</v>
      </c>
      <c r="B574" s="493" t="s">
        <v>3275</v>
      </c>
      <c r="C574" s="472" t="e">
        <f aca="false">мат.затр!g4685</f>
        <v>#NAME?</v>
      </c>
      <c r="D574" s="472" t="n">
        <f aca="false">тарифик!J575</f>
        <v>1631.52610441767</v>
      </c>
      <c r="E574" s="472"/>
      <c r="F574" s="473" t="n">
        <f aca="false">D574*0.9*0.095+D574*3%</f>
        <v>188.441265060241</v>
      </c>
      <c r="G574" s="472" t="n">
        <f aca="false">амортизация!M1582</f>
        <v>17.1849434776142</v>
      </c>
      <c r="H574" s="473" t="e">
        <f aca="false">C574+D574+F574+G574</f>
        <v>#NAME?</v>
      </c>
      <c r="I574" s="462" t="n">
        <f aca="false">I$190</f>
        <v>0.240474587202079</v>
      </c>
      <c r="J574" s="473" t="n">
        <f aca="false">D574*I574</f>
        <v>392.340566469255</v>
      </c>
      <c r="K574" s="473" t="e">
        <f aca="false">H574+J574</f>
        <v>#NAME?</v>
      </c>
      <c r="L574" s="462" t="n">
        <v>0.2</v>
      </c>
      <c r="M574" s="473" t="e">
        <f aca="false">K574*L574</f>
        <v>#NAME?</v>
      </c>
      <c r="N574" s="473" t="e">
        <f aca="false">K574+M574</f>
        <v>#NAME?</v>
      </c>
      <c r="O574" s="473" t="e">
        <f aca="false">M574</f>
        <v>#NAME?</v>
      </c>
    </row>
    <row r="575" s="461" customFormat="true" ht="15" hidden="false" customHeight="false" outlineLevel="0" collapsed="false">
      <c r="A575" s="327" t="s">
        <v>967</v>
      </c>
      <c r="B575" s="493" t="s">
        <v>3276</v>
      </c>
      <c r="C575" s="472" t="e">
        <f aca="false">мат.затр!g4694</f>
        <v>#NAME?</v>
      </c>
      <c r="D575" s="472" t="n">
        <f aca="false">тарифик!J576</f>
        <v>1413.98929049531</v>
      </c>
      <c r="E575" s="472"/>
      <c r="F575" s="473" t="n">
        <f aca="false">D575*0.9*0.095+D575*3%</f>
        <v>163.315763052209</v>
      </c>
      <c r="G575" s="472" t="n">
        <f aca="false">амортизация!M1587</f>
        <v>17.1849434776142</v>
      </c>
      <c r="H575" s="473" t="e">
        <f aca="false">C575+D575+F575+G575</f>
        <v>#NAME?</v>
      </c>
      <c r="I575" s="462" t="n">
        <f aca="false">I$190</f>
        <v>0.240474587202079</v>
      </c>
      <c r="J575" s="473" t="n">
        <f aca="false">D575*I575</f>
        <v>340.028490940021</v>
      </c>
      <c r="K575" s="473" t="e">
        <f aca="false">H575+J575</f>
        <v>#NAME?</v>
      </c>
      <c r="L575" s="462" t="n">
        <v>0.2</v>
      </c>
      <c r="M575" s="473" t="e">
        <f aca="false">K575*L575</f>
        <v>#NAME?</v>
      </c>
      <c r="N575" s="473" t="e">
        <f aca="false">K575+M575</f>
        <v>#NAME?</v>
      </c>
      <c r="O575" s="473" t="e">
        <f aca="false">M575</f>
        <v>#NAME?</v>
      </c>
    </row>
    <row r="576" s="461" customFormat="true" ht="15" hidden="false" customHeight="false" outlineLevel="0" collapsed="false">
      <c r="A576" s="327" t="s">
        <v>969</v>
      </c>
      <c r="B576" s="493" t="s">
        <v>3277</v>
      </c>
      <c r="C576" s="472" t="e">
        <f aca="false">мат.затр!g4700</f>
        <v>#NAME?</v>
      </c>
      <c r="D576" s="472" t="n">
        <f aca="false">тарифик!J577</f>
        <v>1196.45247657296</v>
      </c>
      <c r="E576" s="472"/>
      <c r="F576" s="473" t="n">
        <f aca="false">D576*0.9*0.095+D576*3%</f>
        <v>138.190261044177</v>
      </c>
      <c r="G576" s="472" t="n">
        <f aca="false">амортизация!M1592</f>
        <v>17.1849434776142</v>
      </c>
      <c r="H576" s="473" t="e">
        <f aca="false">C576+D576+F576+G576</f>
        <v>#NAME?</v>
      </c>
      <c r="I576" s="462" t="n">
        <f aca="false">I$190</f>
        <v>0.240474587202079</v>
      </c>
      <c r="J576" s="473" t="n">
        <f aca="false">D576*I576</f>
        <v>287.716415410787</v>
      </c>
      <c r="K576" s="473" t="e">
        <f aca="false">H576+J576</f>
        <v>#NAME?</v>
      </c>
      <c r="L576" s="462" t="n">
        <v>0.2</v>
      </c>
      <c r="M576" s="473" t="e">
        <f aca="false">K576*L576</f>
        <v>#NAME?</v>
      </c>
      <c r="N576" s="473" t="e">
        <f aca="false">K576+M576</f>
        <v>#NAME?</v>
      </c>
      <c r="O576" s="473" t="e">
        <f aca="false">M576</f>
        <v>#NAME?</v>
      </c>
    </row>
    <row r="577" s="461" customFormat="true" ht="15" hidden="false" customHeight="false" outlineLevel="0" collapsed="false">
      <c r="A577" s="327" t="s">
        <v>971</v>
      </c>
      <c r="B577" s="493" t="s">
        <v>3278</v>
      </c>
      <c r="C577" s="472" t="e">
        <f aca="false">мат.затр!g4709</f>
        <v>#NAME?</v>
      </c>
      <c r="D577" s="472" t="n">
        <f aca="false">тарифик!J578</f>
        <v>1196.45247657296</v>
      </c>
      <c r="E577" s="472"/>
      <c r="F577" s="473" t="n">
        <f aca="false">D577*0.9*0.095+D577*3%</f>
        <v>138.190261044177</v>
      </c>
      <c r="G577" s="472" t="n">
        <f aca="false">амортизация!M1607</f>
        <v>17.1849434776142</v>
      </c>
      <c r="H577" s="473" t="e">
        <f aca="false">C577+D577+F577+G577</f>
        <v>#NAME?</v>
      </c>
      <c r="I577" s="462" t="n">
        <f aca="false">I$190</f>
        <v>0.240474587202079</v>
      </c>
      <c r="J577" s="473" t="n">
        <f aca="false">D577*I577</f>
        <v>287.716415410787</v>
      </c>
      <c r="K577" s="473" t="e">
        <f aca="false">H577+J577</f>
        <v>#NAME?</v>
      </c>
      <c r="L577" s="462" t="n">
        <v>0.2</v>
      </c>
      <c r="M577" s="473" t="e">
        <f aca="false">K577*L577</f>
        <v>#NAME?</v>
      </c>
      <c r="N577" s="473" t="e">
        <f aca="false">K577+M577</f>
        <v>#NAME?</v>
      </c>
      <c r="O577" s="473" t="e">
        <f aca="false">M577</f>
        <v>#NAME?</v>
      </c>
    </row>
    <row r="578" s="461" customFormat="true" ht="15" hidden="false" customHeight="false" outlineLevel="0" collapsed="false">
      <c r="A578" s="327" t="s">
        <v>973</v>
      </c>
      <c r="B578" s="493" t="s">
        <v>3279</v>
      </c>
      <c r="C578" s="472" t="e">
        <f aca="false">мат.затр!g4720</f>
        <v>#NAME?</v>
      </c>
      <c r="D578" s="472" t="n">
        <f aca="false">тарифик!J579</f>
        <v>1196.45247657296</v>
      </c>
      <c r="E578" s="472"/>
      <c r="F578" s="473" t="n">
        <f aca="false">D578*0.9*0.095+D578*3%</f>
        <v>138.190261044177</v>
      </c>
      <c r="G578" s="472" t="n">
        <f aca="false">амортизация!M1602</f>
        <v>17.1849434776142</v>
      </c>
      <c r="H578" s="473" t="e">
        <f aca="false">C578+D578+F578+G578</f>
        <v>#NAME?</v>
      </c>
      <c r="I578" s="462" t="n">
        <f aca="false">I$190</f>
        <v>0.240474587202079</v>
      </c>
      <c r="J578" s="473" t="n">
        <f aca="false">D578*I578</f>
        <v>287.716415410787</v>
      </c>
      <c r="K578" s="473" t="e">
        <f aca="false">H578+J578</f>
        <v>#NAME?</v>
      </c>
      <c r="L578" s="462" t="n">
        <v>0.2</v>
      </c>
      <c r="M578" s="473" t="e">
        <f aca="false">K578*L578</f>
        <v>#NAME?</v>
      </c>
      <c r="N578" s="473" t="e">
        <f aca="false">K578+M578</f>
        <v>#NAME?</v>
      </c>
      <c r="O578" s="473" t="e">
        <f aca="false">M578</f>
        <v>#NAME?</v>
      </c>
    </row>
    <row r="579" s="461" customFormat="true" ht="15" hidden="false" customHeight="false" outlineLevel="0" collapsed="false">
      <c r="A579" s="327" t="s">
        <v>975</v>
      </c>
      <c r="B579" s="493" t="s">
        <v>3280</v>
      </c>
      <c r="C579" s="472" t="e">
        <f aca="false">мат.затр!g4726</f>
        <v>#NAME?</v>
      </c>
      <c r="D579" s="472" t="n">
        <f aca="false">тарифик!J580</f>
        <v>1413.98929049531</v>
      </c>
      <c r="E579" s="472"/>
      <c r="F579" s="473" t="n">
        <f aca="false">D579*0.9*0.095+D579*3%</f>
        <v>163.315763052209</v>
      </c>
      <c r="G579" s="472" t="n">
        <f aca="false">амортизация!M1607</f>
        <v>17.1849434776142</v>
      </c>
      <c r="H579" s="473" t="e">
        <f aca="false">C579+D579+F579+G579</f>
        <v>#NAME?</v>
      </c>
      <c r="I579" s="462" t="n">
        <f aca="false">I$190</f>
        <v>0.240474587202079</v>
      </c>
      <c r="J579" s="473" t="n">
        <f aca="false">D579*I579</f>
        <v>340.028490940021</v>
      </c>
      <c r="K579" s="473" t="e">
        <f aca="false">H579+J579</f>
        <v>#NAME?</v>
      </c>
      <c r="L579" s="462" t="n">
        <v>0.2</v>
      </c>
      <c r="M579" s="473" t="e">
        <f aca="false">K579*L579</f>
        <v>#NAME?</v>
      </c>
      <c r="N579" s="473" t="e">
        <f aca="false">K579+M579</f>
        <v>#NAME?</v>
      </c>
      <c r="O579" s="473" t="e">
        <f aca="false">M579</f>
        <v>#NAME?</v>
      </c>
    </row>
    <row r="580" s="461" customFormat="true" ht="30" hidden="false" customHeight="false" outlineLevel="0" collapsed="false">
      <c r="A580" s="327" t="s">
        <v>977</v>
      </c>
      <c r="B580" s="493" t="s">
        <v>3281</v>
      </c>
      <c r="C580" s="472" t="e">
        <f aca="false">мат.затр!g4735</f>
        <v>#NAME?</v>
      </c>
      <c r="D580" s="472" t="n">
        <f aca="false">тарифик!J581</f>
        <v>1631.52610441767</v>
      </c>
      <c r="E580" s="472"/>
      <c r="F580" s="473" t="n">
        <f aca="false">D580*0.9*0.095+D580*3%</f>
        <v>188.441265060241</v>
      </c>
      <c r="G580" s="472" t="n">
        <f aca="false">амортизация!M1612</f>
        <v>17.1849434776142</v>
      </c>
      <c r="H580" s="473" t="e">
        <f aca="false">C580+D580+F580+G580</f>
        <v>#NAME?</v>
      </c>
      <c r="I580" s="462" t="n">
        <f aca="false">I$190</f>
        <v>0.240474587202079</v>
      </c>
      <c r="J580" s="473" t="n">
        <f aca="false">D580*I580</f>
        <v>392.340566469255</v>
      </c>
      <c r="K580" s="473" t="e">
        <f aca="false">H580+J580</f>
        <v>#NAME?</v>
      </c>
      <c r="L580" s="462" t="n">
        <v>0.2</v>
      </c>
      <c r="M580" s="473" t="e">
        <f aca="false">K580*L580</f>
        <v>#NAME?</v>
      </c>
      <c r="N580" s="473" t="e">
        <f aca="false">K580+M580</f>
        <v>#NAME?</v>
      </c>
      <c r="O580" s="473" t="e">
        <f aca="false">M580</f>
        <v>#NAME?</v>
      </c>
    </row>
    <row r="581" s="461" customFormat="true" ht="28.5" hidden="false" customHeight="false" outlineLevel="0" collapsed="false">
      <c r="A581" s="350" t="s">
        <v>979</v>
      </c>
      <c r="B581" s="467" t="s">
        <v>3282</v>
      </c>
      <c r="C581" s="468"/>
      <c r="D581" s="468"/>
      <c r="E581" s="472"/>
      <c r="F581" s="468"/>
      <c r="G581" s="468"/>
      <c r="H581" s="474"/>
      <c r="I581" s="475"/>
      <c r="J581" s="474"/>
      <c r="K581" s="474"/>
      <c r="L581" s="475"/>
      <c r="M581" s="474"/>
      <c r="N581" s="474"/>
      <c r="O581" s="474"/>
    </row>
    <row r="582" s="461" customFormat="true" ht="30" hidden="false" customHeight="false" outlineLevel="0" collapsed="false">
      <c r="A582" s="327" t="s">
        <v>981</v>
      </c>
      <c r="B582" s="433" t="s">
        <v>3249</v>
      </c>
      <c r="C582" s="472" t="e">
        <f aca="false">мат.затр!g4740</f>
        <v>#NAME?</v>
      </c>
      <c r="D582" s="472" t="n">
        <f aca="false">тарифик!J583</f>
        <v>468.540829986613</v>
      </c>
      <c r="E582" s="472"/>
      <c r="F582" s="473" t="n">
        <f aca="false">D582*0.9*0.095+D582*3%</f>
        <v>54.1164658634538</v>
      </c>
      <c r="G582" s="472" t="n">
        <f aca="false">амортизация!M1614</f>
        <v>2.18466458426298</v>
      </c>
      <c r="H582" s="473" t="e">
        <f aca="false">C582+D582+F582+G582</f>
        <v>#NAME?</v>
      </c>
      <c r="I582" s="462" t="n">
        <f aca="false">I$190</f>
        <v>0.240474587202079</v>
      </c>
      <c r="J582" s="473" t="n">
        <f aca="false">D582*I582</f>
        <v>112.67216267835</v>
      </c>
      <c r="K582" s="473" t="e">
        <f aca="false">H582+J582</f>
        <v>#NAME?</v>
      </c>
      <c r="L582" s="462" t="n">
        <v>0.2</v>
      </c>
      <c r="M582" s="473" t="e">
        <f aca="false">K582*L582</f>
        <v>#NAME?</v>
      </c>
      <c r="N582" s="473" t="e">
        <f aca="false">K582+M582</f>
        <v>#NAME?</v>
      </c>
      <c r="O582" s="473" t="e">
        <f aca="false">M582</f>
        <v>#NAME?</v>
      </c>
    </row>
    <row r="583" s="461" customFormat="true" ht="15" hidden="false" customHeight="false" outlineLevel="0" collapsed="false">
      <c r="A583" s="327" t="s">
        <v>982</v>
      </c>
      <c r="B583" s="492" t="s">
        <v>3283</v>
      </c>
      <c r="C583" s="472" t="e">
        <f aca="false">мат.затр!g4744</f>
        <v>#NAME?</v>
      </c>
      <c r="D583" s="472" t="n">
        <f aca="false">тарифик!J584</f>
        <v>401.606425702811</v>
      </c>
      <c r="E583" s="472"/>
      <c r="F583" s="473" t="n">
        <f aca="false">D583*0.9*0.095+D583*3%</f>
        <v>46.3855421686747</v>
      </c>
      <c r="G583" s="472" t="n">
        <f aca="false">амортизация!M1615</f>
        <v>1.74921909861669</v>
      </c>
      <c r="H583" s="473" t="e">
        <f aca="false">C583+D583+F583+G583</f>
        <v>#NAME?</v>
      </c>
      <c r="I583" s="462" t="n">
        <f aca="false">I$190</f>
        <v>0.240474587202079</v>
      </c>
      <c r="J583" s="473" t="n">
        <f aca="false">D583*I583</f>
        <v>96.5761394385859</v>
      </c>
      <c r="K583" s="473" t="e">
        <f aca="false">H583+J583</f>
        <v>#NAME?</v>
      </c>
      <c r="L583" s="462" t="n">
        <v>0.2</v>
      </c>
      <c r="M583" s="473" t="e">
        <f aca="false">K583*L583</f>
        <v>#NAME?</v>
      </c>
      <c r="N583" s="473" t="e">
        <f aca="false">K583+M583</f>
        <v>#NAME?</v>
      </c>
      <c r="O583" s="473" t="e">
        <f aca="false">M583</f>
        <v>#NAME?</v>
      </c>
    </row>
    <row r="584" s="461" customFormat="true" ht="15" hidden="false" customHeight="false" outlineLevel="0" collapsed="false">
      <c r="A584" s="327" t="s">
        <v>983</v>
      </c>
      <c r="B584" s="433" t="s">
        <v>3238</v>
      </c>
      <c r="C584" s="472" t="e">
        <f aca="false">мат.затр!g4749</f>
        <v>#NAME?</v>
      </c>
      <c r="D584" s="472" t="n">
        <f aca="false">тарифик!J585</f>
        <v>1196.45247657296</v>
      </c>
      <c r="E584" s="472"/>
      <c r="F584" s="473" t="n">
        <f aca="false">D584*0.9*0.095+D584*3%</f>
        <v>138.190261044177</v>
      </c>
      <c r="G584" s="472" t="n">
        <f aca="false">амортизация!M1618</f>
        <v>8.58633608508107</v>
      </c>
      <c r="H584" s="473" t="e">
        <f aca="false">C584+D584+F584+G584</f>
        <v>#NAME?</v>
      </c>
      <c r="I584" s="462" t="n">
        <f aca="false">I$190</f>
        <v>0.240474587202079</v>
      </c>
      <c r="J584" s="473" t="n">
        <f aca="false">D584*I584</f>
        <v>287.716415410787</v>
      </c>
      <c r="K584" s="473" t="e">
        <f aca="false">H584+J584</f>
        <v>#NAME?</v>
      </c>
      <c r="L584" s="462" t="n">
        <v>0.2</v>
      </c>
      <c r="M584" s="473" t="e">
        <f aca="false">K584*L584</f>
        <v>#NAME?</v>
      </c>
      <c r="N584" s="473" t="e">
        <f aca="false">K584+M584</f>
        <v>#NAME?</v>
      </c>
      <c r="O584" s="473" t="e">
        <f aca="false">M584</f>
        <v>#NAME?</v>
      </c>
    </row>
    <row r="585" s="461" customFormat="true" ht="30" hidden="false" customHeight="false" outlineLevel="0" collapsed="false">
      <c r="A585" s="327" t="s">
        <v>984</v>
      </c>
      <c r="B585" s="433" t="s">
        <v>3284</v>
      </c>
      <c r="C585" s="472" t="e">
        <f aca="false">мат.затр!g4754</f>
        <v>#NAME?</v>
      </c>
      <c r="D585" s="472" t="n">
        <f aca="false">тарифик!J586</f>
        <v>870.147255689424</v>
      </c>
      <c r="E585" s="472"/>
      <c r="F585" s="473" t="n">
        <f aca="false">D585*0.9*0.095+D585*3%</f>
        <v>100.502008032129</v>
      </c>
      <c r="G585" s="472" t="n">
        <f aca="false">амортизация!M1623</f>
        <v>15.1938308790718</v>
      </c>
      <c r="H585" s="473" t="e">
        <f aca="false">C585+D585+F585+G585</f>
        <v>#NAME?</v>
      </c>
      <c r="I585" s="462" t="n">
        <f aca="false">I$190</f>
        <v>0.240474587202079</v>
      </c>
      <c r="J585" s="473" t="n">
        <f aca="false">D585*I585</f>
        <v>209.248302116936</v>
      </c>
      <c r="K585" s="473" t="e">
        <f aca="false">H585+J585</f>
        <v>#NAME?</v>
      </c>
      <c r="L585" s="462" t="n">
        <v>0.2</v>
      </c>
      <c r="M585" s="473" t="e">
        <f aca="false">K585*L585</f>
        <v>#NAME?</v>
      </c>
      <c r="N585" s="473" t="e">
        <f aca="false">K585+M585</f>
        <v>#NAME?</v>
      </c>
      <c r="O585" s="473" t="e">
        <f aca="false">M585</f>
        <v>#NAME?</v>
      </c>
    </row>
    <row r="586" s="461" customFormat="true" ht="15" hidden="false" customHeight="false" outlineLevel="0" collapsed="false">
      <c r="A586" s="327" t="s">
        <v>986</v>
      </c>
      <c r="B586" s="328" t="s">
        <v>3285</v>
      </c>
      <c r="C586" s="472" t="e">
        <f aca="false">мат.затр!g4762</f>
        <v>#NAME?</v>
      </c>
      <c r="D586" s="472" t="n">
        <f aca="false">тарифик!J587</f>
        <v>1171.35207496653</v>
      </c>
      <c r="E586" s="472"/>
      <c r="F586" s="473" t="n">
        <f aca="false">D586*0.9*0.095+D586*3%</f>
        <v>135.291164658635</v>
      </c>
      <c r="G586" s="472" t="n">
        <f aca="false">амортизация!M1626</f>
        <v>8.58633608508107</v>
      </c>
      <c r="H586" s="473" t="e">
        <f aca="false">C586+D586+F586+G586</f>
        <v>#NAME?</v>
      </c>
      <c r="I586" s="462" t="n">
        <f aca="false">I$190</f>
        <v>0.240474587202079</v>
      </c>
      <c r="J586" s="473" t="n">
        <f aca="false">D586*I586</f>
        <v>281.680406695876</v>
      </c>
      <c r="K586" s="473" t="e">
        <f aca="false">H586+J586</f>
        <v>#NAME?</v>
      </c>
      <c r="L586" s="462" t="n">
        <v>0.2</v>
      </c>
      <c r="M586" s="473" t="e">
        <f aca="false">K586*L586</f>
        <v>#NAME?</v>
      </c>
      <c r="N586" s="473" t="e">
        <f aca="false">K586+M586</f>
        <v>#NAME?</v>
      </c>
      <c r="O586" s="473" t="e">
        <f aca="false">M586</f>
        <v>#NAME?</v>
      </c>
    </row>
    <row r="587" s="461" customFormat="true" ht="30" hidden="false" customHeight="false" outlineLevel="0" collapsed="false">
      <c r="A587" s="327" t="s">
        <v>987</v>
      </c>
      <c r="B587" s="328" t="s">
        <v>3286</v>
      </c>
      <c r="C587" s="472" t="e">
        <f aca="false">мат.затр!g4772</f>
        <v>#NAME?</v>
      </c>
      <c r="D587" s="472" t="n">
        <f aca="false">тарифик!J588</f>
        <v>920.348058902276</v>
      </c>
      <c r="E587" s="472"/>
      <c r="F587" s="473" t="n">
        <f aca="false">D587*0.9*0.095+D587*3%</f>
        <v>106.300200803213</v>
      </c>
      <c r="G587" s="472" t="n">
        <f aca="false">амортизация!M1631</f>
        <v>17.1849434776142</v>
      </c>
      <c r="H587" s="473" t="e">
        <f aca="false">C587+D587+F587+G587</f>
        <v>#NAME?</v>
      </c>
      <c r="I587" s="462" t="n">
        <f aca="false">I$190</f>
        <v>0.240474587202079</v>
      </c>
      <c r="J587" s="473" t="n">
        <f aca="false">D587*I587</f>
        <v>221.320319546759</v>
      </c>
      <c r="K587" s="473" t="e">
        <f aca="false">H587+J587</f>
        <v>#NAME?</v>
      </c>
      <c r="L587" s="462" t="n">
        <v>0.2</v>
      </c>
      <c r="M587" s="473" t="e">
        <f aca="false">K587*L587</f>
        <v>#NAME?</v>
      </c>
      <c r="N587" s="473" t="e">
        <f aca="false">K587+M587</f>
        <v>#NAME?</v>
      </c>
      <c r="O587" s="473" t="e">
        <f aca="false">M587</f>
        <v>#NAME?</v>
      </c>
    </row>
    <row r="588" s="461" customFormat="true" ht="15" hidden="false" customHeight="false" outlineLevel="0" collapsed="false">
      <c r="A588" s="327" t="s">
        <v>989</v>
      </c>
      <c r="B588" s="433" t="s">
        <v>3287</v>
      </c>
      <c r="C588" s="472" t="e">
        <f aca="false">мат.затр!g4781</f>
        <v>#NAME?</v>
      </c>
      <c r="D588" s="472" t="n">
        <f aca="false">тарифик!J589</f>
        <v>602.409638554217</v>
      </c>
      <c r="E588" s="472"/>
      <c r="F588" s="473" t="n">
        <f aca="false">D588*0.9*0.095+D588*3%</f>
        <v>69.578313253012</v>
      </c>
      <c r="G588" s="472" t="n">
        <f aca="false">амортизация!M1636</f>
        <v>17.1849434776142</v>
      </c>
      <c r="H588" s="473" t="e">
        <f aca="false">C588+D588+F588+G588</f>
        <v>#NAME?</v>
      </c>
      <c r="I588" s="462" t="n">
        <f aca="false">I$190</f>
        <v>0.240474587202079</v>
      </c>
      <c r="J588" s="473" t="n">
        <f aca="false">D588*I588</f>
        <v>144.864209157879</v>
      </c>
      <c r="K588" s="473" t="e">
        <f aca="false">H588+J588</f>
        <v>#NAME?</v>
      </c>
      <c r="L588" s="462" t="n">
        <v>0.2</v>
      </c>
      <c r="M588" s="473" t="e">
        <f aca="false">K588*L588</f>
        <v>#NAME?</v>
      </c>
      <c r="N588" s="473" t="e">
        <f aca="false">K588+M588</f>
        <v>#NAME?</v>
      </c>
      <c r="O588" s="473" t="e">
        <f aca="false">M588</f>
        <v>#NAME?</v>
      </c>
    </row>
    <row r="589" s="461" customFormat="true" ht="15" hidden="false" customHeight="false" outlineLevel="0" collapsed="false">
      <c r="A589" s="327" t="s">
        <v>990</v>
      </c>
      <c r="B589" s="60" t="s">
        <v>3288</v>
      </c>
      <c r="C589" s="472" t="e">
        <f aca="false">мат.затр!g4790</f>
        <v>#NAME?</v>
      </c>
      <c r="D589" s="472" t="n">
        <f aca="false">тарифик!J590</f>
        <v>1004.01606425703</v>
      </c>
      <c r="E589" s="472"/>
      <c r="F589" s="473" t="n">
        <f aca="false">D589*0.9*0.095+D589*3%</f>
        <v>115.963855421687</v>
      </c>
      <c r="G589" s="472" t="n">
        <f aca="false">амортизация!M1641</f>
        <v>17.1849434776142</v>
      </c>
      <c r="H589" s="473" t="e">
        <f aca="false">C589+D589+F589+G589</f>
        <v>#NAME?</v>
      </c>
      <c r="I589" s="462" t="n">
        <f aca="false">I$190</f>
        <v>0.240474587202079</v>
      </c>
      <c r="J589" s="473" t="n">
        <f aca="false">D589*I589</f>
        <v>241.440348596465</v>
      </c>
      <c r="K589" s="473" t="e">
        <f aca="false">H589+J589</f>
        <v>#NAME?</v>
      </c>
      <c r="L589" s="462" t="n">
        <v>0.2</v>
      </c>
      <c r="M589" s="473" t="e">
        <f aca="false">K589*L589</f>
        <v>#NAME?</v>
      </c>
      <c r="N589" s="473" t="e">
        <f aca="false">K589+M589</f>
        <v>#NAME?</v>
      </c>
      <c r="O589" s="473" t="e">
        <f aca="false">M589</f>
        <v>#NAME?</v>
      </c>
    </row>
    <row r="590" s="461" customFormat="true" ht="15" hidden="false" customHeight="false" outlineLevel="0" collapsed="false">
      <c r="A590" s="350" t="s">
        <v>992</v>
      </c>
      <c r="B590" s="467" t="s">
        <v>3289</v>
      </c>
      <c r="C590" s="468"/>
      <c r="D590" s="468"/>
      <c r="E590" s="472"/>
      <c r="F590" s="468"/>
      <c r="G590" s="468"/>
      <c r="H590" s="474"/>
      <c r="I590" s="475"/>
      <c r="J590" s="474"/>
      <c r="K590" s="474"/>
      <c r="L590" s="475"/>
      <c r="M590" s="474"/>
      <c r="N590" s="474"/>
      <c r="O590" s="474"/>
    </row>
    <row r="591" s="461" customFormat="true" ht="30" hidden="false" customHeight="false" outlineLevel="0" collapsed="false">
      <c r="A591" s="327" t="s">
        <v>994</v>
      </c>
      <c r="B591" s="488" t="s">
        <v>3249</v>
      </c>
      <c r="C591" s="472" t="e">
        <f aca="false">мат.затр!g4795</f>
        <v>#NAME?</v>
      </c>
      <c r="D591" s="472" t="n">
        <f aca="false">тарифик!J592</f>
        <v>468.540829986613</v>
      </c>
      <c r="E591" s="472"/>
      <c r="F591" s="473" t="n">
        <f aca="false">D591*0.9*0.095+D591*3%</f>
        <v>54.1164658634538</v>
      </c>
      <c r="G591" s="472" t="n">
        <f aca="false">амортизация!M1643</f>
        <v>2.18466458426298</v>
      </c>
      <c r="H591" s="473" t="e">
        <f aca="false">C591+D591+F591+G591</f>
        <v>#NAME?</v>
      </c>
      <c r="I591" s="462" t="n">
        <f aca="false">I$190</f>
        <v>0.240474587202079</v>
      </c>
      <c r="J591" s="473" t="n">
        <f aca="false">D591*I591</f>
        <v>112.67216267835</v>
      </c>
      <c r="K591" s="473" t="e">
        <f aca="false">H591+J591</f>
        <v>#NAME?</v>
      </c>
      <c r="L591" s="462" t="n">
        <v>0.2</v>
      </c>
      <c r="M591" s="473" t="e">
        <f aca="false">K591*L591</f>
        <v>#NAME?</v>
      </c>
      <c r="N591" s="473" t="e">
        <f aca="false">K591+M591</f>
        <v>#NAME?</v>
      </c>
      <c r="O591" s="473" t="e">
        <f aca="false">M591</f>
        <v>#NAME?</v>
      </c>
    </row>
    <row r="592" s="461" customFormat="true" ht="30" hidden="false" customHeight="false" outlineLevel="0" collapsed="false">
      <c r="A592" s="327" t="s">
        <v>995</v>
      </c>
      <c r="B592" s="488" t="s">
        <v>3290</v>
      </c>
      <c r="C592" s="472" t="e">
        <f aca="false">мат.затр!g4800</f>
        <v>#NAME?</v>
      </c>
      <c r="D592" s="472" t="n">
        <f aca="false">тарифик!J593</f>
        <v>870.147255689424</v>
      </c>
      <c r="E592" s="472"/>
      <c r="F592" s="473" t="n">
        <f aca="false">D592*0.9*0.095+D592*3%</f>
        <v>100.502008032129</v>
      </c>
      <c r="G592" s="472" t="n">
        <f aca="false">амортизация!M1648</f>
        <v>15.1938308790718</v>
      </c>
      <c r="H592" s="473" t="e">
        <f aca="false">C592+D592+F592+G592</f>
        <v>#NAME?</v>
      </c>
      <c r="I592" s="462" t="n">
        <f aca="false">I$190</f>
        <v>0.240474587202079</v>
      </c>
      <c r="J592" s="473" t="n">
        <f aca="false">D592*I592</f>
        <v>209.248302116936</v>
      </c>
      <c r="K592" s="473" t="e">
        <f aca="false">H592+J592</f>
        <v>#NAME?</v>
      </c>
      <c r="L592" s="462" t="n">
        <v>0.2</v>
      </c>
      <c r="M592" s="473" t="e">
        <f aca="false">K592*L592</f>
        <v>#NAME?</v>
      </c>
      <c r="N592" s="473" t="e">
        <f aca="false">K592+M592</f>
        <v>#NAME?</v>
      </c>
      <c r="O592" s="473" t="e">
        <f aca="false">M592</f>
        <v>#NAME?</v>
      </c>
    </row>
    <row r="593" s="461" customFormat="true" ht="15" hidden="false" customHeight="false" outlineLevel="0" collapsed="false">
      <c r="A593" s="327" t="s">
        <v>997</v>
      </c>
      <c r="B593" s="488" t="s">
        <v>3291</v>
      </c>
      <c r="C593" s="472" t="e">
        <f aca="false">мат.затр!g4808</f>
        <v>#NAME?</v>
      </c>
      <c r="D593" s="472" t="n">
        <f aca="false">тарифик!J594</f>
        <v>933.177153056671</v>
      </c>
      <c r="E593" s="472"/>
      <c r="F593" s="473" t="n">
        <f aca="false">D593*0.9*0.095+D593*3%</f>
        <v>107.781961178046</v>
      </c>
      <c r="G593" s="472" t="n">
        <f aca="false">амортизация!M1653</f>
        <v>11.3046761118548</v>
      </c>
      <c r="H593" s="473" t="e">
        <f aca="false">C593+D593+F593+G593</f>
        <v>#NAME?</v>
      </c>
      <c r="I593" s="462" t="n">
        <f aca="false">I$190</f>
        <v>0.240474587202079</v>
      </c>
      <c r="J593" s="473" t="n">
        <f aca="false">D593*I593</f>
        <v>224.405390667714</v>
      </c>
      <c r="K593" s="473" t="e">
        <f aca="false">H593+J593</f>
        <v>#NAME?</v>
      </c>
      <c r="L593" s="462" t="n">
        <v>0.2</v>
      </c>
      <c r="M593" s="473" t="e">
        <f aca="false">K593*L593</f>
        <v>#NAME?</v>
      </c>
      <c r="N593" s="473" t="e">
        <f aca="false">K593+M593</f>
        <v>#NAME?</v>
      </c>
      <c r="O593" s="473" t="e">
        <f aca="false">M593</f>
        <v>#NAME?</v>
      </c>
    </row>
    <row r="594" s="461" customFormat="true" ht="15" hidden="false" customHeight="false" outlineLevel="0" collapsed="false">
      <c r="A594" s="327" t="s">
        <v>998</v>
      </c>
      <c r="B594" s="488" t="s">
        <v>2889</v>
      </c>
      <c r="C594" s="472" t="e">
        <f aca="false">мат.затр!g4814</f>
        <v>#NAME?</v>
      </c>
      <c r="D594" s="472" t="n">
        <f aca="false">тарифик!J595</f>
        <v>1413.98929049531</v>
      </c>
      <c r="E594" s="472"/>
      <c r="F594" s="473" t="n">
        <f aca="false">D594*0.9*0.095+D594*3%</f>
        <v>163.315763052209</v>
      </c>
      <c r="G594" s="472" t="n">
        <f aca="false">амортизация!M1658</f>
        <v>11.3046761118548</v>
      </c>
      <c r="H594" s="473" t="e">
        <f aca="false">C594+D594+F594+G594</f>
        <v>#NAME?</v>
      </c>
      <c r="I594" s="462" t="n">
        <f aca="false">I$190</f>
        <v>0.240474587202079</v>
      </c>
      <c r="J594" s="473" t="n">
        <f aca="false">D594*I594</f>
        <v>340.028490940021</v>
      </c>
      <c r="K594" s="473" t="e">
        <f aca="false">H594+J594</f>
        <v>#NAME?</v>
      </c>
      <c r="L594" s="462" t="n">
        <v>0.2</v>
      </c>
      <c r="M594" s="473" t="e">
        <f aca="false">K594*L594</f>
        <v>#NAME?</v>
      </c>
      <c r="N594" s="473" t="e">
        <f aca="false">K594+M594</f>
        <v>#NAME?</v>
      </c>
      <c r="O594" s="473" t="e">
        <f aca="false">M594</f>
        <v>#NAME?</v>
      </c>
    </row>
    <row r="595" s="461" customFormat="true" ht="15" hidden="false" customHeight="false" outlineLevel="0" collapsed="false">
      <c r="A595" s="327" t="s">
        <v>999</v>
      </c>
      <c r="B595" s="488" t="s">
        <v>3292</v>
      </c>
      <c r="C595" s="472" t="e">
        <f aca="false">мат.затр!g4822</f>
        <v>#NAME?</v>
      </c>
      <c r="D595" s="472" t="n">
        <f aca="false">тарифик!J596</f>
        <v>1066.48817492191</v>
      </c>
      <c r="E595" s="472"/>
      <c r="F595" s="473" t="n">
        <f aca="false">D595*0.9*0.095+D595*3%</f>
        <v>123.179384203481</v>
      </c>
      <c r="G595" s="472" t="n">
        <f aca="false">амортизация!M1663</f>
        <v>11.3046761118548</v>
      </c>
      <c r="H595" s="473" t="e">
        <f aca="false">C595+D595+F595+G595</f>
        <v>#NAME?</v>
      </c>
      <c r="I595" s="462" t="n">
        <f aca="false">I$190</f>
        <v>0.240474587202079</v>
      </c>
      <c r="J595" s="473" t="n">
        <f aca="false">D595*I595</f>
        <v>256.463303620245</v>
      </c>
      <c r="K595" s="473" t="e">
        <f aca="false">H595+J595</f>
        <v>#NAME?</v>
      </c>
      <c r="L595" s="462" t="n">
        <v>0.2</v>
      </c>
      <c r="M595" s="473" t="e">
        <f aca="false">K595*L595</f>
        <v>#NAME?</v>
      </c>
      <c r="N595" s="473" t="e">
        <f aca="false">K595+M595</f>
        <v>#NAME?</v>
      </c>
      <c r="O595" s="473" t="e">
        <f aca="false">M595</f>
        <v>#NAME?</v>
      </c>
    </row>
    <row r="596" s="461" customFormat="true" ht="30" hidden="false" customHeight="false" outlineLevel="0" collapsed="false">
      <c r="A596" s="327" t="s">
        <v>1001</v>
      </c>
      <c r="B596" s="488" t="s">
        <v>3293</v>
      </c>
      <c r="C596" s="472" t="e">
        <f aca="false">мат.затр!g4839</f>
        <v>#NAME?</v>
      </c>
      <c r="D596" s="472" t="n">
        <f aca="false">тарифик!J597</f>
        <v>435.073627844712</v>
      </c>
      <c r="E596" s="472"/>
      <c r="F596" s="473" t="n">
        <f aca="false">D596*0.9*0.095+D596*3%</f>
        <v>50.2510040160643</v>
      </c>
      <c r="G596" s="472" t="n">
        <f aca="false">амортизация!M1668</f>
        <v>15.2394820020824</v>
      </c>
      <c r="H596" s="473" t="e">
        <f aca="false">C596+D596+F596+G596</f>
        <v>#NAME?</v>
      </c>
      <c r="I596" s="462" t="n">
        <f aca="false">I$190</f>
        <v>0.240474587202079</v>
      </c>
      <c r="J596" s="473" t="n">
        <f aca="false">D596*I596</f>
        <v>104.624151058468</v>
      </c>
      <c r="K596" s="473" t="e">
        <f aca="false">H596+J596</f>
        <v>#NAME?</v>
      </c>
      <c r="L596" s="462" t="n">
        <v>0.2</v>
      </c>
      <c r="M596" s="473" t="e">
        <f aca="false">K596*L596</f>
        <v>#NAME?</v>
      </c>
      <c r="N596" s="473" t="e">
        <f aca="false">K596+M596</f>
        <v>#NAME?</v>
      </c>
      <c r="O596" s="473" t="e">
        <f aca="false">M596</f>
        <v>#NAME?</v>
      </c>
    </row>
    <row r="597" s="461" customFormat="true" ht="30" hidden="false" customHeight="false" outlineLevel="0" collapsed="false">
      <c r="A597" s="327" t="s">
        <v>1003</v>
      </c>
      <c r="B597" s="488" t="s">
        <v>3294</v>
      </c>
      <c r="C597" s="472" t="e">
        <f aca="false">мат.затр!g4850</f>
        <v>#NAME?</v>
      </c>
      <c r="D597" s="472" t="n">
        <f aca="false">тарифик!J598</f>
        <v>334.672021419009</v>
      </c>
      <c r="E597" s="472"/>
      <c r="F597" s="473" t="n">
        <f aca="false">D597*0.9*0.095+D597*3%</f>
        <v>38.6546184738956</v>
      </c>
      <c r="G597" s="472" t="n">
        <f aca="false">амортизация!M1673</f>
        <v>11.3046761118548</v>
      </c>
      <c r="H597" s="473" t="e">
        <f aca="false">C597+D597+F597+G597</f>
        <v>#NAME?</v>
      </c>
      <c r="I597" s="462" t="n">
        <f aca="false">I$190</f>
        <v>0.240474587202079</v>
      </c>
      <c r="J597" s="473" t="n">
        <f aca="false">D597*I597</f>
        <v>80.4801161988216</v>
      </c>
      <c r="K597" s="473" t="e">
        <f aca="false">H597+J597</f>
        <v>#NAME?</v>
      </c>
      <c r="L597" s="462" t="n">
        <v>0.2</v>
      </c>
      <c r="M597" s="473" t="e">
        <f aca="false">K597*L597</f>
        <v>#NAME?</v>
      </c>
      <c r="N597" s="473" t="e">
        <f aca="false">K597+M597</f>
        <v>#NAME?</v>
      </c>
      <c r="O597" s="473" t="e">
        <f aca="false">M597</f>
        <v>#NAME?</v>
      </c>
    </row>
    <row r="598" s="461" customFormat="true" ht="30" hidden="false" customHeight="false" outlineLevel="0" collapsed="false">
      <c r="A598" s="327" t="s">
        <v>1005</v>
      </c>
      <c r="B598" s="488" t="s">
        <v>3295</v>
      </c>
      <c r="C598" s="472" t="e">
        <f aca="false">мат.затр!g4864</f>
        <v>#NAME?</v>
      </c>
      <c r="D598" s="472" t="n">
        <f aca="false">тарифик!J599</f>
        <v>435.073627844712</v>
      </c>
      <c r="E598" s="472"/>
      <c r="F598" s="473" t="n">
        <f aca="false">D598*0.9*0.095+D598*3%</f>
        <v>50.2510040160643</v>
      </c>
      <c r="G598" s="472" t="n">
        <f aca="false">амортизация!M1678</f>
        <v>3.92687788189796</v>
      </c>
      <c r="H598" s="473" t="e">
        <f aca="false">C598+D598+F598+G598</f>
        <v>#NAME?</v>
      </c>
      <c r="I598" s="462" t="n">
        <f aca="false">I$190</f>
        <v>0.240474587202079</v>
      </c>
      <c r="J598" s="473" t="n">
        <f aca="false">D598*I598</f>
        <v>104.624151058468</v>
      </c>
      <c r="K598" s="473" t="e">
        <f aca="false">H598+J598</f>
        <v>#NAME?</v>
      </c>
      <c r="L598" s="462" t="n">
        <v>0.2</v>
      </c>
      <c r="M598" s="473" t="e">
        <f aca="false">K598*L598</f>
        <v>#NAME?</v>
      </c>
      <c r="N598" s="473" t="e">
        <f aca="false">K598+M598</f>
        <v>#NAME?</v>
      </c>
      <c r="O598" s="473" t="e">
        <f aca="false">M598</f>
        <v>#NAME?</v>
      </c>
    </row>
    <row r="599" s="461" customFormat="true" ht="30" hidden="false" customHeight="false" outlineLevel="0" collapsed="false">
      <c r="A599" s="327" t="s">
        <v>1007</v>
      </c>
      <c r="B599" s="488" t="s">
        <v>3296</v>
      </c>
      <c r="C599" s="472" t="e">
        <f aca="false">мат.затр!g4877</f>
        <v>#NAME?</v>
      </c>
      <c r="D599" s="472" t="n">
        <f aca="false">тарифик!J600</f>
        <v>953.815261044177</v>
      </c>
      <c r="E599" s="472"/>
      <c r="F599" s="473" t="n">
        <f aca="false">D599*0.9*0.095+D599*3%</f>
        <v>110.165662650602</v>
      </c>
      <c r="G599" s="472" t="n">
        <f aca="false">амортизация!M1686</f>
        <v>3.92687788189796</v>
      </c>
      <c r="H599" s="473" t="e">
        <f aca="false">C599+D599+F599+G599</f>
        <v>#NAME?</v>
      </c>
      <c r="I599" s="462" t="n">
        <f aca="false">I$190</f>
        <v>0.240474587202079</v>
      </c>
      <c r="J599" s="473" t="n">
        <f aca="false">D599*I599</f>
        <v>229.368331166642</v>
      </c>
      <c r="K599" s="473" t="e">
        <f aca="false">H599+J599</f>
        <v>#NAME?</v>
      </c>
      <c r="L599" s="462" t="n">
        <v>0.2</v>
      </c>
      <c r="M599" s="473" t="e">
        <f aca="false">K599*L599</f>
        <v>#NAME?</v>
      </c>
      <c r="N599" s="473" t="e">
        <f aca="false">K599+M599</f>
        <v>#NAME?</v>
      </c>
      <c r="O599" s="473" t="e">
        <f aca="false">M599</f>
        <v>#NAME?</v>
      </c>
    </row>
    <row r="600" s="461" customFormat="true" ht="30" hidden="false" customHeight="false" outlineLevel="0" collapsed="false">
      <c r="A600" s="327" t="s">
        <v>1009</v>
      </c>
      <c r="B600" s="488" t="s">
        <v>3297</v>
      </c>
      <c r="C600" s="472" t="e">
        <f aca="false">мат.затр!g4886</f>
        <v>#NAME?</v>
      </c>
      <c r="D600" s="472" t="n">
        <f aca="false">тарифик!J601</f>
        <v>368.13922356091</v>
      </c>
      <c r="E600" s="472"/>
      <c r="F600" s="473" t="n">
        <f aca="false">D600*0.9*0.095+D600*3%</f>
        <v>42.5200803212851</v>
      </c>
      <c r="G600" s="472" t="n">
        <f aca="false">амортизация!M1686</f>
        <v>3.92687788189796</v>
      </c>
      <c r="H600" s="473" t="e">
        <f aca="false">C600+D600+F600+G600</f>
        <v>#NAME?</v>
      </c>
      <c r="I600" s="462" t="n">
        <f aca="false">I$190</f>
        <v>0.240474587202079</v>
      </c>
      <c r="J600" s="473" t="n">
        <f aca="false">D600*I600</f>
        <v>88.5281278187038</v>
      </c>
      <c r="K600" s="473" t="e">
        <f aca="false">H600+J600</f>
        <v>#NAME?</v>
      </c>
      <c r="L600" s="462" t="n">
        <v>0.2</v>
      </c>
      <c r="M600" s="473" t="e">
        <f aca="false">K600*L600</f>
        <v>#NAME?</v>
      </c>
      <c r="N600" s="473" t="e">
        <f aca="false">K600+M600</f>
        <v>#NAME?</v>
      </c>
      <c r="O600" s="473" t="e">
        <f aca="false">M600</f>
        <v>#NAME?</v>
      </c>
    </row>
    <row r="601" s="461" customFormat="true" ht="30" hidden="false" customHeight="false" outlineLevel="0" collapsed="false">
      <c r="A601" s="327" t="s">
        <v>1011</v>
      </c>
      <c r="B601" s="488" t="s">
        <v>3298</v>
      </c>
      <c r="C601" s="472" t="e">
        <f aca="false">мат.затр!g4898</f>
        <v>#NAME?</v>
      </c>
      <c r="D601" s="472" t="n">
        <f aca="false">тарифик!J602</f>
        <v>301.204819277108</v>
      </c>
      <c r="E601" s="472"/>
      <c r="F601" s="473" t="n">
        <f aca="false">D601*0.9*0.095+D601*3%</f>
        <v>34.789156626506</v>
      </c>
      <c r="G601" s="472" t="n">
        <f aca="false">амортизация!M1690</f>
        <v>7.86168377212554</v>
      </c>
      <c r="H601" s="473" t="e">
        <f aca="false">C601+D601+F601+G601</f>
        <v>#NAME?</v>
      </c>
      <c r="I601" s="462" t="n">
        <f aca="false">I$190</f>
        <v>0.240474587202079</v>
      </c>
      <c r="J601" s="473" t="n">
        <f aca="false">D601*I601</f>
        <v>72.4321045789394</v>
      </c>
      <c r="K601" s="473" t="e">
        <f aca="false">H601+J601</f>
        <v>#NAME?</v>
      </c>
      <c r="L601" s="462" t="n">
        <v>0.2</v>
      </c>
      <c r="M601" s="473" t="e">
        <f aca="false">K601*L601</f>
        <v>#NAME?</v>
      </c>
      <c r="N601" s="473" t="e">
        <f aca="false">K601+M601</f>
        <v>#NAME?</v>
      </c>
      <c r="O601" s="473" t="e">
        <f aca="false">M601</f>
        <v>#NAME?</v>
      </c>
    </row>
    <row r="602" s="461" customFormat="true" ht="15" hidden="false" customHeight="false" outlineLevel="0" collapsed="false">
      <c r="A602" s="327" t="s">
        <v>1013</v>
      </c>
      <c r="B602" s="488" t="s">
        <v>3299</v>
      </c>
      <c r="C602" s="472" t="e">
        <f aca="false">мат.затр!g4909</f>
        <v>#NAME?</v>
      </c>
      <c r="D602" s="472" t="n">
        <f aca="false">тарифик!J603</f>
        <v>780.901383311022</v>
      </c>
      <c r="E602" s="472"/>
      <c r="F602" s="473" t="n">
        <f aca="false">D602*0.9*0.095+D602*3%</f>
        <v>90.194109772423</v>
      </c>
      <c r="G602" s="472" t="n">
        <f aca="false">амортизация!M1694</f>
        <v>3.92687788189796</v>
      </c>
      <c r="H602" s="473" t="e">
        <f aca="false">C602+D602+F602+G602</f>
        <v>#NAME?</v>
      </c>
      <c r="I602" s="462" t="n">
        <f aca="false">I$190</f>
        <v>0.240474587202079</v>
      </c>
      <c r="J602" s="473" t="n">
        <f aca="false">D602*I602</f>
        <v>187.78693779725</v>
      </c>
      <c r="K602" s="473" t="e">
        <f aca="false">H602+J602</f>
        <v>#NAME?</v>
      </c>
      <c r="L602" s="462" t="n">
        <v>0.2</v>
      </c>
      <c r="M602" s="473" t="e">
        <f aca="false">K602*L602</f>
        <v>#NAME?</v>
      </c>
      <c r="N602" s="473" t="e">
        <f aca="false">K602+M602</f>
        <v>#NAME?</v>
      </c>
      <c r="O602" s="473" t="e">
        <f aca="false">M602</f>
        <v>#NAME?</v>
      </c>
    </row>
    <row r="603" s="461" customFormat="true" ht="15" hidden="false" customHeight="false" outlineLevel="0" collapsed="false">
      <c r="A603" s="327" t="s">
        <v>1015</v>
      </c>
      <c r="B603" s="488" t="s">
        <v>3300</v>
      </c>
      <c r="C603" s="472" t="e">
        <f aca="false">мат.затр!g4919</f>
        <v>#NAME?</v>
      </c>
      <c r="D603" s="472" t="n">
        <f aca="false">тарифик!J604</f>
        <v>468.540829986613</v>
      </c>
      <c r="E603" s="472"/>
      <c r="F603" s="473" t="n">
        <f aca="false">D603*0.9*0.095+D603*3%</f>
        <v>54.1164658634538</v>
      </c>
      <c r="G603" s="472" t="n">
        <f aca="false">амортизация!M1698</f>
        <v>2.70606871932173</v>
      </c>
      <c r="H603" s="473" t="e">
        <f aca="false">C603+D603+F603+G603</f>
        <v>#NAME?</v>
      </c>
      <c r="I603" s="462" t="n">
        <f aca="false">I$190</f>
        <v>0.240474587202079</v>
      </c>
      <c r="J603" s="473" t="n">
        <f aca="false">D603*I603</f>
        <v>112.67216267835</v>
      </c>
      <c r="K603" s="473" t="e">
        <f aca="false">H603+J603</f>
        <v>#NAME?</v>
      </c>
      <c r="L603" s="462" t="n">
        <v>0.2</v>
      </c>
      <c r="M603" s="473" t="e">
        <f aca="false">K603*L603</f>
        <v>#NAME?</v>
      </c>
      <c r="N603" s="473" t="e">
        <f aca="false">K603+M603</f>
        <v>#NAME?</v>
      </c>
      <c r="O603" s="473" t="e">
        <f aca="false">M603</f>
        <v>#NAME?</v>
      </c>
    </row>
    <row r="604" s="461" customFormat="true" ht="15" hidden="false" customHeight="false" outlineLevel="0" collapsed="false">
      <c r="A604" s="327" t="s">
        <v>1017</v>
      </c>
      <c r="B604" s="488" t="s">
        <v>3301</v>
      </c>
      <c r="C604" s="472" t="e">
        <f aca="false">мат.затр!g4929</f>
        <v>#NAME?</v>
      </c>
      <c r="D604" s="472" t="n">
        <f aca="false">тарифик!J605</f>
        <v>1196.45247657296</v>
      </c>
      <c r="E604" s="472"/>
      <c r="F604" s="473" t="n">
        <f aca="false">D604*0.9*0.095+D604*3%</f>
        <v>138.190261044177</v>
      </c>
      <c r="G604" s="472" t="n">
        <f aca="false">амортизация!M1702</f>
        <v>23.9656888665774</v>
      </c>
      <c r="H604" s="473" t="e">
        <f aca="false">C604+D604+F604+G604</f>
        <v>#NAME?</v>
      </c>
      <c r="I604" s="462" t="n">
        <f aca="false">I$190</f>
        <v>0.240474587202079</v>
      </c>
      <c r="J604" s="473" t="n">
        <f aca="false">D604*I604</f>
        <v>287.716415410787</v>
      </c>
      <c r="K604" s="473" t="e">
        <f aca="false">H604+J604</f>
        <v>#NAME?</v>
      </c>
      <c r="L604" s="462" t="n">
        <v>0.2</v>
      </c>
      <c r="M604" s="473" t="e">
        <f aca="false">K604*L604</f>
        <v>#NAME?</v>
      </c>
      <c r="N604" s="473" t="e">
        <f aca="false">K604+M604</f>
        <v>#NAME?</v>
      </c>
      <c r="O604" s="473" t="e">
        <f aca="false">M604</f>
        <v>#NAME?</v>
      </c>
    </row>
    <row r="605" s="461" customFormat="true" ht="45" hidden="false" customHeight="false" outlineLevel="0" collapsed="false">
      <c r="A605" s="327" t="s">
        <v>1019</v>
      </c>
      <c r="B605" s="488" t="s">
        <v>3302</v>
      </c>
      <c r="C605" s="472" t="e">
        <f aca="false">мат.затр!g4938</f>
        <v>#NAME?</v>
      </c>
      <c r="D605" s="472" t="n">
        <f aca="false">тарифик!J606</f>
        <v>613.565372601517</v>
      </c>
      <c r="E605" s="472"/>
      <c r="F605" s="473" t="n">
        <f aca="false">D605*0.9*0.095+D605*3%</f>
        <v>70.8668005354752</v>
      </c>
      <c r="G605" s="472" t="n">
        <f aca="false">амортизация!M1706</f>
        <v>23.9656888665774</v>
      </c>
      <c r="H605" s="473" t="e">
        <f aca="false">C605+D605+F605+G605</f>
        <v>#NAME?</v>
      </c>
      <c r="I605" s="462" t="n">
        <f aca="false">I$190</f>
        <v>0.240474587202079</v>
      </c>
      <c r="J605" s="473" t="n">
        <f aca="false">D605*I605</f>
        <v>147.54687969784</v>
      </c>
      <c r="K605" s="473" t="e">
        <f aca="false">H605+J605</f>
        <v>#NAME?</v>
      </c>
      <c r="L605" s="462" t="n">
        <v>0.2</v>
      </c>
      <c r="M605" s="473" t="e">
        <f aca="false">K605*L605</f>
        <v>#NAME?</v>
      </c>
      <c r="N605" s="473" t="e">
        <f aca="false">K605+M605</f>
        <v>#NAME?</v>
      </c>
      <c r="O605" s="473" t="e">
        <f aca="false">M605</f>
        <v>#NAME?</v>
      </c>
    </row>
    <row r="606" s="461" customFormat="true" ht="15" hidden="false" customHeight="false" outlineLevel="0" collapsed="false">
      <c r="A606" s="327" t="s">
        <v>1021</v>
      </c>
      <c r="B606" s="488" t="s">
        <v>3303</v>
      </c>
      <c r="C606" s="472" t="e">
        <f aca="false">мат.затр!g4949</f>
        <v>#NAME?</v>
      </c>
      <c r="D606" s="472" t="n">
        <f aca="false">тарифик!J607</f>
        <v>334.672021419009</v>
      </c>
      <c r="E606" s="472"/>
      <c r="F606" s="473" t="n">
        <f aca="false">D606*0.9*0.095+D606*3%</f>
        <v>38.6546184738956</v>
      </c>
      <c r="G606" s="472" t="n">
        <f aca="false">амортизация!M1710</f>
        <v>3.92687788189796</v>
      </c>
      <c r="H606" s="473" t="e">
        <f aca="false">C606+D606+F606+G606</f>
        <v>#NAME?</v>
      </c>
      <c r="I606" s="462" t="n">
        <f aca="false">I$190</f>
        <v>0.240474587202079</v>
      </c>
      <c r="J606" s="473" t="n">
        <f aca="false">D606*I606</f>
        <v>80.4801161988216</v>
      </c>
      <c r="K606" s="473" t="e">
        <f aca="false">H606+J606</f>
        <v>#NAME?</v>
      </c>
      <c r="L606" s="462" t="n">
        <v>0.2</v>
      </c>
      <c r="M606" s="473" t="e">
        <f aca="false">K606*L606</f>
        <v>#NAME?</v>
      </c>
      <c r="N606" s="473" t="e">
        <f aca="false">K606+M606</f>
        <v>#NAME?</v>
      </c>
      <c r="O606" s="473" t="e">
        <f aca="false">M606</f>
        <v>#NAME?</v>
      </c>
    </row>
    <row r="607" s="461" customFormat="true" ht="15" hidden="false" customHeight="false" outlineLevel="0" collapsed="false">
      <c r="A607" s="327" t="s">
        <v>1023</v>
      </c>
      <c r="B607" s="488" t="s">
        <v>3304</v>
      </c>
      <c r="C607" s="472" t="e">
        <f aca="false">мат.затр!g4964</f>
        <v>#NAME?</v>
      </c>
      <c r="D607" s="472" t="n">
        <f aca="false">тарифик!J608</f>
        <v>334.672021419009</v>
      </c>
      <c r="E607" s="472"/>
      <c r="F607" s="473" t="n">
        <f aca="false">D607*0.9*0.095+D607*3%</f>
        <v>38.6546184738956</v>
      </c>
      <c r="G607" s="472" t="n">
        <f aca="false">амортизация!M1714</f>
        <v>3.92687788189796</v>
      </c>
      <c r="H607" s="473" t="e">
        <f aca="false">C607+D607+F607+G607</f>
        <v>#NAME?</v>
      </c>
      <c r="I607" s="462" t="n">
        <f aca="false">I$190</f>
        <v>0.240474587202079</v>
      </c>
      <c r="J607" s="473" t="n">
        <f aca="false">D607*I607</f>
        <v>80.4801161988216</v>
      </c>
      <c r="K607" s="473" t="e">
        <f aca="false">H607+J607</f>
        <v>#NAME?</v>
      </c>
      <c r="L607" s="462" t="n">
        <v>0.2</v>
      </c>
      <c r="M607" s="473" t="e">
        <f aca="false">K607*L607</f>
        <v>#NAME?</v>
      </c>
      <c r="N607" s="473" t="e">
        <f aca="false">K607+M607</f>
        <v>#NAME?</v>
      </c>
      <c r="O607" s="473" t="e">
        <f aca="false">M607</f>
        <v>#NAME?</v>
      </c>
    </row>
    <row r="608" s="461" customFormat="true" ht="30" hidden="false" customHeight="false" outlineLevel="0" collapsed="false">
      <c r="A608" s="327" t="s">
        <v>1025</v>
      </c>
      <c r="B608" s="488" t="s">
        <v>3305</v>
      </c>
      <c r="C608" s="472" t="e">
        <f aca="false">мат.затр!g4977</f>
        <v>#NAME?</v>
      </c>
      <c r="D608" s="472" t="n">
        <f aca="false">тарифик!J609</f>
        <v>200.803212851406</v>
      </c>
      <c r="E608" s="472"/>
      <c r="F608" s="473" t="n">
        <f aca="false">D608*0.9*0.095+D608*3%</f>
        <v>23.1927710843374</v>
      </c>
      <c r="G608" s="472" t="n">
        <f aca="false">амортизация!M1718</f>
        <v>3.92687788189796</v>
      </c>
      <c r="H608" s="473" t="e">
        <f aca="false">C608+D608+F608+G608</f>
        <v>#NAME?</v>
      </c>
      <c r="I608" s="462" t="n">
        <f aca="false">I$190</f>
        <v>0.240474587202079</v>
      </c>
      <c r="J608" s="473" t="n">
        <f aca="false">D608*I608</f>
        <v>48.288069719293</v>
      </c>
      <c r="K608" s="473" t="e">
        <f aca="false">H608+J608</f>
        <v>#NAME?</v>
      </c>
      <c r="L608" s="462" t="n">
        <v>0.2</v>
      </c>
      <c r="M608" s="473" t="e">
        <f aca="false">K608*L608</f>
        <v>#NAME?</v>
      </c>
      <c r="N608" s="473" t="e">
        <f aca="false">K608+M608</f>
        <v>#NAME?</v>
      </c>
      <c r="O608" s="473" t="e">
        <f aca="false">M608</f>
        <v>#NAME?</v>
      </c>
    </row>
    <row r="609" s="461" customFormat="true" ht="57" hidden="false" customHeight="false" outlineLevel="0" collapsed="false">
      <c r="A609" s="350" t="s">
        <v>1027</v>
      </c>
      <c r="B609" s="346" t="s">
        <v>3306</v>
      </c>
      <c r="C609" s="468"/>
      <c r="D609" s="468"/>
      <c r="E609" s="468"/>
      <c r="F609" s="468"/>
      <c r="G609" s="468"/>
      <c r="H609" s="490"/>
      <c r="I609" s="491"/>
      <c r="J609" s="490"/>
      <c r="K609" s="490"/>
      <c r="L609" s="491"/>
      <c r="M609" s="490"/>
      <c r="N609" s="490"/>
      <c r="O609" s="490"/>
    </row>
    <row r="610" s="461" customFormat="true" ht="15" hidden="false" customHeight="false" outlineLevel="0" collapsed="false">
      <c r="A610" s="327" t="s">
        <v>1029</v>
      </c>
      <c r="B610" s="433" t="s">
        <v>3307</v>
      </c>
      <c r="C610" s="472" t="e">
        <f aca="false">мат.затр!g4979</f>
        <v>#NAME?</v>
      </c>
      <c r="D610" s="472" t="n">
        <f aca="false">тарифик!J611</f>
        <v>6961.1780455154</v>
      </c>
      <c r="E610" s="472"/>
      <c r="F610" s="473" t="n">
        <f aca="false">D610*0.9*0.095+D610*3%</f>
        <v>804.016064257028</v>
      </c>
      <c r="G610" s="472" t="n">
        <f aca="false">амортизация!M1726</f>
        <v>323.423355458873</v>
      </c>
      <c r="H610" s="473" t="e">
        <f aca="false">C610+D610+F610+G610</f>
        <v>#NAME?</v>
      </c>
      <c r="I610" s="462" t="n">
        <f aca="false">I$190</f>
        <v>0.240474587202079</v>
      </c>
      <c r="J610" s="473" t="n">
        <f aca="false">D610*I610</f>
        <v>1673.98641693549</v>
      </c>
      <c r="K610" s="473" t="e">
        <f aca="false">H610+J610</f>
        <v>#NAME?</v>
      </c>
      <c r="L610" s="462" t="n">
        <v>0.2</v>
      </c>
      <c r="M610" s="473" t="e">
        <f aca="false">K610*L610</f>
        <v>#NAME?</v>
      </c>
      <c r="N610" s="473" t="e">
        <f aca="false">K610+M610</f>
        <v>#NAME?</v>
      </c>
      <c r="O610" s="473" t="e">
        <f aca="false">M610</f>
        <v>#NAME?</v>
      </c>
    </row>
    <row r="611" s="461" customFormat="true" ht="15" hidden="false" customHeight="false" outlineLevel="0" collapsed="false">
      <c r="A611" s="327" t="s">
        <v>1031</v>
      </c>
      <c r="B611" s="433" t="s">
        <v>3308</v>
      </c>
      <c r="C611" s="472" t="e">
        <f aca="false">мат.затр!g5002</f>
        <v>#NAME?</v>
      </c>
      <c r="D611" s="472" t="n">
        <f aca="false">тарифик!J612</f>
        <v>8299.86613119143</v>
      </c>
      <c r="E611" s="472"/>
      <c r="F611" s="473" t="n">
        <f aca="false">D611*0.9*0.095+D611*3%</f>
        <v>958.634538152611</v>
      </c>
      <c r="G611" s="472" t="n">
        <f aca="false">амортизация!M1735</f>
        <v>5071.89332496653</v>
      </c>
      <c r="H611" s="473" t="e">
        <f aca="false">C611+D611+F611+G611</f>
        <v>#NAME?</v>
      </c>
      <c r="I611" s="462" t="n">
        <f aca="false">I$190</f>
        <v>0.240474587202079</v>
      </c>
      <c r="J611" s="473" t="n">
        <f aca="false">D611*I611</f>
        <v>1995.90688173078</v>
      </c>
      <c r="K611" s="473" t="e">
        <f aca="false">H611+J611</f>
        <v>#NAME?</v>
      </c>
      <c r="L611" s="462" t="n">
        <v>0.2</v>
      </c>
      <c r="M611" s="473" t="e">
        <f aca="false">K611*L611</f>
        <v>#NAME?</v>
      </c>
      <c r="N611" s="473" t="e">
        <f aca="false">K611+M611</f>
        <v>#NAME?</v>
      </c>
      <c r="O611" s="473" t="e">
        <f aca="false">M611</f>
        <v>#NAME?</v>
      </c>
    </row>
    <row r="612" s="461" customFormat="true" ht="15" hidden="false" customHeight="false" outlineLevel="0" collapsed="false">
      <c r="A612" s="327" t="s">
        <v>1033</v>
      </c>
      <c r="B612" s="433" t="s">
        <v>3309</v>
      </c>
      <c r="C612" s="472" t="e">
        <f aca="false">мат.затр!g5027</f>
        <v>#NAME?</v>
      </c>
      <c r="D612" s="472" t="n">
        <f aca="false">тарифик!J613</f>
        <v>6961.1780455154</v>
      </c>
      <c r="E612" s="472"/>
      <c r="F612" s="473" t="n">
        <f aca="false">D612*0.9*0.095+D612*3%</f>
        <v>804.016064257028</v>
      </c>
      <c r="G612" s="472" t="n">
        <f aca="false">амортизация!M1743</f>
        <v>2241.97662241559</v>
      </c>
      <c r="H612" s="473" t="e">
        <f aca="false">C612+D612+F612+G612</f>
        <v>#NAME?</v>
      </c>
      <c r="I612" s="462" t="n">
        <f aca="false">I$190</f>
        <v>0.240474587202079</v>
      </c>
      <c r="J612" s="473" t="n">
        <f aca="false">D612*I612</f>
        <v>1673.98641693549</v>
      </c>
      <c r="K612" s="473" t="e">
        <f aca="false">H612+J612</f>
        <v>#NAME?</v>
      </c>
      <c r="L612" s="462" t="n">
        <v>0.2</v>
      </c>
      <c r="M612" s="473" t="e">
        <f aca="false">K612*L612</f>
        <v>#NAME?</v>
      </c>
      <c r="N612" s="473" t="e">
        <f aca="false">K612+M612</f>
        <v>#NAME?</v>
      </c>
      <c r="O612" s="473" t="e">
        <f aca="false">M612</f>
        <v>#NAME?</v>
      </c>
    </row>
    <row r="613" s="461" customFormat="true" ht="15" hidden="false" customHeight="false" outlineLevel="0" collapsed="false">
      <c r="A613" s="327" t="s">
        <v>1035</v>
      </c>
      <c r="B613" s="433" t="s">
        <v>3310</v>
      </c>
      <c r="C613" s="472" t="e">
        <f aca="false">мат.затр!g5047</f>
        <v>#NAME?</v>
      </c>
      <c r="D613" s="472" t="n">
        <f aca="false">тарифик!J614</f>
        <v>6961.1780455154</v>
      </c>
      <c r="E613" s="472"/>
      <c r="F613" s="473" t="n">
        <f aca="false">D613*0.9*0.095+D613*3%</f>
        <v>804.016064257028</v>
      </c>
      <c r="G613" s="472" t="n">
        <f aca="false">амортизация!M1750</f>
        <v>2221.09484530715</v>
      </c>
      <c r="H613" s="473" t="e">
        <f aca="false">C613+D613+F613+G613</f>
        <v>#NAME?</v>
      </c>
      <c r="I613" s="462" t="n">
        <f aca="false">I$190</f>
        <v>0.240474587202079</v>
      </c>
      <c r="J613" s="473" t="n">
        <f aca="false">D613*I613</f>
        <v>1673.98641693549</v>
      </c>
      <c r="K613" s="473" t="e">
        <f aca="false">H613+J613</f>
        <v>#NAME?</v>
      </c>
      <c r="L613" s="462" t="n">
        <v>0.2</v>
      </c>
      <c r="M613" s="473" t="e">
        <f aca="false">K613*L613</f>
        <v>#NAME?</v>
      </c>
      <c r="N613" s="473" t="e">
        <f aca="false">K613+M613</f>
        <v>#NAME?</v>
      </c>
      <c r="O613" s="473" t="e">
        <f aca="false">M613</f>
        <v>#NAME?</v>
      </c>
    </row>
    <row r="614" s="461" customFormat="true" ht="30" hidden="false" customHeight="false" outlineLevel="0" collapsed="false">
      <c r="A614" s="327" t="s">
        <v>1037</v>
      </c>
      <c r="B614" s="488" t="s">
        <v>3311</v>
      </c>
      <c r="C614" s="472" t="e">
        <f aca="false">мат.затр!g5064</f>
        <v>#NAME?</v>
      </c>
      <c r="D614" s="472" t="n">
        <f aca="false">тарифик!J615</f>
        <v>6961.1780455154</v>
      </c>
      <c r="E614" s="472"/>
      <c r="F614" s="473" t="n">
        <f aca="false">D614*0.9*0.095+D614*3%</f>
        <v>804.016064257028</v>
      </c>
      <c r="G614" s="472" t="n">
        <f aca="false">амортизация!M1758</f>
        <v>1463.61674828945</v>
      </c>
      <c r="H614" s="473" t="e">
        <f aca="false">C614+D614+F614+G614</f>
        <v>#NAME?</v>
      </c>
      <c r="I614" s="462" t="n">
        <f aca="false">I$190</f>
        <v>0.240474587202079</v>
      </c>
      <c r="J614" s="473" t="n">
        <f aca="false">D614*I614</f>
        <v>1673.98641693549</v>
      </c>
      <c r="K614" s="473" t="e">
        <f aca="false">H614+J614</f>
        <v>#NAME?</v>
      </c>
      <c r="L614" s="462" t="n">
        <v>0.2</v>
      </c>
      <c r="M614" s="473" t="e">
        <f aca="false">K614*L614</f>
        <v>#NAME?</v>
      </c>
      <c r="N614" s="473" t="e">
        <f aca="false">K614+M614</f>
        <v>#NAME?</v>
      </c>
      <c r="O614" s="473" t="e">
        <f aca="false">M614</f>
        <v>#NAME?</v>
      </c>
    </row>
    <row r="615" s="461" customFormat="true" ht="15" hidden="false" customHeight="false" outlineLevel="0" collapsed="false">
      <c r="A615" s="327" t="s">
        <v>1039</v>
      </c>
      <c r="B615" s="433" t="s">
        <v>3312</v>
      </c>
      <c r="C615" s="472" t="e">
        <f aca="false">мат.затр!g5080</f>
        <v>#NAME?</v>
      </c>
      <c r="D615" s="472" t="n">
        <f aca="false">тарифик!J616</f>
        <v>6961.1780455154</v>
      </c>
      <c r="E615" s="472"/>
      <c r="F615" s="473" t="n">
        <f aca="false">D615*0.9*0.095+D615*3%</f>
        <v>804.016064257028</v>
      </c>
      <c r="G615" s="472" t="n">
        <f aca="false">амортизация!M1766</f>
        <v>1461.37532426</v>
      </c>
      <c r="H615" s="473" t="e">
        <f aca="false">C615+D615+F615+G615</f>
        <v>#NAME?</v>
      </c>
      <c r="I615" s="462" t="n">
        <f aca="false">I$190</f>
        <v>0.240474587202079</v>
      </c>
      <c r="J615" s="473" t="n">
        <f aca="false">D615*I615</f>
        <v>1673.98641693549</v>
      </c>
      <c r="K615" s="473" t="e">
        <f aca="false">H615+J615</f>
        <v>#NAME?</v>
      </c>
      <c r="L615" s="462" t="n">
        <v>0.2</v>
      </c>
      <c r="M615" s="473" t="e">
        <f aca="false">K615*L615</f>
        <v>#NAME?</v>
      </c>
      <c r="N615" s="473" t="e">
        <f aca="false">K615+M615</f>
        <v>#NAME?</v>
      </c>
      <c r="O615" s="473" t="e">
        <f aca="false">M615</f>
        <v>#NAME?</v>
      </c>
    </row>
    <row r="616" s="461" customFormat="true" ht="30" hidden="false" customHeight="false" outlineLevel="0" collapsed="false">
      <c r="A616" s="327" t="s">
        <v>1041</v>
      </c>
      <c r="B616" s="488" t="s">
        <v>3313</v>
      </c>
      <c r="C616" s="472" t="e">
        <f aca="false">мат.затр!g5095</f>
        <v>#NAME?</v>
      </c>
      <c r="D616" s="472" t="n">
        <f aca="false">тарифик!J617</f>
        <v>6961.1780455154</v>
      </c>
      <c r="E616" s="472"/>
      <c r="F616" s="473" t="n">
        <f aca="false">D616*0.9*0.095+D616*3%</f>
        <v>804.016064257028</v>
      </c>
      <c r="G616" s="472" t="n">
        <f aca="false">амортизация!M1774</f>
        <v>1461.93356648818</v>
      </c>
      <c r="H616" s="473" t="e">
        <f aca="false">C616+D616+F616+G616</f>
        <v>#NAME?</v>
      </c>
      <c r="I616" s="462" t="n">
        <f aca="false">I$190</f>
        <v>0.240474587202079</v>
      </c>
      <c r="J616" s="473" t="n">
        <f aca="false">D616*I616</f>
        <v>1673.98641693549</v>
      </c>
      <c r="K616" s="473" t="e">
        <f aca="false">H616+J616</f>
        <v>#NAME?</v>
      </c>
      <c r="L616" s="462" t="n">
        <v>0.2</v>
      </c>
      <c r="M616" s="473" t="e">
        <f aca="false">K616*L616</f>
        <v>#NAME?</v>
      </c>
      <c r="N616" s="473" t="e">
        <f aca="false">K616+M616</f>
        <v>#NAME?</v>
      </c>
      <c r="O616" s="473" t="e">
        <f aca="false">M616</f>
        <v>#NAME?</v>
      </c>
    </row>
    <row r="617" s="461" customFormat="true" ht="30" hidden="false" customHeight="false" outlineLevel="0" collapsed="false">
      <c r="A617" s="327" t="s">
        <v>1043</v>
      </c>
      <c r="B617" s="488" t="s">
        <v>3314</v>
      </c>
      <c r="C617" s="472" t="e">
        <f aca="false">мат.затр!g5115</f>
        <v>#NAME?</v>
      </c>
      <c r="D617" s="472" t="n">
        <f aca="false">тарифик!J618</f>
        <v>6961.1780455154</v>
      </c>
      <c r="E617" s="472"/>
      <c r="F617" s="473" t="n">
        <f aca="false">D617*0.9*0.095+D617*3%</f>
        <v>804.016064257028</v>
      </c>
      <c r="G617" s="472" t="n">
        <f aca="false">амортизация!M1782</f>
        <v>1463.43424512866</v>
      </c>
      <c r="H617" s="473" t="e">
        <f aca="false">C617+D617+F617+G617</f>
        <v>#NAME?</v>
      </c>
      <c r="I617" s="462" t="n">
        <f aca="false">I$190</f>
        <v>0.240474587202079</v>
      </c>
      <c r="J617" s="473" t="n">
        <f aca="false">D617*I617</f>
        <v>1673.98641693549</v>
      </c>
      <c r="K617" s="473" t="e">
        <f aca="false">H617+J617</f>
        <v>#NAME?</v>
      </c>
      <c r="L617" s="462" t="n">
        <v>0.2</v>
      </c>
      <c r="M617" s="473" t="e">
        <f aca="false">K617*L617</f>
        <v>#NAME?</v>
      </c>
      <c r="N617" s="473" t="e">
        <f aca="false">K617+M617</f>
        <v>#NAME?</v>
      </c>
      <c r="O617" s="473" t="e">
        <f aca="false">M617</f>
        <v>#NAME?</v>
      </c>
    </row>
    <row r="618" s="461" customFormat="true" ht="15" hidden="false" customHeight="false" outlineLevel="0" collapsed="false">
      <c r="A618" s="327" t="s">
        <v>1045</v>
      </c>
      <c r="B618" s="488" t="s">
        <v>3315</v>
      </c>
      <c r="C618" s="472" t="e">
        <f aca="false">мат.затр!g5128</f>
        <v>#NAME?</v>
      </c>
      <c r="D618" s="472" t="n">
        <f aca="false">тарифик!J619</f>
        <v>6961.1780455154</v>
      </c>
      <c r="E618" s="472"/>
      <c r="F618" s="473" t="n">
        <f aca="false">D618*0.9*0.095+D618*3%</f>
        <v>804.016064257028</v>
      </c>
      <c r="G618" s="472" t="n">
        <f aca="false">амортизация!M1790</f>
        <v>1461.01031793842</v>
      </c>
      <c r="H618" s="473" t="e">
        <f aca="false">C618+D618+F618+G618</f>
        <v>#NAME?</v>
      </c>
      <c r="I618" s="462" t="n">
        <f aca="false">I$190</f>
        <v>0.240474587202079</v>
      </c>
      <c r="J618" s="473" t="n">
        <f aca="false">D618*I618</f>
        <v>1673.98641693549</v>
      </c>
      <c r="K618" s="473" t="e">
        <f aca="false">H618+J618</f>
        <v>#NAME?</v>
      </c>
      <c r="L618" s="462" t="n">
        <v>0.2</v>
      </c>
      <c r="M618" s="473" t="e">
        <f aca="false">K618*L618</f>
        <v>#NAME?</v>
      </c>
      <c r="N618" s="473" t="e">
        <f aca="false">K618+M618</f>
        <v>#NAME?</v>
      </c>
      <c r="O618" s="473" t="e">
        <f aca="false">M618</f>
        <v>#NAME?</v>
      </c>
    </row>
    <row r="619" s="461" customFormat="true" ht="29.25" hidden="false" customHeight="true" outlineLevel="0" collapsed="false">
      <c r="A619" s="350" t="s">
        <v>1047</v>
      </c>
      <c r="B619" s="346" t="s">
        <v>3316</v>
      </c>
      <c r="C619" s="468"/>
      <c r="D619" s="468"/>
      <c r="E619" s="472"/>
      <c r="F619" s="468"/>
      <c r="G619" s="468"/>
      <c r="H619" s="474"/>
      <c r="I619" s="475"/>
      <c r="J619" s="474"/>
      <c r="K619" s="474"/>
      <c r="L619" s="475"/>
      <c r="M619" s="474"/>
      <c r="N619" s="474"/>
      <c r="O619" s="474"/>
    </row>
    <row r="620" s="461" customFormat="true" ht="15" hidden="false" customHeight="false" outlineLevel="0" collapsed="false">
      <c r="A620" s="327" t="s">
        <v>1049</v>
      </c>
      <c r="B620" s="433" t="s">
        <v>3307</v>
      </c>
      <c r="C620" s="472" t="e">
        <f aca="false">мат.затр!g5149</f>
        <v>#NAME?</v>
      </c>
      <c r="D620" s="472" t="n">
        <f aca="false">тарифик!J621</f>
        <v>6961.1780455154</v>
      </c>
      <c r="E620" s="472"/>
      <c r="F620" s="473" t="n">
        <f aca="false">D620*0.9*0.095+D620*3%</f>
        <v>804.016064257028</v>
      </c>
      <c r="G620" s="472" t="n">
        <f aca="false">амортизация!M1798</f>
        <v>323.423355458873</v>
      </c>
      <c r="H620" s="473" t="e">
        <f aca="false">C620+D620+F620+G620</f>
        <v>#NAME?</v>
      </c>
      <c r="I620" s="462" t="n">
        <f aca="false">I$190</f>
        <v>0.240474587202079</v>
      </c>
      <c r="J620" s="473" t="n">
        <f aca="false">D620*I620</f>
        <v>1673.98641693549</v>
      </c>
      <c r="K620" s="473" t="e">
        <f aca="false">H620+J620</f>
        <v>#NAME?</v>
      </c>
      <c r="L620" s="462" t="n">
        <v>0.2</v>
      </c>
      <c r="M620" s="473" t="e">
        <f aca="false">K620*L620</f>
        <v>#NAME?</v>
      </c>
      <c r="N620" s="473" t="e">
        <f aca="false">K620+M620</f>
        <v>#NAME?</v>
      </c>
      <c r="O620" s="473" t="e">
        <f aca="false">M620</f>
        <v>#NAME?</v>
      </c>
    </row>
    <row r="621" s="461" customFormat="true" ht="15" hidden="false" customHeight="false" outlineLevel="0" collapsed="false">
      <c r="A621" s="327" t="s">
        <v>1050</v>
      </c>
      <c r="B621" s="433" t="s">
        <v>3310</v>
      </c>
      <c r="C621" s="472" t="e">
        <f aca="false">мат.затр!g5166</f>
        <v>#NAME?</v>
      </c>
      <c r="D621" s="472" t="n">
        <f aca="false">тарифик!J622</f>
        <v>6961.1780455154</v>
      </c>
      <c r="E621" s="472"/>
      <c r="F621" s="473" t="n">
        <f aca="false">D621*0.9*0.095+D621*3%</f>
        <v>804.016064257028</v>
      </c>
      <c r="G621" s="472" t="n">
        <f aca="false">амортизация!M1805</f>
        <v>2221.09484530715</v>
      </c>
      <c r="H621" s="473" t="e">
        <f aca="false">C621+D621+F621+G621</f>
        <v>#NAME?</v>
      </c>
      <c r="I621" s="462" t="n">
        <f aca="false">I$190</f>
        <v>0.240474587202079</v>
      </c>
      <c r="J621" s="473" t="n">
        <f aca="false">D621*I621</f>
        <v>1673.98641693549</v>
      </c>
      <c r="K621" s="473" t="e">
        <f aca="false">H621+J621</f>
        <v>#NAME?</v>
      </c>
      <c r="L621" s="462" t="n">
        <v>0.2</v>
      </c>
      <c r="M621" s="473" t="e">
        <f aca="false">K621*L621</f>
        <v>#NAME?</v>
      </c>
      <c r="N621" s="473" t="e">
        <f aca="false">K621+M621</f>
        <v>#NAME?</v>
      </c>
      <c r="O621" s="473" t="e">
        <f aca="false">M621</f>
        <v>#NAME?</v>
      </c>
    </row>
    <row r="622" s="461" customFormat="true" ht="15" hidden="false" customHeight="false" outlineLevel="0" collapsed="false">
      <c r="A622" s="327" t="s">
        <v>1052</v>
      </c>
      <c r="B622" s="433" t="s">
        <v>3317</v>
      </c>
      <c r="C622" s="457" t="e">
        <f aca="false">мат.затр!g5181</f>
        <v>#NAME?</v>
      </c>
      <c r="D622" s="457" t="n">
        <f aca="false">тарифик!J623</f>
        <v>6961.1780455154</v>
      </c>
      <c r="E622" s="457"/>
      <c r="F622" s="473" t="n">
        <f aca="false">D622*0.9*0.095+D622*3%</f>
        <v>804.016064257028</v>
      </c>
      <c r="G622" s="457" t="n">
        <f aca="false">амортизация!M1813</f>
        <v>1463.43424512866</v>
      </c>
      <c r="H622" s="473" t="e">
        <f aca="false">C622+D622+F622+G622</f>
        <v>#NAME?</v>
      </c>
      <c r="I622" s="462" t="n">
        <f aca="false">I$190</f>
        <v>0.240474587202079</v>
      </c>
      <c r="J622" s="473" t="n">
        <f aca="false">D622*I622</f>
        <v>1673.98641693549</v>
      </c>
      <c r="K622" s="473" t="e">
        <f aca="false">H622+J622</f>
        <v>#NAME?</v>
      </c>
      <c r="L622" s="462" t="n">
        <v>0.2</v>
      </c>
      <c r="M622" s="473" t="e">
        <f aca="false">K622*L622</f>
        <v>#NAME?</v>
      </c>
      <c r="N622" s="473" t="e">
        <f aca="false">K622+M622</f>
        <v>#NAME?</v>
      </c>
      <c r="O622" s="473" t="e">
        <f aca="false">M622</f>
        <v>#NAME?</v>
      </c>
    </row>
    <row r="623" s="461" customFormat="true" ht="28.5" hidden="false" customHeight="false" outlineLevel="0" collapsed="false">
      <c r="A623" s="350" t="s">
        <v>1054</v>
      </c>
      <c r="B623" s="467" t="s">
        <v>3318</v>
      </c>
      <c r="C623" s="468"/>
      <c r="D623" s="468"/>
      <c r="E623" s="472"/>
      <c r="F623" s="468"/>
      <c r="G623" s="468"/>
      <c r="H623" s="474"/>
      <c r="I623" s="475"/>
      <c r="J623" s="474"/>
      <c r="K623" s="474"/>
      <c r="L623" s="475"/>
      <c r="M623" s="474"/>
      <c r="N623" s="474"/>
      <c r="O623" s="474"/>
    </row>
    <row r="624" s="461" customFormat="true" ht="15" hidden="false" customHeight="false" outlineLevel="0" collapsed="false">
      <c r="A624" s="327" t="s">
        <v>1056</v>
      </c>
      <c r="B624" s="433" t="s">
        <v>3307</v>
      </c>
      <c r="C624" s="472" t="e">
        <f aca="false">мат.затр!g5196</f>
        <v>#NAME?</v>
      </c>
      <c r="D624" s="472" t="n">
        <f aca="false">тарифик!J625</f>
        <v>6961.1780455154</v>
      </c>
      <c r="E624" s="472"/>
      <c r="F624" s="473" t="n">
        <f aca="false">D624*0.9*0.095+D624*3%</f>
        <v>804.016064257028</v>
      </c>
      <c r="G624" s="472" t="n">
        <f aca="false">амортизация!M1824</f>
        <v>386.319072586643</v>
      </c>
      <c r="H624" s="473" t="e">
        <f aca="false">C624+D624+F624+G624</f>
        <v>#NAME?</v>
      </c>
      <c r="I624" s="462" t="n">
        <f aca="false">I$190</f>
        <v>0.240474587202079</v>
      </c>
      <c r="J624" s="473" t="n">
        <f aca="false">D624*I624</f>
        <v>1673.98641693549</v>
      </c>
      <c r="K624" s="473" t="e">
        <f aca="false">H624+J624</f>
        <v>#NAME?</v>
      </c>
      <c r="L624" s="462" t="n">
        <v>0.2</v>
      </c>
      <c r="M624" s="473" t="e">
        <f aca="false">K624*L624</f>
        <v>#NAME?</v>
      </c>
      <c r="N624" s="473" t="e">
        <f aca="false">K624+M624</f>
        <v>#NAME?</v>
      </c>
      <c r="O624" s="473" t="e">
        <f aca="false">M624</f>
        <v>#NAME?</v>
      </c>
    </row>
    <row r="625" s="461" customFormat="true" ht="15" hidden="false" customHeight="false" outlineLevel="0" collapsed="false">
      <c r="A625" s="327" t="s">
        <v>1057</v>
      </c>
      <c r="B625" s="433" t="s">
        <v>3309</v>
      </c>
      <c r="C625" s="472" t="e">
        <f aca="false">мат.затр!g5217</f>
        <v>#NAME?</v>
      </c>
      <c r="D625" s="472" t="n">
        <f aca="false">тарифик!J626</f>
        <v>6961.1780455154</v>
      </c>
      <c r="E625" s="472"/>
      <c r="F625" s="473" t="n">
        <f aca="false">D625*0.9*0.095+D625*3%</f>
        <v>804.016064257028</v>
      </c>
      <c r="G625" s="472" t="n">
        <f aca="false">амортизация!M1834</f>
        <v>2415.97628644206</v>
      </c>
      <c r="H625" s="473" t="e">
        <f aca="false">C625+D625+F625+G625</f>
        <v>#NAME?</v>
      </c>
      <c r="I625" s="462" t="n">
        <f aca="false">I$190</f>
        <v>0.240474587202079</v>
      </c>
      <c r="J625" s="473" t="n">
        <f aca="false">D625*I625</f>
        <v>1673.98641693549</v>
      </c>
      <c r="K625" s="473" t="e">
        <f aca="false">H625+J625</f>
        <v>#NAME?</v>
      </c>
      <c r="L625" s="462" t="n">
        <v>0.2</v>
      </c>
      <c r="M625" s="473" t="e">
        <f aca="false">K625*L625</f>
        <v>#NAME?</v>
      </c>
      <c r="N625" s="473" t="e">
        <f aca="false">K625+M625</f>
        <v>#NAME?</v>
      </c>
      <c r="O625" s="473" t="e">
        <f aca="false">M625</f>
        <v>#NAME?</v>
      </c>
    </row>
    <row r="626" s="461" customFormat="true" ht="30" hidden="false" customHeight="false" outlineLevel="0" collapsed="false">
      <c r="A626" s="327" t="s">
        <v>1058</v>
      </c>
      <c r="B626" s="433" t="s">
        <v>3319</v>
      </c>
      <c r="C626" s="472" t="e">
        <f aca="false">мат.затр!g5233</f>
        <v>#NAME?</v>
      </c>
      <c r="D626" s="472" t="n">
        <f aca="false">тарифик!J627</f>
        <v>9103.07898259706</v>
      </c>
      <c r="E626" s="472"/>
      <c r="F626" s="473" t="n">
        <f aca="false">D626*0.9*0.095+D626*3%</f>
        <v>1051.40562248996</v>
      </c>
      <c r="G626" s="472" t="n">
        <f aca="false">амортизация!M1844</f>
        <v>401.685417596311</v>
      </c>
      <c r="H626" s="473" t="e">
        <f aca="false">C626+D626+F626+G626</f>
        <v>#NAME?</v>
      </c>
      <c r="I626" s="462" t="n">
        <f aca="false">I$190</f>
        <v>0.240474587202079</v>
      </c>
      <c r="J626" s="473" t="n">
        <f aca="false">D626*I626</f>
        <v>2189.05916060795</v>
      </c>
      <c r="K626" s="473" t="e">
        <f aca="false">H626+J626</f>
        <v>#NAME?</v>
      </c>
      <c r="L626" s="462" t="n">
        <v>0.2</v>
      </c>
      <c r="M626" s="473" t="e">
        <f aca="false">K626*L626</f>
        <v>#NAME?</v>
      </c>
      <c r="N626" s="473" t="e">
        <f aca="false">K626+M626</f>
        <v>#NAME?</v>
      </c>
      <c r="O626" s="473" t="e">
        <f aca="false">M626</f>
        <v>#NAME?</v>
      </c>
    </row>
    <row r="627" s="461" customFormat="true" ht="15" hidden="false" customHeight="false" outlineLevel="0" collapsed="false">
      <c r="A627" s="350" t="s">
        <v>1060</v>
      </c>
      <c r="B627" s="467" t="s">
        <v>3320</v>
      </c>
      <c r="C627" s="468"/>
      <c r="D627" s="468"/>
      <c r="E627" s="472"/>
      <c r="F627" s="468"/>
      <c r="G627" s="468"/>
      <c r="H627" s="474"/>
      <c r="I627" s="475"/>
      <c r="J627" s="474"/>
      <c r="K627" s="474"/>
      <c r="L627" s="475"/>
      <c r="M627" s="474"/>
      <c r="N627" s="474"/>
      <c r="O627" s="474"/>
    </row>
    <row r="628" s="461" customFormat="true" ht="15" hidden="false" customHeight="false" outlineLevel="0" collapsed="false">
      <c r="A628" s="327" t="s">
        <v>1062</v>
      </c>
      <c r="B628" s="433" t="s">
        <v>3307</v>
      </c>
      <c r="C628" s="472" t="e">
        <f aca="false">мат.затр!g5259</f>
        <v>#NAME?</v>
      </c>
      <c r="D628" s="472" t="n">
        <f aca="false">тарифик!J629</f>
        <v>6961.1780455154</v>
      </c>
      <c r="E628" s="472"/>
      <c r="F628" s="473" t="n">
        <f aca="false">D628*0.9*0.095+D628*3%</f>
        <v>804.016064257028</v>
      </c>
      <c r="G628" s="472" t="n">
        <f aca="false">амортизация!M1855</f>
        <v>388.400695374089</v>
      </c>
      <c r="H628" s="473" t="e">
        <f aca="false">C628+D628+F628+G628</f>
        <v>#NAME?</v>
      </c>
      <c r="I628" s="462" t="n">
        <f aca="false">I$190</f>
        <v>0.240474587202079</v>
      </c>
      <c r="J628" s="473" t="n">
        <f aca="false">D628*I628</f>
        <v>1673.98641693549</v>
      </c>
      <c r="K628" s="473" t="e">
        <f aca="false">H628+J628</f>
        <v>#NAME?</v>
      </c>
      <c r="L628" s="462" t="n">
        <v>0.2</v>
      </c>
      <c r="M628" s="473" t="e">
        <f aca="false">K628*L628</f>
        <v>#NAME?</v>
      </c>
      <c r="N628" s="473" t="e">
        <f aca="false">K628+M628</f>
        <v>#NAME?</v>
      </c>
      <c r="O628" s="473" t="e">
        <f aca="false">M628</f>
        <v>#NAME?</v>
      </c>
    </row>
    <row r="629" s="461" customFormat="true" ht="15" hidden="false" customHeight="false" outlineLevel="0" collapsed="false">
      <c r="A629" s="327" t="s">
        <v>1064</v>
      </c>
      <c r="B629" s="433" t="s">
        <v>3308</v>
      </c>
      <c r="C629" s="472" t="e">
        <f aca="false">мат.затр!g5279</f>
        <v>#NAME?</v>
      </c>
      <c r="D629" s="472" t="n">
        <f aca="false">тарифик!J630</f>
        <v>12851.40562249</v>
      </c>
      <c r="E629" s="472"/>
      <c r="F629" s="473" t="n">
        <f aca="false">D629*0.9*0.095+D629*3%</f>
        <v>1484.33734939759</v>
      </c>
      <c r="G629" s="472" t="n">
        <f aca="false">амортизация!M1865</f>
        <v>382.515167150082</v>
      </c>
      <c r="H629" s="473" t="e">
        <f aca="false">C629+D629+F629+G629</f>
        <v>#NAME?</v>
      </c>
      <c r="I629" s="462" t="n">
        <f aca="false">I$190</f>
        <v>0.240474587202079</v>
      </c>
      <c r="J629" s="473" t="n">
        <f aca="false">D629*I629</f>
        <v>3090.43646203475</v>
      </c>
      <c r="K629" s="473" t="e">
        <f aca="false">H629+J629</f>
        <v>#NAME?</v>
      </c>
      <c r="L629" s="462" t="n">
        <v>0.2</v>
      </c>
      <c r="M629" s="473" t="e">
        <f aca="false">K629*L629</f>
        <v>#NAME?</v>
      </c>
      <c r="N629" s="473" t="e">
        <f aca="false">K629+M629</f>
        <v>#NAME?</v>
      </c>
      <c r="O629" s="473" t="e">
        <f aca="false">M629</f>
        <v>#NAME?</v>
      </c>
    </row>
    <row r="630" s="461" customFormat="true" ht="28.5" hidden="false" customHeight="false" outlineLevel="0" collapsed="false">
      <c r="A630" s="350" t="s">
        <v>1066</v>
      </c>
      <c r="B630" s="467" t="s">
        <v>3083</v>
      </c>
      <c r="C630" s="468"/>
      <c r="D630" s="468"/>
      <c r="E630" s="472"/>
      <c r="F630" s="468"/>
      <c r="G630" s="468"/>
      <c r="H630" s="474"/>
      <c r="I630" s="475"/>
      <c r="J630" s="474"/>
      <c r="K630" s="474"/>
      <c r="L630" s="475"/>
      <c r="M630" s="474"/>
      <c r="N630" s="474"/>
      <c r="O630" s="474"/>
    </row>
    <row r="631" s="461" customFormat="true" ht="15" hidden="false" customHeight="false" outlineLevel="0" collapsed="false">
      <c r="A631" s="327" t="s">
        <v>1068</v>
      </c>
      <c r="B631" s="433" t="s">
        <v>3307</v>
      </c>
      <c r="C631" s="472" t="e">
        <f aca="false">мат.затр!g5304</f>
        <v>#NAME?</v>
      </c>
      <c r="D631" s="472" t="n">
        <f aca="false">тарифик!J632</f>
        <v>9103.07898259706</v>
      </c>
      <c r="E631" s="472"/>
      <c r="F631" s="473" t="n">
        <f aca="false">D631*0.9*0.095+D631*3%</f>
        <v>1051.40562248996</v>
      </c>
      <c r="G631" s="472" t="n">
        <f aca="false">амортизация!M1876</f>
        <v>401.685417596311</v>
      </c>
      <c r="H631" s="473" t="e">
        <f aca="false">C631+D631+F631+G631</f>
        <v>#NAME?</v>
      </c>
      <c r="I631" s="462" t="n">
        <f aca="false">I$190</f>
        <v>0.240474587202079</v>
      </c>
      <c r="J631" s="473" t="n">
        <f aca="false">D631*I631</f>
        <v>2189.05916060795</v>
      </c>
      <c r="K631" s="473" t="e">
        <f aca="false">H631+J631</f>
        <v>#NAME?</v>
      </c>
      <c r="L631" s="462" t="n">
        <v>0.2</v>
      </c>
      <c r="M631" s="473" t="e">
        <f aca="false">K631*L631</f>
        <v>#NAME?</v>
      </c>
      <c r="N631" s="473" t="e">
        <f aca="false">K631+M631</f>
        <v>#NAME?</v>
      </c>
      <c r="O631" s="473" t="e">
        <f aca="false">M631</f>
        <v>#NAME?</v>
      </c>
    </row>
    <row r="632" s="461" customFormat="true" ht="15" hidden="false" customHeight="false" outlineLevel="0" collapsed="false">
      <c r="A632" s="327" t="s">
        <v>1069</v>
      </c>
      <c r="B632" s="433" t="s">
        <v>3321</v>
      </c>
      <c r="C632" s="472" t="e">
        <f aca="false">мат.затр!g5322</f>
        <v>#NAME?</v>
      </c>
      <c r="D632" s="472" t="n">
        <f aca="false">тарифик!J633</f>
        <v>9103.07898259706</v>
      </c>
      <c r="E632" s="472"/>
      <c r="F632" s="473" t="n">
        <f aca="false">D632*0.9*0.095+D632*3%</f>
        <v>1051.40562248996</v>
      </c>
      <c r="G632" s="472" t="n">
        <f aca="false">амортизация!M1886</f>
        <v>5088.99142105459</v>
      </c>
      <c r="H632" s="473" t="e">
        <f aca="false">C632+D632+F632+G632</f>
        <v>#NAME?</v>
      </c>
      <c r="I632" s="462" t="n">
        <f aca="false">I$190</f>
        <v>0.240474587202079</v>
      </c>
      <c r="J632" s="473" t="n">
        <f aca="false">D632*I632</f>
        <v>2189.05916060795</v>
      </c>
      <c r="K632" s="473" t="e">
        <f aca="false">H632+J632</f>
        <v>#NAME?</v>
      </c>
      <c r="L632" s="462" t="n">
        <v>0.2</v>
      </c>
      <c r="M632" s="473" t="e">
        <f aca="false">K632*L632</f>
        <v>#NAME?</v>
      </c>
      <c r="N632" s="473" t="e">
        <f aca="false">K632+M632</f>
        <v>#NAME?</v>
      </c>
      <c r="O632" s="473" t="e">
        <f aca="false">M632</f>
        <v>#NAME?</v>
      </c>
    </row>
    <row r="633" s="461" customFormat="true" ht="15" hidden="false" customHeight="false" outlineLevel="0" collapsed="false">
      <c r="A633" s="327" t="s">
        <v>1070</v>
      </c>
      <c r="B633" s="433" t="s">
        <v>3310</v>
      </c>
      <c r="C633" s="472" t="e">
        <f aca="false">мат.затр!g5346</f>
        <v>#NAME?</v>
      </c>
      <c r="D633" s="472" t="n">
        <f aca="false">тарифик!J634</f>
        <v>6961.1780455154</v>
      </c>
      <c r="E633" s="472"/>
      <c r="F633" s="473" t="n">
        <f aca="false">D633*0.9*0.095+D633*3%</f>
        <v>804.016064257028</v>
      </c>
      <c r="G633" s="472" t="n">
        <f aca="false">амортизация!M1896</f>
        <v>2237.42791834003</v>
      </c>
      <c r="H633" s="473" t="e">
        <f aca="false">C633+D633+F633+G633</f>
        <v>#NAME?</v>
      </c>
      <c r="I633" s="462" t="n">
        <f aca="false">I$190</f>
        <v>0.240474587202079</v>
      </c>
      <c r="J633" s="473" t="n">
        <f aca="false">D633*I633</f>
        <v>1673.98641693549</v>
      </c>
      <c r="K633" s="473" t="e">
        <f aca="false">H633+J633</f>
        <v>#NAME?</v>
      </c>
      <c r="L633" s="462" t="n">
        <v>0.2</v>
      </c>
      <c r="M633" s="473" t="e">
        <f aca="false">K633*L633</f>
        <v>#NAME?</v>
      </c>
      <c r="N633" s="473" t="e">
        <f aca="false">K633+M633</f>
        <v>#NAME?</v>
      </c>
      <c r="O633" s="473" t="e">
        <f aca="false">M633</f>
        <v>#NAME?</v>
      </c>
    </row>
    <row r="634" s="461" customFormat="true" ht="28.5" hidden="false" customHeight="false" outlineLevel="0" collapsed="false">
      <c r="A634" s="350" t="s">
        <v>1071</v>
      </c>
      <c r="B634" s="467" t="s">
        <v>3322</v>
      </c>
      <c r="C634" s="468"/>
      <c r="D634" s="468"/>
      <c r="E634" s="472"/>
      <c r="F634" s="468"/>
      <c r="G634" s="468"/>
      <c r="H634" s="474"/>
      <c r="I634" s="475"/>
      <c r="J634" s="474"/>
      <c r="K634" s="474"/>
      <c r="L634" s="475"/>
      <c r="M634" s="474"/>
      <c r="N634" s="474"/>
      <c r="O634" s="474"/>
    </row>
    <row r="635" s="461" customFormat="true" ht="15" hidden="false" customHeight="false" outlineLevel="0" collapsed="false">
      <c r="A635" s="327" t="s">
        <v>1073</v>
      </c>
      <c r="B635" s="488" t="s">
        <v>3323</v>
      </c>
      <c r="C635" s="472" t="e">
        <f aca="false">мат.затр!g5363</f>
        <v>#NAME?</v>
      </c>
      <c r="D635" s="472" t="n">
        <f aca="false">тарифик!J636</f>
        <v>9103.07898259706</v>
      </c>
      <c r="E635" s="472"/>
      <c r="F635" s="473" t="n">
        <f aca="false">D635*0.9*0.095+D635*3%</f>
        <v>1051.40562248996</v>
      </c>
      <c r="G635" s="472" t="n">
        <f aca="false">амортизация!M1907</f>
        <v>401.685417596311</v>
      </c>
      <c r="H635" s="473" t="e">
        <f aca="false">C635+D635+F635+G635</f>
        <v>#NAME?</v>
      </c>
      <c r="I635" s="462" t="n">
        <f aca="false">I$190</f>
        <v>0.240474587202079</v>
      </c>
      <c r="J635" s="473" t="n">
        <f aca="false">D635*I635</f>
        <v>2189.05916060795</v>
      </c>
      <c r="K635" s="473" t="e">
        <f aca="false">H635+J635</f>
        <v>#NAME?</v>
      </c>
      <c r="L635" s="462" t="n">
        <v>0.2</v>
      </c>
      <c r="M635" s="473" t="e">
        <f aca="false">K635*L635</f>
        <v>#NAME?</v>
      </c>
      <c r="N635" s="473" t="e">
        <f aca="false">K635+M635</f>
        <v>#NAME?</v>
      </c>
      <c r="O635" s="473" t="e">
        <f aca="false">M635</f>
        <v>#NAME?</v>
      </c>
    </row>
    <row r="636" s="461" customFormat="true" ht="15" hidden="false" customHeight="false" outlineLevel="0" collapsed="false">
      <c r="A636" s="327" t="s">
        <v>1074</v>
      </c>
      <c r="B636" s="488" t="s">
        <v>3324</v>
      </c>
      <c r="C636" s="472" t="e">
        <f aca="false">мат.затр!g5387</f>
        <v>#NAME?</v>
      </c>
      <c r="D636" s="472" t="n">
        <f aca="false">тарифик!J637</f>
        <v>8299.86613119143</v>
      </c>
      <c r="E636" s="472"/>
      <c r="F636" s="473" t="n">
        <f aca="false">D636*0.9*0.095+D636*3%</f>
        <v>958.634538152611</v>
      </c>
      <c r="G636" s="472" t="n">
        <f aca="false">амортизация!M1917</f>
        <v>398.348974602112</v>
      </c>
      <c r="H636" s="473" t="e">
        <f aca="false">C636+D636+F636+G636</f>
        <v>#NAME?</v>
      </c>
      <c r="I636" s="462" t="n">
        <f aca="false">I$190</f>
        <v>0.240474587202079</v>
      </c>
      <c r="J636" s="473" t="n">
        <f aca="false">D636*I636</f>
        <v>1995.90688173078</v>
      </c>
      <c r="K636" s="473" t="e">
        <f aca="false">H636+J636</f>
        <v>#NAME?</v>
      </c>
      <c r="L636" s="462" t="n">
        <v>0.2</v>
      </c>
      <c r="M636" s="473" t="e">
        <f aca="false">K636*L636</f>
        <v>#NAME?</v>
      </c>
      <c r="N636" s="473" t="e">
        <f aca="false">K636+M636</f>
        <v>#NAME?</v>
      </c>
      <c r="O636" s="473" t="e">
        <f aca="false">M636</f>
        <v>#NAME?</v>
      </c>
    </row>
    <row r="637" s="461" customFormat="true" ht="15" hidden="false" customHeight="false" outlineLevel="0" collapsed="false">
      <c r="A637" s="327" t="s">
        <v>1076</v>
      </c>
      <c r="B637" s="488" t="s">
        <v>3310</v>
      </c>
      <c r="C637" s="472" t="e">
        <f aca="false">мат.затр!g5410</f>
        <v>#NAME?</v>
      </c>
      <c r="D637" s="472" t="n">
        <f aca="false">тарифик!J638</f>
        <v>6961.1780455154</v>
      </c>
      <c r="E637" s="472"/>
      <c r="F637" s="473" t="n">
        <f aca="false">D637*0.9*0.095+D637*3%</f>
        <v>804.016064257028</v>
      </c>
      <c r="G637" s="472" t="n">
        <f aca="false">амортизация!M1927</f>
        <v>2239.69204428826</v>
      </c>
      <c r="H637" s="473" t="e">
        <f aca="false">C637+D637+F637+G637</f>
        <v>#NAME?</v>
      </c>
      <c r="I637" s="462" t="n">
        <f aca="false">I$190</f>
        <v>0.240474587202079</v>
      </c>
      <c r="J637" s="473" t="n">
        <f aca="false">D637*I637</f>
        <v>1673.98641693549</v>
      </c>
      <c r="K637" s="473" t="e">
        <f aca="false">H637+J637</f>
        <v>#NAME?</v>
      </c>
      <c r="L637" s="462" t="n">
        <v>0.2</v>
      </c>
      <c r="M637" s="473" t="e">
        <f aca="false">K637*L637</f>
        <v>#NAME?</v>
      </c>
      <c r="N637" s="473" t="e">
        <f aca="false">K637+M637</f>
        <v>#NAME?</v>
      </c>
      <c r="O637" s="473" t="e">
        <f aca="false">M637</f>
        <v>#NAME?</v>
      </c>
    </row>
    <row r="638" s="461" customFormat="true" ht="30" hidden="false" customHeight="false" outlineLevel="0" collapsed="false">
      <c r="A638" s="327" t="s">
        <v>1077</v>
      </c>
      <c r="B638" s="488" t="s">
        <v>3325</v>
      </c>
      <c r="C638" s="472" t="e">
        <f aca="false">мат.затр!g5432</f>
        <v>#NAME?</v>
      </c>
      <c r="D638" s="472" t="n">
        <f aca="false">тарифик!J639</f>
        <v>9103.07898259706</v>
      </c>
      <c r="E638" s="472"/>
      <c r="F638" s="473" t="n">
        <f aca="false">D638*0.9*0.095+D638*3%</f>
        <v>1051.40562248996</v>
      </c>
      <c r="G638" s="472" t="n">
        <f aca="false">амортизация!M1937</f>
        <v>403.368074148446</v>
      </c>
      <c r="H638" s="473" t="e">
        <f aca="false">C638+D638+F638+G638</f>
        <v>#NAME?</v>
      </c>
      <c r="I638" s="462" t="n">
        <f aca="false">I$190</f>
        <v>0.240474587202079</v>
      </c>
      <c r="J638" s="473" t="n">
        <f aca="false">D638*I638</f>
        <v>2189.05916060795</v>
      </c>
      <c r="K638" s="473" t="e">
        <f aca="false">H638+J638</f>
        <v>#NAME?</v>
      </c>
      <c r="L638" s="462" t="n">
        <v>0.2</v>
      </c>
      <c r="M638" s="473" t="e">
        <f aca="false">K638*L638</f>
        <v>#NAME?</v>
      </c>
      <c r="N638" s="473" t="e">
        <f aca="false">K638+M638</f>
        <v>#NAME?</v>
      </c>
      <c r="O638" s="473" t="e">
        <f aca="false">M638</f>
        <v>#NAME?</v>
      </c>
    </row>
    <row r="639" s="461" customFormat="true" ht="30" hidden="false" customHeight="false" outlineLevel="0" collapsed="false">
      <c r="A639" s="327" t="s">
        <v>1079</v>
      </c>
      <c r="B639" s="488" t="s">
        <v>3314</v>
      </c>
      <c r="C639" s="472" t="e">
        <f aca="false">мат.затр!g5459</f>
        <v>#NAME?</v>
      </c>
      <c r="D639" s="472" t="n">
        <f aca="false">тарифик!J640</f>
        <v>6961.1780455154</v>
      </c>
      <c r="E639" s="472"/>
      <c r="F639" s="473" t="n">
        <f aca="false">D639*0.9*0.095+D639*3%</f>
        <v>804.016064257028</v>
      </c>
      <c r="G639" s="472" t="n">
        <f aca="false">амортизация!M1947</f>
        <v>1461.3610402722</v>
      </c>
      <c r="H639" s="473" t="e">
        <f aca="false">C639+D639+F639+G639</f>
        <v>#NAME?</v>
      </c>
      <c r="I639" s="462" t="n">
        <f aca="false">I$190</f>
        <v>0.240474587202079</v>
      </c>
      <c r="J639" s="473" t="n">
        <f aca="false">D639*I639</f>
        <v>1673.98641693549</v>
      </c>
      <c r="K639" s="473" t="e">
        <f aca="false">H639+J639</f>
        <v>#NAME?</v>
      </c>
      <c r="L639" s="462" t="n">
        <v>0.2</v>
      </c>
      <c r="M639" s="473" t="e">
        <f aca="false">K639*L639</f>
        <v>#NAME?</v>
      </c>
      <c r="N639" s="473" t="e">
        <f aca="false">K639+M639</f>
        <v>#NAME?</v>
      </c>
      <c r="O639" s="473" t="e">
        <f aca="false">M639</f>
        <v>#NAME?</v>
      </c>
    </row>
    <row r="640" s="461" customFormat="true" ht="15" hidden="false" customHeight="false" outlineLevel="0" collapsed="false">
      <c r="A640" s="327" t="s">
        <v>1080</v>
      </c>
      <c r="B640" s="488" t="s">
        <v>3312</v>
      </c>
      <c r="C640" s="472" t="e">
        <f aca="false">мат.затр!g5481</f>
        <v>#NAME?</v>
      </c>
      <c r="D640" s="472" t="n">
        <f aca="false">тарифик!J641</f>
        <v>6961.1780455154</v>
      </c>
      <c r="E640" s="472"/>
      <c r="F640" s="473" t="n">
        <f aca="false">D640*0.9*0.095+D640*3%</f>
        <v>804.016064257028</v>
      </c>
      <c r="G640" s="472" t="n">
        <f aca="false">амортизация!M1957</f>
        <v>368.399779674253</v>
      </c>
      <c r="H640" s="473" t="e">
        <f aca="false">C640+D640+F640+G640</f>
        <v>#NAME?</v>
      </c>
      <c r="I640" s="462" t="n">
        <f aca="false">I$190</f>
        <v>0.240474587202079</v>
      </c>
      <c r="J640" s="473" t="n">
        <f aca="false">D640*I640</f>
        <v>1673.98641693549</v>
      </c>
      <c r="K640" s="473" t="e">
        <f aca="false">H640+J640</f>
        <v>#NAME?</v>
      </c>
      <c r="L640" s="462" t="n">
        <v>0.2</v>
      </c>
      <c r="M640" s="473" t="e">
        <f aca="false">K640*L640</f>
        <v>#NAME?</v>
      </c>
      <c r="N640" s="473" t="e">
        <f aca="false">K640+M640</f>
        <v>#NAME?</v>
      </c>
      <c r="O640" s="473" t="e">
        <f aca="false">M640</f>
        <v>#NAME?</v>
      </c>
    </row>
    <row r="641" s="461" customFormat="true" ht="15" hidden="false" customHeight="false" outlineLevel="0" collapsed="false">
      <c r="A641" s="327" t="s">
        <v>1081</v>
      </c>
      <c r="B641" s="488" t="s">
        <v>3309</v>
      </c>
      <c r="C641" s="472" t="e">
        <f aca="false">мат.затр!g5505</f>
        <v>#NAME?</v>
      </c>
      <c r="D641" s="472" t="n">
        <f aca="false">тарифик!J642</f>
        <v>6961.1780455154</v>
      </c>
      <c r="E641" s="472"/>
      <c r="F641" s="473" t="n">
        <f aca="false">D641*0.9*0.095+D641*3%</f>
        <v>804.016064257028</v>
      </c>
      <c r="G641" s="472" t="n">
        <f aca="false">амортизация!M1966</f>
        <v>1574.86598821211</v>
      </c>
      <c r="H641" s="473" t="e">
        <f aca="false">C641+D641+F641+G641</f>
        <v>#NAME?</v>
      </c>
      <c r="I641" s="462" t="n">
        <f aca="false">I$190</f>
        <v>0.240474587202079</v>
      </c>
      <c r="J641" s="473" t="n">
        <f aca="false">D641*I641</f>
        <v>1673.98641693549</v>
      </c>
      <c r="K641" s="473" t="e">
        <f aca="false">H641+J641</f>
        <v>#NAME?</v>
      </c>
      <c r="L641" s="462" t="n">
        <v>0.2</v>
      </c>
      <c r="M641" s="473" t="e">
        <f aca="false">K641*L641</f>
        <v>#NAME?</v>
      </c>
      <c r="N641" s="473" t="e">
        <f aca="false">K641+M641</f>
        <v>#NAME?</v>
      </c>
      <c r="O641" s="473" t="e">
        <f aca="false">M641</f>
        <v>#NAME?</v>
      </c>
    </row>
    <row r="642" s="461" customFormat="true" ht="15" hidden="false" customHeight="false" outlineLevel="0" collapsed="false">
      <c r="A642" s="327" t="s">
        <v>1082</v>
      </c>
      <c r="B642" s="488" t="s">
        <v>3315</v>
      </c>
      <c r="C642" s="472" t="e">
        <f aca="false">мат.затр!g5524</f>
        <v>#NAME?</v>
      </c>
      <c r="D642" s="472" t="n">
        <f aca="false">тарифик!J643</f>
        <v>7228.9156626506</v>
      </c>
      <c r="E642" s="472"/>
      <c r="F642" s="473" t="n">
        <f aca="false">D642*0.9*0.095+D642*3%</f>
        <v>834.939759036145</v>
      </c>
      <c r="G642" s="472" t="n">
        <f aca="false">амортизация!M1976</f>
        <v>1464.14997378403</v>
      </c>
      <c r="H642" s="473" t="e">
        <f aca="false">C642+D642+F642+G642</f>
        <v>#NAME?</v>
      </c>
      <c r="I642" s="462" t="n">
        <f aca="false">I$190</f>
        <v>0.240474587202079</v>
      </c>
      <c r="J642" s="473" t="n">
        <f aca="false">D642*I642</f>
        <v>1738.37050989455</v>
      </c>
      <c r="K642" s="473" t="e">
        <f aca="false">H642+J642</f>
        <v>#NAME?</v>
      </c>
      <c r="L642" s="462" t="n">
        <v>0.2</v>
      </c>
      <c r="M642" s="473" t="e">
        <f aca="false">K642*L642</f>
        <v>#NAME?</v>
      </c>
      <c r="N642" s="473" t="e">
        <f aca="false">K642+M642</f>
        <v>#NAME?</v>
      </c>
      <c r="O642" s="473" t="e">
        <f aca="false">M642</f>
        <v>#NAME?</v>
      </c>
    </row>
    <row r="643" s="461" customFormat="true" ht="30" hidden="false" customHeight="false" outlineLevel="0" collapsed="false">
      <c r="A643" s="327" t="s">
        <v>1084</v>
      </c>
      <c r="B643" s="488" t="s">
        <v>3311</v>
      </c>
      <c r="C643" s="472" t="e">
        <f aca="false">мат.затр!g5550</f>
        <v>#NAME?</v>
      </c>
      <c r="D643" s="472" t="n">
        <f aca="false">тарифик!J644</f>
        <v>9103.07898259706</v>
      </c>
      <c r="E643" s="472"/>
      <c r="F643" s="473" t="n">
        <f aca="false">D643*0.9*0.095+D643*3%</f>
        <v>1051.40562248996</v>
      </c>
      <c r="G643" s="472" t="n">
        <f aca="false">амортизация!M1986</f>
        <v>1474.38140878328</v>
      </c>
      <c r="H643" s="473" t="e">
        <f aca="false">C643+D643+F643+G643</f>
        <v>#NAME?</v>
      </c>
      <c r="I643" s="462" t="n">
        <f aca="false">I$190</f>
        <v>0.240474587202079</v>
      </c>
      <c r="J643" s="473" t="n">
        <f aca="false">D643*I643</f>
        <v>2189.05916060795</v>
      </c>
      <c r="K643" s="473" t="e">
        <f aca="false">H643+J643</f>
        <v>#NAME?</v>
      </c>
      <c r="L643" s="462" t="n">
        <v>0.2</v>
      </c>
      <c r="M643" s="473" t="e">
        <f aca="false">K643*L643</f>
        <v>#NAME?</v>
      </c>
      <c r="N643" s="473" t="e">
        <f aca="false">K643+M643</f>
        <v>#NAME?</v>
      </c>
      <c r="O643" s="473" t="e">
        <f aca="false">M643</f>
        <v>#NAME?</v>
      </c>
    </row>
    <row r="644" s="461" customFormat="true" ht="30" hidden="false" customHeight="false" outlineLevel="0" collapsed="false">
      <c r="A644" s="327" t="s">
        <v>1085</v>
      </c>
      <c r="B644" s="488" t="s">
        <v>3313</v>
      </c>
      <c r="C644" s="472" t="e">
        <f aca="false">мат.затр!g5567</f>
        <v>#NAME?</v>
      </c>
      <c r="D644" s="472" t="n">
        <f aca="false">тарифик!J645</f>
        <v>8835.34136546185</v>
      </c>
      <c r="E644" s="472"/>
      <c r="F644" s="473" t="n">
        <f aca="false">D644*0.9*0.095+D644*3%</f>
        <v>1020.48192771084</v>
      </c>
      <c r="G644" s="472" t="n">
        <f aca="false">амортизация!M1996</f>
        <v>1473.79377119589</v>
      </c>
      <c r="H644" s="473" t="e">
        <f aca="false">C644+D644+F644+G644</f>
        <v>#NAME?</v>
      </c>
      <c r="I644" s="462" t="n">
        <f aca="false">I$190</f>
        <v>0.240474587202079</v>
      </c>
      <c r="J644" s="473" t="n">
        <f aca="false">D644*I644</f>
        <v>2124.67506764889</v>
      </c>
      <c r="K644" s="473" t="e">
        <f aca="false">H644+J644</f>
        <v>#NAME?</v>
      </c>
      <c r="L644" s="462" t="n">
        <v>0.2</v>
      </c>
      <c r="M644" s="473" t="e">
        <f aca="false">K644*L644</f>
        <v>#NAME?</v>
      </c>
      <c r="N644" s="473" t="e">
        <f aca="false">K644+M644</f>
        <v>#NAME?</v>
      </c>
      <c r="O644" s="473" t="e">
        <f aca="false">M644</f>
        <v>#NAME?</v>
      </c>
    </row>
    <row r="645" s="461" customFormat="true" ht="15" hidden="false" customHeight="false" outlineLevel="0" collapsed="false">
      <c r="A645" s="327" t="s">
        <v>1087</v>
      </c>
      <c r="B645" s="488" t="s">
        <v>3308</v>
      </c>
      <c r="C645" s="472" t="e">
        <f aca="false">мат.затр!g5587</f>
        <v>#NAME?</v>
      </c>
      <c r="D645" s="472" t="n">
        <f aca="false">тарифик!J646</f>
        <v>9103.07898259706</v>
      </c>
      <c r="E645" s="472"/>
      <c r="F645" s="473" t="n">
        <f aca="false">D645*0.9*0.095+D645*3%</f>
        <v>1051.40562248996</v>
      </c>
      <c r="G645" s="472" t="n">
        <f aca="false">амортизация!M2006</f>
        <v>5110.97947512271</v>
      </c>
      <c r="H645" s="473" t="e">
        <f aca="false">C645+D645+F645+G645</f>
        <v>#NAME?</v>
      </c>
      <c r="I645" s="462" t="n">
        <f aca="false">I$190</f>
        <v>0.240474587202079</v>
      </c>
      <c r="J645" s="473" t="n">
        <f aca="false">D645*I645</f>
        <v>2189.05916060795</v>
      </c>
      <c r="K645" s="473" t="e">
        <f aca="false">H645+J645</f>
        <v>#NAME?</v>
      </c>
      <c r="L645" s="462" t="n">
        <v>0.2</v>
      </c>
      <c r="M645" s="473" t="e">
        <f aca="false">K645*L645</f>
        <v>#NAME?</v>
      </c>
      <c r="N645" s="473" t="e">
        <f aca="false">K645+M645</f>
        <v>#NAME?</v>
      </c>
      <c r="O645" s="473" t="e">
        <f aca="false">M645</f>
        <v>#NAME?</v>
      </c>
    </row>
    <row r="646" s="461" customFormat="true" ht="15" hidden="false" customHeight="false" outlineLevel="0" collapsed="false">
      <c r="A646" s="350" t="s">
        <v>1088</v>
      </c>
      <c r="B646" s="467" t="s">
        <v>3326</v>
      </c>
      <c r="C646" s="468"/>
      <c r="D646" s="468"/>
      <c r="E646" s="472"/>
      <c r="F646" s="468"/>
      <c r="G646" s="468"/>
      <c r="H646" s="474"/>
      <c r="I646" s="475"/>
      <c r="J646" s="474"/>
      <c r="K646" s="474"/>
      <c r="L646" s="475"/>
      <c r="M646" s="474"/>
      <c r="N646" s="474"/>
      <c r="O646" s="474"/>
    </row>
    <row r="647" s="461" customFormat="true" ht="15" hidden="false" customHeight="false" outlineLevel="0" collapsed="false">
      <c r="A647" s="327" t="s">
        <v>1090</v>
      </c>
      <c r="B647" s="433" t="s">
        <v>3307</v>
      </c>
      <c r="C647" s="472" t="e">
        <f aca="false">мат.затр!g5613</f>
        <v>#NAME?</v>
      </c>
      <c r="D647" s="472" t="n">
        <f aca="false">тарифик!J648</f>
        <v>7228.9156626506</v>
      </c>
      <c r="E647" s="472"/>
      <c r="F647" s="473" t="n">
        <f aca="false">D647*0.9*0.095+D647*3%</f>
        <v>834.939759036145</v>
      </c>
      <c r="G647" s="472" t="n">
        <f aca="false">амортизация!M2016</f>
        <v>392.041620184441</v>
      </c>
      <c r="H647" s="473" t="e">
        <f aca="false">C647+D647+F647+G647</f>
        <v>#NAME?</v>
      </c>
      <c r="I647" s="462" t="n">
        <f aca="false">I$190</f>
        <v>0.240474587202079</v>
      </c>
      <c r="J647" s="473" t="n">
        <f aca="false">D647*I647</f>
        <v>1738.37050989455</v>
      </c>
      <c r="K647" s="473" t="e">
        <f aca="false">H647+J647</f>
        <v>#NAME?</v>
      </c>
      <c r="L647" s="462" t="n">
        <v>0.2</v>
      </c>
      <c r="M647" s="473" t="e">
        <f aca="false">K647*L647</f>
        <v>#NAME?</v>
      </c>
      <c r="N647" s="473" t="e">
        <f aca="false">K647+M647</f>
        <v>#NAME?</v>
      </c>
      <c r="O647" s="473" t="e">
        <f aca="false">M647</f>
        <v>#NAME?</v>
      </c>
    </row>
    <row r="648" s="461" customFormat="true" ht="15" hidden="false" customHeight="false" outlineLevel="0" collapsed="false">
      <c r="A648" s="350" t="s">
        <v>1091</v>
      </c>
      <c r="B648" s="346" t="s">
        <v>3327</v>
      </c>
      <c r="C648" s="468"/>
      <c r="D648" s="468"/>
      <c r="E648" s="472"/>
      <c r="F648" s="468"/>
      <c r="G648" s="468"/>
      <c r="H648" s="474"/>
      <c r="I648" s="475"/>
      <c r="J648" s="474"/>
      <c r="K648" s="474"/>
      <c r="L648" s="475"/>
      <c r="M648" s="474"/>
      <c r="N648" s="474"/>
      <c r="O648" s="474"/>
    </row>
    <row r="649" s="461" customFormat="true" ht="15" hidden="false" customHeight="false" outlineLevel="0" collapsed="false">
      <c r="A649" s="327" t="s">
        <v>1093</v>
      </c>
      <c r="B649" s="433" t="s">
        <v>3307</v>
      </c>
      <c r="C649" s="472" t="e">
        <f aca="false">мат.затр!g5632</f>
        <v>#NAME?</v>
      </c>
      <c r="D649" s="472" t="n">
        <f aca="false">тарифик!J650</f>
        <v>7228.9156626506</v>
      </c>
      <c r="E649" s="472"/>
      <c r="F649" s="472" t="n">
        <f aca="false">D649*0.9*0.095+D649*3%</f>
        <v>834.939759036145</v>
      </c>
      <c r="G649" s="472" t="n">
        <f aca="false">амортизация!M2026</f>
        <v>392.041620184441</v>
      </c>
      <c r="H649" s="473" t="e">
        <f aca="false">C649+D649+F649+G649</f>
        <v>#NAME?</v>
      </c>
      <c r="I649" s="462" t="n">
        <f aca="false">I$190</f>
        <v>0.240474587202079</v>
      </c>
      <c r="J649" s="473" t="n">
        <f aca="false">D649*I649</f>
        <v>1738.37050989455</v>
      </c>
      <c r="K649" s="473" t="e">
        <f aca="false">H649+J649</f>
        <v>#NAME?</v>
      </c>
      <c r="L649" s="462" t="n">
        <v>0.2</v>
      </c>
      <c r="M649" s="473" t="e">
        <f aca="false">K649*L649</f>
        <v>#NAME?</v>
      </c>
      <c r="N649" s="473" t="e">
        <f aca="false">K649+M649</f>
        <v>#NAME?</v>
      </c>
      <c r="O649" s="473" t="e">
        <f aca="false">M649</f>
        <v>#NAME?</v>
      </c>
    </row>
    <row r="650" s="461" customFormat="true" ht="28.5" hidden="false" customHeight="false" outlineLevel="0" collapsed="false">
      <c r="A650" s="350" t="s">
        <v>1094</v>
      </c>
      <c r="B650" s="467" t="s">
        <v>3328</v>
      </c>
      <c r="C650" s="468"/>
      <c r="D650" s="468"/>
      <c r="E650" s="472"/>
      <c r="F650" s="468"/>
      <c r="G650" s="468"/>
      <c r="H650" s="474"/>
      <c r="I650" s="475"/>
      <c r="J650" s="474"/>
      <c r="K650" s="474"/>
      <c r="L650" s="475"/>
      <c r="M650" s="474"/>
      <c r="N650" s="474"/>
      <c r="O650" s="474"/>
    </row>
    <row r="651" s="461" customFormat="true" ht="15" hidden="false" customHeight="false" outlineLevel="0" collapsed="false">
      <c r="A651" s="327" t="s">
        <v>1096</v>
      </c>
      <c r="B651" s="488" t="s">
        <v>3329</v>
      </c>
      <c r="C651" s="472" t="e">
        <f aca="false">мат.затр!g5651</f>
        <v>#NAME?</v>
      </c>
      <c r="D651" s="472" t="n">
        <f aca="false">тарифик!J652</f>
        <v>2409.63855421687</v>
      </c>
      <c r="E651" s="472"/>
      <c r="F651" s="473" t="n">
        <f aca="false">D651*0.9*0.095+D651*3%</f>
        <v>278.313253012048</v>
      </c>
      <c r="G651" s="472" t="n">
        <f aca="false">амортизация!M2035</f>
        <v>11.9703582849918</v>
      </c>
      <c r="H651" s="473" t="e">
        <f aca="false">C651+D651+F651+G651</f>
        <v>#NAME?</v>
      </c>
      <c r="I651" s="462" t="n">
        <f aca="false">I$190</f>
        <v>0.240474587202079</v>
      </c>
      <c r="J651" s="473" t="n">
        <f aca="false">D651*I651</f>
        <v>579.456836631516</v>
      </c>
      <c r="K651" s="473" t="e">
        <f aca="false">H651+J651</f>
        <v>#NAME?</v>
      </c>
      <c r="L651" s="462" t="n">
        <v>0.2</v>
      </c>
      <c r="M651" s="473" t="e">
        <f aca="false">K651*L651</f>
        <v>#NAME?</v>
      </c>
      <c r="N651" s="473" t="e">
        <f aca="false">K651+M651</f>
        <v>#NAME?</v>
      </c>
      <c r="O651" s="473" t="e">
        <f aca="false">M651</f>
        <v>#NAME?</v>
      </c>
    </row>
    <row r="652" s="461" customFormat="true" ht="15" hidden="false" customHeight="false" outlineLevel="0" collapsed="false">
      <c r="A652" s="327" t="s">
        <v>1098</v>
      </c>
      <c r="B652" s="488" t="s">
        <v>3307</v>
      </c>
      <c r="C652" s="472" t="e">
        <f aca="false">мат.затр!g5665</f>
        <v>#NAME?</v>
      </c>
      <c r="D652" s="472" t="n">
        <f aca="false">тарифик!J653</f>
        <v>9103.07898259706</v>
      </c>
      <c r="E652" s="472"/>
      <c r="F652" s="473" t="n">
        <f aca="false">D652*0.9*0.095+D652*3%</f>
        <v>1051.40562248996</v>
      </c>
      <c r="G652" s="472" t="n">
        <f aca="false">амортизация!M2045</f>
        <v>402.232927078685</v>
      </c>
      <c r="H652" s="473" t="e">
        <f aca="false">C652+D652+F652+G652</f>
        <v>#NAME?</v>
      </c>
      <c r="I652" s="462" t="n">
        <f aca="false">I$190</f>
        <v>0.240474587202079</v>
      </c>
      <c r="J652" s="473" t="n">
        <f aca="false">D652*I652</f>
        <v>2189.05916060795</v>
      </c>
      <c r="K652" s="473" t="e">
        <f aca="false">H652+J652</f>
        <v>#NAME?</v>
      </c>
      <c r="L652" s="462" t="n">
        <v>0.2</v>
      </c>
      <c r="M652" s="473" t="e">
        <f aca="false">K652*L652</f>
        <v>#NAME?</v>
      </c>
      <c r="N652" s="473" t="e">
        <f aca="false">K652+M652</f>
        <v>#NAME?</v>
      </c>
      <c r="O652" s="473" t="e">
        <f aca="false">M652</f>
        <v>#NAME?</v>
      </c>
    </row>
    <row r="653" s="461" customFormat="true" ht="15" hidden="false" customHeight="false" outlineLevel="0" collapsed="false">
      <c r="A653" s="327" t="s">
        <v>1099</v>
      </c>
      <c r="B653" s="488" t="s">
        <v>3324</v>
      </c>
      <c r="C653" s="472" t="e">
        <f aca="false">мат.затр!g5685</f>
        <v>#NAME?</v>
      </c>
      <c r="D653" s="472" t="n">
        <f aca="false">тарифик!J654</f>
        <v>8299.86613119143</v>
      </c>
      <c r="E653" s="472"/>
      <c r="F653" s="473" t="n">
        <f aca="false">D653*0.9*0.095+D653*3%</f>
        <v>958.634538152611</v>
      </c>
      <c r="G653" s="472" t="n">
        <f aca="false">амортизация!M2055</f>
        <v>355.740712851406</v>
      </c>
      <c r="H653" s="473" t="e">
        <f aca="false">C653+D653+F653+G653</f>
        <v>#NAME?</v>
      </c>
      <c r="I653" s="462" t="n">
        <f aca="false">I$190</f>
        <v>0.240474587202079</v>
      </c>
      <c r="J653" s="473" t="n">
        <f aca="false">D653*I653</f>
        <v>1995.90688173078</v>
      </c>
      <c r="K653" s="473" t="e">
        <f aca="false">H653+J653</f>
        <v>#NAME?</v>
      </c>
      <c r="L653" s="462" t="n">
        <v>0.2</v>
      </c>
      <c r="M653" s="473" t="e">
        <f aca="false">K653*L653</f>
        <v>#NAME?</v>
      </c>
      <c r="N653" s="473" t="e">
        <f aca="false">K653+M653</f>
        <v>#NAME?</v>
      </c>
      <c r="O653" s="473" t="e">
        <f aca="false">M653</f>
        <v>#NAME?</v>
      </c>
    </row>
    <row r="654" s="461" customFormat="true" ht="15" hidden="false" customHeight="false" outlineLevel="0" collapsed="false">
      <c r="A654" s="327" t="s">
        <v>1100</v>
      </c>
      <c r="B654" s="488" t="s">
        <v>3310</v>
      </c>
      <c r="C654" s="472" t="e">
        <f aca="false">мат.затр!g5704</f>
        <v>#NAME?</v>
      </c>
      <c r="D654" s="472" t="n">
        <f aca="false">тарифик!J655</f>
        <v>6961.1780455154</v>
      </c>
      <c r="E654" s="472"/>
      <c r="F654" s="473" t="n">
        <f aca="false">D654*0.9*0.095+D654*3%</f>
        <v>804.016064257028</v>
      </c>
      <c r="G654" s="472" t="n">
        <f aca="false">амортизация!M2065</f>
        <v>2239.69204428826</v>
      </c>
      <c r="H654" s="473" t="e">
        <f aca="false">C654+D654+F654+G654</f>
        <v>#NAME?</v>
      </c>
      <c r="I654" s="462" t="n">
        <f aca="false">I$190</f>
        <v>0.240474587202079</v>
      </c>
      <c r="J654" s="473" t="n">
        <f aca="false">D654*I654</f>
        <v>1673.98641693549</v>
      </c>
      <c r="K654" s="473" t="e">
        <f aca="false">H654+J654</f>
        <v>#NAME?</v>
      </c>
      <c r="L654" s="462" t="n">
        <v>0.2</v>
      </c>
      <c r="M654" s="473" t="e">
        <f aca="false">K654*L654</f>
        <v>#NAME?</v>
      </c>
      <c r="N654" s="473" t="e">
        <f aca="false">K654+M654</f>
        <v>#NAME?</v>
      </c>
      <c r="O654" s="473" t="e">
        <f aca="false">M654</f>
        <v>#NAME?</v>
      </c>
    </row>
    <row r="655" s="461" customFormat="true" ht="30" hidden="false" customHeight="false" outlineLevel="0" collapsed="false">
      <c r="A655" s="327" t="s">
        <v>1101</v>
      </c>
      <c r="B655" s="488" t="s">
        <v>3330</v>
      </c>
      <c r="C655" s="472" t="e">
        <f aca="false">мат.затр!g5722</f>
        <v>#NAME?</v>
      </c>
      <c r="D655" s="472" t="n">
        <f aca="false">тарифик!J656</f>
        <v>8567.60374832664</v>
      </c>
      <c r="E655" s="472"/>
      <c r="F655" s="473" t="n">
        <f aca="false">D655*0.9*0.095+D655*3%</f>
        <v>989.558232931727</v>
      </c>
      <c r="G655" s="472" t="n">
        <f aca="false">амортизация!M2075</f>
        <v>380.285001115573</v>
      </c>
      <c r="H655" s="473" t="e">
        <f aca="false">C655+D655+F655+G655</f>
        <v>#NAME?</v>
      </c>
      <c r="I655" s="462" t="n">
        <f aca="false">I$190</f>
        <v>0.240474587202079</v>
      </c>
      <c r="J655" s="473" t="n">
        <f aca="false">D655*I655</f>
        <v>2060.29097468983</v>
      </c>
      <c r="K655" s="473" t="e">
        <f aca="false">H655+J655</f>
        <v>#NAME?</v>
      </c>
      <c r="L655" s="462" t="n">
        <v>0.2</v>
      </c>
      <c r="M655" s="473" t="e">
        <f aca="false">K655*L655</f>
        <v>#NAME?</v>
      </c>
      <c r="N655" s="473" t="e">
        <f aca="false">K655+M655</f>
        <v>#NAME?</v>
      </c>
      <c r="O655" s="473" t="e">
        <f aca="false">M655</f>
        <v>#NAME?</v>
      </c>
    </row>
    <row r="656" s="461" customFormat="true" ht="30" hidden="false" customHeight="false" outlineLevel="0" collapsed="false">
      <c r="A656" s="327" t="s">
        <v>1102</v>
      </c>
      <c r="B656" s="488" t="s">
        <v>3311</v>
      </c>
      <c r="C656" s="472" t="e">
        <f aca="false">мат.затр!g5747</f>
        <v>#NAME?</v>
      </c>
      <c r="D656" s="472" t="n">
        <f aca="false">тарифик!J657</f>
        <v>7496.65327978581</v>
      </c>
      <c r="E656" s="472"/>
      <c r="F656" s="473" t="n">
        <f aca="false">D656*0.9*0.095+D656*3%</f>
        <v>865.863453815261</v>
      </c>
      <c r="G656" s="472" t="n">
        <f aca="false">амортизация!M2085</f>
        <v>371.736222668452</v>
      </c>
      <c r="H656" s="473" t="e">
        <f aca="false">C656+D656+F656+G656</f>
        <v>#NAME?</v>
      </c>
      <c r="I656" s="462" t="n">
        <f aca="false">I$190</f>
        <v>0.240474587202079</v>
      </c>
      <c r="J656" s="473" t="n">
        <f aca="false">D656*I656</f>
        <v>1802.7546028536</v>
      </c>
      <c r="K656" s="473" t="e">
        <f aca="false">H656+J656</f>
        <v>#NAME?</v>
      </c>
      <c r="L656" s="462" t="n">
        <v>0.2</v>
      </c>
      <c r="M656" s="473" t="e">
        <f aca="false">K656*L656</f>
        <v>#NAME?</v>
      </c>
      <c r="N656" s="473" t="e">
        <f aca="false">K656+M656</f>
        <v>#NAME?</v>
      </c>
      <c r="O656" s="473" t="e">
        <f aca="false">M656</f>
        <v>#NAME?</v>
      </c>
    </row>
    <row r="657" s="461" customFormat="true" ht="15" hidden="false" customHeight="false" outlineLevel="0" collapsed="false">
      <c r="A657" s="327" t="s">
        <v>1103</v>
      </c>
      <c r="B657" s="494" t="s">
        <v>3331</v>
      </c>
      <c r="C657" s="472" t="e">
        <f aca="false">мат.затр!g5765</f>
        <v>#NAME?</v>
      </c>
      <c r="D657" s="472" t="n">
        <f aca="false">тарифик!J658</f>
        <v>6961.1780455154</v>
      </c>
      <c r="E657" s="472"/>
      <c r="F657" s="473" t="n">
        <f aca="false">D657*0.9*0.095+D657*3%</f>
        <v>804.016064257028</v>
      </c>
      <c r="G657" s="472" t="n">
        <f aca="false">амортизация!M2094</f>
        <v>1460.9666385914</v>
      </c>
      <c r="H657" s="473" t="e">
        <f aca="false">C657+D657+F657+G657</f>
        <v>#NAME?</v>
      </c>
      <c r="I657" s="462" t="n">
        <f aca="false">I$190</f>
        <v>0.240474587202079</v>
      </c>
      <c r="J657" s="473" t="n">
        <f aca="false">D657*I657</f>
        <v>1673.98641693549</v>
      </c>
      <c r="K657" s="473" t="e">
        <f aca="false">H657+J657</f>
        <v>#NAME?</v>
      </c>
      <c r="L657" s="462" t="n">
        <v>0.2</v>
      </c>
      <c r="M657" s="473" t="e">
        <f aca="false">K657*L657</f>
        <v>#NAME?</v>
      </c>
      <c r="N657" s="473" t="e">
        <f aca="false">K657+M657</f>
        <v>#NAME?</v>
      </c>
      <c r="O657" s="473" t="e">
        <f aca="false">M657</f>
        <v>#NAME?</v>
      </c>
    </row>
    <row r="658" s="461" customFormat="true" ht="15" hidden="false" customHeight="false" outlineLevel="0" collapsed="false">
      <c r="A658" s="327" t="s">
        <v>1105</v>
      </c>
      <c r="B658" s="488" t="s">
        <v>3309</v>
      </c>
      <c r="C658" s="472" t="e">
        <f aca="false">мат.затр!g5786</f>
        <v>#NAME?</v>
      </c>
      <c r="D658" s="472" t="n">
        <f aca="false">тарифик!J659</f>
        <v>6961.1780455154</v>
      </c>
      <c r="E658" s="472"/>
      <c r="F658" s="473" t="n">
        <f aca="false">D658*0.9*0.095+D658*3%</f>
        <v>804.016064257028</v>
      </c>
      <c r="G658" s="472" t="n">
        <f aca="false">амортизация!M2104</f>
        <v>2415.81648520006</v>
      </c>
      <c r="H658" s="473" t="e">
        <f aca="false">C658+D658+F658+G658</f>
        <v>#NAME?</v>
      </c>
      <c r="I658" s="462" t="n">
        <f aca="false">I$190</f>
        <v>0.240474587202079</v>
      </c>
      <c r="J658" s="473" t="n">
        <f aca="false">D658*I658</f>
        <v>1673.98641693549</v>
      </c>
      <c r="K658" s="473" t="e">
        <f aca="false">H658+J658</f>
        <v>#NAME?</v>
      </c>
      <c r="L658" s="462" t="n">
        <v>0.2</v>
      </c>
      <c r="M658" s="473" t="e">
        <f aca="false">K658*L658</f>
        <v>#NAME?</v>
      </c>
      <c r="N658" s="473" t="e">
        <f aca="false">K658+M658</f>
        <v>#NAME?</v>
      </c>
      <c r="O658" s="473" t="e">
        <f aca="false">M658</f>
        <v>#NAME?</v>
      </c>
    </row>
    <row r="659" s="461" customFormat="true" ht="30" hidden="false" customHeight="false" outlineLevel="0" collapsed="false">
      <c r="A659" s="327" t="s">
        <v>1106</v>
      </c>
      <c r="B659" s="488" t="s">
        <v>3332</v>
      </c>
      <c r="C659" s="472" t="e">
        <f aca="false">мат.затр!g5806</f>
        <v>#NAME?</v>
      </c>
      <c r="D659" s="472" t="n">
        <f aca="false">тарифик!J660</f>
        <v>7496.65327978581</v>
      </c>
      <c r="E659" s="472"/>
      <c r="F659" s="473" t="n">
        <f aca="false">D659*0.9*0.095+D659*3%</f>
        <v>865.863453815261</v>
      </c>
      <c r="G659" s="472" t="n">
        <f aca="false">амортизация!M2114</f>
        <v>1463.59120630671</v>
      </c>
      <c r="H659" s="473" t="e">
        <f aca="false">C659+D659+F659+G659</f>
        <v>#NAME?</v>
      </c>
      <c r="I659" s="462" t="n">
        <f aca="false">I$190</f>
        <v>0.240474587202079</v>
      </c>
      <c r="J659" s="473" t="n">
        <f aca="false">D659*I659</f>
        <v>1802.7546028536</v>
      </c>
      <c r="K659" s="473" t="e">
        <f aca="false">H659+J659</f>
        <v>#NAME?</v>
      </c>
      <c r="L659" s="462" t="n">
        <v>0.2</v>
      </c>
      <c r="M659" s="473" t="e">
        <f aca="false">K659*L659</f>
        <v>#NAME?</v>
      </c>
      <c r="N659" s="473" t="e">
        <f aca="false">K659+M659</f>
        <v>#NAME?</v>
      </c>
      <c r="O659" s="473" t="e">
        <f aca="false">M659</f>
        <v>#NAME?</v>
      </c>
    </row>
    <row r="660" s="461" customFormat="true" ht="15" hidden="false" customHeight="false" outlineLevel="0" collapsed="false">
      <c r="A660" s="327" t="s">
        <v>1107</v>
      </c>
      <c r="B660" s="488" t="s">
        <v>3315</v>
      </c>
      <c r="C660" s="472" t="e">
        <f aca="false">мат.затр!g5822</f>
        <v>#NAME?</v>
      </c>
      <c r="D660" s="472" t="n">
        <f aca="false">тарифик!J661</f>
        <v>7228.9156626506</v>
      </c>
      <c r="E660" s="472"/>
      <c r="F660" s="473" t="n">
        <f aca="false">D660*0.9*0.095+D660*3%</f>
        <v>834.939759036145</v>
      </c>
      <c r="G660" s="472" t="n">
        <f aca="false">амортизация!M2124</f>
        <v>1482.76145675294</v>
      </c>
      <c r="H660" s="473" t="e">
        <f aca="false">C660+D660+F660+G660</f>
        <v>#NAME?</v>
      </c>
      <c r="I660" s="462" t="n">
        <f aca="false">I$190</f>
        <v>0.240474587202079</v>
      </c>
      <c r="J660" s="473" t="n">
        <f aca="false">D660*I660</f>
        <v>1738.37050989455</v>
      </c>
      <c r="K660" s="473" t="e">
        <f aca="false">H660+J660</f>
        <v>#NAME?</v>
      </c>
      <c r="L660" s="462" t="n">
        <v>0.2</v>
      </c>
      <c r="M660" s="473" t="e">
        <f aca="false">K660*L660</f>
        <v>#NAME?</v>
      </c>
      <c r="N660" s="473" t="e">
        <f aca="false">K660+M660</f>
        <v>#NAME?</v>
      </c>
      <c r="O660" s="473" t="e">
        <f aca="false">M660</f>
        <v>#NAME?</v>
      </c>
    </row>
    <row r="661" s="461" customFormat="true" ht="15" hidden="false" customHeight="false" outlineLevel="0" collapsed="false">
      <c r="A661" s="350" t="s">
        <v>1108</v>
      </c>
      <c r="B661" s="346" t="s">
        <v>3333</v>
      </c>
      <c r="C661" s="468"/>
      <c r="D661" s="468"/>
      <c r="E661" s="472"/>
      <c r="F661" s="468"/>
      <c r="G661" s="468"/>
      <c r="H661" s="474"/>
      <c r="I661" s="475"/>
      <c r="J661" s="474"/>
      <c r="K661" s="474"/>
      <c r="L661" s="475"/>
      <c r="M661" s="474"/>
      <c r="N661" s="474"/>
      <c r="O661" s="474"/>
    </row>
    <row r="662" s="461" customFormat="true" ht="15" hidden="false" customHeight="false" outlineLevel="0" collapsed="false">
      <c r="A662" s="327" t="s">
        <v>1110</v>
      </c>
      <c r="B662" s="488" t="s">
        <v>3307</v>
      </c>
      <c r="C662" s="472" t="e">
        <f aca="false">мат.затр!g5849</f>
        <v>#NAME?</v>
      </c>
      <c r="D662" s="472" t="n">
        <f aca="false">тарифик!J663</f>
        <v>9103.07898259706</v>
      </c>
      <c r="E662" s="472"/>
      <c r="F662" s="473" t="n">
        <f aca="false">D662*0.9*0.095+D662*3%</f>
        <v>1051.40562248996</v>
      </c>
      <c r="G662" s="472" t="n">
        <f aca="false">амортизация!M2135</f>
        <v>403.368074148446</v>
      </c>
      <c r="H662" s="473" t="e">
        <f aca="false">C662+D662+F662+G662</f>
        <v>#NAME?</v>
      </c>
      <c r="I662" s="462" t="n">
        <f aca="false">I$190</f>
        <v>0.240474587202079</v>
      </c>
      <c r="J662" s="473" t="n">
        <f aca="false">D662*I662</f>
        <v>2189.05916060795</v>
      </c>
      <c r="K662" s="473" t="e">
        <f aca="false">H662+J662</f>
        <v>#NAME?</v>
      </c>
      <c r="L662" s="462" t="n">
        <v>0.2</v>
      </c>
      <c r="M662" s="473" t="e">
        <f aca="false">K662*L662</f>
        <v>#NAME?</v>
      </c>
      <c r="N662" s="473" t="e">
        <f aca="false">K662+M662</f>
        <v>#NAME?</v>
      </c>
      <c r="O662" s="473" t="e">
        <f aca="false">M662</f>
        <v>#NAME?</v>
      </c>
    </row>
    <row r="663" s="461" customFormat="true" ht="15" hidden="false" customHeight="false" outlineLevel="0" collapsed="false">
      <c r="A663" s="327" t="s">
        <v>1111</v>
      </c>
      <c r="B663" s="488" t="s">
        <v>3324</v>
      </c>
      <c r="C663" s="472" t="e">
        <f aca="false">мат.затр!g5870</f>
        <v>#NAME?</v>
      </c>
      <c r="D663" s="472" t="n">
        <f aca="false">тарифик!J664</f>
        <v>8299.86613119143</v>
      </c>
      <c r="E663" s="472"/>
      <c r="F663" s="473" t="n">
        <f aca="false">D663*0.9*0.095+D663*3%</f>
        <v>958.634538152611</v>
      </c>
      <c r="G663" s="472" t="n">
        <f aca="false">амортизация!M2145</f>
        <v>355.740712851406</v>
      </c>
      <c r="H663" s="473" t="e">
        <f aca="false">C663+D663+F663+G663</f>
        <v>#NAME?</v>
      </c>
      <c r="I663" s="462" t="n">
        <f aca="false">I$190</f>
        <v>0.240474587202079</v>
      </c>
      <c r="J663" s="473" t="n">
        <f aca="false">D663*I663</f>
        <v>1995.90688173078</v>
      </c>
      <c r="K663" s="473" t="e">
        <f aca="false">H663+J663</f>
        <v>#NAME?</v>
      </c>
      <c r="L663" s="462" t="n">
        <v>0.2</v>
      </c>
      <c r="M663" s="473" t="e">
        <f aca="false">K663*L663</f>
        <v>#NAME?</v>
      </c>
      <c r="N663" s="473" t="e">
        <f aca="false">K663+M663</f>
        <v>#NAME?</v>
      </c>
      <c r="O663" s="473" t="e">
        <f aca="false">M663</f>
        <v>#NAME?</v>
      </c>
    </row>
    <row r="664" s="461" customFormat="true" ht="15" hidden="false" customHeight="false" outlineLevel="0" collapsed="false">
      <c r="A664" s="327" t="s">
        <v>1112</v>
      </c>
      <c r="B664" s="488" t="s">
        <v>3310</v>
      </c>
      <c r="C664" s="472" t="e">
        <f aca="false">мат.затр!g5888</f>
        <v>#NAME?</v>
      </c>
      <c r="D664" s="472" t="n">
        <f aca="false">тарифик!J665</f>
        <v>6961.1780455154</v>
      </c>
      <c r="E664" s="472"/>
      <c r="F664" s="473" t="n">
        <f aca="false">D664*0.9*0.095+D664*3%</f>
        <v>804.016064257028</v>
      </c>
      <c r="G664" s="472" t="n">
        <f aca="false">амортизация!M2155</f>
        <v>2239.69204428826</v>
      </c>
      <c r="H664" s="473" t="e">
        <f aca="false">C664+D664+F664+G664</f>
        <v>#NAME?</v>
      </c>
      <c r="I664" s="462" t="n">
        <f aca="false">I$190</f>
        <v>0.240474587202079</v>
      </c>
      <c r="J664" s="473" t="n">
        <f aca="false">D664*I664</f>
        <v>1673.98641693549</v>
      </c>
      <c r="K664" s="473" t="e">
        <f aca="false">H664+J664</f>
        <v>#NAME?</v>
      </c>
      <c r="L664" s="462" t="n">
        <v>0.2</v>
      </c>
      <c r="M664" s="473" t="e">
        <f aca="false">K664*L664</f>
        <v>#NAME?</v>
      </c>
      <c r="N664" s="473" t="e">
        <f aca="false">K664+M664</f>
        <v>#NAME?</v>
      </c>
      <c r="O664" s="473" t="e">
        <f aca="false">M664</f>
        <v>#NAME?</v>
      </c>
    </row>
    <row r="665" s="461" customFormat="true" ht="30" hidden="false" customHeight="false" outlineLevel="0" collapsed="false">
      <c r="A665" s="327" t="s">
        <v>1113</v>
      </c>
      <c r="B665" s="488" t="s">
        <v>3332</v>
      </c>
      <c r="C665" s="472" t="e">
        <f aca="false">мат.затр!g5908</f>
        <v>#NAME?</v>
      </c>
      <c r="D665" s="472" t="n">
        <f aca="false">тарифик!J666</f>
        <v>7496.65327978581</v>
      </c>
      <c r="E665" s="472"/>
      <c r="F665" s="473" t="n">
        <f aca="false">D665*0.9*0.095+D665*3%</f>
        <v>865.863453815261</v>
      </c>
      <c r="G665" s="472" t="n">
        <f aca="false">амортизация!M2165</f>
        <v>1464.33195169567</v>
      </c>
      <c r="H665" s="473" t="e">
        <f aca="false">C665+D665+F665+G665</f>
        <v>#NAME?</v>
      </c>
      <c r="I665" s="462" t="n">
        <f aca="false">I$190</f>
        <v>0.240474587202079</v>
      </c>
      <c r="J665" s="473" t="n">
        <f aca="false">D665*I665</f>
        <v>1802.7546028536</v>
      </c>
      <c r="K665" s="473" t="e">
        <f aca="false">H665+J665</f>
        <v>#NAME?</v>
      </c>
      <c r="L665" s="462" t="n">
        <v>0.2</v>
      </c>
      <c r="M665" s="473" t="e">
        <f aca="false">K665*L665</f>
        <v>#NAME?</v>
      </c>
      <c r="N665" s="473" t="e">
        <f aca="false">K665+M665</f>
        <v>#NAME?</v>
      </c>
      <c r="O665" s="473" t="e">
        <f aca="false">M665</f>
        <v>#NAME?</v>
      </c>
    </row>
    <row r="666" s="461" customFormat="true" ht="15" hidden="false" customHeight="false" outlineLevel="0" collapsed="false">
      <c r="A666" s="327" t="s">
        <v>1114</v>
      </c>
      <c r="B666" s="488" t="s">
        <v>3309</v>
      </c>
      <c r="C666" s="472" t="e">
        <f aca="false">мат.затр!g5925</f>
        <v>#NAME?</v>
      </c>
      <c r="D666" s="472" t="n">
        <f aca="false">тарифик!J667</f>
        <v>6961.1780455154</v>
      </c>
      <c r="E666" s="472"/>
      <c r="F666" s="473" t="n">
        <f aca="false">D666*0.9*0.095+D666*3%</f>
        <v>804.016064257028</v>
      </c>
      <c r="G666" s="472" t="n">
        <f aca="false">амортизация!M2174</f>
        <v>2418.05790922951</v>
      </c>
      <c r="H666" s="473" t="e">
        <f aca="false">C666+D666+F666+G666</f>
        <v>#NAME?</v>
      </c>
      <c r="I666" s="462" t="n">
        <f aca="false">I$190</f>
        <v>0.240474587202079</v>
      </c>
      <c r="J666" s="473" t="n">
        <f aca="false">D666*I666</f>
        <v>1673.98641693549</v>
      </c>
      <c r="K666" s="473" t="e">
        <f aca="false">H666+J666</f>
        <v>#NAME?</v>
      </c>
      <c r="L666" s="462" t="n">
        <v>0.2</v>
      </c>
      <c r="M666" s="473" t="e">
        <f aca="false">K666*L666</f>
        <v>#NAME?</v>
      </c>
      <c r="N666" s="473" t="e">
        <f aca="false">K666+M666</f>
        <v>#NAME?</v>
      </c>
      <c r="O666" s="473" t="e">
        <f aca="false">M666</f>
        <v>#NAME?</v>
      </c>
    </row>
    <row r="667" s="461" customFormat="true" ht="15" hidden="false" customHeight="false" outlineLevel="0" collapsed="false">
      <c r="A667" s="327" t="s">
        <v>1115</v>
      </c>
      <c r="B667" s="488" t="s">
        <v>3334</v>
      </c>
      <c r="C667" s="472" t="e">
        <f aca="false">мат.затр!g5941</f>
        <v>#NAME?</v>
      </c>
      <c r="D667" s="472" t="n">
        <f aca="false">тарифик!J668</f>
        <v>7496.65327978581</v>
      </c>
      <c r="E667" s="472"/>
      <c r="F667" s="473" t="n">
        <f aca="false">D667*0.9*0.095+D667*3%</f>
        <v>865.863453815261</v>
      </c>
      <c r="G667" s="472" t="n">
        <f aca="false">амортизация!M2184</f>
        <v>1464.33195169567</v>
      </c>
      <c r="H667" s="473" t="e">
        <f aca="false">C667+D667+F667+G667</f>
        <v>#NAME?</v>
      </c>
      <c r="I667" s="462" t="n">
        <f aca="false">I$190</f>
        <v>0.240474587202079</v>
      </c>
      <c r="J667" s="473" t="n">
        <f aca="false">D667*I667</f>
        <v>1802.7546028536</v>
      </c>
      <c r="K667" s="473" t="e">
        <f aca="false">H667+J667</f>
        <v>#NAME?</v>
      </c>
      <c r="L667" s="462" t="n">
        <v>0.2</v>
      </c>
      <c r="M667" s="473" t="e">
        <f aca="false">K667*L667</f>
        <v>#NAME?</v>
      </c>
      <c r="N667" s="473" t="e">
        <f aca="false">K667+M667</f>
        <v>#NAME?</v>
      </c>
      <c r="O667" s="473" t="e">
        <f aca="false">M667</f>
        <v>#NAME?</v>
      </c>
    </row>
    <row r="668" s="461" customFormat="true" ht="30" hidden="false" customHeight="false" outlineLevel="0" collapsed="false">
      <c r="A668" s="327" t="s">
        <v>1117</v>
      </c>
      <c r="B668" s="488" t="s">
        <v>3313</v>
      </c>
      <c r="C668" s="472" t="e">
        <f aca="false">мат.затр!g5958</f>
        <v>#NAME?</v>
      </c>
      <c r="D668" s="472" t="n">
        <f aca="false">тарифик!J669</f>
        <v>7496.65327978581</v>
      </c>
      <c r="E668" s="472"/>
      <c r="F668" s="473" t="n">
        <f aca="false">D668*0.9*0.095+D668*3%</f>
        <v>865.863453815261</v>
      </c>
      <c r="G668" s="472" t="n">
        <f aca="false">амортизация!M2194</f>
        <v>1465.83263033616</v>
      </c>
      <c r="H668" s="473" t="e">
        <f aca="false">C668+D668+F668+G668</f>
        <v>#NAME?</v>
      </c>
      <c r="I668" s="462" t="n">
        <f aca="false">I$190</f>
        <v>0.240474587202079</v>
      </c>
      <c r="J668" s="473" t="n">
        <f aca="false">D668*I668</f>
        <v>1802.7546028536</v>
      </c>
      <c r="K668" s="473" t="e">
        <f aca="false">H668+J668</f>
        <v>#NAME?</v>
      </c>
      <c r="L668" s="462" t="n">
        <v>0.2</v>
      </c>
      <c r="M668" s="473" t="e">
        <f aca="false">K668*L668</f>
        <v>#NAME?</v>
      </c>
      <c r="N668" s="473" t="e">
        <f aca="false">K668+M668</f>
        <v>#NAME?</v>
      </c>
      <c r="O668" s="473" t="e">
        <f aca="false">M668</f>
        <v>#NAME?</v>
      </c>
    </row>
    <row r="669" s="461" customFormat="true" ht="15" hidden="false" customHeight="false" outlineLevel="0" collapsed="false">
      <c r="A669" s="327" t="s">
        <v>1118</v>
      </c>
      <c r="B669" s="488" t="s">
        <v>3308</v>
      </c>
      <c r="C669" s="472" t="e">
        <f aca="false">мат.затр!g5981</f>
        <v>#NAME?</v>
      </c>
      <c r="D669" s="472" t="n">
        <f aca="false">тарифик!J670</f>
        <v>9103.07898259706</v>
      </c>
      <c r="E669" s="472"/>
      <c r="F669" s="473" t="n">
        <f aca="false">D669*0.9*0.095+D669*3%</f>
        <v>1051.40562248996</v>
      </c>
      <c r="G669" s="472" t="n">
        <f aca="false">амортизация!M2204</f>
        <v>5090.12656812435</v>
      </c>
      <c r="H669" s="473" t="e">
        <f aca="false">C669+D669+F669+G669</f>
        <v>#NAME?</v>
      </c>
      <c r="I669" s="462" t="n">
        <f aca="false">I$190</f>
        <v>0.240474587202079</v>
      </c>
      <c r="J669" s="473" t="n">
        <f aca="false">D669*I669</f>
        <v>2189.05916060795</v>
      </c>
      <c r="K669" s="473" t="e">
        <f aca="false">H669+J669</f>
        <v>#NAME?</v>
      </c>
      <c r="L669" s="462" t="n">
        <v>0.2</v>
      </c>
      <c r="M669" s="473" t="e">
        <f aca="false">K669*L669</f>
        <v>#NAME?</v>
      </c>
      <c r="N669" s="473" t="e">
        <f aca="false">K669+M669</f>
        <v>#NAME?</v>
      </c>
      <c r="O669" s="473" t="e">
        <f aca="false">M669</f>
        <v>#NAME?</v>
      </c>
    </row>
    <row r="670" s="461" customFormat="true" ht="15" hidden="false" customHeight="false" outlineLevel="0" collapsed="false">
      <c r="A670" s="350" t="s">
        <v>1119</v>
      </c>
      <c r="B670" s="467" t="s">
        <v>3170</v>
      </c>
      <c r="C670" s="468"/>
      <c r="D670" s="468"/>
      <c r="E670" s="472"/>
      <c r="F670" s="468"/>
      <c r="G670" s="468"/>
      <c r="H670" s="474"/>
      <c r="I670" s="475"/>
      <c r="J670" s="474"/>
      <c r="K670" s="474"/>
      <c r="L670" s="475"/>
      <c r="M670" s="474"/>
      <c r="N670" s="474"/>
      <c r="O670" s="474"/>
    </row>
    <row r="671" s="461" customFormat="true" ht="15" hidden="false" customHeight="false" outlineLevel="0" collapsed="false">
      <c r="A671" s="327" t="s">
        <v>1120</v>
      </c>
      <c r="B671" s="433" t="s">
        <v>3307</v>
      </c>
      <c r="C671" s="472" t="e">
        <f aca="false">мат.затр!g6003</f>
        <v>#NAME?</v>
      </c>
      <c r="D671" s="472" t="n">
        <f aca="false">тарифик!J672</f>
        <v>6961.1780455154</v>
      </c>
      <c r="E671" s="472"/>
      <c r="F671" s="472" t="n">
        <f aca="false">D671*0.9*0.095+D671*3%</f>
        <v>804.016064257028</v>
      </c>
      <c r="G671" s="472" t="n">
        <f aca="false">амортизация!M2215</f>
        <v>368.399779674253</v>
      </c>
      <c r="H671" s="473" t="e">
        <f aca="false">C671+D671+F671+G671</f>
        <v>#NAME?</v>
      </c>
      <c r="I671" s="462" t="n">
        <f aca="false">I$190</f>
        <v>0.240474587202079</v>
      </c>
      <c r="J671" s="473" t="n">
        <f aca="false">D671*I671</f>
        <v>1673.98641693549</v>
      </c>
      <c r="K671" s="473" t="e">
        <f aca="false">H671+J671</f>
        <v>#NAME?</v>
      </c>
      <c r="L671" s="462" t="n">
        <v>0.2</v>
      </c>
      <c r="M671" s="473" t="e">
        <f aca="false">K671*L671</f>
        <v>#NAME?</v>
      </c>
      <c r="N671" s="473" t="e">
        <f aca="false">K671+M671</f>
        <v>#NAME?</v>
      </c>
      <c r="O671" s="473" t="e">
        <f aca="false">M671</f>
        <v>#NAME?</v>
      </c>
    </row>
    <row r="672" s="461" customFormat="true" ht="15" hidden="false" customHeight="false" outlineLevel="0" collapsed="false">
      <c r="A672" s="350" t="s">
        <v>1121</v>
      </c>
      <c r="B672" s="467" t="s">
        <v>3213</v>
      </c>
      <c r="C672" s="468"/>
      <c r="D672" s="468"/>
      <c r="E672" s="472"/>
      <c r="F672" s="468"/>
      <c r="G672" s="468"/>
      <c r="H672" s="474"/>
      <c r="I672" s="475"/>
      <c r="J672" s="474"/>
      <c r="K672" s="474"/>
      <c r="L672" s="475"/>
      <c r="M672" s="474"/>
      <c r="N672" s="474"/>
      <c r="O672" s="474"/>
    </row>
    <row r="673" s="461" customFormat="true" ht="15" hidden="false" customHeight="false" outlineLevel="0" collapsed="false">
      <c r="A673" s="327" t="s">
        <v>1123</v>
      </c>
      <c r="B673" s="433" t="s">
        <v>3307</v>
      </c>
      <c r="C673" s="472" t="e">
        <f aca="false">мат.затр!g6023</f>
        <v>#NAME?</v>
      </c>
      <c r="D673" s="472" t="n">
        <f aca="false">тарифик!J674</f>
        <v>6961.1780455154</v>
      </c>
      <c r="E673" s="472"/>
      <c r="F673" s="472" t="n">
        <f aca="false">D673*0.9*0.095+D673*3%</f>
        <v>804.016064257028</v>
      </c>
      <c r="G673" s="472" t="n">
        <f aca="false">амортизация!M2225</f>
        <v>389.252686672616</v>
      </c>
      <c r="H673" s="473" t="e">
        <f aca="false">C673+D673+F673+G673</f>
        <v>#NAME?</v>
      </c>
      <c r="I673" s="462" t="n">
        <f aca="false">I$190</f>
        <v>0.240474587202079</v>
      </c>
      <c r="J673" s="473" t="n">
        <f aca="false">D673*I673</f>
        <v>1673.98641693549</v>
      </c>
      <c r="K673" s="473" t="e">
        <f aca="false">H673+J673</f>
        <v>#NAME?</v>
      </c>
      <c r="L673" s="462" t="n">
        <v>0.2</v>
      </c>
      <c r="M673" s="473" t="e">
        <f aca="false">K673*L673</f>
        <v>#NAME?</v>
      </c>
      <c r="N673" s="473" t="e">
        <f aca="false">K673+M673</f>
        <v>#NAME?</v>
      </c>
      <c r="O673" s="473" t="e">
        <f aca="false">M673</f>
        <v>#NAME?</v>
      </c>
    </row>
    <row r="674" s="461" customFormat="true" ht="15" hidden="false" customHeight="false" outlineLevel="0" collapsed="false">
      <c r="A674" s="327" t="s">
        <v>1124</v>
      </c>
      <c r="B674" s="433" t="s">
        <v>3309</v>
      </c>
      <c r="C674" s="472" t="e">
        <f aca="false">мат.затр!g6044</f>
        <v>#NAME?</v>
      </c>
      <c r="D674" s="472" t="n">
        <f aca="false">тарифик!J675</f>
        <v>6961.1780455154</v>
      </c>
      <c r="E674" s="472"/>
      <c r="F674" s="472" t="n">
        <f aca="false">D674*0.9*0.095+D674*3%</f>
        <v>804.016064257028</v>
      </c>
      <c r="G674" s="472" t="n">
        <f aca="false">амортизация!M2234</f>
        <v>2418.05790922951</v>
      </c>
      <c r="H674" s="473" t="e">
        <f aca="false">C674+D674+F674+G674</f>
        <v>#NAME?</v>
      </c>
      <c r="I674" s="462" t="n">
        <f aca="false">I$190</f>
        <v>0.240474587202079</v>
      </c>
      <c r="J674" s="473" t="n">
        <f aca="false">D674*I674</f>
        <v>1673.98641693549</v>
      </c>
      <c r="K674" s="473" t="e">
        <f aca="false">H674+J674</f>
        <v>#NAME?</v>
      </c>
      <c r="L674" s="462" t="n">
        <v>0.2</v>
      </c>
      <c r="M674" s="473" t="e">
        <f aca="false">K674*L674</f>
        <v>#NAME?</v>
      </c>
      <c r="N674" s="473" t="e">
        <f aca="false">K674+M674</f>
        <v>#NAME?</v>
      </c>
      <c r="O674" s="473" t="e">
        <f aca="false">M674</f>
        <v>#NAME?</v>
      </c>
    </row>
    <row r="675" s="461" customFormat="true" ht="15" hidden="false" customHeight="false" outlineLevel="0" collapsed="false">
      <c r="A675" s="327" t="s">
        <v>1125</v>
      </c>
      <c r="B675" s="433" t="s">
        <v>3335</v>
      </c>
      <c r="C675" s="472" t="e">
        <f aca="false">мат.затр!g6060</f>
        <v>#NAME?</v>
      </c>
      <c r="D675" s="472" t="n">
        <f aca="false">тарифик!J676</f>
        <v>8567.60374832664</v>
      </c>
      <c r="E675" s="472"/>
      <c r="F675" s="472" t="n">
        <f aca="false">D675*0.9*0.095+D675*3%</f>
        <v>989.558232931727</v>
      </c>
      <c r="G675" s="472" t="n">
        <f aca="false">амортизация!M2243</f>
        <v>402.273055183698</v>
      </c>
      <c r="H675" s="473" t="e">
        <f aca="false">C675+D675+F675+G675</f>
        <v>#NAME?</v>
      </c>
      <c r="I675" s="462" t="n">
        <f aca="false">I$190</f>
        <v>0.240474587202079</v>
      </c>
      <c r="J675" s="473" t="n">
        <f aca="false">D675*I675</f>
        <v>2060.29097468983</v>
      </c>
      <c r="K675" s="473" t="e">
        <f aca="false">H675+J675</f>
        <v>#NAME?</v>
      </c>
      <c r="L675" s="462" t="n">
        <v>0.2</v>
      </c>
      <c r="M675" s="473" t="e">
        <f aca="false">K675*L675</f>
        <v>#NAME?</v>
      </c>
      <c r="N675" s="473" t="e">
        <f aca="false">K675+M675</f>
        <v>#NAME?</v>
      </c>
      <c r="O675" s="473" t="e">
        <f aca="false">M675</f>
        <v>#NAME?</v>
      </c>
    </row>
    <row r="676" s="461" customFormat="true" ht="15" hidden="false" customHeight="false" outlineLevel="0" collapsed="false">
      <c r="A676" s="327" t="s">
        <v>1127</v>
      </c>
      <c r="B676" s="433" t="s">
        <v>3331</v>
      </c>
      <c r="C676" s="472" t="e">
        <f aca="false">мат.затр!g6076</f>
        <v>#NAME?</v>
      </c>
      <c r="D676" s="472" t="n">
        <f aca="false">тарифик!J677</f>
        <v>8835.34136546185</v>
      </c>
      <c r="E676" s="472"/>
      <c r="F676" s="472" t="n">
        <f aca="false">D676*0.9*0.095+D676*3%</f>
        <v>1020.48192771084</v>
      </c>
      <c r="G676" s="472" t="n">
        <f aca="false">амортизация!M2252</f>
        <v>1496.91697233378</v>
      </c>
      <c r="H676" s="473" t="e">
        <f aca="false">C676+D676+F676+G676</f>
        <v>#NAME?</v>
      </c>
      <c r="I676" s="462" t="n">
        <f aca="false">I$190</f>
        <v>0.240474587202079</v>
      </c>
      <c r="J676" s="473" t="n">
        <f aca="false">D676*I676</f>
        <v>2124.67506764889</v>
      </c>
      <c r="K676" s="473" t="e">
        <f aca="false">H676+J676</f>
        <v>#NAME?</v>
      </c>
      <c r="L676" s="462" t="n">
        <v>0.2</v>
      </c>
      <c r="M676" s="473" t="e">
        <f aca="false">K676*L676</f>
        <v>#NAME?</v>
      </c>
      <c r="N676" s="473" t="e">
        <f aca="false">K676+M676</f>
        <v>#NAME?</v>
      </c>
      <c r="O676" s="473" t="e">
        <f aca="false">M676</f>
        <v>#NAME?</v>
      </c>
    </row>
    <row r="677" s="461" customFormat="true" ht="15" hidden="false" customHeight="false" outlineLevel="0" collapsed="false">
      <c r="A677" s="350" t="s">
        <v>1128</v>
      </c>
      <c r="B677" s="467" t="s">
        <v>1129</v>
      </c>
      <c r="C677" s="468"/>
      <c r="D677" s="468"/>
      <c r="E677" s="472"/>
      <c r="F677" s="468"/>
      <c r="G677" s="468"/>
      <c r="H677" s="474"/>
      <c r="I677" s="475"/>
      <c r="J677" s="474"/>
      <c r="K677" s="474"/>
      <c r="L677" s="475"/>
      <c r="M677" s="474"/>
      <c r="N677" s="474"/>
      <c r="O677" s="474"/>
    </row>
    <row r="678" s="461" customFormat="true" ht="15" hidden="false" customHeight="false" outlineLevel="0" collapsed="false">
      <c r="A678" s="327" t="s">
        <v>1130</v>
      </c>
      <c r="B678" s="433" t="s">
        <v>3307</v>
      </c>
      <c r="C678" s="472" t="e">
        <f aca="false">мат.затр!g6093</f>
        <v>#NAME?</v>
      </c>
      <c r="D678" s="472" t="n">
        <f aca="false">тарифик!J679</f>
        <v>6961.1780455154</v>
      </c>
      <c r="E678" s="472"/>
      <c r="F678" s="472" t="n">
        <f aca="false">D678*0.9*0.095+D678*3%</f>
        <v>804.016064257028</v>
      </c>
      <c r="G678" s="472" t="n">
        <f aca="false">амортизация!M2262</f>
        <v>369.956594898111</v>
      </c>
      <c r="H678" s="473" t="e">
        <f aca="false">C678+D678+F678+G678</f>
        <v>#NAME?</v>
      </c>
      <c r="I678" s="462" t="n">
        <f aca="false">I$190</f>
        <v>0.240474587202079</v>
      </c>
      <c r="J678" s="473" t="n">
        <f aca="false">D678*I678</f>
        <v>1673.98641693549</v>
      </c>
      <c r="K678" s="473" t="e">
        <f aca="false">H678+J678</f>
        <v>#NAME?</v>
      </c>
      <c r="L678" s="462" t="n">
        <v>0.2</v>
      </c>
      <c r="M678" s="473" t="e">
        <f aca="false">K678*L678</f>
        <v>#NAME?</v>
      </c>
      <c r="N678" s="473" t="e">
        <f aca="false">K678+M678</f>
        <v>#NAME?</v>
      </c>
      <c r="O678" s="473" t="e">
        <f aca="false">M678</f>
        <v>#NAME?</v>
      </c>
    </row>
    <row r="679" s="461" customFormat="true" ht="15" hidden="false" customHeight="false" outlineLevel="0" collapsed="false">
      <c r="A679" s="327" t="s">
        <v>1131</v>
      </c>
      <c r="B679" s="433" t="s">
        <v>3331</v>
      </c>
      <c r="C679" s="472" t="e">
        <f aca="false">мат.затр!g6112</f>
        <v>#NAME?</v>
      </c>
      <c r="D679" s="472" t="n">
        <f aca="false">тарифик!J680</f>
        <v>6961.1780455154</v>
      </c>
      <c r="E679" s="472"/>
      <c r="F679" s="472" t="n">
        <f aca="false">D679*0.9*0.095+D679*3%</f>
        <v>804.016064257028</v>
      </c>
      <c r="G679" s="472" t="n">
        <f aca="false">амортизация!M2271</f>
        <v>1462.49618734196</v>
      </c>
      <c r="H679" s="473" t="e">
        <f aca="false">C679+D679+F679+G679</f>
        <v>#NAME?</v>
      </c>
      <c r="I679" s="462" t="n">
        <f aca="false">I$190</f>
        <v>0.240474587202079</v>
      </c>
      <c r="J679" s="473" t="n">
        <f aca="false">D679*I679</f>
        <v>1673.98641693549</v>
      </c>
      <c r="K679" s="473" t="e">
        <f aca="false">H679+J679</f>
        <v>#NAME?</v>
      </c>
      <c r="L679" s="462" t="n">
        <v>0.2</v>
      </c>
      <c r="M679" s="473" t="e">
        <f aca="false">K679*L679</f>
        <v>#NAME?</v>
      </c>
      <c r="N679" s="473" t="e">
        <f aca="false">K679+M679</f>
        <v>#NAME?</v>
      </c>
      <c r="O679" s="473" t="e">
        <f aca="false">M679</f>
        <v>#NAME?</v>
      </c>
    </row>
    <row r="680" s="461" customFormat="true" ht="15" hidden="false" customHeight="false" outlineLevel="0" collapsed="false">
      <c r="A680" s="327" t="s">
        <v>1132</v>
      </c>
      <c r="B680" s="433" t="s">
        <v>3336</v>
      </c>
      <c r="C680" s="472" t="e">
        <f aca="false">мат.затр!g6127</f>
        <v>#NAME?</v>
      </c>
      <c r="D680" s="472" t="n">
        <f aca="false">тарифик!J681</f>
        <v>6961.1780455154</v>
      </c>
      <c r="E680" s="472"/>
      <c r="F680" s="472" t="n">
        <f aca="false">D680*0.9*0.095+D680*3%</f>
        <v>804.016064257028</v>
      </c>
      <c r="G680" s="472" t="n">
        <f aca="false">амортизация!M2280</f>
        <v>2418.05790922951</v>
      </c>
      <c r="H680" s="473" t="e">
        <f aca="false">C680+D680+F680+G680</f>
        <v>#NAME?</v>
      </c>
      <c r="I680" s="462" t="n">
        <f aca="false">I$190</f>
        <v>0.240474587202079</v>
      </c>
      <c r="J680" s="473" t="n">
        <f aca="false">D680*I680</f>
        <v>1673.98641693549</v>
      </c>
      <c r="K680" s="473" t="e">
        <f aca="false">H680+J680</f>
        <v>#NAME?</v>
      </c>
      <c r="L680" s="462" t="n">
        <v>0.2</v>
      </c>
      <c r="M680" s="473" t="e">
        <f aca="false">K680*L680</f>
        <v>#NAME?</v>
      </c>
      <c r="N680" s="473" t="e">
        <f aca="false">K680+M680</f>
        <v>#NAME?</v>
      </c>
      <c r="O680" s="473" t="e">
        <f aca="false">M680</f>
        <v>#NAME?</v>
      </c>
    </row>
    <row r="681" s="461" customFormat="true" ht="15" hidden="false" customHeight="false" outlineLevel="0" collapsed="false">
      <c r="A681" s="350" t="s">
        <v>1133</v>
      </c>
      <c r="B681" s="467" t="s">
        <v>3337</v>
      </c>
      <c r="C681" s="468"/>
      <c r="D681" s="468"/>
      <c r="E681" s="472"/>
      <c r="F681" s="468"/>
      <c r="G681" s="468"/>
      <c r="H681" s="474"/>
      <c r="I681" s="475"/>
      <c r="J681" s="474"/>
      <c r="K681" s="474"/>
      <c r="L681" s="475"/>
      <c r="M681" s="474"/>
      <c r="N681" s="474"/>
      <c r="O681" s="474"/>
    </row>
    <row r="682" s="461" customFormat="true" ht="15" hidden="false" customHeight="false" outlineLevel="0" collapsed="false">
      <c r="A682" s="327" t="s">
        <v>1135</v>
      </c>
      <c r="B682" s="433" t="s">
        <v>3307</v>
      </c>
      <c r="C682" s="472" t="e">
        <f aca="false">мат.затр!g6144</f>
        <v>#NAME?</v>
      </c>
      <c r="D682" s="472" t="n">
        <f aca="false">тарифик!J683</f>
        <v>6961.1780455154</v>
      </c>
      <c r="E682" s="472"/>
      <c r="F682" s="472" t="n">
        <f aca="false">D682*0.9*0.095+D682*3%</f>
        <v>804.016064257028</v>
      </c>
      <c r="G682" s="472" t="n">
        <f aca="false">амортизация!M2290</f>
        <v>370.641203703704</v>
      </c>
      <c r="H682" s="473" t="e">
        <f aca="false">C682+D682+F682+G682</f>
        <v>#NAME?</v>
      </c>
      <c r="I682" s="462" t="n">
        <f aca="false">I$190</f>
        <v>0.240474587202079</v>
      </c>
      <c r="J682" s="473" t="n">
        <f aca="false">D682*I682</f>
        <v>1673.98641693549</v>
      </c>
      <c r="K682" s="473" t="e">
        <f aca="false">H682+J682</f>
        <v>#NAME?</v>
      </c>
      <c r="L682" s="462" t="n">
        <v>0.2</v>
      </c>
      <c r="M682" s="473" t="e">
        <f aca="false">K682*L682</f>
        <v>#NAME?</v>
      </c>
      <c r="N682" s="473" t="e">
        <f aca="false">K682+M682</f>
        <v>#NAME?</v>
      </c>
      <c r="O682" s="473" t="e">
        <f aca="false">M682</f>
        <v>#NAME?</v>
      </c>
    </row>
    <row r="683" s="461" customFormat="true" ht="15" hidden="false" customHeight="false" outlineLevel="0" collapsed="false">
      <c r="A683" s="350" t="s">
        <v>1136</v>
      </c>
      <c r="B683" s="467" t="s">
        <v>3338</v>
      </c>
      <c r="C683" s="468"/>
      <c r="D683" s="468"/>
      <c r="E683" s="472"/>
      <c r="F683" s="468"/>
      <c r="G683" s="468"/>
      <c r="H683" s="474"/>
      <c r="I683" s="475"/>
      <c r="J683" s="474"/>
      <c r="K683" s="474"/>
      <c r="L683" s="475"/>
      <c r="M683" s="474"/>
      <c r="N683" s="474"/>
      <c r="O683" s="474"/>
    </row>
    <row r="684" s="461" customFormat="true" ht="15" hidden="false" customHeight="false" outlineLevel="0" collapsed="false">
      <c r="A684" s="327" t="s">
        <v>1138</v>
      </c>
      <c r="B684" s="433" t="s">
        <v>3307</v>
      </c>
      <c r="C684" s="472" t="e">
        <f aca="false">мат.затр!g6163</f>
        <v>#NAME?</v>
      </c>
      <c r="D684" s="472" t="n">
        <f aca="false">тарифик!J685</f>
        <v>6961.1780455154</v>
      </c>
      <c r="E684" s="472"/>
      <c r="F684" s="473" t="n">
        <f aca="false">D684*0.9*0.095+D684*3%</f>
        <v>804.016064257028</v>
      </c>
      <c r="G684" s="472" t="n">
        <f aca="false">амортизация!M2300</f>
        <v>393.795533987803</v>
      </c>
      <c r="H684" s="473" t="e">
        <f aca="false">C684+D684+F684+G684</f>
        <v>#NAME?</v>
      </c>
      <c r="I684" s="462" t="n">
        <f aca="false">I$190</f>
        <v>0.240474587202079</v>
      </c>
      <c r="J684" s="473" t="n">
        <f aca="false">D684*I684</f>
        <v>1673.98641693549</v>
      </c>
      <c r="K684" s="473" t="e">
        <f aca="false">H684+J684</f>
        <v>#NAME?</v>
      </c>
      <c r="L684" s="462" t="n">
        <v>0.2</v>
      </c>
      <c r="M684" s="473" t="e">
        <f aca="false">K684*L684</f>
        <v>#NAME?</v>
      </c>
      <c r="N684" s="473" t="e">
        <f aca="false">K684+M684</f>
        <v>#NAME?</v>
      </c>
      <c r="O684" s="473" t="e">
        <f aca="false">M684</f>
        <v>#NAME?</v>
      </c>
    </row>
    <row r="685" s="461" customFormat="true" ht="30" hidden="false" customHeight="false" outlineLevel="0" collapsed="false">
      <c r="A685" s="327" t="s">
        <v>1139</v>
      </c>
      <c r="B685" s="488" t="s">
        <v>3313</v>
      </c>
      <c r="C685" s="472" t="e">
        <f aca="false">мат.затр!g6184</f>
        <v>#NAME?</v>
      </c>
      <c r="D685" s="472" t="n">
        <f aca="false">тарифик!J686</f>
        <v>6961.1780455154</v>
      </c>
      <c r="E685" s="472"/>
      <c r="F685" s="473" t="n">
        <f aca="false">D685*0.9*0.095+D685*3%</f>
        <v>804.016064257028</v>
      </c>
      <c r="G685" s="472" t="n">
        <f aca="false">амортизация!M2309</f>
        <v>1462.10178566116</v>
      </c>
      <c r="H685" s="473" t="e">
        <f aca="false">C685+D685+F685+G685</f>
        <v>#NAME?</v>
      </c>
      <c r="I685" s="462" t="n">
        <f aca="false">I$190</f>
        <v>0.240474587202079</v>
      </c>
      <c r="J685" s="473" t="n">
        <f aca="false">D685*I685</f>
        <v>1673.98641693549</v>
      </c>
      <c r="K685" s="473" t="e">
        <f aca="false">H685+J685</f>
        <v>#NAME?</v>
      </c>
      <c r="L685" s="462" t="n">
        <v>0.2</v>
      </c>
      <c r="M685" s="473" t="e">
        <f aca="false">K685*L685</f>
        <v>#NAME?</v>
      </c>
      <c r="N685" s="473" t="e">
        <f aca="false">K685+M685</f>
        <v>#NAME?</v>
      </c>
      <c r="O685" s="473" t="e">
        <f aca="false">M685</f>
        <v>#NAME?</v>
      </c>
    </row>
    <row r="686" s="461" customFormat="true" ht="15" hidden="false" customHeight="false" outlineLevel="0" collapsed="false">
      <c r="A686" s="327" t="s">
        <v>1140</v>
      </c>
      <c r="B686" s="433" t="s">
        <v>3309</v>
      </c>
      <c r="C686" s="472" t="e">
        <f aca="false">мат.затр!g6204</f>
        <v>#NAME?</v>
      </c>
      <c r="D686" s="472" t="n">
        <f aca="false">тарифик!J687</f>
        <v>6961.1780455154</v>
      </c>
      <c r="E686" s="472"/>
      <c r="F686" s="473" t="n">
        <f aca="false">D686*0.9*0.095+D686*3%</f>
        <v>804.016064257028</v>
      </c>
      <c r="G686" s="472" t="n">
        <f aca="false">амортизация!M2318</f>
        <v>2418.05790922951</v>
      </c>
      <c r="H686" s="473" t="e">
        <f aca="false">C686+D686+F686+G686</f>
        <v>#NAME?</v>
      </c>
      <c r="I686" s="462" t="n">
        <f aca="false">I$190</f>
        <v>0.240474587202079</v>
      </c>
      <c r="J686" s="473" t="n">
        <f aca="false">D686*I686</f>
        <v>1673.98641693549</v>
      </c>
      <c r="K686" s="473" t="e">
        <f aca="false">H686+J686</f>
        <v>#NAME?</v>
      </c>
      <c r="L686" s="462" t="n">
        <v>0.2</v>
      </c>
      <c r="M686" s="473" t="e">
        <f aca="false">K686*L686</f>
        <v>#NAME?</v>
      </c>
      <c r="N686" s="473" t="e">
        <f aca="false">K686+M686</f>
        <v>#NAME?</v>
      </c>
      <c r="O686" s="473" t="e">
        <f aca="false">M686</f>
        <v>#NAME?</v>
      </c>
    </row>
    <row r="687" s="461" customFormat="true" ht="15" hidden="false" customHeight="false" outlineLevel="0" collapsed="false">
      <c r="A687" s="350" t="s">
        <v>1141</v>
      </c>
      <c r="B687" s="467" t="s">
        <v>3339</v>
      </c>
      <c r="C687" s="468"/>
      <c r="D687" s="468"/>
      <c r="E687" s="472"/>
      <c r="F687" s="468"/>
      <c r="G687" s="468"/>
      <c r="H687" s="474"/>
      <c r="I687" s="475"/>
      <c r="J687" s="474"/>
      <c r="K687" s="474"/>
      <c r="L687" s="475"/>
      <c r="M687" s="474"/>
      <c r="N687" s="474"/>
      <c r="O687" s="474"/>
    </row>
    <row r="688" s="461" customFormat="true" ht="15" hidden="false" customHeight="false" outlineLevel="0" collapsed="false">
      <c r="A688" s="327" t="s">
        <v>1143</v>
      </c>
      <c r="B688" s="433" t="s">
        <v>3309</v>
      </c>
      <c r="C688" s="472" t="e">
        <f aca="false">мат.затр!g6219</f>
        <v>#NAME?</v>
      </c>
      <c r="D688" s="472" t="n">
        <f aca="false">тарифик!J689</f>
        <v>6961.1780455154</v>
      </c>
      <c r="E688" s="472"/>
      <c r="F688" s="473" t="n">
        <f aca="false">D688*0.9*0.095+D688*3%</f>
        <v>804.016064257028</v>
      </c>
      <c r="G688" s="472" t="n">
        <f aca="false">амортизация!M2329</f>
        <v>2415.81648520006</v>
      </c>
      <c r="H688" s="473" t="e">
        <f aca="false">C688+D688+F688+G688</f>
        <v>#NAME?</v>
      </c>
      <c r="I688" s="462" t="n">
        <f aca="false">I$190</f>
        <v>0.240474587202079</v>
      </c>
      <c r="J688" s="473" t="n">
        <f aca="false">D688*I688</f>
        <v>1673.98641693549</v>
      </c>
      <c r="K688" s="473" t="e">
        <f aca="false">H688+J688</f>
        <v>#NAME?</v>
      </c>
      <c r="L688" s="462" t="n">
        <v>0.2</v>
      </c>
      <c r="M688" s="473" t="e">
        <f aca="false">K688*L688</f>
        <v>#NAME?</v>
      </c>
      <c r="N688" s="473" t="e">
        <f aca="false">K688+M688</f>
        <v>#NAME?</v>
      </c>
      <c r="O688" s="473" t="e">
        <f aca="false">M688</f>
        <v>#NAME?</v>
      </c>
    </row>
    <row r="689" s="461" customFormat="true" ht="15" hidden="false" customHeight="false" outlineLevel="0" collapsed="false">
      <c r="A689" s="327" t="s">
        <v>1144</v>
      </c>
      <c r="B689" s="433" t="s">
        <v>3310</v>
      </c>
      <c r="C689" s="472" t="e">
        <f aca="false">мат.затр!g6240</f>
        <v>#NAME?</v>
      </c>
      <c r="D689" s="472" t="n">
        <f aca="false">тарифик!J690</f>
        <v>7496.65327978581</v>
      </c>
      <c r="E689" s="472"/>
      <c r="F689" s="473" t="n">
        <f aca="false">D689*0.9*0.095+D689*3%</f>
        <v>865.863453815261</v>
      </c>
      <c r="G689" s="472" t="n">
        <f aca="false">амортизация!M2339</f>
        <v>2262.77511732114</v>
      </c>
      <c r="H689" s="473" t="e">
        <f aca="false">C689+D689+F689+G689</f>
        <v>#NAME?</v>
      </c>
      <c r="I689" s="462" t="n">
        <f aca="false">I$190</f>
        <v>0.240474587202079</v>
      </c>
      <c r="J689" s="473" t="n">
        <f aca="false">D689*I689</f>
        <v>1802.7546028536</v>
      </c>
      <c r="K689" s="473" t="e">
        <f aca="false">H689+J689</f>
        <v>#NAME?</v>
      </c>
      <c r="L689" s="462" t="n">
        <v>0.2</v>
      </c>
      <c r="M689" s="473" t="e">
        <f aca="false">K689*L689</f>
        <v>#NAME?</v>
      </c>
      <c r="N689" s="473" t="e">
        <f aca="false">K689+M689</f>
        <v>#NAME?</v>
      </c>
      <c r="O689" s="473" t="e">
        <f aca="false">M689</f>
        <v>#NAME?</v>
      </c>
    </row>
    <row r="690" s="461" customFormat="true" ht="30" hidden="false" customHeight="false" outlineLevel="0" collapsed="false">
      <c r="A690" s="327" t="s">
        <v>1145</v>
      </c>
      <c r="B690" s="488" t="s">
        <v>3330</v>
      </c>
      <c r="C690" s="472" t="e">
        <f aca="false">мат.затр!g6262</f>
        <v>#NAME?</v>
      </c>
      <c r="D690" s="472" t="n">
        <f aca="false">тарифик!J691</f>
        <v>7764.39089692102</v>
      </c>
      <c r="E690" s="472"/>
      <c r="F690" s="473" t="n">
        <f aca="false">D690*0.9*0.095+D690*3%</f>
        <v>896.787148594378</v>
      </c>
      <c r="G690" s="472" t="n">
        <f aca="false">амортизация!M2349</f>
        <v>392.771107578462</v>
      </c>
      <c r="H690" s="473" t="e">
        <f aca="false">C690+D690+F690+G690</f>
        <v>#NAME?</v>
      </c>
      <c r="I690" s="462" t="n">
        <f aca="false">I$190</f>
        <v>0.240474587202079</v>
      </c>
      <c r="J690" s="473" t="n">
        <f aca="false">D690*I690</f>
        <v>1867.13869581266</v>
      </c>
      <c r="K690" s="473" t="e">
        <f aca="false">H690+J690</f>
        <v>#NAME?</v>
      </c>
      <c r="L690" s="462" t="n">
        <v>0.2</v>
      </c>
      <c r="M690" s="473" t="e">
        <f aca="false">K690*L690</f>
        <v>#NAME?</v>
      </c>
      <c r="N690" s="473" t="e">
        <f aca="false">K690+M690</f>
        <v>#NAME?</v>
      </c>
      <c r="O690" s="473" t="e">
        <f aca="false">M690</f>
        <v>#NAME?</v>
      </c>
    </row>
    <row r="691" s="461" customFormat="true" ht="30" hidden="false" customHeight="false" outlineLevel="0" collapsed="false">
      <c r="A691" s="327" t="s">
        <v>1146</v>
      </c>
      <c r="B691" s="488" t="s">
        <v>3311</v>
      </c>
      <c r="C691" s="472" t="e">
        <f aca="false">мат.затр!g6288</f>
        <v>#NAME?</v>
      </c>
      <c r="D691" s="472" t="n">
        <f aca="false">тарифик!J692</f>
        <v>6961.1780455154</v>
      </c>
      <c r="E691" s="472"/>
      <c r="F691" s="473" t="n">
        <f aca="false">D691*0.9*0.095+D691*3%</f>
        <v>804.016064257028</v>
      </c>
      <c r="G691" s="472" t="n">
        <f aca="false">амортизация!M2359</f>
        <v>1572.62456418266</v>
      </c>
      <c r="H691" s="473" t="e">
        <f aca="false">C691+D691+F691+G691</f>
        <v>#NAME?</v>
      </c>
      <c r="I691" s="462" t="n">
        <f aca="false">I$190</f>
        <v>0.240474587202079</v>
      </c>
      <c r="J691" s="473" t="n">
        <f aca="false">D691*I691</f>
        <v>1673.98641693549</v>
      </c>
      <c r="K691" s="473" t="e">
        <f aca="false">H691+J691</f>
        <v>#NAME?</v>
      </c>
      <c r="L691" s="462" t="n">
        <v>0.2</v>
      </c>
      <c r="M691" s="473" t="e">
        <f aca="false">K691*L691</f>
        <v>#NAME?</v>
      </c>
      <c r="N691" s="473" t="e">
        <f aca="false">K691+M691</f>
        <v>#NAME?</v>
      </c>
      <c r="O691" s="473" t="e">
        <f aca="false">M691</f>
        <v>#NAME?</v>
      </c>
    </row>
    <row r="692" s="461" customFormat="true" ht="15" hidden="false" customHeight="false" outlineLevel="0" collapsed="false">
      <c r="A692" s="327" t="s">
        <v>1147</v>
      </c>
      <c r="B692" s="488" t="s">
        <v>3340</v>
      </c>
      <c r="C692" s="472" t="e">
        <f aca="false">мат.затр!g6306</f>
        <v>#NAME?</v>
      </c>
      <c r="D692" s="472" t="n">
        <f aca="false">тарифик!J693</f>
        <v>8567.60374832664</v>
      </c>
      <c r="E692" s="472"/>
      <c r="F692" s="473" t="n">
        <f aca="false">D692*0.9*0.095+D692*3%</f>
        <v>989.558232931727</v>
      </c>
      <c r="G692" s="472" t="n">
        <f aca="false">амортизация!M2369</f>
        <v>1474.38140878328</v>
      </c>
      <c r="H692" s="473" t="e">
        <f aca="false">C692+D692+F692+G692</f>
        <v>#NAME?</v>
      </c>
      <c r="I692" s="462" t="n">
        <f aca="false">I$190</f>
        <v>0.240474587202079</v>
      </c>
      <c r="J692" s="473" t="n">
        <f aca="false">D692*I692</f>
        <v>2060.29097468983</v>
      </c>
      <c r="K692" s="473" t="e">
        <f aca="false">H692+J692</f>
        <v>#NAME?</v>
      </c>
      <c r="L692" s="462" t="n">
        <v>0.2</v>
      </c>
      <c r="M692" s="473" t="e">
        <f aca="false">K692*L692</f>
        <v>#NAME?</v>
      </c>
      <c r="N692" s="473" t="e">
        <f aca="false">K692+M692</f>
        <v>#NAME?</v>
      </c>
      <c r="O692" s="473" t="e">
        <f aca="false">M692</f>
        <v>#NAME?</v>
      </c>
    </row>
    <row r="693" s="461" customFormat="true" ht="30" hidden="false" customHeight="false" outlineLevel="0" collapsed="false">
      <c r="A693" s="327" t="s">
        <v>1148</v>
      </c>
      <c r="B693" s="488" t="s">
        <v>3313</v>
      </c>
      <c r="C693" s="472" t="e">
        <f aca="false">мат.затр!g6325</f>
        <v>#NAME?</v>
      </c>
      <c r="D693" s="472" t="n">
        <f aca="false">тарифик!J694</f>
        <v>7496.65327978581</v>
      </c>
      <c r="E693" s="472"/>
      <c r="F693" s="473" t="n">
        <f aca="false">D693*0.9*0.095+D693*3%</f>
        <v>865.863453815261</v>
      </c>
      <c r="G693" s="472" t="n">
        <f aca="false">амортизация!M2379</f>
        <v>1466.93890729585</v>
      </c>
      <c r="H693" s="473" t="e">
        <f aca="false">C693+D693+F693+G693</f>
        <v>#NAME?</v>
      </c>
      <c r="I693" s="462" t="n">
        <f aca="false">I$190</f>
        <v>0.240474587202079</v>
      </c>
      <c r="J693" s="473" t="n">
        <f aca="false">D693*I693</f>
        <v>1802.7546028536</v>
      </c>
      <c r="K693" s="473" t="e">
        <f aca="false">H693+J693</f>
        <v>#NAME?</v>
      </c>
      <c r="L693" s="462" t="n">
        <v>0.2</v>
      </c>
      <c r="M693" s="473" t="e">
        <f aca="false">K693*L693</f>
        <v>#NAME?</v>
      </c>
      <c r="N693" s="473" t="e">
        <f aca="false">K693+M693</f>
        <v>#NAME?</v>
      </c>
      <c r="O693" s="473" t="e">
        <f aca="false">M693</f>
        <v>#NAME?</v>
      </c>
    </row>
    <row r="694" s="461" customFormat="true" ht="15" hidden="false" customHeight="false" outlineLevel="0" collapsed="false">
      <c r="A694" s="327" t="s">
        <v>1149</v>
      </c>
      <c r="B694" s="433" t="s">
        <v>3307</v>
      </c>
      <c r="C694" s="472" t="e">
        <f aca="false">мат.затр!g6348</f>
        <v>#NAME?</v>
      </c>
      <c r="D694" s="472" t="n">
        <f aca="false">тарифик!J695</f>
        <v>8299.86613119143</v>
      </c>
      <c r="E694" s="472"/>
      <c r="F694" s="473" t="n">
        <f aca="false">D694*0.9*0.095+D694*3%</f>
        <v>958.634538152611</v>
      </c>
      <c r="G694" s="472" t="n">
        <f aca="false">амортизация!M2389</f>
        <v>398.845641826566</v>
      </c>
      <c r="H694" s="473" t="e">
        <f aca="false">C694+D694+F694+G694</f>
        <v>#NAME?</v>
      </c>
      <c r="I694" s="462" t="n">
        <f aca="false">I$190</f>
        <v>0.240474587202079</v>
      </c>
      <c r="J694" s="473" t="n">
        <f aca="false">D694*I694</f>
        <v>1995.90688173078</v>
      </c>
      <c r="K694" s="473" t="e">
        <f aca="false">H694+J694</f>
        <v>#NAME?</v>
      </c>
      <c r="L694" s="462" t="n">
        <v>0.2</v>
      </c>
      <c r="M694" s="473" t="e">
        <f aca="false">K694*L694</f>
        <v>#NAME?</v>
      </c>
      <c r="N694" s="473" t="e">
        <f aca="false">K694+M694</f>
        <v>#NAME?</v>
      </c>
      <c r="O694" s="473" t="e">
        <f aca="false">M694</f>
        <v>#NAME?</v>
      </c>
    </row>
    <row r="695" s="461" customFormat="true" ht="15" hidden="false" customHeight="false" outlineLevel="0" collapsed="false">
      <c r="A695" s="327" t="s">
        <v>1150</v>
      </c>
      <c r="B695" s="433" t="s">
        <v>3315</v>
      </c>
      <c r="C695" s="472" t="e">
        <f aca="false">мат.затр!g6370</f>
        <v>#NAME?</v>
      </c>
      <c r="D695" s="472" t="n">
        <f aca="false">тарифик!J696</f>
        <v>6961.1780455154</v>
      </c>
      <c r="E695" s="472"/>
      <c r="F695" s="473" t="n">
        <f aca="false">D695*0.9*0.095+D695*3%</f>
        <v>804.016064257028</v>
      </c>
      <c r="G695" s="472" t="n">
        <f aca="false">амортизация!M2399</f>
        <v>1572.62456418266</v>
      </c>
      <c r="H695" s="473" t="e">
        <f aca="false">C695+D695+F695+G695</f>
        <v>#NAME?</v>
      </c>
      <c r="I695" s="462" t="n">
        <f aca="false">I$190</f>
        <v>0.240474587202079</v>
      </c>
      <c r="J695" s="473" t="n">
        <f aca="false">D695*I695</f>
        <v>1673.98641693549</v>
      </c>
      <c r="K695" s="473" t="e">
        <f aca="false">H695+J695</f>
        <v>#NAME?</v>
      </c>
      <c r="L695" s="462" t="n">
        <v>0.2</v>
      </c>
      <c r="M695" s="473" t="e">
        <f aca="false">K695*L695</f>
        <v>#NAME?</v>
      </c>
      <c r="N695" s="473" t="e">
        <f aca="false">K695+M695</f>
        <v>#NAME?</v>
      </c>
      <c r="O695" s="473" t="e">
        <f aca="false">M695</f>
        <v>#NAME?</v>
      </c>
    </row>
    <row r="696" s="461" customFormat="true" ht="30" hidden="false" customHeight="false" outlineLevel="0" collapsed="false">
      <c r="A696" s="327" t="s">
        <v>1151</v>
      </c>
      <c r="B696" s="488" t="s">
        <v>3314</v>
      </c>
      <c r="C696" s="472" t="e">
        <f aca="false">мат.затр!g6397</f>
        <v>#NAME?</v>
      </c>
      <c r="D696" s="472" t="n">
        <f aca="false">тарифик!J697</f>
        <v>7764.39089692102</v>
      </c>
      <c r="E696" s="472"/>
      <c r="F696" s="473" t="n">
        <f aca="false">D696*0.9*0.095+D696*3%</f>
        <v>896.787148594378</v>
      </c>
      <c r="G696" s="472" t="n">
        <f aca="false">амортизация!M2409</f>
        <v>1485.73236817641</v>
      </c>
      <c r="H696" s="473" t="e">
        <f aca="false">C696+D696+F696+G696</f>
        <v>#NAME?</v>
      </c>
      <c r="I696" s="462" t="n">
        <f aca="false">I$190</f>
        <v>0.240474587202079</v>
      </c>
      <c r="J696" s="473" t="n">
        <f aca="false">D696*I696</f>
        <v>1867.13869581266</v>
      </c>
      <c r="K696" s="473" t="e">
        <f aca="false">H696+J696</f>
        <v>#NAME?</v>
      </c>
      <c r="L696" s="462" t="n">
        <v>0.2</v>
      </c>
      <c r="M696" s="473" t="e">
        <f aca="false">K696*L696</f>
        <v>#NAME?</v>
      </c>
      <c r="N696" s="473" t="e">
        <f aca="false">K696+M696</f>
        <v>#NAME?</v>
      </c>
      <c r="O696" s="473" t="e">
        <f aca="false">M696</f>
        <v>#NAME?</v>
      </c>
    </row>
    <row r="697" s="461" customFormat="true" ht="15" hidden="false" customHeight="false" outlineLevel="0" collapsed="false">
      <c r="A697" s="327" t="s">
        <v>1152</v>
      </c>
      <c r="B697" s="488" t="s">
        <v>3324</v>
      </c>
      <c r="C697" s="472" t="e">
        <f aca="false">мат.затр!g6418</f>
        <v>#NAME?</v>
      </c>
      <c r="D697" s="472" t="n">
        <f aca="false">тарифик!J698</f>
        <v>7496.65327978581</v>
      </c>
      <c r="E697" s="472"/>
      <c r="F697" s="473" t="n">
        <f aca="false">D697*0.9*0.095+D697*3%</f>
        <v>865.863453815261</v>
      </c>
      <c r="G697" s="472" t="n">
        <f aca="false">амортизация!M2419</f>
        <v>391.088451026328</v>
      </c>
      <c r="H697" s="473" t="e">
        <f aca="false">C697+D697+F697+G697</f>
        <v>#NAME?</v>
      </c>
      <c r="I697" s="462" t="n">
        <f aca="false">I$190</f>
        <v>0.240474587202079</v>
      </c>
      <c r="J697" s="473" t="n">
        <f aca="false">D697*I697</f>
        <v>1802.7546028536</v>
      </c>
      <c r="K697" s="473" t="e">
        <f aca="false">H697+J697</f>
        <v>#NAME?</v>
      </c>
      <c r="L697" s="462" t="n">
        <v>0.2</v>
      </c>
      <c r="M697" s="473" t="e">
        <f aca="false">K697*L697</f>
        <v>#NAME?</v>
      </c>
      <c r="N697" s="473" t="e">
        <f aca="false">K697+M697</f>
        <v>#NAME?</v>
      </c>
      <c r="O697" s="473" t="e">
        <f aca="false">M697</f>
        <v>#NAME?</v>
      </c>
    </row>
    <row r="698" s="461" customFormat="true" ht="15" hidden="false" customHeight="false" outlineLevel="0" collapsed="false">
      <c r="A698" s="327" t="s">
        <v>1153</v>
      </c>
      <c r="B698" s="433" t="s">
        <v>3308</v>
      </c>
      <c r="C698" s="472" t="e">
        <f aca="false">мат.затр!g6441</f>
        <v>#NAME?</v>
      </c>
      <c r="D698" s="472" t="n">
        <f aca="false">тарифик!J699</f>
        <v>9103.07898259706</v>
      </c>
      <c r="E698" s="472"/>
      <c r="F698" s="473" t="n">
        <f aca="false">D698*0.9*0.095+D698*3%</f>
        <v>1051.40562248996</v>
      </c>
      <c r="G698" s="472" t="n">
        <f aca="false">амортизация!M2430</f>
        <v>5093.23019094898</v>
      </c>
      <c r="H698" s="473" t="e">
        <f aca="false">C698+D698+F698+G698</f>
        <v>#NAME?</v>
      </c>
      <c r="I698" s="462" t="n">
        <f aca="false">I$190</f>
        <v>0.240474587202079</v>
      </c>
      <c r="J698" s="473" t="n">
        <f aca="false">D698*I698</f>
        <v>2189.05916060795</v>
      </c>
      <c r="K698" s="473" t="e">
        <f aca="false">H698+J698</f>
        <v>#NAME?</v>
      </c>
      <c r="L698" s="462" t="n">
        <v>0.2</v>
      </c>
      <c r="M698" s="473" t="e">
        <f aca="false">K698*L698</f>
        <v>#NAME?</v>
      </c>
      <c r="N698" s="473" t="e">
        <f aca="false">K698+M698</f>
        <v>#NAME?</v>
      </c>
      <c r="O698" s="473" t="e">
        <f aca="false">M698</f>
        <v>#NAME?</v>
      </c>
    </row>
    <row r="699" s="461" customFormat="true" ht="28.5" hidden="false" customHeight="false" outlineLevel="0" collapsed="false">
      <c r="A699" s="350" t="s">
        <v>1155</v>
      </c>
      <c r="B699" s="467" t="s">
        <v>3341</v>
      </c>
      <c r="C699" s="468"/>
      <c r="D699" s="468"/>
      <c r="E699" s="472"/>
      <c r="F699" s="468"/>
      <c r="G699" s="468"/>
      <c r="H699" s="474"/>
      <c r="I699" s="475"/>
      <c r="J699" s="474"/>
      <c r="K699" s="474"/>
      <c r="L699" s="475"/>
      <c r="M699" s="474"/>
      <c r="N699" s="474"/>
      <c r="O699" s="474"/>
    </row>
    <row r="700" s="461" customFormat="true" ht="30" hidden="false" customHeight="false" outlineLevel="0" collapsed="false">
      <c r="A700" s="327" t="s">
        <v>1157</v>
      </c>
      <c r="B700" s="492" t="s">
        <v>3342</v>
      </c>
      <c r="C700" s="472" t="e">
        <f aca="false">мат.затр!g6465</f>
        <v>#NAME?</v>
      </c>
      <c r="D700" s="472" t="n">
        <f aca="false">тарифик!J701</f>
        <v>669.344042838019</v>
      </c>
      <c r="E700" s="472"/>
      <c r="F700" s="472" t="n">
        <f aca="false">D700*0.9*0.095+D700*3%</f>
        <v>77.3092369477912</v>
      </c>
      <c r="G700" s="472" t="n">
        <f aca="false">амортизация!M2435</f>
        <v>4.8157653763201</v>
      </c>
      <c r="H700" s="473" t="e">
        <f aca="false">C700+D700+F700+G700</f>
        <v>#NAME?</v>
      </c>
      <c r="I700" s="462" t="n">
        <f aca="false">I$190</f>
        <v>0.240474587202079</v>
      </c>
      <c r="J700" s="473" t="n">
        <f aca="false">D700*I700</f>
        <v>160.960232397643</v>
      </c>
      <c r="K700" s="473" t="e">
        <f aca="false">H700+J700</f>
        <v>#NAME?</v>
      </c>
      <c r="L700" s="462" t="n">
        <v>0.2</v>
      </c>
      <c r="M700" s="473" t="e">
        <f aca="false">K700*L700</f>
        <v>#NAME?</v>
      </c>
      <c r="N700" s="473" t="e">
        <f aca="false">K700+M700</f>
        <v>#NAME?</v>
      </c>
      <c r="O700" s="473" t="e">
        <f aca="false">M700</f>
        <v>#NAME?</v>
      </c>
    </row>
    <row r="701" s="461" customFormat="true" ht="30" hidden="false" customHeight="false" outlineLevel="0" collapsed="false">
      <c r="A701" s="327" t="s">
        <v>1158</v>
      </c>
      <c r="B701" s="492" t="s">
        <v>3343</v>
      </c>
      <c r="C701" s="472" t="e">
        <f aca="false">мат.затр!g6472</f>
        <v>#NAME?</v>
      </c>
      <c r="D701" s="472" t="n">
        <f aca="false">тарифик!J702</f>
        <v>803.212851405623</v>
      </c>
      <c r="E701" s="472"/>
      <c r="F701" s="472" t="n">
        <f aca="false">D701*0.9*0.095+D701*3%</f>
        <v>92.7710843373494</v>
      </c>
      <c r="G701" s="472" t="n">
        <f aca="false">амортизация!M2440</f>
        <v>17.0389637252715</v>
      </c>
      <c r="H701" s="473" t="e">
        <f aca="false">C701+D701+F701+G701</f>
        <v>#NAME?</v>
      </c>
      <c r="I701" s="462" t="n">
        <f aca="false">I$190</f>
        <v>0.240474587202079</v>
      </c>
      <c r="J701" s="473" t="n">
        <f aca="false">D701*I701</f>
        <v>193.152278877172</v>
      </c>
      <c r="K701" s="473" t="e">
        <f aca="false">H701+J701</f>
        <v>#NAME?</v>
      </c>
      <c r="L701" s="462" t="n">
        <v>0.2</v>
      </c>
      <c r="M701" s="473" t="e">
        <f aca="false">K701*L701</f>
        <v>#NAME?</v>
      </c>
      <c r="N701" s="473" t="e">
        <f aca="false">K701+M701</f>
        <v>#NAME?</v>
      </c>
      <c r="O701" s="473" t="e">
        <f aca="false">M701</f>
        <v>#NAME?</v>
      </c>
    </row>
    <row r="702" s="461" customFormat="true" ht="30" hidden="false" customHeight="false" outlineLevel="0" collapsed="false">
      <c r="A702" s="327" t="s">
        <v>1160</v>
      </c>
      <c r="B702" s="492" t="s">
        <v>3344</v>
      </c>
      <c r="C702" s="472" t="e">
        <f aca="false">мат.затр!g6481</f>
        <v>#NAME?</v>
      </c>
      <c r="D702" s="472" t="n">
        <f aca="false">тарифик!J703</f>
        <v>6961.1780455154</v>
      </c>
      <c r="E702" s="472"/>
      <c r="F702" s="472" t="n">
        <f aca="false">D702*0.9*0.095+D702*3%</f>
        <v>804.016064257028</v>
      </c>
      <c r="G702" s="472" t="n">
        <f aca="false">амортизация!M2449</f>
        <v>1254.85280380782</v>
      </c>
      <c r="H702" s="473" t="e">
        <f aca="false">C702+D702+F702+G702</f>
        <v>#NAME?</v>
      </c>
      <c r="I702" s="462" t="n">
        <f aca="false">I$190</f>
        <v>0.240474587202079</v>
      </c>
      <c r="J702" s="473" t="n">
        <f aca="false">D702*I702</f>
        <v>1673.98641693549</v>
      </c>
      <c r="K702" s="473" t="e">
        <f aca="false">H702+J702</f>
        <v>#NAME?</v>
      </c>
      <c r="L702" s="462" t="n">
        <v>0.2</v>
      </c>
      <c r="M702" s="473" t="e">
        <f aca="false">K702*L702</f>
        <v>#NAME?</v>
      </c>
      <c r="N702" s="473" t="e">
        <f aca="false">K702+M702</f>
        <v>#NAME?</v>
      </c>
      <c r="O702" s="473" t="e">
        <f aca="false">M702</f>
        <v>#NAME?</v>
      </c>
    </row>
    <row r="703" s="461" customFormat="true" ht="30" hidden="false" customHeight="false" outlineLevel="0" collapsed="false">
      <c r="A703" s="327" t="s">
        <v>1162</v>
      </c>
      <c r="B703" s="492" t="s">
        <v>3345</v>
      </c>
      <c r="C703" s="472" t="e">
        <f aca="false">мат.затр!g6497</f>
        <v>#NAME?</v>
      </c>
      <c r="D703" s="472" t="n">
        <f aca="false">тарифик!J704</f>
        <v>803.212851405623</v>
      </c>
      <c r="E703" s="472"/>
      <c r="F703" s="472" t="n">
        <f aca="false">D703*0.9*0.095+D703*3%</f>
        <v>92.7710843373494</v>
      </c>
      <c r="G703" s="472" t="n">
        <f aca="false">амортизация!M2453</f>
        <v>1280.05448553473</v>
      </c>
      <c r="H703" s="473" t="e">
        <f aca="false">C703+D703+F703+G703</f>
        <v>#NAME?</v>
      </c>
      <c r="I703" s="462" t="n">
        <f aca="false">I$190</f>
        <v>0.240474587202079</v>
      </c>
      <c r="J703" s="473" t="n">
        <f aca="false">D703*I703</f>
        <v>193.152278877172</v>
      </c>
      <c r="K703" s="473" t="e">
        <f aca="false">H703+J703</f>
        <v>#NAME?</v>
      </c>
      <c r="L703" s="462" t="n">
        <v>0.2</v>
      </c>
      <c r="M703" s="473" t="e">
        <f aca="false">K703*L703</f>
        <v>#NAME?</v>
      </c>
      <c r="N703" s="473" t="e">
        <f aca="false">K703+M703</f>
        <v>#NAME?</v>
      </c>
      <c r="O703" s="473" t="e">
        <f aca="false">M703</f>
        <v>#NAME?</v>
      </c>
    </row>
    <row r="704" s="461" customFormat="true" ht="15" hidden="false" customHeight="false" outlineLevel="0" collapsed="false">
      <c r="A704" s="350" t="s">
        <v>1164</v>
      </c>
      <c r="B704" s="346" t="s">
        <v>3346</v>
      </c>
      <c r="C704" s="468"/>
      <c r="D704" s="468"/>
      <c r="E704" s="472"/>
      <c r="F704" s="468"/>
      <c r="G704" s="468"/>
      <c r="H704" s="474"/>
      <c r="I704" s="475"/>
      <c r="J704" s="474"/>
      <c r="K704" s="474"/>
      <c r="L704" s="475"/>
      <c r="M704" s="474"/>
      <c r="N704" s="474"/>
      <c r="O704" s="474"/>
    </row>
    <row r="705" s="461" customFormat="true" ht="15" hidden="false" customHeight="false" outlineLevel="0" collapsed="false">
      <c r="A705" s="327" t="s">
        <v>1166</v>
      </c>
      <c r="B705" s="433" t="s">
        <v>3317</v>
      </c>
      <c r="C705" s="472" t="e">
        <f aca="false">мат.затр!g6511</f>
        <v>#NAME?</v>
      </c>
      <c r="D705" s="472" t="n">
        <f aca="false">тарифик!J706</f>
        <v>7496.65327978581</v>
      </c>
      <c r="E705" s="472"/>
      <c r="F705" s="472" t="n">
        <f aca="false">D705*0.9*0.095+D705*3%</f>
        <v>865.863453815261</v>
      </c>
      <c r="G705" s="472" t="n">
        <f aca="false">амортизация!M2464</f>
        <v>371.370691097724</v>
      </c>
      <c r="H705" s="473" t="e">
        <f aca="false">C705+D705+F705+G705</f>
        <v>#NAME?</v>
      </c>
      <c r="I705" s="462" t="n">
        <f aca="false">I$190</f>
        <v>0.240474587202079</v>
      </c>
      <c r="J705" s="473" t="n">
        <f aca="false">D705*I705</f>
        <v>1802.7546028536</v>
      </c>
      <c r="K705" s="473" t="e">
        <f aca="false">H705+J705</f>
        <v>#NAME?</v>
      </c>
      <c r="L705" s="462" t="n">
        <v>0.2</v>
      </c>
      <c r="M705" s="473" t="e">
        <f aca="false">K705*L705</f>
        <v>#NAME?</v>
      </c>
      <c r="N705" s="473" t="e">
        <f aca="false">K705+M705</f>
        <v>#NAME?</v>
      </c>
      <c r="O705" s="473" t="e">
        <f aca="false">M705</f>
        <v>#NAME?</v>
      </c>
    </row>
    <row r="706" s="461" customFormat="true" ht="15" hidden="false" customHeight="false" outlineLevel="0" collapsed="false">
      <c r="A706" s="327" t="s">
        <v>1168</v>
      </c>
      <c r="B706" s="433" t="s">
        <v>3307</v>
      </c>
      <c r="C706" s="472" t="e">
        <f aca="false">мат.затр!g6530</f>
        <v>#NAME?</v>
      </c>
      <c r="D706" s="472" t="n">
        <f aca="false">тарифик!J707</f>
        <v>6961.1780455154</v>
      </c>
      <c r="E706" s="472"/>
      <c r="F706" s="472" t="n">
        <f aca="false">D706*0.9*0.095+D706*3%</f>
        <v>804.016064257028</v>
      </c>
      <c r="G706" s="472" t="n">
        <f aca="false">амортизация!M2474</f>
        <v>388.58319853488</v>
      </c>
      <c r="H706" s="473" t="e">
        <f aca="false">C706+D706+F706+G706</f>
        <v>#NAME?</v>
      </c>
      <c r="I706" s="462" t="n">
        <f aca="false">I$190</f>
        <v>0.240474587202079</v>
      </c>
      <c r="J706" s="473" t="n">
        <f aca="false">D706*I706</f>
        <v>1673.98641693549</v>
      </c>
      <c r="K706" s="473" t="e">
        <f aca="false">H706+J706</f>
        <v>#NAME?</v>
      </c>
      <c r="L706" s="462" t="n">
        <v>0.2</v>
      </c>
      <c r="M706" s="473" t="e">
        <f aca="false">K706*L706</f>
        <v>#NAME?</v>
      </c>
      <c r="N706" s="473" t="e">
        <f aca="false">K706+M706</f>
        <v>#NAME?</v>
      </c>
      <c r="O706" s="473" t="e">
        <f aca="false">M706</f>
        <v>#NAME?</v>
      </c>
    </row>
    <row r="707" s="461" customFormat="true" ht="15" hidden="false" customHeight="false" outlineLevel="0" collapsed="false">
      <c r="A707" s="327" t="s">
        <v>1169</v>
      </c>
      <c r="B707" s="433" t="s">
        <v>3347</v>
      </c>
      <c r="C707" s="472" t="e">
        <f aca="false">мат.затр!g6551</f>
        <v>#NAME?</v>
      </c>
      <c r="D707" s="472" t="n">
        <f aca="false">тарифик!J708</f>
        <v>6961.1780455154</v>
      </c>
      <c r="E707" s="472"/>
      <c r="F707" s="472" t="n">
        <f aca="false">D707*0.9*0.095+D707*3%</f>
        <v>804.016064257028</v>
      </c>
      <c r="G707" s="472" t="n">
        <f aca="false">амортизация!M2484</f>
        <v>1461.3610402722</v>
      </c>
      <c r="H707" s="473" t="e">
        <f aca="false">C707+D707+F707+G707</f>
        <v>#NAME?</v>
      </c>
      <c r="I707" s="462" t="n">
        <f aca="false">I$190</f>
        <v>0.240474587202079</v>
      </c>
      <c r="J707" s="473" t="n">
        <f aca="false">D707*I707</f>
        <v>1673.98641693549</v>
      </c>
      <c r="K707" s="473" t="e">
        <f aca="false">H707+J707</f>
        <v>#NAME?</v>
      </c>
      <c r="L707" s="462" t="n">
        <v>0.2</v>
      </c>
      <c r="M707" s="473" t="e">
        <f aca="false">K707*L707</f>
        <v>#NAME?</v>
      </c>
      <c r="N707" s="473" t="e">
        <f aca="false">K707+M707</f>
        <v>#NAME?</v>
      </c>
      <c r="O707" s="473" t="e">
        <f aca="false">M707</f>
        <v>#NAME?</v>
      </c>
    </row>
    <row r="708" s="461" customFormat="true" ht="15" hidden="false" customHeight="false" outlineLevel="0" collapsed="false">
      <c r="A708" s="327" t="s">
        <v>1171</v>
      </c>
      <c r="B708" s="433" t="s">
        <v>3309</v>
      </c>
      <c r="C708" s="472" t="e">
        <f aca="false">мат.затр!g6567</f>
        <v>#NAME?</v>
      </c>
      <c r="D708" s="472" t="n">
        <f aca="false">тарифик!J709</f>
        <v>6961.1780455154</v>
      </c>
      <c r="E708" s="472"/>
      <c r="F708" s="472" t="n">
        <f aca="false">D708*0.9*0.095+D708*3%</f>
        <v>804.016064257028</v>
      </c>
      <c r="G708" s="472" t="n">
        <f aca="false">амортизация!M2494</f>
        <v>2415.81648520006</v>
      </c>
      <c r="H708" s="473" t="e">
        <f aca="false">C708+D708+F708+G708</f>
        <v>#NAME?</v>
      </c>
      <c r="I708" s="462" t="n">
        <f aca="false">I$190</f>
        <v>0.240474587202079</v>
      </c>
      <c r="J708" s="473" t="n">
        <f aca="false">D708*I708</f>
        <v>1673.98641693549</v>
      </c>
      <c r="K708" s="473" t="e">
        <f aca="false">H708+J708</f>
        <v>#NAME?</v>
      </c>
      <c r="L708" s="462" t="n">
        <v>0.2</v>
      </c>
      <c r="M708" s="473" t="e">
        <f aca="false">K708*L708</f>
        <v>#NAME?</v>
      </c>
      <c r="N708" s="473" t="e">
        <f aca="false">K708+M708</f>
        <v>#NAME?</v>
      </c>
      <c r="O708" s="473" t="e">
        <f aca="false">M708</f>
        <v>#NAME?</v>
      </c>
    </row>
    <row r="709" s="461" customFormat="true" ht="28.5" hidden="false" customHeight="false" outlineLevel="0" collapsed="false">
      <c r="A709" s="350" t="s">
        <v>1172</v>
      </c>
      <c r="B709" s="346" t="s">
        <v>3348</v>
      </c>
      <c r="C709" s="468"/>
      <c r="D709" s="468"/>
      <c r="E709" s="472"/>
      <c r="F709" s="468"/>
      <c r="G709" s="468"/>
      <c r="H709" s="474"/>
      <c r="I709" s="475"/>
      <c r="J709" s="474"/>
      <c r="K709" s="474"/>
      <c r="L709" s="475"/>
      <c r="M709" s="474"/>
      <c r="N709" s="474"/>
      <c r="O709" s="474"/>
    </row>
    <row r="710" s="461" customFormat="true" ht="15" hidden="false" customHeight="false" outlineLevel="0" collapsed="false">
      <c r="A710" s="327" t="s">
        <v>1174</v>
      </c>
      <c r="B710" s="433" t="s">
        <v>3323</v>
      </c>
      <c r="C710" s="472" t="e">
        <f aca="false">мат.затр!g6584</f>
        <v>#NAME?</v>
      </c>
      <c r="D710" s="472" t="n">
        <f aca="false">тарифик!J711</f>
        <v>7496.65327978581</v>
      </c>
      <c r="E710" s="472"/>
      <c r="F710" s="472" t="n">
        <f aca="false">D710*0.9*0.095+D710*3%</f>
        <v>865.863453815261</v>
      </c>
      <c r="G710" s="472" t="n">
        <f aca="false">амортизация!M2505</f>
        <v>372.688866577421</v>
      </c>
      <c r="H710" s="473" t="e">
        <f aca="false">C710+D710+F710+G710</f>
        <v>#NAME?</v>
      </c>
      <c r="I710" s="462" t="n">
        <f aca="false">I$190</f>
        <v>0.240474587202079</v>
      </c>
      <c r="J710" s="473" t="n">
        <f aca="false">D710*I710</f>
        <v>1802.7546028536</v>
      </c>
      <c r="K710" s="473" t="e">
        <f aca="false">H710+J710</f>
        <v>#NAME?</v>
      </c>
      <c r="L710" s="462" t="n">
        <v>0.2</v>
      </c>
      <c r="M710" s="473" t="e">
        <f aca="false">K710*L710</f>
        <v>#NAME?</v>
      </c>
      <c r="N710" s="473" t="e">
        <f aca="false">K710+M710</f>
        <v>#NAME?</v>
      </c>
      <c r="O710" s="473" t="e">
        <f aca="false">M710</f>
        <v>#NAME?</v>
      </c>
    </row>
    <row r="711" s="461" customFormat="true" ht="15" hidden="false" customHeight="false" outlineLevel="0" collapsed="false">
      <c r="A711" s="327" t="s">
        <v>1175</v>
      </c>
      <c r="B711" s="433" t="s">
        <v>3308</v>
      </c>
      <c r="C711" s="472" t="e">
        <f aca="false">мат.затр!g6606</f>
        <v>#NAME?</v>
      </c>
      <c r="D711" s="472" t="n">
        <f aca="false">тарифик!J712</f>
        <v>9103.07898259706</v>
      </c>
      <c r="E711" s="472"/>
      <c r="F711" s="472" t="n">
        <f aca="false">D711*0.9*0.095+D711*3%</f>
        <v>1051.40562248996</v>
      </c>
      <c r="G711" s="472" t="n">
        <f aca="false">амортизация!M2515</f>
        <v>5085.64372006545</v>
      </c>
      <c r="H711" s="473" t="e">
        <f aca="false">C711+D711+F711+G711</f>
        <v>#NAME?</v>
      </c>
      <c r="I711" s="462" t="n">
        <f aca="false">I$190</f>
        <v>0.240474587202079</v>
      </c>
      <c r="J711" s="473" t="n">
        <f aca="false">D711*I711</f>
        <v>2189.05916060795</v>
      </c>
      <c r="K711" s="473" t="e">
        <f aca="false">H711+J711</f>
        <v>#NAME?</v>
      </c>
      <c r="L711" s="462" t="n">
        <v>0.2</v>
      </c>
      <c r="M711" s="473" t="e">
        <f aca="false">K711*L711</f>
        <v>#NAME?</v>
      </c>
      <c r="N711" s="473" t="e">
        <f aca="false">K711+M711</f>
        <v>#NAME?</v>
      </c>
      <c r="O711" s="473" t="e">
        <f aca="false">M711</f>
        <v>#NAME?</v>
      </c>
    </row>
    <row r="712" s="461" customFormat="true" ht="28.5" hidden="false" customHeight="false" outlineLevel="0" collapsed="false">
      <c r="A712" s="350" t="s">
        <v>1176</v>
      </c>
      <c r="B712" s="346" t="s">
        <v>3349</v>
      </c>
      <c r="C712" s="468"/>
      <c r="D712" s="468"/>
      <c r="E712" s="472"/>
      <c r="F712" s="468"/>
      <c r="G712" s="468"/>
      <c r="H712" s="474"/>
      <c r="I712" s="475"/>
      <c r="J712" s="474"/>
      <c r="K712" s="474"/>
      <c r="L712" s="475"/>
      <c r="M712" s="474"/>
      <c r="N712" s="474"/>
      <c r="O712" s="474"/>
    </row>
    <row r="713" s="461" customFormat="true" ht="30" hidden="false" customHeight="false" outlineLevel="0" collapsed="false">
      <c r="A713" s="327" t="s">
        <v>1178</v>
      </c>
      <c r="B713" s="433" t="s">
        <v>3350</v>
      </c>
      <c r="C713" s="472" t="e">
        <f aca="false">мат.затр!g6633</f>
        <v>#NAME?</v>
      </c>
      <c r="D713" s="472" t="n">
        <f aca="false">тарифик!J714</f>
        <v>8299.86613119143</v>
      </c>
      <c r="E713" s="472"/>
      <c r="F713" s="472" t="n">
        <f aca="false">D713*0.9*0.095+D713*3%</f>
        <v>958.634538152611</v>
      </c>
      <c r="G713" s="472" t="n">
        <f aca="false">амортизация!M2525</f>
        <v>1489.11196526848</v>
      </c>
      <c r="H713" s="473" t="e">
        <f aca="false">C713+D713+F713+G713</f>
        <v>#NAME?</v>
      </c>
      <c r="I713" s="462" t="n">
        <f aca="false">I$190</f>
        <v>0.240474587202079</v>
      </c>
      <c r="J713" s="473" t="n">
        <f aca="false">D713*I713</f>
        <v>1995.90688173078</v>
      </c>
      <c r="K713" s="473" t="e">
        <f aca="false">H713+J713</f>
        <v>#NAME?</v>
      </c>
      <c r="L713" s="462" t="n">
        <v>0.2</v>
      </c>
      <c r="M713" s="473" t="e">
        <f aca="false">K713*L713</f>
        <v>#NAME?</v>
      </c>
      <c r="N713" s="473" t="e">
        <f aca="false">K713+M713</f>
        <v>#NAME?</v>
      </c>
      <c r="O713" s="473" t="e">
        <f aca="false">M713</f>
        <v>#NAME?</v>
      </c>
    </row>
    <row r="714" s="461" customFormat="true" ht="15" hidden="false" customHeight="false" outlineLevel="0" collapsed="false">
      <c r="A714" s="350" t="s">
        <v>1180</v>
      </c>
      <c r="B714" s="346" t="s">
        <v>3351</v>
      </c>
      <c r="C714" s="468"/>
      <c r="D714" s="468"/>
      <c r="E714" s="472"/>
      <c r="F714" s="468"/>
      <c r="G714" s="468"/>
      <c r="H714" s="474"/>
      <c r="I714" s="475"/>
      <c r="J714" s="474"/>
      <c r="K714" s="474"/>
      <c r="L714" s="475"/>
      <c r="M714" s="474"/>
      <c r="N714" s="474"/>
      <c r="O714" s="474"/>
    </row>
    <row r="715" s="461" customFormat="true" ht="15" hidden="false" customHeight="false" outlineLevel="0" collapsed="false">
      <c r="A715" s="327" t="s">
        <v>1182</v>
      </c>
      <c r="B715" s="433" t="s">
        <v>3323</v>
      </c>
      <c r="C715" s="472" t="e">
        <f aca="false">мат.затр!g6651</f>
        <v>#NAME?</v>
      </c>
      <c r="D715" s="472" t="n">
        <f aca="false">тарифик!J716</f>
        <v>9103.07898259706</v>
      </c>
      <c r="E715" s="472"/>
      <c r="F715" s="472" t="n">
        <f aca="false">D715*0.9*0.095+D715*3%</f>
        <v>1051.40562248996</v>
      </c>
      <c r="G715" s="472" t="n">
        <f aca="false">амортизация!M2536</f>
        <v>382.515167150082</v>
      </c>
      <c r="H715" s="473" t="e">
        <f aca="false">C715+D715+F715+G715</f>
        <v>#NAME?</v>
      </c>
      <c r="I715" s="462" t="n">
        <f aca="false">I$190</f>
        <v>0.240474587202079</v>
      </c>
      <c r="J715" s="473" t="n">
        <f aca="false">D715*I715</f>
        <v>2189.05916060795</v>
      </c>
      <c r="K715" s="473" t="e">
        <f aca="false">H715+J715</f>
        <v>#NAME?</v>
      </c>
      <c r="L715" s="462" t="n">
        <v>0.2</v>
      </c>
      <c r="M715" s="473" t="e">
        <f aca="false">K715*L715</f>
        <v>#NAME?</v>
      </c>
      <c r="N715" s="473" t="e">
        <f aca="false">K715+M715</f>
        <v>#NAME?</v>
      </c>
      <c r="O715" s="473" t="e">
        <f aca="false">M715</f>
        <v>#NAME?</v>
      </c>
    </row>
    <row r="716" s="461" customFormat="true" ht="28.5" hidden="false" customHeight="false" outlineLevel="0" collapsed="false">
      <c r="A716" s="350" t="s">
        <v>1183</v>
      </c>
      <c r="B716" s="346" t="s">
        <v>3352</v>
      </c>
      <c r="C716" s="468"/>
      <c r="D716" s="468"/>
      <c r="E716" s="472"/>
      <c r="F716" s="468"/>
      <c r="G716" s="468"/>
      <c r="H716" s="474"/>
      <c r="I716" s="475"/>
      <c r="J716" s="474"/>
      <c r="K716" s="474"/>
      <c r="L716" s="475"/>
      <c r="M716" s="474"/>
      <c r="N716" s="474"/>
      <c r="O716" s="474"/>
    </row>
    <row r="717" s="461" customFormat="true" ht="15" hidden="false" customHeight="false" outlineLevel="0" collapsed="false">
      <c r="A717" s="327" t="s">
        <v>1185</v>
      </c>
      <c r="B717" s="433" t="s">
        <v>3307</v>
      </c>
      <c r="C717" s="472" t="e">
        <f aca="false">мат.затр!g6672</f>
        <v>#NAME?</v>
      </c>
      <c r="D717" s="472" t="n">
        <f aca="false">тарифик!J718</f>
        <v>9103.07898259706</v>
      </c>
      <c r="E717" s="472"/>
      <c r="F717" s="472" t="n">
        <f aca="false">D717*0.9*0.095+D717*3%</f>
        <v>1051.40562248996</v>
      </c>
      <c r="G717" s="472" t="n">
        <f aca="false">амортизация!M2547</f>
        <v>384.813253012048</v>
      </c>
      <c r="H717" s="473" t="e">
        <f aca="false">C717+D717+F717+G717</f>
        <v>#NAME?</v>
      </c>
      <c r="I717" s="462" t="n">
        <f aca="false">I$190</f>
        <v>0.240474587202079</v>
      </c>
      <c r="J717" s="473" t="n">
        <f aca="false">D717*I717</f>
        <v>2189.05916060795</v>
      </c>
      <c r="K717" s="473" t="e">
        <f aca="false">H717+J717</f>
        <v>#NAME?</v>
      </c>
      <c r="L717" s="462" t="n">
        <v>0.2</v>
      </c>
      <c r="M717" s="473" t="e">
        <f aca="false">K717*L717</f>
        <v>#NAME?</v>
      </c>
      <c r="N717" s="473" t="e">
        <f aca="false">K717+M717</f>
        <v>#NAME?</v>
      </c>
      <c r="O717" s="473" t="e">
        <f aca="false">M717</f>
        <v>#NAME?</v>
      </c>
    </row>
    <row r="718" s="461" customFormat="true" ht="15" hidden="false" customHeight="false" outlineLevel="0" collapsed="false">
      <c r="A718" s="327" t="s">
        <v>1186</v>
      </c>
      <c r="B718" s="433" t="s">
        <v>3309</v>
      </c>
      <c r="C718" s="472" t="e">
        <f aca="false">мат.затр!g6694</f>
        <v>#NAME?</v>
      </c>
      <c r="D718" s="472" t="n">
        <f aca="false">тарифик!J719</f>
        <v>6961.1780455154</v>
      </c>
      <c r="E718" s="472"/>
      <c r="F718" s="472" t="n">
        <f aca="false">D718*0.9*0.095+D718*3%</f>
        <v>804.016064257028</v>
      </c>
      <c r="G718" s="472" t="n">
        <f aca="false">амортизация!M2557</f>
        <v>388.400695374089</v>
      </c>
      <c r="H718" s="473" t="e">
        <f aca="false">C718+D718+F718+G718</f>
        <v>#NAME?</v>
      </c>
      <c r="I718" s="462" t="n">
        <f aca="false">I$190</f>
        <v>0.240474587202079</v>
      </c>
      <c r="J718" s="473" t="n">
        <f aca="false">D718*I718</f>
        <v>1673.98641693549</v>
      </c>
      <c r="K718" s="473" t="e">
        <f aca="false">H718+J718</f>
        <v>#NAME?</v>
      </c>
      <c r="L718" s="462" t="n">
        <v>0.2</v>
      </c>
      <c r="M718" s="473" t="e">
        <f aca="false">K718*L718</f>
        <v>#NAME?</v>
      </c>
      <c r="N718" s="473" t="e">
        <f aca="false">K718+M718</f>
        <v>#NAME?</v>
      </c>
      <c r="O718" s="473" t="e">
        <f aca="false">M718</f>
        <v>#NAME?</v>
      </c>
    </row>
    <row r="719" s="461" customFormat="true" ht="15" hidden="false" customHeight="false" outlineLevel="0" collapsed="false">
      <c r="A719" s="327" t="s">
        <v>1187</v>
      </c>
      <c r="B719" s="433" t="s">
        <v>3310</v>
      </c>
      <c r="C719" s="472" t="e">
        <f aca="false">мат.затр!g6712</f>
        <v>#NAME?</v>
      </c>
      <c r="D719" s="472" t="n">
        <f aca="false">тарифик!J720</f>
        <v>6961.1780455154</v>
      </c>
      <c r="E719" s="472"/>
      <c r="F719" s="472" t="n">
        <f aca="false">D719*0.9*0.095+D719*3%</f>
        <v>804.016064257028</v>
      </c>
      <c r="G719" s="472" t="n">
        <f aca="false">амортизация!M2567</f>
        <v>368.217276513461</v>
      </c>
      <c r="H719" s="473" t="e">
        <f aca="false">C719+D719+F719+G719</f>
        <v>#NAME?</v>
      </c>
      <c r="I719" s="462" t="n">
        <f aca="false">I$190</f>
        <v>0.240474587202079</v>
      </c>
      <c r="J719" s="473" t="n">
        <f aca="false">D719*I719</f>
        <v>1673.98641693549</v>
      </c>
      <c r="K719" s="473" t="e">
        <f aca="false">H719+J719</f>
        <v>#NAME?</v>
      </c>
      <c r="L719" s="462" t="n">
        <v>0.2</v>
      </c>
      <c r="M719" s="473" t="e">
        <f aca="false">K719*L719</f>
        <v>#NAME?</v>
      </c>
      <c r="N719" s="473" t="e">
        <f aca="false">K719+M719</f>
        <v>#NAME?</v>
      </c>
      <c r="O719" s="473" t="e">
        <f aca="false">M719</f>
        <v>#NAME?</v>
      </c>
    </row>
    <row r="720" s="461" customFormat="true" ht="15" hidden="false" customHeight="false" outlineLevel="0" collapsed="false">
      <c r="A720" s="327" t="s">
        <v>1188</v>
      </c>
      <c r="B720" s="433" t="s">
        <v>3308</v>
      </c>
      <c r="C720" s="472" t="e">
        <f aca="false">мат.затр!g6732</f>
        <v>#NAME?</v>
      </c>
      <c r="D720" s="472" t="n">
        <f aca="false">тарифик!J721</f>
        <v>9103.07898259706</v>
      </c>
      <c r="E720" s="472"/>
      <c r="F720" s="472" t="n">
        <f aca="false">D720*0.9*0.095+D720*3%</f>
        <v>1051.40562248996</v>
      </c>
      <c r="G720" s="472" t="n">
        <f aca="false">амортизация!M2577</f>
        <v>5088.99142105459</v>
      </c>
      <c r="H720" s="473" t="e">
        <f aca="false">C720+D720+F720+G720</f>
        <v>#NAME?</v>
      </c>
      <c r="I720" s="462" t="n">
        <f aca="false">I$190</f>
        <v>0.240474587202079</v>
      </c>
      <c r="J720" s="473" t="n">
        <f aca="false">D720*I720</f>
        <v>2189.05916060795</v>
      </c>
      <c r="K720" s="473" t="e">
        <f aca="false">H720+J720</f>
        <v>#NAME?</v>
      </c>
      <c r="L720" s="462" t="n">
        <v>0.2</v>
      </c>
      <c r="M720" s="473" t="e">
        <f aca="false">K720*L720</f>
        <v>#NAME?</v>
      </c>
      <c r="N720" s="473" t="e">
        <f aca="false">K720+M720</f>
        <v>#NAME?</v>
      </c>
      <c r="O720" s="473" t="e">
        <f aca="false">M720</f>
        <v>#NAME?</v>
      </c>
    </row>
    <row r="721" s="461" customFormat="true" ht="15" hidden="false" customHeight="false" outlineLevel="0" collapsed="false">
      <c r="A721" s="327" t="s">
        <v>1189</v>
      </c>
      <c r="B721" s="433" t="s">
        <v>3324</v>
      </c>
      <c r="C721" s="472" t="e">
        <f aca="false">мат.затр!g6756</f>
        <v>#NAME?</v>
      </c>
      <c r="D721" s="472" t="n">
        <f aca="false">тарифик!J722</f>
        <v>8299.86613119143</v>
      </c>
      <c r="E721" s="472"/>
      <c r="F721" s="472" t="n">
        <f aca="false">D721*0.9*0.095+D721*3%</f>
        <v>958.634538152611</v>
      </c>
      <c r="G721" s="472" t="n">
        <f aca="false">амортизация!M2587</f>
        <v>354.999967462442</v>
      </c>
      <c r="H721" s="473" t="e">
        <f aca="false">C721+D721+F721+G721</f>
        <v>#NAME?</v>
      </c>
      <c r="I721" s="462" t="n">
        <f aca="false">I$190</f>
        <v>0.240474587202079</v>
      </c>
      <c r="J721" s="473" t="n">
        <f aca="false">D721*I721</f>
        <v>1995.90688173078</v>
      </c>
      <c r="K721" s="473" t="e">
        <f aca="false">H721+J721</f>
        <v>#NAME?</v>
      </c>
      <c r="L721" s="462" t="n">
        <v>0.2</v>
      </c>
      <c r="M721" s="473" t="e">
        <f aca="false">K721*L721</f>
        <v>#NAME?</v>
      </c>
      <c r="N721" s="473" t="e">
        <f aca="false">K721+M721</f>
        <v>#NAME?</v>
      </c>
      <c r="O721" s="473" t="e">
        <f aca="false">M721</f>
        <v>#NAME?</v>
      </c>
    </row>
    <row r="722" s="461" customFormat="true" ht="15" hidden="false" customHeight="false" outlineLevel="0" collapsed="false">
      <c r="A722" s="350" t="s">
        <v>1190</v>
      </c>
      <c r="B722" s="346" t="s">
        <v>3353</v>
      </c>
      <c r="C722" s="468"/>
      <c r="D722" s="468"/>
      <c r="E722" s="472"/>
      <c r="F722" s="468"/>
      <c r="G722" s="468"/>
      <c r="H722" s="474"/>
      <c r="I722" s="475"/>
      <c r="J722" s="474"/>
      <c r="K722" s="474"/>
      <c r="L722" s="475"/>
      <c r="M722" s="474"/>
      <c r="N722" s="474"/>
      <c r="O722" s="474"/>
    </row>
    <row r="723" s="461" customFormat="true" ht="15" hidden="false" customHeight="false" outlineLevel="0" collapsed="false">
      <c r="A723" s="327" t="s">
        <v>1192</v>
      </c>
      <c r="B723" s="433" t="s">
        <v>3307</v>
      </c>
      <c r="C723" s="472" t="e">
        <f aca="false">мат.затр!g6776</f>
        <v>#NAME?</v>
      </c>
      <c r="D723" s="472" t="n">
        <f aca="false">тарифик!J724</f>
        <v>9103.07898259706</v>
      </c>
      <c r="E723" s="472"/>
      <c r="F723" s="472" t="n">
        <f aca="false">D723*0.9*0.095+D723*3%</f>
        <v>1051.40562248996</v>
      </c>
      <c r="G723" s="472" t="n">
        <f aca="false">амортизация!M2598</f>
        <v>381.967657667708</v>
      </c>
      <c r="H723" s="473" t="e">
        <f aca="false">C723+D723+F723+G723</f>
        <v>#NAME?</v>
      </c>
      <c r="I723" s="462" t="n">
        <f aca="false">I$190</f>
        <v>0.240474587202079</v>
      </c>
      <c r="J723" s="473" t="n">
        <f aca="false">D723*I723</f>
        <v>2189.05916060795</v>
      </c>
      <c r="K723" s="473" t="e">
        <f aca="false">H723+J723</f>
        <v>#NAME?</v>
      </c>
      <c r="L723" s="462" t="n">
        <v>0.2</v>
      </c>
      <c r="M723" s="473" t="e">
        <f aca="false">K723*L723</f>
        <v>#NAME?</v>
      </c>
      <c r="N723" s="473" t="e">
        <f aca="false">K723+M723</f>
        <v>#NAME?</v>
      </c>
      <c r="O723" s="473" t="e">
        <f aca="false">M723</f>
        <v>#NAME?</v>
      </c>
    </row>
    <row r="724" s="461" customFormat="true" ht="28.5" hidden="false" customHeight="false" outlineLevel="0" collapsed="false">
      <c r="A724" s="350" t="s">
        <v>1193</v>
      </c>
      <c r="B724" s="495" t="s">
        <v>3354</v>
      </c>
      <c r="C724" s="468"/>
      <c r="D724" s="468"/>
      <c r="E724" s="472"/>
      <c r="F724" s="468"/>
      <c r="G724" s="468"/>
      <c r="H724" s="474"/>
      <c r="I724" s="475"/>
      <c r="J724" s="474"/>
      <c r="K724" s="474"/>
      <c r="L724" s="475"/>
      <c r="M724" s="474"/>
      <c r="N724" s="474"/>
      <c r="O724" s="474"/>
    </row>
    <row r="725" s="461" customFormat="true" ht="15" hidden="false" customHeight="false" outlineLevel="0" collapsed="false">
      <c r="A725" s="327" t="s">
        <v>1195</v>
      </c>
      <c r="B725" s="433" t="s">
        <v>3307</v>
      </c>
      <c r="C725" s="472" t="e">
        <f aca="false">мат.затр!g6800</f>
        <v>#NAME?</v>
      </c>
      <c r="D725" s="472" t="n">
        <f aca="false">тарифик!J726</f>
        <v>7496.65327978581</v>
      </c>
      <c r="E725" s="472"/>
      <c r="F725" s="472" t="n">
        <f aca="false">D725*0.9*0.095+D725*3%</f>
        <v>865.863453815261</v>
      </c>
      <c r="G725" s="472" t="n">
        <f aca="false">амортизация!M2609</f>
        <v>370.264939387178</v>
      </c>
      <c r="H725" s="473" t="e">
        <f aca="false">C725+D725+F725+G725</f>
        <v>#NAME?</v>
      </c>
      <c r="I725" s="462" t="n">
        <f aca="false">I$190</f>
        <v>0.240474587202079</v>
      </c>
      <c r="J725" s="473" t="n">
        <f aca="false">D725*I725</f>
        <v>1802.7546028536</v>
      </c>
      <c r="K725" s="473" t="e">
        <f aca="false">H725+J725</f>
        <v>#NAME?</v>
      </c>
      <c r="L725" s="462" t="n">
        <v>0.2</v>
      </c>
      <c r="M725" s="473" t="e">
        <f aca="false">K725*L725</f>
        <v>#NAME?</v>
      </c>
      <c r="N725" s="473" t="e">
        <f aca="false">K725+M725</f>
        <v>#NAME?</v>
      </c>
      <c r="O725" s="473" t="e">
        <f aca="false">M725</f>
        <v>#NAME?</v>
      </c>
    </row>
    <row r="726" s="461" customFormat="true" ht="15" hidden="false" customHeight="false" outlineLevel="0" collapsed="false">
      <c r="A726" s="350" t="s">
        <v>1196</v>
      </c>
      <c r="B726" s="467" t="s">
        <v>3355</v>
      </c>
      <c r="C726" s="468"/>
      <c r="D726" s="468"/>
      <c r="E726" s="468"/>
      <c r="F726" s="468"/>
      <c r="G726" s="468"/>
      <c r="H726" s="490"/>
      <c r="I726" s="491"/>
      <c r="J726" s="490"/>
      <c r="K726" s="490"/>
      <c r="L726" s="491"/>
      <c r="M726" s="490"/>
      <c r="N726" s="490"/>
      <c r="O726" s="490"/>
    </row>
    <row r="727" s="461" customFormat="true" ht="15" hidden="false" customHeight="false" outlineLevel="0" collapsed="false">
      <c r="A727" s="327" t="s">
        <v>1198</v>
      </c>
      <c r="B727" s="433" t="s">
        <v>3010</v>
      </c>
      <c r="C727" s="472" t="e">
        <f aca="false">мат.затр!g6823</f>
        <v>#NAME?</v>
      </c>
      <c r="D727" s="472" t="n">
        <f aca="false">тарифик!J728</f>
        <v>312.360553324409</v>
      </c>
      <c r="E727" s="472"/>
      <c r="F727" s="473" t="n">
        <f aca="false">D727*0.9*0.095+D727*3%</f>
        <v>36.0776439089692</v>
      </c>
      <c r="G727" s="472" t="n">
        <f aca="false">амортизация!M2613</f>
        <v>3.35063866577421</v>
      </c>
      <c r="H727" s="473" t="e">
        <f aca="false">C727+D727+F727+G727</f>
        <v>#NAME?</v>
      </c>
      <c r="I727" s="462" t="n">
        <f aca="false">I$190</f>
        <v>0.240474587202079</v>
      </c>
      <c r="J727" s="473" t="n">
        <f aca="false">D727*I727</f>
        <v>75.1147751189002</v>
      </c>
      <c r="K727" s="473" t="e">
        <f aca="false">H727+J727</f>
        <v>#NAME?</v>
      </c>
      <c r="L727" s="462" t="n">
        <v>0.2</v>
      </c>
      <c r="M727" s="473" t="e">
        <f aca="false">K727*L727</f>
        <v>#NAME?</v>
      </c>
      <c r="N727" s="473" t="e">
        <f aca="false">K727+M727</f>
        <v>#NAME?</v>
      </c>
      <c r="O727" s="473" t="e">
        <f aca="false">M727</f>
        <v>#NAME?</v>
      </c>
    </row>
    <row r="728" s="461" customFormat="true" ht="15" hidden="false" customHeight="false" outlineLevel="0" collapsed="false">
      <c r="A728" s="327" t="s">
        <v>1199</v>
      </c>
      <c r="B728" s="433" t="s">
        <v>3356</v>
      </c>
      <c r="C728" s="472" t="e">
        <f aca="false">мат.затр!g6828</f>
        <v>#NAME?</v>
      </c>
      <c r="D728" s="472" t="n">
        <f aca="false">тарифик!J729</f>
        <v>663.766175814369</v>
      </c>
      <c r="E728" s="472"/>
      <c r="F728" s="473" t="n">
        <f aca="false">D728*0.9*0.095+D728*3%</f>
        <v>76.6649933065596</v>
      </c>
      <c r="G728" s="472" t="n">
        <f aca="false">амортизация!M2617</f>
        <v>4.63889353711141</v>
      </c>
      <c r="H728" s="473" t="e">
        <f aca="false">C728+D728+F728+G728</f>
        <v>#NAME?</v>
      </c>
      <c r="I728" s="462" t="n">
        <f aca="false">I$190</f>
        <v>0.240474587202079</v>
      </c>
      <c r="J728" s="473" t="n">
        <f aca="false">D728*I728</f>
        <v>159.618897127663</v>
      </c>
      <c r="K728" s="473" t="e">
        <f aca="false">H728+J728</f>
        <v>#NAME?</v>
      </c>
      <c r="L728" s="462" t="n">
        <v>0.2</v>
      </c>
      <c r="M728" s="473" t="e">
        <f aca="false">K728*L728</f>
        <v>#NAME?</v>
      </c>
      <c r="N728" s="473" t="e">
        <f aca="false">K728+M728</f>
        <v>#NAME?</v>
      </c>
      <c r="O728" s="473" t="e">
        <f aca="false">M728</f>
        <v>#NAME?</v>
      </c>
    </row>
    <row r="729" s="461" customFormat="true" ht="15" hidden="false" customHeight="false" outlineLevel="0" collapsed="false">
      <c r="A729" s="327" t="s">
        <v>1201</v>
      </c>
      <c r="B729" s="433" t="s">
        <v>3357</v>
      </c>
      <c r="C729" s="472" t="e">
        <f aca="false">мат.затр!g6833</f>
        <v>#NAME?</v>
      </c>
      <c r="D729" s="472" t="n">
        <f aca="false">тарифик!J730</f>
        <v>1182.50780901383</v>
      </c>
      <c r="E729" s="472"/>
      <c r="F729" s="473" t="n">
        <f aca="false">D729*0.9*0.095+D729*3%</f>
        <v>136.579651941098</v>
      </c>
      <c r="G729" s="472" t="n">
        <f aca="false">амортизация!M2621</f>
        <v>4.94590863453815</v>
      </c>
      <c r="H729" s="473" t="e">
        <f aca="false">C729+D729+F729+G729</f>
        <v>#NAME?</v>
      </c>
      <c r="I729" s="462" t="n">
        <f aca="false">I$190</f>
        <v>0.240474587202079</v>
      </c>
      <c r="J729" s="473" t="n">
        <f aca="false">D729*I729</f>
        <v>284.363077235836</v>
      </c>
      <c r="K729" s="473" t="e">
        <f aca="false">H729+J729</f>
        <v>#NAME?</v>
      </c>
      <c r="L729" s="462" t="n">
        <v>0.2</v>
      </c>
      <c r="M729" s="473" t="e">
        <f aca="false">K729*L729</f>
        <v>#NAME?</v>
      </c>
      <c r="N729" s="473" t="e">
        <f aca="false">K729+M729</f>
        <v>#NAME?</v>
      </c>
      <c r="O729" s="473" t="e">
        <f aca="false">M729</f>
        <v>#NAME?</v>
      </c>
    </row>
    <row r="730" s="461" customFormat="true" ht="15" hidden="false" customHeight="false" outlineLevel="0" collapsed="false">
      <c r="A730" s="327" t="s">
        <v>1203</v>
      </c>
      <c r="B730" s="433" t="s">
        <v>3358</v>
      </c>
      <c r="C730" s="472" t="e">
        <f aca="false">мат.затр!g6843</f>
        <v>#NAME?</v>
      </c>
      <c r="D730" s="472" t="n">
        <f aca="false">тарифик!J731</f>
        <v>1444.66755912539</v>
      </c>
      <c r="E730" s="472"/>
      <c r="F730" s="473" t="n">
        <f aca="false">D730*0.9*0.095+D730*3%</f>
        <v>166.859103078983</v>
      </c>
      <c r="G730" s="472" t="n">
        <f aca="false">амортизация!M2626</f>
        <v>29.1815084411721</v>
      </c>
      <c r="H730" s="473" t="e">
        <f aca="false">C730+D730+F730+G730</f>
        <v>#NAME?</v>
      </c>
      <c r="I730" s="462" t="n">
        <f aca="false">I$190</f>
        <v>0.240474587202079</v>
      </c>
      <c r="J730" s="473" t="n">
        <f aca="false">D730*I730</f>
        <v>347.405834924913</v>
      </c>
      <c r="K730" s="473" t="e">
        <f aca="false">H730+J730</f>
        <v>#NAME?</v>
      </c>
      <c r="L730" s="462" t="n">
        <v>0.2</v>
      </c>
      <c r="M730" s="473" t="e">
        <f aca="false">K730*L730</f>
        <v>#NAME?</v>
      </c>
      <c r="N730" s="473" t="e">
        <f aca="false">K730+M730</f>
        <v>#NAME?</v>
      </c>
      <c r="O730" s="473" t="e">
        <f aca="false">M730</f>
        <v>#NAME?</v>
      </c>
    </row>
    <row r="731" s="461" customFormat="true" ht="15" hidden="false" customHeight="false" outlineLevel="0" collapsed="false">
      <c r="A731" s="327" t="s">
        <v>1205</v>
      </c>
      <c r="B731" s="433" t="s">
        <v>3359</v>
      </c>
      <c r="C731" s="472" t="e">
        <f aca="false">мат.затр!g6849</f>
        <v>#NAME?</v>
      </c>
      <c r="D731" s="472" t="n">
        <f aca="false">тарифик!J732</f>
        <v>1444.66755912539</v>
      </c>
      <c r="E731" s="472"/>
      <c r="F731" s="473" t="n">
        <f aca="false">D731*0.9*0.095+D731*3%</f>
        <v>166.859103078983</v>
      </c>
      <c r="G731" s="472" t="n">
        <f aca="false">амортизация!M2631</f>
        <v>29.1815084411721</v>
      </c>
      <c r="H731" s="473" t="e">
        <f aca="false">C731+D731+F731+G731</f>
        <v>#NAME?</v>
      </c>
      <c r="I731" s="462" t="n">
        <f aca="false">I$190</f>
        <v>0.240474587202079</v>
      </c>
      <c r="J731" s="473" t="n">
        <f aca="false">D731*I731</f>
        <v>347.405834924913</v>
      </c>
      <c r="K731" s="473" t="e">
        <f aca="false">H731+J731</f>
        <v>#NAME?</v>
      </c>
      <c r="L731" s="462" t="n">
        <v>0.2</v>
      </c>
      <c r="M731" s="473" t="e">
        <f aca="false">K731*L731</f>
        <v>#NAME?</v>
      </c>
      <c r="N731" s="473" t="e">
        <f aca="false">K731+M731</f>
        <v>#NAME?</v>
      </c>
      <c r="O731" s="473" t="e">
        <f aca="false">M731</f>
        <v>#NAME?</v>
      </c>
    </row>
    <row r="732" s="461" customFormat="true" ht="15" hidden="false" customHeight="false" outlineLevel="0" collapsed="false">
      <c r="A732" s="327" t="s">
        <v>1207</v>
      </c>
      <c r="B732" s="433" t="s">
        <v>3360</v>
      </c>
      <c r="C732" s="472" t="e">
        <f aca="false">мат.затр!g6860</f>
        <v>#NAME?</v>
      </c>
      <c r="D732" s="472" t="n">
        <f aca="false">тарифик!J733</f>
        <v>1484.82820169567</v>
      </c>
      <c r="E732" s="472"/>
      <c r="F732" s="473" t="n">
        <f aca="false">D732*0.9*0.095+D732*3%</f>
        <v>171.49765729585</v>
      </c>
      <c r="G732" s="472" t="n">
        <f aca="false">амортизация!M2636</f>
        <v>29.1815084411721</v>
      </c>
      <c r="H732" s="473" t="e">
        <f aca="false">C732+D732+F732+G732</f>
        <v>#NAME?</v>
      </c>
      <c r="I732" s="462" t="n">
        <f aca="false">I$190</f>
        <v>0.240474587202079</v>
      </c>
      <c r="J732" s="473" t="n">
        <f aca="false">D732*I732</f>
        <v>357.063448868772</v>
      </c>
      <c r="K732" s="473" t="e">
        <f aca="false">H732+J732</f>
        <v>#NAME?</v>
      </c>
      <c r="L732" s="462" t="n">
        <v>0.2</v>
      </c>
      <c r="M732" s="473" t="e">
        <f aca="false">K732*L732</f>
        <v>#NAME?</v>
      </c>
      <c r="N732" s="473" t="e">
        <f aca="false">K732+M732</f>
        <v>#NAME?</v>
      </c>
      <c r="O732" s="473" t="e">
        <f aca="false">M732</f>
        <v>#NAME?</v>
      </c>
    </row>
    <row r="733" s="461" customFormat="true" ht="30" hidden="false" customHeight="false" outlineLevel="0" collapsed="false">
      <c r="A733" s="327" t="s">
        <v>1209</v>
      </c>
      <c r="B733" s="433" t="s">
        <v>3361</v>
      </c>
      <c r="C733" s="472" t="e">
        <f aca="false">мат.затр!g6866</f>
        <v>#NAME?</v>
      </c>
      <c r="D733" s="472" t="n">
        <f aca="false">тарифик!J734</f>
        <v>702.81124497992</v>
      </c>
      <c r="E733" s="472"/>
      <c r="F733" s="473" t="n">
        <f aca="false">D733*0.9*0.095+D733*3%</f>
        <v>81.1746987951807</v>
      </c>
      <c r="G733" s="472" t="n">
        <f aca="false">амортизация!M2641</f>
        <v>29.1815084411721</v>
      </c>
      <c r="H733" s="473" t="e">
        <f aca="false">C733+D733+F733+G733</f>
        <v>#NAME?</v>
      </c>
      <c r="I733" s="462" t="n">
        <f aca="false">I$190</f>
        <v>0.240474587202079</v>
      </c>
      <c r="J733" s="473" t="n">
        <f aca="false">D733*I733</f>
        <v>169.008244017525</v>
      </c>
      <c r="K733" s="473" t="e">
        <f aca="false">H733+J733</f>
        <v>#NAME?</v>
      </c>
      <c r="L733" s="462" t="n">
        <v>0.2</v>
      </c>
      <c r="M733" s="473" t="e">
        <f aca="false">K733*L733</f>
        <v>#NAME?</v>
      </c>
      <c r="N733" s="473" t="e">
        <f aca="false">K733+M733</f>
        <v>#NAME?</v>
      </c>
      <c r="O733" s="473" t="e">
        <f aca="false">M733</f>
        <v>#NAME?</v>
      </c>
    </row>
    <row r="734" s="461" customFormat="true" ht="30" hidden="false" customHeight="false" outlineLevel="0" collapsed="false">
      <c r="A734" s="327" t="s">
        <v>1211</v>
      </c>
      <c r="B734" s="433" t="s">
        <v>3362</v>
      </c>
      <c r="C734" s="472" t="e">
        <f aca="false">мат.затр!g6887</f>
        <v>#NAME?</v>
      </c>
      <c r="D734" s="472" t="n">
        <f aca="false">тарифик!J735</f>
        <v>546.630968317715</v>
      </c>
      <c r="E734" s="472"/>
      <c r="F734" s="473" t="n">
        <f aca="false">D734*0.9*0.095+D734*3%</f>
        <v>63.1358768406961</v>
      </c>
      <c r="G734" s="472" t="n">
        <f aca="false">амортизация!M2646</f>
        <v>29.1815084411721</v>
      </c>
      <c r="H734" s="473" t="e">
        <f aca="false">C734+D734+F734+G734</f>
        <v>#NAME?</v>
      </c>
      <c r="I734" s="462" t="n">
        <f aca="false">I$190</f>
        <v>0.240474587202079</v>
      </c>
      <c r="J734" s="473" t="n">
        <f aca="false">D734*I734</f>
        <v>131.450856458075</v>
      </c>
      <c r="K734" s="473" t="e">
        <f aca="false">H734+J734</f>
        <v>#NAME?</v>
      </c>
      <c r="L734" s="462" t="n">
        <v>0.2</v>
      </c>
      <c r="M734" s="473" t="e">
        <f aca="false">K734*L734</f>
        <v>#NAME?</v>
      </c>
      <c r="N734" s="473" t="e">
        <f aca="false">K734+M734</f>
        <v>#NAME?</v>
      </c>
      <c r="O734" s="473" t="e">
        <f aca="false">M734</f>
        <v>#NAME?</v>
      </c>
    </row>
    <row r="735" s="461" customFormat="true" ht="15" hidden="false" customHeight="false" outlineLevel="0" collapsed="false">
      <c r="A735" s="327" t="s">
        <v>1213</v>
      </c>
      <c r="B735" s="433" t="s">
        <v>3363</v>
      </c>
      <c r="C735" s="472" t="e">
        <f aca="false">мат.затр!g6908</f>
        <v>#NAME?</v>
      </c>
      <c r="D735" s="472" t="n">
        <f aca="false">тарифик!J736</f>
        <v>1444.66755912539</v>
      </c>
      <c r="E735" s="472"/>
      <c r="F735" s="473" t="n">
        <f aca="false">D735*0.9*0.095+D735*3%</f>
        <v>166.859103078983</v>
      </c>
      <c r="G735" s="472" t="n">
        <f aca="false">амортизация!M2651</f>
        <v>29.1815084411721</v>
      </c>
      <c r="H735" s="473" t="e">
        <f aca="false">C735+D735+F735+G735</f>
        <v>#NAME?</v>
      </c>
      <c r="I735" s="462" t="n">
        <f aca="false">I$190</f>
        <v>0.240474587202079</v>
      </c>
      <c r="J735" s="473" t="n">
        <f aca="false">D735*I735</f>
        <v>347.405834924913</v>
      </c>
      <c r="K735" s="473" t="e">
        <f aca="false">H735+J735</f>
        <v>#NAME?</v>
      </c>
      <c r="L735" s="462" t="n">
        <v>0.2</v>
      </c>
      <c r="M735" s="473" t="e">
        <f aca="false">K735*L735</f>
        <v>#NAME?</v>
      </c>
      <c r="N735" s="473" t="e">
        <f aca="false">K735+M735</f>
        <v>#NAME?</v>
      </c>
      <c r="O735" s="473" t="e">
        <f aca="false">M735</f>
        <v>#NAME?</v>
      </c>
    </row>
    <row r="736" s="461" customFormat="true" ht="15" hidden="false" customHeight="false" outlineLevel="0" collapsed="false">
      <c r="A736" s="327" t="s">
        <v>1215</v>
      </c>
      <c r="B736" s="433" t="s">
        <v>3364</v>
      </c>
      <c r="C736" s="472" t="e">
        <f aca="false">мат.затр!g6929</f>
        <v>#NAME?</v>
      </c>
      <c r="D736" s="472" t="n">
        <f aca="false">тарифик!J737</f>
        <v>1444.66755912539</v>
      </c>
      <c r="E736" s="472"/>
      <c r="F736" s="473" t="n">
        <f aca="false">D736*0.9*0.095+D736*3%</f>
        <v>166.859103078983</v>
      </c>
      <c r="G736" s="472" t="n">
        <f aca="false">амортизация!M2656</f>
        <v>29.1815084411721</v>
      </c>
      <c r="H736" s="473" t="e">
        <f aca="false">C736+D736+F736+G736</f>
        <v>#NAME?</v>
      </c>
      <c r="I736" s="462" t="n">
        <f aca="false">I$190</f>
        <v>0.240474587202079</v>
      </c>
      <c r="J736" s="473" t="n">
        <f aca="false">D736*I736</f>
        <v>347.405834924913</v>
      </c>
      <c r="K736" s="473" t="e">
        <f aca="false">H736+J736</f>
        <v>#NAME?</v>
      </c>
      <c r="L736" s="462" t="n">
        <v>0.2</v>
      </c>
      <c r="M736" s="473" t="e">
        <f aca="false">K736*L736</f>
        <v>#NAME?</v>
      </c>
      <c r="N736" s="473" t="e">
        <f aca="false">K736+M736</f>
        <v>#NAME?</v>
      </c>
      <c r="O736" s="473" t="e">
        <f aca="false">M736</f>
        <v>#NAME?</v>
      </c>
    </row>
    <row r="737" s="461" customFormat="true" ht="15" hidden="false" customHeight="false" outlineLevel="0" collapsed="false">
      <c r="A737" s="327" t="s">
        <v>1217</v>
      </c>
      <c r="B737" s="433" t="s">
        <v>3365</v>
      </c>
      <c r="C737" s="472" t="e">
        <f aca="false">мат.затр!g6950</f>
        <v>#NAME?</v>
      </c>
      <c r="D737" s="472" t="n">
        <f aca="false">тарифик!J738</f>
        <v>1238.28647925033</v>
      </c>
      <c r="E737" s="472"/>
      <c r="F737" s="473" t="n">
        <f aca="false">D737*0.9*0.095+D737*3%</f>
        <v>143.022088353414</v>
      </c>
      <c r="G737" s="472" t="n">
        <f aca="false">амортизация!M2661</f>
        <v>29.1815084411721</v>
      </c>
      <c r="H737" s="473" t="e">
        <f aca="false">C737+D737+F737+G737</f>
        <v>#NAME?</v>
      </c>
      <c r="I737" s="462" t="n">
        <f aca="false">I$190</f>
        <v>0.240474587202079</v>
      </c>
      <c r="J737" s="473" t="n">
        <f aca="false">D737*I737</f>
        <v>297.77642993564</v>
      </c>
      <c r="K737" s="473" t="e">
        <f aca="false">H737+J737</f>
        <v>#NAME?</v>
      </c>
      <c r="L737" s="462" t="n">
        <v>0.2</v>
      </c>
      <c r="M737" s="473" t="e">
        <f aca="false">K737*L737</f>
        <v>#NAME?</v>
      </c>
      <c r="N737" s="473" t="e">
        <f aca="false">K737+M737</f>
        <v>#NAME?</v>
      </c>
      <c r="O737" s="473" t="e">
        <f aca="false">M737</f>
        <v>#NAME?</v>
      </c>
    </row>
    <row r="738" s="461" customFormat="true" ht="15" hidden="false" customHeight="false" outlineLevel="0" collapsed="false">
      <c r="A738" s="327" t="s">
        <v>1219</v>
      </c>
      <c r="B738" s="433" t="s">
        <v>3366</v>
      </c>
      <c r="C738" s="472" t="e">
        <f aca="false">мат.затр!g6962</f>
        <v>#NAME?</v>
      </c>
      <c r="D738" s="472" t="n">
        <f aca="false">тарифик!J739</f>
        <v>1031.90539937528</v>
      </c>
      <c r="E738" s="472"/>
      <c r="F738" s="473" t="n">
        <f aca="false">D738*0.9*0.095+D738*3%</f>
        <v>119.185073627845</v>
      </c>
      <c r="G738" s="472" t="n">
        <f aca="false">амортизация!M2666</f>
        <v>29.1815084411721</v>
      </c>
      <c r="H738" s="473" t="e">
        <f aca="false">C738+D738+F738+G738</f>
        <v>#NAME?</v>
      </c>
      <c r="I738" s="462" t="n">
        <f aca="false">I$190</f>
        <v>0.240474587202079</v>
      </c>
      <c r="J738" s="473" t="n">
        <f aca="false">D738*I738</f>
        <v>248.147024946367</v>
      </c>
      <c r="K738" s="473" t="e">
        <f aca="false">H738+J738</f>
        <v>#NAME?</v>
      </c>
      <c r="L738" s="462" t="n">
        <v>0.2</v>
      </c>
      <c r="M738" s="473" t="e">
        <f aca="false">K738*L738</f>
        <v>#NAME?</v>
      </c>
      <c r="N738" s="473" t="e">
        <f aca="false">K738+M738</f>
        <v>#NAME?</v>
      </c>
      <c r="O738" s="473" t="e">
        <f aca="false">M738</f>
        <v>#NAME?</v>
      </c>
    </row>
    <row r="739" s="461" customFormat="true" ht="15" hidden="false" customHeight="false" outlineLevel="0" collapsed="false">
      <c r="A739" s="327" t="s">
        <v>1221</v>
      </c>
      <c r="B739" s="433" t="s">
        <v>3367</v>
      </c>
      <c r="C739" s="472" t="e">
        <f aca="false">мат.затр!g6977</f>
        <v>#NAME?</v>
      </c>
      <c r="D739" s="472" t="n">
        <f aca="false">тарифик!J740</f>
        <v>1031.90539937528</v>
      </c>
      <c r="E739" s="472"/>
      <c r="F739" s="473" t="n">
        <f aca="false">D739*0.9*0.095+D739*3%</f>
        <v>119.185073627845</v>
      </c>
      <c r="G739" s="472" t="n">
        <f aca="false">амортизация!M2671</f>
        <v>29.1815084411721</v>
      </c>
      <c r="H739" s="473" t="e">
        <f aca="false">C739+D739+F739+G739</f>
        <v>#NAME?</v>
      </c>
      <c r="I739" s="462" t="n">
        <f aca="false">I$190</f>
        <v>0.240474587202079</v>
      </c>
      <c r="J739" s="473" t="n">
        <f aca="false">D739*I739</f>
        <v>248.147024946367</v>
      </c>
      <c r="K739" s="473" t="e">
        <f aca="false">H739+J739</f>
        <v>#NAME?</v>
      </c>
      <c r="L739" s="462" t="n">
        <v>0.2</v>
      </c>
      <c r="M739" s="473" t="e">
        <f aca="false">K739*L739</f>
        <v>#NAME?</v>
      </c>
      <c r="N739" s="473" t="e">
        <f aca="false">K739+M739</f>
        <v>#NAME?</v>
      </c>
      <c r="O739" s="473" t="e">
        <f aca="false">M739</f>
        <v>#NAME?</v>
      </c>
    </row>
    <row r="740" s="461" customFormat="true" ht="15" hidden="false" customHeight="false" outlineLevel="0" collapsed="false">
      <c r="A740" s="327" t="s">
        <v>1223</v>
      </c>
      <c r="B740" s="433" t="s">
        <v>3368</v>
      </c>
      <c r="C740" s="472" t="e">
        <f aca="false">мат.затр!g6996</f>
        <v>#NAME?</v>
      </c>
      <c r="D740" s="472" t="n">
        <f aca="false">тарифик!J741</f>
        <v>1031.90539937528</v>
      </c>
      <c r="E740" s="472"/>
      <c r="F740" s="473" t="n">
        <f aca="false">D740*0.9*0.095+D740*3%</f>
        <v>119.185073627845</v>
      </c>
      <c r="G740" s="472" t="n">
        <f aca="false">амортизация!M2676</f>
        <v>29.1815084411721</v>
      </c>
      <c r="H740" s="473" t="e">
        <f aca="false">C740+D740+F740+G740</f>
        <v>#NAME?</v>
      </c>
      <c r="I740" s="462" t="n">
        <f aca="false">I$190</f>
        <v>0.240474587202079</v>
      </c>
      <c r="J740" s="473" t="n">
        <f aca="false">D740*I740</f>
        <v>248.147024946367</v>
      </c>
      <c r="K740" s="473" t="e">
        <f aca="false">H740+J740</f>
        <v>#NAME?</v>
      </c>
      <c r="L740" s="462" t="n">
        <v>0.2</v>
      </c>
      <c r="M740" s="473" t="e">
        <f aca="false">K740*L740</f>
        <v>#NAME?</v>
      </c>
      <c r="N740" s="473" t="e">
        <f aca="false">K740+M740</f>
        <v>#NAME?</v>
      </c>
      <c r="O740" s="473" t="e">
        <f aca="false">M740</f>
        <v>#NAME?</v>
      </c>
    </row>
    <row r="741" s="461" customFormat="true" ht="15" hidden="false" customHeight="false" outlineLevel="0" collapsed="false">
      <c r="A741" s="327" t="s">
        <v>1225</v>
      </c>
      <c r="B741" s="433" t="s">
        <v>3369</v>
      </c>
      <c r="C741" s="472" t="e">
        <f aca="false">мат.затр!g7015</f>
        <v>#NAME?</v>
      </c>
      <c r="D741" s="472" t="n">
        <f aca="false">тарифик!J742</f>
        <v>1031.90539937528</v>
      </c>
      <c r="E741" s="472"/>
      <c r="F741" s="473" t="n">
        <f aca="false">D741*0.9*0.095+D741*3%</f>
        <v>119.185073627845</v>
      </c>
      <c r="G741" s="472" t="n">
        <f aca="false">амортизация!M2681</f>
        <v>29.1815084411721</v>
      </c>
      <c r="H741" s="473" t="e">
        <f aca="false">C741+D741+F741+G741</f>
        <v>#NAME?</v>
      </c>
      <c r="I741" s="462" t="n">
        <f aca="false">I$190</f>
        <v>0.240474587202079</v>
      </c>
      <c r="J741" s="473" t="n">
        <f aca="false">D741*I741</f>
        <v>248.147024946367</v>
      </c>
      <c r="K741" s="473" t="e">
        <f aca="false">H741+J741</f>
        <v>#NAME?</v>
      </c>
      <c r="L741" s="462" t="n">
        <v>0.2</v>
      </c>
      <c r="M741" s="473" t="e">
        <f aca="false">K741*L741</f>
        <v>#NAME?</v>
      </c>
      <c r="N741" s="473" t="e">
        <f aca="false">K741+M741</f>
        <v>#NAME?</v>
      </c>
      <c r="O741" s="473" t="e">
        <f aca="false">M741</f>
        <v>#NAME?</v>
      </c>
    </row>
    <row r="742" s="461" customFormat="true" ht="15" hidden="false" customHeight="false" outlineLevel="0" collapsed="false">
      <c r="A742" s="327" t="s">
        <v>1227</v>
      </c>
      <c r="B742" s="433" t="s">
        <v>3370</v>
      </c>
      <c r="C742" s="472" t="e">
        <f aca="false">мат.затр!g7034</f>
        <v>#NAME?</v>
      </c>
      <c r="D742" s="472" t="n">
        <f aca="false">тарифик!J743</f>
        <v>1031.90539937528</v>
      </c>
      <c r="E742" s="472"/>
      <c r="F742" s="473" t="n">
        <f aca="false">D742*0.9*0.095+D742*3%</f>
        <v>119.185073627845</v>
      </c>
      <c r="G742" s="472" t="n">
        <f aca="false">амортизация!M2686</f>
        <v>29.1815084411721</v>
      </c>
      <c r="H742" s="473" t="e">
        <f aca="false">C742+D742+F742+G742</f>
        <v>#NAME?</v>
      </c>
      <c r="I742" s="462" t="n">
        <f aca="false">I$190</f>
        <v>0.240474587202079</v>
      </c>
      <c r="J742" s="473" t="n">
        <f aca="false">D742*I742</f>
        <v>248.147024946367</v>
      </c>
      <c r="K742" s="473" t="e">
        <f aca="false">H742+J742</f>
        <v>#NAME?</v>
      </c>
      <c r="L742" s="462" t="n">
        <v>0.2</v>
      </c>
      <c r="M742" s="473" t="e">
        <f aca="false">K742*L742</f>
        <v>#NAME?</v>
      </c>
      <c r="N742" s="473" t="e">
        <f aca="false">K742+M742</f>
        <v>#NAME?</v>
      </c>
      <c r="O742" s="473" t="e">
        <f aca="false">M742</f>
        <v>#NAME?</v>
      </c>
    </row>
    <row r="743" s="461" customFormat="true" ht="15" hidden="false" customHeight="false" outlineLevel="0" collapsed="false">
      <c r="A743" s="327" t="s">
        <v>1229</v>
      </c>
      <c r="B743" s="433" t="s">
        <v>3371</v>
      </c>
      <c r="C743" s="472" t="e">
        <f aca="false">мат.затр!g7053</f>
        <v>#NAME?</v>
      </c>
      <c r="D743" s="472" t="n">
        <f aca="false">тарифик!J744</f>
        <v>1031.90539937528</v>
      </c>
      <c r="E743" s="472"/>
      <c r="F743" s="473" t="n">
        <f aca="false">D743*0.9*0.095+D743*3%</f>
        <v>119.185073627845</v>
      </c>
      <c r="G743" s="472" t="n">
        <f aca="false">амортизация!M2691</f>
        <v>29.1815084411721</v>
      </c>
      <c r="H743" s="473" t="e">
        <f aca="false">C743+D743+F743+G743</f>
        <v>#NAME?</v>
      </c>
      <c r="I743" s="462" t="n">
        <f aca="false">I$190</f>
        <v>0.240474587202079</v>
      </c>
      <c r="J743" s="473" t="n">
        <f aca="false">D743*I743</f>
        <v>248.147024946367</v>
      </c>
      <c r="K743" s="473" t="e">
        <f aca="false">H743+J743</f>
        <v>#NAME?</v>
      </c>
      <c r="L743" s="462" t="n">
        <v>0.2</v>
      </c>
      <c r="M743" s="473" t="e">
        <f aca="false">K743*L743</f>
        <v>#NAME?</v>
      </c>
      <c r="N743" s="473" t="e">
        <f aca="false">K743+M743</f>
        <v>#NAME?</v>
      </c>
      <c r="O743" s="473" t="e">
        <f aca="false">M743</f>
        <v>#NAME?</v>
      </c>
    </row>
    <row r="744" s="461" customFormat="true" ht="15" hidden="false" customHeight="false" outlineLevel="0" collapsed="false">
      <c r="A744" s="327" t="s">
        <v>1231</v>
      </c>
      <c r="B744" s="433" t="s">
        <v>3372</v>
      </c>
      <c r="C744" s="472" t="e">
        <f aca="false">мат.затр!g7072</f>
        <v>#NAME?</v>
      </c>
      <c r="D744" s="472" t="n">
        <f aca="false">тарифик!J745</f>
        <v>1031.90539937528</v>
      </c>
      <c r="E744" s="472"/>
      <c r="F744" s="473" t="n">
        <f aca="false">D744*0.9*0.095+D744*3%</f>
        <v>119.185073627845</v>
      </c>
      <c r="G744" s="472" t="n">
        <f aca="false">амортизация!M2696</f>
        <v>29.1815084411721</v>
      </c>
      <c r="H744" s="473" t="e">
        <f aca="false">C744+D744+F744+G744</f>
        <v>#NAME?</v>
      </c>
      <c r="I744" s="462" t="n">
        <f aca="false">I$190</f>
        <v>0.240474587202079</v>
      </c>
      <c r="J744" s="473" t="n">
        <f aca="false">D744*I744</f>
        <v>248.147024946367</v>
      </c>
      <c r="K744" s="473" t="e">
        <f aca="false">H744+J744</f>
        <v>#NAME?</v>
      </c>
      <c r="L744" s="462" t="n">
        <v>0.2</v>
      </c>
      <c r="M744" s="473" t="e">
        <f aca="false">K744*L744</f>
        <v>#NAME?</v>
      </c>
      <c r="N744" s="473" t="e">
        <f aca="false">K744+M744</f>
        <v>#NAME?</v>
      </c>
      <c r="O744" s="473" t="e">
        <f aca="false">M744</f>
        <v>#NAME?</v>
      </c>
    </row>
    <row r="745" s="461" customFormat="true" ht="15" hidden="false" customHeight="false" outlineLevel="0" collapsed="false">
      <c r="A745" s="327" t="s">
        <v>1233</v>
      </c>
      <c r="B745" s="433" t="s">
        <v>3373</v>
      </c>
      <c r="C745" s="472" t="e">
        <f aca="false">мат.затр!g7091</f>
        <v>#NAME?</v>
      </c>
      <c r="D745" s="472" t="n">
        <f aca="false">тарифик!J746</f>
        <v>1300.75858991522</v>
      </c>
      <c r="E745" s="472"/>
      <c r="F745" s="473" t="n">
        <f aca="false">D745*0.9*0.095+D745*3%</f>
        <v>150.237617135208</v>
      </c>
      <c r="G745" s="472" t="n">
        <f aca="false">амортизация!M2701</f>
        <v>29.1815084411721</v>
      </c>
      <c r="H745" s="473" t="e">
        <f aca="false">C745+D745+F745+G745</f>
        <v>#NAME?</v>
      </c>
      <c r="I745" s="462" t="n">
        <f aca="false">I$190</f>
        <v>0.240474587202079</v>
      </c>
      <c r="J745" s="473" t="n">
        <f aca="false">D745*I745</f>
        <v>312.79938495942</v>
      </c>
      <c r="K745" s="473" t="e">
        <f aca="false">H745+J745</f>
        <v>#NAME?</v>
      </c>
      <c r="L745" s="462" t="n">
        <v>0.2</v>
      </c>
      <c r="M745" s="473" t="e">
        <f aca="false">K745*L745</f>
        <v>#NAME?</v>
      </c>
      <c r="N745" s="473" t="e">
        <f aca="false">K745+M745</f>
        <v>#NAME?</v>
      </c>
      <c r="O745" s="473" t="e">
        <f aca="false">M745</f>
        <v>#NAME?</v>
      </c>
    </row>
    <row r="746" s="461" customFormat="true" ht="15" hidden="false" customHeight="false" outlineLevel="0" collapsed="false">
      <c r="A746" s="327" t="s">
        <v>1235</v>
      </c>
      <c r="B746" s="433" t="s">
        <v>3374</v>
      </c>
      <c r="C746" s="472" t="e">
        <f aca="false">мат.затр!g7096</f>
        <v>#NAME?</v>
      </c>
      <c r="D746" s="472" t="n">
        <f aca="false">тарифик!J747</f>
        <v>1619.81258366801</v>
      </c>
      <c r="E746" s="472"/>
      <c r="F746" s="473" t="n">
        <f aca="false">D746*0.9*0.095+D746*3%</f>
        <v>187.088353413655</v>
      </c>
      <c r="G746" s="472" t="n">
        <f aca="false">амортизация!M2706</f>
        <v>29.1815084411721</v>
      </c>
      <c r="H746" s="473" t="e">
        <f aca="false">C746+D746+F746+G746</f>
        <v>#NAME?</v>
      </c>
      <c r="I746" s="462" t="n">
        <f aca="false">I$190</f>
        <v>0.240474587202079</v>
      </c>
      <c r="J746" s="473" t="n">
        <f aca="false">D746*I746</f>
        <v>389.523762402297</v>
      </c>
      <c r="K746" s="473" t="e">
        <f aca="false">H746+J746</f>
        <v>#NAME?</v>
      </c>
      <c r="L746" s="462" t="n">
        <v>0.2</v>
      </c>
      <c r="M746" s="473" t="e">
        <f aca="false">K746*L746</f>
        <v>#NAME?</v>
      </c>
      <c r="N746" s="473" t="e">
        <f aca="false">K746+M746</f>
        <v>#NAME?</v>
      </c>
      <c r="O746" s="473" t="e">
        <f aca="false">M746</f>
        <v>#NAME?</v>
      </c>
    </row>
    <row r="747" s="461" customFormat="true" ht="15" hidden="false" customHeight="false" outlineLevel="0" collapsed="false">
      <c r="A747" s="327" t="s">
        <v>1237</v>
      </c>
      <c r="B747" s="433" t="s">
        <v>3375</v>
      </c>
      <c r="C747" s="472" t="e">
        <f aca="false">мат.затр!g7101</f>
        <v>#NAME?</v>
      </c>
      <c r="D747" s="472" t="n">
        <f aca="false">тарифик!J748</f>
        <v>1444.66755912539</v>
      </c>
      <c r="E747" s="472"/>
      <c r="F747" s="473" t="n">
        <f aca="false">D747*0.9*0.095+D747*3%</f>
        <v>166.859103078983</v>
      </c>
      <c r="G747" s="472" t="n">
        <f aca="false">амортизация!M2711</f>
        <v>29.1815084411721</v>
      </c>
      <c r="H747" s="473" t="e">
        <f aca="false">C747+D747+F747+G747</f>
        <v>#NAME?</v>
      </c>
      <c r="I747" s="462" t="n">
        <f aca="false">I$190</f>
        <v>0.240474587202079</v>
      </c>
      <c r="J747" s="473" t="n">
        <f aca="false">D747*I747</f>
        <v>347.405834924913</v>
      </c>
      <c r="K747" s="473" t="e">
        <f aca="false">H747+J747</f>
        <v>#NAME?</v>
      </c>
      <c r="L747" s="462" t="n">
        <v>0.2</v>
      </c>
      <c r="M747" s="473" t="e">
        <f aca="false">K747*L747</f>
        <v>#NAME?</v>
      </c>
      <c r="N747" s="473" t="e">
        <f aca="false">K747+M747</f>
        <v>#NAME?</v>
      </c>
      <c r="O747" s="473" t="e">
        <f aca="false">M747</f>
        <v>#NAME?</v>
      </c>
    </row>
    <row r="748" s="461" customFormat="true" ht="15" hidden="false" customHeight="false" outlineLevel="0" collapsed="false">
      <c r="A748" s="327" t="s">
        <v>1238</v>
      </c>
      <c r="B748" s="433" t="s">
        <v>3376</v>
      </c>
      <c r="C748" s="472" t="e">
        <f aca="false">мат.затр!g7107</f>
        <v>#NAME?</v>
      </c>
      <c r="D748" s="472" t="n">
        <f aca="false">тарифик!J749</f>
        <v>1444.66755912539</v>
      </c>
      <c r="E748" s="472"/>
      <c r="F748" s="473" t="n">
        <f aca="false">D748*0.9*0.095+D748*3%</f>
        <v>166.859103078983</v>
      </c>
      <c r="G748" s="472" t="n">
        <f aca="false">амортизация!M2716</f>
        <v>29.1815084411721</v>
      </c>
      <c r="H748" s="473" t="e">
        <f aca="false">C748+D748+F748+G748</f>
        <v>#NAME?</v>
      </c>
      <c r="I748" s="462" t="n">
        <f aca="false">I$190</f>
        <v>0.240474587202079</v>
      </c>
      <c r="J748" s="473" t="n">
        <f aca="false">D748*I748</f>
        <v>347.405834924913</v>
      </c>
      <c r="K748" s="473" t="e">
        <f aca="false">H748+J748</f>
        <v>#NAME?</v>
      </c>
      <c r="L748" s="462" t="n">
        <v>0.2</v>
      </c>
      <c r="M748" s="473" t="e">
        <f aca="false">K748*L748</f>
        <v>#NAME?</v>
      </c>
      <c r="N748" s="473" t="e">
        <f aca="false">K748+M748</f>
        <v>#NAME?</v>
      </c>
      <c r="O748" s="473" t="e">
        <f aca="false">M748</f>
        <v>#NAME?</v>
      </c>
    </row>
    <row r="749" s="461" customFormat="true" ht="15" hidden="false" customHeight="false" outlineLevel="0" collapsed="false">
      <c r="A749" s="327" t="s">
        <v>1240</v>
      </c>
      <c r="B749" s="433" t="s">
        <v>3377</v>
      </c>
      <c r="C749" s="472" t="e">
        <f aca="false">мат.затр!g7128</f>
        <v>#NAME?</v>
      </c>
      <c r="D749" s="472" t="n">
        <f aca="false">тарифик!J750</f>
        <v>4375.27889335118</v>
      </c>
      <c r="E749" s="472"/>
      <c r="F749" s="473" t="n">
        <f aca="false">D749*0.9*0.095+D749*3%</f>
        <v>505.344712182061</v>
      </c>
      <c r="G749" s="472" t="n">
        <f aca="false">амортизация!M2721</f>
        <v>29.1815084411721</v>
      </c>
      <c r="H749" s="473" t="e">
        <f aca="false">C749+D749+F749+G749</f>
        <v>#NAME?</v>
      </c>
      <c r="I749" s="462" t="n">
        <f aca="false">I$190</f>
        <v>0.240474587202079</v>
      </c>
      <c r="J749" s="473" t="n">
        <f aca="false">D749*I749</f>
        <v>1052.14338577259</v>
      </c>
      <c r="K749" s="473" t="e">
        <f aca="false">H749+J749</f>
        <v>#NAME?</v>
      </c>
      <c r="L749" s="462" t="n">
        <v>0.2</v>
      </c>
      <c r="M749" s="473" t="e">
        <f aca="false">K749*L749</f>
        <v>#NAME?</v>
      </c>
      <c r="N749" s="473" t="e">
        <f aca="false">K749+M749</f>
        <v>#NAME?</v>
      </c>
      <c r="O749" s="473" t="e">
        <f aca="false">M749</f>
        <v>#NAME?</v>
      </c>
    </row>
    <row r="750" s="461" customFormat="true" ht="15" hidden="false" customHeight="false" outlineLevel="0" collapsed="false">
      <c r="A750" s="327" t="s">
        <v>1242</v>
      </c>
      <c r="B750" s="433" t="s">
        <v>3378</v>
      </c>
      <c r="C750" s="472" t="e">
        <f aca="false">мат.затр!g7143</f>
        <v>#NAME?</v>
      </c>
      <c r="D750" s="472" t="n">
        <f aca="false">тарифик!J751</f>
        <v>4375.27889335118</v>
      </c>
      <c r="E750" s="472"/>
      <c r="F750" s="473" t="n">
        <f aca="false">D750*0.9*0.095+D750*3%</f>
        <v>505.344712182061</v>
      </c>
      <c r="G750" s="472" t="n">
        <f aca="false">амортизация!M2726</f>
        <v>29.1815084411721</v>
      </c>
      <c r="H750" s="473" t="e">
        <f aca="false">C750+D750+F750+G750</f>
        <v>#NAME?</v>
      </c>
      <c r="I750" s="462" t="n">
        <f aca="false">I$190</f>
        <v>0.240474587202079</v>
      </c>
      <c r="J750" s="473" t="n">
        <f aca="false">D750*I750</f>
        <v>1052.14338577259</v>
      </c>
      <c r="K750" s="473" t="e">
        <f aca="false">H750+J750</f>
        <v>#NAME?</v>
      </c>
      <c r="L750" s="462" t="n">
        <v>0.2</v>
      </c>
      <c r="M750" s="473" t="e">
        <f aca="false">K750*L750</f>
        <v>#NAME?</v>
      </c>
      <c r="N750" s="473" t="e">
        <f aca="false">K750+M750</f>
        <v>#NAME?</v>
      </c>
      <c r="O750" s="473" t="e">
        <f aca="false">M750</f>
        <v>#NAME?</v>
      </c>
    </row>
    <row r="751" s="461" customFormat="true" ht="15" hidden="false" customHeight="false" outlineLevel="0" collapsed="false">
      <c r="A751" s="327" t="s">
        <v>1244</v>
      </c>
      <c r="B751" s="433" t="s">
        <v>3379</v>
      </c>
      <c r="C751" s="472" t="e">
        <f aca="false">мат.затр!g7158</f>
        <v>#NAME?</v>
      </c>
      <c r="D751" s="472" t="n">
        <f aca="false">тарифик!J752</f>
        <v>4375.27889335118</v>
      </c>
      <c r="E751" s="472"/>
      <c r="F751" s="473" t="n">
        <f aca="false">D751*0.9*0.095+D751*3%</f>
        <v>505.344712182061</v>
      </c>
      <c r="G751" s="472" t="n">
        <f aca="false">амортизация!M2731</f>
        <v>29.1815084411721</v>
      </c>
      <c r="H751" s="473" t="e">
        <f aca="false">C751+D751+F751+G751</f>
        <v>#NAME?</v>
      </c>
      <c r="I751" s="462" t="n">
        <f aca="false">I$190</f>
        <v>0.240474587202079</v>
      </c>
      <c r="J751" s="473" t="n">
        <f aca="false">D751*I751</f>
        <v>1052.14338577259</v>
      </c>
      <c r="K751" s="473" t="e">
        <f aca="false">H751+J751</f>
        <v>#NAME?</v>
      </c>
      <c r="L751" s="462" t="n">
        <v>0.2</v>
      </c>
      <c r="M751" s="473" t="e">
        <f aca="false">K751*L751</f>
        <v>#NAME?</v>
      </c>
      <c r="N751" s="473" t="e">
        <f aca="false">K751+M751</f>
        <v>#NAME?</v>
      </c>
      <c r="O751" s="473" t="e">
        <f aca="false">M751</f>
        <v>#NAME?</v>
      </c>
    </row>
    <row r="752" s="461" customFormat="true" ht="15" hidden="false" customHeight="false" outlineLevel="0" collapsed="false">
      <c r="A752" s="327" t="s">
        <v>1246</v>
      </c>
      <c r="B752" s="433" t="s">
        <v>3380</v>
      </c>
      <c r="C752" s="472" t="e">
        <f aca="false">мат.затр!g7173</f>
        <v>#NAME?</v>
      </c>
      <c r="D752" s="472" t="n">
        <f aca="false">тарифик!J753</f>
        <v>4375.27889335118</v>
      </c>
      <c r="E752" s="472"/>
      <c r="F752" s="473" t="n">
        <f aca="false">D752*0.9*0.095+D752*3%</f>
        <v>505.344712182061</v>
      </c>
      <c r="G752" s="472" t="n">
        <f aca="false">амортизация!M2736</f>
        <v>29.1815084411721</v>
      </c>
      <c r="H752" s="473" t="e">
        <f aca="false">C752+D752+F752+G752</f>
        <v>#NAME?</v>
      </c>
      <c r="I752" s="462" t="n">
        <f aca="false">I$190</f>
        <v>0.240474587202079</v>
      </c>
      <c r="J752" s="473" t="n">
        <f aca="false">D752*I752</f>
        <v>1052.14338577259</v>
      </c>
      <c r="K752" s="473" t="e">
        <f aca="false">H752+J752</f>
        <v>#NAME?</v>
      </c>
      <c r="L752" s="462" t="n">
        <v>0.2</v>
      </c>
      <c r="M752" s="473" t="e">
        <f aca="false">K752*L752</f>
        <v>#NAME?</v>
      </c>
      <c r="N752" s="473" t="e">
        <f aca="false">K752+M752</f>
        <v>#NAME?</v>
      </c>
      <c r="O752" s="473" t="e">
        <f aca="false">M752</f>
        <v>#NAME?</v>
      </c>
    </row>
    <row r="753" s="461" customFormat="true" ht="15" hidden="false" customHeight="false" outlineLevel="0" collapsed="false">
      <c r="A753" s="327" t="s">
        <v>1248</v>
      </c>
      <c r="B753" s="433" t="s">
        <v>3381</v>
      </c>
      <c r="C753" s="472" t="e">
        <f aca="false">мат.затр!g7188</f>
        <v>#NAME?</v>
      </c>
      <c r="D753" s="472" t="n">
        <f aca="false">тарифик!J754</f>
        <v>4375.27889335118</v>
      </c>
      <c r="E753" s="472"/>
      <c r="F753" s="473" t="n">
        <f aca="false">D753*0.9*0.095+D753*3%</f>
        <v>505.344712182061</v>
      </c>
      <c r="G753" s="472" t="n">
        <f aca="false">амортизация!M2741</f>
        <v>29.1815084411721</v>
      </c>
      <c r="H753" s="473" t="e">
        <f aca="false">C753+D753+F753+G753</f>
        <v>#NAME?</v>
      </c>
      <c r="I753" s="462" t="n">
        <f aca="false">I$190</f>
        <v>0.240474587202079</v>
      </c>
      <c r="J753" s="473" t="n">
        <f aca="false">D753*I753</f>
        <v>1052.14338577259</v>
      </c>
      <c r="K753" s="473" t="e">
        <f aca="false">H753+J753</f>
        <v>#NAME?</v>
      </c>
      <c r="L753" s="462" t="n">
        <v>0.2</v>
      </c>
      <c r="M753" s="473" t="e">
        <f aca="false">K753*L753</f>
        <v>#NAME?</v>
      </c>
      <c r="N753" s="473" t="e">
        <f aca="false">K753+M753</f>
        <v>#NAME?</v>
      </c>
      <c r="O753" s="473" t="e">
        <f aca="false">M753</f>
        <v>#NAME?</v>
      </c>
    </row>
    <row r="754" s="461" customFormat="true" ht="15" hidden="false" customHeight="false" outlineLevel="0" collapsed="false">
      <c r="A754" s="327" t="s">
        <v>1250</v>
      </c>
      <c r="B754" s="433" t="s">
        <v>3382</v>
      </c>
      <c r="C754" s="472" t="e">
        <f aca="false">мат.затр!g7203</f>
        <v>#NAME?</v>
      </c>
      <c r="D754" s="472" t="n">
        <f aca="false">тарифик!J755</f>
        <v>4375.27889335118</v>
      </c>
      <c r="E754" s="472"/>
      <c r="F754" s="473" t="n">
        <f aca="false">D754*0.9*0.095+D754*3%</f>
        <v>505.344712182061</v>
      </c>
      <c r="G754" s="472" t="n">
        <f aca="false">амортизация!M2746</f>
        <v>29.1815084411721</v>
      </c>
      <c r="H754" s="473" t="e">
        <f aca="false">C754+D754+F754+G754</f>
        <v>#NAME?</v>
      </c>
      <c r="I754" s="462" t="n">
        <f aca="false">I$190</f>
        <v>0.240474587202079</v>
      </c>
      <c r="J754" s="473" t="n">
        <f aca="false">D754*I754</f>
        <v>1052.14338577259</v>
      </c>
      <c r="K754" s="473" t="e">
        <f aca="false">H754+J754</f>
        <v>#NAME?</v>
      </c>
      <c r="L754" s="462" t="n">
        <v>0.2</v>
      </c>
      <c r="M754" s="473" t="e">
        <f aca="false">K754*L754</f>
        <v>#NAME?</v>
      </c>
      <c r="N754" s="473" t="e">
        <f aca="false">K754+M754</f>
        <v>#NAME?</v>
      </c>
      <c r="O754" s="473" t="e">
        <f aca="false">M754</f>
        <v>#NAME?</v>
      </c>
    </row>
    <row r="755" s="461" customFormat="true" ht="15" hidden="false" customHeight="false" outlineLevel="0" collapsed="false">
      <c r="A755" s="327" t="s">
        <v>1252</v>
      </c>
      <c r="B755" s="433" t="s">
        <v>3383</v>
      </c>
      <c r="C755" s="472" t="e">
        <f aca="false">мат.затр!g7218</f>
        <v>#NAME?</v>
      </c>
      <c r="D755" s="472" t="n">
        <f aca="false">тарифик!J756</f>
        <v>4375.27889335118</v>
      </c>
      <c r="E755" s="472"/>
      <c r="F755" s="473" t="n">
        <f aca="false">D755*0.9*0.095+D755*3%</f>
        <v>505.344712182061</v>
      </c>
      <c r="G755" s="472" t="n">
        <f aca="false">амортизация!M2751</f>
        <v>29.1815084411721</v>
      </c>
      <c r="H755" s="473" t="e">
        <f aca="false">C755+D755+F755+G755</f>
        <v>#NAME?</v>
      </c>
      <c r="I755" s="462" t="n">
        <f aca="false">I$190</f>
        <v>0.240474587202079</v>
      </c>
      <c r="J755" s="473" t="n">
        <f aca="false">D755*I755</f>
        <v>1052.14338577259</v>
      </c>
      <c r="K755" s="473" t="e">
        <f aca="false">H755+J755</f>
        <v>#NAME?</v>
      </c>
      <c r="L755" s="462" t="n">
        <v>0.2</v>
      </c>
      <c r="M755" s="473" t="e">
        <f aca="false">K755*L755</f>
        <v>#NAME?</v>
      </c>
      <c r="N755" s="473" t="e">
        <f aca="false">K755+M755</f>
        <v>#NAME?</v>
      </c>
      <c r="O755" s="473" t="e">
        <f aca="false">M755</f>
        <v>#NAME?</v>
      </c>
    </row>
    <row r="756" s="461" customFormat="true" ht="15" hidden="false" customHeight="false" outlineLevel="0" collapsed="false">
      <c r="A756" s="327" t="s">
        <v>1254</v>
      </c>
      <c r="B756" s="433" t="s">
        <v>3384</v>
      </c>
      <c r="C756" s="472" t="e">
        <f aca="false">мат.затр!g7233</f>
        <v>#NAME?</v>
      </c>
      <c r="D756" s="472" t="n">
        <f aca="false">тарифик!J757</f>
        <v>4375.27889335118</v>
      </c>
      <c r="E756" s="472"/>
      <c r="F756" s="473" t="n">
        <f aca="false">D756*0.9*0.095+D756*3%</f>
        <v>505.344712182061</v>
      </c>
      <c r="G756" s="472" t="n">
        <f aca="false">амортизация!M2756</f>
        <v>29.1815084411721</v>
      </c>
      <c r="H756" s="473" t="e">
        <f aca="false">C756+D756+F756+G756</f>
        <v>#NAME?</v>
      </c>
      <c r="I756" s="462" t="n">
        <f aca="false">I$190</f>
        <v>0.240474587202079</v>
      </c>
      <c r="J756" s="473" t="n">
        <f aca="false">D756*I756</f>
        <v>1052.14338577259</v>
      </c>
      <c r="K756" s="473" t="e">
        <f aca="false">H756+J756</f>
        <v>#NAME?</v>
      </c>
      <c r="L756" s="462" t="n">
        <v>0.2</v>
      </c>
      <c r="M756" s="473" t="e">
        <f aca="false">K756*L756</f>
        <v>#NAME?</v>
      </c>
      <c r="N756" s="473" t="e">
        <f aca="false">K756+M756</f>
        <v>#NAME?</v>
      </c>
      <c r="O756" s="473" t="e">
        <f aca="false">M756</f>
        <v>#NAME?</v>
      </c>
    </row>
    <row r="757" s="461" customFormat="true" ht="15" hidden="false" customHeight="false" outlineLevel="0" collapsed="false">
      <c r="A757" s="327" t="s">
        <v>1256</v>
      </c>
      <c r="B757" s="433" t="s">
        <v>3385</v>
      </c>
      <c r="C757" s="472" t="e">
        <f aca="false">мат.затр!g7248</f>
        <v>#NAME?</v>
      </c>
      <c r="D757" s="472" t="n">
        <f aca="false">тарифик!J758</f>
        <v>4375.27889335118</v>
      </c>
      <c r="E757" s="472"/>
      <c r="F757" s="473" t="n">
        <f aca="false">D757*0.9*0.095+D757*3%</f>
        <v>505.344712182061</v>
      </c>
      <c r="G757" s="472" t="n">
        <f aca="false">амортизация!M2761</f>
        <v>29.1815084411721</v>
      </c>
      <c r="H757" s="473" t="e">
        <f aca="false">C757+D757+F757+G757</f>
        <v>#NAME?</v>
      </c>
      <c r="I757" s="462" t="n">
        <f aca="false">I$190</f>
        <v>0.240474587202079</v>
      </c>
      <c r="J757" s="473" t="n">
        <f aca="false">D757*I757</f>
        <v>1052.14338577259</v>
      </c>
      <c r="K757" s="473" t="e">
        <f aca="false">H757+J757</f>
        <v>#NAME?</v>
      </c>
      <c r="L757" s="462" t="n">
        <v>0.2</v>
      </c>
      <c r="M757" s="473" t="e">
        <f aca="false">K757*L757</f>
        <v>#NAME?</v>
      </c>
      <c r="N757" s="473" t="e">
        <f aca="false">K757+M757</f>
        <v>#NAME?</v>
      </c>
      <c r="O757" s="473" t="e">
        <f aca="false">M757</f>
        <v>#NAME?</v>
      </c>
    </row>
    <row r="758" s="461" customFormat="true" ht="15" hidden="false" customHeight="false" outlineLevel="0" collapsed="false">
      <c r="A758" s="327" t="s">
        <v>1258</v>
      </c>
      <c r="B758" s="433" t="s">
        <v>3386</v>
      </c>
      <c r="C758" s="472" t="e">
        <f aca="false">мат.затр!g7263</f>
        <v>#NAME?</v>
      </c>
      <c r="D758" s="472" t="n">
        <f aca="false">тарифик!J759</f>
        <v>1991.29852744311</v>
      </c>
      <c r="E758" s="472"/>
      <c r="F758" s="473" t="n">
        <f aca="false">D758*0.9*0.095+D758*3%</f>
        <v>229.994979919679</v>
      </c>
      <c r="G758" s="472" t="n">
        <f aca="false">амортизация!M2766</f>
        <v>29.1815084411721</v>
      </c>
      <c r="H758" s="473" t="e">
        <f aca="false">C758+D758+F758+G758</f>
        <v>#NAME?</v>
      </c>
      <c r="I758" s="462" t="n">
        <f aca="false">I$190</f>
        <v>0.240474587202079</v>
      </c>
      <c r="J758" s="473" t="n">
        <f aca="false">D758*I758</f>
        <v>478.856691382989</v>
      </c>
      <c r="K758" s="473" t="e">
        <f aca="false">H758+J758</f>
        <v>#NAME?</v>
      </c>
      <c r="L758" s="462" t="n">
        <v>0.2</v>
      </c>
      <c r="M758" s="473" t="e">
        <f aca="false">K758*L758</f>
        <v>#NAME?</v>
      </c>
      <c r="N758" s="473" t="e">
        <f aca="false">K758+M758</f>
        <v>#NAME?</v>
      </c>
      <c r="O758" s="473" t="e">
        <f aca="false">M758</f>
        <v>#NAME?</v>
      </c>
    </row>
    <row r="759" s="461" customFormat="true" ht="15" hidden="false" customHeight="false" outlineLevel="0" collapsed="false">
      <c r="A759" s="327" t="s">
        <v>1260</v>
      </c>
      <c r="B759" s="433" t="s">
        <v>3387</v>
      </c>
      <c r="C759" s="472" t="e">
        <f aca="false">мат.затр!g7269</f>
        <v>#NAME?</v>
      </c>
      <c r="D759" s="472" t="n">
        <f aca="false">тарифик!J760</f>
        <v>1773.76171352075</v>
      </c>
      <c r="E759" s="472"/>
      <c r="F759" s="473" t="n">
        <f aca="false">D759*0.9*0.095+D759*3%</f>
        <v>204.869477911647</v>
      </c>
      <c r="G759" s="472" t="n">
        <f aca="false">амортизация!M2771</f>
        <v>29.1815084411721</v>
      </c>
      <c r="H759" s="473" t="e">
        <f aca="false">C759+D759+F759+G759</f>
        <v>#NAME?</v>
      </c>
      <c r="I759" s="462" t="n">
        <f aca="false">I$190</f>
        <v>0.240474587202079</v>
      </c>
      <c r="J759" s="473" t="n">
        <f aca="false">D759*I759</f>
        <v>426.544615853754</v>
      </c>
      <c r="K759" s="473" t="e">
        <f aca="false">H759+J759</f>
        <v>#NAME?</v>
      </c>
      <c r="L759" s="462" t="n">
        <v>0.2</v>
      </c>
      <c r="M759" s="473" t="e">
        <f aca="false">K759*L759</f>
        <v>#NAME?</v>
      </c>
      <c r="N759" s="473" t="e">
        <f aca="false">K759+M759</f>
        <v>#NAME?</v>
      </c>
      <c r="O759" s="473" t="e">
        <f aca="false">M759</f>
        <v>#NAME?</v>
      </c>
    </row>
    <row r="760" s="461" customFormat="true" ht="15" hidden="false" customHeight="false" outlineLevel="0" collapsed="false">
      <c r="A760" s="327" t="s">
        <v>1262</v>
      </c>
      <c r="B760" s="433" t="s">
        <v>3388</v>
      </c>
      <c r="C760" s="472" t="e">
        <f aca="false">мат.затр!g7275</f>
        <v>#NAME?</v>
      </c>
      <c r="D760" s="472" t="n">
        <f aca="false">тарифик!J761</f>
        <v>4375.27889335118</v>
      </c>
      <c r="E760" s="472"/>
      <c r="F760" s="473" t="n">
        <f aca="false">D760*0.9*0.095+D760*3%</f>
        <v>505.344712182061</v>
      </c>
      <c r="G760" s="472" t="n">
        <f aca="false">амортизация!M2776</f>
        <v>29.1815084411721</v>
      </c>
      <c r="H760" s="473" t="e">
        <f aca="false">C760+D760+F760+G760</f>
        <v>#NAME?</v>
      </c>
      <c r="I760" s="462" t="n">
        <f aca="false">I$190</f>
        <v>0.240474587202079</v>
      </c>
      <c r="J760" s="473" t="n">
        <f aca="false">D760*I760</f>
        <v>1052.14338577259</v>
      </c>
      <c r="K760" s="473" t="e">
        <f aca="false">H760+J760</f>
        <v>#NAME?</v>
      </c>
      <c r="L760" s="462" t="n">
        <v>0.2</v>
      </c>
      <c r="M760" s="473" t="e">
        <f aca="false">K760*L760</f>
        <v>#NAME?</v>
      </c>
      <c r="N760" s="473" t="e">
        <f aca="false">K760+M760</f>
        <v>#NAME?</v>
      </c>
      <c r="O760" s="473" t="e">
        <f aca="false">M760</f>
        <v>#NAME?</v>
      </c>
    </row>
    <row r="761" s="461" customFormat="true" ht="15" hidden="false" customHeight="false" outlineLevel="0" collapsed="false">
      <c r="A761" s="327" t="s">
        <v>1264</v>
      </c>
      <c r="B761" s="433" t="s">
        <v>3389</v>
      </c>
      <c r="C761" s="472" t="e">
        <f aca="false">мат.затр!g7288</f>
        <v>#NAME?</v>
      </c>
      <c r="D761" s="472" t="n">
        <f aca="false">тарифик!J762</f>
        <v>2010.26327532352</v>
      </c>
      <c r="E761" s="472"/>
      <c r="F761" s="473" t="n">
        <f aca="false">D761*0.9*0.095+D761*3%</f>
        <v>232.185408299866</v>
      </c>
      <c r="G761" s="472" t="n">
        <f aca="false">амортизация!M2781</f>
        <v>29.1815084411721</v>
      </c>
      <c r="H761" s="473" t="e">
        <f aca="false">C761+D761+F761+G761</f>
        <v>#NAME?</v>
      </c>
      <c r="I761" s="462" t="n">
        <f aca="false">I$190</f>
        <v>0.240474587202079</v>
      </c>
      <c r="J761" s="473" t="n">
        <f aca="false">D761*I761</f>
        <v>483.417231300922</v>
      </c>
      <c r="K761" s="473" t="e">
        <f aca="false">H761+J761</f>
        <v>#NAME?</v>
      </c>
      <c r="L761" s="462" t="n">
        <v>0.2</v>
      </c>
      <c r="M761" s="473" t="e">
        <f aca="false">K761*L761</f>
        <v>#NAME?</v>
      </c>
      <c r="N761" s="473" t="e">
        <f aca="false">K761+M761</f>
        <v>#NAME?</v>
      </c>
      <c r="O761" s="473" t="e">
        <f aca="false">M761</f>
        <v>#NAME?</v>
      </c>
    </row>
    <row r="762" s="461" customFormat="true" ht="30" hidden="false" customHeight="false" outlineLevel="0" collapsed="false">
      <c r="A762" s="327" t="s">
        <v>1266</v>
      </c>
      <c r="B762" s="433" t="s">
        <v>3390</v>
      </c>
      <c r="C762" s="472" t="e">
        <f aca="false">мат.затр!g7327</f>
        <v>#NAME?</v>
      </c>
      <c r="D762" s="472" t="n">
        <f aca="false">тарифик!J763</f>
        <v>2294.73449352967</v>
      </c>
      <c r="E762" s="472"/>
      <c r="F762" s="473" t="n">
        <f aca="false">D762*0.9*0.095+D762*3%</f>
        <v>265.041834002677</v>
      </c>
      <c r="G762" s="472" t="n">
        <f aca="false">амортизация!M2786</f>
        <v>29.1815084411721</v>
      </c>
      <c r="H762" s="473" t="e">
        <f aca="false">C762+D762+F762+G762</f>
        <v>#NAME?</v>
      </c>
      <c r="I762" s="462" t="n">
        <f aca="false">I$190</f>
        <v>0.240474587202079</v>
      </c>
      <c r="J762" s="473" t="n">
        <f aca="false">D762*I762</f>
        <v>551.82533006992</v>
      </c>
      <c r="K762" s="473" t="e">
        <f aca="false">H762+J762</f>
        <v>#NAME?</v>
      </c>
      <c r="L762" s="462" t="n">
        <v>0.2</v>
      </c>
      <c r="M762" s="473" t="e">
        <f aca="false">K762*L762</f>
        <v>#NAME?</v>
      </c>
      <c r="N762" s="473" t="e">
        <f aca="false">K762+M762</f>
        <v>#NAME?</v>
      </c>
      <c r="O762" s="473" t="e">
        <f aca="false">M762</f>
        <v>#NAME?</v>
      </c>
    </row>
    <row r="763" s="461" customFormat="true" ht="15" hidden="false" customHeight="false" outlineLevel="0" collapsed="false">
      <c r="A763" s="327" t="s">
        <v>1268</v>
      </c>
      <c r="B763" s="433" t="s">
        <v>3391</v>
      </c>
      <c r="C763" s="472" t="e">
        <f aca="false">мат.затр!g7327</f>
        <v>#NAME?</v>
      </c>
      <c r="D763" s="472" t="n">
        <f aca="false">тарифик!J764</f>
        <v>1238.28647925033</v>
      </c>
      <c r="E763" s="472"/>
      <c r="F763" s="473" t="n">
        <f aca="false">D763*0.9*0.095+D763*3%</f>
        <v>143.022088353414</v>
      </c>
      <c r="G763" s="472" t="n">
        <f aca="false">амортизация!M2791</f>
        <v>29.1815084411721</v>
      </c>
      <c r="H763" s="473" t="e">
        <f aca="false">C763+D763+F763+G763</f>
        <v>#NAME?</v>
      </c>
      <c r="I763" s="462" t="n">
        <f aca="false">I$190</f>
        <v>0.240474587202079</v>
      </c>
      <c r="J763" s="473" t="n">
        <f aca="false">D763*I763</f>
        <v>297.77642993564</v>
      </c>
      <c r="K763" s="473" t="e">
        <f aca="false">H763+J763</f>
        <v>#NAME?</v>
      </c>
      <c r="L763" s="462" t="n">
        <v>0.2</v>
      </c>
      <c r="M763" s="473" t="e">
        <f aca="false">K763*L763</f>
        <v>#NAME?</v>
      </c>
      <c r="N763" s="473" t="e">
        <f aca="false">K763+M763</f>
        <v>#NAME?</v>
      </c>
      <c r="O763" s="473" t="e">
        <f aca="false">M763</f>
        <v>#NAME?</v>
      </c>
    </row>
    <row r="764" s="461" customFormat="true" ht="15" hidden="false" customHeight="false" outlineLevel="0" collapsed="false">
      <c r="A764" s="327" t="s">
        <v>1270</v>
      </c>
      <c r="B764" s="433" t="s">
        <v>3392</v>
      </c>
      <c r="C764" s="472" t="e">
        <f aca="false">мат.затр!g7343</f>
        <v>#NAME?</v>
      </c>
      <c r="D764" s="472" t="n">
        <f aca="false">тарифик!J765</f>
        <v>1651.04863900045</v>
      </c>
      <c r="E764" s="472"/>
      <c r="F764" s="473" t="n">
        <f aca="false">D764*0.9*0.095+D764*3%</f>
        <v>190.696117804552</v>
      </c>
      <c r="G764" s="472" t="n">
        <f aca="false">амортизация!M2796</f>
        <v>29.1815084411721</v>
      </c>
      <c r="H764" s="473" t="e">
        <f aca="false">C764+D764+F764+G764</f>
        <v>#NAME?</v>
      </c>
      <c r="I764" s="462" t="n">
        <f aca="false">I$190</f>
        <v>0.240474587202079</v>
      </c>
      <c r="J764" s="473" t="n">
        <f aca="false">D764*I764</f>
        <v>397.035239914187</v>
      </c>
      <c r="K764" s="473" t="e">
        <f aca="false">H764+J764</f>
        <v>#NAME?</v>
      </c>
      <c r="L764" s="462" t="n">
        <v>0.2</v>
      </c>
      <c r="M764" s="473" t="e">
        <f aca="false">K764*L764</f>
        <v>#NAME?</v>
      </c>
      <c r="N764" s="473" t="e">
        <f aca="false">K764+M764</f>
        <v>#NAME?</v>
      </c>
      <c r="O764" s="473" t="e">
        <f aca="false">M764</f>
        <v>#NAME?</v>
      </c>
    </row>
    <row r="765" s="461" customFormat="true" ht="15" hidden="false" customHeight="false" outlineLevel="0" collapsed="false">
      <c r="A765" s="327" t="s">
        <v>1272</v>
      </c>
      <c r="B765" s="433" t="s">
        <v>3393</v>
      </c>
      <c r="C765" s="472" t="e">
        <f aca="false">мат.затр!g7355</f>
        <v>#NAME?</v>
      </c>
      <c r="D765" s="472" t="n">
        <f aca="false">тарифик!J766</f>
        <v>4375.27889335118</v>
      </c>
      <c r="E765" s="472"/>
      <c r="F765" s="473" t="n">
        <f aca="false">D765*0.9*0.095+D765*3%</f>
        <v>505.344712182061</v>
      </c>
      <c r="G765" s="472" t="n">
        <f aca="false">амортизация!M2801</f>
        <v>29.1815084411721</v>
      </c>
      <c r="H765" s="473" t="e">
        <f aca="false">C765+D765+F765+G765</f>
        <v>#NAME?</v>
      </c>
      <c r="I765" s="462" t="n">
        <f aca="false">I$190</f>
        <v>0.240474587202079</v>
      </c>
      <c r="J765" s="473" t="n">
        <f aca="false">D765*I765</f>
        <v>1052.14338577259</v>
      </c>
      <c r="K765" s="473" t="e">
        <f aca="false">H765+J765</f>
        <v>#NAME?</v>
      </c>
      <c r="L765" s="462" t="n">
        <v>0.2</v>
      </c>
      <c r="M765" s="473" t="e">
        <f aca="false">K765*L765</f>
        <v>#NAME?</v>
      </c>
      <c r="N765" s="473" t="e">
        <f aca="false">K765+M765</f>
        <v>#NAME?</v>
      </c>
      <c r="O765" s="473" t="e">
        <f aca="false">M765</f>
        <v>#NAME?</v>
      </c>
    </row>
    <row r="766" s="461" customFormat="true" ht="15" hidden="false" customHeight="false" outlineLevel="0" collapsed="false">
      <c r="A766" s="327" t="s">
        <v>1274</v>
      </c>
      <c r="B766" s="433" t="s">
        <v>3394</v>
      </c>
      <c r="C766" s="472" t="e">
        <f aca="false">мат.затр!g7361</f>
        <v>#NAME?</v>
      </c>
      <c r="D766" s="472" t="n">
        <f aca="false">тарифик!J767</f>
        <v>1422.35609103079</v>
      </c>
      <c r="E766" s="472"/>
      <c r="F766" s="473" t="n">
        <f aca="false">D766*0.9*0.095+D766*3%</f>
        <v>164.282128514056</v>
      </c>
      <c r="G766" s="472" t="n">
        <f aca="false">амортизация!M2806</f>
        <v>29.1815084411721</v>
      </c>
      <c r="H766" s="473" t="e">
        <f aca="false">C766+D766+F766+G766</f>
        <v>#NAME?</v>
      </c>
      <c r="I766" s="462" t="n">
        <f aca="false">I$190</f>
        <v>0.240474587202079</v>
      </c>
      <c r="J766" s="473" t="n">
        <f aca="false">D766*I766</f>
        <v>342.040493844992</v>
      </c>
      <c r="K766" s="473" t="e">
        <f aca="false">H766+J766</f>
        <v>#NAME?</v>
      </c>
      <c r="L766" s="462" t="n">
        <v>0.2</v>
      </c>
      <c r="M766" s="473" t="e">
        <f aca="false">K766*L766</f>
        <v>#NAME?</v>
      </c>
      <c r="N766" s="473" t="e">
        <f aca="false">K766+M766</f>
        <v>#NAME?</v>
      </c>
      <c r="O766" s="473" t="e">
        <f aca="false">M766</f>
        <v>#NAME?</v>
      </c>
    </row>
    <row r="767" s="461" customFormat="true" ht="30" hidden="false" customHeight="false" outlineLevel="0" collapsed="false">
      <c r="A767" s="327" t="s">
        <v>1276</v>
      </c>
      <c r="B767" s="433" t="s">
        <v>3395</v>
      </c>
      <c r="C767" s="472" t="e">
        <f aca="false">мат.затр!g7366</f>
        <v>#NAME?</v>
      </c>
      <c r="D767" s="472" t="n">
        <f aca="false">тарифик!J768</f>
        <v>1444.66755912539</v>
      </c>
      <c r="E767" s="472"/>
      <c r="F767" s="473" t="n">
        <f aca="false">D767*0.9*0.095+D767*3%</f>
        <v>166.859103078983</v>
      </c>
      <c r="G767" s="472" t="n">
        <f aca="false">амортизация!M2811</f>
        <v>29.1815084411721</v>
      </c>
      <c r="H767" s="473" t="e">
        <f aca="false">C767+D767+F767+G767</f>
        <v>#NAME?</v>
      </c>
      <c r="I767" s="462" t="n">
        <f aca="false">I$190</f>
        <v>0.240474587202079</v>
      </c>
      <c r="J767" s="473" t="n">
        <f aca="false">D767*I767</f>
        <v>347.405834924913</v>
      </c>
      <c r="K767" s="473" t="e">
        <f aca="false">H767+J767</f>
        <v>#NAME?</v>
      </c>
      <c r="L767" s="462" t="n">
        <v>0.2</v>
      </c>
      <c r="M767" s="473" t="e">
        <f aca="false">K767*L767</f>
        <v>#NAME?</v>
      </c>
      <c r="N767" s="473" t="e">
        <f aca="false">K767+M767</f>
        <v>#NAME?</v>
      </c>
      <c r="O767" s="473" t="e">
        <f aca="false">M767</f>
        <v>#NAME?</v>
      </c>
    </row>
    <row r="768" s="461" customFormat="true" ht="15" hidden="false" customHeight="false" outlineLevel="0" collapsed="false">
      <c r="A768" s="327" t="s">
        <v>1278</v>
      </c>
      <c r="B768" s="433" t="s">
        <v>3396</v>
      </c>
      <c r="C768" s="472" t="e">
        <f aca="false">мат.затр!g7386</f>
        <v>#NAME?</v>
      </c>
      <c r="D768" s="472" t="n">
        <f aca="false">тарифик!J769</f>
        <v>1779.00490852298</v>
      </c>
      <c r="E768" s="472"/>
      <c r="F768" s="473" t="n">
        <f aca="false">D768*0.9*0.095+D768*3%</f>
        <v>205.475066934404</v>
      </c>
      <c r="G768" s="472" t="n">
        <f aca="false">амортизация!M2816</f>
        <v>29.1815084411721</v>
      </c>
      <c r="H768" s="473" t="e">
        <f aca="false">C768+D768+F768+G768</f>
        <v>#NAME?</v>
      </c>
      <c r="I768" s="462" t="n">
        <f aca="false">I$190</f>
        <v>0.240474587202079</v>
      </c>
      <c r="J768" s="473" t="n">
        <f aca="false">D768*I768</f>
        <v>427.805471007536</v>
      </c>
      <c r="K768" s="473" t="e">
        <f aca="false">H768+J768</f>
        <v>#NAME?</v>
      </c>
      <c r="L768" s="462" t="n">
        <v>0.2</v>
      </c>
      <c r="M768" s="473" t="e">
        <f aca="false">K768*L768</f>
        <v>#NAME?</v>
      </c>
      <c r="N768" s="473" t="e">
        <f aca="false">K768+M768</f>
        <v>#NAME?</v>
      </c>
      <c r="O768" s="473" t="e">
        <f aca="false">M768</f>
        <v>#NAME?</v>
      </c>
    </row>
    <row r="769" s="122" customFormat="true" ht="25.5" hidden="false" customHeight="true" outlineLevel="0" collapsed="false">
      <c r="A769" s="341" t="s">
        <v>1280</v>
      </c>
      <c r="B769" s="342" t="s">
        <v>3397</v>
      </c>
      <c r="C769" s="457" t="e">
        <f aca="false">мат.затр!g7397</f>
        <v>#NAME?</v>
      </c>
      <c r="D769" s="457" t="n">
        <f aca="false">тарифик!J770</f>
        <v>9103.07898259706</v>
      </c>
      <c r="E769" s="457"/>
      <c r="F769" s="473" t="n">
        <f aca="false">D769*0.9*0.095+D769*3%</f>
        <v>1051.40562248996</v>
      </c>
      <c r="G769" s="457" t="n">
        <f aca="false">амортизация!M2828</f>
        <v>3918.95805629927</v>
      </c>
      <c r="H769" s="473" t="e">
        <f aca="false">C769+D769+F769+G769</f>
        <v>#NAME?</v>
      </c>
      <c r="I769" s="462" t="n">
        <f aca="false">I$180</f>
        <v>0.240474587202079</v>
      </c>
      <c r="J769" s="473" t="n">
        <f aca="false">D769*I769</f>
        <v>2189.05916060795</v>
      </c>
      <c r="K769" s="473" t="e">
        <f aca="false">H769+J769</f>
        <v>#NAME?</v>
      </c>
      <c r="L769" s="462" t="n">
        <v>0.2</v>
      </c>
      <c r="M769" s="473" t="e">
        <f aca="false">K769*L769</f>
        <v>#NAME?</v>
      </c>
      <c r="N769" s="473" t="e">
        <f aca="false">K769+M769</f>
        <v>#NAME?</v>
      </c>
      <c r="O769" s="473" t="e">
        <f aca="false">M769</f>
        <v>#NAME?</v>
      </c>
    </row>
    <row r="770" s="461" customFormat="true" ht="15" hidden="false" customHeight="false" outlineLevel="0" collapsed="false">
      <c r="A770" s="343" t="s">
        <v>3398</v>
      </c>
      <c r="B770" s="318" t="s">
        <v>3399</v>
      </c>
      <c r="C770" s="464"/>
      <c r="D770" s="464"/>
      <c r="E770" s="464"/>
      <c r="F770" s="464"/>
      <c r="G770" s="464"/>
      <c r="H770" s="496"/>
      <c r="I770" s="497"/>
      <c r="J770" s="496"/>
      <c r="K770" s="496"/>
      <c r="L770" s="497"/>
      <c r="M770" s="496"/>
      <c r="N770" s="496"/>
      <c r="O770" s="496"/>
    </row>
    <row r="771" s="461" customFormat="true" ht="30" hidden="false" customHeight="false" outlineLevel="0" collapsed="false">
      <c r="A771" s="327" t="s">
        <v>1284</v>
      </c>
      <c r="B771" s="492" t="s">
        <v>3400</v>
      </c>
      <c r="C771" s="472" t="e">
        <f aca="false">мат.затр!g7428</f>
        <v>#NAME?</v>
      </c>
      <c r="D771" s="472" t="n">
        <f aca="false">тарифик!J772</f>
        <v>225.903614457831</v>
      </c>
      <c r="E771" s="472"/>
      <c r="F771" s="473" t="n">
        <f aca="false">D771*0.9*0.095+D771*3%</f>
        <v>26.0918674698795</v>
      </c>
      <c r="G771" s="472" t="n">
        <f aca="false">амортизация!M2830</f>
        <v>26.1434627398483</v>
      </c>
      <c r="H771" s="473" t="e">
        <f aca="false">C771+D771+F771+G771</f>
        <v>#NAME?</v>
      </c>
      <c r="I771" s="462" t="n">
        <f aca="false">I$190</f>
        <v>0.240474587202079</v>
      </c>
      <c r="J771" s="473" t="n">
        <f aca="false">D771*I771</f>
        <v>54.3240784342046</v>
      </c>
      <c r="K771" s="473" t="e">
        <f aca="false">H771+J771</f>
        <v>#NAME?</v>
      </c>
      <c r="L771" s="462" t="n">
        <v>0.2</v>
      </c>
      <c r="M771" s="473" t="e">
        <f aca="false">K771*L771</f>
        <v>#NAME?</v>
      </c>
      <c r="N771" s="473" t="e">
        <f aca="false">K771+M771</f>
        <v>#NAME?</v>
      </c>
      <c r="O771" s="473" t="e">
        <f aca="false">M771</f>
        <v>#NAME?</v>
      </c>
    </row>
    <row r="772" s="461" customFormat="true" ht="15" hidden="false" customHeight="false" outlineLevel="0" collapsed="false">
      <c r="A772" s="327" t="s">
        <v>1286</v>
      </c>
      <c r="B772" s="492" t="s">
        <v>3401</v>
      </c>
      <c r="C772" s="472" t="e">
        <f aca="false">мат.затр!g7430</f>
        <v>#NAME?</v>
      </c>
      <c r="D772" s="472" t="n">
        <f aca="false">тарифик!J773</f>
        <v>312.918340026774</v>
      </c>
      <c r="E772" s="472"/>
      <c r="F772" s="473" t="n">
        <f aca="false">D772*0.9*0.095+D772*3%</f>
        <v>36.1420682730924</v>
      </c>
      <c r="G772" s="472" t="n">
        <f aca="false">амортизация!M2832</f>
        <v>5.74224676483713</v>
      </c>
      <c r="H772" s="473" t="e">
        <f aca="false">C772+D772+F772+G772</f>
        <v>#NAME?</v>
      </c>
      <c r="I772" s="462" t="n">
        <f aca="false">I$190</f>
        <v>0.240474587202079</v>
      </c>
      <c r="J772" s="473" t="n">
        <f aca="false">D772*I772</f>
        <v>75.2489086458982</v>
      </c>
      <c r="K772" s="473" t="e">
        <f aca="false">H772+J772</f>
        <v>#NAME?</v>
      </c>
      <c r="L772" s="462" t="n">
        <v>0.2</v>
      </c>
      <c r="M772" s="473" t="e">
        <f aca="false">K772*L772</f>
        <v>#NAME?</v>
      </c>
      <c r="N772" s="473" t="e">
        <f aca="false">K772+M772</f>
        <v>#NAME?</v>
      </c>
      <c r="O772" s="473" t="e">
        <f aca="false">M772</f>
        <v>#NAME?</v>
      </c>
    </row>
    <row r="773" s="461" customFormat="true" ht="30" hidden="false" customHeight="false" outlineLevel="0" collapsed="false">
      <c r="A773" s="327" t="s">
        <v>1288</v>
      </c>
      <c r="B773" s="492" t="s">
        <v>3402</v>
      </c>
      <c r="C773" s="472" t="e">
        <f aca="false">мат.затр!g7433</f>
        <v>#NAME?</v>
      </c>
      <c r="D773" s="472" t="n">
        <f aca="false">тарифик!J774</f>
        <v>312.918340026774</v>
      </c>
      <c r="E773" s="472"/>
      <c r="F773" s="473" t="n">
        <f aca="false">D773*0.9*0.095+D773*3%</f>
        <v>36.1420682730924</v>
      </c>
      <c r="G773" s="472" t="n">
        <f aca="false">амортизация!M2833</f>
        <v>8.28313253012048</v>
      </c>
      <c r="H773" s="473" t="e">
        <f aca="false">C773+D773+F773+G773</f>
        <v>#NAME?</v>
      </c>
      <c r="I773" s="462" t="n">
        <f aca="false">I$190</f>
        <v>0.240474587202079</v>
      </c>
      <c r="J773" s="473" t="n">
        <f aca="false">D773*I773</f>
        <v>75.2489086458982</v>
      </c>
      <c r="K773" s="473" t="e">
        <f aca="false">H773+J773</f>
        <v>#NAME?</v>
      </c>
      <c r="L773" s="462" t="n">
        <v>0.2</v>
      </c>
      <c r="M773" s="473" t="e">
        <f aca="false">K773*L773</f>
        <v>#NAME?</v>
      </c>
      <c r="N773" s="473" t="e">
        <f aca="false">K773+M773</f>
        <v>#NAME?</v>
      </c>
      <c r="O773" s="473" t="e">
        <f aca="false">M773</f>
        <v>#NAME?</v>
      </c>
    </row>
    <row r="774" s="461" customFormat="true" ht="15" hidden="false" customHeight="false" outlineLevel="0" collapsed="false">
      <c r="A774" s="327" t="s">
        <v>1290</v>
      </c>
      <c r="B774" s="492" t="s">
        <v>3403</v>
      </c>
      <c r="C774" s="472" t="e">
        <f aca="false">мат.затр!g7436</f>
        <v>#NAME?</v>
      </c>
      <c r="D774" s="472" t="n">
        <f aca="false">тарифик!J775</f>
        <v>185.91030789826</v>
      </c>
      <c r="E774" s="472"/>
      <c r="F774" s="473" t="n">
        <f aca="false">D774*0.9*0.095+D774*3%</f>
        <v>21.472640562249</v>
      </c>
      <c r="G774" s="472" t="n">
        <f aca="false">амортизация!M2834</f>
        <v>3.77435668600327</v>
      </c>
      <c r="H774" s="473" t="e">
        <f aca="false">C774+D774+F774+G774</f>
        <v>#NAME?</v>
      </c>
      <c r="I774" s="462" t="n">
        <f aca="false">I$190</f>
        <v>0.240474587202079</v>
      </c>
      <c r="J774" s="473" t="n">
        <f aca="false">D774*I774</f>
        <v>44.7067045484454</v>
      </c>
      <c r="K774" s="473" t="e">
        <f aca="false">H774+J774</f>
        <v>#NAME?</v>
      </c>
      <c r="L774" s="462" t="n">
        <v>0.2</v>
      </c>
      <c r="M774" s="473" t="e">
        <f aca="false">K774*L774</f>
        <v>#NAME?</v>
      </c>
      <c r="N774" s="473" t="e">
        <f aca="false">K774+M774</f>
        <v>#NAME?</v>
      </c>
      <c r="O774" s="473" t="e">
        <f aca="false">M774</f>
        <v>#NAME?</v>
      </c>
    </row>
    <row r="775" s="461" customFormat="true" ht="15" hidden="false" customHeight="false" outlineLevel="0" collapsed="false">
      <c r="A775" s="327" t="s">
        <v>1292</v>
      </c>
      <c r="B775" s="492" t="s">
        <v>3404</v>
      </c>
      <c r="C775" s="472" t="e">
        <f aca="false">мат.затр!g7439</f>
        <v>#NAME?</v>
      </c>
      <c r="D775" s="472" t="n">
        <f aca="false">тарифик!J776</f>
        <v>142.235609103079</v>
      </c>
      <c r="E775" s="472"/>
      <c r="F775" s="473" t="n">
        <f aca="false">D775*0.9*0.095+D775*3%</f>
        <v>16.4282128514056</v>
      </c>
      <c r="G775" s="472" t="n">
        <f aca="false">амортизация!M2835</f>
        <v>3.6144578313253</v>
      </c>
      <c r="H775" s="473" t="e">
        <f aca="false">C775+D775+F775+G775</f>
        <v>#NAME?</v>
      </c>
      <c r="I775" s="462" t="n">
        <f aca="false">I$190</f>
        <v>0.240474587202079</v>
      </c>
      <c r="J775" s="473" t="n">
        <f aca="false">D775*I775</f>
        <v>34.2040493844992</v>
      </c>
      <c r="K775" s="473" t="e">
        <f aca="false">H775+J775</f>
        <v>#NAME?</v>
      </c>
      <c r="L775" s="462" t="n">
        <v>0.2</v>
      </c>
      <c r="M775" s="473" t="e">
        <f aca="false">K775*L775</f>
        <v>#NAME?</v>
      </c>
      <c r="N775" s="473" t="e">
        <f aca="false">K775+M775</f>
        <v>#NAME?</v>
      </c>
      <c r="O775" s="473" t="e">
        <f aca="false">M775</f>
        <v>#NAME?</v>
      </c>
    </row>
    <row r="776" s="461" customFormat="true" ht="15" hidden="false" customHeight="false" outlineLevel="0" collapsed="false">
      <c r="A776" s="327" t="s">
        <v>1294</v>
      </c>
      <c r="B776" s="492" t="s">
        <v>3405</v>
      </c>
      <c r="C776" s="472" t="e">
        <f aca="false">мат.затр!g7443</f>
        <v>#NAME?</v>
      </c>
      <c r="D776" s="472" t="n">
        <f aca="false">тарифик!J777</f>
        <v>362.56135653726</v>
      </c>
      <c r="E776" s="472"/>
      <c r="F776" s="473" t="n">
        <f aca="false">D776*0.9*0.095+D776*3%</f>
        <v>41.8758366800536</v>
      </c>
      <c r="G776" s="472" t="n">
        <f aca="false">амортизация!M2836</f>
        <v>1.9243641231593</v>
      </c>
      <c r="H776" s="473" t="e">
        <f aca="false">C776+D776+F776+G776</f>
        <v>#NAME?</v>
      </c>
      <c r="I776" s="462" t="n">
        <f aca="false">I$190</f>
        <v>0.240474587202079</v>
      </c>
      <c r="J776" s="473" t="n">
        <f aca="false">D776*I776</f>
        <v>87.1867925487234</v>
      </c>
      <c r="K776" s="473" t="e">
        <f aca="false">H776+J776</f>
        <v>#NAME?</v>
      </c>
      <c r="L776" s="462" t="n">
        <v>0.2</v>
      </c>
      <c r="M776" s="473" t="e">
        <f aca="false">K776*L776</f>
        <v>#NAME?</v>
      </c>
      <c r="N776" s="473" t="e">
        <f aca="false">K776+M776</f>
        <v>#NAME?</v>
      </c>
      <c r="O776" s="473" t="e">
        <f aca="false">M776</f>
        <v>#NAME?</v>
      </c>
    </row>
    <row r="777" s="461" customFormat="true" ht="15" hidden="false" customHeight="false" outlineLevel="0" collapsed="false">
      <c r="A777" s="327" t="s">
        <v>1296</v>
      </c>
      <c r="B777" s="492" t="s">
        <v>3406</v>
      </c>
      <c r="C777" s="472" t="e">
        <f aca="false">мат.затр!g7447</f>
        <v>#NAME?</v>
      </c>
      <c r="D777" s="472" t="n">
        <f aca="false">тарифик!J778</f>
        <v>362.56135653726</v>
      </c>
      <c r="E777" s="472"/>
      <c r="F777" s="473" t="n">
        <f aca="false">D777*0.9*0.095+D777*3%</f>
        <v>41.8758366800536</v>
      </c>
      <c r="G777" s="472" t="n">
        <f aca="false">амортизация!M2837</f>
        <v>2.90818830879072</v>
      </c>
      <c r="H777" s="473" t="e">
        <f aca="false">C777+D777+F777+G777</f>
        <v>#NAME?</v>
      </c>
      <c r="I777" s="462" t="n">
        <f aca="false">I$190</f>
        <v>0.240474587202079</v>
      </c>
      <c r="J777" s="473" t="n">
        <f aca="false">D777*I777</f>
        <v>87.1867925487234</v>
      </c>
      <c r="K777" s="473" t="e">
        <f aca="false">H777+J777</f>
        <v>#NAME?</v>
      </c>
      <c r="L777" s="462" t="n">
        <v>0.2</v>
      </c>
      <c r="M777" s="473" t="e">
        <f aca="false">K777*L777</f>
        <v>#NAME?</v>
      </c>
      <c r="N777" s="473" t="e">
        <f aca="false">K777+M777</f>
        <v>#NAME?</v>
      </c>
      <c r="O777" s="473" t="e">
        <f aca="false">M777</f>
        <v>#NAME?</v>
      </c>
    </row>
    <row r="778" s="461" customFormat="true" ht="15" hidden="false" customHeight="false" outlineLevel="0" collapsed="false">
      <c r="A778" s="327" t="s">
        <v>1298</v>
      </c>
      <c r="B778" s="492" t="s">
        <v>3407</v>
      </c>
      <c r="C778" s="472" t="e">
        <f aca="false">мат.затр!g7451</f>
        <v>#NAME?</v>
      </c>
      <c r="D778" s="472" t="n">
        <f aca="false">тарифик!J779</f>
        <v>474.118697010263</v>
      </c>
      <c r="E778" s="472"/>
      <c r="F778" s="473" t="n">
        <f aca="false">D778*0.9*0.095+D778*3%</f>
        <v>54.7607095046854</v>
      </c>
      <c r="G778" s="472" t="n">
        <f aca="false">амортизация!M2838</f>
        <v>1.86470883534137</v>
      </c>
      <c r="H778" s="473" t="e">
        <f aca="false">C778+D778+F778+G778</f>
        <v>#NAME?</v>
      </c>
      <c r="I778" s="462" t="n">
        <f aca="false">I$190</f>
        <v>0.240474587202079</v>
      </c>
      <c r="J778" s="473" t="n">
        <f aca="false">D778*I778</f>
        <v>114.013497948331</v>
      </c>
      <c r="K778" s="473" t="e">
        <f aca="false">H778+J778</f>
        <v>#NAME?</v>
      </c>
      <c r="L778" s="462" t="n">
        <v>0.2</v>
      </c>
      <c r="M778" s="473" t="e">
        <f aca="false">K778*L778</f>
        <v>#NAME?</v>
      </c>
      <c r="N778" s="473" t="e">
        <f aca="false">K778+M778</f>
        <v>#NAME?</v>
      </c>
      <c r="O778" s="473" t="e">
        <f aca="false">M778</f>
        <v>#NAME?</v>
      </c>
    </row>
    <row r="779" s="461" customFormat="true" ht="15" hidden="false" customHeight="false" outlineLevel="0" collapsed="false">
      <c r="A779" s="327" t="s">
        <v>1300</v>
      </c>
      <c r="B779" s="492" t="s">
        <v>3408</v>
      </c>
      <c r="C779" s="472" t="e">
        <f aca="false">мат.затр!g7452</f>
        <v>#NAME?</v>
      </c>
      <c r="D779" s="472" t="n">
        <f aca="false">тарифик!J780</f>
        <v>136.657742079429</v>
      </c>
      <c r="E779" s="472"/>
      <c r="F779" s="473" t="n">
        <f aca="false">D779*0.9*0.095+D779*3%</f>
        <v>15.783969210174</v>
      </c>
      <c r="G779" s="472" t="n">
        <f aca="false">амортизация!M2839</f>
        <v>7.98611111111111</v>
      </c>
      <c r="H779" s="473" t="e">
        <f aca="false">C779+D779+F779+G779</f>
        <v>#NAME?</v>
      </c>
      <c r="I779" s="462" t="n">
        <f aca="false">I$190</f>
        <v>0.240474587202079</v>
      </c>
      <c r="J779" s="473" t="n">
        <f aca="false">D779*I779</f>
        <v>32.8627141145188</v>
      </c>
      <c r="K779" s="473" t="e">
        <f aca="false">H779+J779</f>
        <v>#NAME?</v>
      </c>
      <c r="L779" s="462" t="n">
        <v>0.2</v>
      </c>
      <c r="M779" s="473" t="e">
        <f aca="false">K779*L779</f>
        <v>#NAME?</v>
      </c>
      <c r="N779" s="473" t="e">
        <f aca="false">K779+M779</f>
        <v>#NAME?</v>
      </c>
      <c r="O779" s="473" t="e">
        <f aca="false">M779</f>
        <v>#NAME?</v>
      </c>
    </row>
    <row r="780" s="461" customFormat="true" ht="30" hidden="false" customHeight="false" outlineLevel="0" collapsed="false">
      <c r="A780" s="327" t="s">
        <v>1302</v>
      </c>
      <c r="B780" s="492" t="s">
        <v>3409</v>
      </c>
      <c r="C780" s="472" t="e">
        <f aca="false">мат.затр!g7453</f>
        <v>#NAME?</v>
      </c>
      <c r="D780" s="472" t="n">
        <f aca="false">тарифик!J781</f>
        <v>136.657742079429</v>
      </c>
      <c r="E780" s="472"/>
      <c r="F780" s="473" t="n">
        <f aca="false">D780*0.9*0.095+D780*3%</f>
        <v>15.783969210174</v>
      </c>
      <c r="G780" s="472" t="n">
        <f aca="false">амортизация!M2840</f>
        <v>8.1808716346869</v>
      </c>
      <c r="H780" s="473" t="e">
        <f aca="false">C780+D780+F780+G780</f>
        <v>#NAME?</v>
      </c>
      <c r="I780" s="462" t="n">
        <f aca="false">I$190</f>
        <v>0.240474587202079</v>
      </c>
      <c r="J780" s="473" t="n">
        <f aca="false">D780*I780</f>
        <v>32.8627141145188</v>
      </c>
      <c r="K780" s="473" t="e">
        <f aca="false">H780+J780</f>
        <v>#NAME?</v>
      </c>
      <c r="L780" s="462" t="n">
        <v>0.2</v>
      </c>
      <c r="M780" s="473" t="e">
        <f aca="false">K780*L780</f>
        <v>#NAME?</v>
      </c>
      <c r="N780" s="473" t="e">
        <f aca="false">K780+M780</f>
        <v>#NAME?</v>
      </c>
      <c r="O780" s="473" t="e">
        <f aca="false">M780</f>
        <v>#NAME?</v>
      </c>
    </row>
    <row r="781" s="461" customFormat="true" ht="15" hidden="false" customHeight="false" outlineLevel="0" collapsed="false">
      <c r="A781" s="327" t="s">
        <v>1304</v>
      </c>
      <c r="B781" s="492" t="s">
        <v>3410</v>
      </c>
      <c r="C781" s="472" t="e">
        <f aca="false">мат.затр!g7454</f>
        <v>#NAME?</v>
      </c>
      <c r="D781" s="472" t="n">
        <f aca="false">тарифик!J782</f>
        <v>136.657742079429</v>
      </c>
      <c r="E781" s="472"/>
      <c r="F781" s="473" t="n">
        <f aca="false">D781*0.9*0.095+D781*3%</f>
        <v>15.783969210174</v>
      </c>
      <c r="G781" s="472" t="n">
        <f aca="false">амортизация!M2841</f>
        <v>8.1808716346869</v>
      </c>
      <c r="H781" s="473" t="e">
        <f aca="false">C781+D781+F781+G781</f>
        <v>#NAME?</v>
      </c>
      <c r="I781" s="462" t="n">
        <f aca="false">I$190</f>
        <v>0.240474587202079</v>
      </c>
      <c r="J781" s="473" t="n">
        <f aca="false">D781*I781</f>
        <v>32.8627141145188</v>
      </c>
      <c r="K781" s="473" t="e">
        <f aca="false">H781+J781</f>
        <v>#NAME?</v>
      </c>
      <c r="L781" s="462" t="n">
        <v>0.2</v>
      </c>
      <c r="M781" s="473" t="e">
        <f aca="false">K781*L781</f>
        <v>#NAME?</v>
      </c>
      <c r="N781" s="473" t="e">
        <f aca="false">K781+M781</f>
        <v>#NAME?</v>
      </c>
      <c r="O781" s="473" t="e">
        <f aca="false">M781</f>
        <v>#NAME?</v>
      </c>
    </row>
    <row r="782" s="461" customFormat="true" ht="15" hidden="false" customHeight="false" outlineLevel="0" collapsed="false">
      <c r="A782" s="327" t="s">
        <v>1306</v>
      </c>
      <c r="B782" s="492" t="s">
        <v>3411</v>
      </c>
      <c r="C782" s="472" t="e">
        <f aca="false">мат.затр!g7455</f>
        <v>#NAME?</v>
      </c>
      <c r="D782" s="472" t="n">
        <f aca="false">тарифик!J783</f>
        <v>292.838018741633</v>
      </c>
      <c r="E782" s="472"/>
      <c r="F782" s="473" t="n">
        <f aca="false">D782*0.9*0.095+D782*3%</f>
        <v>33.8227911646586</v>
      </c>
      <c r="G782" s="472" t="n">
        <f aca="false">амортизация!M2842</f>
        <v>49.0852298081214</v>
      </c>
      <c r="H782" s="473" t="e">
        <f aca="false">C782+D782+F782+G782</f>
        <v>#NAME?</v>
      </c>
      <c r="I782" s="462" t="n">
        <f aca="false">I$190</f>
        <v>0.240474587202079</v>
      </c>
      <c r="J782" s="473" t="n">
        <f aca="false">D782*I782</f>
        <v>70.4201016739689</v>
      </c>
      <c r="K782" s="473" t="e">
        <f aca="false">H782+J782</f>
        <v>#NAME?</v>
      </c>
      <c r="L782" s="462" t="n">
        <v>0.2</v>
      </c>
      <c r="M782" s="473" t="e">
        <f aca="false">K782*L782</f>
        <v>#NAME?</v>
      </c>
      <c r="N782" s="473" t="e">
        <f aca="false">K782+M782</f>
        <v>#NAME?</v>
      </c>
      <c r="O782" s="473" t="e">
        <f aca="false">M782</f>
        <v>#NAME?</v>
      </c>
    </row>
    <row r="783" s="461" customFormat="true" ht="15" hidden="false" customHeight="false" outlineLevel="0" collapsed="false">
      <c r="A783" s="327" t="s">
        <v>1308</v>
      </c>
      <c r="B783" s="492" t="s">
        <v>3412</v>
      </c>
      <c r="C783" s="472" t="e">
        <f aca="false">мат.затр!g7456</f>
        <v>#NAME?</v>
      </c>
      <c r="D783" s="472" t="n">
        <f aca="false">тарифик!J784</f>
        <v>418.340026773762</v>
      </c>
      <c r="E783" s="472"/>
      <c r="F783" s="473" t="n">
        <f aca="false">D783*0.9*0.095+D783*3%</f>
        <v>48.3182730923695</v>
      </c>
      <c r="G783" s="472" t="n">
        <f aca="false">амортизация!M2843</f>
        <v>20.4521790867172</v>
      </c>
      <c r="H783" s="473" t="e">
        <f aca="false">C783+D783+F783+G783</f>
        <v>#NAME?</v>
      </c>
      <c r="I783" s="462" t="n">
        <f aca="false">I$190</f>
        <v>0.240474587202079</v>
      </c>
      <c r="J783" s="473" t="n">
        <f aca="false">D783*I783</f>
        <v>100.600145248527</v>
      </c>
      <c r="K783" s="473" t="e">
        <f aca="false">H783+J783</f>
        <v>#NAME?</v>
      </c>
      <c r="L783" s="462" t="n">
        <v>0.2</v>
      </c>
      <c r="M783" s="473" t="e">
        <f aca="false">K783*L783</f>
        <v>#NAME?</v>
      </c>
      <c r="N783" s="473" t="e">
        <f aca="false">K783+M783</f>
        <v>#NAME?</v>
      </c>
      <c r="O783" s="473" t="e">
        <f aca="false">M783</f>
        <v>#NAME?</v>
      </c>
    </row>
    <row r="784" s="461" customFormat="true" ht="15" hidden="false" customHeight="false" outlineLevel="0" collapsed="false">
      <c r="A784" s="327" t="s">
        <v>1310</v>
      </c>
      <c r="B784" s="498" t="s">
        <v>3413</v>
      </c>
      <c r="C784" s="472" t="e">
        <f aca="false">мат.затр!g7457</f>
        <v>#NAME?</v>
      </c>
      <c r="D784" s="472" t="n">
        <f aca="false">тарифик!J785</f>
        <v>217.536813922356</v>
      </c>
      <c r="E784" s="472"/>
      <c r="F784" s="473" t="n">
        <f aca="false">D784*0.9*0.095+D784*3%</f>
        <v>25.1255020080321</v>
      </c>
      <c r="G784" s="472" t="n">
        <f aca="false">амортизация!M2844</f>
        <v>12.9685408299866</v>
      </c>
      <c r="H784" s="473" t="e">
        <f aca="false">C784+D784+F784+G784</f>
        <v>#NAME?</v>
      </c>
      <c r="I784" s="462" t="n">
        <f aca="false">I$190</f>
        <v>0.240474587202079</v>
      </c>
      <c r="J784" s="473" t="n">
        <f aca="false">D784*I784</f>
        <v>52.312075529234</v>
      </c>
      <c r="K784" s="473" t="e">
        <f aca="false">H784+J784</f>
        <v>#NAME?</v>
      </c>
      <c r="L784" s="462" t="n">
        <v>0.2</v>
      </c>
      <c r="M784" s="473" t="e">
        <f aca="false">K784*L784</f>
        <v>#NAME?</v>
      </c>
      <c r="N784" s="473" t="e">
        <f aca="false">K784+M784</f>
        <v>#NAME?</v>
      </c>
      <c r="O784" s="473" t="e">
        <f aca="false">M784</f>
        <v>#NAME?</v>
      </c>
    </row>
    <row r="785" s="461" customFormat="true" ht="15" hidden="false" customHeight="false" outlineLevel="0" collapsed="false">
      <c r="A785" s="327" t="s">
        <v>1312</v>
      </c>
      <c r="B785" s="492" t="s">
        <v>3414</v>
      </c>
      <c r="C785" s="472" t="e">
        <f aca="false">мат.затр!g7458</f>
        <v>#NAME?</v>
      </c>
      <c r="D785" s="472" t="n">
        <f aca="false">тарифик!J786</f>
        <v>398.817492190986</v>
      </c>
      <c r="E785" s="472"/>
      <c r="F785" s="473" t="n">
        <f aca="false">D785*0.9*0.095+D785*3%</f>
        <v>46.0634203480589</v>
      </c>
      <c r="G785" s="472" t="n">
        <f aca="false">амортизация!M2845</f>
        <v>17.2913877733155</v>
      </c>
      <c r="H785" s="473" t="e">
        <f aca="false">C785+D785+F785+G785</f>
        <v>#NAME?</v>
      </c>
      <c r="I785" s="462" t="n">
        <f aca="false">I$190</f>
        <v>0.240474587202079</v>
      </c>
      <c r="J785" s="473" t="n">
        <f aca="false">D785*I785</f>
        <v>95.9054718035957</v>
      </c>
      <c r="K785" s="473" t="e">
        <f aca="false">H785+J785</f>
        <v>#NAME?</v>
      </c>
      <c r="L785" s="462" t="n">
        <v>0.2</v>
      </c>
      <c r="M785" s="473" t="e">
        <f aca="false">K785*L785</f>
        <v>#NAME?</v>
      </c>
      <c r="N785" s="473" t="e">
        <f aca="false">K785+M785</f>
        <v>#NAME?</v>
      </c>
      <c r="O785" s="473" t="e">
        <f aca="false">M785</f>
        <v>#NAME?</v>
      </c>
    </row>
    <row r="786" s="461" customFormat="true" ht="15" hidden="false" customHeight="false" outlineLevel="0" collapsed="false">
      <c r="A786" s="327" t="s">
        <v>1314</v>
      </c>
      <c r="B786" s="492" t="s">
        <v>3415</v>
      </c>
      <c r="C786" s="472" t="e">
        <f aca="false">мат.затр!g7459</f>
        <v>#NAME?</v>
      </c>
      <c r="D786" s="472" t="n">
        <f aca="false">тарифик!J787</f>
        <v>362.56135653726</v>
      </c>
      <c r="E786" s="472"/>
      <c r="F786" s="473" t="n">
        <f aca="false">D786*0.9*0.095+D786*3%</f>
        <v>41.8758366800536</v>
      </c>
      <c r="G786" s="472" t="n">
        <f aca="false">амортизация!M2846</f>
        <v>51.8741633199465</v>
      </c>
      <c r="H786" s="473" t="e">
        <f aca="false">C786+D786+F786+G786</f>
        <v>#NAME?</v>
      </c>
      <c r="I786" s="462" t="n">
        <f aca="false">I$190</f>
        <v>0.240474587202079</v>
      </c>
      <c r="J786" s="473" t="n">
        <f aca="false">D786*I786</f>
        <v>87.1867925487234</v>
      </c>
      <c r="K786" s="473" t="e">
        <f aca="false">H786+J786</f>
        <v>#NAME?</v>
      </c>
      <c r="L786" s="462" t="n">
        <v>0.2</v>
      </c>
      <c r="M786" s="473" t="e">
        <f aca="false">K786*L786</f>
        <v>#NAME?</v>
      </c>
      <c r="N786" s="473" t="e">
        <f aca="false">K786+M786</f>
        <v>#NAME?</v>
      </c>
      <c r="O786" s="473" t="e">
        <f aca="false">M786</f>
        <v>#NAME?</v>
      </c>
    </row>
    <row r="787" s="461" customFormat="true" ht="15" hidden="false" customHeight="false" outlineLevel="0" collapsed="false">
      <c r="A787" s="327" t="s">
        <v>1316</v>
      </c>
      <c r="B787" s="476" t="s">
        <v>3416</v>
      </c>
      <c r="C787" s="472" t="e">
        <f aca="false">мат.затр!g7460</f>
        <v>#NAME?</v>
      </c>
      <c r="D787" s="472" t="n">
        <f aca="false">тарифик!J788</f>
        <v>27.8893351182508</v>
      </c>
      <c r="E787" s="472"/>
      <c r="F787" s="473" t="n">
        <f aca="false">D787*0.9*0.095+D787*3%</f>
        <v>3.22121820615797</v>
      </c>
      <c r="G787" s="472" t="n">
        <f aca="false">амортизация!M2847</f>
        <v>12.9685408299866</v>
      </c>
      <c r="H787" s="473" t="e">
        <f aca="false">C787+D787+F787+G787</f>
        <v>#NAME?</v>
      </c>
      <c r="I787" s="462" t="n">
        <f aca="false">I$190</f>
        <v>0.240474587202079</v>
      </c>
      <c r="J787" s="473" t="n">
        <f aca="false">D787*I787</f>
        <v>6.7066763499018</v>
      </c>
      <c r="K787" s="473" t="e">
        <f aca="false">H787+J787</f>
        <v>#NAME?</v>
      </c>
      <c r="L787" s="462" t="n">
        <v>0.2</v>
      </c>
      <c r="M787" s="473" t="e">
        <f aca="false">K787*L787</f>
        <v>#NAME?</v>
      </c>
      <c r="N787" s="473" t="e">
        <f aca="false">K787+M787</f>
        <v>#NAME?</v>
      </c>
      <c r="O787" s="473" t="e">
        <f aca="false">M787</f>
        <v>#NAME?</v>
      </c>
    </row>
    <row r="788" s="461" customFormat="true" ht="30" hidden="false" customHeight="false" outlineLevel="0" collapsed="false">
      <c r="A788" s="327" t="s">
        <v>1318</v>
      </c>
      <c r="B788" s="489" t="s">
        <v>3417</v>
      </c>
      <c r="C788" s="472" t="e">
        <f aca="false">мат.затр!g7461</f>
        <v>#NAME?</v>
      </c>
      <c r="D788" s="472" t="n">
        <f aca="false">тарифик!J789</f>
        <v>80.9906291834003</v>
      </c>
      <c r="E788" s="472"/>
      <c r="F788" s="473" t="n">
        <f aca="false">D788*0.9*0.095+D788*3%</f>
        <v>9.35441767068273</v>
      </c>
      <c r="G788" s="472" t="n">
        <f aca="false">амортизация!M2848</f>
        <v>0</v>
      </c>
      <c r="H788" s="473" t="e">
        <f aca="false">C788+D788+F788+G788</f>
        <v>#NAME?</v>
      </c>
      <c r="I788" s="462" t="n">
        <f aca="false">I$190</f>
        <v>0.240474587202079</v>
      </c>
      <c r="J788" s="473" t="n">
        <f aca="false">D788*I788</f>
        <v>19.4761881201148</v>
      </c>
      <c r="K788" s="473" t="e">
        <f aca="false">H788+J788</f>
        <v>#NAME?</v>
      </c>
      <c r="L788" s="462" t="n">
        <v>0.2</v>
      </c>
      <c r="M788" s="473" t="e">
        <f aca="false">K788*L788</f>
        <v>#NAME?</v>
      </c>
      <c r="N788" s="473" t="e">
        <f aca="false">K788+M788</f>
        <v>#NAME?</v>
      </c>
      <c r="O788" s="473" t="e">
        <f aca="false">M788</f>
        <v>#NAME?</v>
      </c>
    </row>
    <row r="789" s="461" customFormat="true" ht="24" hidden="false" customHeight="true" outlineLevel="0" collapsed="false">
      <c r="A789" s="343" t="s">
        <v>1320</v>
      </c>
      <c r="B789" s="345" t="s">
        <v>3418</v>
      </c>
      <c r="C789" s="464"/>
      <c r="D789" s="464"/>
      <c r="E789" s="464"/>
      <c r="F789" s="464"/>
      <c r="G789" s="464"/>
      <c r="H789" s="496"/>
      <c r="I789" s="497"/>
      <c r="J789" s="496"/>
      <c r="K789" s="496"/>
      <c r="L789" s="497"/>
      <c r="M789" s="496"/>
      <c r="N789" s="496"/>
      <c r="O789" s="496"/>
    </row>
    <row r="790" s="461" customFormat="true" ht="42.75" hidden="false" customHeight="false" outlineLevel="0" collapsed="false">
      <c r="A790" s="499" t="s">
        <v>1322</v>
      </c>
      <c r="B790" s="346" t="s">
        <v>3419</v>
      </c>
      <c r="C790" s="468"/>
      <c r="D790" s="468"/>
      <c r="E790" s="472"/>
      <c r="F790" s="468"/>
      <c r="G790" s="468"/>
      <c r="H790" s="490"/>
      <c r="I790" s="491"/>
      <c r="J790" s="490"/>
      <c r="K790" s="490"/>
      <c r="L790" s="491"/>
      <c r="M790" s="490"/>
      <c r="N790" s="490"/>
      <c r="O790" s="490"/>
    </row>
    <row r="791" s="461" customFormat="true" ht="15" hidden="false" customHeight="false" outlineLevel="0" collapsed="false">
      <c r="A791" s="327" t="s">
        <v>1324</v>
      </c>
      <c r="B791" s="328" t="s">
        <v>3420</v>
      </c>
      <c r="C791" s="472" t="e">
        <f aca="false">мат.затр!g7466</f>
        <v>#NAME?</v>
      </c>
      <c r="D791" s="472" t="n">
        <f aca="false">тарифик!J792</f>
        <v>401.606425702811</v>
      </c>
      <c r="E791" s="472"/>
      <c r="F791" s="473" t="n">
        <f aca="false">D791*0.9*0.095+D791*3%</f>
        <v>46.3855421686747</v>
      </c>
      <c r="G791" s="472" t="n">
        <f aca="false">амортизация!M2851</f>
        <v>0</v>
      </c>
      <c r="H791" s="473" t="e">
        <f aca="false">C791+D791+F791+G791</f>
        <v>#NAME?</v>
      </c>
      <c r="I791" s="462" t="n">
        <f aca="false">I$190</f>
        <v>0.240474587202079</v>
      </c>
      <c r="J791" s="473" t="n">
        <f aca="false">D791*I791</f>
        <v>96.5761394385859</v>
      </c>
      <c r="K791" s="473" t="e">
        <f aca="false">H791+J791</f>
        <v>#NAME?</v>
      </c>
      <c r="L791" s="462" t="n">
        <v>0.2</v>
      </c>
      <c r="M791" s="473" t="e">
        <f aca="false">K791*L791</f>
        <v>#NAME?</v>
      </c>
      <c r="N791" s="473" t="e">
        <f aca="false">K791+M791</f>
        <v>#NAME?</v>
      </c>
      <c r="O791" s="473" t="e">
        <f aca="false">M791</f>
        <v>#NAME?</v>
      </c>
    </row>
    <row r="792" s="461" customFormat="true" ht="15" hidden="false" customHeight="false" outlineLevel="0" collapsed="false">
      <c r="A792" s="327" t="s">
        <v>1325</v>
      </c>
      <c r="B792" s="328" t="s">
        <v>3421</v>
      </c>
      <c r="C792" s="472" t="e">
        <f aca="false">мат.затр!g7467</f>
        <v>#NAME?</v>
      </c>
      <c r="D792" s="472" t="n">
        <f aca="false">тарифик!J793</f>
        <v>577.309236947791</v>
      </c>
      <c r="E792" s="472"/>
      <c r="F792" s="473" t="n">
        <f aca="false">D792*0.9*0.095+D792*3%</f>
        <v>66.6792168674699</v>
      </c>
      <c r="G792" s="472" t="n">
        <f aca="false">амортизация!M2852</f>
        <v>0</v>
      </c>
      <c r="H792" s="473" t="e">
        <f aca="false">C792+D792+F792+G792</f>
        <v>#NAME?</v>
      </c>
      <c r="I792" s="462" t="n">
        <f aca="false">I$190</f>
        <v>0.240474587202079</v>
      </c>
      <c r="J792" s="473" t="n">
        <f aca="false">D792*I792</f>
        <v>138.828200442967</v>
      </c>
      <c r="K792" s="473" t="e">
        <f aca="false">H792+J792</f>
        <v>#NAME?</v>
      </c>
      <c r="L792" s="462" t="n">
        <v>0.2</v>
      </c>
      <c r="M792" s="473" t="e">
        <f aca="false">K792*L792</f>
        <v>#NAME?</v>
      </c>
      <c r="N792" s="473" t="e">
        <f aca="false">K792+M792</f>
        <v>#NAME?</v>
      </c>
      <c r="O792" s="473" t="e">
        <f aca="false">M792</f>
        <v>#NAME?</v>
      </c>
    </row>
    <row r="793" s="461" customFormat="true" ht="15" hidden="false" customHeight="false" outlineLevel="0" collapsed="false">
      <c r="A793" s="327" t="s">
        <v>1327</v>
      </c>
      <c r="B793" s="328" t="s">
        <v>3422</v>
      </c>
      <c r="C793" s="472" t="e">
        <f aca="false">мат.затр!g7471</f>
        <v>#NAME?</v>
      </c>
      <c r="D793" s="472" t="n">
        <f aca="false">тарифик!J794</f>
        <v>502.008032128514</v>
      </c>
      <c r="E793" s="472"/>
      <c r="F793" s="473" t="n">
        <f aca="false">D793*0.9*0.095+D793*3%</f>
        <v>57.9819277108434</v>
      </c>
      <c r="G793" s="472" t="n">
        <f aca="false">амортизация!M2853</f>
        <v>0</v>
      </c>
      <c r="H793" s="473" t="e">
        <f aca="false">C793+D793+F793+G793</f>
        <v>#NAME?</v>
      </c>
      <c r="I793" s="462" t="n">
        <f aca="false">I$190</f>
        <v>0.240474587202079</v>
      </c>
      <c r="J793" s="473" t="n">
        <f aca="false">D793*I793</f>
        <v>120.720174298232</v>
      </c>
      <c r="K793" s="473" t="e">
        <f aca="false">H793+J793</f>
        <v>#NAME?</v>
      </c>
      <c r="L793" s="462" t="n">
        <v>0.2</v>
      </c>
      <c r="M793" s="473" t="e">
        <f aca="false">K793*L793</f>
        <v>#NAME?</v>
      </c>
      <c r="N793" s="473" t="e">
        <f aca="false">K793+M793</f>
        <v>#NAME?</v>
      </c>
      <c r="O793" s="473" t="e">
        <f aca="false">M793</f>
        <v>#NAME?</v>
      </c>
    </row>
    <row r="794" s="461" customFormat="true" ht="15" hidden="false" customHeight="false" outlineLevel="0" collapsed="false">
      <c r="A794" s="327" t="s">
        <v>1329</v>
      </c>
      <c r="B794" s="500" t="s">
        <v>3423</v>
      </c>
      <c r="C794" s="472" t="e">
        <f aca="false">мат.затр!g7472</f>
        <v>#NAME?</v>
      </c>
      <c r="D794" s="472" t="n">
        <f aca="false">тарифик!J795</f>
        <v>577.309236947791</v>
      </c>
      <c r="E794" s="472"/>
      <c r="F794" s="473" t="n">
        <f aca="false">D794*0.9*0.095+D794*3%</f>
        <v>66.6792168674699</v>
      </c>
      <c r="G794" s="472" t="n">
        <f aca="false">амортизация!M2854</f>
        <v>0</v>
      </c>
      <c r="H794" s="473" t="e">
        <f aca="false">C794+D794+F794+G794</f>
        <v>#NAME?</v>
      </c>
      <c r="I794" s="462" t="n">
        <f aca="false">I$190</f>
        <v>0.240474587202079</v>
      </c>
      <c r="J794" s="473" t="n">
        <f aca="false">D794*I794</f>
        <v>138.828200442967</v>
      </c>
      <c r="K794" s="473" t="e">
        <f aca="false">H794+J794</f>
        <v>#NAME?</v>
      </c>
      <c r="L794" s="462" t="n">
        <v>0.2</v>
      </c>
      <c r="M794" s="473" t="e">
        <f aca="false">K794*L794</f>
        <v>#NAME?</v>
      </c>
      <c r="N794" s="473" t="e">
        <f aca="false">K794+M794</f>
        <v>#NAME?</v>
      </c>
      <c r="O794" s="473" t="e">
        <f aca="false">M794</f>
        <v>#NAME?</v>
      </c>
    </row>
    <row r="795" s="461" customFormat="true" ht="15" hidden="false" customHeight="false" outlineLevel="0" collapsed="false">
      <c r="A795" s="327" t="s">
        <v>1331</v>
      </c>
      <c r="B795" s="500" t="s">
        <v>3424</v>
      </c>
      <c r="C795" s="472" t="e">
        <f aca="false">мат.затр!g7473</f>
        <v>#NAME?</v>
      </c>
      <c r="D795" s="472" t="n">
        <f aca="false">тарифик!J796</f>
        <v>577.309236947791</v>
      </c>
      <c r="E795" s="472"/>
      <c r="F795" s="473" t="n">
        <f aca="false">D795*0.9*0.095+D795*3%</f>
        <v>66.6792168674699</v>
      </c>
      <c r="G795" s="472" t="n">
        <f aca="false">амортизация!M2855</f>
        <v>0</v>
      </c>
      <c r="H795" s="473" t="e">
        <f aca="false">C795+D795+F795+G795</f>
        <v>#NAME?</v>
      </c>
      <c r="I795" s="462" t="n">
        <f aca="false">I$190</f>
        <v>0.240474587202079</v>
      </c>
      <c r="J795" s="473" t="n">
        <f aca="false">D795*I795</f>
        <v>138.828200442967</v>
      </c>
      <c r="K795" s="473" t="e">
        <f aca="false">H795+J795</f>
        <v>#NAME?</v>
      </c>
      <c r="L795" s="462" t="n">
        <v>0.2</v>
      </c>
      <c r="M795" s="473" t="e">
        <f aca="false">K795*L795</f>
        <v>#NAME?</v>
      </c>
      <c r="N795" s="473" t="e">
        <f aca="false">K795+M795</f>
        <v>#NAME?</v>
      </c>
      <c r="O795" s="473" t="e">
        <f aca="false">M795</f>
        <v>#NAME?</v>
      </c>
    </row>
    <row r="796" s="461" customFormat="true" ht="15" hidden="false" customHeight="false" outlineLevel="0" collapsed="false">
      <c r="A796" s="327" t="s">
        <v>1333</v>
      </c>
      <c r="B796" s="328" t="s">
        <v>3425</v>
      </c>
      <c r="C796" s="472" t="e">
        <f aca="false">мат.затр!g7474</f>
        <v>#NAME?</v>
      </c>
      <c r="D796" s="472" t="n">
        <f aca="false">тарифик!J797</f>
        <v>577.309236947791</v>
      </c>
      <c r="E796" s="472"/>
      <c r="F796" s="473" t="n">
        <f aca="false">D796*0.9*0.095+D796*3%</f>
        <v>66.6792168674699</v>
      </c>
      <c r="G796" s="472" t="n">
        <f aca="false">амортизация!M2856</f>
        <v>55.7786702365016</v>
      </c>
      <c r="H796" s="473" t="e">
        <f aca="false">C796+D796+F796+G796</f>
        <v>#NAME?</v>
      </c>
      <c r="I796" s="462" t="n">
        <f aca="false">I$190</f>
        <v>0.240474587202079</v>
      </c>
      <c r="J796" s="473" t="n">
        <f aca="false">D796*I796</f>
        <v>138.828200442967</v>
      </c>
      <c r="K796" s="473" t="e">
        <f aca="false">H796+J796</f>
        <v>#NAME?</v>
      </c>
      <c r="L796" s="462" t="n">
        <v>0.2</v>
      </c>
      <c r="M796" s="473" t="e">
        <f aca="false">K796*L796</f>
        <v>#NAME?</v>
      </c>
      <c r="N796" s="473" t="e">
        <f aca="false">K796+M796</f>
        <v>#NAME?</v>
      </c>
      <c r="O796" s="473" t="e">
        <f aca="false">M796</f>
        <v>#NAME?</v>
      </c>
    </row>
    <row r="797" s="461" customFormat="true" ht="15" hidden="false" customHeight="false" outlineLevel="0" collapsed="false">
      <c r="A797" s="327" t="s">
        <v>1335</v>
      </c>
      <c r="B797" s="328" t="s">
        <v>3426</v>
      </c>
      <c r="C797" s="472" t="e">
        <f aca="false">мат.затр!g7478</f>
        <v>#NAME?</v>
      </c>
      <c r="D797" s="472" t="n">
        <f aca="false">тарифик!J798</f>
        <v>635.876840696118</v>
      </c>
      <c r="E797" s="472"/>
      <c r="F797" s="473" t="n">
        <f aca="false">D797*0.9*0.095+D797*3%</f>
        <v>73.4437751004016</v>
      </c>
      <c r="G797" s="472" t="n">
        <f aca="false">амортизация!M2857</f>
        <v>0</v>
      </c>
      <c r="H797" s="473" t="e">
        <f aca="false">C797+D797+F797+G797</f>
        <v>#NAME?</v>
      </c>
      <c r="I797" s="462" t="n">
        <f aca="false">I$190</f>
        <v>0.240474587202079</v>
      </c>
      <c r="J797" s="473" t="n">
        <f aca="false">D797*I797</f>
        <v>152.912220777761</v>
      </c>
      <c r="K797" s="473" t="e">
        <f aca="false">H797+J797</f>
        <v>#NAME?</v>
      </c>
      <c r="L797" s="462" t="n">
        <v>0.2</v>
      </c>
      <c r="M797" s="473" t="e">
        <f aca="false">K797*L797</f>
        <v>#NAME?</v>
      </c>
      <c r="N797" s="473" t="e">
        <f aca="false">K797+M797</f>
        <v>#NAME?</v>
      </c>
      <c r="O797" s="473" t="e">
        <f aca="false">M797</f>
        <v>#NAME?</v>
      </c>
    </row>
    <row r="798" s="461" customFormat="true" ht="15" hidden="false" customHeight="false" outlineLevel="0" collapsed="false">
      <c r="A798" s="327" t="s">
        <v>1337</v>
      </c>
      <c r="B798" s="328" t="s">
        <v>3427</v>
      </c>
      <c r="C798" s="472" t="e">
        <f aca="false">мат.затр!g7486</f>
        <v>#NAME?</v>
      </c>
      <c r="D798" s="472" t="n">
        <f aca="false">тарифик!J799</f>
        <v>736.278447121821</v>
      </c>
      <c r="E798" s="472"/>
      <c r="F798" s="473" t="n">
        <f aca="false">D798*0.9*0.095+D798*3%</f>
        <v>85.0401606425703</v>
      </c>
      <c r="G798" s="472" t="n">
        <f aca="false">амортизация!M2858</f>
        <v>44.2045961624275</v>
      </c>
      <c r="H798" s="473" t="e">
        <f aca="false">C798+D798+F798+G798</f>
        <v>#NAME?</v>
      </c>
      <c r="I798" s="462" t="n">
        <f aca="false">I$190</f>
        <v>0.240474587202079</v>
      </c>
      <c r="J798" s="473" t="n">
        <f aca="false">D798*I798</f>
        <v>177.056255637408</v>
      </c>
      <c r="K798" s="473" t="e">
        <f aca="false">H798+J798</f>
        <v>#NAME?</v>
      </c>
      <c r="L798" s="462" t="n">
        <v>0.2</v>
      </c>
      <c r="M798" s="473" t="e">
        <f aca="false">K798*L798</f>
        <v>#NAME?</v>
      </c>
      <c r="N798" s="473" t="e">
        <f aca="false">K798+M798</f>
        <v>#NAME?</v>
      </c>
      <c r="O798" s="473" t="e">
        <f aca="false">M798</f>
        <v>#NAME?</v>
      </c>
    </row>
    <row r="799" s="461" customFormat="true" ht="15" hidden="false" customHeight="false" outlineLevel="0" collapsed="false">
      <c r="A799" s="327" t="s">
        <v>1339</v>
      </c>
      <c r="B799" s="328" t="s">
        <v>3428</v>
      </c>
      <c r="C799" s="472" t="e">
        <f aca="false">мат.затр!g7493</f>
        <v>#NAME?</v>
      </c>
      <c r="D799" s="472" t="n">
        <f aca="false">тарифик!J800</f>
        <v>490.852298081214</v>
      </c>
      <c r="E799" s="472"/>
      <c r="F799" s="473" t="n">
        <f aca="false">D799*0.9*0.095+D799*3%</f>
        <v>56.6934404283802</v>
      </c>
      <c r="G799" s="472" t="n">
        <f aca="false">амортизация!M2859</f>
        <v>44.2045961624275</v>
      </c>
      <c r="H799" s="473" t="e">
        <f aca="false">C799+D799+F799+G799</f>
        <v>#NAME?</v>
      </c>
      <c r="I799" s="462" t="n">
        <f aca="false">I$190</f>
        <v>0.240474587202079</v>
      </c>
      <c r="J799" s="473" t="n">
        <f aca="false">D799*I799</f>
        <v>118.037503758272</v>
      </c>
      <c r="K799" s="473" t="e">
        <f aca="false">H799+J799</f>
        <v>#NAME?</v>
      </c>
      <c r="L799" s="462" t="n">
        <v>0.2</v>
      </c>
      <c r="M799" s="473" t="e">
        <f aca="false">K799*L799</f>
        <v>#NAME?</v>
      </c>
      <c r="N799" s="473" t="e">
        <f aca="false">K799+M799</f>
        <v>#NAME?</v>
      </c>
      <c r="O799" s="473" t="e">
        <f aca="false">M799</f>
        <v>#NAME?</v>
      </c>
    </row>
    <row r="800" s="461" customFormat="true" ht="15" hidden="false" customHeight="false" outlineLevel="0" collapsed="false">
      <c r="A800" s="327" t="s">
        <v>1341</v>
      </c>
      <c r="B800" s="328" t="s">
        <v>3429</v>
      </c>
      <c r="C800" s="472" t="e">
        <f aca="false">мат.затр!g7499</f>
        <v>#NAME?</v>
      </c>
      <c r="D800" s="472" t="n">
        <f aca="false">тарифик!J801</f>
        <v>847.835787594824</v>
      </c>
      <c r="E800" s="472"/>
      <c r="F800" s="473" t="n">
        <f aca="false">D800*0.9*0.095+D800*3%</f>
        <v>97.9250334672022</v>
      </c>
      <c r="G800" s="472" t="n">
        <f aca="false">амортизация!M2860</f>
        <v>44.2045961624275</v>
      </c>
      <c r="H800" s="473" t="e">
        <f aca="false">C800+D800+F800+G800</f>
        <v>#NAME?</v>
      </c>
      <c r="I800" s="462" t="n">
        <f aca="false">I$190</f>
        <v>0.240474587202079</v>
      </c>
      <c r="J800" s="473" t="n">
        <f aca="false">D800*I800</f>
        <v>203.882961037015</v>
      </c>
      <c r="K800" s="473" t="e">
        <f aca="false">H800+J800</f>
        <v>#NAME?</v>
      </c>
      <c r="L800" s="462" t="n">
        <v>0.2</v>
      </c>
      <c r="M800" s="473" t="e">
        <f aca="false">K800*L800</f>
        <v>#NAME?</v>
      </c>
      <c r="N800" s="473" t="e">
        <f aca="false">K800+M800</f>
        <v>#NAME?</v>
      </c>
      <c r="O800" s="473" t="e">
        <f aca="false">M800</f>
        <v>#NAME?</v>
      </c>
    </row>
    <row r="801" s="461" customFormat="true" ht="15" hidden="false" customHeight="false" outlineLevel="0" collapsed="false">
      <c r="A801" s="327" t="s">
        <v>1343</v>
      </c>
      <c r="B801" s="328" t="s">
        <v>3430</v>
      </c>
      <c r="C801" s="472" t="e">
        <f aca="false">мат.затр!g7503</f>
        <v>#NAME?</v>
      </c>
      <c r="D801" s="472" t="n">
        <f aca="false">тарифик!J802</f>
        <v>713.96697902722</v>
      </c>
      <c r="E801" s="472"/>
      <c r="F801" s="473" t="n">
        <f aca="false">D801*0.9*0.095+D801*3%</f>
        <v>82.4631860776439</v>
      </c>
      <c r="G801" s="472" t="n">
        <f aca="false">амортизация!M2861</f>
        <v>44.2045961624275</v>
      </c>
      <c r="H801" s="473" t="e">
        <f aca="false">C801+D801+F801+G801</f>
        <v>#NAME?</v>
      </c>
      <c r="I801" s="462" t="n">
        <f aca="false">I$190</f>
        <v>0.240474587202079</v>
      </c>
      <c r="J801" s="473" t="n">
        <f aca="false">D801*I801</f>
        <v>171.690914557486</v>
      </c>
      <c r="K801" s="473" t="e">
        <f aca="false">H801+J801</f>
        <v>#NAME?</v>
      </c>
      <c r="L801" s="462" t="n">
        <v>0.2</v>
      </c>
      <c r="M801" s="473" t="e">
        <f aca="false">K801*L801</f>
        <v>#NAME?</v>
      </c>
      <c r="N801" s="473" t="e">
        <f aca="false">K801+M801</f>
        <v>#NAME?</v>
      </c>
      <c r="O801" s="473" t="e">
        <f aca="false">M801</f>
        <v>#NAME?</v>
      </c>
    </row>
    <row r="802" s="461" customFormat="true" ht="15" hidden="false" customHeight="false" outlineLevel="0" collapsed="false">
      <c r="A802" s="327" t="s">
        <v>1345</v>
      </c>
      <c r="B802" s="328" t="s">
        <v>3431</v>
      </c>
      <c r="C802" s="472" t="e">
        <f aca="false">мат.затр!g7509</f>
        <v>#NAME?</v>
      </c>
      <c r="D802" s="472" t="n">
        <f aca="false">тарифик!J803</f>
        <v>83.6680053547523</v>
      </c>
      <c r="E802" s="472"/>
      <c r="F802" s="473" t="n">
        <f aca="false">D802*0.9*0.095+D802*3%</f>
        <v>9.6636546184739</v>
      </c>
      <c r="G802" s="472" t="n">
        <f aca="false">амортизация!M2862</f>
        <v>55.7786702365016</v>
      </c>
      <c r="H802" s="473" t="e">
        <f aca="false">C802+D802+F802+G802</f>
        <v>#NAME?</v>
      </c>
      <c r="I802" s="462" t="n">
        <f aca="false">I$190</f>
        <v>0.240474587202079</v>
      </c>
      <c r="J802" s="473" t="n">
        <f aca="false">D802*I802</f>
        <v>20.1200290497054</v>
      </c>
      <c r="K802" s="473" t="e">
        <f aca="false">H802+J802</f>
        <v>#NAME?</v>
      </c>
      <c r="L802" s="462" t="n">
        <v>0.2</v>
      </c>
      <c r="M802" s="473" t="e">
        <f aca="false">K802*L802</f>
        <v>#NAME?</v>
      </c>
      <c r="N802" s="473" t="e">
        <f aca="false">K802+M802</f>
        <v>#NAME?</v>
      </c>
      <c r="O802" s="473" t="e">
        <f aca="false">M802</f>
        <v>#NAME?</v>
      </c>
    </row>
    <row r="803" s="461" customFormat="true" ht="15" hidden="false" customHeight="false" outlineLevel="0" collapsed="false">
      <c r="A803" s="327" t="s">
        <v>1346</v>
      </c>
      <c r="B803" s="328" t="s">
        <v>3199</v>
      </c>
      <c r="C803" s="472" t="e">
        <f aca="false">мат.затр!g7514</f>
        <v>#NAME?</v>
      </c>
      <c r="D803" s="472" t="n">
        <f aca="false">тарифик!J804</f>
        <v>223.114680946006</v>
      </c>
      <c r="E803" s="472"/>
      <c r="F803" s="473" t="n">
        <f aca="false">D803*0.9*0.095+D803*3%</f>
        <v>25.7697456492637</v>
      </c>
      <c r="G803" s="472" t="n">
        <f aca="false">амортизация!M2863</f>
        <v>55.7786702365016</v>
      </c>
      <c r="H803" s="473" t="e">
        <f aca="false">C803+D803+F803+G803</f>
        <v>#NAME?</v>
      </c>
      <c r="I803" s="462" t="n">
        <f aca="false">I$190</f>
        <v>0.240474587202079</v>
      </c>
      <c r="J803" s="473" t="n">
        <f aca="false">D803*I803</f>
        <v>53.6534107992144</v>
      </c>
      <c r="K803" s="473" t="e">
        <f aca="false">H803+J803</f>
        <v>#NAME?</v>
      </c>
      <c r="L803" s="462" t="n">
        <v>0.2</v>
      </c>
      <c r="M803" s="473" t="e">
        <f aca="false">K803*L803</f>
        <v>#NAME?</v>
      </c>
      <c r="N803" s="473" t="e">
        <f aca="false">K803+M803</f>
        <v>#NAME?</v>
      </c>
      <c r="O803" s="473" t="e">
        <f aca="false">M803</f>
        <v>#NAME?</v>
      </c>
    </row>
    <row r="804" s="461" customFormat="true" ht="15" hidden="false" customHeight="false" outlineLevel="0" collapsed="false">
      <c r="A804" s="327" t="s">
        <v>1347</v>
      </c>
      <c r="B804" s="328" t="s">
        <v>3432</v>
      </c>
      <c r="C804" s="472" t="e">
        <f aca="false">мат.затр!g7522</f>
        <v>#NAME?</v>
      </c>
      <c r="D804" s="472" t="n">
        <f aca="false">тарифик!J805</f>
        <v>55.7786702365016</v>
      </c>
      <c r="E804" s="472"/>
      <c r="F804" s="473" t="n">
        <f aca="false">D804*0.9*0.095+D804*3%</f>
        <v>6.44243641231593</v>
      </c>
      <c r="G804" s="472" t="n">
        <f aca="false">амортизация!M2864</f>
        <v>55.7786702365016</v>
      </c>
      <c r="H804" s="473" t="e">
        <f aca="false">C804+D804+F804+G804</f>
        <v>#NAME?</v>
      </c>
      <c r="I804" s="462" t="n">
        <f aca="false">I$190</f>
        <v>0.240474587202079</v>
      </c>
      <c r="J804" s="473" t="n">
        <f aca="false">D804*I804</f>
        <v>13.4133526998036</v>
      </c>
      <c r="K804" s="473" t="e">
        <f aca="false">H804+J804</f>
        <v>#NAME?</v>
      </c>
      <c r="L804" s="462" t="n">
        <v>0.2</v>
      </c>
      <c r="M804" s="473" t="e">
        <f aca="false">K804*L804</f>
        <v>#NAME?</v>
      </c>
      <c r="N804" s="473" t="e">
        <f aca="false">K804+M804</f>
        <v>#NAME?</v>
      </c>
      <c r="O804" s="473" t="e">
        <f aca="false">M804</f>
        <v>#NAME?</v>
      </c>
    </row>
    <row r="805" s="461" customFormat="true" ht="15" hidden="false" customHeight="false" outlineLevel="0" collapsed="false">
      <c r="A805" s="327" t="s">
        <v>1349</v>
      </c>
      <c r="B805" s="328" t="s">
        <v>3433</v>
      </c>
      <c r="C805" s="472" t="e">
        <f aca="false">мат.затр!g7528</f>
        <v>#NAME?</v>
      </c>
      <c r="D805" s="472" t="n">
        <f aca="false">тарифик!J806</f>
        <v>602.409638554217</v>
      </c>
      <c r="E805" s="472"/>
      <c r="F805" s="473" t="n">
        <f aca="false">D805*0.9*0.095+D805*3%</f>
        <v>69.578313253012</v>
      </c>
      <c r="G805" s="472" t="n">
        <f aca="false">амортизация!M2865</f>
        <v>55.7786702365016</v>
      </c>
      <c r="H805" s="473" t="e">
        <f aca="false">C805+D805+F805+G805</f>
        <v>#NAME?</v>
      </c>
      <c r="I805" s="462" t="n">
        <f aca="false">I$190</f>
        <v>0.240474587202079</v>
      </c>
      <c r="J805" s="473" t="n">
        <f aca="false">D805*I805</f>
        <v>144.864209157879</v>
      </c>
      <c r="K805" s="473" t="e">
        <f aca="false">H805+J805</f>
        <v>#NAME?</v>
      </c>
      <c r="L805" s="462" t="n">
        <v>0.2</v>
      </c>
      <c r="M805" s="473" t="e">
        <f aca="false">K805*L805</f>
        <v>#NAME?</v>
      </c>
      <c r="N805" s="473" t="e">
        <f aca="false">K805+M805</f>
        <v>#NAME?</v>
      </c>
      <c r="O805" s="473" t="e">
        <f aca="false">M805</f>
        <v>#NAME?</v>
      </c>
    </row>
    <row r="806" s="461" customFormat="true" ht="15" hidden="false" customHeight="false" outlineLevel="0" collapsed="false">
      <c r="A806" s="327" t="s">
        <v>1350</v>
      </c>
      <c r="B806" s="328" t="s">
        <v>3434</v>
      </c>
      <c r="C806" s="472" t="e">
        <f aca="false">мат.затр!g7534</f>
        <v>#NAME?</v>
      </c>
      <c r="D806" s="472" t="n">
        <f aca="false">тарифик!J807</f>
        <v>156.180276662204</v>
      </c>
      <c r="E806" s="472"/>
      <c r="F806" s="473" t="n">
        <f aca="false">D806*0.9*0.095+D806*3%</f>
        <v>18.0388219544846</v>
      </c>
      <c r="G806" s="472" t="n">
        <f aca="false">амортизация!M2866</f>
        <v>55.7786702365016</v>
      </c>
      <c r="H806" s="473" t="e">
        <f aca="false">C806+D806+F806+G806</f>
        <v>#NAME?</v>
      </c>
      <c r="I806" s="462" t="n">
        <f aca="false">I$190</f>
        <v>0.240474587202079</v>
      </c>
      <c r="J806" s="473" t="n">
        <f aca="false">D806*I806</f>
        <v>37.5573875594501</v>
      </c>
      <c r="K806" s="473" t="e">
        <f aca="false">H806+J806</f>
        <v>#NAME?</v>
      </c>
      <c r="L806" s="462" t="n">
        <v>0.2</v>
      </c>
      <c r="M806" s="473" t="e">
        <f aca="false">K806*L806</f>
        <v>#NAME?</v>
      </c>
      <c r="N806" s="473" t="e">
        <f aca="false">K806+M806</f>
        <v>#NAME?</v>
      </c>
      <c r="O806" s="473" t="e">
        <f aca="false">M806</f>
        <v>#NAME?</v>
      </c>
    </row>
    <row r="807" s="461" customFormat="true" ht="15" hidden="false" customHeight="false" outlineLevel="0" collapsed="false">
      <c r="A807" s="327" t="s">
        <v>1351</v>
      </c>
      <c r="B807" s="328" t="s">
        <v>3435</v>
      </c>
      <c r="C807" s="472" t="e">
        <f aca="false">мат.затр!g7540</f>
        <v>#NAME?</v>
      </c>
      <c r="D807" s="472" t="n">
        <f aca="false">тарифик!J808</f>
        <v>200.803212851406</v>
      </c>
      <c r="E807" s="472"/>
      <c r="F807" s="473" t="n">
        <f aca="false">D807*0.9*0.095+D807*3%</f>
        <v>23.1927710843373</v>
      </c>
      <c r="G807" s="472" t="n">
        <f aca="false">амортизация!M2867</f>
        <v>55.7786702365016</v>
      </c>
      <c r="H807" s="473" t="e">
        <f aca="false">C807+D807+F807+G807</f>
        <v>#NAME?</v>
      </c>
      <c r="I807" s="462" t="n">
        <f aca="false">I$190</f>
        <v>0.240474587202079</v>
      </c>
      <c r="J807" s="473" t="n">
        <f aca="false">D807*I807</f>
        <v>48.288069719293</v>
      </c>
      <c r="K807" s="473" t="e">
        <f aca="false">H807+J807</f>
        <v>#NAME?</v>
      </c>
      <c r="L807" s="462" t="n">
        <v>0.2</v>
      </c>
      <c r="M807" s="473" t="e">
        <f aca="false">K807*L807</f>
        <v>#NAME?</v>
      </c>
      <c r="N807" s="473" t="e">
        <f aca="false">K807+M807</f>
        <v>#NAME?</v>
      </c>
      <c r="O807" s="473" t="e">
        <f aca="false">M807</f>
        <v>#NAME?</v>
      </c>
    </row>
    <row r="808" s="461" customFormat="true" ht="15" hidden="false" customHeight="false" outlineLevel="0" collapsed="false">
      <c r="A808" s="327" t="s">
        <v>1353</v>
      </c>
      <c r="B808" s="328" t="s">
        <v>2913</v>
      </c>
      <c r="C808" s="472" t="e">
        <f aca="false">мат.затр!g7544</f>
        <v>#NAME?</v>
      </c>
      <c r="D808" s="472" t="n">
        <f aca="false">тарифик!J809</f>
        <v>111.557340473003</v>
      </c>
      <c r="E808" s="472"/>
      <c r="F808" s="473" t="n">
        <f aca="false">D808*0.9*0.095+D808*3%</f>
        <v>12.8848728246319</v>
      </c>
      <c r="G808" s="472" t="n">
        <f aca="false">амортизация!M2868</f>
        <v>55.7786702365016</v>
      </c>
      <c r="H808" s="473" t="e">
        <f aca="false">C808+D808+F808+G808</f>
        <v>#NAME?</v>
      </c>
      <c r="I808" s="462" t="n">
        <f aca="false">I$190</f>
        <v>0.240474587202079</v>
      </c>
      <c r="J808" s="473" t="n">
        <f aca="false">D808*I808</f>
        <v>26.8267053996072</v>
      </c>
      <c r="K808" s="473" t="e">
        <f aca="false">H808+J808</f>
        <v>#NAME?</v>
      </c>
      <c r="L808" s="462" t="n">
        <v>0.2</v>
      </c>
      <c r="M808" s="473" t="e">
        <f aca="false">K808*L808</f>
        <v>#NAME?</v>
      </c>
      <c r="N808" s="473" t="e">
        <f aca="false">K808+M808</f>
        <v>#NAME?</v>
      </c>
      <c r="O808" s="473" t="e">
        <f aca="false">M808</f>
        <v>#NAME?</v>
      </c>
    </row>
    <row r="809" s="461" customFormat="true" ht="15" hidden="false" customHeight="false" outlineLevel="0" collapsed="false">
      <c r="A809" s="327" t="s">
        <v>1354</v>
      </c>
      <c r="B809" s="500" t="s">
        <v>3104</v>
      </c>
      <c r="C809" s="472" t="e">
        <f aca="false">мат.затр!g7551</f>
        <v>#NAME?</v>
      </c>
      <c r="D809" s="472" t="n">
        <f aca="false">тарифик!J810</f>
        <v>669.344042838019</v>
      </c>
      <c r="E809" s="472"/>
      <c r="F809" s="473" t="n">
        <f aca="false">D809*0.9*0.095+D809*3%</f>
        <v>77.3092369477912</v>
      </c>
      <c r="G809" s="472" t="n">
        <f aca="false">амортизация!M2869</f>
        <v>55.7786702365016</v>
      </c>
      <c r="H809" s="473" t="e">
        <f aca="false">C809+D809+F809+G809</f>
        <v>#NAME?</v>
      </c>
      <c r="I809" s="462" t="n">
        <f aca="false">I$190</f>
        <v>0.240474587202079</v>
      </c>
      <c r="J809" s="473" t="n">
        <f aca="false">D809*I809</f>
        <v>160.960232397643</v>
      </c>
      <c r="K809" s="473" t="e">
        <f aca="false">H809+J809</f>
        <v>#NAME?</v>
      </c>
      <c r="L809" s="462" t="n">
        <v>0.2</v>
      </c>
      <c r="M809" s="473" t="e">
        <f aca="false">K809*L809</f>
        <v>#NAME?</v>
      </c>
      <c r="N809" s="473" t="e">
        <f aca="false">K809+M809</f>
        <v>#NAME?</v>
      </c>
      <c r="O809" s="473" t="e">
        <f aca="false">M809</f>
        <v>#NAME?</v>
      </c>
    </row>
    <row r="810" s="461" customFormat="true" ht="15" hidden="false" customHeight="false" outlineLevel="0" collapsed="false">
      <c r="A810" s="327" t="s">
        <v>1355</v>
      </c>
      <c r="B810" s="328" t="s">
        <v>3436</v>
      </c>
      <c r="C810" s="472" t="e">
        <f aca="false">мат.затр!g7557</f>
        <v>#NAME?</v>
      </c>
      <c r="D810" s="472" t="n">
        <f aca="false">тарифик!J811</f>
        <v>490.852298081214</v>
      </c>
      <c r="E810" s="472"/>
      <c r="F810" s="473" t="n">
        <f aca="false">D810*0.9*0.095+D810*3%</f>
        <v>56.6934404283802</v>
      </c>
      <c r="G810" s="472" t="n">
        <f aca="false">амортизация!M2870</f>
        <v>156.420124944221</v>
      </c>
      <c r="H810" s="473" t="e">
        <f aca="false">C810+D810+F810+G810</f>
        <v>#NAME?</v>
      </c>
      <c r="I810" s="462" t="n">
        <f aca="false">I$190</f>
        <v>0.240474587202079</v>
      </c>
      <c r="J810" s="473" t="n">
        <f aca="false">D810*I810</f>
        <v>118.037503758272</v>
      </c>
      <c r="K810" s="473" t="e">
        <f aca="false">H810+J810</f>
        <v>#NAME?</v>
      </c>
      <c r="L810" s="462" t="n">
        <v>0.2</v>
      </c>
      <c r="M810" s="473" t="e">
        <f aca="false">K810*L810</f>
        <v>#NAME?</v>
      </c>
      <c r="N810" s="473" t="e">
        <f aca="false">K810+M810</f>
        <v>#NAME?</v>
      </c>
      <c r="O810" s="473" t="e">
        <f aca="false">M810</f>
        <v>#NAME?</v>
      </c>
    </row>
    <row r="811" s="461" customFormat="true" ht="15" hidden="false" customHeight="false" outlineLevel="0" collapsed="false">
      <c r="A811" s="327" t="s">
        <v>1356</v>
      </c>
      <c r="B811" s="328" t="s">
        <v>3437</v>
      </c>
      <c r="C811" s="472" t="e">
        <f aca="false">мат.затр!g7563</f>
        <v>#NAME?</v>
      </c>
      <c r="D811" s="472" t="n">
        <f aca="false">тарифик!J812</f>
        <v>490.852298081214</v>
      </c>
      <c r="E811" s="472"/>
      <c r="F811" s="473" t="n">
        <f aca="false">D811*0.9*0.095+D811*3%</f>
        <v>56.6934404283802</v>
      </c>
      <c r="G811" s="472" t="n">
        <f aca="false">амортизация!M2871</f>
        <v>156.420124944221</v>
      </c>
      <c r="H811" s="473" t="e">
        <f aca="false">C811+D811+F811+G811</f>
        <v>#NAME?</v>
      </c>
      <c r="I811" s="462" t="n">
        <f aca="false">I$190</f>
        <v>0.240474587202079</v>
      </c>
      <c r="J811" s="473" t="n">
        <f aca="false">D811*I811</f>
        <v>118.037503758272</v>
      </c>
      <c r="K811" s="473" t="e">
        <f aca="false">H811+J811</f>
        <v>#NAME?</v>
      </c>
      <c r="L811" s="462" t="n">
        <v>0.2</v>
      </c>
      <c r="M811" s="473" t="e">
        <f aca="false">K811*L811</f>
        <v>#NAME?</v>
      </c>
      <c r="N811" s="473" t="e">
        <f aca="false">K811+M811</f>
        <v>#NAME?</v>
      </c>
      <c r="O811" s="473" t="e">
        <f aca="false">M811</f>
        <v>#NAME?</v>
      </c>
    </row>
    <row r="812" s="461" customFormat="true" ht="15" hidden="false" customHeight="false" outlineLevel="0" collapsed="false">
      <c r="A812" s="327" t="s">
        <v>1357</v>
      </c>
      <c r="B812" s="328" t="s">
        <v>3438</v>
      </c>
      <c r="C812" s="472" t="e">
        <f aca="false">мат.затр!g7569</f>
        <v>#NAME?</v>
      </c>
      <c r="D812" s="472" t="n">
        <f aca="false">тарифик!J813</f>
        <v>234.270414993307</v>
      </c>
      <c r="E812" s="472"/>
      <c r="F812" s="473" t="n">
        <f aca="false">D812*0.9*0.095+D812*3%</f>
        <v>27.0582329317269</v>
      </c>
      <c r="G812" s="472" t="n">
        <f aca="false">амортизация!M2872</f>
        <v>156.420124944221</v>
      </c>
      <c r="H812" s="473" t="e">
        <f aca="false">C812+D812+F812+G812</f>
        <v>#NAME?</v>
      </c>
      <c r="I812" s="462" t="n">
        <f aca="false">I$190</f>
        <v>0.240474587202079</v>
      </c>
      <c r="J812" s="473" t="n">
        <f aca="false">D812*I812</f>
        <v>56.3360813391751</v>
      </c>
      <c r="K812" s="473" t="e">
        <f aca="false">H812+J812</f>
        <v>#NAME?</v>
      </c>
      <c r="L812" s="462" t="n">
        <v>0.2</v>
      </c>
      <c r="M812" s="473" t="e">
        <f aca="false">K812*L812</f>
        <v>#NAME?</v>
      </c>
      <c r="N812" s="473" t="e">
        <f aca="false">K812+M812</f>
        <v>#NAME?</v>
      </c>
      <c r="O812" s="473" t="e">
        <f aca="false">M812</f>
        <v>#NAME?</v>
      </c>
    </row>
    <row r="813" s="461" customFormat="true" ht="15" hidden="false" customHeight="false" outlineLevel="0" collapsed="false">
      <c r="A813" s="327" t="s">
        <v>1359</v>
      </c>
      <c r="B813" s="328" t="s">
        <v>3439</v>
      </c>
      <c r="C813" s="472" t="e">
        <f aca="false">мат.затр!g7575</f>
        <v>#NAME?</v>
      </c>
      <c r="D813" s="472" t="n">
        <f aca="false">тарифик!J814</f>
        <v>356.98348951361</v>
      </c>
      <c r="E813" s="472"/>
      <c r="F813" s="473" t="n">
        <f aca="false">D813*0.9*0.095+D813*3%</f>
        <v>41.231593038822</v>
      </c>
      <c r="G813" s="472" t="n">
        <f aca="false">амортизация!M2873</f>
        <v>156.420124944221</v>
      </c>
      <c r="H813" s="473" t="e">
        <f aca="false">C813+D813+F813+G813</f>
        <v>#NAME?</v>
      </c>
      <c r="I813" s="462" t="n">
        <f aca="false">I$190</f>
        <v>0.240474587202079</v>
      </c>
      <c r="J813" s="473" t="n">
        <f aca="false">D813*I813</f>
        <v>85.845457278743</v>
      </c>
      <c r="K813" s="473" t="e">
        <f aca="false">H813+J813</f>
        <v>#NAME?</v>
      </c>
      <c r="L813" s="462" t="n">
        <v>0.2</v>
      </c>
      <c r="M813" s="473" t="e">
        <f aca="false">K813*L813</f>
        <v>#NAME?</v>
      </c>
      <c r="N813" s="473" t="e">
        <f aca="false">K813+M813</f>
        <v>#NAME?</v>
      </c>
      <c r="O813" s="473" t="e">
        <f aca="false">M813</f>
        <v>#NAME?</v>
      </c>
    </row>
    <row r="814" s="461" customFormat="true" ht="15" hidden="false" customHeight="false" outlineLevel="0" collapsed="false">
      <c r="A814" s="327" t="s">
        <v>1361</v>
      </c>
      <c r="B814" s="328" t="s">
        <v>3440</v>
      </c>
      <c r="C814" s="472" t="e">
        <f aca="false">мат.затр!g7581</f>
        <v>#NAME?</v>
      </c>
      <c r="D814" s="472" t="n">
        <f aca="false">тарифик!J815</f>
        <v>624.721106648818</v>
      </c>
      <c r="E814" s="472"/>
      <c r="F814" s="473" t="n">
        <f aca="false">D814*0.9*0.095+D814*3%</f>
        <v>72.1552878179384</v>
      </c>
      <c r="G814" s="472" t="n">
        <f aca="false">амортизация!M2874</f>
        <v>156.420124944221</v>
      </c>
      <c r="H814" s="473" t="e">
        <f aca="false">C814+D814+F814+G814</f>
        <v>#NAME?</v>
      </c>
      <c r="I814" s="462" t="n">
        <f aca="false">I$190</f>
        <v>0.240474587202079</v>
      </c>
      <c r="J814" s="473" t="n">
        <f aca="false">D814*I814</f>
        <v>150.2295502378</v>
      </c>
      <c r="K814" s="473" t="e">
        <f aca="false">H814+J814</f>
        <v>#NAME?</v>
      </c>
      <c r="L814" s="462" t="n">
        <v>0.2</v>
      </c>
      <c r="M814" s="473" t="e">
        <f aca="false">K814*L814</f>
        <v>#NAME?</v>
      </c>
      <c r="N814" s="473" t="e">
        <f aca="false">K814+M814</f>
        <v>#NAME?</v>
      </c>
      <c r="O814" s="473" t="e">
        <f aca="false">M814</f>
        <v>#NAME?</v>
      </c>
    </row>
    <row r="815" s="461" customFormat="true" ht="15" hidden="false" customHeight="false" outlineLevel="0" collapsed="false">
      <c r="A815" s="327" t="s">
        <v>1363</v>
      </c>
      <c r="B815" s="328" t="s">
        <v>3441</v>
      </c>
      <c r="C815" s="472" t="e">
        <f aca="false">мат.затр!g7587</f>
        <v>#NAME?</v>
      </c>
      <c r="D815" s="472" t="n">
        <f aca="false">тарифик!J816</f>
        <v>401.606425702811</v>
      </c>
      <c r="E815" s="472"/>
      <c r="F815" s="473" t="n">
        <f aca="false">D815*0.9*0.095+D815*3%</f>
        <v>46.3855421686747</v>
      </c>
      <c r="G815" s="472" t="n">
        <f aca="false">амортизация!M2875</f>
        <v>156.420124944221</v>
      </c>
      <c r="H815" s="473" t="e">
        <f aca="false">C815+D815+F815+G815</f>
        <v>#NAME?</v>
      </c>
      <c r="I815" s="462" t="n">
        <f aca="false">I$190</f>
        <v>0.240474587202079</v>
      </c>
      <c r="J815" s="473" t="n">
        <f aca="false">D815*I815</f>
        <v>96.5761394385859</v>
      </c>
      <c r="K815" s="473" t="e">
        <f aca="false">H815+J815</f>
        <v>#NAME?</v>
      </c>
      <c r="L815" s="462" t="n">
        <v>0.2</v>
      </c>
      <c r="M815" s="473" t="e">
        <f aca="false">K815*L815</f>
        <v>#NAME?</v>
      </c>
      <c r="N815" s="473" t="e">
        <f aca="false">K815+M815</f>
        <v>#NAME?</v>
      </c>
      <c r="O815" s="473" t="e">
        <f aca="false">M815</f>
        <v>#NAME?</v>
      </c>
    </row>
    <row r="816" s="461" customFormat="true" ht="15" hidden="false" customHeight="false" outlineLevel="0" collapsed="false">
      <c r="A816" s="327" t="s">
        <v>1365</v>
      </c>
      <c r="B816" s="328" t="s">
        <v>3442</v>
      </c>
      <c r="C816" s="472" t="e">
        <f aca="false">мат.затр!g7592</f>
        <v>#NAME?</v>
      </c>
      <c r="D816" s="472" t="n">
        <f aca="false">тарифик!J817</f>
        <v>234.270414993307</v>
      </c>
      <c r="E816" s="472"/>
      <c r="F816" s="473" t="n">
        <f aca="false">D816*0.9*0.095+D816*3%</f>
        <v>27.0582329317269</v>
      </c>
      <c r="G816" s="472" t="n">
        <f aca="false">амортизация!M2876</f>
        <v>156.420124944221</v>
      </c>
      <c r="H816" s="473" t="e">
        <f aca="false">C816+D816+F816+G816</f>
        <v>#NAME?</v>
      </c>
      <c r="I816" s="462" t="n">
        <f aca="false">I$190</f>
        <v>0.240474587202079</v>
      </c>
      <c r="J816" s="473" t="n">
        <f aca="false">D816*I816</f>
        <v>56.3360813391751</v>
      </c>
      <c r="K816" s="473" t="e">
        <f aca="false">H816+J816</f>
        <v>#NAME?</v>
      </c>
      <c r="L816" s="462" t="n">
        <v>0.2</v>
      </c>
      <c r="M816" s="473" t="e">
        <f aca="false">K816*L816</f>
        <v>#NAME?</v>
      </c>
      <c r="N816" s="473" t="e">
        <f aca="false">K816+M816</f>
        <v>#NAME?</v>
      </c>
      <c r="O816" s="473" t="e">
        <f aca="false">M816</f>
        <v>#NAME?</v>
      </c>
    </row>
    <row r="817" s="461" customFormat="true" ht="15" hidden="false" customHeight="false" outlineLevel="0" collapsed="false">
      <c r="A817" s="327" t="s">
        <v>1367</v>
      </c>
      <c r="B817" s="328" t="s">
        <v>3443</v>
      </c>
      <c r="C817" s="472" t="e">
        <f aca="false">мат.затр!g7597</f>
        <v>#NAME?</v>
      </c>
      <c r="D817" s="472" t="n">
        <f aca="false">тарифик!J818</f>
        <v>312.360553324409</v>
      </c>
      <c r="E817" s="472"/>
      <c r="F817" s="473" t="n">
        <f aca="false">D817*0.9*0.095+D817*3%</f>
        <v>36.0776439089692</v>
      </c>
      <c r="G817" s="472" t="n">
        <f aca="false">амортизация!M2877</f>
        <v>156.420124944221</v>
      </c>
      <c r="H817" s="473" t="e">
        <f aca="false">C817+D817+F817+G817</f>
        <v>#NAME?</v>
      </c>
      <c r="I817" s="462" t="n">
        <f aca="false">I$190</f>
        <v>0.240474587202079</v>
      </c>
      <c r="J817" s="473" t="n">
        <f aca="false">D817*I817</f>
        <v>75.1147751189002</v>
      </c>
      <c r="K817" s="473" t="e">
        <f aca="false">H817+J817</f>
        <v>#NAME?</v>
      </c>
      <c r="L817" s="462" t="n">
        <v>0.2</v>
      </c>
      <c r="M817" s="473" t="e">
        <f aca="false">K817*L817</f>
        <v>#NAME?</v>
      </c>
      <c r="N817" s="473" t="e">
        <f aca="false">K817+M817</f>
        <v>#NAME?</v>
      </c>
      <c r="O817" s="473" t="e">
        <f aca="false">M817</f>
        <v>#NAME?</v>
      </c>
    </row>
    <row r="818" s="461" customFormat="true" ht="15" hidden="false" customHeight="false" outlineLevel="0" collapsed="false">
      <c r="A818" s="327" t="s">
        <v>1369</v>
      </c>
      <c r="B818" s="328" t="s">
        <v>3444</v>
      </c>
      <c r="C818" s="472" t="e">
        <f aca="false">мат.затр!g7607</f>
        <v>#NAME?</v>
      </c>
      <c r="D818" s="472" t="n">
        <f aca="false">тарифик!J819</f>
        <v>267.737617135208</v>
      </c>
      <c r="E818" s="472"/>
      <c r="F818" s="473" t="n">
        <f aca="false">D818*0.9*0.095+D818*3%</f>
        <v>30.9236947791165</v>
      </c>
      <c r="G818" s="472" t="n">
        <f aca="false">амортизация!M2878</f>
        <v>156.420124944221</v>
      </c>
      <c r="H818" s="473" t="e">
        <f aca="false">C818+D818+F818+G818</f>
        <v>#NAME?</v>
      </c>
      <c r="I818" s="462" t="n">
        <f aca="false">I$190</f>
        <v>0.240474587202079</v>
      </c>
      <c r="J818" s="473" t="n">
        <f aca="false">D818*I818</f>
        <v>64.3840929590573</v>
      </c>
      <c r="K818" s="473" t="e">
        <f aca="false">H818+J818</f>
        <v>#NAME?</v>
      </c>
      <c r="L818" s="462" t="n">
        <v>0.2</v>
      </c>
      <c r="M818" s="473" t="e">
        <f aca="false">K818*L818</f>
        <v>#NAME?</v>
      </c>
      <c r="N818" s="473" t="e">
        <f aca="false">K818+M818</f>
        <v>#NAME?</v>
      </c>
      <c r="O818" s="473" t="e">
        <f aca="false">M818</f>
        <v>#NAME?</v>
      </c>
    </row>
    <row r="819" s="461" customFormat="true" ht="15" hidden="false" customHeight="false" outlineLevel="0" collapsed="false">
      <c r="A819" s="327" t="s">
        <v>1371</v>
      </c>
      <c r="B819" s="328" t="s">
        <v>3445</v>
      </c>
      <c r="C819" s="472" t="e">
        <f aca="false">мат.затр!g7613</f>
        <v>#NAME?</v>
      </c>
      <c r="D819" s="472" t="n">
        <f aca="false">тарифик!J820</f>
        <v>223.114680946006</v>
      </c>
      <c r="E819" s="472"/>
      <c r="F819" s="473" t="n">
        <f aca="false">D819*0.9*0.095+D819*3%</f>
        <v>25.7697456492637</v>
      </c>
      <c r="G819" s="472" t="n">
        <f aca="false">амортизация!M2879</f>
        <v>156.420124944221</v>
      </c>
      <c r="H819" s="473" t="e">
        <f aca="false">C819+D819+F819+G819</f>
        <v>#NAME?</v>
      </c>
      <c r="I819" s="462" t="n">
        <f aca="false">I$190</f>
        <v>0.240474587202079</v>
      </c>
      <c r="J819" s="473" t="n">
        <f aca="false">D819*I819</f>
        <v>53.6534107992144</v>
      </c>
      <c r="K819" s="473" t="e">
        <f aca="false">H819+J819</f>
        <v>#NAME?</v>
      </c>
      <c r="L819" s="462" t="n">
        <v>0.2</v>
      </c>
      <c r="M819" s="473" t="e">
        <f aca="false">K819*L819</f>
        <v>#NAME?</v>
      </c>
      <c r="N819" s="473" t="e">
        <f aca="false">K819+M819</f>
        <v>#NAME?</v>
      </c>
      <c r="O819" s="473" t="e">
        <f aca="false">M819</f>
        <v>#NAME?</v>
      </c>
    </row>
    <row r="820" s="461" customFormat="true" ht="15" hidden="false" customHeight="false" outlineLevel="0" collapsed="false">
      <c r="A820" s="327" t="s">
        <v>1373</v>
      </c>
      <c r="B820" s="328" t="s">
        <v>3446</v>
      </c>
      <c r="C820" s="472" t="e">
        <f aca="false">мат.затр!g7619</f>
        <v>#NAME?</v>
      </c>
      <c r="D820" s="472" t="n">
        <f aca="false">тарифик!J821</f>
        <v>267.737617135208</v>
      </c>
      <c r="E820" s="472"/>
      <c r="F820" s="473" t="n">
        <f aca="false">D820*0.9*0.095+D820*3%</f>
        <v>30.9236947791165</v>
      </c>
      <c r="G820" s="472" t="n">
        <f aca="false">амортизация!M2880</f>
        <v>156.420124944221</v>
      </c>
      <c r="H820" s="473" t="e">
        <f aca="false">C820+D820+F820+G820</f>
        <v>#NAME?</v>
      </c>
      <c r="I820" s="462" t="n">
        <f aca="false">I$190</f>
        <v>0.240474587202079</v>
      </c>
      <c r="J820" s="473" t="n">
        <f aca="false">D820*I820</f>
        <v>64.3840929590573</v>
      </c>
      <c r="K820" s="473" t="e">
        <f aca="false">H820+J820</f>
        <v>#NAME?</v>
      </c>
      <c r="L820" s="462" t="n">
        <v>0.2</v>
      </c>
      <c r="M820" s="473" t="e">
        <f aca="false">K820*L820</f>
        <v>#NAME?</v>
      </c>
      <c r="N820" s="473" t="e">
        <f aca="false">K820+M820</f>
        <v>#NAME?</v>
      </c>
      <c r="O820" s="473" t="e">
        <f aca="false">M820</f>
        <v>#NAME?</v>
      </c>
    </row>
    <row r="821" s="461" customFormat="true" ht="15" hidden="false" customHeight="false" outlineLevel="0" collapsed="false">
      <c r="A821" s="327" t="s">
        <v>1375</v>
      </c>
      <c r="B821" s="328" t="s">
        <v>3447</v>
      </c>
      <c r="C821" s="472" t="e">
        <f aca="false">мат.затр!g7625</f>
        <v>#NAME?</v>
      </c>
      <c r="D821" s="472" t="n">
        <f aca="false">тарифик!J822</f>
        <v>267.737617135208</v>
      </c>
      <c r="E821" s="472"/>
      <c r="F821" s="473" t="n">
        <f aca="false">D821*0.9*0.095+D821*3%</f>
        <v>30.9236947791165</v>
      </c>
      <c r="G821" s="472" t="n">
        <f aca="false">амортизация!M2881</f>
        <v>156.420124944221</v>
      </c>
      <c r="H821" s="473" t="e">
        <f aca="false">C821+D821+F821+G821</f>
        <v>#NAME?</v>
      </c>
      <c r="I821" s="462" t="n">
        <f aca="false">I$190</f>
        <v>0.240474587202079</v>
      </c>
      <c r="J821" s="473" t="n">
        <f aca="false">D821*I821</f>
        <v>64.3840929590573</v>
      </c>
      <c r="K821" s="473" t="e">
        <f aca="false">H821+J821</f>
        <v>#NAME?</v>
      </c>
      <c r="L821" s="462" t="n">
        <v>0.2</v>
      </c>
      <c r="M821" s="473" t="e">
        <f aca="false">K821*L821</f>
        <v>#NAME?</v>
      </c>
      <c r="N821" s="473" t="e">
        <f aca="false">K821+M821</f>
        <v>#NAME?</v>
      </c>
      <c r="O821" s="473" t="e">
        <f aca="false">M821</f>
        <v>#NAME?</v>
      </c>
    </row>
    <row r="822" s="461" customFormat="true" ht="15" hidden="false" customHeight="false" outlineLevel="0" collapsed="false">
      <c r="A822" s="327" t="s">
        <v>1377</v>
      </c>
      <c r="B822" s="500" t="s">
        <v>3448</v>
      </c>
      <c r="C822" s="472" t="e">
        <f aca="false">мат.затр!g7631</f>
        <v>#NAME?</v>
      </c>
      <c r="D822" s="472" t="n">
        <f aca="false">тарифик!J823</f>
        <v>267.737617135208</v>
      </c>
      <c r="E822" s="472"/>
      <c r="F822" s="473" t="n">
        <f aca="false">D822*0.9*0.095+D822*3%</f>
        <v>30.9236947791165</v>
      </c>
      <c r="G822" s="472" t="n">
        <f aca="false">амортизация!M2882</f>
        <v>156.420124944221</v>
      </c>
      <c r="H822" s="473" t="e">
        <f aca="false">C822+D822+F822+G822</f>
        <v>#NAME?</v>
      </c>
      <c r="I822" s="462" t="n">
        <f aca="false">I$190</f>
        <v>0.240474587202079</v>
      </c>
      <c r="J822" s="473" t="n">
        <f aca="false">D822*I822</f>
        <v>64.3840929590573</v>
      </c>
      <c r="K822" s="473" t="e">
        <f aca="false">H822+J822</f>
        <v>#NAME?</v>
      </c>
      <c r="L822" s="462" t="n">
        <v>0.2</v>
      </c>
      <c r="M822" s="473" t="e">
        <f aca="false">K822*L822</f>
        <v>#NAME?</v>
      </c>
      <c r="N822" s="473" t="e">
        <f aca="false">K822+M822</f>
        <v>#NAME?</v>
      </c>
      <c r="O822" s="473" t="e">
        <f aca="false">M822</f>
        <v>#NAME?</v>
      </c>
    </row>
    <row r="823" s="461" customFormat="true" ht="15" hidden="false" customHeight="false" outlineLevel="0" collapsed="false">
      <c r="A823" s="327" t="s">
        <v>1379</v>
      </c>
      <c r="B823" s="500" t="s">
        <v>3449</v>
      </c>
      <c r="C823" s="472" t="e">
        <f aca="false">мат.затр!g7635</f>
        <v>#NAME?</v>
      </c>
      <c r="D823" s="472" t="n">
        <f aca="false">тарифик!J824</f>
        <v>267.737617135208</v>
      </c>
      <c r="E823" s="472"/>
      <c r="F823" s="473" t="n">
        <f aca="false">D823*0.9*0.095+D823*3%</f>
        <v>30.9236947791165</v>
      </c>
      <c r="G823" s="472" t="n">
        <f aca="false">амортизация!M2883</f>
        <v>156.420124944221</v>
      </c>
      <c r="H823" s="473" t="e">
        <f aca="false">C823+D823+F823+G823</f>
        <v>#NAME?</v>
      </c>
      <c r="I823" s="462" t="n">
        <f aca="false">I$190</f>
        <v>0.240474587202079</v>
      </c>
      <c r="J823" s="473" t="n">
        <f aca="false">D823*I823</f>
        <v>64.3840929590573</v>
      </c>
      <c r="K823" s="473" t="e">
        <f aca="false">H823+J823</f>
        <v>#NAME?</v>
      </c>
      <c r="L823" s="462" t="n">
        <v>0.2</v>
      </c>
      <c r="M823" s="473" t="e">
        <f aca="false">K823*L823</f>
        <v>#NAME?</v>
      </c>
      <c r="N823" s="473" t="e">
        <f aca="false">K823+M823</f>
        <v>#NAME?</v>
      </c>
      <c r="O823" s="473" t="e">
        <f aca="false">M823</f>
        <v>#NAME?</v>
      </c>
    </row>
    <row r="824" s="461" customFormat="true" ht="15" hidden="false" customHeight="false" outlineLevel="0" collapsed="false">
      <c r="A824" s="327" t="s">
        <v>1381</v>
      </c>
      <c r="B824" s="500" t="s">
        <v>3450</v>
      </c>
      <c r="C824" s="472" t="e">
        <f aca="false">мат.затр!g7639</f>
        <v>#NAME?</v>
      </c>
      <c r="D824" s="472" t="n">
        <f aca="false">тарифик!J825</f>
        <v>847.835787594824</v>
      </c>
      <c r="E824" s="472"/>
      <c r="F824" s="473" t="n">
        <f aca="false">D824*0.9*0.095+D824*3%</f>
        <v>97.9250334672022</v>
      </c>
      <c r="G824" s="472" t="n">
        <f aca="false">амортизация!M2884</f>
        <v>156.420124944221</v>
      </c>
      <c r="H824" s="473" t="e">
        <f aca="false">C824+D824+F824+G824</f>
        <v>#NAME?</v>
      </c>
      <c r="I824" s="462" t="n">
        <f aca="false">I$190</f>
        <v>0.240474587202079</v>
      </c>
      <c r="J824" s="473" t="n">
        <f aca="false">D824*I824</f>
        <v>203.882961037015</v>
      </c>
      <c r="K824" s="473" t="e">
        <f aca="false">H824+J824</f>
        <v>#NAME?</v>
      </c>
      <c r="L824" s="462" t="n">
        <v>0.2</v>
      </c>
      <c r="M824" s="473" t="e">
        <f aca="false">K824*L824</f>
        <v>#NAME?</v>
      </c>
      <c r="N824" s="473" t="e">
        <f aca="false">K824+M824</f>
        <v>#NAME?</v>
      </c>
      <c r="O824" s="473" t="e">
        <f aca="false">M824</f>
        <v>#NAME?</v>
      </c>
    </row>
    <row r="825" s="461" customFormat="true" ht="15" hidden="false" customHeight="false" outlineLevel="0" collapsed="false">
      <c r="A825" s="327" t="s">
        <v>1383</v>
      </c>
      <c r="B825" s="500" t="s">
        <v>3451</v>
      </c>
      <c r="C825" s="472" t="e">
        <f aca="false">мат.затр!g7643</f>
        <v>#NAME?</v>
      </c>
      <c r="D825" s="472" t="n">
        <f aca="false">тарифик!J826</f>
        <v>758.589915216421</v>
      </c>
      <c r="E825" s="472"/>
      <c r="F825" s="473" t="n">
        <f aca="false">D825*0.9*0.095+D825*3%</f>
        <v>87.6171352074966</v>
      </c>
      <c r="G825" s="472" t="n">
        <f aca="false">амортизация!M2885</f>
        <v>156.420124944221</v>
      </c>
      <c r="H825" s="473" t="e">
        <f aca="false">C825+D825+F825+G825</f>
        <v>#NAME?</v>
      </c>
      <c r="I825" s="462" t="n">
        <f aca="false">I$190</f>
        <v>0.240474587202079</v>
      </c>
      <c r="J825" s="473" t="n">
        <f aca="false">D825*I825</f>
        <v>182.421596717329</v>
      </c>
      <c r="K825" s="473" t="e">
        <f aca="false">H825+J825</f>
        <v>#NAME?</v>
      </c>
      <c r="L825" s="462" t="n">
        <v>0.2</v>
      </c>
      <c r="M825" s="473" t="e">
        <f aca="false">K825*L825</f>
        <v>#NAME?</v>
      </c>
      <c r="N825" s="473" t="e">
        <f aca="false">K825+M825</f>
        <v>#NAME?</v>
      </c>
      <c r="O825" s="473" t="e">
        <f aca="false">M825</f>
        <v>#NAME?</v>
      </c>
    </row>
    <row r="826" s="461" customFormat="true" ht="15" hidden="false" customHeight="false" outlineLevel="0" collapsed="false">
      <c r="A826" s="327" t="s">
        <v>1385</v>
      </c>
      <c r="B826" s="328" t="s">
        <v>3452</v>
      </c>
      <c r="C826" s="472" t="e">
        <f aca="false">мат.затр!g7649</f>
        <v>#NAME?</v>
      </c>
      <c r="D826" s="472" t="n">
        <f aca="false">тарифик!J827</f>
        <v>713.96697902722</v>
      </c>
      <c r="E826" s="472"/>
      <c r="F826" s="473" t="n">
        <f aca="false">D826*0.9*0.095+D826*3%</f>
        <v>82.4631860776439</v>
      </c>
      <c r="G826" s="472" t="n">
        <f aca="false">амортизация!M2886</f>
        <v>156.420124944221</v>
      </c>
      <c r="H826" s="473" t="e">
        <f aca="false">C826+D826+F826+G826</f>
        <v>#NAME?</v>
      </c>
      <c r="I826" s="462" t="n">
        <f aca="false">I$190</f>
        <v>0.240474587202079</v>
      </c>
      <c r="J826" s="473" t="n">
        <f aca="false">D826*I826</f>
        <v>171.690914557486</v>
      </c>
      <c r="K826" s="473" t="e">
        <f aca="false">H826+J826</f>
        <v>#NAME?</v>
      </c>
      <c r="L826" s="462" t="n">
        <v>0.2</v>
      </c>
      <c r="M826" s="473" t="e">
        <f aca="false">K826*L826</f>
        <v>#NAME?</v>
      </c>
      <c r="N826" s="473" t="e">
        <f aca="false">K826+M826</f>
        <v>#NAME?</v>
      </c>
      <c r="O826" s="473" t="e">
        <f aca="false">M826</f>
        <v>#NAME?</v>
      </c>
    </row>
    <row r="827" s="461" customFormat="true" ht="15" hidden="false" customHeight="false" outlineLevel="0" collapsed="false">
      <c r="A827" s="327" t="s">
        <v>1387</v>
      </c>
      <c r="B827" s="328" t="s">
        <v>3453</v>
      </c>
      <c r="C827" s="472" t="e">
        <f aca="false">мат.затр!g7654</f>
        <v>#NAME?</v>
      </c>
      <c r="D827" s="472" t="n">
        <f aca="false">тарифик!J828</f>
        <v>223.114680946006</v>
      </c>
      <c r="E827" s="472"/>
      <c r="F827" s="473" t="n">
        <f aca="false">D827*0.9*0.095+D827*3%</f>
        <v>25.7697456492637</v>
      </c>
      <c r="G827" s="472" t="n">
        <f aca="false">амортизация!M2887</f>
        <v>156.420124944221</v>
      </c>
      <c r="H827" s="473" t="e">
        <f aca="false">C827+D827+F827+G827</f>
        <v>#NAME?</v>
      </c>
      <c r="I827" s="462" t="n">
        <f aca="false">I$190</f>
        <v>0.240474587202079</v>
      </c>
      <c r="J827" s="473" t="n">
        <f aca="false">D827*I827</f>
        <v>53.6534107992144</v>
      </c>
      <c r="K827" s="473" t="e">
        <f aca="false">H827+J827</f>
        <v>#NAME?</v>
      </c>
      <c r="L827" s="462" t="n">
        <v>0.2</v>
      </c>
      <c r="M827" s="473" t="e">
        <f aca="false">K827*L827</f>
        <v>#NAME?</v>
      </c>
      <c r="N827" s="473" t="e">
        <f aca="false">K827+M827</f>
        <v>#NAME?</v>
      </c>
      <c r="O827" s="473" t="e">
        <f aca="false">M827</f>
        <v>#NAME?</v>
      </c>
    </row>
    <row r="828" s="461" customFormat="true" ht="15" hidden="false" customHeight="false" outlineLevel="0" collapsed="false">
      <c r="A828" s="327" t="s">
        <v>1389</v>
      </c>
      <c r="B828" s="328" t="s">
        <v>3454</v>
      </c>
      <c r="C828" s="472" t="e">
        <f aca="false">мат.затр!g7660</f>
        <v>#NAME?</v>
      </c>
      <c r="D828" s="472" t="n">
        <f aca="false">тарифик!J829</f>
        <v>223.114680946006</v>
      </c>
      <c r="E828" s="472"/>
      <c r="F828" s="473" t="n">
        <f aca="false">D828*0.9*0.095+D828*3%</f>
        <v>25.7697456492637</v>
      </c>
      <c r="G828" s="472" t="n">
        <f aca="false">амортизация!M2888</f>
        <v>156.420124944221</v>
      </c>
      <c r="H828" s="473" t="e">
        <f aca="false">C828+D828+F828+G828</f>
        <v>#NAME?</v>
      </c>
      <c r="I828" s="462" t="n">
        <f aca="false">I$190</f>
        <v>0.240474587202079</v>
      </c>
      <c r="J828" s="473" t="n">
        <f aca="false">D828*I828</f>
        <v>53.6534107992144</v>
      </c>
      <c r="K828" s="473" t="e">
        <f aca="false">H828+J828</f>
        <v>#NAME?</v>
      </c>
      <c r="L828" s="462" t="n">
        <v>0.2</v>
      </c>
      <c r="M828" s="473" t="e">
        <f aca="false">K828*L828</f>
        <v>#NAME?</v>
      </c>
      <c r="N828" s="473" t="e">
        <f aca="false">K828+M828</f>
        <v>#NAME?</v>
      </c>
      <c r="O828" s="473" t="e">
        <f aca="false">M828</f>
        <v>#NAME?</v>
      </c>
    </row>
    <row r="829" s="461" customFormat="true" ht="15" hidden="false" customHeight="false" outlineLevel="0" collapsed="false">
      <c r="A829" s="327" t="s">
        <v>1391</v>
      </c>
      <c r="B829" s="328" t="s">
        <v>3455</v>
      </c>
      <c r="C829" s="472" t="e">
        <f aca="false">мат.затр!g7666</f>
        <v>#NAME?</v>
      </c>
      <c r="D829" s="472" t="n">
        <f aca="false">тарифик!J830</f>
        <v>267.737617135208</v>
      </c>
      <c r="E829" s="472"/>
      <c r="F829" s="473" t="n">
        <f aca="false">D829*0.9*0.095+D829*3%</f>
        <v>30.9236947791165</v>
      </c>
      <c r="G829" s="472" t="n">
        <f aca="false">амортизация!M2889</f>
        <v>156.420124944221</v>
      </c>
      <c r="H829" s="473" t="e">
        <f aca="false">C829+D829+F829+G829</f>
        <v>#NAME?</v>
      </c>
      <c r="I829" s="462" t="n">
        <f aca="false">I$190</f>
        <v>0.240474587202079</v>
      </c>
      <c r="J829" s="473" t="n">
        <f aca="false">D829*I829</f>
        <v>64.3840929590573</v>
      </c>
      <c r="K829" s="473" t="e">
        <f aca="false">H829+J829</f>
        <v>#NAME?</v>
      </c>
      <c r="L829" s="462" t="n">
        <v>0.2</v>
      </c>
      <c r="M829" s="473" t="e">
        <f aca="false">K829*L829</f>
        <v>#NAME?</v>
      </c>
      <c r="N829" s="473" t="e">
        <f aca="false">K829+M829</f>
        <v>#NAME?</v>
      </c>
      <c r="O829" s="473" t="e">
        <f aca="false">M829</f>
        <v>#NAME?</v>
      </c>
    </row>
    <row r="830" s="461" customFormat="true" ht="15" hidden="false" customHeight="false" outlineLevel="0" collapsed="false">
      <c r="A830" s="327" t="s">
        <v>1393</v>
      </c>
      <c r="B830" s="328" t="s">
        <v>3456</v>
      </c>
      <c r="C830" s="472" t="e">
        <f aca="false">мат.затр!g7673</f>
        <v>#NAME?</v>
      </c>
      <c r="D830" s="472" t="n">
        <f aca="false">тарифик!J831</f>
        <v>200.803212851406</v>
      </c>
      <c r="E830" s="472"/>
      <c r="F830" s="473" t="n">
        <f aca="false">D830*0.9*0.095+D830*3%</f>
        <v>23.1927710843374</v>
      </c>
      <c r="G830" s="472" t="n">
        <f aca="false">амортизация!M2890</f>
        <v>156.420124944221</v>
      </c>
      <c r="H830" s="473" t="e">
        <f aca="false">C830+D830+F830+G830</f>
        <v>#NAME?</v>
      </c>
      <c r="I830" s="462" t="n">
        <f aca="false">I$190</f>
        <v>0.240474587202079</v>
      </c>
      <c r="J830" s="473" t="n">
        <f aca="false">D830*I830</f>
        <v>48.288069719293</v>
      </c>
      <c r="K830" s="473" t="e">
        <f aca="false">H830+J830</f>
        <v>#NAME?</v>
      </c>
      <c r="L830" s="462" t="n">
        <v>0.2</v>
      </c>
      <c r="M830" s="473" t="e">
        <f aca="false">K830*L830</f>
        <v>#NAME?</v>
      </c>
      <c r="N830" s="473" t="e">
        <f aca="false">K830+M830</f>
        <v>#NAME?</v>
      </c>
      <c r="O830" s="473" t="e">
        <f aca="false">M830</f>
        <v>#NAME?</v>
      </c>
    </row>
    <row r="831" s="461" customFormat="true" ht="15" hidden="false" customHeight="false" outlineLevel="0" collapsed="false">
      <c r="A831" s="327" t="s">
        <v>1395</v>
      </c>
      <c r="B831" s="328" t="s">
        <v>3457</v>
      </c>
      <c r="C831" s="472" t="e">
        <f aca="false">мат.затр!g7676</f>
        <v>#NAME?</v>
      </c>
      <c r="D831" s="472" t="n">
        <f aca="false">тарифик!J832</f>
        <v>580.098170459616</v>
      </c>
      <c r="E831" s="472"/>
      <c r="F831" s="473" t="n">
        <f aca="false">D831*0.9*0.095+D831*3%</f>
        <v>67.0013386880857</v>
      </c>
      <c r="G831" s="472" t="n">
        <f aca="false">амортизация!M2891</f>
        <v>156.420124944221</v>
      </c>
      <c r="H831" s="473" t="e">
        <f aca="false">C831+D831+F831+G831</f>
        <v>#NAME?</v>
      </c>
      <c r="I831" s="462" t="n">
        <f aca="false">I$190</f>
        <v>0.240474587202079</v>
      </c>
      <c r="J831" s="473" t="n">
        <f aca="false">D831*I831</f>
        <v>139.498868077957</v>
      </c>
      <c r="K831" s="473" t="e">
        <f aca="false">H831+J831</f>
        <v>#NAME?</v>
      </c>
      <c r="L831" s="462" t="n">
        <v>0.2</v>
      </c>
      <c r="M831" s="473" t="e">
        <f aca="false">K831*L831</f>
        <v>#NAME?</v>
      </c>
      <c r="N831" s="473" t="e">
        <f aca="false">K831+M831</f>
        <v>#NAME?</v>
      </c>
      <c r="O831" s="473" t="e">
        <f aca="false">M831</f>
        <v>#NAME?</v>
      </c>
    </row>
    <row r="832" s="461" customFormat="true" ht="15" hidden="false" customHeight="false" outlineLevel="0" collapsed="false">
      <c r="A832" s="327" t="s">
        <v>1397</v>
      </c>
      <c r="B832" s="328" t="s">
        <v>3458</v>
      </c>
      <c r="C832" s="472" t="e">
        <f aca="false">мат.затр!g7686</f>
        <v>#NAME?</v>
      </c>
      <c r="D832" s="472" t="n">
        <f aca="false">тарифик!J833</f>
        <v>167.336010709505</v>
      </c>
      <c r="E832" s="472"/>
      <c r="F832" s="473" t="n">
        <f aca="false">D832*0.9*0.095+D832*3%</f>
        <v>19.3273092369478</v>
      </c>
      <c r="G832" s="472" t="n">
        <f aca="false">амортизация!M2892</f>
        <v>156.420124944221</v>
      </c>
      <c r="H832" s="473" t="e">
        <f aca="false">C832+D832+F832+G832</f>
        <v>#NAME?</v>
      </c>
      <c r="I832" s="462" t="n">
        <f aca="false">I$190</f>
        <v>0.240474587202079</v>
      </c>
      <c r="J832" s="473" t="n">
        <f aca="false">D832*I832</f>
        <v>40.2400580994108</v>
      </c>
      <c r="K832" s="473" t="e">
        <f aca="false">H832+J832</f>
        <v>#NAME?</v>
      </c>
      <c r="L832" s="462" t="n">
        <v>0.2</v>
      </c>
      <c r="M832" s="473" t="e">
        <f aca="false">K832*L832</f>
        <v>#NAME?</v>
      </c>
      <c r="N832" s="473" t="e">
        <f aca="false">K832+M832</f>
        <v>#NAME?</v>
      </c>
      <c r="O832" s="473" t="e">
        <f aca="false">M832</f>
        <v>#NAME?</v>
      </c>
    </row>
    <row r="833" s="461" customFormat="true" ht="15" hidden="false" customHeight="false" outlineLevel="0" collapsed="false">
      <c r="A833" s="327" t="s">
        <v>1399</v>
      </c>
      <c r="B833" s="328" t="s">
        <v>3459</v>
      </c>
      <c r="C833" s="472" t="e">
        <f aca="false">мат.затр!g7691</f>
        <v>#NAME?</v>
      </c>
      <c r="D833" s="472" t="n">
        <f aca="false">тарифик!J834</f>
        <v>167.336010709505</v>
      </c>
      <c r="E833" s="472"/>
      <c r="F833" s="473" t="n">
        <f aca="false">D833*0.9*0.095+D833*3%</f>
        <v>19.3273092369478</v>
      </c>
      <c r="G833" s="472" t="n">
        <f aca="false">амортизация!M2893</f>
        <v>156.420124944221</v>
      </c>
      <c r="H833" s="473" t="e">
        <f aca="false">C833+D833+F833+G833</f>
        <v>#NAME?</v>
      </c>
      <c r="I833" s="462" t="n">
        <f aca="false">I$190</f>
        <v>0.240474587202079</v>
      </c>
      <c r="J833" s="473" t="n">
        <f aca="false">D833*I833</f>
        <v>40.2400580994108</v>
      </c>
      <c r="K833" s="473" t="e">
        <f aca="false">H833+J833</f>
        <v>#NAME?</v>
      </c>
      <c r="L833" s="462" t="n">
        <v>0.2</v>
      </c>
      <c r="M833" s="473" t="e">
        <f aca="false">K833*L833</f>
        <v>#NAME?</v>
      </c>
      <c r="N833" s="473" t="e">
        <f aca="false">K833+M833</f>
        <v>#NAME?</v>
      </c>
      <c r="O833" s="473" t="e">
        <f aca="false">M833</f>
        <v>#NAME?</v>
      </c>
    </row>
    <row r="834" s="461" customFormat="true" ht="15" hidden="false" customHeight="false" outlineLevel="0" collapsed="false">
      <c r="A834" s="327" t="s">
        <v>1401</v>
      </c>
      <c r="B834" s="328" t="s">
        <v>3460</v>
      </c>
      <c r="C834" s="472" t="e">
        <f aca="false">мат.затр!g7697</f>
        <v>#NAME?</v>
      </c>
      <c r="D834" s="472" t="n">
        <f aca="false">тарифик!J835</f>
        <v>223.114680946006</v>
      </c>
      <c r="E834" s="472"/>
      <c r="F834" s="473" t="n">
        <f aca="false">D834*0.9*0.095+D834*3%</f>
        <v>25.7697456492637</v>
      </c>
      <c r="G834" s="472" t="n">
        <f aca="false">амортизация!M2894</f>
        <v>156.420124944221</v>
      </c>
      <c r="H834" s="473" t="e">
        <f aca="false">C834+D834+F834+G834</f>
        <v>#NAME?</v>
      </c>
      <c r="I834" s="462" t="n">
        <f aca="false">I$190</f>
        <v>0.240474587202079</v>
      </c>
      <c r="J834" s="473" t="n">
        <f aca="false">D834*I834</f>
        <v>53.6534107992144</v>
      </c>
      <c r="K834" s="473" t="e">
        <f aca="false">H834+J834</f>
        <v>#NAME?</v>
      </c>
      <c r="L834" s="462" t="n">
        <v>0.2</v>
      </c>
      <c r="M834" s="473" t="e">
        <f aca="false">K834*L834</f>
        <v>#NAME?</v>
      </c>
      <c r="N834" s="473" t="e">
        <f aca="false">K834+M834</f>
        <v>#NAME?</v>
      </c>
      <c r="O834" s="473" t="e">
        <f aca="false">M834</f>
        <v>#NAME?</v>
      </c>
    </row>
    <row r="835" s="461" customFormat="true" ht="15" hidden="false" customHeight="false" outlineLevel="0" collapsed="false">
      <c r="A835" s="327" t="s">
        <v>1403</v>
      </c>
      <c r="B835" s="328" t="s">
        <v>3461</v>
      </c>
      <c r="C835" s="472" t="e">
        <f aca="false">мат.затр!g7700</f>
        <v>#NAME?</v>
      </c>
      <c r="D835" s="472" t="n">
        <f aca="false">тарифик!J836</f>
        <v>223.114680946006</v>
      </c>
      <c r="E835" s="472"/>
      <c r="F835" s="473" t="n">
        <f aca="false">D835*0.9*0.095+D835*3%</f>
        <v>25.7697456492637</v>
      </c>
      <c r="G835" s="472" t="n">
        <f aca="false">амортизация!M2895</f>
        <v>55.7786702365016</v>
      </c>
      <c r="H835" s="473" t="e">
        <f aca="false">C835+D835+F835+G835</f>
        <v>#NAME?</v>
      </c>
      <c r="I835" s="462" t="n">
        <f aca="false">I$190</f>
        <v>0.240474587202079</v>
      </c>
      <c r="J835" s="473" t="n">
        <f aca="false">D835*I835</f>
        <v>53.6534107992144</v>
      </c>
      <c r="K835" s="473" t="e">
        <f aca="false">H835+J835</f>
        <v>#NAME?</v>
      </c>
      <c r="L835" s="462" t="n">
        <v>0.2</v>
      </c>
      <c r="M835" s="473" t="e">
        <f aca="false">K835*L835</f>
        <v>#NAME?</v>
      </c>
      <c r="N835" s="473" t="e">
        <f aca="false">K835+M835</f>
        <v>#NAME?</v>
      </c>
      <c r="O835" s="473" t="e">
        <f aca="false">M835</f>
        <v>#NAME?</v>
      </c>
    </row>
    <row r="836" s="461" customFormat="true" ht="15" hidden="false" customHeight="false" outlineLevel="0" collapsed="false">
      <c r="A836" s="327" t="s">
        <v>1405</v>
      </c>
      <c r="B836" s="328" t="s">
        <v>3462</v>
      </c>
      <c r="C836" s="472" t="e">
        <f aca="false">мат.затр!g7707</f>
        <v>#NAME?</v>
      </c>
      <c r="D836" s="472" t="n">
        <f aca="false">тарифик!J837</f>
        <v>267.737617135208</v>
      </c>
      <c r="E836" s="472"/>
      <c r="F836" s="473" t="n">
        <f aca="false">D836*0.9*0.095+D836*3%</f>
        <v>30.9236947791165</v>
      </c>
      <c r="G836" s="472" t="n">
        <f aca="false">амортизация!M2896</f>
        <v>55.7786702365016</v>
      </c>
      <c r="H836" s="473" t="e">
        <f aca="false">C836+D836+F836+G836</f>
        <v>#NAME?</v>
      </c>
      <c r="I836" s="462" t="n">
        <f aca="false">I$190</f>
        <v>0.240474587202079</v>
      </c>
      <c r="J836" s="473" t="n">
        <f aca="false">D836*I836</f>
        <v>64.3840929590573</v>
      </c>
      <c r="K836" s="473" t="e">
        <f aca="false">H836+J836</f>
        <v>#NAME?</v>
      </c>
      <c r="L836" s="462" t="n">
        <v>0.2</v>
      </c>
      <c r="M836" s="473" t="e">
        <f aca="false">K836*L836</f>
        <v>#NAME?</v>
      </c>
      <c r="N836" s="473" t="e">
        <f aca="false">K836+M836</f>
        <v>#NAME?</v>
      </c>
      <c r="O836" s="473" t="e">
        <f aca="false">M836</f>
        <v>#NAME?</v>
      </c>
    </row>
    <row r="837" s="461" customFormat="true" ht="15" hidden="false" customHeight="false" outlineLevel="0" collapsed="false">
      <c r="A837" s="327" t="s">
        <v>1407</v>
      </c>
      <c r="B837" s="328" t="s">
        <v>3463</v>
      </c>
      <c r="C837" s="472" t="e">
        <f aca="false">мат.затр!g7713</f>
        <v>#NAME?</v>
      </c>
      <c r="D837" s="472" t="n">
        <f aca="false">тарифик!J838</f>
        <v>167.336010709505</v>
      </c>
      <c r="E837" s="472"/>
      <c r="F837" s="473" t="n">
        <f aca="false">D837*0.9*0.095+D837*3%</f>
        <v>19.3273092369478</v>
      </c>
      <c r="G837" s="472" t="n">
        <f aca="false">амортизация!M2897</f>
        <v>55.7786702365016</v>
      </c>
      <c r="H837" s="473" t="e">
        <f aca="false">C837+D837+F837+G837</f>
        <v>#NAME?</v>
      </c>
      <c r="I837" s="462" t="n">
        <f aca="false">I$190</f>
        <v>0.240474587202079</v>
      </c>
      <c r="J837" s="473" t="n">
        <f aca="false">D837*I837</f>
        <v>40.2400580994108</v>
      </c>
      <c r="K837" s="473" t="e">
        <f aca="false">H837+J837</f>
        <v>#NAME?</v>
      </c>
      <c r="L837" s="462" t="n">
        <v>0.2</v>
      </c>
      <c r="M837" s="473" t="e">
        <f aca="false">K837*L837</f>
        <v>#NAME?</v>
      </c>
      <c r="N837" s="473" t="e">
        <f aca="false">K837+M837</f>
        <v>#NAME?</v>
      </c>
      <c r="O837" s="473" t="e">
        <f aca="false">M837</f>
        <v>#NAME?</v>
      </c>
    </row>
    <row r="838" s="461" customFormat="true" ht="15" hidden="false" customHeight="false" outlineLevel="0" collapsed="false">
      <c r="A838" s="327" t="s">
        <v>1408</v>
      </c>
      <c r="B838" s="328" t="s">
        <v>3464</v>
      </c>
      <c r="C838" s="472" t="e">
        <f aca="false">мат.затр!g7719</f>
        <v>#NAME?</v>
      </c>
      <c r="D838" s="472" t="n">
        <f aca="false">тарифик!J839</f>
        <v>446.229361892013</v>
      </c>
      <c r="E838" s="472"/>
      <c r="F838" s="473" t="n">
        <f aca="false">D838*0.9*0.095+D838*3%</f>
        <v>51.5394912985274</v>
      </c>
      <c r="G838" s="472" t="n">
        <f aca="false">амортизация!M2898</f>
        <v>55.7786702365016</v>
      </c>
      <c r="H838" s="473" t="e">
        <f aca="false">C838+D838+F838+G838</f>
        <v>#NAME?</v>
      </c>
      <c r="I838" s="462" t="n">
        <f aca="false">I$190</f>
        <v>0.240474587202079</v>
      </c>
      <c r="J838" s="473" t="n">
        <f aca="false">D838*I838</f>
        <v>107.306821598429</v>
      </c>
      <c r="K838" s="473" t="e">
        <f aca="false">H838+J838</f>
        <v>#NAME?</v>
      </c>
      <c r="L838" s="462" t="n">
        <v>0.2</v>
      </c>
      <c r="M838" s="473" t="e">
        <f aca="false">K838*L838</f>
        <v>#NAME?</v>
      </c>
      <c r="N838" s="473" t="e">
        <f aca="false">K838+M838</f>
        <v>#NAME?</v>
      </c>
      <c r="O838" s="473" t="e">
        <f aca="false">M838</f>
        <v>#NAME?</v>
      </c>
    </row>
    <row r="839" s="461" customFormat="true" ht="15" hidden="false" customHeight="false" outlineLevel="0" collapsed="false">
      <c r="A839" s="327" t="s">
        <v>1409</v>
      </c>
      <c r="B839" s="328" t="s">
        <v>3465</v>
      </c>
      <c r="C839" s="472" t="e">
        <f aca="false">мат.затр!g7724</f>
        <v>#NAME?</v>
      </c>
      <c r="D839" s="472" t="n">
        <f aca="false">тарифик!J840</f>
        <v>133.868808567604</v>
      </c>
      <c r="E839" s="472"/>
      <c r="F839" s="473" t="n">
        <f aca="false">D839*0.9*0.095+D839*3%</f>
        <v>15.4618473895582</v>
      </c>
      <c r="G839" s="472" t="n">
        <f aca="false">амортизация!M2899</f>
        <v>156.420124944221</v>
      </c>
      <c r="H839" s="473" t="e">
        <f aca="false">C839+D839+F839+G839</f>
        <v>#NAME?</v>
      </c>
      <c r="I839" s="462" t="n">
        <f aca="false">I$190</f>
        <v>0.240474587202079</v>
      </c>
      <c r="J839" s="473" t="n">
        <f aca="false">D839*I839</f>
        <v>32.1920464795286</v>
      </c>
      <c r="K839" s="473" t="e">
        <f aca="false">H839+J839</f>
        <v>#NAME?</v>
      </c>
      <c r="L839" s="462" t="n">
        <v>0.2</v>
      </c>
      <c r="M839" s="473" t="e">
        <f aca="false">K839*L839</f>
        <v>#NAME?</v>
      </c>
      <c r="N839" s="473" t="e">
        <f aca="false">K839+M839</f>
        <v>#NAME?</v>
      </c>
      <c r="O839" s="473" t="e">
        <f aca="false">M839</f>
        <v>#NAME?</v>
      </c>
    </row>
    <row r="840" s="461" customFormat="true" ht="15" hidden="false" customHeight="false" outlineLevel="0" collapsed="false">
      <c r="A840" s="327" t="s">
        <v>1411</v>
      </c>
      <c r="B840" s="328" t="s">
        <v>3466</v>
      </c>
      <c r="C840" s="472" t="e">
        <f aca="false">мат.затр!g7732</f>
        <v>#NAME?</v>
      </c>
      <c r="D840" s="472" t="n">
        <f aca="false">тарифик!J841</f>
        <v>312.360553324409</v>
      </c>
      <c r="E840" s="472"/>
      <c r="F840" s="473" t="n">
        <f aca="false">D840*0.9*0.095+D840*3%</f>
        <v>36.0776439089692</v>
      </c>
      <c r="G840" s="472" t="n">
        <f aca="false">амортизация!M2900</f>
        <v>156.420124944221</v>
      </c>
      <c r="H840" s="473" t="e">
        <f aca="false">C840+D840+F840+G840</f>
        <v>#NAME?</v>
      </c>
      <c r="I840" s="462" t="n">
        <f aca="false">I$190</f>
        <v>0.240474587202079</v>
      </c>
      <c r="J840" s="473" t="n">
        <f aca="false">D840*I840</f>
        <v>75.1147751189002</v>
      </c>
      <c r="K840" s="473" t="e">
        <f aca="false">H840+J840</f>
        <v>#NAME?</v>
      </c>
      <c r="L840" s="462" t="n">
        <v>0.2</v>
      </c>
      <c r="M840" s="473" t="e">
        <f aca="false">K840*L840</f>
        <v>#NAME?</v>
      </c>
      <c r="N840" s="473" t="e">
        <f aca="false">K840+M840</f>
        <v>#NAME?</v>
      </c>
      <c r="O840" s="473" t="e">
        <f aca="false">M840</f>
        <v>#NAME?</v>
      </c>
    </row>
    <row r="841" s="461" customFormat="true" ht="15" hidden="false" customHeight="false" outlineLevel="0" collapsed="false">
      <c r="A841" s="327" t="s">
        <v>1413</v>
      </c>
      <c r="B841" s="500" t="s">
        <v>3467</v>
      </c>
      <c r="C841" s="472" t="e">
        <f aca="false">мат.затр!g7733</f>
        <v>#NAME?</v>
      </c>
      <c r="D841" s="472" t="n">
        <f aca="false">тарифик!J842</f>
        <v>1892.01249442213</v>
      </c>
      <c r="E841" s="472"/>
      <c r="F841" s="473" t="n">
        <f aca="false">D841*0.9*0.095+D841*3%</f>
        <v>218.527443105756</v>
      </c>
      <c r="G841" s="472" t="n">
        <f aca="false">амортизация!M2901</f>
        <v>156.420124944221</v>
      </c>
      <c r="H841" s="473" t="e">
        <f aca="false">C841+D841+F841+G841</f>
        <v>#NAME?</v>
      </c>
      <c r="I841" s="462" t="n">
        <f aca="false">I$190</f>
        <v>0.240474587202079</v>
      </c>
      <c r="J841" s="473" t="n">
        <f aca="false">D841*I841</f>
        <v>454.980923577338</v>
      </c>
      <c r="K841" s="473" t="e">
        <f aca="false">H841+J841</f>
        <v>#NAME?</v>
      </c>
      <c r="L841" s="462" t="n">
        <v>0.2</v>
      </c>
      <c r="M841" s="473" t="e">
        <f aca="false">K841*L841</f>
        <v>#NAME?</v>
      </c>
      <c r="N841" s="473" t="e">
        <f aca="false">K841+M841</f>
        <v>#NAME?</v>
      </c>
      <c r="O841" s="473" t="e">
        <f aca="false">M841</f>
        <v>#NAME?</v>
      </c>
    </row>
    <row r="842" s="461" customFormat="true" ht="15" hidden="false" customHeight="false" outlineLevel="0" collapsed="false">
      <c r="A842" s="327" t="s">
        <v>1415</v>
      </c>
      <c r="B842" s="500" t="s">
        <v>3468</v>
      </c>
      <c r="C842" s="472" t="e">
        <f aca="false">мат.затр!g7734</f>
        <v>#NAME?</v>
      </c>
      <c r="D842" s="472" t="n">
        <f aca="false">тарифик!J843</f>
        <v>1740.29451137885</v>
      </c>
      <c r="E842" s="472"/>
      <c r="F842" s="473" t="n">
        <f aca="false">D842*0.9*0.095+D842*3%</f>
        <v>201.004016064257</v>
      </c>
      <c r="G842" s="472" t="n">
        <f aca="false">амортизация!M2902</f>
        <v>19.8902275769746</v>
      </c>
      <c r="H842" s="473" t="e">
        <f aca="false">C842+D842+F842+G842</f>
        <v>#NAME?</v>
      </c>
      <c r="I842" s="462" t="n">
        <f aca="false">I$190</f>
        <v>0.240474587202079</v>
      </c>
      <c r="J842" s="473" t="n">
        <f aca="false">D842*I842</f>
        <v>418.496604233872</v>
      </c>
      <c r="K842" s="473" t="e">
        <f aca="false">H842+J842</f>
        <v>#NAME?</v>
      </c>
      <c r="L842" s="462" t="n">
        <v>0.2</v>
      </c>
      <c r="M842" s="473" t="e">
        <f aca="false">K842*L842</f>
        <v>#NAME?</v>
      </c>
      <c r="N842" s="473" t="e">
        <f aca="false">K842+M842</f>
        <v>#NAME?</v>
      </c>
      <c r="O842" s="473" t="e">
        <f aca="false">M842</f>
        <v>#NAME?</v>
      </c>
    </row>
    <row r="843" s="461" customFormat="true" ht="15" hidden="false" customHeight="false" outlineLevel="0" collapsed="false">
      <c r="A843" s="327" t="s">
        <v>1417</v>
      </c>
      <c r="B843" s="500" t="s">
        <v>3469</v>
      </c>
      <c r="C843" s="472" t="e">
        <f aca="false">мат.затр!g7739</f>
        <v>#NAME?</v>
      </c>
      <c r="D843" s="472" t="n">
        <f aca="false">тарифик!J844</f>
        <v>200.803212851406</v>
      </c>
      <c r="E843" s="472"/>
      <c r="F843" s="473" t="n">
        <f aca="false">D843*0.9*0.095+D843*3%</f>
        <v>23.1927710843374</v>
      </c>
      <c r="G843" s="472" t="n">
        <f aca="false">амортизация!M2903</f>
        <v>22.3765060240964</v>
      </c>
      <c r="H843" s="473" t="e">
        <f aca="false">C843+D843+F843+G843</f>
        <v>#NAME?</v>
      </c>
      <c r="I843" s="462" t="n">
        <f aca="false">I$190</f>
        <v>0.240474587202079</v>
      </c>
      <c r="J843" s="473" t="n">
        <f aca="false">D843*I843</f>
        <v>48.288069719293</v>
      </c>
      <c r="K843" s="473" t="e">
        <f aca="false">H843+J843</f>
        <v>#NAME?</v>
      </c>
      <c r="L843" s="462" t="n">
        <v>0.2</v>
      </c>
      <c r="M843" s="473" t="e">
        <f aca="false">K843*L843</f>
        <v>#NAME?</v>
      </c>
      <c r="N843" s="473" t="e">
        <f aca="false">K843+M843</f>
        <v>#NAME?</v>
      </c>
      <c r="O843" s="473" t="e">
        <f aca="false">M843</f>
        <v>#NAME?</v>
      </c>
    </row>
    <row r="844" s="461" customFormat="true" ht="15" hidden="false" customHeight="false" outlineLevel="0" collapsed="false">
      <c r="A844" s="350" t="s">
        <v>1419</v>
      </c>
      <c r="B844" s="501" t="s">
        <v>3470</v>
      </c>
      <c r="C844" s="468"/>
      <c r="D844" s="468"/>
      <c r="E844" s="472"/>
      <c r="F844" s="468"/>
      <c r="G844" s="468"/>
      <c r="H844" s="474"/>
      <c r="I844" s="475"/>
      <c r="J844" s="474"/>
      <c r="K844" s="474"/>
      <c r="L844" s="475"/>
      <c r="M844" s="474"/>
      <c r="N844" s="474"/>
      <c r="O844" s="474"/>
    </row>
    <row r="845" s="461" customFormat="true" ht="15" hidden="false" customHeight="false" outlineLevel="0" collapsed="false">
      <c r="A845" s="327" t="s">
        <v>1421</v>
      </c>
      <c r="B845" s="502" t="s">
        <v>3471</v>
      </c>
      <c r="C845" s="472" t="e">
        <f aca="false">мат.затр!g7746</f>
        <v>#NAME?</v>
      </c>
      <c r="D845" s="472" t="n">
        <f aca="false">тарифик!J846</f>
        <v>535.475234270415</v>
      </c>
      <c r="E845" s="472"/>
      <c r="F845" s="473" t="n">
        <f aca="false">D845*0.9*0.095+D845*3%</f>
        <v>61.8473895582329</v>
      </c>
      <c r="G845" s="472" t="n">
        <f aca="false">амортизация!M2905</f>
        <v>0</v>
      </c>
      <c r="H845" s="473" t="e">
        <f aca="false">C845+D845+F845+G845</f>
        <v>#NAME?</v>
      </c>
      <c r="I845" s="462" t="n">
        <f aca="false">I$190</f>
        <v>0.240474587202079</v>
      </c>
      <c r="J845" s="473" t="n">
        <f aca="false">D845*I845</f>
        <v>128.768185918115</v>
      </c>
      <c r="K845" s="473" t="e">
        <f aca="false">H845+J845</f>
        <v>#NAME?</v>
      </c>
      <c r="L845" s="462" t="n">
        <v>0.2</v>
      </c>
      <c r="M845" s="473" t="e">
        <f aca="false">K845*L845</f>
        <v>#NAME?</v>
      </c>
      <c r="N845" s="473" t="e">
        <f aca="false">K845+M845</f>
        <v>#NAME?</v>
      </c>
      <c r="O845" s="473" t="e">
        <f aca="false">M845</f>
        <v>#NAME?</v>
      </c>
    </row>
    <row r="846" s="461" customFormat="true" ht="30" hidden="false" customHeight="false" outlineLevel="0" collapsed="false">
      <c r="A846" s="327" t="s">
        <v>1423</v>
      </c>
      <c r="B846" s="502" t="s">
        <v>3472</v>
      </c>
      <c r="C846" s="472" t="e">
        <f aca="false">мат.затр!g7751</f>
        <v>#NAME?</v>
      </c>
      <c r="D846" s="472" t="n">
        <f aca="false">тарифик!J847</f>
        <v>301.204819277108</v>
      </c>
      <c r="E846" s="472"/>
      <c r="F846" s="473" t="n">
        <f aca="false">D846*0.9*0.095+D846*3%</f>
        <v>34.789156626506</v>
      </c>
      <c r="G846" s="472" t="n">
        <f aca="false">амортизация!M2906</f>
        <v>0</v>
      </c>
      <c r="H846" s="473" t="e">
        <f aca="false">C846+D846+F846+G846</f>
        <v>#NAME?</v>
      </c>
      <c r="I846" s="462" t="n">
        <f aca="false">I$190</f>
        <v>0.240474587202079</v>
      </c>
      <c r="J846" s="473" t="n">
        <f aca="false">D846*I846</f>
        <v>72.4321045789394</v>
      </c>
      <c r="K846" s="473" t="e">
        <f aca="false">H846+J846</f>
        <v>#NAME?</v>
      </c>
      <c r="L846" s="462" t="n">
        <v>0.2</v>
      </c>
      <c r="M846" s="473" t="e">
        <f aca="false">K846*L846</f>
        <v>#NAME?</v>
      </c>
      <c r="N846" s="473" t="e">
        <f aca="false">K846+M846</f>
        <v>#NAME?</v>
      </c>
      <c r="O846" s="473" t="e">
        <f aca="false">M846</f>
        <v>#NAME?</v>
      </c>
    </row>
    <row r="847" s="461" customFormat="true" ht="15" hidden="false" customHeight="false" outlineLevel="0" collapsed="false">
      <c r="A847" s="327" t="s">
        <v>1425</v>
      </c>
      <c r="B847" s="502" t="s">
        <v>3473</v>
      </c>
      <c r="C847" s="472" t="e">
        <f aca="false">мат.затр!g7756</f>
        <v>#NAME?</v>
      </c>
      <c r="D847" s="472" t="n">
        <f aca="false">тарифик!J848</f>
        <v>267.737617135208</v>
      </c>
      <c r="E847" s="472"/>
      <c r="F847" s="473" t="n">
        <f aca="false">D847*0.9*0.095+D847*3%</f>
        <v>30.9236947791165</v>
      </c>
      <c r="G847" s="472" t="n">
        <f aca="false">амортизация!M2907</f>
        <v>156.420124944221</v>
      </c>
      <c r="H847" s="473" t="e">
        <f aca="false">C847+D847+F847+G847</f>
        <v>#NAME?</v>
      </c>
      <c r="I847" s="462" t="n">
        <f aca="false">I$190</f>
        <v>0.240474587202079</v>
      </c>
      <c r="J847" s="473" t="n">
        <f aca="false">D847*I847</f>
        <v>64.3840929590573</v>
      </c>
      <c r="K847" s="473" t="e">
        <f aca="false">H847+J847</f>
        <v>#NAME?</v>
      </c>
      <c r="L847" s="462" t="n">
        <v>0.2</v>
      </c>
      <c r="M847" s="473" t="e">
        <f aca="false">K847*L847</f>
        <v>#NAME?</v>
      </c>
      <c r="N847" s="473" t="e">
        <f aca="false">K847+M847</f>
        <v>#NAME?</v>
      </c>
      <c r="O847" s="473" t="e">
        <f aca="false">M847</f>
        <v>#NAME?</v>
      </c>
    </row>
    <row r="848" s="461" customFormat="true" ht="15" hidden="false" customHeight="false" outlineLevel="0" collapsed="false">
      <c r="A848" s="327" t="s">
        <v>1427</v>
      </c>
      <c r="B848" s="502" t="s">
        <v>3436</v>
      </c>
      <c r="C848" s="472" t="e">
        <f aca="false">мат.затр!g7756</f>
        <v>#NAME?</v>
      </c>
      <c r="D848" s="472" t="n">
        <f aca="false">тарифик!J849</f>
        <v>535.475234270415</v>
      </c>
      <c r="E848" s="472"/>
      <c r="F848" s="473" t="n">
        <f aca="false">D848*0.9*0.095+D848*3%</f>
        <v>61.8473895582329</v>
      </c>
      <c r="G848" s="472" t="n">
        <f aca="false">амортизация!M2908</f>
        <v>156.420124944221</v>
      </c>
      <c r="H848" s="473" t="e">
        <f aca="false">C848+D848+F848+G848</f>
        <v>#NAME?</v>
      </c>
      <c r="I848" s="462" t="n">
        <f aca="false">I$190</f>
        <v>0.240474587202079</v>
      </c>
      <c r="J848" s="473" t="n">
        <f aca="false">D848*I848</f>
        <v>128.768185918115</v>
      </c>
      <c r="K848" s="473" t="e">
        <f aca="false">H848+J848</f>
        <v>#NAME?</v>
      </c>
      <c r="L848" s="462" t="n">
        <v>0.2</v>
      </c>
      <c r="M848" s="473" t="e">
        <f aca="false">K848*L848</f>
        <v>#NAME?</v>
      </c>
      <c r="N848" s="473" t="e">
        <f aca="false">K848+M848</f>
        <v>#NAME?</v>
      </c>
      <c r="O848" s="473" t="e">
        <f aca="false">M848</f>
        <v>#NAME?</v>
      </c>
    </row>
    <row r="849" s="461" customFormat="true" ht="15" hidden="false" customHeight="false" outlineLevel="0" collapsed="false">
      <c r="A849" s="327" t="s">
        <v>1428</v>
      </c>
      <c r="B849" s="502" t="s">
        <v>3437</v>
      </c>
      <c r="C849" s="472" t="e">
        <f aca="false">мат.затр!g7761</f>
        <v>#NAME?</v>
      </c>
      <c r="D849" s="472" t="n">
        <f aca="false">тарифик!J850</f>
        <v>535.475234270415</v>
      </c>
      <c r="E849" s="472"/>
      <c r="F849" s="473" t="n">
        <f aca="false">D849*0.9*0.095+D849*3%</f>
        <v>61.8473895582329</v>
      </c>
      <c r="G849" s="472" t="n">
        <f aca="false">амортизация!M2909</f>
        <v>156.420124944221</v>
      </c>
      <c r="H849" s="473" t="e">
        <f aca="false">C849+D849+F849+G849</f>
        <v>#NAME?</v>
      </c>
      <c r="I849" s="462" t="n">
        <f aca="false">I$190</f>
        <v>0.240474587202079</v>
      </c>
      <c r="J849" s="473" t="n">
        <f aca="false">D849*I849</f>
        <v>128.768185918115</v>
      </c>
      <c r="K849" s="473" t="e">
        <f aca="false">H849+J849</f>
        <v>#NAME?</v>
      </c>
      <c r="L849" s="462" t="n">
        <v>0.2</v>
      </c>
      <c r="M849" s="473" t="e">
        <f aca="false">K849*L849</f>
        <v>#NAME?</v>
      </c>
      <c r="N849" s="473" t="e">
        <f aca="false">K849+M849</f>
        <v>#NAME?</v>
      </c>
      <c r="O849" s="473" t="e">
        <f aca="false">M849</f>
        <v>#NAME?</v>
      </c>
    </row>
    <row r="850" s="461" customFormat="true" ht="15" hidden="false" customHeight="false" outlineLevel="0" collapsed="false">
      <c r="A850" s="327" t="s">
        <v>1429</v>
      </c>
      <c r="B850" s="502" t="s">
        <v>3474</v>
      </c>
      <c r="C850" s="472" t="e">
        <f aca="false">мат.затр!g7766</f>
        <v>#NAME?</v>
      </c>
      <c r="D850" s="472" t="n">
        <f aca="false">тарифик!J851</f>
        <v>535.475234270415</v>
      </c>
      <c r="E850" s="472"/>
      <c r="F850" s="473" t="n">
        <f aca="false">D850*0.9*0.095+D850*3%</f>
        <v>61.8473895582329</v>
      </c>
      <c r="G850" s="472" t="n">
        <f aca="false">амортизация!M2910</f>
        <v>156.420124944221</v>
      </c>
      <c r="H850" s="473" t="e">
        <f aca="false">C850+D850+F850+G850</f>
        <v>#NAME?</v>
      </c>
      <c r="I850" s="462" t="n">
        <f aca="false">I$190</f>
        <v>0.240474587202079</v>
      </c>
      <c r="J850" s="473" t="n">
        <f aca="false">D850*I850</f>
        <v>128.768185918115</v>
      </c>
      <c r="K850" s="473" t="e">
        <f aca="false">H850+J850</f>
        <v>#NAME?</v>
      </c>
      <c r="L850" s="462" t="n">
        <v>0.2</v>
      </c>
      <c r="M850" s="473" t="e">
        <f aca="false">K850*L850</f>
        <v>#NAME?</v>
      </c>
      <c r="N850" s="473" t="e">
        <f aca="false">K850+M850</f>
        <v>#NAME?</v>
      </c>
      <c r="O850" s="473" t="e">
        <f aca="false">M850</f>
        <v>#NAME?</v>
      </c>
    </row>
    <row r="851" s="461" customFormat="true" ht="15" hidden="false" customHeight="false" outlineLevel="0" collapsed="false">
      <c r="A851" s="327" t="s">
        <v>1430</v>
      </c>
      <c r="B851" s="502" t="s">
        <v>3475</v>
      </c>
      <c r="C851" s="472" t="e">
        <f aca="false">мат.затр!g7771</f>
        <v>#NAME?</v>
      </c>
      <c r="D851" s="472" t="n">
        <f aca="false">тарифик!J852</f>
        <v>535.475234270415</v>
      </c>
      <c r="E851" s="472"/>
      <c r="F851" s="473" t="n">
        <f aca="false">D851*0.9*0.095+D851*3%</f>
        <v>61.8473895582329</v>
      </c>
      <c r="G851" s="472" t="n">
        <f aca="false">амортизация!M2911</f>
        <v>156.420124944221</v>
      </c>
      <c r="H851" s="473" t="e">
        <f aca="false">C851+D851+F851+G851</f>
        <v>#NAME?</v>
      </c>
      <c r="I851" s="462" t="n">
        <f aca="false">I$190</f>
        <v>0.240474587202079</v>
      </c>
      <c r="J851" s="473" t="n">
        <f aca="false">D851*I851</f>
        <v>128.768185918115</v>
      </c>
      <c r="K851" s="473" t="e">
        <f aca="false">H851+J851</f>
        <v>#NAME?</v>
      </c>
      <c r="L851" s="462" t="n">
        <v>0.2</v>
      </c>
      <c r="M851" s="473" t="e">
        <f aca="false">K851*L851</f>
        <v>#NAME?</v>
      </c>
      <c r="N851" s="473" t="e">
        <f aca="false">K851+M851</f>
        <v>#NAME?</v>
      </c>
      <c r="O851" s="473" t="e">
        <f aca="false">M851</f>
        <v>#NAME?</v>
      </c>
    </row>
    <row r="852" s="461" customFormat="true" ht="15" hidden="false" customHeight="false" outlineLevel="0" collapsed="false">
      <c r="A852" s="327" t="s">
        <v>1432</v>
      </c>
      <c r="B852" s="502" t="s">
        <v>3476</v>
      </c>
      <c r="C852" s="472" t="e">
        <f aca="false">мат.затр!g7776</f>
        <v>#NAME?</v>
      </c>
      <c r="D852" s="472" t="n">
        <f aca="false">тарифик!J853</f>
        <v>1070.95046854083</v>
      </c>
      <c r="E852" s="472"/>
      <c r="F852" s="473" t="n">
        <f aca="false">D852*0.9*0.095+D852*3%</f>
        <v>123.694779116466</v>
      </c>
      <c r="G852" s="472" t="n">
        <f aca="false">амортизация!M2912</f>
        <v>156.420124944221</v>
      </c>
      <c r="H852" s="473" t="e">
        <f aca="false">C852+D852+F852+G852</f>
        <v>#NAME?</v>
      </c>
      <c r="I852" s="462" t="n">
        <f aca="false">I$190</f>
        <v>0.240474587202079</v>
      </c>
      <c r="J852" s="473" t="n">
        <f aca="false">D852*I852</f>
        <v>257.536371836229</v>
      </c>
      <c r="K852" s="473" t="e">
        <f aca="false">H852+J852</f>
        <v>#NAME?</v>
      </c>
      <c r="L852" s="462" t="n">
        <v>0.2</v>
      </c>
      <c r="M852" s="473" t="e">
        <f aca="false">K852*L852</f>
        <v>#NAME?</v>
      </c>
      <c r="N852" s="473" t="e">
        <f aca="false">K852+M852</f>
        <v>#NAME?</v>
      </c>
      <c r="O852" s="473" t="e">
        <f aca="false">M852</f>
        <v>#NAME?</v>
      </c>
    </row>
    <row r="853" s="461" customFormat="true" ht="15" hidden="false" customHeight="false" outlineLevel="0" collapsed="false">
      <c r="A853" s="327" t="s">
        <v>1433</v>
      </c>
      <c r="B853" s="502" t="s">
        <v>3445</v>
      </c>
      <c r="C853" s="472" t="e">
        <f aca="false">мат.затр!g7781</f>
        <v>#NAME?</v>
      </c>
      <c r="D853" s="472" t="n">
        <f aca="false">тарифик!J854</f>
        <v>535.475234270415</v>
      </c>
      <c r="E853" s="472"/>
      <c r="F853" s="473" t="n">
        <f aca="false">D853*0.9*0.095+D853*3%</f>
        <v>61.8473895582329</v>
      </c>
      <c r="G853" s="472" t="n">
        <f aca="false">амортизация!M2913</f>
        <v>156.420124944221</v>
      </c>
      <c r="H853" s="473" t="e">
        <f aca="false">C853+D853+F853+G853</f>
        <v>#NAME?</v>
      </c>
      <c r="I853" s="462" t="n">
        <f aca="false">I$190</f>
        <v>0.240474587202079</v>
      </c>
      <c r="J853" s="473" t="n">
        <f aca="false">D853*I853</f>
        <v>128.768185918115</v>
      </c>
      <c r="K853" s="473" t="e">
        <f aca="false">H853+J853</f>
        <v>#NAME?</v>
      </c>
      <c r="L853" s="462" t="n">
        <v>0.2</v>
      </c>
      <c r="M853" s="473" t="e">
        <f aca="false">K853*L853</f>
        <v>#NAME?</v>
      </c>
      <c r="N853" s="473" t="e">
        <f aca="false">K853+M853</f>
        <v>#NAME?</v>
      </c>
      <c r="O853" s="473" t="e">
        <f aca="false">M853</f>
        <v>#NAME?</v>
      </c>
    </row>
    <row r="854" s="461" customFormat="true" ht="15" hidden="false" customHeight="false" outlineLevel="0" collapsed="false">
      <c r="A854" s="327" t="s">
        <v>1434</v>
      </c>
      <c r="B854" s="502" t="s">
        <v>3440</v>
      </c>
      <c r="C854" s="472" t="e">
        <f aca="false">мат.затр!g7786</f>
        <v>#NAME?</v>
      </c>
      <c r="D854" s="472" t="n">
        <f aca="false">тарифик!J855</f>
        <v>401.606425702811</v>
      </c>
      <c r="E854" s="472"/>
      <c r="F854" s="473" t="n">
        <f aca="false">D854*0.9*0.095+D854*3%</f>
        <v>46.3855421686747</v>
      </c>
      <c r="G854" s="472" t="n">
        <f aca="false">амортизация!M2914</f>
        <v>156.420124944221</v>
      </c>
      <c r="H854" s="473" t="e">
        <f aca="false">C854+D854+F854+G854</f>
        <v>#NAME?</v>
      </c>
      <c r="I854" s="462" t="n">
        <f aca="false">I$190</f>
        <v>0.240474587202079</v>
      </c>
      <c r="J854" s="473" t="n">
        <f aca="false">D854*I854</f>
        <v>96.5761394385859</v>
      </c>
      <c r="K854" s="473" t="e">
        <f aca="false">H854+J854</f>
        <v>#NAME?</v>
      </c>
      <c r="L854" s="462" t="n">
        <v>0.2</v>
      </c>
      <c r="M854" s="473" t="e">
        <f aca="false">K854*L854</f>
        <v>#NAME?</v>
      </c>
      <c r="N854" s="473" t="e">
        <f aca="false">K854+M854</f>
        <v>#NAME?</v>
      </c>
      <c r="O854" s="473" t="e">
        <f aca="false">M854</f>
        <v>#NAME?</v>
      </c>
    </row>
    <row r="855" s="461" customFormat="true" ht="15" hidden="false" customHeight="false" outlineLevel="0" collapsed="false">
      <c r="A855" s="327" t="s">
        <v>1435</v>
      </c>
      <c r="B855" s="502" t="s">
        <v>3444</v>
      </c>
      <c r="C855" s="472" t="e">
        <f aca="false">мат.затр!g7791</f>
        <v>#NAME?</v>
      </c>
      <c r="D855" s="472" t="n">
        <f aca="false">тарифик!J856</f>
        <v>401.606425702811</v>
      </c>
      <c r="E855" s="472"/>
      <c r="F855" s="473" t="n">
        <f aca="false">D855*0.9*0.095+D855*3%</f>
        <v>46.3855421686747</v>
      </c>
      <c r="G855" s="472" t="n">
        <f aca="false">амортизация!M2915</f>
        <v>156.420124944221</v>
      </c>
      <c r="H855" s="473" t="e">
        <f aca="false">C855+D855+F855+G855</f>
        <v>#NAME?</v>
      </c>
      <c r="I855" s="462" t="n">
        <f aca="false">I$190</f>
        <v>0.240474587202079</v>
      </c>
      <c r="J855" s="473" t="n">
        <f aca="false">D855*I855</f>
        <v>96.5761394385859</v>
      </c>
      <c r="K855" s="473" t="e">
        <f aca="false">H855+J855</f>
        <v>#NAME?</v>
      </c>
      <c r="L855" s="462" t="n">
        <v>0.2</v>
      </c>
      <c r="M855" s="473" t="e">
        <f aca="false">K855*L855</f>
        <v>#NAME?</v>
      </c>
      <c r="N855" s="473" t="e">
        <f aca="false">K855+M855</f>
        <v>#NAME?</v>
      </c>
      <c r="O855" s="473" t="e">
        <f aca="false">M855</f>
        <v>#NAME?</v>
      </c>
    </row>
    <row r="856" s="461" customFormat="true" ht="15" hidden="false" customHeight="false" outlineLevel="0" collapsed="false">
      <c r="A856" s="327" t="s">
        <v>1436</v>
      </c>
      <c r="B856" s="502" t="s">
        <v>3441</v>
      </c>
      <c r="C856" s="472" t="e">
        <f aca="false">мат.затр!g7799</f>
        <v>#NAME?</v>
      </c>
      <c r="D856" s="472" t="n">
        <f aca="false">тарифик!J857</f>
        <v>535.475234270415</v>
      </c>
      <c r="E856" s="472"/>
      <c r="F856" s="473" t="n">
        <f aca="false">D856*0.9*0.095+D856*3%</f>
        <v>61.8473895582329</v>
      </c>
      <c r="G856" s="472" t="n">
        <f aca="false">амортизация!M2916</f>
        <v>156.420124944221</v>
      </c>
      <c r="H856" s="473" t="e">
        <f aca="false">C856+D856+F856+G856</f>
        <v>#NAME?</v>
      </c>
      <c r="I856" s="462" t="n">
        <f aca="false">I$190</f>
        <v>0.240474587202079</v>
      </c>
      <c r="J856" s="473" t="n">
        <f aca="false">D856*I856</f>
        <v>128.768185918115</v>
      </c>
      <c r="K856" s="473" t="e">
        <f aca="false">H856+J856</f>
        <v>#NAME?</v>
      </c>
      <c r="L856" s="462" t="n">
        <v>0.2</v>
      </c>
      <c r="M856" s="473" t="e">
        <f aca="false">K856*L856</f>
        <v>#NAME?</v>
      </c>
      <c r="N856" s="473" t="e">
        <f aca="false">K856+M856</f>
        <v>#NAME?</v>
      </c>
      <c r="O856" s="473" t="e">
        <f aca="false">M856</f>
        <v>#NAME?</v>
      </c>
    </row>
    <row r="857" s="461" customFormat="true" ht="15" hidden="false" customHeight="false" outlineLevel="0" collapsed="false">
      <c r="A857" s="327" t="s">
        <v>1437</v>
      </c>
      <c r="B857" s="502" t="s">
        <v>3446</v>
      </c>
      <c r="C857" s="472" t="e">
        <f aca="false">мат.затр!g7805</f>
        <v>#NAME?</v>
      </c>
      <c r="D857" s="472" t="n">
        <f aca="false">тарифик!J858</f>
        <v>446.229361892013</v>
      </c>
      <c r="E857" s="472"/>
      <c r="F857" s="473" t="n">
        <f aca="false">D857*0.9*0.095+D857*3%</f>
        <v>51.5394912985274</v>
      </c>
      <c r="G857" s="472" t="n">
        <f aca="false">амортизация!M2917</f>
        <v>156.420124944221</v>
      </c>
      <c r="H857" s="473" t="e">
        <f aca="false">C857+D857+F857+G857</f>
        <v>#NAME?</v>
      </c>
      <c r="I857" s="462" t="n">
        <f aca="false">I$190</f>
        <v>0.240474587202079</v>
      </c>
      <c r="J857" s="473" t="n">
        <f aca="false">D857*I857</f>
        <v>107.306821598429</v>
      </c>
      <c r="K857" s="473" t="e">
        <f aca="false">H857+J857</f>
        <v>#NAME?</v>
      </c>
      <c r="L857" s="462" t="n">
        <v>0.2</v>
      </c>
      <c r="M857" s="473" t="e">
        <f aca="false">K857*L857</f>
        <v>#NAME?</v>
      </c>
      <c r="N857" s="473" t="e">
        <f aca="false">K857+M857</f>
        <v>#NAME?</v>
      </c>
      <c r="O857" s="473" t="e">
        <f aca="false">M857</f>
        <v>#NAME?</v>
      </c>
    </row>
    <row r="858" s="461" customFormat="true" ht="15" hidden="false" customHeight="false" outlineLevel="0" collapsed="false">
      <c r="A858" s="327" t="s">
        <v>1438</v>
      </c>
      <c r="B858" s="502" t="s">
        <v>3447</v>
      </c>
      <c r="C858" s="472" t="e">
        <f aca="false">мат.затр!g7811</f>
        <v>#NAME?</v>
      </c>
      <c r="D858" s="472" t="n">
        <f aca="false">тарифик!J859</f>
        <v>446.229361892013</v>
      </c>
      <c r="E858" s="472"/>
      <c r="F858" s="473" t="n">
        <f aca="false">D858*0.9*0.095+D858*3%</f>
        <v>51.5394912985274</v>
      </c>
      <c r="G858" s="472" t="n">
        <f aca="false">амортизация!M2918</f>
        <v>156.420124944221</v>
      </c>
      <c r="H858" s="473" t="e">
        <f aca="false">C858+D858+F858+G858</f>
        <v>#NAME?</v>
      </c>
      <c r="I858" s="462" t="n">
        <f aca="false">I$190</f>
        <v>0.240474587202079</v>
      </c>
      <c r="J858" s="473" t="n">
        <f aca="false">D858*I858</f>
        <v>107.306821598429</v>
      </c>
      <c r="K858" s="473" t="e">
        <f aca="false">H858+J858</f>
        <v>#NAME?</v>
      </c>
      <c r="L858" s="462" t="n">
        <v>0.2</v>
      </c>
      <c r="M858" s="473" t="e">
        <f aca="false">K858*L858</f>
        <v>#NAME?</v>
      </c>
      <c r="N858" s="473" t="e">
        <f aca="false">K858+M858</f>
        <v>#NAME?</v>
      </c>
      <c r="O858" s="473" t="e">
        <f aca="false">M858</f>
        <v>#NAME?</v>
      </c>
    </row>
    <row r="859" s="461" customFormat="true" ht="15" hidden="false" customHeight="false" outlineLevel="0" collapsed="false">
      <c r="A859" s="327" t="s">
        <v>1439</v>
      </c>
      <c r="B859" s="502" t="s">
        <v>3452</v>
      </c>
      <c r="C859" s="472" t="e">
        <f aca="false">мат.затр!g7816</f>
        <v>#NAME?</v>
      </c>
      <c r="D859" s="472" t="n">
        <f aca="false">тарифик!J860</f>
        <v>401.606425702811</v>
      </c>
      <c r="E859" s="472"/>
      <c r="F859" s="473" t="n">
        <f aca="false">D859*0.9*0.095+D859*3%</f>
        <v>46.3855421686747</v>
      </c>
      <c r="G859" s="472" t="n">
        <f aca="false">амортизация!M2919</f>
        <v>156.420124944221</v>
      </c>
      <c r="H859" s="473" t="e">
        <f aca="false">C859+D859+F859+G859</f>
        <v>#NAME?</v>
      </c>
      <c r="I859" s="462" t="n">
        <f aca="false">I$190</f>
        <v>0.240474587202079</v>
      </c>
      <c r="J859" s="473" t="n">
        <f aca="false">D859*I859</f>
        <v>96.5761394385859</v>
      </c>
      <c r="K859" s="473" t="e">
        <f aca="false">H859+J859</f>
        <v>#NAME?</v>
      </c>
      <c r="L859" s="462" t="n">
        <v>0.2</v>
      </c>
      <c r="M859" s="473" t="e">
        <f aca="false">K859*L859</f>
        <v>#NAME?</v>
      </c>
      <c r="N859" s="473" t="e">
        <f aca="false">K859+M859</f>
        <v>#NAME?</v>
      </c>
      <c r="O859" s="473" t="e">
        <f aca="false">M859</f>
        <v>#NAME?</v>
      </c>
    </row>
    <row r="860" s="461" customFormat="true" ht="15" hidden="false" customHeight="false" outlineLevel="0" collapsed="false">
      <c r="A860" s="327" t="s">
        <v>1440</v>
      </c>
      <c r="B860" s="502" t="s">
        <v>3453</v>
      </c>
      <c r="C860" s="472" t="e">
        <f aca="false">мат.затр!g7821</f>
        <v>#NAME?</v>
      </c>
      <c r="D860" s="472" t="n">
        <f aca="false">тарифик!J861</f>
        <v>223.114680946006</v>
      </c>
      <c r="E860" s="472"/>
      <c r="F860" s="473" t="n">
        <f aca="false">D860*0.9*0.095+D860*3%</f>
        <v>25.7697456492637</v>
      </c>
      <c r="G860" s="472" t="n">
        <f aca="false">амортизация!M2920</f>
        <v>156.420124944221</v>
      </c>
      <c r="H860" s="473" t="e">
        <f aca="false">C860+D860+F860+G860</f>
        <v>#NAME?</v>
      </c>
      <c r="I860" s="462" t="n">
        <f aca="false">I$190</f>
        <v>0.240474587202079</v>
      </c>
      <c r="J860" s="473" t="n">
        <f aca="false">D860*I860</f>
        <v>53.6534107992144</v>
      </c>
      <c r="K860" s="473" t="e">
        <f aca="false">H860+J860</f>
        <v>#NAME?</v>
      </c>
      <c r="L860" s="462" t="n">
        <v>0.2</v>
      </c>
      <c r="M860" s="473" t="e">
        <f aca="false">K860*L860</f>
        <v>#NAME?</v>
      </c>
      <c r="N860" s="473" t="e">
        <f aca="false">K860+M860</f>
        <v>#NAME?</v>
      </c>
      <c r="O860" s="473" t="e">
        <f aca="false">M860</f>
        <v>#NAME?</v>
      </c>
    </row>
    <row r="861" s="461" customFormat="true" ht="15" hidden="false" customHeight="false" outlineLevel="0" collapsed="false">
      <c r="A861" s="327" t="s">
        <v>1441</v>
      </c>
      <c r="B861" s="502" t="s">
        <v>3477</v>
      </c>
      <c r="C861" s="472" t="e">
        <f aca="false">мат.затр!g7827</f>
        <v>#NAME?</v>
      </c>
      <c r="D861" s="472" t="n">
        <f aca="false">тарифик!J862</f>
        <v>223.114680946006</v>
      </c>
      <c r="E861" s="472"/>
      <c r="F861" s="473" t="n">
        <f aca="false">D861*0.9*0.095+D861*3%</f>
        <v>25.7697456492637</v>
      </c>
      <c r="G861" s="472" t="n">
        <f aca="false">амортизация!M2921</f>
        <v>55.7786702365016</v>
      </c>
      <c r="H861" s="473" t="e">
        <f aca="false">C861+D861+F861+G861</f>
        <v>#NAME?</v>
      </c>
      <c r="I861" s="462" t="n">
        <f aca="false">I$190</f>
        <v>0.240474587202079</v>
      </c>
      <c r="J861" s="473" t="n">
        <f aca="false">D861*I861</f>
        <v>53.6534107992144</v>
      </c>
      <c r="K861" s="473" t="e">
        <f aca="false">H861+J861</f>
        <v>#NAME?</v>
      </c>
      <c r="L861" s="462" t="n">
        <v>0.2</v>
      </c>
      <c r="M861" s="473" t="e">
        <f aca="false">K861*L861</f>
        <v>#NAME?</v>
      </c>
      <c r="N861" s="473" t="e">
        <f aca="false">K861+M861</f>
        <v>#NAME?</v>
      </c>
      <c r="O861" s="473" t="e">
        <f aca="false">M861</f>
        <v>#NAME?</v>
      </c>
    </row>
    <row r="862" s="461" customFormat="true" ht="15" hidden="false" customHeight="false" outlineLevel="0" collapsed="false">
      <c r="A862" s="327" t="s">
        <v>1443</v>
      </c>
      <c r="B862" s="502" t="s">
        <v>3478</v>
      </c>
      <c r="C862" s="472" t="e">
        <f aca="false">мат.затр!g7831</f>
        <v>#NAME?</v>
      </c>
      <c r="D862" s="472" t="n">
        <f aca="false">тарифик!J863</f>
        <v>267.737617135208</v>
      </c>
      <c r="E862" s="472"/>
      <c r="F862" s="473" t="n">
        <f aca="false">D862*0.9*0.095+D862*3%</f>
        <v>30.9236947791165</v>
      </c>
      <c r="G862" s="472" t="n">
        <f aca="false">амортизация!M2922</f>
        <v>44.2045961624275</v>
      </c>
      <c r="H862" s="473" t="e">
        <f aca="false">C862+D862+F862+G862</f>
        <v>#NAME?</v>
      </c>
      <c r="I862" s="462" t="n">
        <f aca="false">I$190</f>
        <v>0.240474587202079</v>
      </c>
      <c r="J862" s="473" t="n">
        <f aca="false">D862*I862</f>
        <v>64.3840929590573</v>
      </c>
      <c r="K862" s="473" t="e">
        <f aca="false">H862+J862</f>
        <v>#NAME?</v>
      </c>
      <c r="L862" s="462" t="n">
        <v>0.2</v>
      </c>
      <c r="M862" s="473" t="e">
        <f aca="false">K862*L862</f>
        <v>#NAME?</v>
      </c>
      <c r="N862" s="473" t="e">
        <f aca="false">K862+M862</f>
        <v>#NAME?</v>
      </c>
      <c r="O862" s="473" t="e">
        <f aca="false">M862</f>
        <v>#NAME?</v>
      </c>
    </row>
    <row r="863" s="461" customFormat="true" ht="15" hidden="false" customHeight="false" outlineLevel="0" collapsed="false">
      <c r="A863" s="327" t="s">
        <v>1444</v>
      </c>
      <c r="B863" s="502" t="s">
        <v>3479</v>
      </c>
      <c r="C863" s="472" t="e">
        <f aca="false">мат.затр!g7835</f>
        <v>#NAME?</v>
      </c>
      <c r="D863" s="472" t="n">
        <f aca="false">тарифик!J864</f>
        <v>267.737617135208</v>
      </c>
      <c r="E863" s="472"/>
      <c r="F863" s="473" t="n">
        <f aca="false">D863*0.9*0.095+D863*3%</f>
        <v>30.9236947791165</v>
      </c>
      <c r="G863" s="472" t="n">
        <f aca="false">амортизация!M2923</f>
        <v>44.2045961624275</v>
      </c>
      <c r="H863" s="473" t="e">
        <f aca="false">C863+D863+F863+G863</f>
        <v>#NAME?</v>
      </c>
      <c r="I863" s="462" t="n">
        <f aca="false">I$190</f>
        <v>0.240474587202079</v>
      </c>
      <c r="J863" s="473" t="n">
        <f aca="false">D863*I863</f>
        <v>64.3840929590573</v>
      </c>
      <c r="K863" s="473" t="e">
        <f aca="false">H863+J863</f>
        <v>#NAME?</v>
      </c>
      <c r="L863" s="462" t="n">
        <v>0.2</v>
      </c>
      <c r="M863" s="473" t="e">
        <f aca="false">K863*L863</f>
        <v>#NAME?</v>
      </c>
      <c r="N863" s="473" t="e">
        <f aca="false">K863+M863</f>
        <v>#NAME?</v>
      </c>
      <c r="O863" s="473" t="e">
        <f aca="false">M863</f>
        <v>#NAME?</v>
      </c>
    </row>
    <row r="864" s="461" customFormat="true" ht="15" hidden="false" customHeight="false" outlineLevel="0" collapsed="false">
      <c r="A864" s="327" t="s">
        <v>1445</v>
      </c>
      <c r="B864" s="502" t="s">
        <v>3480</v>
      </c>
      <c r="C864" s="472" t="e">
        <f aca="false">мат.затр!g7843</f>
        <v>#NAME?</v>
      </c>
      <c r="D864" s="472" t="n">
        <f aca="false">тарифик!J865</f>
        <v>267.737617135208</v>
      </c>
      <c r="E864" s="472"/>
      <c r="F864" s="473" t="n">
        <f aca="false">D864*0.9*0.095+D864*3%</f>
        <v>30.9236947791165</v>
      </c>
      <c r="G864" s="472" t="n">
        <f aca="false">амортизация!M2924</f>
        <v>44.2045961624275</v>
      </c>
      <c r="H864" s="473" t="e">
        <f aca="false">C864+D864+F864+G864</f>
        <v>#NAME?</v>
      </c>
      <c r="I864" s="462" t="n">
        <f aca="false">I$190</f>
        <v>0.240474587202079</v>
      </c>
      <c r="J864" s="473" t="n">
        <f aca="false">D864*I864</f>
        <v>64.3840929590573</v>
      </c>
      <c r="K864" s="473" t="e">
        <f aca="false">H864+J864</f>
        <v>#NAME?</v>
      </c>
      <c r="L864" s="462" t="n">
        <v>0.2</v>
      </c>
      <c r="M864" s="473" t="e">
        <f aca="false">K864*L864</f>
        <v>#NAME?</v>
      </c>
      <c r="N864" s="473" t="e">
        <f aca="false">K864+M864</f>
        <v>#NAME?</v>
      </c>
      <c r="O864" s="473" t="e">
        <f aca="false">M864</f>
        <v>#NAME?</v>
      </c>
    </row>
    <row r="865" s="461" customFormat="true" ht="15" hidden="false" customHeight="false" outlineLevel="0" collapsed="false">
      <c r="A865" s="327" t="s">
        <v>1446</v>
      </c>
      <c r="B865" s="502" t="s">
        <v>3432</v>
      </c>
      <c r="C865" s="472" t="e">
        <f aca="false">мат.затр!g7851</f>
        <v>#NAME?</v>
      </c>
      <c r="D865" s="472" t="n">
        <f aca="false">тарифик!J866</f>
        <v>234.270414993307</v>
      </c>
      <c r="E865" s="472"/>
      <c r="F865" s="473" t="n">
        <f aca="false">D865*0.9*0.095+D865*3%</f>
        <v>27.0582329317269</v>
      </c>
      <c r="G865" s="472" t="n">
        <f aca="false">амортизация!M2925</f>
        <v>44.2045961624275</v>
      </c>
      <c r="H865" s="473" t="e">
        <f aca="false">C865+D865+F865+G865</f>
        <v>#NAME?</v>
      </c>
      <c r="I865" s="462" t="n">
        <f aca="false">I$190</f>
        <v>0.240474587202079</v>
      </c>
      <c r="J865" s="473" t="n">
        <f aca="false">D865*I865</f>
        <v>56.3360813391751</v>
      </c>
      <c r="K865" s="473" t="e">
        <f aca="false">H865+J865</f>
        <v>#NAME?</v>
      </c>
      <c r="L865" s="462" t="n">
        <v>0.2</v>
      </c>
      <c r="M865" s="473" t="e">
        <f aca="false">K865*L865</f>
        <v>#NAME?</v>
      </c>
      <c r="N865" s="473" t="e">
        <f aca="false">K865+M865</f>
        <v>#NAME?</v>
      </c>
      <c r="O865" s="473" t="e">
        <f aca="false">M865</f>
        <v>#NAME?</v>
      </c>
    </row>
    <row r="866" s="461" customFormat="true" ht="15" hidden="false" customHeight="false" outlineLevel="0" collapsed="false">
      <c r="A866" s="327" t="s">
        <v>1447</v>
      </c>
      <c r="B866" s="502" t="s">
        <v>3149</v>
      </c>
      <c r="C866" s="472" t="e">
        <f aca="false">мат.затр!g7858</f>
        <v>#NAME?</v>
      </c>
      <c r="D866" s="472" t="n">
        <f aca="false">тарифик!J867</f>
        <v>267.737617135208</v>
      </c>
      <c r="E866" s="472"/>
      <c r="F866" s="473" t="n">
        <f aca="false">D866*0.9*0.095+D866*3%</f>
        <v>30.9236947791165</v>
      </c>
      <c r="G866" s="472" t="n">
        <f aca="false">амортизация!M2926</f>
        <v>44.2045961624275</v>
      </c>
      <c r="H866" s="473" t="e">
        <f aca="false">C866+D866+F866+G866</f>
        <v>#NAME?</v>
      </c>
      <c r="I866" s="462" t="n">
        <f aca="false">I$190</f>
        <v>0.240474587202079</v>
      </c>
      <c r="J866" s="473" t="n">
        <f aca="false">D866*I866</f>
        <v>64.3840929590573</v>
      </c>
      <c r="K866" s="473" t="e">
        <f aca="false">H866+J866</f>
        <v>#NAME?</v>
      </c>
      <c r="L866" s="462" t="n">
        <v>0.2</v>
      </c>
      <c r="M866" s="473" t="e">
        <f aca="false">K866*L866</f>
        <v>#NAME?</v>
      </c>
      <c r="N866" s="473" t="e">
        <f aca="false">K866+M866</f>
        <v>#NAME?</v>
      </c>
      <c r="O866" s="473" t="e">
        <f aca="false">M866</f>
        <v>#NAME?</v>
      </c>
    </row>
    <row r="867" s="461" customFormat="true" ht="15" hidden="false" customHeight="false" outlineLevel="0" collapsed="false">
      <c r="A867" s="327" t="s">
        <v>1448</v>
      </c>
      <c r="B867" s="502" t="s">
        <v>3461</v>
      </c>
      <c r="C867" s="472" t="e">
        <f aca="false">мат.затр!g7861</f>
        <v>#NAME?</v>
      </c>
      <c r="D867" s="472" t="n">
        <f aca="false">тарифик!J868</f>
        <v>301.204819277108</v>
      </c>
      <c r="E867" s="472"/>
      <c r="F867" s="473" t="n">
        <f aca="false">D867*0.9*0.095+D867*3%</f>
        <v>34.789156626506</v>
      </c>
      <c r="G867" s="472" t="n">
        <f aca="false">амортизация!M2927</f>
        <v>55.7786702365016</v>
      </c>
      <c r="H867" s="473" t="e">
        <f aca="false">C867+D867+F867+G867</f>
        <v>#NAME?</v>
      </c>
      <c r="I867" s="462" t="n">
        <f aca="false">I$190</f>
        <v>0.240474587202079</v>
      </c>
      <c r="J867" s="473" t="n">
        <f aca="false">D867*I867</f>
        <v>72.4321045789394</v>
      </c>
      <c r="K867" s="473" t="e">
        <f aca="false">H867+J867</f>
        <v>#NAME?</v>
      </c>
      <c r="L867" s="462" t="n">
        <v>0.2</v>
      </c>
      <c r="M867" s="473" t="e">
        <f aca="false">K867*L867</f>
        <v>#NAME?</v>
      </c>
      <c r="N867" s="473" t="e">
        <f aca="false">K867+M867</f>
        <v>#NAME?</v>
      </c>
      <c r="O867" s="473" t="e">
        <f aca="false">M867</f>
        <v>#NAME?</v>
      </c>
    </row>
    <row r="868" s="461" customFormat="true" ht="15" hidden="false" customHeight="false" outlineLevel="0" collapsed="false">
      <c r="A868" s="327" t="s">
        <v>1449</v>
      </c>
      <c r="B868" s="502" t="s">
        <v>3462</v>
      </c>
      <c r="C868" s="472" t="e">
        <f aca="false">мат.затр!g7868</f>
        <v>#NAME?</v>
      </c>
      <c r="D868" s="472" t="n">
        <f aca="false">тарифик!J869</f>
        <v>267.737617135208</v>
      </c>
      <c r="E868" s="472"/>
      <c r="F868" s="473" t="n">
        <f aca="false">D868*0.9*0.095+D868*3%</f>
        <v>30.9236947791165</v>
      </c>
      <c r="G868" s="472" t="n">
        <f aca="false">амортизация!M2928</f>
        <v>55.7786702365016</v>
      </c>
      <c r="H868" s="473" t="e">
        <f aca="false">C868+D868+F868+G868</f>
        <v>#NAME?</v>
      </c>
      <c r="I868" s="462" t="n">
        <f aca="false">I$190</f>
        <v>0.240474587202079</v>
      </c>
      <c r="J868" s="473" t="n">
        <f aca="false">D868*I868</f>
        <v>64.3840929590573</v>
      </c>
      <c r="K868" s="473" t="e">
        <f aca="false">H868+J868</f>
        <v>#NAME?</v>
      </c>
      <c r="L868" s="462" t="n">
        <v>0.2</v>
      </c>
      <c r="M868" s="473" t="e">
        <f aca="false">K868*L868</f>
        <v>#NAME?</v>
      </c>
      <c r="N868" s="473" t="e">
        <f aca="false">K868+M868</f>
        <v>#NAME?</v>
      </c>
      <c r="O868" s="473" t="e">
        <f aca="false">M868</f>
        <v>#NAME?</v>
      </c>
    </row>
    <row r="869" s="461" customFormat="true" ht="15" hidden="false" customHeight="false" outlineLevel="0" collapsed="false">
      <c r="A869" s="327" t="s">
        <v>1450</v>
      </c>
      <c r="B869" s="502" t="s">
        <v>3463</v>
      </c>
      <c r="C869" s="472" t="e">
        <f aca="false">мат.затр!g7874</f>
        <v>#NAME?</v>
      </c>
      <c r="D869" s="472" t="n">
        <f aca="false">тарифик!J870</f>
        <v>234.270414993307</v>
      </c>
      <c r="E869" s="472"/>
      <c r="F869" s="473" t="n">
        <f aca="false">D869*0.9*0.095+D869*3%</f>
        <v>27.0582329317269</v>
      </c>
      <c r="G869" s="472" t="n">
        <f aca="false">амортизация!M2929</f>
        <v>55.7786702365016</v>
      </c>
      <c r="H869" s="473" t="e">
        <f aca="false">C869+D869+F869+G869</f>
        <v>#NAME?</v>
      </c>
      <c r="I869" s="462" t="n">
        <f aca="false">I$190</f>
        <v>0.240474587202079</v>
      </c>
      <c r="J869" s="473" t="n">
        <f aca="false">D869*I869</f>
        <v>56.3360813391751</v>
      </c>
      <c r="K869" s="473" t="e">
        <f aca="false">H869+J869</f>
        <v>#NAME?</v>
      </c>
      <c r="L869" s="462" t="n">
        <v>0.2</v>
      </c>
      <c r="M869" s="473" t="e">
        <f aca="false">K869*L869</f>
        <v>#NAME?</v>
      </c>
      <c r="N869" s="473" t="e">
        <f aca="false">K869+M869</f>
        <v>#NAME?</v>
      </c>
      <c r="O869" s="473" t="e">
        <f aca="false">M869</f>
        <v>#NAME?</v>
      </c>
    </row>
    <row r="870" s="461" customFormat="true" ht="15" hidden="false" customHeight="false" outlineLevel="0" collapsed="false">
      <c r="A870" s="327" t="s">
        <v>1451</v>
      </c>
      <c r="B870" s="502" t="s">
        <v>3466</v>
      </c>
      <c r="C870" s="472" t="e">
        <f aca="false">мат.затр!g7881</f>
        <v>#NAME?</v>
      </c>
      <c r="D870" s="472" t="n">
        <f aca="false">тарифик!J871</f>
        <v>446.229361892013</v>
      </c>
      <c r="E870" s="472"/>
      <c r="F870" s="473" t="n">
        <f aca="false">D870*0.9*0.095+D870*3%</f>
        <v>51.5394912985274</v>
      </c>
      <c r="G870" s="472" t="n">
        <f aca="false">амортизация!M2930</f>
        <v>156.420124944221</v>
      </c>
      <c r="H870" s="473" t="e">
        <f aca="false">C870+D870+F870+G870</f>
        <v>#NAME?</v>
      </c>
      <c r="I870" s="462" t="n">
        <f aca="false">I$190</f>
        <v>0.240474587202079</v>
      </c>
      <c r="J870" s="473" t="n">
        <f aca="false">D870*I870</f>
        <v>107.306821598429</v>
      </c>
      <c r="K870" s="473" t="e">
        <f aca="false">H870+J870</f>
        <v>#NAME?</v>
      </c>
      <c r="L870" s="462" t="n">
        <v>0.2</v>
      </c>
      <c r="M870" s="473" t="e">
        <f aca="false">K870*L870</f>
        <v>#NAME?</v>
      </c>
      <c r="N870" s="473" t="e">
        <f aca="false">K870+M870</f>
        <v>#NAME?</v>
      </c>
      <c r="O870" s="473" t="e">
        <f aca="false">M870</f>
        <v>#NAME?</v>
      </c>
    </row>
    <row r="871" s="461" customFormat="true" ht="15" hidden="false" customHeight="false" outlineLevel="0" collapsed="false">
      <c r="A871" s="327" t="s">
        <v>1452</v>
      </c>
      <c r="B871" s="503" t="s">
        <v>3481</v>
      </c>
      <c r="C871" s="472" t="e">
        <f aca="false">мат.затр!g7886</f>
        <v>#NAME?</v>
      </c>
      <c r="D871" s="472" t="n">
        <f aca="false">тарифик!J872</f>
        <v>368.13922356091</v>
      </c>
      <c r="E871" s="472"/>
      <c r="F871" s="473" t="n">
        <f aca="false">D871*0.9*0.095+D871*3%</f>
        <v>42.5200803212851</v>
      </c>
      <c r="G871" s="472" t="n">
        <f aca="false">амортизация!M2931</f>
        <v>44.2045961624275</v>
      </c>
      <c r="H871" s="473" t="e">
        <f aca="false">C871+D871+F871+G871</f>
        <v>#NAME?</v>
      </c>
      <c r="I871" s="462" t="n">
        <f aca="false">I$190</f>
        <v>0.240474587202079</v>
      </c>
      <c r="J871" s="473" t="n">
        <f aca="false">D871*I871</f>
        <v>88.5281278187038</v>
      </c>
      <c r="K871" s="473" t="e">
        <f aca="false">H871+J871</f>
        <v>#NAME?</v>
      </c>
      <c r="L871" s="462" t="n">
        <v>0.2</v>
      </c>
      <c r="M871" s="473" t="e">
        <f aca="false">K871*L871</f>
        <v>#NAME?</v>
      </c>
      <c r="N871" s="473" t="e">
        <f aca="false">K871+M871</f>
        <v>#NAME?</v>
      </c>
      <c r="O871" s="473" t="e">
        <f aca="false">M871</f>
        <v>#NAME?</v>
      </c>
    </row>
    <row r="872" s="461" customFormat="true" ht="15" hidden="false" customHeight="false" outlineLevel="0" collapsed="false">
      <c r="A872" s="327" t="s">
        <v>1454</v>
      </c>
      <c r="B872" s="503" t="s">
        <v>3482</v>
      </c>
      <c r="C872" s="472" t="e">
        <f aca="false">мат.затр!g7891</f>
        <v>#NAME?</v>
      </c>
      <c r="D872" s="472" t="n">
        <f aca="false">тарифик!J873</f>
        <v>312.360553324409</v>
      </c>
      <c r="E872" s="472"/>
      <c r="F872" s="473" t="n">
        <f aca="false">D872*0.9*0.095+D872*3%</f>
        <v>36.0776439089692</v>
      </c>
      <c r="G872" s="472" t="n">
        <f aca="false">амортизация!M2932</f>
        <v>44.2045961624275</v>
      </c>
      <c r="H872" s="473" t="e">
        <f aca="false">C872+D872+F872+G872</f>
        <v>#NAME?</v>
      </c>
      <c r="I872" s="462" t="n">
        <f aca="false">I$190</f>
        <v>0.240474587202079</v>
      </c>
      <c r="J872" s="473" t="n">
        <f aca="false">D872*I872</f>
        <v>75.1147751189002</v>
      </c>
      <c r="K872" s="473" t="e">
        <f aca="false">H872+J872</f>
        <v>#NAME?</v>
      </c>
      <c r="L872" s="462" t="n">
        <v>0.2</v>
      </c>
      <c r="M872" s="473" t="e">
        <f aca="false">K872*L872</f>
        <v>#NAME?</v>
      </c>
      <c r="N872" s="473" t="e">
        <f aca="false">K872+M872</f>
        <v>#NAME?</v>
      </c>
      <c r="O872" s="473" t="e">
        <f aca="false">M872</f>
        <v>#NAME?</v>
      </c>
    </row>
    <row r="873" s="461" customFormat="true" ht="15" hidden="false" customHeight="false" outlineLevel="0" collapsed="false">
      <c r="A873" s="327" t="s">
        <v>1455</v>
      </c>
      <c r="B873" s="503" t="s">
        <v>3483</v>
      </c>
      <c r="C873" s="472" t="e">
        <f aca="false">мат.затр!g7894</f>
        <v>#NAME?</v>
      </c>
      <c r="D873" s="472" t="n">
        <f aca="false">тарифик!J874</f>
        <v>223.114680946006</v>
      </c>
      <c r="E873" s="472"/>
      <c r="F873" s="473" t="n">
        <f aca="false">D873*0.9*0.095+D873*3%</f>
        <v>25.7697456492637</v>
      </c>
      <c r="G873" s="472" t="n">
        <f aca="false">амортизация!M2933</f>
        <v>44.2045961624275</v>
      </c>
      <c r="H873" s="473" t="e">
        <f aca="false">C873+D873+F873+G873</f>
        <v>#NAME?</v>
      </c>
      <c r="I873" s="462" t="n">
        <f aca="false">I$190</f>
        <v>0.240474587202079</v>
      </c>
      <c r="J873" s="473" t="n">
        <f aca="false">D873*I873</f>
        <v>53.6534107992144</v>
      </c>
      <c r="K873" s="473" t="e">
        <f aca="false">H873+J873</f>
        <v>#NAME?</v>
      </c>
      <c r="L873" s="462" t="n">
        <v>0.2</v>
      </c>
      <c r="M873" s="473" t="e">
        <f aca="false">K873*L873</f>
        <v>#NAME?</v>
      </c>
      <c r="N873" s="473" t="e">
        <f aca="false">K873+M873</f>
        <v>#NAME?</v>
      </c>
      <c r="O873" s="473" t="e">
        <f aca="false">M873</f>
        <v>#NAME?</v>
      </c>
    </row>
    <row r="874" s="461" customFormat="true" ht="15" hidden="false" customHeight="false" outlineLevel="0" collapsed="false">
      <c r="A874" s="327" t="s">
        <v>1456</v>
      </c>
      <c r="B874" s="503" t="s">
        <v>3484</v>
      </c>
      <c r="C874" s="472" t="e">
        <f aca="false">мат.затр!g7897</f>
        <v>#NAME?</v>
      </c>
      <c r="D874" s="472" t="n">
        <f aca="false">тарифик!J875</f>
        <v>803.212851405622</v>
      </c>
      <c r="E874" s="472"/>
      <c r="F874" s="473" t="n">
        <f aca="false">D874*0.9*0.095+D874*3%</f>
        <v>92.7710843373494</v>
      </c>
      <c r="G874" s="472" t="n">
        <f aca="false">амортизация!M2934</f>
        <v>156.420124944221</v>
      </c>
      <c r="H874" s="473" t="e">
        <f aca="false">C874+D874+F874+G874</f>
        <v>#NAME?</v>
      </c>
      <c r="I874" s="462" t="n">
        <f aca="false">I$190</f>
        <v>0.240474587202079</v>
      </c>
      <c r="J874" s="473" t="n">
        <f aca="false">D874*I874</f>
        <v>193.152278877172</v>
      </c>
      <c r="K874" s="473" t="e">
        <f aca="false">H874+J874</f>
        <v>#NAME?</v>
      </c>
      <c r="L874" s="462" t="n">
        <v>0.2</v>
      </c>
      <c r="M874" s="473" t="e">
        <f aca="false">K874*L874</f>
        <v>#NAME?</v>
      </c>
      <c r="N874" s="473" t="e">
        <f aca="false">K874+M874</f>
        <v>#NAME?</v>
      </c>
      <c r="O874" s="473" t="e">
        <f aca="false">M874</f>
        <v>#NAME?</v>
      </c>
    </row>
    <row r="875" s="461" customFormat="true" ht="15" hidden="false" customHeight="false" outlineLevel="0" collapsed="false">
      <c r="A875" s="327" t="s">
        <v>1458</v>
      </c>
      <c r="B875" s="503" t="s">
        <v>3485</v>
      </c>
      <c r="C875" s="472" t="e">
        <f aca="false">мат.затр!g7902</f>
        <v>#NAME?</v>
      </c>
      <c r="D875" s="472" t="n">
        <f aca="false">тарифик!J876</f>
        <v>490.852298081214</v>
      </c>
      <c r="E875" s="472"/>
      <c r="F875" s="473" t="n">
        <f aca="false">D875*0.9*0.095+D875*3%</f>
        <v>56.6934404283802</v>
      </c>
      <c r="G875" s="472" t="n">
        <f aca="false">амортизация!M2935</f>
        <v>156.420124944221</v>
      </c>
      <c r="H875" s="473" t="e">
        <f aca="false">C875+D875+F875+G875</f>
        <v>#NAME?</v>
      </c>
      <c r="I875" s="462" t="n">
        <f aca="false">I$190</f>
        <v>0.240474587202079</v>
      </c>
      <c r="J875" s="473" t="n">
        <f aca="false">D875*I875</f>
        <v>118.037503758272</v>
      </c>
      <c r="K875" s="473" t="e">
        <f aca="false">H875+J875</f>
        <v>#NAME?</v>
      </c>
      <c r="L875" s="462" t="n">
        <v>0.2</v>
      </c>
      <c r="M875" s="473" t="e">
        <f aca="false">K875*L875</f>
        <v>#NAME?</v>
      </c>
      <c r="N875" s="473" t="e">
        <f aca="false">K875+M875</f>
        <v>#NAME?</v>
      </c>
      <c r="O875" s="473" t="e">
        <f aca="false">M875</f>
        <v>#NAME?</v>
      </c>
    </row>
    <row r="876" s="461" customFormat="true" ht="15" hidden="false" customHeight="false" outlineLevel="0" collapsed="false">
      <c r="A876" s="327" t="s">
        <v>1459</v>
      </c>
      <c r="B876" s="503" t="s">
        <v>3486</v>
      </c>
      <c r="C876" s="472" t="e">
        <f aca="false">мат.затр!g7903</f>
        <v>#NAME?</v>
      </c>
      <c r="D876" s="472" t="n">
        <f aca="false">тарифик!J877</f>
        <v>1896.47478804105</v>
      </c>
      <c r="E876" s="472"/>
      <c r="F876" s="473" t="n">
        <f aca="false">D876*0.9*0.095+D876*3%</f>
        <v>219.042838018742</v>
      </c>
      <c r="G876" s="472" t="n">
        <f aca="false">амортизация!M2936</f>
        <v>156.420124944221</v>
      </c>
      <c r="H876" s="473" t="e">
        <f aca="false">C876+D876+F876+G876</f>
        <v>#NAME?</v>
      </c>
      <c r="I876" s="462" t="n">
        <f aca="false">I$190</f>
        <v>0.240474587202079</v>
      </c>
      <c r="J876" s="473" t="n">
        <f aca="false">D876*I876</f>
        <v>456.053991793322</v>
      </c>
      <c r="K876" s="473" t="e">
        <f aca="false">H876+J876</f>
        <v>#NAME?</v>
      </c>
      <c r="L876" s="462" t="n">
        <v>0.2</v>
      </c>
      <c r="M876" s="473" t="e">
        <f aca="false">K876*L876</f>
        <v>#NAME?</v>
      </c>
      <c r="N876" s="473" t="e">
        <f aca="false">K876+M876</f>
        <v>#NAME?</v>
      </c>
      <c r="O876" s="473" t="e">
        <f aca="false">M876</f>
        <v>#NAME?</v>
      </c>
    </row>
    <row r="877" s="461" customFormat="true" ht="15" hidden="false" customHeight="false" outlineLevel="0" collapsed="false">
      <c r="A877" s="327" t="s">
        <v>1461</v>
      </c>
      <c r="B877" s="503" t="s">
        <v>3487</v>
      </c>
      <c r="C877" s="472" t="e">
        <f aca="false">мат.затр!g7904</f>
        <v>#NAME?</v>
      </c>
      <c r="D877" s="472" t="n">
        <f aca="false">тарифик!J878</f>
        <v>1764.83712628291</v>
      </c>
      <c r="E877" s="472"/>
      <c r="F877" s="473" t="n">
        <f aca="false">D877*0.9*0.095+D877*3%</f>
        <v>203.838688085676</v>
      </c>
      <c r="G877" s="472" t="n">
        <f aca="false">амортизация!M2937</f>
        <v>3.72941767068273</v>
      </c>
      <c r="H877" s="473" t="e">
        <f aca="false">C877+D877+F877+G877</f>
        <v>#NAME?</v>
      </c>
      <c r="I877" s="462" t="n">
        <f aca="false">I$190</f>
        <v>0.240474587202079</v>
      </c>
      <c r="J877" s="473" t="n">
        <f aca="false">D877*I877</f>
        <v>424.398479421786</v>
      </c>
      <c r="K877" s="473" t="e">
        <f aca="false">H877+J877</f>
        <v>#NAME?</v>
      </c>
      <c r="L877" s="462" t="n">
        <v>0.2</v>
      </c>
      <c r="M877" s="473" t="e">
        <f aca="false">K877*L877</f>
        <v>#NAME?</v>
      </c>
      <c r="N877" s="473" t="e">
        <f aca="false">K877+M877</f>
        <v>#NAME?</v>
      </c>
      <c r="O877" s="473" t="e">
        <f aca="false">M877</f>
        <v>#NAME?</v>
      </c>
    </row>
    <row r="878" s="461" customFormat="true" ht="15" hidden="false" customHeight="false" outlineLevel="0" collapsed="false">
      <c r="A878" s="327" t="s">
        <v>1463</v>
      </c>
      <c r="B878" s="503" t="s">
        <v>3488</v>
      </c>
      <c r="C878" s="472" t="e">
        <f aca="false">мат.затр!g7909</f>
        <v>#NAME?</v>
      </c>
      <c r="D878" s="472" t="n">
        <f aca="false">тарифик!J879</f>
        <v>200.803212851406</v>
      </c>
      <c r="E878" s="472"/>
      <c r="F878" s="473" t="n">
        <f aca="false">D878*0.9*0.095+D878*3%</f>
        <v>23.1927710843374</v>
      </c>
      <c r="G878" s="472" t="n">
        <f aca="false">амортизация!M2938</f>
        <v>22.3765060240964</v>
      </c>
      <c r="H878" s="473" t="e">
        <f aca="false">C878+D878+F878+G878</f>
        <v>#NAME?</v>
      </c>
      <c r="I878" s="462" t="n">
        <f aca="false">I$190</f>
        <v>0.240474587202079</v>
      </c>
      <c r="J878" s="473" t="n">
        <f aca="false">D878*I878</f>
        <v>48.288069719293</v>
      </c>
      <c r="K878" s="473" t="e">
        <f aca="false">H878+J878</f>
        <v>#NAME?</v>
      </c>
      <c r="L878" s="462" t="n">
        <v>0.2</v>
      </c>
      <c r="M878" s="473" t="e">
        <f aca="false">K878*L878</f>
        <v>#NAME?</v>
      </c>
      <c r="N878" s="473" t="e">
        <f aca="false">K878+M878</f>
        <v>#NAME?</v>
      </c>
      <c r="O878" s="473" t="e">
        <f aca="false">M878</f>
        <v>#NAME?</v>
      </c>
    </row>
    <row r="879" s="461" customFormat="true" ht="15" hidden="false" customHeight="false" outlineLevel="0" collapsed="false">
      <c r="A879" s="327" t="s">
        <v>1465</v>
      </c>
      <c r="B879" s="504" t="s">
        <v>3489</v>
      </c>
      <c r="C879" s="472" t="e">
        <f aca="false">мат.затр!g7914</f>
        <v>#NAME?</v>
      </c>
      <c r="D879" s="472" t="n">
        <f aca="false">тарифик!J880</f>
        <v>2704.41767068273</v>
      </c>
      <c r="E879" s="472"/>
      <c r="F879" s="473" t="n">
        <f aca="false">D879*0.9*0.095+D879*3%</f>
        <v>312.360240963855</v>
      </c>
      <c r="G879" s="472" t="n">
        <f aca="false">амортизация!M2939</f>
        <v>3.72941767068273</v>
      </c>
      <c r="H879" s="473" t="e">
        <f aca="false">C879+D879+F879+G879</f>
        <v>#NAME?</v>
      </c>
      <c r="I879" s="462" t="n">
        <f aca="false">I$190</f>
        <v>0.240474587202079</v>
      </c>
      <c r="J879" s="473" t="n">
        <f aca="false">D879*I879</f>
        <v>650.343722979438</v>
      </c>
      <c r="K879" s="473" t="e">
        <f aca="false">H879+J879</f>
        <v>#NAME?</v>
      </c>
      <c r="L879" s="462" t="n">
        <v>0.2</v>
      </c>
      <c r="M879" s="473" t="e">
        <f aca="false">K879*L879</f>
        <v>#NAME?</v>
      </c>
      <c r="N879" s="473" t="e">
        <f aca="false">K879+M879</f>
        <v>#NAME?</v>
      </c>
      <c r="O879" s="473" t="e">
        <f aca="false">M879</f>
        <v>#NAME?</v>
      </c>
    </row>
    <row r="880" s="461" customFormat="true" ht="15" hidden="false" customHeight="false" outlineLevel="0" collapsed="false">
      <c r="A880" s="327" t="s">
        <v>1467</v>
      </c>
      <c r="B880" s="504" t="s">
        <v>3490</v>
      </c>
      <c r="C880" s="472" t="e">
        <f aca="false">мат.затр!g7919</f>
        <v>#NAME?</v>
      </c>
      <c r="D880" s="472" t="n">
        <f aca="false">тарифик!J881</f>
        <v>1837.6171352075</v>
      </c>
      <c r="E880" s="472"/>
      <c r="F880" s="473" t="n">
        <f aca="false">D880*0.9*0.095+D880*3%</f>
        <v>212.244779116466</v>
      </c>
      <c r="G880" s="472" t="n">
        <f aca="false">амортизация!M2940</f>
        <v>14.9176706827309</v>
      </c>
      <c r="H880" s="473" t="e">
        <f aca="false">C880+D880+F880+G880</f>
        <v>#NAME?</v>
      </c>
      <c r="I880" s="462" t="n">
        <f aca="false">I$190</f>
        <v>0.240474587202079</v>
      </c>
      <c r="J880" s="473" t="n">
        <f aca="false">D880*I880</f>
        <v>441.90022202449</v>
      </c>
      <c r="K880" s="473" t="e">
        <f aca="false">H880+J880</f>
        <v>#NAME?</v>
      </c>
      <c r="L880" s="462" t="n">
        <v>0.2</v>
      </c>
      <c r="M880" s="473" t="e">
        <f aca="false">K880*L880</f>
        <v>#NAME?</v>
      </c>
      <c r="N880" s="473" t="e">
        <f aca="false">K880+M880</f>
        <v>#NAME?</v>
      </c>
      <c r="O880" s="473" t="e">
        <f aca="false">M880</f>
        <v>#NAME?</v>
      </c>
    </row>
    <row r="881" s="461" customFormat="true" ht="15" hidden="false" customHeight="false" outlineLevel="0" collapsed="false">
      <c r="A881" s="327" t="s">
        <v>1469</v>
      </c>
      <c r="B881" s="503" t="s">
        <v>3491</v>
      </c>
      <c r="C881" s="472" t="e">
        <f aca="false">мат.затр!g7920</f>
        <v>#NAME?</v>
      </c>
      <c r="D881" s="472" t="n">
        <f aca="false">тарифик!J882</f>
        <v>9208.31102186524</v>
      </c>
      <c r="E881" s="472"/>
      <c r="F881" s="473" t="n">
        <f aca="false">D881*0.9*0.095+D881*3%</f>
        <v>1063.55992302544</v>
      </c>
      <c r="G881" s="472" t="n">
        <f aca="false">амортизация!M2941</f>
        <v>3.72941767068273</v>
      </c>
      <c r="H881" s="473" t="e">
        <f aca="false">C881+D881+F881+G881</f>
        <v>#NAME?</v>
      </c>
      <c r="I881" s="462" t="n">
        <f aca="false">I$190</f>
        <v>0.240474587202079</v>
      </c>
      <c r="J881" s="473" t="n">
        <f aca="false">D881*I881</f>
        <v>2214.3647918114</v>
      </c>
      <c r="K881" s="473" t="e">
        <f aca="false">H881+J881</f>
        <v>#NAME?</v>
      </c>
      <c r="L881" s="462" t="n">
        <v>0.2</v>
      </c>
      <c r="M881" s="473" t="e">
        <f aca="false">K881*L881</f>
        <v>#NAME?</v>
      </c>
      <c r="N881" s="473" t="e">
        <f aca="false">K881+M881</f>
        <v>#NAME?</v>
      </c>
      <c r="O881" s="473" t="e">
        <f aca="false">M881</f>
        <v>#NAME?</v>
      </c>
    </row>
    <row r="882" s="461" customFormat="true" ht="42.75" hidden="false" customHeight="false" outlineLevel="0" collapsed="false">
      <c r="A882" s="350" t="s">
        <v>1471</v>
      </c>
      <c r="B882" s="348" t="s">
        <v>3492</v>
      </c>
      <c r="C882" s="468"/>
      <c r="D882" s="468"/>
      <c r="E882" s="472"/>
      <c r="F882" s="468"/>
      <c r="G882" s="468"/>
      <c r="H882" s="474"/>
      <c r="I882" s="475"/>
      <c r="J882" s="474"/>
      <c r="K882" s="474"/>
      <c r="L882" s="475"/>
      <c r="M882" s="474"/>
      <c r="N882" s="474"/>
      <c r="O882" s="474"/>
    </row>
    <row r="883" s="461" customFormat="true" ht="15" hidden="false" customHeight="false" outlineLevel="0" collapsed="false">
      <c r="A883" s="327" t="s">
        <v>1473</v>
      </c>
      <c r="B883" s="502" t="s">
        <v>3493</v>
      </c>
      <c r="C883" s="472" t="e">
        <f aca="false">мат.затр!g7924</f>
        <v>#NAME?</v>
      </c>
      <c r="D883" s="472" t="n">
        <f aca="false">тарифик!J884</f>
        <v>84.7835787594824</v>
      </c>
      <c r="E883" s="472"/>
      <c r="F883" s="473" t="n">
        <f aca="false">D883*0.9*0.095+D883*3%</f>
        <v>9.79250334672021</v>
      </c>
      <c r="G883" s="472" t="n">
        <f aca="false">амортизация!M2943</f>
        <v>0</v>
      </c>
      <c r="H883" s="473" t="e">
        <f aca="false">C883+D883+F883+G883</f>
        <v>#NAME?</v>
      </c>
      <c r="I883" s="462" t="n">
        <f aca="false">I$190</f>
        <v>0.240474587202079</v>
      </c>
      <c r="J883" s="473" t="n">
        <f aca="false">D883*I883</f>
        <v>20.3882961037015</v>
      </c>
      <c r="K883" s="473" t="e">
        <f aca="false">H883+J883</f>
        <v>#NAME?</v>
      </c>
      <c r="L883" s="462" t="n">
        <v>0.2</v>
      </c>
      <c r="M883" s="473" t="e">
        <f aca="false">K883*L883</f>
        <v>#NAME?</v>
      </c>
      <c r="N883" s="473" t="e">
        <f aca="false">K883+M883</f>
        <v>#NAME?</v>
      </c>
      <c r="O883" s="473" t="e">
        <f aca="false">M883</f>
        <v>#NAME?</v>
      </c>
    </row>
    <row r="884" s="461" customFormat="true" ht="15" hidden="false" customHeight="false" outlineLevel="0" collapsed="false">
      <c r="A884" s="327" t="s">
        <v>1475</v>
      </c>
      <c r="B884" s="502" t="s">
        <v>3494</v>
      </c>
      <c r="C884" s="472" t="e">
        <f aca="false">мат.затр!g7925</f>
        <v>#NAME?</v>
      </c>
      <c r="D884" s="472" t="n">
        <f aca="false">тарифик!J885</f>
        <v>450.301204819277</v>
      </c>
      <c r="E884" s="472"/>
      <c r="F884" s="473" t="n">
        <f aca="false">D884*0.9*0.095+D884*3%</f>
        <v>52.0097891566265</v>
      </c>
      <c r="G884" s="472" t="n">
        <f aca="false">амортизация!M2944</f>
        <v>0</v>
      </c>
      <c r="H884" s="473" t="e">
        <f aca="false">C884+D884+F884+G884</f>
        <v>#NAME?</v>
      </c>
      <c r="I884" s="462" t="n">
        <f aca="false">I$190</f>
        <v>0.240474587202079</v>
      </c>
      <c r="J884" s="473" t="n">
        <f aca="false">D884*I884</f>
        <v>108.285996345514</v>
      </c>
      <c r="K884" s="473" t="e">
        <f aca="false">H884+J884</f>
        <v>#NAME?</v>
      </c>
      <c r="L884" s="462" t="n">
        <v>0.2</v>
      </c>
      <c r="M884" s="473" t="e">
        <f aca="false">K884*L884</f>
        <v>#NAME?</v>
      </c>
      <c r="N884" s="473" t="e">
        <f aca="false">K884+M884</f>
        <v>#NAME?</v>
      </c>
      <c r="O884" s="473" t="e">
        <f aca="false">M884</f>
        <v>#NAME?</v>
      </c>
    </row>
    <row r="885" s="461" customFormat="true" ht="15" hidden="false" customHeight="false" outlineLevel="0" collapsed="false">
      <c r="A885" s="327" t="s">
        <v>1476</v>
      </c>
      <c r="B885" s="502" t="s">
        <v>3495</v>
      </c>
      <c r="C885" s="472" t="e">
        <f aca="false">мат.затр!g7930</f>
        <v>#NAME?</v>
      </c>
      <c r="D885" s="472" t="n">
        <f aca="false">тарифик!J886</f>
        <v>527.10843373494</v>
      </c>
      <c r="E885" s="472"/>
      <c r="F885" s="473" t="n">
        <f aca="false">D885*0.9*0.095+D885*3%</f>
        <v>60.8810240963856</v>
      </c>
      <c r="G885" s="472" t="n">
        <f aca="false">амортизация!M2945</f>
        <v>0</v>
      </c>
      <c r="H885" s="473" t="e">
        <f aca="false">C885+D885+F885+G885</f>
        <v>#NAME?</v>
      </c>
      <c r="I885" s="462" t="n">
        <f aca="false">I$190</f>
        <v>0.240474587202079</v>
      </c>
      <c r="J885" s="473" t="n">
        <f aca="false">D885*I885</f>
        <v>126.756183013144</v>
      </c>
      <c r="K885" s="473" t="e">
        <f aca="false">H885+J885</f>
        <v>#NAME?</v>
      </c>
      <c r="L885" s="462" t="n">
        <v>0.2</v>
      </c>
      <c r="M885" s="473" t="e">
        <f aca="false">K885*L885</f>
        <v>#NAME?</v>
      </c>
      <c r="N885" s="473" t="e">
        <f aca="false">K885+M885</f>
        <v>#NAME?</v>
      </c>
      <c r="O885" s="473" t="e">
        <f aca="false">M885</f>
        <v>#NAME?</v>
      </c>
    </row>
    <row r="886" s="461" customFormat="true" ht="15" hidden="false" customHeight="false" outlineLevel="0" collapsed="false">
      <c r="A886" s="327" t="s">
        <v>1477</v>
      </c>
      <c r="B886" s="502" t="s">
        <v>3496</v>
      </c>
      <c r="C886" s="472" t="e">
        <f aca="false">мат.затр!g7931</f>
        <v>#NAME?</v>
      </c>
      <c r="D886" s="472" t="n">
        <f aca="false">тарифик!J887</f>
        <v>602.409638554217</v>
      </c>
      <c r="E886" s="472"/>
      <c r="F886" s="473" t="n">
        <f aca="false">D886*0.9*0.095+D886*3%</f>
        <v>69.578313253012</v>
      </c>
      <c r="G886" s="472" t="n">
        <f aca="false">амортизация!M2946</f>
        <v>0</v>
      </c>
      <c r="H886" s="473" t="e">
        <f aca="false">C886+D886+F886+G886</f>
        <v>#NAME?</v>
      </c>
      <c r="I886" s="462" t="n">
        <f aca="false">I$190</f>
        <v>0.240474587202079</v>
      </c>
      <c r="J886" s="473" t="n">
        <f aca="false">D886*I886</f>
        <v>144.864209157879</v>
      </c>
      <c r="K886" s="473" t="e">
        <f aca="false">H886+J886</f>
        <v>#NAME?</v>
      </c>
      <c r="L886" s="462" t="n">
        <v>0.2</v>
      </c>
      <c r="M886" s="473" t="e">
        <f aca="false">K886*L886</f>
        <v>#NAME?</v>
      </c>
      <c r="N886" s="473" t="e">
        <f aca="false">K886+M886</f>
        <v>#NAME?</v>
      </c>
      <c r="O886" s="473" t="e">
        <f aca="false">M886</f>
        <v>#NAME?</v>
      </c>
    </row>
    <row r="887" s="461" customFormat="true" ht="15" hidden="false" customHeight="false" outlineLevel="0" collapsed="false">
      <c r="A887" s="327" t="s">
        <v>1478</v>
      </c>
      <c r="B887" s="502" t="s">
        <v>3497</v>
      </c>
      <c r="C887" s="472" t="e">
        <f aca="false">мат.затр!g7935</f>
        <v>#NAME?</v>
      </c>
      <c r="D887" s="472" t="n">
        <f aca="false">тарифик!J888</f>
        <v>468.540829986613</v>
      </c>
      <c r="E887" s="472"/>
      <c r="F887" s="473" t="n">
        <f aca="false">D887*0.9*0.095+D887*3%</f>
        <v>54.1164658634538</v>
      </c>
      <c r="G887" s="472" t="n">
        <f aca="false">амортизация!M2947</f>
        <v>0</v>
      </c>
      <c r="H887" s="473" t="e">
        <f aca="false">C887+D887+F887+G887</f>
        <v>#NAME?</v>
      </c>
      <c r="I887" s="462" t="n">
        <f aca="false">I$190</f>
        <v>0.240474587202079</v>
      </c>
      <c r="J887" s="473" t="n">
        <f aca="false">D887*I887</f>
        <v>112.67216267835</v>
      </c>
      <c r="K887" s="473" t="e">
        <f aca="false">H887+J887</f>
        <v>#NAME?</v>
      </c>
      <c r="L887" s="462" t="n">
        <v>0.2</v>
      </c>
      <c r="M887" s="473" t="e">
        <f aca="false">K887*L887</f>
        <v>#NAME?</v>
      </c>
      <c r="N887" s="473" t="e">
        <f aca="false">K887+M887</f>
        <v>#NAME?</v>
      </c>
      <c r="O887" s="473" t="e">
        <f aca="false">M887</f>
        <v>#NAME?</v>
      </c>
    </row>
    <row r="888" s="461" customFormat="true" ht="15" hidden="false" customHeight="false" outlineLevel="0" collapsed="false">
      <c r="A888" s="327" t="s">
        <v>1479</v>
      </c>
      <c r="B888" s="502" t="s">
        <v>3498</v>
      </c>
      <c r="C888" s="472" t="e">
        <f aca="false">мат.затр!g7939</f>
        <v>#NAME?</v>
      </c>
      <c r="D888" s="472" t="n">
        <f aca="false">тарифик!J889</f>
        <v>696.117804551539</v>
      </c>
      <c r="E888" s="472"/>
      <c r="F888" s="473" t="n">
        <f aca="false">D888*0.9*0.095+D888*3%</f>
        <v>80.4016064257028</v>
      </c>
      <c r="G888" s="472" t="n">
        <f aca="false">амортизация!M2948</f>
        <v>44.2045961624275</v>
      </c>
      <c r="H888" s="473" t="e">
        <f aca="false">C888+D888+F888+G888</f>
        <v>#NAME?</v>
      </c>
      <c r="I888" s="462" t="n">
        <f aca="false">I$190</f>
        <v>0.240474587202079</v>
      </c>
      <c r="J888" s="473" t="n">
        <f aca="false">D888*I888</f>
        <v>167.398641693549</v>
      </c>
      <c r="K888" s="473" t="e">
        <f aca="false">H888+J888</f>
        <v>#NAME?</v>
      </c>
      <c r="L888" s="462" t="n">
        <v>0.2</v>
      </c>
      <c r="M888" s="473" t="e">
        <f aca="false">K888*L888</f>
        <v>#NAME?</v>
      </c>
      <c r="N888" s="473" t="e">
        <f aca="false">K888+M888</f>
        <v>#NAME?</v>
      </c>
      <c r="O888" s="473" t="e">
        <f aca="false">M888</f>
        <v>#NAME?</v>
      </c>
    </row>
    <row r="889" s="461" customFormat="true" ht="15" hidden="false" customHeight="false" outlineLevel="0" collapsed="false">
      <c r="A889" s="327" t="s">
        <v>1480</v>
      </c>
      <c r="B889" s="502" t="s">
        <v>3499</v>
      </c>
      <c r="C889" s="472" t="e">
        <f aca="false">мат.затр!g7946</f>
        <v>#NAME?</v>
      </c>
      <c r="D889" s="472" t="n">
        <f aca="false">тарифик!J890</f>
        <v>535.475234270415</v>
      </c>
      <c r="E889" s="472"/>
      <c r="F889" s="473" t="n">
        <f aca="false">D889*0.9*0.095+D889*3%</f>
        <v>61.8473895582329</v>
      </c>
      <c r="G889" s="472" t="n">
        <f aca="false">амортизация!M2949</f>
        <v>44.2045961624275</v>
      </c>
      <c r="H889" s="473" t="e">
        <f aca="false">C889+D889+F889+G889</f>
        <v>#NAME?</v>
      </c>
      <c r="I889" s="462" t="n">
        <f aca="false">I$190</f>
        <v>0.240474587202079</v>
      </c>
      <c r="J889" s="473" t="n">
        <f aca="false">D889*I889</f>
        <v>128.768185918115</v>
      </c>
      <c r="K889" s="473" t="e">
        <f aca="false">H889+J889</f>
        <v>#NAME?</v>
      </c>
      <c r="L889" s="462" t="n">
        <v>0.2</v>
      </c>
      <c r="M889" s="473" t="e">
        <f aca="false">K889*L889</f>
        <v>#NAME?</v>
      </c>
      <c r="N889" s="473" t="e">
        <f aca="false">K889+M889</f>
        <v>#NAME?</v>
      </c>
      <c r="O889" s="473" t="e">
        <f aca="false">M889</f>
        <v>#NAME?</v>
      </c>
    </row>
    <row r="890" s="461" customFormat="true" ht="15" hidden="false" customHeight="false" outlineLevel="0" collapsed="false">
      <c r="A890" s="327" t="s">
        <v>1481</v>
      </c>
      <c r="B890" s="502" t="s">
        <v>3500</v>
      </c>
      <c r="C890" s="472" t="e">
        <f aca="false">мат.затр!g7952</f>
        <v>#NAME?</v>
      </c>
      <c r="D890" s="472" t="n">
        <f aca="false">тарифик!J891</f>
        <v>829.986613119143</v>
      </c>
      <c r="E890" s="472"/>
      <c r="F890" s="473" t="n">
        <f aca="false">D890*0.9*0.095+D890*3%</f>
        <v>95.863453815261</v>
      </c>
      <c r="G890" s="472" t="n">
        <f aca="false">амортизация!M2950</f>
        <v>44.2045961624275</v>
      </c>
      <c r="H890" s="473" t="e">
        <f aca="false">C890+D890+F890+G890</f>
        <v>#NAME?</v>
      </c>
      <c r="I890" s="462" t="n">
        <f aca="false">I$190</f>
        <v>0.240474587202079</v>
      </c>
      <c r="J890" s="473" t="n">
        <f aca="false">D890*I890</f>
        <v>199.590688173078</v>
      </c>
      <c r="K890" s="473" t="e">
        <f aca="false">H890+J890</f>
        <v>#NAME?</v>
      </c>
      <c r="L890" s="462" t="n">
        <v>0.2</v>
      </c>
      <c r="M890" s="473" t="e">
        <f aca="false">K890*L890</f>
        <v>#NAME?</v>
      </c>
      <c r="N890" s="473" t="e">
        <f aca="false">K890+M890</f>
        <v>#NAME?</v>
      </c>
      <c r="O890" s="473" t="e">
        <f aca="false">M890</f>
        <v>#NAME?</v>
      </c>
    </row>
    <row r="891" s="461" customFormat="true" ht="15" hidden="false" customHeight="false" outlineLevel="0" collapsed="false">
      <c r="A891" s="327" t="s">
        <v>1482</v>
      </c>
      <c r="B891" s="502" t="s">
        <v>3501</v>
      </c>
      <c r="C891" s="472" t="e">
        <f aca="false">мат.затр!g7956</f>
        <v>#NAME?</v>
      </c>
      <c r="D891" s="472" t="n">
        <f aca="false">тарифик!J892</f>
        <v>758.589915216421</v>
      </c>
      <c r="E891" s="472"/>
      <c r="F891" s="473" t="n">
        <f aca="false">D891*0.9*0.095+D891*3%</f>
        <v>87.6171352074966</v>
      </c>
      <c r="G891" s="472" t="n">
        <f aca="false">амортизация!M2951</f>
        <v>44.2045961624275</v>
      </c>
      <c r="H891" s="473" t="e">
        <f aca="false">C891+D891+F891+G891</f>
        <v>#NAME?</v>
      </c>
      <c r="I891" s="462" t="n">
        <f aca="false">I$190</f>
        <v>0.240474587202079</v>
      </c>
      <c r="J891" s="473" t="n">
        <f aca="false">D891*I891</f>
        <v>182.421596717329</v>
      </c>
      <c r="K891" s="473" t="e">
        <f aca="false">H891+J891</f>
        <v>#NAME?</v>
      </c>
      <c r="L891" s="462" t="n">
        <v>0.2</v>
      </c>
      <c r="M891" s="473" t="e">
        <f aca="false">K891*L891</f>
        <v>#NAME?</v>
      </c>
      <c r="N891" s="473" t="e">
        <f aca="false">K891+M891</f>
        <v>#NAME?</v>
      </c>
      <c r="O891" s="473" t="e">
        <f aca="false">M891</f>
        <v>#NAME?</v>
      </c>
    </row>
    <row r="892" s="461" customFormat="true" ht="15" hidden="false" customHeight="false" outlineLevel="0" collapsed="false">
      <c r="A892" s="327" t="s">
        <v>1483</v>
      </c>
      <c r="B892" s="502" t="s">
        <v>3431</v>
      </c>
      <c r="C892" s="472" t="e">
        <f aca="false">мат.затр!g7962</f>
        <v>#NAME?</v>
      </c>
      <c r="D892" s="472" t="n">
        <f aca="false">тарифик!J893</f>
        <v>981.704596162428</v>
      </c>
      <c r="E892" s="472"/>
      <c r="F892" s="473" t="n">
        <f aca="false">D892*0.9*0.095+D892*3%</f>
        <v>113.38688085676</v>
      </c>
      <c r="G892" s="472" t="n">
        <f aca="false">амортизация!M2952</f>
        <v>55.7786702365016</v>
      </c>
      <c r="H892" s="473" t="e">
        <f aca="false">C892+D892+F892+G892</f>
        <v>#NAME?</v>
      </c>
      <c r="I892" s="462" t="n">
        <f aca="false">I$190</f>
        <v>0.240474587202079</v>
      </c>
      <c r="J892" s="473" t="n">
        <f aca="false">D892*I892</f>
        <v>236.075007516543</v>
      </c>
      <c r="K892" s="473" t="e">
        <f aca="false">H892+J892</f>
        <v>#NAME?</v>
      </c>
      <c r="L892" s="462" t="n">
        <v>0.2</v>
      </c>
      <c r="M892" s="473" t="e">
        <f aca="false">K892*L892</f>
        <v>#NAME?</v>
      </c>
      <c r="N892" s="473" t="e">
        <f aca="false">K892+M892</f>
        <v>#NAME?</v>
      </c>
      <c r="O892" s="473" t="e">
        <f aca="false">M892</f>
        <v>#NAME?</v>
      </c>
    </row>
    <row r="893" s="461" customFormat="true" ht="15" hidden="false" customHeight="false" outlineLevel="0" collapsed="false">
      <c r="A893" s="327" t="s">
        <v>1484</v>
      </c>
      <c r="B893" s="502" t="s">
        <v>3199</v>
      </c>
      <c r="C893" s="472" t="e">
        <f aca="false">мат.затр!g7967</f>
        <v>#NAME?</v>
      </c>
      <c r="D893" s="472" t="n">
        <f aca="false">тарифик!J894</f>
        <v>981.704596162428</v>
      </c>
      <c r="E893" s="472"/>
      <c r="F893" s="473" t="n">
        <f aca="false">D893*0.9*0.095+D893*3%</f>
        <v>113.38688085676</v>
      </c>
      <c r="G893" s="472" t="n">
        <f aca="false">амортизация!M2953</f>
        <v>55.7786702365016</v>
      </c>
      <c r="H893" s="473" t="e">
        <f aca="false">C893+D893+F893+G893</f>
        <v>#NAME?</v>
      </c>
      <c r="I893" s="462" t="n">
        <f aca="false">I$190</f>
        <v>0.240474587202079</v>
      </c>
      <c r="J893" s="473" t="n">
        <f aca="false">D893*I893</f>
        <v>236.075007516543</v>
      </c>
      <c r="K893" s="473" t="e">
        <f aca="false">H893+J893</f>
        <v>#NAME?</v>
      </c>
      <c r="L893" s="462" t="n">
        <v>0.2</v>
      </c>
      <c r="M893" s="473" t="e">
        <f aca="false">K893*L893</f>
        <v>#NAME?</v>
      </c>
      <c r="N893" s="473" t="e">
        <f aca="false">K893+M893</f>
        <v>#NAME?</v>
      </c>
      <c r="O893" s="473" t="e">
        <f aca="false">M893</f>
        <v>#NAME?</v>
      </c>
    </row>
    <row r="894" s="461" customFormat="true" ht="15" hidden="false" customHeight="false" outlineLevel="0" collapsed="false">
      <c r="A894" s="327" t="s">
        <v>1485</v>
      </c>
      <c r="B894" s="502" t="s">
        <v>3502</v>
      </c>
      <c r="C894" s="472" t="e">
        <f aca="false">мат.затр!g7975</f>
        <v>#NAME?</v>
      </c>
      <c r="D894" s="472" t="n">
        <f aca="false">тарифик!J895</f>
        <v>669.344042838019</v>
      </c>
      <c r="E894" s="472"/>
      <c r="F894" s="473" t="n">
        <f aca="false">D894*0.9*0.095+D894*3%</f>
        <v>77.3092369477912</v>
      </c>
      <c r="G894" s="472" t="n">
        <f aca="false">амортизация!M2954</f>
        <v>55.7786702365016</v>
      </c>
      <c r="H894" s="473" t="e">
        <f aca="false">C894+D894+F894+G894</f>
        <v>#NAME?</v>
      </c>
      <c r="I894" s="462" t="n">
        <f aca="false">I$190</f>
        <v>0.240474587202079</v>
      </c>
      <c r="J894" s="473" t="n">
        <f aca="false">D894*I894</f>
        <v>160.960232397643</v>
      </c>
      <c r="K894" s="473" t="e">
        <f aca="false">H894+J894</f>
        <v>#NAME?</v>
      </c>
      <c r="L894" s="462" t="n">
        <v>0.2</v>
      </c>
      <c r="M894" s="473" t="e">
        <f aca="false">K894*L894</f>
        <v>#NAME?</v>
      </c>
      <c r="N894" s="473" t="e">
        <f aca="false">K894+M894</f>
        <v>#NAME?</v>
      </c>
      <c r="O894" s="473" t="e">
        <f aca="false">M894</f>
        <v>#NAME?</v>
      </c>
    </row>
    <row r="895" s="461" customFormat="true" ht="15" hidden="false" customHeight="false" outlineLevel="0" collapsed="false">
      <c r="A895" s="327" t="s">
        <v>1486</v>
      </c>
      <c r="B895" s="502" t="s">
        <v>3433</v>
      </c>
      <c r="C895" s="472" t="e">
        <f aca="false">мат.затр!g7981</f>
        <v>#NAME?</v>
      </c>
      <c r="D895" s="472" t="n">
        <f aca="false">тарифик!J896</f>
        <v>468.540829986613</v>
      </c>
      <c r="E895" s="472"/>
      <c r="F895" s="473" t="n">
        <f aca="false">D895*0.9*0.095+D895*3%</f>
        <v>54.1164658634538</v>
      </c>
      <c r="G895" s="472" t="n">
        <f aca="false">амортизация!M2955</f>
        <v>55.7786702365016</v>
      </c>
      <c r="H895" s="473" t="e">
        <f aca="false">C895+D895+F895+G895</f>
        <v>#NAME?</v>
      </c>
      <c r="I895" s="462" t="n">
        <f aca="false">I$190</f>
        <v>0.240474587202079</v>
      </c>
      <c r="J895" s="473" t="n">
        <f aca="false">D895*I895</f>
        <v>112.67216267835</v>
      </c>
      <c r="K895" s="473" t="e">
        <f aca="false">H895+J895</f>
        <v>#NAME?</v>
      </c>
      <c r="L895" s="462" t="n">
        <v>0.2</v>
      </c>
      <c r="M895" s="473" t="e">
        <f aca="false">K895*L895</f>
        <v>#NAME?</v>
      </c>
      <c r="N895" s="473" t="e">
        <f aca="false">K895+M895</f>
        <v>#NAME?</v>
      </c>
      <c r="O895" s="473" t="e">
        <f aca="false">M895</f>
        <v>#NAME?</v>
      </c>
    </row>
    <row r="896" s="461" customFormat="true" ht="15" hidden="false" customHeight="false" outlineLevel="0" collapsed="false">
      <c r="A896" s="327" t="s">
        <v>1487</v>
      </c>
      <c r="B896" s="502" t="s">
        <v>3434</v>
      </c>
      <c r="C896" s="472" t="e">
        <f aca="false">мат.затр!g7987</f>
        <v>#NAME?</v>
      </c>
      <c r="D896" s="472" t="n">
        <f aca="false">тарифик!J897</f>
        <v>937.081659973226</v>
      </c>
      <c r="E896" s="472"/>
      <c r="F896" s="473" t="n">
        <f aca="false">D896*0.9*0.095+D896*3%</f>
        <v>108.232931726908</v>
      </c>
      <c r="G896" s="472" t="n">
        <f aca="false">амортизация!M2956</f>
        <v>55.7786702365016</v>
      </c>
      <c r="H896" s="473" t="e">
        <f aca="false">C896+D896+F896+G896</f>
        <v>#NAME?</v>
      </c>
      <c r="I896" s="462" t="n">
        <f aca="false">I$190</f>
        <v>0.240474587202079</v>
      </c>
      <c r="J896" s="473" t="n">
        <f aca="false">D896*I896</f>
        <v>225.344325356701</v>
      </c>
      <c r="K896" s="473" t="e">
        <f aca="false">H896+J896</f>
        <v>#NAME?</v>
      </c>
      <c r="L896" s="462" t="n">
        <v>0.2</v>
      </c>
      <c r="M896" s="473" t="e">
        <f aca="false">K896*L896</f>
        <v>#NAME?</v>
      </c>
      <c r="N896" s="473" t="e">
        <f aca="false">K896+M896</f>
        <v>#NAME?</v>
      </c>
      <c r="O896" s="473" t="e">
        <f aca="false">M896</f>
        <v>#NAME?</v>
      </c>
    </row>
    <row r="897" s="461" customFormat="true" ht="15" hidden="false" customHeight="false" outlineLevel="0" collapsed="false">
      <c r="A897" s="327" t="s">
        <v>1488</v>
      </c>
      <c r="B897" s="502" t="s">
        <v>3435</v>
      </c>
      <c r="C897" s="472" t="e">
        <f aca="false">мат.затр!g7994</f>
        <v>#NAME?</v>
      </c>
      <c r="D897" s="472" t="n">
        <f aca="false">тарифик!J898</f>
        <v>267.737617135208</v>
      </c>
      <c r="E897" s="472"/>
      <c r="F897" s="473" t="n">
        <f aca="false">D897*0.9*0.095+D897*3%</f>
        <v>30.9236947791165</v>
      </c>
      <c r="G897" s="472" t="n">
        <f aca="false">амортизация!M2957</f>
        <v>55.7786702365016</v>
      </c>
      <c r="H897" s="473" t="e">
        <f aca="false">C897+D897+F897+G897</f>
        <v>#NAME?</v>
      </c>
      <c r="I897" s="462" t="n">
        <f aca="false">I$190</f>
        <v>0.240474587202079</v>
      </c>
      <c r="J897" s="473" t="n">
        <f aca="false">D897*I897</f>
        <v>64.3840929590573</v>
      </c>
      <c r="K897" s="473" t="e">
        <f aca="false">H897+J897</f>
        <v>#NAME?</v>
      </c>
      <c r="L897" s="462" t="n">
        <v>0.2</v>
      </c>
      <c r="M897" s="473" t="e">
        <f aca="false">K897*L897</f>
        <v>#NAME?</v>
      </c>
      <c r="N897" s="473" t="e">
        <f aca="false">K897+M897</f>
        <v>#NAME?</v>
      </c>
      <c r="O897" s="473" t="e">
        <f aca="false">M897</f>
        <v>#NAME?</v>
      </c>
    </row>
    <row r="898" s="461" customFormat="true" ht="15" hidden="false" customHeight="false" outlineLevel="0" collapsed="false">
      <c r="A898" s="327" t="s">
        <v>1489</v>
      </c>
      <c r="B898" s="502" t="s">
        <v>3436</v>
      </c>
      <c r="C898" s="472" t="e">
        <f aca="false">мат.затр!g8000</f>
        <v>#NAME?</v>
      </c>
      <c r="D898" s="472" t="n">
        <f aca="false">тарифик!J899</f>
        <v>981.704596162428</v>
      </c>
      <c r="E898" s="472"/>
      <c r="F898" s="473" t="n">
        <f aca="false">D898*0.9*0.095+D898*3%</f>
        <v>113.38688085676</v>
      </c>
      <c r="G898" s="472" t="n">
        <f aca="false">амортизация!M2958</f>
        <v>156.420124944221</v>
      </c>
      <c r="H898" s="473" t="e">
        <f aca="false">C898+D898+F898+G898</f>
        <v>#NAME?</v>
      </c>
      <c r="I898" s="462" t="n">
        <f aca="false">I$190</f>
        <v>0.240474587202079</v>
      </c>
      <c r="J898" s="473" t="n">
        <f aca="false">D898*I898</f>
        <v>236.075007516543</v>
      </c>
      <c r="K898" s="473" t="e">
        <f aca="false">H898+J898</f>
        <v>#NAME?</v>
      </c>
      <c r="L898" s="462" t="n">
        <v>0.2</v>
      </c>
      <c r="M898" s="473" t="e">
        <f aca="false">K898*L898</f>
        <v>#NAME?</v>
      </c>
      <c r="N898" s="473" t="e">
        <f aca="false">K898+M898</f>
        <v>#NAME?</v>
      </c>
      <c r="O898" s="473" t="e">
        <f aca="false">M898</f>
        <v>#NAME?</v>
      </c>
    </row>
    <row r="899" s="461" customFormat="true" ht="15" hidden="false" customHeight="false" outlineLevel="0" collapsed="false">
      <c r="A899" s="327" t="s">
        <v>1490</v>
      </c>
      <c r="B899" s="502" t="s">
        <v>3437</v>
      </c>
      <c r="C899" s="472" t="e">
        <f aca="false">мат.затр!g8006</f>
        <v>#NAME?</v>
      </c>
      <c r="D899" s="472" t="n">
        <f aca="false">тарифик!J900</f>
        <v>981.704596162428</v>
      </c>
      <c r="E899" s="472"/>
      <c r="F899" s="473" t="n">
        <f aca="false">D899*0.9*0.095+D899*3%</f>
        <v>113.38688085676</v>
      </c>
      <c r="G899" s="472" t="n">
        <f aca="false">амортизация!M2959</f>
        <v>156.420124944221</v>
      </c>
      <c r="H899" s="473" t="e">
        <f aca="false">C899+D899+F899+G899</f>
        <v>#NAME?</v>
      </c>
      <c r="I899" s="462" t="n">
        <f aca="false">I$190</f>
        <v>0.240474587202079</v>
      </c>
      <c r="J899" s="473" t="n">
        <f aca="false">D899*I899</f>
        <v>236.075007516543</v>
      </c>
      <c r="K899" s="473" t="e">
        <f aca="false">H899+J899</f>
        <v>#NAME?</v>
      </c>
      <c r="L899" s="462" t="n">
        <v>0.2</v>
      </c>
      <c r="M899" s="473" t="e">
        <f aca="false">K899*L899</f>
        <v>#NAME?</v>
      </c>
      <c r="N899" s="473" t="e">
        <f aca="false">K899+M899</f>
        <v>#NAME?</v>
      </c>
      <c r="O899" s="473" t="e">
        <f aca="false">M899</f>
        <v>#NAME?</v>
      </c>
    </row>
    <row r="900" s="461" customFormat="true" ht="15" hidden="false" customHeight="false" outlineLevel="0" collapsed="false">
      <c r="A900" s="327" t="s">
        <v>1491</v>
      </c>
      <c r="B900" s="502" t="s">
        <v>3438</v>
      </c>
      <c r="C900" s="472" t="e">
        <f aca="false">мат.затр!g8010</f>
        <v>#NAME?</v>
      </c>
      <c r="D900" s="472" t="n">
        <f aca="false">тарифик!J901</f>
        <v>803.212851405623</v>
      </c>
      <c r="E900" s="472"/>
      <c r="F900" s="473" t="n">
        <f aca="false">D900*0.9*0.095+D900*3%</f>
        <v>92.7710843373494</v>
      </c>
      <c r="G900" s="472" t="n">
        <f aca="false">амортизация!M2960</f>
        <v>156.420124944221</v>
      </c>
      <c r="H900" s="473" t="e">
        <f aca="false">C900+D900+F900+G900</f>
        <v>#NAME?</v>
      </c>
      <c r="I900" s="462" t="n">
        <f aca="false">I$190</f>
        <v>0.240474587202079</v>
      </c>
      <c r="J900" s="473" t="n">
        <f aca="false">D900*I900</f>
        <v>193.152278877172</v>
      </c>
      <c r="K900" s="473" t="e">
        <f aca="false">H900+J900</f>
        <v>#NAME?</v>
      </c>
      <c r="L900" s="462" t="n">
        <v>0.2</v>
      </c>
      <c r="M900" s="473" t="e">
        <f aca="false">K900*L900</f>
        <v>#NAME?</v>
      </c>
      <c r="N900" s="473" t="e">
        <f aca="false">K900+M900</f>
        <v>#NAME?</v>
      </c>
      <c r="O900" s="473" t="e">
        <f aca="false">M900</f>
        <v>#NAME?</v>
      </c>
    </row>
    <row r="901" s="461" customFormat="true" ht="15" hidden="false" customHeight="false" outlineLevel="0" collapsed="false">
      <c r="A901" s="327" t="s">
        <v>1492</v>
      </c>
      <c r="B901" s="502" t="s">
        <v>3503</v>
      </c>
      <c r="C901" s="472" t="e">
        <f aca="false">мат.затр!g8015</f>
        <v>#NAME?</v>
      </c>
      <c r="D901" s="472" t="n">
        <f aca="false">тарифик!J902</f>
        <v>356.98348951361</v>
      </c>
      <c r="E901" s="472"/>
      <c r="F901" s="473" t="n">
        <f aca="false">D901*0.9*0.095+D901*3%</f>
        <v>41.231593038822</v>
      </c>
      <c r="G901" s="472" t="n">
        <f aca="false">амортизация!M2961</f>
        <v>156.420124944221</v>
      </c>
      <c r="H901" s="473" t="e">
        <f aca="false">C901+D901+F901+G901</f>
        <v>#NAME?</v>
      </c>
      <c r="I901" s="462" t="n">
        <f aca="false">I$190</f>
        <v>0.240474587202079</v>
      </c>
      <c r="J901" s="473" t="n">
        <f aca="false">D901*I901</f>
        <v>85.845457278743</v>
      </c>
      <c r="K901" s="473" t="e">
        <f aca="false">H901+J901</f>
        <v>#NAME?</v>
      </c>
      <c r="L901" s="462" t="n">
        <v>0.2</v>
      </c>
      <c r="M901" s="473" t="e">
        <f aca="false">K901*L901</f>
        <v>#NAME?</v>
      </c>
      <c r="N901" s="473" t="e">
        <f aca="false">K901+M901</f>
        <v>#NAME?</v>
      </c>
      <c r="O901" s="473" t="e">
        <f aca="false">M901</f>
        <v>#NAME?</v>
      </c>
    </row>
    <row r="902" s="461" customFormat="true" ht="15" hidden="false" customHeight="false" outlineLevel="0" collapsed="false">
      <c r="A902" s="327" t="s">
        <v>1493</v>
      </c>
      <c r="B902" s="502" t="s">
        <v>3504</v>
      </c>
      <c r="C902" s="472" t="e">
        <f aca="false">мат.затр!g8019</f>
        <v>#NAME?</v>
      </c>
      <c r="D902" s="472" t="n">
        <f aca="false">тарифик!J903</f>
        <v>502.008032128514</v>
      </c>
      <c r="E902" s="472"/>
      <c r="F902" s="473" t="n">
        <f aca="false">D902*0.9*0.095+D902*3%</f>
        <v>57.9819277108434</v>
      </c>
      <c r="G902" s="472" t="n">
        <f aca="false">амортизация!M2962</f>
        <v>55.7786702365016</v>
      </c>
      <c r="H902" s="473" t="e">
        <f aca="false">C902+D902+F902+G902</f>
        <v>#NAME?</v>
      </c>
      <c r="I902" s="462" t="n">
        <f aca="false">I$190</f>
        <v>0.240474587202079</v>
      </c>
      <c r="J902" s="473" t="n">
        <f aca="false">D902*I902</f>
        <v>120.720174298232</v>
      </c>
      <c r="K902" s="473" t="e">
        <f aca="false">H902+J902</f>
        <v>#NAME?</v>
      </c>
      <c r="L902" s="462" t="n">
        <v>0.2</v>
      </c>
      <c r="M902" s="473" t="e">
        <f aca="false">K902*L902</f>
        <v>#NAME?</v>
      </c>
      <c r="N902" s="473" t="e">
        <f aca="false">K902+M902</f>
        <v>#NAME?</v>
      </c>
      <c r="O902" s="473" t="e">
        <f aca="false">M902</f>
        <v>#NAME?</v>
      </c>
    </row>
    <row r="903" s="461" customFormat="true" ht="15" hidden="false" customHeight="false" outlineLevel="0" collapsed="false">
      <c r="A903" s="327" t="s">
        <v>1494</v>
      </c>
      <c r="B903" s="502" t="s">
        <v>3440</v>
      </c>
      <c r="C903" s="472" t="e">
        <f aca="false">мат.затр!g8024</f>
        <v>#NAME?</v>
      </c>
      <c r="D903" s="472" t="n">
        <f aca="false">тарифик!J904</f>
        <v>624.721106648818</v>
      </c>
      <c r="E903" s="472"/>
      <c r="F903" s="473" t="n">
        <f aca="false">D903*0.9*0.095+D903*3%</f>
        <v>72.1552878179384</v>
      </c>
      <c r="G903" s="472" t="n">
        <f aca="false">амортизация!M2963</f>
        <v>156.420124944221</v>
      </c>
      <c r="H903" s="473" t="e">
        <f aca="false">C903+D903+F903+G903</f>
        <v>#NAME?</v>
      </c>
      <c r="I903" s="462" t="n">
        <f aca="false">I$190</f>
        <v>0.240474587202079</v>
      </c>
      <c r="J903" s="473" t="n">
        <f aca="false">D903*I903</f>
        <v>150.2295502378</v>
      </c>
      <c r="K903" s="473" t="e">
        <f aca="false">H903+J903</f>
        <v>#NAME?</v>
      </c>
      <c r="L903" s="462" t="n">
        <v>0.2</v>
      </c>
      <c r="M903" s="473" t="e">
        <f aca="false">K903*L903</f>
        <v>#NAME?</v>
      </c>
      <c r="N903" s="473" t="e">
        <f aca="false">K903+M903</f>
        <v>#NAME?</v>
      </c>
      <c r="O903" s="473" t="e">
        <f aca="false">M903</f>
        <v>#NAME?</v>
      </c>
    </row>
    <row r="904" s="461" customFormat="true" ht="15" hidden="false" customHeight="false" outlineLevel="0" collapsed="false">
      <c r="A904" s="327" t="s">
        <v>1495</v>
      </c>
      <c r="B904" s="502" t="s">
        <v>3505</v>
      </c>
      <c r="C904" s="472" t="e">
        <f aca="false">мат.затр!g8029</f>
        <v>#NAME?</v>
      </c>
      <c r="D904" s="472" t="n">
        <f aca="false">тарифик!J905</f>
        <v>401.606425702811</v>
      </c>
      <c r="E904" s="472"/>
      <c r="F904" s="473" t="n">
        <f aca="false">D904*0.9*0.095+D904*3%</f>
        <v>46.3855421686747</v>
      </c>
      <c r="G904" s="472" t="n">
        <f aca="false">амортизация!M2964</f>
        <v>156.420124944221</v>
      </c>
      <c r="H904" s="473" t="e">
        <f aca="false">C904+D904+F904+G904</f>
        <v>#NAME?</v>
      </c>
      <c r="I904" s="462" t="n">
        <f aca="false">I$190</f>
        <v>0.240474587202079</v>
      </c>
      <c r="J904" s="473" t="n">
        <f aca="false">D904*I904</f>
        <v>96.5761394385859</v>
      </c>
      <c r="K904" s="473" t="e">
        <f aca="false">H904+J904</f>
        <v>#NAME?</v>
      </c>
      <c r="L904" s="462" t="n">
        <v>0.2</v>
      </c>
      <c r="M904" s="473" t="e">
        <f aca="false">K904*L904</f>
        <v>#NAME?</v>
      </c>
      <c r="N904" s="473" t="e">
        <f aca="false">K904+M904</f>
        <v>#NAME?</v>
      </c>
      <c r="O904" s="473" t="e">
        <f aca="false">M904</f>
        <v>#NAME?</v>
      </c>
    </row>
    <row r="905" s="461" customFormat="true" ht="15" hidden="false" customHeight="false" outlineLevel="0" collapsed="false">
      <c r="A905" s="327" t="s">
        <v>1496</v>
      </c>
      <c r="B905" s="502" t="s">
        <v>3466</v>
      </c>
      <c r="C905" s="472" t="e">
        <f aca="false">мат.затр!g8037</f>
        <v>#NAME?</v>
      </c>
      <c r="D905" s="472" t="n">
        <f aca="false">тарифик!J906</f>
        <v>178.491744756805</v>
      </c>
      <c r="E905" s="472"/>
      <c r="F905" s="473" t="n">
        <f aca="false">D905*0.9*0.095+D905*3%</f>
        <v>20.615796519411</v>
      </c>
      <c r="G905" s="472" t="n">
        <f aca="false">амортизация!M2965</f>
        <v>156.420124944221</v>
      </c>
      <c r="H905" s="473" t="e">
        <f aca="false">C905+D905+F905+G905</f>
        <v>#NAME?</v>
      </c>
      <c r="I905" s="462" t="n">
        <f aca="false">I$190</f>
        <v>0.240474587202079</v>
      </c>
      <c r="J905" s="473" t="n">
        <f aca="false">D905*I905</f>
        <v>42.9227286393715</v>
      </c>
      <c r="K905" s="473" t="e">
        <f aca="false">H905+J905</f>
        <v>#NAME?</v>
      </c>
      <c r="L905" s="462" t="n">
        <v>0.2</v>
      </c>
      <c r="M905" s="473" t="e">
        <f aca="false">K905*L905</f>
        <v>#NAME?</v>
      </c>
      <c r="N905" s="473" t="e">
        <f aca="false">K905+M905</f>
        <v>#NAME?</v>
      </c>
      <c r="O905" s="473" t="e">
        <f aca="false">M905</f>
        <v>#NAME?</v>
      </c>
    </row>
    <row r="906" s="461" customFormat="true" ht="15" hidden="false" customHeight="false" outlineLevel="0" collapsed="false">
      <c r="A906" s="327" t="s">
        <v>1497</v>
      </c>
      <c r="B906" s="502" t="s">
        <v>3506</v>
      </c>
      <c r="C906" s="472" t="e">
        <f aca="false">мат.затр!g8044</f>
        <v>#NAME?</v>
      </c>
      <c r="D906" s="472" t="n">
        <f aca="false">тарифик!J907</f>
        <v>401.606425702811</v>
      </c>
      <c r="E906" s="472"/>
      <c r="F906" s="473" t="n">
        <f aca="false">D906*0.9*0.095+D906*3%</f>
        <v>46.3855421686747</v>
      </c>
      <c r="G906" s="472" t="n">
        <f aca="false">амортизация!M2966</f>
        <v>156.420124944221</v>
      </c>
      <c r="H906" s="473" t="e">
        <f aca="false">C906+D906+F906+G906</f>
        <v>#NAME?</v>
      </c>
      <c r="I906" s="462" t="n">
        <f aca="false">I$190</f>
        <v>0.240474587202079</v>
      </c>
      <c r="J906" s="473" t="n">
        <f aca="false">D906*I906</f>
        <v>96.5761394385859</v>
      </c>
      <c r="K906" s="473" t="e">
        <f aca="false">H906+J906</f>
        <v>#NAME?</v>
      </c>
      <c r="L906" s="462" t="n">
        <v>0.2</v>
      </c>
      <c r="M906" s="473" t="e">
        <f aca="false">K906*L906</f>
        <v>#NAME?</v>
      </c>
      <c r="N906" s="473" t="e">
        <f aca="false">K906+M906</f>
        <v>#NAME?</v>
      </c>
      <c r="O906" s="473" t="e">
        <f aca="false">M906</f>
        <v>#NAME?</v>
      </c>
    </row>
    <row r="907" s="461" customFormat="true" ht="15" hidden="false" customHeight="false" outlineLevel="0" collapsed="false">
      <c r="A907" s="327" t="s">
        <v>1498</v>
      </c>
      <c r="B907" s="502" t="s">
        <v>3457</v>
      </c>
      <c r="C907" s="472" t="e">
        <f aca="false">мат.затр!g8047</f>
        <v>#NAME?</v>
      </c>
      <c r="D907" s="472" t="n">
        <f aca="false">тарифик!J908</f>
        <v>401.606425702811</v>
      </c>
      <c r="E907" s="472"/>
      <c r="F907" s="473" t="n">
        <f aca="false">D907*0.9*0.095+D907*3%</f>
        <v>46.3855421686747</v>
      </c>
      <c r="G907" s="472" t="n">
        <f aca="false">амортизация!M2967</f>
        <v>156.420124944221</v>
      </c>
      <c r="H907" s="473" t="e">
        <f aca="false">C907+D907+F907+G907</f>
        <v>#NAME?</v>
      </c>
      <c r="I907" s="462" t="n">
        <f aca="false">I$190</f>
        <v>0.240474587202079</v>
      </c>
      <c r="J907" s="473" t="n">
        <f aca="false">D907*I907</f>
        <v>96.5761394385859</v>
      </c>
      <c r="K907" s="473" t="e">
        <f aca="false">H907+J907</f>
        <v>#NAME?</v>
      </c>
      <c r="L907" s="462" t="n">
        <v>0.2</v>
      </c>
      <c r="M907" s="473" t="e">
        <f aca="false">K907*L907</f>
        <v>#NAME?</v>
      </c>
      <c r="N907" s="473" t="e">
        <f aca="false">K907+M907</f>
        <v>#NAME?</v>
      </c>
      <c r="O907" s="473" t="e">
        <f aca="false">M907</f>
        <v>#NAME?</v>
      </c>
    </row>
    <row r="908" s="461" customFormat="true" ht="15" hidden="false" customHeight="false" outlineLevel="0" collapsed="false">
      <c r="A908" s="327" t="s">
        <v>1499</v>
      </c>
      <c r="B908" s="502" t="s">
        <v>3507</v>
      </c>
      <c r="C908" s="472" t="e">
        <f aca="false">мат.затр!g8057</f>
        <v>#NAME?</v>
      </c>
      <c r="D908" s="472" t="n">
        <f aca="false">тарифик!J909</f>
        <v>267.737617135208</v>
      </c>
      <c r="E908" s="472"/>
      <c r="F908" s="473" t="n">
        <f aca="false">D908*0.9*0.095+D908*3%</f>
        <v>30.9236947791165</v>
      </c>
      <c r="G908" s="472" t="n">
        <f aca="false">амортизация!M2968</f>
        <v>156.420124944221</v>
      </c>
      <c r="H908" s="473" t="e">
        <f aca="false">C908+D908+F908+G908</f>
        <v>#NAME?</v>
      </c>
      <c r="I908" s="462" t="n">
        <f aca="false">I$190</f>
        <v>0.240474587202079</v>
      </c>
      <c r="J908" s="473" t="n">
        <f aca="false">D908*I908</f>
        <v>64.3840929590573</v>
      </c>
      <c r="K908" s="473" t="e">
        <f aca="false">H908+J908</f>
        <v>#NAME?</v>
      </c>
      <c r="L908" s="462" t="n">
        <v>0.2</v>
      </c>
      <c r="M908" s="473" t="e">
        <f aca="false">K908*L908</f>
        <v>#NAME?</v>
      </c>
      <c r="N908" s="473" t="e">
        <f aca="false">K908+M908</f>
        <v>#NAME?</v>
      </c>
      <c r="O908" s="473" t="e">
        <f aca="false">M908</f>
        <v>#NAME?</v>
      </c>
    </row>
    <row r="909" s="461" customFormat="true" ht="15" hidden="false" customHeight="false" outlineLevel="0" collapsed="false">
      <c r="A909" s="327" t="s">
        <v>1500</v>
      </c>
      <c r="B909" s="502" t="s">
        <v>3508</v>
      </c>
      <c r="C909" s="472" t="e">
        <f aca="false">мат.затр!g8062</f>
        <v>#NAME?</v>
      </c>
      <c r="D909" s="472" t="n">
        <f aca="false">тарифик!J910</f>
        <v>267.737617135208</v>
      </c>
      <c r="E909" s="472"/>
      <c r="F909" s="473" t="n">
        <f aca="false">D909*0.9*0.095+D909*3%</f>
        <v>30.9236947791165</v>
      </c>
      <c r="G909" s="472" t="n">
        <f aca="false">амортизация!M2969</f>
        <v>156.420124944221</v>
      </c>
      <c r="H909" s="473" t="e">
        <f aca="false">C909+D909+F909+G909</f>
        <v>#NAME?</v>
      </c>
      <c r="I909" s="462" t="n">
        <f aca="false">I$190</f>
        <v>0.240474587202079</v>
      </c>
      <c r="J909" s="473" t="n">
        <f aca="false">D909*I909</f>
        <v>64.3840929590573</v>
      </c>
      <c r="K909" s="473" t="e">
        <f aca="false">H909+J909</f>
        <v>#NAME?</v>
      </c>
      <c r="L909" s="462" t="n">
        <v>0.2</v>
      </c>
      <c r="M909" s="473" t="e">
        <f aca="false">K909*L909</f>
        <v>#NAME?</v>
      </c>
      <c r="N909" s="473" t="e">
        <f aca="false">K909+M909</f>
        <v>#NAME?</v>
      </c>
      <c r="O909" s="473" t="e">
        <f aca="false">M909</f>
        <v>#NAME?</v>
      </c>
    </row>
    <row r="910" s="461" customFormat="true" ht="15" hidden="false" customHeight="false" outlineLevel="0" collapsed="false">
      <c r="A910" s="327" t="s">
        <v>1501</v>
      </c>
      <c r="B910" s="502" t="s">
        <v>3509</v>
      </c>
      <c r="C910" s="472" t="e">
        <f aca="false">мат.затр!g8067</f>
        <v>#NAME?</v>
      </c>
      <c r="D910" s="472" t="n">
        <f aca="false">тарифик!J911</f>
        <v>267.737617135208</v>
      </c>
      <c r="E910" s="472"/>
      <c r="F910" s="473" t="n">
        <f aca="false">D910*0.9*0.095+D910*3%</f>
        <v>30.9236947791165</v>
      </c>
      <c r="G910" s="472" t="n">
        <f aca="false">амортизация!M2970</f>
        <v>156.420124944221</v>
      </c>
      <c r="H910" s="473" t="e">
        <f aca="false">C910+D910+F910+G910</f>
        <v>#NAME?</v>
      </c>
      <c r="I910" s="462" t="n">
        <f aca="false">I$190</f>
        <v>0.240474587202079</v>
      </c>
      <c r="J910" s="473" t="n">
        <f aca="false">D910*I910</f>
        <v>64.3840929590573</v>
      </c>
      <c r="K910" s="473" t="e">
        <f aca="false">H910+J910</f>
        <v>#NAME?</v>
      </c>
      <c r="L910" s="462" t="n">
        <v>0.2</v>
      </c>
      <c r="M910" s="473" t="e">
        <f aca="false">K910*L910</f>
        <v>#NAME?</v>
      </c>
      <c r="N910" s="473" t="e">
        <f aca="false">K910+M910</f>
        <v>#NAME?</v>
      </c>
      <c r="O910" s="473" t="e">
        <f aca="false">M910</f>
        <v>#NAME?</v>
      </c>
    </row>
    <row r="911" s="461" customFormat="true" ht="15" hidden="false" customHeight="false" outlineLevel="0" collapsed="false">
      <c r="A911" s="327" t="s">
        <v>1502</v>
      </c>
      <c r="B911" s="502" t="s">
        <v>3460</v>
      </c>
      <c r="C911" s="472" t="e">
        <f aca="false">мат.затр!g8073</f>
        <v>#NAME?</v>
      </c>
      <c r="D911" s="472" t="n">
        <f aca="false">тарифик!J912</f>
        <v>401.606425702811</v>
      </c>
      <c r="E911" s="472"/>
      <c r="F911" s="473" t="n">
        <f aca="false">D911*0.9*0.095+D911*3%</f>
        <v>46.3855421686747</v>
      </c>
      <c r="G911" s="472" t="n">
        <f aca="false">амортизация!M2971</f>
        <v>156.420124944221</v>
      </c>
      <c r="H911" s="473" t="e">
        <f aca="false">C911+D911+F911+G911</f>
        <v>#NAME?</v>
      </c>
      <c r="I911" s="462" t="n">
        <f aca="false">I$190</f>
        <v>0.240474587202079</v>
      </c>
      <c r="J911" s="473" t="n">
        <f aca="false">D911*I911</f>
        <v>96.5761394385859</v>
      </c>
      <c r="K911" s="473" t="e">
        <f aca="false">H911+J911</f>
        <v>#NAME?</v>
      </c>
      <c r="L911" s="462" t="n">
        <v>0.2</v>
      </c>
      <c r="M911" s="473" t="e">
        <f aca="false">K911*L911</f>
        <v>#NAME?</v>
      </c>
      <c r="N911" s="473" t="e">
        <f aca="false">K911+M911</f>
        <v>#NAME?</v>
      </c>
      <c r="O911" s="473" t="e">
        <f aca="false">M911</f>
        <v>#NAME?</v>
      </c>
    </row>
    <row r="912" s="461" customFormat="true" ht="15" hidden="false" customHeight="false" outlineLevel="0" collapsed="false">
      <c r="A912" s="327" t="s">
        <v>1503</v>
      </c>
      <c r="B912" s="502" t="s">
        <v>3445</v>
      </c>
      <c r="C912" s="472" t="e">
        <f aca="false">мат.затр!g8079</f>
        <v>#NAME?</v>
      </c>
      <c r="D912" s="472" t="n">
        <f aca="false">тарифик!J913</f>
        <v>312.360553324409</v>
      </c>
      <c r="E912" s="472"/>
      <c r="F912" s="473" t="n">
        <f aca="false">D912*0.9*0.095+D912*3%</f>
        <v>36.0776439089692</v>
      </c>
      <c r="G912" s="472" t="n">
        <f aca="false">амортизация!M2972</f>
        <v>156.420124944221</v>
      </c>
      <c r="H912" s="473" t="e">
        <f aca="false">C912+D912+F912+G912</f>
        <v>#NAME?</v>
      </c>
      <c r="I912" s="462" t="n">
        <f aca="false">I$190</f>
        <v>0.240474587202079</v>
      </c>
      <c r="J912" s="473" t="n">
        <f aca="false">D912*I912</f>
        <v>75.1147751189002</v>
      </c>
      <c r="K912" s="473" t="e">
        <f aca="false">H912+J912</f>
        <v>#NAME?</v>
      </c>
      <c r="L912" s="462" t="n">
        <v>0.2</v>
      </c>
      <c r="M912" s="473" t="e">
        <f aca="false">K912*L912</f>
        <v>#NAME?</v>
      </c>
      <c r="N912" s="473" t="e">
        <f aca="false">K912+M912</f>
        <v>#NAME?</v>
      </c>
      <c r="O912" s="473" t="e">
        <f aca="false">M912</f>
        <v>#NAME?</v>
      </c>
    </row>
    <row r="913" s="461" customFormat="true" ht="15" hidden="false" customHeight="false" outlineLevel="0" collapsed="false">
      <c r="A913" s="327" t="s">
        <v>1504</v>
      </c>
      <c r="B913" s="502" t="s">
        <v>3510</v>
      </c>
      <c r="C913" s="472" t="e">
        <f aca="false">мат.затр!g8085</f>
        <v>#NAME?</v>
      </c>
      <c r="D913" s="472" t="n">
        <f aca="false">тарифик!J914</f>
        <v>267.737617135208</v>
      </c>
      <c r="E913" s="472"/>
      <c r="F913" s="473" t="n">
        <f aca="false">D913*0.9*0.095+D913*3%</f>
        <v>30.9236947791165</v>
      </c>
      <c r="G913" s="472" t="n">
        <f aca="false">амортизация!M2973</f>
        <v>156.420124944221</v>
      </c>
      <c r="H913" s="473" t="e">
        <f aca="false">C913+D913+F913+G913</f>
        <v>#NAME?</v>
      </c>
      <c r="I913" s="462" t="n">
        <f aca="false">I$190</f>
        <v>0.240474587202079</v>
      </c>
      <c r="J913" s="473" t="n">
        <f aca="false">D913*I913</f>
        <v>64.3840929590573</v>
      </c>
      <c r="K913" s="473" t="e">
        <f aca="false">H913+J913</f>
        <v>#NAME?</v>
      </c>
      <c r="L913" s="462" t="n">
        <v>0.2</v>
      </c>
      <c r="M913" s="473" t="e">
        <f aca="false">K913*L913</f>
        <v>#NAME?</v>
      </c>
      <c r="N913" s="473" t="e">
        <f aca="false">K913+M913</f>
        <v>#NAME?</v>
      </c>
      <c r="O913" s="473" t="e">
        <f aca="false">M913</f>
        <v>#NAME?</v>
      </c>
    </row>
    <row r="914" s="461" customFormat="true" ht="15" hidden="false" customHeight="false" outlineLevel="0" collapsed="false">
      <c r="A914" s="327" t="s">
        <v>1505</v>
      </c>
      <c r="B914" s="502" t="s">
        <v>3511</v>
      </c>
      <c r="C914" s="472" t="e">
        <f aca="false">мат.затр!g8091</f>
        <v>#NAME?</v>
      </c>
      <c r="D914" s="472" t="n">
        <f aca="false">тарифик!J915</f>
        <v>312.360553324409</v>
      </c>
      <c r="E914" s="472"/>
      <c r="F914" s="473" t="n">
        <f aca="false">D914*0.9*0.095+D914*3%</f>
        <v>36.0776439089692</v>
      </c>
      <c r="G914" s="472" t="n">
        <f aca="false">амортизация!M2974</f>
        <v>156.420124944221</v>
      </c>
      <c r="H914" s="473" t="e">
        <f aca="false">C914+D914+F914+G914</f>
        <v>#NAME?</v>
      </c>
      <c r="I914" s="462" t="n">
        <f aca="false">I$190</f>
        <v>0.240474587202079</v>
      </c>
      <c r="J914" s="473" t="n">
        <f aca="false">D914*I914</f>
        <v>75.1147751189002</v>
      </c>
      <c r="K914" s="473" t="e">
        <f aca="false">H914+J914</f>
        <v>#NAME?</v>
      </c>
      <c r="L914" s="462" t="n">
        <v>0.2</v>
      </c>
      <c r="M914" s="473" t="e">
        <f aca="false">K914*L914</f>
        <v>#NAME?</v>
      </c>
      <c r="N914" s="473" t="e">
        <f aca="false">K914+M914</f>
        <v>#NAME?</v>
      </c>
      <c r="O914" s="473" t="e">
        <f aca="false">M914</f>
        <v>#NAME?</v>
      </c>
    </row>
    <row r="915" s="461" customFormat="true" ht="15" hidden="false" customHeight="false" outlineLevel="0" collapsed="false">
      <c r="A915" s="327" t="s">
        <v>1507</v>
      </c>
      <c r="B915" s="502" t="s">
        <v>3512</v>
      </c>
      <c r="C915" s="472" t="e">
        <f aca="false">мат.затр!g8097</f>
        <v>#NAME?</v>
      </c>
      <c r="D915" s="472" t="n">
        <f aca="false">тарифик!J916</f>
        <v>356.98348951361</v>
      </c>
      <c r="E915" s="472"/>
      <c r="F915" s="473" t="n">
        <f aca="false">D915*0.9*0.095+D915*3%</f>
        <v>41.231593038822</v>
      </c>
      <c r="G915" s="472" t="n">
        <f aca="false">амортизация!M2975</f>
        <v>156.420124944221</v>
      </c>
      <c r="H915" s="473" t="e">
        <f aca="false">C915+D915+F915+G915</f>
        <v>#NAME?</v>
      </c>
      <c r="I915" s="462" t="n">
        <f aca="false">I$190</f>
        <v>0.240474587202079</v>
      </c>
      <c r="J915" s="473" t="n">
        <f aca="false">D915*I915</f>
        <v>85.845457278743</v>
      </c>
      <c r="K915" s="473" t="e">
        <f aca="false">H915+J915</f>
        <v>#NAME?</v>
      </c>
      <c r="L915" s="462" t="n">
        <v>0.2</v>
      </c>
      <c r="M915" s="473" t="e">
        <f aca="false">K915*L915</f>
        <v>#NAME?</v>
      </c>
      <c r="N915" s="473" t="e">
        <f aca="false">K915+M915</f>
        <v>#NAME?</v>
      </c>
      <c r="O915" s="473" t="e">
        <f aca="false">M915</f>
        <v>#NAME?</v>
      </c>
    </row>
    <row r="916" s="461" customFormat="true" ht="15" hidden="false" customHeight="false" outlineLevel="0" collapsed="false">
      <c r="A916" s="327" t="s">
        <v>1509</v>
      </c>
      <c r="B916" s="502" t="s">
        <v>3513</v>
      </c>
      <c r="C916" s="472" t="e">
        <f aca="false">мат.затр!g8103</f>
        <v>#NAME?</v>
      </c>
      <c r="D916" s="472" t="n">
        <f aca="false">тарифик!J917</f>
        <v>356.98348951361</v>
      </c>
      <c r="E916" s="472"/>
      <c r="F916" s="473" t="n">
        <f aca="false">D916*0.9*0.095+D916*3%</f>
        <v>41.231593038822</v>
      </c>
      <c r="G916" s="472" t="n">
        <f aca="false">амортизация!M2976</f>
        <v>156.420124944221</v>
      </c>
      <c r="H916" s="473" t="e">
        <f aca="false">C916+D916+F916+G916</f>
        <v>#NAME?</v>
      </c>
      <c r="I916" s="462" t="n">
        <f aca="false">I$190</f>
        <v>0.240474587202079</v>
      </c>
      <c r="J916" s="473" t="n">
        <f aca="false">D916*I916</f>
        <v>85.845457278743</v>
      </c>
      <c r="K916" s="473" t="e">
        <f aca="false">H916+J916</f>
        <v>#NAME?</v>
      </c>
      <c r="L916" s="462" t="n">
        <v>0.2</v>
      </c>
      <c r="M916" s="473" t="e">
        <f aca="false">K916*L916</f>
        <v>#NAME?</v>
      </c>
      <c r="N916" s="473" t="e">
        <f aca="false">K916+M916</f>
        <v>#NAME?</v>
      </c>
      <c r="O916" s="473" t="e">
        <f aca="false">M916</f>
        <v>#NAME?</v>
      </c>
    </row>
    <row r="917" s="461" customFormat="true" ht="15" hidden="false" customHeight="false" outlineLevel="0" collapsed="false">
      <c r="A917" s="327" t="s">
        <v>1510</v>
      </c>
      <c r="B917" s="502" t="s">
        <v>3514</v>
      </c>
      <c r="C917" s="472" t="e">
        <f aca="false">мат.затр!g8106</f>
        <v>#NAME?</v>
      </c>
      <c r="D917" s="472" t="n">
        <f aca="false">тарифик!J918</f>
        <v>312.360553324409</v>
      </c>
      <c r="E917" s="472"/>
      <c r="F917" s="473" t="n">
        <f aca="false">D917*0.9*0.095+D917*3%</f>
        <v>36.0776439089692</v>
      </c>
      <c r="G917" s="472" t="n">
        <f aca="false">амортизация!M2977</f>
        <v>55.7786702365016</v>
      </c>
      <c r="H917" s="473" t="e">
        <f aca="false">C917+D917+F917+G917</f>
        <v>#NAME?</v>
      </c>
      <c r="I917" s="462" t="n">
        <f aca="false">I$190</f>
        <v>0.240474587202079</v>
      </c>
      <c r="J917" s="473" t="n">
        <f aca="false">D917*I917</f>
        <v>75.1147751189002</v>
      </c>
      <c r="K917" s="473" t="e">
        <f aca="false">H917+J917</f>
        <v>#NAME?</v>
      </c>
      <c r="L917" s="462" t="n">
        <v>0.2</v>
      </c>
      <c r="M917" s="473" t="e">
        <f aca="false">K917*L917</f>
        <v>#NAME?</v>
      </c>
      <c r="N917" s="473" t="e">
        <f aca="false">K917+M917</f>
        <v>#NAME?</v>
      </c>
      <c r="O917" s="473" t="e">
        <f aca="false">M917</f>
        <v>#NAME?</v>
      </c>
    </row>
    <row r="918" s="461" customFormat="true" ht="15" hidden="false" customHeight="false" outlineLevel="0" collapsed="false">
      <c r="A918" s="327" t="s">
        <v>1511</v>
      </c>
      <c r="B918" s="502" t="s">
        <v>3453</v>
      </c>
      <c r="C918" s="472" t="e">
        <f aca="false">мат.затр!g8111</f>
        <v>#NAME?</v>
      </c>
      <c r="D918" s="472" t="n">
        <f aca="false">тарифик!J919</f>
        <v>312.360553324409</v>
      </c>
      <c r="E918" s="472"/>
      <c r="F918" s="473" t="n">
        <f aca="false">D918*0.9*0.095+D918*3%</f>
        <v>36.0776439089692</v>
      </c>
      <c r="G918" s="472" t="n">
        <f aca="false">амортизация!M2978</f>
        <v>156.420124944221</v>
      </c>
      <c r="H918" s="473" t="e">
        <f aca="false">C918+D918+F918+G918</f>
        <v>#NAME?</v>
      </c>
      <c r="I918" s="462" t="n">
        <f aca="false">I$190</f>
        <v>0.240474587202079</v>
      </c>
      <c r="J918" s="473" t="n">
        <f aca="false">D918*I918</f>
        <v>75.1147751189002</v>
      </c>
      <c r="K918" s="473" t="e">
        <f aca="false">H918+J918</f>
        <v>#NAME?</v>
      </c>
      <c r="L918" s="462" t="n">
        <v>0.2</v>
      </c>
      <c r="M918" s="473" t="e">
        <f aca="false">K918*L918</f>
        <v>#NAME?</v>
      </c>
      <c r="N918" s="473" t="e">
        <f aca="false">K918+M918</f>
        <v>#NAME?</v>
      </c>
      <c r="O918" s="473" t="e">
        <f aca="false">M918</f>
        <v>#NAME?</v>
      </c>
    </row>
    <row r="919" s="461" customFormat="true" ht="15" hidden="false" customHeight="false" outlineLevel="0" collapsed="false">
      <c r="A919" s="327" t="s">
        <v>1512</v>
      </c>
      <c r="B919" s="502" t="s">
        <v>3462</v>
      </c>
      <c r="C919" s="472" t="e">
        <f aca="false">мат.затр!g8118</f>
        <v>#NAME?</v>
      </c>
      <c r="D919" s="472" t="n">
        <f aca="false">тарифик!J920</f>
        <v>133.868808567604</v>
      </c>
      <c r="E919" s="472"/>
      <c r="F919" s="473" t="n">
        <f aca="false">D919*0.9*0.095+D919*3%</f>
        <v>15.4618473895582</v>
      </c>
      <c r="G919" s="472" t="n">
        <f aca="false">амортизация!M2979</f>
        <v>55.7786702365016</v>
      </c>
      <c r="H919" s="473" t="e">
        <f aca="false">C919+D919+F919+G919</f>
        <v>#NAME?</v>
      </c>
      <c r="I919" s="462" t="n">
        <f aca="false">I$190</f>
        <v>0.240474587202079</v>
      </c>
      <c r="J919" s="473" t="n">
        <f aca="false">D919*I919</f>
        <v>32.1920464795286</v>
      </c>
      <c r="K919" s="473" t="e">
        <f aca="false">H919+J919</f>
        <v>#NAME?</v>
      </c>
      <c r="L919" s="462" t="n">
        <v>0.2</v>
      </c>
      <c r="M919" s="473" t="e">
        <f aca="false">K919*L919</f>
        <v>#NAME?</v>
      </c>
      <c r="N919" s="473" t="e">
        <f aca="false">K919+M919</f>
        <v>#NAME?</v>
      </c>
      <c r="O919" s="473" t="e">
        <f aca="false">M919</f>
        <v>#NAME?</v>
      </c>
    </row>
    <row r="920" s="461" customFormat="true" ht="15" hidden="false" customHeight="false" outlineLevel="0" collapsed="false">
      <c r="A920" s="327" t="s">
        <v>1513</v>
      </c>
      <c r="B920" s="502" t="s">
        <v>3463</v>
      </c>
      <c r="C920" s="472" t="e">
        <f aca="false">мат.затр!g8124</f>
        <v>#NAME?</v>
      </c>
      <c r="D920" s="472" t="n">
        <f aca="false">тарифик!J921</f>
        <v>535.475234270415</v>
      </c>
      <c r="E920" s="472"/>
      <c r="F920" s="473" t="n">
        <f aca="false">D920*0.9*0.095+D920*3%</f>
        <v>61.8473895582329</v>
      </c>
      <c r="G920" s="472" t="n">
        <f aca="false">амортизация!M2980</f>
        <v>55.7786702365016</v>
      </c>
      <c r="H920" s="473" t="e">
        <f aca="false">C920+D920+F920+G920</f>
        <v>#NAME?</v>
      </c>
      <c r="I920" s="462" t="n">
        <f aca="false">I$190</f>
        <v>0.240474587202079</v>
      </c>
      <c r="J920" s="473" t="n">
        <f aca="false">D920*I920</f>
        <v>128.768185918115</v>
      </c>
      <c r="K920" s="473" t="e">
        <f aca="false">H920+J920</f>
        <v>#NAME?</v>
      </c>
      <c r="L920" s="462" t="n">
        <v>0.2</v>
      </c>
      <c r="M920" s="473" t="e">
        <f aca="false">K920*L920</f>
        <v>#NAME?</v>
      </c>
      <c r="N920" s="473" t="e">
        <f aca="false">K920+M920</f>
        <v>#NAME?</v>
      </c>
      <c r="O920" s="473" t="e">
        <f aca="false">M920</f>
        <v>#NAME?</v>
      </c>
    </row>
    <row r="921" s="461" customFormat="true" ht="15" hidden="false" customHeight="false" outlineLevel="0" collapsed="false">
      <c r="A921" s="327" t="s">
        <v>1514</v>
      </c>
      <c r="B921" s="502" t="s">
        <v>3455</v>
      </c>
      <c r="C921" s="472" t="e">
        <f aca="false">мат.затр!g8130</f>
        <v>#NAME?</v>
      </c>
      <c r="D921" s="472" t="n">
        <f aca="false">тарифик!J922</f>
        <v>133.868808567604</v>
      </c>
      <c r="E921" s="472"/>
      <c r="F921" s="473" t="n">
        <f aca="false">D921*0.9*0.095+D921*3%</f>
        <v>15.4618473895582</v>
      </c>
      <c r="G921" s="472" t="n">
        <f aca="false">амортизация!M2981</f>
        <v>55.7786702365016</v>
      </c>
      <c r="H921" s="473" t="e">
        <f aca="false">C921+D921+F921+G921</f>
        <v>#NAME?</v>
      </c>
      <c r="I921" s="462" t="n">
        <f aca="false">I$190</f>
        <v>0.240474587202079</v>
      </c>
      <c r="J921" s="473" t="n">
        <f aca="false">D921*I921</f>
        <v>32.1920464795286</v>
      </c>
      <c r="K921" s="473" t="e">
        <f aca="false">H921+J921</f>
        <v>#NAME?</v>
      </c>
      <c r="L921" s="462" t="n">
        <v>0.2</v>
      </c>
      <c r="M921" s="473" t="e">
        <f aca="false">K921*L921</f>
        <v>#NAME?</v>
      </c>
      <c r="N921" s="473" t="e">
        <f aca="false">K921+M921</f>
        <v>#NAME?</v>
      </c>
      <c r="O921" s="473" t="e">
        <f aca="false">M921</f>
        <v>#NAME?</v>
      </c>
    </row>
    <row r="922" s="461" customFormat="true" ht="15" hidden="false" customHeight="false" outlineLevel="0" collapsed="false">
      <c r="A922" s="327" t="s">
        <v>1515</v>
      </c>
      <c r="B922" s="502" t="s">
        <v>3454</v>
      </c>
      <c r="C922" s="472" t="e">
        <f aca="false">мат.затр!g8135</f>
        <v>#NAME?</v>
      </c>
      <c r="D922" s="472" t="n">
        <f aca="false">тарифик!J923</f>
        <v>89.2458723784025</v>
      </c>
      <c r="E922" s="472"/>
      <c r="F922" s="473" t="n">
        <f aca="false">D922*0.9*0.095+D922*3%</f>
        <v>10.3078982597055</v>
      </c>
      <c r="G922" s="472" t="n">
        <f aca="false">амортизация!M2982</f>
        <v>156.420124944221</v>
      </c>
      <c r="H922" s="473" t="e">
        <f aca="false">C922+D922+F922+G922</f>
        <v>#NAME?</v>
      </c>
      <c r="I922" s="462" t="n">
        <f aca="false">I$190</f>
        <v>0.240474587202079</v>
      </c>
      <c r="J922" s="473" t="n">
        <f aca="false">D922*I922</f>
        <v>21.4613643196858</v>
      </c>
      <c r="K922" s="473" t="e">
        <f aca="false">H922+J922</f>
        <v>#NAME?</v>
      </c>
      <c r="L922" s="462" t="n">
        <v>0.2</v>
      </c>
      <c r="M922" s="473" t="e">
        <f aca="false">K922*L922</f>
        <v>#NAME?</v>
      </c>
      <c r="N922" s="473" t="e">
        <f aca="false">K922+M922</f>
        <v>#NAME?</v>
      </c>
      <c r="O922" s="473" t="e">
        <f aca="false">M922</f>
        <v>#NAME?</v>
      </c>
    </row>
    <row r="923" s="461" customFormat="true" ht="15" hidden="false" customHeight="false" outlineLevel="0" collapsed="false">
      <c r="A923" s="327" t="s">
        <v>1516</v>
      </c>
      <c r="B923" s="502" t="s">
        <v>3465</v>
      </c>
      <c r="C923" s="472" t="e">
        <f aca="false">мат.затр!g8140</f>
        <v>#NAME?</v>
      </c>
      <c r="D923" s="472" t="n">
        <f aca="false">тарифик!J924</f>
        <v>66.9344042838019</v>
      </c>
      <c r="E923" s="472"/>
      <c r="F923" s="473" t="n">
        <f aca="false">D923*0.9*0.095+D923*3%</f>
        <v>7.73092369477912</v>
      </c>
      <c r="G923" s="472" t="n">
        <f aca="false">амортизация!M2983</f>
        <v>55.7786702365016</v>
      </c>
      <c r="H923" s="473" t="e">
        <f aca="false">C923+D923+F923+G923</f>
        <v>#NAME?</v>
      </c>
      <c r="I923" s="462" t="n">
        <f aca="false">I$190</f>
        <v>0.240474587202079</v>
      </c>
      <c r="J923" s="473" t="n">
        <f aca="false">D923*I923</f>
        <v>16.0960232397643</v>
      </c>
      <c r="K923" s="473" t="e">
        <f aca="false">H923+J923</f>
        <v>#NAME?</v>
      </c>
      <c r="L923" s="462" t="n">
        <v>0.2</v>
      </c>
      <c r="M923" s="473" t="e">
        <f aca="false">K923*L923</f>
        <v>#NAME?</v>
      </c>
      <c r="N923" s="473" t="e">
        <f aca="false">K923+M923</f>
        <v>#NAME?</v>
      </c>
      <c r="O923" s="473" t="e">
        <f aca="false">M923</f>
        <v>#NAME?</v>
      </c>
    </row>
    <row r="924" s="461" customFormat="true" ht="45" hidden="false" customHeight="false" outlineLevel="0" collapsed="false">
      <c r="A924" s="327" t="s">
        <v>1517</v>
      </c>
      <c r="B924" s="502" t="s">
        <v>3515</v>
      </c>
      <c r="C924" s="472" t="e">
        <f aca="false">мат.затр!g8148</f>
        <v>#NAME?</v>
      </c>
      <c r="D924" s="472" t="n">
        <f aca="false">тарифик!J925</f>
        <v>234.270414993307</v>
      </c>
      <c r="E924" s="472"/>
      <c r="F924" s="473" t="n">
        <f aca="false">D924*0.9*0.095+D924*3%</f>
        <v>27.0582329317269</v>
      </c>
      <c r="G924" s="472" t="n">
        <f aca="false">амортизация!M2984</f>
        <v>0</v>
      </c>
      <c r="H924" s="473" t="e">
        <f aca="false">C924+D924+F924+G924</f>
        <v>#NAME?</v>
      </c>
      <c r="I924" s="462" t="n">
        <f aca="false">I$190</f>
        <v>0.240474587202079</v>
      </c>
      <c r="J924" s="473" t="n">
        <f aca="false">D924*I924</f>
        <v>56.3360813391751</v>
      </c>
      <c r="K924" s="473" t="e">
        <f aca="false">H924+J924</f>
        <v>#NAME?</v>
      </c>
      <c r="L924" s="462" t="n">
        <v>0.2</v>
      </c>
      <c r="M924" s="473" t="e">
        <f aca="false">K924*L924</f>
        <v>#NAME?</v>
      </c>
      <c r="N924" s="473" t="e">
        <f aca="false">K924+M924</f>
        <v>#NAME?</v>
      </c>
      <c r="O924" s="473" t="e">
        <f aca="false">M924</f>
        <v>#NAME?</v>
      </c>
    </row>
    <row r="925" s="461" customFormat="true" ht="15" hidden="false" customHeight="false" outlineLevel="0" collapsed="false">
      <c r="A925" s="327" t="s">
        <v>1519</v>
      </c>
      <c r="B925" s="503" t="s">
        <v>3486</v>
      </c>
      <c r="C925" s="472" t="e">
        <f aca="false">мат.затр!g8149</f>
        <v>#NAME?</v>
      </c>
      <c r="D925" s="472" t="n">
        <f aca="false">тарифик!J926</f>
        <v>1874.16331994645</v>
      </c>
      <c r="E925" s="472"/>
      <c r="F925" s="473" t="n">
        <f aca="false">D925*0.9*0.095+D925*3%</f>
        <v>216.465863453815</v>
      </c>
      <c r="G925" s="472" t="n">
        <f aca="false">амортизация!M2985</f>
        <v>0</v>
      </c>
      <c r="H925" s="473" t="e">
        <f aca="false">C925+D925+F925+G925</f>
        <v>#NAME?</v>
      </c>
      <c r="I925" s="462" t="n">
        <f aca="false">I$190</f>
        <v>0.240474587202079</v>
      </c>
      <c r="J925" s="473" t="n">
        <f aca="false">D925*I925</f>
        <v>450.688650713401</v>
      </c>
      <c r="K925" s="473" t="e">
        <f aca="false">H925+J925</f>
        <v>#NAME?</v>
      </c>
      <c r="L925" s="462" t="n">
        <v>0.2</v>
      </c>
      <c r="M925" s="473" t="e">
        <f aca="false">K925*L925</f>
        <v>#NAME?</v>
      </c>
      <c r="N925" s="473" t="e">
        <f aca="false">K925+M925</f>
        <v>#NAME?</v>
      </c>
      <c r="O925" s="473" t="e">
        <f aca="false">M925</f>
        <v>#NAME?</v>
      </c>
    </row>
    <row r="926" s="461" customFormat="true" ht="15" hidden="false" customHeight="false" outlineLevel="0" collapsed="false">
      <c r="A926" s="327" t="s">
        <v>1521</v>
      </c>
      <c r="B926" s="503" t="s">
        <v>3516</v>
      </c>
      <c r="C926" s="472" t="e">
        <f aca="false">мат.затр!g8150</f>
        <v>#NAME?</v>
      </c>
      <c r="D926" s="472" t="n">
        <f aca="false">тарифик!J927</f>
        <v>1740.29451137885</v>
      </c>
      <c r="E926" s="472"/>
      <c r="F926" s="473" t="n">
        <f aca="false">D926*0.9*0.095+D926*3%</f>
        <v>201.004016064257</v>
      </c>
      <c r="G926" s="472" t="n">
        <f aca="false">амортизация!M2986</f>
        <v>19.8902275769746</v>
      </c>
      <c r="H926" s="473" t="e">
        <f aca="false">C926+D926+F926+G926</f>
        <v>#NAME?</v>
      </c>
      <c r="I926" s="462" t="n">
        <f aca="false">I$190</f>
        <v>0.240474587202079</v>
      </c>
      <c r="J926" s="473" t="n">
        <f aca="false">D926*I926</f>
        <v>418.496604233872</v>
      </c>
      <c r="K926" s="473" t="e">
        <f aca="false">H926+J926</f>
        <v>#NAME?</v>
      </c>
      <c r="L926" s="462" t="n">
        <v>0.2</v>
      </c>
      <c r="M926" s="473" t="e">
        <f aca="false">K926*L926</f>
        <v>#NAME?</v>
      </c>
      <c r="N926" s="473" t="e">
        <f aca="false">K926+M926</f>
        <v>#NAME?</v>
      </c>
      <c r="O926" s="473" t="e">
        <f aca="false">M926</f>
        <v>#NAME?</v>
      </c>
    </row>
    <row r="927" s="461" customFormat="true" ht="28.5" hidden="false" customHeight="false" outlineLevel="0" collapsed="false">
      <c r="A927" s="350" t="s">
        <v>1523</v>
      </c>
      <c r="B927" s="505" t="s">
        <v>3517</v>
      </c>
      <c r="C927" s="468"/>
      <c r="D927" s="468"/>
      <c r="E927" s="472"/>
      <c r="F927" s="468"/>
      <c r="G927" s="468"/>
      <c r="H927" s="474"/>
      <c r="I927" s="475"/>
      <c r="J927" s="474"/>
      <c r="K927" s="474"/>
      <c r="L927" s="475"/>
      <c r="M927" s="474"/>
      <c r="N927" s="474"/>
      <c r="O927" s="474"/>
    </row>
    <row r="928" s="461" customFormat="true" ht="15" hidden="false" customHeight="false" outlineLevel="0" collapsed="false">
      <c r="A928" s="327" t="s">
        <v>1525</v>
      </c>
      <c r="B928" s="502" t="s">
        <v>3518</v>
      </c>
      <c r="C928" s="472" t="e">
        <f aca="false">мат.затр!g8153</f>
        <v>#NAME?</v>
      </c>
      <c r="D928" s="472" t="n">
        <f aca="false">тарифик!J929</f>
        <v>577.309236947791</v>
      </c>
      <c r="E928" s="472"/>
      <c r="F928" s="473" t="n">
        <f aca="false">D928*0.9*0.095+D928*3%</f>
        <v>66.6792168674699</v>
      </c>
      <c r="G928" s="472" t="n">
        <f aca="false">амортизация!M2988</f>
        <v>0</v>
      </c>
      <c r="H928" s="473" t="e">
        <f aca="false">C928+D928+F928+G928</f>
        <v>#NAME?</v>
      </c>
      <c r="I928" s="462" t="n">
        <f aca="false">I$190</f>
        <v>0.240474587202079</v>
      </c>
      <c r="J928" s="473" t="n">
        <f aca="false">D928*I928</f>
        <v>138.828200442967</v>
      </c>
      <c r="K928" s="473" t="e">
        <f aca="false">H928+J928</f>
        <v>#NAME?</v>
      </c>
      <c r="L928" s="462" t="n">
        <v>0.2</v>
      </c>
      <c r="M928" s="473" t="e">
        <f aca="false">K928*L928</f>
        <v>#NAME?</v>
      </c>
      <c r="N928" s="473" t="e">
        <f aca="false">K928+M928</f>
        <v>#NAME?</v>
      </c>
      <c r="O928" s="473" t="e">
        <f aca="false">M928</f>
        <v>#NAME?</v>
      </c>
    </row>
    <row r="929" s="461" customFormat="true" ht="15" hidden="false" customHeight="false" outlineLevel="0" collapsed="false">
      <c r="A929" s="327" t="s">
        <v>1527</v>
      </c>
      <c r="B929" s="502" t="s">
        <v>3139</v>
      </c>
      <c r="C929" s="472" t="e">
        <f aca="false">мат.затр!g8154</f>
        <v>#NAME?</v>
      </c>
      <c r="D929" s="472" t="n">
        <f aca="false">тарифик!J930</f>
        <v>111.557340473003</v>
      </c>
      <c r="E929" s="472"/>
      <c r="F929" s="473" t="n">
        <f aca="false">D929*0.9*0.095+D929*3%</f>
        <v>12.8848728246319</v>
      </c>
      <c r="G929" s="472" t="n">
        <f aca="false">амортизация!M2989</f>
        <v>0</v>
      </c>
      <c r="H929" s="473" t="e">
        <f aca="false">C929+D929+F929+G929</f>
        <v>#NAME?</v>
      </c>
      <c r="I929" s="462" t="n">
        <f aca="false">I$190</f>
        <v>0.240474587202079</v>
      </c>
      <c r="J929" s="473" t="n">
        <f aca="false">D929*I929</f>
        <v>26.8267053996072</v>
      </c>
      <c r="K929" s="473" t="e">
        <f aca="false">H929+J929</f>
        <v>#NAME?</v>
      </c>
      <c r="L929" s="462" t="n">
        <v>0.2</v>
      </c>
      <c r="M929" s="473" t="e">
        <f aca="false">K929*L929</f>
        <v>#NAME?</v>
      </c>
      <c r="N929" s="473" t="e">
        <f aca="false">K929+M929</f>
        <v>#NAME?</v>
      </c>
      <c r="O929" s="473" t="e">
        <f aca="false">M929</f>
        <v>#NAME?</v>
      </c>
    </row>
    <row r="930" s="461" customFormat="true" ht="15" hidden="false" customHeight="false" outlineLevel="0" collapsed="false">
      <c r="A930" s="327" t="s">
        <v>1528</v>
      </c>
      <c r="B930" s="502" t="s">
        <v>2964</v>
      </c>
      <c r="C930" s="472" t="e">
        <f aca="false">мат.затр!g8155</f>
        <v>#NAME?</v>
      </c>
      <c r="D930" s="472" t="n">
        <f aca="false">тарифик!J931</f>
        <v>368.13922356091</v>
      </c>
      <c r="E930" s="472"/>
      <c r="F930" s="473" t="n">
        <f aca="false">D930*0.9*0.095+D930*3%</f>
        <v>42.5200803212851</v>
      </c>
      <c r="G930" s="472" t="n">
        <f aca="false">амортизация!M2990</f>
        <v>3.72941767068273</v>
      </c>
      <c r="H930" s="473" t="e">
        <f aca="false">C930+D930+F930+G930</f>
        <v>#NAME?</v>
      </c>
      <c r="I930" s="462" t="n">
        <f aca="false">I$190</f>
        <v>0.240474587202079</v>
      </c>
      <c r="J930" s="473" t="n">
        <f aca="false">D930*I930</f>
        <v>88.5281278187038</v>
      </c>
      <c r="K930" s="473" t="e">
        <f aca="false">H930+J930</f>
        <v>#NAME?</v>
      </c>
      <c r="L930" s="462" t="n">
        <v>0.2</v>
      </c>
      <c r="M930" s="473" t="e">
        <f aca="false">K930*L930</f>
        <v>#NAME?</v>
      </c>
      <c r="N930" s="473" t="e">
        <f aca="false">K930+M930</f>
        <v>#NAME?</v>
      </c>
      <c r="O930" s="473" t="e">
        <f aca="false">M930</f>
        <v>#NAME?</v>
      </c>
    </row>
    <row r="931" s="461" customFormat="true" ht="30" hidden="false" customHeight="false" outlineLevel="0" collapsed="false">
      <c r="A931" s="327" t="s">
        <v>1529</v>
      </c>
      <c r="B931" s="502" t="s">
        <v>3519</v>
      </c>
      <c r="C931" s="472" t="e">
        <f aca="false">мат.затр!g8161</f>
        <v>#NAME?</v>
      </c>
      <c r="D931" s="472" t="n">
        <f aca="false">тарифик!J932</f>
        <v>1427.93395805444</v>
      </c>
      <c r="E931" s="472"/>
      <c r="F931" s="473" t="n">
        <f aca="false">D931*0.9*0.095+D931*3%</f>
        <v>164.926372155288</v>
      </c>
      <c r="G931" s="472" t="n">
        <f aca="false">амортизация!M2991</f>
        <v>44.2045961624275</v>
      </c>
      <c r="H931" s="473" t="e">
        <f aca="false">C931+D931+F931+G931</f>
        <v>#NAME?</v>
      </c>
      <c r="I931" s="462" t="n">
        <f aca="false">I$190</f>
        <v>0.240474587202079</v>
      </c>
      <c r="J931" s="473" t="n">
        <f aca="false">D931*I931</f>
        <v>343.381829114972</v>
      </c>
      <c r="K931" s="473" t="e">
        <f aca="false">H931+J931</f>
        <v>#NAME?</v>
      </c>
      <c r="L931" s="462" t="n">
        <v>0.2</v>
      </c>
      <c r="M931" s="473" t="e">
        <f aca="false">K931*L931</f>
        <v>#NAME?</v>
      </c>
      <c r="N931" s="473" t="e">
        <f aca="false">K931+M931</f>
        <v>#NAME?</v>
      </c>
      <c r="O931" s="473" t="e">
        <f aca="false">M931</f>
        <v>#NAME?</v>
      </c>
    </row>
    <row r="932" s="461" customFormat="true" ht="30" hidden="false" customHeight="false" outlineLevel="0" collapsed="false">
      <c r="A932" s="327" t="s">
        <v>1531</v>
      </c>
      <c r="B932" s="502" t="s">
        <v>3520</v>
      </c>
      <c r="C932" s="472" t="e">
        <f aca="false">мат.затр!g8167</f>
        <v>#NAME?</v>
      </c>
      <c r="D932" s="472" t="n">
        <f aca="false">тарифик!J933</f>
        <v>1427.93395805444</v>
      </c>
      <c r="E932" s="472"/>
      <c r="F932" s="473" t="n">
        <f aca="false">D932*0.9*0.095+D932*3%</f>
        <v>164.926372155288</v>
      </c>
      <c r="G932" s="472" t="n">
        <f aca="false">амортизация!M2992</f>
        <v>44.2045961624275</v>
      </c>
      <c r="H932" s="473" t="e">
        <f aca="false">C932+D932+F932+G932</f>
        <v>#NAME?</v>
      </c>
      <c r="I932" s="462" t="n">
        <f aca="false">I$190</f>
        <v>0.240474587202079</v>
      </c>
      <c r="J932" s="473" t="n">
        <f aca="false">D932*I932</f>
        <v>343.381829114972</v>
      </c>
      <c r="K932" s="473" t="e">
        <f aca="false">H932+J932</f>
        <v>#NAME?</v>
      </c>
      <c r="L932" s="462" t="n">
        <v>0.2</v>
      </c>
      <c r="M932" s="473" t="e">
        <f aca="false">K932*L932</f>
        <v>#NAME?</v>
      </c>
      <c r="N932" s="473" t="e">
        <f aca="false">K932+M932</f>
        <v>#NAME?</v>
      </c>
      <c r="O932" s="473" t="e">
        <f aca="false">M932</f>
        <v>#NAME?</v>
      </c>
    </row>
    <row r="933" s="461" customFormat="true" ht="15" hidden="false" customHeight="false" outlineLevel="0" collapsed="false">
      <c r="A933" s="327" t="s">
        <v>1533</v>
      </c>
      <c r="B933" s="503" t="s">
        <v>3129</v>
      </c>
      <c r="C933" s="472" t="e">
        <f aca="false">мат.затр!g8173</f>
        <v>#NAME?</v>
      </c>
      <c r="D933" s="472" t="n">
        <f aca="false">тарифик!J934</f>
        <v>937.081659973226</v>
      </c>
      <c r="E933" s="472"/>
      <c r="F933" s="473" t="n">
        <f aca="false">D933*0.9*0.095+D933*3%</f>
        <v>108.232931726908</v>
      </c>
      <c r="G933" s="472" t="n">
        <f aca="false">амортизация!M2993</f>
        <v>44.2045961624275</v>
      </c>
      <c r="H933" s="473" t="e">
        <f aca="false">C933+D933+F933+G933</f>
        <v>#NAME?</v>
      </c>
      <c r="I933" s="462" t="n">
        <f aca="false">I$190</f>
        <v>0.240474587202079</v>
      </c>
      <c r="J933" s="473" t="n">
        <f aca="false">D933*I933</f>
        <v>225.344325356701</v>
      </c>
      <c r="K933" s="473" t="e">
        <f aca="false">H933+J933</f>
        <v>#NAME?</v>
      </c>
      <c r="L933" s="462" t="n">
        <v>0.2</v>
      </c>
      <c r="M933" s="473" t="e">
        <f aca="false">K933*L933</f>
        <v>#NAME?</v>
      </c>
      <c r="N933" s="473" t="e">
        <f aca="false">K933+M933</f>
        <v>#NAME?</v>
      </c>
      <c r="O933" s="473" t="e">
        <f aca="false">M933</f>
        <v>#NAME?</v>
      </c>
    </row>
    <row r="934" s="461" customFormat="true" ht="15" hidden="false" customHeight="false" outlineLevel="0" collapsed="false">
      <c r="A934" s="327" t="s">
        <v>1534</v>
      </c>
      <c r="B934" s="503" t="s">
        <v>3521</v>
      </c>
      <c r="C934" s="472" t="e">
        <f aca="false">мат.затр!g8179</f>
        <v>#NAME?</v>
      </c>
      <c r="D934" s="472" t="n">
        <f aca="false">тарифик!J935</f>
        <v>736.278447121821</v>
      </c>
      <c r="E934" s="472"/>
      <c r="F934" s="473" t="n">
        <f aca="false">D934*0.9*0.095+D934*3%</f>
        <v>85.0401606425703</v>
      </c>
      <c r="G934" s="472" t="n">
        <f aca="false">амортизация!M2994</f>
        <v>44.2045961624275</v>
      </c>
      <c r="H934" s="473" t="e">
        <f aca="false">C934+D934+F934+G934</f>
        <v>#NAME?</v>
      </c>
      <c r="I934" s="462" t="n">
        <f aca="false">I$190</f>
        <v>0.240474587202079</v>
      </c>
      <c r="J934" s="473" t="n">
        <f aca="false">D934*I934</f>
        <v>177.056255637408</v>
      </c>
      <c r="K934" s="473" t="e">
        <f aca="false">H934+J934</f>
        <v>#NAME?</v>
      </c>
      <c r="L934" s="462" t="n">
        <v>0.2</v>
      </c>
      <c r="M934" s="473" t="e">
        <f aca="false">K934*L934</f>
        <v>#NAME?</v>
      </c>
      <c r="N934" s="473" t="e">
        <f aca="false">K934+M934</f>
        <v>#NAME?</v>
      </c>
      <c r="O934" s="473" t="e">
        <f aca="false">M934</f>
        <v>#NAME?</v>
      </c>
    </row>
    <row r="935" s="461" customFormat="true" ht="15" hidden="false" customHeight="false" outlineLevel="0" collapsed="false">
      <c r="A935" s="327" t="s">
        <v>1535</v>
      </c>
      <c r="B935" s="503" t="s">
        <v>3269</v>
      </c>
      <c r="C935" s="472" t="e">
        <f aca="false">мат.затр!g8184</f>
        <v>#NAME?</v>
      </c>
      <c r="D935" s="472" t="n">
        <f aca="false">тарифик!J936</f>
        <v>1405.62248995984</v>
      </c>
      <c r="E935" s="472"/>
      <c r="F935" s="473" t="n">
        <f aca="false">D935*0.9*0.095+D935*3%</f>
        <v>162.349397590361</v>
      </c>
      <c r="G935" s="472" t="n">
        <f aca="false">амортизация!M2995</f>
        <v>44.2045961624275</v>
      </c>
      <c r="H935" s="473" t="e">
        <f aca="false">C935+D935+F935+G935</f>
        <v>#NAME?</v>
      </c>
      <c r="I935" s="462" t="n">
        <f aca="false">I$190</f>
        <v>0.240474587202079</v>
      </c>
      <c r="J935" s="473" t="n">
        <f aca="false">D935*I935</f>
        <v>338.016488035051</v>
      </c>
      <c r="K935" s="473" t="e">
        <f aca="false">H935+J935</f>
        <v>#NAME?</v>
      </c>
      <c r="L935" s="462" t="n">
        <v>0.2</v>
      </c>
      <c r="M935" s="473" t="e">
        <f aca="false">K935*L935</f>
        <v>#NAME?</v>
      </c>
      <c r="N935" s="473" t="e">
        <f aca="false">K935+M935</f>
        <v>#NAME?</v>
      </c>
      <c r="O935" s="473" t="e">
        <f aca="false">M935</f>
        <v>#NAME?</v>
      </c>
    </row>
    <row r="936" s="461" customFormat="true" ht="15" hidden="false" customHeight="false" outlineLevel="0" collapsed="false">
      <c r="A936" s="327" t="s">
        <v>1536</v>
      </c>
      <c r="B936" s="504" t="s">
        <v>3522</v>
      </c>
      <c r="C936" s="472" t="e">
        <f aca="false">мат.затр!g8185</f>
        <v>#NAME?</v>
      </c>
      <c r="D936" s="472" t="n">
        <f aca="false">тарифик!J937</f>
        <v>1427.93395805444</v>
      </c>
      <c r="E936" s="472"/>
      <c r="F936" s="473" t="n">
        <f aca="false">D936*0.9*0.095+D936*3%</f>
        <v>164.926372155288</v>
      </c>
      <c r="G936" s="472" t="n">
        <f aca="false">амортизация!M2996</f>
        <v>55.7786702365016</v>
      </c>
      <c r="H936" s="473" t="e">
        <f aca="false">C936+D936+F936+G936</f>
        <v>#NAME?</v>
      </c>
      <c r="I936" s="462" t="n">
        <f aca="false">I$190</f>
        <v>0.240474587202079</v>
      </c>
      <c r="J936" s="473" t="n">
        <f aca="false">D936*I936</f>
        <v>343.381829114972</v>
      </c>
      <c r="K936" s="473" t="e">
        <f aca="false">H936+J936</f>
        <v>#NAME?</v>
      </c>
      <c r="L936" s="462" t="n">
        <v>0.2</v>
      </c>
      <c r="M936" s="473" t="e">
        <f aca="false">K936*L936</f>
        <v>#NAME?</v>
      </c>
      <c r="N936" s="473" t="e">
        <f aca="false">K936+M936</f>
        <v>#NAME?</v>
      </c>
      <c r="O936" s="473" t="e">
        <f aca="false">M936</f>
        <v>#NAME?</v>
      </c>
    </row>
    <row r="937" s="461" customFormat="true" ht="30" hidden="false" customHeight="false" outlineLevel="0" collapsed="false">
      <c r="A937" s="327" t="s">
        <v>1538</v>
      </c>
      <c r="B937" s="502" t="s">
        <v>3523</v>
      </c>
      <c r="C937" s="472" t="e">
        <f aca="false">мат.затр!g8190</f>
        <v>#NAME?</v>
      </c>
      <c r="D937" s="472" t="n">
        <f aca="false">тарифик!J938</f>
        <v>3302.09727800089</v>
      </c>
      <c r="E937" s="472"/>
      <c r="F937" s="473" t="n">
        <f aca="false">D937*0.9*0.095+D937*3%</f>
        <v>381.392235609103</v>
      </c>
      <c r="G937" s="472" t="n">
        <f aca="false">амортизация!M2997</f>
        <v>3.72941767068273</v>
      </c>
      <c r="H937" s="473" t="e">
        <f aca="false">C937+D937+F937+G937</f>
        <v>#NAME?</v>
      </c>
      <c r="I937" s="462" t="n">
        <f aca="false">I$190</f>
        <v>0.240474587202079</v>
      </c>
      <c r="J937" s="473" t="n">
        <f aca="false">D937*I937</f>
        <v>794.070479828373</v>
      </c>
      <c r="K937" s="473" t="e">
        <f aca="false">H937+J937</f>
        <v>#NAME?</v>
      </c>
      <c r="L937" s="462" t="n">
        <v>0.2</v>
      </c>
      <c r="M937" s="473" t="e">
        <f aca="false">K937*L937</f>
        <v>#NAME?</v>
      </c>
      <c r="N937" s="473" t="e">
        <f aca="false">K937+M937</f>
        <v>#NAME?</v>
      </c>
      <c r="O937" s="473" t="e">
        <f aca="false">M937</f>
        <v>#NAME?</v>
      </c>
    </row>
    <row r="938" s="461" customFormat="true" ht="15" hidden="false" customHeight="false" outlineLevel="0" collapsed="false">
      <c r="A938" s="327" t="s">
        <v>1540</v>
      </c>
      <c r="B938" s="502" t="s">
        <v>3524</v>
      </c>
      <c r="C938" s="472" t="e">
        <f aca="false">мат.затр!g8200</f>
        <v>#NAME?</v>
      </c>
      <c r="D938" s="472" t="n">
        <f aca="false">тарифик!J939</f>
        <v>1519.4109772423</v>
      </c>
      <c r="E938" s="472"/>
      <c r="F938" s="473" t="n">
        <f aca="false">D938*0.9*0.095+D938*3%</f>
        <v>175.491967871486</v>
      </c>
      <c r="G938" s="472" t="n">
        <f aca="false">амортизация!M2998</f>
        <v>55.7786702365016</v>
      </c>
      <c r="H938" s="473" t="e">
        <f aca="false">C938+D938+F938+G938</f>
        <v>#NAME?</v>
      </c>
      <c r="I938" s="462" t="n">
        <f aca="false">I$190</f>
        <v>0.240474587202079</v>
      </c>
      <c r="J938" s="473" t="n">
        <f aca="false">D938*I938</f>
        <v>365.37972754265</v>
      </c>
      <c r="K938" s="473" t="e">
        <f aca="false">H938+J938</f>
        <v>#NAME?</v>
      </c>
      <c r="L938" s="462" t="n">
        <v>0.2</v>
      </c>
      <c r="M938" s="473" t="e">
        <f aca="false">K938*L938</f>
        <v>#NAME?</v>
      </c>
      <c r="N938" s="473" t="e">
        <f aca="false">K938+M938</f>
        <v>#NAME?</v>
      </c>
      <c r="O938" s="473" t="e">
        <f aca="false">M938</f>
        <v>#NAME?</v>
      </c>
    </row>
    <row r="939" s="461" customFormat="true" ht="15" hidden="false" customHeight="false" outlineLevel="0" collapsed="false">
      <c r="A939" s="327" t="s">
        <v>1542</v>
      </c>
      <c r="B939" s="502" t="s">
        <v>3525</v>
      </c>
      <c r="C939" s="472" t="e">
        <f aca="false">мат.затр!g8205</f>
        <v>#NAME?</v>
      </c>
      <c r="D939" s="472" t="n">
        <f aca="false">тарифик!J940</f>
        <v>1874.16331994645</v>
      </c>
      <c r="E939" s="472"/>
      <c r="F939" s="473" t="n">
        <f aca="false">D939*0.9*0.095+D939*3%</f>
        <v>216.465863453815</v>
      </c>
      <c r="G939" s="472" t="n">
        <f aca="false">амортизация!M2999</f>
        <v>55.7786702365016</v>
      </c>
      <c r="H939" s="473" t="e">
        <f aca="false">C939+D939+F939+G939</f>
        <v>#NAME?</v>
      </c>
      <c r="I939" s="462" t="n">
        <f aca="false">I$190</f>
        <v>0.240474587202079</v>
      </c>
      <c r="J939" s="473" t="n">
        <f aca="false">D939*I939</f>
        <v>450.688650713401</v>
      </c>
      <c r="K939" s="473" t="e">
        <f aca="false">H939+J939</f>
        <v>#NAME?</v>
      </c>
      <c r="L939" s="462" t="n">
        <v>0.2</v>
      </c>
      <c r="M939" s="473" t="e">
        <f aca="false">K939*L939</f>
        <v>#NAME?</v>
      </c>
      <c r="N939" s="473" t="e">
        <f aca="false">K939+M939</f>
        <v>#NAME?</v>
      </c>
      <c r="O939" s="473" t="e">
        <f aca="false">M939</f>
        <v>#NAME?</v>
      </c>
    </row>
    <row r="940" s="461" customFormat="true" ht="30" hidden="false" customHeight="false" outlineLevel="0" collapsed="false">
      <c r="A940" s="327" t="s">
        <v>1544</v>
      </c>
      <c r="B940" s="502" t="s">
        <v>3526</v>
      </c>
      <c r="C940" s="472" t="e">
        <f aca="false">мат.затр!g8208</f>
        <v>#NAME?</v>
      </c>
      <c r="D940" s="472" t="n">
        <f aca="false">тарифик!J941</f>
        <v>2409.63855421687</v>
      </c>
      <c r="E940" s="472"/>
      <c r="F940" s="473" t="n">
        <f aca="false">D940*0.9*0.095+D940*3%</f>
        <v>278.313253012048</v>
      </c>
      <c r="G940" s="472" t="n">
        <f aca="false">амортизация!M3000</f>
        <v>55.7786702365016</v>
      </c>
      <c r="H940" s="473" t="e">
        <f aca="false">C940+D940+F940+G940</f>
        <v>#NAME?</v>
      </c>
      <c r="I940" s="462" t="n">
        <f aca="false">I$190</f>
        <v>0.240474587202079</v>
      </c>
      <c r="J940" s="473" t="n">
        <f aca="false">D940*I940</f>
        <v>579.456836631516</v>
      </c>
      <c r="K940" s="473" t="e">
        <f aca="false">H940+J940</f>
        <v>#NAME?</v>
      </c>
      <c r="L940" s="462" t="n">
        <v>0.2</v>
      </c>
      <c r="M940" s="473" t="e">
        <f aca="false">K940*L940</f>
        <v>#NAME?</v>
      </c>
      <c r="N940" s="473" t="e">
        <f aca="false">K940+M940</f>
        <v>#NAME?</v>
      </c>
      <c r="O940" s="473" t="e">
        <f aca="false">M940</f>
        <v>#NAME?</v>
      </c>
    </row>
    <row r="941" s="461" customFormat="true" ht="15" hidden="false" customHeight="false" outlineLevel="0" collapsed="false">
      <c r="A941" s="327" t="s">
        <v>1546</v>
      </c>
      <c r="B941" s="502" t="s">
        <v>3527</v>
      </c>
      <c r="C941" s="472" t="e">
        <f aca="false">мат.затр!g8212</f>
        <v>#NAME?</v>
      </c>
      <c r="D941" s="472" t="n">
        <f aca="false">тарифик!J942</f>
        <v>1796.07318161535</v>
      </c>
      <c r="E941" s="472"/>
      <c r="F941" s="473" t="n">
        <f aca="false">D941*0.9*0.095+D941*3%</f>
        <v>207.446452476573</v>
      </c>
      <c r="G941" s="472" t="n">
        <f aca="false">амортизация!M3001</f>
        <v>55.7786702365016</v>
      </c>
      <c r="H941" s="473" t="e">
        <f aca="false">C941+D941+F941+G941</f>
        <v>#NAME?</v>
      </c>
      <c r="I941" s="462" t="n">
        <f aca="false">I$190</f>
        <v>0.240474587202079</v>
      </c>
      <c r="J941" s="473" t="n">
        <f aca="false">D941*I941</f>
        <v>431.909956933676</v>
      </c>
      <c r="K941" s="473" t="e">
        <f aca="false">H941+J941</f>
        <v>#NAME?</v>
      </c>
      <c r="L941" s="462" t="n">
        <v>0.2</v>
      </c>
      <c r="M941" s="473" t="e">
        <f aca="false">K941*L941</f>
        <v>#NAME?</v>
      </c>
      <c r="N941" s="473" t="e">
        <f aca="false">K941+M941</f>
        <v>#NAME?</v>
      </c>
      <c r="O941" s="473" t="e">
        <f aca="false">M941</f>
        <v>#NAME?</v>
      </c>
    </row>
    <row r="942" s="461" customFormat="true" ht="15" hidden="false" customHeight="false" outlineLevel="0" collapsed="false">
      <c r="A942" s="327" t="s">
        <v>1548</v>
      </c>
      <c r="B942" s="502" t="s">
        <v>3528</v>
      </c>
      <c r="C942" s="472" t="e">
        <f aca="false">мат.затр!g8215</f>
        <v>#NAME?</v>
      </c>
      <c r="D942" s="472" t="n">
        <f aca="false">тарифик!J943</f>
        <v>1974.56492637216</v>
      </c>
      <c r="E942" s="472"/>
      <c r="F942" s="473" t="n">
        <f aca="false">D942*0.9*0.095+D942*3%</f>
        <v>228.062248995984</v>
      </c>
      <c r="G942" s="472" t="n">
        <f aca="false">амортизация!M3002</f>
        <v>55.7786702365016</v>
      </c>
      <c r="H942" s="473" t="e">
        <f aca="false">C942+D942+F942+G942</f>
        <v>#NAME?</v>
      </c>
      <c r="I942" s="462" t="n">
        <f aca="false">I$190</f>
        <v>0.240474587202079</v>
      </c>
      <c r="J942" s="473" t="n">
        <f aca="false">D942*I942</f>
        <v>474.832685573047</v>
      </c>
      <c r="K942" s="473" t="e">
        <f aca="false">H942+J942</f>
        <v>#NAME?</v>
      </c>
      <c r="L942" s="462" t="n">
        <v>0.2</v>
      </c>
      <c r="M942" s="473" t="e">
        <f aca="false">K942*L942</f>
        <v>#NAME?</v>
      </c>
      <c r="N942" s="473" t="e">
        <f aca="false">K942+M942</f>
        <v>#NAME?</v>
      </c>
      <c r="O942" s="473" t="e">
        <f aca="false">M942</f>
        <v>#NAME?</v>
      </c>
    </row>
    <row r="943" s="461" customFormat="true" ht="15" hidden="false" customHeight="false" outlineLevel="0" collapsed="false">
      <c r="A943" s="327" t="s">
        <v>1550</v>
      </c>
      <c r="B943" s="502" t="s">
        <v>3529</v>
      </c>
      <c r="C943" s="472" t="e">
        <f aca="false">мат.затр!g8221</f>
        <v>#NAME?</v>
      </c>
      <c r="D943" s="472" t="n">
        <f aca="false">тарифик!J944</f>
        <v>1847.38955823293</v>
      </c>
      <c r="E943" s="472"/>
      <c r="F943" s="473" t="n">
        <f aca="false">D943*0.9*0.095+D943*3%</f>
        <v>213.373493975904</v>
      </c>
      <c r="G943" s="472" t="n">
        <f aca="false">амортизация!M3003</f>
        <v>55.7786702365016</v>
      </c>
      <c r="H943" s="473" t="e">
        <f aca="false">C943+D943+F943+G943</f>
        <v>#NAME?</v>
      </c>
      <c r="I943" s="462" t="n">
        <f aca="false">I$190</f>
        <v>0.240474587202079</v>
      </c>
      <c r="J943" s="473" t="n">
        <f aca="false">D943*I943</f>
        <v>444.250241417495</v>
      </c>
      <c r="K943" s="473" t="e">
        <f aca="false">H943+J943</f>
        <v>#NAME?</v>
      </c>
      <c r="L943" s="462" t="n">
        <v>0.2</v>
      </c>
      <c r="M943" s="473" t="e">
        <f aca="false">K943*L943</f>
        <v>#NAME?</v>
      </c>
      <c r="N943" s="473" t="e">
        <f aca="false">K943+M943</f>
        <v>#NAME?</v>
      </c>
      <c r="O943" s="473" t="e">
        <f aca="false">M943</f>
        <v>#NAME?</v>
      </c>
    </row>
    <row r="944" s="461" customFormat="true" ht="30" hidden="false" customHeight="false" outlineLevel="0" collapsed="false">
      <c r="A944" s="327" t="s">
        <v>1552</v>
      </c>
      <c r="B944" s="502" t="s">
        <v>3530</v>
      </c>
      <c r="C944" s="472" t="e">
        <f aca="false">мат.затр!g8222</f>
        <v>#NAME?</v>
      </c>
      <c r="D944" s="472" t="n">
        <f aca="false">тарифик!J945</f>
        <v>3804.01695671575</v>
      </c>
      <c r="E944" s="472"/>
      <c r="F944" s="473" t="n">
        <f aca="false">D944*0.9*0.095+D944*3%</f>
        <v>439.363958500669</v>
      </c>
      <c r="G944" s="472" t="n">
        <f aca="false">амортизация!M3004</f>
        <v>3.72941767068273</v>
      </c>
      <c r="H944" s="473" t="e">
        <f aca="false">C944+D944+F944+G944</f>
        <v>#NAME?</v>
      </c>
      <c r="I944" s="462" t="n">
        <f aca="false">I$190</f>
        <v>0.240474587202079</v>
      </c>
      <c r="J944" s="473" t="n">
        <f aca="false">D944*I944</f>
        <v>914.769407375929</v>
      </c>
      <c r="K944" s="473" t="e">
        <f aca="false">H944+J944</f>
        <v>#NAME?</v>
      </c>
      <c r="L944" s="462" t="n">
        <v>0.2</v>
      </c>
      <c r="M944" s="473" t="e">
        <f aca="false">K944*L944</f>
        <v>#NAME?</v>
      </c>
      <c r="N944" s="473" t="e">
        <f aca="false">K944+M944</f>
        <v>#NAME?</v>
      </c>
      <c r="O944" s="473" t="e">
        <f aca="false">M944</f>
        <v>#NAME?</v>
      </c>
    </row>
    <row r="945" s="461" customFormat="true" ht="15" hidden="false" customHeight="false" outlineLevel="0" collapsed="false">
      <c r="A945" s="327" t="s">
        <v>1554</v>
      </c>
      <c r="B945" s="503" t="s">
        <v>3488</v>
      </c>
      <c r="C945" s="472" t="e">
        <f aca="false">мат.затр!g8227</f>
        <v>#NAME?</v>
      </c>
      <c r="D945" s="472" t="n">
        <f aca="false">тарифик!J946</f>
        <v>200.803212851406</v>
      </c>
      <c r="E945" s="472"/>
      <c r="F945" s="473" t="n">
        <f aca="false">D945*0.9*0.095+D945*3%</f>
        <v>23.1927710843374</v>
      </c>
      <c r="G945" s="472" t="n">
        <f aca="false">амортизация!M3005</f>
        <v>22.3765060240964</v>
      </c>
      <c r="H945" s="473" t="e">
        <f aca="false">C945+D945+F945+G945</f>
        <v>#NAME?</v>
      </c>
      <c r="I945" s="462" t="n">
        <f aca="false">I$190</f>
        <v>0.240474587202079</v>
      </c>
      <c r="J945" s="473" t="n">
        <f aca="false">D945*I945</f>
        <v>48.288069719293</v>
      </c>
      <c r="K945" s="473" t="e">
        <f aca="false">H945+J945</f>
        <v>#NAME?</v>
      </c>
      <c r="L945" s="462" t="n">
        <v>0.2</v>
      </c>
      <c r="M945" s="473" t="e">
        <f aca="false">K945*L945</f>
        <v>#NAME?</v>
      </c>
      <c r="N945" s="473" t="e">
        <f aca="false">K945+M945</f>
        <v>#NAME?</v>
      </c>
      <c r="O945" s="473" t="e">
        <f aca="false">M945</f>
        <v>#NAME?</v>
      </c>
    </row>
    <row r="946" s="461" customFormat="true" ht="15" hidden="false" customHeight="false" outlineLevel="0" collapsed="false">
      <c r="A946" s="327" t="s">
        <v>1556</v>
      </c>
      <c r="B946" s="503" t="s">
        <v>3531</v>
      </c>
      <c r="C946" s="472" t="e">
        <f aca="false">мат.затр!g8232</f>
        <v>#NAME?</v>
      </c>
      <c r="D946" s="472" t="n">
        <f aca="false">тарифик!J947</f>
        <v>9870.14725568942</v>
      </c>
      <c r="E946" s="472"/>
      <c r="F946" s="473" t="n">
        <f aca="false">D946*0.9*0.095+D946*3%</f>
        <v>1140.00200803213</v>
      </c>
      <c r="G946" s="472" t="n">
        <f aca="false">амортизация!M3006</f>
        <v>1.49176706827309</v>
      </c>
      <c r="H946" s="473" t="e">
        <f aca="false">C946+D946+F946+G946</f>
        <v>#NAME?</v>
      </c>
      <c r="I946" s="462" t="n">
        <f aca="false">I$190</f>
        <v>0.240474587202079</v>
      </c>
      <c r="J946" s="473" t="n">
        <f aca="false">D946*I946</f>
        <v>2373.51958693565</v>
      </c>
      <c r="K946" s="473" t="e">
        <f aca="false">H946+J946</f>
        <v>#NAME?</v>
      </c>
      <c r="L946" s="462" t="n">
        <v>0.2</v>
      </c>
      <c r="M946" s="473" t="e">
        <f aca="false">K946*L946</f>
        <v>#NAME?</v>
      </c>
      <c r="N946" s="473" t="e">
        <f aca="false">K946+M946</f>
        <v>#NAME?</v>
      </c>
      <c r="O946" s="473" t="e">
        <f aca="false">M946</f>
        <v>#NAME?</v>
      </c>
    </row>
    <row r="947" s="461" customFormat="true" ht="15" hidden="false" customHeight="false" outlineLevel="0" collapsed="false">
      <c r="A947" s="327" t="s">
        <v>1558</v>
      </c>
      <c r="B947" s="503" t="s">
        <v>3532</v>
      </c>
      <c r="C947" s="472" t="e">
        <f aca="false">мат.затр!g8237</f>
        <v>#NAME?</v>
      </c>
      <c r="D947" s="472" t="n">
        <f aca="false">тарифик!J948</f>
        <v>2848.05890227577</v>
      </c>
      <c r="E947" s="472"/>
      <c r="F947" s="473" t="n">
        <f aca="false">D947*0.9*0.095+D947*3%</f>
        <v>328.950803212851</v>
      </c>
      <c r="G947" s="472" t="n">
        <f aca="false">амортизация!M3007</f>
        <v>3.72941767068273</v>
      </c>
      <c r="H947" s="473" t="e">
        <f aca="false">C947+D947+F947+G947</f>
        <v>#NAME?</v>
      </c>
      <c r="I947" s="462" t="n">
        <f aca="false">I$190</f>
        <v>0.240474587202079</v>
      </c>
      <c r="J947" s="473" t="n">
        <f aca="false">D947*I947</f>
        <v>684.885788851972</v>
      </c>
      <c r="K947" s="473" t="e">
        <f aca="false">H947+J947</f>
        <v>#NAME?</v>
      </c>
      <c r="L947" s="462" t="n">
        <v>0.2</v>
      </c>
      <c r="M947" s="473" t="e">
        <f aca="false">K947*L947</f>
        <v>#NAME?</v>
      </c>
      <c r="N947" s="473" t="e">
        <f aca="false">K947+M947</f>
        <v>#NAME?</v>
      </c>
      <c r="O947" s="473" t="e">
        <f aca="false">M947</f>
        <v>#NAME?</v>
      </c>
    </row>
    <row r="948" s="461" customFormat="true" ht="30" hidden="false" customHeight="false" outlineLevel="0" collapsed="false">
      <c r="A948" s="327" t="s">
        <v>1560</v>
      </c>
      <c r="B948" s="502" t="s">
        <v>3533</v>
      </c>
      <c r="C948" s="472" t="e">
        <f aca="false">мат.затр!g8240</f>
        <v>#NAME?</v>
      </c>
      <c r="D948" s="472" t="n">
        <f aca="false">тарифик!J949</f>
        <v>15255.3113328843</v>
      </c>
      <c r="E948" s="472"/>
      <c r="F948" s="473" t="n">
        <f aca="false">D948*0.9*0.095+D948*3%</f>
        <v>1761.98845894814</v>
      </c>
      <c r="G948" s="472" t="n">
        <f aca="false">амортизация!M3008</f>
        <v>3.72941767068273</v>
      </c>
      <c r="H948" s="473" t="e">
        <f aca="false">C948+D948+F948+G948</f>
        <v>#NAME?</v>
      </c>
      <c r="I948" s="462" t="n">
        <f aca="false">I$190</f>
        <v>0.240474587202079</v>
      </c>
      <c r="J948" s="473" t="n">
        <f aca="false">D948*I948</f>
        <v>3668.51469541456</v>
      </c>
      <c r="K948" s="473" t="e">
        <f aca="false">H948+J948</f>
        <v>#NAME?</v>
      </c>
      <c r="L948" s="462" t="n">
        <v>0.2</v>
      </c>
      <c r="M948" s="473" t="e">
        <f aca="false">K948*L948</f>
        <v>#NAME?</v>
      </c>
      <c r="N948" s="473" t="e">
        <f aca="false">K948+M948</f>
        <v>#NAME?</v>
      </c>
      <c r="O948" s="473" t="e">
        <f aca="false">M948</f>
        <v>#NAME?</v>
      </c>
    </row>
    <row r="949" s="461" customFormat="true" ht="15" hidden="false" customHeight="false" outlineLevel="0" collapsed="false">
      <c r="A949" s="327" t="s">
        <v>1562</v>
      </c>
      <c r="B949" s="503" t="s">
        <v>3491</v>
      </c>
      <c r="C949" s="472" t="e">
        <f aca="false">мат.затр!g8244</f>
        <v>#NAME?</v>
      </c>
      <c r="D949" s="472" t="n">
        <f aca="false">тарифик!J950</f>
        <v>5035.69834895136</v>
      </c>
      <c r="E949" s="472"/>
      <c r="F949" s="473" t="n">
        <f aca="false">D949*0.9*0.095+D949*3%</f>
        <v>581.623159303882</v>
      </c>
      <c r="G949" s="472" t="n">
        <f aca="false">амортизация!M3009</f>
        <v>14.9176706827309</v>
      </c>
      <c r="H949" s="473" t="e">
        <f aca="false">C949+D949+F949+G949</f>
        <v>#NAME?</v>
      </c>
      <c r="I949" s="462" t="n">
        <f aca="false">I$190</f>
        <v>0.240474587202079</v>
      </c>
      <c r="J949" s="473" t="n">
        <f aca="false">D949*I949</f>
        <v>1210.95748173827</v>
      </c>
      <c r="K949" s="473" t="e">
        <f aca="false">H949+J949</f>
        <v>#NAME?</v>
      </c>
      <c r="L949" s="462" t="n">
        <v>0.2</v>
      </c>
      <c r="M949" s="473" t="e">
        <f aca="false">K949*L949</f>
        <v>#NAME?</v>
      </c>
      <c r="N949" s="473" t="e">
        <f aca="false">K949+M949</f>
        <v>#NAME?</v>
      </c>
      <c r="O949" s="473" t="e">
        <f aca="false">M949</f>
        <v>#NAME?</v>
      </c>
    </row>
    <row r="950" s="461" customFormat="true" ht="30" hidden="false" customHeight="false" outlineLevel="0" collapsed="false">
      <c r="A950" s="327" t="s">
        <v>1563</v>
      </c>
      <c r="B950" s="506" t="s">
        <v>3534</v>
      </c>
      <c r="C950" s="472" t="e">
        <f aca="false">мат.затр!g8248</f>
        <v>#NAME?</v>
      </c>
      <c r="D950" s="472" t="n">
        <f aca="false">тарифик!J951</f>
        <v>12769.9966532798</v>
      </c>
      <c r="E950" s="472"/>
      <c r="F950" s="473" t="n">
        <f aca="false">D950*0.9*0.095+D950*3%</f>
        <v>1474.93461345382</v>
      </c>
      <c r="G950" s="472" t="n">
        <f aca="false">амортизация!M3010</f>
        <v>3.72941767068273</v>
      </c>
      <c r="H950" s="473" t="e">
        <f aca="false">C950+D950+F950+G950</f>
        <v>#NAME?</v>
      </c>
      <c r="I950" s="462" t="n">
        <f aca="false">I$190</f>
        <v>0.240474587202079</v>
      </c>
      <c r="J950" s="473" t="n">
        <f aca="false">D950*I950</f>
        <v>3070.85967376939</v>
      </c>
      <c r="K950" s="473" t="e">
        <f aca="false">H950+J950</f>
        <v>#NAME?</v>
      </c>
      <c r="L950" s="462" t="n">
        <v>0.2</v>
      </c>
      <c r="M950" s="473" t="e">
        <f aca="false">K950*L950</f>
        <v>#NAME?</v>
      </c>
      <c r="N950" s="473" t="e">
        <f aca="false">K950+M950</f>
        <v>#NAME?</v>
      </c>
      <c r="O950" s="473" t="e">
        <f aca="false">M950</f>
        <v>#NAME?</v>
      </c>
    </row>
    <row r="951" s="461" customFormat="true" ht="28.5" hidden="false" customHeight="false" outlineLevel="0" collapsed="false">
      <c r="A951" s="350" t="s">
        <v>1565</v>
      </c>
      <c r="B951" s="349" t="s">
        <v>3535</v>
      </c>
      <c r="C951" s="468"/>
      <c r="D951" s="468"/>
      <c r="E951" s="472"/>
      <c r="F951" s="468"/>
      <c r="G951" s="468"/>
      <c r="H951" s="474"/>
      <c r="I951" s="475"/>
      <c r="J951" s="474"/>
      <c r="K951" s="474"/>
      <c r="L951" s="475"/>
      <c r="M951" s="474"/>
      <c r="N951" s="474"/>
      <c r="O951" s="474"/>
    </row>
    <row r="952" s="461" customFormat="true" ht="15" hidden="false" customHeight="false" outlineLevel="0" collapsed="false">
      <c r="A952" s="327" t="s">
        <v>1567</v>
      </c>
      <c r="B952" s="507" t="s">
        <v>3139</v>
      </c>
      <c r="C952" s="472" t="e">
        <f aca="false">мат.затр!g8250</f>
        <v>#NAME?</v>
      </c>
      <c r="D952" s="472" t="n">
        <f aca="false">тарифик!J953</f>
        <v>669.344042838019</v>
      </c>
      <c r="E952" s="472"/>
      <c r="F952" s="473" t="n">
        <f aca="false">D952*0.9*0.095+D952*3%</f>
        <v>77.3092369477912</v>
      </c>
      <c r="G952" s="472" t="n">
        <f aca="false">амортизация!M3012</f>
        <v>0</v>
      </c>
      <c r="H952" s="473" t="e">
        <f aca="false">C952+D952+F952+G952</f>
        <v>#NAME?</v>
      </c>
      <c r="I952" s="462" t="n">
        <f aca="false">I$190</f>
        <v>0.240474587202079</v>
      </c>
      <c r="J952" s="473" t="n">
        <f aca="false">D952*I952</f>
        <v>160.960232397643</v>
      </c>
      <c r="K952" s="473" t="e">
        <f aca="false">H952+J952</f>
        <v>#NAME?</v>
      </c>
      <c r="L952" s="462" t="n">
        <v>0.2</v>
      </c>
      <c r="M952" s="473" t="e">
        <f aca="false">K952*L952</f>
        <v>#NAME?</v>
      </c>
      <c r="N952" s="473" t="e">
        <f aca="false">K952+M952</f>
        <v>#NAME?</v>
      </c>
      <c r="O952" s="473" t="e">
        <f aca="false">M952</f>
        <v>#NAME?</v>
      </c>
    </row>
    <row r="953" s="461" customFormat="true" ht="15" hidden="false" customHeight="false" outlineLevel="0" collapsed="false">
      <c r="A953" s="327" t="s">
        <v>1568</v>
      </c>
      <c r="B953" s="502" t="s">
        <v>3536</v>
      </c>
      <c r="C953" s="472" t="e">
        <f aca="false">мат.затр!g8253</f>
        <v>#NAME?</v>
      </c>
      <c r="D953" s="472" t="n">
        <f aca="false">тарифик!J954</f>
        <v>535.475234270415</v>
      </c>
      <c r="E953" s="472"/>
      <c r="F953" s="473" t="n">
        <f aca="false">D953*0.9*0.095+D953*3%</f>
        <v>61.8473895582329</v>
      </c>
      <c r="G953" s="472" t="n">
        <f aca="false">амортизация!M3013</f>
        <v>156.420124944221</v>
      </c>
      <c r="H953" s="473" t="e">
        <f aca="false">C953+D953+F953+G953</f>
        <v>#NAME?</v>
      </c>
      <c r="I953" s="462" t="n">
        <f aca="false">I$190</f>
        <v>0.240474587202079</v>
      </c>
      <c r="J953" s="473" t="n">
        <f aca="false">D953*I953</f>
        <v>128.768185918115</v>
      </c>
      <c r="K953" s="473" t="e">
        <f aca="false">H953+J953</f>
        <v>#NAME?</v>
      </c>
      <c r="L953" s="462" t="n">
        <v>0.2</v>
      </c>
      <c r="M953" s="473" t="e">
        <f aca="false">K953*L953</f>
        <v>#NAME?</v>
      </c>
      <c r="N953" s="473" t="e">
        <f aca="false">K953+M953</f>
        <v>#NAME?</v>
      </c>
      <c r="O953" s="473" t="e">
        <f aca="false">M953</f>
        <v>#NAME?</v>
      </c>
    </row>
    <row r="954" s="461" customFormat="true" ht="15" hidden="false" customHeight="false" outlineLevel="0" collapsed="false">
      <c r="A954" s="327" t="s">
        <v>1569</v>
      </c>
      <c r="B954" s="502" t="s">
        <v>3537</v>
      </c>
      <c r="C954" s="472" t="e">
        <f aca="false">мат.затр!g8258</f>
        <v>#NAME?</v>
      </c>
      <c r="D954" s="472" t="n">
        <f aca="false">тарифик!J955</f>
        <v>674.921909861669</v>
      </c>
      <c r="E954" s="472"/>
      <c r="F954" s="473" t="n">
        <f aca="false">D954*0.9*0.095+D954*3%</f>
        <v>77.9534805890228</v>
      </c>
      <c r="G954" s="472" t="n">
        <f aca="false">амортизация!M3014</f>
        <v>156.420124944221</v>
      </c>
      <c r="H954" s="473" t="e">
        <f aca="false">C954+D954+F954+G954</f>
        <v>#NAME?</v>
      </c>
      <c r="I954" s="462" t="n">
        <f aca="false">I$190</f>
        <v>0.240474587202079</v>
      </c>
      <c r="J954" s="473" t="n">
        <f aca="false">D954*I954</f>
        <v>162.301567667624</v>
      </c>
      <c r="K954" s="473" t="e">
        <f aca="false">H954+J954</f>
        <v>#NAME?</v>
      </c>
      <c r="L954" s="462" t="n">
        <v>0.2</v>
      </c>
      <c r="M954" s="473" t="e">
        <f aca="false">K954*L954</f>
        <v>#NAME?</v>
      </c>
      <c r="N954" s="473" t="e">
        <f aca="false">K954+M954</f>
        <v>#NAME?</v>
      </c>
      <c r="O954" s="473" t="e">
        <f aca="false">M954</f>
        <v>#NAME?</v>
      </c>
    </row>
    <row r="955" s="461" customFormat="true" ht="15" hidden="false" customHeight="false" outlineLevel="0" collapsed="false">
      <c r="A955" s="327" t="s">
        <v>1570</v>
      </c>
      <c r="B955" s="502" t="s">
        <v>3436</v>
      </c>
      <c r="C955" s="472" t="e">
        <f aca="false">мат.затр!g8264</f>
        <v>#NAME?</v>
      </c>
      <c r="D955" s="472" t="n">
        <f aca="false">тарифик!J956</f>
        <v>245.426149040607</v>
      </c>
      <c r="E955" s="472"/>
      <c r="F955" s="473" t="n">
        <f aca="false">D955*0.9*0.095+D955*3%</f>
        <v>28.3467202141901</v>
      </c>
      <c r="G955" s="472" t="n">
        <f aca="false">амортизация!M3015</f>
        <v>156.420124944221</v>
      </c>
      <c r="H955" s="473" t="e">
        <f aca="false">C955+D955+F955+G955</f>
        <v>#NAME?</v>
      </c>
      <c r="I955" s="462" t="n">
        <f aca="false">I$190</f>
        <v>0.240474587202079</v>
      </c>
      <c r="J955" s="473" t="n">
        <f aca="false">D955*I955</f>
        <v>59.0187518791358</v>
      </c>
      <c r="K955" s="473" t="e">
        <f aca="false">H955+J955</f>
        <v>#NAME?</v>
      </c>
      <c r="L955" s="462" t="n">
        <v>0.2</v>
      </c>
      <c r="M955" s="473" t="e">
        <f aca="false">K955*L955</f>
        <v>#NAME?</v>
      </c>
      <c r="N955" s="473" t="e">
        <f aca="false">K955+M955</f>
        <v>#NAME?</v>
      </c>
      <c r="O955" s="473" t="e">
        <f aca="false">M955</f>
        <v>#NAME?</v>
      </c>
    </row>
    <row r="956" s="461" customFormat="true" ht="15" hidden="false" customHeight="false" outlineLevel="0" collapsed="false">
      <c r="A956" s="327" t="s">
        <v>1571</v>
      </c>
      <c r="B956" s="502" t="s">
        <v>3438</v>
      </c>
      <c r="C956" s="472" t="e">
        <f aca="false">мат.затр!g8270</f>
        <v>#NAME?</v>
      </c>
      <c r="D956" s="472" t="n">
        <f aca="false">тарифик!J957</f>
        <v>552.208835341365</v>
      </c>
      <c r="E956" s="472"/>
      <c r="F956" s="473" t="n">
        <f aca="false">D956*0.9*0.095+D956*3%</f>
        <v>63.7801204819277</v>
      </c>
      <c r="G956" s="472" t="n">
        <f aca="false">амортизация!M3016</f>
        <v>156.420124944221</v>
      </c>
      <c r="H956" s="473" t="e">
        <f aca="false">C956+D956+F956+G956</f>
        <v>#NAME?</v>
      </c>
      <c r="I956" s="462" t="n">
        <f aca="false">I$190</f>
        <v>0.240474587202079</v>
      </c>
      <c r="J956" s="473" t="n">
        <f aca="false">D956*I956</f>
        <v>132.792191728056</v>
      </c>
      <c r="K956" s="473" t="e">
        <f aca="false">H956+J956</f>
        <v>#NAME?</v>
      </c>
      <c r="L956" s="462" t="n">
        <v>0.2</v>
      </c>
      <c r="M956" s="473" t="e">
        <f aca="false">K956*L956</f>
        <v>#NAME?</v>
      </c>
      <c r="N956" s="473" t="e">
        <f aca="false">K956+M956</f>
        <v>#NAME?</v>
      </c>
      <c r="O956" s="473" t="e">
        <f aca="false">M956</f>
        <v>#NAME?</v>
      </c>
    </row>
    <row r="957" s="461" customFormat="true" ht="15" hidden="false" customHeight="false" outlineLevel="0" collapsed="false">
      <c r="A957" s="327" t="s">
        <v>1572</v>
      </c>
      <c r="B957" s="502" t="s">
        <v>3474</v>
      </c>
      <c r="C957" s="472" t="e">
        <f aca="false">мат.затр!g8276</f>
        <v>#NAME?</v>
      </c>
      <c r="D957" s="472" t="n">
        <f aca="false">тарифик!J958</f>
        <v>552.208835341365</v>
      </c>
      <c r="E957" s="472"/>
      <c r="F957" s="473" t="n">
        <f aca="false">D957*0.9*0.095+D957*3%</f>
        <v>63.7801204819277</v>
      </c>
      <c r="G957" s="472" t="n">
        <f aca="false">амортизация!M3017</f>
        <v>156.420124944221</v>
      </c>
      <c r="H957" s="473" t="e">
        <f aca="false">C957+D957+F957+G957</f>
        <v>#NAME?</v>
      </c>
      <c r="I957" s="462" t="n">
        <f aca="false">I$190</f>
        <v>0.240474587202079</v>
      </c>
      <c r="J957" s="473" t="n">
        <f aca="false">D957*I957</f>
        <v>132.792191728056</v>
      </c>
      <c r="K957" s="473" t="e">
        <f aca="false">H957+J957</f>
        <v>#NAME?</v>
      </c>
      <c r="L957" s="462" t="n">
        <v>0.2</v>
      </c>
      <c r="M957" s="473" t="e">
        <f aca="false">K957*L957</f>
        <v>#NAME?</v>
      </c>
      <c r="N957" s="473" t="e">
        <f aca="false">K957+M957</f>
        <v>#NAME?</v>
      </c>
      <c r="O957" s="473" t="e">
        <f aca="false">M957</f>
        <v>#NAME?</v>
      </c>
    </row>
    <row r="958" s="461" customFormat="true" ht="15" hidden="false" customHeight="false" outlineLevel="0" collapsed="false">
      <c r="A958" s="327" t="s">
        <v>1573</v>
      </c>
      <c r="B958" s="502" t="s">
        <v>3538</v>
      </c>
      <c r="C958" s="472" t="e">
        <f aca="false">мат.затр!g8282</f>
        <v>#NAME?</v>
      </c>
      <c r="D958" s="472" t="n">
        <f aca="false">тарифик!J959</f>
        <v>184.069611780455</v>
      </c>
      <c r="E958" s="472"/>
      <c r="F958" s="473" t="n">
        <f aca="false">D958*0.9*0.095+D958*3%</f>
        <v>21.2600401606426</v>
      </c>
      <c r="G958" s="472" t="n">
        <f aca="false">амортизация!M3018</f>
        <v>156.420124944221</v>
      </c>
      <c r="H958" s="473" t="e">
        <f aca="false">C958+D958+F958+G958</f>
        <v>#NAME?</v>
      </c>
      <c r="I958" s="462" t="n">
        <f aca="false">I$190</f>
        <v>0.240474587202079</v>
      </c>
      <c r="J958" s="473" t="n">
        <f aca="false">D958*I958</f>
        <v>44.2640639093519</v>
      </c>
      <c r="K958" s="473" t="e">
        <f aca="false">H958+J958</f>
        <v>#NAME?</v>
      </c>
      <c r="L958" s="462" t="n">
        <v>0.2</v>
      </c>
      <c r="M958" s="473" t="e">
        <f aca="false">K958*L958</f>
        <v>#NAME?</v>
      </c>
      <c r="N958" s="473" t="e">
        <f aca="false">K958+M958</f>
        <v>#NAME?</v>
      </c>
      <c r="O958" s="473" t="e">
        <f aca="false">M958</f>
        <v>#NAME?</v>
      </c>
    </row>
    <row r="959" s="461" customFormat="true" ht="15" hidden="false" customHeight="false" outlineLevel="0" collapsed="false">
      <c r="A959" s="327" t="s">
        <v>1575</v>
      </c>
      <c r="B959" s="502" t="s">
        <v>3539</v>
      </c>
      <c r="C959" s="472" t="e">
        <f aca="false">мат.затр!g8288</f>
        <v>#NAME?</v>
      </c>
      <c r="D959" s="472" t="n">
        <f aca="false">тарифик!J960</f>
        <v>368.13922356091</v>
      </c>
      <c r="E959" s="472"/>
      <c r="F959" s="473" t="n">
        <f aca="false">D959*0.9*0.095+D959*3%</f>
        <v>42.5200803212851</v>
      </c>
      <c r="G959" s="472" t="n">
        <f aca="false">амортизация!M3019</f>
        <v>156.420124944221</v>
      </c>
      <c r="H959" s="473" t="e">
        <f aca="false">C959+D959+F959+G959</f>
        <v>#NAME?</v>
      </c>
      <c r="I959" s="462" t="n">
        <f aca="false">I$190</f>
        <v>0.240474587202079</v>
      </c>
      <c r="J959" s="473" t="n">
        <f aca="false">D959*I959</f>
        <v>88.5281278187038</v>
      </c>
      <c r="K959" s="473" t="e">
        <f aca="false">H959+J959</f>
        <v>#NAME?</v>
      </c>
      <c r="L959" s="462" t="n">
        <v>0.2</v>
      </c>
      <c r="M959" s="473" t="e">
        <f aca="false">K959*L959</f>
        <v>#NAME?</v>
      </c>
      <c r="N959" s="473" t="e">
        <f aca="false">K959+M959</f>
        <v>#NAME?</v>
      </c>
      <c r="O959" s="473" t="e">
        <f aca="false">M959</f>
        <v>#NAME?</v>
      </c>
    </row>
    <row r="960" s="461" customFormat="true" ht="15" hidden="false" customHeight="false" outlineLevel="0" collapsed="false">
      <c r="A960" s="327" t="s">
        <v>1576</v>
      </c>
      <c r="B960" s="502" t="s">
        <v>3441</v>
      </c>
      <c r="C960" s="472" t="e">
        <f aca="false">мат.затр!g8293</f>
        <v>#NAME?</v>
      </c>
      <c r="D960" s="472" t="n">
        <f aca="false">тарифик!J961</f>
        <v>368.13922356091</v>
      </c>
      <c r="E960" s="472"/>
      <c r="F960" s="473" t="n">
        <f aca="false">D960*0.9*0.095+D960*3%</f>
        <v>42.5200803212851</v>
      </c>
      <c r="G960" s="472" t="n">
        <f aca="false">амортизация!M3020</f>
        <v>156.420124944221</v>
      </c>
      <c r="H960" s="473" t="e">
        <f aca="false">C960+D960+F960+G960</f>
        <v>#NAME?</v>
      </c>
      <c r="I960" s="462" t="n">
        <f aca="false">I$190</f>
        <v>0.240474587202079</v>
      </c>
      <c r="J960" s="473" t="n">
        <f aca="false">D960*I960</f>
        <v>88.5281278187038</v>
      </c>
      <c r="K960" s="473" t="e">
        <f aca="false">H960+J960</f>
        <v>#NAME?</v>
      </c>
      <c r="L960" s="462" t="n">
        <v>0.2</v>
      </c>
      <c r="M960" s="473" t="e">
        <f aca="false">K960*L960</f>
        <v>#NAME?</v>
      </c>
      <c r="N960" s="473" t="e">
        <f aca="false">K960+M960</f>
        <v>#NAME?</v>
      </c>
      <c r="O960" s="473" t="e">
        <f aca="false">M960</f>
        <v>#NAME?</v>
      </c>
    </row>
    <row r="961" s="461" customFormat="true" ht="15" hidden="false" customHeight="false" outlineLevel="0" collapsed="false">
      <c r="A961" s="327" t="s">
        <v>1577</v>
      </c>
      <c r="B961" s="502" t="s">
        <v>3442</v>
      </c>
      <c r="C961" s="472" t="e">
        <f aca="false">мат.затр!g8298</f>
        <v>#NAME?</v>
      </c>
      <c r="D961" s="472" t="n">
        <f aca="false">тарифик!J962</f>
        <v>184.069611780455</v>
      </c>
      <c r="E961" s="472"/>
      <c r="F961" s="473" t="n">
        <f aca="false">D961*0.9*0.095+D961*3%</f>
        <v>21.2600401606426</v>
      </c>
      <c r="G961" s="472" t="n">
        <f aca="false">амортизация!M3021</f>
        <v>156.420124944221</v>
      </c>
      <c r="H961" s="473" t="e">
        <f aca="false">C961+D961+F961+G961</f>
        <v>#NAME?</v>
      </c>
      <c r="I961" s="462" t="n">
        <f aca="false">I$190</f>
        <v>0.240474587202079</v>
      </c>
      <c r="J961" s="473" t="n">
        <f aca="false">D961*I961</f>
        <v>44.2640639093519</v>
      </c>
      <c r="K961" s="473" t="e">
        <f aca="false">H961+J961</f>
        <v>#NAME?</v>
      </c>
      <c r="L961" s="462" t="n">
        <v>0.2</v>
      </c>
      <c r="M961" s="473" t="e">
        <f aca="false">K961*L961</f>
        <v>#NAME?</v>
      </c>
      <c r="N961" s="473" t="e">
        <f aca="false">K961+M961</f>
        <v>#NAME?</v>
      </c>
      <c r="O961" s="473" t="e">
        <f aca="false">M961</f>
        <v>#NAME?</v>
      </c>
    </row>
    <row r="962" s="461" customFormat="true" ht="15" hidden="false" customHeight="false" outlineLevel="0" collapsed="false">
      <c r="A962" s="327" t="s">
        <v>1578</v>
      </c>
      <c r="B962" s="502" t="s">
        <v>3540</v>
      </c>
      <c r="C962" s="472" t="e">
        <f aca="false">мат.затр!g8306</f>
        <v>#NAME?</v>
      </c>
      <c r="D962" s="472" t="n">
        <f aca="false">тарифик!J963</f>
        <v>368.13922356091</v>
      </c>
      <c r="E962" s="472"/>
      <c r="F962" s="473" t="n">
        <f aca="false">D962*0.9*0.095+D962*3%</f>
        <v>42.5200803212851</v>
      </c>
      <c r="G962" s="472" t="n">
        <f aca="false">амортизация!M3022</f>
        <v>156.420124944221</v>
      </c>
      <c r="H962" s="473" t="e">
        <f aca="false">C962+D962+F962+G962</f>
        <v>#NAME?</v>
      </c>
      <c r="I962" s="462" t="n">
        <f aca="false">I$190</f>
        <v>0.240474587202079</v>
      </c>
      <c r="J962" s="473" t="n">
        <f aca="false">D962*I962</f>
        <v>88.5281278187038</v>
      </c>
      <c r="K962" s="473" t="e">
        <f aca="false">H962+J962</f>
        <v>#NAME?</v>
      </c>
      <c r="L962" s="462" t="n">
        <v>0.2</v>
      </c>
      <c r="M962" s="473" t="e">
        <f aca="false">K962*L962</f>
        <v>#NAME?</v>
      </c>
      <c r="N962" s="473" t="e">
        <f aca="false">K962+M962</f>
        <v>#NAME?</v>
      </c>
      <c r="O962" s="473" t="e">
        <f aca="false">M962</f>
        <v>#NAME?</v>
      </c>
    </row>
    <row r="963" s="461" customFormat="true" ht="15" hidden="false" customHeight="false" outlineLevel="0" collapsed="false">
      <c r="A963" s="327" t="s">
        <v>1579</v>
      </c>
      <c r="B963" s="502" t="s">
        <v>3541</v>
      </c>
      <c r="C963" s="472" t="e">
        <f aca="false">мат.затр!g8312</f>
        <v>#NAME?</v>
      </c>
      <c r="D963" s="472" t="n">
        <f aca="false">тарифик!J964</f>
        <v>122.713074520303</v>
      </c>
      <c r="E963" s="472"/>
      <c r="F963" s="473" t="n">
        <f aca="false">D963*0.9*0.095+D963*3%</f>
        <v>14.173360107095</v>
      </c>
      <c r="G963" s="472" t="n">
        <f aca="false">амортизация!M3023</f>
        <v>156.420124944221</v>
      </c>
      <c r="H963" s="473" t="e">
        <f aca="false">C963+D963+F963+G963</f>
        <v>#NAME?</v>
      </c>
      <c r="I963" s="462" t="n">
        <f aca="false">I$190</f>
        <v>0.240474587202079</v>
      </c>
      <c r="J963" s="473" t="n">
        <f aca="false">D963*I963</f>
        <v>29.5093759395679</v>
      </c>
      <c r="K963" s="473" t="e">
        <f aca="false">H963+J963</f>
        <v>#NAME?</v>
      </c>
      <c r="L963" s="462" t="n">
        <v>0.2</v>
      </c>
      <c r="M963" s="473" t="e">
        <f aca="false">K963*L963</f>
        <v>#NAME?</v>
      </c>
      <c r="N963" s="473" t="e">
        <f aca="false">K963+M963</f>
        <v>#NAME?</v>
      </c>
      <c r="O963" s="473" t="e">
        <f aca="false">M963</f>
        <v>#NAME?</v>
      </c>
    </row>
    <row r="964" s="461" customFormat="true" ht="15" hidden="false" customHeight="false" outlineLevel="0" collapsed="false">
      <c r="A964" s="327" t="s">
        <v>1580</v>
      </c>
      <c r="B964" s="502" t="s">
        <v>3447</v>
      </c>
      <c r="C964" s="472" t="e">
        <f aca="false">мат.затр!g8318</f>
        <v>#NAME?</v>
      </c>
      <c r="D964" s="472" t="n">
        <f aca="false">тарифик!J965</f>
        <v>245.426149040607</v>
      </c>
      <c r="E964" s="472"/>
      <c r="F964" s="473" t="n">
        <f aca="false">D964*0.9*0.095+D964*3%</f>
        <v>28.3467202141901</v>
      </c>
      <c r="G964" s="472" t="n">
        <f aca="false">амортизация!M3024</f>
        <v>156.420124944221</v>
      </c>
      <c r="H964" s="473" t="e">
        <f aca="false">C964+D964+F964+G964</f>
        <v>#NAME?</v>
      </c>
      <c r="I964" s="462" t="n">
        <f aca="false">I$190</f>
        <v>0.240474587202079</v>
      </c>
      <c r="J964" s="473" t="n">
        <f aca="false">D964*I964</f>
        <v>59.0187518791358</v>
      </c>
      <c r="K964" s="473" t="e">
        <f aca="false">H964+J964</f>
        <v>#NAME?</v>
      </c>
      <c r="L964" s="462" t="n">
        <v>0.2</v>
      </c>
      <c r="M964" s="473" t="e">
        <f aca="false">K964*L964</f>
        <v>#NAME?</v>
      </c>
      <c r="N964" s="473" t="e">
        <f aca="false">K964+M964</f>
        <v>#NAME?</v>
      </c>
      <c r="O964" s="473" t="e">
        <f aca="false">M964</f>
        <v>#NAME?</v>
      </c>
    </row>
    <row r="965" s="461" customFormat="true" ht="15" hidden="false" customHeight="false" outlineLevel="0" collapsed="false">
      <c r="A965" s="327" t="s">
        <v>1581</v>
      </c>
      <c r="B965" s="502" t="s">
        <v>3514</v>
      </c>
      <c r="C965" s="472" t="e">
        <f aca="false">мат.затр!g8321</f>
        <v>#NAME?</v>
      </c>
      <c r="D965" s="472" t="n">
        <f aca="false">тарифик!J966</f>
        <v>920.348058902276</v>
      </c>
      <c r="E965" s="472"/>
      <c r="F965" s="473" t="n">
        <f aca="false">D965*0.9*0.095+D965*3%</f>
        <v>106.300200803213</v>
      </c>
      <c r="G965" s="472" t="n">
        <f aca="false">амортизация!M3025</f>
        <v>55.7786702365016</v>
      </c>
      <c r="H965" s="473" t="e">
        <f aca="false">C965+D965+F965+G965</f>
        <v>#NAME?</v>
      </c>
      <c r="I965" s="462" t="n">
        <f aca="false">I$190</f>
        <v>0.240474587202079</v>
      </c>
      <c r="J965" s="473" t="n">
        <f aca="false">D965*I965</f>
        <v>221.320319546759</v>
      </c>
      <c r="K965" s="473" t="e">
        <f aca="false">H965+J965</f>
        <v>#NAME?</v>
      </c>
      <c r="L965" s="462" t="n">
        <v>0.2</v>
      </c>
      <c r="M965" s="473" t="e">
        <f aca="false">K965*L965</f>
        <v>#NAME?</v>
      </c>
      <c r="N965" s="473" t="e">
        <f aca="false">K965+M965</f>
        <v>#NAME?</v>
      </c>
      <c r="O965" s="473" t="e">
        <f aca="false">M965</f>
        <v>#NAME?</v>
      </c>
    </row>
    <row r="966" s="461" customFormat="true" ht="15" hidden="false" customHeight="false" outlineLevel="0" collapsed="false">
      <c r="A966" s="327" t="s">
        <v>1582</v>
      </c>
      <c r="B966" s="502" t="s">
        <v>3513</v>
      </c>
      <c r="C966" s="472" t="e">
        <f aca="false">мат.затр!g8327</f>
        <v>#NAME?</v>
      </c>
      <c r="D966" s="472" t="n">
        <f aca="false">тарифик!J967</f>
        <v>920.348058902276</v>
      </c>
      <c r="E966" s="472"/>
      <c r="F966" s="473" t="n">
        <f aca="false">D966*0.9*0.095+D966*3%</f>
        <v>106.300200803213</v>
      </c>
      <c r="G966" s="472" t="n">
        <f aca="false">амортизация!M3026</f>
        <v>156.420124944221</v>
      </c>
      <c r="H966" s="473" t="e">
        <f aca="false">C966+D966+F966+G966</f>
        <v>#NAME?</v>
      </c>
      <c r="I966" s="462" t="n">
        <f aca="false">I$190</f>
        <v>0.240474587202079</v>
      </c>
      <c r="J966" s="473" t="n">
        <f aca="false">D966*I966</f>
        <v>221.320319546759</v>
      </c>
      <c r="K966" s="473" t="e">
        <f aca="false">H966+J966</f>
        <v>#NAME?</v>
      </c>
      <c r="L966" s="462" t="n">
        <v>0.2</v>
      </c>
      <c r="M966" s="473" t="e">
        <f aca="false">K966*L966</f>
        <v>#NAME?</v>
      </c>
      <c r="N966" s="473" t="e">
        <f aca="false">K966+M966</f>
        <v>#NAME?</v>
      </c>
      <c r="O966" s="473" t="e">
        <f aca="false">M966</f>
        <v>#NAME?</v>
      </c>
    </row>
    <row r="967" s="461" customFormat="true" ht="15" hidden="false" customHeight="false" outlineLevel="0" collapsed="false">
      <c r="A967" s="327" t="s">
        <v>1583</v>
      </c>
      <c r="B967" s="502" t="s">
        <v>3542</v>
      </c>
      <c r="C967" s="472" t="e">
        <f aca="false">мат.затр!g8332</f>
        <v>#NAME?</v>
      </c>
      <c r="D967" s="472" t="n">
        <f aca="false">тарифик!J968</f>
        <v>306.782686300759</v>
      </c>
      <c r="E967" s="472"/>
      <c r="F967" s="473" t="n">
        <f aca="false">D967*0.9*0.095+D967*3%</f>
        <v>35.4334002677376</v>
      </c>
      <c r="G967" s="472" t="n">
        <f aca="false">амортизация!M3027</f>
        <v>156.420124944221</v>
      </c>
      <c r="H967" s="473" t="e">
        <f aca="false">C967+D967+F967+G967</f>
        <v>#NAME?</v>
      </c>
      <c r="I967" s="462" t="n">
        <f aca="false">I$190</f>
        <v>0.240474587202079</v>
      </c>
      <c r="J967" s="473" t="n">
        <f aca="false">D967*I967</f>
        <v>73.7734398489198</v>
      </c>
      <c r="K967" s="473" t="e">
        <f aca="false">H967+J967</f>
        <v>#NAME?</v>
      </c>
      <c r="L967" s="462" t="n">
        <v>0.2</v>
      </c>
      <c r="M967" s="473" t="e">
        <f aca="false">K967*L967</f>
        <v>#NAME?</v>
      </c>
      <c r="N967" s="473" t="e">
        <f aca="false">K967+M967</f>
        <v>#NAME?</v>
      </c>
      <c r="O967" s="473" t="e">
        <f aca="false">M967</f>
        <v>#NAME?</v>
      </c>
    </row>
    <row r="968" s="461" customFormat="true" ht="15" hidden="false" customHeight="false" outlineLevel="0" collapsed="false">
      <c r="A968" s="327" t="s">
        <v>1584</v>
      </c>
      <c r="B968" s="502" t="s">
        <v>3543</v>
      </c>
      <c r="C968" s="472" t="e">
        <f aca="false">мат.затр!g8337</f>
        <v>#NAME?</v>
      </c>
      <c r="D968" s="472" t="n">
        <f aca="false">тарифик!J969</f>
        <v>981.704596162428</v>
      </c>
      <c r="E968" s="472"/>
      <c r="F968" s="473" t="n">
        <f aca="false">D968*0.9*0.095+D968*3%</f>
        <v>113.38688085676</v>
      </c>
      <c r="G968" s="472" t="n">
        <f aca="false">амортизация!M3028</f>
        <v>156.420124944221</v>
      </c>
      <c r="H968" s="473" t="e">
        <f aca="false">C968+D968+F968+G968</f>
        <v>#NAME?</v>
      </c>
      <c r="I968" s="462" t="n">
        <f aca="false">I$190</f>
        <v>0.240474587202079</v>
      </c>
      <c r="J968" s="473" t="n">
        <f aca="false">D968*I968</f>
        <v>236.075007516543</v>
      </c>
      <c r="K968" s="473" t="e">
        <f aca="false">H968+J968</f>
        <v>#NAME?</v>
      </c>
      <c r="L968" s="462" t="n">
        <v>0.2</v>
      </c>
      <c r="M968" s="473" t="e">
        <f aca="false">K968*L968</f>
        <v>#NAME?</v>
      </c>
      <c r="N968" s="473" t="e">
        <f aca="false">K968+M968</f>
        <v>#NAME?</v>
      </c>
      <c r="O968" s="473" t="e">
        <f aca="false">M968</f>
        <v>#NAME?</v>
      </c>
    </row>
    <row r="969" s="461" customFormat="true" ht="15" hidden="false" customHeight="false" outlineLevel="0" collapsed="false">
      <c r="A969" s="327" t="s">
        <v>1585</v>
      </c>
      <c r="B969" s="502" t="s">
        <v>3544</v>
      </c>
      <c r="C969" s="472" t="e">
        <f aca="false">мат.затр!g8343</f>
        <v>#NAME?</v>
      </c>
      <c r="D969" s="472" t="n">
        <f aca="false">тарифик!J970</f>
        <v>368.13922356091</v>
      </c>
      <c r="E969" s="472"/>
      <c r="F969" s="473" t="n">
        <f aca="false">D969*0.9*0.095+D969*3%</f>
        <v>42.5200803212851</v>
      </c>
      <c r="G969" s="472" t="n">
        <f aca="false">амортизация!M3029</f>
        <v>156.420124944221</v>
      </c>
      <c r="H969" s="473" t="e">
        <f aca="false">C969+D969+F969+G969</f>
        <v>#NAME?</v>
      </c>
      <c r="I969" s="462" t="n">
        <f aca="false">I$190</f>
        <v>0.240474587202079</v>
      </c>
      <c r="J969" s="473" t="n">
        <f aca="false">D969*I969</f>
        <v>88.5281278187038</v>
      </c>
      <c r="K969" s="473" t="e">
        <f aca="false">H969+J969</f>
        <v>#NAME?</v>
      </c>
      <c r="L969" s="462" t="n">
        <v>0.2</v>
      </c>
      <c r="M969" s="473" t="e">
        <f aca="false">K969*L969</f>
        <v>#NAME?</v>
      </c>
      <c r="N969" s="473" t="e">
        <f aca="false">K969+M969</f>
        <v>#NAME?</v>
      </c>
      <c r="O969" s="473" t="e">
        <f aca="false">M969</f>
        <v>#NAME?</v>
      </c>
    </row>
    <row r="970" s="461" customFormat="true" ht="15" hidden="false" customHeight="false" outlineLevel="0" collapsed="false">
      <c r="A970" s="327" t="s">
        <v>1587</v>
      </c>
      <c r="B970" s="502" t="s">
        <v>3458</v>
      </c>
      <c r="C970" s="472" t="e">
        <f aca="false">мат.затр!g8346</f>
        <v>#NAME?</v>
      </c>
      <c r="D970" s="472" t="n">
        <f aca="false">тарифик!J971</f>
        <v>490.852298081214</v>
      </c>
      <c r="E970" s="472"/>
      <c r="F970" s="473" t="n">
        <f aca="false">D970*0.9*0.095+D970*3%</f>
        <v>56.6934404283802</v>
      </c>
      <c r="G970" s="472" t="n">
        <f aca="false">амортизация!M3030</f>
        <v>156.420124944221</v>
      </c>
      <c r="H970" s="473" t="e">
        <f aca="false">C970+D970+F970+G970</f>
        <v>#NAME?</v>
      </c>
      <c r="I970" s="462" t="n">
        <f aca="false">I$190</f>
        <v>0.240474587202079</v>
      </c>
      <c r="J970" s="473" t="n">
        <f aca="false">D970*I970</f>
        <v>118.037503758272</v>
      </c>
      <c r="K970" s="473" t="e">
        <f aca="false">H970+J970</f>
        <v>#NAME?</v>
      </c>
      <c r="L970" s="462" t="n">
        <v>0.2</v>
      </c>
      <c r="M970" s="473" t="e">
        <f aca="false">K970*L970</f>
        <v>#NAME?</v>
      </c>
      <c r="N970" s="473" t="e">
        <f aca="false">K970+M970</f>
        <v>#NAME?</v>
      </c>
      <c r="O970" s="473" t="e">
        <f aca="false">M970</f>
        <v>#NAME?</v>
      </c>
    </row>
    <row r="971" s="461" customFormat="true" ht="15" hidden="false" customHeight="false" outlineLevel="0" collapsed="false">
      <c r="A971" s="327" t="s">
        <v>1588</v>
      </c>
      <c r="B971" s="502" t="s">
        <v>3443</v>
      </c>
      <c r="C971" s="472" t="e">
        <f aca="false">мат.затр!g8351</f>
        <v>#NAME?</v>
      </c>
      <c r="D971" s="472" t="n">
        <f aca="false">тарифик!J972</f>
        <v>368.13922356091</v>
      </c>
      <c r="E971" s="472"/>
      <c r="F971" s="473" t="n">
        <f aca="false">D971*0.9*0.095+D971*3%</f>
        <v>42.5200803212851</v>
      </c>
      <c r="G971" s="472" t="n">
        <f aca="false">амортизация!M3031</f>
        <v>156.420124944221</v>
      </c>
      <c r="H971" s="473" t="e">
        <f aca="false">C971+D971+F971+G971</f>
        <v>#NAME?</v>
      </c>
      <c r="I971" s="462" t="n">
        <f aca="false">I$190</f>
        <v>0.240474587202079</v>
      </c>
      <c r="J971" s="473" t="n">
        <f aca="false">D971*I971</f>
        <v>88.5281278187038</v>
      </c>
      <c r="K971" s="473" t="e">
        <f aca="false">H971+J971</f>
        <v>#NAME?</v>
      </c>
      <c r="L971" s="462" t="n">
        <v>0.2</v>
      </c>
      <c r="M971" s="473" t="e">
        <f aca="false">K971*L971</f>
        <v>#NAME?</v>
      </c>
      <c r="N971" s="473" t="e">
        <f aca="false">K971+M971</f>
        <v>#NAME?</v>
      </c>
      <c r="O971" s="473" t="e">
        <f aca="false">M971</f>
        <v>#NAME?</v>
      </c>
    </row>
    <row r="972" s="461" customFormat="true" ht="15" hidden="false" customHeight="false" outlineLevel="0" collapsed="false">
      <c r="A972" s="327" t="s">
        <v>1589</v>
      </c>
      <c r="B972" s="502" t="s">
        <v>3545</v>
      </c>
      <c r="C972" s="472" t="e">
        <f aca="false">мат.затр!g8356</f>
        <v>#NAME?</v>
      </c>
      <c r="D972" s="472" t="n">
        <f aca="false">тарифик!J973</f>
        <v>1349.84381972334</v>
      </c>
      <c r="E972" s="472"/>
      <c r="F972" s="473" t="n">
        <f aca="false">D972*0.9*0.095+D972*3%</f>
        <v>155.906961178046</v>
      </c>
      <c r="G972" s="472" t="n">
        <f aca="false">амортизация!M3032</f>
        <v>156.420124944221</v>
      </c>
      <c r="H972" s="473" t="e">
        <f aca="false">C972+D972+F972+G972</f>
        <v>#NAME?</v>
      </c>
      <c r="I972" s="462" t="n">
        <f aca="false">I$190</f>
        <v>0.240474587202079</v>
      </c>
      <c r="J972" s="473" t="n">
        <f aca="false">D972*I972</f>
        <v>324.603135335247</v>
      </c>
      <c r="K972" s="473" t="e">
        <f aca="false">H972+J972</f>
        <v>#NAME?</v>
      </c>
      <c r="L972" s="462" t="n">
        <v>0.2</v>
      </c>
      <c r="M972" s="473" t="e">
        <f aca="false">K972*L972</f>
        <v>#NAME?</v>
      </c>
      <c r="N972" s="473" t="e">
        <f aca="false">K972+M972</f>
        <v>#NAME?</v>
      </c>
      <c r="O972" s="473" t="e">
        <f aca="false">M972</f>
        <v>#NAME?</v>
      </c>
    </row>
    <row r="973" s="461" customFormat="true" ht="15" hidden="false" customHeight="false" outlineLevel="0" collapsed="false">
      <c r="A973" s="327" t="s">
        <v>1591</v>
      </c>
      <c r="B973" s="502" t="s">
        <v>3444</v>
      </c>
      <c r="C973" s="472" t="e">
        <f aca="false">мат.затр!g8361</f>
        <v>#NAME?</v>
      </c>
      <c r="D973" s="472" t="n">
        <f aca="false">тарифик!J974</f>
        <v>368.13922356091</v>
      </c>
      <c r="E973" s="472"/>
      <c r="F973" s="473" t="n">
        <f aca="false">D973*0.9*0.095+D973*3%</f>
        <v>42.5200803212851</v>
      </c>
      <c r="G973" s="472" t="n">
        <f aca="false">амортизация!M3033</f>
        <v>156.420124944221</v>
      </c>
      <c r="H973" s="473" t="e">
        <f aca="false">C973+D973+F973+G973</f>
        <v>#NAME?</v>
      </c>
      <c r="I973" s="462" t="n">
        <f aca="false">I$190</f>
        <v>0.240474587202079</v>
      </c>
      <c r="J973" s="473" t="n">
        <f aca="false">D973*I973</f>
        <v>88.5281278187038</v>
      </c>
      <c r="K973" s="473" t="e">
        <f aca="false">H973+J973</f>
        <v>#NAME?</v>
      </c>
      <c r="L973" s="462" t="n">
        <v>0.2</v>
      </c>
      <c r="M973" s="473" t="e">
        <f aca="false">K973*L973</f>
        <v>#NAME?</v>
      </c>
      <c r="N973" s="473" t="e">
        <f aca="false">K973+M973</f>
        <v>#NAME?</v>
      </c>
      <c r="O973" s="473" t="e">
        <f aca="false">M973</f>
        <v>#NAME?</v>
      </c>
    </row>
    <row r="974" s="461" customFormat="true" ht="15" hidden="false" customHeight="false" outlineLevel="0" collapsed="false">
      <c r="A974" s="327" t="s">
        <v>1592</v>
      </c>
      <c r="B974" s="502" t="s">
        <v>3546</v>
      </c>
      <c r="C974" s="472" t="e">
        <f aca="false">мат.затр!g8367</f>
        <v>#NAME?</v>
      </c>
      <c r="D974" s="472" t="n">
        <f aca="false">тарифик!J975</f>
        <v>368.13922356091</v>
      </c>
      <c r="E974" s="472"/>
      <c r="F974" s="473" t="n">
        <f aca="false">D974*0.9*0.095+D974*3%</f>
        <v>42.5200803212851</v>
      </c>
      <c r="G974" s="472" t="n">
        <f aca="false">амортизация!M3034</f>
        <v>156.420124944221</v>
      </c>
      <c r="H974" s="473" t="e">
        <f aca="false">C974+D974+F974+G974</f>
        <v>#NAME?</v>
      </c>
      <c r="I974" s="462" t="n">
        <f aca="false">I$190</f>
        <v>0.240474587202079</v>
      </c>
      <c r="J974" s="473" t="n">
        <f aca="false">D974*I974</f>
        <v>88.5281278187038</v>
      </c>
      <c r="K974" s="473" t="e">
        <f aca="false">H974+J974</f>
        <v>#NAME?</v>
      </c>
      <c r="L974" s="462" t="n">
        <v>0.2</v>
      </c>
      <c r="M974" s="473" t="e">
        <f aca="false">K974*L974</f>
        <v>#NAME?</v>
      </c>
      <c r="N974" s="473" t="e">
        <f aca="false">K974+M974</f>
        <v>#NAME?</v>
      </c>
      <c r="O974" s="473" t="e">
        <f aca="false">M974</f>
        <v>#NAME?</v>
      </c>
    </row>
    <row r="975" s="461" customFormat="true" ht="15" hidden="false" customHeight="false" outlineLevel="0" collapsed="false">
      <c r="A975" s="327" t="s">
        <v>1593</v>
      </c>
      <c r="B975" s="502" t="s">
        <v>3547</v>
      </c>
      <c r="C975" s="472" t="e">
        <f aca="false">мат.затр!g8372</f>
        <v>#NAME?</v>
      </c>
      <c r="D975" s="472" t="n">
        <f aca="false">тарифик!J976</f>
        <v>368.13922356091</v>
      </c>
      <c r="E975" s="472"/>
      <c r="F975" s="473" t="n">
        <f aca="false">D975*0.9*0.095+D975*3%</f>
        <v>42.5200803212851</v>
      </c>
      <c r="G975" s="472" t="n">
        <f aca="false">амортизация!M3035</f>
        <v>156.420124944221</v>
      </c>
      <c r="H975" s="473" t="e">
        <f aca="false">C975+D975+F975+G975</f>
        <v>#NAME?</v>
      </c>
      <c r="I975" s="462" t="n">
        <f aca="false">I$190</f>
        <v>0.240474587202079</v>
      </c>
      <c r="J975" s="473" t="n">
        <f aca="false">D975*I975</f>
        <v>88.5281278187038</v>
      </c>
      <c r="K975" s="473" t="e">
        <f aca="false">H975+J975</f>
        <v>#NAME?</v>
      </c>
      <c r="L975" s="462" t="n">
        <v>0.2</v>
      </c>
      <c r="M975" s="473" t="e">
        <f aca="false">K975*L975</f>
        <v>#NAME?</v>
      </c>
      <c r="N975" s="473" t="e">
        <f aca="false">K975+M975</f>
        <v>#NAME?</v>
      </c>
      <c r="O975" s="473" t="e">
        <f aca="false">M975</f>
        <v>#NAME?</v>
      </c>
    </row>
    <row r="976" s="461" customFormat="true" ht="15" hidden="false" customHeight="false" outlineLevel="0" collapsed="false">
      <c r="A976" s="327" t="s">
        <v>1595</v>
      </c>
      <c r="B976" s="502" t="s">
        <v>3548</v>
      </c>
      <c r="C976" s="472" t="e">
        <f aca="false">мат.затр!g8378</f>
        <v>#NAME?</v>
      </c>
      <c r="D976" s="472" t="n">
        <f aca="false">тарифик!J977</f>
        <v>702.81124497992</v>
      </c>
      <c r="E976" s="472"/>
      <c r="F976" s="473" t="n">
        <f aca="false">D976*0.9*0.095+D976*3%</f>
        <v>81.1746987951807</v>
      </c>
      <c r="G976" s="472" t="n">
        <f aca="false">амортизация!M3036</f>
        <v>55.7786702365016</v>
      </c>
      <c r="H976" s="473" t="e">
        <f aca="false">C976+D976+F976+G976</f>
        <v>#NAME?</v>
      </c>
      <c r="I976" s="462" t="n">
        <f aca="false">I$190</f>
        <v>0.240474587202079</v>
      </c>
      <c r="J976" s="473" t="n">
        <f aca="false">D976*I976</f>
        <v>169.008244017525</v>
      </c>
      <c r="K976" s="473" t="e">
        <f aca="false">H976+J976</f>
        <v>#NAME?</v>
      </c>
      <c r="L976" s="462" t="n">
        <v>0.2</v>
      </c>
      <c r="M976" s="473" t="e">
        <f aca="false">K976*L976</f>
        <v>#NAME?</v>
      </c>
      <c r="N976" s="473" t="e">
        <f aca="false">K976+M976</f>
        <v>#NAME?</v>
      </c>
      <c r="O976" s="473" t="e">
        <f aca="false">M976</f>
        <v>#NAME?</v>
      </c>
    </row>
    <row r="977" s="461" customFormat="true" ht="15" hidden="false" customHeight="false" outlineLevel="0" collapsed="false">
      <c r="A977" s="327" t="s">
        <v>1596</v>
      </c>
      <c r="B977" s="502" t="s">
        <v>3549</v>
      </c>
      <c r="C977" s="472" t="e">
        <f aca="false">мат.затр!g8386</f>
        <v>#NAME?</v>
      </c>
      <c r="D977" s="472" t="n">
        <f aca="false">тарифик!J978</f>
        <v>753.012048192771</v>
      </c>
      <c r="E977" s="472"/>
      <c r="F977" s="473" t="n">
        <f aca="false">D977*0.9*0.095+D977*3%</f>
        <v>86.9728915662651</v>
      </c>
      <c r="G977" s="472" t="n">
        <f aca="false">амортизация!M3037</f>
        <v>55.7786702365016</v>
      </c>
      <c r="H977" s="473" t="e">
        <f aca="false">C977+D977+F977+G977</f>
        <v>#NAME?</v>
      </c>
      <c r="I977" s="462" t="n">
        <f aca="false">I$190</f>
        <v>0.240474587202079</v>
      </c>
      <c r="J977" s="473" t="n">
        <f aca="false">D977*I977</f>
        <v>181.080261447349</v>
      </c>
      <c r="K977" s="473" t="e">
        <f aca="false">H977+J977</f>
        <v>#NAME?</v>
      </c>
      <c r="L977" s="462" t="n">
        <v>0.2</v>
      </c>
      <c r="M977" s="473" t="e">
        <f aca="false">K977*L977</f>
        <v>#NAME?</v>
      </c>
      <c r="N977" s="473" t="e">
        <f aca="false">K977+M977</f>
        <v>#NAME?</v>
      </c>
      <c r="O977" s="473" t="e">
        <f aca="false">M977</f>
        <v>#NAME?</v>
      </c>
    </row>
    <row r="978" s="461" customFormat="true" ht="15" hidden="false" customHeight="false" outlineLevel="0" collapsed="false">
      <c r="A978" s="327" t="s">
        <v>1597</v>
      </c>
      <c r="B978" s="502" t="s">
        <v>3550</v>
      </c>
      <c r="C978" s="472" t="e">
        <f aca="false">мат.затр!g8390</f>
        <v>#NAME?</v>
      </c>
      <c r="D978" s="472" t="n">
        <f aca="false">тарифик!J979</f>
        <v>368.13922356091</v>
      </c>
      <c r="E978" s="472"/>
      <c r="F978" s="473" t="n">
        <f aca="false">D978*0.9*0.095+D978*3%</f>
        <v>42.5200803212851</v>
      </c>
      <c r="G978" s="472" t="n">
        <f aca="false">амортизация!M3038</f>
        <v>55.7786702365016</v>
      </c>
      <c r="H978" s="473" t="e">
        <f aca="false">C978+D978+F978+G978</f>
        <v>#NAME?</v>
      </c>
      <c r="I978" s="462" t="n">
        <f aca="false">I$190</f>
        <v>0.240474587202079</v>
      </c>
      <c r="J978" s="473" t="n">
        <f aca="false">D978*I978</f>
        <v>88.5281278187038</v>
      </c>
      <c r="K978" s="473" t="e">
        <f aca="false">H978+J978</f>
        <v>#NAME?</v>
      </c>
      <c r="L978" s="462" t="n">
        <v>0.2</v>
      </c>
      <c r="M978" s="473" t="e">
        <f aca="false">K978*L978</f>
        <v>#NAME?</v>
      </c>
      <c r="N978" s="473" t="e">
        <f aca="false">K978+M978</f>
        <v>#NAME?</v>
      </c>
      <c r="O978" s="473" t="e">
        <f aca="false">M978</f>
        <v>#NAME?</v>
      </c>
    </row>
    <row r="979" s="461" customFormat="true" ht="15" hidden="false" customHeight="false" outlineLevel="0" collapsed="false">
      <c r="A979" s="327" t="s">
        <v>1598</v>
      </c>
      <c r="B979" s="502" t="s">
        <v>3551</v>
      </c>
      <c r="C979" s="472" t="e">
        <f aca="false">мат.затр!g8395</f>
        <v>#NAME?</v>
      </c>
      <c r="D979" s="472" t="n">
        <f aca="false">тарифик!J980</f>
        <v>368.13922356091</v>
      </c>
      <c r="E979" s="472"/>
      <c r="F979" s="473" t="n">
        <f aca="false">D979*0.9*0.095+D979*3%</f>
        <v>42.5200803212851</v>
      </c>
      <c r="G979" s="472" t="n">
        <f aca="false">амортизация!M3039</f>
        <v>156.420124944221</v>
      </c>
      <c r="H979" s="473" t="e">
        <f aca="false">C979+D979+F979+G979</f>
        <v>#NAME?</v>
      </c>
      <c r="I979" s="462" t="n">
        <f aca="false">I$190</f>
        <v>0.240474587202079</v>
      </c>
      <c r="J979" s="473" t="n">
        <f aca="false">D979*I979</f>
        <v>88.5281278187038</v>
      </c>
      <c r="K979" s="473" t="e">
        <f aca="false">H979+J979</f>
        <v>#NAME?</v>
      </c>
      <c r="L979" s="462" t="n">
        <v>0.2</v>
      </c>
      <c r="M979" s="473" t="e">
        <f aca="false">K979*L979</f>
        <v>#NAME?</v>
      </c>
      <c r="N979" s="473" t="e">
        <f aca="false">K979+M979</f>
        <v>#NAME?</v>
      </c>
      <c r="O979" s="473" t="e">
        <f aca="false">M979</f>
        <v>#NAME?</v>
      </c>
    </row>
    <row r="980" s="461" customFormat="true" ht="15" hidden="false" customHeight="false" outlineLevel="0" collapsed="false">
      <c r="A980" s="327" t="s">
        <v>1600</v>
      </c>
      <c r="B980" s="502" t="s">
        <v>3465</v>
      </c>
      <c r="C980" s="472" t="e">
        <f aca="false">мат.затр!g8400</f>
        <v>#NAME?</v>
      </c>
      <c r="D980" s="472" t="n">
        <f aca="false">тарифик!J981</f>
        <v>368.13922356091</v>
      </c>
      <c r="E980" s="472"/>
      <c r="F980" s="473" t="n">
        <f aca="false">D980*0.9*0.095+D980*3%</f>
        <v>42.5200803212851</v>
      </c>
      <c r="G980" s="472" t="n">
        <f aca="false">амортизация!M3040</f>
        <v>55.7786702365016</v>
      </c>
      <c r="H980" s="473" t="e">
        <f aca="false">C980+D980+F980+G980</f>
        <v>#NAME?</v>
      </c>
      <c r="I980" s="462" t="n">
        <f aca="false">I$190</f>
        <v>0.240474587202079</v>
      </c>
      <c r="J980" s="473" t="n">
        <f aca="false">D980*I980</f>
        <v>88.5281278187038</v>
      </c>
      <c r="K980" s="473" t="e">
        <f aca="false">H980+J980</f>
        <v>#NAME?</v>
      </c>
      <c r="L980" s="462" t="n">
        <v>0.2</v>
      </c>
      <c r="M980" s="473" t="e">
        <f aca="false">K980*L980</f>
        <v>#NAME?</v>
      </c>
      <c r="N980" s="473" t="e">
        <f aca="false">K980+M980</f>
        <v>#NAME?</v>
      </c>
      <c r="O980" s="473" t="e">
        <f aca="false">M980</f>
        <v>#NAME?</v>
      </c>
    </row>
    <row r="981" s="461" customFormat="true" ht="15" hidden="false" customHeight="false" outlineLevel="0" collapsed="false">
      <c r="A981" s="327" t="s">
        <v>1601</v>
      </c>
      <c r="B981" s="502" t="s">
        <v>3552</v>
      </c>
      <c r="C981" s="472" t="e">
        <f aca="false">мат.затр!g8405</f>
        <v>#NAME?</v>
      </c>
      <c r="D981" s="472" t="n">
        <f aca="false">тарифик!J982</f>
        <v>122.713074520303</v>
      </c>
      <c r="E981" s="472"/>
      <c r="F981" s="473" t="n">
        <f aca="false">D981*0.9*0.095+D981*3%</f>
        <v>14.173360107095</v>
      </c>
      <c r="G981" s="472" t="n">
        <f aca="false">амортизация!M3041</f>
        <v>156.420124944221</v>
      </c>
      <c r="H981" s="473" t="e">
        <f aca="false">C981+D981+F981+G981</f>
        <v>#NAME?</v>
      </c>
      <c r="I981" s="462" t="n">
        <f aca="false">I$190</f>
        <v>0.240474587202079</v>
      </c>
      <c r="J981" s="473" t="n">
        <f aca="false">D981*I981</f>
        <v>29.5093759395679</v>
      </c>
      <c r="K981" s="473" t="e">
        <f aca="false">H981+J981</f>
        <v>#NAME?</v>
      </c>
      <c r="L981" s="462" t="n">
        <v>0.2</v>
      </c>
      <c r="M981" s="473" t="e">
        <f aca="false">K981*L981</f>
        <v>#NAME?</v>
      </c>
      <c r="N981" s="473" t="e">
        <f aca="false">K981+M981</f>
        <v>#NAME?</v>
      </c>
      <c r="O981" s="473" t="e">
        <f aca="false">M981</f>
        <v>#NAME?</v>
      </c>
    </row>
    <row r="982" s="461" customFormat="true" ht="15" hidden="false" customHeight="false" outlineLevel="0" collapsed="false">
      <c r="A982" s="327" t="s">
        <v>1603</v>
      </c>
      <c r="B982" s="502" t="s">
        <v>3553</v>
      </c>
      <c r="C982" s="472" t="e">
        <f aca="false">мат.затр!g8406</f>
        <v>#NAME?</v>
      </c>
      <c r="D982" s="472" t="n">
        <f aca="false">тарифик!J983</f>
        <v>2409.63855421687</v>
      </c>
      <c r="E982" s="472"/>
      <c r="F982" s="473" t="n">
        <f aca="false">D982*0.9*0.095+D982*3%</f>
        <v>278.313253012048</v>
      </c>
      <c r="G982" s="472" t="n">
        <f aca="false">амортизация!M3042</f>
        <v>0</v>
      </c>
      <c r="H982" s="473" t="e">
        <f aca="false">C982+D982+F982+G982</f>
        <v>#NAME?</v>
      </c>
      <c r="I982" s="462" t="n">
        <f aca="false">I$190</f>
        <v>0.240474587202079</v>
      </c>
      <c r="J982" s="473" t="n">
        <f aca="false">D982*I982</f>
        <v>579.456836631516</v>
      </c>
      <c r="K982" s="473" t="e">
        <f aca="false">H982+J982</f>
        <v>#NAME?</v>
      </c>
      <c r="L982" s="462" t="n">
        <v>0.2</v>
      </c>
      <c r="M982" s="473" t="e">
        <f aca="false">K982*L982</f>
        <v>#NAME?</v>
      </c>
      <c r="N982" s="473" t="e">
        <f aca="false">K982+M982</f>
        <v>#NAME?</v>
      </c>
      <c r="O982" s="473" t="e">
        <f aca="false">M982</f>
        <v>#NAME?</v>
      </c>
    </row>
    <row r="983" s="461" customFormat="true" ht="15" hidden="false" customHeight="false" outlineLevel="0" collapsed="false">
      <c r="A983" s="327" t="s">
        <v>1605</v>
      </c>
      <c r="B983" s="503" t="s">
        <v>3481</v>
      </c>
      <c r="C983" s="472" t="e">
        <f aca="false">мат.затр!g8411</f>
        <v>#NAME?</v>
      </c>
      <c r="D983" s="472" t="n">
        <f aca="false">тарифик!J984</f>
        <v>937.081659973226</v>
      </c>
      <c r="E983" s="472"/>
      <c r="F983" s="473" t="n">
        <f aca="false">D983*0.9*0.095+D983*3%</f>
        <v>108.232931726908</v>
      </c>
      <c r="G983" s="472" t="n">
        <f aca="false">амортизация!M3043</f>
        <v>55.7786702365016</v>
      </c>
      <c r="H983" s="473" t="e">
        <f aca="false">C983+D983+F983+G983</f>
        <v>#NAME?</v>
      </c>
      <c r="I983" s="462" t="n">
        <f aca="false">I$190</f>
        <v>0.240474587202079</v>
      </c>
      <c r="J983" s="473" t="n">
        <f aca="false">D983*I983</f>
        <v>225.344325356701</v>
      </c>
      <c r="K983" s="473" t="e">
        <f aca="false">H983+J983</f>
        <v>#NAME?</v>
      </c>
      <c r="L983" s="462" t="n">
        <v>0.2</v>
      </c>
      <c r="M983" s="473" t="e">
        <f aca="false">K983*L983</f>
        <v>#NAME?</v>
      </c>
      <c r="N983" s="473" t="e">
        <f aca="false">K983+M983</f>
        <v>#NAME?</v>
      </c>
      <c r="O983" s="473" t="e">
        <f aca="false">M983</f>
        <v>#NAME?</v>
      </c>
    </row>
    <row r="984" s="461" customFormat="true" ht="15" hidden="false" customHeight="false" outlineLevel="0" collapsed="false">
      <c r="A984" s="327" t="s">
        <v>1606</v>
      </c>
      <c r="B984" s="503" t="s">
        <v>3554</v>
      </c>
      <c r="C984" s="472" t="e">
        <f aca="false">мат.затр!g8418</f>
        <v>#NAME?</v>
      </c>
      <c r="D984" s="472" t="n">
        <f aca="false">тарифик!J985</f>
        <v>368.13922356091</v>
      </c>
      <c r="E984" s="472"/>
      <c r="F984" s="473" t="n">
        <f aca="false">D984*0.9*0.095+D984*3%</f>
        <v>42.5200803212851</v>
      </c>
      <c r="G984" s="472" t="n">
        <f aca="false">амортизация!M3044</f>
        <v>55.7786702365016</v>
      </c>
      <c r="H984" s="473" t="e">
        <f aca="false">C984+D984+F984+G984</f>
        <v>#NAME?</v>
      </c>
      <c r="I984" s="462" t="n">
        <f aca="false">I$190</f>
        <v>0.240474587202079</v>
      </c>
      <c r="J984" s="473" t="n">
        <f aca="false">D984*I984</f>
        <v>88.5281278187038</v>
      </c>
      <c r="K984" s="473" t="e">
        <f aca="false">H984+J984</f>
        <v>#NAME?</v>
      </c>
      <c r="L984" s="462" t="n">
        <v>0.2</v>
      </c>
      <c r="M984" s="473" t="e">
        <f aca="false">K984*L984</f>
        <v>#NAME?</v>
      </c>
      <c r="N984" s="473" t="e">
        <f aca="false">K984+M984</f>
        <v>#NAME?</v>
      </c>
      <c r="O984" s="473" t="e">
        <f aca="false">M984</f>
        <v>#NAME?</v>
      </c>
    </row>
    <row r="985" s="461" customFormat="true" ht="15" hidden="false" customHeight="false" outlineLevel="0" collapsed="false">
      <c r="A985" s="327" t="s">
        <v>1608</v>
      </c>
      <c r="B985" s="503" t="s">
        <v>3486</v>
      </c>
      <c r="C985" s="472" t="e">
        <f aca="false">мат.затр!g8419</f>
        <v>#NAME?</v>
      </c>
      <c r="D985" s="472" t="n">
        <f aca="false">тарифик!J986</f>
        <v>1990.18295403838</v>
      </c>
      <c r="E985" s="472"/>
      <c r="F985" s="473" t="n">
        <f aca="false">D985*0.9*0.095+D985*3%</f>
        <v>229.866131191432</v>
      </c>
      <c r="G985" s="472" t="n">
        <f aca="false">амортизация!M3045</f>
        <v>156.420124944221</v>
      </c>
      <c r="H985" s="473" t="e">
        <f aca="false">C985+D985+F985+G985</f>
        <v>#NAME?</v>
      </c>
      <c r="I985" s="462" t="n">
        <f aca="false">I$190</f>
        <v>0.240474587202079</v>
      </c>
      <c r="J985" s="473" t="n">
        <f aca="false">D985*I985</f>
        <v>478.588424328993</v>
      </c>
      <c r="K985" s="473" t="e">
        <f aca="false">H985+J985</f>
        <v>#NAME?</v>
      </c>
      <c r="L985" s="462" t="n">
        <v>0.2</v>
      </c>
      <c r="M985" s="473" t="e">
        <f aca="false">K985*L985</f>
        <v>#NAME?</v>
      </c>
      <c r="N985" s="473" t="e">
        <f aca="false">K985+M985</f>
        <v>#NAME?</v>
      </c>
      <c r="O985" s="473" t="e">
        <f aca="false">M985</f>
        <v>#NAME?</v>
      </c>
    </row>
    <row r="986" s="461" customFormat="true" ht="15" hidden="false" customHeight="false" outlineLevel="0" collapsed="false">
      <c r="A986" s="327" t="s">
        <v>1610</v>
      </c>
      <c r="B986" s="503" t="s">
        <v>3532</v>
      </c>
      <c r="C986" s="472" t="e">
        <f aca="false">мат.затр!g8424</f>
        <v>#NAME?</v>
      </c>
      <c r="D986" s="472" t="n">
        <f aca="false">тарифик!J987</f>
        <v>1027.51004016064</v>
      </c>
      <c r="E986" s="472"/>
      <c r="F986" s="473" t="n">
        <f aca="false">D986*0.9*0.095+D986*3%</f>
        <v>118.677409638554</v>
      </c>
      <c r="G986" s="472" t="n">
        <f aca="false">амортизация!M3046</f>
        <v>3.72941767068273</v>
      </c>
      <c r="H986" s="473" t="e">
        <f aca="false">C986+D986+F986+G986</f>
        <v>#NAME?</v>
      </c>
      <c r="I986" s="462" t="n">
        <f aca="false">I$190</f>
        <v>0.240474587202079</v>
      </c>
      <c r="J986" s="473" t="n">
        <f aca="false">D986*I986</f>
        <v>247.090052753622</v>
      </c>
      <c r="K986" s="473" t="e">
        <f aca="false">H986+J986</f>
        <v>#NAME?</v>
      </c>
      <c r="L986" s="462" t="n">
        <v>0.2</v>
      </c>
      <c r="M986" s="473" t="e">
        <f aca="false">K986*L986</f>
        <v>#NAME?</v>
      </c>
      <c r="N986" s="473" t="e">
        <f aca="false">K986+M986</f>
        <v>#NAME?</v>
      </c>
      <c r="O986" s="473" t="e">
        <f aca="false">M986</f>
        <v>#NAME?</v>
      </c>
    </row>
    <row r="987" s="461" customFormat="true" ht="15" hidden="false" customHeight="false" outlineLevel="0" collapsed="false">
      <c r="A987" s="327" t="s">
        <v>1611</v>
      </c>
      <c r="B987" s="506" t="s">
        <v>3555</v>
      </c>
      <c r="C987" s="472" t="e">
        <f aca="false">мат.затр!g8429</f>
        <v>#NAME?</v>
      </c>
      <c r="D987" s="472" t="n">
        <f aca="false">тарифик!J988</f>
        <v>4230.81213743864</v>
      </c>
      <c r="E987" s="472"/>
      <c r="F987" s="473" t="n">
        <f aca="false">D987*0.9*0.095+D987*3%</f>
        <v>488.658801874163</v>
      </c>
      <c r="G987" s="472" t="n">
        <f aca="false">амортизация!M3047</f>
        <v>14.9176706827309</v>
      </c>
      <c r="H987" s="473" t="e">
        <f aca="false">C987+D987+F987+G987</f>
        <v>#NAME?</v>
      </c>
      <c r="I987" s="462" t="n">
        <f aca="false">I$190</f>
        <v>0.240474587202079</v>
      </c>
      <c r="J987" s="473" t="n">
        <f aca="false">D987*I987</f>
        <v>1017.4028022801</v>
      </c>
      <c r="K987" s="473" t="e">
        <f aca="false">H987+J987</f>
        <v>#NAME?</v>
      </c>
      <c r="L987" s="462" t="n">
        <v>0.2</v>
      </c>
      <c r="M987" s="473" t="e">
        <f aca="false">K987*L987</f>
        <v>#NAME?</v>
      </c>
      <c r="N987" s="473" t="e">
        <f aca="false">K987+M987</f>
        <v>#NAME?</v>
      </c>
      <c r="O987" s="473" t="e">
        <f aca="false">M987</f>
        <v>#NAME?</v>
      </c>
    </row>
    <row r="988" s="461" customFormat="true" ht="28.5" hidden="false" customHeight="false" outlineLevel="0" collapsed="false">
      <c r="A988" s="350" t="s">
        <v>1613</v>
      </c>
      <c r="B988" s="349" t="s">
        <v>3556</v>
      </c>
      <c r="C988" s="468"/>
      <c r="D988" s="468"/>
      <c r="E988" s="472"/>
      <c r="F988" s="468"/>
      <c r="G988" s="468"/>
      <c r="H988" s="474"/>
      <c r="I988" s="475"/>
      <c r="J988" s="474"/>
      <c r="K988" s="474"/>
      <c r="L988" s="475"/>
      <c r="M988" s="474"/>
      <c r="N988" s="474"/>
      <c r="O988" s="474"/>
    </row>
    <row r="989" s="461" customFormat="true" ht="15" hidden="false" customHeight="false" outlineLevel="0" collapsed="false">
      <c r="A989" s="327" t="s">
        <v>1615</v>
      </c>
      <c r="B989" s="507" t="s">
        <v>3139</v>
      </c>
      <c r="C989" s="472" t="e">
        <f aca="false">мат.затр!g8431</f>
        <v>#NAME?</v>
      </c>
      <c r="D989" s="472" t="n">
        <f aca="false">тарифик!J990</f>
        <v>602.409638554217</v>
      </c>
      <c r="E989" s="472"/>
      <c r="F989" s="473" t="n">
        <f aca="false">D989*0.9*0.095+D989*3%</f>
        <v>69.578313253012</v>
      </c>
      <c r="G989" s="472" t="n">
        <f aca="false">амортизация!M3049</f>
        <v>0</v>
      </c>
      <c r="H989" s="473" t="e">
        <f aca="false">C989+D989+F989+G989</f>
        <v>#NAME?</v>
      </c>
      <c r="I989" s="462" t="n">
        <f aca="false">I$190</f>
        <v>0.240474587202079</v>
      </c>
      <c r="J989" s="473" t="n">
        <f aca="false">D989*I989</f>
        <v>144.864209157879</v>
      </c>
      <c r="K989" s="473" t="e">
        <f aca="false">H989+J989</f>
        <v>#NAME?</v>
      </c>
      <c r="L989" s="462" t="n">
        <v>0.2</v>
      </c>
      <c r="M989" s="473" t="e">
        <f aca="false">K989*L989</f>
        <v>#NAME?</v>
      </c>
      <c r="N989" s="473" t="e">
        <f aca="false">K989+M989</f>
        <v>#NAME?</v>
      </c>
      <c r="O989" s="473" t="e">
        <f aca="false">M989</f>
        <v>#NAME?</v>
      </c>
    </row>
    <row r="990" s="461" customFormat="true" ht="15" hidden="false" customHeight="false" outlineLevel="0" collapsed="false">
      <c r="A990" s="327" t="s">
        <v>1616</v>
      </c>
      <c r="B990" s="502" t="s">
        <v>3549</v>
      </c>
      <c r="C990" s="472" t="e">
        <f aca="false">мат.затр!g8439</f>
        <v>#NAME?</v>
      </c>
      <c r="D990" s="472" t="n">
        <f aca="false">тарифик!J991</f>
        <v>853.413654618474</v>
      </c>
      <c r="E990" s="472"/>
      <c r="F990" s="473" t="n">
        <f aca="false">D990*0.9*0.095+D990*3%</f>
        <v>98.5692771084337</v>
      </c>
      <c r="G990" s="472" t="n">
        <f aca="false">амортизация!M3050</f>
        <v>55.7786702365016</v>
      </c>
      <c r="H990" s="473" t="e">
        <f aca="false">C990+D990+F990+G990</f>
        <v>#NAME?</v>
      </c>
      <c r="I990" s="462" t="n">
        <f aca="false">I$190</f>
        <v>0.240474587202079</v>
      </c>
      <c r="J990" s="473" t="n">
        <f aca="false">D990*I990</f>
        <v>205.224296306995</v>
      </c>
      <c r="K990" s="473" t="e">
        <f aca="false">H990+J990</f>
        <v>#NAME?</v>
      </c>
      <c r="L990" s="462" t="n">
        <v>0.2</v>
      </c>
      <c r="M990" s="473" t="e">
        <f aca="false">K990*L990</f>
        <v>#NAME?</v>
      </c>
      <c r="N990" s="473" t="e">
        <f aca="false">K990+M990</f>
        <v>#NAME?</v>
      </c>
      <c r="O990" s="473" t="e">
        <f aca="false">M990</f>
        <v>#NAME?</v>
      </c>
    </row>
    <row r="991" s="461" customFormat="true" ht="15" hidden="false" customHeight="false" outlineLevel="0" collapsed="false">
      <c r="A991" s="327" t="s">
        <v>1617</v>
      </c>
      <c r="B991" s="502" t="s">
        <v>3548</v>
      </c>
      <c r="C991" s="472" t="e">
        <f aca="false">мат.затр!g8445</f>
        <v>#NAME?</v>
      </c>
      <c r="D991" s="472" t="n">
        <f aca="false">тарифик!J992</f>
        <v>948.237394020527</v>
      </c>
      <c r="E991" s="472"/>
      <c r="F991" s="473" t="n">
        <f aca="false">D991*0.9*0.095+D991*3%</f>
        <v>109.521419009371</v>
      </c>
      <c r="G991" s="472" t="n">
        <f aca="false">амортизация!M3051</f>
        <v>55.7786702365016</v>
      </c>
      <c r="H991" s="473" t="e">
        <f aca="false">C991+D991+F991+G991</f>
        <v>#NAME?</v>
      </c>
      <c r="I991" s="462" t="n">
        <f aca="false">I$190</f>
        <v>0.240474587202079</v>
      </c>
      <c r="J991" s="473" t="n">
        <f aca="false">D991*I991</f>
        <v>228.026995896661</v>
      </c>
      <c r="K991" s="473" t="e">
        <f aca="false">H991+J991</f>
        <v>#NAME?</v>
      </c>
      <c r="L991" s="462" t="n">
        <v>0.2</v>
      </c>
      <c r="M991" s="473" t="e">
        <f aca="false">K991*L991</f>
        <v>#NAME?</v>
      </c>
      <c r="N991" s="473" t="e">
        <f aca="false">K991+M991</f>
        <v>#NAME?</v>
      </c>
      <c r="O991" s="473" t="e">
        <f aca="false">M991</f>
        <v>#NAME?</v>
      </c>
    </row>
    <row r="992" s="461" customFormat="true" ht="15" hidden="false" customHeight="false" outlineLevel="0" collapsed="false">
      <c r="A992" s="327" t="s">
        <v>1618</v>
      </c>
      <c r="B992" s="502" t="s">
        <v>3557</v>
      </c>
      <c r="C992" s="472" t="e">
        <f aca="false">мат.затр!g8448</f>
        <v>#NAME?</v>
      </c>
      <c r="D992" s="472" t="n">
        <f aca="false">тарифик!J993</f>
        <v>1115.57340473003</v>
      </c>
      <c r="E992" s="472"/>
      <c r="F992" s="473" t="n">
        <f aca="false">D992*0.9*0.095+D992*3%</f>
        <v>128.848728246319</v>
      </c>
      <c r="G992" s="472" t="n">
        <f aca="false">амортизация!M3052</f>
        <v>55.7786702365016</v>
      </c>
      <c r="H992" s="473" t="e">
        <f aca="false">C992+D992+F992+G992</f>
        <v>#NAME?</v>
      </c>
      <c r="I992" s="462" t="n">
        <f aca="false">I$190</f>
        <v>0.240474587202079</v>
      </c>
      <c r="J992" s="473" t="n">
        <f aca="false">D992*I992</f>
        <v>268.267053996072</v>
      </c>
      <c r="K992" s="473" t="e">
        <f aca="false">H992+J992</f>
        <v>#NAME?</v>
      </c>
      <c r="L992" s="462" t="n">
        <v>0.2</v>
      </c>
      <c r="M992" s="473" t="e">
        <f aca="false">K992*L992</f>
        <v>#NAME?</v>
      </c>
      <c r="N992" s="473" t="e">
        <f aca="false">K992+M992</f>
        <v>#NAME?</v>
      </c>
      <c r="O992" s="473" t="e">
        <f aca="false">M992</f>
        <v>#NAME?</v>
      </c>
    </row>
    <row r="993" s="461" customFormat="true" ht="15" hidden="false" customHeight="false" outlineLevel="0" collapsed="false">
      <c r="A993" s="327" t="s">
        <v>1620</v>
      </c>
      <c r="B993" s="502" t="s">
        <v>3546</v>
      </c>
      <c r="C993" s="472" t="e">
        <f aca="false">мат.затр!g8454</f>
        <v>#NAME?</v>
      </c>
      <c r="D993" s="472" t="n">
        <f aca="false">тарифик!J994</f>
        <v>133.868808567604</v>
      </c>
      <c r="E993" s="472"/>
      <c r="F993" s="473" t="n">
        <f aca="false">D993*0.9*0.095+D993*3%</f>
        <v>15.4618473895582</v>
      </c>
      <c r="G993" s="472" t="n">
        <f aca="false">амортизация!M3053</f>
        <v>156.420124944221</v>
      </c>
      <c r="H993" s="473" t="e">
        <f aca="false">C993+D993+F993+G993</f>
        <v>#NAME?</v>
      </c>
      <c r="I993" s="462" t="n">
        <f aca="false">I$190</f>
        <v>0.240474587202079</v>
      </c>
      <c r="J993" s="473" t="n">
        <f aca="false">D993*I993</f>
        <v>32.1920464795286</v>
      </c>
      <c r="K993" s="473" t="e">
        <f aca="false">H993+J993</f>
        <v>#NAME?</v>
      </c>
      <c r="L993" s="462" t="n">
        <v>0.2</v>
      </c>
      <c r="M993" s="473" t="e">
        <f aca="false">K993*L993</f>
        <v>#NAME?</v>
      </c>
      <c r="N993" s="473" t="e">
        <f aca="false">K993+M993</f>
        <v>#NAME?</v>
      </c>
      <c r="O993" s="473" t="e">
        <f aca="false">M993</f>
        <v>#NAME?</v>
      </c>
    </row>
    <row r="994" s="461" customFormat="true" ht="15" hidden="false" customHeight="false" outlineLevel="0" collapsed="false">
      <c r="A994" s="327" t="s">
        <v>1621</v>
      </c>
      <c r="B994" s="502" t="s">
        <v>3558</v>
      </c>
      <c r="C994" s="472" t="e">
        <f aca="false">мат.затр!g8459</f>
        <v>#NAME?</v>
      </c>
      <c r="D994" s="472" t="n">
        <f aca="false">тарифик!J995</f>
        <v>133.868808567604</v>
      </c>
      <c r="E994" s="472"/>
      <c r="F994" s="473" t="n">
        <f aca="false">D994*0.9*0.095+D994*3%</f>
        <v>15.4618473895582</v>
      </c>
      <c r="G994" s="472" t="n">
        <f aca="false">амортизация!M3054</f>
        <v>156.420124944221</v>
      </c>
      <c r="H994" s="473" t="e">
        <f aca="false">C994+D994+F994+G994</f>
        <v>#NAME?</v>
      </c>
      <c r="I994" s="462" t="n">
        <f aca="false">I$190</f>
        <v>0.240474587202079</v>
      </c>
      <c r="J994" s="473" t="n">
        <f aca="false">D994*I994</f>
        <v>32.1920464795286</v>
      </c>
      <c r="K994" s="473" t="e">
        <f aca="false">H994+J994</f>
        <v>#NAME?</v>
      </c>
      <c r="L994" s="462" t="n">
        <v>0.2</v>
      </c>
      <c r="M994" s="473" t="e">
        <f aca="false">K994*L994</f>
        <v>#NAME?</v>
      </c>
      <c r="N994" s="473" t="e">
        <f aca="false">K994+M994</f>
        <v>#NAME?</v>
      </c>
      <c r="O994" s="473" t="e">
        <f aca="false">M994</f>
        <v>#NAME?</v>
      </c>
    </row>
    <row r="995" s="461" customFormat="true" ht="15" hidden="false" customHeight="false" outlineLevel="0" collapsed="false">
      <c r="A995" s="327" t="s">
        <v>1623</v>
      </c>
      <c r="B995" s="502" t="s">
        <v>3543</v>
      </c>
      <c r="C995" s="472" t="e">
        <f aca="false">мат.затр!g8464</f>
        <v>#NAME?</v>
      </c>
      <c r="D995" s="472" t="n">
        <f aca="false">тарифик!J996</f>
        <v>1070.95046854083</v>
      </c>
      <c r="E995" s="472"/>
      <c r="F995" s="473" t="n">
        <f aca="false">D995*0.9*0.095+D995*3%</f>
        <v>123.694779116466</v>
      </c>
      <c r="G995" s="472" t="n">
        <f aca="false">амортизация!M3055</f>
        <v>156.420124944221</v>
      </c>
      <c r="H995" s="473" t="e">
        <f aca="false">C995+D995+F995+G995</f>
        <v>#NAME?</v>
      </c>
      <c r="I995" s="462" t="n">
        <f aca="false">I$190</f>
        <v>0.240474587202079</v>
      </c>
      <c r="J995" s="473" t="n">
        <f aca="false">D995*I995</f>
        <v>257.536371836229</v>
      </c>
      <c r="K995" s="473" t="e">
        <f aca="false">H995+J995</f>
        <v>#NAME?</v>
      </c>
      <c r="L995" s="462" t="n">
        <v>0.2</v>
      </c>
      <c r="M995" s="473" t="e">
        <f aca="false">K995*L995</f>
        <v>#NAME?</v>
      </c>
      <c r="N995" s="473" t="e">
        <f aca="false">K995+M995</f>
        <v>#NAME?</v>
      </c>
      <c r="O995" s="473" t="e">
        <f aca="false">M995</f>
        <v>#NAME?</v>
      </c>
    </row>
    <row r="996" s="461" customFormat="true" ht="15" hidden="false" customHeight="false" outlineLevel="0" collapsed="false">
      <c r="A996" s="327" t="s">
        <v>1624</v>
      </c>
      <c r="B996" s="502" t="s">
        <v>3514</v>
      </c>
      <c r="C996" s="472" t="e">
        <f aca="false">мат.затр!g8467</f>
        <v>#NAME?</v>
      </c>
      <c r="D996" s="472" t="n">
        <f aca="false">тарифик!J997</f>
        <v>356.98348951361</v>
      </c>
      <c r="E996" s="472"/>
      <c r="F996" s="473" t="n">
        <f aca="false">D996*0.9*0.095+D996*3%</f>
        <v>41.231593038822</v>
      </c>
      <c r="G996" s="472" t="n">
        <f aca="false">амортизация!M3056</f>
        <v>55.7786702365016</v>
      </c>
      <c r="H996" s="473" t="e">
        <f aca="false">C996+D996+F996+G996</f>
        <v>#NAME?</v>
      </c>
      <c r="I996" s="462" t="n">
        <f aca="false">I$190</f>
        <v>0.240474587202079</v>
      </c>
      <c r="J996" s="473" t="n">
        <f aca="false">D996*I996</f>
        <v>85.845457278743</v>
      </c>
      <c r="K996" s="473" t="e">
        <f aca="false">H996+J996</f>
        <v>#NAME?</v>
      </c>
      <c r="L996" s="462" t="n">
        <v>0.2</v>
      </c>
      <c r="M996" s="473" t="e">
        <f aca="false">K996*L996</f>
        <v>#NAME?</v>
      </c>
      <c r="N996" s="473" t="e">
        <f aca="false">K996+M996</f>
        <v>#NAME?</v>
      </c>
      <c r="O996" s="473" t="e">
        <f aca="false">M996</f>
        <v>#NAME?</v>
      </c>
    </row>
    <row r="997" s="461" customFormat="true" ht="15" hidden="false" customHeight="false" outlineLevel="0" collapsed="false">
      <c r="A997" s="327" t="s">
        <v>1625</v>
      </c>
      <c r="B997" s="502" t="s">
        <v>3441</v>
      </c>
      <c r="C997" s="472" t="e">
        <f aca="false">мат.затр!g8472</f>
        <v>#NAME?</v>
      </c>
      <c r="D997" s="472" t="n">
        <f aca="false">тарифик!J998</f>
        <v>356.98348951361</v>
      </c>
      <c r="E997" s="472"/>
      <c r="F997" s="473" t="n">
        <f aca="false">D997*0.9*0.095+D997*3%</f>
        <v>41.231593038822</v>
      </c>
      <c r="G997" s="472" t="n">
        <f aca="false">амортизация!M3057</f>
        <v>156.420124944221</v>
      </c>
      <c r="H997" s="473" t="e">
        <f aca="false">C997+D997+F997+G997</f>
        <v>#NAME?</v>
      </c>
      <c r="I997" s="462" t="n">
        <f aca="false">I$190</f>
        <v>0.240474587202079</v>
      </c>
      <c r="J997" s="473" t="n">
        <f aca="false">D997*I997</f>
        <v>85.845457278743</v>
      </c>
      <c r="K997" s="473" t="e">
        <f aca="false">H997+J997</f>
        <v>#NAME?</v>
      </c>
      <c r="L997" s="462" t="n">
        <v>0.2</v>
      </c>
      <c r="M997" s="473" t="e">
        <f aca="false">K997*L997</f>
        <v>#NAME?</v>
      </c>
      <c r="N997" s="473" t="e">
        <f aca="false">K997+M997</f>
        <v>#NAME?</v>
      </c>
      <c r="O997" s="473" t="e">
        <f aca="false">M997</f>
        <v>#NAME?</v>
      </c>
    </row>
    <row r="998" s="461" customFormat="true" ht="15" hidden="false" customHeight="false" outlineLevel="0" collapsed="false">
      <c r="A998" s="327" t="s">
        <v>1626</v>
      </c>
      <c r="B998" s="502" t="s">
        <v>3438</v>
      </c>
      <c r="C998" s="472" t="e">
        <f aca="false">мат.затр!g8478</f>
        <v>#NAME?</v>
      </c>
      <c r="D998" s="472" t="n">
        <f aca="false">тарифик!J999</f>
        <v>758.589915216421</v>
      </c>
      <c r="E998" s="472"/>
      <c r="F998" s="473" t="n">
        <f aca="false">D998*0.9*0.095+D998*3%</f>
        <v>87.6171352074966</v>
      </c>
      <c r="G998" s="472" t="n">
        <f aca="false">амортизация!M3058</f>
        <v>55.7786702365016</v>
      </c>
      <c r="H998" s="473" t="e">
        <f aca="false">C998+D998+F998+G998</f>
        <v>#NAME?</v>
      </c>
      <c r="I998" s="462" t="n">
        <f aca="false">I$190</f>
        <v>0.240474587202079</v>
      </c>
      <c r="J998" s="473" t="n">
        <f aca="false">D998*I998</f>
        <v>182.421596717329</v>
      </c>
      <c r="K998" s="473" t="e">
        <f aca="false">H998+J998</f>
        <v>#NAME?</v>
      </c>
      <c r="L998" s="462" t="n">
        <v>0.2</v>
      </c>
      <c r="M998" s="473" t="e">
        <f aca="false">K998*L998</f>
        <v>#NAME?</v>
      </c>
      <c r="N998" s="473" t="e">
        <f aca="false">K998+M998</f>
        <v>#NAME?</v>
      </c>
      <c r="O998" s="473" t="e">
        <f aca="false">M998</f>
        <v>#NAME?</v>
      </c>
    </row>
    <row r="999" s="461" customFormat="true" ht="15" hidden="false" customHeight="false" outlineLevel="0" collapsed="false">
      <c r="A999" s="327" t="s">
        <v>1627</v>
      </c>
      <c r="B999" s="502" t="s">
        <v>3465</v>
      </c>
      <c r="C999" s="472" t="e">
        <f aca="false">мат.затр!g8483</f>
        <v>#NAME?</v>
      </c>
      <c r="D999" s="472" t="n">
        <f aca="false">тарифик!J1000</f>
        <v>178.491744756805</v>
      </c>
      <c r="E999" s="472"/>
      <c r="F999" s="473" t="n">
        <f aca="false">D999*0.9*0.095+D999*3%</f>
        <v>20.615796519411</v>
      </c>
      <c r="G999" s="472" t="n">
        <f aca="false">амортизация!M3059</f>
        <v>55.7786702365016</v>
      </c>
      <c r="H999" s="473" t="e">
        <f aca="false">C999+D999+F999+G999</f>
        <v>#NAME?</v>
      </c>
      <c r="I999" s="462" t="n">
        <f aca="false">I$190</f>
        <v>0.240474587202079</v>
      </c>
      <c r="J999" s="473" t="n">
        <f aca="false">D999*I999</f>
        <v>42.9227286393715</v>
      </c>
      <c r="K999" s="473" t="e">
        <f aca="false">H999+J999</f>
        <v>#NAME?</v>
      </c>
      <c r="L999" s="462" t="n">
        <v>0.2</v>
      </c>
      <c r="M999" s="473" t="e">
        <f aca="false">K999*L999</f>
        <v>#NAME?</v>
      </c>
      <c r="N999" s="473" t="e">
        <f aca="false">K999+M999</f>
        <v>#NAME?</v>
      </c>
      <c r="O999" s="473" t="e">
        <f aca="false">M999</f>
        <v>#NAME?</v>
      </c>
    </row>
    <row r="1000" s="461" customFormat="true" ht="15" hidden="false" customHeight="false" outlineLevel="0" collapsed="false">
      <c r="A1000" s="327" t="s">
        <v>1628</v>
      </c>
      <c r="B1000" s="502" t="s">
        <v>3544</v>
      </c>
      <c r="C1000" s="472" t="e">
        <f aca="false">мат.затр!g8488</f>
        <v>#NAME?</v>
      </c>
      <c r="D1000" s="472" t="n">
        <f aca="false">тарифик!J1001</f>
        <v>178.491744756805</v>
      </c>
      <c r="E1000" s="472"/>
      <c r="F1000" s="473" t="n">
        <f aca="false">D1000*0.9*0.095+D1000*3%</f>
        <v>20.615796519411</v>
      </c>
      <c r="G1000" s="472" t="n">
        <f aca="false">амортизация!M3060</f>
        <v>156.420124944221</v>
      </c>
      <c r="H1000" s="473" t="e">
        <f aca="false">C1000+D1000+F1000+G1000</f>
        <v>#NAME?</v>
      </c>
      <c r="I1000" s="462" t="n">
        <f aca="false">I$190</f>
        <v>0.240474587202079</v>
      </c>
      <c r="J1000" s="473" t="n">
        <f aca="false">D1000*I1000</f>
        <v>42.9227286393715</v>
      </c>
      <c r="K1000" s="473" t="e">
        <f aca="false">H1000+J1000</f>
        <v>#NAME?</v>
      </c>
      <c r="L1000" s="462" t="n">
        <v>0.2</v>
      </c>
      <c r="M1000" s="473" t="e">
        <f aca="false">K1000*L1000</f>
        <v>#NAME?</v>
      </c>
      <c r="N1000" s="473" t="e">
        <f aca="false">K1000+M1000</f>
        <v>#NAME?</v>
      </c>
      <c r="O1000" s="473" t="e">
        <f aca="false">M1000</f>
        <v>#NAME?</v>
      </c>
    </row>
    <row r="1001" s="461" customFormat="true" ht="15" hidden="false" customHeight="false" outlineLevel="0" collapsed="false">
      <c r="A1001" s="327" t="s">
        <v>1629</v>
      </c>
      <c r="B1001" s="504" t="s">
        <v>3559</v>
      </c>
      <c r="C1001" s="472" t="e">
        <f aca="false">мат.затр!g8491</f>
        <v>#NAME?</v>
      </c>
      <c r="D1001" s="472" t="n">
        <f aca="false">тарифик!J1002</f>
        <v>178.491744756805</v>
      </c>
      <c r="E1001" s="472"/>
      <c r="F1001" s="473" t="n">
        <f aca="false">D1001*0.9*0.095+D1001*3%</f>
        <v>20.615796519411</v>
      </c>
      <c r="G1001" s="472" t="n">
        <f aca="false">амортизация!M3061</f>
        <v>156.420124944221</v>
      </c>
      <c r="H1001" s="473" t="e">
        <f aca="false">C1001+D1001+F1001+G1001</f>
        <v>#NAME?</v>
      </c>
      <c r="I1001" s="462" t="n">
        <f aca="false">I$190</f>
        <v>0.240474587202079</v>
      </c>
      <c r="J1001" s="473" t="n">
        <f aca="false">D1001*I1001</f>
        <v>42.9227286393715</v>
      </c>
      <c r="K1001" s="473" t="e">
        <f aca="false">H1001+J1001</f>
        <v>#NAME?</v>
      </c>
      <c r="L1001" s="462" t="n">
        <v>0.2</v>
      </c>
      <c r="M1001" s="473" t="e">
        <f aca="false">K1001*L1001</f>
        <v>#NAME?</v>
      </c>
      <c r="N1001" s="473" t="e">
        <f aca="false">K1001+M1001</f>
        <v>#NAME?</v>
      </c>
      <c r="O1001" s="473" t="e">
        <f aca="false">M1001</f>
        <v>#NAME?</v>
      </c>
    </row>
    <row r="1002" s="461" customFormat="true" ht="15" hidden="false" customHeight="false" outlineLevel="0" collapsed="false">
      <c r="A1002" s="327" t="s">
        <v>1630</v>
      </c>
      <c r="B1002" s="502" t="s">
        <v>3536</v>
      </c>
      <c r="C1002" s="472" t="e">
        <f aca="false">мат.затр!g8497</f>
        <v>#NAME?</v>
      </c>
      <c r="D1002" s="472" t="n">
        <f aca="false">тарифик!J1003</f>
        <v>758.589915216421</v>
      </c>
      <c r="E1002" s="472"/>
      <c r="F1002" s="473" t="n">
        <f aca="false">D1002*0.9*0.095+D1002*3%</f>
        <v>87.6171352074966</v>
      </c>
      <c r="G1002" s="472" t="n">
        <f aca="false">амортизация!M3062</f>
        <v>55.7786702365016</v>
      </c>
      <c r="H1002" s="473" t="e">
        <f aca="false">C1002+D1002+F1002+G1002</f>
        <v>#NAME?</v>
      </c>
      <c r="I1002" s="462" t="n">
        <f aca="false">I$190</f>
        <v>0.240474587202079</v>
      </c>
      <c r="J1002" s="473" t="n">
        <f aca="false">D1002*I1002</f>
        <v>182.421596717329</v>
      </c>
      <c r="K1002" s="473" t="e">
        <f aca="false">H1002+J1002</f>
        <v>#NAME?</v>
      </c>
      <c r="L1002" s="462" t="n">
        <v>0.2</v>
      </c>
      <c r="M1002" s="473" t="e">
        <f aca="false">K1002*L1002</f>
        <v>#NAME?</v>
      </c>
      <c r="N1002" s="473" t="e">
        <f aca="false">K1002+M1002</f>
        <v>#NAME?</v>
      </c>
      <c r="O1002" s="473" t="e">
        <f aca="false">M1002</f>
        <v>#NAME?</v>
      </c>
    </row>
    <row r="1003" s="461" customFormat="true" ht="15" hidden="false" customHeight="false" outlineLevel="0" collapsed="false">
      <c r="A1003" s="327" t="s">
        <v>1631</v>
      </c>
      <c r="B1003" s="502" t="s">
        <v>3552</v>
      </c>
      <c r="C1003" s="472" t="e">
        <f aca="false">мат.затр!g8502</f>
        <v>#NAME?</v>
      </c>
      <c r="D1003" s="472" t="n">
        <f aca="false">тарифик!J1004</f>
        <v>89.2458723784025</v>
      </c>
      <c r="E1003" s="472"/>
      <c r="F1003" s="473" t="n">
        <f aca="false">D1003*0.9*0.095+D1003*3%</f>
        <v>10.3078982597055</v>
      </c>
      <c r="G1003" s="472" t="n">
        <f aca="false">амортизация!M3063</f>
        <v>156.420124944221</v>
      </c>
      <c r="H1003" s="473" t="e">
        <f aca="false">C1003+D1003+F1003+G1003</f>
        <v>#NAME?</v>
      </c>
      <c r="I1003" s="462" t="n">
        <f aca="false">I$190</f>
        <v>0.240474587202079</v>
      </c>
      <c r="J1003" s="473" t="n">
        <f aca="false">D1003*I1003</f>
        <v>21.4613643196858</v>
      </c>
      <c r="K1003" s="473" t="e">
        <f aca="false">H1003+J1003</f>
        <v>#NAME?</v>
      </c>
      <c r="L1003" s="462" t="n">
        <v>0.2</v>
      </c>
      <c r="M1003" s="473" t="e">
        <f aca="false">K1003*L1003</f>
        <v>#NAME?</v>
      </c>
      <c r="N1003" s="473" t="e">
        <f aca="false">K1003+M1003</f>
        <v>#NAME?</v>
      </c>
      <c r="O1003" s="473" t="e">
        <f aca="false">M1003</f>
        <v>#NAME?</v>
      </c>
    </row>
    <row r="1004" s="461" customFormat="true" ht="15" hidden="false" customHeight="false" outlineLevel="0" collapsed="false">
      <c r="A1004" s="327" t="s">
        <v>1632</v>
      </c>
      <c r="B1004" s="504" t="s">
        <v>3129</v>
      </c>
      <c r="C1004" s="472" t="e">
        <f aca="false">мат.затр!g8507</f>
        <v>#NAME?</v>
      </c>
      <c r="D1004" s="472" t="n">
        <f aca="false">тарифик!J1005</f>
        <v>803.212851405623</v>
      </c>
      <c r="E1004" s="472"/>
      <c r="F1004" s="473" t="n">
        <f aca="false">D1004*0.9*0.095+D1004*3%</f>
        <v>92.7710843373494</v>
      </c>
      <c r="G1004" s="472" t="n">
        <f aca="false">амортизация!M3064</f>
        <v>44.2045961624275</v>
      </c>
      <c r="H1004" s="473" t="e">
        <f aca="false">C1004+D1004+F1004+G1004</f>
        <v>#NAME?</v>
      </c>
      <c r="I1004" s="462" t="n">
        <f aca="false">I$190</f>
        <v>0.240474587202079</v>
      </c>
      <c r="J1004" s="473" t="n">
        <f aca="false">D1004*I1004</f>
        <v>193.152278877172</v>
      </c>
      <c r="K1004" s="473" t="e">
        <f aca="false">H1004+J1004</f>
        <v>#NAME?</v>
      </c>
      <c r="L1004" s="462" t="n">
        <v>0.2</v>
      </c>
      <c r="M1004" s="473" t="e">
        <f aca="false">K1004*L1004</f>
        <v>#NAME?</v>
      </c>
      <c r="N1004" s="473" t="e">
        <f aca="false">K1004+M1004</f>
        <v>#NAME?</v>
      </c>
      <c r="O1004" s="473" t="e">
        <f aca="false">M1004</f>
        <v>#NAME?</v>
      </c>
    </row>
    <row r="1005" s="461" customFormat="true" ht="15" hidden="false" customHeight="false" outlineLevel="0" collapsed="false">
      <c r="A1005" s="327" t="s">
        <v>1633</v>
      </c>
      <c r="B1005" s="504" t="s">
        <v>3269</v>
      </c>
      <c r="C1005" s="472" t="e">
        <f aca="false">мат.затр!g8512</f>
        <v>#NAME?</v>
      </c>
      <c r="D1005" s="472" t="n">
        <f aca="false">тарифик!J1006</f>
        <v>1004.01606425703</v>
      </c>
      <c r="E1005" s="472"/>
      <c r="F1005" s="473" t="n">
        <f aca="false">D1005*0.9*0.095+D1005*3%</f>
        <v>115.963855421687</v>
      </c>
      <c r="G1005" s="472" t="n">
        <f aca="false">амортизация!M3065</f>
        <v>44.2045961624275</v>
      </c>
      <c r="H1005" s="473" t="e">
        <f aca="false">C1005+D1005+F1005+G1005</f>
        <v>#NAME?</v>
      </c>
      <c r="I1005" s="462" t="n">
        <f aca="false">I$190</f>
        <v>0.240474587202079</v>
      </c>
      <c r="J1005" s="473" t="n">
        <f aca="false">D1005*I1005</f>
        <v>241.440348596465</v>
      </c>
      <c r="K1005" s="473" t="e">
        <f aca="false">H1005+J1005</f>
        <v>#NAME?</v>
      </c>
      <c r="L1005" s="462" t="n">
        <v>0.2</v>
      </c>
      <c r="M1005" s="473" t="e">
        <f aca="false">K1005*L1005</f>
        <v>#NAME?</v>
      </c>
      <c r="N1005" s="473" t="e">
        <f aca="false">K1005+M1005</f>
        <v>#NAME?</v>
      </c>
      <c r="O1005" s="473" t="e">
        <f aca="false">M1005</f>
        <v>#NAME?</v>
      </c>
    </row>
    <row r="1006" s="461" customFormat="true" ht="15" hidden="false" customHeight="false" outlineLevel="0" collapsed="false">
      <c r="A1006" s="327" t="s">
        <v>1634</v>
      </c>
      <c r="B1006" s="504" t="s">
        <v>3254</v>
      </c>
      <c r="C1006" s="472" t="e">
        <f aca="false">мат.затр!g8517</f>
        <v>#NAME?</v>
      </c>
      <c r="D1006" s="472" t="n">
        <f aca="false">тарифик!J1007</f>
        <v>1606.42570281125</v>
      </c>
      <c r="E1006" s="472"/>
      <c r="F1006" s="473" t="n">
        <f aca="false">D1006*0.9*0.095+D1006*3%</f>
        <v>185.542168674699</v>
      </c>
      <c r="G1006" s="472" t="n">
        <f aca="false">амортизация!M3066</f>
        <v>44.2045961624275</v>
      </c>
      <c r="H1006" s="473" t="e">
        <f aca="false">C1006+D1006+F1006+G1006</f>
        <v>#NAME?</v>
      </c>
      <c r="I1006" s="462" t="n">
        <f aca="false">I$190</f>
        <v>0.240474587202079</v>
      </c>
      <c r="J1006" s="473" t="n">
        <f aca="false">D1006*I1006</f>
        <v>386.304557754344</v>
      </c>
      <c r="K1006" s="473" t="e">
        <f aca="false">H1006+J1006</f>
        <v>#NAME?</v>
      </c>
      <c r="L1006" s="462" t="n">
        <v>0.2</v>
      </c>
      <c r="M1006" s="473" t="e">
        <f aca="false">K1006*L1006</f>
        <v>#NAME?</v>
      </c>
      <c r="N1006" s="473" t="e">
        <f aca="false">K1006+M1006</f>
        <v>#NAME?</v>
      </c>
      <c r="O1006" s="473" t="e">
        <f aca="false">M1006</f>
        <v>#NAME?</v>
      </c>
    </row>
    <row r="1007" s="461" customFormat="true" ht="15" hidden="false" customHeight="false" outlineLevel="0" collapsed="false">
      <c r="A1007" s="327" t="s">
        <v>1635</v>
      </c>
      <c r="B1007" s="504" t="s">
        <v>3486</v>
      </c>
      <c r="C1007" s="472" t="e">
        <f aca="false">мат.затр!g8518</f>
        <v>#NAME?</v>
      </c>
      <c r="D1007" s="472" t="n">
        <f aca="false">тарифик!J1008</f>
        <v>1963.40919232486</v>
      </c>
      <c r="E1007" s="472"/>
      <c r="F1007" s="473" t="n">
        <f aca="false">D1007*0.9*0.095+D1007*3%</f>
        <v>226.773761713521</v>
      </c>
      <c r="G1007" s="472" t="n">
        <f aca="false">амортизация!M3067</f>
        <v>156.420124944221</v>
      </c>
      <c r="H1007" s="473" t="e">
        <f aca="false">C1007+D1007+F1007+G1007</f>
        <v>#NAME?</v>
      </c>
      <c r="I1007" s="462" t="n">
        <f aca="false">I$190</f>
        <v>0.240474587202079</v>
      </c>
      <c r="J1007" s="473" t="n">
        <f aca="false">D1007*I1007</f>
        <v>472.150015033087</v>
      </c>
      <c r="K1007" s="473" t="e">
        <f aca="false">H1007+J1007</f>
        <v>#NAME?</v>
      </c>
      <c r="L1007" s="462" t="n">
        <v>0.2</v>
      </c>
      <c r="M1007" s="473" t="e">
        <f aca="false">K1007*L1007</f>
        <v>#NAME?</v>
      </c>
      <c r="N1007" s="473" t="e">
        <f aca="false">K1007+M1007</f>
        <v>#NAME?</v>
      </c>
      <c r="O1007" s="473" t="e">
        <f aca="false">M1007</f>
        <v>#NAME?</v>
      </c>
    </row>
    <row r="1008" s="461" customFormat="true" ht="15" hidden="false" customHeight="false" outlineLevel="0" collapsed="false">
      <c r="A1008" s="327" t="s">
        <v>1636</v>
      </c>
      <c r="B1008" s="504" t="s">
        <v>3560</v>
      </c>
      <c r="C1008" s="472" t="e">
        <f aca="false">мат.затр!g8519</f>
        <v>#NAME?</v>
      </c>
      <c r="D1008" s="472" t="n">
        <f aca="false">тарифик!J1009</f>
        <v>1885.31905399375</v>
      </c>
      <c r="E1008" s="472"/>
      <c r="F1008" s="473" t="n">
        <f aca="false">D1008*0.9*0.095+D1008*3%</f>
        <v>217.754350736278</v>
      </c>
      <c r="G1008" s="472" t="n">
        <f aca="false">амортизация!M3068</f>
        <v>19.8902275769746</v>
      </c>
      <c r="H1008" s="473" t="e">
        <f aca="false">C1008+D1008+F1008+G1008</f>
        <v>#NAME?</v>
      </c>
      <c r="I1008" s="462" t="n">
        <f aca="false">I$190</f>
        <v>0.240474587202079</v>
      </c>
      <c r="J1008" s="473" t="n">
        <f aca="false">D1008*I1008</f>
        <v>453.371321253362</v>
      </c>
      <c r="K1008" s="473" t="e">
        <f aca="false">H1008+J1008</f>
        <v>#NAME?</v>
      </c>
      <c r="L1008" s="462" t="n">
        <v>0.2</v>
      </c>
      <c r="M1008" s="473" t="e">
        <f aca="false">K1008*L1008</f>
        <v>#NAME?</v>
      </c>
      <c r="N1008" s="473" t="e">
        <f aca="false">K1008+M1008</f>
        <v>#NAME?</v>
      </c>
      <c r="O1008" s="473" t="e">
        <f aca="false">M1008</f>
        <v>#NAME?</v>
      </c>
    </row>
    <row r="1009" s="461" customFormat="true" ht="15" hidden="false" customHeight="false" outlineLevel="0" collapsed="false">
      <c r="A1009" s="327" t="s">
        <v>1637</v>
      </c>
      <c r="B1009" s="504" t="s">
        <v>3488</v>
      </c>
      <c r="C1009" s="472" t="e">
        <f aca="false">мат.затр!g8524</f>
        <v>#NAME?</v>
      </c>
      <c r="D1009" s="472" t="n">
        <f aca="false">тарифик!J1010</f>
        <v>200.803212851406</v>
      </c>
      <c r="E1009" s="472"/>
      <c r="F1009" s="473" t="n">
        <f aca="false">D1009*0.9*0.095+D1009*3%</f>
        <v>23.1927710843374</v>
      </c>
      <c r="G1009" s="472" t="n">
        <f aca="false">амортизация!M3069</f>
        <v>22.3765060240964</v>
      </c>
      <c r="H1009" s="473" t="e">
        <f aca="false">C1009+D1009+F1009+G1009</f>
        <v>#NAME?</v>
      </c>
      <c r="I1009" s="462" t="n">
        <f aca="false">I$190</f>
        <v>0.240474587202079</v>
      </c>
      <c r="J1009" s="473" t="n">
        <f aca="false">D1009*I1009</f>
        <v>48.288069719293</v>
      </c>
      <c r="K1009" s="473" t="e">
        <f aca="false">H1009+J1009</f>
        <v>#NAME?</v>
      </c>
      <c r="L1009" s="462" t="n">
        <v>0.2</v>
      </c>
      <c r="M1009" s="473" t="e">
        <f aca="false">K1009*L1009</f>
        <v>#NAME?</v>
      </c>
      <c r="N1009" s="473" t="e">
        <f aca="false">K1009+M1009</f>
        <v>#NAME?</v>
      </c>
      <c r="O1009" s="473" t="e">
        <f aca="false">M1009</f>
        <v>#NAME?</v>
      </c>
    </row>
    <row r="1010" s="461" customFormat="true" ht="15" hidden="false" customHeight="false" outlineLevel="0" collapsed="false">
      <c r="A1010" s="327" t="s">
        <v>1638</v>
      </c>
      <c r="B1010" s="504" t="s">
        <v>3561</v>
      </c>
      <c r="C1010" s="472" t="e">
        <f aca="false">мат.затр!g8529</f>
        <v>#NAME?</v>
      </c>
      <c r="D1010" s="472" t="n">
        <f aca="false">тарифик!J1011</f>
        <v>7078.34538152611</v>
      </c>
      <c r="E1010" s="472"/>
      <c r="F1010" s="473" t="n">
        <f aca="false">D1010*0.9*0.095+D1010*3%</f>
        <v>817.548891566265</v>
      </c>
      <c r="G1010" s="472" t="n">
        <f aca="false">амортизация!M3070</f>
        <v>3.72941767068273</v>
      </c>
      <c r="H1010" s="473" t="e">
        <f aca="false">C1010+D1010+F1010+G1010</f>
        <v>#NAME?</v>
      </c>
      <c r="I1010" s="462" t="n">
        <f aca="false">I$190</f>
        <v>0.240474587202079</v>
      </c>
      <c r="J1010" s="473" t="n">
        <f aca="false">D1010*I1010</f>
        <v>1702.16218369623</v>
      </c>
      <c r="K1010" s="473" t="e">
        <f aca="false">H1010+J1010</f>
        <v>#NAME?</v>
      </c>
      <c r="L1010" s="462" t="n">
        <v>0.2</v>
      </c>
      <c r="M1010" s="473" t="e">
        <f aca="false">K1010*L1010</f>
        <v>#NAME?</v>
      </c>
      <c r="N1010" s="473" t="e">
        <f aca="false">K1010+M1010</f>
        <v>#NAME?</v>
      </c>
      <c r="O1010" s="473" t="e">
        <f aca="false">M1010</f>
        <v>#NAME?</v>
      </c>
    </row>
    <row r="1011" s="461" customFormat="true" ht="15" hidden="false" customHeight="false" outlineLevel="0" collapsed="false">
      <c r="A1011" s="327" t="s">
        <v>1640</v>
      </c>
      <c r="B1011" s="504" t="s">
        <v>3562</v>
      </c>
      <c r="C1011" s="472" t="e">
        <f aca="false">мат.затр!g8534</f>
        <v>#NAME?</v>
      </c>
      <c r="D1011" s="472" t="n">
        <f aca="false">тарифик!J1012</f>
        <v>2823.29317269076</v>
      </c>
      <c r="E1011" s="472"/>
      <c r="F1011" s="473" t="n">
        <f aca="false">D1011*0.9*0.095+D1011*3%</f>
        <v>326.090361445783</v>
      </c>
      <c r="G1011" s="472" t="n">
        <f aca="false">амортизация!M3071</f>
        <v>3.72941767068273</v>
      </c>
      <c r="H1011" s="473" t="e">
        <f aca="false">C1011+D1011+F1011+G1011</f>
        <v>#NAME?</v>
      </c>
      <c r="I1011" s="462" t="n">
        <f aca="false">I$190</f>
        <v>0.240474587202079</v>
      </c>
      <c r="J1011" s="473" t="n">
        <f aca="false">D1011*I1011</f>
        <v>678.930260253259</v>
      </c>
      <c r="K1011" s="473" t="e">
        <f aca="false">H1011+J1011</f>
        <v>#NAME?</v>
      </c>
      <c r="L1011" s="462" t="n">
        <v>0.2</v>
      </c>
      <c r="M1011" s="473" t="e">
        <f aca="false">K1011*L1011</f>
        <v>#NAME?</v>
      </c>
      <c r="N1011" s="473" t="e">
        <f aca="false">K1011+M1011</f>
        <v>#NAME?</v>
      </c>
      <c r="O1011" s="473" t="e">
        <f aca="false">M1011</f>
        <v>#NAME?</v>
      </c>
    </row>
    <row r="1012" s="461" customFormat="true" ht="15" hidden="false" customHeight="false" outlineLevel="0" collapsed="false">
      <c r="A1012" s="327" t="s">
        <v>1642</v>
      </c>
      <c r="B1012" s="504" t="s">
        <v>3563</v>
      </c>
      <c r="C1012" s="472" t="e">
        <f aca="false">мат.затр!g8538</f>
        <v>#NAME?</v>
      </c>
      <c r="D1012" s="472" t="n">
        <f aca="false">тарифик!J1013</f>
        <v>5035.69834895136</v>
      </c>
      <c r="E1012" s="472"/>
      <c r="F1012" s="473" t="n">
        <f aca="false">D1012*0.9*0.095+D1012*3%</f>
        <v>581.623159303882</v>
      </c>
      <c r="G1012" s="472" t="n">
        <f aca="false">амортизация!M3072</f>
        <v>14.9176706827309</v>
      </c>
      <c r="H1012" s="473" t="e">
        <f aca="false">C1012+D1012+F1012+G1012</f>
        <v>#NAME?</v>
      </c>
      <c r="I1012" s="462" t="n">
        <f aca="false">I$190</f>
        <v>0.240474587202079</v>
      </c>
      <c r="J1012" s="473" t="n">
        <f aca="false">D1012*I1012</f>
        <v>1210.95748173827</v>
      </c>
      <c r="K1012" s="473" t="e">
        <f aca="false">H1012+J1012</f>
        <v>#NAME?</v>
      </c>
      <c r="L1012" s="462" t="n">
        <v>0.2</v>
      </c>
      <c r="M1012" s="473" t="e">
        <f aca="false">K1012*L1012</f>
        <v>#NAME?</v>
      </c>
      <c r="N1012" s="473" t="e">
        <f aca="false">K1012+M1012</f>
        <v>#NAME?</v>
      </c>
      <c r="O1012" s="473" t="e">
        <f aca="false">M1012</f>
        <v>#NAME?</v>
      </c>
    </row>
    <row r="1013" s="461" customFormat="true" ht="15" hidden="false" customHeight="false" outlineLevel="0" collapsed="false">
      <c r="A1013" s="327" t="s">
        <v>1644</v>
      </c>
      <c r="B1013" s="504" t="s">
        <v>3564</v>
      </c>
      <c r="C1013" s="472" t="e">
        <f aca="false">мат.затр!g8543</f>
        <v>#NAME?</v>
      </c>
      <c r="D1013" s="472" t="n">
        <f aca="false">тарифик!J1014</f>
        <v>4127.62159750112</v>
      </c>
      <c r="E1013" s="472"/>
      <c r="F1013" s="473" t="n">
        <f aca="false">D1013*0.9*0.095+D1013*3%</f>
        <v>476.740294511379</v>
      </c>
      <c r="G1013" s="472" t="n">
        <f aca="false">амортизация!M3073</f>
        <v>14.9176706827309</v>
      </c>
      <c r="H1013" s="473" t="e">
        <f aca="false">C1013+D1013+F1013+G1013</f>
        <v>#NAME?</v>
      </c>
      <c r="I1013" s="462" t="n">
        <f aca="false">I$190</f>
        <v>0.240474587202079</v>
      </c>
      <c r="J1013" s="473" t="n">
        <f aca="false">D1013*I1013</f>
        <v>992.588099785466</v>
      </c>
      <c r="K1013" s="473" t="e">
        <f aca="false">H1013+J1013</f>
        <v>#NAME?</v>
      </c>
      <c r="L1013" s="462" t="n">
        <v>0.2</v>
      </c>
      <c r="M1013" s="473" t="e">
        <f aca="false">K1013*L1013</f>
        <v>#NAME?</v>
      </c>
      <c r="N1013" s="473" t="e">
        <f aca="false">K1013+M1013</f>
        <v>#NAME?</v>
      </c>
      <c r="O1013" s="473" t="e">
        <f aca="false">M1013</f>
        <v>#NAME?</v>
      </c>
    </row>
    <row r="1014" s="461" customFormat="true" ht="30" hidden="false" customHeight="false" outlineLevel="0" collapsed="false">
      <c r="A1014" s="327" t="s">
        <v>1646</v>
      </c>
      <c r="B1014" s="502" t="s">
        <v>3533</v>
      </c>
      <c r="C1014" s="472" t="e">
        <f aca="false">мат.затр!g8546</f>
        <v>#NAME?</v>
      </c>
      <c r="D1014" s="472" t="n">
        <f aca="false">тарифик!J1015</f>
        <v>14267.0682730924</v>
      </c>
      <c r="E1014" s="472"/>
      <c r="F1014" s="473" t="n">
        <f aca="false">D1014*0.9*0.095+D1014*3%</f>
        <v>1647.84638554217</v>
      </c>
      <c r="G1014" s="472" t="n">
        <f aca="false">амортизация!M3074</f>
        <v>3.72941767068273</v>
      </c>
      <c r="H1014" s="473" t="e">
        <f aca="false">C1014+D1014+F1014+G1014</f>
        <v>#NAME?</v>
      </c>
      <c r="I1014" s="462" t="n">
        <f aca="false">I$190</f>
        <v>0.240474587202079</v>
      </c>
      <c r="J1014" s="473" t="n">
        <f aca="false">D1014*I1014</f>
        <v>3430.86735355577</v>
      </c>
      <c r="K1014" s="473" t="e">
        <f aca="false">H1014+J1014</f>
        <v>#NAME?</v>
      </c>
      <c r="L1014" s="462" t="n">
        <v>0.2</v>
      </c>
      <c r="M1014" s="473" t="e">
        <f aca="false">K1014*L1014</f>
        <v>#NAME?</v>
      </c>
      <c r="N1014" s="473" t="e">
        <f aca="false">K1014+M1014</f>
        <v>#NAME?</v>
      </c>
      <c r="O1014" s="473" t="e">
        <f aca="false">M1014</f>
        <v>#NAME?</v>
      </c>
    </row>
    <row r="1015" s="461" customFormat="true" ht="30" hidden="false" customHeight="false" outlineLevel="0" collapsed="false">
      <c r="A1015" s="327" t="s">
        <v>1647</v>
      </c>
      <c r="B1015" s="504" t="s">
        <v>3534</v>
      </c>
      <c r="C1015" s="472" t="e">
        <f aca="false">мат.затр!g8550</f>
        <v>#NAME?</v>
      </c>
      <c r="D1015" s="472" t="n">
        <f aca="false">тарифик!J1016</f>
        <v>9085.00669344043</v>
      </c>
      <c r="E1015" s="472"/>
      <c r="F1015" s="473" t="n">
        <f aca="false">D1015*0.9*0.095+D1015*3%</f>
        <v>1049.31827309237</v>
      </c>
      <c r="G1015" s="472" t="n">
        <f aca="false">амортизация!M3075</f>
        <v>3.72941767068273</v>
      </c>
      <c r="H1015" s="473" t="e">
        <f aca="false">C1015+D1015+F1015+G1015</f>
        <v>#NAME?</v>
      </c>
      <c r="I1015" s="462" t="n">
        <f aca="false">I$190</f>
        <v>0.240474587202079</v>
      </c>
      <c r="J1015" s="473" t="n">
        <f aca="false">D1015*I1015</f>
        <v>2184.71323433321</v>
      </c>
      <c r="K1015" s="473" t="e">
        <f aca="false">H1015+J1015</f>
        <v>#NAME?</v>
      </c>
      <c r="L1015" s="462" t="n">
        <v>0.2</v>
      </c>
      <c r="M1015" s="473" t="e">
        <f aca="false">K1015*L1015</f>
        <v>#NAME?</v>
      </c>
      <c r="N1015" s="473" t="e">
        <f aca="false">K1015+M1015</f>
        <v>#NAME?</v>
      </c>
      <c r="O1015" s="473" t="e">
        <f aca="false">M1015</f>
        <v>#NAME?</v>
      </c>
    </row>
    <row r="1016" s="461" customFormat="true" ht="15" hidden="false" customHeight="false" outlineLevel="0" collapsed="false">
      <c r="A1016" s="327" t="s">
        <v>1648</v>
      </c>
      <c r="B1016" s="504" t="s">
        <v>3565</v>
      </c>
      <c r="C1016" s="472" t="e">
        <f aca="false">мат.затр!g8551</f>
        <v>#NAME?</v>
      </c>
      <c r="D1016" s="472" t="n">
        <f aca="false">тарифик!J1017</f>
        <v>3212.85140562249</v>
      </c>
      <c r="E1016" s="472"/>
      <c r="F1016" s="473" t="n">
        <f aca="false">D1016*0.9*0.095+D1016*3%</f>
        <v>371.084337349398</v>
      </c>
      <c r="G1016" s="472" t="n">
        <f aca="false">амортизация!M3076</f>
        <v>3.72941767068273</v>
      </c>
      <c r="H1016" s="473" t="e">
        <f aca="false">C1016+D1016+F1016+G1016</f>
        <v>#NAME?</v>
      </c>
      <c r="I1016" s="462" t="n">
        <f aca="false">I$190</f>
        <v>0.240474587202079</v>
      </c>
      <c r="J1016" s="473" t="n">
        <f aca="false">D1016*I1016</f>
        <v>772.609115508687</v>
      </c>
      <c r="K1016" s="473" t="e">
        <f aca="false">H1016+J1016</f>
        <v>#NAME?</v>
      </c>
      <c r="L1016" s="462" t="n">
        <v>0.2</v>
      </c>
      <c r="M1016" s="473" t="e">
        <f aca="false">K1016*L1016</f>
        <v>#NAME?</v>
      </c>
      <c r="N1016" s="473" t="e">
        <f aca="false">K1016+M1016</f>
        <v>#NAME?</v>
      </c>
      <c r="O1016" s="473" t="e">
        <f aca="false">M1016</f>
        <v>#NAME?</v>
      </c>
    </row>
    <row r="1017" s="461" customFormat="true" ht="28.5" hidden="false" customHeight="false" outlineLevel="0" collapsed="false">
      <c r="A1017" s="350" t="s">
        <v>1650</v>
      </c>
      <c r="B1017" s="348" t="s">
        <v>3566</v>
      </c>
      <c r="C1017" s="468"/>
      <c r="D1017" s="468"/>
      <c r="E1017" s="472"/>
      <c r="F1017" s="468"/>
      <c r="G1017" s="468"/>
      <c r="H1017" s="474"/>
      <c r="I1017" s="475"/>
      <c r="J1017" s="474"/>
      <c r="K1017" s="474"/>
      <c r="L1017" s="475"/>
      <c r="M1017" s="474"/>
      <c r="N1017" s="474"/>
      <c r="O1017" s="474"/>
    </row>
    <row r="1018" s="461" customFormat="true" ht="15" hidden="false" customHeight="false" outlineLevel="0" collapsed="false">
      <c r="A1018" s="327" t="s">
        <v>1652</v>
      </c>
      <c r="B1018" s="502" t="s">
        <v>3139</v>
      </c>
      <c r="C1018" s="472" t="e">
        <f aca="false">мат.затр!g8553</f>
        <v>#NAME?</v>
      </c>
      <c r="D1018" s="472" t="n">
        <f aca="false">тарифик!J1019</f>
        <v>677.710843373494</v>
      </c>
      <c r="E1018" s="472"/>
      <c r="F1018" s="473" t="n">
        <f aca="false">D1018*0.9*0.095+D1018*3%</f>
        <v>78.2756024096386</v>
      </c>
      <c r="G1018" s="472" t="n">
        <f aca="false">амортизация!M3078</f>
        <v>0</v>
      </c>
      <c r="H1018" s="473" t="e">
        <f aca="false">C1018+D1018+F1018+G1018</f>
        <v>#NAME?</v>
      </c>
      <c r="I1018" s="462" t="n">
        <f aca="false">I$190</f>
        <v>0.240474587202079</v>
      </c>
      <c r="J1018" s="473" t="n">
        <f aca="false">D1018*I1018</f>
        <v>162.972235302614</v>
      </c>
      <c r="K1018" s="473" t="e">
        <f aca="false">H1018+J1018</f>
        <v>#NAME?</v>
      </c>
      <c r="L1018" s="462" t="n">
        <v>0.2</v>
      </c>
      <c r="M1018" s="473" t="e">
        <f aca="false">K1018*L1018</f>
        <v>#NAME?</v>
      </c>
      <c r="N1018" s="473" t="e">
        <f aca="false">K1018+M1018</f>
        <v>#NAME?</v>
      </c>
      <c r="O1018" s="473" t="e">
        <f aca="false">M1018</f>
        <v>#NAME?</v>
      </c>
    </row>
    <row r="1019" s="461" customFormat="true" ht="15" hidden="false" customHeight="false" outlineLevel="0" collapsed="false">
      <c r="A1019" s="327" t="s">
        <v>1653</v>
      </c>
      <c r="B1019" s="502" t="s">
        <v>3567</v>
      </c>
      <c r="C1019" s="472" t="e">
        <f aca="false">мат.затр!g8554</f>
        <v>#NAME?</v>
      </c>
      <c r="D1019" s="472" t="n">
        <f aca="false">тарифик!J1020</f>
        <v>903.614457831325</v>
      </c>
      <c r="E1019" s="472"/>
      <c r="F1019" s="473" t="n">
        <f aca="false">D1019*0.9*0.095+D1019*3%</f>
        <v>104.367469879518</v>
      </c>
      <c r="G1019" s="472" t="n">
        <f aca="false">амортизация!M3079</f>
        <v>0</v>
      </c>
      <c r="H1019" s="473" t="e">
        <f aca="false">C1019+D1019+F1019+G1019</f>
        <v>#NAME?</v>
      </c>
      <c r="I1019" s="462" t="n">
        <f aca="false">I$190</f>
        <v>0.240474587202079</v>
      </c>
      <c r="J1019" s="473" t="n">
        <f aca="false">D1019*I1019</f>
        <v>217.296313736818</v>
      </c>
      <c r="K1019" s="473" t="e">
        <f aca="false">H1019+J1019</f>
        <v>#NAME?</v>
      </c>
      <c r="L1019" s="462" t="n">
        <v>0.2</v>
      </c>
      <c r="M1019" s="473" t="e">
        <f aca="false">K1019*L1019</f>
        <v>#NAME?</v>
      </c>
      <c r="N1019" s="473" t="e">
        <f aca="false">K1019+M1019</f>
        <v>#NAME?</v>
      </c>
      <c r="O1019" s="473" t="e">
        <f aca="false">M1019</f>
        <v>#NAME?</v>
      </c>
    </row>
    <row r="1020" s="461" customFormat="true" ht="15" hidden="false" customHeight="false" outlineLevel="0" collapsed="false">
      <c r="A1020" s="327" t="s">
        <v>1654</v>
      </c>
      <c r="B1020" s="502" t="s">
        <v>3497</v>
      </c>
      <c r="C1020" s="472" t="e">
        <f aca="false">мат.затр!g8558</f>
        <v>#NAME?</v>
      </c>
      <c r="D1020" s="472" t="n">
        <f aca="false">тарифик!J1021</f>
        <v>568.942436412316</v>
      </c>
      <c r="E1020" s="472"/>
      <c r="F1020" s="473" t="n">
        <f aca="false">D1020*0.9*0.095+D1020*3%</f>
        <v>65.7128514056225</v>
      </c>
      <c r="G1020" s="472" t="n">
        <f aca="false">амортизация!M3080</f>
        <v>0</v>
      </c>
      <c r="H1020" s="473" t="e">
        <f aca="false">C1020+D1020+F1020+G1020</f>
        <v>#NAME?</v>
      </c>
      <c r="I1020" s="462" t="n">
        <f aca="false">I$190</f>
        <v>0.240474587202079</v>
      </c>
      <c r="J1020" s="473" t="n">
        <f aca="false">D1020*I1020</f>
        <v>136.816197537997</v>
      </c>
      <c r="K1020" s="473" t="e">
        <f aca="false">H1020+J1020</f>
        <v>#NAME?</v>
      </c>
      <c r="L1020" s="462" t="n">
        <v>0.2</v>
      </c>
      <c r="M1020" s="473" t="e">
        <f aca="false">K1020*L1020</f>
        <v>#NAME?</v>
      </c>
      <c r="N1020" s="473" t="e">
        <f aca="false">K1020+M1020</f>
        <v>#NAME?</v>
      </c>
      <c r="O1020" s="473" t="e">
        <f aca="false">M1020</f>
        <v>#NAME?</v>
      </c>
    </row>
    <row r="1021" s="461" customFormat="true" ht="15" hidden="false" customHeight="false" outlineLevel="0" collapsed="false">
      <c r="A1021" s="327" t="s">
        <v>1655</v>
      </c>
      <c r="B1021" s="502" t="s">
        <v>3568</v>
      </c>
      <c r="C1021" s="472" t="e">
        <f aca="false">мат.затр!g8561</f>
        <v>#NAME?</v>
      </c>
      <c r="D1021" s="472" t="n">
        <f aca="false">тарифик!J1022</f>
        <v>401.606425702811</v>
      </c>
      <c r="E1021" s="472"/>
      <c r="F1021" s="473" t="n">
        <f aca="false">D1021*0.9*0.095+D1021*3%</f>
        <v>46.3855421686747</v>
      </c>
      <c r="G1021" s="472" t="n">
        <f aca="false">амортизация!M3081</f>
        <v>55.7786702365016</v>
      </c>
      <c r="H1021" s="473" t="e">
        <f aca="false">C1021+D1021+F1021+G1021</f>
        <v>#NAME?</v>
      </c>
      <c r="I1021" s="462" t="n">
        <f aca="false">I$190</f>
        <v>0.240474587202079</v>
      </c>
      <c r="J1021" s="473" t="n">
        <f aca="false">D1021*I1021</f>
        <v>96.5761394385859</v>
      </c>
      <c r="K1021" s="473" t="e">
        <f aca="false">H1021+J1021</f>
        <v>#NAME?</v>
      </c>
      <c r="L1021" s="462" t="n">
        <v>0.2</v>
      </c>
      <c r="M1021" s="473" t="e">
        <f aca="false">K1021*L1021</f>
        <v>#NAME?</v>
      </c>
      <c r="N1021" s="473" t="e">
        <f aca="false">K1021+M1021</f>
        <v>#NAME?</v>
      </c>
      <c r="O1021" s="473" t="e">
        <f aca="false">M1021</f>
        <v>#NAME?</v>
      </c>
    </row>
    <row r="1022" s="461" customFormat="true" ht="15" hidden="false" customHeight="false" outlineLevel="0" collapsed="false">
      <c r="A1022" s="327" t="s">
        <v>1656</v>
      </c>
      <c r="B1022" s="502" t="s">
        <v>3463</v>
      </c>
      <c r="C1022" s="472" t="e">
        <f aca="false">мат.затр!g8567</f>
        <v>#NAME?</v>
      </c>
      <c r="D1022" s="472" t="n">
        <f aca="false">тарифик!J1023</f>
        <v>758.589915216421</v>
      </c>
      <c r="E1022" s="472"/>
      <c r="F1022" s="473" t="n">
        <f aca="false">D1022*0.9*0.095+D1022*3%</f>
        <v>87.6171352074966</v>
      </c>
      <c r="G1022" s="472" t="n">
        <f aca="false">амортизация!M3082</f>
        <v>55.7786702365016</v>
      </c>
      <c r="H1022" s="473" t="e">
        <f aca="false">C1022+D1022+F1022+G1022</f>
        <v>#NAME?</v>
      </c>
      <c r="I1022" s="462" t="n">
        <f aca="false">I$190</f>
        <v>0.240474587202079</v>
      </c>
      <c r="J1022" s="473" t="n">
        <f aca="false">D1022*I1022</f>
        <v>182.421596717329</v>
      </c>
      <c r="K1022" s="473" t="e">
        <f aca="false">H1022+J1022</f>
        <v>#NAME?</v>
      </c>
      <c r="L1022" s="462" t="n">
        <v>0.2</v>
      </c>
      <c r="M1022" s="473" t="e">
        <f aca="false">K1022*L1022</f>
        <v>#NAME?</v>
      </c>
      <c r="N1022" s="473" t="e">
        <f aca="false">K1022+M1022</f>
        <v>#NAME?</v>
      </c>
      <c r="O1022" s="473" t="e">
        <f aca="false">M1022</f>
        <v>#NAME?</v>
      </c>
    </row>
    <row r="1023" s="461" customFormat="true" ht="15" hidden="false" customHeight="false" outlineLevel="0" collapsed="false">
      <c r="A1023" s="327" t="s">
        <v>1657</v>
      </c>
      <c r="B1023" s="502" t="s">
        <v>3466</v>
      </c>
      <c r="C1023" s="472" t="e">
        <f aca="false">мат.затр!g8575</f>
        <v>#NAME?</v>
      </c>
      <c r="D1023" s="472" t="n">
        <f aca="false">тарифик!J1024</f>
        <v>758.589915216421</v>
      </c>
      <c r="E1023" s="472"/>
      <c r="F1023" s="473" t="n">
        <f aca="false">D1023*0.9*0.095+D1023*3%</f>
        <v>87.6171352074966</v>
      </c>
      <c r="G1023" s="472" t="n">
        <f aca="false">амортизация!M3083</f>
        <v>156.420124944221</v>
      </c>
      <c r="H1023" s="473" t="e">
        <f aca="false">C1023+D1023+F1023+G1023</f>
        <v>#NAME?</v>
      </c>
      <c r="I1023" s="462" t="n">
        <f aca="false">I$190</f>
        <v>0.240474587202079</v>
      </c>
      <c r="J1023" s="473" t="n">
        <f aca="false">D1023*I1023</f>
        <v>182.421596717329</v>
      </c>
      <c r="K1023" s="473" t="e">
        <f aca="false">H1023+J1023</f>
        <v>#NAME?</v>
      </c>
      <c r="L1023" s="462" t="n">
        <v>0.2</v>
      </c>
      <c r="M1023" s="473" t="e">
        <f aca="false">K1023*L1023</f>
        <v>#NAME?</v>
      </c>
      <c r="N1023" s="473" t="e">
        <f aca="false">K1023+M1023</f>
        <v>#NAME?</v>
      </c>
      <c r="O1023" s="473" t="e">
        <f aca="false">M1023</f>
        <v>#NAME?</v>
      </c>
    </row>
    <row r="1024" s="461" customFormat="true" ht="15" hidden="false" customHeight="false" outlineLevel="0" collapsed="false">
      <c r="A1024" s="327" t="s">
        <v>1658</v>
      </c>
      <c r="B1024" s="503" t="s">
        <v>3486</v>
      </c>
      <c r="C1024" s="472" t="e">
        <f aca="false">мат.затр!g8576</f>
        <v>#NAME?</v>
      </c>
      <c r="D1024" s="472" t="n">
        <f aca="false">тарифик!J1025</f>
        <v>1963.40919232486</v>
      </c>
      <c r="E1024" s="472"/>
      <c r="F1024" s="473" t="n">
        <f aca="false">D1024*0.9*0.095+D1024*3%</f>
        <v>226.773761713521</v>
      </c>
      <c r="G1024" s="472" t="n">
        <f aca="false">амортизация!M3084</f>
        <v>156.420124944221</v>
      </c>
      <c r="H1024" s="473" t="e">
        <f aca="false">C1024+D1024+F1024+G1024</f>
        <v>#NAME?</v>
      </c>
      <c r="I1024" s="462" t="n">
        <f aca="false">I$190</f>
        <v>0.240474587202079</v>
      </c>
      <c r="J1024" s="473" t="n">
        <f aca="false">D1024*I1024</f>
        <v>472.150015033087</v>
      </c>
      <c r="K1024" s="473" t="e">
        <f aca="false">H1024+J1024</f>
        <v>#NAME?</v>
      </c>
      <c r="L1024" s="462" t="n">
        <v>0.2</v>
      </c>
      <c r="M1024" s="473" t="e">
        <f aca="false">K1024*L1024</f>
        <v>#NAME?</v>
      </c>
      <c r="N1024" s="473" t="e">
        <f aca="false">K1024+M1024</f>
        <v>#NAME?</v>
      </c>
      <c r="O1024" s="473" t="e">
        <f aca="false">M1024</f>
        <v>#NAME?</v>
      </c>
    </row>
    <row r="1025" s="461" customFormat="true" ht="15" hidden="false" customHeight="false" outlineLevel="0" collapsed="false">
      <c r="A1025" s="327" t="s">
        <v>1659</v>
      </c>
      <c r="B1025" s="503" t="s">
        <v>3560</v>
      </c>
      <c r="C1025" s="472" t="e">
        <f aca="false">мат.затр!g8577</f>
        <v>#NAME?</v>
      </c>
      <c r="D1025" s="472" t="n">
        <f aca="false">тарифик!J1026</f>
        <v>1740.29451137885</v>
      </c>
      <c r="E1025" s="472"/>
      <c r="F1025" s="473" t="n">
        <f aca="false">D1025*0.9*0.095+D1025*3%</f>
        <v>201.004016064257</v>
      </c>
      <c r="G1025" s="472" t="n">
        <f aca="false">амортизация!M3085</f>
        <v>19.8902275769746</v>
      </c>
      <c r="H1025" s="473" t="e">
        <f aca="false">C1025+D1025+F1025+G1025</f>
        <v>#NAME?</v>
      </c>
      <c r="I1025" s="462" t="n">
        <f aca="false">I$190</f>
        <v>0.240474587202079</v>
      </c>
      <c r="J1025" s="473" t="n">
        <f aca="false">D1025*I1025</f>
        <v>418.496604233872</v>
      </c>
      <c r="K1025" s="473" t="e">
        <f aca="false">H1025+J1025</f>
        <v>#NAME?</v>
      </c>
      <c r="L1025" s="462" t="n">
        <v>0.2</v>
      </c>
      <c r="M1025" s="473" t="e">
        <f aca="false">K1025*L1025</f>
        <v>#NAME?</v>
      </c>
      <c r="N1025" s="473" t="e">
        <f aca="false">K1025+M1025</f>
        <v>#NAME?</v>
      </c>
      <c r="O1025" s="473" t="e">
        <f aca="false">M1025</f>
        <v>#NAME?</v>
      </c>
    </row>
    <row r="1026" s="461" customFormat="true" ht="15" hidden="false" customHeight="false" outlineLevel="0" collapsed="false">
      <c r="A1026" s="327" t="s">
        <v>1660</v>
      </c>
      <c r="B1026" s="502" t="s">
        <v>3569</v>
      </c>
      <c r="C1026" s="472" t="e">
        <f aca="false">мат.затр!g8581</f>
        <v>#NAME?</v>
      </c>
      <c r="D1026" s="472" t="n">
        <f aca="false">тарифик!J1027</f>
        <v>2097.27800089246</v>
      </c>
      <c r="E1026" s="472"/>
      <c r="F1026" s="473" t="n">
        <f aca="false">D1026*0.9*0.095+D1026*3%</f>
        <v>242.235609103079</v>
      </c>
      <c r="G1026" s="472" t="n">
        <f aca="false">амортизация!M3086</f>
        <v>44.2045961624275</v>
      </c>
      <c r="H1026" s="473" t="e">
        <f aca="false">C1026+D1026+F1026+G1026</f>
        <v>#NAME?</v>
      </c>
      <c r="I1026" s="462" t="n">
        <f aca="false">I$190</f>
        <v>0.240474587202079</v>
      </c>
      <c r="J1026" s="473" t="n">
        <f aca="false">D1026*I1026</f>
        <v>504.342061512615</v>
      </c>
      <c r="K1026" s="473" t="e">
        <f aca="false">H1026+J1026</f>
        <v>#NAME?</v>
      </c>
      <c r="L1026" s="462" t="n">
        <v>0.2</v>
      </c>
      <c r="M1026" s="473" t="e">
        <f aca="false">K1026*L1026</f>
        <v>#NAME?</v>
      </c>
      <c r="N1026" s="473" t="e">
        <f aca="false">K1026+M1026</f>
        <v>#NAME?</v>
      </c>
      <c r="O1026" s="473" t="e">
        <f aca="false">M1026</f>
        <v>#NAME?</v>
      </c>
    </row>
    <row r="1027" s="461" customFormat="true" ht="30" hidden="false" customHeight="false" outlineLevel="0" collapsed="false">
      <c r="A1027" s="327" t="s">
        <v>1662</v>
      </c>
      <c r="B1027" s="502" t="s">
        <v>3523</v>
      </c>
      <c r="C1027" s="472" t="e">
        <f aca="false">мат.затр!g8586</f>
        <v>#NAME?</v>
      </c>
      <c r="D1027" s="472" t="n">
        <f aca="false">тарифик!J1028</f>
        <v>3714.859437751</v>
      </c>
      <c r="E1027" s="472"/>
      <c r="F1027" s="473" t="n">
        <f aca="false">D1027*0.9*0.095+D1027*3%</f>
        <v>429.066265060241</v>
      </c>
      <c r="G1027" s="472" t="n">
        <f aca="false">амортизация!M3087</f>
        <v>3.72941767068273</v>
      </c>
      <c r="H1027" s="473" t="e">
        <f aca="false">C1027+D1027+F1027+G1027</f>
        <v>#NAME?</v>
      </c>
      <c r="I1027" s="462" t="n">
        <f aca="false">I$190</f>
        <v>0.240474587202079</v>
      </c>
      <c r="J1027" s="473" t="n">
        <f aca="false">D1027*I1027</f>
        <v>893.32928980692</v>
      </c>
      <c r="K1027" s="473" t="e">
        <f aca="false">H1027+J1027</f>
        <v>#NAME?</v>
      </c>
      <c r="L1027" s="462" t="n">
        <v>0.2</v>
      </c>
      <c r="M1027" s="473" t="e">
        <f aca="false">K1027*L1027</f>
        <v>#NAME?</v>
      </c>
      <c r="N1027" s="473" t="e">
        <f aca="false">K1027+M1027</f>
        <v>#NAME?</v>
      </c>
      <c r="O1027" s="473" t="e">
        <f aca="false">M1027</f>
        <v>#NAME?</v>
      </c>
    </row>
    <row r="1028" s="461" customFormat="true" ht="42.75" hidden="false" customHeight="false" outlineLevel="0" collapsed="false">
      <c r="A1028" s="350" t="s">
        <v>1663</v>
      </c>
      <c r="B1028" s="348" t="s">
        <v>3570</v>
      </c>
      <c r="C1028" s="468"/>
      <c r="D1028" s="468"/>
      <c r="E1028" s="472"/>
      <c r="F1028" s="468"/>
      <c r="G1028" s="468"/>
      <c r="H1028" s="474"/>
      <c r="I1028" s="475"/>
      <c r="J1028" s="474"/>
      <c r="K1028" s="474"/>
      <c r="L1028" s="475"/>
      <c r="M1028" s="474"/>
      <c r="N1028" s="474"/>
      <c r="O1028" s="474"/>
    </row>
    <row r="1029" s="461" customFormat="true" ht="15" hidden="false" customHeight="false" outlineLevel="0" collapsed="false">
      <c r="A1029" s="327" t="s">
        <v>1665</v>
      </c>
      <c r="B1029" s="502" t="s">
        <v>3571</v>
      </c>
      <c r="C1029" s="472" t="e">
        <f aca="false">мат.затр!g8592</f>
        <v>#NAME?</v>
      </c>
      <c r="D1029" s="472" t="n">
        <f aca="false">тарифик!J1030</f>
        <v>6219.54484605087</v>
      </c>
      <c r="E1029" s="472"/>
      <c r="F1029" s="473" t="n">
        <f aca="false">D1029*0.9*0.095+D1029*3%</f>
        <v>718.357429718876</v>
      </c>
      <c r="G1029" s="472" t="n">
        <f aca="false">амортизация!M3089</f>
        <v>3.8647646140116</v>
      </c>
      <c r="H1029" s="473" t="e">
        <f aca="false">C1029+D1029+F1029+G1029</f>
        <v>#NAME?</v>
      </c>
      <c r="I1029" s="462" t="n">
        <f aca="false">I$190</f>
        <v>0.240474587202079</v>
      </c>
      <c r="J1029" s="473" t="n">
        <f aca="false">D1029*I1029</f>
        <v>1495.6424794389</v>
      </c>
      <c r="K1029" s="473" t="e">
        <f aca="false">H1029+J1029</f>
        <v>#NAME?</v>
      </c>
      <c r="L1029" s="462" t="n">
        <v>0.2</v>
      </c>
      <c r="M1029" s="473" t="e">
        <f aca="false">K1029*L1029</f>
        <v>#NAME?</v>
      </c>
      <c r="N1029" s="473" t="e">
        <f aca="false">K1029+M1029</f>
        <v>#NAME?</v>
      </c>
      <c r="O1029" s="473" t="e">
        <f aca="false">M1029</f>
        <v>#NAME?</v>
      </c>
    </row>
    <row r="1030" s="461" customFormat="true" ht="30" hidden="false" customHeight="false" outlineLevel="0" collapsed="false">
      <c r="A1030" s="327" t="s">
        <v>1666</v>
      </c>
      <c r="B1030" s="502" t="s">
        <v>3572</v>
      </c>
      <c r="C1030" s="472" t="e">
        <f aca="false">мат.затр!g8597</f>
        <v>#NAME?</v>
      </c>
      <c r="D1030" s="472" t="n">
        <f aca="false">тарифик!J1031</f>
        <v>1651.04863900045</v>
      </c>
      <c r="E1030" s="472"/>
      <c r="F1030" s="473" t="n">
        <f aca="false">D1030*0.9*0.095+D1030*3%</f>
        <v>190.696117804552</v>
      </c>
      <c r="G1030" s="472" t="n">
        <f aca="false">амортизация!M3090</f>
        <v>3.8647646140116</v>
      </c>
      <c r="H1030" s="473" t="e">
        <f aca="false">C1030+D1030+F1030+G1030</f>
        <v>#NAME?</v>
      </c>
      <c r="I1030" s="462" t="n">
        <f aca="false">I$190</f>
        <v>0.240474587202079</v>
      </c>
      <c r="J1030" s="473" t="n">
        <f aca="false">D1030*I1030</f>
        <v>397.035239914187</v>
      </c>
      <c r="K1030" s="473" t="e">
        <f aca="false">H1030+J1030</f>
        <v>#NAME?</v>
      </c>
      <c r="L1030" s="462" t="n">
        <v>0.2</v>
      </c>
      <c r="M1030" s="473" t="e">
        <f aca="false">K1030*L1030</f>
        <v>#NAME?</v>
      </c>
      <c r="N1030" s="473" t="e">
        <f aca="false">K1030+M1030</f>
        <v>#NAME?</v>
      </c>
      <c r="O1030" s="473" t="e">
        <f aca="false">M1030</f>
        <v>#NAME?</v>
      </c>
    </row>
    <row r="1031" s="461" customFormat="true" ht="30" hidden="false" customHeight="false" outlineLevel="0" collapsed="false">
      <c r="A1031" s="327" t="s">
        <v>1667</v>
      </c>
      <c r="B1031" s="502" t="s">
        <v>3573</v>
      </c>
      <c r="C1031" s="472" t="e">
        <f aca="false">мат.затр!g8602</f>
        <v>#NAME?</v>
      </c>
      <c r="D1031" s="472" t="n">
        <f aca="false">тарифик!J1032</f>
        <v>3357.87594823739</v>
      </c>
      <c r="E1031" s="472"/>
      <c r="F1031" s="473" t="n">
        <f aca="false">D1031*0.9*0.095+D1031*3%</f>
        <v>387.834672021419</v>
      </c>
      <c r="G1031" s="472" t="n">
        <f aca="false">амортизация!M3091</f>
        <v>3.8647646140116</v>
      </c>
      <c r="H1031" s="473" t="e">
        <f aca="false">C1031+D1031+F1031+G1031</f>
        <v>#NAME?</v>
      </c>
      <c r="I1031" s="462" t="n">
        <f aca="false">I$190</f>
        <v>0.240474587202079</v>
      </c>
      <c r="J1031" s="473" t="n">
        <f aca="false">D1031*I1031</f>
        <v>807.483832528177</v>
      </c>
      <c r="K1031" s="473" t="e">
        <f aca="false">H1031+J1031</f>
        <v>#NAME?</v>
      </c>
      <c r="L1031" s="462" t="n">
        <v>0.2</v>
      </c>
      <c r="M1031" s="473" t="e">
        <f aca="false">K1031*L1031</f>
        <v>#NAME?</v>
      </c>
      <c r="N1031" s="473" t="e">
        <f aca="false">K1031+M1031</f>
        <v>#NAME?</v>
      </c>
      <c r="O1031" s="473" t="e">
        <f aca="false">M1031</f>
        <v>#NAME?</v>
      </c>
    </row>
    <row r="1032" s="461" customFormat="true" ht="30" hidden="false" customHeight="false" outlineLevel="0" collapsed="false">
      <c r="A1032" s="327" t="s">
        <v>1669</v>
      </c>
      <c r="B1032" s="502" t="s">
        <v>3574</v>
      </c>
      <c r="C1032" s="472" t="e">
        <f aca="false">мат.затр!g8606</f>
        <v>#NAME?</v>
      </c>
      <c r="D1032" s="472" t="n">
        <f aca="false">тарифик!J1033</f>
        <v>2717.62605979473</v>
      </c>
      <c r="E1032" s="472"/>
      <c r="F1032" s="473" t="n">
        <f aca="false">D1032*0.9*0.095+D1032*3%</f>
        <v>313.885809906292</v>
      </c>
      <c r="G1032" s="472" t="n">
        <f aca="false">амортизация!M3092</f>
        <v>3.8647646140116</v>
      </c>
      <c r="H1032" s="473" t="e">
        <f aca="false">C1032+D1032+F1032+G1032</f>
        <v>#NAME?</v>
      </c>
      <c r="I1032" s="462" t="n">
        <f aca="false">I$190</f>
        <v>0.240474587202079</v>
      </c>
      <c r="J1032" s="473" t="n">
        <f aca="false">D1032*I1032</f>
        <v>653.520004898751</v>
      </c>
      <c r="K1032" s="473" t="e">
        <f aca="false">H1032+J1032</f>
        <v>#NAME?</v>
      </c>
      <c r="L1032" s="462" t="n">
        <v>0.2</v>
      </c>
      <c r="M1032" s="473" t="e">
        <f aca="false">K1032*L1032</f>
        <v>#NAME?</v>
      </c>
      <c r="N1032" s="473" t="e">
        <f aca="false">K1032+M1032</f>
        <v>#NAME?</v>
      </c>
      <c r="O1032" s="473" t="e">
        <f aca="false">M1032</f>
        <v>#NAME?</v>
      </c>
    </row>
    <row r="1033" s="461" customFormat="true" ht="30" hidden="false" customHeight="false" outlineLevel="0" collapsed="false">
      <c r="A1033" s="327" t="s">
        <v>1671</v>
      </c>
      <c r="B1033" s="502" t="s">
        <v>3575</v>
      </c>
      <c r="C1033" s="472" t="e">
        <f aca="false">мат.затр!g8610</f>
        <v>#NAME?</v>
      </c>
      <c r="D1033" s="472" t="n">
        <f aca="false">тарифик!J1034</f>
        <v>6337.15138331102</v>
      </c>
      <c r="E1033" s="472"/>
      <c r="F1033" s="473" t="n">
        <f aca="false">D1033*0.9*0.095+D1033*3%</f>
        <v>731.940984772423</v>
      </c>
      <c r="G1033" s="472" t="n">
        <f aca="false">амортизация!M3093</f>
        <v>3.8647646140116</v>
      </c>
      <c r="H1033" s="473" t="e">
        <f aca="false">C1033+D1033+F1033+G1033</f>
        <v>#NAME?</v>
      </c>
      <c r="I1033" s="462" t="n">
        <f aca="false">I$190</f>
        <v>0.240474587202079</v>
      </c>
      <c r="J1033" s="473" t="n">
        <f aca="false">D1033*I1033</f>
        <v>1523.9238629388</v>
      </c>
      <c r="K1033" s="473" t="e">
        <f aca="false">H1033+J1033</f>
        <v>#NAME?</v>
      </c>
      <c r="L1033" s="462" t="n">
        <v>0.2</v>
      </c>
      <c r="M1033" s="473" t="e">
        <f aca="false">K1033*L1033</f>
        <v>#NAME?</v>
      </c>
      <c r="N1033" s="473" t="e">
        <f aca="false">K1033+M1033</f>
        <v>#NAME?</v>
      </c>
      <c r="O1033" s="473" t="e">
        <f aca="false">M1033</f>
        <v>#NAME?</v>
      </c>
    </row>
    <row r="1034" s="461" customFormat="true" ht="30" hidden="false" customHeight="false" outlineLevel="0" collapsed="false">
      <c r="A1034" s="327" t="s">
        <v>1673</v>
      </c>
      <c r="B1034" s="502" t="s">
        <v>3576</v>
      </c>
      <c r="C1034" s="472" t="e">
        <f aca="false">мат.затр!g8615</f>
        <v>#NAME?</v>
      </c>
      <c r="D1034" s="472" t="n">
        <f aca="false">тарифик!J1035</f>
        <v>4746.76483712628</v>
      </c>
      <c r="E1034" s="472"/>
      <c r="F1034" s="473" t="n">
        <f aca="false">D1034*0.9*0.095+D1034*3%</f>
        <v>548.251338688086</v>
      </c>
      <c r="G1034" s="472" t="n">
        <f aca="false">амортизация!M3094</f>
        <v>15.4590584560464</v>
      </c>
      <c r="H1034" s="473" t="e">
        <f aca="false">C1034+D1034+F1034+G1034</f>
        <v>#NAME?</v>
      </c>
      <c r="I1034" s="462" t="n">
        <f aca="false">I$190</f>
        <v>0.240474587202079</v>
      </c>
      <c r="J1034" s="473" t="n">
        <f aca="false">D1034*I1034</f>
        <v>1141.47631475329</v>
      </c>
      <c r="K1034" s="473" t="e">
        <f aca="false">H1034+J1034</f>
        <v>#NAME?</v>
      </c>
      <c r="L1034" s="462" t="n">
        <v>0.2</v>
      </c>
      <c r="M1034" s="473" t="e">
        <f aca="false">K1034*L1034</f>
        <v>#NAME?</v>
      </c>
      <c r="N1034" s="473" t="e">
        <f aca="false">K1034+M1034</f>
        <v>#NAME?</v>
      </c>
      <c r="O1034" s="473" t="e">
        <f aca="false">M1034</f>
        <v>#NAME?</v>
      </c>
    </row>
    <row r="1035" s="461" customFormat="true" ht="30" hidden="false" customHeight="false" outlineLevel="0" collapsed="false">
      <c r="A1035" s="327" t="s">
        <v>1675</v>
      </c>
      <c r="B1035" s="502" t="s">
        <v>3577</v>
      </c>
      <c r="C1035" s="472" t="e">
        <f aca="false">мат.затр!g8620</f>
        <v>#NAME?</v>
      </c>
      <c r="D1035" s="472" t="n">
        <f aca="false">тарифик!J1036</f>
        <v>6559.57161981258</v>
      </c>
      <c r="E1035" s="472"/>
      <c r="F1035" s="473" t="n">
        <f aca="false">D1035*0.9*0.095+D1035*3%</f>
        <v>757.630522088354</v>
      </c>
      <c r="G1035" s="472" t="n">
        <f aca="false">амортизация!M3095</f>
        <v>15.4590584560464</v>
      </c>
      <c r="H1035" s="473" t="e">
        <f aca="false">C1035+D1035+F1035+G1035</f>
        <v>#NAME?</v>
      </c>
      <c r="I1035" s="462" t="n">
        <f aca="false">I$190</f>
        <v>0.240474587202079</v>
      </c>
      <c r="J1035" s="473" t="n">
        <f aca="false">D1035*I1035</f>
        <v>1577.4102774969</v>
      </c>
      <c r="K1035" s="473" t="e">
        <f aca="false">H1035+J1035</f>
        <v>#NAME?</v>
      </c>
      <c r="L1035" s="462" t="n">
        <v>0.2</v>
      </c>
      <c r="M1035" s="473" t="e">
        <f aca="false">K1035*L1035</f>
        <v>#NAME?</v>
      </c>
      <c r="N1035" s="473" t="e">
        <f aca="false">K1035+M1035</f>
        <v>#NAME?</v>
      </c>
      <c r="O1035" s="473" t="e">
        <f aca="false">M1035</f>
        <v>#NAME?</v>
      </c>
    </row>
    <row r="1036" s="461" customFormat="true" ht="30" hidden="false" customHeight="false" outlineLevel="0" collapsed="false">
      <c r="A1036" s="327" t="s">
        <v>1677</v>
      </c>
      <c r="B1036" s="502" t="s">
        <v>3578</v>
      </c>
      <c r="C1036" s="472" t="e">
        <f aca="false">мат.затр!g8624</f>
        <v>#NAME?</v>
      </c>
      <c r="D1036" s="472" t="n">
        <f aca="false">тарифик!J1037</f>
        <v>10449.5760821062</v>
      </c>
      <c r="E1036" s="472"/>
      <c r="F1036" s="473" t="n">
        <f aca="false">D1036*0.9*0.095+D1036*3%</f>
        <v>1206.92603748327</v>
      </c>
      <c r="G1036" s="472" t="n">
        <f aca="false">амортизация!M3096</f>
        <v>3.8647646140116</v>
      </c>
      <c r="H1036" s="473" t="e">
        <f aca="false">C1036+D1036+F1036+G1036</f>
        <v>#NAME?</v>
      </c>
      <c r="I1036" s="462" t="n">
        <f aca="false">I$190</f>
        <v>0.240474587202079</v>
      </c>
      <c r="J1036" s="473" t="n">
        <f aca="false">D1036*I1036</f>
        <v>2512.85749478121</v>
      </c>
      <c r="K1036" s="473" t="e">
        <f aca="false">H1036+J1036</f>
        <v>#NAME?</v>
      </c>
      <c r="L1036" s="462" t="n">
        <v>0.2</v>
      </c>
      <c r="M1036" s="473" t="e">
        <f aca="false">K1036*L1036</f>
        <v>#NAME?</v>
      </c>
      <c r="N1036" s="473" t="e">
        <f aca="false">K1036+M1036</f>
        <v>#NAME?</v>
      </c>
      <c r="O1036" s="473" t="e">
        <f aca="false">M1036</f>
        <v>#NAME?</v>
      </c>
    </row>
    <row r="1037" s="461" customFormat="true" ht="30" hidden="false" customHeight="false" outlineLevel="0" collapsed="false">
      <c r="A1037" s="327" t="s">
        <v>1678</v>
      </c>
      <c r="B1037" s="502" t="s">
        <v>3533</v>
      </c>
      <c r="C1037" s="472" t="e">
        <f aca="false">мат.затр!g8627</f>
        <v>#NAME?</v>
      </c>
      <c r="D1037" s="472" t="n">
        <f aca="false">тарифик!J1038</f>
        <v>14931.2248995984</v>
      </c>
      <c r="E1037" s="472"/>
      <c r="F1037" s="473" t="n">
        <f aca="false">D1037*0.9*0.095+D1037*3%</f>
        <v>1724.55647590361</v>
      </c>
      <c r="G1037" s="472" t="n">
        <f aca="false">амортизация!M3097</f>
        <v>3.8647646140116</v>
      </c>
      <c r="H1037" s="473" t="e">
        <f aca="false">C1037+D1037+F1037+G1037</f>
        <v>#NAME?</v>
      </c>
      <c r="I1037" s="462" t="n">
        <f aca="false">I$190</f>
        <v>0.240474587202079</v>
      </c>
      <c r="J1037" s="473" t="n">
        <f aca="false">D1037*I1037</f>
        <v>3590.58014415233</v>
      </c>
      <c r="K1037" s="473" t="e">
        <f aca="false">H1037+J1037</f>
        <v>#NAME?</v>
      </c>
      <c r="L1037" s="462" t="n">
        <v>0.2</v>
      </c>
      <c r="M1037" s="473" t="e">
        <f aca="false">K1037*L1037</f>
        <v>#NAME?</v>
      </c>
      <c r="N1037" s="473" t="e">
        <f aca="false">K1037+M1037</f>
        <v>#NAME?</v>
      </c>
      <c r="O1037" s="473" t="e">
        <f aca="false">M1037</f>
        <v>#NAME?</v>
      </c>
    </row>
    <row r="1038" s="461" customFormat="true" ht="30" hidden="false" customHeight="false" outlineLevel="0" collapsed="false">
      <c r="A1038" s="327" t="s">
        <v>1679</v>
      </c>
      <c r="B1038" s="502" t="s">
        <v>3579</v>
      </c>
      <c r="C1038" s="472" t="e">
        <f aca="false">мат.затр!g8631</f>
        <v>#NAME?</v>
      </c>
      <c r="D1038" s="472" t="n">
        <f aca="false">тарифик!J1039</f>
        <v>8713.10240963856</v>
      </c>
      <c r="E1038" s="472"/>
      <c r="F1038" s="473" t="n">
        <f aca="false">D1038*0.9*0.095+D1038*3%</f>
        <v>1006.36332831325</v>
      </c>
      <c r="G1038" s="472" t="n">
        <f aca="false">амортизация!M3098</f>
        <v>3.8647646140116</v>
      </c>
      <c r="H1038" s="473" t="e">
        <f aca="false">C1038+D1038+F1038+G1038</f>
        <v>#NAME?</v>
      </c>
      <c r="I1038" s="462" t="n">
        <f aca="false">I$190</f>
        <v>0.240474587202079</v>
      </c>
      <c r="J1038" s="473" t="n">
        <f aca="false">D1038*I1038</f>
        <v>2095.27970520727</v>
      </c>
      <c r="K1038" s="473" t="e">
        <f aca="false">H1038+J1038</f>
        <v>#NAME?</v>
      </c>
      <c r="L1038" s="462" t="n">
        <v>0.2</v>
      </c>
      <c r="M1038" s="473" t="e">
        <f aca="false">K1038*L1038</f>
        <v>#NAME?</v>
      </c>
      <c r="N1038" s="473" t="e">
        <f aca="false">K1038+M1038</f>
        <v>#NAME?</v>
      </c>
      <c r="O1038" s="473" t="e">
        <f aca="false">M1038</f>
        <v>#NAME?</v>
      </c>
    </row>
    <row r="1039" s="461" customFormat="true" ht="15" hidden="false" customHeight="false" outlineLevel="0" collapsed="false">
      <c r="A1039" s="327" t="s">
        <v>1681</v>
      </c>
      <c r="B1039" s="503" t="s">
        <v>3488</v>
      </c>
      <c r="C1039" s="472" t="e">
        <f aca="false">мат.затр!g8636</f>
        <v>#NAME?</v>
      </c>
      <c r="D1039" s="472" t="n">
        <f aca="false">тарифик!J1040</f>
        <v>200.803212851406</v>
      </c>
      <c r="E1039" s="472"/>
      <c r="F1039" s="473" t="n">
        <f aca="false">D1039*0.9*0.095+D1039*3%</f>
        <v>23.1927710843374</v>
      </c>
      <c r="G1039" s="472" t="n">
        <f aca="false">амортизация!M3099</f>
        <v>22.3765060240964</v>
      </c>
      <c r="H1039" s="473" t="e">
        <f aca="false">C1039+D1039+F1039+G1039</f>
        <v>#NAME?</v>
      </c>
      <c r="I1039" s="462" t="n">
        <f aca="false">I$190</f>
        <v>0.240474587202079</v>
      </c>
      <c r="J1039" s="473" t="n">
        <f aca="false">D1039*I1039</f>
        <v>48.288069719293</v>
      </c>
      <c r="K1039" s="473" t="e">
        <f aca="false">H1039+J1039</f>
        <v>#NAME?</v>
      </c>
      <c r="L1039" s="462" t="n">
        <v>0.2</v>
      </c>
      <c r="M1039" s="473" t="e">
        <f aca="false">K1039*L1039</f>
        <v>#NAME?</v>
      </c>
      <c r="N1039" s="473" t="e">
        <f aca="false">K1039+M1039</f>
        <v>#NAME?</v>
      </c>
      <c r="O1039" s="473" t="e">
        <f aca="false">M1039</f>
        <v>#NAME?</v>
      </c>
    </row>
    <row r="1040" s="461" customFormat="true" ht="15" hidden="false" customHeight="false" outlineLevel="0" collapsed="false">
      <c r="A1040" s="350" t="s">
        <v>1682</v>
      </c>
      <c r="B1040" s="505" t="s">
        <v>3580</v>
      </c>
      <c r="C1040" s="468"/>
      <c r="D1040" s="468"/>
      <c r="E1040" s="472"/>
      <c r="F1040" s="468"/>
      <c r="G1040" s="468"/>
      <c r="H1040" s="474"/>
      <c r="I1040" s="475"/>
      <c r="J1040" s="474"/>
      <c r="K1040" s="474"/>
      <c r="L1040" s="475"/>
      <c r="M1040" s="474"/>
      <c r="N1040" s="474"/>
      <c r="O1040" s="474"/>
    </row>
    <row r="1041" s="461" customFormat="true" ht="30" hidden="false" customHeight="false" outlineLevel="0" collapsed="false">
      <c r="A1041" s="327" t="s">
        <v>1684</v>
      </c>
      <c r="B1041" s="502" t="s">
        <v>3581</v>
      </c>
      <c r="C1041" s="472" t="e">
        <f aca="false">мат.затр!g8642</f>
        <v>#NAME?</v>
      </c>
      <c r="D1041" s="472" t="n">
        <f aca="false">тарифик!J1042</f>
        <v>1757.0281124498</v>
      </c>
      <c r="E1041" s="472"/>
      <c r="F1041" s="472" t="n">
        <f aca="false">D1041*0.9*0.095+D1041*3%</f>
        <v>202.936746987952</v>
      </c>
      <c r="G1041" s="472" t="n">
        <f aca="false">амортизация!M3101</f>
        <v>68.9170571173583</v>
      </c>
      <c r="H1041" s="473" t="e">
        <f aca="false">C1041+D1041+F1041+G1041</f>
        <v>#NAME?</v>
      </c>
      <c r="I1041" s="462" t="n">
        <f aca="false">I$190</f>
        <v>0.240474587202079</v>
      </c>
      <c r="J1041" s="473" t="n">
        <f aca="false">D1041*I1041</f>
        <v>422.520610043813</v>
      </c>
      <c r="K1041" s="473" t="e">
        <f aca="false">H1041+J1041</f>
        <v>#NAME?</v>
      </c>
      <c r="L1041" s="462" t="n">
        <v>0.2</v>
      </c>
      <c r="M1041" s="473" t="e">
        <f aca="false">K1041*L1041</f>
        <v>#NAME?</v>
      </c>
      <c r="N1041" s="473" t="e">
        <f aca="false">K1041+M1041</f>
        <v>#NAME?</v>
      </c>
      <c r="O1041" s="473" t="e">
        <f aca="false">M1041</f>
        <v>#NAME?</v>
      </c>
    </row>
    <row r="1042" s="461" customFormat="true" ht="30" hidden="false" customHeight="false" outlineLevel="0" collapsed="false">
      <c r="A1042" s="327" t="s">
        <v>1686</v>
      </c>
      <c r="B1042" s="502" t="s">
        <v>3582</v>
      </c>
      <c r="C1042" s="472" t="e">
        <f aca="false">мат.затр!g8646</f>
        <v>#NAME?</v>
      </c>
      <c r="D1042" s="472" t="n">
        <f aca="false">тарифик!J1043</f>
        <v>3012.04819277108</v>
      </c>
      <c r="E1042" s="472"/>
      <c r="F1042" s="472" t="n">
        <f aca="false">D1042*0.9*0.095+D1042*3%</f>
        <v>347.89156626506</v>
      </c>
      <c r="G1042" s="472" t="n">
        <f aca="false">амортизация!M3102</f>
        <v>0</v>
      </c>
      <c r="H1042" s="473" t="e">
        <f aca="false">C1042+D1042+F1042+G1042</f>
        <v>#NAME?</v>
      </c>
      <c r="I1042" s="462" t="n">
        <f aca="false">I$190</f>
        <v>0.240474587202079</v>
      </c>
      <c r="J1042" s="473" t="n">
        <f aca="false">D1042*I1042</f>
        <v>724.321045789395</v>
      </c>
      <c r="K1042" s="473" t="e">
        <f aca="false">H1042+J1042</f>
        <v>#NAME?</v>
      </c>
      <c r="L1042" s="462" t="n">
        <v>0.2</v>
      </c>
      <c r="M1042" s="473" t="e">
        <f aca="false">K1042*L1042</f>
        <v>#NAME?</v>
      </c>
      <c r="N1042" s="473" t="e">
        <f aca="false">K1042+M1042</f>
        <v>#NAME?</v>
      </c>
      <c r="O1042" s="473" t="e">
        <f aca="false">M1042</f>
        <v>#NAME?</v>
      </c>
    </row>
    <row r="1043" s="461" customFormat="true" ht="33" hidden="false" customHeight="true" outlineLevel="0" collapsed="false">
      <c r="A1043" s="343" t="s">
        <v>1688</v>
      </c>
      <c r="B1043" s="318" t="s">
        <v>3583</v>
      </c>
      <c r="C1043" s="464"/>
      <c r="D1043" s="464"/>
      <c r="E1043" s="464"/>
      <c r="F1043" s="464"/>
      <c r="G1043" s="464"/>
      <c r="H1043" s="464"/>
      <c r="I1043" s="465"/>
      <c r="J1043" s="466"/>
      <c r="K1043" s="466"/>
      <c r="L1043" s="465"/>
      <c r="M1043" s="464"/>
      <c r="N1043" s="464"/>
      <c r="O1043" s="464"/>
    </row>
    <row r="1044" s="461" customFormat="true" ht="28.5" hidden="false" customHeight="false" outlineLevel="0" collapsed="false">
      <c r="A1044" s="350" t="s">
        <v>1690</v>
      </c>
      <c r="B1044" s="346" t="s">
        <v>3584</v>
      </c>
      <c r="C1044" s="468"/>
      <c r="D1044" s="468"/>
      <c r="E1044" s="468"/>
      <c r="F1044" s="468"/>
      <c r="G1044" s="468"/>
      <c r="H1044" s="468"/>
      <c r="I1044" s="469"/>
      <c r="J1044" s="470"/>
      <c r="K1044" s="470"/>
      <c r="L1044" s="469"/>
      <c r="M1044" s="468"/>
      <c r="N1044" s="468"/>
      <c r="O1044" s="468"/>
    </row>
    <row r="1045" s="461" customFormat="true" ht="15" hidden="false" customHeight="false" outlineLevel="0" collapsed="false">
      <c r="A1045" s="327" t="s">
        <v>1692</v>
      </c>
      <c r="B1045" s="433" t="s">
        <v>3585</v>
      </c>
      <c r="C1045" s="508" t="e">
        <f aca="false">мат.затр!g8650</f>
        <v>#NAME?</v>
      </c>
      <c r="D1045" s="508" t="n">
        <f aca="false">тарифик!J1046</f>
        <v>109.772423025435</v>
      </c>
      <c r="E1045" s="508"/>
      <c r="F1045" s="508" t="n">
        <f aca="false">D1045*0.9*0.095+D1045*3%</f>
        <v>12.6787148594378</v>
      </c>
      <c r="G1045" s="508" t="n">
        <f aca="false">амортизация!M3105</f>
        <v>1.45732559869106</v>
      </c>
      <c r="H1045" s="473" t="e">
        <f aca="false">C1045+D1045+F1045+G1045</f>
        <v>#NAME?</v>
      </c>
      <c r="I1045" s="462" t="n">
        <f aca="false">I$190</f>
        <v>0.240474587202079</v>
      </c>
      <c r="J1045" s="473" t="n">
        <f aca="false">D1045*I1045</f>
        <v>26.3974781132135</v>
      </c>
      <c r="K1045" s="473" t="e">
        <f aca="false">H1045+J1045</f>
        <v>#NAME?</v>
      </c>
      <c r="L1045" s="462" t="n">
        <v>0.2</v>
      </c>
      <c r="M1045" s="473" t="e">
        <f aca="false">K1045*L1045</f>
        <v>#NAME?</v>
      </c>
      <c r="N1045" s="473" t="e">
        <f aca="false">K1045+M1045</f>
        <v>#NAME?</v>
      </c>
      <c r="O1045" s="473" t="e">
        <f aca="false">M1045</f>
        <v>#NAME?</v>
      </c>
    </row>
    <row r="1046" s="461" customFormat="true" ht="15" hidden="false" customHeight="false" outlineLevel="0" collapsed="false">
      <c r="A1046" s="327" t="s">
        <v>1694</v>
      </c>
      <c r="B1046" s="433" t="s">
        <v>3586</v>
      </c>
      <c r="C1046" s="508" t="e">
        <f aca="false">мат.затр!g8656</f>
        <v>#NAME?</v>
      </c>
      <c r="D1046" s="508" t="n">
        <f aca="false">тарифик!J1047</f>
        <v>170.682730923695</v>
      </c>
      <c r="E1046" s="508"/>
      <c r="F1046" s="508" t="n">
        <f aca="false">D1046*0.9*0.095+D1046*3%</f>
        <v>19.7138554216867</v>
      </c>
      <c r="G1046" s="508" t="n">
        <f aca="false">амортизация!M3106</f>
        <v>128.968094600625</v>
      </c>
      <c r="H1046" s="473" t="e">
        <f aca="false">C1046+D1046+F1046+G1046</f>
        <v>#NAME?</v>
      </c>
      <c r="I1046" s="462" t="n">
        <f aca="false">I$190</f>
        <v>0.240474587202079</v>
      </c>
      <c r="J1046" s="473" t="n">
        <f aca="false">D1046*I1046</f>
        <v>41.044859261399</v>
      </c>
      <c r="K1046" s="473" t="e">
        <f aca="false">H1046+J1046</f>
        <v>#NAME?</v>
      </c>
      <c r="L1046" s="462" t="n">
        <v>0.2</v>
      </c>
      <c r="M1046" s="473" t="e">
        <f aca="false">K1046*L1046</f>
        <v>#NAME?</v>
      </c>
      <c r="N1046" s="473" t="e">
        <f aca="false">K1046+M1046</f>
        <v>#NAME?</v>
      </c>
      <c r="O1046" s="473" t="e">
        <f aca="false">M1046</f>
        <v>#NAME?</v>
      </c>
    </row>
    <row r="1047" s="461" customFormat="true" ht="42.75" hidden="false" customHeight="false" outlineLevel="0" collapsed="false">
      <c r="A1047" s="350" t="s">
        <v>1696</v>
      </c>
      <c r="B1047" s="509" t="s">
        <v>3587</v>
      </c>
      <c r="C1047" s="490"/>
      <c r="D1047" s="490"/>
      <c r="E1047" s="490"/>
      <c r="F1047" s="490"/>
      <c r="G1047" s="490"/>
      <c r="H1047" s="490"/>
      <c r="I1047" s="468"/>
      <c r="J1047" s="490"/>
      <c r="K1047" s="490"/>
      <c r="L1047" s="468"/>
      <c r="M1047" s="490"/>
      <c r="N1047" s="490"/>
      <c r="O1047" s="490"/>
    </row>
    <row r="1048" s="461" customFormat="true" ht="30" hidden="false" customHeight="false" outlineLevel="0" collapsed="false">
      <c r="A1048" s="327" t="s">
        <v>1698</v>
      </c>
      <c r="B1048" s="433" t="s">
        <v>3588</v>
      </c>
      <c r="C1048" s="508" t="e">
        <f aca="false">мат.затр!g8662</f>
        <v>#NAME?</v>
      </c>
      <c r="D1048" s="508" t="n">
        <f aca="false">тарифик!J1049</f>
        <v>312.918340026774</v>
      </c>
      <c r="E1048" s="508"/>
      <c r="F1048" s="508" t="n">
        <f aca="false">D1048*0.9*0.095+D1048*3%</f>
        <v>36.1420682730924</v>
      </c>
      <c r="G1048" s="508" t="n">
        <f aca="false">амортизация!M3108</f>
        <v>36.4331399672765</v>
      </c>
      <c r="H1048" s="473" t="e">
        <f aca="false">C1048+D1048+F1048+G1048</f>
        <v>#NAME?</v>
      </c>
      <c r="I1048" s="462" t="n">
        <f aca="false">I$190</f>
        <v>0.240474587202079</v>
      </c>
      <c r="J1048" s="473" t="n">
        <f aca="false">D1048*I1048</f>
        <v>75.2489086458982</v>
      </c>
      <c r="K1048" s="473" t="e">
        <f aca="false">H1048+J1048</f>
        <v>#NAME?</v>
      </c>
      <c r="L1048" s="462" t="n">
        <v>0.2</v>
      </c>
      <c r="M1048" s="473" t="e">
        <f aca="false">K1048*L1048</f>
        <v>#NAME?</v>
      </c>
      <c r="N1048" s="473" t="e">
        <f aca="false">K1048+M1048</f>
        <v>#NAME?</v>
      </c>
      <c r="O1048" s="473" t="e">
        <f aca="false">M1048</f>
        <v>#NAME?</v>
      </c>
    </row>
    <row r="1049" s="461" customFormat="true" ht="45" hidden="false" customHeight="false" outlineLevel="0" collapsed="false">
      <c r="A1049" s="327" t="s">
        <v>1700</v>
      </c>
      <c r="B1049" s="433" t="s">
        <v>3589</v>
      </c>
      <c r="C1049" s="508" t="e">
        <f aca="false">мат.затр!g8667</f>
        <v>#NAME?</v>
      </c>
      <c r="D1049" s="508" t="n">
        <f aca="false">тарифик!J1050</f>
        <v>401.606425702811</v>
      </c>
      <c r="E1049" s="508"/>
      <c r="F1049" s="508" t="n">
        <f aca="false">D1049*0.9*0.095+D1049*3%</f>
        <v>46.3855421686747</v>
      </c>
      <c r="G1049" s="508" t="n">
        <f aca="false">амортизация!M3109</f>
        <v>25.1468838316228</v>
      </c>
      <c r="H1049" s="473" t="e">
        <f aca="false">C1049+D1049+F1049+G1049</f>
        <v>#NAME?</v>
      </c>
      <c r="I1049" s="462" t="n">
        <f aca="false">I$190</f>
        <v>0.240474587202079</v>
      </c>
      <c r="J1049" s="473" t="n">
        <f aca="false">D1049*I1049</f>
        <v>96.5761394385859</v>
      </c>
      <c r="K1049" s="473" t="e">
        <f aca="false">H1049+J1049</f>
        <v>#NAME?</v>
      </c>
      <c r="L1049" s="462" t="n">
        <v>0.2</v>
      </c>
      <c r="M1049" s="473" t="e">
        <f aca="false">K1049*L1049</f>
        <v>#NAME?</v>
      </c>
      <c r="N1049" s="473" t="e">
        <f aca="false">K1049+M1049</f>
        <v>#NAME?</v>
      </c>
      <c r="O1049" s="473" t="e">
        <f aca="false">M1049</f>
        <v>#NAME?</v>
      </c>
    </row>
    <row r="1050" s="461" customFormat="true" ht="15" hidden="false" customHeight="false" outlineLevel="0" collapsed="false">
      <c r="A1050" s="351" t="s">
        <v>1702</v>
      </c>
      <c r="B1050" s="510" t="s">
        <v>3590</v>
      </c>
      <c r="C1050" s="490"/>
      <c r="D1050" s="490"/>
      <c r="E1050" s="490"/>
      <c r="F1050" s="490"/>
      <c r="G1050" s="490"/>
      <c r="H1050" s="490"/>
      <c r="I1050" s="468"/>
      <c r="J1050" s="490"/>
      <c r="K1050" s="490"/>
      <c r="L1050" s="468"/>
      <c r="M1050" s="490"/>
      <c r="N1050" s="490"/>
      <c r="O1050" s="490"/>
    </row>
    <row r="1051" s="461" customFormat="true" ht="15" hidden="false" customHeight="false" outlineLevel="0" collapsed="false">
      <c r="A1051" s="327" t="s">
        <v>1704</v>
      </c>
      <c r="B1051" s="433" t="s">
        <v>3591</v>
      </c>
      <c r="C1051" s="508" t="e">
        <f aca="false">мат.затр!g8674</f>
        <v>#NAME?</v>
      </c>
      <c r="D1051" s="508" t="n">
        <f aca="false">тарифик!J1052</f>
        <v>669.344042838019</v>
      </c>
      <c r="E1051" s="508"/>
      <c r="F1051" s="508" t="n">
        <f aca="false">D1051*0.9*0.095+D1051*3%</f>
        <v>77.3092369477912</v>
      </c>
      <c r="G1051" s="508" t="n">
        <f aca="false">амортизация!M3111</f>
        <v>118.220753383906</v>
      </c>
      <c r="H1051" s="473" t="e">
        <f aca="false">C1051+D1051+F1051+G1051</f>
        <v>#NAME?</v>
      </c>
      <c r="I1051" s="462" t="n">
        <f aca="false">I$190</f>
        <v>0.240474587202079</v>
      </c>
      <c r="J1051" s="473" t="n">
        <f aca="false">D1051*I1051</f>
        <v>160.960232397643</v>
      </c>
      <c r="K1051" s="473" t="e">
        <f aca="false">H1051+J1051</f>
        <v>#NAME?</v>
      </c>
      <c r="L1051" s="462" t="n">
        <v>0.2</v>
      </c>
      <c r="M1051" s="473" t="e">
        <f aca="false">K1051*L1051</f>
        <v>#NAME?</v>
      </c>
      <c r="N1051" s="473" t="e">
        <f aca="false">K1051+M1051</f>
        <v>#NAME?</v>
      </c>
      <c r="O1051" s="473" t="e">
        <f aca="false">M1051</f>
        <v>#NAME?</v>
      </c>
    </row>
    <row r="1052" s="461" customFormat="true" ht="15" hidden="false" customHeight="false" outlineLevel="0" collapsed="false">
      <c r="A1052" s="327" t="s">
        <v>1706</v>
      </c>
      <c r="B1052" s="433" t="s">
        <v>3592</v>
      </c>
      <c r="C1052" s="508" t="e">
        <f aca="false">мат.затр!g8680</f>
        <v>#NAME?</v>
      </c>
      <c r="D1052" s="508" t="n">
        <f aca="false">тарифик!J1053</f>
        <v>1606.42570281125</v>
      </c>
      <c r="E1052" s="508"/>
      <c r="F1052" s="508" t="n">
        <f aca="false">D1052*0.9*0.095+D1052*3%</f>
        <v>185.542168674699</v>
      </c>
      <c r="G1052" s="508" t="n">
        <f aca="false">амортизация!M3118</f>
        <v>436.875855272944</v>
      </c>
      <c r="H1052" s="473" t="e">
        <f aca="false">C1052+D1052+F1052+G1052</f>
        <v>#NAME?</v>
      </c>
      <c r="I1052" s="462" t="n">
        <f aca="false">I$190</f>
        <v>0.240474587202079</v>
      </c>
      <c r="J1052" s="473" t="n">
        <f aca="false">D1052*I1052</f>
        <v>386.304557754344</v>
      </c>
      <c r="K1052" s="473" t="e">
        <f aca="false">H1052+J1052</f>
        <v>#NAME?</v>
      </c>
      <c r="L1052" s="462" t="n">
        <v>0.2</v>
      </c>
      <c r="M1052" s="473" t="e">
        <f aca="false">K1052*L1052</f>
        <v>#NAME?</v>
      </c>
      <c r="N1052" s="473" t="e">
        <f aca="false">K1052+M1052</f>
        <v>#NAME?</v>
      </c>
      <c r="O1052" s="473" t="e">
        <f aca="false">M1052</f>
        <v>#NAME?</v>
      </c>
    </row>
    <row r="1053" s="461" customFormat="true" ht="28.5" hidden="false" customHeight="false" outlineLevel="0" collapsed="false">
      <c r="A1053" s="350" t="s">
        <v>1708</v>
      </c>
      <c r="B1053" s="509" t="s">
        <v>3593</v>
      </c>
      <c r="C1053" s="490"/>
      <c r="D1053" s="490"/>
      <c r="E1053" s="490"/>
      <c r="F1053" s="490"/>
      <c r="G1053" s="490"/>
      <c r="H1053" s="490"/>
      <c r="I1053" s="468"/>
      <c r="J1053" s="490"/>
      <c r="K1053" s="490"/>
      <c r="L1053" s="468"/>
      <c r="M1053" s="490"/>
      <c r="N1053" s="490"/>
      <c r="O1053" s="490"/>
    </row>
    <row r="1054" s="461" customFormat="true" ht="15" hidden="false" customHeight="false" outlineLevel="0" collapsed="false">
      <c r="A1054" s="327" t="s">
        <v>1710</v>
      </c>
      <c r="B1054" s="433" t="s">
        <v>3592</v>
      </c>
      <c r="C1054" s="508" t="e">
        <f aca="false">мат.затр!g8688</f>
        <v>#NAME?</v>
      </c>
      <c r="D1054" s="508" t="n">
        <f aca="false">тарифик!J1055</f>
        <v>1589.69210174029</v>
      </c>
      <c r="E1054" s="508"/>
      <c r="F1054" s="473" t="n">
        <f aca="false">D1054*0.9*0.095+D1054*3%</f>
        <v>183.609437751004</v>
      </c>
      <c r="G1054" s="508" t="n">
        <f aca="false">амортизация!M3126</f>
        <v>436.956734344787</v>
      </c>
      <c r="H1054" s="473" t="e">
        <f aca="false">C1054+D1054+F1054+G1054</f>
        <v>#NAME?</v>
      </c>
      <c r="I1054" s="462" t="n">
        <f aca="false">I$190</f>
        <v>0.240474587202079</v>
      </c>
      <c r="J1054" s="473" t="n">
        <f aca="false">D1054*I1054</f>
        <v>382.280551944403</v>
      </c>
      <c r="K1054" s="473" t="e">
        <f aca="false">H1054+J1054</f>
        <v>#NAME?</v>
      </c>
      <c r="L1054" s="462" t="n">
        <v>0.2</v>
      </c>
      <c r="M1054" s="473" t="e">
        <f aca="false">K1054*L1054</f>
        <v>#NAME?</v>
      </c>
      <c r="N1054" s="473" t="e">
        <f aca="false">K1054+M1054</f>
        <v>#NAME?</v>
      </c>
      <c r="O1054" s="473" t="e">
        <f aca="false">M1054</f>
        <v>#NAME?</v>
      </c>
    </row>
    <row r="1055" s="461" customFormat="true" ht="15" hidden="false" customHeight="false" outlineLevel="0" collapsed="false">
      <c r="A1055" s="327" t="s">
        <v>1711</v>
      </c>
      <c r="B1055" s="433" t="s">
        <v>3594</v>
      </c>
      <c r="C1055" s="508" t="e">
        <f aca="false">мат.затр!g8702</f>
        <v>#NAME?</v>
      </c>
      <c r="D1055" s="508" t="n">
        <f aca="false">тарифик!J1056</f>
        <v>4451.13788487282</v>
      </c>
      <c r="E1055" s="508"/>
      <c r="F1055" s="473" t="n">
        <f aca="false">D1055*0.9*0.095+D1055*3%</f>
        <v>514.106425702811</v>
      </c>
      <c r="G1055" s="508" t="n">
        <f aca="false">амортизация!M3134</f>
        <v>404.348077495166</v>
      </c>
      <c r="H1055" s="473" t="e">
        <f aca="false">C1055+D1055+F1055+G1055</f>
        <v>#NAME?</v>
      </c>
      <c r="I1055" s="462" t="n">
        <f aca="false">I$190</f>
        <v>0.240474587202079</v>
      </c>
      <c r="J1055" s="473" t="n">
        <f aca="false">D1055*I1055</f>
        <v>1070.38554544433</v>
      </c>
      <c r="K1055" s="473" t="e">
        <f aca="false">H1055+J1055</f>
        <v>#NAME?</v>
      </c>
      <c r="L1055" s="462" t="n">
        <v>0.2</v>
      </c>
      <c r="M1055" s="473" t="e">
        <f aca="false">K1055*L1055</f>
        <v>#NAME?</v>
      </c>
      <c r="N1055" s="473" t="e">
        <f aca="false">K1055+M1055</f>
        <v>#NAME?</v>
      </c>
      <c r="O1055" s="473" t="e">
        <f aca="false">M1055</f>
        <v>#NAME?</v>
      </c>
    </row>
    <row r="1056" s="461" customFormat="true" ht="15" hidden="false" customHeight="false" outlineLevel="0" collapsed="false">
      <c r="A1056" s="327" t="s">
        <v>1713</v>
      </c>
      <c r="B1056" s="433" t="s">
        <v>3595</v>
      </c>
      <c r="C1056" s="508" t="e">
        <f aca="false">мат.затр!g8717</f>
        <v>#NAME?</v>
      </c>
      <c r="D1056" s="508" t="n">
        <f aca="false">тарифик!J1057</f>
        <v>4601.74029451138</v>
      </c>
      <c r="E1056" s="508"/>
      <c r="F1056" s="473" t="n">
        <f aca="false">D1056*0.9*0.095+D1056*3%</f>
        <v>531.501004016064</v>
      </c>
      <c r="G1056" s="508" t="n">
        <f aca="false">амортизация!M3142</f>
        <v>404.348077495166</v>
      </c>
      <c r="H1056" s="473" t="e">
        <f aca="false">C1056+D1056+F1056+G1056</f>
        <v>#NAME?</v>
      </c>
      <c r="I1056" s="462" t="n">
        <f aca="false">I$190</f>
        <v>0.240474587202079</v>
      </c>
      <c r="J1056" s="473" t="n">
        <f aca="false">D1056*I1056</f>
        <v>1106.6015977338</v>
      </c>
      <c r="K1056" s="473" t="e">
        <f aca="false">H1056+J1056</f>
        <v>#NAME?</v>
      </c>
      <c r="L1056" s="462" t="n">
        <v>0.2</v>
      </c>
      <c r="M1056" s="473" t="e">
        <f aca="false">K1056*L1056</f>
        <v>#NAME?</v>
      </c>
      <c r="N1056" s="473" t="e">
        <f aca="false">K1056+M1056</f>
        <v>#NAME?</v>
      </c>
      <c r="O1056" s="473" t="e">
        <f aca="false">M1056</f>
        <v>#NAME?</v>
      </c>
    </row>
    <row r="1057" s="461" customFormat="true" ht="15" hidden="false" customHeight="false" outlineLevel="0" collapsed="false">
      <c r="A1057" s="327" t="s">
        <v>1715</v>
      </c>
      <c r="B1057" s="433" t="s">
        <v>3596</v>
      </c>
      <c r="C1057" s="508" t="e">
        <f aca="false">мат.затр!g8729</f>
        <v>#NAME?</v>
      </c>
      <c r="D1057" s="508" t="n">
        <f aca="false">тарифик!J1058</f>
        <v>3463.85542168675</v>
      </c>
      <c r="E1057" s="508"/>
      <c r="F1057" s="473" t="n">
        <f aca="false">D1057*0.9*0.095+D1057*3%</f>
        <v>400.075301204819</v>
      </c>
      <c r="G1057" s="508" t="n">
        <f aca="false">амортизация!M3150</f>
        <v>404.348077495166</v>
      </c>
      <c r="H1057" s="473" t="e">
        <f aca="false">C1057+D1057+F1057+G1057</f>
        <v>#NAME?</v>
      </c>
      <c r="I1057" s="462" t="n">
        <f aca="false">I$190</f>
        <v>0.240474587202079</v>
      </c>
      <c r="J1057" s="473" t="n">
        <f aca="false">D1057*I1057</f>
        <v>832.969202657804</v>
      </c>
      <c r="K1057" s="473" t="e">
        <f aca="false">H1057+J1057</f>
        <v>#NAME?</v>
      </c>
      <c r="L1057" s="462" t="n">
        <v>0.2</v>
      </c>
      <c r="M1057" s="473" t="e">
        <f aca="false">K1057*L1057</f>
        <v>#NAME?</v>
      </c>
      <c r="N1057" s="473" t="e">
        <f aca="false">K1057+M1057</f>
        <v>#NAME?</v>
      </c>
      <c r="O1057" s="473" t="e">
        <f aca="false">M1057</f>
        <v>#NAME?</v>
      </c>
    </row>
    <row r="1058" s="461" customFormat="true" ht="15" hidden="false" customHeight="false" outlineLevel="0" collapsed="false">
      <c r="A1058" s="327" t="s">
        <v>1717</v>
      </c>
      <c r="B1058" s="433" t="s">
        <v>3597</v>
      </c>
      <c r="C1058" s="508" t="e">
        <f aca="false">мат.затр!g8741</f>
        <v>#NAME?</v>
      </c>
      <c r="D1058" s="508" t="n">
        <f aca="false">тарифик!J1059</f>
        <v>3067.82686300759</v>
      </c>
      <c r="E1058" s="508"/>
      <c r="F1058" s="473" t="n">
        <f aca="false">D1058*0.9*0.095+D1058*3%</f>
        <v>354.334002677376</v>
      </c>
      <c r="G1058" s="508" t="n">
        <f aca="false">амортизация!M3158</f>
        <v>404.348077495166</v>
      </c>
      <c r="H1058" s="473" t="e">
        <f aca="false">C1058+D1058+F1058+G1058</f>
        <v>#NAME?</v>
      </c>
      <c r="I1058" s="462" t="n">
        <f aca="false">I$190</f>
        <v>0.240474587202079</v>
      </c>
      <c r="J1058" s="473" t="n">
        <f aca="false">D1058*I1058</f>
        <v>737.734398489198</v>
      </c>
      <c r="K1058" s="473" t="e">
        <f aca="false">H1058+J1058</f>
        <v>#NAME?</v>
      </c>
      <c r="L1058" s="462" t="n">
        <v>0.2</v>
      </c>
      <c r="M1058" s="473" t="e">
        <f aca="false">K1058*L1058</f>
        <v>#NAME?</v>
      </c>
      <c r="N1058" s="473" t="e">
        <f aca="false">K1058+M1058</f>
        <v>#NAME?</v>
      </c>
      <c r="O1058" s="473" t="e">
        <f aca="false">M1058</f>
        <v>#NAME?</v>
      </c>
    </row>
    <row r="1059" s="461" customFormat="true" ht="28.5" hidden="false" customHeight="false" outlineLevel="0" collapsed="false">
      <c r="A1059" s="350" t="s">
        <v>1719</v>
      </c>
      <c r="B1059" s="509" t="s">
        <v>3598</v>
      </c>
      <c r="C1059" s="490"/>
      <c r="D1059" s="490"/>
      <c r="E1059" s="490"/>
      <c r="F1059" s="490"/>
      <c r="G1059" s="490"/>
      <c r="H1059" s="490"/>
      <c r="I1059" s="468"/>
      <c r="J1059" s="490"/>
      <c r="K1059" s="490"/>
      <c r="L1059" s="468"/>
      <c r="M1059" s="490"/>
      <c r="N1059" s="490"/>
      <c r="O1059" s="490"/>
    </row>
    <row r="1060" s="461" customFormat="true" ht="15" hidden="false" customHeight="false" outlineLevel="0" collapsed="false">
      <c r="A1060" s="327" t="s">
        <v>1721</v>
      </c>
      <c r="B1060" s="433" t="s">
        <v>3599</v>
      </c>
      <c r="C1060" s="508" t="e">
        <f aca="false">мат.затр!g8748</f>
        <v>#NAME?</v>
      </c>
      <c r="D1060" s="508" t="n">
        <f aca="false">тарифик!J1061</f>
        <v>451.807228915663</v>
      </c>
      <c r="E1060" s="508"/>
      <c r="F1060" s="473" t="n">
        <f aca="false">D1060*0.9*0.095+D1060*3%</f>
        <v>52.183734939759</v>
      </c>
      <c r="G1060" s="508" t="n">
        <f aca="false">амортизация!M3160</f>
        <v>107.473412167187</v>
      </c>
      <c r="H1060" s="473" t="e">
        <f aca="false">C1060+D1060+F1060+G1060</f>
        <v>#NAME?</v>
      </c>
      <c r="I1060" s="462" t="n">
        <f aca="false">I$190</f>
        <v>0.240474587202079</v>
      </c>
      <c r="J1060" s="473" t="n">
        <f aca="false">D1060*I1060</f>
        <v>108.648156868409</v>
      </c>
      <c r="K1060" s="473" t="e">
        <f aca="false">H1060+J1060</f>
        <v>#NAME?</v>
      </c>
      <c r="L1060" s="462" t="n">
        <v>0.2</v>
      </c>
      <c r="M1060" s="473" t="e">
        <f aca="false">K1060*L1060</f>
        <v>#NAME?</v>
      </c>
      <c r="N1060" s="473" t="e">
        <f aca="false">K1060+M1060</f>
        <v>#NAME?</v>
      </c>
      <c r="O1060" s="473" t="e">
        <f aca="false">M1060</f>
        <v>#NAME?</v>
      </c>
    </row>
    <row r="1061" s="461" customFormat="true" ht="15" hidden="false" customHeight="false" outlineLevel="0" collapsed="false">
      <c r="A1061" s="327" t="s">
        <v>1723</v>
      </c>
      <c r="B1061" s="433" t="s">
        <v>3600</v>
      </c>
      <c r="C1061" s="508" t="e">
        <f aca="false">мат.затр!g8753</f>
        <v>#NAME?</v>
      </c>
      <c r="D1061" s="508" t="n">
        <f aca="false">тарифик!J1062</f>
        <v>26.7737617135208</v>
      </c>
      <c r="E1061" s="508"/>
      <c r="F1061" s="473" t="n">
        <f aca="false">D1061*0.9*0.095+D1061*3%</f>
        <v>3.09236947791165</v>
      </c>
      <c r="G1061" s="508" t="n">
        <f aca="false">амортизация!M3161</f>
        <v>32.7898259705489</v>
      </c>
      <c r="H1061" s="473" t="e">
        <f aca="false">C1061+D1061+F1061+G1061</f>
        <v>#NAME?</v>
      </c>
      <c r="I1061" s="462" t="n">
        <f aca="false">I$190</f>
        <v>0.240474587202079</v>
      </c>
      <c r="J1061" s="473" t="n">
        <f aca="false">D1061*I1061</f>
        <v>6.43840929590573</v>
      </c>
      <c r="K1061" s="473" t="e">
        <f aca="false">H1061+J1061</f>
        <v>#NAME?</v>
      </c>
      <c r="L1061" s="462" t="n">
        <v>0.2</v>
      </c>
      <c r="M1061" s="473" t="e">
        <f aca="false">K1061*L1061</f>
        <v>#NAME?</v>
      </c>
      <c r="N1061" s="473" t="e">
        <f aca="false">K1061+M1061</f>
        <v>#NAME?</v>
      </c>
      <c r="O1061" s="473" t="e">
        <f aca="false">M1061</f>
        <v>#NAME?</v>
      </c>
    </row>
    <row r="1062" s="461" customFormat="true" ht="15" hidden="false" customHeight="false" outlineLevel="0" collapsed="false">
      <c r="A1062" s="327" t="s">
        <v>1725</v>
      </c>
      <c r="B1062" s="433" t="s">
        <v>3601</v>
      </c>
      <c r="C1062" s="508" t="e">
        <f aca="false">мат.затр!g8755</f>
        <v>#NAME?</v>
      </c>
      <c r="D1062" s="508" t="n">
        <f aca="false">тарифик!J1063</f>
        <v>109.772423025435</v>
      </c>
      <c r="E1062" s="508"/>
      <c r="F1062" s="473" t="n">
        <f aca="false">D1062*0.9*0.095+D1062*3%</f>
        <v>12.6787148594378</v>
      </c>
      <c r="G1062" s="508" t="n">
        <f aca="false">амортизация!M3162</f>
        <v>1.45732559869106</v>
      </c>
      <c r="H1062" s="473" t="e">
        <f aca="false">C1062+D1062+F1062+G1062</f>
        <v>#NAME?</v>
      </c>
      <c r="I1062" s="462" t="n">
        <f aca="false">I$190</f>
        <v>0.240474587202079</v>
      </c>
      <c r="J1062" s="473" t="n">
        <f aca="false">D1062*I1062</f>
        <v>26.3974781132135</v>
      </c>
      <c r="K1062" s="473" t="e">
        <f aca="false">H1062+J1062</f>
        <v>#NAME?</v>
      </c>
      <c r="L1062" s="462" t="n">
        <v>0.2</v>
      </c>
      <c r="M1062" s="473" t="e">
        <f aca="false">K1062*L1062</f>
        <v>#NAME?</v>
      </c>
      <c r="N1062" s="473" t="e">
        <f aca="false">K1062+M1062</f>
        <v>#NAME?</v>
      </c>
      <c r="O1062" s="473" t="e">
        <f aca="false">M1062</f>
        <v>#NAME?</v>
      </c>
    </row>
    <row r="1063" s="461" customFormat="true" ht="15" hidden="false" customHeight="false" outlineLevel="0" collapsed="false">
      <c r="A1063" s="327" t="s">
        <v>1727</v>
      </c>
      <c r="B1063" s="433" t="s">
        <v>3602</v>
      </c>
      <c r="C1063" s="508" t="e">
        <f aca="false">мат.затр!g8760</f>
        <v>#NAME?</v>
      </c>
      <c r="D1063" s="508" t="n">
        <f aca="false">тарифик!J1064</f>
        <v>26.7737617135208</v>
      </c>
      <c r="E1063" s="508"/>
      <c r="F1063" s="473" t="n">
        <f aca="false">D1063*0.9*0.095+D1063*3%</f>
        <v>3.09236947791165</v>
      </c>
      <c r="G1063" s="508" t="n">
        <f aca="false">амортизация!M3163</f>
        <v>32.7898259705489</v>
      </c>
      <c r="H1063" s="473" t="e">
        <f aca="false">C1063+D1063+F1063+G1063</f>
        <v>#NAME?</v>
      </c>
      <c r="I1063" s="462" t="n">
        <f aca="false">I$190</f>
        <v>0.240474587202079</v>
      </c>
      <c r="J1063" s="473" t="n">
        <f aca="false">D1063*I1063</f>
        <v>6.43840929590573</v>
      </c>
      <c r="K1063" s="473" t="e">
        <f aca="false">H1063+J1063</f>
        <v>#NAME?</v>
      </c>
      <c r="L1063" s="462" t="n">
        <v>0.2</v>
      </c>
      <c r="M1063" s="473" t="e">
        <f aca="false">K1063*L1063</f>
        <v>#NAME?</v>
      </c>
      <c r="N1063" s="473" t="e">
        <f aca="false">K1063+M1063</f>
        <v>#NAME?</v>
      </c>
      <c r="O1063" s="473" t="e">
        <f aca="false">M1063</f>
        <v>#NAME?</v>
      </c>
    </row>
    <row r="1064" s="461" customFormat="true" ht="15" hidden="false" customHeight="false" outlineLevel="0" collapsed="false">
      <c r="A1064" s="327" t="s">
        <v>1729</v>
      </c>
      <c r="B1064" s="433" t="s">
        <v>3603</v>
      </c>
      <c r="C1064" s="508" t="e">
        <f aca="false">мат.затр!g8765</f>
        <v>#NAME?</v>
      </c>
      <c r="D1064" s="508" t="n">
        <f aca="false">тарифик!J1065</f>
        <v>21.4190093708166</v>
      </c>
      <c r="E1064" s="508"/>
      <c r="F1064" s="473" t="n">
        <f aca="false">D1064*0.9*0.095+D1064*3%</f>
        <v>2.47389558232932</v>
      </c>
      <c r="G1064" s="508" t="n">
        <f aca="false">амортизация!M3164</f>
        <v>32.7898259705489</v>
      </c>
      <c r="H1064" s="473" t="e">
        <f aca="false">C1064+D1064+F1064+G1064</f>
        <v>#NAME?</v>
      </c>
      <c r="I1064" s="462" t="n">
        <f aca="false">I$190</f>
        <v>0.240474587202079</v>
      </c>
      <c r="J1064" s="473" t="n">
        <f aca="false">D1064*I1064</f>
        <v>5.15072743672458</v>
      </c>
      <c r="K1064" s="473" t="e">
        <f aca="false">H1064+J1064</f>
        <v>#NAME?</v>
      </c>
      <c r="L1064" s="462" t="n">
        <v>0.2</v>
      </c>
      <c r="M1064" s="473" t="e">
        <f aca="false">K1064*L1064</f>
        <v>#NAME?</v>
      </c>
      <c r="N1064" s="473" t="e">
        <f aca="false">K1064+M1064</f>
        <v>#NAME?</v>
      </c>
      <c r="O1064" s="473" t="e">
        <f aca="false">M1064</f>
        <v>#NAME?</v>
      </c>
    </row>
    <row r="1065" s="461" customFormat="true" ht="15" hidden="false" customHeight="false" outlineLevel="0" collapsed="false">
      <c r="A1065" s="327" t="s">
        <v>1731</v>
      </c>
      <c r="B1065" s="433" t="s">
        <v>3604</v>
      </c>
      <c r="C1065" s="508" t="e">
        <f aca="false">мат.затр!g8770</f>
        <v>#NAME?</v>
      </c>
      <c r="D1065" s="508" t="n">
        <f aca="false">тарифик!J1066</f>
        <v>33.4672021419009</v>
      </c>
      <c r="E1065" s="508"/>
      <c r="F1065" s="473" t="n">
        <f aca="false">D1065*0.9*0.095+D1065*3%</f>
        <v>3.86546184738956</v>
      </c>
      <c r="G1065" s="508" t="n">
        <f aca="false">амортизация!M3165</f>
        <v>32.7898259705489</v>
      </c>
      <c r="H1065" s="473" t="e">
        <f aca="false">C1065+D1065+F1065+G1065</f>
        <v>#NAME?</v>
      </c>
      <c r="I1065" s="462" t="n">
        <f aca="false">I$190</f>
        <v>0.240474587202079</v>
      </c>
      <c r="J1065" s="473" t="n">
        <f aca="false">D1065*I1065</f>
        <v>8.04801161988216</v>
      </c>
      <c r="K1065" s="473" t="e">
        <f aca="false">H1065+J1065</f>
        <v>#NAME?</v>
      </c>
      <c r="L1065" s="462" t="n">
        <v>0.2</v>
      </c>
      <c r="M1065" s="473" t="e">
        <f aca="false">K1065*L1065</f>
        <v>#NAME?</v>
      </c>
      <c r="N1065" s="473" t="e">
        <f aca="false">K1065+M1065</f>
        <v>#NAME?</v>
      </c>
      <c r="O1065" s="473" t="e">
        <f aca="false">M1065</f>
        <v>#NAME?</v>
      </c>
    </row>
    <row r="1066" s="461" customFormat="true" ht="15" hidden="false" customHeight="false" outlineLevel="0" collapsed="false">
      <c r="A1066" s="327" t="s">
        <v>1733</v>
      </c>
      <c r="B1066" s="433" t="s">
        <v>3605</v>
      </c>
      <c r="C1066" s="508" t="e">
        <f aca="false">мат.затр!g8776</f>
        <v>#NAME?</v>
      </c>
      <c r="D1066" s="508" t="n">
        <f aca="false">тарифик!J1067</f>
        <v>1907.63052208835</v>
      </c>
      <c r="E1066" s="508"/>
      <c r="F1066" s="473" t="n">
        <f aca="false">D1066*0.9*0.095+D1066*3%</f>
        <v>220.331325301205</v>
      </c>
      <c r="G1066" s="508" t="n">
        <f aca="false">амортизация!M3172</f>
        <v>401.704614755318</v>
      </c>
      <c r="H1066" s="473" t="e">
        <f aca="false">C1066+D1066+F1066+G1066</f>
        <v>#NAME?</v>
      </c>
      <c r="I1066" s="462" t="n">
        <f aca="false">I$190</f>
        <v>0.240474587202079</v>
      </c>
      <c r="J1066" s="473" t="n">
        <f aca="false">D1066*I1066</f>
        <v>458.736662333283</v>
      </c>
      <c r="K1066" s="473" t="e">
        <f aca="false">H1066+J1066</f>
        <v>#NAME?</v>
      </c>
      <c r="L1066" s="462" t="n">
        <v>0.2</v>
      </c>
      <c r="M1066" s="473" t="e">
        <f aca="false">K1066*L1066</f>
        <v>#NAME?</v>
      </c>
      <c r="N1066" s="473" t="e">
        <f aca="false">K1066+M1066</f>
        <v>#NAME?</v>
      </c>
      <c r="O1066" s="473" t="e">
        <f aca="false">M1066</f>
        <v>#NAME?</v>
      </c>
    </row>
    <row r="1067" s="461" customFormat="true" ht="30" hidden="false" customHeight="false" outlineLevel="0" collapsed="false">
      <c r="A1067" s="327" t="s">
        <v>1735</v>
      </c>
      <c r="B1067" s="433" t="s">
        <v>3606</v>
      </c>
      <c r="C1067" s="508" t="e">
        <f aca="false">мат.затр!g8782</f>
        <v>#NAME?</v>
      </c>
      <c r="D1067" s="508" t="n">
        <f aca="false">тарифик!J1068</f>
        <v>251.004016064257</v>
      </c>
      <c r="E1067" s="508"/>
      <c r="F1067" s="473" t="n">
        <f aca="false">D1067*0.9*0.095+D1067*3%</f>
        <v>28.9909638554217</v>
      </c>
      <c r="G1067" s="508" t="n">
        <f aca="false">амортизация!M3176</f>
        <v>1432.06957459468</v>
      </c>
      <c r="H1067" s="473" t="e">
        <f aca="false">C1067+D1067+F1067+G1067</f>
        <v>#NAME?</v>
      </c>
      <c r="I1067" s="462" t="n">
        <f aca="false">I$190</f>
        <v>0.240474587202079</v>
      </c>
      <c r="J1067" s="473" t="n">
        <f aca="false">D1067*I1067</f>
        <v>60.3600871491162</v>
      </c>
      <c r="K1067" s="473" t="e">
        <f aca="false">H1067+J1067</f>
        <v>#NAME?</v>
      </c>
      <c r="L1067" s="462" t="n">
        <v>0.2</v>
      </c>
      <c r="M1067" s="473" t="e">
        <f aca="false">K1067*L1067</f>
        <v>#NAME?</v>
      </c>
      <c r="N1067" s="473" t="e">
        <f aca="false">K1067+M1067</f>
        <v>#NAME?</v>
      </c>
      <c r="O1067" s="473" t="e">
        <f aca="false">M1067</f>
        <v>#NAME?</v>
      </c>
    </row>
    <row r="1068" s="461" customFormat="true" ht="30" hidden="false" customHeight="false" outlineLevel="0" collapsed="false">
      <c r="A1068" s="327" t="s">
        <v>1737</v>
      </c>
      <c r="B1068" s="433" t="s">
        <v>3607</v>
      </c>
      <c r="C1068" s="508" t="e">
        <f aca="false">мат.затр!g8788</f>
        <v>#NAME?</v>
      </c>
      <c r="D1068" s="508" t="n">
        <f aca="false">тарифик!J1069</f>
        <v>803.212851405623</v>
      </c>
      <c r="E1068" s="508"/>
      <c r="F1068" s="473" t="n">
        <f aca="false">D1068*0.9*0.095+D1068*3%</f>
        <v>92.7710843373494</v>
      </c>
      <c r="G1068" s="508" t="n">
        <f aca="false">амортизация!M3181</f>
        <v>258.13197233378</v>
      </c>
      <c r="H1068" s="473" t="e">
        <f aca="false">C1068+D1068+F1068+G1068</f>
        <v>#NAME?</v>
      </c>
      <c r="I1068" s="462" t="n">
        <f aca="false">I$190</f>
        <v>0.240474587202079</v>
      </c>
      <c r="J1068" s="473" t="n">
        <f aca="false">D1068*I1068</f>
        <v>193.152278877172</v>
      </c>
      <c r="K1068" s="473" t="e">
        <f aca="false">H1068+J1068</f>
        <v>#NAME?</v>
      </c>
      <c r="L1068" s="462" t="n">
        <v>0.2</v>
      </c>
      <c r="M1068" s="473" t="e">
        <f aca="false">K1068*L1068</f>
        <v>#NAME?</v>
      </c>
      <c r="N1068" s="473" t="e">
        <f aca="false">K1068+M1068</f>
        <v>#NAME?</v>
      </c>
      <c r="O1068" s="473" t="e">
        <f aca="false">M1068</f>
        <v>#NAME?</v>
      </c>
    </row>
    <row r="1069" s="461" customFormat="true" ht="57" hidden="false" customHeight="false" outlineLevel="0" collapsed="false">
      <c r="A1069" s="350" t="s">
        <v>1739</v>
      </c>
      <c r="B1069" s="509" t="s">
        <v>3608</v>
      </c>
      <c r="C1069" s="490"/>
      <c r="D1069" s="490"/>
      <c r="E1069" s="490"/>
      <c r="F1069" s="490"/>
      <c r="G1069" s="490"/>
      <c r="H1069" s="490"/>
      <c r="I1069" s="468"/>
      <c r="J1069" s="490"/>
      <c r="K1069" s="490"/>
      <c r="L1069" s="468"/>
      <c r="M1069" s="490"/>
      <c r="N1069" s="490"/>
      <c r="O1069" s="490"/>
    </row>
    <row r="1070" s="461" customFormat="true" ht="15" hidden="false" customHeight="false" outlineLevel="0" collapsed="false">
      <c r="A1070" s="327" t="s">
        <v>1741</v>
      </c>
      <c r="B1070" s="433" t="s">
        <v>3609</v>
      </c>
      <c r="C1070" s="508" t="e">
        <f aca="false">мат.затр!g8796</f>
        <v>#NAME?</v>
      </c>
      <c r="D1070" s="508" t="n">
        <f aca="false">тарифик!J1071</f>
        <v>139.446675591254</v>
      </c>
      <c r="E1070" s="508"/>
      <c r="F1070" s="508" t="n">
        <f aca="false">D1070*0.9*0.095+D1070*3%</f>
        <v>16.1060910307898</v>
      </c>
      <c r="G1070" s="508" t="n">
        <f aca="false">амортизация!M3188</f>
        <v>2499.46340919233</v>
      </c>
      <c r="H1070" s="473" t="e">
        <f aca="false">C1070+D1070+F1070+G1070</f>
        <v>#NAME?</v>
      </c>
      <c r="I1070" s="462" t="n">
        <f aca="false">I$190</f>
        <v>0.240474587202079</v>
      </c>
      <c r="J1070" s="473" t="n">
        <f aca="false">D1070*I1070</f>
        <v>33.533381749509</v>
      </c>
      <c r="K1070" s="473" t="e">
        <f aca="false">H1070+J1070</f>
        <v>#NAME?</v>
      </c>
      <c r="L1070" s="462" t="n">
        <v>0.2</v>
      </c>
      <c r="M1070" s="473" t="e">
        <f aca="false">K1070*L1070</f>
        <v>#NAME?</v>
      </c>
      <c r="N1070" s="473" t="e">
        <f aca="false">K1070+M1070</f>
        <v>#NAME?</v>
      </c>
      <c r="O1070" s="473" t="e">
        <f aca="false">M1070</f>
        <v>#NAME?</v>
      </c>
    </row>
    <row r="1071" s="461" customFormat="true" ht="42.75" hidden="false" customHeight="false" outlineLevel="0" collapsed="false">
      <c r="A1071" s="351" t="s">
        <v>1743</v>
      </c>
      <c r="B1071" s="346" t="s">
        <v>3610</v>
      </c>
      <c r="C1071" s="490"/>
      <c r="D1071" s="490"/>
      <c r="E1071" s="490"/>
      <c r="F1071" s="490"/>
      <c r="G1071" s="490"/>
      <c r="H1071" s="490"/>
      <c r="I1071" s="468"/>
      <c r="J1071" s="490"/>
      <c r="K1071" s="490"/>
      <c r="L1071" s="468"/>
      <c r="M1071" s="490"/>
      <c r="N1071" s="490"/>
      <c r="O1071" s="490"/>
    </row>
    <row r="1072" s="461" customFormat="true" ht="15" hidden="false" customHeight="false" outlineLevel="0" collapsed="false">
      <c r="A1072" s="327" t="s">
        <v>1745</v>
      </c>
      <c r="B1072" s="433" t="s">
        <v>3611</v>
      </c>
      <c r="C1072" s="508" t="e">
        <f aca="false">мат.затр!g8803</f>
        <v>#NAME?</v>
      </c>
      <c r="D1072" s="508" t="n">
        <f aca="false">тарифик!J1073</f>
        <v>725.12271307452</v>
      </c>
      <c r="E1072" s="508"/>
      <c r="F1072" s="508" t="n">
        <f aca="false">D1072*0.9*0.095+D1072*3%</f>
        <v>83.7516733601071</v>
      </c>
      <c r="G1072" s="508" t="n">
        <f aca="false">амортизация!M3192</f>
        <v>2124.40539937528</v>
      </c>
      <c r="H1072" s="473" t="e">
        <f aca="false">C1072+D1072+F1072+G1072</f>
        <v>#NAME?</v>
      </c>
      <c r="I1072" s="462" t="n">
        <f aca="false">I$190</f>
        <v>0.240474587202079</v>
      </c>
      <c r="J1072" s="473" t="n">
        <f aca="false">D1072*I1072</f>
        <v>174.373585097447</v>
      </c>
      <c r="K1072" s="473" t="e">
        <f aca="false">H1072+J1072</f>
        <v>#NAME?</v>
      </c>
      <c r="L1072" s="462" t="n">
        <v>0.2</v>
      </c>
      <c r="M1072" s="473" t="e">
        <f aca="false">K1072*L1072</f>
        <v>#NAME?</v>
      </c>
      <c r="N1072" s="473" t="e">
        <f aca="false">K1072+M1072</f>
        <v>#NAME?</v>
      </c>
      <c r="O1072" s="473" t="e">
        <f aca="false">M1072</f>
        <v>#NAME?</v>
      </c>
    </row>
    <row r="1073" s="461" customFormat="true" ht="15" hidden="false" customHeight="false" outlineLevel="0" collapsed="false">
      <c r="A1073" s="327" t="s">
        <v>1747</v>
      </c>
      <c r="B1073" s="433" t="s">
        <v>3612</v>
      </c>
      <c r="C1073" s="508" t="e">
        <f aca="false">мат.затр!g8808</f>
        <v>#NAME?</v>
      </c>
      <c r="D1073" s="508" t="n">
        <f aca="false">тарифик!J1074</f>
        <v>1784.91744756805</v>
      </c>
      <c r="E1073" s="508"/>
      <c r="F1073" s="508" t="n">
        <f aca="false">D1073*0.9*0.095+D1073*3%</f>
        <v>206.15796519411</v>
      </c>
      <c r="G1073" s="508" t="n">
        <f aca="false">амортизация!M3197</f>
        <v>742.456492637216</v>
      </c>
      <c r="H1073" s="473" t="e">
        <f aca="false">C1073+D1073+F1073+G1073</f>
        <v>#NAME?</v>
      </c>
      <c r="I1073" s="462" t="n">
        <f aca="false">I$190</f>
        <v>0.240474587202079</v>
      </c>
      <c r="J1073" s="473" t="n">
        <f aca="false">D1073*I1073</f>
        <v>429.227286393715</v>
      </c>
      <c r="K1073" s="473" t="e">
        <f aca="false">H1073+J1073</f>
        <v>#NAME?</v>
      </c>
      <c r="L1073" s="462" t="n">
        <v>0.2</v>
      </c>
      <c r="M1073" s="473" t="e">
        <f aca="false">K1073*L1073</f>
        <v>#NAME?</v>
      </c>
      <c r="N1073" s="473" t="e">
        <f aca="false">K1073+M1073</f>
        <v>#NAME?</v>
      </c>
      <c r="O1073" s="473" t="e">
        <f aca="false">M1073</f>
        <v>#NAME?</v>
      </c>
    </row>
    <row r="1074" s="461" customFormat="true" ht="15" hidden="false" customHeight="false" outlineLevel="0" collapsed="false">
      <c r="A1074" s="351" t="s">
        <v>1749</v>
      </c>
      <c r="B1074" s="346" t="s">
        <v>3613</v>
      </c>
      <c r="C1074" s="490"/>
      <c r="D1074" s="490"/>
      <c r="E1074" s="490"/>
      <c r="F1074" s="490"/>
      <c r="G1074" s="490"/>
      <c r="H1074" s="490"/>
      <c r="I1074" s="468"/>
      <c r="J1074" s="490"/>
      <c r="K1074" s="490"/>
      <c r="L1074" s="468"/>
      <c r="M1074" s="490"/>
      <c r="N1074" s="490"/>
      <c r="O1074" s="490"/>
    </row>
    <row r="1075" s="461" customFormat="true" ht="30" hidden="false" customHeight="false" outlineLevel="0" collapsed="false">
      <c r="A1075" s="327" t="s">
        <v>1751</v>
      </c>
      <c r="B1075" s="433" t="s">
        <v>3614</v>
      </c>
      <c r="C1075" s="508" t="e">
        <f aca="false">мат.затр!g8816</f>
        <v>#NAME?</v>
      </c>
      <c r="D1075" s="508" t="n">
        <f aca="false">тарифик!J1076</f>
        <v>139.446675591254</v>
      </c>
      <c r="E1075" s="508"/>
      <c r="F1075" s="508" t="n">
        <f aca="false">D1075*0.9*0.095+D1075*3%</f>
        <v>16.1060910307898</v>
      </c>
      <c r="G1075" s="508" t="n">
        <f aca="false">амортизация!M3204</f>
        <v>2499.46340919233</v>
      </c>
      <c r="H1075" s="473" t="e">
        <f aca="false">C1075+D1075+F1075+G1075</f>
        <v>#NAME?</v>
      </c>
      <c r="I1075" s="462" t="n">
        <f aca="false">I$190</f>
        <v>0.240474587202079</v>
      </c>
      <c r="J1075" s="473" t="n">
        <f aca="false">D1075*I1075</f>
        <v>33.533381749509</v>
      </c>
      <c r="K1075" s="473" t="e">
        <f aca="false">H1075+J1075</f>
        <v>#NAME?</v>
      </c>
      <c r="L1075" s="462" t="n">
        <v>0.2</v>
      </c>
      <c r="M1075" s="473" t="e">
        <f aca="false">K1075*L1075</f>
        <v>#NAME?</v>
      </c>
      <c r="N1075" s="473" t="e">
        <f aca="false">K1075+M1075</f>
        <v>#NAME?</v>
      </c>
      <c r="O1075" s="473" t="e">
        <f aca="false">M1075</f>
        <v>#NAME?</v>
      </c>
    </row>
    <row r="1076" s="461" customFormat="true" ht="15" hidden="false" customHeight="false" outlineLevel="0" collapsed="false">
      <c r="A1076" s="327" t="s">
        <v>1753</v>
      </c>
      <c r="B1076" s="433" t="s">
        <v>3592</v>
      </c>
      <c r="C1076" s="508" t="e">
        <f aca="false">мат.затр!g8823</f>
        <v>#NAME?</v>
      </c>
      <c r="D1076" s="508" t="n">
        <f aca="false">тарифик!J1077</f>
        <v>1907.63052208835</v>
      </c>
      <c r="E1076" s="508"/>
      <c r="F1076" s="508" t="n">
        <f aca="false">D1076*0.9*0.095+D1076*3%</f>
        <v>220.331325301205</v>
      </c>
      <c r="G1076" s="508" t="n">
        <f aca="false">амортизация!M3211</f>
        <v>396.715956418266</v>
      </c>
      <c r="H1076" s="473" t="e">
        <f aca="false">C1076+D1076+F1076+G1076</f>
        <v>#NAME?</v>
      </c>
      <c r="I1076" s="462" t="n">
        <f aca="false">I$190</f>
        <v>0.240474587202079</v>
      </c>
      <c r="J1076" s="473" t="n">
        <f aca="false">D1076*I1076</f>
        <v>458.736662333283</v>
      </c>
      <c r="K1076" s="473" t="e">
        <f aca="false">H1076+J1076</f>
        <v>#NAME?</v>
      </c>
      <c r="L1076" s="462" t="n">
        <v>0.2</v>
      </c>
      <c r="M1076" s="473" t="e">
        <f aca="false">K1076*L1076</f>
        <v>#NAME?</v>
      </c>
      <c r="N1076" s="473" t="e">
        <f aca="false">K1076+M1076</f>
        <v>#NAME?</v>
      </c>
      <c r="O1076" s="473" t="e">
        <f aca="false">M1076</f>
        <v>#NAME?</v>
      </c>
    </row>
    <row r="1077" s="461" customFormat="true" ht="28.5" hidden="false" customHeight="false" outlineLevel="0" collapsed="false">
      <c r="A1077" s="351" t="s">
        <v>1754</v>
      </c>
      <c r="B1077" s="346" t="s">
        <v>3615</v>
      </c>
      <c r="C1077" s="490"/>
      <c r="D1077" s="490"/>
      <c r="E1077" s="490"/>
      <c r="F1077" s="490"/>
      <c r="G1077" s="490"/>
      <c r="H1077" s="490"/>
      <c r="I1077" s="468"/>
      <c r="J1077" s="490"/>
      <c r="K1077" s="490"/>
      <c r="L1077" s="468"/>
      <c r="M1077" s="490"/>
      <c r="N1077" s="490"/>
      <c r="O1077" s="490"/>
    </row>
    <row r="1078" s="461" customFormat="true" ht="15" hidden="false" customHeight="false" outlineLevel="0" collapsed="false">
      <c r="A1078" s="327" t="s">
        <v>1756</v>
      </c>
      <c r="B1078" s="433" t="s">
        <v>3616</v>
      </c>
      <c r="C1078" s="508" t="e">
        <f aca="false">мат.затр!g8833</f>
        <v>#NAME?</v>
      </c>
      <c r="D1078" s="508" t="n">
        <f aca="false">тарифик!J1079</f>
        <v>1506.02409638554</v>
      </c>
      <c r="E1078" s="508"/>
      <c r="F1078" s="508" t="n">
        <f aca="false">D1078*0.9*0.095+D1078*3%</f>
        <v>173.94578313253</v>
      </c>
      <c r="G1078" s="508" t="n">
        <f aca="false">амортизация!M3219</f>
        <v>395.330786107393</v>
      </c>
      <c r="H1078" s="473" t="e">
        <f aca="false">C1078+D1078+F1078+G1078</f>
        <v>#NAME?</v>
      </c>
      <c r="I1078" s="462" t="n">
        <f aca="false">I$190</f>
        <v>0.240474587202079</v>
      </c>
      <c r="J1078" s="473" t="n">
        <f aca="false">D1078*I1078</f>
        <v>362.160522894697</v>
      </c>
      <c r="K1078" s="473" t="e">
        <f aca="false">H1078+J1078</f>
        <v>#NAME?</v>
      </c>
      <c r="L1078" s="462" t="n">
        <v>0.2</v>
      </c>
      <c r="M1078" s="473" t="e">
        <f aca="false">K1078*L1078</f>
        <v>#NAME?</v>
      </c>
      <c r="N1078" s="473" t="e">
        <f aca="false">K1078+M1078</f>
        <v>#NAME?</v>
      </c>
      <c r="O1078" s="473" t="e">
        <f aca="false">M1078</f>
        <v>#NAME?</v>
      </c>
    </row>
    <row r="1079" s="461" customFormat="true" ht="15" hidden="false" customHeight="false" outlineLevel="0" collapsed="false">
      <c r="A1079" s="327" t="s">
        <v>1758</v>
      </c>
      <c r="B1079" s="433" t="s">
        <v>3594</v>
      </c>
      <c r="C1079" s="508" t="e">
        <f aca="false">мат.затр!g8847</f>
        <v>#NAME?</v>
      </c>
      <c r="D1079" s="508" t="n">
        <f aca="false">тарифик!J1080</f>
        <v>4451.13788487282</v>
      </c>
      <c r="E1079" s="508"/>
      <c r="F1079" s="508" t="n">
        <f aca="false">D1079*0.9*0.095+D1079*3%</f>
        <v>514.106425702811</v>
      </c>
      <c r="G1079" s="508" t="n">
        <f aca="false">амортизация!M3227</f>
        <v>404.348077495166</v>
      </c>
      <c r="H1079" s="473" t="e">
        <f aca="false">C1079+D1079+F1079+G1079</f>
        <v>#NAME?</v>
      </c>
      <c r="I1079" s="462" t="n">
        <f aca="false">I$190</f>
        <v>0.240474587202079</v>
      </c>
      <c r="J1079" s="473" t="n">
        <f aca="false">D1079*I1079</f>
        <v>1070.38554544433</v>
      </c>
      <c r="K1079" s="473" t="e">
        <f aca="false">H1079+J1079</f>
        <v>#NAME?</v>
      </c>
      <c r="L1079" s="462" t="n">
        <v>0.2</v>
      </c>
      <c r="M1079" s="473" t="e">
        <f aca="false">K1079*L1079</f>
        <v>#NAME?</v>
      </c>
      <c r="N1079" s="473" t="e">
        <f aca="false">K1079+M1079</f>
        <v>#NAME?</v>
      </c>
      <c r="O1079" s="473" t="e">
        <f aca="false">M1079</f>
        <v>#NAME?</v>
      </c>
    </row>
    <row r="1080" s="461" customFormat="true" ht="15" hidden="false" customHeight="false" outlineLevel="0" collapsed="false">
      <c r="A1080" s="327" t="s">
        <v>1759</v>
      </c>
      <c r="B1080" s="433" t="s">
        <v>3595</v>
      </c>
      <c r="C1080" s="508" t="e">
        <f aca="false">мат.затр!g8862</f>
        <v>#NAME?</v>
      </c>
      <c r="D1080" s="508" t="n">
        <f aca="false">тарифик!J1081</f>
        <v>4601.74029451138</v>
      </c>
      <c r="E1080" s="508"/>
      <c r="F1080" s="508" t="n">
        <f aca="false">D1080*0.9*0.095+D1080*3%</f>
        <v>531.501004016064</v>
      </c>
      <c r="G1080" s="508" t="n">
        <f aca="false">амортизация!M3235</f>
        <v>404.348077495166</v>
      </c>
      <c r="H1080" s="473" t="e">
        <f aca="false">C1080+D1080+F1080+G1080</f>
        <v>#NAME?</v>
      </c>
      <c r="I1080" s="462" t="n">
        <f aca="false">I$190</f>
        <v>0.240474587202079</v>
      </c>
      <c r="J1080" s="473" t="n">
        <f aca="false">D1080*I1080</f>
        <v>1106.6015977338</v>
      </c>
      <c r="K1080" s="473" t="e">
        <f aca="false">H1080+J1080</f>
        <v>#NAME?</v>
      </c>
      <c r="L1080" s="462" t="n">
        <v>0.2</v>
      </c>
      <c r="M1080" s="473" t="e">
        <f aca="false">K1080*L1080</f>
        <v>#NAME?</v>
      </c>
      <c r="N1080" s="473" t="e">
        <f aca="false">K1080+M1080</f>
        <v>#NAME?</v>
      </c>
      <c r="O1080" s="473" t="e">
        <f aca="false">M1080</f>
        <v>#NAME?</v>
      </c>
    </row>
    <row r="1081" s="461" customFormat="true" ht="15" hidden="false" customHeight="false" outlineLevel="0" collapsed="false">
      <c r="A1081" s="327" t="s">
        <v>1760</v>
      </c>
      <c r="B1081" s="433" t="s">
        <v>3617</v>
      </c>
      <c r="C1081" s="508" t="e">
        <f aca="false">мат.затр!g8876</f>
        <v>#NAME?</v>
      </c>
      <c r="D1081" s="508" t="n">
        <f aca="false">тарифик!J1082</f>
        <v>1907.63052208835</v>
      </c>
      <c r="E1081" s="508"/>
      <c r="F1081" s="508" t="n">
        <f aca="false">D1081*0.9*0.095+D1081*3%</f>
        <v>220.331325301205</v>
      </c>
      <c r="G1081" s="508" t="n">
        <f aca="false">амортизация!M3240</f>
        <v>34.9363751301502</v>
      </c>
      <c r="H1081" s="473" t="e">
        <f aca="false">C1081+D1081+F1081+G1081</f>
        <v>#NAME?</v>
      </c>
      <c r="I1081" s="462" t="n">
        <f aca="false">I$190</f>
        <v>0.240474587202079</v>
      </c>
      <c r="J1081" s="473" t="n">
        <f aca="false">D1081*I1081</f>
        <v>458.736662333283</v>
      </c>
      <c r="K1081" s="473" t="e">
        <f aca="false">H1081+J1081</f>
        <v>#NAME?</v>
      </c>
      <c r="L1081" s="462" t="n">
        <v>0.2</v>
      </c>
      <c r="M1081" s="473" t="e">
        <f aca="false">K1081*L1081</f>
        <v>#NAME?</v>
      </c>
      <c r="N1081" s="473" t="e">
        <f aca="false">K1081+M1081</f>
        <v>#NAME?</v>
      </c>
      <c r="O1081" s="473" t="e">
        <f aca="false">M1081</f>
        <v>#NAME?</v>
      </c>
    </row>
    <row r="1082" s="461" customFormat="true" ht="15" hidden="false" customHeight="false" outlineLevel="0" collapsed="false">
      <c r="A1082" s="327" t="s">
        <v>1762</v>
      </c>
      <c r="B1082" s="433" t="s">
        <v>3618</v>
      </c>
      <c r="C1082" s="508" t="e">
        <f aca="false">мат.затр!g8888</f>
        <v>#NAME?</v>
      </c>
      <c r="D1082" s="508" t="n">
        <f aca="false">тарифик!J1083</f>
        <v>3067.82686300759</v>
      </c>
      <c r="E1082" s="508"/>
      <c r="F1082" s="508" t="n">
        <f aca="false">D1082*0.9*0.095+D1082*3%</f>
        <v>354.334002677376</v>
      </c>
      <c r="G1082" s="508" t="n">
        <f aca="false">амортизация!M3248</f>
        <v>404.348077495166</v>
      </c>
      <c r="H1082" s="473" t="e">
        <f aca="false">C1082+D1082+F1082+G1082</f>
        <v>#NAME?</v>
      </c>
      <c r="I1082" s="462" t="n">
        <f aca="false">I$190</f>
        <v>0.240474587202079</v>
      </c>
      <c r="J1082" s="473" t="n">
        <f aca="false">D1082*I1082</f>
        <v>737.734398489198</v>
      </c>
      <c r="K1082" s="473" t="e">
        <f aca="false">H1082+J1082</f>
        <v>#NAME?</v>
      </c>
      <c r="L1082" s="462" t="n">
        <v>0.2</v>
      </c>
      <c r="M1082" s="473" t="e">
        <f aca="false">K1082*L1082</f>
        <v>#NAME?</v>
      </c>
      <c r="N1082" s="473" t="e">
        <f aca="false">K1082+M1082</f>
        <v>#NAME?</v>
      </c>
      <c r="O1082" s="473" t="e">
        <f aca="false">M1082</f>
        <v>#NAME?</v>
      </c>
    </row>
    <row r="1083" s="461" customFormat="true" ht="15" hidden="false" customHeight="false" outlineLevel="0" collapsed="false">
      <c r="A1083" s="327" t="s">
        <v>1764</v>
      </c>
      <c r="B1083" s="433" t="s">
        <v>3619</v>
      </c>
      <c r="C1083" s="508" t="e">
        <f aca="false">мат.затр!g8900</f>
        <v>#NAME?</v>
      </c>
      <c r="D1083" s="508" t="n">
        <f aca="false">тарифик!J1084</f>
        <v>3067.82686300759</v>
      </c>
      <c r="E1083" s="508"/>
      <c r="F1083" s="508" t="n">
        <f aca="false">D1083*0.9*0.095+D1083*3%</f>
        <v>354.334002677376</v>
      </c>
      <c r="G1083" s="508" t="n">
        <f aca="false">амортизация!M3256</f>
        <v>404.348077495166</v>
      </c>
      <c r="H1083" s="473" t="e">
        <f aca="false">C1083+D1083+F1083+G1083</f>
        <v>#NAME?</v>
      </c>
      <c r="I1083" s="462" t="n">
        <f aca="false">I$190</f>
        <v>0.240474587202079</v>
      </c>
      <c r="J1083" s="473" t="n">
        <f aca="false">D1083*I1083</f>
        <v>737.734398489198</v>
      </c>
      <c r="K1083" s="473" t="e">
        <f aca="false">H1083+J1083</f>
        <v>#NAME?</v>
      </c>
      <c r="L1083" s="462" t="n">
        <v>0.2</v>
      </c>
      <c r="M1083" s="473" t="e">
        <f aca="false">K1083*L1083</f>
        <v>#NAME?</v>
      </c>
      <c r="N1083" s="473" t="e">
        <f aca="false">K1083+M1083</f>
        <v>#NAME?</v>
      </c>
      <c r="O1083" s="473" t="e">
        <f aca="false">M1083</f>
        <v>#NAME?</v>
      </c>
    </row>
    <row r="1084" s="461" customFormat="true" ht="30" hidden="false" customHeight="false" outlineLevel="0" collapsed="false">
      <c r="A1084" s="327" t="s">
        <v>1766</v>
      </c>
      <c r="B1084" s="328" t="s">
        <v>3620</v>
      </c>
      <c r="C1084" s="508" t="e">
        <f aca="false">мат.затр!g8913</f>
        <v>#NAME?</v>
      </c>
      <c r="D1084" s="508" t="n">
        <f aca="false">тарифик!J1085</f>
        <v>2593.70816599732</v>
      </c>
      <c r="E1084" s="508"/>
      <c r="F1084" s="508" t="n">
        <f aca="false">D1084*0.9*0.095+D1084*3%</f>
        <v>299.573293172691</v>
      </c>
      <c r="G1084" s="508" t="n">
        <f aca="false">амортизация!M3260</f>
        <v>38.15565967574</v>
      </c>
      <c r="H1084" s="473" t="e">
        <f aca="false">C1084+D1084+F1084+G1084</f>
        <v>#NAME?</v>
      </c>
      <c r="I1084" s="462" t="n">
        <f aca="false">I$190</f>
        <v>0.240474587202079</v>
      </c>
      <c r="J1084" s="473" t="n">
        <f aca="false">D1084*I1084</f>
        <v>623.720900540867</v>
      </c>
      <c r="K1084" s="473" t="e">
        <f aca="false">H1084+J1084</f>
        <v>#NAME?</v>
      </c>
      <c r="L1084" s="462" t="n">
        <v>0.2</v>
      </c>
      <c r="M1084" s="473" t="e">
        <f aca="false">K1084*L1084</f>
        <v>#NAME?</v>
      </c>
      <c r="N1084" s="473" t="e">
        <f aca="false">K1084+M1084</f>
        <v>#NAME?</v>
      </c>
      <c r="O1084" s="473" t="e">
        <f aca="false">M1084</f>
        <v>#NAME?</v>
      </c>
    </row>
    <row r="1085" s="461" customFormat="true" ht="15" hidden="false" customHeight="false" outlineLevel="0" collapsed="false">
      <c r="A1085" s="327" t="s">
        <v>1768</v>
      </c>
      <c r="B1085" s="433" t="s">
        <v>3621</v>
      </c>
      <c r="C1085" s="508" t="e">
        <f aca="false">мат.затр!g8926</f>
        <v>#NAME?</v>
      </c>
      <c r="D1085" s="508" t="n">
        <f aca="false">тарифик!J1086</f>
        <v>7251.2271307452</v>
      </c>
      <c r="E1085" s="508"/>
      <c r="F1085" s="508" t="n">
        <f aca="false">D1085*0.9*0.095+D1085*3%</f>
        <v>837.516733601071</v>
      </c>
      <c r="G1085" s="508" t="n">
        <f aca="false">амортизация!M3268</f>
        <v>399.694723337796</v>
      </c>
      <c r="H1085" s="473" t="e">
        <f aca="false">C1085+D1085+F1085+G1085</f>
        <v>#NAME?</v>
      </c>
      <c r="I1085" s="462" t="n">
        <f aca="false">I$190</f>
        <v>0.240474587202079</v>
      </c>
      <c r="J1085" s="473" t="n">
        <f aca="false">D1085*I1085</f>
        <v>1743.73585097447</v>
      </c>
      <c r="K1085" s="473" t="e">
        <f aca="false">H1085+J1085</f>
        <v>#NAME?</v>
      </c>
      <c r="L1085" s="462" t="n">
        <v>0.2</v>
      </c>
      <c r="M1085" s="473" t="e">
        <f aca="false">K1085*L1085</f>
        <v>#NAME?</v>
      </c>
      <c r="N1085" s="473" t="e">
        <f aca="false">K1085+M1085</f>
        <v>#NAME?</v>
      </c>
      <c r="O1085" s="473" t="e">
        <f aca="false">M1085</f>
        <v>#NAME?</v>
      </c>
    </row>
    <row r="1086" s="461" customFormat="true" ht="15" hidden="false" customHeight="false" outlineLevel="0" collapsed="false">
      <c r="A1086" s="327" t="s">
        <v>1770</v>
      </c>
      <c r="B1086" s="433" t="s">
        <v>3622</v>
      </c>
      <c r="C1086" s="508" t="e">
        <f aca="false">мат.затр!g8938</f>
        <v>#NAME?</v>
      </c>
      <c r="D1086" s="508" t="n">
        <f aca="false">тарифик!J1087</f>
        <v>3463.85542168675</v>
      </c>
      <c r="E1086" s="508"/>
      <c r="F1086" s="508" t="n">
        <f aca="false">D1086*0.9*0.095+D1086*3%</f>
        <v>400.075301204819</v>
      </c>
      <c r="G1086" s="508" t="n">
        <f aca="false">амортизация!M3276</f>
        <v>404.348077495166</v>
      </c>
      <c r="H1086" s="473" t="e">
        <f aca="false">C1086+D1086+F1086+G1086</f>
        <v>#NAME?</v>
      </c>
      <c r="I1086" s="462" t="n">
        <f aca="false">I$190</f>
        <v>0.240474587202079</v>
      </c>
      <c r="J1086" s="473" t="n">
        <f aca="false">D1086*I1086</f>
        <v>832.969202657804</v>
      </c>
      <c r="K1086" s="473" t="e">
        <f aca="false">H1086+J1086</f>
        <v>#NAME?</v>
      </c>
      <c r="L1086" s="462" t="n">
        <v>0.2</v>
      </c>
      <c r="M1086" s="473" t="e">
        <f aca="false">K1086*L1086</f>
        <v>#NAME?</v>
      </c>
      <c r="N1086" s="473" t="e">
        <f aca="false">K1086+M1086</f>
        <v>#NAME?</v>
      </c>
      <c r="O1086" s="473" t="e">
        <f aca="false">M1086</f>
        <v>#NAME?</v>
      </c>
    </row>
    <row r="1087" s="461" customFormat="true" ht="15" hidden="false" customHeight="false" outlineLevel="0" collapsed="false">
      <c r="A1087" s="327" t="s">
        <v>1772</v>
      </c>
      <c r="B1087" s="433" t="s">
        <v>3623</v>
      </c>
      <c r="C1087" s="508" t="e">
        <f aca="false">мат.затр!g8944</f>
        <v>#NAME?</v>
      </c>
      <c r="D1087" s="508" t="n">
        <f aca="false">тарифик!J1088</f>
        <v>184.069611780455</v>
      </c>
      <c r="E1087" s="508"/>
      <c r="F1087" s="508" t="n">
        <f aca="false">D1087*0.9*0.095+D1087*3%</f>
        <v>21.2600401606426</v>
      </c>
      <c r="G1087" s="508" t="n">
        <f aca="false">амортизация!M3279</f>
        <v>194.710434329912</v>
      </c>
      <c r="H1087" s="473" t="e">
        <f aca="false">C1087+D1087+F1087+G1087</f>
        <v>#NAME?</v>
      </c>
      <c r="I1087" s="462" t="n">
        <f aca="false">I$190</f>
        <v>0.240474587202079</v>
      </c>
      <c r="J1087" s="473" t="n">
        <f aca="false">D1087*I1087</f>
        <v>44.2640639093519</v>
      </c>
      <c r="K1087" s="473" t="e">
        <f aca="false">H1087+J1087</f>
        <v>#NAME?</v>
      </c>
      <c r="L1087" s="462" t="n">
        <v>0.2</v>
      </c>
      <c r="M1087" s="473" t="e">
        <f aca="false">K1087*L1087</f>
        <v>#NAME?</v>
      </c>
      <c r="N1087" s="473" t="e">
        <f aca="false">K1087+M1087</f>
        <v>#NAME?</v>
      </c>
      <c r="O1087" s="473" t="e">
        <f aca="false">M1087</f>
        <v>#NAME?</v>
      </c>
    </row>
    <row r="1088" s="461" customFormat="true" ht="15" hidden="false" customHeight="false" outlineLevel="0" collapsed="false">
      <c r="A1088" s="388" t="s">
        <v>1774</v>
      </c>
      <c r="B1088" s="467" t="s">
        <v>3624</v>
      </c>
      <c r="C1088" s="474"/>
      <c r="D1088" s="474"/>
      <c r="E1088" s="474"/>
      <c r="F1088" s="474"/>
      <c r="G1088" s="474"/>
      <c r="H1088" s="474"/>
      <c r="I1088" s="511"/>
      <c r="J1088" s="474"/>
      <c r="K1088" s="474"/>
      <c r="L1088" s="511"/>
      <c r="M1088" s="474"/>
      <c r="N1088" s="474"/>
      <c r="O1088" s="474"/>
    </row>
    <row r="1089" s="485" customFormat="true" ht="15.75" hidden="false" customHeight="true" outlineLevel="0" collapsed="false">
      <c r="A1089" s="512" t="s">
        <v>1776</v>
      </c>
      <c r="B1089" s="513" t="s">
        <v>3625</v>
      </c>
      <c r="C1089" s="514" t="e">
        <f aca="false">мат.затр!g8948</f>
        <v>#NAME?</v>
      </c>
      <c r="D1089" s="514" t="n">
        <f aca="false">тарифик!J1090</f>
        <v>343.736055332441</v>
      </c>
      <c r="E1089" s="514"/>
      <c r="F1089" s="514" t="n">
        <f aca="false">D1089*0.9*0.095+D1089*3%</f>
        <v>39.7015143908969</v>
      </c>
      <c r="G1089" s="514" t="n">
        <f aca="false">амортизация!M3284</f>
        <v>47.2428603302097</v>
      </c>
      <c r="H1089" s="514" t="e">
        <f aca="false">C1089+D1089+F1089+G1089</f>
        <v>#NAME?</v>
      </c>
      <c r="I1089" s="514" t="n">
        <f aca="false">I$190</f>
        <v>0.240474587202079</v>
      </c>
      <c r="J1089" s="514" t="n">
        <f aca="false">D1089*I1089</f>
        <v>82.6597860125397</v>
      </c>
      <c r="K1089" s="514" t="e">
        <f aca="false">H1089+J1089</f>
        <v>#NAME?</v>
      </c>
      <c r="L1089" s="514" t="n">
        <v>0.2</v>
      </c>
      <c r="M1089" s="514" t="e">
        <f aca="false">K1089*L1089</f>
        <v>#NAME?</v>
      </c>
      <c r="N1089" s="514" t="e">
        <f aca="false">K1089+M1089</f>
        <v>#NAME?</v>
      </c>
      <c r="O1089" s="514" t="e">
        <f aca="false">M1089</f>
        <v>#NAME?</v>
      </c>
    </row>
    <row r="1090" s="461" customFormat="true" ht="15" hidden="false" customHeight="false" outlineLevel="0" collapsed="false">
      <c r="A1090" s="388" t="s">
        <v>1778</v>
      </c>
      <c r="B1090" s="346" t="s">
        <v>3626</v>
      </c>
      <c r="C1090" s="474"/>
      <c r="D1090" s="474"/>
      <c r="E1090" s="474"/>
      <c r="F1090" s="474"/>
      <c r="G1090" s="474"/>
      <c r="H1090" s="474"/>
      <c r="I1090" s="511"/>
      <c r="J1090" s="474"/>
      <c r="K1090" s="474"/>
      <c r="L1090" s="511"/>
      <c r="M1090" s="474"/>
      <c r="N1090" s="474"/>
      <c r="O1090" s="474"/>
      <c r="P1090" s="485"/>
    </row>
    <row r="1091" s="461" customFormat="true" ht="15" hidden="false" customHeight="false" outlineLevel="0" collapsed="false">
      <c r="A1091" s="390" t="s">
        <v>1780</v>
      </c>
      <c r="B1091" s="433" t="s">
        <v>3627</v>
      </c>
      <c r="C1091" s="473" t="e">
        <f aca="false">мат.затр!g8954</f>
        <v>#NAME?</v>
      </c>
      <c r="D1091" s="473" t="n">
        <f aca="false">тарифик!J1092</f>
        <v>1026.32753235163</v>
      </c>
      <c r="E1091" s="473"/>
      <c r="F1091" s="473" t="n">
        <f aca="false">D1091*0.9*0.095+D1091*3%</f>
        <v>118.540829986613</v>
      </c>
      <c r="G1091" s="473" t="n">
        <f aca="false">амортизация!M3286</f>
        <v>246.227911646586</v>
      </c>
      <c r="H1091" s="473" t="e">
        <f aca="false">C1091+D1091+F1091+G1091</f>
        <v>#NAME?</v>
      </c>
      <c r="I1091" s="462" t="n">
        <f aca="false">I$190</f>
        <v>0.240474587202079</v>
      </c>
      <c r="J1091" s="473" t="n">
        <f aca="false">D1091*I1091</f>
        <v>246.805689676386</v>
      </c>
      <c r="K1091" s="473" t="e">
        <f aca="false">H1091+J1091</f>
        <v>#NAME?</v>
      </c>
      <c r="L1091" s="462" t="n">
        <v>0.2</v>
      </c>
      <c r="M1091" s="473" t="e">
        <f aca="false">K1091*L1091</f>
        <v>#NAME?</v>
      </c>
      <c r="N1091" s="473" t="e">
        <f aca="false">K1091+M1091</f>
        <v>#NAME?</v>
      </c>
      <c r="O1091" s="473" t="e">
        <f aca="false">M1091</f>
        <v>#NAME?</v>
      </c>
    </row>
    <row r="1092" customFormat="false" ht="28.5" hidden="false" customHeight="false" outlineLevel="0" collapsed="false">
      <c r="A1092" s="515" t="s">
        <v>1782</v>
      </c>
      <c r="B1092" s="357" t="s">
        <v>3628</v>
      </c>
      <c r="C1092" s="516"/>
      <c r="D1092" s="517"/>
      <c r="E1092" s="516"/>
      <c r="F1092" s="517"/>
      <c r="G1092" s="516"/>
      <c r="H1092" s="517"/>
      <c r="I1092" s="518"/>
      <c r="J1092" s="517"/>
      <c r="K1092" s="517"/>
      <c r="L1092" s="518"/>
      <c r="M1092" s="517"/>
      <c r="N1092" s="517"/>
      <c r="O1092" s="517"/>
    </row>
    <row r="1093" customFormat="false" ht="15" hidden="false" customHeight="false" outlineLevel="0" collapsed="false">
      <c r="A1093" s="350" t="s">
        <v>1784</v>
      </c>
      <c r="B1093" s="509" t="s">
        <v>3629</v>
      </c>
      <c r="C1093" s="519"/>
      <c r="D1093" s="520"/>
      <c r="E1093" s="519"/>
      <c r="F1093" s="520"/>
      <c r="G1093" s="519"/>
      <c r="H1093" s="520"/>
      <c r="I1093" s="521"/>
      <c r="J1093" s="520"/>
      <c r="K1093" s="520"/>
      <c r="L1093" s="521"/>
      <c r="M1093" s="520"/>
      <c r="N1093" s="520"/>
      <c r="O1093" s="520"/>
    </row>
    <row r="1094" customFormat="false" ht="30" hidden="false" customHeight="false" outlineLevel="0" collapsed="false">
      <c r="A1094" s="327" t="s">
        <v>1786</v>
      </c>
      <c r="B1094" s="500" t="s">
        <v>3630</v>
      </c>
      <c r="C1094" s="369" t="e">
        <f aca="false">мат.затр!g8962</f>
        <v>#NAME?</v>
      </c>
      <c r="D1094" s="473" t="n">
        <f aca="false">тарифик!J1095</f>
        <v>251.004016064257</v>
      </c>
      <c r="E1094" s="369"/>
      <c r="F1094" s="473" t="n">
        <f aca="false">D1094*0.9*0.095+D1094*3%</f>
        <v>28.9909638554217</v>
      </c>
      <c r="G1094" s="473" t="n">
        <f aca="false">амортизация!M3295</f>
        <v>28.6901773761714</v>
      </c>
      <c r="H1094" s="473" t="e">
        <f aca="false">C1094+D1094+F1094+G1094</f>
        <v>#NAME?</v>
      </c>
      <c r="I1094" s="462" t="n">
        <f aca="false">I$190</f>
        <v>0.240474587202079</v>
      </c>
      <c r="J1094" s="473" t="n">
        <f aca="false">D1094*I1094</f>
        <v>60.3600871491162</v>
      </c>
      <c r="K1094" s="473" t="e">
        <f aca="false">H1094+J1094</f>
        <v>#NAME?</v>
      </c>
      <c r="L1094" s="462" t="n">
        <v>0.2</v>
      </c>
      <c r="M1094" s="473" t="e">
        <f aca="false">K1094*L1094</f>
        <v>#NAME?</v>
      </c>
      <c r="N1094" s="473" t="e">
        <f aca="false">K1094+M1094</f>
        <v>#NAME?</v>
      </c>
      <c r="O1094" s="473" t="e">
        <f aca="false">M1094</f>
        <v>#NAME?</v>
      </c>
    </row>
    <row r="1095" customFormat="false" ht="30" hidden="false" customHeight="false" outlineLevel="0" collapsed="false">
      <c r="A1095" s="327" t="s">
        <v>1788</v>
      </c>
      <c r="B1095" s="500" t="s">
        <v>3631</v>
      </c>
      <c r="C1095" s="369" t="e">
        <f aca="false">мат.затр!g8969</f>
        <v>#NAME?</v>
      </c>
      <c r="D1095" s="473" t="n">
        <f aca="false">тарифик!J1096</f>
        <v>334.672021419009</v>
      </c>
      <c r="E1095" s="369"/>
      <c r="F1095" s="473" t="n">
        <f aca="false">D1095*0.9*0.095+D1095*3%</f>
        <v>38.6546184738956</v>
      </c>
      <c r="G1095" s="473" t="n">
        <f aca="false">амортизация!M3303</f>
        <v>29.3363593261937</v>
      </c>
      <c r="H1095" s="473" t="e">
        <f aca="false">C1095+D1095+F1095+G1095</f>
        <v>#NAME?</v>
      </c>
      <c r="I1095" s="462" t="n">
        <f aca="false">I$190</f>
        <v>0.240474587202079</v>
      </c>
      <c r="J1095" s="473" t="n">
        <f aca="false">D1095*I1095</f>
        <v>80.4801161988216</v>
      </c>
      <c r="K1095" s="473" t="e">
        <f aca="false">H1095+J1095</f>
        <v>#NAME?</v>
      </c>
      <c r="L1095" s="462" t="n">
        <v>0.2</v>
      </c>
      <c r="M1095" s="473" t="e">
        <f aca="false">K1095*L1095</f>
        <v>#NAME?</v>
      </c>
      <c r="N1095" s="473" t="e">
        <f aca="false">K1095+M1095</f>
        <v>#NAME?</v>
      </c>
      <c r="O1095" s="473" t="e">
        <f aca="false">M1095</f>
        <v>#NAME?</v>
      </c>
    </row>
    <row r="1096" customFormat="false" ht="15" hidden="false" customHeight="false" outlineLevel="0" collapsed="false">
      <c r="A1096" s="327" t="s">
        <v>1790</v>
      </c>
      <c r="B1096" s="522" t="s">
        <v>3632</v>
      </c>
      <c r="C1096" s="369" t="e">
        <f aca="false">мат.затр!g8980</f>
        <v>#NAME?</v>
      </c>
      <c r="D1096" s="473" t="n">
        <f aca="false">тарифик!J1097</f>
        <v>301.204819277108</v>
      </c>
      <c r="E1096" s="369"/>
      <c r="F1096" s="473" t="n">
        <f aca="false">D1096*0.9*0.095+D1096*3%</f>
        <v>34.789156626506</v>
      </c>
      <c r="G1096" s="473" t="n">
        <f aca="false">амортизация!M3311</f>
        <v>15.8262680351034</v>
      </c>
      <c r="H1096" s="473" t="e">
        <f aca="false">C1096+D1096+F1096+G1096</f>
        <v>#NAME?</v>
      </c>
      <c r="I1096" s="462" t="n">
        <f aca="false">I$190</f>
        <v>0.240474587202079</v>
      </c>
      <c r="J1096" s="473" t="n">
        <f aca="false">D1096*I1096</f>
        <v>72.4321045789394</v>
      </c>
      <c r="K1096" s="473" t="e">
        <f aca="false">H1096+J1096</f>
        <v>#NAME?</v>
      </c>
      <c r="L1096" s="462" t="n">
        <v>0.2</v>
      </c>
      <c r="M1096" s="473" t="e">
        <f aca="false">K1096*L1096</f>
        <v>#NAME?</v>
      </c>
      <c r="N1096" s="473" t="e">
        <f aca="false">K1096+M1096</f>
        <v>#NAME?</v>
      </c>
      <c r="O1096" s="473" t="e">
        <f aca="false">M1096</f>
        <v>#NAME?</v>
      </c>
    </row>
    <row r="1097" customFormat="false" ht="19.5" hidden="false" customHeight="true" outlineLevel="0" collapsed="false">
      <c r="A1097" s="327" t="s">
        <v>1792</v>
      </c>
      <c r="B1097" s="522" t="s">
        <v>3633</v>
      </c>
      <c r="C1097" s="369" t="e">
        <f aca="false">мат.затр!g8993</f>
        <v>#NAME?</v>
      </c>
      <c r="D1097" s="473" t="n">
        <f aca="false">тарифик!J1098</f>
        <v>251.004016064257</v>
      </c>
      <c r="E1097" s="369"/>
      <c r="F1097" s="473" t="n">
        <f aca="false">D1097*0.9*0.095+D1097*3%</f>
        <v>28.9909638554217</v>
      </c>
      <c r="G1097" s="473" t="n">
        <f aca="false">амортизация!M3316</f>
        <v>11.1052543507363</v>
      </c>
      <c r="H1097" s="473" t="e">
        <f aca="false">C1097+D1097+F1097+G1097</f>
        <v>#NAME?</v>
      </c>
      <c r="I1097" s="462" t="n">
        <f aca="false">I$190</f>
        <v>0.240474587202079</v>
      </c>
      <c r="J1097" s="473" t="n">
        <f aca="false">D1097*I1097</f>
        <v>60.3600871491162</v>
      </c>
      <c r="K1097" s="473" t="e">
        <f aca="false">H1097+J1097</f>
        <v>#NAME?</v>
      </c>
      <c r="L1097" s="462" t="n">
        <v>0.2</v>
      </c>
      <c r="M1097" s="473" t="e">
        <f aca="false">K1097*L1097</f>
        <v>#NAME?</v>
      </c>
      <c r="N1097" s="473" t="e">
        <f aca="false">K1097+M1097</f>
        <v>#NAME?</v>
      </c>
      <c r="O1097" s="473" t="e">
        <f aca="false">M1097</f>
        <v>#NAME?</v>
      </c>
    </row>
    <row r="1098" customFormat="false" ht="15" hidden="false" customHeight="false" outlineLevel="0" collapsed="false">
      <c r="A1098" s="327" t="s">
        <v>1794</v>
      </c>
      <c r="B1098" s="488" t="s">
        <v>3634</v>
      </c>
      <c r="C1098" s="369" t="e">
        <f aca="false">мат.затр!g9006</f>
        <v>#NAME?</v>
      </c>
      <c r="D1098" s="473" t="n">
        <f aca="false">тарифик!J1099</f>
        <v>284.471218206158</v>
      </c>
      <c r="E1098" s="369"/>
      <c r="F1098" s="473" t="n">
        <f aca="false">D1098*0.9*0.095+D1098*3%</f>
        <v>32.8564257028112</v>
      </c>
      <c r="G1098" s="473" t="n">
        <f aca="false">амортизация!M3321</f>
        <v>10.3776215975011</v>
      </c>
      <c r="H1098" s="473" t="e">
        <f aca="false">C1098+D1098+F1098+G1098</f>
        <v>#NAME?</v>
      </c>
      <c r="I1098" s="462" t="n">
        <f aca="false">I$190</f>
        <v>0.240474587202079</v>
      </c>
      <c r="J1098" s="473" t="n">
        <f aca="false">D1098*I1098</f>
        <v>68.4080987689984</v>
      </c>
      <c r="K1098" s="473" t="e">
        <f aca="false">H1098+J1098</f>
        <v>#NAME?</v>
      </c>
      <c r="L1098" s="462" t="n">
        <v>0.2</v>
      </c>
      <c r="M1098" s="473" t="e">
        <f aca="false">K1098*L1098</f>
        <v>#NAME?</v>
      </c>
      <c r="N1098" s="473" t="e">
        <f aca="false">K1098+M1098</f>
        <v>#NAME?</v>
      </c>
      <c r="O1098" s="473" t="e">
        <f aca="false">M1098</f>
        <v>#NAME?</v>
      </c>
    </row>
    <row r="1099" customFormat="false" ht="30" hidden="false" customHeight="false" outlineLevel="0" collapsed="false">
      <c r="A1099" s="327" t="s">
        <v>1796</v>
      </c>
      <c r="B1099" s="522" t="s">
        <v>3635</v>
      </c>
      <c r="C1099" s="369" t="e">
        <f aca="false">мат.затр!g9014</f>
        <v>#NAME?</v>
      </c>
      <c r="D1099" s="473" t="n">
        <f aca="false">тарифик!J1100</f>
        <v>426.706827309237</v>
      </c>
      <c r="E1099" s="369"/>
      <c r="F1099" s="473" t="n">
        <f aca="false">D1099*0.9*0.095+D1099*3%</f>
        <v>49.2846385542169</v>
      </c>
      <c r="G1099" s="473" t="n">
        <f aca="false">амортизация!M3329</f>
        <v>25.4717945857504</v>
      </c>
      <c r="H1099" s="473" t="e">
        <f aca="false">C1099+D1099+F1099+G1099</f>
        <v>#NAME?</v>
      </c>
      <c r="I1099" s="462" t="n">
        <f aca="false">I$190</f>
        <v>0.240474587202079</v>
      </c>
      <c r="J1099" s="473" t="n">
        <f aca="false">D1099*I1099</f>
        <v>102.612148153498</v>
      </c>
      <c r="K1099" s="473" t="e">
        <f aca="false">H1099+J1099</f>
        <v>#NAME?</v>
      </c>
      <c r="L1099" s="462" t="n">
        <v>0.2</v>
      </c>
      <c r="M1099" s="473" t="e">
        <f aca="false">K1099*L1099</f>
        <v>#NAME?</v>
      </c>
      <c r="N1099" s="473" t="e">
        <f aca="false">K1099+M1099</f>
        <v>#NAME?</v>
      </c>
      <c r="O1099" s="473" t="e">
        <f aca="false">M1099</f>
        <v>#NAME?</v>
      </c>
    </row>
    <row r="1100" customFormat="false" ht="30" hidden="false" customHeight="false" outlineLevel="0" collapsed="false">
      <c r="A1100" s="327" t="s">
        <v>1798</v>
      </c>
      <c r="B1100" s="522" t="s">
        <v>3636</v>
      </c>
      <c r="C1100" s="369" t="e">
        <f aca="false">мат.затр!g9022</f>
        <v>#NAME?</v>
      </c>
      <c r="D1100" s="473" t="n">
        <f aca="false">тарифик!J1101</f>
        <v>251.004016064257</v>
      </c>
      <c r="E1100" s="369"/>
      <c r="F1100" s="473" t="n">
        <f aca="false">D1100*0.9*0.095+D1100*3%</f>
        <v>28.9909638554217</v>
      </c>
      <c r="G1100" s="473" t="n">
        <f aca="false">амортизация!M3334</f>
        <v>11.1052543507363</v>
      </c>
      <c r="H1100" s="473" t="e">
        <f aca="false">C1100+D1100+F1100+G1100</f>
        <v>#NAME?</v>
      </c>
      <c r="I1100" s="462" t="n">
        <f aca="false">I$190</f>
        <v>0.240474587202079</v>
      </c>
      <c r="J1100" s="473" t="n">
        <f aca="false">D1100*I1100</f>
        <v>60.3600871491162</v>
      </c>
      <c r="K1100" s="473" t="e">
        <f aca="false">H1100+J1100</f>
        <v>#NAME?</v>
      </c>
      <c r="L1100" s="462" t="n">
        <v>0.2</v>
      </c>
      <c r="M1100" s="473" t="e">
        <f aca="false">K1100*L1100</f>
        <v>#NAME?</v>
      </c>
      <c r="N1100" s="473" t="e">
        <f aca="false">K1100+M1100</f>
        <v>#NAME?</v>
      </c>
      <c r="O1100" s="473" t="e">
        <f aca="false">M1100</f>
        <v>#NAME?</v>
      </c>
    </row>
    <row r="1101" customFormat="false" ht="30" hidden="false" customHeight="false" outlineLevel="0" collapsed="false">
      <c r="A1101" s="327" t="s">
        <v>1800</v>
      </c>
      <c r="B1101" s="522" t="s">
        <v>3637</v>
      </c>
      <c r="C1101" s="369" t="e">
        <f aca="false">мат.затр!g9054</f>
        <v>#NAME?</v>
      </c>
      <c r="D1101" s="473" t="n">
        <f aca="false">тарифик!J1102</f>
        <v>251.004016064257</v>
      </c>
      <c r="E1101" s="369"/>
      <c r="F1101" s="473" t="n">
        <f aca="false">D1101*0.9*0.095+D1101*3%</f>
        <v>28.9909638554217</v>
      </c>
      <c r="G1101" s="473" t="n">
        <f aca="false">амортизация!M3342</f>
        <v>33.9588446378105</v>
      </c>
      <c r="H1101" s="473" t="e">
        <f aca="false">C1101+D1101+F1101+G1101</f>
        <v>#NAME?</v>
      </c>
      <c r="I1101" s="462" t="n">
        <f aca="false">I$190</f>
        <v>0.240474587202079</v>
      </c>
      <c r="J1101" s="473" t="n">
        <f aca="false">D1101*I1101</f>
        <v>60.3600871491162</v>
      </c>
      <c r="K1101" s="473" t="e">
        <f aca="false">H1101+J1101</f>
        <v>#NAME?</v>
      </c>
      <c r="L1101" s="462" t="n">
        <v>0.2</v>
      </c>
      <c r="M1101" s="473" t="e">
        <f aca="false">K1101*L1101</f>
        <v>#NAME?</v>
      </c>
      <c r="N1101" s="473" t="e">
        <f aca="false">K1101+M1101</f>
        <v>#NAME?</v>
      </c>
      <c r="O1101" s="473" t="e">
        <f aca="false">M1101</f>
        <v>#NAME?</v>
      </c>
    </row>
    <row r="1102" customFormat="false" ht="30" hidden="false" customHeight="false" outlineLevel="0" collapsed="false">
      <c r="A1102" s="327" t="s">
        <v>1802</v>
      </c>
      <c r="B1102" s="522" t="s">
        <v>3638</v>
      </c>
      <c r="C1102" s="369" t="e">
        <f aca="false">мат.затр!g9063</f>
        <v>#NAME?</v>
      </c>
      <c r="D1102" s="473" t="n">
        <f aca="false">тарифик!J1103</f>
        <v>334.672021419009</v>
      </c>
      <c r="E1102" s="369"/>
      <c r="F1102" s="473" t="n">
        <f aca="false">D1102*0.9*0.095+D1102*3%</f>
        <v>38.6546184738956</v>
      </c>
      <c r="G1102" s="473" t="n">
        <f aca="false">амортизация!M3347</f>
        <v>11.1052543507363</v>
      </c>
      <c r="H1102" s="473" t="e">
        <f aca="false">C1102+D1102+F1102+G1102</f>
        <v>#NAME?</v>
      </c>
      <c r="I1102" s="462" t="n">
        <f aca="false">I$190</f>
        <v>0.240474587202079</v>
      </c>
      <c r="J1102" s="473" t="n">
        <f aca="false">D1102*I1102</f>
        <v>80.4801161988216</v>
      </c>
      <c r="K1102" s="473" t="e">
        <f aca="false">H1102+J1102</f>
        <v>#NAME?</v>
      </c>
      <c r="L1102" s="462" t="n">
        <v>0.2</v>
      </c>
      <c r="M1102" s="473" t="e">
        <f aca="false">K1102*L1102</f>
        <v>#NAME?</v>
      </c>
      <c r="N1102" s="473" t="e">
        <f aca="false">K1102+M1102</f>
        <v>#NAME?</v>
      </c>
      <c r="O1102" s="473" t="e">
        <f aca="false">M1102</f>
        <v>#NAME?</v>
      </c>
    </row>
    <row r="1103" customFormat="false" ht="30" hidden="false" customHeight="false" outlineLevel="0" collapsed="false">
      <c r="A1103" s="327" t="s">
        <v>1804</v>
      </c>
      <c r="B1103" s="522" t="s">
        <v>3639</v>
      </c>
      <c r="C1103" s="369" t="e">
        <f aca="false">мат.затр!g9075</f>
        <v>#NAME?</v>
      </c>
      <c r="D1103" s="473" t="n">
        <f aca="false">тарифик!J1104</f>
        <v>652.610441767068</v>
      </c>
      <c r="E1103" s="369"/>
      <c r="F1103" s="473" t="n">
        <f aca="false">D1103*0.9*0.095+D1103*3%</f>
        <v>75.3765060240964</v>
      </c>
      <c r="G1103" s="473" t="n">
        <f aca="false">амортизация!M3355</f>
        <v>37.2884593931281</v>
      </c>
      <c r="H1103" s="473" t="e">
        <f aca="false">C1103+D1103+F1103+G1103</f>
        <v>#NAME?</v>
      </c>
      <c r="I1103" s="462" t="n">
        <f aca="false">I$190</f>
        <v>0.240474587202079</v>
      </c>
      <c r="J1103" s="473" t="n">
        <f aca="false">D1103*I1103</f>
        <v>156.936226587702</v>
      </c>
      <c r="K1103" s="473" t="e">
        <f aca="false">H1103+J1103</f>
        <v>#NAME?</v>
      </c>
      <c r="L1103" s="462" t="n">
        <v>0.2</v>
      </c>
      <c r="M1103" s="473" t="e">
        <f aca="false">K1103*L1103</f>
        <v>#NAME?</v>
      </c>
      <c r="N1103" s="473" t="e">
        <f aca="false">K1103+M1103</f>
        <v>#NAME?</v>
      </c>
      <c r="O1103" s="473" t="e">
        <f aca="false">M1103</f>
        <v>#NAME?</v>
      </c>
    </row>
    <row r="1104" customFormat="false" ht="30" hidden="false" customHeight="false" outlineLevel="0" collapsed="false">
      <c r="A1104" s="327" t="s">
        <v>1806</v>
      </c>
      <c r="B1104" s="522" t="s">
        <v>3640</v>
      </c>
      <c r="C1104" s="369" t="e">
        <f aca="false">мат.затр!g9107</f>
        <v>#NAME?</v>
      </c>
      <c r="D1104" s="473" t="n">
        <f aca="false">тарифик!J1105</f>
        <v>418.340026773762</v>
      </c>
      <c r="E1104" s="369"/>
      <c r="F1104" s="473" t="n">
        <f aca="false">D1104*0.9*0.095+D1104*3%</f>
        <v>48.3182730923695</v>
      </c>
      <c r="G1104" s="473" t="n">
        <f aca="false">амортизация!M3360</f>
        <v>11.1052543507363</v>
      </c>
      <c r="H1104" s="473" t="e">
        <f aca="false">C1104+D1104+F1104+G1104</f>
        <v>#NAME?</v>
      </c>
      <c r="I1104" s="462" t="n">
        <f aca="false">I$190</f>
        <v>0.240474587202079</v>
      </c>
      <c r="J1104" s="473" t="n">
        <f aca="false">D1104*I1104</f>
        <v>100.600145248527</v>
      </c>
      <c r="K1104" s="473" t="e">
        <f aca="false">H1104+J1104</f>
        <v>#NAME?</v>
      </c>
      <c r="L1104" s="462" t="n">
        <v>0.2</v>
      </c>
      <c r="M1104" s="473" t="e">
        <f aca="false">K1104*L1104</f>
        <v>#NAME?</v>
      </c>
      <c r="N1104" s="473" t="e">
        <f aca="false">K1104+M1104</f>
        <v>#NAME?</v>
      </c>
      <c r="O1104" s="473" t="e">
        <f aca="false">M1104</f>
        <v>#NAME?</v>
      </c>
    </row>
    <row r="1105" customFormat="false" ht="15" hidden="false" customHeight="false" outlineLevel="0" collapsed="false">
      <c r="A1105" s="327" t="s">
        <v>1808</v>
      </c>
      <c r="B1105" s="522" t="s">
        <v>3641</v>
      </c>
      <c r="C1105" s="369" t="e">
        <f aca="false">мат.затр!g9116</f>
        <v>#NAME?</v>
      </c>
      <c r="D1105" s="473" t="n">
        <f aca="false">тарифик!J1106</f>
        <v>284.471218206158</v>
      </c>
      <c r="E1105" s="369"/>
      <c r="F1105" s="473" t="n">
        <f aca="false">D1105*0.9*0.095+D1105*3%</f>
        <v>32.8564257028112</v>
      </c>
      <c r="G1105" s="473" t="n">
        <f aca="false">амортизация!M3367</f>
        <v>187.060742971888</v>
      </c>
      <c r="H1105" s="473" t="e">
        <f aca="false">C1105+D1105+F1105+G1105</f>
        <v>#NAME?</v>
      </c>
      <c r="I1105" s="462" t="n">
        <f aca="false">I$190</f>
        <v>0.240474587202079</v>
      </c>
      <c r="J1105" s="473" t="n">
        <f aca="false">D1105*I1105</f>
        <v>68.4080987689984</v>
      </c>
      <c r="K1105" s="473" t="e">
        <f aca="false">H1105+J1105</f>
        <v>#NAME?</v>
      </c>
      <c r="L1105" s="462" t="n">
        <v>0.2</v>
      </c>
      <c r="M1105" s="473" t="e">
        <f aca="false">K1105*L1105</f>
        <v>#NAME?</v>
      </c>
      <c r="N1105" s="473" t="e">
        <f aca="false">K1105+M1105</f>
        <v>#NAME?</v>
      </c>
      <c r="O1105" s="473" t="e">
        <f aca="false">M1105</f>
        <v>#NAME?</v>
      </c>
    </row>
    <row r="1106" customFormat="false" ht="15" hidden="false" customHeight="false" outlineLevel="0" collapsed="false">
      <c r="A1106" s="327" t="s">
        <v>1810</v>
      </c>
      <c r="B1106" s="522" t="s">
        <v>3642</v>
      </c>
      <c r="C1106" s="369" t="e">
        <f aca="false">мат.затр!g9127</f>
        <v>#NAME?</v>
      </c>
      <c r="D1106" s="473" t="n">
        <f aca="false">тарифик!J1107</f>
        <v>334.672021419009</v>
      </c>
      <c r="E1106" s="369"/>
      <c r="F1106" s="473" t="n">
        <f aca="false">D1106*0.9*0.095+D1106*3%</f>
        <v>38.6546184738956</v>
      </c>
      <c r="G1106" s="473" t="n">
        <f aca="false">амортизация!M3374</f>
        <v>187.060742971888</v>
      </c>
      <c r="H1106" s="473" t="e">
        <f aca="false">C1106+D1106+F1106+G1106</f>
        <v>#NAME?</v>
      </c>
      <c r="I1106" s="462" t="n">
        <f aca="false">I$190</f>
        <v>0.240474587202079</v>
      </c>
      <c r="J1106" s="473" t="n">
        <f aca="false">D1106*I1106</f>
        <v>80.4801161988216</v>
      </c>
      <c r="K1106" s="473" t="e">
        <f aca="false">H1106+J1106</f>
        <v>#NAME?</v>
      </c>
      <c r="L1106" s="462" t="n">
        <v>0.2</v>
      </c>
      <c r="M1106" s="473" t="e">
        <f aca="false">K1106*L1106</f>
        <v>#NAME?</v>
      </c>
      <c r="N1106" s="473" t="e">
        <f aca="false">K1106+M1106</f>
        <v>#NAME?</v>
      </c>
      <c r="O1106" s="473" t="e">
        <f aca="false">M1106</f>
        <v>#NAME?</v>
      </c>
    </row>
    <row r="1107" customFormat="false" ht="15" hidden="false" customHeight="false" outlineLevel="0" collapsed="false">
      <c r="A1107" s="327" t="s">
        <v>1812</v>
      </c>
      <c r="B1107" s="522" t="s">
        <v>3643</v>
      </c>
      <c r="C1107" s="369" t="e">
        <f aca="false">мат.затр!g9139</f>
        <v>#NAME?</v>
      </c>
      <c r="D1107" s="473" t="n">
        <f aca="false">тарифик!J1108</f>
        <v>418.340026773762</v>
      </c>
      <c r="E1107" s="369"/>
      <c r="F1107" s="473" t="n">
        <f aca="false">D1107*0.9*0.095+D1107*3%</f>
        <v>48.3182730923695</v>
      </c>
      <c r="G1107" s="473" t="n">
        <f aca="false">амортизация!M3379</f>
        <v>11.1052543507363</v>
      </c>
      <c r="H1107" s="473" t="e">
        <f aca="false">C1107+D1107+F1107+G1107</f>
        <v>#NAME?</v>
      </c>
      <c r="I1107" s="462" t="n">
        <f aca="false">I$190</f>
        <v>0.240474587202079</v>
      </c>
      <c r="J1107" s="473" t="n">
        <f aca="false">D1107*I1107</f>
        <v>100.600145248527</v>
      </c>
      <c r="K1107" s="473" t="e">
        <f aca="false">H1107+J1107</f>
        <v>#NAME?</v>
      </c>
      <c r="L1107" s="462" t="n">
        <v>0.2</v>
      </c>
      <c r="M1107" s="473" t="e">
        <f aca="false">K1107*L1107</f>
        <v>#NAME?</v>
      </c>
      <c r="N1107" s="473" t="e">
        <f aca="false">K1107+M1107</f>
        <v>#NAME?</v>
      </c>
      <c r="O1107" s="473" t="e">
        <f aca="false">M1107</f>
        <v>#NAME?</v>
      </c>
    </row>
    <row r="1108" customFormat="false" ht="15" hidden="false" customHeight="false" outlineLevel="0" collapsed="false">
      <c r="A1108" s="327" t="s">
        <v>1814</v>
      </c>
      <c r="B1108" s="522" t="s">
        <v>3644</v>
      </c>
      <c r="C1108" s="369" t="e">
        <f aca="false">мат.затр!g9150</f>
        <v>#NAME?</v>
      </c>
      <c r="D1108" s="473" t="n">
        <f aca="false">тарифик!J1109</f>
        <v>334.672021419009</v>
      </c>
      <c r="E1108" s="369"/>
      <c r="F1108" s="473" t="n">
        <f aca="false">D1108*0.9*0.095+D1108*3%</f>
        <v>38.6546184738956</v>
      </c>
      <c r="G1108" s="473" t="n">
        <f aca="false">амортизация!M3387</f>
        <v>37.2884593931281</v>
      </c>
      <c r="H1108" s="473" t="e">
        <f aca="false">C1108+D1108+F1108+G1108</f>
        <v>#NAME?</v>
      </c>
      <c r="I1108" s="462" t="n">
        <f aca="false">I$190</f>
        <v>0.240474587202079</v>
      </c>
      <c r="J1108" s="473" t="n">
        <f aca="false">D1108*I1108</f>
        <v>80.4801161988216</v>
      </c>
      <c r="K1108" s="473" t="e">
        <f aca="false">H1108+J1108</f>
        <v>#NAME?</v>
      </c>
      <c r="L1108" s="462" t="n">
        <v>0.2</v>
      </c>
      <c r="M1108" s="473" t="e">
        <f aca="false">K1108*L1108</f>
        <v>#NAME?</v>
      </c>
      <c r="N1108" s="473" t="e">
        <f aca="false">K1108+M1108</f>
        <v>#NAME?</v>
      </c>
      <c r="O1108" s="473" t="e">
        <f aca="false">M1108</f>
        <v>#NAME?</v>
      </c>
    </row>
    <row r="1109" customFormat="false" ht="30" hidden="false" customHeight="false" outlineLevel="0" collapsed="false">
      <c r="A1109" s="327" t="s">
        <v>1816</v>
      </c>
      <c r="B1109" s="522" t="s">
        <v>3645</v>
      </c>
      <c r="C1109" s="369" t="e">
        <f aca="false">мат.затр!g9161</f>
        <v>#NAME?</v>
      </c>
      <c r="D1109" s="473" t="n">
        <f aca="false">тарифик!J1110</f>
        <v>418.340026773762</v>
      </c>
      <c r="E1109" s="369"/>
      <c r="F1109" s="473" t="n">
        <f aca="false">D1109*0.9*0.095+D1109*3%</f>
        <v>48.3182730923695</v>
      </c>
      <c r="G1109" s="473" t="n">
        <f aca="false">амортизация!M3392</f>
        <v>11.1052543507363</v>
      </c>
      <c r="H1109" s="473" t="e">
        <f aca="false">C1109+D1109+F1109+G1109</f>
        <v>#NAME?</v>
      </c>
      <c r="I1109" s="462" t="n">
        <f aca="false">I$190</f>
        <v>0.240474587202079</v>
      </c>
      <c r="J1109" s="473" t="n">
        <f aca="false">D1109*I1109</f>
        <v>100.600145248527</v>
      </c>
      <c r="K1109" s="473" t="e">
        <f aca="false">H1109+J1109</f>
        <v>#NAME?</v>
      </c>
      <c r="L1109" s="462" t="n">
        <v>0.2</v>
      </c>
      <c r="M1109" s="473" t="e">
        <f aca="false">K1109*L1109</f>
        <v>#NAME?</v>
      </c>
      <c r="N1109" s="473" t="e">
        <f aca="false">K1109+M1109</f>
        <v>#NAME?</v>
      </c>
      <c r="O1109" s="473" t="e">
        <f aca="false">M1109</f>
        <v>#NAME?</v>
      </c>
    </row>
    <row r="1110" customFormat="false" ht="15" hidden="false" customHeight="false" outlineLevel="0" collapsed="false">
      <c r="A1110" s="327" t="s">
        <v>1818</v>
      </c>
      <c r="B1110" s="522" t="s">
        <v>3646</v>
      </c>
      <c r="C1110" s="369" t="e">
        <f aca="false">мат.затр!g9174</f>
        <v>#NAME?</v>
      </c>
      <c r="D1110" s="473" t="n">
        <f aca="false">тарифик!J1111</f>
        <v>418.340026773762</v>
      </c>
      <c r="E1110" s="369"/>
      <c r="F1110" s="473" t="n">
        <f aca="false">D1110*0.9*0.095+D1110*3%</f>
        <v>48.3182730923695</v>
      </c>
      <c r="G1110" s="473" t="n">
        <f aca="false">амортизация!M3400</f>
        <v>33.9588446378105</v>
      </c>
      <c r="H1110" s="473" t="e">
        <f aca="false">C1110+D1110+F1110+G1110</f>
        <v>#NAME?</v>
      </c>
      <c r="I1110" s="462" t="n">
        <f aca="false">I$190</f>
        <v>0.240474587202079</v>
      </c>
      <c r="J1110" s="473" t="n">
        <f aca="false">D1110*I1110</f>
        <v>100.600145248527</v>
      </c>
      <c r="K1110" s="473" t="e">
        <f aca="false">H1110+J1110</f>
        <v>#NAME?</v>
      </c>
      <c r="L1110" s="462" t="n">
        <v>0.2</v>
      </c>
      <c r="M1110" s="473" t="e">
        <f aca="false">K1110*L1110</f>
        <v>#NAME?</v>
      </c>
      <c r="N1110" s="473" t="e">
        <f aca="false">K1110+M1110</f>
        <v>#NAME?</v>
      </c>
      <c r="O1110" s="473" t="e">
        <f aca="false">M1110</f>
        <v>#NAME?</v>
      </c>
    </row>
    <row r="1111" customFormat="false" ht="15" hidden="false" customHeight="false" outlineLevel="0" collapsed="false">
      <c r="A1111" s="327" t="s">
        <v>1820</v>
      </c>
      <c r="B1111" s="522" t="s">
        <v>3647</v>
      </c>
      <c r="C1111" s="369" t="e">
        <f aca="false">мат.затр!g9187</f>
        <v>#NAME?</v>
      </c>
      <c r="D1111" s="473" t="n">
        <f aca="false">тарифик!J1112</f>
        <v>585.676037483266</v>
      </c>
      <c r="E1111" s="369"/>
      <c r="F1111" s="473" t="n">
        <f aca="false">D1111*0.9*0.095+D1111*3%</f>
        <v>67.6455823293173</v>
      </c>
      <c r="G1111" s="473" t="n">
        <f aca="false">амортизация!M3405</f>
        <v>11.1052543507363</v>
      </c>
      <c r="H1111" s="473" t="e">
        <f aca="false">C1111+D1111+F1111+G1111</f>
        <v>#NAME?</v>
      </c>
      <c r="I1111" s="462" t="n">
        <f aca="false">I$190</f>
        <v>0.240474587202079</v>
      </c>
      <c r="J1111" s="473" t="n">
        <f aca="false">D1111*I1111</f>
        <v>140.840203347938</v>
      </c>
      <c r="K1111" s="473" t="e">
        <f aca="false">H1111+J1111</f>
        <v>#NAME?</v>
      </c>
      <c r="L1111" s="462" t="n">
        <v>0.2</v>
      </c>
      <c r="M1111" s="473" t="e">
        <f aca="false">K1111*L1111</f>
        <v>#NAME?</v>
      </c>
      <c r="N1111" s="473" t="e">
        <f aca="false">K1111+M1111</f>
        <v>#NAME?</v>
      </c>
      <c r="O1111" s="473" t="e">
        <f aca="false">M1111</f>
        <v>#NAME?</v>
      </c>
    </row>
    <row r="1112" customFormat="false" ht="30" hidden="false" customHeight="false" outlineLevel="0" collapsed="false">
      <c r="A1112" s="327" t="s">
        <v>1822</v>
      </c>
      <c r="B1112" s="522" t="s">
        <v>3648</v>
      </c>
      <c r="C1112" s="369" t="e">
        <f aca="false">мат.затр!g9198</f>
        <v>#NAME?</v>
      </c>
      <c r="D1112" s="473" t="n">
        <f aca="false">тарифик!J1113</f>
        <v>368.13922356091</v>
      </c>
      <c r="E1112" s="369"/>
      <c r="F1112" s="473" t="n">
        <f aca="false">D1112*0.9*0.095+D1112*3%</f>
        <v>42.5200803212851</v>
      </c>
      <c r="G1112" s="473" t="n">
        <f aca="false">амортизация!M3414</f>
        <v>38.0160921463632</v>
      </c>
      <c r="H1112" s="473" t="e">
        <f aca="false">C1112+D1112+F1112+G1112</f>
        <v>#NAME?</v>
      </c>
      <c r="I1112" s="462" t="n">
        <f aca="false">I$190</f>
        <v>0.240474587202079</v>
      </c>
      <c r="J1112" s="473" t="n">
        <f aca="false">D1112*I1112</f>
        <v>88.5281278187038</v>
      </c>
      <c r="K1112" s="473" t="e">
        <f aca="false">H1112+J1112</f>
        <v>#NAME?</v>
      </c>
      <c r="L1112" s="462" t="n">
        <v>0.2</v>
      </c>
      <c r="M1112" s="473" t="e">
        <f aca="false">K1112*L1112</f>
        <v>#NAME?</v>
      </c>
      <c r="N1112" s="473" t="e">
        <f aca="false">K1112+M1112</f>
        <v>#NAME?</v>
      </c>
      <c r="O1112" s="473" t="e">
        <f aca="false">M1112</f>
        <v>#NAME?</v>
      </c>
    </row>
    <row r="1113" customFormat="false" ht="30" hidden="false" customHeight="false" outlineLevel="0" collapsed="false">
      <c r="A1113" s="327" t="s">
        <v>1824</v>
      </c>
      <c r="B1113" s="500" t="s">
        <v>3649</v>
      </c>
      <c r="C1113" s="369" t="e">
        <f aca="false">мат.затр!g9210</f>
        <v>#NAME?</v>
      </c>
      <c r="D1113" s="473" t="n">
        <f aca="false">тарифик!J1114</f>
        <v>727.911646586345</v>
      </c>
      <c r="E1113" s="369"/>
      <c r="F1113" s="473" t="n">
        <f aca="false">D1113*0.9*0.095+D1113*3%</f>
        <v>84.0737951807229</v>
      </c>
      <c r="G1113" s="473" t="n">
        <f aca="false">амортизация!M3420</f>
        <v>17.4453369031682</v>
      </c>
      <c r="H1113" s="473" t="e">
        <f aca="false">C1113+D1113+F1113+G1113</f>
        <v>#NAME?</v>
      </c>
      <c r="I1113" s="462" t="n">
        <f aca="false">I$190</f>
        <v>0.240474587202079</v>
      </c>
      <c r="J1113" s="473" t="n">
        <f aca="false">D1113*I1113</f>
        <v>175.044252732437</v>
      </c>
      <c r="K1113" s="473" t="e">
        <f aca="false">H1113+J1113</f>
        <v>#NAME?</v>
      </c>
      <c r="L1113" s="462" t="n">
        <v>0.2</v>
      </c>
      <c r="M1113" s="473" t="e">
        <f aca="false">K1113*L1113</f>
        <v>#NAME?</v>
      </c>
      <c r="N1113" s="473" t="e">
        <f aca="false">K1113+M1113</f>
        <v>#NAME?</v>
      </c>
      <c r="O1113" s="473" t="e">
        <f aca="false">M1113</f>
        <v>#NAME?</v>
      </c>
    </row>
    <row r="1114" customFormat="false" ht="15" hidden="false" customHeight="false" outlineLevel="0" collapsed="false">
      <c r="A1114" s="350" t="s">
        <v>1826</v>
      </c>
      <c r="B1114" s="509" t="s">
        <v>3626</v>
      </c>
      <c r="C1114" s="364"/>
      <c r="D1114" s="364"/>
      <c r="E1114" s="364"/>
      <c r="F1114" s="364"/>
      <c r="G1114" s="474"/>
      <c r="H1114" s="474"/>
      <c r="I1114" s="475"/>
      <c r="J1114" s="474"/>
      <c r="K1114" s="474"/>
      <c r="L1114" s="475"/>
      <c r="M1114" s="474"/>
      <c r="N1114" s="474"/>
      <c r="O1114" s="474"/>
    </row>
    <row r="1115" customFormat="false" ht="45" hidden="false" customHeight="false" outlineLevel="0" collapsed="false">
      <c r="A1115" s="327" t="s">
        <v>1827</v>
      </c>
      <c r="B1115" s="500" t="s">
        <v>3650</v>
      </c>
      <c r="C1115" s="369" t="e">
        <f aca="false">мат.затр!g9219</f>
        <v>#NAME?</v>
      </c>
      <c r="D1115" s="473" t="n">
        <f aca="false">тарифик!J1116</f>
        <v>251.004016064257</v>
      </c>
      <c r="E1115" s="369"/>
      <c r="F1115" s="473" t="n">
        <f aca="false">D1115*0.9*0.095+D1115*3%</f>
        <v>28.9909638554217</v>
      </c>
      <c r="G1115" s="473" t="n">
        <f aca="false">амортизация!M3430</f>
        <v>37.2884593931281</v>
      </c>
      <c r="H1115" s="473" t="e">
        <f aca="false">C1115+D1115+F1115+G1115</f>
        <v>#NAME?</v>
      </c>
      <c r="I1115" s="462" t="n">
        <f aca="false">I$190</f>
        <v>0.240474587202079</v>
      </c>
      <c r="J1115" s="473" t="n">
        <f aca="false">D1115*I1115</f>
        <v>60.3600871491162</v>
      </c>
      <c r="K1115" s="473" t="e">
        <f aca="false">H1115+J1115</f>
        <v>#NAME?</v>
      </c>
      <c r="L1115" s="462" t="n">
        <v>0.2</v>
      </c>
      <c r="M1115" s="473" t="e">
        <f aca="false">K1115*L1115</f>
        <v>#NAME?</v>
      </c>
      <c r="N1115" s="473" t="e">
        <f aca="false">K1115+M1115</f>
        <v>#NAME?</v>
      </c>
      <c r="O1115" s="473" t="e">
        <f aca="false">M1115</f>
        <v>#NAME?</v>
      </c>
    </row>
    <row r="1116" customFormat="false" ht="30" hidden="false" customHeight="false" outlineLevel="0" collapsed="false">
      <c r="A1116" s="327" t="s">
        <v>1829</v>
      </c>
      <c r="B1116" s="500" t="s">
        <v>3651</v>
      </c>
      <c r="C1116" s="369" t="e">
        <f aca="false">мат.затр!g9228</f>
        <v>#NAME?</v>
      </c>
      <c r="D1116" s="473" t="n">
        <f aca="false">тарифик!J1117</f>
        <v>502.008032128514</v>
      </c>
      <c r="E1116" s="369"/>
      <c r="F1116" s="473" t="n">
        <f aca="false">D1116*0.9*0.095+D1116*3%</f>
        <v>57.9819277108434</v>
      </c>
      <c r="G1116" s="473" t="n">
        <f aca="false">амортизация!M3438</f>
        <v>29.4178101294065</v>
      </c>
      <c r="H1116" s="473" t="e">
        <f aca="false">C1116+D1116+F1116+G1116</f>
        <v>#NAME?</v>
      </c>
      <c r="I1116" s="462" t="n">
        <f aca="false">I$190</f>
        <v>0.240474587202079</v>
      </c>
      <c r="J1116" s="473" t="n">
        <f aca="false">D1116*I1116</f>
        <v>120.720174298232</v>
      </c>
      <c r="K1116" s="473" t="e">
        <f aca="false">H1116+J1116</f>
        <v>#NAME?</v>
      </c>
      <c r="L1116" s="462" t="n">
        <v>0.2</v>
      </c>
      <c r="M1116" s="473" t="e">
        <f aca="false">K1116*L1116</f>
        <v>#NAME?</v>
      </c>
      <c r="N1116" s="473" t="e">
        <f aca="false">K1116+M1116</f>
        <v>#NAME?</v>
      </c>
      <c r="O1116" s="473" t="e">
        <f aca="false">M1116</f>
        <v>#NAME?</v>
      </c>
    </row>
    <row r="1117" customFormat="false" ht="30" hidden="false" customHeight="false" outlineLevel="0" collapsed="false">
      <c r="A1117" s="327" t="s">
        <v>1831</v>
      </c>
      <c r="B1117" s="522" t="s">
        <v>3652</v>
      </c>
      <c r="C1117" s="369" t="e">
        <f aca="false">мат.затр!g9239</f>
        <v>#NAME?</v>
      </c>
      <c r="D1117" s="473" t="n">
        <f aca="false">тарифик!J1118</f>
        <v>376.506024096386</v>
      </c>
      <c r="E1117" s="369"/>
      <c r="F1117" s="473" t="n">
        <f aca="false">D1117*0.9*0.095+D1117*3%</f>
        <v>43.4864457831325</v>
      </c>
      <c r="G1117" s="473" t="n">
        <f aca="false">амортизация!M3448</f>
        <v>34.3925237988993</v>
      </c>
      <c r="H1117" s="473" t="e">
        <f aca="false">C1117+D1117+F1117+G1117</f>
        <v>#NAME?</v>
      </c>
      <c r="I1117" s="462" t="n">
        <f aca="false">I$190</f>
        <v>0.240474587202079</v>
      </c>
      <c r="J1117" s="473" t="n">
        <f aca="false">D1117*I1117</f>
        <v>90.5401307236743</v>
      </c>
      <c r="K1117" s="473" t="e">
        <f aca="false">H1117+J1117</f>
        <v>#NAME?</v>
      </c>
      <c r="L1117" s="462" t="n">
        <v>0.2</v>
      </c>
      <c r="M1117" s="473" t="e">
        <f aca="false">K1117*L1117</f>
        <v>#NAME?</v>
      </c>
      <c r="N1117" s="473" t="e">
        <f aca="false">K1117+M1117</f>
        <v>#NAME?</v>
      </c>
      <c r="O1117" s="473" t="e">
        <f aca="false">M1117</f>
        <v>#NAME?</v>
      </c>
    </row>
    <row r="1118" customFormat="false" ht="30" hidden="false" customHeight="false" outlineLevel="0" collapsed="false">
      <c r="A1118" s="327" t="s">
        <v>1833</v>
      </c>
      <c r="B1118" s="522" t="s">
        <v>3653</v>
      </c>
      <c r="C1118" s="369" t="e">
        <f aca="false">мат.затр!g9250</f>
        <v>#NAME?</v>
      </c>
      <c r="D1118" s="473" t="n">
        <f aca="false">тарифик!J1119</f>
        <v>502.008032128514</v>
      </c>
      <c r="E1118" s="369"/>
      <c r="F1118" s="473" t="n">
        <f aca="false">D1118*0.9*0.095+D1118*3%</f>
        <v>57.9819277108434</v>
      </c>
      <c r="G1118" s="473" t="n">
        <f aca="false">амортизация!M3456</f>
        <v>29.4178101294065</v>
      </c>
      <c r="H1118" s="473" t="e">
        <f aca="false">C1118+D1118+F1118+G1118</f>
        <v>#NAME?</v>
      </c>
      <c r="I1118" s="462" t="n">
        <f aca="false">I$190</f>
        <v>0.240474587202079</v>
      </c>
      <c r="J1118" s="473" t="n">
        <f aca="false">D1118*I1118</f>
        <v>120.720174298232</v>
      </c>
      <c r="K1118" s="473" t="e">
        <f aca="false">H1118+J1118</f>
        <v>#NAME?</v>
      </c>
      <c r="L1118" s="462" t="n">
        <v>0.2</v>
      </c>
      <c r="M1118" s="473" t="e">
        <f aca="false">K1118*L1118</f>
        <v>#NAME?</v>
      </c>
      <c r="N1118" s="473" t="e">
        <f aca="false">K1118+M1118</f>
        <v>#NAME?</v>
      </c>
      <c r="O1118" s="473" t="e">
        <f aca="false">M1118</f>
        <v>#NAME?</v>
      </c>
    </row>
    <row r="1119" customFormat="false" ht="15" hidden="false" customHeight="false" outlineLevel="0" collapsed="false">
      <c r="A1119" s="327" t="s">
        <v>1835</v>
      </c>
      <c r="B1119" s="522" t="s">
        <v>3654</v>
      </c>
      <c r="C1119" s="369" t="e">
        <f aca="false">мат.затр!g9265</f>
        <v>#NAME?</v>
      </c>
      <c r="D1119" s="473" t="n">
        <f aca="false">тарифик!J1120</f>
        <v>376.506024096386</v>
      </c>
      <c r="E1119" s="369"/>
      <c r="F1119" s="473" t="n">
        <f aca="false">D1119*0.9*0.095+D1119*3%</f>
        <v>43.4864457831325</v>
      </c>
      <c r="G1119" s="473" t="n">
        <f aca="false">амортизация!M3465</f>
        <v>33.8491465863454</v>
      </c>
      <c r="H1119" s="473" t="e">
        <f aca="false">C1119+D1119+F1119+G1119</f>
        <v>#NAME?</v>
      </c>
      <c r="I1119" s="462" t="n">
        <f aca="false">I$190</f>
        <v>0.240474587202079</v>
      </c>
      <c r="J1119" s="473" t="n">
        <f aca="false">D1119*I1119</f>
        <v>90.5401307236743</v>
      </c>
      <c r="K1119" s="473" t="e">
        <f aca="false">H1119+J1119</f>
        <v>#NAME?</v>
      </c>
      <c r="L1119" s="462" t="n">
        <v>0.2</v>
      </c>
      <c r="M1119" s="473" t="e">
        <f aca="false">K1119*L1119</f>
        <v>#NAME?</v>
      </c>
      <c r="N1119" s="473" t="e">
        <f aca="false">K1119+M1119</f>
        <v>#NAME?</v>
      </c>
      <c r="O1119" s="473" t="e">
        <f aca="false">M1119</f>
        <v>#NAME?</v>
      </c>
    </row>
    <row r="1120" customFormat="false" ht="15" hidden="false" customHeight="false" outlineLevel="0" collapsed="false">
      <c r="A1120" s="327" t="s">
        <v>1837</v>
      </c>
      <c r="B1120" s="522" t="s">
        <v>3655</v>
      </c>
      <c r="C1120" s="369" t="e">
        <f aca="false">мат.затр!g9279</f>
        <v>#NAME?</v>
      </c>
      <c r="D1120" s="473" t="n">
        <f aca="false">тарифик!J1121</f>
        <v>502.008032128514</v>
      </c>
      <c r="E1120" s="369"/>
      <c r="F1120" s="473" t="n">
        <f aca="false">D1120*0.9*0.095+D1120*3%</f>
        <v>57.9819277108434</v>
      </c>
      <c r="G1120" s="473" t="n">
        <f aca="false">амортизация!M3473</f>
        <v>29.4178101294065</v>
      </c>
      <c r="H1120" s="473" t="e">
        <f aca="false">C1120+D1120+F1120+G1120</f>
        <v>#NAME?</v>
      </c>
      <c r="I1120" s="462" t="n">
        <f aca="false">I$190</f>
        <v>0.240474587202079</v>
      </c>
      <c r="J1120" s="473" t="n">
        <f aca="false">D1120*I1120</f>
        <v>120.720174298232</v>
      </c>
      <c r="K1120" s="473" t="e">
        <f aca="false">H1120+J1120</f>
        <v>#NAME?</v>
      </c>
      <c r="L1120" s="462" t="n">
        <v>0.2</v>
      </c>
      <c r="M1120" s="473" t="e">
        <f aca="false">K1120*L1120</f>
        <v>#NAME?</v>
      </c>
      <c r="N1120" s="473" t="e">
        <f aca="false">K1120+M1120</f>
        <v>#NAME?</v>
      </c>
      <c r="O1120" s="473" t="e">
        <f aca="false">M1120</f>
        <v>#NAME?</v>
      </c>
    </row>
    <row r="1121" customFormat="false" ht="15" hidden="false" customHeight="false" outlineLevel="0" collapsed="false">
      <c r="A1121" s="327" t="s">
        <v>1839</v>
      </c>
      <c r="B1121" s="522" t="s">
        <v>3642</v>
      </c>
      <c r="C1121" s="369" t="e">
        <f aca="false">мат.затр!g9295</f>
        <v>#NAME?</v>
      </c>
      <c r="D1121" s="473" t="n">
        <f aca="false">тарифик!J1122</f>
        <v>334.672021419009</v>
      </c>
      <c r="E1121" s="369"/>
      <c r="F1121" s="473" t="n">
        <f aca="false">D1121*0.9*0.095+D1121*3%</f>
        <v>38.6546184738956</v>
      </c>
      <c r="G1121" s="473" t="n">
        <f aca="false">амортизация!M3482</f>
        <v>33.9588446378105</v>
      </c>
      <c r="H1121" s="473" t="e">
        <f aca="false">C1121+D1121+F1121+G1121</f>
        <v>#NAME?</v>
      </c>
      <c r="I1121" s="462" t="n">
        <f aca="false">I$190</f>
        <v>0.240474587202079</v>
      </c>
      <c r="J1121" s="473" t="n">
        <f aca="false">D1121*I1121</f>
        <v>80.4801161988216</v>
      </c>
      <c r="K1121" s="473" t="e">
        <f aca="false">H1121+J1121</f>
        <v>#NAME?</v>
      </c>
      <c r="L1121" s="462" t="n">
        <v>0.2</v>
      </c>
      <c r="M1121" s="473" t="e">
        <f aca="false">K1121*L1121</f>
        <v>#NAME?</v>
      </c>
      <c r="N1121" s="473" t="e">
        <f aca="false">K1121+M1121</f>
        <v>#NAME?</v>
      </c>
      <c r="O1121" s="473" t="e">
        <f aca="false">M1121</f>
        <v>#NAME?</v>
      </c>
    </row>
    <row r="1122" customFormat="false" ht="15" hidden="false" customHeight="false" outlineLevel="0" collapsed="false">
      <c r="A1122" s="327" t="s">
        <v>1840</v>
      </c>
      <c r="B1122" s="522" t="s">
        <v>3643</v>
      </c>
      <c r="C1122" s="369" t="e">
        <f aca="false">мат.затр!g9309</f>
        <v>#NAME?</v>
      </c>
      <c r="D1122" s="473" t="n">
        <f aca="false">тарифик!J1123</f>
        <v>502.008032128514</v>
      </c>
      <c r="E1122" s="369"/>
      <c r="F1122" s="473" t="n">
        <f aca="false">D1122*0.9*0.095+D1122*3%</f>
        <v>57.9819277108434</v>
      </c>
      <c r="G1122" s="473" t="n">
        <f aca="false">амортизация!M3490</f>
        <v>29.4178101294065</v>
      </c>
      <c r="H1122" s="473" t="e">
        <f aca="false">C1122+D1122+F1122+G1122</f>
        <v>#NAME?</v>
      </c>
      <c r="I1122" s="462" t="n">
        <f aca="false">I$190</f>
        <v>0.240474587202079</v>
      </c>
      <c r="J1122" s="473" t="n">
        <f aca="false">D1122*I1122</f>
        <v>120.720174298232</v>
      </c>
      <c r="K1122" s="473" t="e">
        <f aca="false">H1122+J1122</f>
        <v>#NAME?</v>
      </c>
      <c r="L1122" s="462" t="n">
        <v>0.2</v>
      </c>
      <c r="M1122" s="473" t="e">
        <f aca="false">K1122*L1122</f>
        <v>#NAME?</v>
      </c>
      <c r="N1122" s="473" t="e">
        <f aca="false">K1122+M1122</f>
        <v>#NAME?</v>
      </c>
      <c r="O1122" s="473" t="e">
        <f aca="false">M1122</f>
        <v>#NAME?</v>
      </c>
    </row>
    <row r="1123" customFormat="false" ht="15" hidden="false" customHeight="false" outlineLevel="0" collapsed="false">
      <c r="A1123" s="327" t="s">
        <v>1841</v>
      </c>
      <c r="B1123" s="522" t="s">
        <v>3656</v>
      </c>
      <c r="C1123" s="369" t="e">
        <f aca="false">мат.затр!g9325</f>
        <v>#NAME?</v>
      </c>
      <c r="D1123" s="473" t="n">
        <f aca="false">тарифик!J1124</f>
        <v>334.672021419009</v>
      </c>
      <c r="E1123" s="369"/>
      <c r="F1123" s="473" t="n">
        <f aca="false">D1123*0.9*0.095+D1123*3%</f>
        <v>38.6546184738956</v>
      </c>
      <c r="G1123" s="473" t="n">
        <f aca="false">амортизация!M3500</f>
        <v>48.185380410531</v>
      </c>
      <c r="H1123" s="473" t="e">
        <f aca="false">C1123+D1123+F1123+G1123</f>
        <v>#NAME?</v>
      </c>
      <c r="I1123" s="462" t="n">
        <f aca="false">I$190</f>
        <v>0.240474587202079</v>
      </c>
      <c r="J1123" s="473" t="n">
        <f aca="false">D1123*I1123</f>
        <v>80.4801161988216</v>
      </c>
      <c r="K1123" s="473" t="e">
        <f aca="false">H1123+J1123</f>
        <v>#NAME?</v>
      </c>
      <c r="L1123" s="462" t="n">
        <v>0.2</v>
      </c>
      <c r="M1123" s="473" t="e">
        <f aca="false">K1123*L1123</f>
        <v>#NAME?</v>
      </c>
      <c r="N1123" s="473" t="e">
        <f aca="false">K1123+M1123</f>
        <v>#NAME?</v>
      </c>
      <c r="O1123" s="473" t="e">
        <f aca="false">M1123</f>
        <v>#NAME?</v>
      </c>
    </row>
    <row r="1124" customFormat="false" ht="15" hidden="false" customHeight="false" outlineLevel="0" collapsed="false">
      <c r="A1124" s="327" t="s">
        <v>1843</v>
      </c>
      <c r="B1124" s="522" t="s">
        <v>3657</v>
      </c>
      <c r="C1124" s="369" t="e">
        <f aca="false">мат.затр!g9341</f>
        <v>#NAME?</v>
      </c>
      <c r="D1124" s="473" t="n">
        <f aca="false">тарифик!J1125</f>
        <v>502.008032128514</v>
      </c>
      <c r="E1124" s="369"/>
      <c r="F1124" s="473" t="n">
        <f aca="false">D1124*0.9*0.095+D1124*3%</f>
        <v>57.9819277108434</v>
      </c>
      <c r="G1124" s="473" t="n">
        <f aca="false">амортизация!M3508</f>
        <v>29.4178101294065</v>
      </c>
      <c r="H1124" s="473" t="e">
        <f aca="false">C1124+D1124+F1124+G1124</f>
        <v>#NAME?</v>
      </c>
      <c r="I1124" s="462" t="n">
        <f aca="false">I$190</f>
        <v>0.240474587202079</v>
      </c>
      <c r="J1124" s="473" t="n">
        <f aca="false">D1124*I1124</f>
        <v>120.720174298232</v>
      </c>
      <c r="K1124" s="473" t="e">
        <f aca="false">H1124+J1124</f>
        <v>#NAME?</v>
      </c>
      <c r="L1124" s="462" t="n">
        <v>0.2</v>
      </c>
      <c r="M1124" s="473" t="e">
        <f aca="false">K1124*L1124</f>
        <v>#NAME?</v>
      </c>
      <c r="N1124" s="473" t="e">
        <f aca="false">K1124+M1124</f>
        <v>#NAME?</v>
      </c>
      <c r="O1124" s="473" t="e">
        <f aca="false">M1124</f>
        <v>#NAME?</v>
      </c>
    </row>
    <row r="1125" customFormat="false" ht="30" hidden="false" customHeight="false" outlineLevel="0" collapsed="false">
      <c r="A1125" s="327" t="s">
        <v>1845</v>
      </c>
      <c r="B1125" s="522" t="s">
        <v>3658</v>
      </c>
      <c r="C1125" s="369" t="e">
        <f aca="false">мат.затр!g9351</f>
        <v>#NAME?</v>
      </c>
      <c r="D1125" s="473" t="n">
        <f aca="false">тарифик!J1126</f>
        <v>376.506024096386</v>
      </c>
      <c r="E1125" s="369"/>
      <c r="F1125" s="473" t="n">
        <f aca="false">D1125*0.9*0.095+D1125*3%</f>
        <v>43.4864457831325</v>
      </c>
      <c r="G1125" s="473" t="n">
        <f aca="false">амортизация!M3518</f>
        <v>41.0070374088948</v>
      </c>
      <c r="H1125" s="473" t="e">
        <f aca="false">C1125+D1125+F1125+G1125</f>
        <v>#NAME?</v>
      </c>
      <c r="I1125" s="462" t="n">
        <f aca="false">I$190</f>
        <v>0.240474587202079</v>
      </c>
      <c r="J1125" s="473" t="n">
        <f aca="false">D1125*I1125</f>
        <v>90.5401307236743</v>
      </c>
      <c r="K1125" s="473" t="e">
        <f aca="false">H1125+J1125</f>
        <v>#NAME?</v>
      </c>
      <c r="L1125" s="462" t="n">
        <v>0.2</v>
      </c>
      <c r="M1125" s="473" t="e">
        <f aca="false">K1125*L1125</f>
        <v>#NAME?</v>
      </c>
      <c r="N1125" s="473" t="e">
        <f aca="false">K1125+M1125</f>
        <v>#NAME?</v>
      </c>
      <c r="O1125" s="473" t="e">
        <f aca="false">M1125</f>
        <v>#NAME?</v>
      </c>
    </row>
    <row r="1126" customFormat="false" ht="30" hidden="false" customHeight="false" outlineLevel="0" collapsed="false">
      <c r="A1126" s="327" t="s">
        <v>1847</v>
      </c>
      <c r="B1126" s="522" t="s">
        <v>3659</v>
      </c>
      <c r="C1126" s="369" t="e">
        <f aca="false">мат.затр!g9362</f>
        <v>#NAME?</v>
      </c>
      <c r="D1126" s="473" t="n">
        <f aca="false">тарифик!J1127</f>
        <v>502.008032128514</v>
      </c>
      <c r="E1126" s="369"/>
      <c r="F1126" s="473" t="n">
        <f aca="false">D1126*0.9*0.095+D1126*3%</f>
        <v>57.9819277108434</v>
      </c>
      <c r="G1126" s="473" t="n">
        <f aca="false">амортизация!M3528</f>
        <v>48.9130131637662</v>
      </c>
      <c r="H1126" s="473" t="e">
        <f aca="false">C1126+D1126+F1126+G1126</f>
        <v>#NAME?</v>
      </c>
      <c r="I1126" s="462" t="n">
        <f aca="false">I$190</f>
        <v>0.240474587202079</v>
      </c>
      <c r="J1126" s="473" t="n">
        <f aca="false">D1126*I1126</f>
        <v>120.720174298232</v>
      </c>
      <c r="K1126" s="473" t="e">
        <f aca="false">H1126+J1126</f>
        <v>#NAME?</v>
      </c>
      <c r="L1126" s="462" t="n">
        <v>0.2</v>
      </c>
      <c r="M1126" s="473" t="e">
        <f aca="false">K1126*L1126</f>
        <v>#NAME?</v>
      </c>
      <c r="N1126" s="473" t="e">
        <f aca="false">K1126+M1126</f>
        <v>#NAME?</v>
      </c>
      <c r="O1126" s="473" t="e">
        <f aca="false">M1126</f>
        <v>#NAME?</v>
      </c>
    </row>
    <row r="1127" customFormat="false" ht="30" hidden="false" customHeight="false" outlineLevel="0" collapsed="false">
      <c r="A1127" s="327" t="s">
        <v>1848</v>
      </c>
      <c r="B1127" s="522" t="s">
        <v>3660</v>
      </c>
      <c r="C1127" s="369" t="e">
        <f aca="false">мат.затр!g9394</f>
        <v>#NAME?</v>
      </c>
      <c r="D1127" s="473" t="n">
        <f aca="false">тарифик!J1128</f>
        <v>418.340026773762</v>
      </c>
      <c r="E1127" s="369"/>
      <c r="F1127" s="473" t="n">
        <f aca="false">D1127*0.9*0.095+D1127*3%</f>
        <v>48.3182730923695</v>
      </c>
      <c r="G1127" s="473" t="n">
        <f aca="false">амортизация!M3537</f>
        <v>33.9588446378105</v>
      </c>
      <c r="H1127" s="473" t="e">
        <f aca="false">C1127+D1127+F1127+G1127</f>
        <v>#NAME?</v>
      </c>
      <c r="I1127" s="462" t="n">
        <f aca="false">I$190</f>
        <v>0.240474587202079</v>
      </c>
      <c r="J1127" s="473" t="n">
        <f aca="false">D1127*I1127</f>
        <v>100.600145248527</v>
      </c>
      <c r="K1127" s="473" t="e">
        <f aca="false">H1127+J1127</f>
        <v>#NAME?</v>
      </c>
      <c r="L1127" s="462" t="n">
        <v>0.2</v>
      </c>
      <c r="M1127" s="473" t="e">
        <f aca="false">K1127*L1127</f>
        <v>#NAME?</v>
      </c>
      <c r="N1127" s="473" t="e">
        <f aca="false">K1127+M1127</f>
        <v>#NAME?</v>
      </c>
      <c r="O1127" s="473" t="e">
        <f aca="false">M1127</f>
        <v>#NAME?</v>
      </c>
    </row>
    <row r="1128" customFormat="false" ht="30" hidden="false" customHeight="false" outlineLevel="0" collapsed="false">
      <c r="A1128" s="327" t="s">
        <v>1850</v>
      </c>
      <c r="B1128" s="522" t="s">
        <v>3661</v>
      </c>
      <c r="C1128" s="369" t="e">
        <f aca="false">мат.затр!g9427</f>
        <v>#NAME?</v>
      </c>
      <c r="D1128" s="473" t="n">
        <f aca="false">тарифик!J1129</f>
        <v>502.008032128514</v>
      </c>
      <c r="E1128" s="369"/>
      <c r="F1128" s="473" t="n">
        <f aca="false">D1128*0.9*0.095+D1128*3%</f>
        <v>57.9819277108434</v>
      </c>
      <c r="G1128" s="473" t="n">
        <f aca="false">амортизация!M3543</f>
        <v>25.4520861222669</v>
      </c>
      <c r="H1128" s="473" t="e">
        <f aca="false">C1128+D1128+F1128+G1128</f>
        <v>#NAME?</v>
      </c>
      <c r="I1128" s="462" t="n">
        <f aca="false">I$190</f>
        <v>0.240474587202079</v>
      </c>
      <c r="J1128" s="473" t="n">
        <f aca="false">D1128*I1128</f>
        <v>120.720174298232</v>
      </c>
      <c r="K1128" s="473" t="e">
        <f aca="false">H1128+J1128</f>
        <v>#NAME?</v>
      </c>
      <c r="L1128" s="462" t="n">
        <v>0.2</v>
      </c>
      <c r="M1128" s="473" t="e">
        <f aca="false">K1128*L1128</f>
        <v>#NAME?</v>
      </c>
      <c r="N1128" s="473" t="e">
        <f aca="false">K1128+M1128</f>
        <v>#NAME?</v>
      </c>
      <c r="O1128" s="473" t="e">
        <f aca="false">M1128</f>
        <v>#NAME?</v>
      </c>
    </row>
    <row r="1129" customFormat="false" ht="15" hidden="false" customHeight="false" outlineLevel="0" collapsed="false">
      <c r="A1129" s="327" t="s">
        <v>1852</v>
      </c>
      <c r="B1129" s="522" t="s">
        <v>3662</v>
      </c>
      <c r="C1129" s="369" t="e">
        <f aca="false">мат.затр!g9441</f>
        <v>#NAME?</v>
      </c>
      <c r="D1129" s="473" t="n">
        <f aca="false">тарифик!J1130</f>
        <v>292.838018741633</v>
      </c>
      <c r="E1129" s="369"/>
      <c r="F1129" s="473" t="n">
        <f aca="false">D1129*0.9*0.095+D1129*3%</f>
        <v>33.8227911646586</v>
      </c>
      <c r="G1129" s="473" t="n">
        <f aca="false">амортизация!M3549</f>
        <v>25.4520861222669</v>
      </c>
      <c r="H1129" s="473" t="e">
        <f aca="false">C1129+D1129+F1129+G1129</f>
        <v>#NAME?</v>
      </c>
      <c r="I1129" s="462" t="n">
        <f aca="false">I$190</f>
        <v>0.240474587202079</v>
      </c>
      <c r="J1129" s="473" t="n">
        <f aca="false">D1129*I1129</f>
        <v>70.4201016739689</v>
      </c>
      <c r="K1129" s="473" t="e">
        <f aca="false">H1129+J1129</f>
        <v>#NAME?</v>
      </c>
      <c r="L1129" s="462" t="n">
        <v>0.2</v>
      </c>
      <c r="M1129" s="473" t="e">
        <f aca="false">K1129*L1129</f>
        <v>#NAME?</v>
      </c>
      <c r="N1129" s="473" t="e">
        <f aca="false">K1129+M1129</f>
        <v>#NAME?</v>
      </c>
      <c r="O1129" s="473" t="e">
        <f aca="false">M1129</f>
        <v>#NAME?</v>
      </c>
    </row>
    <row r="1130" customFormat="false" ht="30" hidden="false" customHeight="false" outlineLevel="0" collapsed="false">
      <c r="A1130" s="327" t="s">
        <v>1854</v>
      </c>
      <c r="B1130" s="522" t="s">
        <v>3663</v>
      </c>
      <c r="C1130" s="369" t="e">
        <f aca="false">мат.затр!g9461</f>
        <v>#NAME?</v>
      </c>
      <c r="D1130" s="473" t="n">
        <f aca="false">тарифик!J1131</f>
        <v>502.008032128514</v>
      </c>
      <c r="E1130" s="369"/>
      <c r="F1130" s="473" t="n">
        <f aca="false">D1130*0.9*0.095+D1130*3%</f>
        <v>57.9819277108434</v>
      </c>
      <c r="G1130" s="473" t="n">
        <f aca="false">амортизация!M3558</f>
        <v>33.9588446378105</v>
      </c>
      <c r="H1130" s="473" t="e">
        <f aca="false">C1130+D1130+F1130+G1130</f>
        <v>#NAME?</v>
      </c>
      <c r="I1130" s="462" t="n">
        <f aca="false">I$190</f>
        <v>0.240474587202079</v>
      </c>
      <c r="J1130" s="473" t="n">
        <f aca="false">D1130*I1130</f>
        <v>120.720174298232</v>
      </c>
      <c r="K1130" s="473" t="e">
        <f aca="false">H1130+J1130</f>
        <v>#NAME?</v>
      </c>
      <c r="L1130" s="462" t="n">
        <v>0.2</v>
      </c>
      <c r="M1130" s="473" t="e">
        <f aca="false">K1130*L1130</f>
        <v>#NAME?</v>
      </c>
      <c r="N1130" s="473" t="e">
        <f aca="false">K1130+M1130</f>
        <v>#NAME?</v>
      </c>
      <c r="O1130" s="473" t="e">
        <f aca="false">M1130</f>
        <v>#NAME?</v>
      </c>
    </row>
    <row r="1131" customFormat="false" ht="15" hidden="false" customHeight="false" outlineLevel="0" collapsed="false">
      <c r="A1131" s="327" t="s">
        <v>1856</v>
      </c>
      <c r="B1131" s="522" t="s">
        <v>3664</v>
      </c>
      <c r="C1131" s="369" t="e">
        <f aca="false">мат.затр!g9474</f>
        <v>#NAME?</v>
      </c>
      <c r="D1131" s="473" t="n">
        <f aca="false">тарифик!J1132</f>
        <v>334.672021419009</v>
      </c>
      <c r="E1131" s="369"/>
      <c r="F1131" s="473" t="n">
        <f aca="false">D1131*0.9*0.095+D1131*3%</f>
        <v>38.6546184738956</v>
      </c>
      <c r="G1131" s="473" t="n">
        <f aca="false">амортизация!M3567</f>
        <v>37.2884593931281</v>
      </c>
      <c r="H1131" s="473" t="e">
        <f aca="false">C1131+D1131+F1131+G1131</f>
        <v>#NAME?</v>
      </c>
      <c r="I1131" s="462" t="n">
        <f aca="false">I$190</f>
        <v>0.240474587202079</v>
      </c>
      <c r="J1131" s="473" t="n">
        <f aca="false">D1131*I1131</f>
        <v>80.4801161988216</v>
      </c>
      <c r="K1131" s="473" t="e">
        <f aca="false">H1131+J1131</f>
        <v>#NAME?</v>
      </c>
      <c r="L1131" s="462" t="n">
        <v>0.2</v>
      </c>
      <c r="M1131" s="473" t="e">
        <f aca="false">K1131*L1131</f>
        <v>#NAME?</v>
      </c>
      <c r="N1131" s="473" t="e">
        <f aca="false">K1131+M1131</f>
        <v>#NAME?</v>
      </c>
      <c r="O1131" s="473" t="e">
        <f aca="false">M1131</f>
        <v>#NAME?</v>
      </c>
    </row>
    <row r="1132" customFormat="false" ht="30" hidden="false" customHeight="false" outlineLevel="0" collapsed="false">
      <c r="A1132" s="327" t="s">
        <v>1858</v>
      </c>
      <c r="B1132" s="522" t="s">
        <v>3665</v>
      </c>
      <c r="C1132" s="369" t="e">
        <f aca="false">мат.затр!g9481</f>
        <v>#NAME?</v>
      </c>
      <c r="D1132" s="473" t="n">
        <f aca="false">тарифик!J1133</f>
        <v>334.672021419009</v>
      </c>
      <c r="E1132" s="369"/>
      <c r="F1132" s="473" t="n">
        <f aca="false">D1132*0.9*0.095+D1132*3%</f>
        <v>38.6546184738956</v>
      </c>
      <c r="G1132" s="473" t="n">
        <f aca="false">амортизация!M3576</f>
        <v>37.2884593931281</v>
      </c>
      <c r="H1132" s="473" t="e">
        <f aca="false">C1132+D1132+F1132+G1132</f>
        <v>#NAME?</v>
      </c>
      <c r="I1132" s="462" t="n">
        <f aca="false">I$190</f>
        <v>0.240474587202079</v>
      </c>
      <c r="J1132" s="473" t="n">
        <f aca="false">D1132*I1132</f>
        <v>80.4801161988216</v>
      </c>
      <c r="K1132" s="473" t="e">
        <f aca="false">H1132+J1132</f>
        <v>#NAME?</v>
      </c>
      <c r="L1132" s="462" t="n">
        <v>0.2</v>
      </c>
      <c r="M1132" s="473" t="e">
        <f aca="false">K1132*L1132</f>
        <v>#NAME?</v>
      </c>
      <c r="N1132" s="473" t="e">
        <f aca="false">K1132+M1132</f>
        <v>#NAME?</v>
      </c>
      <c r="O1132" s="473" t="e">
        <f aca="false">M1132</f>
        <v>#NAME?</v>
      </c>
    </row>
    <row r="1133" customFormat="false" ht="30" hidden="false" customHeight="false" outlineLevel="0" collapsed="false">
      <c r="A1133" s="327" t="s">
        <v>1860</v>
      </c>
      <c r="B1133" s="522" t="s">
        <v>3666</v>
      </c>
      <c r="C1133" s="369" t="e">
        <f aca="false">мат.затр!g9489</f>
        <v>#NAME?</v>
      </c>
      <c r="D1133" s="473" t="n">
        <f aca="false">тарифик!J1134</f>
        <v>502.008032128514</v>
      </c>
      <c r="E1133" s="369"/>
      <c r="F1133" s="473" t="n">
        <f aca="false">D1133*0.9*0.095+D1133*3%</f>
        <v>57.9819277108434</v>
      </c>
      <c r="G1133" s="473" t="n">
        <f aca="false">амортизация!M3582</f>
        <v>25.4520861222669</v>
      </c>
      <c r="H1133" s="473" t="e">
        <f aca="false">C1133+D1133+F1133+G1133</f>
        <v>#NAME?</v>
      </c>
      <c r="I1133" s="462" t="n">
        <f aca="false">I$190</f>
        <v>0.240474587202079</v>
      </c>
      <c r="J1133" s="473" t="n">
        <f aca="false">D1133*I1133</f>
        <v>120.720174298232</v>
      </c>
      <c r="K1133" s="473" t="e">
        <f aca="false">H1133+J1133</f>
        <v>#NAME?</v>
      </c>
      <c r="L1133" s="462" t="n">
        <v>0.2</v>
      </c>
      <c r="M1133" s="473" t="e">
        <f aca="false">K1133*L1133</f>
        <v>#NAME?</v>
      </c>
      <c r="N1133" s="473" t="e">
        <f aca="false">K1133+M1133</f>
        <v>#NAME?</v>
      </c>
      <c r="O1133" s="473" t="e">
        <f aca="false">M1133</f>
        <v>#NAME?</v>
      </c>
    </row>
    <row r="1134" customFormat="false" ht="15" hidden="false" customHeight="false" outlineLevel="0" collapsed="false">
      <c r="A1134" s="327" t="s">
        <v>1862</v>
      </c>
      <c r="B1134" s="522" t="s">
        <v>3667</v>
      </c>
      <c r="C1134" s="369" t="e">
        <f aca="false">мат.затр!g9499</f>
        <v>#NAME?</v>
      </c>
      <c r="D1134" s="473" t="n">
        <f aca="false">тарифик!J1135</f>
        <v>334.672021419009</v>
      </c>
      <c r="E1134" s="369"/>
      <c r="F1134" s="473" t="n">
        <f aca="false">D1134*0.9*0.095+D1134*3%</f>
        <v>38.6546184738956</v>
      </c>
      <c r="G1134" s="473" t="n">
        <f aca="false">амортизация!M3592</f>
        <v>34.8884891417522</v>
      </c>
      <c r="H1134" s="473" t="e">
        <f aca="false">C1134+D1134+F1134+G1134</f>
        <v>#NAME?</v>
      </c>
      <c r="I1134" s="462" t="n">
        <f aca="false">I$190</f>
        <v>0.240474587202079</v>
      </c>
      <c r="J1134" s="473" t="n">
        <f aca="false">D1134*I1134</f>
        <v>80.4801161988216</v>
      </c>
      <c r="K1134" s="473" t="e">
        <f aca="false">H1134+J1134</f>
        <v>#NAME?</v>
      </c>
      <c r="L1134" s="462" t="n">
        <v>0.2</v>
      </c>
      <c r="M1134" s="473" t="e">
        <f aca="false">K1134*L1134</f>
        <v>#NAME?</v>
      </c>
      <c r="N1134" s="473" t="e">
        <f aca="false">K1134+M1134</f>
        <v>#NAME?</v>
      </c>
      <c r="O1134" s="473" t="e">
        <f aca="false">M1134</f>
        <v>#NAME?</v>
      </c>
    </row>
    <row r="1135" customFormat="false" ht="15" hidden="false" customHeight="false" outlineLevel="0" collapsed="false">
      <c r="A1135" s="327" t="s">
        <v>1864</v>
      </c>
      <c r="B1135" s="522" t="s">
        <v>3668</v>
      </c>
      <c r="C1135" s="369" t="e">
        <f aca="false">мат.затр!g9511</f>
        <v>#NAME?</v>
      </c>
      <c r="D1135" s="473" t="n">
        <f aca="false">тарифик!J1136</f>
        <v>334.672021419009</v>
      </c>
      <c r="E1135" s="369"/>
      <c r="F1135" s="473" t="n">
        <f aca="false">D1135*0.9*0.095+D1135*3%</f>
        <v>38.6546184738956</v>
      </c>
      <c r="G1135" s="473" t="n">
        <f aca="false">амортизация!M3602</f>
        <v>34.8884891417522</v>
      </c>
      <c r="H1135" s="473" t="e">
        <f aca="false">C1135+D1135+F1135+G1135</f>
        <v>#NAME?</v>
      </c>
      <c r="I1135" s="462" t="n">
        <f aca="false">I$190</f>
        <v>0.240474587202079</v>
      </c>
      <c r="J1135" s="473" t="n">
        <f aca="false">D1135*I1135</f>
        <v>80.4801161988216</v>
      </c>
      <c r="K1135" s="473" t="e">
        <f aca="false">H1135+J1135</f>
        <v>#NAME?</v>
      </c>
      <c r="L1135" s="462" t="n">
        <v>0.2</v>
      </c>
      <c r="M1135" s="473" t="e">
        <f aca="false">K1135*L1135</f>
        <v>#NAME?</v>
      </c>
      <c r="N1135" s="473" t="e">
        <f aca="false">K1135+M1135</f>
        <v>#NAME?</v>
      </c>
      <c r="O1135" s="473" t="e">
        <f aca="false">M1135</f>
        <v>#NAME?</v>
      </c>
    </row>
    <row r="1136" customFormat="false" ht="15" hidden="false" customHeight="false" outlineLevel="0" collapsed="false">
      <c r="A1136" s="327" t="s">
        <v>1866</v>
      </c>
      <c r="B1136" s="522" t="s">
        <v>3669</v>
      </c>
      <c r="C1136" s="369" t="e">
        <f aca="false">мат.затр!g9530</f>
        <v>#NAME?</v>
      </c>
      <c r="D1136" s="473" t="n">
        <f aca="false">тарифик!J1137</f>
        <v>460.174029451138</v>
      </c>
      <c r="E1136" s="369"/>
      <c r="F1136" s="473" t="n">
        <f aca="false">D1136*0.9*0.095+D1136*3%</f>
        <v>53.1501004016064</v>
      </c>
      <c r="G1136" s="473" t="n">
        <f aca="false">амортизация!M3611</f>
        <v>25.8876245723635</v>
      </c>
      <c r="H1136" s="473" t="e">
        <f aca="false">C1136+D1136+F1136+G1136</f>
        <v>#NAME?</v>
      </c>
      <c r="I1136" s="462" t="n">
        <f aca="false">I$190</f>
        <v>0.240474587202079</v>
      </c>
      <c r="J1136" s="473" t="n">
        <f aca="false">D1136*I1136</f>
        <v>110.66015977338</v>
      </c>
      <c r="K1136" s="473" t="e">
        <f aca="false">H1136+J1136</f>
        <v>#NAME?</v>
      </c>
      <c r="L1136" s="462" t="n">
        <v>0.2</v>
      </c>
      <c r="M1136" s="473" t="e">
        <f aca="false">K1136*L1136</f>
        <v>#NAME?</v>
      </c>
      <c r="N1136" s="473" t="e">
        <f aca="false">K1136+M1136</f>
        <v>#NAME?</v>
      </c>
      <c r="O1136" s="473" t="e">
        <f aca="false">M1136</f>
        <v>#NAME?</v>
      </c>
    </row>
    <row r="1137" customFormat="false" ht="30" hidden="false" customHeight="false" outlineLevel="0" collapsed="false">
      <c r="A1137" s="327" t="s">
        <v>1868</v>
      </c>
      <c r="B1137" s="522" t="s">
        <v>3670</v>
      </c>
      <c r="C1137" s="369" t="e">
        <f aca="false">мат.затр!g9545</f>
        <v>#NAME?</v>
      </c>
      <c r="D1137" s="473" t="n">
        <f aca="false">тарифик!J1138</f>
        <v>167.336010709505</v>
      </c>
      <c r="E1137" s="369"/>
      <c r="F1137" s="473" t="n">
        <f aca="false">D1137*0.9*0.095+D1137*3%</f>
        <v>19.3273092369478</v>
      </c>
      <c r="G1137" s="473" t="n">
        <f aca="false">амортизация!M3623</f>
        <v>62.6913673211364</v>
      </c>
      <c r="H1137" s="473" t="e">
        <f aca="false">C1137+D1137+F1137+G1137</f>
        <v>#NAME?</v>
      </c>
      <c r="I1137" s="462" t="n">
        <f aca="false">I$190</f>
        <v>0.240474587202079</v>
      </c>
      <c r="J1137" s="473" t="n">
        <f aca="false">D1137*I1137</f>
        <v>40.2400580994108</v>
      </c>
      <c r="K1137" s="473" t="e">
        <f aca="false">H1137+J1137</f>
        <v>#NAME?</v>
      </c>
      <c r="L1137" s="462" t="n">
        <v>0.2</v>
      </c>
      <c r="M1137" s="473" t="e">
        <f aca="false">K1137*L1137</f>
        <v>#NAME?</v>
      </c>
      <c r="N1137" s="473" t="e">
        <f aca="false">K1137+M1137</f>
        <v>#NAME?</v>
      </c>
      <c r="O1137" s="473" t="e">
        <f aca="false">M1137</f>
        <v>#NAME?</v>
      </c>
    </row>
    <row r="1138" customFormat="false" ht="15" hidden="false" customHeight="false" outlineLevel="0" collapsed="false">
      <c r="A1138" s="327" t="s">
        <v>1870</v>
      </c>
      <c r="B1138" s="522" t="s">
        <v>3671</v>
      </c>
      <c r="C1138" s="369" t="e">
        <f aca="false">мат.затр!g9558</f>
        <v>#NAME?</v>
      </c>
      <c r="D1138" s="473" t="n">
        <f aca="false">тарифик!J1139</f>
        <v>301.204819277108</v>
      </c>
      <c r="E1138" s="369"/>
      <c r="F1138" s="473" t="n">
        <f aca="false">D1138*0.9*0.095+D1138*3%</f>
        <v>34.789156626506</v>
      </c>
      <c r="G1138" s="473" t="n">
        <f aca="false">амортизация!M3632</f>
        <v>38.5695095195597</v>
      </c>
      <c r="H1138" s="473" t="e">
        <f aca="false">C1138+D1138+F1138+G1138</f>
        <v>#NAME?</v>
      </c>
      <c r="I1138" s="462" t="n">
        <f aca="false">I$190</f>
        <v>0.240474587202079</v>
      </c>
      <c r="J1138" s="473" t="n">
        <f aca="false">D1138*I1138</f>
        <v>72.4321045789394</v>
      </c>
      <c r="K1138" s="473" t="e">
        <f aca="false">H1138+J1138</f>
        <v>#NAME?</v>
      </c>
      <c r="L1138" s="462" t="n">
        <v>0.2</v>
      </c>
      <c r="M1138" s="473" t="e">
        <f aca="false">K1138*L1138</f>
        <v>#NAME?</v>
      </c>
      <c r="N1138" s="473" t="e">
        <f aca="false">K1138+M1138</f>
        <v>#NAME?</v>
      </c>
      <c r="O1138" s="473" t="e">
        <f aca="false">M1138</f>
        <v>#NAME?</v>
      </c>
    </row>
    <row r="1139" customFormat="false" ht="30" hidden="false" customHeight="false" outlineLevel="0" collapsed="false">
      <c r="A1139" s="327" t="s">
        <v>1872</v>
      </c>
      <c r="B1139" s="522" t="s">
        <v>3672</v>
      </c>
      <c r="C1139" s="369" t="e">
        <f aca="false">мат.затр!g9567</f>
        <v>#NAME?</v>
      </c>
      <c r="D1139" s="473" t="n">
        <f aca="false">тарифик!J1140</f>
        <v>334.672021419009</v>
      </c>
      <c r="E1139" s="369"/>
      <c r="F1139" s="473" t="n">
        <f aca="false">D1139*0.9*0.095+D1139*3%</f>
        <v>38.6546184738956</v>
      </c>
      <c r="G1139" s="473" t="n">
        <f aca="false">амортизация!M3640</f>
        <v>31.0022032574743</v>
      </c>
      <c r="H1139" s="473" t="e">
        <f aca="false">C1139+D1139+F1139+G1139</f>
        <v>#NAME?</v>
      </c>
      <c r="I1139" s="462" t="n">
        <f aca="false">I$190</f>
        <v>0.240474587202079</v>
      </c>
      <c r="J1139" s="473" t="n">
        <f aca="false">D1139*I1139</f>
        <v>80.4801161988216</v>
      </c>
      <c r="K1139" s="473" t="e">
        <f aca="false">H1139+J1139</f>
        <v>#NAME?</v>
      </c>
      <c r="L1139" s="462" t="n">
        <v>0.2</v>
      </c>
      <c r="M1139" s="473" t="e">
        <f aca="false">K1139*L1139</f>
        <v>#NAME?</v>
      </c>
      <c r="N1139" s="473" t="e">
        <f aca="false">K1139+M1139</f>
        <v>#NAME?</v>
      </c>
      <c r="O1139" s="473" t="e">
        <f aca="false">M1139</f>
        <v>#NAME?</v>
      </c>
    </row>
    <row r="1140" customFormat="false" ht="15" hidden="false" customHeight="false" outlineLevel="0" collapsed="false">
      <c r="A1140" s="327" t="s">
        <v>1874</v>
      </c>
      <c r="B1140" s="522" t="s">
        <v>3673</v>
      </c>
      <c r="C1140" s="369" t="e">
        <f aca="false">мат.затр!g9577</f>
        <v>#NAME?</v>
      </c>
      <c r="D1140" s="473" t="n">
        <f aca="false">тарифик!J1141</f>
        <v>376.506024096386</v>
      </c>
      <c r="E1140" s="369"/>
      <c r="F1140" s="473" t="n">
        <f aca="false">D1140*0.9*0.095+D1140*3%</f>
        <v>43.4864457831325</v>
      </c>
      <c r="G1140" s="473" t="n">
        <f aca="false">амортизация!M3648</f>
        <v>37.9905269225048</v>
      </c>
      <c r="H1140" s="473" t="e">
        <f aca="false">C1140+D1140+F1140+G1140</f>
        <v>#NAME?</v>
      </c>
      <c r="I1140" s="462" t="n">
        <f aca="false">I$190</f>
        <v>0.240474587202079</v>
      </c>
      <c r="J1140" s="473" t="n">
        <f aca="false">D1140*I1140</f>
        <v>90.5401307236743</v>
      </c>
      <c r="K1140" s="473" t="e">
        <f aca="false">H1140+J1140</f>
        <v>#NAME?</v>
      </c>
      <c r="L1140" s="462" t="n">
        <v>0.2</v>
      </c>
      <c r="M1140" s="473" t="e">
        <f aca="false">K1140*L1140</f>
        <v>#NAME?</v>
      </c>
      <c r="N1140" s="473" t="e">
        <f aca="false">K1140+M1140</f>
        <v>#NAME?</v>
      </c>
      <c r="O1140" s="473" t="e">
        <f aca="false">M1140</f>
        <v>#NAME?</v>
      </c>
    </row>
    <row r="1141" customFormat="false" ht="15" hidden="false" customHeight="false" outlineLevel="0" collapsed="false">
      <c r="A1141" s="327" t="s">
        <v>1876</v>
      </c>
      <c r="B1141" s="522" t="s">
        <v>3674</v>
      </c>
      <c r="C1141" s="369" t="e">
        <f aca="false">мат.затр!g9590</f>
        <v>#NAME?</v>
      </c>
      <c r="D1141" s="473" t="n">
        <f aca="false">тарифик!J1142</f>
        <v>418.340026773762</v>
      </c>
      <c r="E1141" s="369"/>
      <c r="F1141" s="473" t="n">
        <f aca="false">D1141*0.9*0.095+D1141*3%</f>
        <v>48.3182730923695</v>
      </c>
      <c r="G1141" s="473" t="n">
        <f aca="false">амортизация!M3655</f>
        <v>19.8777052655065</v>
      </c>
      <c r="H1141" s="473" t="e">
        <f aca="false">C1141+D1141+F1141+G1141</f>
        <v>#NAME?</v>
      </c>
      <c r="I1141" s="462" t="n">
        <f aca="false">I$190</f>
        <v>0.240474587202079</v>
      </c>
      <c r="J1141" s="473" t="n">
        <f aca="false">D1141*I1141</f>
        <v>100.600145248527</v>
      </c>
      <c r="K1141" s="473" t="e">
        <f aca="false">H1141+J1141</f>
        <v>#NAME?</v>
      </c>
      <c r="L1141" s="462" t="n">
        <v>0.2</v>
      </c>
      <c r="M1141" s="473" t="e">
        <f aca="false">K1141*L1141</f>
        <v>#NAME?</v>
      </c>
      <c r="N1141" s="473" t="e">
        <f aca="false">K1141+M1141</f>
        <v>#NAME?</v>
      </c>
      <c r="O1141" s="473" t="e">
        <f aca="false">M1141</f>
        <v>#NAME?</v>
      </c>
    </row>
    <row r="1142" customFormat="false" ht="30" hidden="false" customHeight="false" outlineLevel="0" collapsed="false">
      <c r="A1142" s="327" t="s">
        <v>1878</v>
      </c>
      <c r="B1142" s="522" t="s">
        <v>3675</v>
      </c>
      <c r="C1142" s="369" t="e">
        <f aca="false">мат.затр!g9599</f>
        <v>#NAME?</v>
      </c>
      <c r="D1142" s="473" t="n">
        <f aca="false">тарифик!J1143</f>
        <v>753.012048192771</v>
      </c>
      <c r="E1142" s="369"/>
      <c r="F1142" s="473" t="n">
        <f aca="false">D1142*0.9*0.095+D1142*3%</f>
        <v>86.9728915662651</v>
      </c>
      <c r="G1142" s="473" t="n">
        <f aca="false">амортизация!M3666</f>
        <v>65.5429811839952</v>
      </c>
      <c r="H1142" s="473" t="e">
        <f aca="false">C1142+D1142+F1142+G1142</f>
        <v>#NAME?</v>
      </c>
      <c r="I1142" s="462" t="n">
        <f aca="false">I$190</f>
        <v>0.240474587202079</v>
      </c>
      <c r="J1142" s="473" t="n">
        <f aca="false">D1142*I1142</f>
        <v>181.080261447349</v>
      </c>
      <c r="K1142" s="473" t="e">
        <f aca="false">H1142+J1142</f>
        <v>#NAME?</v>
      </c>
      <c r="L1142" s="462" t="n">
        <v>0.2</v>
      </c>
      <c r="M1142" s="473" t="e">
        <f aca="false">K1142*L1142</f>
        <v>#NAME?</v>
      </c>
      <c r="N1142" s="473" t="e">
        <f aca="false">K1142+M1142</f>
        <v>#NAME?</v>
      </c>
      <c r="O1142" s="473" t="e">
        <f aca="false">M1142</f>
        <v>#NAME?</v>
      </c>
    </row>
    <row r="1143" customFormat="false" ht="30" hidden="false" customHeight="false" outlineLevel="0" collapsed="false">
      <c r="A1143" s="327" t="s">
        <v>1880</v>
      </c>
      <c r="B1143" s="522" t="s">
        <v>3676</v>
      </c>
      <c r="C1143" s="369" t="e">
        <f aca="false">мат.затр!g9612</f>
        <v>#NAME?</v>
      </c>
      <c r="D1143" s="473" t="n">
        <f aca="false">тарифик!J1144</f>
        <v>2342.70414993307</v>
      </c>
      <c r="E1143" s="369"/>
      <c r="F1143" s="473" t="n">
        <f aca="false">D1143*0.9*0.095+D1143*3%</f>
        <v>270.582329317269</v>
      </c>
      <c r="G1143" s="473" t="n">
        <f aca="false">амортизация!M3677</f>
        <v>795.046554374535</v>
      </c>
      <c r="H1143" s="473" t="e">
        <f aca="false">C1143+D1143+F1143+G1143</f>
        <v>#NAME?</v>
      </c>
      <c r="I1143" s="462" t="n">
        <f aca="false">I$190</f>
        <v>0.240474587202079</v>
      </c>
      <c r="J1143" s="473" t="n">
        <f aca="false">D1143*I1143</f>
        <v>563.360813391751</v>
      </c>
      <c r="K1143" s="473" t="e">
        <f aca="false">H1143+J1143</f>
        <v>#NAME?</v>
      </c>
      <c r="L1143" s="462" t="n">
        <v>0.2</v>
      </c>
      <c r="M1143" s="473" t="e">
        <f aca="false">K1143*L1143</f>
        <v>#NAME?</v>
      </c>
      <c r="N1143" s="473" t="e">
        <f aca="false">K1143+M1143</f>
        <v>#NAME?</v>
      </c>
      <c r="O1143" s="473" t="e">
        <f aca="false">M1143</f>
        <v>#NAME?</v>
      </c>
    </row>
    <row r="1144" customFormat="false" ht="30" hidden="false" customHeight="false" outlineLevel="0" collapsed="false">
      <c r="A1144" s="327" t="s">
        <v>1882</v>
      </c>
      <c r="B1144" s="500" t="s">
        <v>3677</v>
      </c>
      <c r="C1144" s="369" t="e">
        <f aca="false">мат.затр!g9625</f>
        <v>#NAME?</v>
      </c>
      <c r="D1144" s="473" t="n">
        <f aca="false">тарифик!J1145</f>
        <v>2342.70414993307</v>
      </c>
      <c r="E1144" s="369"/>
      <c r="F1144" s="473" t="n">
        <f aca="false">D1144*0.9*0.095+D1144*3%</f>
        <v>270.582329317269</v>
      </c>
      <c r="G1144" s="473" t="n">
        <f aca="false">амортизация!M3688</f>
        <v>795.046554374535</v>
      </c>
      <c r="H1144" s="473" t="e">
        <f aca="false">C1144+D1144+F1144+G1144</f>
        <v>#NAME?</v>
      </c>
      <c r="I1144" s="462" t="n">
        <f aca="false">I$190</f>
        <v>0.240474587202079</v>
      </c>
      <c r="J1144" s="473" t="n">
        <f aca="false">D1144*I1144</f>
        <v>563.360813391751</v>
      </c>
      <c r="K1144" s="473" t="e">
        <f aca="false">H1144+J1144</f>
        <v>#NAME?</v>
      </c>
      <c r="L1144" s="462" t="n">
        <v>0.2</v>
      </c>
      <c r="M1144" s="473" t="e">
        <f aca="false">K1144*L1144</f>
        <v>#NAME?</v>
      </c>
      <c r="N1144" s="473" t="e">
        <f aca="false">K1144+M1144</f>
        <v>#NAME?</v>
      </c>
      <c r="O1144" s="473" t="e">
        <f aca="false">M1144</f>
        <v>#NAME?</v>
      </c>
    </row>
    <row r="1145" customFormat="false" ht="15" hidden="false" customHeight="false" outlineLevel="0" collapsed="false">
      <c r="A1145" s="327" t="s">
        <v>1884</v>
      </c>
      <c r="B1145" s="99" t="s">
        <v>3678</v>
      </c>
      <c r="C1145" s="369" t="e">
        <f aca="false">мат.затр!g9644</f>
        <v>#NAME?</v>
      </c>
      <c r="D1145" s="473" t="n">
        <f aca="false">тарифик!J1146</f>
        <v>334.672021419009</v>
      </c>
      <c r="E1145" s="369"/>
      <c r="F1145" s="473" t="n">
        <f aca="false">D1145*0.9*0.095+D1145*3%</f>
        <v>38.6546184738956</v>
      </c>
      <c r="G1145" s="473" t="n">
        <f aca="false">амортизация!M3697</f>
        <v>33.9588446378105</v>
      </c>
      <c r="H1145" s="473" t="e">
        <f aca="false">C1145+D1145+F1145+G1145</f>
        <v>#NAME?</v>
      </c>
      <c r="I1145" s="462" t="n">
        <f aca="false">'накл расходы'!D16</f>
        <v>0.240474587202079</v>
      </c>
      <c r="J1145" s="473" t="n">
        <f aca="false">D1145*I1145</f>
        <v>80.4801161988216</v>
      </c>
      <c r="K1145" s="473" t="e">
        <f aca="false">H1145+J1145</f>
        <v>#NAME?</v>
      </c>
      <c r="L1145" s="462" t="n">
        <v>0.2</v>
      </c>
      <c r="M1145" s="473" t="e">
        <f aca="false">K1145*L1145</f>
        <v>#NAME?</v>
      </c>
      <c r="N1145" s="473" t="e">
        <f aca="false">K1145+M1145</f>
        <v>#NAME?</v>
      </c>
      <c r="O1145" s="473" t="e">
        <f aca="false">M1145</f>
        <v>#NAME?</v>
      </c>
    </row>
    <row r="1146" customFormat="false" ht="15" hidden="false" customHeight="false" outlineLevel="0" collapsed="false">
      <c r="A1146" s="350" t="s">
        <v>1886</v>
      </c>
      <c r="B1146" s="509" t="s">
        <v>3580</v>
      </c>
      <c r="C1146" s="364"/>
      <c r="D1146" s="364"/>
      <c r="E1146" s="364"/>
      <c r="F1146" s="364"/>
      <c r="G1146" s="364"/>
      <c r="H1146" s="474"/>
      <c r="I1146" s="475"/>
      <c r="J1146" s="474"/>
      <c r="K1146" s="474"/>
      <c r="L1146" s="475"/>
      <c r="M1146" s="474"/>
      <c r="N1146" s="474"/>
      <c r="O1146" s="474"/>
    </row>
    <row r="1147" customFormat="false" ht="30" hidden="false" customHeight="false" outlineLevel="0" collapsed="false">
      <c r="A1147" s="327" t="s">
        <v>1887</v>
      </c>
      <c r="B1147" s="500" t="s">
        <v>3679</v>
      </c>
      <c r="C1147" s="369" t="e">
        <f aca="false">мат.затр!g9653</f>
        <v>#NAME?</v>
      </c>
      <c r="D1147" s="473" t="n">
        <f aca="false">тарифик!J1148</f>
        <v>393.239625167336</v>
      </c>
      <c r="E1147" s="369"/>
      <c r="F1147" s="473" t="n">
        <f aca="false">D1147*0.9*0.095+D1147*3%</f>
        <v>45.4191767068273</v>
      </c>
      <c r="G1147" s="473" t="n">
        <f aca="false">амортизация!M3706</f>
        <v>39.6004852744311</v>
      </c>
      <c r="H1147" s="473" t="e">
        <f aca="false">C1147+D1147+F1147+G1147</f>
        <v>#NAME?</v>
      </c>
      <c r="I1147" s="462" t="n">
        <f aca="false">I$190</f>
        <v>0.240474587202079</v>
      </c>
      <c r="J1147" s="473" t="n">
        <f aca="false">D1147*I1147</f>
        <v>94.5641365336154</v>
      </c>
      <c r="K1147" s="473" t="e">
        <f aca="false">H1147+J1147</f>
        <v>#NAME?</v>
      </c>
      <c r="L1147" s="462" t="n">
        <v>0.2</v>
      </c>
      <c r="M1147" s="473" t="e">
        <f aca="false">K1147*L1147</f>
        <v>#NAME?</v>
      </c>
      <c r="N1147" s="473" t="e">
        <f aca="false">K1147+M1147</f>
        <v>#NAME?</v>
      </c>
      <c r="O1147" s="473" t="e">
        <f aca="false">M1147</f>
        <v>#NAME?</v>
      </c>
    </row>
    <row r="1148" customFormat="false" ht="30" hidden="false" customHeight="false" outlineLevel="0" collapsed="false">
      <c r="A1148" s="327" t="s">
        <v>1889</v>
      </c>
      <c r="B1148" s="500" t="s">
        <v>3680</v>
      </c>
      <c r="C1148" s="369" t="e">
        <f aca="false">мат.затр!g9663</f>
        <v>#NAME?</v>
      </c>
      <c r="D1148" s="473" t="n">
        <f aca="false">тарифик!J1149</f>
        <v>502.008032128514</v>
      </c>
      <c r="E1148" s="369"/>
      <c r="F1148" s="473" t="n">
        <f aca="false">D1148*0.9*0.095+D1148*3%</f>
        <v>57.9819277108434</v>
      </c>
      <c r="G1148" s="473" t="n">
        <f aca="false">амортизация!M3714</f>
        <v>203.054300535475</v>
      </c>
      <c r="H1148" s="473" t="e">
        <f aca="false">C1148+D1148+F1148+G1148</f>
        <v>#NAME?</v>
      </c>
      <c r="I1148" s="462" t="n">
        <f aca="false">I$190</f>
        <v>0.240474587202079</v>
      </c>
      <c r="J1148" s="473" t="n">
        <f aca="false">D1148*I1148</f>
        <v>120.720174298232</v>
      </c>
      <c r="K1148" s="473" t="e">
        <f aca="false">H1148+J1148</f>
        <v>#NAME?</v>
      </c>
      <c r="L1148" s="462" t="n">
        <v>0.2</v>
      </c>
      <c r="M1148" s="473" t="e">
        <f aca="false">K1148*L1148</f>
        <v>#NAME?</v>
      </c>
      <c r="N1148" s="473" t="e">
        <f aca="false">K1148+M1148</f>
        <v>#NAME?</v>
      </c>
      <c r="O1148" s="473" t="e">
        <f aca="false">M1148</f>
        <v>#NAME?</v>
      </c>
    </row>
    <row r="1149" customFormat="false" ht="30" hidden="false" customHeight="false" outlineLevel="0" collapsed="false">
      <c r="A1149" s="327" t="s">
        <v>1891</v>
      </c>
      <c r="B1149" s="500" t="s">
        <v>3681</v>
      </c>
      <c r="C1149" s="369" t="e">
        <f aca="false">мат.затр!g9671</f>
        <v>#NAME?</v>
      </c>
      <c r="D1149" s="473" t="n">
        <f aca="false">тарифик!J1150</f>
        <v>393.239625167336</v>
      </c>
      <c r="E1149" s="369"/>
      <c r="F1149" s="473" t="n">
        <f aca="false">D1149*0.9*0.095+D1149*3%</f>
        <v>45.4191767068273</v>
      </c>
      <c r="G1149" s="473" t="n">
        <f aca="false">амортизация!M3722</f>
        <v>181.260458500669</v>
      </c>
      <c r="H1149" s="473" t="e">
        <f aca="false">C1149+D1149+F1149+G1149</f>
        <v>#NAME?</v>
      </c>
      <c r="I1149" s="462" t="n">
        <f aca="false">I$190</f>
        <v>0.240474587202079</v>
      </c>
      <c r="J1149" s="473" t="n">
        <f aca="false">D1149*I1149</f>
        <v>94.5641365336154</v>
      </c>
      <c r="K1149" s="473" t="e">
        <f aca="false">H1149+J1149</f>
        <v>#NAME?</v>
      </c>
      <c r="L1149" s="462" t="n">
        <v>0.2</v>
      </c>
      <c r="M1149" s="473" t="e">
        <f aca="false">K1149*L1149</f>
        <v>#NAME?</v>
      </c>
      <c r="N1149" s="473" t="e">
        <f aca="false">K1149+M1149</f>
        <v>#NAME?</v>
      </c>
      <c r="O1149" s="473" t="e">
        <f aca="false">M1149</f>
        <v>#NAME?</v>
      </c>
    </row>
    <row r="1150" customFormat="false" ht="30" hidden="false" customHeight="false" outlineLevel="0" collapsed="false">
      <c r="A1150" s="327" t="s">
        <v>1893</v>
      </c>
      <c r="B1150" s="500" t="s">
        <v>3682</v>
      </c>
      <c r="C1150" s="369" t="e">
        <f aca="false">мат.затр!g9679</f>
        <v>#NAME?</v>
      </c>
      <c r="D1150" s="473" t="n">
        <f aca="false">тарифик!J1151</f>
        <v>502.008032128514</v>
      </c>
      <c r="E1150" s="369"/>
      <c r="F1150" s="473" t="n">
        <f aca="false">D1150*0.9*0.095+D1150*3%</f>
        <v>57.9819277108434</v>
      </c>
      <c r="G1150" s="473" t="n">
        <f aca="false">амортизация!M3728</f>
        <v>169.803380187416</v>
      </c>
      <c r="H1150" s="473" t="e">
        <f aca="false">C1150+D1150+F1150+G1150</f>
        <v>#NAME?</v>
      </c>
      <c r="I1150" s="462" t="n">
        <f aca="false">I$190</f>
        <v>0.240474587202079</v>
      </c>
      <c r="J1150" s="473" t="n">
        <f aca="false">D1150*I1150</f>
        <v>120.720174298232</v>
      </c>
      <c r="K1150" s="473" t="e">
        <f aca="false">H1150+J1150</f>
        <v>#NAME?</v>
      </c>
      <c r="L1150" s="462" t="n">
        <v>0.2</v>
      </c>
      <c r="M1150" s="473" t="e">
        <f aca="false">K1150*L1150</f>
        <v>#NAME?</v>
      </c>
      <c r="N1150" s="473" t="e">
        <f aca="false">K1150+M1150</f>
        <v>#NAME?</v>
      </c>
      <c r="O1150" s="473" t="e">
        <f aca="false">M1150</f>
        <v>#NAME?</v>
      </c>
    </row>
    <row r="1151" customFormat="false" ht="45" hidden="false" customHeight="false" outlineLevel="0" collapsed="false">
      <c r="A1151" s="327" t="s">
        <v>1895</v>
      </c>
      <c r="B1151" s="500" t="s">
        <v>3683</v>
      </c>
      <c r="C1151" s="369" t="e">
        <f aca="false">мат.затр!g9688</f>
        <v>#NAME?</v>
      </c>
      <c r="D1151" s="473" t="n">
        <f aca="false">тарифик!J1152</f>
        <v>334.672021419009</v>
      </c>
      <c r="E1151" s="369"/>
      <c r="F1151" s="473" t="n">
        <f aca="false">D1151*0.9*0.095+D1151*3%</f>
        <v>38.6546184738956</v>
      </c>
      <c r="G1151" s="473" t="n">
        <f aca="false">амортизация!M3736</f>
        <v>39.6004852744311</v>
      </c>
      <c r="H1151" s="473" t="e">
        <f aca="false">C1151+D1151+F1151+G1151</f>
        <v>#NAME?</v>
      </c>
      <c r="I1151" s="462" t="n">
        <f aca="false">I$190</f>
        <v>0.240474587202079</v>
      </c>
      <c r="J1151" s="473" t="n">
        <f aca="false">D1151*I1151</f>
        <v>80.4801161988216</v>
      </c>
      <c r="K1151" s="473" t="e">
        <f aca="false">H1151+J1151</f>
        <v>#NAME?</v>
      </c>
      <c r="L1151" s="462" t="n">
        <v>0.2</v>
      </c>
      <c r="M1151" s="473" t="e">
        <f aca="false">K1151*L1151</f>
        <v>#NAME?</v>
      </c>
      <c r="N1151" s="473" t="e">
        <f aca="false">K1151+M1151</f>
        <v>#NAME?</v>
      </c>
      <c r="O1151" s="473" t="e">
        <f aca="false">M1151</f>
        <v>#NAME?</v>
      </c>
    </row>
    <row r="1152" customFormat="false" ht="30" hidden="false" customHeight="false" outlineLevel="0" collapsed="false">
      <c r="A1152" s="327" t="s">
        <v>1897</v>
      </c>
      <c r="B1152" s="500" t="s">
        <v>3684</v>
      </c>
      <c r="C1152" s="369" t="e">
        <f aca="false">мат.затр!g9697</f>
        <v>#NAME?</v>
      </c>
      <c r="D1152" s="473" t="n">
        <f aca="false">тарифик!J1153</f>
        <v>502.008032128514</v>
      </c>
      <c r="E1152" s="369"/>
      <c r="F1152" s="473" t="n">
        <f aca="false">D1152*0.9*0.095+D1152*3%</f>
        <v>57.9819277108434</v>
      </c>
      <c r="G1152" s="473" t="n">
        <f aca="false">амортизация!M3744</f>
        <v>31.0022032574743</v>
      </c>
      <c r="H1152" s="473" t="e">
        <f aca="false">C1152+D1152+F1152+G1152</f>
        <v>#NAME?</v>
      </c>
      <c r="I1152" s="462" t="n">
        <f aca="false">I$190</f>
        <v>0.240474587202079</v>
      </c>
      <c r="J1152" s="473" t="n">
        <f aca="false">D1152*I1152</f>
        <v>120.720174298232</v>
      </c>
      <c r="K1152" s="473" t="e">
        <f aca="false">H1152+J1152</f>
        <v>#NAME?</v>
      </c>
      <c r="L1152" s="462" t="n">
        <v>0.2</v>
      </c>
      <c r="M1152" s="473" t="e">
        <f aca="false">K1152*L1152</f>
        <v>#NAME?</v>
      </c>
      <c r="N1152" s="473" t="e">
        <f aca="false">K1152+M1152</f>
        <v>#NAME?</v>
      </c>
      <c r="O1152" s="473" t="e">
        <f aca="false">M1152</f>
        <v>#NAME?</v>
      </c>
    </row>
    <row r="1153" customFormat="false" ht="30" hidden="false" customHeight="false" outlineLevel="0" collapsed="false">
      <c r="A1153" s="327" t="s">
        <v>1899</v>
      </c>
      <c r="B1153" s="500" t="s">
        <v>3685</v>
      </c>
      <c r="C1153" s="369" t="e">
        <f aca="false">мат.затр!g9709</f>
        <v>#NAME?</v>
      </c>
      <c r="D1153" s="473" t="n">
        <f aca="false">тарифик!J1154</f>
        <v>334.672021419009</v>
      </c>
      <c r="E1153" s="369"/>
      <c r="F1153" s="473" t="n">
        <f aca="false">D1153*0.9*0.095+D1153*3%</f>
        <v>38.6546184738956</v>
      </c>
      <c r="G1153" s="473" t="n">
        <f aca="false">амортизация!M3751</f>
        <v>27.6725885021568</v>
      </c>
      <c r="H1153" s="473" t="e">
        <f aca="false">C1153+D1153+F1153+G1153</f>
        <v>#NAME?</v>
      </c>
      <c r="I1153" s="462" t="n">
        <f aca="false">I$190</f>
        <v>0.240474587202079</v>
      </c>
      <c r="J1153" s="473" t="n">
        <f aca="false">D1153*I1153</f>
        <v>80.4801161988216</v>
      </c>
      <c r="K1153" s="473" t="e">
        <f aca="false">H1153+J1153</f>
        <v>#NAME?</v>
      </c>
      <c r="L1153" s="462" t="n">
        <v>0.2</v>
      </c>
      <c r="M1153" s="473" t="e">
        <f aca="false">K1153*L1153</f>
        <v>#NAME?</v>
      </c>
      <c r="N1153" s="473" t="e">
        <f aca="false">K1153+M1153</f>
        <v>#NAME?</v>
      </c>
      <c r="O1153" s="473" t="e">
        <f aca="false">M1153</f>
        <v>#NAME?</v>
      </c>
    </row>
    <row r="1154" customFormat="false" ht="15" hidden="false" customHeight="false" outlineLevel="0" collapsed="false">
      <c r="A1154" s="327" t="s">
        <v>1901</v>
      </c>
      <c r="B1154" s="500" t="s">
        <v>3686</v>
      </c>
      <c r="C1154" s="369" t="e">
        <f aca="false">мат.затр!g9720</f>
        <v>#NAME?</v>
      </c>
      <c r="D1154" s="473" t="n">
        <f aca="false">тарифик!J1155</f>
        <v>502.008032128514</v>
      </c>
      <c r="E1154" s="369"/>
      <c r="F1154" s="473" t="n">
        <f aca="false">D1154*0.9*0.095+D1154*3%</f>
        <v>57.9819277108434</v>
      </c>
      <c r="G1154" s="473" t="n">
        <f aca="false">амортизация!M3757</f>
        <v>28.143406961178</v>
      </c>
      <c r="H1154" s="473" t="e">
        <f aca="false">C1154+D1154+F1154+G1154</f>
        <v>#NAME?</v>
      </c>
      <c r="I1154" s="462" t="n">
        <f aca="false">I$190</f>
        <v>0.240474587202079</v>
      </c>
      <c r="J1154" s="473" t="n">
        <f aca="false">D1154*I1154</f>
        <v>120.720174298232</v>
      </c>
      <c r="K1154" s="473" t="e">
        <f aca="false">H1154+J1154</f>
        <v>#NAME?</v>
      </c>
      <c r="L1154" s="462" t="n">
        <v>0.2</v>
      </c>
      <c r="M1154" s="473" t="e">
        <f aca="false">K1154*L1154</f>
        <v>#NAME?</v>
      </c>
      <c r="N1154" s="473" t="e">
        <f aca="false">K1154+M1154</f>
        <v>#NAME?</v>
      </c>
      <c r="O1154" s="473" t="e">
        <f aca="false">M1154</f>
        <v>#NAME?</v>
      </c>
    </row>
    <row r="1155" customFormat="false" ht="15" hidden="false" customHeight="false" outlineLevel="0" collapsed="false">
      <c r="A1155" s="327" t="s">
        <v>1903</v>
      </c>
      <c r="B1155" s="500" t="s">
        <v>3687</v>
      </c>
      <c r="C1155" s="369" t="e">
        <f aca="false">мат.затр!g9741</f>
        <v>#NAME?</v>
      </c>
      <c r="D1155" s="473" t="n">
        <f aca="false">тарифик!J1156</f>
        <v>334.672021419009</v>
      </c>
      <c r="E1155" s="369"/>
      <c r="F1155" s="473" t="n">
        <f aca="false">D1155*0.9*0.095+D1155*3%</f>
        <v>38.6546184738956</v>
      </c>
      <c r="G1155" s="473" t="n">
        <f aca="false">амортизация!M3765</f>
        <v>36.2708705191135</v>
      </c>
      <c r="H1155" s="473" t="e">
        <f aca="false">C1155+D1155+F1155+G1155</f>
        <v>#NAME?</v>
      </c>
      <c r="I1155" s="462" t="n">
        <f aca="false">I$190</f>
        <v>0.240474587202079</v>
      </c>
      <c r="J1155" s="473" t="n">
        <f aca="false">D1155*I1155</f>
        <v>80.4801161988216</v>
      </c>
      <c r="K1155" s="473" t="e">
        <f aca="false">H1155+J1155</f>
        <v>#NAME?</v>
      </c>
      <c r="L1155" s="462" t="n">
        <v>0.2</v>
      </c>
      <c r="M1155" s="473" t="e">
        <f aca="false">K1155*L1155</f>
        <v>#NAME?</v>
      </c>
      <c r="N1155" s="473" t="e">
        <f aca="false">K1155+M1155</f>
        <v>#NAME?</v>
      </c>
      <c r="O1155" s="473" t="e">
        <f aca="false">M1155</f>
        <v>#NAME?</v>
      </c>
    </row>
    <row r="1156" customFormat="false" ht="15" hidden="false" customHeight="false" outlineLevel="0" collapsed="false">
      <c r="A1156" s="327" t="s">
        <v>1905</v>
      </c>
      <c r="B1156" s="500" t="s">
        <v>3688</v>
      </c>
      <c r="C1156" s="369" t="e">
        <f aca="false">мат.затр!g9763</f>
        <v>#NAME?</v>
      </c>
      <c r="D1156" s="473" t="n">
        <f aca="false">тарифик!J1157</f>
        <v>585.676037483266</v>
      </c>
      <c r="E1156" s="369"/>
      <c r="F1156" s="473" t="n">
        <f aca="false">D1156*0.9*0.095+D1156*3%</f>
        <v>67.6455823293173</v>
      </c>
      <c r="G1156" s="473" t="n">
        <f aca="false">амортизация!M3771</f>
        <v>24.8137922058605</v>
      </c>
      <c r="H1156" s="473" t="e">
        <f aca="false">C1156+D1156+F1156+G1156</f>
        <v>#NAME?</v>
      </c>
      <c r="I1156" s="462" t="n">
        <f aca="false">I$190</f>
        <v>0.240474587202079</v>
      </c>
      <c r="J1156" s="473" t="n">
        <f aca="false">D1156*I1156</f>
        <v>140.840203347938</v>
      </c>
      <c r="K1156" s="473" t="e">
        <f aca="false">H1156+J1156</f>
        <v>#NAME?</v>
      </c>
      <c r="L1156" s="462" t="n">
        <v>0.2</v>
      </c>
      <c r="M1156" s="473" t="e">
        <f aca="false">K1156*L1156</f>
        <v>#NAME?</v>
      </c>
      <c r="N1156" s="473" t="e">
        <f aca="false">K1156+M1156</f>
        <v>#NAME?</v>
      </c>
      <c r="O1156" s="473" t="e">
        <f aca="false">M1156</f>
        <v>#NAME?</v>
      </c>
    </row>
    <row r="1157" customFormat="false" ht="15" hidden="false" customHeight="false" outlineLevel="0" collapsed="false">
      <c r="A1157" s="327" t="s">
        <v>1907</v>
      </c>
      <c r="B1157" s="500" t="s">
        <v>3689</v>
      </c>
      <c r="C1157" s="369" t="e">
        <f aca="false">мат.затр!g9778</f>
        <v>#NAME?</v>
      </c>
      <c r="D1157" s="473" t="n">
        <f aca="false">тарифик!J1158</f>
        <v>460.174029451138</v>
      </c>
      <c r="E1157" s="369"/>
      <c r="F1157" s="473" t="n">
        <f aca="false">D1157*0.9*0.095+D1157*3%</f>
        <v>53.1501004016064</v>
      </c>
      <c r="G1157" s="473" t="n">
        <f aca="false">амортизация!M3779</f>
        <v>27.6725885021568</v>
      </c>
      <c r="H1157" s="473" t="e">
        <f aca="false">C1157+D1157+F1157+G1157</f>
        <v>#NAME?</v>
      </c>
      <c r="I1157" s="462" t="n">
        <f aca="false">I$190</f>
        <v>0.240474587202079</v>
      </c>
      <c r="J1157" s="473" t="n">
        <f aca="false">D1157*I1157</f>
        <v>110.66015977338</v>
      </c>
      <c r="K1157" s="473" t="e">
        <f aca="false">H1157+J1157</f>
        <v>#NAME?</v>
      </c>
      <c r="L1157" s="462" t="n">
        <v>0.2</v>
      </c>
      <c r="M1157" s="473" t="e">
        <f aca="false">K1157*L1157</f>
        <v>#NAME?</v>
      </c>
      <c r="N1157" s="473" t="e">
        <f aca="false">K1157+M1157</f>
        <v>#NAME?</v>
      </c>
      <c r="O1157" s="473" t="e">
        <f aca="false">M1157</f>
        <v>#NAME?</v>
      </c>
    </row>
    <row r="1158" customFormat="false" ht="15" hidden="false" customHeight="false" outlineLevel="0" collapsed="false">
      <c r="A1158" s="327" t="s">
        <v>1909</v>
      </c>
      <c r="B1158" s="500" t="s">
        <v>3690</v>
      </c>
      <c r="C1158" s="369" t="e">
        <f aca="false">мат.затр!g9794</f>
        <v>#NAME?</v>
      </c>
      <c r="D1158" s="473" t="n">
        <f aca="false">тарифик!J1159</f>
        <v>502.008032128514</v>
      </c>
      <c r="E1158" s="369"/>
      <c r="F1158" s="473" t="n">
        <f aca="false">D1158*0.9*0.095+D1158*3%</f>
        <v>57.9819277108434</v>
      </c>
      <c r="G1158" s="473" t="n">
        <f aca="false">амортизация!M3785</f>
        <v>24.8137922058605</v>
      </c>
      <c r="H1158" s="473" t="e">
        <f aca="false">C1158+D1158+F1158+G1158</f>
        <v>#NAME?</v>
      </c>
      <c r="I1158" s="462" t="n">
        <f aca="false">I$190</f>
        <v>0.240474587202079</v>
      </c>
      <c r="J1158" s="473" t="n">
        <f aca="false">D1158*I1158</f>
        <v>120.720174298232</v>
      </c>
      <c r="K1158" s="473" t="e">
        <f aca="false">H1158+J1158</f>
        <v>#NAME?</v>
      </c>
      <c r="L1158" s="462" t="n">
        <v>0.2</v>
      </c>
      <c r="M1158" s="473" t="e">
        <f aca="false">K1158*L1158</f>
        <v>#NAME?</v>
      </c>
      <c r="N1158" s="473" t="e">
        <f aca="false">K1158+M1158</f>
        <v>#NAME?</v>
      </c>
      <c r="O1158" s="473" t="e">
        <f aca="false">M1158</f>
        <v>#NAME?</v>
      </c>
    </row>
    <row r="1159" customFormat="false" ht="15" hidden="false" customHeight="false" outlineLevel="0" collapsed="false">
      <c r="A1159" s="327" t="s">
        <v>1911</v>
      </c>
      <c r="B1159" s="500" t="s">
        <v>3691</v>
      </c>
      <c r="C1159" s="369" t="e">
        <f aca="false">мат.затр!g9806</f>
        <v>#NAME?</v>
      </c>
      <c r="D1159" s="473" t="n">
        <f aca="false">тарифик!J1160</f>
        <v>334.672021419009</v>
      </c>
      <c r="E1159" s="369"/>
      <c r="F1159" s="473" t="n">
        <f aca="false">D1159*0.9*0.095+D1159*3%</f>
        <v>38.6546184738956</v>
      </c>
      <c r="G1159" s="473" t="n">
        <f aca="false">амортизация!M3795</f>
        <v>43.8381767811989</v>
      </c>
      <c r="H1159" s="473" t="e">
        <f aca="false">C1159+D1159+F1159+G1159</f>
        <v>#NAME?</v>
      </c>
      <c r="I1159" s="462" t="n">
        <f aca="false">I$190</f>
        <v>0.240474587202079</v>
      </c>
      <c r="J1159" s="473" t="n">
        <f aca="false">D1159*I1159</f>
        <v>80.4801161988216</v>
      </c>
      <c r="K1159" s="473" t="e">
        <f aca="false">H1159+J1159</f>
        <v>#NAME?</v>
      </c>
      <c r="L1159" s="462" t="n">
        <v>0.2</v>
      </c>
      <c r="M1159" s="473" t="e">
        <f aca="false">K1159*L1159</f>
        <v>#NAME?</v>
      </c>
      <c r="N1159" s="473" t="e">
        <f aca="false">K1159+M1159</f>
        <v>#NAME?</v>
      </c>
      <c r="O1159" s="473" t="e">
        <f aca="false">M1159</f>
        <v>#NAME?</v>
      </c>
    </row>
    <row r="1160" customFormat="false" ht="15" hidden="false" customHeight="false" outlineLevel="0" collapsed="false">
      <c r="A1160" s="327" t="s">
        <v>1913</v>
      </c>
      <c r="B1160" s="500" t="s">
        <v>3692</v>
      </c>
      <c r="C1160" s="369" t="e">
        <f aca="false">мат.затр!g9820</f>
        <v>#NAME?</v>
      </c>
      <c r="D1160" s="473" t="n">
        <f aca="false">тарифик!J1161</f>
        <v>502.008032128514</v>
      </c>
      <c r="E1160" s="369"/>
      <c r="F1160" s="473" t="n">
        <f aca="false">D1160*0.9*0.095+D1160*3%</f>
        <v>57.9819277108434</v>
      </c>
      <c r="G1160" s="473" t="n">
        <f aca="false">амортизация!M3801</f>
        <v>24.8137922058605</v>
      </c>
      <c r="H1160" s="473" t="e">
        <f aca="false">C1160+D1160+F1160+G1160</f>
        <v>#NAME?</v>
      </c>
      <c r="I1160" s="462" t="n">
        <f aca="false">I$190</f>
        <v>0.240474587202079</v>
      </c>
      <c r="J1160" s="473" t="n">
        <f aca="false">D1160*I1160</f>
        <v>120.720174298232</v>
      </c>
      <c r="K1160" s="473" t="e">
        <f aca="false">H1160+J1160</f>
        <v>#NAME?</v>
      </c>
      <c r="L1160" s="462" t="n">
        <v>0.2</v>
      </c>
      <c r="M1160" s="473" t="e">
        <f aca="false">K1160*L1160</f>
        <v>#NAME?</v>
      </c>
      <c r="N1160" s="473" t="e">
        <f aca="false">K1160+M1160</f>
        <v>#NAME?</v>
      </c>
      <c r="O1160" s="473" t="e">
        <f aca="false">M1160</f>
        <v>#NAME?</v>
      </c>
    </row>
    <row r="1161" customFormat="false" ht="15" hidden="false" customHeight="false" outlineLevel="0" collapsed="false">
      <c r="A1161" s="327" t="s">
        <v>1915</v>
      </c>
      <c r="B1161" s="500" t="s">
        <v>3693</v>
      </c>
      <c r="C1161" s="369" t="e">
        <f aca="false">мат.затр!g9834</f>
        <v>#NAME?</v>
      </c>
      <c r="D1161" s="473" t="n">
        <f aca="false">тарифик!J1162</f>
        <v>334.672021419009</v>
      </c>
      <c r="E1161" s="369"/>
      <c r="F1161" s="473" t="n">
        <f aca="false">D1161*0.9*0.095+D1161*3%</f>
        <v>38.6546184738956</v>
      </c>
      <c r="G1161" s="473" t="n">
        <f aca="false">амортизация!M3809</f>
        <v>36.2708705191135</v>
      </c>
      <c r="H1161" s="473" t="e">
        <f aca="false">C1161+D1161+F1161+G1161</f>
        <v>#NAME?</v>
      </c>
      <c r="I1161" s="462" t="n">
        <f aca="false">I$190</f>
        <v>0.240474587202079</v>
      </c>
      <c r="J1161" s="473" t="n">
        <f aca="false">D1161*I1161</f>
        <v>80.4801161988216</v>
      </c>
      <c r="K1161" s="473" t="e">
        <f aca="false">H1161+J1161</f>
        <v>#NAME?</v>
      </c>
      <c r="L1161" s="462" t="n">
        <v>0.2</v>
      </c>
      <c r="M1161" s="473" t="e">
        <f aca="false">K1161*L1161</f>
        <v>#NAME?</v>
      </c>
      <c r="N1161" s="473" t="e">
        <f aca="false">K1161+M1161</f>
        <v>#NAME?</v>
      </c>
      <c r="O1161" s="473" t="e">
        <f aca="false">M1161</f>
        <v>#NAME?</v>
      </c>
    </row>
    <row r="1162" customFormat="false" ht="15" hidden="false" customHeight="false" outlineLevel="0" collapsed="false">
      <c r="A1162" s="327" t="s">
        <v>1917</v>
      </c>
      <c r="B1162" s="500" t="s">
        <v>3694</v>
      </c>
      <c r="C1162" s="369" t="e">
        <f aca="false">мат.затр!g9849</f>
        <v>#NAME?</v>
      </c>
      <c r="D1162" s="473" t="n">
        <f aca="false">тарифик!J1163</f>
        <v>502.008032128514</v>
      </c>
      <c r="E1162" s="369"/>
      <c r="F1162" s="473" t="n">
        <f aca="false">D1162*0.9*0.095+D1162*3%</f>
        <v>57.9819277108434</v>
      </c>
      <c r="G1162" s="473" t="n">
        <f aca="false">амортизация!M3819</f>
        <v>36.9985032723487</v>
      </c>
      <c r="H1162" s="473" t="e">
        <f aca="false">C1162+D1162+F1162+G1162</f>
        <v>#NAME?</v>
      </c>
      <c r="I1162" s="462" t="n">
        <f aca="false">I$190</f>
        <v>0.240474587202079</v>
      </c>
      <c r="J1162" s="473" t="n">
        <f aca="false">D1162*I1162</f>
        <v>120.720174298232</v>
      </c>
      <c r="K1162" s="473" t="e">
        <f aca="false">H1162+J1162</f>
        <v>#NAME?</v>
      </c>
      <c r="L1162" s="462" t="n">
        <v>0.2</v>
      </c>
      <c r="M1162" s="473" t="e">
        <f aca="false">K1162*L1162</f>
        <v>#NAME?</v>
      </c>
      <c r="N1162" s="473" t="e">
        <f aca="false">K1162+M1162</f>
        <v>#NAME?</v>
      </c>
      <c r="O1162" s="473" t="e">
        <f aca="false">M1162</f>
        <v>#NAME?</v>
      </c>
    </row>
    <row r="1163" customFormat="false" ht="22.5" hidden="false" customHeight="true" outlineLevel="0" collapsed="false">
      <c r="A1163" s="327" t="s">
        <v>1919</v>
      </c>
      <c r="B1163" s="500" t="s">
        <v>3695</v>
      </c>
      <c r="C1163" s="369" t="e">
        <f aca="false">мат.затр!g9856</f>
        <v>#NAME?</v>
      </c>
      <c r="D1163" s="473" t="n">
        <f aca="false">тарифик!J1164</f>
        <v>334.672021419009</v>
      </c>
      <c r="E1163" s="366"/>
      <c r="F1163" s="473" t="n">
        <f aca="false">D1163*0.9*0.095+D1163*3%</f>
        <v>38.6546184738956</v>
      </c>
      <c r="G1163" s="369" t="n">
        <f aca="false">амортизация!M3827</f>
        <v>36.2708705191135</v>
      </c>
      <c r="H1163" s="473" t="e">
        <f aca="false">C1163+D1163+F1163+G1163</f>
        <v>#NAME?</v>
      </c>
      <c r="I1163" s="462" t="n">
        <f aca="false">I$190</f>
        <v>0.240474587202079</v>
      </c>
      <c r="J1163" s="473" t="n">
        <f aca="false">D1163*I1163</f>
        <v>80.4801161988216</v>
      </c>
      <c r="K1163" s="473" t="e">
        <f aca="false">H1163+J1163</f>
        <v>#NAME?</v>
      </c>
      <c r="L1163" s="462" t="n">
        <v>0.2</v>
      </c>
      <c r="M1163" s="473" t="e">
        <f aca="false">K1163*L1163</f>
        <v>#NAME?</v>
      </c>
      <c r="N1163" s="473" t="e">
        <f aca="false">K1163+M1163</f>
        <v>#NAME?</v>
      </c>
      <c r="O1163" s="473" t="e">
        <f aca="false">M1163</f>
        <v>#NAME?</v>
      </c>
    </row>
    <row r="1164" s="523" customFormat="true" ht="30" hidden="false" customHeight="false" outlineLevel="0" collapsed="false">
      <c r="A1164" s="327" t="s">
        <v>1921</v>
      </c>
      <c r="B1164" s="500" t="s">
        <v>3696</v>
      </c>
      <c r="C1164" s="369" t="e">
        <f aca="false">мат.затр!g9864</f>
        <v>#NAME?</v>
      </c>
      <c r="D1164" s="473" t="n">
        <f aca="false">тарифик!J1165</f>
        <v>502.008032128514</v>
      </c>
      <c r="E1164" s="369"/>
      <c r="F1164" s="473" t="n">
        <f aca="false">D1164*0.9*0.095+D1164*3%</f>
        <v>57.9819277108434</v>
      </c>
      <c r="G1164" s="369" t="n">
        <f aca="false">амортизация!M3833</f>
        <v>24.8137922058605</v>
      </c>
      <c r="H1164" s="473" t="e">
        <f aca="false">C1164+D1164+F1164+G1164</f>
        <v>#NAME?</v>
      </c>
      <c r="I1164" s="462" t="n">
        <f aca="false">I$190</f>
        <v>0.240474587202079</v>
      </c>
      <c r="J1164" s="473" t="n">
        <f aca="false">D1164*I1164</f>
        <v>120.720174298232</v>
      </c>
      <c r="K1164" s="473" t="e">
        <f aca="false">H1164+J1164</f>
        <v>#NAME?</v>
      </c>
      <c r="L1164" s="462" t="n">
        <v>0.2</v>
      </c>
      <c r="M1164" s="473" t="e">
        <f aca="false">K1164*L1164</f>
        <v>#NAME?</v>
      </c>
      <c r="N1164" s="473" t="e">
        <f aca="false">K1164+M1164</f>
        <v>#NAME?</v>
      </c>
      <c r="O1164" s="473" t="e">
        <f aca="false">M1164</f>
        <v>#NAME?</v>
      </c>
    </row>
    <row r="1165" customFormat="false" ht="15" hidden="false" customHeight="false" outlineLevel="0" collapsed="false">
      <c r="A1165" s="350" t="s">
        <v>1922</v>
      </c>
      <c r="B1165" s="509" t="s">
        <v>3697</v>
      </c>
      <c r="C1165" s="364"/>
      <c r="D1165" s="364"/>
      <c r="E1165" s="364"/>
      <c r="F1165" s="364"/>
      <c r="G1165" s="364"/>
      <c r="H1165" s="364"/>
      <c r="I1165" s="475"/>
      <c r="J1165" s="474"/>
      <c r="K1165" s="474"/>
      <c r="L1165" s="475"/>
      <c r="M1165" s="474"/>
      <c r="N1165" s="474"/>
      <c r="O1165" s="474"/>
    </row>
    <row r="1166" customFormat="false" ht="30" hidden="false" customHeight="false" outlineLevel="0" collapsed="false">
      <c r="A1166" s="327" t="s">
        <v>1924</v>
      </c>
      <c r="B1166" s="500" t="s">
        <v>3698</v>
      </c>
      <c r="C1166" s="369" t="e">
        <f aca="false">мат.затр!g9877</f>
        <v>#NAME?</v>
      </c>
      <c r="D1166" s="473" t="n">
        <f aca="false">тарифик!J1167</f>
        <v>83.6680053547523</v>
      </c>
      <c r="E1166" s="369"/>
      <c r="F1166" s="473" t="n">
        <f aca="false">D1166*0.9*0.095+D1166*3%</f>
        <v>9.6636546184739</v>
      </c>
      <c r="G1166" s="369" t="n">
        <f aca="false">амортизация!M3842</f>
        <v>36.2708705191135</v>
      </c>
      <c r="H1166" s="473" t="e">
        <f aca="false">C1166+D1166+F1166+G1166</f>
        <v>#NAME?</v>
      </c>
      <c r="I1166" s="462" t="n">
        <f aca="false">I$190</f>
        <v>0.240474587202079</v>
      </c>
      <c r="J1166" s="473" t="n">
        <f aca="false">D1166*I1166</f>
        <v>20.1200290497054</v>
      </c>
      <c r="K1166" s="473" t="e">
        <f aca="false">H1166+J1166</f>
        <v>#NAME?</v>
      </c>
      <c r="L1166" s="462" t="n">
        <v>0.2</v>
      </c>
      <c r="M1166" s="473" t="e">
        <f aca="false">K1166*L1166</f>
        <v>#NAME?</v>
      </c>
      <c r="N1166" s="473" t="e">
        <f aca="false">K1166+M1166</f>
        <v>#NAME?</v>
      </c>
      <c r="O1166" s="473" t="e">
        <f aca="false">M1166</f>
        <v>#NAME?</v>
      </c>
    </row>
    <row r="1167" customFormat="false" ht="15" hidden="false" customHeight="false" outlineLevel="0" collapsed="false">
      <c r="A1167" s="327" t="s">
        <v>1926</v>
      </c>
      <c r="B1167" s="500" t="s">
        <v>3699</v>
      </c>
      <c r="C1167" s="369" t="e">
        <f aca="false">мат.затр!g9892</f>
        <v>#NAME?</v>
      </c>
      <c r="D1167" s="473" t="n">
        <f aca="false">тарифик!J1168</f>
        <v>167.336010709505</v>
      </c>
      <c r="E1167" s="369"/>
      <c r="F1167" s="473" t="n">
        <f aca="false">D1167*0.9*0.095+D1167*3%</f>
        <v>19.3273092369478</v>
      </c>
      <c r="G1167" s="369" t="n">
        <f aca="false">амортизация!M3850</f>
        <v>36.2708705191135</v>
      </c>
      <c r="H1167" s="473" t="e">
        <f aca="false">C1167+D1167+F1167+G1167</f>
        <v>#NAME?</v>
      </c>
      <c r="I1167" s="462" t="n">
        <f aca="false">I$190</f>
        <v>0.240474587202079</v>
      </c>
      <c r="J1167" s="473" t="n">
        <f aca="false">D1167*I1167</f>
        <v>40.2400580994108</v>
      </c>
      <c r="K1167" s="473" t="e">
        <f aca="false">H1167+J1167</f>
        <v>#NAME?</v>
      </c>
      <c r="L1167" s="462" t="n">
        <v>0.2</v>
      </c>
      <c r="M1167" s="473" t="e">
        <f aca="false">K1167*L1167</f>
        <v>#NAME?</v>
      </c>
      <c r="N1167" s="473" t="e">
        <f aca="false">K1167+M1167</f>
        <v>#NAME?</v>
      </c>
      <c r="O1167" s="473" t="e">
        <f aca="false">M1167</f>
        <v>#NAME?</v>
      </c>
    </row>
    <row r="1168" customFormat="false" ht="30" hidden="false" customHeight="false" outlineLevel="0" collapsed="false">
      <c r="A1168" s="327" t="s">
        <v>1927</v>
      </c>
      <c r="B1168" s="500" t="s">
        <v>3700</v>
      </c>
      <c r="C1168" s="369" t="e">
        <f aca="false">мат.затр!g9923</f>
        <v>#NAME?</v>
      </c>
      <c r="D1168" s="473" t="n">
        <f aca="false">тарифик!J1169</f>
        <v>167.336010709505</v>
      </c>
      <c r="E1168" s="366"/>
      <c r="F1168" s="473" t="n">
        <f aca="false">D1168*0.9*0.095+D1168*3%</f>
        <v>19.3273092369478</v>
      </c>
      <c r="G1168" s="369" t="n">
        <f aca="false">амортизация!M3858</f>
        <v>36.2708705191135</v>
      </c>
      <c r="H1168" s="473" t="e">
        <f aca="false">C1168+D1168+F1168+G1168</f>
        <v>#NAME?</v>
      </c>
      <c r="I1168" s="462" t="n">
        <f aca="false">I$190</f>
        <v>0.240474587202079</v>
      </c>
      <c r="J1168" s="473" t="n">
        <f aca="false">D1168*I1168</f>
        <v>40.2400580994108</v>
      </c>
      <c r="K1168" s="473" t="e">
        <f aca="false">H1168+J1168</f>
        <v>#NAME?</v>
      </c>
      <c r="L1168" s="462" t="n">
        <v>0.2</v>
      </c>
      <c r="M1168" s="473" t="e">
        <f aca="false">K1168*L1168</f>
        <v>#NAME?</v>
      </c>
      <c r="N1168" s="473" t="e">
        <f aca="false">K1168+M1168</f>
        <v>#NAME?</v>
      </c>
      <c r="O1168" s="473" t="e">
        <f aca="false">M1168</f>
        <v>#NAME?</v>
      </c>
    </row>
    <row r="1169" customFormat="false" ht="30" hidden="false" customHeight="false" outlineLevel="0" collapsed="false">
      <c r="A1169" s="327" t="s">
        <v>1929</v>
      </c>
      <c r="B1169" s="500" t="s">
        <v>3701</v>
      </c>
      <c r="C1169" s="369" t="e">
        <f aca="false">мат.затр!g9944</f>
        <v>#NAME?</v>
      </c>
      <c r="D1169" s="473" t="n">
        <f aca="false">тарифик!J1170</f>
        <v>167.336010709505</v>
      </c>
      <c r="E1169" s="369"/>
      <c r="F1169" s="473" t="n">
        <f aca="false">D1169*0.9*0.095+D1169*3%</f>
        <v>19.3273092369478</v>
      </c>
      <c r="G1169" s="369" t="n">
        <f aca="false">амортизация!M3866</f>
        <v>36.2708705191135</v>
      </c>
      <c r="H1169" s="473" t="e">
        <f aca="false">C1169+D1169+F1169+G1169</f>
        <v>#NAME?</v>
      </c>
      <c r="I1169" s="462" t="n">
        <f aca="false">I$190</f>
        <v>0.240474587202079</v>
      </c>
      <c r="J1169" s="473" t="n">
        <f aca="false">D1169*I1169</f>
        <v>40.2400580994108</v>
      </c>
      <c r="K1169" s="473" t="e">
        <f aca="false">H1169+J1169</f>
        <v>#NAME?</v>
      </c>
      <c r="L1169" s="462" t="n">
        <v>0.2</v>
      </c>
      <c r="M1169" s="473" t="e">
        <f aca="false">K1169*L1169</f>
        <v>#NAME?</v>
      </c>
      <c r="N1169" s="473" t="e">
        <f aca="false">K1169+M1169</f>
        <v>#NAME?</v>
      </c>
      <c r="O1169" s="473" t="e">
        <f aca="false">M1169</f>
        <v>#NAME?</v>
      </c>
    </row>
    <row r="1170" customFormat="false" ht="15" hidden="false" customHeight="false" outlineLevel="0" collapsed="false">
      <c r="A1170" s="350" t="s">
        <v>1931</v>
      </c>
      <c r="B1170" s="509" t="s">
        <v>3702</v>
      </c>
      <c r="C1170" s="364"/>
      <c r="D1170" s="364"/>
      <c r="E1170" s="364"/>
      <c r="F1170" s="364"/>
      <c r="G1170" s="364"/>
      <c r="H1170" s="474"/>
      <c r="I1170" s="475"/>
      <c r="J1170" s="474"/>
      <c r="K1170" s="474"/>
      <c r="L1170" s="475"/>
      <c r="M1170" s="474"/>
      <c r="N1170" s="474"/>
      <c r="O1170" s="474"/>
    </row>
    <row r="1171" customFormat="false" ht="15" hidden="false" customHeight="false" outlineLevel="0" collapsed="false">
      <c r="A1171" s="327" t="s">
        <v>1933</v>
      </c>
      <c r="B1171" s="500" t="s">
        <v>3703</v>
      </c>
      <c r="C1171" s="369" t="e">
        <f aca="false">мат.затр!g9951</f>
        <v>#NAME?</v>
      </c>
      <c r="D1171" s="473" t="n">
        <f aca="false">тарифик!J1172</f>
        <v>251.004016064257</v>
      </c>
      <c r="E1171" s="369"/>
      <c r="F1171" s="473" t="n">
        <f aca="false">D1171*0.9*0.095+D1171*3%</f>
        <v>28.9909638554217</v>
      </c>
      <c r="G1171" s="369" t="n">
        <f aca="false">амортизация!M3875</f>
        <v>36.2708705191135</v>
      </c>
      <c r="H1171" s="473" t="e">
        <f aca="false">C1171+D1171+F1171+G1171</f>
        <v>#NAME?</v>
      </c>
      <c r="I1171" s="462" t="n">
        <f aca="false">I$190</f>
        <v>0.240474587202079</v>
      </c>
      <c r="J1171" s="473" t="n">
        <f aca="false">D1171*I1171</f>
        <v>60.3600871491162</v>
      </c>
      <c r="K1171" s="473" t="e">
        <f aca="false">H1171+J1171</f>
        <v>#NAME?</v>
      </c>
      <c r="L1171" s="462" t="n">
        <v>0.2</v>
      </c>
      <c r="M1171" s="473" t="e">
        <f aca="false">K1171*L1171</f>
        <v>#NAME?</v>
      </c>
      <c r="N1171" s="473" t="e">
        <f aca="false">K1171+M1171</f>
        <v>#NAME?</v>
      </c>
      <c r="O1171" s="473" t="e">
        <f aca="false">M1171</f>
        <v>#NAME?</v>
      </c>
    </row>
    <row r="1172" customFormat="false" ht="15" hidden="false" customHeight="false" outlineLevel="0" collapsed="false">
      <c r="A1172" s="327" t="s">
        <v>1935</v>
      </c>
      <c r="B1172" s="500" t="s">
        <v>3704</v>
      </c>
      <c r="C1172" s="369" t="e">
        <f aca="false">мат.затр!g9957</f>
        <v>#NAME?</v>
      </c>
      <c r="D1172" s="473" t="n">
        <f aca="false">тарифик!J1173</f>
        <v>376.506024096386</v>
      </c>
      <c r="E1172" s="369"/>
      <c r="F1172" s="473" t="n">
        <f aca="false">D1172*0.9*0.095+D1172*3%</f>
        <v>43.4864457831325</v>
      </c>
      <c r="G1172" s="369" t="n">
        <f aca="false">амортизация!M3882</f>
        <v>27.6725885021568</v>
      </c>
      <c r="H1172" s="473" t="e">
        <f aca="false">C1172+D1172+F1172+G1172</f>
        <v>#NAME?</v>
      </c>
      <c r="I1172" s="462" t="n">
        <f aca="false">I$190</f>
        <v>0.240474587202079</v>
      </c>
      <c r="J1172" s="473" t="n">
        <f aca="false">D1172*I1172</f>
        <v>90.5401307236743</v>
      </c>
      <c r="K1172" s="473" t="e">
        <f aca="false">H1172+J1172</f>
        <v>#NAME?</v>
      </c>
      <c r="L1172" s="462" t="n">
        <v>0.2</v>
      </c>
      <c r="M1172" s="473" t="e">
        <f aca="false">K1172*L1172</f>
        <v>#NAME?</v>
      </c>
      <c r="N1172" s="473" t="e">
        <f aca="false">K1172+M1172</f>
        <v>#NAME?</v>
      </c>
      <c r="O1172" s="473" t="e">
        <f aca="false">M1172</f>
        <v>#NAME?</v>
      </c>
    </row>
    <row r="1173" customFormat="false" ht="15" hidden="false" customHeight="false" outlineLevel="0" collapsed="false">
      <c r="A1173" s="327" t="s">
        <v>1937</v>
      </c>
      <c r="B1173" s="500" t="s">
        <v>3705</v>
      </c>
      <c r="C1173" s="369" t="e">
        <f aca="false">мат.затр!g9968</f>
        <v>#NAME?</v>
      </c>
      <c r="D1173" s="473" t="n">
        <f aca="false">тарифик!J1174</f>
        <v>334.672021419009</v>
      </c>
      <c r="E1173" s="369"/>
      <c r="F1173" s="473" t="n">
        <f aca="false">D1173*0.9*0.095+D1173*3%</f>
        <v>38.6546184738956</v>
      </c>
      <c r="G1173" s="369" t="n">
        <f aca="false">амортизация!M3890</f>
        <v>33.5854529228023</v>
      </c>
      <c r="H1173" s="473" t="e">
        <f aca="false">C1173+D1173+F1173+G1173</f>
        <v>#NAME?</v>
      </c>
      <c r="I1173" s="462" t="n">
        <f aca="false">I$190</f>
        <v>0.240474587202079</v>
      </c>
      <c r="J1173" s="473" t="n">
        <f aca="false">D1173*I1173</f>
        <v>80.4801161988216</v>
      </c>
      <c r="K1173" s="473" t="e">
        <f aca="false">H1173+J1173</f>
        <v>#NAME?</v>
      </c>
      <c r="L1173" s="462" t="n">
        <v>0.2</v>
      </c>
      <c r="M1173" s="473" t="e">
        <f aca="false">K1173*L1173</f>
        <v>#NAME?</v>
      </c>
      <c r="N1173" s="473" t="e">
        <f aca="false">K1173+M1173</f>
        <v>#NAME?</v>
      </c>
      <c r="O1173" s="473" t="e">
        <f aca="false">M1173</f>
        <v>#NAME?</v>
      </c>
    </row>
    <row r="1174" customFormat="false" ht="15" hidden="false" customHeight="false" outlineLevel="0" collapsed="false">
      <c r="A1174" s="327" t="s">
        <v>1939</v>
      </c>
      <c r="B1174" s="500" t="s">
        <v>3706</v>
      </c>
      <c r="C1174" s="369" t="e">
        <f aca="false">мат.затр!g9979</f>
        <v>#NAME?</v>
      </c>
      <c r="D1174" s="473" t="n">
        <f aca="false">тарифик!J1175</f>
        <v>376.506024096386</v>
      </c>
      <c r="E1174" s="369"/>
      <c r="F1174" s="473" t="n">
        <f aca="false">D1174*0.9*0.095+D1174*3%</f>
        <v>43.4864457831325</v>
      </c>
      <c r="G1174" s="369" t="n">
        <f aca="false">амортизация!M3897</f>
        <v>27.6725885021568</v>
      </c>
      <c r="H1174" s="473" t="e">
        <f aca="false">C1174+D1174+F1174+G1174</f>
        <v>#NAME?</v>
      </c>
      <c r="I1174" s="462" t="n">
        <f aca="false">I$190</f>
        <v>0.240474587202079</v>
      </c>
      <c r="J1174" s="473" t="n">
        <f aca="false">D1174*I1174</f>
        <v>90.5401307236743</v>
      </c>
      <c r="K1174" s="473" t="e">
        <f aca="false">H1174+J1174</f>
        <v>#NAME?</v>
      </c>
      <c r="L1174" s="462" t="n">
        <v>0.2</v>
      </c>
      <c r="M1174" s="473" t="e">
        <f aca="false">K1174*L1174</f>
        <v>#NAME?</v>
      </c>
      <c r="N1174" s="473" t="e">
        <f aca="false">K1174+M1174</f>
        <v>#NAME?</v>
      </c>
      <c r="O1174" s="473" t="e">
        <f aca="false">M1174</f>
        <v>#NAME?</v>
      </c>
    </row>
    <row r="1175" customFormat="false" ht="15" hidden="false" customHeight="false" outlineLevel="0" collapsed="false">
      <c r="A1175" s="327" t="s">
        <v>1941</v>
      </c>
      <c r="B1175" s="500" t="s">
        <v>3707</v>
      </c>
      <c r="C1175" s="369" t="e">
        <f aca="false">мат.затр!g9988</f>
        <v>#NAME?</v>
      </c>
      <c r="D1175" s="473" t="n">
        <f aca="false">тарифик!J1176</f>
        <v>334.672021419009</v>
      </c>
      <c r="E1175" s="366"/>
      <c r="F1175" s="473" t="n">
        <f aca="false">D1175*0.9*0.095+D1175*3%</f>
        <v>38.6546184738956</v>
      </c>
      <c r="G1175" s="369" t="n">
        <f aca="false">амортизация!M3905</f>
        <v>30.2558381674848</v>
      </c>
      <c r="H1175" s="473" t="e">
        <f aca="false">C1175+D1175+F1175+G1175</f>
        <v>#NAME?</v>
      </c>
      <c r="I1175" s="462" t="n">
        <f aca="false">I$190</f>
        <v>0.240474587202079</v>
      </c>
      <c r="J1175" s="473" t="n">
        <f aca="false">D1175*I1175</f>
        <v>80.4801161988216</v>
      </c>
      <c r="K1175" s="473" t="e">
        <f aca="false">H1175+J1175</f>
        <v>#NAME?</v>
      </c>
      <c r="L1175" s="462" t="n">
        <v>0.2</v>
      </c>
      <c r="M1175" s="473" t="e">
        <f aca="false">K1175*L1175</f>
        <v>#NAME?</v>
      </c>
      <c r="N1175" s="473" t="e">
        <f aca="false">K1175+M1175</f>
        <v>#NAME?</v>
      </c>
      <c r="O1175" s="473" t="e">
        <f aca="false">M1175</f>
        <v>#NAME?</v>
      </c>
    </row>
    <row r="1176" customFormat="false" ht="15" hidden="false" customHeight="false" outlineLevel="0" collapsed="false">
      <c r="A1176" s="327" t="s">
        <v>1943</v>
      </c>
      <c r="B1176" s="500" t="s">
        <v>3708</v>
      </c>
      <c r="C1176" s="369" t="e">
        <f aca="false">мат.затр!g9997</f>
        <v>#NAME?</v>
      </c>
      <c r="D1176" s="473" t="n">
        <f aca="false">тарифик!J1177</f>
        <v>376.506024096386</v>
      </c>
      <c r="E1176" s="369"/>
      <c r="F1176" s="473" t="n">
        <f aca="false">D1176*0.9*0.095+D1176*3%</f>
        <v>43.4864457831325</v>
      </c>
      <c r="G1176" s="369" t="n">
        <f aca="false">амортизация!M3912</f>
        <v>27.6725885021568</v>
      </c>
      <c r="H1176" s="473" t="e">
        <f aca="false">C1176+D1176+F1176+G1176</f>
        <v>#NAME?</v>
      </c>
      <c r="I1176" s="462" t="n">
        <f aca="false">I$190</f>
        <v>0.240474587202079</v>
      </c>
      <c r="J1176" s="473" t="n">
        <f aca="false">D1176*I1176</f>
        <v>90.5401307236743</v>
      </c>
      <c r="K1176" s="473" t="e">
        <f aca="false">H1176+J1176</f>
        <v>#NAME?</v>
      </c>
      <c r="L1176" s="462" t="n">
        <v>0.2</v>
      </c>
      <c r="M1176" s="473" t="e">
        <f aca="false">K1176*L1176</f>
        <v>#NAME?</v>
      </c>
      <c r="N1176" s="473" t="e">
        <f aca="false">K1176+M1176</f>
        <v>#NAME?</v>
      </c>
      <c r="O1176" s="473" t="e">
        <f aca="false">M1176</f>
        <v>#NAME?</v>
      </c>
    </row>
    <row r="1177" customFormat="false" ht="15" hidden="false" customHeight="false" outlineLevel="0" collapsed="false">
      <c r="A1177" s="350" t="s">
        <v>1945</v>
      </c>
      <c r="B1177" s="509" t="s">
        <v>3709</v>
      </c>
      <c r="C1177" s="364"/>
      <c r="D1177" s="364"/>
      <c r="E1177" s="364"/>
      <c r="F1177" s="364"/>
      <c r="G1177" s="364"/>
      <c r="H1177" s="474"/>
      <c r="I1177" s="475"/>
      <c r="J1177" s="474"/>
      <c r="K1177" s="474"/>
      <c r="L1177" s="475"/>
      <c r="M1177" s="474"/>
      <c r="N1177" s="474"/>
      <c r="O1177" s="474"/>
    </row>
    <row r="1178" customFormat="false" ht="45" hidden="false" customHeight="false" outlineLevel="0" collapsed="false">
      <c r="A1178" s="327" t="s">
        <v>1947</v>
      </c>
      <c r="B1178" s="500" t="s">
        <v>3710</v>
      </c>
      <c r="C1178" s="369" t="e">
        <f aca="false">мат.затр!g10007</f>
        <v>#NAME?</v>
      </c>
      <c r="D1178" s="473" t="n">
        <f aca="false">тарифик!J1179</f>
        <v>251.004016064257</v>
      </c>
      <c r="E1178" s="369"/>
      <c r="F1178" s="473" t="n">
        <f aca="false">D1178*0.9*0.095+D1178*3%</f>
        <v>28.9909638554217</v>
      </c>
      <c r="G1178" s="369" t="n">
        <f aca="false">амортизация!M3921</f>
        <v>30.2558381674848</v>
      </c>
      <c r="H1178" s="473" t="e">
        <f aca="false">C1178+D1178+F1178+G1178</f>
        <v>#NAME?</v>
      </c>
      <c r="I1178" s="462" t="n">
        <f aca="false">I$190</f>
        <v>0.240474587202079</v>
      </c>
      <c r="J1178" s="473" t="n">
        <f aca="false">D1178*I1178</f>
        <v>60.3600871491162</v>
      </c>
      <c r="K1178" s="473" t="e">
        <f aca="false">H1178+J1178</f>
        <v>#NAME?</v>
      </c>
      <c r="L1178" s="462" t="n">
        <v>0.2</v>
      </c>
      <c r="M1178" s="473" t="e">
        <f aca="false">K1178*L1178</f>
        <v>#NAME?</v>
      </c>
      <c r="N1178" s="473" t="e">
        <f aca="false">K1178+M1178</f>
        <v>#NAME?</v>
      </c>
      <c r="O1178" s="473" t="e">
        <f aca="false">M1178</f>
        <v>#NAME?</v>
      </c>
    </row>
    <row r="1179" customFormat="false" ht="30" hidden="false" customHeight="false" outlineLevel="0" collapsed="false">
      <c r="A1179" s="327" t="s">
        <v>1949</v>
      </c>
      <c r="B1179" s="522" t="s">
        <v>3711</v>
      </c>
      <c r="C1179" s="369" t="e">
        <f aca="false">мат.затр!g10019</f>
        <v>#NAME?</v>
      </c>
      <c r="D1179" s="473" t="n">
        <f aca="false">тарифик!J1180</f>
        <v>418.340026773762</v>
      </c>
      <c r="E1179" s="369"/>
      <c r="F1179" s="473" t="n">
        <f aca="false">D1179*0.9*0.095+D1179*3%</f>
        <v>48.3182730923695</v>
      </c>
      <c r="G1179" s="369" t="n">
        <f aca="false">амортизация!M3929</f>
        <v>27.6725885021568</v>
      </c>
      <c r="H1179" s="473" t="e">
        <f aca="false">C1179+D1179+F1179+G1179</f>
        <v>#NAME?</v>
      </c>
      <c r="I1179" s="462" t="n">
        <f aca="false">I$190</f>
        <v>0.240474587202079</v>
      </c>
      <c r="J1179" s="473" t="n">
        <f aca="false">D1179*I1179</f>
        <v>100.600145248527</v>
      </c>
      <c r="K1179" s="473" t="e">
        <f aca="false">H1179+J1179</f>
        <v>#NAME?</v>
      </c>
      <c r="L1179" s="462" t="n">
        <v>0.2</v>
      </c>
      <c r="M1179" s="473" t="e">
        <f aca="false">K1179*L1179</f>
        <v>#NAME?</v>
      </c>
      <c r="N1179" s="473" t="e">
        <f aca="false">K1179+M1179</f>
        <v>#NAME?</v>
      </c>
      <c r="O1179" s="473" t="e">
        <f aca="false">M1179</f>
        <v>#NAME?</v>
      </c>
    </row>
    <row r="1180" customFormat="false" ht="15" hidden="false" customHeight="false" outlineLevel="0" collapsed="false">
      <c r="A1180" s="327" t="s">
        <v>1950</v>
      </c>
      <c r="B1180" s="522" t="s">
        <v>3693</v>
      </c>
      <c r="C1180" s="369" t="e">
        <f aca="false">мат.затр!g10035</f>
        <v>#NAME?</v>
      </c>
      <c r="D1180" s="473" t="n">
        <f aca="false">тарифик!J1181</f>
        <v>334.672021419009</v>
      </c>
      <c r="E1180" s="369"/>
      <c r="F1180" s="473" t="n">
        <f aca="false">D1180*0.9*0.095+D1180*3%</f>
        <v>38.6546184738956</v>
      </c>
      <c r="G1180" s="369" t="n">
        <f aca="false">амортизация!M3938</f>
        <v>36.2708705191135</v>
      </c>
      <c r="H1180" s="473" t="e">
        <f aca="false">C1180+D1180+F1180+G1180</f>
        <v>#NAME?</v>
      </c>
      <c r="I1180" s="462" t="n">
        <f aca="false">I$190</f>
        <v>0.240474587202079</v>
      </c>
      <c r="J1180" s="473" t="n">
        <f aca="false">D1180*I1180</f>
        <v>80.4801161988216</v>
      </c>
      <c r="K1180" s="473" t="e">
        <f aca="false">H1180+J1180</f>
        <v>#NAME?</v>
      </c>
      <c r="L1180" s="462" t="n">
        <v>0.2</v>
      </c>
      <c r="M1180" s="473" t="e">
        <f aca="false">K1180*L1180</f>
        <v>#NAME?</v>
      </c>
      <c r="N1180" s="473" t="e">
        <f aca="false">K1180+M1180</f>
        <v>#NAME?</v>
      </c>
      <c r="O1180" s="473" t="e">
        <f aca="false">M1180</f>
        <v>#NAME?</v>
      </c>
    </row>
    <row r="1181" customFormat="false" ht="15" hidden="false" customHeight="false" outlineLevel="0" collapsed="false">
      <c r="A1181" s="327" t="s">
        <v>1951</v>
      </c>
      <c r="B1181" s="522" t="s">
        <v>3691</v>
      </c>
      <c r="C1181" s="369" t="e">
        <f aca="false">мат.затр!g10051</f>
        <v>#NAME?</v>
      </c>
      <c r="D1181" s="473" t="n">
        <f aca="false">тарифик!J1182</f>
        <v>334.672021419009</v>
      </c>
      <c r="E1181" s="369"/>
      <c r="F1181" s="473" t="n">
        <f aca="false">D1181*0.9*0.095+D1181*3%</f>
        <v>38.6546184738956</v>
      </c>
      <c r="G1181" s="369" t="n">
        <f aca="false">амортизация!M3947</f>
        <v>36.2708705191135</v>
      </c>
      <c r="H1181" s="473" t="e">
        <f aca="false">C1181+D1181+F1181+G1181</f>
        <v>#NAME?</v>
      </c>
      <c r="I1181" s="462" t="n">
        <f aca="false">I$190</f>
        <v>0.240474587202079</v>
      </c>
      <c r="J1181" s="473" t="n">
        <f aca="false">D1181*I1181</f>
        <v>80.4801161988216</v>
      </c>
      <c r="K1181" s="473" t="e">
        <f aca="false">H1181+J1181</f>
        <v>#NAME?</v>
      </c>
      <c r="L1181" s="462" t="n">
        <v>0.2</v>
      </c>
      <c r="M1181" s="473" t="e">
        <f aca="false">K1181*L1181</f>
        <v>#NAME?</v>
      </c>
      <c r="N1181" s="473" t="e">
        <f aca="false">K1181+M1181</f>
        <v>#NAME?</v>
      </c>
      <c r="O1181" s="473" t="e">
        <f aca="false">M1181</f>
        <v>#NAME?</v>
      </c>
    </row>
    <row r="1182" customFormat="false" ht="30" hidden="false" customHeight="false" outlineLevel="0" collapsed="false">
      <c r="A1182" s="327" t="s">
        <v>1952</v>
      </c>
      <c r="B1182" s="522" t="s">
        <v>3712</v>
      </c>
      <c r="C1182" s="369" t="e">
        <f aca="false">мат.затр!g10061</f>
        <v>#NAME?</v>
      </c>
      <c r="D1182" s="473" t="n">
        <f aca="false">тарифик!J1183</f>
        <v>334.672021419009</v>
      </c>
      <c r="E1182" s="366"/>
      <c r="F1182" s="473" t="n">
        <f aca="false">D1182*0.9*0.095+D1182*3%</f>
        <v>38.6546184738956</v>
      </c>
      <c r="G1182" s="369" t="n">
        <f aca="false">амортизация!M3957</f>
        <v>45.8186821359512</v>
      </c>
      <c r="H1182" s="473" t="e">
        <f aca="false">C1182+D1182+F1182+G1182</f>
        <v>#NAME?</v>
      </c>
      <c r="I1182" s="462" t="n">
        <f aca="false">I$190</f>
        <v>0.240474587202079</v>
      </c>
      <c r="J1182" s="473" t="n">
        <f aca="false">D1182*I1182</f>
        <v>80.4801161988216</v>
      </c>
      <c r="K1182" s="473" t="e">
        <f aca="false">H1182+J1182</f>
        <v>#NAME?</v>
      </c>
      <c r="L1182" s="462" t="n">
        <v>0.2</v>
      </c>
      <c r="M1182" s="473" t="e">
        <f aca="false">K1182*L1182</f>
        <v>#NAME?</v>
      </c>
      <c r="N1182" s="473" t="e">
        <f aca="false">K1182+M1182</f>
        <v>#NAME?</v>
      </c>
      <c r="O1182" s="473" t="e">
        <f aca="false">M1182</f>
        <v>#NAME?</v>
      </c>
    </row>
    <row r="1183" customFormat="false" ht="15" hidden="false" customHeight="false" outlineLevel="0" collapsed="false">
      <c r="A1183" s="350" t="s">
        <v>1954</v>
      </c>
      <c r="B1183" s="509" t="s">
        <v>3713</v>
      </c>
      <c r="C1183" s="364"/>
      <c r="D1183" s="364"/>
      <c r="E1183" s="364"/>
      <c r="F1183" s="364"/>
      <c r="G1183" s="364"/>
      <c r="H1183" s="474"/>
      <c r="I1183" s="475"/>
      <c r="J1183" s="474"/>
      <c r="K1183" s="474"/>
      <c r="L1183" s="475"/>
      <c r="M1183" s="474"/>
      <c r="N1183" s="474"/>
      <c r="O1183" s="474"/>
    </row>
    <row r="1184" customFormat="false" ht="30" hidden="false" customHeight="false" outlineLevel="0" collapsed="false">
      <c r="A1184" s="327" t="s">
        <v>1956</v>
      </c>
      <c r="B1184" s="500" t="s">
        <v>3714</v>
      </c>
      <c r="C1184" s="369" t="e">
        <f aca="false">мат.затр!g10071</f>
        <v>#NAME?</v>
      </c>
      <c r="D1184" s="473" t="n">
        <f aca="false">тарифик!J1185</f>
        <v>334.672021419009</v>
      </c>
      <c r="E1184" s="369"/>
      <c r="F1184" s="473" t="n">
        <f aca="false">D1184*0.9*0.095+D1184*3%</f>
        <v>38.6546184738956</v>
      </c>
      <c r="G1184" s="369" t="n">
        <f aca="false">амортизация!M3967</f>
        <v>28.1725048341514</v>
      </c>
      <c r="H1184" s="473" t="e">
        <f aca="false">C1184+D1184+F1184+G1184</f>
        <v>#NAME?</v>
      </c>
      <c r="I1184" s="462" t="n">
        <f aca="false">I$190</f>
        <v>0.240474587202079</v>
      </c>
      <c r="J1184" s="473" t="n">
        <f aca="false">D1184*I1184</f>
        <v>80.4801161988216</v>
      </c>
      <c r="K1184" s="473" t="e">
        <f aca="false">H1184+J1184</f>
        <v>#NAME?</v>
      </c>
      <c r="L1184" s="462" t="n">
        <v>0.2</v>
      </c>
      <c r="M1184" s="473" t="e">
        <f aca="false">K1184*L1184</f>
        <v>#NAME?</v>
      </c>
      <c r="N1184" s="473" t="e">
        <f aca="false">K1184+M1184</f>
        <v>#NAME?</v>
      </c>
      <c r="O1184" s="473" t="e">
        <f aca="false">M1184</f>
        <v>#NAME?</v>
      </c>
    </row>
    <row r="1185" customFormat="false" ht="15" hidden="false" customHeight="false" outlineLevel="0" collapsed="false">
      <c r="A1185" s="327" t="s">
        <v>1958</v>
      </c>
      <c r="B1185" s="500" t="s">
        <v>3715</v>
      </c>
      <c r="C1185" s="369" t="e">
        <f aca="false">мат.затр!g10085</f>
        <v>#NAME?</v>
      </c>
      <c r="D1185" s="473" t="n">
        <f aca="false">тарифик!J1186</f>
        <v>334.672021419009</v>
      </c>
      <c r="E1185" s="369"/>
      <c r="F1185" s="473" t="n">
        <f aca="false">D1185*0.9*0.095+D1185*3%</f>
        <v>38.6546184738956</v>
      </c>
      <c r="G1185" s="369" t="n">
        <f aca="false">амортизация!M3975</f>
        <v>27.6725885021568</v>
      </c>
      <c r="H1185" s="473" t="e">
        <f aca="false">C1185+D1185+F1185+G1185</f>
        <v>#NAME?</v>
      </c>
      <c r="I1185" s="462" t="n">
        <f aca="false">I$190</f>
        <v>0.240474587202079</v>
      </c>
      <c r="J1185" s="473" t="n">
        <f aca="false">D1185*I1185</f>
        <v>80.4801161988216</v>
      </c>
      <c r="K1185" s="473" t="e">
        <f aca="false">H1185+J1185</f>
        <v>#NAME?</v>
      </c>
      <c r="L1185" s="462" t="n">
        <v>0.2</v>
      </c>
      <c r="M1185" s="473" t="e">
        <f aca="false">K1185*L1185</f>
        <v>#NAME?</v>
      </c>
      <c r="N1185" s="473" t="e">
        <f aca="false">K1185+M1185</f>
        <v>#NAME?</v>
      </c>
      <c r="O1185" s="473" t="e">
        <f aca="false">M1185</f>
        <v>#NAME?</v>
      </c>
    </row>
    <row r="1186" customFormat="false" ht="15" hidden="false" customHeight="false" outlineLevel="0" collapsed="false">
      <c r="A1186" s="327" t="s">
        <v>1960</v>
      </c>
      <c r="B1186" s="500" t="s">
        <v>3716</v>
      </c>
      <c r="C1186" s="369" t="e">
        <f aca="false">мат.затр!g10099</f>
        <v>#NAME?</v>
      </c>
      <c r="D1186" s="473" t="n">
        <f aca="false">тарифик!J1187</f>
        <v>334.672021419009</v>
      </c>
      <c r="E1186" s="369"/>
      <c r="F1186" s="473" t="n">
        <f aca="false">D1186*0.9*0.095+D1186*3%</f>
        <v>38.6546184738956</v>
      </c>
      <c r="G1186" s="369" t="n">
        <f aca="false">амортизация!M3984</f>
        <v>36.2708705191135</v>
      </c>
      <c r="H1186" s="473" t="e">
        <f aca="false">C1186+D1186+F1186+G1186</f>
        <v>#NAME?</v>
      </c>
      <c r="I1186" s="462" t="n">
        <f aca="false">I$190</f>
        <v>0.240474587202079</v>
      </c>
      <c r="J1186" s="473" t="n">
        <f aca="false">D1186*I1186</f>
        <v>80.4801161988216</v>
      </c>
      <c r="K1186" s="473" t="e">
        <f aca="false">H1186+J1186</f>
        <v>#NAME?</v>
      </c>
      <c r="L1186" s="462" t="n">
        <v>0.2</v>
      </c>
      <c r="M1186" s="473" t="e">
        <f aca="false">K1186*L1186</f>
        <v>#NAME?</v>
      </c>
      <c r="N1186" s="473" t="e">
        <f aca="false">K1186+M1186</f>
        <v>#NAME?</v>
      </c>
      <c r="O1186" s="473" t="e">
        <f aca="false">M1186</f>
        <v>#NAME?</v>
      </c>
    </row>
    <row r="1187" customFormat="false" ht="15" hidden="false" customHeight="false" outlineLevel="0" collapsed="false">
      <c r="A1187" s="327" t="s">
        <v>1962</v>
      </c>
      <c r="B1187" s="500" t="s">
        <v>3717</v>
      </c>
      <c r="C1187" s="369" t="e">
        <f aca="false">мат.затр!g10106</f>
        <v>#NAME?</v>
      </c>
      <c r="D1187" s="473" t="n">
        <f aca="false">тарифик!J1188</f>
        <v>334.672021419009</v>
      </c>
      <c r="E1187" s="369"/>
      <c r="F1187" s="473" t="n">
        <f aca="false">D1187*0.9*0.095+D1187*3%</f>
        <v>38.6546184738956</v>
      </c>
      <c r="G1187" s="369" t="n">
        <f aca="false">амортизация!M3994</f>
        <v>43.8381767811989</v>
      </c>
      <c r="H1187" s="473" t="e">
        <f aca="false">C1187+D1187+F1187+G1187</f>
        <v>#NAME?</v>
      </c>
      <c r="I1187" s="462" t="n">
        <f aca="false">I$190</f>
        <v>0.240474587202079</v>
      </c>
      <c r="J1187" s="473" t="n">
        <f aca="false">D1187*I1187</f>
        <v>80.4801161988216</v>
      </c>
      <c r="K1187" s="473" t="e">
        <f aca="false">H1187+J1187</f>
        <v>#NAME?</v>
      </c>
      <c r="L1187" s="462" t="n">
        <v>0.2</v>
      </c>
      <c r="M1187" s="473" t="e">
        <f aca="false">K1187*L1187</f>
        <v>#NAME?</v>
      </c>
      <c r="N1187" s="473" t="e">
        <f aca="false">K1187+M1187</f>
        <v>#NAME?</v>
      </c>
      <c r="O1187" s="473" t="e">
        <f aca="false">M1187</f>
        <v>#NAME?</v>
      </c>
    </row>
    <row r="1188" customFormat="false" ht="15" hidden="false" customHeight="false" outlineLevel="0" collapsed="false">
      <c r="A1188" s="327" t="s">
        <v>1964</v>
      </c>
      <c r="B1188" s="500" t="s">
        <v>3693</v>
      </c>
      <c r="C1188" s="369" t="e">
        <f aca="false">мат.затр!g10119</f>
        <v>#NAME?</v>
      </c>
      <c r="D1188" s="473" t="n">
        <f aca="false">тарифик!J1189</f>
        <v>334.672021419009</v>
      </c>
      <c r="E1188" s="369"/>
      <c r="F1188" s="473" t="n">
        <f aca="false">D1188*0.9*0.095+D1188*3%</f>
        <v>38.6546184738956</v>
      </c>
      <c r="G1188" s="369" t="n">
        <f aca="false">амортизация!M4002</f>
        <v>27.6725885021568</v>
      </c>
      <c r="H1188" s="473" t="e">
        <f aca="false">C1188+D1188+F1188+G1188</f>
        <v>#NAME?</v>
      </c>
      <c r="I1188" s="462" t="n">
        <f aca="false">I$190</f>
        <v>0.240474587202079</v>
      </c>
      <c r="J1188" s="473" t="n">
        <f aca="false">D1188*I1188</f>
        <v>80.4801161988216</v>
      </c>
      <c r="K1188" s="473" t="e">
        <f aca="false">H1188+J1188</f>
        <v>#NAME?</v>
      </c>
      <c r="L1188" s="462" t="n">
        <v>0.2</v>
      </c>
      <c r="M1188" s="473" t="e">
        <f aca="false">K1188*L1188</f>
        <v>#NAME?</v>
      </c>
      <c r="N1188" s="473" t="e">
        <f aca="false">K1188+M1188</f>
        <v>#NAME?</v>
      </c>
      <c r="O1188" s="473" t="e">
        <f aca="false">M1188</f>
        <v>#NAME?</v>
      </c>
    </row>
    <row r="1189" customFormat="false" ht="15" hidden="false" customHeight="false" outlineLevel="0" collapsed="false">
      <c r="A1189" s="327" t="s">
        <v>1965</v>
      </c>
      <c r="B1189" s="500" t="s">
        <v>3691</v>
      </c>
      <c r="C1189" s="369" t="e">
        <f aca="false">мат.затр!g10130</f>
        <v>#NAME?</v>
      </c>
      <c r="D1189" s="473" t="n">
        <f aca="false">тарифик!J1190</f>
        <v>334.672021419009</v>
      </c>
      <c r="E1189" s="369"/>
      <c r="F1189" s="473" t="n">
        <f aca="false">D1189*0.9*0.095+D1189*3%</f>
        <v>38.6546184738956</v>
      </c>
      <c r="G1189" s="369" t="n">
        <f aca="false">амортизация!M4011</f>
        <v>36.2708705191135</v>
      </c>
      <c r="H1189" s="473" t="e">
        <f aca="false">C1189+D1189+F1189+G1189</f>
        <v>#NAME?</v>
      </c>
      <c r="I1189" s="462" t="n">
        <f aca="false">I$190</f>
        <v>0.240474587202079</v>
      </c>
      <c r="J1189" s="473" t="n">
        <f aca="false">D1189*I1189</f>
        <v>80.4801161988216</v>
      </c>
      <c r="K1189" s="473" t="e">
        <f aca="false">H1189+J1189</f>
        <v>#NAME?</v>
      </c>
      <c r="L1189" s="462" t="n">
        <v>0.2</v>
      </c>
      <c r="M1189" s="473" t="e">
        <f aca="false">K1189*L1189</f>
        <v>#NAME?</v>
      </c>
      <c r="N1189" s="473" t="e">
        <f aca="false">K1189+M1189</f>
        <v>#NAME?</v>
      </c>
      <c r="O1189" s="473" t="e">
        <f aca="false">M1189</f>
        <v>#NAME?</v>
      </c>
    </row>
    <row r="1190" customFormat="false" ht="30" hidden="false" customHeight="false" outlineLevel="0" collapsed="false">
      <c r="A1190" s="327" t="s">
        <v>1966</v>
      </c>
      <c r="B1190" s="500" t="s">
        <v>3718</v>
      </c>
      <c r="C1190" s="369" t="e">
        <f aca="false">мат.затр!g10139</f>
        <v>#NAME?</v>
      </c>
      <c r="D1190" s="473" t="n">
        <f aca="false">тарифик!J1191</f>
        <v>384.872824631861</v>
      </c>
      <c r="E1190" s="366"/>
      <c r="F1190" s="473" t="n">
        <f aca="false">D1190*0.9*0.095+D1190*3%</f>
        <v>44.4528112449799</v>
      </c>
      <c r="G1190" s="369" t="n">
        <f aca="false">амортизация!M4020</f>
        <v>36.2708705191135</v>
      </c>
      <c r="H1190" s="473" t="e">
        <f aca="false">C1190+D1190+F1190+G1190</f>
        <v>#NAME?</v>
      </c>
      <c r="I1190" s="462" t="n">
        <f aca="false">I$190</f>
        <v>0.240474587202079</v>
      </c>
      <c r="J1190" s="473" t="n">
        <f aca="false">D1190*I1190</f>
        <v>92.5521336286448</v>
      </c>
      <c r="K1190" s="473" t="e">
        <f aca="false">H1190+J1190</f>
        <v>#NAME?</v>
      </c>
      <c r="L1190" s="462" t="n">
        <v>0.2</v>
      </c>
      <c r="M1190" s="473" t="e">
        <f aca="false">K1190*L1190</f>
        <v>#NAME?</v>
      </c>
      <c r="N1190" s="473" t="e">
        <f aca="false">K1190+M1190</f>
        <v>#NAME?</v>
      </c>
      <c r="O1190" s="473" t="e">
        <f aca="false">M1190</f>
        <v>#NAME?</v>
      </c>
    </row>
    <row r="1191" customFormat="false" ht="30" hidden="false" customHeight="false" outlineLevel="0" collapsed="false">
      <c r="A1191" s="327" t="s">
        <v>1968</v>
      </c>
      <c r="B1191" s="500" t="s">
        <v>3719</v>
      </c>
      <c r="C1191" s="369" t="e">
        <f aca="false">мат.затр!g10171</f>
        <v>#NAME?</v>
      </c>
      <c r="D1191" s="473" t="n">
        <f aca="false">тарифик!J1192</f>
        <v>334.672021419009</v>
      </c>
      <c r="E1191" s="369"/>
      <c r="F1191" s="473" t="n">
        <f aca="false">D1191*0.9*0.095+D1191*3%</f>
        <v>38.6546184738956</v>
      </c>
      <c r="G1191" s="369" t="n">
        <f aca="false">амортизация!M4030</f>
        <v>36.2708705191135</v>
      </c>
      <c r="H1191" s="473" t="e">
        <f aca="false">C1191+D1191+F1191+G1191</f>
        <v>#NAME?</v>
      </c>
      <c r="I1191" s="462" t="n">
        <f aca="false">I$190</f>
        <v>0.240474587202079</v>
      </c>
      <c r="J1191" s="473" t="n">
        <f aca="false">D1191*I1191</f>
        <v>80.4801161988216</v>
      </c>
      <c r="K1191" s="473" t="e">
        <f aca="false">H1191+J1191</f>
        <v>#NAME?</v>
      </c>
      <c r="L1191" s="462" t="n">
        <v>0.2</v>
      </c>
      <c r="M1191" s="473" t="e">
        <f aca="false">K1191*L1191</f>
        <v>#NAME?</v>
      </c>
      <c r="N1191" s="473" t="e">
        <f aca="false">K1191+M1191</f>
        <v>#NAME?</v>
      </c>
      <c r="O1191" s="473" t="e">
        <f aca="false">M1191</f>
        <v>#NAME?</v>
      </c>
    </row>
    <row r="1192" customFormat="false" ht="15" hidden="false" customHeight="false" outlineLevel="0" collapsed="false">
      <c r="A1192" s="350" t="s">
        <v>1969</v>
      </c>
      <c r="B1192" s="509" t="s">
        <v>3720</v>
      </c>
      <c r="C1192" s="364"/>
      <c r="D1192" s="364"/>
      <c r="E1192" s="364"/>
      <c r="F1192" s="364"/>
      <c r="G1192" s="364"/>
      <c r="H1192" s="474"/>
      <c r="I1192" s="475"/>
      <c r="J1192" s="474"/>
      <c r="K1192" s="474"/>
      <c r="L1192" s="475"/>
      <c r="M1192" s="474"/>
      <c r="N1192" s="474"/>
      <c r="O1192" s="474"/>
    </row>
    <row r="1193" customFormat="false" ht="30" hidden="false" customHeight="false" outlineLevel="0" collapsed="false">
      <c r="A1193" s="327" t="s">
        <v>1971</v>
      </c>
      <c r="B1193" s="500" t="s">
        <v>3721</v>
      </c>
      <c r="C1193" s="369" t="e">
        <f aca="false">мат.затр!g10195</f>
        <v>#NAME?</v>
      </c>
      <c r="D1193" s="473" t="n">
        <f aca="false">тарифик!J1194</f>
        <v>836.680053547523</v>
      </c>
      <c r="E1193" s="369"/>
      <c r="F1193" s="473" t="n">
        <f aca="false">D1193*0.9*0.095+D1193*3%</f>
        <v>96.636546184739</v>
      </c>
      <c r="G1193" s="369" t="n">
        <f aca="false">амортизация!M4040</f>
        <v>36.2708705191135</v>
      </c>
      <c r="H1193" s="473" t="e">
        <f aca="false">C1193+D1193+F1193+G1193</f>
        <v>#NAME?</v>
      </c>
      <c r="I1193" s="462" t="n">
        <f aca="false">I$190</f>
        <v>0.240474587202079</v>
      </c>
      <c r="J1193" s="473" t="n">
        <f aca="false">D1193*I1193</f>
        <v>201.200290497054</v>
      </c>
      <c r="K1193" s="473" t="e">
        <f aca="false">H1193+J1193</f>
        <v>#NAME?</v>
      </c>
      <c r="L1193" s="462" t="n">
        <v>0.2</v>
      </c>
      <c r="M1193" s="473" t="e">
        <f aca="false">K1193*L1193</f>
        <v>#NAME?</v>
      </c>
      <c r="N1193" s="473" t="e">
        <f aca="false">K1193+M1193</f>
        <v>#NAME?</v>
      </c>
      <c r="O1193" s="473" t="e">
        <f aca="false">M1193</f>
        <v>#NAME?</v>
      </c>
    </row>
    <row r="1194" customFormat="false" ht="15" hidden="false" customHeight="false" outlineLevel="0" collapsed="false">
      <c r="A1194" s="327" t="s">
        <v>1973</v>
      </c>
      <c r="B1194" s="500" t="s">
        <v>3722</v>
      </c>
      <c r="C1194" s="369" t="e">
        <f aca="false">мат.затр!g10209</f>
        <v>#NAME?</v>
      </c>
      <c r="D1194" s="473" t="n">
        <f aca="false">тарифик!J1195</f>
        <v>836.680053547523</v>
      </c>
      <c r="E1194" s="369"/>
      <c r="F1194" s="473" t="n">
        <f aca="false">D1194*0.9*0.095+D1194*3%</f>
        <v>96.636546184739</v>
      </c>
      <c r="G1194" s="369" t="n">
        <f aca="false">амортизация!M4049</f>
        <v>36.2708705191135</v>
      </c>
      <c r="H1194" s="473" t="e">
        <f aca="false">C1194+D1194+F1194+G1194</f>
        <v>#NAME?</v>
      </c>
      <c r="I1194" s="462" t="n">
        <f aca="false">I$190</f>
        <v>0.240474587202079</v>
      </c>
      <c r="J1194" s="473" t="n">
        <f aca="false">D1194*I1194</f>
        <v>201.200290497054</v>
      </c>
      <c r="K1194" s="473" t="e">
        <f aca="false">H1194+J1194</f>
        <v>#NAME?</v>
      </c>
      <c r="L1194" s="462" t="n">
        <v>0.2</v>
      </c>
      <c r="M1194" s="473" t="e">
        <f aca="false">K1194*L1194</f>
        <v>#NAME?</v>
      </c>
      <c r="N1194" s="473" t="e">
        <f aca="false">K1194+M1194</f>
        <v>#NAME?</v>
      </c>
      <c r="O1194" s="473" t="e">
        <f aca="false">M1194</f>
        <v>#NAME?</v>
      </c>
    </row>
    <row r="1195" customFormat="false" ht="15" hidden="false" customHeight="false" outlineLevel="0" collapsed="false">
      <c r="A1195" s="327" t="s">
        <v>1974</v>
      </c>
      <c r="B1195" s="500" t="s">
        <v>3693</v>
      </c>
      <c r="C1195" s="369" t="e">
        <f aca="false">мат.затр!g10222</f>
        <v>#NAME?</v>
      </c>
      <c r="D1195" s="473" t="n">
        <f aca="false">тарифик!J1196</f>
        <v>836.680053547523</v>
      </c>
      <c r="E1195" s="369"/>
      <c r="F1195" s="473" t="n">
        <f aca="false">D1195*0.9*0.095+D1195*3%</f>
        <v>96.636546184739</v>
      </c>
      <c r="G1195" s="369" t="n">
        <f aca="false">амортизация!M4057</f>
        <v>27.6725885021568</v>
      </c>
      <c r="H1195" s="473" t="e">
        <f aca="false">C1195+D1195+F1195+G1195</f>
        <v>#NAME?</v>
      </c>
      <c r="I1195" s="462" t="n">
        <f aca="false">I$190</f>
        <v>0.240474587202079</v>
      </c>
      <c r="J1195" s="473" t="n">
        <f aca="false">D1195*I1195</f>
        <v>201.200290497054</v>
      </c>
      <c r="K1195" s="473" t="e">
        <f aca="false">H1195+J1195</f>
        <v>#NAME?</v>
      </c>
      <c r="L1195" s="462" t="n">
        <v>0.2</v>
      </c>
      <c r="M1195" s="473" t="e">
        <f aca="false">K1195*L1195</f>
        <v>#NAME?</v>
      </c>
      <c r="N1195" s="473" t="e">
        <f aca="false">K1195+M1195</f>
        <v>#NAME?</v>
      </c>
      <c r="O1195" s="473" t="e">
        <f aca="false">M1195</f>
        <v>#NAME?</v>
      </c>
    </row>
    <row r="1196" customFormat="false" ht="15" hidden="false" customHeight="false" outlineLevel="0" collapsed="false">
      <c r="A1196" s="327" t="s">
        <v>1975</v>
      </c>
      <c r="B1196" s="500" t="s">
        <v>3723</v>
      </c>
      <c r="C1196" s="369" t="e">
        <f aca="false">мат.затр!g10233</f>
        <v>#NAME?</v>
      </c>
      <c r="D1196" s="473" t="n">
        <f aca="false">тарифик!J1197</f>
        <v>836.680053547523</v>
      </c>
      <c r="E1196" s="369"/>
      <c r="F1196" s="473" t="n">
        <f aca="false">D1196*0.9*0.095+D1196*3%</f>
        <v>96.636546184739</v>
      </c>
      <c r="G1196" s="369" t="n">
        <f aca="false">амортизация!M4066</f>
        <v>36.2708705191135</v>
      </c>
      <c r="H1196" s="473" t="e">
        <f aca="false">C1196+D1196+F1196+G1196</f>
        <v>#NAME?</v>
      </c>
      <c r="I1196" s="462" t="n">
        <f aca="false">I$190</f>
        <v>0.240474587202079</v>
      </c>
      <c r="J1196" s="473" t="n">
        <f aca="false">D1196*I1196</f>
        <v>201.200290497054</v>
      </c>
      <c r="K1196" s="473" t="e">
        <f aca="false">H1196+J1196</f>
        <v>#NAME?</v>
      </c>
      <c r="L1196" s="462" t="n">
        <v>0.2</v>
      </c>
      <c r="M1196" s="473" t="e">
        <f aca="false">K1196*L1196</f>
        <v>#NAME?</v>
      </c>
      <c r="N1196" s="473" t="e">
        <f aca="false">K1196+M1196</f>
        <v>#NAME?</v>
      </c>
      <c r="O1196" s="473" t="e">
        <f aca="false">M1196</f>
        <v>#NAME?</v>
      </c>
    </row>
    <row r="1197" customFormat="false" ht="30" hidden="false" customHeight="false" outlineLevel="0" collapsed="false">
      <c r="A1197" s="327" t="s">
        <v>1976</v>
      </c>
      <c r="B1197" s="500" t="s">
        <v>3724</v>
      </c>
      <c r="C1197" s="369" t="e">
        <f aca="false">мат.затр!g10242</f>
        <v>#NAME?</v>
      </c>
      <c r="D1197" s="473" t="n">
        <f aca="false">тарифик!J1198</f>
        <v>836.680053547523</v>
      </c>
      <c r="E1197" s="369"/>
      <c r="F1197" s="473" t="n">
        <f aca="false">D1197*0.9*0.095+D1197*3%</f>
        <v>96.636546184739</v>
      </c>
      <c r="G1197" s="369" t="n">
        <f aca="false">амортизация!M4073</f>
        <v>27.6725885021568</v>
      </c>
      <c r="H1197" s="473" t="e">
        <f aca="false">C1197+D1197+F1197+G1197</f>
        <v>#NAME?</v>
      </c>
      <c r="I1197" s="462" t="n">
        <f aca="false">I$190</f>
        <v>0.240474587202079</v>
      </c>
      <c r="J1197" s="473" t="n">
        <f aca="false">D1197*I1197</f>
        <v>201.200290497054</v>
      </c>
      <c r="K1197" s="473" t="e">
        <f aca="false">H1197+J1197</f>
        <v>#NAME?</v>
      </c>
      <c r="L1197" s="462" t="n">
        <v>0.2</v>
      </c>
      <c r="M1197" s="473" t="e">
        <f aca="false">K1197*L1197</f>
        <v>#NAME?</v>
      </c>
      <c r="N1197" s="473" t="e">
        <f aca="false">K1197+M1197</f>
        <v>#NAME?</v>
      </c>
      <c r="O1197" s="473" t="e">
        <f aca="false">M1197</f>
        <v>#NAME?</v>
      </c>
    </row>
    <row r="1198" customFormat="false" ht="30" hidden="false" customHeight="false" outlineLevel="0" collapsed="false">
      <c r="A1198" s="327" t="s">
        <v>1978</v>
      </c>
      <c r="B1198" s="500" t="s">
        <v>3725</v>
      </c>
      <c r="C1198" s="369" t="e">
        <f aca="false">мат.затр!g10259</f>
        <v>#NAME?</v>
      </c>
      <c r="D1198" s="473" t="n">
        <f aca="false">тарифик!J1199</f>
        <v>836.680053547523</v>
      </c>
      <c r="E1198" s="369"/>
      <c r="F1198" s="473" t="n">
        <f aca="false">D1198*0.9*0.095+D1198*3%</f>
        <v>96.636546184739</v>
      </c>
      <c r="G1198" s="369" t="n">
        <f aca="false">амортизация!M4084</f>
        <v>125.617981183995</v>
      </c>
      <c r="H1198" s="473" t="e">
        <f aca="false">C1198+D1198+F1198+G1198</f>
        <v>#NAME?</v>
      </c>
      <c r="I1198" s="462" t="n">
        <f aca="false">I$190</f>
        <v>0.240474587202079</v>
      </c>
      <c r="J1198" s="473" t="n">
        <f aca="false">D1198*I1198</f>
        <v>201.200290497054</v>
      </c>
      <c r="K1198" s="473" t="e">
        <f aca="false">H1198+J1198</f>
        <v>#NAME?</v>
      </c>
      <c r="L1198" s="462" t="n">
        <v>0.2</v>
      </c>
      <c r="M1198" s="473" t="e">
        <f aca="false">K1198*L1198</f>
        <v>#NAME?</v>
      </c>
      <c r="N1198" s="473" t="e">
        <f aca="false">K1198+M1198</f>
        <v>#NAME?</v>
      </c>
      <c r="O1198" s="473" t="e">
        <f aca="false">M1198</f>
        <v>#NAME?</v>
      </c>
    </row>
    <row r="1199" customFormat="false" ht="15" hidden="false" customHeight="false" outlineLevel="0" collapsed="false">
      <c r="A1199" s="327" t="s">
        <v>1980</v>
      </c>
      <c r="B1199" s="500" t="s">
        <v>3667</v>
      </c>
      <c r="C1199" s="369" t="e">
        <f aca="false">мат.затр!g10269</f>
        <v>#NAME?</v>
      </c>
      <c r="D1199" s="473" t="n">
        <f aca="false">тарифик!J1200</f>
        <v>836.680053547523</v>
      </c>
      <c r="E1199" s="369"/>
      <c r="F1199" s="473" t="n">
        <f aca="false">D1199*0.9*0.095+D1199*3%</f>
        <v>96.636546184739</v>
      </c>
      <c r="G1199" s="369" t="n">
        <f aca="false">амортизация!M4091</f>
        <v>65.7382307005801</v>
      </c>
      <c r="H1199" s="473" t="e">
        <f aca="false">C1199+D1199+F1199+G1199</f>
        <v>#NAME?</v>
      </c>
      <c r="I1199" s="462" t="n">
        <f aca="false">I$190</f>
        <v>0.240474587202079</v>
      </c>
      <c r="J1199" s="473" t="n">
        <f aca="false">D1199*I1199</f>
        <v>201.200290497054</v>
      </c>
      <c r="K1199" s="473" t="e">
        <f aca="false">H1199+J1199</f>
        <v>#NAME?</v>
      </c>
      <c r="L1199" s="462" t="n">
        <v>0.2</v>
      </c>
      <c r="M1199" s="473" t="e">
        <f aca="false">K1199*L1199</f>
        <v>#NAME?</v>
      </c>
      <c r="N1199" s="473" t="e">
        <f aca="false">K1199+M1199</f>
        <v>#NAME?</v>
      </c>
      <c r="O1199" s="473" t="e">
        <f aca="false">M1199</f>
        <v>#NAME?</v>
      </c>
    </row>
    <row r="1200" customFormat="false" ht="15" hidden="false" customHeight="false" outlineLevel="0" collapsed="false">
      <c r="A1200" s="327" t="s">
        <v>1982</v>
      </c>
      <c r="B1200" s="500" t="s">
        <v>3668</v>
      </c>
      <c r="C1200" s="369" t="e">
        <f aca="false">мат.затр!g10281</f>
        <v>#NAME?</v>
      </c>
      <c r="D1200" s="473" t="n">
        <f aca="false">тарифик!J1201</f>
        <v>836.680053547523</v>
      </c>
      <c r="E1200" s="366"/>
      <c r="F1200" s="473" t="n">
        <f aca="false">D1200*0.9*0.095+D1200*3%</f>
        <v>96.636546184739</v>
      </c>
      <c r="G1200" s="369" t="n">
        <f aca="false">амортизация!M4101</f>
        <v>34.8884891417522</v>
      </c>
      <c r="H1200" s="473" t="e">
        <f aca="false">C1200+D1200+F1200+G1200</f>
        <v>#NAME?</v>
      </c>
      <c r="I1200" s="462" t="n">
        <f aca="false">I$190</f>
        <v>0.240474587202079</v>
      </c>
      <c r="J1200" s="473" t="n">
        <f aca="false">D1200*I1200</f>
        <v>201.200290497054</v>
      </c>
      <c r="K1200" s="473" t="e">
        <f aca="false">H1200+J1200</f>
        <v>#NAME?</v>
      </c>
      <c r="L1200" s="462" t="n">
        <v>0.2</v>
      </c>
      <c r="M1200" s="473" t="e">
        <f aca="false">K1200*L1200</f>
        <v>#NAME?</v>
      </c>
      <c r="N1200" s="473" t="e">
        <f aca="false">K1200+M1200</f>
        <v>#NAME?</v>
      </c>
      <c r="O1200" s="473" t="e">
        <f aca="false">M1200</f>
        <v>#NAME?</v>
      </c>
    </row>
    <row r="1201" customFormat="false" ht="30" hidden="false" customHeight="false" outlineLevel="0" collapsed="false">
      <c r="A1201" s="327" t="s">
        <v>1984</v>
      </c>
      <c r="B1201" s="500" t="s">
        <v>3726</v>
      </c>
      <c r="C1201" s="369" t="e">
        <f aca="false">мат.затр!g10290</f>
        <v>#NAME?</v>
      </c>
      <c r="D1201" s="473" t="n">
        <f aca="false">тарифик!J1202</f>
        <v>836.680053547523</v>
      </c>
      <c r="E1201" s="369"/>
      <c r="F1201" s="473" t="n">
        <f aca="false">D1201*0.9*0.095+D1201*3%</f>
        <v>96.636546184739</v>
      </c>
      <c r="G1201" s="369" t="n">
        <f aca="false">амортизация!M4102</f>
        <v>0</v>
      </c>
      <c r="H1201" s="473" t="e">
        <f aca="false">C1201+D1201+F1201+G1201</f>
        <v>#NAME?</v>
      </c>
      <c r="I1201" s="462" t="n">
        <f aca="false">I$190</f>
        <v>0.240474587202079</v>
      </c>
      <c r="J1201" s="473" t="n">
        <f aca="false">D1201*I1201</f>
        <v>201.200290497054</v>
      </c>
      <c r="K1201" s="473" t="e">
        <f aca="false">H1201+J1201</f>
        <v>#NAME?</v>
      </c>
      <c r="L1201" s="462" t="n">
        <v>0.2</v>
      </c>
      <c r="M1201" s="473" t="e">
        <f aca="false">K1201*L1201</f>
        <v>#NAME?</v>
      </c>
      <c r="N1201" s="473" t="e">
        <f aca="false">K1201+M1201</f>
        <v>#NAME?</v>
      </c>
      <c r="O1201" s="473" t="e">
        <f aca="false">M1201</f>
        <v>#NAME?</v>
      </c>
    </row>
    <row r="1202" customFormat="false" ht="71.25" hidden="false" customHeight="false" outlineLevel="0" collapsed="false">
      <c r="A1202" s="350" t="s">
        <v>1986</v>
      </c>
      <c r="B1202" s="346" t="s">
        <v>3727</v>
      </c>
      <c r="C1202" s="364"/>
      <c r="D1202" s="364"/>
      <c r="E1202" s="364"/>
      <c r="F1202" s="364"/>
      <c r="G1202" s="364"/>
      <c r="H1202" s="474"/>
      <c r="I1202" s="475"/>
      <c r="J1202" s="474"/>
      <c r="K1202" s="474"/>
      <c r="L1202" s="475"/>
      <c r="M1202" s="474"/>
      <c r="N1202" s="474"/>
      <c r="O1202" s="474"/>
    </row>
    <row r="1203" customFormat="false" ht="30" hidden="false" customHeight="false" outlineLevel="0" collapsed="false">
      <c r="A1203" s="327" t="s">
        <v>1988</v>
      </c>
      <c r="B1203" s="500" t="s">
        <v>3728</v>
      </c>
      <c r="C1203" s="369" t="e">
        <f aca="false">мат.затр!g10318</f>
        <v>#NAME?</v>
      </c>
      <c r="D1203" s="473" t="n">
        <f aca="false">тарифик!J1204</f>
        <v>267.737617135208</v>
      </c>
      <c r="E1203" s="369"/>
      <c r="F1203" s="473" t="n">
        <f aca="false">D1203*0.9*0.095+D1203*3%</f>
        <v>30.9236947791165</v>
      </c>
      <c r="G1203" s="369" t="n">
        <f aca="false">амортизация!M4113</f>
        <v>24.4949706232337</v>
      </c>
      <c r="H1203" s="473" t="e">
        <f aca="false">C1203+D1203+F1203+G1203</f>
        <v>#NAME?</v>
      </c>
      <c r="I1203" s="462" t="n">
        <f aca="false">I$190</f>
        <v>0.240474587202079</v>
      </c>
      <c r="J1203" s="473" t="n">
        <f aca="false">D1203*I1203</f>
        <v>64.3840929590573</v>
      </c>
      <c r="K1203" s="473" t="e">
        <f aca="false">H1203+J1203</f>
        <v>#NAME?</v>
      </c>
      <c r="L1203" s="462" t="n">
        <v>0.2</v>
      </c>
      <c r="M1203" s="473" t="e">
        <f aca="false">K1203*L1203</f>
        <v>#NAME?</v>
      </c>
      <c r="N1203" s="473" t="e">
        <f aca="false">K1203+M1203</f>
        <v>#NAME?</v>
      </c>
      <c r="O1203" s="473" t="e">
        <f aca="false">M1203</f>
        <v>#NAME?</v>
      </c>
    </row>
    <row r="1204" customFormat="false" ht="45" hidden="false" customHeight="false" outlineLevel="0" collapsed="false">
      <c r="A1204" s="327" t="s">
        <v>1989</v>
      </c>
      <c r="B1204" s="500" t="s">
        <v>3729</v>
      </c>
      <c r="C1204" s="369" t="e">
        <f aca="false">мат.затр!g10341</f>
        <v>#NAME?</v>
      </c>
      <c r="D1204" s="473" t="n">
        <f aca="false">тарифик!J1205</f>
        <v>1004.01606425703</v>
      </c>
      <c r="E1204" s="369"/>
      <c r="F1204" s="473" t="n">
        <f aca="false">D1204*0.9*0.095+D1204*3%</f>
        <v>115.963855421687</v>
      </c>
      <c r="G1204" s="369" t="n">
        <f aca="false">амортизация!M4121</f>
        <v>36.2708705191135</v>
      </c>
      <c r="H1204" s="473" t="e">
        <f aca="false">C1204+D1204+F1204+G1204</f>
        <v>#NAME?</v>
      </c>
      <c r="I1204" s="462" t="n">
        <f aca="false">I$190</f>
        <v>0.240474587202079</v>
      </c>
      <c r="J1204" s="473" t="n">
        <f aca="false">D1204*I1204</f>
        <v>241.440348596465</v>
      </c>
      <c r="K1204" s="473" t="e">
        <f aca="false">H1204+J1204</f>
        <v>#NAME?</v>
      </c>
      <c r="L1204" s="462" t="n">
        <v>0.2</v>
      </c>
      <c r="M1204" s="473" t="e">
        <f aca="false">K1204*L1204</f>
        <v>#NAME?</v>
      </c>
      <c r="N1204" s="473" t="e">
        <f aca="false">K1204+M1204</f>
        <v>#NAME?</v>
      </c>
      <c r="O1204" s="473" t="e">
        <f aca="false">M1204</f>
        <v>#NAME?</v>
      </c>
    </row>
    <row r="1205" customFormat="false" ht="30" hidden="false" customHeight="false" outlineLevel="0" collapsed="false">
      <c r="A1205" s="327" t="s">
        <v>1991</v>
      </c>
      <c r="B1205" s="500" t="s">
        <v>3730</v>
      </c>
      <c r="C1205" s="369" t="e">
        <f aca="false">мат.затр!g10350</f>
        <v>#NAME?</v>
      </c>
      <c r="D1205" s="473" t="n">
        <f aca="false">тарифик!J1206</f>
        <v>845.046854082999</v>
      </c>
      <c r="E1205" s="369"/>
      <c r="F1205" s="473" t="n">
        <f aca="false">D1205*0.9*0.095+D1205*3%</f>
        <v>97.6029116465863</v>
      </c>
      <c r="G1205" s="369" t="n">
        <f aca="false">амортизация!M4129</f>
        <v>51.4283522980812</v>
      </c>
      <c r="H1205" s="473" t="e">
        <f aca="false">C1205+D1205+F1205+G1205</f>
        <v>#NAME?</v>
      </c>
      <c r="I1205" s="462" t="n">
        <f aca="false">I$190</f>
        <v>0.240474587202079</v>
      </c>
      <c r="J1205" s="473" t="n">
        <f aca="false">D1205*I1205</f>
        <v>203.212293402025</v>
      </c>
      <c r="K1205" s="473" t="e">
        <f aca="false">H1205+J1205</f>
        <v>#NAME?</v>
      </c>
      <c r="L1205" s="462" t="n">
        <v>0.2</v>
      </c>
      <c r="M1205" s="473" t="e">
        <f aca="false">K1205*L1205</f>
        <v>#NAME?</v>
      </c>
      <c r="N1205" s="473" t="e">
        <f aca="false">K1205+M1205</f>
        <v>#NAME?</v>
      </c>
      <c r="O1205" s="473" t="e">
        <f aca="false">M1205</f>
        <v>#NAME?</v>
      </c>
    </row>
    <row r="1206" customFormat="false" ht="45" hidden="false" customHeight="false" outlineLevel="0" collapsed="false">
      <c r="A1206" s="327" t="s">
        <v>1993</v>
      </c>
      <c r="B1206" s="500" t="s">
        <v>3731</v>
      </c>
      <c r="C1206" s="369" t="e">
        <f aca="false">мат.затр!g10374</f>
        <v>#NAME?</v>
      </c>
      <c r="D1206" s="473" t="n">
        <f aca="false">тарифик!J1207</f>
        <v>251.004016064257</v>
      </c>
      <c r="E1206" s="369"/>
      <c r="F1206" s="473" t="n">
        <f aca="false">D1206*0.9*0.095+D1206*3%</f>
        <v>28.9909638554217</v>
      </c>
      <c r="G1206" s="369" t="n">
        <f aca="false">амортизация!M4137</f>
        <v>33.9588446378105</v>
      </c>
      <c r="H1206" s="473" t="e">
        <f aca="false">C1206+D1206+F1206+G1206</f>
        <v>#NAME?</v>
      </c>
      <c r="I1206" s="462" t="n">
        <f aca="false">I$190</f>
        <v>0.240474587202079</v>
      </c>
      <c r="J1206" s="473" t="n">
        <f aca="false">D1206*I1206</f>
        <v>60.3600871491162</v>
      </c>
      <c r="K1206" s="473" t="e">
        <f aca="false">H1206+J1206</f>
        <v>#NAME?</v>
      </c>
      <c r="L1206" s="462" t="n">
        <v>0.2</v>
      </c>
      <c r="M1206" s="473" t="e">
        <f aca="false">K1206*L1206</f>
        <v>#NAME?</v>
      </c>
      <c r="N1206" s="473" t="e">
        <f aca="false">K1206+M1206</f>
        <v>#NAME?</v>
      </c>
      <c r="O1206" s="473" t="e">
        <f aca="false">M1206</f>
        <v>#NAME?</v>
      </c>
    </row>
    <row r="1207" customFormat="false" ht="45" hidden="false" customHeight="false" outlineLevel="0" collapsed="false">
      <c r="A1207" s="327" t="s">
        <v>1995</v>
      </c>
      <c r="B1207" s="500" t="s">
        <v>3732</v>
      </c>
      <c r="C1207" s="369" t="e">
        <f aca="false">мат.затр!g10388</f>
        <v>#NAME?</v>
      </c>
      <c r="D1207" s="473" t="n">
        <f aca="false">тарифик!J1208</f>
        <v>251.004016064257</v>
      </c>
      <c r="E1207" s="369"/>
      <c r="F1207" s="473" t="n">
        <f aca="false">D1207*0.9*0.095+D1207*3%</f>
        <v>28.9909638554217</v>
      </c>
      <c r="G1207" s="369" t="n">
        <f aca="false">амортизация!M4145</f>
        <v>36.9508125092965</v>
      </c>
      <c r="H1207" s="473" t="e">
        <f aca="false">C1207+D1207+F1207+G1207</f>
        <v>#NAME?</v>
      </c>
      <c r="I1207" s="462" t="n">
        <f aca="false">I$190</f>
        <v>0.240474587202079</v>
      </c>
      <c r="J1207" s="473" t="n">
        <f aca="false">D1207*I1207</f>
        <v>60.3600871491162</v>
      </c>
      <c r="K1207" s="473" t="e">
        <f aca="false">H1207+J1207</f>
        <v>#NAME?</v>
      </c>
      <c r="L1207" s="462" t="n">
        <v>0.2</v>
      </c>
      <c r="M1207" s="473" t="e">
        <f aca="false">K1207*L1207</f>
        <v>#NAME?</v>
      </c>
      <c r="N1207" s="473" t="e">
        <f aca="false">K1207+M1207</f>
        <v>#NAME?</v>
      </c>
      <c r="O1207" s="473" t="e">
        <f aca="false">M1207</f>
        <v>#NAME?</v>
      </c>
    </row>
    <row r="1208" customFormat="false" ht="45" hidden="false" customHeight="false" outlineLevel="0" collapsed="false">
      <c r="A1208" s="327" t="s">
        <v>1997</v>
      </c>
      <c r="B1208" s="500" t="s">
        <v>3733</v>
      </c>
      <c r="C1208" s="369" t="e">
        <f aca="false">мат.затр!g10402</f>
        <v>#NAME?</v>
      </c>
      <c r="D1208" s="473" t="n">
        <f aca="false">тарифик!J1209</f>
        <v>251.004016064257</v>
      </c>
      <c r="E1208" s="369"/>
      <c r="F1208" s="473" t="n">
        <f aca="false">D1208*0.9*0.095+D1208*3%</f>
        <v>28.9909638554217</v>
      </c>
      <c r="G1208" s="369" t="n">
        <f aca="false">амортизация!M4153</f>
        <v>30.5195318310278</v>
      </c>
      <c r="H1208" s="473" t="e">
        <f aca="false">C1208+D1208+F1208+G1208</f>
        <v>#NAME?</v>
      </c>
      <c r="I1208" s="462" t="n">
        <f aca="false">I$190</f>
        <v>0.240474587202079</v>
      </c>
      <c r="J1208" s="473" t="n">
        <f aca="false">D1208*I1208</f>
        <v>60.3600871491162</v>
      </c>
      <c r="K1208" s="473" t="e">
        <f aca="false">H1208+J1208</f>
        <v>#NAME?</v>
      </c>
      <c r="L1208" s="462" t="n">
        <v>0.2</v>
      </c>
      <c r="M1208" s="473" t="e">
        <f aca="false">K1208*L1208</f>
        <v>#NAME?</v>
      </c>
      <c r="N1208" s="473" t="e">
        <f aca="false">K1208+M1208</f>
        <v>#NAME?</v>
      </c>
      <c r="O1208" s="473" t="e">
        <f aca="false">M1208</f>
        <v>#NAME?</v>
      </c>
    </row>
    <row r="1209" customFormat="false" ht="30" hidden="false" customHeight="false" outlineLevel="0" collapsed="false">
      <c r="A1209" s="327" t="s">
        <v>1999</v>
      </c>
      <c r="B1209" s="500" t="s">
        <v>3734</v>
      </c>
      <c r="C1209" s="369" t="e">
        <f aca="false">мат.затр!g10420</f>
        <v>#NAME?</v>
      </c>
      <c r="D1209" s="473" t="n">
        <f aca="false">тарифик!J1210</f>
        <v>251.004016064257</v>
      </c>
      <c r="E1209" s="369"/>
      <c r="F1209" s="473" t="n">
        <f aca="false">D1209*0.9*0.095+D1209*3%</f>
        <v>28.9909638554217</v>
      </c>
      <c r="G1209" s="369" t="n">
        <f aca="false">амортизация!M4163</f>
        <v>75.2860051316377</v>
      </c>
      <c r="H1209" s="473" t="e">
        <f aca="false">C1209+D1209+F1209+G1209</f>
        <v>#NAME?</v>
      </c>
      <c r="I1209" s="462" t="n">
        <f aca="false">I$190</f>
        <v>0.240474587202079</v>
      </c>
      <c r="J1209" s="473" t="n">
        <f aca="false">D1209*I1209</f>
        <v>60.3600871491162</v>
      </c>
      <c r="K1209" s="473" t="e">
        <f aca="false">H1209+J1209</f>
        <v>#NAME?</v>
      </c>
      <c r="L1209" s="462" t="n">
        <v>0.2</v>
      </c>
      <c r="M1209" s="473" t="e">
        <f aca="false">K1209*L1209</f>
        <v>#NAME?</v>
      </c>
      <c r="N1209" s="473" t="e">
        <f aca="false">K1209+M1209</f>
        <v>#NAME?</v>
      </c>
      <c r="O1209" s="473" t="e">
        <f aca="false">M1209</f>
        <v>#NAME?</v>
      </c>
    </row>
    <row r="1210" customFormat="false" ht="45" hidden="false" customHeight="false" outlineLevel="0" collapsed="false">
      <c r="A1210" s="327" t="s">
        <v>2001</v>
      </c>
      <c r="B1210" s="500" t="s">
        <v>3735</v>
      </c>
      <c r="C1210" s="369" t="e">
        <f aca="false">мат.затр!g10431</f>
        <v>#NAME?</v>
      </c>
      <c r="D1210" s="473" t="n">
        <f aca="false">тарифик!J1211</f>
        <v>292.838018741633</v>
      </c>
      <c r="E1210" s="369"/>
      <c r="F1210" s="473" t="n">
        <f aca="false">D1210*0.9*0.095+D1210*3%</f>
        <v>33.8227911646586</v>
      </c>
      <c r="G1210" s="369" t="n">
        <f aca="false">амортизация!M4171</f>
        <v>33.9588446378105</v>
      </c>
      <c r="H1210" s="473" t="e">
        <f aca="false">C1210+D1210+F1210+G1210</f>
        <v>#NAME?</v>
      </c>
      <c r="I1210" s="462" t="n">
        <f aca="false">I$190</f>
        <v>0.240474587202079</v>
      </c>
      <c r="J1210" s="473" t="n">
        <f aca="false">D1210*I1210</f>
        <v>70.4201016739689</v>
      </c>
      <c r="K1210" s="473" t="e">
        <f aca="false">H1210+J1210</f>
        <v>#NAME?</v>
      </c>
      <c r="L1210" s="462" t="n">
        <v>0.2</v>
      </c>
      <c r="M1210" s="473" t="e">
        <f aca="false">K1210*L1210</f>
        <v>#NAME?</v>
      </c>
      <c r="N1210" s="473" t="e">
        <f aca="false">K1210+M1210</f>
        <v>#NAME?</v>
      </c>
      <c r="O1210" s="473" t="e">
        <f aca="false">M1210</f>
        <v>#NAME?</v>
      </c>
    </row>
    <row r="1211" customFormat="false" ht="45" hidden="false" customHeight="false" outlineLevel="0" collapsed="false">
      <c r="A1211" s="327" t="s">
        <v>2003</v>
      </c>
      <c r="B1211" s="500" t="s">
        <v>3736</v>
      </c>
      <c r="C1211" s="369" t="e">
        <f aca="false">мат.затр!g10447</f>
        <v>#NAME?</v>
      </c>
      <c r="D1211" s="473" t="n">
        <f aca="false">тарифик!J1212</f>
        <v>200.803212851406</v>
      </c>
      <c r="E1211" s="369"/>
      <c r="F1211" s="473" t="n">
        <f aca="false">D1211*0.9*0.095+D1211*3%</f>
        <v>23.1927710843373</v>
      </c>
      <c r="G1211" s="369" t="n">
        <f aca="false">амортизация!M4179</f>
        <v>30.5195318310278</v>
      </c>
      <c r="H1211" s="473" t="e">
        <f aca="false">C1211+D1211+F1211+G1211</f>
        <v>#NAME?</v>
      </c>
      <c r="I1211" s="462" t="n">
        <f aca="false">I$190</f>
        <v>0.240474587202079</v>
      </c>
      <c r="J1211" s="473" t="n">
        <f aca="false">D1211*I1211</f>
        <v>48.288069719293</v>
      </c>
      <c r="K1211" s="473" t="e">
        <f aca="false">H1211+J1211</f>
        <v>#NAME?</v>
      </c>
      <c r="L1211" s="462" t="n">
        <v>0.2</v>
      </c>
      <c r="M1211" s="473" t="e">
        <f aca="false">K1211*L1211</f>
        <v>#NAME?</v>
      </c>
      <c r="N1211" s="473" t="e">
        <f aca="false">K1211+M1211</f>
        <v>#NAME?</v>
      </c>
      <c r="O1211" s="473" t="e">
        <f aca="false">M1211</f>
        <v>#NAME?</v>
      </c>
    </row>
    <row r="1212" customFormat="false" ht="30" hidden="false" customHeight="false" outlineLevel="0" collapsed="false">
      <c r="A1212" s="327" t="s">
        <v>2005</v>
      </c>
      <c r="B1212" s="500" t="s">
        <v>3737</v>
      </c>
      <c r="C1212" s="369" t="e">
        <f aca="false">мат.затр!g10457</f>
        <v>#NAME?</v>
      </c>
      <c r="D1212" s="473" t="n">
        <f aca="false">тарифик!J1213</f>
        <v>334.672021419009</v>
      </c>
      <c r="E1212" s="369"/>
      <c r="F1212" s="473" t="n">
        <f aca="false">D1212*0.9*0.095+D1212*3%</f>
        <v>38.6546184738956</v>
      </c>
      <c r="G1212" s="369" t="n">
        <f aca="false">амортизация!M4187</f>
        <v>30.5195318310278</v>
      </c>
      <c r="H1212" s="473" t="e">
        <f aca="false">C1212+D1212+F1212+G1212</f>
        <v>#NAME?</v>
      </c>
      <c r="I1212" s="462" t="n">
        <f aca="false">I$190</f>
        <v>0.240474587202079</v>
      </c>
      <c r="J1212" s="473" t="n">
        <f aca="false">D1212*I1212</f>
        <v>80.4801161988216</v>
      </c>
      <c r="K1212" s="473" t="e">
        <f aca="false">H1212+J1212</f>
        <v>#NAME?</v>
      </c>
      <c r="L1212" s="462" t="n">
        <v>0.2</v>
      </c>
      <c r="M1212" s="473" t="e">
        <f aca="false">K1212*L1212</f>
        <v>#NAME?</v>
      </c>
      <c r="N1212" s="473" t="e">
        <f aca="false">K1212+M1212</f>
        <v>#NAME?</v>
      </c>
      <c r="O1212" s="473" t="e">
        <f aca="false">M1212</f>
        <v>#NAME?</v>
      </c>
    </row>
    <row r="1213" customFormat="false" ht="30" hidden="false" customHeight="false" outlineLevel="0" collapsed="false">
      <c r="A1213" s="327" t="s">
        <v>2007</v>
      </c>
      <c r="B1213" s="500" t="s">
        <v>3738</v>
      </c>
      <c r="C1213" s="369" t="e">
        <f aca="false">мат.затр!g10469</f>
        <v>#NAME?</v>
      </c>
      <c r="D1213" s="473" t="n">
        <f aca="false">тарифик!J1214</f>
        <v>142.235609103079</v>
      </c>
      <c r="E1213" s="369"/>
      <c r="F1213" s="473" t="n">
        <f aca="false">D1213*0.9*0.095+D1213*3%</f>
        <v>16.4282128514056</v>
      </c>
      <c r="G1213" s="369" t="n">
        <f aca="false">амортизация!M4196</f>
        <v>37.4731425702811</v>
      </c>
      <c r="H1213" s="473" t="e">
        <f aca="false">C1213+D1213+F1213+G1213</f>
        <v>#NAME?</v>
      </c>
      <c r="I1213" s="462" t="n">
        <f aca="false">I$190</f>
        <v>0.240474587202079</v>
      </c>
      <c r="J1213" s="473" t="n">
        <f aca="false">D1213*I1213</f>
        <v>34.2040493844992</v>
      </c>
      <c r="K1213" s="473" t="e">
        <f aca="false">H1213+J1213</f>
        <v>#NAME?</v>
      </c>
      <c r="L1213" s="462" t="n">
        <v>0.2</v>
      </c>
      <c r="M1213" s="473" t="e">
        <f aca="false">K1213*L1213</f>
        <v>#NAME?</v>
      </c>
      <c r="N1213" s="473" t="e">
        <f aca="false">K1213+M1213</f>
        <v>#NAME?</v>
      </c>
      <c r="O1213" s="473" t="e">
        <f aca="false">M1213</f>
        <v>#NAME?</v>
      </c>
    </row>
    <row r="1214" customFormat="false" ht="30" hidden="false" customHeight="false" outlineLevel="0" collapsed="false">
      <c r="A1214" s="327" t="s">
        <v>2009</v>
      </c>
      <c r="B1214" s="500" t="s">
        <v>3739</v>
      </c>
      <c r="C1214" s="369" t="e">
        <f aca="false">мат.затр!g10501</f>
        <v>#NAME?</v>
      </c>
      <c r="D1214" s="473" t="n">
        <f aca="false">тарифик!J1215</f>
        <v>2058.23293172691</v>
      </c>
      <c r="E1214" s="369"/>
      <c r="F1214" s="473" t="n">
        <f aca="false">D1214*0.9*0.095+D1214*3%</f>
        <v>237.725903614458</v>
      </c>
      <c r="G1214" s="369" t="n">
        <f aca="false">амортизация!M4204</f>
        <v>30.5195318310278</v>
      </c>
      <c r="H1214" s="473" t="e">
        <f aca="false">C1214+D1214+F1214+G1214</f>
        <v>#NAME?</v>
      </c>
      <c r="I1214" s="462" t="n">
        <f aca="false">I$190</f>
        <v>0.240474587202079</v>
      </c>
      <c r="J1214" s="473" t="n">
        <f aca="false">D1214*I1214</f>
        <v>494.952714622753</v>
      </c>
      <c r="K1214" s="473" t="e">
        <f aca="false">H1214+J1214</f>
        <v>#NAME?</v>
      </c>
      <c r="L1214" s="462" t="n">
        <v>0.2</v>
      </c>
      <c r="M1214" s="473" t="e">
        <f aca="false">K1214*L1214</f>
        <v>#NAME?</v>
      </c>
      <c r="N1214" s="473" t="e">
        <f aca="false">K1214+M1214</f>
        <v>#NAME?</v>
      </c>
      <c r="O1214" s="473" t="e">
        <f aca="false">M1214</f>
        <v>#NAME?</v>
      </c>
    </row>
    <row r="1215" customFormat="false" ht="45" hidden="false" customHeight="false" outlineLevel="0" collapsed="false">
      <c r="A1215" s="327" t="s">
        <v>2011</v>
      </c>
      <c r="B1215" s="500" t="s">
        <v>3740</v>
      </c>
      <c r="C1215" s="369" t="e">
        <f aca="false">мат.затр!g10508</f>
        <v>#NAME?</v>
      </c>
      <c r="D1215" s="473" t="n">
        <f aca="false">тарифик!J1216</f>
        <v>184.069611780455</v>
      </c>
      <c r="E1215" s="369"/>
      <c r="F1215" s="473" t="n">
        <f aca="false">D1215*0.9*0.095+D1215*3%</f>
        <v>21.2600401606426</v>
      </c>
      <c r="G1215" s="369" t="n">
        <f aca="false">амортизация!M4214</f>
        <v>87.1464097129258</v>
      </c>
      <c r="H1215" s="473" t="e">
        <f aca="false">C1215+D1215+F1215+G1215</f>
        <v>#NAME?</v>
      </c>
      <c r="I1215" s="462" t="n">
        <f aca="false">I$190</f>
        <v>0.240474587202079</v>
      </c>
      <c r="J1215" s="473" t="n">
        <f aca="false">D1215*I1215</f>
        <v>44.2640639093519</v>
      </c>
      <c r="K1215" s="473" t="e">
        <f aca="false">H1215+J1215</f>
        <v>#NAME?</v>
      </c>
      <c r="L1215" s="462" t="n">
        <v>0.2</v>
      </c>
      <c r="M1215" s="473" t="e">
        <f aca="false">K1215*L1215</f>
        <v>#NAME?</v>
      </c>
      <c r="N1215" s="473" t="e">
        <f aca="false">K1215+M1215</f>
        <v>#NAME?</v>
      </c>
      <c r="O1215" s="473" t="e">
        <f aca="false">M1215</f>
        <v>#NAME?</v>
      </c>
    </row>
    <row r="1216" customFormat="false" ht="30" hidden="false" customHeight="false" outlineLevel="0" collapsed="false">
      <c r="A1216" s="327" t="s">
        <v>2013</v>
      </c>
      <c r="B1216" s="500" t="s">
        <v>3741</v>
      </c>
      <c r="C1216" s="369" t="e">
        <f aca="false">мат.затр!g10515</f>
        <v>#NAME?</v>
      </c>
      <c r="D1216" s="473" t="n">
        <f aca="false">тарифик!J1217</f>
        <v>543.84203480589</v>
      </c>
      <c r="E1216" s="366"/>
      <c r="F1216" s="473" t="n">
        <f aca="false">D1216*0.9*0.095+D1216*3%</f>
        <v>62.8137550200803</v>
      </c>
      <c r="G1216" s="369" t="n">
        <f aca="false">амортизация!M4223</f>
        <v>19.563438940949</v>
      </c>
      <c r="H1216" s="473" t="e">
        <f aca="false">C1216+D1216+F1216+G1216</f>
        <v>#NAME?</v>
      </c>
      <c r="I1216" s="462" t="n">
        <f aca="false">I$190</f>
        <v>0.240474587202079</v>
      </c>
      <c r="J1216" s="473" t="n">
        <f aca="false">D1216*I1216</f>
        <v>130.780188823085</v>
      </c>
      <c r="K1216" s="473" t="e">
        <f aca="false">H1216+J1216</f>
        <v>#NAME?</v>
      </c>
      <c r="L1216" s="462" t="n">
        <v>0.2</v>
      </c>
      <c r="M1216" s="473" t="e">
        <f aca="false">K1216*L1216</f>
        <v>#NAME?</v>
      </c>
      <c r="N1216" s="473" t="e">
        <f aca="false">K1216+M1216</f>
        <v>#NAME?</v>
      </c>
      <c r="O1216" s="473" t="e">
        <f aca="false">M1216</f>
        <v>#NAME?</v>
      </c>
    </row>
    <row r="1217" customFormat="false" ht="45" hidden="false" customHeight="false" outlineLevel="0" collapsed="false">
      <c r="A1217" s="327" t="s">
        <v>2015</v>
      </c>
      <c r="B1217" s="500" t="s">
        <v>3742</v>
      </c>
      <c r="C1217" s="369" t="e">
        <f aca="false">мат.затр!g10521</f>
        <v>#NAME?</v>
      </c>
      <c r="D1217" s="473" t="n">
        <f aca="false">тарифик!J1218</f>
        <v>962.182061579652</v>
      </c>
      <c r="E1217" s="369"/>
      <c r="F1217" s="473" t="n">
        <f aca="false">D1217*0.9*0.095+D1217*3%</f>
        <v>111.13202811245</v>
      </c>
      <c r="G1217" s="369" t="n">
        <f aca="false">амортизация!M4230</f>
        <v>21.5997787446081</v>
      </c>
      <c r="H1217" s="473" t="e">
        <f aca="false">C1217+D1217+F1217+G1217</f>
        <v>#NAME?</v>
      </c>
      <c r="I1217" s="462" t="n">
        <f aca="false">I$190</f>
        <v>0.240474587202079</v>
      </c>
      <c r="J1217" s="473" t="n">
        <f aca="false">D1217*I1217</f>
        <v>231.380334071612</v>
      </c>
      <c r="K1217" s="473" t="e">
        <f aca="false">H1217+J1217</f>
        <v>#NAME?</v>
      </c>
      <c r="L1217" s="462" t="n">
        <v>0.2</v>
      </c>
      <c r="M1217" s="473" t="e">
        <f aca="false">K1217*L1217</f>
        <v>#NAME?</v>
      </c>
      <c r="N1217" s="473" t="e">
        <f aca="false">K1217+M1217</f>
        <v>#NAME?</v>
      </c>
      <c r="O1217" s="473" t="e">
        <f aca="false">M1217</f>
        <v>#NAME?</v>
      </c>
    </row>
    <row r="1218" customFormat="false" ht="15" hidden="false" customHeight="false" outlineLevel="0" collapsed="false">
      <c r="A1218" s="350" t="s">
        <v>2017</v>
      </c>
      <c r="B1218" s="509" t="s">
        <v>3743</v>
      </c>
      <c r="C1218" s="364"/>
      <c r="D1218" s="364"/>
      <c r="E1218" s="364"/>
      <c r="F1218" s="364"/>
      <c r="G1218" s="364"/>
      <c r="H1218" s="474"/>
      <c r="I1218" s="475"/>
      <c r="J1218" s="474"/>
      <c r="K1218" s="474"/>
      <c r="L1218" s="475"/>
      <c r="M1218" s="474"/>
      <c r="N1218" s="474"/>
      <c r="O1218" s="474"/>
    </row>
    <row r="1219" customFormat="false" ht="15" hidden="false" customHeight="false" outlineLevel="0" collapsed="false">
      <c r="A1219" s="327" t="s">
        <v>2019</v>
      </c>
      <c r="B1219" s="500" t="s">
        <v>3744</v>
      </c>
      <c r="C1219" s="369" t="e">
        <f aca="false">мат.затр!g10526</f>
        <v>#NAME?</v>
      </c>
      <c r="D1219" s="473" t="n">
        <f aca="false">тарифик!J1220</f>
        <v>460.174029451138</v>
      </c>
      <c r="E1219" s="369"/>
      <c r="F1219" s="473" t="n">
        <f aca="false">D1219*0.9*0.095+D1219*3%</f>
        <v>53.1501004016064</v>
      </c>
      <c r="G1219" s="369" t="n">
        <f aca="false">амортизация!M4235</f>
        <v>10.3212851405623</v>
      </c>
      <c r="H1219" s="473" t="e">
        <f aca="false">C1219+D1219+F1219+G1219</f>
        <v>#NAME?</v>
      </c>
      <c r="I1219" s="462" t="n">
        <f aca="false">I$190</f>
        <v>0.240474587202079</v>
      </c>
      <c r="J1219" s="473" t="n">
        <f aca="false">D1219*I1219</f>
        <v>110.66015977338</v>
      </c>
      <c r="K1219" s="473" t="e">
        <f aca="false">H1219+J1219</f>
        <v>#NAME?</v>
      </c>
      <c r="L1219" s="462" t="n">
        <v>0.2</v>
      </c>
      <c r="M1219" s="473" t="e">
        <f aca="false">K1219*L1219</f>
        <v>#NAME?</v>
      </c>
      <c r="N1219" s="473" t="e">
        <f aca="false">K1219+M1219</f>
        <v>#NAME?</v>
      </c>
      <c r="O1219" s="473" t="e">
        <f aca="false">M1219</f>
        <v>#NAME?</v>
      </c>
    </row>
    <row r="1220" customFormat="false" ht="15" hidden="false" customHeight="false" outlineLevel="0" collapsed="false">
      <c r="A1220" s="327" t="s">
        <v>2021</v>
      </c>
      <c r="B1220" s="500" t="s">
        <v>3745</v>
      </c>
      <c r="C1220" s="369" t="e">
        <f aca="false">мат.затр!g10530</f>
        <v>#NAME?</v>
      </c>
      <c r="D1220" s="473" t="n">
        <f aca="false">тарифик!J1221</f>
        <v>267.737617135208</v>
      </c>
      <c r="E1220" s="369"/>
      <c r="F1220" s="473" t="n">
        <f aca="false">D1220*0.9*0.095+D1220*3%</f>
        <v>30.9236947791165</v>
      </c>
      <c r="G1220" s="369" t="n">
        <f aca="false">амортизация!M4240</f>
        <v>1.88029897367247</v>
      </c>
      <c r="H1220" s="473" t="e">
        <f aca="false">C1220+D1220+F1220+G1220</f>
        <v>#NAME?</v>
      </c>
      <c r="I1220" s="462" t="n">
        <f aca="false">I$190</f>
        <v>0.240474587202079</v>
      </c>
      <c r="J1220" s="473" t="n">
        <f aca="false">D1220*I1220</f>
        <v>64.3840929590573</v>
      </c>
      <c r="K1220" s="473" t="e">
        <f aca="false">H1220+J1220</f>
        <v>#NAME?</v>
      </c>
      <c r="L1220" s="462" t="n">
        <v>0.2</v>
      </c>
      <c r="M1220" s="473" t="e">
        <f aca="false">K1220*L1220</f>
        <v>#NAME?</v>
      </c>
      <c r="N1220" s="473" t="e">
        <f aca="false">K1220+M1220</f>
        <v>#NAME?</v>
      </c>
      <c r="O1220" s="473" t="e">
        <f aca="false">M1220</f>
        <v>#NAME?</v>
      </c>
    </row>
    <row r="1221" customFormat="false" ht="15" hidden="false" customHeight="false" outlineLevel="0" collapsed="false">
      <c r="A1221" s="327" t="s">
        <v>2023</v>
      </c>
      <c r="B1221" s="500" t="s">
        <v>3746</v>
      </c>
      <c r="C1221" s="369" t="e">
        <f aca="false">мат.затр!g10535</f>
        <v>#NAME?</v>
      </c>
      <c r="D1221" s="473" t="n">
        <f aca="false">тарифик!J1222</f>
        <v>251.004016064257</v>
      </c>
      <c r="E1221" s="366"/>
      <c r="F1221" s="473" t="n">
        <f aca="false">D1221*0.9*0.095+D1221*3%</f>
        <v>28.9909638554217</v>
      </c>
      <c r="G1221" s="369" t="n">
        <f aca="false">амортизация!M4245</f>
        <v>1.88029897367247</v>
      </c>
      <c r="H1221" s="473" t="e">
        <f aca="false">C1221+D1221+F1221+G1221</f>
        <v>#NAME?</v>
      </c>
      <c r="I1221" s="462" t="n">
        <f aca="false">I$190</f>
        <v>0.240474587202079</v>
      </c>
      <c r="J1221" s="473" t="n">
        <f aca="false">D1221*I1221</f>
        <v>60.3600871491162</v>
      </c>
      <c r="K1221" s="473" t="e">
        <f aca="false">H1221+J1221</f>
        <v>#NAME?</v>
      </c>
      <c r="L1221" s="462" t="n">
        <v>0.2</v>
      </c>
      <c r="M1221" s="473" t="e">
        <f aca="false">K1221*L1221</f>
        <v>#NAME?</v>
      </c>
      <c r="N1221" s="473" t="e">
        <f aca="false">K1221+M1221</f>
        <v>#NAME?</v>
      </c>
      <c r="O1221" s="473" t="e">
        <f aca="false">M1221</f>
        <v>#NAME?</v>
      </c>
    </row>
    <row r="1222" customFormat="false" ht="15" hidden="false" customHeight="false" outlineLevel="0" collapsed="false">
      <c r="A1222" s="327" t="s">
        <v>2025</v>
      </c>
      <c r="B1222" s="500" t="s">
        <v>3747</v>
      </c>
      <c r="C1222" s="369" t="e">
        <f aca="false">мат.затр!g10539</f>
        <v>#NAME?</v>
      </c>
      <c r="D1222" s="473" t="n">
        <f aca="false">тарифик!J1223</f>
        <v>1162.98527443106</v>
      </c>
      <c r="E1222" s="369"/>
      <c r="F1222" s="473" t="n">
        <f aca="false">D1222*0.9*0.095+D1222*3%</f>
        <v>134.324799196787</v>
      </c>
      <c r="G1222" s="369" t="n">
        <f aca="false">амортизация!M4250</f>
        <v>1.79663096831772</v>
      </c>
      <c r="H1222" s="473" t="e">
        <f aca="false">C1222+D1222+F1222+G1222</f>
        <v>#NAME?</v>
      </c>
      <c r="I1222" s="462" t="n">
        <f aca="false">I$190</f>
        <v>0.240474587202079</v>
      </c>
      <c r="J1222" s="473" t="n">
        <f aca="false">D1222*I1222</f>
        <v>279.668403790905</v>
      </c>
      <c r="K1222" s="473" t="e">
        <f aca="false">H1222+J1222</f>
        <v>#NAME?</v>
      </c>
      <c r="L1222" s="462" t="n">
        <v>0.2</v>
      </c>
      <c r="M1222" s="473" t="e">
        <f aca="false">K1222*L1222</f>
        <v>#NAME?</v>
      </c>
      <c r="N1222" s="473" t="e">
        <f aca="false">K1222+M1222</f>
        <v>#NAME?</v>
      </c>
      <c r="O1222" s="473" t="e">
        <f aca="false">M1222</f>
        <v>#NAME?</v>
      </c>
    </row>
    <row r="1223" customFormat="false" ht="15" hidden="false" customHeight="false" outlineLevel="0" collapsed="false">
      <c r="A1223" s="350" t="s">
        <v>2027</v>
      </c>
      <c r="B1223" s="509" t="s">
        <v>3748</v>
      </c>
      <c r="C1223" s="364"/>
      <c r="D1223" s="364"/>
      <c r="E1223" s="364"/>
      <c r="F1223" s="364"/>
      <c r="G1223" s="364"/>
      <c r="H1223" s="474"/>
      <c r="I1223" s="475"/>
      <c r="J1223" s="474"/>
      <c r="K1223" s="474"/>
      <c r="L1223" s="475"/>
      <c r="M1223" s="474"/>
      <c r="N1223" s="474"/>
      <c r="O1223" s="474"/>
    </row>
    <row r="1224" customFormat="false" ht="45" hidden="false" customHeight="false" outlineLevel="0" collapsed="false">
      <c r="A1224" s="327" t="s">
        <v>2029</v>
      </c>
      <c r="B1224" s="500" t="s">
        <v>3749</v>
      </c>
      <c r="C1224" s="369" t="e">
        <f aca="false">мат.затр!g10546</f>
        <v>#NAME?</v>
      </c>
      <c r="D1224" s="473" t="n">
        <f aca="false">тарифик!J1225</f>
        <v>527.10843373494</v>
      </c>
      <c r="E1224" s="366"/>
      <c r="F1224" s="473" t="n">
        <f aca="false">D1224*0.9*0.095+D1224*3%</f>
        <v>60.8810240963855</v>
      </c>
      <c r="G1224" s="369" t="n">
        <f aca="false">амортизация!M4258</f>
        <v>11.9539268183847</v>
      </c>
      <c r="H1224" s="473" t="e">
        <f aca="false">C1224+D1224+F1224+G1224</f>
        <v>#NAME?</v>
      </c>
      <c r="I1224" s="462" t="n">
        <f aca="false">I$190</f>
        <v>0.240474587202079</v>
      </c>
      <c r="J1224" s="473" t="n">
        <f aca="false">D1224*I1224</f>
        <v>126.756183013144</v>
      </c>
      <c r="K1224" s="473" t="e">
        <f aca="false">H1224+J1224</f>
        <v>#NAME?</v>
      </c>
      <c r="L1224" s="462" t="n">
        <v>0.2</v>
      </c>
      <c r="M1224" s="473" t="e">
        <f aca="false">K1224*L1224</f>
        <v>#NAME?</v>
      </c>
      <c r="N1224" s="473" t="e">
        <f aca="false">K1224+M1224</f>
        <v>#NAME?</v>
      </c>
      <c r="O1224" s="473" t="e">
        <f aca="false">M1224</f>
        <v>#NAME?</v>
      </c>
    </row>
    <row r="1225" customFormat="false" ht="15" hidden="false" customHeight="false" outlineLevel="0" collapsed="false">
      <c r="A1225" s="327" t="s">
        <v>2031</v>
      </c>
      <c r="B1225" s="500" t="s">
        <v>3750</v>
      </c>
      <c r="C1225" s="369" t="e">
        <f aca="false">мат.затр!g10552</f>
        <v>#NAME?</v>
      </c>
      <c r="D1225" s="473" t="n">
        <f aca="false">тарифик!J1226</f>
        <v>2719.21017402945</v>
      </c>
      <c r="E1225" s="369"/>
      <c r="F1225" s="473" t="n">
        <f aca="false">D1225*0.9*0.095+D1225*3%</f>
        <v>314.068775100402</v>
      </c>
      <c r="G1225" s="369" t="n">
        <f aca="false">амортизация!M4266</f>
        <v>67.0017105458873</v>
      </c>
      <c r="H1225" s="473" t="e">
        <f aca="false">C1225+D1225+F1225+G1225</f>
        <v>#NAME?</v>
      </c>
      <c r="I1225" s="462" t="n">
        <f aca="false">I$190</f>
        <v>0.240474587202079</v>
      </c>
      <c r="J1225" s="473" t="n">
        <f aca="false">D1225*I1225</f>
        <v>653.900944115426</v>
      </c>
      <c r="K1225" s="473" t="e">
        <f aca="false">H1225+J1225</f>
        <v>#NAME?</v>
      </c>
      <c r="L1225" s="462" t="n">
        <v>0.2</v>
      </c>
      <c r="M1225" s="473" t="e">
        <f aca="false">K1225*L1225</f>
        <v>#NAME?</v>
      </c>
      <c r="N1225" s="473" t="e">
        <f aca="false">K1225+M1225</f>
        <v>#NAME?</v>
      </c>
      <c r="O1225" s="473" t="e">
        <f aca="false">M1225</f>
        <v>#NAME?</v>
      </c>
    </row>
    <row r="1226" customFormat="false" ht="15" hidden="false" customHeight="false" outlineLevel="0" collapsed="false">
      <c r="A1226" s="350" t="s">
        <v>2033</v>
      </c>
      <c r="B1226" s="509" t="s">
        <v>3751</v>
      </c>
      <c r="C1226" s="364"/>
      <c r="D1226" s="364"/>
      <c r="E1226" s="364"/>
      <c r="F1226" s="364"/>
      <c r="G1226" s="364"/>
      <c r="H1226" s="474"/>
      <c r="I1226" s="475"/>
      <c r="J1226" s="474"/>
      <c r="K1226" s="474"/>
      <c r="L1226" s="475"/>
      <c r="M1226" s="474"/>
      <c r="N1226" s="474"/>
      <c r="O1226" s="474"/>
    </row>
    <row r="1227" customFormat="false" ht="30" hidden="false" customHeight="false" outlineLevel="0" collapsed="false">
      <c r="A1227" s="327" t="s">
        <v>2035</v>
      </c>
      <c r="B1227" s="500" t="s">
        <v>3752</v>
      </c>
      <c r="C1227" s="369" t="e">
        <f aca="false">мат.затр!g10565</f>
        <v>#NAME?</v>
      </c>
      <c r="D1227" s="473" t="n">
        <f aca="false">тарифик!J1228</f>
        <v>1004.01606425703</v>
      </c>
      <c r="E1227" s="369"/>
      <c r="F1227" s="473" t="n">
        <f aca="false">D1227*0.9*0.095+D1227*3%</f>
        <v>115.963855421687</v>
      </c>
      <c r="G1227" s="369" t="n">
        <f aca="false">амортизация!M4276</f>
        <v>30.7162446080619</v>
      </c>
      <c r="H1227" s="473" t="e">
        <f aca="false">C1227+D1227+F1227+G1227</f>
        <v>#NAME?</v>
      </c>
      <c r="I1227" s="462" t="n">
        <f aca="false">I$190</f>
        <v>0.240474587202079</v>
      </c>
      <c r="J1227" s="473" t="n">
        <f aca="false">D1227*I1227</f>
        <v>241.440348596465</v>
      </c>
      <c r="K1227" s="473" t="e">
        <f aca="false">H1227+J1227</f>
        <v>#NAME?</v>
      </c>
      <c r="L1227" s="462" t="n">
        <v>0.2</v>
      </c>
      <c r="M1227" s="473" t="e">
        <f aca="false">K1227*L1227</f>
        <v>#NAME?</v>
      </c>
      <c r="N1227" s="473" t="e">
        <f aca="false">K1227+M1227</f>
        <v>#NAME?</v>
      </c>
      <c r="O1227" s="473" t="e">
        <f aca="false">M1227</f>
        <v>#NAME?</v>
      </c>
    </row>
    <row r="1228" customFormat="false" ht="15" hidden="false" customHeight="false" outlineLevel="0" collapsed="false">
      <c r="A1228" s="350" t="s">
        <v>2037</v>
      </c>
      <c r="B1228" s="524" t="s">
        <v>3753</v>
      </c>
      <c r="C1228" s="364"/>
      <c r="D1228" s="364"/>
      <c r="E1228" s="364"/>
      <c r="F1228" s="364"/>
      <c r="G1228" s="364"/>
      <c r="H1228" s="474"/>
      <c r="I1228" s="475"/>
      <c r="J1228" s="474"/>
      <c r="K1228" s="474"/>
      <c r="L1228" s="475"/>
      <c r="M1228" s="474"/>
      <c r="N1228" s="474"/>
      <c r="O1228" s="474"/>
    </row>
    <row r="1229" customFormat="false" ht="30" hidden="false" customHeight="false" outlineLevel="0" collapsed="false">
      <c r="A1229" s="327" t="s">
        <v>2039</v>
      </c>
      <c r="B1229" s="525" t="s">
        <v>3754</v>
      </c>
      <c r="C1229" s="369" t="e">
        <f aca="false">мат.затр!g10581</f>
        <v>#NAME?</v>
      </c>
      <c r="D1229" s="473" t="n">
        <f aca="false">тарифик!J1230</f>
        <v>184.069611780455</v>
      </c>
      <c r="E1229" s="369"/>
      <c r="F1229" s="473" t="n">
        <f aca="false">D1229*0.9*0.095+D1229*3%</f>
        <v>21.2600401606426</v>
      </c>
      <c r="G1229" s="369" t="n">
        <f aca="false">амортизация!M4288</f>
        <v>73.2009984381973</v>
      </c>
      <c r="H1229" s="473" t="e">
        <f aca="false">C1229+D1229+F1229+G1229</f>
        <v>#NAME?</v>
      </c>
      <c r="I1229" s="462" t="n">
        <f aca="false">I$190</f>
        <v>0.240474587202079</v>
      </c>
      <c r="J1229" s="473" t="n">
        <f aca="false">D1229*I1229</f>
        <v>44.2640639093519</v>
      </c>
      <c r="K1229" s="473" t="e">
        <f aca="false">H1229+J1229</f>
        <v>#NAME?</v>
      </c>
      <c r="L1229" s="462" t="n">
        <v>0.2</v>
      </c>
      <c r="M1229" s="473" t="e">
        <f aca="false">K1229*L1229</f>
        <v>#NAME?</v>
      </c>
      <c r="N1229" s="473" t="e">
        <f aca="false">K1229+M1229</f>
        <v>#NAME?</v>
      </c>
      <c r="O1229" s="473" t="e">
        <f aca="false">M1229</f>
        <v>#NAME?</v>
      </c>
    </row>
    <row r="1230" customFormat="false" ht="30" hidden="false" customHeight="false" outlineLevel="0" collapsed="false">
      <c r="A1230" s="327" t="s">
        <v>2041</v>
      </c>
      <c r="B1230" s="525" t="s">
        <v>3755</v>
      </c>
      <c r="C1230" s="369" t="e">
        <f aca="false">мат.затр!g10592</f>
        <v>#NAME?</v>
      </c>
      <c r="D1230" s="473" t="n">
        <f aca="false">тарифик!J1231</f>
        <v>184.069611780455</v>
      </c>
      <c r="E1230" s="369"/>
      <c r="F1230" s="473" t="n">
        <f aca="false">D1230*0.9*0.095+D1230*3%</f>
        <v>21.2600401606426</v>
      </c>
      <c r="G1230" s="369" t="n">
        <f aca="false">амортизация!M4298</f>
        <v>23.6732578461996</v>
      </c>
      <c r="H1230" s="473" t="e">
        <f aca="false">C1230+D1230+F1230+G1230</f>
        <v>#NAME?</v>
      </c>
      <c r="I1230" s="462" t="n">
        <f aca="false">I$190</f>
        <v>0.240474587202079</v>
      </c>
      <c r="J1230" s="473" t="n">
        <f aca="false">D1230*I1230</f>
        <v>44.2640639093519</v>
      </c>
      <c r="K1230" s="473" t="e">
        <f aca="false">H1230+J1230</f>
        <v>#NAME?</v>
      </c>
      <c r="L1230" s="462" t="n">
        <v>0.2</v>
      </c>
      <c r="M1230" s="473" t="e">
        <f aca="false">K1230*L1230</f>
        <v>#NAME?</v>
      </c>
      <c r="N1230" s="473" t="e">
        <f aca="false">K1230+M1230</f>
        <v>#NAME?</v>
      </c>
      <c r="O1230" s="473" t="e">
        <f aca="false">M1230</f>
        <v>#NAME?</v>
      </c>
    </row>
    <row r="1231" customFormat="false" ht="30" hidden="false" customHeight="false" outlineLevel="0" collapsed="false">
      <c r="A1231" s="327" t="s">
        <v>2043</v>
      </c>
      <c r="B1231" s="526" t="s">
        <v>3756</v>
      </c>
      <c r="C1231" s="369" t="e">
        <f aca="false">мат.затр!g10609</f>
        <v>#NAME?</v>
      </c>
      <c r="D1231" s="473" t="n">
        <f aca="false">тарифик!J1232</f>
        <v>1162.98527443106</v>
      </c>
      <c r="E1231" s="369"/>
      <c r="F1231" s="473" t="n">
        <f aca="false">D1231*0.9*0.095+D1231*3%</f>
        <v>134.324799196787</v>
      </c>
      <c r="G1231" s="369" t="n">
        <f aca="false">амортизация!M4307</f>
        <v>18.5341830284099</v>
      </c>
      <c r="H1231" s="473" t="e">
        <f aca="false">C1231+D1231+F1231+G1231</f>
        <v>#NAME?</v>
      </c>
      <c r="I1231" s="462" t="n">
        <f aca="false">I$190</f>
        <v>0.240474587202079</v>
      </c>
      <c r="J1231" s="473" t="n">
        <f aca="false">D1231*I1231</f>
        <v>279.668403790905</v>
      </c>
      <c r="K1231" s="473" t="e">
        <f aca="false">H1231+J1231</f>
        <v>#NAME?</v>
      </c>
      <c r="L1231" s="462" t="n">
        <v>0.2</v>
      </c>
      <c r="M1231" s="473" t="e">
        <f aca="false">K1231*L1231</f>
        <v>#NAME?</v>
      </c>
      <c r="N1231" s="473" t="e">
        <f aca="false">K1231+M1231</f>
        <v>#NAME?</v>
      </c>
      <c r="O1231" s="473" t="e">
        <f aca="false">M1231</f>
        <v>#NAME?</v>
      </c>
    </row>
    <row r="1232" customFormat="false" ht="30" hidden="false" customHeight="false" outlineLevel="0" collapsed="false">
      <c r="A1232" s="327" t="s">
        <v>2045</v>
      </c>
      <c r="B1232" s="527" t="s">
        <v>3757</v>
      </c>
      <c r="C1232" s="369" t="e">
        <f aca="false">мат.затр!g10620</f>
        <v>#NAME?</v>
      </c>
      <c r="D1232" s="473" t="n">
        <f aca="false">тарифик!J1233</f>
        <v>1162.98527443106</v>
      </c>
      <c r="E1232" s="369"/>
      <c r="F1232" s="473" t="n">
        <f aca="false">D1232*0.9*0.095+D1232*3%</f>
        <v>134.324799196787</v>
      </c>
      <c r="G1232" s="369" t="n">
        <f aca="false">амортизация!M4318</f>
        <v>799.870962873717</v>
      </c>
      <c r="H1232" s="473" t="e">
        <f aca="false">C1232+D1232+F1232+G1232</f>
        <v>#NAME?</v>
      </c>
      <c r="I1232" s="462" t="n">
        <f aca="false">I$190</f>
        <v>0.240474587202079</v>
      </c>
      <c r="J1232" s="473" t="n">
        <f aca="false">D1232*I1232</f>
        <v>279.668403790905</v>
      </c>
      <c r="K1232" s="473" t="e">
        <f aca="false">H1232+J1232</f>
        <v>#NAME?</v>
      </c>
      <c r="L1232" s="462" t="n">
        <v>0.2</v>
      </c>
      <c r="M1232" s="473" t="e">
        <f aca="false">K1232*L1232</f>
        <v>#NAME?</v>
      </c>
      <c r="N1232" s="473" t="e">
        <f aca="false">K1232+M1232</f>
        <v>#NAME?</v>
      </c>
      <c r="O1232" s="473" t="e">
        <f aca="false">M1232</f>
        <v>#NAME?</v>
      </c>
    </row>
    <row r="1233" customFormat="false" ht="30" hidden="false" customHeight="false" outlineLevel="0" collapsed="false">
      <c r="A1233" s="327" t="s">
        <v>2047</v>
      </c>
      <c r="B1233" s="527" t="s">
        <v>3758</v>
      </c>
      <c r="C1233" s="369" t="e">
        <f aca="false">мат.затр!g10638</f>
        <v>#NAME?</v>
      </c>
      <c r="D1233" s="473" t="n">
        <f aca="false">тарифик!J1234</f>
        <v>1162.98527443106</v>
      </c>
      <c r="E1233" s="369"/>
      <c r="F1233" s="473" t="n">
        <f aca="false">D1233*0.9*0.095+D1233*3%</f>
        <v>134.324799196787</v>
      </c>
      <c r="G1233" s="369" t="n">
        <f aca="false">амортизация!M4327</f>
        <v>18.5341830284099</v>
      </c>
      <c r="H1233" s="473" t="e">
        <f aca="false">C1233+D1233+F1233+G1233</f>
        <v>#NAME?</v>
      </c>
      <c r="I1233" s="462" t="n">
        <f aca="false">I$190</f>
        <v>0.240474587202079</v>
      </c>
      <c r="J1233" s="473" t="n">
        <f aca="false">D1233*I1233</f>
        <v>279.668403790905</v>
      </c>
      <c r="K1233" s="473" t="e">
        <f aca="false">H1233+J1233</f>
        <v>#NAME?</v>
      </c>
      <c r="L1233" s="462" t="n">
        <v>0.2</v>
      </c>
      <c r="M1233" s="473" t="e">
        <f aca="false">K1233*L1233</f>
        <v>#NAME?</v>
      </c>
      <c r="N1233" s="473" t="e">
        <f aca="false">K1233+M1233</f>
        <v>#NAME?</v>
      </c>
      <c r="O1233" s="473" t="e">
        <f aca="false">M1233</f>
        <v>#NAME?</v>
      </c>
    </row>
    <row r="1234" customFormat="false" ht="45" hidden="false" customHeight="false" outlineLevel="0" collapsed="false">
      <c r="A1234" s="327" t="s">
        <v>2049</v>
      </c>
      <c r="B1234" s="528" t="s">
        <v>3759</v>
      </c>
      <c r="C1234" s="369" t="e">
        <f aca="false">мат.затр!g10652</f>
        <v>#NAME?</v>
      </c>
      <c r="D1234" s="473" t="n">
        <f aca="false">тарифик!J1235</f>
        <v>2342.70414993307</v>
      </c>
      <c r="E1234" s="369"/>
      <c r="F1234" s="473" t="n">
        <f aca="false">D1234*0.9*0.095+D1234*3%</f>
        <v>270.582329317269</v>
      </c>
      <c r="G1234" s="369" t="n">
        <f aca="false">амортизация!M4336</f>
        <v>799.238804611037</v>
      </c>
      <c r="H1234" s="473" t="e">
        <f aca="false">C1234+D1234+F1234+G1234</f>
        <v>#NAME?</v>
      </c>
      <c r="I1234" s="462" t="n">
        <f aca="false">I$190</f>
        <v>0.240474587202079</v>
      </c>
      <c r="J1234" s="473" t="n">
        <f aca="false">D1234*I1234</f>
        <v>563.360813391751</v>
      </c>
      <c r="K1234" s="473" t="e">
        <f aca="false">H1234+J1234</f>
        <v>#NAME?</v>
      </c>
      <c r="L1234" s="462" t="n">
        <v>0.2</v>
      </c>
      <c r="M1234" s="473" t="e">
        <f aca="false">K1234*L1234</f>
        <v>#NAME?</v>
      </c>
      <c r="N1234" s="473" t="e">
        <f aca="false">K1234+M1234</f>
        <v>#NAME?</v>
      </c>
      <c r="O1234" s="473" t="e">
        <f aca="false">M1234</f>
        <v>#NAME?</v>
      </c>
    </row>
    <row r="1235" customFormat="false" ht="45" hidden="false" customHeight="false" outlineLevel="0" collapsed="false">
      <c r="A1235" s="327" t="s">
        <v>2051</v>
      </c>
      <c r="B1235" s="528" t="s">
        <v>3760</v>
      </c>
      <c r="C1235" s="369" t="e">
        <f aca="false">мат.затр!g10662</f>
        <v>#NAME?</v>
      </c>
      <c r="D1235" s="473" t="n">
        <f aca="false">тарифик!J1236</f>
        <v>2342.70414993307</v>
      </c>
      <c r="E1235" s="369"/>
      <c r="F1235" s="473" t="n">
        <f aca="false">D1235*0.9*0.095+D1235*3%</f>
        <v>270.582329317269</v>
      </c>
      <c r="G1235" s="369" t="n">
        <f aca="false">амортизация!M4345</f>
        <v>799.238804611037</v>
      </c>
      <c r="H1235" s="473" t="e">
        <f aca="false">C1235+D1235+F1235+G1235</f>
        <v>#NAME?</v>
      </c>
      <c r="I1235" s="462" t="n">
        <f aca="false">I$190</f>
        <v>0.240474587202079</v>
      </c>
      <c r="J1235" s="473" t="n">
        <f aca="false">D1235*I1235</f>
        <v>563.360813391751</v>
      </c>
      <c r="K1235" s="473" t="e">
        <f aca="false">H1235+J1235</f>
        <v>#NAME?</v>
      </c>
      <c r="L1235" s="462" t="n">
        <v>0.2</v>
      </c>
      <c r="M1235" s="473" t="e">
        <f aca="false">K1235*L1235</f>
        <v>#NAME?</v>
      </c>
      <c r="N1235" s="473" t="e">
        <f aca="false">K1235+M1235</f>
        <v>#NAME?</v>
      </c>
      <c r="O1235" s="473" t="e">
        <f aca="false">M1235</f>
        <v>#NAME?</v>
      </c>
    </row>
    <row r="1236" customFormat="false" ht="30" hidden="false" customHeight="false" outlineLevel="0" collapsed="false">
      <c r="A1236" s="327" t="s">
        <v>2053</v>
      </c>
      <c r="B1236" s="374" t="s">
        <v>3761</v>
      </c>
      <c r="C1236" s="369" t="e">
        <f aca="false">мат.затр!g10679</f>
        <v>#NAME?</v>
      </c>
      <c r="D1236" s="473" t="n">
        <f aca="false">тарифик!J1237</f>
        <v>418.340026773762</v>
      </c>
      <c r="E1236" s="369"/>
      <c r="F1236" s="473" t="n">
        <f aca="false">D1236*0.9*0.095+D1236*3%</f>
        <v>48.3182730923695</v>
      </c>
      <c r="G1236" s="369" t="n">
        <f aca="false">амортизация!M4354</f>
        <v>799.238804611037</v>
      </c>
      <c r="H1236" s="473" t="e">
        <f aca="false">C1236+D1236+F1236+G1236</f>
        <v>#NAME?</v>
      </c>
      <c r="I1236" s="462" t="n">
        <f aca="false">I$190</f>
        <v>0.240474587202079</v>
      </c>
      <c r="J1236" s="473" t="n">
        <f aca="false">D1236*I1236</f>
        <v>100.600145248527</v>
      </c>
      <c r="K1236" s="473" t="e">
        <f aca="false">H1236+J1236</f>
        <v>#NAME?</v>
      </c>
      <c r="L1236" s="462" t="n">
        <v>0.2</v>
      </c>
      <c r="M1236" s="473" t="e">
        <f aca="false">K1236*L1236</f>
        <v>#NAME?</v>
      </c>
      <c r="N1236" s="473" t="e">
        <f aca="false">K1236+M1236</f>
        <v>#NAME?</v>
      </c>
      <c r="O1236" s="473" t="e">
        <f aca="false">M1236</f>
        <v>#NAME?</v>
      </c>
    </row>
    <row r="1237" customFormat="false" ht="15" hidden="false" customHeight="false" outlineLevel="0" collapsed="false">
      <c r="A1237" s="327" t="s">
        <v>2055</v>
      </c>
      <c r="B1237" s="500" t="s">
        <v>3762</v>
      </c>
      <c r="C1237" s="369" t="e">
        <f aca="false">мат.затр!g10694</f>
        <v>#NAME?</v>
      </c>
      <c r="D1237" s="473" t="n">
        <f aca="false">тарифик!J1238</f>
        <v>418.340026773762</v>
      </c>
      <c r="E1237" s="369"/>
      <c r="F1237" s="473" t="n">
        <f aca="false">D1237*0.9*0.095+D1237*3%</f>
        <v>48.3182730923695</v>
      </c>
      <c r="G1237" s="369" t="n">
        <f aca="false">амортизация!M4364</f>
        <v>665.973451331251</v>
      </c>
      <c r="H1237" s="473" t="e">
        <f aca="false">C1237+D1237+F1237+G1237</f>
        <v>#NAME?</v>
      </c>
      <c r="I1237" s="462" t="n">
        <f aca="false">I$190</f>
        <v>0.240474587202079</v>
      </c>
      <c r="J1237" s="473" t="n">
        <f aca="false">D1237*I1237</f>
        <v>100.600145248527</v>
      </c>
      <c r="K1237" s="473" t="e">
        <f aca="false">H1237+J1237</f>
        <v>#NAME?</v>
      </c>
      <c r="L1237" s="462" t="n">
        <v>0.2</v>
      </c>
      <c r="M1237" s="473" t="e">
        <f aca="false">K1237*L1237</f>
        <v>#NAME?</v>
      </c>
      <c r="N1237" s="473" t="e">
        <f aca="false">K1237+M1237</f>
        <v>#NAME?</v>
      </c>
      <c r="O1237" s="473" t="e">
        <f aca="false">M1237</f>
        <v>#NAME?</v>
      </c>
    </row>
    <row r="1238" customFormat="false" ht="15" hidden="false" customHeight="false" outlineLevel="0" collapsed="false">
      <c r="A1238" s="327" t="s">
        <v>2057</v>
      </c>
      <c r="B1238" s="374" t="s">
        <v>3763</v>
      </c>
      <c r="C1238" s="369" t="e">
        <f aca="false">мат.затр!g10711</f>
        <v>#NAME?</v>
      </c>
      <c r="D1238" s="473" t="n">
        <f aca="false">тарифик!J1239</f>
        <v>836.680053547523</v>
      </c>
      <c r="E1238" s="369"/>
      <c r="F1238" s="473" t="n">
        <f aca="false">D1238*0.9*0.095+D1238*3%</f>
        <v>96.636546184739</v>
      </c>
      <c r="G1238" s="369" t="n">
        <f aca="false">амортизация!M4375</f>
        <v>61.8556169120928</v>
      </c>
      <c r="H1238" s="473" t="e">
        <f aca="false">C1238+D1238+F1238+G1238</f>
        <v>#NAME?</v>
      </c>
      <c r="I1238" s="462" t="n">
        <f aca="false">I$190</f>
        <v>0.240474587202079</v>
      </c>
      <c r="J1238" s="473" t="n">
        <f aca="false">D1238*I1238</f>
        <v>201.200290497054</v>
      </c>
      <c r="K1238" s="473" t="e">
        <f aca="false">H1238+J1238</f>
        <v>#NAME?</v>
      </c>
      <c r="L1238" s="462" t="n">
        <v>0.2</v>
      </c>
      <c r="M1238" s="473" t="e">
        <f aca="false">K1238*L1238</f>
        <v>#NAME?</v>
      </c>
      <c r="N1238" s="473" t="e">
        <f aca="false">K1238+M1238</f>
        <v>#NAME?</v>
      </c>
      <c r="O1238" s="473" t="e">
        <f aca="false">M1238</f>
        <v>#NAME?</v>
      </c>
    </row>
    <row r="1239" customFormat="false" ht="30" hidden="false" customHeight="false" outlineLevel="0" collapsed="false">
      <c r="A1239" s="327" t="s">
        <v>2059</v>
      </c>
      <c r="B1239" s="528" t="s">
        <v>3764</v>
      </c>
      <c r="C1239" s="369" t="e">
        <f aca="false">мат.затр!g10727</f>
        <v>#NAME?</v>
      </c>
      <c r="D1239" s="473" t="n">
        <f aca="false">тарифик!J1240</f>
        <v>2342.70414993307</v>
      </c>
      <c r="E1239" s="369"/>
      <c r="F1239" s="473" t="n">
        <f aca="false">D1239*0.9*0.095+D1239*3%</f>
        <v>270.582329317269</v>
      </c>
      <c r="G1239" s="369" t="n">
        <f aca="false">амортизация!M4382</f>
        <v>18.022878551242</v>
      </c>
      <c r="H1239" s="473" t="e">
        <f aca="false">C1239+D1239+F1239+G1239</f>
        <v>#NAME?</v>
      </c>
      <c r="I1239" s="462" t="n">
        <f aca="false">I$190</f>
        <v>0.240474587202079</v>
      </c>
      <c r="J1239" s="473" t="n">
        <f aca="false">D1239*I1239</f>
        <v>563.360813391751</v>
      </c>
      <c r="K1239" s="473" t="e">
        <f aca="false">H1239+J1239</f>
        <v>#NAME?</v>
      </c>
      <c r="L1239" s="462" t="n">
        <v>0.2</v>
      </c>
      <c r="M1239" s="473" t="e">
        <f aca="false">K1239*L1239</f>
        <v>#NAME?</v>
      </c>
      <c r="N1239" s="473" t="e">
        <f aca="false">K1239+M1239</f>
        <v>#NAME?</v>
      </c>
      <c r="O1239" s="473" t="e">
        <f aca="false">M1239</f>
        <v>#NAME?</v>
      </c>
    </row>
    <row r="1240" s="531" customFormat="true" ht="28.5" hidden="false" customHeight="false" outlineLevel="0" collapsed="false">
      <c r="A1240" s="375" t="s">
        <v>2061</v>
      </c>
      <c r="B1240" s="318" t="s">
        <v>3765</v>
      </c>
      <c r="C1240" s="377"/>
      <c r="D1240" s="529"/>
      <c r="E1240" s="377"/>
      <c r="F1240" s="529"/>
      <c r="G1240" s="377"/>
      <c r="H1240" s="529"/>
      <c r="I1240" s="530"/>
      <c r="J1240" s="529"/>
      <c r="K1240" s="529"/>
      <c r="L1240" s="530"/>
      <c r="M1240" s="529"/>
      <c r="N1240" s="529"/>
      <c r="O1240" s="529"/>
    </row>
    <row r="1241" customFormat="false" ht="15" hidden="false" customHeight="false" outlineLevel="0" collapsed="false">
      <c r="A1241" s="327" t="s">
        <v>2063</v>
      </c>
      <c r="B1241" s="500" t="s">
        <v>3766</v>
      </c>
      <c r="C1241" s="369" t="e">
        <f aca="false">мат.затр!g10737</f>
        <v>#NAME?</v>
      </c>
      <c r="D1241" s="369" t="n">
        <f aca="false">тарифик!J1242</f>
        <v>535.475234270415</v>
      </c>
      <c r="E1241" s="369"/>
      <c r="F1241" s="473" t="n">
        <f aca="false">D1241*0.9*0.095+D1241*3%</f>
        <v>61.8473895582329</v>
      </c>
      <c r="G1241" s="369" t="n">
        <f aca="false">амортизация!M4386</f>
        <v>37.0236155297453</v>
      </c>
      <c r="H1241" s="473" t="e">
        <f aca="false">C1241+D1241+F1241+G1241</f>
        <v>#NAME?</v>
      </c>
      <c r="I1241" s="462" t="n">
        <f aca="false">I$190</f>
        <v>0.240474587202079</v>
      </c>
      <c r="J1241" s="473" t="n">
        <f aca="false">D1241*I1241</f>
        <v>128.768185918115</v>
      </c>
      <c r="K1241" s="473" t="e">
        <f aca="false">H1241+J1241</f>
        <v>#NAME?</v>
      </c>
      <c r="L1241" s="462" t="n">
        <v>0.2</v>
      </c>
      <c r="M1241" s="473" t="e">
        <f aca="false">K1241*L1241</f>
        <v>#NAME?</v>
      </c>
      <c r="N1241" s="473" t="e">
        <f aca="false">K1241+M1241</f>
        <v>#NAME?</v>
      </c>
      <c r="O1241" s="473" t="e">
        <f aca="false">M1241</f>
        <v>#NAME?</v>
      </c>
    </row>
    <row r="1242" customFormat="false" ht="15" hidden="false" customHeight="false" outlineLevel="0" collapsed="false">
      <c r="A1242" s="327" t="s">
        <v>2065</v>
      </c>
      <c r="B1242" s="500" t="s">
        <v>3767</v>
      </c>
      <c r="C1242" s="369" t="e">
        <f aca="false">мат.затр!g10745</f>
        <v>#NAME?</v>
      </c>
      <c r="D1242" s="369" t="n">
        <f aca="false">тарифик!J1243</f>
        <v>490.852298081214</v>
      </c>
      <c r="E1242" s="369"/>
      <c r="F1242" s="473" t="n">
        <f aca="false">D1242*0.9*0.095+D1242*3%</f>
        <v>56.6934404283802</v>
      </c>
      <c r="G1242" s="369" t="n">
        <f aca="false">амортизация!M4389</f>
        <v>39.4137052031789</v>
      </c>
      <c r="H1242" s="473" t="e">
        <f aca="false">C1242+D1242+F1242+G1242</f>
        <v>#NAME?</v>
      </c>
      <c r="I1242" s="462" t="n">
        <f aca="false">I$190</f>
        <v>0.240474587202079</v>
      </c>
      <c r="J1242" s="473" t="n">
        <f aca="false">D1242*I1242</f>
        <v>118.037503758272</v>
      </c>
      <c r="K1242" s="473" t="e">
        <f aca="false">H1242+J1242</f>
        <v>#NAME?</v>
      </c>
      <c r="L1242" s="462" t="n">
        <v>0.2</v>
      </c>
      <c r="M1242" s="473" t="e">
        <f aca="false">K1242*L1242</f>
        <v>#NAME?</v>
      </c>
      <c r="N1242" s="473" t="e">
        <f aca="false">K1242+M1242</f>
        <v>#NAME?</v>
      </c>
      <c r="O1242" s="473" t="e">
        <f aca="false">M1242</f>
        <v>#NAME?</v>
      </c>
    </row>
    <row r="1243" customFormat="false" ht="15" hidden="false" customHeight="false" outlineLevel="0" collapsed="false">
      <c r="A1243" s="327" t="s">
        <v>2067</v>
      </c>
      <c r="B1243" s="500" t="s">
        <v>3768</v>
      </c>
      <c r="C1243" s="369" t="e">
        <f aca="false">мат.затр!g10751</f>
        <v>#NAME?</v>
      </c>
      <c r="D1243" s="369" t="n">
        <f aca="false">тарифик!J1244</f>
        <v>846.720214190094</v>
      </c>
      <c r="E1243" s="369"/>
      <c r="F1243" s="473" t="n">
        <f aca="false">D1243*0.9*0.095+D1243*3%</f>
        <v>97.7961847389558</v>
      </c>
      <c r="G1243" s="369" t="n">
        <f aca="false">амортизация!M4389</f>
        <v>39.4137052031789</v>
      </c>
      <c r="H1243" s="473" t="e">
        <f aca="false">C1243+D1243+F1243+G1243</f>
        <v>#NAME?</v>
      </c>
      <c r="I1243" s="462" t="n">
        <f aca="false">I$190</f>
        <v>0.240474587202079</v>
      </c>
      <c r="J1243" s="473" t="n">
        <f aca="false">D1243*I1243</f>
        <v>203.614693983019</v>
      </c>
      <c r="K1243" s="473" t="e">
        <f aca="false">H1243+J1243</f>
        <v>#NAME?</v>
      </c>
      <c r="L1243" s="462" t="n">
        <v>0.2</v>
      </c>
      <c r="M1243" s="473" t="e">
        <f aca="false">K1243*L1243</f>
        <v>#NAME?</v>
      </c>
      <c r="N1243" s="473" t="e">
        <f aca="false">K1243+M1243</f>
        <v>#NAME?</v>
      </c>
      <c r="O1243" s="473" t="e">
        <f aca="false">M1243</f>
        <v>#NAME?</v>
      </c>
    </row>
    <row r="1244" customFormat="false" ht="15" hidden="false" customHeight="false" outlineLevel="0" collapsed="false">
      <c r="A1244" s="327" t="s">
        <v>2069</v>
      </c>
      <c r="B1244" s="433" t="s">
        <v>3769</v>
      </c>
      <c r="C1244" s="369" t="e">
        <f aca="false">мат.затр!g10757</f>
        <v>#NAME?</v>
      </c>
      <c r="D1244" s="369" t="n">
        <f aca="false">тарифик!J1245</f>
        <v>923.694779116466</v>
      </c>
      <c r="E1244" s="369"/>
      <c r="F1244" s="473" t="n">
        <f aca="false">D1244*0.9*0.095+D1244*3%</f>
        <v>106.686746987952</v>
      </c>
      <c r="G1244" s="369" t="n">
        <f aca="false">амортизация!M4395</f>
        <v>25.634465437097</v>
      </c>
      <c r="H1244" s="473" t="e">
        <f aca="false">C1244+D1244+F1244+G1244</f>
        <v>#NAME?</v>
      </c>
      <c r="I1244" s="462" t="n">
        <f aca="false">I$190</f>
        <v>0.240474587202079</v>
      </c>
      <c r="J1244" s="473" t="n">
        <f aca="false">D1244*I1244</f>
        <v>222.125120708748</v>
      </c>
      <c r="K1244" s="473" t="e">
        <f aca="false">H1244+J1244</f>
        <v>#NAME?</v>
      </c>
      <c r="L1244" s="462" t="n">
        <v>0.2</v>
      </c>
      <c r="M1244" s="473" t="e">
        <f aca="false">K1244*L1244</f>
        <v>#NAME?</v>
      </c>
      <c r="N1244" s="473" t="e">
        <f aca="false">K1244+M1244</f>
        <v>#NAME?</v>
      </c>
      <c r="O1244" s="473" t="e">
        <f aca="false">M1244</f>
        <v>#NAME?</v>
      </c>
    </row>
    <row r="1245" customFormat="false" ht="15" hidden="false" customHeight="false" outlineLevel="0" collapsed="false">
      <c r="A1245" s="327" t="s">
        <v>2071</v>
      </c>
      <c r="B1245" s="500" t="s">
        <v>3770</v>
      </c>
      <c r="C1245" s="369" t="e">
        <f aca="false">мат.затр!g10766</f>
        <v>#NAME?</v>
      </c>
      <c r="D1245" s="369" t="n">
        <f aca="false">тарифик!J1246</f>
        <v>441.767068273092</v>
      </c>
      <c r="E1245" s="369"/>
      <c r="F1245" s="473" t="n">
        <f aca="false">D1245*0.9*0.095+D1245*3%</f>
        <v>51.0240963855422</v>
      </c>
      <c r="G1245" s="369" t="n">
        <f aca="false">амортизация!M4400</f>
        <v>41.6310541310541</v>
      </c>
      <c r="H1245" s="473" t="e">
        <f aca="false">C1245+D1245+F1245+G1245</f>
        <v>#NAME?</v>
      </c>
      <c r="I1245" s="462" t="n">
        <f aca="false">I$190</f>
        <v>0.240474587202079</v>
      </c>
      <c r="J1245" s="473" t="n">
        <f aca="false">D1245*I1245</f>
        <v>106.233753382445</v>
      </c>
      <c r="K1245" s="473" t="e">
        <f aca="false">H1245+J1245</f>
        <v>#NAME?</v>
      </c>
      <c r="L1245" s="462" t="n">
        <v>0.2</v>
      </c>
      <c r="M1245" s="473" t="e">
        <f aca="false">K1245*L1245</f>
        <v>#NAME?</v>
      </c>
      <c r="N1245" s="473" t="e">
        <f aca="false">K1245+M1245</f>
        <v>#NAME?</v>
      </c>
      <c r="O1245" s="473" t="e">
        <f aca="false">M1245</f>
        <v>#NAME?</v>
      </c>
    </row>
    <row r="1246" customFormat="false" ht="15" hidden="false" customHeight="false" outlineLevel="0" collapsed="false">
      <c r="A1246" s="327" t="s">
        <v>2073</v>
      </c>
      <c r="B1246" s="500" t="s">
        <v>3771</v>
      </c>
      <c r="C1246" s="369" t="e">
        <f aca="false">мат.затр!g10772</f>
        <v>#NAME?</v>
      </c>
      <c r="D1246" s="369" t="n">
        <f aca="false">тарифик!J1247</f>
        <v>508.701472556894</v>
      </c>
      <c r="E1246" s="369"/>
      <c r="F1246" s="473" t="n">
        <f aca="false">D1246*0.9*0.095+D1246*3%</f>
        <v>58.7550200803213</v>
      </c>
      <c r="G1246" s="369" t="n">
        <f aca="false">амортизация!M4403</f>
        <v>9.88060428849903</v>
      </c>
      <c r="H1246" s="473" t="e">
        <f aca="false">C1246+D1246+F1246+G1246</f>
        <v>#NAME?</v>
      </c>
      <c r="I1246" s="462" t="n">
        <f aca="false">I$190</f>
        <v>0.240474587202079</v>
      </c>
      <c r="J1246" s="473" t="n">
        <f aca="false">D1246*I1246</f>
        <v>122.329776622209</v>
      </c>
      <c r="K1246" s="473" t="e">
        <f aca="false">H1246+J1246</f>
        <v>#NAME?</v>
      </c>
      <c r="L1246" s="462" t="n">
        <v>0.2</v>
      </c>
      <c r="M1246" s="473" t="e">
        <f aca="false">K1246*L1246</f>
        <v>#NAME?</v>
      </c>
      <c r="N1246" s="473" t="e">
        <f aca="false">K1246+M1246</f>
        <v>#NAME?</v>
      </c>
      <c r="O1246" s="473" t="e">
        <f aca="false">M1246</f>
        <v>#NAME?</v>
      </c>
    </row>
    <row r="1247" customFormat="false" ht="15" hidden="false" customHeight="false" outlineLevel="0" collapsed="false">
      <c r="A1247" s="327" t="s">
        <v>2075</v>
      </c>
      <c r="B1247" s="500" t="s">
        <v>3772</v>
      </c>
      <c r="C1247" s="369" t="e">
        <f aca="false">мат.затр!g10777</f>
        <v>#NAME?</v>
      </c>
      <c r="D1247" s="369" t="n">
        <f aca="false">тарифик!J1248</f>
        <v>773.092369477912</v>
      </c>
      <c r="E1247" s="369"/>
      <c r="F1247" s="473" t="n">
        <f aca="false">D1247*0.9*0.095+D1247*3%</f>
        <v>89.2921686746988</v>
      </c>
      <c r="G1247" s="369" t="n">
        <f aca="false">амортизация!M4406</f>
        <v>10.2226720647773</v>
      </c>
      <c r="H1247" s="473" t="e">
        <f aca="false">C1247+D1247+F1247+G1247</f>
        <v>#NAME?</v>
      </c>
      <c r="I1247" s="462" t="n">
        <f aca="false">I$190</f>
        <v>0.240474587202079</v>
      </c>
      <c r="J1247" s="473" t="n">
        <f aca="false">D1247*I1247</f>
        <v>185.909068419278</v>
      </c>
      <c r="K1247" s="473" t="e">
        <f aca="false">H1247+J1247</f>
        <v>#NAME?</v>
      </c>
      <c r="L1247" s="462" t="n">
        <v>0.2</v>
      </c>
      <c r="M1247" s="473" t="e">
        <f aca="false">K1247*L1247</f>
        <v>#NAME?</v>
      </c>
      <c r="N1247" s="473" t="e">
        <f aca="false">K1247+M1247</f>
        <v>#NAME?</v>
      </c>
      <c r="O1247" s="473" t="e">
        <f aca="false">M1247</f>
        <v>#NAME?</v>
      </c>
    </row>
    <row r="1248" customFormat="false" ht="30" hidden="false" customHeight="false" outlineLevel="0" collapsed="false">
      <c r="A1248" s="327" t="s">
        <v>2077</v>
      </c>
      <c r="B1248" s="379" t="s">
        <v>3773</v>
      </c>
      <c r="C1248" s="369" t="e">
        <f aca="false">мат.затр!g10785</f>
        <v>#NAME?</v>
      </c>
      <c r="D1248" s="369" t="n">
        <f aca="false">тарифик!J1249</f>
        <v>937.081659973226</v>
      </c>
      <c r="E1248" s="369"/>
      <c r="F1248" s="473" t="n">
        <f aca="false">D1248*0.9*0.095+D1248*3%</f>
        <v>108.232931726908</v>
      </c>
      <c r="G1248" s="369" t="n">
        <f aca="false">амортизация!M4409</f>
        <v>37.0426600689759</v>
      </c>
      <c r="H1248" s="473" t="e">
        <f aca="false">C1248+D1248+F1248+G1248</f>
        <v>#NAME?</v>
      </c>
      <c r="I1248" s="462" t="n">
        <f aca="false">I$190</f>
        <v>0.240474587202079</v>
      </c>
      <c r="J1248" s="473" t="n">
        <f aca="false">D1248*I1248</f>
        <v>225.344325356701</v>
      </c>
      <c r="K1248" s="473" t="e">
        <f aca="false">H1248+J1248</f>
        <v>#NAME?</v>
      </c>
      <c r="L1248" s="462" t="n">
        <v>0.2</v>
      </c>
      <c r="M1248" s="473" t="e">
        <f aca="false">K1248*L1248</f>
        <v>#NAME?</v>
      </c>
      <c r="N1248" s="473" t="e">
        <f aca="false">K1248+M1248</f>
        <v>#NAME?</v>
      </c>
      <c r="O1248" s="473" t="e">
        <f aca="false">M1248</f>
        <v>#NAME?</v>
      </c>
    </row>
    <row r="1249" customFormat="false" ht="30" hidden="false" customHeight="false" outlineLevel="0" collapsed="false">
      <c r="A1249" s="327" t="s">
        <v>2079</v>
      </c>
      <c r="B1249" s="379" t="s">
        <v>3774</v>
      </c>
      <c r="C1249" s="369" t="e">
        <f aca="false">мат.затр!g10790</f>
        <v>#NAME?</v>
      </c>
      <c r="D1249" s="369" t="n">
        <f aca="false">тарифик!J1250</f>
        <v>1829.54038375725</v>
      </c>
      <c r="E1249" s="369"/>
      <c r="F1249" s="473" t="n">
        <f aca="false">D1249*0.9*0.095+D1249*3%</f>
        <v>211.311914323963</v>
      </c>
      <c r="G1249" s="369" t="n">
        <f aca="false">амортизация!M4410</f>
        <v>12.7455390613285</v>
      </c>
      <c r="H1249" s="473" t="e">
        <f aca="false">C1249+D1249+F1249+G1249</f>
        <v>#NAME?</v>
      </c>
      <c r="I1249" s="462" t="n">
        <f aca="false">I$190</f>
        <v>0.240474587202079</v>
      </c>
      <c r="J1249" s="473" t="n">
        <f aca="false">D1249*I1249</f>
        <v>439.957968553558</v>
      </c>
      <c r="K1249" s="473" t="e">
        <f aca="false">H1249+J1249</f>
        <v>#NAME?</v>
      </c>
      <c r="L1249" s="462" t="n">
        <v>0.2</v>
      </c>
      <c r="M1249" s="473" t="e">
        <f aca="false">K1249*L1249</f>
        <v>#NAME?</v>
      </c>
      <c r="N1249" s="473" t="e">
        <f aca="false">K1249+M1249</f>
        <v>#NAME?</v>
      </c>
      <c r="O1249" s="473" t="e">
        <f aca="false">M1249</f>
        <v>#NAME?</v>
      </c>
    </row>
    <row r="1250" customFormat="false" ht="15" hidden="false" customHeight="false" outlineLevel="0" collapsed="false">
      <c r="A1250" s="327" t="s">
        <v>2081</v>
      </c>
      <c r="B1250" s="500" t="s">
        <v>3775</v>
      </c>
      <c r="C1250" s="369" t="e">
        <f aca="false">мат.затр!g10795</f>
        <v>#NAME?</v>
      </c>
      <c r="D1250" s="369" t="n">
        <f aca="false">тарифик!J1251</f>
        <v>1829.54038375725</v>
      </c>
      <c r="E1250" s="369"/>
      <c r="F1250" s="473" t="n">
        <f aca="false">D1250*0.9*0.095+D1250*3%</f>
        <v>211.311914323963</v>
      </c>
      <c r="G1250" s="369" t="n">
        <f aca="false">амортизация!M4411</f>
        <v>12.7455390613285</v>
      </c>
      <c r="H1250" s="473" t="e">
        <f aca="false">C1250+D1250+F1250+G1250</f>
        <v>#NAME?</v>
      </c>
      <c r="I1250" s="462" t="n">
        <f aca="false">I$190</f>
        <v>0.240474587202079</v>
      </c>
      <c r="J1250" s="473" t="n">
        <f aca="false">D1250*I1250</f>
        <v>439.957968553558</v>
      </c>
      <c r="K1250" s="473" t="e">
        <f aca="false">H1250+J1250</f>
        <v>#NAME?</v>
      </c>
      <c r="L1250" s="462" t="n">
        <v>0.2</v>
      </c>
      <c r="M1250" s="473" t="e">
        <f aca="false">K1250*L1250</f>
        <v>#NAME?</v>
      </c>
      <c r="N1250" s="473" t="e">
        <f aca="false">K1250+M1250</f>
        <v>#NAME?</v>
      </c>
      <c r="O1250" s="473" t="e">
        <f aca="false">M1250</f>
        <v>#NAME?</v>
      </c>
    </row>
    <row r="1251" customFormat="false" ht="15" hidden="false" customHeight="false" outlineLevel="0" collapsed="false">
      <c r="A1251" s="327" t="s">
        <v>2083</v>
      </c>
      <c r="B1251" s="500" t="s">
        <v>3776</v>
      </c>
      <c r="C1251" s="369" t="e">
        <f aca="false">мат.затр!g10801</f>
        <v>#NAME?</v>
      </c>
      <c r="D1251" s="369" t="n">
        <f aca="false">тарифик!J1252</f>
        <v>686.077643908969</v>
      </c>
      <c r="E1251" s="369"/>
      <c r="F1251" s="473" t="n">
        <f aca="false">D1251*0.9*0.095+D1251*3%</f>
        <v>79.2419678714859</v>
      </c>
      <c r="G1251" s="369" t="n">
        <f aca="false">амортизация!M4412</f>
        <v>5.48058179637127</v>
      </c>
      <c r="H1251" s="473" t="e">
        <f aca="false">C1251+D1251+F1251+G1251</f>
        <v>#NAME?</v>
      </c>
      <c r="I1251" s="462" t="n">
        <f aca="false">I$190</f>
        <v>0.240474587202079</v>
      </c>
      <c r="J1251" s="473" t="n">
        <f aca="false">D1251*I1251</f>
        <v>164.984238207584</v>
      </c>
      <c r="K1251" s="473" t="e">
        <f aca="false">H1251+J1251</f>
        <v>#NAME?</v>
      </c>
      <c r="L1251" s="462" t="n">
        <v>0.2</v>
      </c>
      <c r="M1251" s="473" t="e">
        <f aca="false">K1251*L1251</f>
        <v>#NAME?</v>
      </c>
      <c r="N1251" s="473" t="e">
        <f aca="false">K1251+M1251</f>
        <v>#NAME?</v>
      </c>
      <c r="O1251" s="473" t="e">
        <f aca="false">M1251</f>
        <v>#NAME?</v>
      </c>
    </row>
    <row r="1252" customFormat="false" ht="15" hidden="false" customHeight="false" outlineLevel="0" collapsed="false">
      <c r="A1252" s="327" t="s">
        <v>2085</v>
      </c>
      <c r="B1252" s="500" t="s">
        <v>3777</v>
      </c>
      <c r="C1252" s="369" t="e">
        <f aca="false">мат.затр!g10808</f>
        <v>#NAME?</v>
      </c>
      <c r="D1252" s="369" t="n">
        <f aca="false">тарифик!J1253</f>
        <v>253.792949576082</v>
      </c>
      <c r="E1252" s="369"/>
      <c r="F1252" s="473" t="n">
        <f aca="false">D1252*0.9*0.095+D1252*3%</f>
        <v>29.3130856760375</v>
      </c>
      <c r="G1252" s="369" t="n">
        <f aca="false">амортизация!M4416</f>
        <v>42.4070025491078</v>
      </c>
      <c r="H1252" s="473" t="e">
        <f aca="false">C1252+D1252+F1252+G1252</f>
        <v>#NAME?</v>
      </c>
      <c r="I1252" s="462" t="n">
        <f aca="false">I$190</f>
        <v>0.240474587202079</v>
      </c>
      <c r="J1252" s="473" t="n">
        <f aca="false">D1252*I1252</f>
        <v>61.0307547841064</v>
      </c>
      <c r="K1252" s="473" t="e">
        <f aca="false">H1252+J1252</f>
        <v>#NAME?</v>
      </c>
      <c r="L1252" s="462" t="n">
        <v>0.2</v>
      </c>
      <c r="M1252" s="473" t="e">
        <f aca="false">K1252*L1252</f>
        <v>#NAME?</v>
      </c>
      <c r="N1252" s="473" t="e">
        <f aca="false">K1252+M1252</f>
        <v>#NAME?</v>
      </c>
      <c r="O1252" s="473" t="e">
        <f aca="false">M1252</f>
        <v>#NAME?</v>
      </c>
    </row>
    <row r="1253" customFormat="false" ht="15" hidden="false" customHeight="false" outlineLevel="0" collapsed="false">
      <c r="A1253" s="327" t="s">
        <v>2087</v>
      </c>
      <c r="B1253" s="500" t="s">
        <v>3778</v>
      </c>
      <c r="C1253" s="369" t="e">
        <f aca="false">мат.затр!g10815</f>
        <v>#NAME?</v>
      </c>
      <c r="D1253" s="369" t="n">
        <f aca="false">тарифик!J1254</f>
        <v>253.792949576082</v>
      </c>
      <c r="E1253" s="369"/>
      <c r="F1253" s="473" t="n">
        <f aca="false">D1253*0.9*0.095+D1253*3%</f>
        <v>29.3130856760375</v>
      </c>
      <c r="G1253" s="369" t="n">
        <f aca="false">амортизация!M4420</f>
        <v>42.4070025491078</v>
      </c>
      <c r="H1253" s="473" t="e">
        <f aca="false">C1253+D1253+F1253+G1253</f>
        <v>#NAME?</v>
      </c>
      <c r="I1253" s="462" t="n">
        <f aca="false">I$190</f>
        <v>0.240474587202079</v>
      </c>
      <c r="J1253" s="473" t="n">
        <f aca="false">D1253*I1253</f>
        <v>61.0307547841064</v>
      </c>
      <c r="K1253" s="473" t="e">
        <f aca="false">H1253+J1253</f>
        <v>#NAME?</v>
      </c>
      <c r="L1253" s="462" t="n">
        <v>0.2</v>
      </c>
      <c r="M1253" s="473" t="e">
        <f aca="false">K1253*L1253</f>
        <v>#NAME?</v>
      </c>
      <c r="N1253" s="473" t="e">
        <f aca="false">K1253+M1253</f>
        <v>#NAME?</v>
      </c>
      <c r="O1253" s="473" t="e">
        <f aca="false">M1253</f>
        <v>#NAME?</v>
      </c>
    </row>
    <row r="1254" customFormat="false" ht="15" hidden="false" customHeight="false" outlineLevel="0" collapsed="false">
      <c r="A1254" s="327" t="s">
        <v>2089</v>
      </c>
      <c r="B1254" s="500" t="s">
        <v>3779</v>
      </c>
      <c r="C1254" s="369" t="e">
        <f aca="false">мат.затр!g10822</f>
        <v>#NAME?</v>
      </c>
      <c r="D1254" s="369" t="n">
        <f aca="false">тарифик!J1255</f>
        <v>471.329763498438</v>
      </c>
      <c r="E1254" s="369"/>
      <c r="F1254" s="473" t="n">
        <f aca="false">D1254*0.9*0.095+D1254*3%</f>
        <v>54.4385876840696</v>
      </c>
      <c r="G1254" s="369" t="n">
        <f aca="false">амортизация!M4424</f>
        <v>42.4070025491078</v>
      </c>
      <c r="H1254" s="473" t="e">
        <f aca="false">C1254+D1254+F1254+G1254</f>
        <v>#NAME?</v>
      </c>
      <c r="I1254" s="462" t="n">
        <f aca="false">I$190</f>
        <v>0.240474587202079</v>
      </c>
      <c r="J1254" s="473" t="n">
        <f aca="false">D1254*I1254</f>
        <v>113.34283031334</v>
      </c>
      <c r="K1254" s="473" t="e">
        <f aca="false">H1254+J1254</f>
        <v>#NAME?</v>
      </c>
      <c r="L1254" s="462" t="n">
        <v>0.2</v>
      </c>
      <c r="M1254" s="473" t="e">
        <f aca="false">K1254*L1254</f>
        <v>#NAME?</v>
      </c>
      <c r="N1254" s="473" t="e">
        <f aca="false">K1254+M1254</f>
        <v>#NAME?</v>
      </c>
      <c r="O1254" s="473" t="e">
        <f aca="false">M1254</f>
        <v>#NAME?</v>
      </c>
    </row>
    <row r="1255" customFormat="false" ht="15" hidden="false" customHeight="false" outlineLevel="0" collapsed="false">
      <c r="A1255" s="327" t="s">
        <v>2091</v>
      </c>
      <c r="B1255" s="500" t="s">
        <v>3780</v>
      </c>
      <c r="C1255" s="369" t="e">
        <f aca="false">мат.затр!g10829</f>
        <v>#NAME?</v>
      </c>
      <c r="D1255" s="369" t="n">
        <f aca="false">тарифик!J1256</f>
        <v>253.792949576082</v>
      </c>
      <c r="E1255" s="369"/>
      <c r="F1255" s="473" t="n">
        <f aca="false">D1255*0.9*0.095+D1255*3%</f>
        <v>29.3130856760375</v>
      </c>
      <c r="G1255" s="369" t="n">
        <f aca="false">амортизация!M4428</f>
        <v>42.4070025491078</v>
      </c>
      <c r="H1255" s="473" t="e">
        <f aca="false">C1255+D1255+F1255+G1255</f>
        <v>#NAME?</v>
      </c>
      <c r="I1255" s="462" t="n">
        <f aca="false">I$190</f>
        <v>0.240474587202079</v>
      </c>
      <c r="J1255" s="473" t="n">
        <f aca="false">D1255*I1255</f>
        <v>61.0307547841064</v>
      </c>
      <c r="K1255" s="473" t="e">
        <f aca="false">H1255+J1255</f>
        <v>#NAME?</v>
      </c>
      <c r="L1255" s="462" t="n">
        <v>0.2</v>
      </c>
      <c r="M1255" s="473" t="e">
        <f aca="false">K1255*L1255</f>
        <v>#NAME?</v>
      </c>
      <c r="N1255" s="473" t="e">
        <f aca="false">K1255+M1255</f>
        <v>#NAME?</v>
      </c>
      <c r="O1255" s="473" t="e">
        <f aca="false">M1255</f>
        <v>#NAME?</v>
      </c>
    </row>
    <row r="1256" customFormat="false" ht="15" hidden="false" customHeight="false" outlineLevel="0" collapsed="false">
      <c r="A1256" s="327" t="s">
        <v>2093</v>
      </c>
      <c r="B1256" s="500" t="s">
        <v>3781</v>
      </c>
      <c r="C1256" s="369" t="e">
        <f aca="false">мат.затр!g10836</f>
        <v>#NAME?</v>
      </c>
      <c r="D1256" s="369" t="n">
        <f aca="false">тарифик!J1257</f>
        <v>253.792949576082</v>
      </c>
      <c r="E1256" s="369"/>
      <c r="F1256" s="473" t="n">
        <f aca="false">D1256*0.9*0.095+D1256*3%</f>
        <v>29.3130856760375</v>
      </c>
      <c r="G1256" s="369" t="n">
        <f aca="false">амортизация!M4432</f>
        <v>42.4070025491078</v>
      </c>
      <c r="H1256" s="473" t="e">
        <f aca="false">C1256+D1256+F1256+G1256</f>
        <v>#NAME?</v>
      </c>
      <c r="I1256" s="462" t="n">
        <f aca="false">I$190</f>
        <v>0.240474587202079</v>
      </c>
      <c r="J1256" s="473" t="n">
        <f aca="false">D1256*I1256</f>
        <v>61.0307547841064</v>
      </c>
      <c r="K1256" s="473" t="e">
        <f aca="false">H1256+J1256</f>
        <v>#NAME?</v>
      </c>
      <c r="L1256" s="462" t="n">
        <v>0.2</v>
      </c>
      <c r="M1256" s="473" t="e">
        <f aca="false">K1256*L1256</f>
        <v>#NAME?</v>
      </c>
      <c r="N1256" s="473" t="e">
        <f aca="false">K1256+M1256</f>
        <v>#NAME?</v>
      </c>
      <c r="O1256" s="473" t="e">
        <f aca="false">M1256</f>
        <v>#NAME?</v>
      </c>
    </row>
    <row r="1257" customFormat="false" ht="15" hidden="false" customHeight="false" outlineLevel="0" collapsed="false">
      <c r="A1257" s="327" t="s">
        <v>2095</v>
      </c>
      <c r="B1257" s="500" t="s">
        <v>3782</v>
      </c>
      <c r="C1257" s="369" t="e">
        <f aca="false">мат.затр!g10843</f>
        <v>#NAME?</v>
      </c>
      <c r="D1257" s="369" t="n">
        <f aca="false">тарифик!J1258</f>
        <v>253.792949576082</v>
      </c>
      <c r="E1257" s="369"/>
      <c r="F1257" s="473" t="n">
        <f aca="false">D1257*0.9*0.095+D1257*3%</f>
        <v>29.3130856760375</v>
      </c>
      <c r="G1257" s="369" t="n">
        <f aca="false">амортизация!M4436</f>
        <v>42.4070025491078</v>
      </c>
      <c r="H1257" s="473" t="e">
        <f aca="false">C1257+D1257+F1257+G1257</f>
        <v>#NAME?</v>
      </c>
      <c r="I1257" s="462" t="n">
        <f aca="false">I$190</f>
        <v>0.240474587202079</v>
      </c>
      <c r="J1257" s="473" t="n">
        <f aca="false">D1257*I1257</f>
        <v>61.0307547841064</v>
      </c>
      <c r="K1257" s="473" t="e">
        <f aca="false">H1257+J1257</f>
        <v>#NAME?</v>
      </c>
      <c r="L1257" s="462" t="n">
        <v>0.2</v>
      </c>
      <c r="M1257" s="473" t="e">
        <f aca="false">K1257*L1257</f>
        <v>#NAME?</v>
      </c>
      <c r="N1257" s="473" t="e">
        <f aca="false">K1257+M1257</f>
        <v>#NAME?</v>
      </c>
      <c r="O1257" s="473" t="e">
        <f aca="false">M1257</f>
        <v>#NAME?</v>
      </c>
    </row>
    <row r="1258" customFormat="false" ht="15" hidden="false" customHeight="false" outlineLevel="0" collapsed="false">
      <c r="A1258" s="327" t="s">
        <v>2097</v>
      </c>
      <c r="B1258" s="500" t="s">
        <v>3783</v>
      </c>
      <c r="C1258" s="369" t="e">
        <f aca="false">мат.затр!g10850</f>
        <v>#NAME?</v>
      </c>
      <c r="D1258" s="369" t="n">
        <f aca="false">тарифик!J1259</f>
        <v>253.792949576082</v>
      </c>
      <c r="E1258" s="369"/>
      <c r="F1258" s="473" t="n">
        <f aca="false">D1258*0.9*0.095+D1258*3%</f>
        <v>29.3130856760375</v>
      </c>
      <c r="G1258" s="369" t="n">
        <f aca="false">амортизация!M4440</f>
        <v>42.4070025491078</v>
      </c>
      <c r="H1258" s="473" t="e">
        <f aca="false">C1258+D1258+F1258+G1258</f>
        <v>#NAME?</v>
      </c>
      <c r="I1258" s="462" t="n">
        <f aca="false">I$190</f>
        <v>0.240474587202079</v>
      </c>
      <c r="J1258" s="473" t="n">
        <f aca="false">D1258*I1258</f>
        <v>61.0307547841064</v>
      </c>
      <c r="K1258" s="473" t="e">
        <f aca="false">H1258+J1258</f>
        <v>#NAME?</v>
      </c>
      <c r="L1258" s="462" t="n">
        <v>0.2</v>
      </c>
      <c r="M1258" s="473" t="e">
        <f aca="false">K1258*L1258</f>
        <v>#NAME?</v>
      </c>
      <c r="N1258" s="473" t="e">
        <f aca="false">K1258+M1258</f>
        <v>#NAME?</v>
      </c>
      <c r="O1258" s="473" t="e">
        <f aca="false">M1258</f>
        <v>#NAME?</v>
      </c>
    </row>
    <row r="1259" customFormat="false" ht="15" hidden="false" customHeight="false" outlineLevel="0" collapsed="false">
      <c r="A1259" s="327" t="s">
        <v>2099</v>
      </c>
      <c r="B1259" s="500" t="s">
        <v>3784</v>
      </c>
      <c r="C1259" s="369" t="e">
        <f aca="false">мат.затр!g10857</f>
        <v>#NAME?</v>
      </c>
      <c r="D1259" s="369" t="n">
        <f aca="false">тарифик!J1260</f>
        <v>253.792949576082</v>
      </c>
      <c r="E1259" s="369"/>
      <c r="F1259" s="473" t="n">
        <f aca="false">D1259*0.9*0.095+D1259*3%</f>
        <v>29.3130856760375</v>
      </c>
      <c r="G1259" s="369" t="n">
        <f aca="false">амортизация!M4444</f>
        <v>42.4070025491078</v>
      </c>
      <c r="H1259" s="473" t="e">
        <f aca="false">C1259+D1259+F1259+G1259</f>
        <v>#NAME?</v>
      </c>
      <c r="I1259" s="462" t="n">
        <f aca="false">I$190</f>
        <v>0.240474587202079</v>
      </c>
      <c r="J1259" s="473" t="n">
        <f aca="false">D1259*I1259</f>
        <v>61.0307547841064</v>
      </c>
      <c r="K1259" s="473" t="e">
        <f aca="false">H1259+J1259</f>
        <v>#NAME?</v>
      </c>
      <c r="L1259" s="462" t="n">
        <v>0.2</v>
      </c>
      <c r="M1259" s="473" t="e">
        <f aca="false">K1259*L1259</f>
        <v>#NAME?</v>
      </c>
      <c r="N1259" s="473" t="e">
        <f aca="false">K1259+M1259</f>
        <v>#NAME?</v>
      </c>
      <c r="O1259" s="473" t="e">
        <f aca="false">M1259</f>
        <v>#NAME?</v>
      </c>
    </row>
    <row r="1260" customFormat="false" ht="15" hidden="false" customHeight="false" outlineLevel="0" collapsed="false">
      <c r="A1260" s="327" t="s">
        <v>2101</v>
      </c>
      <c r="B1260" s="500" t="s">
        <v>3785</v>
      </c>
      <c r="C1260" s="369" t="e">
        <f aca="false">мат.затр!g10864</f>
        <v>#NAME?</v>
      </c>
      <c r="D1260" s="369" t="n">
        <f aca="false">тарифик!J1261</f>
        <v>253.792949576082</v>
      </c>
      <c r="E1260" s="369"/>
      <c r="F1260" s="473" t="n">
        <f aca="false">D1260*0.9*0.095+D1260*3%</f>
        <v>29.3130856760375</v>
      </c>
      <c r="G1260" s="369" t="n">
        <f aca="false">амортизация!M4448</f>
        <v>28.0542135252662</v>
      </c>
      <c r="H1260" s="473" t="e">
        <f aca="false">C1260+D1260+F1260+G1260</f>
        <v>#NAME?</v>
      </c>
      <c r="I1260" s="462" t="n">
        <f aca="false">I$190</f>
        <v>0.240474587202079</v>
      </c>
      <c r="J1260" s="473" t="n">
        <f aca="false">D1260*I1260</f>
        <v>61.0307547841064</v>
      </c>
      <c r="K1260" s="473" t="e">
        <f aca="false">H1260+J1260</f>
        <v>#NAME?</v>
      </c>
      <c r="L1260" s="462" t="n">
        <v>0.2</v>
      </c>
      <c r="M1260" s="473" t="e">
        <f aca="false">K1260*L1260</f>
        <v>#NAME?</v>
      </c>
      <c r="N1260" s="473" t="e">
        <f aca="false">K1260+M1260</f>
        <v>#NAME?</v>
      </c>
      <c r="O1260" s="473" t="e">
        <f aca="false">M1260</f>
        <v>#NAME?</v>
      </c>
    </row>
    <row r="1261" customFormat="false" ht="15" hidden="false" customHeight="false" outlineLevel="0" collapsed="false">
      <c r="A1261" s="327" t="s">
        <v>2103</v>
      </c>
      <c r="B1261" s="500" t="s">
        <v>3786</v>
      </c>
      <c r="C1261" s="369" t="e">
        <f aca="false">мат.затр!g10871</f>
        <v>#NAME?</v>
      </c>
      <c r="D1261" s="369" t="n">
        <f aca="false">тарифик!J1262</f>
        <v>253.792949576082</v>
      </c>
      <c r="E1261" s="369"/>
      <c r="F1261" s="473" t="n">
        <f aca="false">D1261*0.9*0.095+D1261*3%</f>
        <v>29.3130856760375</v>
      </c>
      <c r="G1261" s="369" t="n">
        <f aca="false">амортизация!M4452</f>
        <v>42.4070025491078</v>
      </c>
      <c r="H1261" s="473" t="e">
        <f aca="false">C1261+D1261+F1261+G1261</f>
        <v>#NAME?</v>
      </c>
      <c r="I1261" s="462" t="n">
        <f aca="false">I$190</f>
        <v>0.240474587202079</v>
      </c>
      <c r="J1261" s="473" t="n">
        <f aca="false">D1261*I1261</f>
        <v>61.0307547841064</v>
      </c>
      <c r="K1261" s="473" t="e">
        <f aca="false">H1261+J1261</f>
        <v>#NAME?</v>
      </c>
      <c r="L1261" s="462" t="n">
        <v>0.2</v>
      </c>
      <c r="M1261" s="473" t="e">
        <f aca="false">K1261*L1261</f>
        <v>#NAME?</v>
      </c>
      <c r="N1261" s="473" t="e">
        <f aca="false">K1261+M1261</f>
        <v>#NAME?</v>
      </c>
      <c r="O1261" s="473" t="e">
        <f aca="false">M1261</f>
        <v>#NAME?</v>
      </c>
    </row>
    <row r="1262" customFormat="false" ht="15" hidden="false" customHeight="false" outlineLevel="0" collapsed="false">
      <c r="A1262" s="327" t="s">
        <v>2105</v>
      </c>
      <c r="B1262" s="500" t="s">
        <v>3787</v>
      </c>
      <c r="C1262" s="369" t="e">
        <f aca="false">мат.затр!g10878</f>
        <v>#NAME?</v>
      </c>
      <c r="D1262" s="369" t="n">
        <f aca="false">тарифик!J1263</f>
        <v>253.792949576082</v>
      </c>
      <c r="E1262" s="369"/>
      <c r="F1262" s="473" t="n">
        <f aca="false">D1262*0.9*0.095+D1262*3%</f>
        <v>29.3130856760375</v>
      </c>
      <c r="G1262" s="369" t="n">
        <f aca="false">амортизация!M4456</f>
        <v>42.4070025491078</v>
      </c>
      <c r="H1262" s="473" t="e">
        <f aca="false">C1262+D1262+F1262+G1262</f>
        <v>#NAME?</v>
      </c>
      <c r="I1262" s="462" t="n">
        <f aca="false">I$190</f>
        <v>0.240474587202079</v>
      </c>
      <c r="J1262" s="473" t="n">
        <f aca="false">D1262*I1262</f>
        <v>61.0307547841064</v>
      </c>
      <c r="K1262" s="473" t="e">
        <f aca="false">H1262+J1262</f>
        <v>#NAME?</v>
      </c>
      <c r="L1262" s="462" t="n">
        <v>0.2</v>
      </c>
      <c r="M1262" s="473" t="e">
        <f aca="false">K1262*L1262</f>
        <v>#NAME?</v>
      </c>
      <c r="N1262" s="473" t="e">
        <f aca="false">K1262+M1262</f>
        <v>#NAME?</v>
      </c>
      <c r="O1262" s="473" t="e">
        <f aca="false">M1262</f>
        <v>#NAME?</v>
      </c>
    </row>
    <row r="1263" customFormat="false" ht="15" hidden="false" customHeight="false" outlineLevel="0" collapsed="false">
      <c r="A1263" s="327" t="s">
        <v>2107</v>
      </c>
      <c r="B1263" s="500" t="s">
        <v>3788</v>
      </c>
      <c r="C1263" s="369" t="e">
        <f aca="false">мат.затр!g10885</f>
        <v>#NAME?</v>
      </c>
      <c r="D1263" s="369" t="n">
        <f aca="false">тарифик!J1264</f>
        <v>870.147255689424</v>
      </c>
      <c r="E1263" s="369"/>
      <c r="F1263" s="473" t="n">
        <f aca="false">D1263*0.9*0.095+D1263*3%</f>
        <v>100.502008032129</v>
      </c>
      <c r="G1263" s="369" t="n">
        <f aca="false">амортизация!M4460</f>
        <v>42.4070025491078</v>
      </c>
      <c r="H1263" s="473" t="e">
        <f aca="false">C1263+D1263+F1263+G1263</f>
        <v>#NAME?</v>
      </c>
      <c r="I1263" s="462" t="n">
        <f aca="false">I$190</f>
        <v>0.240474587202079</v>
      </c>
      <c r="J1263" s="473" t="n">
        <f aca="false">D1263*I1263</f>
        <v>209.248302116936</v>
      </c>
      <c r="K1263" s="473" t="e">
        <f aca="false">H1263+J1263</f>
        <v>#NAME?</v>
      </c>
      <c r="L1263" s="462" t="n">
        <v>0.2</v>
      </c>
      <c r="M1263" s="473" t="e">
        <f aca="false">K1263*L1263</f>
        <v>#NAME?</v>
      </c>
      <c r="N1263" s="473" t="e">
        <f aca="false">K1263+M1263</f>
        <v>#NAME?</v>
      </c>
      <c r="O1263" s="473" t="e">
        <f aca="false">M1263</f>
        <v>#NAME?</v>
      </c>
    </row>
    <row r="1264" customFormat="false" ht="15" hidden="false" customHeight="false" outlineLevel="0" collapsed="false">
      <c r="A1264" s="327" t="s">
        <v>2109</v>
      </c>
      <c r="B1264" s="500" t="s">
        <v>3789</v>
      </c>
      <c r="C1264" s="369" t="e">
        <f aca="false">мат.затр!g10890</f>
        <v>#NAME?</v>
      </c>
      <c r="D1264" s="369" t="n">
        <f aca="false">тарифик!J1265</f>
        <v>1051.98572066042</v>
      </c>
      <c r="E1264" s="369"/>
      <c r="F1264" s="473" t="n">
        <f aca="false">D1264*0.9*0.095+D1264*3%</f>
        <v>121.504350736278</v>
      </c>
      <c r="G1264" s="369" t="n">
        <f aca="false">амортизация!M4461</f>
        <v>34.6716149347728</v>
      </c>
      <c r="H1264" s="473" t="e">
        <f aca="false">C1264+D1264+F1264+G1264</f>
        <v>#NAME?</v>
      </c>
      <c r="I1264" s="462" t="n">
        <f aca="false">I$190</f>
        <v>0.240474587202079</v>
      </c>
      <c r="J1264" s="473" t="n">
        <f aca="false">D1264*I1264</f>
        <v>252.975831918296</v>
      </c>
      <c r="K1264" s="473" t="e">
        <f aca="false">H1264+J1264</f>
        <v>#NAME?</v>
      </c>
      <c r="L1264" s="462" t="n">
        <v>0.2</v>
      </c>
      <c r="M1264" s="473" t="e">
        <f aca="false">K1264*L1264</f>
        <v>#NAME?</v>
      </c>
      <c r="N1264" s="473" t="e">
        <f aca="false">K1264+M1264</f>
        <v>#NAME?</v>
      </c>
      <c r="O1264" s="473" t="e">
        <f aca="false">M1264</f>
        <v>#NAME?</v>
      </c>
    </row>
    <row r="1265" customFormat="false" ht="15" hidden="false" customHeight="false" outlineLevel="0" collapsed="false">
      <c r="A1265" s="327" t="s">
        <v>2111</v>
      </c>
      <c r="B1265" s="500" t="s">
        <v>3790</v>
      </c>
      <c r="C1265" s="369" t="e">
        <f aca="false">мат.затр!g10897</f>
        <v>#NAME?</v>
      </c>
      <c r="D1265" s="369" t="n">
        <f aca="false">тарифик!J1266</f>
        <v>823.293172690763</v>
      </c>
      <c r="E1265" s="369"/>
      <c r="F1265" s="473" t="n">
        <f aca="false">D1265*0.9*0.095+D1265*3%</f>
        <v>95.0903614457831</v>
      </c>
      <c r="G1265" s="369" t="n">
        <f aca="false">амортизация!M4462</f>
        <v>34.6716149347728</v>
      </c>
      <c r="H1265" s="473" t="e">
        <f aca="false">C1265+D1265+F1265+G1265</f>
        <v>#NAME?</v>
      </c>
      <c r="I1265" s="462" t="n">
        <f aca="false">I$190</f>
        <v>0.240474587202079</v>
      </c>
      <c r="J1265" s="473" t="n">
        <f aca="false">D1265*I1265</f>
        <v>197.981085849101</v>
      </c>
      <c r="K1265" s="473" t="e">
        <f aca="false">H1265+J1265</f>
        <v>#NAME?</v>
      </c>
      <c r="L1265" s="462" t="n">
        <v>0.2</v>
      </c>
      <c r="M1265" s="473" t="e">
        <f aca="false">K1265*L1265</f>
        <v>#NAME?</v>
      </c>
      <c r="N1265" s="473" t="e">
        <f aca="false">K1265+M1265</f>
        <v>#NAME?</v>
      </c>
      <c r="O1265" s="473" t="e">
        <f aca="false">M1265</f>
        <v>#NAME?</v>
      </c>
    </row>
    <row r="1266" customFormat="false" ht="15" hidden="false" customHeight="false" outlineLevel="0" collapsed="false">
      <c r="A1266" s="327" t="s">
        <v>2113</v>
      </c>
      <c r="B1266" s="500" t="s">
        <v>3791</v>
      </c>
      <c r="C1266" s="369" t="e">
        <f aca="false">мат.затр!g10902</f>
        <v>#NAME?</v>
      </c>
      <c r="D1266" s="369" t="n">
        <f aca="false">тарифик!J1267</f>
        <v>1280.67826863008</v>
      </c>
      <c r="E1266" s="369"/>
      <c r="F1266" s="473" t="n">
        <f aca="false">D1266*0.9*0.095+D1266*3%</f>
        <v>147.918340026774</v>
      </c>
      <c r="G1266" s="369" t="n">
        <f aca="false">амортизация!M4463</f>
        <v>34.6716149347728</v>
      </c>
      <c r="H1266" s="473" t="e">
        <f aca="false">C1266+D1266+F1266+G1266</f>
        <v>#NAME?</v>
      </c>
      <c r="I1266" s="462" t="n">
        <f aca="false">I$190</f>
        <v>0.240474587202079</v>
      </c>
      <c r="J1266" s="473" t="n">
        <f aca="false">D1266*I1266</f>
        <v>307.970577987491</v>
      </c>
      <c r="K1266" s="473" t="e">
        <f aca="false">H1266+J1266</f>
        <v>#NAME?</v>
      </c>
      <c r="L1266" s="462" t="n">
        <v>0.2</v>
      </c>
      <c r="M1266" s="473" t="e">
        <f aca="false">K1266*L1266</f>
        <v>#NAME?</v>
      </c>
      <c r="N1266" s="473" t="e">
        <f aca="false">K1266+M1266</f>
        <v>#NAME?</v>
      </c>
      <c r="O1266" s="473" t="e">
        <f aca="false">M1266</f>
        <v>#NAME?</v>
      </c>
    </row>
    <row r="1267" customFormat="false" ht="30" hidden="false" customHeight="false" outlineLevel="0" collapsed="false">
      <c r="A1267" s="327" t="s">
        <v>2115</v>
      </c>
      <c r="B1267" s="500" t="s">
        <v>3792</v>
      </c>
      <c r="C1267" s="369" t="e">
        <f aca="false">мат.затр!g10909</f>
        <v>#NAME?</v>
      </c>
      <c r="D1267" s="369" t="n">
        <f aca="false">тарифик!J1268</f>
        <v>1280.67826863008</v>
      </c>
      <c r="E1267" s="369"/>
      <c r="F1267" s="473" t="n">
        <f aca="false">D1267*0.9*0.095+D1267*3%</f>
        <v>147.918340026774</v>
      </c>
      <c r="G1267" s="369" t="n">
        <f aca="false">амортизация!M4466</f>
        <v>21.6374269005848</v>
      </c>
      <c r="H1267" s="473" t="e">
        <f aca="false">C1267+D1267+F1267+G1267</f>
        <v>#NAME?</v>
      </c>
      <c r="I1267" s="462" t="n">
        <f aca="false">I$190</f>
        <v>0.240474587202079</v>
      </c>
      <c r="J1267" s="473" t="n">
        <f aca="false">D1267*I1267</f>
        <v>307.970577987491</v>
      </c>
      <c r="K1267" s="473" t="e">
        <f aca="false">H1267+J1267</f>
        <v>#NAME?</v>
      </c>
      <c r="L1267" s="462" t="n">
        <v>0.2</v>
      </c>
      <c r="M1267" s="473" t="e">
        <f aca="false">K1267*L1267</f>
        <v>#NAME?</v>
      </c>
      <c r="N1267" s="473" t="e">
        <f aca="false">K1267+M1267</f>
        <v>#NAME?</v>
      </c>
      <c r="O1267" s="473" t="e">
        <f aca="false">M1267</f>
        <v>#NAME?</v>
      </c>
    </row>
    <row r="1268" customFormat="false" ht="15" hidden="false" customHeight="false" outlineLevel="0" collapsed="false">
      <c r="A1268" s="327" t="s">
        <v>2117</v>
      </c>
      <c r="B1268" s="500" t="s">
        <v>3793</v>
      </c>
      <c r="C1268" s="369" t="e">
        <f aca="false">мат.затр!g10916</f>
        <v>#NAME?</v>
      </c>
      <c r="D1268" s="369" t="n">
        <f aca="false">тарифик!J1269</f>
        <v>1280.67826863008</v>
      </c>
      <c r="E1268" s="369"/>
      <c r="F1268" s="473" t="n">
        <f aca="false">D1268*0.9*0.095+D1268*3%</f>
        <v>147.918340026774</v>
      </c>
      <c r="G1268" s="369" t="n">
        <f aca="false">амортизация!M4469</f>
        <v>85.5000749737592</v>
      </c>
      <c r="H1268" s="473" t="e">
        <f aca="false">C1268+D1268+F1268+G1268</f>
        <v>#NAME?</v>
      </c>
      <c r="I1268" s="462" t="n">
        <f aca="false">I$190</f>
        <v>0.240474587202079</v>
      </c>
      <c r="J1268" s="473" t="n">
        <f aca="false">D1268*I1268</f>
        <v>307.970577987491</v>
      </c>
      <c r="K1268" s="473" t="e">
        <f aca="false">H1268+J1268</f>
        <v>#NAME?</v>
      </c>
      <c r="L1268" s="462" t="n">
        <v>0.2</v>
      </c>
      <c r="M1268" s="473" t="e">
        <f aca="false">K1268*L1268</f>
        <v>#NAME?</v>
      </c>
      <c r="N1268" s="473" t="e">
        <f aca="false">K1268+M1268</f>
        <v>#NAME?</v>
      </c>
      <c r="O1268" s="473" t="e">
        <f aca="false">M1268</f>
        <v>#NAME?</v>
      </c>
    </row>
    <row r="1269" customFormat="false" ht="15" hidden="false" customHeight="false" outlineLevel="0" collapsed="false">
      <c r="A1269" s="327" t="s">
        <v>2119</v>
      </c>
      <c r="B1269" s="500" t="s">
        <v>3794</v>
      </c>
      <c r="C1269" s="369" t="e">
        <f aca="false">мат.затр!g10922</f>
        <v>#NAME?</v>
      </c>
      <c r="D1269" s="369" t="n">
        <f aca="false">тарифик!J1270</f>
        <v>1280.67826863008</v>
      </c>
      <c r="E1269" s="369"/>
      <c r="F1269" s="473" t="n">
        <f aca="false">D1269*0.9*0.095+D1269*3%</f>
        <v>147.918340026774</v>
      </c>
      <c r="G1269" s="369" t="n">
        <f aca="false">амортизация!M4473</f>
        <v>92.9890163442795</v>
      </c>
      <c r="H1269" s="473" t="e">
        <f aca="false">C1269+D1269+F1269+G1269</f>
        <v>#NAME?</v>
      </c>
      <c r="I1269" s="462" t="n">
        <f aca="false">I$190</f>
        <v>0.240474587202079</v>
      </c>
      <c r="J1269" s="473" t="n">
        <f aca="false">D1269*I1269</f>
        <v>307.970577987491</v>
      </c>
      <c r="K1269" s="473" t="e">
        <f aca="false">H1269+J1269</f>
        <v>#NAME?</v>
      </c>
      <c r="L1269" s="462" t="n">
        <v>0.2</v>
      </c>
      <c r="M1269" s="473" t="e">
        <f aca="false">K1269*L1269</f>
        <v>#NAME?</v>
      </c>
      <c r="N1269" s="473" t="e">
        <f aca="false">K1269+M1269</f>
        <v>#NAME?</v>
      </c>
      <c r="O1269" s="473" t="e">
        <f aca="false">M1269</f>
        <v>#NAME?</v>
      </c>
    </row>
    <row r="1270" customFormat="false" ht="15" hidden="false" customHeight="false" outlineLevel="0" collapsed="false">
      <c r="A1270" s="327" t="s">
        <v>2121</v>
      </c>
      <c r="B1270" s="500" t="s">
        <v>3795</v>
      </c>
      <c r="C1270" s="369" t="e">
        <f aca="false">мат.затр!g10930</f>
        <v>#NAME?</v>
      </c>
      <c r="D1270" s="369" t="n">
        <f aca="false">тарифик!J1271</f>
        <v>1450.24542614904</v>
      </c>
      <c r="E1270" s="369"/>
      <c r="F1270" s="473" t="n">
        <f aca="false">D1270*0.9*0.095+D1270*3%</f>
        <v>167.503346720214</v>
      </c>
      <c r="G1270" s="369" t="n">
        <f aca="false">амортизация!M4474</f>
        <v>47.3267543859649</v>
      </c>
      <c r="H1270" s="473" t="e">
        <f aca="false">C1270+D1270+F1270+G1270</f>
        <v>#NAME?</v>
      </c>
      <c r="I1270" s="462" t="n">
        <f aca="false">I$190</f>
        <v>0.240474587202079</v>
      </c>
      <c r="J1270" s="473" t="n">
        <f aca="false">D1270*I1270</f>
        <v>348.747170194894</v>
      </c>
      <c r="K1270" s="473" t="e">
        <f aca="false">H1270+J1270</f>
        <v>#NAME?</v>
      </c>
      <c r="L1270" s="462" t="n">
        <v>0.2</v>
      </c>
      <c r="M1270" s="473" t="e">
        <f aca="false">K1270*L1270</f>
        <v>#NAME?</v>
      </c>
      <c r="N1270" s="473" t="e">
        <f aca="false">K1270+M1270</f>
        <v>#NAME?</v>
      </c>
      <c r="O1270" s="473" t="e">
        <f aca="false">M1270</f>
        <v>#NAME?</v>
      </c>
    </row>
    <row r="1271" customFormat="false" ht="15" hidden="false" customHeight="false" outlineLevel="0" collapsed="false">
      <c r="A1271" s="327" t="s">
        <v>2123</v>
      </c>
      <c r="B1271" s="500" t="s">
        <v>3796</v>
      </c>
      <c r="C1271" s="369" t="e">
        <f aca="false">мат.затр!g10938</f>
        <v>#NAME?</v>
      </c>
      <c r="D1271" s="369" t="n">
        <f aca="false">тарифик!J1272</f>
        <v>1115.57340473003</v>
      </c>
      <c r="E1271" s="369"/>
      <c r="F1271" s="473" t="n">
        <f aca="false">D1271*0.9*0.095+D1271*3%</f>
        <v>128.848728246319</v>
      </c>
      <c r="G1271" s="369" t="n">
        <f aca="false">амортизация!M4477</f>
        <v>16.1568451042135</v>
      </c>
      <c r="H1271" s="473" t="e">
        <f aca="false">C1271+D1271+F1271+G1271</f>
        <v>#NAME?</v>
      </c>
      <c r="I1271" s="462" t="n">
        <f aca="false">I$190</f>
        <v>0.240474587202079</v>
      </c>
      <c r="J1271" s="473" t="n">
        <f aca="false">D1271*I1271</f>
        <v>268.267053996072</v>
      </c>
      <c r="K1271" s="473" t="e">
        <f aca="false">H1271+J1271</f>
        <v>#NAME?</v>
      </c>
      <c r="L1271" s="462" t="n">
        <v>0.2</v>
      </c>
      <c r="M1271" s="473" t="e">
        <f aca="false">K1271*L1271</f>
        <v>#NAME?</v>
      </c>
      <c r="N1271" s="473" t="e">
        <f aca="false">K1271+M1271</f>
        <v>#NAME?</v>
      </c>
      <c r="O1271" s="473" t="e">
        <f aca="false">M1271</f>
        <v>#NAME?</v>
      </c>
    </row>
    <row r="1272" customFormat="false" ht="15" hidden="false" customHeight="false" outlineLevel="0" collapsed="false">
      <c r="A1272" s="327" t="s">
        <v>2125</v>
      </c>
      <c r="B1272" s="500" t="s">
        <v>3797</v>
      </c>
      <c r="C1272" s="369" t="e">
        <f aca="false">мат.затр!g10944</f>
        <v>#NAME?</v>
      </c>
      <c r="D1272" s="369" t="n">
        <f aca="false">тарифик!J1273</f>
        <v>1115.57340473003</v>
      </c>
      <c r="E1272" s="369"/>
      <c r="F1272" s="473" t="n">
        <f aca="false">D1272*0.9*0.095+D1272*3%</f>
        <v>128.848728246319</v>
      </c>
      <c r="G1272" s="369" t="n">
        <f aca="false">амортизация!M4478</f>
        <v>52.0074224021592</v>
      </c>
      <c r="H1272" s="473" t="e">
        <f aca="false">C1272+D1272+F1272+G1272</f>
        <v>#NAME?</v>
      </c>
      <c r="I1272" s="462" t="n">
        <f aca="false">I$190</f>
        <v>0.240474587202079</v>
      </c>
      <c r="J1272" s="473" t="n">
        <f aca="false">D1272*I1272</f>
        <v>268.267053996072</v>
      </c>
      <c r="K1272" s="473" t="e">
        <f aca="false">H1272+J1272</f>
        <v>#NAME?</v>
      </c>
      <c r="L1272" s="462" t="n">
        <v>0.2</v>
      </c>
      <c r="M1272" s="473" t="e">
        <f aca="false">K1272*L1272</f>
        <v>#NAME?</v>
      </c>
      <c r="N1272" s="473" t="e">
        <f aca="false">K1272+M1272</f>
        <v>#NAME?</v>
      </c>
      <c r="O1272" s="473" t="e">
        <f aca="false">M1272</f>
        <v>#NAME?</v>
      </c>
    </row>
    <row r="1273" customFormat="false" ht="15" hidden="false" customHeight="false" outlineLevel="0" collapsed="false">
      <c r="A1273" s="327" t="s">
        <v>2127</v>
      </c>
      <c r="B1273" s="500" t="s">
        <v>3798</v>
      </c>
      <c r="C1273" s="369" t="e">
        <f aca="false">мат.затр!g10951</f>
        <v>#NAME?</v>
      </c>
      <c r="D1273" s="369" t="n">
        <f aca="false">тарифик!J1274</f>
        <v>4802.54350736279</v>
      </c>
      <c r="E1273" s="369"/>
      <c r="F1273" s="473" t="n">
        <f aca="false">D1273*0.9*0.095+D1273*3%</f>
        <v>554.693775100402</v>
      </c>
      <c r="G1273" s="369" t="n">
        <f aca="false">амортизация!M4482</f>
        <v>34.6716149347728</v>
      </c>
      <c r="H1273" s="473" t="e">
        <f aca="false">C1273+D1273+F1273+G1273</f>
        <v>#NAME?</v>
      </c>
      <c r="I1273" s="462" t="n">
        <f aca="false">I$190</f>
        <v>0.240474587202079</v>
      </c>
      <c r="J1273" s="473" t="n">
        <f aca="false">D1273*I1273</f>
        <v>1154.88966745309</v>
      </c>
      <c r="K1273" s="473" t="e">
        <f aca="false">H1273+J1273</f>
        <v>#NAME?</v>
      </c>
      <c r="L1273" s="462" t="n">
        <v>0.2</v>
      </c>
      <c r="M1273" s="473" t="e">
        <f aca="false">K1273*L1273</f>
        <v>#NAME?</v>
      </c>
      <c r="N1273" s="473" t="e">
        <f aca="false">K1273+M1273</f>
        <v>#NAME?</v>
      </c>
      <c r="O1273" s="473" t="e">
        <f aca="false">M1273</f>
        <v>#NAME?</v>
      </c>
    </row>
    <row r="1274" customFormat="false" ht="30" hidden="false" customHeight="false" outlineLevel="0" collapsed="false">
      <c r="A1274" s="327" t="s">
        <v>2129</v>
      </c>
      <c r="B1274" s="500" t="s">
        <v>3799</v>
      </c>
      <c r="C1274" s="369" t="e">
        <f aca="false">мат.затр!g10958</f>
        <v>#NAME?</v>
      </c>
      <c r="D1274" s="369" t="n">
        <f aca="false">тарифик!J1275</f>
        <v>4802.54350736279</v>
      </c>
      <c r="E1274" s="369"/>
      <c r="F1274" s="473" t="n">
        <f aca="false">D1274*0.9*0.095+D1274*3%</f>
        <v>554.693775100402</v>
      </c>
      <c r="G1274" s="369" t="n">
        <f aca="false">амортизация!M4486</f>
        <v>34.6716149347728</v>
      </c>
      <c r="H1274" s="473" t="e">
        <f aca="false">C1274+D1274+F1274+G1274</f>
        <v>#NAME?</v>
      </c>
      <c r="I1274" s="462" t="n">
        <f aca="false">I$190</f>
        <v>0.240474587202079</v>
      </c>
      <c r="J1274" s="473" t="n">
        <f aca="false">D1274*I1274</f>
        <v>1154.88966745309</v>
      </c>
      <c r="K1274" s="473" t="e">
        <f aca="false">H1274+J1274</f>
        <v>#NAME?</v>
      </c>
      <c r="L1274" s="462" t="n">
        <v>0.2</v>
      </c>
      <c r="M1274" s="473" t="e">
        <f aca="false">K1274*L1274</f>
        <v>#NAME?</v>
      </c>
      <c r="N1274" s="473" t="e">
        <f aca="false">K1274+M1274</f>
        <v>#NAME?</v>
      </c>
      <c r="O1274" s="473" t="e">
        <f aca="false">M1274</f>
        <v>#NAME?</v>
      </c>
    </row>
    <row r="1275" customFormat="false" ht="15" hidden="false" customHeight="false" outlineLevel="0" collapsed="false">
      <c r="A1275" s="327" t="s">
        <v>2131</v>
      </c>
      <c r="B1275" s="500" t="s">
        <v>3800</v>
      </c>
      <c r="C1275" s="369" t="e">
        <f aca="false">мат.затр!g10966</f>
        <v>#NAME?</v>
      </c>
      <c r="D1275" s="369" t="n">
        <f aca="false">тарифик!J1276</f>
        <v>1450.24542614904</v>
      </c>
      <c r="E1275" s="369"/>
      <c r="F1275" s="473" t="n">
        <f aca="false">D1275*0.9*0.095+D1275*3%</f>
        <v>167.503346720214</v>
      </c>
      <c r="G1275" s="369" t="n">
        <f aca="false">амортизация!M4489</f>
        <v>68.1642675063728</v>
      </c>
      <c r="H1275" s="473" t="e">
        <f aca="false">C1275+D1275+F1275+G1275</f>
        <v>#NAME?</v>
      </c>
      <c r="I1275" s="462" t="n">
        <f aca="false">I$190</f>
        <v>0.240474587202079</v>
      </c>
      <c r="J1275" s="473" t="n">
        <f aca="false">D1275*I1275</f>
        <v>348.747170194894</v>
      </c>
      <c r="K1275" s="473" t="e">
        <f aca="false">H1275+J1275</f>
        <v>#NAME?</v>
      </c>
      <c r="L1275" s="462" t="n">
        <v>0.2</v>
      </c>
      <c r="M1275" s="473" t="e">
        <f aca="false">K1275*L1275</f>
        <v>#NAME?</v>
      </c>
      <c r="N1275" s="473" t="e">
        <f aca="false">K1275+M1275</f>
        <v>#NAME?</v>
      </c>
      <c r="O1275" s="473" t="e">
        <f aca="false">M1275</f>
        <v>#NAME?</v>
      </c>
    </row>
    <row r="1276" customFormat="false" ht="15" hidden="false" customHeight="false" outlineLevel="0" collapsed="false">
      <c r="A1276" s="327" t="s">
        <v>2133</v>
      </c>
      <c r="B1276" s="500" t="s">
        <v>3801</v>
      </c>
      <c r="C1276" s="369" t="e">
        <f aca="false">мат.затр!g10972</f>
        <v>#NAME?</v>
      </c>
      <c r="D1276" s="369" t="n">
        <f aca="false">тарифик!J1277</f>
        <v>1280.67826863008</v>
      </c>
      <c r="E1276" s="369"/>
      <c r="F1276" s="473" t="n">
        <f aca="false">D1276*0.9*0.095+D1276*3%</f>
        <v>147.918340026774</v>
      </c>
      <c r="G1276" s="369" t="n">
        <f aca="false">амортизация!M4490</f>
        <v>26.0037112010796</v>
      </c>
      <c r="H1276" s="473" t="e">
        <f aca="false">C1276+D1276+F1276+G1276</f>
        <v>#NAME?</v>
      </c>
      <c r="I1276" s="462" t="n">
        <f aca="false">I$190</f>
        <v>0.240474587202079</v>
      </c>
      <c r="J1276" s="473" t="n">
        <f aca="false">D1276*I1276</f>
        <v>307.970577987491</v>
      </c>
      <c r="K1276" s="473" t="e">
        <f aca="false">H1276+J1276</f>
        <v>#NAME?</v>
      </c>
      <c r="L1276" s="462" t="n">
        <v>0.2</v>
      </c>
      <c r="M1276" s="473" t="e">
        <f aca="false">K1276*L1276</f>
        <v>#NAME?</v>
      </c>
      <c r="N1276" s="473" t="e">
        <f aca="false">K1276+M1276</f>
        <v>#NAME?</v>
      </c>
      <c r="O1276" s="473" t="e">
        <f aca="false">M1276</f>
        <v>#NAME?</v>
      </c>
    </row>
    <row r="1277" customFormat="false" ht="15" hidden="false" customHeight="false" outlineLevel="0" collapsed="false">
      <c r="A1277" s="327" t="s">
        <v>2135</v>
      </c>
      <c r="B1277" s="500" t="s">
        <v>3802</v>
      </c>
      <c r="C1277" s="369" t="e">
        <f aca="false">мат.затр!g10980</f>
        <v>#NAME?</v>
      </c>
      <c r="D1277" s="369" t="n">
        <f aca="false">тарифик!J1278</f>
        <v>1450.24542614904</v>
      </c>
      <c r="E1277" s="369"/>
      <c r="F1277" s="473" t="n">
        <f aca="false">D1277*0.9*0.095+D1277*3%</f>
        <v>167.503346720214</v>
      </c>
      <c r="G1277" s="369" t="n">
        <f aca="false">амортизация!M4493</f>
        <v>68.1642675063728</v>
      </c>
      <c r="H1277" s="473" t="e">
        <f aca="false">C1277+D1277+F1277+G1277</f>
        <v>#NAME?</v>
      </c>
      <c r="I1277" s="462" t="n">
        <f aca="false">I$190</f>
        <v>0.240474587202079</v>
      </c>
      <c r="J1277" s="473" t="n">
        <f aca="false">D1277*I1277</f>
        <v>348.747170194894</v>
      </c>
      <c r="K1277" s="473" t="e">
        <f aca="false">H1277+J1277</f>
        <v>#NAME?</v>
      </c>
      <c r="L1277" s="462" t="n">
        <v>0.2</v>
      </c>
      <c r="M1277" s="473" t="e">
        <f aca="false">K1277*L1277</f>
        <v>#NAME?</v>
      </c>
      <c r="N1277" s="473" t="e">
        <f aca="false">K1277+M1277</f>
        <v>#NAME?</v>
      </c>
      <c r="O1277" s="473" t="e">
        <f aca="false">M1277</f>
        <v>#NAME?</v>
      </c>
    </row>
    <row r="1278" customFormat="false" ht="15" hidden="false" customHeight="false" outlineLevel="0" collapsed="false">
      <c r="A1278" s="327" t="s">
        <v>2137</v>
      </c>
      <c r="B1278" s="500" t="s">
        <v>3803</v>
      </c>
      <c r="C1278" s="369" t="e">
        <f aca="false">мат.затр!g10987</f>
        <v>#NAME?</v>
      </c>
      <c r="D1278" s="369" t="n">
        <f aca="false">тарифик!J1279</f>
        <v>1115.57340473003</v>
      </c>
      <c r="E1278" s="369"/>
      <c r="F1278" s="473" t="n">
        <f aca="false">D1278*0.9*0.095+D1278*3%</f>
        <v>128.848728246319</v>
      </c>
      <c r="G1278" s="369" t="n">
        <f aca="false">амортизация!M4494</f>
        <v>34.6716149347728</v>
      </c>
      <c r="H1278" s="473" t="e">
        <f aca="false">C1278+D1278+F1278+G1278</f>
        <v>#NAME?</v>
      </c>
      <c r="I1278" s="462" t="n">
        <f aca="false">I$190</f>
        <v>0.240474587202079</v>
      </c>
      <c r="J1278" s="473" t="n">
        <f aca="false">D1278*I1278</f>
        <v>268.267053996072</v>
      </c>
      <c r="K1278" s="473" t="e">
        <f aca="false">H1278+J1278</f>
        <v>#NAME?</v>
      </c>
      <c r="L1278" s="462" t="n">
        <v>0.2</v>
      </c>
      <c r="M1278" s="473" t="e">
        <f aca="false">K1278*L1278</f>
        <v>#NAME?</v>
      </c>
      <c r="N1278" s="473" t="e">
        <f aca="false">K1278+M1278</f>
        <v>#NAME?</v>
      </c>
      <c r="O1278" s="473" t="e">
        <f aca="false">M1278</f>
        <v>#NAME?</v>
      </c>
    </row>
    <row r="1279" customFormat="false" ht="15" hidden="false" customHeight="false" outlineLevel="0" collapsed="false">
      <c r="A1279" s="327" t="s">
        <v>2139</v>
      </c>
      <c r="B1279" s="500" t="s">
        <v>3804</v>
      </c>
      <c r="C1279" s="369" t="e">
        <f aca="false">мат.затр!g10993</f>
        <v>#NAME?</v>
      </c>
      <c r="D1279" s="369" t="n">
        <f aca="false">тарифик!J1280</f>
        <v>1829.54038375725</v>
      </c>
      <c r="E1279" s="369"/>
      <c r="F1279" s="473" t="n">
        <f aca="false">D1279*0.9*0.095+D1279*3%</f>
        <v>211.311914323963</v>
      </c>
      <c r="G1279" s="369" t="n">
        <f aca="false">амортизация!M4495</f>
        <v>4.21165092217724</v>
      </c>
      <c r="H1279" s="473" t="e">
        <f aca="false">C1279+D1279+F1279+G1279</f>
        <v>#NAME?</v>
      </c>
      <c r="I1279" s="462" t="n">
        <f aca="false">I$190</f>
        <v>0.240474587202079</v>
      </c>
      <c r="J1279" s="473" t="n">
        <f aca="false">D1279*I1279</f>
        <v>439.957968553558</v>
      </c>
      <c r="K1279" s="473" t="e">
        <f aca="false">H1279+J1279</f>
        <v>#NAME?</v>
      </c>
      <c r="L1279" s="462" t="n">
        <v>0.2</v>
      </c>
      <c r="M1279" s="473" t="e">
        <f aca="false">K1279*L1279</f>
        <v>#NAME?</v>
      </c>
      <c r="N1279" s="473" t="e">
        <f aca="false">K1279+M1279</f>
        <v>#NAME?</v>
      </c>
      <c r="O1279" s="473" t="e">
        <f aca="false">M1279</f>
        <v>#NAME?</v>
      </c>
    </row>
    <row r="1280" customFormat="false" ht="15" hidden="false" customHeight="false" outlineLevel="0" collapsed="false">
      <c r="A1280" s="327" t="s">
        <v>2141</v>
      </c>
      <c r="B1280" s="500" t="s">
        <v>3805</v>
      </c>
      <c r="C1280" s="369" t="e">
        <f aca="false">мат.затр!g11001</f>
        <v>#NAME?</v>
      </c>
      <c r="D1280" s="369" t="n">
        <f aca="false">тарифик!J1281</f>
        <v>2744.31057563588</v>
      </c>
      <c r="E1280" s="369"/>
      <c r="F1280" s="473" t="n">
        <f aca="false">D1280*0.9*0.095+D1280*3%</f>
        <v>316.967871485944</v>
      </c>
      <c r="G1280" s="369" t="n">
        <f aca="false">амортизация!M4498</f>
        <v>22.3496776128355</v>
      </c>
      <c r="H1280" s="473" t="e">
        <f aca="false">C1280+D1280+F1280+G1280</f>
        <v>#NAME?</v>
      </c>
      <c r="I1280" s="462" t="n">
        <f aca="false">I$190</f>
        <v>0.240474587202079</v>
      </c>
      <c r="J1280" s="473" t="n">
        <f aca="false">D1280*I1280</f>
        <v>659.936952830337</v>
      </c>
      <c r="K1280" s="473" t="e">
        <f aca="false">H1280+J1280</f>
        <v>#NAME?</v>
      </c>
      <c r="L1280" s="462" t="n">
        <v>0.2</v>
      </c>
      <c r="M1280" s="473" t="e">
        <f aca="false">K1280*L1280</f>
        <v>#NAME?</v>
      </c>
      <c r="N1280" s="473" t="e">
        <f aca="false">K1280+M1280</f>
        <v>#NAME?</v>
      </c>
      <c r="O1280" s="473" t="e">
        <f aca="false">M1280</f>
        <v>#NAME?</v>
      </c>
    </row>
    <row r="1281" customFormat="false" ht="15" hidden="false" customHeight="false" outlineLevel="0" collapsed="false">
      <c r="A1281" s="327" t="s">
        <v>2143</v>
      </c>
      <c r="B1281" s="500" t="s">
        <v>3806</v>
      </c>
      <c r="C1281" s="369" t="e">
        <f aca="false">мат.затр!g11007</f>
        <v>#NAME?</v>
      </c>
      <c r="D1281" s="369" t="n">
        <f aca="false">тарифик!J1282</f>
        <v>1829.54038375725</v>
      </c>
      <c r="E1281" s="369"/>
      <c r="F1281" s="473" t="n">
        <f aca="false">D1281*0.9*0.095+D1281*3%</f>
        <v>211.311914323963</v>
      </c>
      <c r="G1281" s="369" t="n">
        <f aca="false">амортизация!M4499</f>
        <v>4.21165092217724</v>
      </c>
      <c r="H1281" s="473" t="e">
        <f aca="false">C1281+D1281+F1281+G1281</f>
        <v>#NAME?</v>
      </c>
      <c r="I1281" s="462" t="n">
        <f aca="false">I$190</f>
        <v>0.240474587202079</v>
      </c>
      <c r="J1281" s="473" t="n">
        <f aca="false">D1281*I1281</f>
        <v>439.957968553558</v>
      </c>
      <c r="K1281" s="473" t="e">
        <f aca="false">H1281+J1281</f>
        <v>#NAME?</v>
      </c>
      <c r="L1281" s="462" t="n">
        <v>0.2</v>
      </c>
      <c r="M1281" s="473" t="e">
        <f aca="false">K1281*L1281</f>
        <v>#NAME?</v>
      </c>
      <c r="N1281" s="473" t="e">
        <f aca="false">K1281+M1281</f>
        <v>#NAME?</v>
      </c>
      <c r="O1281" s="473" t="e">
        <f aca="false">M1281</f>
        <v>#NAME?</v>
      </c>
    </row>
    <row r="1282" customFormat="false" ht="15" hidden="false" customHeight="false" outlineLevel="0" collapsed="false">
      <c r="A1282" s="327" t="s">
        <v>2145</v>
      </c>
      <c r="B1282" s="500" t="s">
        <v>3807</v>
      </c>
      <c r="C1282" s="369" t="e">
        <f aca="false">мат.затр!g11015</f>
        <v>#NAME?</v>
      </c>
      <c r="D1282" s="369" t="n">
        <f aca="false">тарифик!J1283</f>
        <v>3977.01918786256</v>
      </c>
      <c r="E1282" s="369"/>
      <c r="F1282" s="473" t="n">
        <f aca="false">D1282*0.9*0.095+D1282*3%</f>
        <v>459.345716198126</v>
      </c>
      <c r="G1282" s="369" t="n">
        <f aca="false">амортизация!M4500</f>
        <v>4.21165092217724</v>
      </c>
      <c r="H1282" s="473" t="e">
        <f aca="false">C1282+D1282+F1282+G1282</f>
        <v>#NAME?</v>
      </c>
      <c r="I1282" s="462" t="n">
        <f aca="false">I$190</f>
        <v>0.240474587202079</v>
      </c>
      <c r="J1282" s="473" t="n">
        <f aca="false">D1282*I1282</f>
        <v>956.372047495997</v>
      </c>
      <c r="K1282" s="473" t="e">
        <f aca="false">H1282+J1282</f>
        <v>#NAME?</v>
      </c>
      <c r="L1282" s="462" t="n">
        <v>0.2</v>
      </c>
      <c r="M1282" s="473" t="e">
        <f aca="false">K1282*L1282</f>
        <v>#NAME?</v>
      </c>
      <c r="N1282" s="473" t="e">
        <f aca="false">K1282+M1282</f>
        <v>#NAME?</v>
      </c>
      <c r="O1282" s="473" t="e">
        <f aca="false">M1282</f>
        <v>#NAME?</v>
      </c>
    </row>
    <row r="1283" customFormat="false" ht="30" hidden="false" customHeight="false" outlineLevel="0" collapsed="false">
      <c r="A1283" s="327" t="s">
        <v>2147</v>
      </c>
      <c r="B1283" s="500" t="s">
        <v>3808</v>
      </c>
      <c r="C1283" s="369" t="e">
        <f aca="false">мат.затр!g11022</f>
        <v>#NAME?</v>
      </c>
      <c r="D1283" s="369" t="n">
        <f aca="false">тарифик!J1284</f>
        <v>1874.16331994645</v>
      </c>
      <c r="E1283" s="369"/>
      <c r="F1283" s="473" t="n">
        <f aca="false">D1283*0.9*0.095+D1283*3%</f>
        <v>216.465863453815</v>
      </c>
      <c r="G1283" s="369" t="n">
        <f aca="false">амортизация!M4501</f>
        <v>2.74029089818563</v>
      </c>
      <c r="H1283" s="473" t="e">
        <f aca="false">C1283+D1283+F1283+G1283</f>
        <v>#NAME?</v>
      </c>
      <c r="I1283" s="462" t="n">
        <f aca="false">I$190</f>
        <v>0.240474587202079</v>
      </c>
      <c r="J1283" s="473" t="n">
        <f aca="false">D1283*I1283</f>
        <v>450.688650713401</v>
      </c>
      <c r="K1283" s="473" t="e">
        <f aca="false">H1283+J1283</f>
        <v>#NAME?</v>
      </c>
      <c r="L1283" s="462" t="n">
        <v>0.2</v>
      </c>
      <c r="M1283" s="473" t="e">
        <f aca="false">K1283*L1283</f>
        <v>#NAME?</v>
      </c>
      <c r="N1283" s="473" t="e">
        <f aca="false">K1283+M1283</f>
        <v>#NAME?</v>
      </c>
      <c r="O1283" s="473" t="e">
        <f aca="false">M1283</f>
        <v>#NAME?</v>
      </c>
    </row>
    <row r="1284" customFormat="false" ht="15" hidden="false" customHeight="false" outlineLevel="0" collapsed="false">
      <c r="A1284" s="327" t="s">
        <v>2149</v>
      </c>
      <c r="B1284" s="500" t="s">
        <v>3809</v>
      </c>
      <c r="C1284" s="369" t="e">
        <f aca="false">мат.затр!g11027</f>
        <v>#NAME?</v>
      </c>
      <c r="D1284" s="369" t="n">
        <f aca="false">тарифик!J1285</f>
        <v>1338.68808567604</v>
      </c>
      <c r="E1284" s="369"/>
      <c r="F1284" s="473" t="n">
        <f aca="false">D1284*0.9*0.095+D1284*3%</f>
        <v>154.618473895582</v>
      </c>
      <c r="G1284" s="369" t="n">
        <f aca="false">амортизация!M4502</f>
        <v>17.8118908382066</v>
      </c>
      <c r="H1284" s="473" t="e">
        <f aca="false">C1284+D1284+F1284+G1284</f>
        <v>#NAME?</v>
      </c>
      <c r="I1284" s="462" t="n">
        <f aca="false">I$190</f>
        <v>0.240474587202079</v>
      </c>
      <c r="J1284" s="473" t="n">
        <f aca="false">D1284*I1284</f>
        <v>321.920464795286</v>
      </c>
      <c r="K1284" s="473" t="e">
        <f aca="false">H1284+J1284</f>
        <v>#NAME?</v>
      </c>
      <c r="L1284" s="462" t="n">
        <v>0.2</v>
      </c>
      <c r="M1284" s="473" t="e">
        <f aca="false">K1284*L1284</f>
        <v>#NAME?</v>
      </c>
      <c r="N1284" s="473" t="e">
        <f aca="false">K1284+M1284</f>
        <v>#NAME?</v>
      </c>
      <c r="O1284" s="473" t="e">
        <f aca="false">M1284</f>
        <v>#NAME?</v>
      </c>
    </row>
    <row r="1285" customFormat="false" ht="15" hidden="false" customHeight="false" outlineLevel="0" collapsed="false">
      <c r="A1285" s="327" t="s">
        <v>2151</v>
      </c>
      <c r="B1285" s="500" t="s">
        <v>3810</v>
      </c>
      <c r="C1285" s="369" t="e">
        <f aca="false">мат.затр!g11030</f>
        <v>#NAME?</v>
      </c>
      <c r="D1285" s="369" t="n">
        <f aca="false">тарифик!J1286</f>
        <v>1338.68808567604</v>
      </c>
      <c r="E1285" s="369"/>
      <c r="F1285" s="473" t="n">
        <f aca="false">D1285*0.9*0.095+D1285*3%</f>
        <v>154.618473895582</v>
      </c>
      <c r="G1285" s="369" t="n">
        <f aca="false">амортизация!M4503</f>
        <v>34.6716149347728</v>
      </c>
      <c r="H1285" s="473" t="e">
        <f aca="false">C1285+D1285+F1285+G1285</f>
        <v>#NAME?</v>
      </c>
      <c r="I1285" s="462" t="n">
        <f aca="false">I$190</f>
        <v>0.240474587202079</v>
      </c>
      <c r="J1285" s="473" t="n">
        <f aca="false">D1285*I1285</f>
        <v>321.920464795286</v>
      </c>
      <c r="K1285" s="473" t="e">
        <f aca="false">H1285+J1285</f>
        <v>#NAME?</v>
      </c>
      <c r="L1285" s="462" t="n">
        <v>0.2</v>
      </c>
      <c r="M1285" s="473" t="e">
        <f aca="false">K1285*L1285</f>
        <v>#NAME?</v>
      </c>
      <c r="N1285" s="473" t="e">
        <f aca="false">K1285+M1285</f>
        <v>#NAME?</v>
      </c>
      <c r="O1285" s="473" t="e">
        <f aca="false">M1285</f>
        <v>#NAME?</v>
      </c>
    </row>
    <row r="1286" customFormat="false" ht="30" hidden="false" customHeight="false" outlineLevel="0" collapsed="false">
      <c r="A1286" s="327" t="s">
        <v>2153</v>
      </c>
      <c r="B1286" s="500" t="s">
        <v>3811</v>
      </c>
      <c r="C1286" s="369" t="e">
        <f aca="false">мат.затр!g11033</f>
        <v>#NAME?</v>
      </c>
      <c r="D1286" s="369" t="n">
        <f aca="false">тарифик!J1287</f>
        <v>1338.68808567604</v>
      </c>
      <c r="E1286" s="369"/>
      <c r="F1286" s="473" t="n">
        <f aca="false">D1286*0.9*0.095+D1286*3%</f>
        <v>154.618473895582</v>
      </c>
      <c r="G1286" s="369" t="n">
        <f aca="false">амортизация!M4504</f>
        <v>34.6716149347728</v>
      </c>
      <c r="H1286" s="473" t="e">
        <f aca="false">C1286+D1286+F1286+G1286</f>
        <v>#NAME?</v>
      </c>
      <c r="I1286" s="462" t="n">
        <f aca="false">I$190</f>
        <v>0.240474587202079</v>
      </c>
      <c r="J1286" s="473" t="n">
        <f aca="false">D1286*I1286</f>
        <v>321.920464795286</v>
      </c>
      <c r="K1286" s="473" t="e">
        <f aca="false">H1286+J1286</f>
        <v>#NAME?</v>
      </c>
      <c r="L1286" s="462" t="n">
        <v>0.2</v>
      </c>
      <c r="M1286" s="473" t="e">
        <f aca="false">K1286*L1286</f>
        <v>#NAME?</v>
      </c>
      <c r="N1286" s="473" t="e">
        <f aca="false">K1286+M1286</f>
        <v>#NAME?</v>
      </c>
      <c r="O1286" s="473" t="e">
        <f aca="false">M1286</f>
        <v>#NAME?</v>
      </c>
    </row>
    <row r="1287" customFormat="false" ht="15" hidden="false" customHeight="false" outlineLevel="0" collapsed="false">
      <c r="A1287" s="327" t="s">
        <v>2155</v>
      </c>
      <c r="B1287" s="500" t="s">
        <v>3812</v>
      </c>
      <c r="C1287" s="369" t="e">
        <f aca="false">мат.затр!g11036</f>
        <v>#NAME?</v>
      </c>
      <c r="D1287" s="369" t="n">
        <f aca="false">тарифик!J1288</f>
        <v>2141.90093708166</v>
      </c>
      <c r="E1287" s="369"/>
      <c r="F1287" s="473" t="n">
        <f aca="false">D1287*0.9*0.095+D1287*3%</f>
        <v>247.389558232932</v>
      </c>
      <c r="G1287" s="369" t="n">
        <f aca="false">амортизация!M4505</f>
        <v>34.6716149347728</v>
      </c>
      <c r="H1287" s="473" t="e">
        <f aca="false">C1287+D1287+F1287+G1287</f>
        <v>#NAME?</v>
      </c>
      <c r="I1287" s="462" t="n">
        <f aca="false">I$190</f>
        <v>0.240474587202079</v>
      </c>
      <c r="J1287" s="473" t="n">
        <f aca="false">D1287*I1287</f>
        <v>515.072743672458</v>
      </c>
      <c r="K1287" s="473" t="e">
        <f aca="false">H1287+J1287</f>
        <v>#NAME?</v>
      </c>
      <c r="L1287" s="462" t="n">
        <v>0.2</v>
      </c>
      <c r="M1287" s="473" t="e">
        <f aca="false">K1287*L1287</f>
        <v>#NAME?</v>
      </c>
      <c r="N1287" s="473" t="e">
        <f aca="false">K1287+M1287</f>
        <v>#NAME?</v>
      </c>
      <c r="O1287" s="473" t="e">
        <f aca="false">M1287</f>
        <v>#NAME?</v>
      </c>
    </row>
    <row r="1288" customFormat="false" ht="15" hidden="false" customHeight="false" outlineLevel="0" collapsed="false">
      <c r="A1288" s="327" t="s">
        <v>2157</v>
      </c>
      <c r="B1288" s="500" t="s">
        <v>3813</v>
      </c>
      <c r="C1288" s="369" t="e">
        <f aca="false">мат.затр!g11039</f>
        <v>#NAME?</v>
      </c>
      <c r="D1288" s="369" t="n">
        <f aca="false">тарифик!J1289</f>
        <v>1338.68808567604</v>
      </c>
      <c r="E1288" s="369"/>
      <c r="F1288" s="473" t="n">
        <f aca="false">D1288*0.9*0.095+D1288*3%</f>
        <v>154.618473895582</v>
      </c>
      <c r="G1288" s="369" t="n">
        <f aca="false">амортизация!M4506</f>
        <v>34.6716149347728</v>
      </c>
      <c r="H1288" s="473" t="e">
        <f aca="false">C1288+D1288+F1288+G1288</f>
        <v>#NAME?</v>
      </c>
      <c r="I1288" s="462" t="n">
        <f aca="false">I$190</f>
        <v>0.240474587202079</v>
      </c>
      <c r="J1288" s="473" t="n">
        <f aca="false">D1288*I1288</f>
        <v>321.920464795286</v>
      </c>
      <c r="K1288" s="473" t="e">
        <f aca="false">H1288+J1288</f>
        <v>#NAME?</v>
      </c>
      <c r="L1288" s="462" t="n">
        <v>0.2</v>
      </c>
      <c r="M1288" s="473" t="e">
        <f aca="false">K1288*L1288</f>
        <v>#NAME?</v>
      </c>
      <c r="N1288" s="473" t="e">
        <f aca="false">K1288+M1288</f>
        <v>#NAME?</v>
      </c>
      <c r="O1288" s="473" t="e">
        <f aca="false">M1288</f>
        <v>#NAME?</v>
      </c>
    </row>
    <row r="1289" customFormat="false" ht="28.5" hidden="false" customHeight="false" outlineLevel="0" collapsed="false">
      <c r="A1289" s="343" t="s">
        <v>2159</v>
      </c>
      <c r="B1289" s="318" t="s">
        <v>3814</v>
      </c>
      <c r="C1289" s="529"/>
      <c r="D1289" s="377"/>
      <c r="E1289" s="377"/>
      <c r="F1289" s="377"/>
      <c r="G1289" s="529"/>
      <c r="H1289" s="529"/>
      <c r="I1289" s="530"/>
      <c r="J1289" s="529"/>
      <c r="K1289" s="529"/>
      <c r="L1289" s="530"/>
      <c r="M1289" s="529"/>
      <c r="N1289" s="529"/>
      <c r="O1289" s="529"/>
    </row>
    <row r="1290" customFormat="false" ht="15" hidden="false" customHeight="false" outlineLevel="0" collapsed="false">
      <c r="A1290" s="380" t="s">
        <v>2161</v>
      </c>
      <c r="B1290" s="487" t="s">
        <v>3815</v>
      </c>
      <c r="C1290" s="369" t="e">
        <f aca="false">мат.затр!g11049</f>
        <v>#NAME?</v>
      </c>
      <c r="D1290" s="369" t="n">
        <f aca="false">тарифик!J1291</f>
        <v>1614.79250334672</v>
      </c>
      <c r="E1290" s="369"/>
      <c r="F1290" s="473" t="n">
        <f aca="false">D1290*0.9*0.095+D1290*3%</f>
        <v>186.508534136546</v>
      </c>
      <c r="G1290" s="369" t="n">
        <f aca="false">амортизация!M4518</f>
        <v>433.949001561803</v>
      </c>
      <c r="H1290" s="473" t="e">
        <f aca="false">C1290+D1290+F1290+G1290</f>
        <v>#NAME?</v>
      </c>
      <c r="I1290" s="462" t="n">
        <f aca="false">I$190</f>
        <v>0.240474587202079</v>
      </c>
      <c r="J1290" s="473" t="n">
        <f aca="false">D1290*I1290</f>
        <v>388.316560659314</v>
      </c>
      <c r="K1290" s="473" t="e">
        <f aca="false">H1290+J1290</f>
        <v>#NAME?</v>
      </c>
      <c r="L1290" s="462" t="n">
        <v>0.2</v>
      </c>
      <c r="M1290" s="473" t="e">
        <f aca="false">K1290*L1290</f>
        <v>#NAME?</v>
      </c>
      <c r="N1290" s="473" t="e">
        <f aca="false">K1290+M1290</f>
        <v>#NAME?</v>
      </c>
      <c r="O1290" s="473" t="e">
        <f aca="false">M1290</f>
        <v>#NAME?</v>
      </c>
    </row>
    <row r="1291" customFormat="false" ht="15" hidden="false" customHeight="false" outlineLevel="0" collapsed="false">
      <c r="A1291" s="380" t="s">
        <v>2163</v>
      </c>
      <c r="B1291" s="487" t="s">
        <v>3816</v>
      </c>
      <c r="C1291" s="369" t="e">
        <f aca="false">мат.затр!g11056</f>
        <v>#NAME?</v>
      </c>
      <c r="D1291" s="369" t="n">
        <f aca="false">тарифик!J1292</f>
        <v>2392.90495314592</v>
      </c>
      <c r="E1291" s="369"/>
      <c r="F1291" s="473" t="n">
        <f aca="false">D1291*0.9*0.095+D1291*3%</f>
        <v>276.380522088353</v>
      </c>
      <c r="G1291" s="369" t="n">
        <f aca="false">амортизация!M4525</f>
        <v>301.712405176261</v>
      </c>
      <c r="H1291" s="473" t="e">
        <f aca="false">C1291+D1291+F1291+G1291</f>
        <v>#NAME?</v>
      </c>
      <c r="I1291" s="462" t="n">
        <f aca="false">I$190</f>
        <v>0.240474587202079</v>
      </c>
      <c r="J1291" s="473" t="n">
        <f aca="false">D1291*I1291</f>
        <v>575.432830821574</v>
      </c>
      <c r="K1291" s="473" t="e">
        <f aca="false">H1291+J1291</f>
        <v>#NAME?</v>
      </c>
      <c r="L1291" s="462" t="n">
        <v>0.2</v>
      </c>
      <c r="M1291" s="473" t="e">
        <f aca="false">K1291*L1291</f>
        <v>#NAME?</v>
      </c>
      <c r="N1291" s="473" t="e">
        <f aca="false">K1291+M1291</f>
        <v>#NAME?</v>
      </c>
      <c r="O1291" s="473" t="e">
        <f aca="false">M1291</f>
        <v>#NAME?</v>
      </c>
    </row>
    <row r="1292" customFormat="false" ht="30" hidden="false" customHeight="false" outlineLevel="0" collapsed="false">
      <c r="A1292" s="380" t="s">
        <v>2165</v>
      </c>
      <c r="B1292" s="532" t="s">
        <v>3817</v>
      </c>
      <c r="C1292" s="369" t="e">
        <f aca="false">мат.затр!g11065</f>
        <v>#NAME?</v>
      </c>
      <c r="D1292" s="369" t="n">
        <f aca="false">тарифик!J1293</f>
        <v>5554.99776885319</v>
      </c>
      <c r="E1292" s="369"/>
      <c r="F1292" s="473" t="n">
        <f aca="false">D1292*0.9*0.095+D1292*3%</f>
        <v>641.602242302543</v>
      </c>
      <c r="G1292" s="369" t="n">
        <f aca="false">амортизация!M4528</f>
        <v>71.5729585006693</v>
      </c>
      <c r="H1292" s="473" t="e">
        <f aca="false">C1292+D1292+F1292+G1292</f>
        <v>#NAME?</v>
      </c>
      <c r="I1292" s="462" t="n">
        <f aca="false">I$190</f>
        <v>0.240474587202079</v>
      </c>
      <c r="J1292" s="473" t="n">
        <f aca="false">D1292*I1292</f>
        <v>1335.83579537344</v>
      </c>
      <c r="K1292" s="473" t="e">
        <f aca="false">H1292+J1292</f>
        <v>#NAME?</v>
      </c>
      <c r="L1292" s="462" t="n">
        <v>0.2</v>
      </c>
      <c r="M1292" s="473" t="e">
        <f aca="false">K1292*L1292</f>
        <v>#NAME?</v>
      </c>
      <c r="N1292" s="473" t="e">
        <f aca="false">K1292+M1292</f>
        <v>#NAME?</v>
      </c>
      <c r="O1292" s="473" t="e">
        <f aca="false">M1292</f>
        <v>#NAME?</v>
      </c>
    </row>
    <row r="1293" customFormat="false" ht="30" hidden="false" customHeight="false" outlineLevel="0" collapsed="false">
      <c r="A1293" s="380" t="s">
        <v>2167</v>
      </c>
      <c r="B1293" s="487" t="s">
        <v>3818</v>
      </c>
      <c r="C1293" s="369" t="e">
        <f aca="false">мат.затр!g11071</f>
        <v>#NAME?</v>
      </c>
      <c r="D1293" s="369" t="n">
        <f aca="false">тарифик!J1294</f>
        <v>6728.302097278</v>
      </c>
      <c r="E1293" s="369"/>
      <c r="F1293" s="473" t="n">
        <f aca="false">D1293*0.9*0.095+D1293*3%</f>
        <v>777.118892235609</v>
      </c>
      <c r="G1293" s="369" t="n">
        <f aca="false">амортизация!M4537</f>
        <v>439.008762829094</v>
      </c>
      <c r="H1293" s="473" t="e">
        <f aca="false">C1293+D1293+F1293+G1293</f>
        <v>#NAME?</v>
      </c>
      <c r="I1293" s="462" t="n">
        <f aca="false">I$190</f>
        <v>0.240474587202079</v>
      </c>
      <c r="J1293" s="473" t="n">
        <f aca="false">D1293*I1293</f>
        <v>1617.98566941381</v>
      </c>
      <c r="K1293" s="473" t="e">
        <f aca="false">H1293+J1293</f>
        <v>#NAME?</v>
      </c>
      <c r="L1293" s="462" t="n">
        <v>0.2</v>
      </c>
      <c r="M1293" s="473" t="e">
        <f aca="false">K1293*L1293</f>
        <v>#NAME?</v>
      </c>
      <c r="N1293" s="473" t="e">
        <f aca="false">K1293+M1293</f>
        <v>#NAME?</v>
      </c>
      <c r="O1293" s="473" t="e">
        <f aca="false">M1293</f>
        <v>#NAME?</v>
      </c>
    </row>
    <row r="1294" customFormat="false" ht="30" hidden="false" customHeight="false" outlineLevel="0" collapsed="false">
      <c r="A1294" s="380" t="s">
        <v>2169</v>
      </c>
      <c r="B1294" s="487" t="s">
        <v>3819</v>
      </c>
      <c r="C1294" s="369" t="e">
        <f aca="false">мат.затр!g11080</f>
        <v>#NAME?</v>
      </c>
      <c r="D1294" s="369" t="n">
        <f aca="false">тарифик!J1295</f>
        <v>2064.92637215529</v>
      </c>
      <c r="E1294" s="369"/>
      <c r="F1294" s="473" t="n">
        <f aca="false">D1294*0.9*0.095+D1294*3%</f>
        <v>238.498995983936</v>
      </c>
      <c r="G1294" s="369" t="n">
        <f aca="false">амортизация!M4548</f>
        <v>458.880986910605</v>
      </c>
      <c r="H1294" s="473" t="e">
        <f aca="false">C1294+D1294+F1294+G1294</f>
        <v>#NAME?</v>
      </c>
      <c r="I1294" s="462" t="n">
        <f aca="false">I$190</f>
        <v>0.240474587202079</v>
      </c>
      <c r="J1294" s="473" t="n">
        <f aca="false">D1294*I1294</f>
        <v>496.562316946729</v>
      </c>
      <c r="K1294" s="473" t="e">
        <f aca="false">H1294+J1294</f>
        <v>#NAME?</v>
      </c>
      <c r="L1294" s="462" t="n">
        <v>0.2</v>
      </c>
      <c r="M1294" s="473" t="e">
        <f aca="false">K1294*L1294</f>
        <v>#NAME?</v>
      </c>
      <c r="N1294" s="473" t="e">
        <f aca="false">K1294+M1294</f>
        <v>#NAME?</v>
      </c>
      <c r="O1294" s="473" t="e">
        <f aca="false">M1294</f>
        <v>#NAME?</v>
      </c>
    </row>
    <row r="1295" customFormat="false" ht="15" hidden="false" customHeight="false" outlineLevel="0" collapsed="false">
      <c r="A1295" s="380" t="s">
        <v>2171</v>
      </c>
      <c r="B1295" s="487" t="s">
        <v>3820</v>
      </c>
      <c r="C1295" s="369" t="e">
        <f aca="false">мат.затр!g11086</f>
        <v>#NAME?</v>
      </c>
      <c r="D1295" s="369" t="n">
        <f aca="false">тарифик!J1296</f>
        <v>1741.41008478358</v>
      </c>
      <c r="E1295" s="369"/>
      <c r="F1295" s="473" t="n">
        <f aca="false">D1295*0.9*0.095+D1295*3%</f>
        <v>201.132864792503</v>
      </c>
      <c r="G1295" s="369" t="n">
        <f aca="false">амортизация!M4557</f>
        <v>339.24880075859</v>
      </c>
      <c r="H1295" s="473" t="e">
        <f aca="false">C1295+D1295+F1295+G1295</f>
        <v>#NAME?</v>
      </c>
      <c r="I1295" s="462" t="n">
        <f aca="false">I$190</f>
        <v>0.240474587202079</v>
      </c>
      <c r="J1295" s="473" t="n">
        <f aca="false">D1295*I1295</f>
        <v>418.764871287868</v>
      </c>
      <c r="K1295" s="473" t="e">
        <f aca="false">H1295+J1295</f>
        <v>#NAME?</v>
      </c>
      <c r="L1295" s="462" t="n">
        <v>0.2</v>
      </c>
      <c r="M1295" s="473" t="e">
        <f aca="false">K1295*L1295</f>
        <v>#NAME?</v>
      </c>
      <c r="N1295" s="473" t="e">
        <f aca="false">K1295+M1295</f>
        <v>#NAME?</v>
      </c>
      <c r="O1295" s="473" t="e">
        <f aca="false">M1295</f>
        <v>#NAME?</v>
      </c>
    </row>
    <row r="1296" customFormat="false" ht="45" hidden="false" customHeight="false" outlineLevel="0" collapsed="false">
      <c r="A1296" s="380" t="s">
        <v>2173</v>
      </c>
      <c r="B1296" s="533" t="s">
        <v>3821</v>
      </c>
      <c r="C1296" s="369" t="e">
        <f aca="false">мат.затр!g11094</f>
        <v>#NAME?</v>
      </c>
      <c r="D1296" s="369" t="n">
        <f aca="false">тарифик!J1297</f>
        <v>8603.85988398037</v>
      </c>
      <c r="E1296" s="369"/>
      <c r="F1296" s="473" t="n">
        <f aca="false">D1296*0.9*0.095+D1296*3%</f>
        <v>993.745816599732</v>
      </c>
      <c r="G1296" s="369" t="n">
        <f aca="false">амортизация!M4570</f>
        <v>480.732810873122</v>
      </c>
      <c r="H1296" s="473" t="e">
        <f aca="false">C1296+D1296+F1296+G1296</f>
        <v>#NAME?</v>
      </c>
      <c r="I1296" s="462" t="n">
        <f aca="false">I$190</f>
        <v>0.240474587202079</v>
      </c>
      <c r="J1296" s="473" t="n">
        <f aca="false">D1296*I1296</f>
        <v>2069.00965394471</v>
      </c>
      <c r="K1296" s="473" t="e">
        <f aca="false">H1296+J1296</f>
        <v>#NAME?</v>
      </c>
      <c r="L1296" s="462" t="n">
        <v>0.2</v>
      </c>
      <c r="M1296" s="473" t="e">
        <f aca="false">K1296*L1296</f>
        <v>#NAME?</v>
      </c>
      <c r="N1296" s="473" t="e">
        <f aca="false">K1296+M1296</f>
        <v>#NAME?</v>
      </c>
      <c r="O1296" s="473" t="e">
        <f aca="false">M1296</f>
        <v>#NAME?</v>
      </c>
    </row>
    <row r="1297" customFormat="false" ht="30" hidden="false" customHeight="false" outlineLevel="0" collapsed="false">
      <c r="A1297" s="380" t="s">
        <v>2175</v>
      </c>
      <c r="B1297" s="532" t="s">
        <v>3822</v>
      </c>
      <c r="C1297" s="369" t="e">
        <f aca="false">мат.затр!g11101</f>
        <v>#NAME?</v>
      </c>
      <c r="D1297" s="369" t="n">
        <f aca="false">тарифик!J1298</f>
        <v>8259.70548862115</v>
      </c>
      <c r="E1297" s="369"/>
      <c r="F1297" s="473" t="n">
        <f aca="false">D1297*0.9*0.095+D1297*3%</f>
        <v>953.995983935743</v>
      </c>
      <c r="G1297" s="369" t="n">
        <f aca="false">амортизация!M4582</f>
        <v>369.902824260003</v>
      </c>
      <c r="H1297" s="473" t="e">
        <f aca="false">C1297+D1297+F1297+G1297</f>
        <v>#NAME?</v>
      </c>
      <c r="I1297" s="462" t="n">
        <f aca="false">I$190</f>
        <v>0.240474587202079</v>
      </c>
      <c r="J1297" s="473" t="n">
        <f aca="false">D1297*I1297</f>
        <v>1986.24926778692</v>
      </c>
      <c r="K1297" s="473" t="e">
        <f aca="false">H1297+J1297</f>
        <v>#NAME?</v>
      </c>
      <c r="L1297" s="462" t="n">
        <v>0.2</v>
      </c>
      <c r="M1297" s="473" t="e">
        <f aca="false">K1297*L1297</f>
        <v>#NAME?</v>
      </c>
      <c r="N1297" s="473" t="e">
        <f aca="false">K1297+M1297</f>
        <v>#NAME?</v>
      </c>
      <c r="O1297" s="473" t="e">
        <f aca="false">M1297</f>
        <v>#NAME?</v>
      </c>
    </row>
    <row r="1298" customFormat="false" ht="30" hidden="false" customHeight="false" outlineLevel="0" collapsed="false">
      <c r="A1298" s="380" t="s">
        <v>2177</v>
      </c>
      <c r="B1298" s="487" t="s">
        <v>3823</v>
      </c>
      <c r="C1298" s="369" t="e">
        <f aca="false">мат.затр!g11104</f>
        <v>#NAME?</v>
      </c>
      <c r="D1298" s="369" t="n">
        <f aca="false">тарифик!J1299</f>
        <v>835.564480142793</v>
      </c>
      <c r="E1298" s="369"/>
      <c r="F1298" s="473" t="n">
        <f aca="false">D1298*0.9*0.095+D1298*3%</f>
        <v>96.5076974564926</v>
      </c>
      <c r="G1298" s="369" t="n">
        <f aca="false">амортизация!M4590</f>
        <v>154.194569946452</v>
      </c>
      <c r="H1298" s="473" t="e">
        <f aca="false">C1298+D1298+F1298+G1298</f>
        <v>#NAME?</v>
      </c>
      <c r="I1298" s="462" t="n">
        <f aca="false">I$190</f>
        <v>0.240474587202079</v>
      </c>
      <c r="J1298" s="473" t="n">
        <f aca="false">D1298*I1298</f>
        <v>200.932023443058</v>
      </c>
      <c r="K1298" s="473" t="e">
        <f aca="false">H1298+J1298</f>
        <v>#NAME?</v>
      </c>
      <c r="L1298" s="462" t="n">
        <v>0.2</v>
      </c>
      <c r="M1298" s="473" t="e">
        <f aca="false">K1298*L1298</f>
        <v>#NAME?</v>
      </c>
      <c r="N1298" s="473" t="e">
        <f aca="false">K1298+M1298</f>
        <v>#NAME?</v>
      </c>
      <c r="O1298" s="473" t="e">
        <f aca="false">M1298</f>
        <v>#NAME?</v>
      </c>
    </row>
    <row r="1299" customFormat="false" ht="30" hidden="false" customHeight="false" outlineLevel="0" collapsed="false">
      <c r="A1299" s="380" t="s">
        <v>2179</v>
      </c>
      <c r="B1299" s="487" t="s">
        <v>3824</v>
      </c>
      <c r="C1299" s="369" t="e">
        <f aca="false">мат.затр!g11107</f>
        <v>#NAME?</v>
      </c>
      <c r="D1299" s="369" t="n">
        <f aca="false">тарифик!J1300</f>
        <v>835.564480142793</v>
      </c>
      <c r="E1299" s="369"/>
      <c r="F1299" s="473" t="n">
        <f aca="false">D1299*0.9*0.095+D1299*3%</f>
        <v>96.5076974564926</v>
      </c>
      <c r="G1299" s="369" t="n">
        <f aca="false">амортизация!M4597</f>
        <v>146.831785475234</v>
      </c>
      <c r="H1299" s="473" t="e">
        <f aca="false">C1299+D1299+F1299+G1299</f>
        <v>#NAME?</v>
      </c>
      <c r="I1299" s="462" t="n">
        <f aca="false">I$190</f>
        <v>0.240474587202079</v>
      </c>
      <c r="J1299" s="473" t="n">
        <f aca="false">D1299*I1299</f>
        <v>200.932023443058</v>
      </c>
      <c r="K1299" s="473" t="e">
        <f aca="false">H1299+J1299</f>
        <v>#NAME?</v>
      </c>
      <c r="L1299" s="462" t="n">
        <v>0.2</v>
      </c>
      <c r="M1299" s="473" t="e">
        <f aca="false">K1299*L1299</f>
        <v>#NAME?</v>
      </c>
      <c r="N1299" s="473" t="e">
        <f aca="false">K1299+M1299</f>
        <v>#NAME?</v>
      </c>
      <c r="O1299" s="473" t="e">
        <f aca="false">M1299</f>
        <v>#NAME?</v>
      </c>
    </row>
    <row r="1300" customFormat="false" ht="15" hidden="false" customHeight="false" outlineLevel="0" collapsed="false">
      <c r="A1300" s="380" t="s">
        <v>2181</v>
      </c>
      <c r="B1300" s="487" t="s">
        <v>3825</v>
      </c>
      <c r="C1300" s="369" t="e">
        <f aca="false">мат.затр!g11118</f>
        <v>#NAME?</v>
      </c>
      <c r="D1300" s="369" t="n">
        <f aca="false">тарифик!J1301</f>
        <v>495.314591700134</v>
      </c>
      <c r="E1300" s="369"/>
      <c r="F1300" s="473" t="n">
        <f aca="false">D1300*0.9*0.095+D1300*3%</f>
        <v>57.2088353413655</v>
      </c>
      <c r="G1300" s="369" t="n">
        <f aca="false">амортизация!M4605</f>
        <v>313.110232597055</v>
      </c>
      <c r="H1300" s="473" t="e">
        <f aca="false">C1300+D1300+F1300+G1300</f>
        <v>#NAME?</v>
      </c>
      <c r="I1300" s="462" t="n">
        <f aca="false">I$190</f>
        <v>0.240474587202079</v>
      </c>
      <c r="J1300" s="473" t="n">
        <f aca="false">D1300*I1300</f>
        <v>119.110571974256</v>
      </c>
      <c r="K1300" s="473" t="e">
        <f aca="false">H1300+J1300</f>
        <v>#NAME?</v>
      </c>
      <c r="L1300" s="462" t="n">
        <v>0.2</v>
      </c>
      <c r="M1300" s="473" t="e">
        <f aca="false">K1300*L1300</f>
        <v>#NAME?</v>
      </c>
      <c r="N1300" s="473" t="e">
        <f aca="false">K1300+M1300</f>
        <v>#NAME?</v>
      </c>
      <c r="O1300" s="473" t="e">
        <f aca="false">M1300</f>
        <v>#NAME?</v>
      </c>
    </row>
    <row r="1301" customFormat="false" ht="15" hidden="false" customHeight="false" outlineLevel="0" collapsed="false">
      <c r="A1301" s="380" t="s">
        <v>2183</v>
      </c>
      <c r="B1301" s="532" t="s">
        <v>3826</v>
      </c>
      <c r="C1301" s="369" t="e">
        <f aca="false">мат.затр!g11121</f>
        <v>#NAME?</v>
      </c>
      <c r="D1301" s="369" t="n">
        <f aca="false">тарифик!J1302</f>
        <v>344.71218206158</v>
      </c>
      <c r="E1301" s="369"/>
      <c r="F1301" s="473" t="n">
        <f aca="false">D1301*0.9*0.095+D1301*3%</f>
        <v>39.8142570281125</v>
      </c>
      <c r="G1301" s="369" t="n">
        <f aca="false">амортизация!M4613</f>
        <v>313.110232597055</v>
      </c>
      <c r="H1301" s="473" t="e">
        <f aca="false">C1301+D1301+F1301+G1301</f>
        <v>#NAME?</v>
      </c>
      <c r="I1301" s="462" t="n">
        <f aca="false">I$190</f>
        <v>0.240474587202079</v>
      </c>
      <c r="J1301" s="473" t="n">
        <f aca="false">D1301*I1301</f>
        <v>82.8945196847863</v>
      </c>
      <c r="K1301" s="473" t="e">
        <f aca="false">H1301+J1301</f>
        <v>#NAME?</v>
      </c>
      <c r="L1301" s="462" t="n">
        <v>0.2</v>
      </c>
      <c r="M1301" s="473" t="e">
        <f aca="false">K1301*L1301</f>
        <v>#NAME?</v>
      </c>
      <c r="N1301" s="473" t="e">
        <f aca="false">K1301+M1301</f>
        <v>#NAME?</v>
      </c>
      <c r="O1301" s="473" t="e">
        <f aca="false">M1301</f>
        <v>#NAME?</v>
      </c>
    </row>
    <row r="1302" customFormat="false" ht="15" hidden="false" customHeight="false" outlineLevel="0" collapsed="false">
      <c r="A1302" s="380" t="s">
        <v>2185</v>
      </c>
      <c r="B1302" s="532" t="s">
        <v>3827</v>
      </c>
      <c r="C1302" s="369" t="e">
        <f aca="false">мат.затр!g11124</f>
        <v>#NAME?</v>
      </c>
      <c r="D1302" s="369" t="n">
        <f aca="false">тарифик!J1303</f>
        <v>344.71218206158</v>
      </c>
      <c r="E1302" s="369"/>
      <c r="F1302" s="473" t="n">
        <f aca="false">D1302*0.9*0.095+D1302*3%</f>
        <v>39.8142570281125</v>
      </c>
      <c r="G1302" s="369" t="n">
        <f aca="false">амортизация!M4621</f>
        <v>313.110232597055</v>
      </c>
      <c r="H1302" s="473" t="e">
        <f aca="false">C1302+D1302+F1302+G1302</f>
        <v>#NAME?</v>
      </c>
      <c r="I1302" s="462" t="n">
        <f aca="false">I$190</f>
        <v>0.240474587202079</v>
      </c>
      <c r="J1302" s="473" t="n">
        <f aca="false">D1302*I1302</f>
        <v>82.8945196847863</v>
      </c>
      <c r="K1302" s="473" t="e">
        <f aca="false">H1302+J1302</f>
        <v>#NAME?</v>
      </c>
      <c r="L1302" s="462" t="n">
        <v>0.2</v>
      </c>
      <c r="M1302" s="473" t="e">
        <f aca="false">K1302*L1302</f>
        <v>#NAME?</v>
      </c>
      <c r="N1302" s="473" t="e">
        <f aca="false">K1302+M1302</f>
        <v>#NAME?</v>
      </c>
      <c r="O1302" s="473" t="e">
        <f aca="false">M1302</f>
        <v>#NAME?</v>
      </c>
    </row>
    <row r="1303" customFormat="false" ht="15" hidden="false" customHeight="false" outlineLevel="0" collapsed="false">
      <c r="A1303" s="380" t="s">
        <v>2187</v>
      </c>
      <c r="B1303" s="532" t="s">
        <v>3828</v>
      </c>
      <c r="C1303" s="369" t="e">
        <f aca="false">мат.затр!g11127</f>
        <v>#NAME?</v>
      </c>
      <c r="D1303" s="369" t="n">
        <f aca="false">тарифик!J1304</f>
        <v>344.71218206158</v>
      </c>
      <c r="E1303" s="369"/>
      <c r="F1303" s="473" t="n">
        <f aca="false">D1303*0.9*0.095+D1303*3%</f>
        <v>39.8142570281125</v>
      </c>
      <c r="G1303" s="369" t="n">
        <f aca="false">амортизация!M4629</f>
        <v>305.747448125837</v>
      </c>
      <c r="H1303" s="473" t="e">
        <f aca="false">C1303+D1303+F1303+G1303</f>
        <v>#NAME?</v>
      </c>
      <c r="I1303" s="462" t="n">
        <f aca="false">I$190</f>
        <v>0.240474587202079</v>
      </c>
      <c r="J1303" s="473" t="n">
        <f aca="false">D1303*I1303</f>
        <v>82.8945196847863</v>
      </c>
      <c r="K1303" s="473" t="e">
        <f aca="false">H1303+J1303</f>
        <v>#NAME?</v>
      </c>
      <c r="L1303" s="462" t="n">
        <v>0.2</v>
      </c>
      <c r="M1303" s="473" t="e">
        <f aca="false">K1303*L1303</f>
        <v>#NAME?</v>
      </c>
      <c r="N1303" s="473" t="e">
        <f aca="false">K1303+M1303</f>
        <v>#NAME?</v>
      </c>
      <c r="O1303" s="473" t="e">
        <f aca="false">M1303</f>
        <v>#NAME?</v>
      </c>
    </row>
    <row r="1304" customFormat="false" ht="15" hidden="false" customHeight="false" outlineLevel="0" collapsed="false">
      <c r="A1304" s="380" t="s">
        <v>2189</v>
      </c>
      <c r="B1304" s="532" t="s">
        <v>3829</v>
      </c>
      <c r="C1304" s="369" t="e">
        <f aca="false">мат.затр!g11130</f>
        <v>#NAME?</v>
      </c>
      <c r="D1304" s="369" t="n">
        <f aca="false">тарифик!J1305</f>
        <v>344.71218206158</v>
      </c>
      <c r="E1304" s="369"/>
      <c r="F1304" s="473" t="n">
        <f aca="false">D1304*0.9*0.095+D1304*3%</f>
        <v>39.8142570281125</v>
      </c>
      <c r="G1304" s="369" t="n">
        <f aca="false">амортизация!M4637</f>
        <v>313.110232597055</v>
      </c>
      <c r="H1304" s="473" t="e">
        <f aca="false">C1304+D1304+F1304+G1304</f>
        <v>#NAME?</v>
      </c>
      <c r="I1304" s="462" t="n">
        <f aca="false">I$190</f>
        <v>0.240474587202079</v>
      </c>
      <c r="J1304" s="473" t="n">
        <f aca="false">D1304*I1304</f>
        <v>82.8945196847863</v>
      </c>
      <c r="K1304" s="473" t="e">
        <f aca="false">H1304+J1304</f>
        <v>#NAME?</v>
      </c>
      <c r="L1304" s="462" t="n">
        <v>0.2</v>
      </c>
      <c r="M1304" s="473" t="e">
        <f aca="false">K1304*L1304</f>
        <v>#NAME?</v>
      </c>
      <c r="N1304" s="473" t="e">
        <f aca="false">K1304+M1304</f>
        <v>#NAME?</v>
      </c>
      <c r="O1304" s="473" t="e">
        <f aca="false">M1304</f>
        <v>#NAME?</v>
      </c>
    </row>
    <row r="1305" customFormat="false" ht="15" hidden="false" customHeight="false" outlineLevel="0" collapsed="false">
      <c r="A1305" s="380" t="s">
        <v>2191</v>
      </c>
      <c r="B1305" s="532" t="s">
        <v>3830</v>
      </c>
      <c r="C1305" s="369" t="e">
        <f aca="false">мат.затр!g11133</f>
        <v>#NAME?</v>
      </c>
      <c r="D1305" s="369" t="n">
        <f aca="false">тарифик!J1306</f>
        <v>344.71218206158</v>
      </c>
      <c r="E1305" s="369"/>
      <c r="F1305" s="473" t="n">
        <f aca="false">D1305*0.9*0.095+D1305*3%</f>
        <v>39.8142570281125</v>
      </c>
      <c r="G1305" s="369" t="n">
        <f aca="false">амортизация!M4645</f>
        <v>313.110232597055</v>
      </c>
      <c r="H1305" s="473" t="e">
        <f aca="false">C1305+D1305+F1305+G1305</f>
        <v>#NAME?</v>
      </c>
      <c r="I1305" s="462" t="n">
        <f aca="false">I$190</f>
        <v>0.240474587202079</v>
      </c>
      <c r="J1305" s="473" t="n">
        <f aca="false">D1305*I1305</f>
        <v>82.8945196847863</v>
      </c>
      <c r="K1305" s="473" t="e">
        <f aca="false">H1305+J1305</f>
        <v>#NAME?</v>
      </c>
      <c r="L1305" s="462" t="n">
        <v>0.2</v>
      </c>
      <c r="M1305" s="473" t="e">
        <f aca="false">K1305*L1305</f>
        <v>#NAME?</v>
      </c>
      <c r="N1305" s="473" t="e">
        <f aca="false">K1305+M1305</f>
        <v>#NAME?</v>
      </c>
      <c r="O1305" s="473" t="e">
        <f aca="false">M1305</f>
        <v>#NAME?</v>
      </c>
    </row>
    <row r="1306" customFormat="false" ht="15" hidden="false" customHeight="false" outlineLevel="0" collapsed="false">
      <c r="A1306" s="380" t="s">
        <v>2193</v>
      </c>
      <c r="B1306" s="532" t="s">
        <v>3831</v>
      </c>
      <c r="C1306" s="369" t="e">
        <f aca="false">мат.затр!g11136</f>
        <v>#NAME?</v>
      </c>
      <c r="D1306" s="369" t="n">
        <f aca="false">тарифик!J1307</f>
        <v>344.71218206158</v>
      </c>
      <c r="E1306" s="369"/>
      <c r="F1306" s="473" t="n">
        <f aca="false">D1306*0.9*0.095+D1306*3%</f>
        <v>39.8142570281125</v>
      </c>
      <c r="G1306" s="369" t="n">
        <f aca="false">амортизация!M4653</f>
        <v>313.110232597055</v>
      </c>
      <c r="H1306" s="473" t="e">
        <f aca="false">C1306+D1306+F1306+G1306</f>
        <v>#NAME?</v>
      </c>
      <c r="I1306" s="462" t="n">
        <f aca="false">I$190</f>
        <v>0.240474587202079</v>
      </c>
      <c r="J1306" s="473" t="n">
        <f aca="false">D1306*I1306</f>
        <v>82.8945196847863</v>
      </c>
      <c r="K1306" s="473" t="e">
        <f aca="false">H1306+J1306</f>
        <v>#NAME?</v>
      </c>
      <c r="L1306" s="462" t="n">
        <v>0.2</v>
      </c>
      <c r="M1306" s="473" t="e">
        <f aca="false">K1306*L1306</f>
        <v>#NAME?</v>
      </c>
      <c r="N1306" s="473" t="e">
        <f aca="false">K1306+M1306</f>
        <v>#NAME?</v>
      </c>
      <c r="O1306" s="473" t="e">
        <f aca="false">M1306</f>
        <v>#NAME?</v>
      </c>
    </row>
    <row r="1307" customFormat="false" ht="15" hidden="false" customHeight="false" outlineLevel="0" collapsed="false">
      <c r="A1307" s="380" t="s">
        <v>2195</v>
      </c>
      <c r="B1307" s="532" t="s">
        <v>3832</v>
      </c>
      <c r="C1307" s="369" t="e">
        <f aca="false">мат.затр!g11139</f>
        <v>#NAME?</v>
      </c>
      <c r="D1307" s="369" t="n">
        <f aca="false">тарифик!J1308</f>
        <v>344.71218206158</v>
      </c>
      <c r="E1307" s="369"/>
      <c r="F1307" s="473" t="n">
        <f aca="false">D1307*0.9*0.095+D1307*3%</f>
        <v>39.8142570281125</v>
      </c>
      <c r="G1307" s="369" t="n">
        <f aca="false">амортизация!M4661</f>
        <v>305.747448125837</v>
      </c>
      <c r="H1307" s="473" t="e">
        <f aca="false">C1307+D1307+F1307+G1307</f>
        <v>#NAME?</v>
      </c>
      <c r="I1307" s="462" t="n">
        <f aca="false">I$190</f>
        <v>0.240474587202079</v>
      </c>
      <c r="J1307" s="473" t="n">
        <f aca="false">D1307*I1307</f>
        <v>82.8945196847863</v>
      </c>
      <c r="K1307" s="473" t="e">
        <f aca="false">H1307+J1307</f>
        <v>#NAME?</v>
      </c>
      <c r="L1307" s="462" t="n">
        <v>0.2</v>
      </c>
      <c r="M1307" s="473" t="e">
        <f aca="false">K1307*L1307</f>
        <v>#NAME?</v>
      </c>
      <c r="N1307" s="473" t="e">
        <f aca="false">K1307+M1307</f>
        <v>#NAME?</v>
      </c>
      <c r="O1307" s="473" t="e">
        <f aca="false">M1307</f>
        <v>#NAME?</v>
      </c>
    </row>
    <row r="1308" customFormat="false" ht="30" hidden="false" customHeight="false" outlineLevel="0" collapsed="false">
      <c r="A1308" s="380" t="s">
        <v>2197</v>
      </c>
      <c r="B1308" s="487" t="s">
        <v>3833</v>
      </c>
      <c r="C1308" s="369" t="e">
        <f aca="false">мат.затр!g11144</f>
        <v>#NAME?</v>
      </c>
      <c r="D1308" s="369" t="n">
        <f aca="false">тарифик!J1309</f>
        <v>1449.12985274431</v>
      </c>
      <c r="E1308" s="369"/>
      <c r="F1308" s="473" t="n">
        <f aca="false">D1308*0.9*0.095+D1308*3%</f>
        <v>167.374497991968</v>
      </c>
      <c r="G1308" s="369" t="n">
        <f aca="false">амортизация!M4670</f>
        <v>1318.99490182954</v>
      </c>
      <c r="H1308" s="473" t="e">
        <f aca="false">C1308+D1308+F1308+G1308</f>
        <v>#NAME?</v>
      </c>
      <c r="I1308" s="462" t="n">
        <f aca="false">I$190</f>
        <v>0.240474587202079</v>
      </c>
      <c r="J1308" s="473" t="n">
        <f aca="false">D1308*I1308</f>
        <v>348.478903140898</v>
      </c>
      <c r="K1308" s="473" t="e">
        <f aca="false">H1308+J1308</f>
        <v>#NAME?</v>
      </c>
      <c r="L1308" s="462" t="n">
        <v>0.2</v>
      </c>
      <c r="M1308" s="473" t="e">
        <f aca="false">K1308*L1308</f>
        <v>#NAME?</v>
      </c>
      <c r="N1308" s="473" t="e">
        <f aca="false">K1308+M1308</f>
        <v>#NAME?</v>
      </c>
      <c r="O1308" s="473" t="e">
        <f aca="false">M1308</f>
        <v>#NAME?</v>
      </c>
    </row>
    <row r="1309" customFormat="false" ht="30" hidden="false" customHeight="false" outlineLevel="0" collapsed="false">
      <c r="A1309" s="380" t="s">
        <v>2199</v>
      </c>
      <c r="B1309" s="487" t="s">
        <v>3834</v>
      </c>
      <c r="C1309" s="369" t="e">
        <f aca="false">мат.затр!g11149</f>
        <v>#NAME?</v>
      </c>
      <c r="D1309" s="369" t="n">
        <f aca="false">тарифик!J1310</f>
        <v>1542.83801874163</v>
      </c>
      <c r="E1309" s="369"/>
      <c r="F1309" s="473" t="n">
        <f aca="false">D1309*0.9*0.095+D1309*3%</f>
        <v>178.197791164659</v>
      </c>
      <c r="G1309" s="369" t="n">
        <f aca="false">амортизация!M4679</f>
        <v>1302.24721106649</v>
      </c>
      <c r="H1309" s="473" t="e">
        <f aca="false">C1309+D1309+F1309+G1309</f>
        <v>#NAME?</v>
      </c>
      <c r="I1309" s="462" t="n">
        <f aca="false">I$190</f>
        <v>0.240474587202079</v>
      </c>
      <c r="J1309" s="473" t="n">
        <f aca="false">D1309*I1309</f>
        <v>371.013335676568</v>
      </c>
      <c r="K1309" s="473" t="e">
        <f aca="false">H1309+J1309</f>
        <v>#NAME?</v>
      </c>
      <c r="L1309" s="462" t="n">
        <v>0.2</v>
      </c>
      <c r="M1309" s="473" t="e">
        <f aca="false">K1309*L1309</f>
        <v>#NAME?</v>
      </c>
      <c r="N1309" s="473" t="e">
        <f aca="false">K1309+M1309</f>
        <v>#NAME?</v>
      </c>
      <c r="O1309" s="473" t="e">
        <f aca="false">M1309</f>
        <v>#NAME?</v>
      </c>
    </row>
    <row r="1310" customFormat="false" ht="15" hidden="false" customHeight="false" outlineLevel="0" collapsed="false">
      <c r="A1310" s="380" t="s">
        <v>2201</v>
      </c>
      <c r="B1310" s="532" t="s">
        <v>3835</v>
      </c>
      <c r="C1310" s="369" t="e">
        <f aca="false">мат.затр!g11155</f>
        <v>#NAME?</v>
      </c>
      <c r="D1310" s="369" t="n">
        <f aca="false">тарифик!J1311</f>
        <v>7295.8500669344</v>
      </c>
      <c r="E1310" s="369"/>
      <c r="F1310" s="473" t="n">
        <f aca="false">D1310*0.9*0.095+D1310*3%</f>
        <v>842.670682730924</v>
      </c>
      <c r="G1310" s="369" t="n">
        <f aca="false">амортизация!M4688</f>
        <v>327.152309236948</v>
      </c>
      <c r="H1310" s="473" t="e">
        <f aca="false">C1310+D1310+F1310+G1310</f>
        <v>#NAME?</v>
      </c>
      <c r="I1310" s="462" t="n">
        <f aca="false">I$190</f>
        <v>0.240474587202079</v>
      </c>
      <c r="J1310" s="473" t="n">
        <f aca="false">D1310*I1310</f>
        <v>1754.46653313431</v>
      </c>
      <c r="K1310" s="473" t="e">
        <f aca="false">H1310+J1310</f>
        <v>#NAME?</v>
      </c>
      <c r="L1310" s="462" t="n">
        <v>0.2</v>
      </c>
      <c r="M1310" s="473" t="e">
        <f aca="false">K1310*L1310</f>
        <v>#NAME?</v>
      </c>
      <c r="N1310" s="473" t="e">
        <f aca="false">K1310+M1310</f>
        <v>#NAME?</v>
      </c>
      <c r="O1310" s="473" t="e">
        <f aca="false">M1310</f>
        <v>#NAME?</v>
      </c>
    </row>
    <row r="1311" customFormat="false" ht="30" hidden="false" customHeight="false" outlineLevel="0" collapsed="false">
      <c r="A1311" s="380" t="s">
        <v>2203</v>
      </c>
      <c r="B1311" s="533" t="s">
        <v>3836</v>
      </c>
      <c r="C1311" s="369" t="e">
        <f aca="false">мат.затр!g11163</f>
        <v>#NAME?</v>
      </c>
      <c r="D1311" s="369" t="n">
        <f aca="false">тарифик!J1312</f>
        <v>7248.99598393574</v>
      </c>
      <c r="E1311" s="369"/>
      <c r="F1311" s="473" t="n">
        <f aca="false">D1311*0.9*0.095+D1311*3%</f>
        <v>837.259036144578</v>
      </c>
      <c r="G1311" s="369" t="n">
        <f aca="false">амортизация!M4693</f>
        <v>115.900351405623</v>
      </c>
      <c r="H1311" s="473" t="e">
        <f aca="false">C1311+D1311+F1311+G1311</f>
        <v>#NAME?</v>
      </c>
      <c r="I1311" s="462" t="n">
        <f aca="false">I$190</f>
        <v>0.240474587202079</v>
      </c>
      <c r="J1311" s="473" t="n">
        <f aca="false">D1311*I1311</f>
        <v>1743.19931686648</v>
      </c>
      <c r="K1311" s="473" t="e">
        <f aca="false">H1311+J1311</f>
        <v>#NAME?</v>
      </c>
      <c r="L1311" s="462" t="n">
        <v>0.2</v>
      </c>
      <c r="M1311" s="473" t="e">
        <f aca="false">K1311*L1311</f>
        <v>#NAME?</v>
      </c>
      <c r="N1311" s="473" t="e">
        <f aca="false">K1311+M1311</f>
        <v>#NAME?</v>
      </c>
      <c r="O1311" s="473" t="e">
        <f aca="false">M1311</f>
        <v>#NAME?</v>
      </c>
    </row>
    <row r="1312" customFormat="false" ht="15" hidden="false" customHeight="false" outlineLevel="0" collapsed="false">
      <c r="A1312" s="380" t="s">
        <v>2205</v>
      </c>
      <c r="B1312" s="487" t="s">
        <v>3837</v>
      </c>
      <c r="C1312" s="369" t="e">
        <f aca="false">мат.затр!g11166</f>
        <v>#NAME?</v>
      </c>
      <c r="D1312" s="369" t="n">
        <f aca="false">тарифик!J1313</f>
        <v>1459.17001338688</v>
      </c>
      <c r="E1312" s="369"/>
      <c r="F1312" s="473" t="n">
        <f aca="false">D1312*0.9*0.095+D1312*3%</f>
        <v>168.534136546185</v>
      </c>
      <c r="G1312" s="369" t="n">
        <f aca="false">амортизация!M4701</f>
        <v>139.270828685111</v>
      </c>
      <c r="H1312" s="473" t="e">
        <f aca="false">C1312+D1312+F1312+G1312</f>
        <v>#NAME?</v>
      </c>
      <c r="I1312" s="462" t="n">
        <f aca="false">I$190</f>
        <v>0.240474587202079</v>
      </c>
      <c r="J1312" s="473" t="n">
        <f aca="false">D1312*I1312</f>
        <v>350.893306626862</v>
      </c>
      <c r="K1312" s="473" t="e">
        <f aca="false">H1312+J1312</f>
        <v>#NAME?</v>
      </c>
      <c r="L1312" s="462" t="n">
        <v>0.2</v>
      </c>
      <c r="M1312" s="473" t="e">
        <f aca="false">K1312*L1312</f>
        <v>#NAME?</v>
      </c>
      <c r="N1312" s="473" t="e">
        <f aca="false">K1312+M1312</f>
        <v>#NAME?</v>
      </c>
      <c r="O1312" s="473" t="e">
        <f aca="false">M1312</f>
        <v>#NAME?</v>
      </c>
    </row>
    <row r="1313" customFormat="false" ht="30" hidden="false" customHeight="false" outlineLevel="0" collapsed="false">
      <c r="A1313" s="380" t="s">
        <v>2207</v>
      </c>
      <c r="B1313" s="532" t="s">
        <v>3838</v>
      </c>
      <c r="C1313" s="369" t="e">
        <f aca="false">мат.затр!g11171</f>
        <v>#NAME?</v>
      </c>
      <c r="D1313" s="369" t="n">
        <f aca="false">тарифик!J1314</f>
        <v>4437.75100401606</v>
      </c>
      <c r="E1313" s="369"/>
      <c r="F1313" s="473" t="n">
        <f aca="false">D1313*0.9*0.095+D1313*3%</f>
        <v>512.560240963855</v>
      </c>
      <c r="G1313" s="369" t="n">
        <f aca="false">амортизация!M4710</f>
        <v>327.152309236948</v>
      </c>
      <c r="H1313" s="473" t="e">
        <f aca="false">C1313+D1313+F1313+G1313</f>
        <v>#NAME?</v>
      </c>
      <c r="I1313" s="462" t="n">
        <f aca="false">I$190</f>
        <v>0.240474587202079</v>
      </c>
      <c r="J1313" s="473" t="n">
        <f aca="false">D1313*I1313</f>
        <v>1067.16634079637</v>
      </c>
      <c r="K1313" s="473" t="e">
        <f aca="false">H1313+J1313</f>
        <v>#NAME?</v>
      </c>
      <c r="L1313" s="462" t="n">
        <v>0.2</v>
      </c>
      <c r="M1313" s="473" t="e">
        <f aca="false">K1313*L1313</f>
        <v>#NAME?</v>
      </c>
      <c r="N1313" s="473" t="e">
        <f aca="false">K1313+M1313</f>
        <v>#NAME?</v>
      </c>
      <c r="O1313" s="473" t="e">
        <f aca="false">M1313</f>
        <v>#NAME?</v>
      </c>
    </row>
    <row r="1314" customFormat="false" ht="30" hidden="false" customHeight="false" outlineLevel="0" collapsed="false">
      <c r="A1314" s="380" t="s">
        <v>2209</v>
      </c>
      <c r="B1314" s="532" t="s">
        <v>3839</v>
      </c>
      <c r="C1314" s="369" t="e">
        <f aca="false">мат.затр!g11176</f>
        <v>#NAME?</v>
      </c>
      <c r="D1314" s="369" t="n">
        <f aca="false">тарифик!J1315</f>
        <v>2610.44176706827</v>
      </c>
      <c r="E1314" s="369"/>
      <c r="F1314" s="473" t="n">
        <f aca="false">D1314*0.9*0.095+D1314*3%</f>
        <v>301.506024096386</v>
      </c>
      <c r="G1314" s="369" t="n">
        <f aca="false">амортизация!M4719</f>
        <v>327.152309236948</v>
      </c>
      <c r="H1314" s="473" t="e">
        <f aca="false">C1314+D1314+F1314+G1314</f>
        <v>#NAME?</v>
      </c>
      <c r="I1314" s="462" t="n">
        <f aca="false">I$190</f>
        <v>0.240474587202079</v>
      </c>
      <c r="J1314" s="473" t="n">
        <f aca="false">D1314*I1314</f>
        <v>627.744906350809</v>
      </c>
      <c r="K1314" s="473" t="e">
        <f aca="false">H1314+J1314</f>
        <v>#NAME?</v>
      </c>
      <c r="L1314" s="462" t="n">
        <v>0.2</v>
      </c>
      <c r="M1314" s="473" t="e">
        <f aca="false">K1314*L1314</f>
        <v>#NAME?</v>
      </c>
      <c r="N1314" s="473" t="e">
        <f aca="false">K1314+M1314</f>
        <v>#NAME?</v>
      </c>
      <c r="O1314" s="473" t="e">
        <f aca="false">M1314</f>
        <v>#NAME?</v>
      </c>
    </row>
    <row r="1315" customFormat="false" ht="15" hidden="false" customHeight="false" outlineLevel="0" collapsed="false">
      <c r="A1315" s="380" t="s">
        <v>2211</v>
      </c>
      <c r="B1315" s="487" t="s">
        <v>3840</v>
      </c>
      <c r="C1315" s="369" t="e">
        <f aca="false">мат.затр!g11179</f>
        <v>#NAME?</v>
      </c>
      <c r="D1315" s="369" t="n">
        <f aca="false">тарифик!J1316</f>
        <v>512.048192771084</v>
      </c>
      <c r="E1315" s="369"/>
      <c r="F1315" s="473" t="n">
        <f aca="false">D1315*0.9*0.095+D1315*3%</f>
        <v>59.1415662650603</v>
      </c>
      <c r="G1315" s="369" t="n">
        <f aca="false">амортизация!M4727</f>
        <v>133.748740331697</v>
      </c>
      <c r="H1315" s="473" t="e">
        <f aca="false">C1315+D1315+F1315+G1315</f>
        <v>#NAME?</v>
      </c>
      <c r="I1315" s="462" t="n">
        <f aca="false">I$190</f>
        <v>0.240474587202079</v>
      </c>
      <c r="J1315" s="473" t="n">
        <f aca="false">D1315*I1315</f>
        <v>123.134577784197</v>
      </c>
      <c r="K1315" s="473" t="e">
        <f aca="false">H1315+J1315</f>
        <v>#NAME?</v>
      </c>
      <c r="L1315" s="462" t="n">
        <v>0.2</v>
      </c>
      <c r="M1315" s="473" t="e">
        <f aca="false">K1315*L1315</f>
        <v>#NAME?</v>
      </c>
      <c r="N1315" s="473" t="e">
        <f aca="false">K1315+M1315</f>
        <v>#NAME?</v>
      </c>
      <c r="O1315" s="473" t="e">
        <f aca="false">M1315</f>
        <v>#NAME?</v>
      </c>
    </row>
    <row r="1316" customFormat="false" ht="15" hidden="false" customHeight="false" outlineLevel="0" collapsed="false">
      <c r="A1316" s="380" t="s">
        <v>2213</v>
      </c>
      <c r="B1316" s="487" t="s">
        <v>3841</v>
      </c>
      <c r="C1316" s="369" t="e">
        <f aca="false">мат.затр!g11182</f>
        <v>#NAME?</v>
      </c>
      <c r="D1316" s="369" t="n">
        <f aca="false">тарифик!J1317</f>
        <v>438.420348058902</v>
      </c>
      <c r="E1316" s="369"/>
      <c r="F1316" s="473" t="n">
        <f aca="false">D1316*0.9*0.095+D1316*3%</f>
        <v>50.6375502008032</v>
      </c>
      <c r="G1316" s="369" t="n">
        <f aca="false">амортизация!M4735</f>
        <v>111.925263554217</v>
      </c>
      <c r="H1316" s="473" t="e">
        <f aca="false">C1316+D1316+F1316+G1316</f>
        <v>#NAME?</v>
      </c>
      <c r="I1316" s="462" t="n">
        <f aca="false">I$190</f>
        <v>0.240474587202079</v>
      </c>
      <c r="J1316" s="473" t="n">
        <f aca="false">D1316*I1316</f>
        <v>105.428952220456</v>
      </c>
      <c r="K1316" s="473" t="e">
        <f aca="false">H1316+J1316</f>
        <v>#NAME?</v>
      </c>
      <c r="L1316" s="462" t="n">
        <v>0.2</v>
      </c>
      <c r="M1316" s="473" t="e">
        <f aca="false">K1316*L1316</f>
        <v>#NAME?</v>
      </c>
      <c r="N1316" s="473" t="e">
        <f aca="false">K1316+M1316</f>
        <v>#NAME?</v>
      </c>
      <c r="O1316" s="473" t="e">
        <f aca="false">M1316</f>
        <v>#NAME?</v>
      </c>
    </row>
    <row r="1317" customFormat="false" ht="30" hidden="false" customHeight="false" outlineLevel="0" collapsed="false">
      <c r="A1317" s="380" t="s">
        <v>2215</v>
      </c>
      <c r="B1317" s="487" t="s">
        <v>3842</v>
      </c>
      <c r="C1317" s="369" t="e">
        <f aca="false">мат.затр!g11187</f>
        <v>#NAME?</v>
      </c>
      <c r="D1317" s="369" t="n">
        <f aca="false">тарифик!J1318</f>
        <v>2650.60240963855</v>
      </c>
      <c r="E1317" s="369"/>
      <c r="F1317" s="473" t="n">
        <f aca="false">D1317*0.9*0.095+D1317*3%</f>
        <v>306.144578313253</v>
      </c>
      <c r="G1317" s="369" t="n">
        <f aca="false">амортизация!M4744</f>
        <v>135.851024468243</v>
      </c>
      <c r="H1317" s="473" t="e">
        <f aca="false">C1317+D1317+F1317+G1317</f>
        <v>#NAME?</v>
      </c>
      <c r="I1317" s="462" t="n">
        <f aca="false">I$190</f>
        <v>0.240474587202079</v>
      </c>
      <c r="J1317" s="473" t="n">
        <f aca="false">D1317*I1317</f>
        <v>637.402520294667</v>
      </c>
      <c r="K1317" s="473" t="e">
        <f aca="false">H1317+J1317</f>
        <v>#NAME?</v>
      </c>
      <c r="L1317" s="462" t="n">
        <v>0.2</v>
      </c>
      <c r="M1317" s="473" t="e">
        <f aca="false">K1317*L1317</f>
        <v>#NAME?</v>
      </c>
      <c r="N1317" s="473" t="e">
        <f aca="false">K1317+M1317</f>
        <v>#NAME?</v>
      </c>
      <c r="O1317" s="473" t="e">
        <f aca="false">M1317</f>
        <v>#NAME?</v>
      </c>
    </row>
    <row r="1318" customFormat="false" ht="30" hidden="false" customHeight="false" outlineLevel="0" collapsed="false">
      <c r="A1318" s="380" t="s">
        <v>2217</v>
      </c>
      <c r="B1318" s="487" t="s">
        <v>3843</v>
      </c>
      <c r="C1318" s="369" t="e">
        <f aca="false">мат.затр!g11192</f>
        <v>#NAME?</v>
      </c>
      <c r="D1318" s="369" t="n">
        <f aca="false">тарифик!J1319</f>
        <v>1044.17670682731</v>
      </c>
      <c r="E1318" s="369"/>
      <c r="F1318" s="473" t="n">
        <f aca="false">D1318*0.9*0.095+D1318*3%</f>
        <v>120.602409638554</v>
      </c>
      <c r="G1318" s="369" t="n">
        <f aca="false">амортизация!M4753</f>
        <v>296.792252342704</v>
      </c>
      <c r="H1318" s="473" t="e">
        <f aca="false">C1318+D1318+F1318+G1318</f>
        <v>#NAME?</v>
      </c>
      <c r="I1318" s="462" t="n">
        <f aca="false">I$190</f>
        <v>0.240474587202079</v>
      </c>
      <c r="J1318" s="473" t="n">
        <f aca="false">D1318*I1318</f>
        <v>251.097962540323</v>
      </c>
      <c r="K1318" s="473" t="e">
        <f aca="false">H1318+J1318</f>
        <v>#NAME?</v>
      </c>
      <c r="L1318" s="462" t="n">
        <v>0.2</v>
      </c>
      <c r="M1318" s="473" t="e">
        <f aca="false">K1318*L1318</f>
        <v>#NAME?</v>
      </c>
      <c r="N1318" s="473" t="e">
        <f aca="false">K1318+M1318</f>
        <v>#NAME?</v>
      </c>
      <c r="O1318" s="473" t="e">
        <f aca="false">M1318</f>
        <v>#NAME?</v>
      </c>
    </row>
    <row r="1319" customFormat="false" ht="15" hidden="false" customHeight="false" outlineLevel="0" collapsed="false">
      <c r="A1319" s="380" t="s">
        <v>2219</v>
      </c>
      <c r="B1319" s="532" t="s">
        <v>3844</v>
      </c>
      <c r="C1319" s="369" t="e">
        <f aca="false">мат.затр!g11199</f>
        <v>#NAME?</v>
      </c>
      <c r="D1319" s="369" t="n">
        <f aca="false">тарифик!J1320</f>
        <v>4176.70682730924</v>
      </c>
      <c r="E1319" s="369"/>
      <c r="F1319" s="473" t="n">
        <f aca="false">D1319*0.9*0.095+D1319*3%</f>
        <v>482.409638554217</v>
      </c>
      <c r="G1319" s="369" t="n">
        <f aca="false">амортизация!M4762</f>
        <v>327.152309236948</v>
      </c>
      <c r="H1319" s="473" t="e">
        <f aca="false">C1319+D1319+F1319+G1319</f>
        <v>#NAME?</v>
      </c>
      <c r="I1319" s="462" t="n">
        <f aca="false">I$190</f>
        <v>0.240474587202079</v>
      </c>
      <c r="J1319" s="473" t="n">
        <f aca="false">D1319*I1319</f>
        <v>1004.39185016129</v>
      </c>
      <c r="K1319" s="473" t="e">
        <f aca="false">H1319+J1319</f>
        <v>#NAME?</v>
      </c>
      <c r="L1319" s="462" t="n">
        <v>0.2</v>
      </c>
      <c r="M1319" s="473" t="e">
        <f aca="false">K1319*L1319</f>
        <v>#NAME?</v>
      </c>
      <c r="N1319" s="473" t="e">
        <f aca="false">K1319+M1319</f>
        <v>#NAME?</v>
      </c>
      <c r="O1319" s="473" t="e">
        <f aca="false">M1319</f>
        <v>#NAME?</v>
      </c>
    </row>
    <row r="1320" customFormat="false" ht="15" hidden="false" customHeight="false" outlineLevel="0" collapsed="false">
      <c r="A1320" s="380" t="s">
        <v>2221</v>
      </c>
      <c r="B1320" s="487" t="s">
        <v>3845</v>
      </c>
      <c r="C1320" s="369" t="e">
        <f aca="false">мат.затр!g11202</f>
        <v>#NAME?</v>
      </c>
      <c r="D1320" s="369" t="n">
        <f aca="false">тарифик!J1321</f>
        <v>848.393574297189</v>
      </c>
      <c r="E1320" s="369"/>
      <c r="F1320" s="473" t="n">
        <f aca="false">D1320*0.9*0.095+D1320*3%</f>
        <v>97.9894578313253</v>
      </c>
      <c r="G1320" s="369" t="n">
        <f aca="false">амортизация!M4770</f>
        <v>122.12060138703</v>
      </c>
      <c r="H1320" s="473" t="e">
        <f aca="false">C1320+D1320+F1320+G1320</f>
        <v>#NAME?</v>
      </c>
      <c r="I1320" s="462" t="n">
        <f aca="false">I$190</f>
        <v>0.240474587202079</v>
      </c>
      <c r="J1320" s="473" t="n">
        <f aca="false">D1320*I1320</f>
        <v>204.017094564013</v>
      </c>
      <c r="K1320" s="473" t="e">
        <f aca="false">H1320+J1320</f>
        <v>#NAME?</v>
      </c>
      <c r="L1320" s="462" t="n">
        <v>0.2</v>
      </c>
      <c r="M1320" s="473" t="e">
        <f aca="false">K1320*L1320</f>
        <v>#NAME?</v>
      </c>
      <c r="N1320" s="473" t="e">
        <f aca="false">K1320+M1320</f>
        <v>#NAME?</v>
      </c>
      <c r="O1320" s="473" t="e">
        <f aca="false">M1320</f>
        <v>#NAME?</v>
      </c>
    </row>
    <row r="1321" customFormat="false" ht="15" hidden="false" customHeight="false" outlineLevel="0" collapsed="false">
      <c r="A1321" s="380" t="s">
        <v>2223</v>
      </c>
      <c r="B1321" s="532" t="s">
        <v>3846</v>
      </c>
      <c r="C1321" s="369" t="e">
        <f aca="false">мат.затр!g11207</f>
        <v>#NAME?</v>
      </c>
      <c r="D1321" s="369" t="n">
        <f aca="false">тарифик!J1322</f>
        <v>4337.34939759036</v>
      </c>
      <c r="E1321" s="369"/>
      <c r="F1321" s="473" t="n">
        <f aca="false">D1321*0.9*0.095+D1321*3%</f>
        <v>500.963855421687</v>
      </c>
      <c r="G1321" s="369" t="n">
        <f aca="false">амортизация!M4779</f>
        <v>341.864491298527</v>
      </c>
      <c r="H1321" s="473" t="e">
        <f aca="false">C1321+D1321+F1321+G1321</f>
        <v>#NAME?</v>
      </c>
      <c r="I1321" s="462" t="n">
        <f aca="false">I$190</f>
        <v>0.240474587202079</v>
      </c>
      <c r="J1321" s="473" t="n">
        <f aca="false">D1321*I1321</f>
        <v>1043.02230593673</v>
      </c>
      <c r="K1321" s="473" t="e">
        <f aca="false">H1321+J1321</f>
        <v>#NAME?</v>
      </c>
      <c r="L1321" s="462" t="n">
        <v>0.2</v>
      </c>
      <c r="M1321" s="473" t="e">
        <f aca="false">K1321*L1321</f>
        <v>#NAME?</v>
      </c>
      <c r="N1321" s="473" t="e">
        <f aca="false">K1321+M1321</f>
        <v>#NAME?</v>
      </c>
      <c r="O1321" s="473" t="e">
        <f aca="false">M1321</f>
        <v>#NAME?</v>
      </c>
    </row>
    <row r="1322" customFormat="false" ht="15" hidden="false" customHeight="false" outlineLevel="0" collapsed="false">
      <c r="A1322" s="380" t="s">
        <v>2225</v>
      </c>
      <c r="B1322" s="487" t="s">
        <v>3847</v>
      </c>
      <c r="C1322" s="369" t="e">
        <f aca="false">мат.затр!g11210</f>
        <v>#NAME?</v>
      </c>
      <c r="D1322" s="369" t="n">
        <f aca="false">тарифик!J1323</f>
        <v>1057.56358768407</v>
      </c>
      <c r="E1322" s="369"/>
      <c r="F1322" s="473" t="n">
        <f aca="false">D1322*0.9*0.095+D1322*3%</f>
        <v>122.14859437751</v>
      </c>
      <c r="G1322" s="369" t="n">
        <f aca="false">амортизация!M4787</f>
        <v>88.0408497415588</v>
      </c>
      <c r="H1322" s="473" t="e">
        <f aca="false">C1322+D1322+F1322+G1322</f>
        <v>#NAME?</v>
      </c>
      <c r="I1322" s="462" t="n">
        <f aca="false">I$190</f>
        <v>0.240474587202079</v>
      </c>
      <c r="J1322" s="473" t="n">
        <f aca="false">D1322*I1322</f>
        <v>254.317167188276</v>
      </c>
      <c r="K1322" s="473" t="e">
        <f aca="false">H1322+J1322</f>
        <v>#NAME?</v>
      </c>
      <c r="L1322" s="462" t="n">
        <v>0.2</v>
      </c>
      <c r="M1322" s="473" t="e">
        <f aca="false">K1322*L1322</f>
        <v>#NAME?</v>
      </c>
      <c r="N1322" s="473" t="e">
        <f aca="false">K1322+M1322</f>
        <v>#NAME?</v>
      </c>
      <c r="O1322" s="473" t="e">
        <f aca="false">M1322</f>
        <v>#NAME?</v>
      </c>
    </row>
    <row r="1323" customFormat="false" ht="15" hidden="false" customHeight="false" outlineLevel="0" collapsed="false">
      <c r="A1323" s="380" t="s">
        <v>2227</v>
      </c>
      <c r="B1323" s="487" t="s">
        <v>3848</v>
      </c>
      <c r="C1323" s="369" t="e">
        <f aca="false">мат.затр!g11213</f>
        <v>#NAME?</v>
      </c>
      <c r="D1323" s="369" t="n">
        <f aca="false">тарифик!J1324</f>
        <v>1160.19634091923</v>
      </c>
      <c r="E1323" s="369"/>
      <c r="F1323" s="473" t="n">
        <f aca="false">D1323*0.9*0.095+D1323*3%</f>
        <v>134.002677376171</v>
      </c>
      <c r="G1323" s="369" t="n">
        <f aca="false">амортизация!M4795</f>
        <v>122.120600922207</v>
      </c>
      <c r="H1323" s="473" t="e">
        <f aca="false">C1323+D1323+F1323+G1323</f>
        <v>#NAME?</v>
      </c>
      <c r="I1323" s="462" t="n">
        <f aca="false">I$190</f>
        <v>0.240474587202079</v>
      </c>
      <c r="J1323" s="473" t="n">
        <f aca="false">D1323*I1323</f>
        <v>278.997736155915</v>
      </c>
      <c r="K1323" s="473" t="e">
        <f aca="false">H1323+J1323</f>
        <v>#NAME?</v>
      </c>
      <c r="L1323" s="462" t="n">
        <v>0.2</v>
      </c>
      <c r="M1323" s="473" t="e">
        <f aca="false">K1323*L1323</f>
        <v>#NAME?</v>
      </c>
      <c r="N1323" s="473" t="e">
        <f aca="false">K1323+M1323</f>
        <v>#NAME?</v>
      </c>
      <c r="O1323" s="473" t="e">
        <f aca="false">M1323</f>
        <v>#NAME?</v>
      </c>
    </row>
    <row r="1324" customFormat="false" ht="30" hidden="false" customHeight="false" outlineLevel="0" collapsed="false">
      <c r="A1324" s="380" t="s">
        <v>2229</v>
      </c>
      <c r="B1324" s="487" t="s">
        <v>3849</v>
      </c>
      <c r="C1324" s="369" t="e">
        <f aca="false">мат.затр!g11216</f>
        <v>#NAME?</v>
      </c>
      <c r="D1324" s="369" t="n">
        <f aca="false">тарифик!J1325</f>
        <v>1711.28960285587</v>
      </c>
      <c r="E1324" s="369"/>
      <c r="F1324" s="473" t="n">
        <f aca="false">D1324*0.9*0.095+D1324*3%</f>
        <v>197.653949129853</v>
      </c>
      <c r="G1324" s="369" t="n">
        <f aca="false">амортизация!M4803</f>
        <v>122.120600922207</v>
      </c>
      <c r="H1324" s="473" t="e">
        <f aca="false">C1324+D1324+F1324+G1324</f>
        <v>#NAME?</v>
      </c>
      <c r="I1324" s="462" t="n">
        <f aca="false">I$190</f>
        <v>0.240474587202079</v>
      </c>
      <c r="J1324" s="473" t="n">
        <f aca="false">D1324*I1324</f>
        <v>411.521660829975</v>
      </c>
      <c r="K1324" s="473" t="e">
        <f aca="false">H1324+J1324</f>
        <v>#NAME?</v>
      </c>
      <c r="L1324" s="462" t="n">
        <v>0.2</v>
      </c>
      <c r="M1324" s="473" t="e">
        <f aca="false">K1324*L1324</f>
        <v>#NAME?</v>
      </c>
      <c r="N1324" s="473" t="e">
        <f aca="false">K1324+M1324</f>
        <v>#NAME?</v>
      </c>
      <c r="O1324" s="473" t="e">
        <f aca="false">M1324</f>
        <v>#NAME?</v>
      </c>
    </row>
    <row r="1325" customFormat="false" ht="30" hidden="false" customHeight="false" outlineLevel="0" collapsed="false">
      <c r="A1325" s="380" t="s">
        <v>2231</v>
      </c>
      <c r="B1325" s="487" t="s">
        <v>3850</v>
      </c>
      <c r="C1325" s="369" t="e">
        <f aca="false">мат.затр!g11219</f>
        <v>#NAME?</v>
      </c>
      <c r="D1325" s="369" t="n">
        <f aca="false">тарифик!J1326</f>
        <v>1696.78714859438</v>
      </c>
      <c r="E1325" s="369"/>
      <c r="F1325" s="473" t="n">
        <f aca="false">D1325*0.9*0.095+D1325*3%</f>
        <v>195.978915662651</v>
      </c>
      <c r="G1325" s="369" t="n">
        <f aca="false">амортизация!M4811</f>
        <v>122.120600922207</v>
      </c>
      <c r="H1325" s="473" t="e">
        <f aca="false">C1325+D1325+F1325+G1325</f>
        <v>#NAME?</v>
      </c>
      <c r="I1325" s="462" t="n">
        <f aca="false">I$190</f>
        <v>0.240474587202079</v>
      </c>
      <c r="J1325" s="473" t="n">
        <f aca="false">D1325*I1325</f>
        <v>408.034189128026</v>
      </c>
      <c r="K1325" s="473" t="e">
        <f aca="false">H1325+J1325</f>
        <v>#NAME?</v>
      </c>
      <c r="L1325" s="462" t="n">
        <v>0.2</v>
      </c>
      <c r="M1325" s="473" t="e">
        <f aca="false">K1325*L1325</f>
        <v>#NAME?</v>
      </c>
      <c r="N1325" s="473" t="e">
        <f aca="false">K1325+M1325</f>
        <v>#NAME?</v>
      </c>
      <c r="O1325" s="473" t="e">
        <f aca="false">M1325</f>
        <v>#NAME?</v>
      </c>
    </row>
    <row r="1326" customFormat="false" ht="30" hidden="false" customHeight="false" outlineLevel="0" collapsed="false">
      <c r="A1326" s="380" t="s">
        <v>2233</v>
      </c>
      <c r="B1326" s="487" t="s">
        <v>3851</v>
      </c>
      <c r="C1326" s="369" t="e">
        <f aca="false">мат.затр!g11222</f>
        <v>#NAME?</v>
      </c>
      <c r="D1326" s="369" t="n">
        <f aca="false">тарифик!J1327</f>
        <v>1711.28960285587</v>
      </c>
      <c r="E1326" s="369"/>
      <c r="F1326" s="473" t="n">
        <f aca="false">D1326*0.9*0.095+D1326*3%</f>
        <v>197.653949129853</v>
      </c>
      <c r="G1326" s="369" t="n">
        <f aca="false">амортизация!M4819</f>
        <v>122.120600922207</v>
      </c>
      <c r="H1326" s="473" t="e">
        <f aca="false">C1326+D1326+F1326+G1326</f>
        <v>#NAME?</v>
      </c>
      <c r="I1326" s="462" t="n">
        <f aca="false">I$190</f>
        <v>0.240474587202079</v>
      </c>
      <c r="J1326" s="473" t="n">
        <f aca="false">D1326*I1326</f>
        <v>411.521660829975</v>
      </c>
      <c r="K1326" s="473" t="e">
        <f aca="false">H1326+J1326</f>
        <v>#NAME?</v>
      </c>
      <c r="L1326" s="462" t="n">
        <v>0.2</v>
      </c>
      <c r="M1326" s="473" t="e">
        <f aca="false">K1326*L1326</f>
        <v>#NAME?</v>
      </c>
      <c r="N1326" s="473" t="e">
        <f aca="false">K1326+M1326</f>
        <v>#NAME?</v>
      </c>
      <c r="O1326" s="473" t="e">
        <f aca="false">M1326</f>
        <v>#NAME?</v>
      </c>
    </row>
    <row r="1327" customFormat="false" ht="15" hidden="false" customHeight="false" outlineLevel="0" collapsed="false">
      <c r="A1327" s="380" t="s">
        <v>2235</v>
      </c>
      <c r="B1327" s="487" t="s">
        <v>3852</v>
      </c>
      <c r="C1327" s="369" t="e">
        <f aca="false">мат.затр!g11227</f>
        <v>#NAME?</v>
      </c>
      <c r="D1327" s="369" t="n">
        <f aca="false">тарифик!J1328</f>
        <v>4337.34939759036</v>
      </c>
      <c r="E1327" s="369"/>
      <c r="F1327" s="473" t="n">
        <f aca="false">D1327*0.9*0.095+D1327*3%</f>
        <v>500.963855421687</v>
      </c>
      <c r="G1327" s="369" t="n">
        <f aca="false">амортизация!M4828</f>
        <v>334.59089134315</v>
      </c>
      <c r="H1327" s="473" t="e">
        <f aca="false">C1327+D1327+F1327+G1327</f>
        <v>#NAME?</v>
      </c>
      <c r="I1327" s="462" t="n">
        <f aca="false">I$190</f>
        <v>0.240474587202079</v>
      </c>
      <c r="J1327" s="473" t="n">
        <f aca="false">D1327*I1327</f>
        <v>1043.02230593673</v>
      </c>
      <c r="K1327" s="473" t="e">
        <f aca="false">H1327+J1327</f>
        <v>#NAME?</v>
      </c>
      <c r="L1327" s="462" t="n">
        <v>0.2</v>
      </c>
      <c r="M1327" s="473" t="e">
        <f aca="false">K1327*L1327</f>
        <v>#NAME?</v>
      </c>
      <c r="N1327" s="473" t="e">
        <f aca="false">K1327+M1327</f>
        <v>#NAME?</v>
      </c>
      <c r="O1327" s="473" t="e">
        <f aca="false">M1327</f>
        <v>#NAME?</v>
      </c>
    </row>
    <row r="1328" customFormat="false" ht="15" hidden="false" customHeight="false" outlineLevel="0" collapsed="false">
      <c r="A1328" s="380" t="s">
        <v>2237</v>
      </c>
      <c r="B1328" s="487" t="s">
        <v>3853</v>
      </c>
      <c r="C1328" s="369" t="e">
        <f aca="false">мат.затр!g11235</f>
        <v>#NAME?</v>
      </c>
      <c r="D1328" s="369" t="n">
        <f aca="false">тарифик!J1329</f>
        <v>1151.27175368139</v>
      </c>
      <c r="E1328" s="369"/>
      <c r="F1328" s="473" t="n">
        <f aca="false">D1328*0.9*0.095+D1328*3%</f>
        <v>132.971887550201</v>
      </c>
      <c r="G1328" s="369" t="n">
        <f aca="false">амортизация!M4835</f>
        <v>297.566376617581</v>
      </c>
      <c r="H1328" s="473" t="e">
        <f aca="false">C1328+D1328+F1328+G1328</f>
        <v>#NAME?</v>
      </c>
      <c r="I1328" s="462" t="n">
        <f aca="false">I$190</f>
        <v>0.240474587202079</v>
      </c>
      <c r="J1328" s="473" t="n">
        <f aca="false">D1328*I1328</f>
        <v>276.851599723946</v>
      </c>
      <c r="K1328" s="473" t="e">
        <f aca="false">H1328+J1328</f>
        <v>#NAME?</v>
      </c>
      <c r="L1328" s="462" t="n">
        <v>0.2</v>
      </c>
      <c r="M1328" s="473" t="e">
        <f aca="false">K1328*L1328</f>
        <v>#NAME?</v>
      </c>
      <c r="N1328" s="473" t="e">
        <f aca="false">K1328+M1328</f>
        <v>#NAME?</v>
      </c>
      <c r="O1328" s="473" t="e">
        <f aca="false">M1328</f>
        <v>#NAME?</v>
      </c>
    </row>
    <row r="1329" customFormat="false" ht="30" hidden="false" customHeight="false" outlineLevel="0" collapsed="false">
      <c r="A1329" s="380" t="s">
        <v>2239</v>
      </c>
      <c r="B1329" s="532" t="s">
        <v>3854</v>
      </c>
      <c r="C1329" s="369" t="e">
        <f aca="false">мат.затр!g11245</f>
        <v>#NAME?</v>
      </c>
      <c r="D1329" s="369" t="n">
        <f aca="false">тарифик!J1330</f>
        <v>17273.5385988398</v>
      </c>
      <c r="E1329" s="369"/>
      <c r="F1329" s="473" t="n">
        <f aca="false">D1329*0.9*0.095+D1329*3%</f>
        <v>1995.093708166</v>
      </c>
      <c r="G1329" s="369" t="n">
        <f aca="false">амортизация!M4842</f>
        <v>392.057117358322</v>
      </c>
      <c r="H1329" s="473" t="e">
        <f aca="false">C1329+D1329+F1329+G1329</f>
        <v>#NAME?</v>
      </c>
      <c r="I1329" s="462" t="n">
        <f aca="false">I$190</f>
        <v>0.240474587202079</v>
      </c>
      <c r="J1329" s="473" t="n">
        <f aca="false">D1329*I1329</f>
        <v>4153.84706407518</v>
      </c>
      <c r="K1329" s="473" t="e">
        <f aca="false">H1329+J1329</f>
        <v>#NAME?</v>
      </c>
      <c r="L1329" s="462" t="n">
        <v>0.2</v>
      </c>
      <c r="M1329" s="473" t="e">
        <f aca="false">K1329*L1329</f>
        <v>#NAME?</v>
      </c>
      <c r="N1329" s="473" t="e">
        <f aca="false">K1329+M1329</f>
        <v>#NAME?</v>
      </c>
      <c r="O1329" s="473" t="e">
        <f aca="false">M1329</f>
        <v>#NAME?</v>
      </c>
    </row>
    <row r="1330" customFormat="false" ht="30" hidden="false" customHeight="false" outlineLevel="0" collapsed="false">
      <c r="A1330" s="380" t="s">
        <v>2241</v>
      </c>
      <c r="B1330" s="532" t="s">
        <v>3855</v>
      </c>
      <c r="C1330" s="369" t="e">
        <f aca="false">мат.затр!g11255</f>
        <v>#NAME?</v>
      </c>
      <c r="D1330" s="369" t="n">
        <f aca="false">тарифик!J1331</f>
        <v>17273.5385988398</v>
      </c>
      <c r="E1330" s="369"/>
      <c r="F1330" s="473" t="n">
        <f aca="false">D1330*0.9*0.095+D1330*3%</f>
        <v>1995.093708166</v>
      </c>
      <c r="G1330" s="369" t="n">
        <f aca="false">амортизация!M4849</f>
        <v>392.057117358322</v>
      </c>
      <c r="H1330" s="473" t="e">
        <f aca="false">C1330+D1330+F1330+G1330</f>
        <v>#NAME?</v>
      </c>
      <c r="I1330" s="462" t="n">
        <f aca="false">I$190</f>
        <v>0.240474587202079</v>
      </c>
      <c r="J1330" s="473" t="n">
        <f aca="false">D1330*I1330</f>
        <v>4153.84706407518</v>
      </c>
      <c r="K1330" s="473" t="e">
        <f aca="false">H1330+J1330</f>
        <v>#NAME?</v>
      </c>
      <c r="L1330" s="462" t="n">
        <v>0.2</v>
      </c>
      <c r="M1330" s="473" t="e">
        <f aca="false">K1330*L1330</f>
        <v>#NAME?</v>
      </c>
      <c r="N1330" s="473" t="e">
        <f aca="false">K1330+M1330</f>
        <v>#NAME?</v>
      </c>
      <c r="O1330" s="473" t="e">
        <f aca="false">M1330</f>
        <v>#NAME?</v>
      </c>
    </row>
    <row r="1331" s="122" customFormat="true" ht="30" hidden="false" customHeight="false" outlineLevel="0" collapsed="false">
      <c r="A1331" s="380" t="s">
        <v>2243</v>
      </c>
      <c r="B1331" s="382" t="s">
        <v>3856</v>
      </c>
      <c r="C1331" s="369" t="e">
        <f aca="false">мат.затр!g11260</f>
        <v>#NAME?</v>
      </c>
      <c r="D1331" s="369" t="n">
        <f aca="false">тарифик!J1332</f>
        <v>1614.79250334672</v>
      </c>
      <c r="E1331" s="369"/>
      <c r="F1331" s="473" t="n">
        <f aca="false">D1331*0.9*0.095+D1331*3%</f>
        <v>186.508534136546</v>
      </c>
      <c r="G1331" s="369" t="n">
        <f aca="false">амортизация!M4858</f>
        <v>334.59089134315</v>
      </c>
      <c r="H1331" s="473" t="e">
        <f aca="false">C1331+D1331+F1331+G1331</f>
        <v>#NAME?</v>
      </c>
      <c r="I1331" s="462" t="n">
        <f aca="false">I$179</f>
        <v>0.240474587202079</v>
      </c>
      <c r="J1331" s="473" t="n">
        <f aca="false">D1331*I1331</f>
        <v>388.316560659314</v>
      </c>
      <c r="K1331" s="473" t="e">
        <f aca="false">H1331+J1331</f>
        <v>#NAME?</v>
      </c>
      <c r="L1331" s="462" t="n">
        <v>0.2</v>
      </c>
      <c r="M1331" s="473" t="e">
        <f aca="false">K1331*L1331</f>
        <v>#NAME?</v>
      </c>
      <c r="N1331" s="473" t="e">
        <f aca="false">K1331+M1331</f>
        <v>#NAME?</v>
      </c>
      <c r="O1331" s="473" t="e">
        <f aca="false">M1331</f>
        <v>#NAME?</v>
      </c>
    </row>
    <row r="1332" s="122" customFormat="true" ht="30" hidden="false" customHeight="false" outlineLevel="0" collapsed="false">
      <c r="A1332" s="380" t="s">
        <v>2245</v>
      </c>
      <c r="B1332" s="383" t="s">
        <v>3857</v>
      </c>
      <c r="C1332" s="369" t="e">
        <f aca="false">мат.затр!g11263</f>
        <v>#NAME?</v>
      </c>
      <c r="D1332" s="369" t="n">
        <f aca="false">тарифик!J1333</f>
        <v>848.393574297189</v>
      </c>
      <c r="E1332" s="369"/>
      <c r="F1332" s="473" t="n">
        <f aca="false">D1332*0.9*0.095+D1332*3%</f>
        <v>97.9894578313253</v>
      </c>
      <c r="G1332" s="369" t="n">
        <f aca="false">амортизация!M4866</f>
        <v>122.120600922207</v>
      </c>
      <c r="H1332" s="473" t="e">
        <f aca="false">C1332+D1332+F1332+G1332</f>
        <v>#NAME?</v>
      </c>
      <c r="I1332" s="462" t="n">
        <f aca="false">I$179</f>
        <v>0.240474587202079</v>
      </c>
      <c r="J1332" s="473" t="n">
        <f aca="false">D1332*I1332</f>
        <v>204.017094564013</v>
      </c>
      <c r="K1332" s="473" t="e">
        <f aca="false">H1332+J1332</f>
        <v>#NAME?</v>
      </c>
      <c r="L1332" s="462" t="n">
        <v>0.2</v>
      </c>
      <c r="M1332" s="473" t="e">
        <f aca="false">K1332*L1332</f>
        <v>#NAME?</v>
      </c>
      <c r="N1332" s="473" t="e">
        <f aca="false">K1332+M1332</f>
        <v>#NAME?</v>
      </c>
      <c r="O1332" s="473" t="e">
        <f aca="false">M1332</f>
        <v>#NAME?</v>
      </c>
    </row>
    <row r="1333" s="122" customFormat="true" ht="30" hidden="false" customHeight="false" outlineLevel="0" collapsed="false">
      <c r="A1333" s="380" t="s">
        <v>2247</v>
      </c>
      <c r="B1333" s="384" t="s">
        <v>3858</v>
      </c>
      <c r="C1333" s="369" t="e">
        <f aca="false">мат.затр!g11266</f>
        <v>#NAME?</v>
      </c>
      <c r="D1333" s="369" t="n">
        <f aca="false">тарифик!J1334</f>
        <v>848.393574297189</v>
      </c>
      <c r="E1333" s="369"/>
      <c r="F1333" s="473" t="n">
        <f aca="false">D1333*0.9*0.095+D1333*3%</f>
        <v>97.9894578313253</v>
      </c>
      <c r="G1333" s="369" t="n">
        <f aca="false">амортизация!M4874</f>
        <v>122.120600922207</v>
      </c>
      <c r="H1333" s="473" t="e">
        <f aca="false">C1333+D1333+F1333+G1333</f>
        <v>#NAME?</v>
      </c>
      <c r="I1333" s="462" t="n">
        <f aca="false">I$179</f>
        <v>0.240474587202079</v>
      </c>
      <c r="J1333" s="473" t="n">
        <f aca="false">D1333*I1333</f>
        <v>204.017094564013</v>
      </c>
      <c r="K1333" s="473" t="e">
        <f aca="false">H1333+J1333</f>
        <v>#NAME?</v>
      </c>
      <c r="L1333" s="462" t="n">
        <v>0.2</v>
      </c>
      <c r="M1333" s="473" t="e">
        <f aca="false">K1333*L1333</f>
        <v>#NAME?</v>
      </c>
      <c r="N1333" s="473" t="e">
        <f aca="false">K1333+M1333</f>
        <v>#NAME?</v>
      </c>
      <c r="O1333" s="473" t="e">
        <f aca="false">M1333</f>
        <v>#NAME?</v>
      </c>
    </row>
    <row r="1334" s="122" customFormat="true" ht="15" hidden="false" customHeight="false" outlineLevel="0" collapsed="false">
      <c r="A1334" s="380" t="s">
        <v>2249</v>
      </c>
      <c r="B1334" s="328" t="s">
        <v>3859</v>
      </c>
      <c r="C1334" s="369" t="e">
        <f aca="false">мат.затр!g11276</f>
        <v>#NAME?</v>
      </c>
      <c r="D1334" s="369" t="n">
        <f aca="false">тарифик!J1335</f>
        <v>2064.92637215529</v>
      </c>
      <c r="E1334" s="369"/>
      <c r="F1334" s="473" t="n">
        <f aca="false">D1334*0.9*0.095+D1334*3%</f>
        <v>238.498995983936</v>
      </c>
      <c r="G1334" s="369" t="n">
        <f aca="false">амортизация!M4881</f>
        <v>392.057117358322</v>
      </c>
      <c r="H1334" s="473" t="e">
        <f aca="false">C1334+D1334+F1334+G1334</f>
        <v>#NAME?</v>
      </c>
      <c r="I1334" s="462" t="n">
        <f aca="false">I$179</f>
        <v>0.240474587202079</v>
      </c>
      <c r="J1334" s="473" t="n">
        <f aca="false">D1334*I1334</f>
        <v>496.562316946729</v>
      </c>
      <c r="K1334" s="473" t="e">
        <f aca="false">H1334+J1334</f>
        <v>#NAME?</v>
      </c>
      <c r="L1334" s="462" t="n">
        <v>0.2</v>
      </c>
      <c r="M1334" s="473" t="e">
        <f aca="false">K1334*L1334</f>
        <v>#NAME?</v>
      </c>
      <c r="N1334" s="473" t="e">
        <f aca="false">K1334+M1334</f>
        <v>#NAME?</v>
      </c>
      <c r="O1334" s="473" t="e">
        <f aca="false">M1334</f>
        <v>#NAME?</v>
      </c>
    </row>
    <row r="1335" s="122" customFormat="true" ht="15" hidden="false" customHeight="false" outlineLevel="0" collapsed="false">
      <c r="A1335" s="380" t="s">
        <v>2251</v>
      </c>
      <c r="B1335" s="328" t="s">
        <v>3860</v>
      </c>
      <c r="C1335" s="369"/>
      <c r="D1335" s="369" t="n">
        <v>0</v>
      </c>
      <c r="E1335" s="369" t="n">
        <v>0</v>
      </c>
      <c r="F1335" s="369" t="n">
        <v>0</v>
      </c>
      <c r="G1335" s="369" t="n">
        <v>0</v>
      </c>
      <c r="H1335" s="369" t="n">
        <v>0</v>
      </c>
      <c r="I1335" s="369" t="n">
        <v>0</v>
      </c>
      <c r="J1335" s="369" t="n">
        <v>0</v>
      </c>
      <c r="K1335" s="369" t="n">
        <v>0</v>
      </c>
      <c r="L1335" s="369" t="n">
        <v>0</v>
      </c>
      <c r="M1335" s="369" t="n">
        <v>0</v>
      </c>
      <c r="N1335" s="369" t="n">
        <v>0</v>
      </c>
      <c r="O1335" s="369" t="n">
        <v>0</v>
      </c>
    </row>
    <row r="1336" s="122" customFormat="true" ht="15" hidden="false" customHeight="false" outlineLevel="0" collapsed="false">
      <c r="A1336" s="380" t="s">
        <v>2253</v>
      </c>
      <c r="B1336" s="328" t="s">
        <v>3861</v>
      </c>
      <c r="C1336" s="369" t="n">
        <v>0</v>
      </c>
      <c r="D1336" s="369" t="n">
        <v>0</v>
      </c>
      <c r="E1336" s="369" t="n">
        <v>0</v>
      </c>
      <c r="F1336" s="369" t="n">
        <v>0</v>
      </c>
      <c r="G1336" s="369" t="n">
        <v>0</v>
      </c>
      <c r="H1336" s="369" t="n">
        <v>0</v>
      </c>
      <c r="I1336" s="369" t="n">
        <v>0</v>
      </c>
      <c r="J1336" s="369" t="n">
        <v>0</v>
      </c>
      <c r="K1336" s="369" t="n">
        <v>0</v>
      </c>
      <c r="L1336" s="369" t="n">
        <v>0</v>
      </c>
      <c r="M1336" s="369" t="n">
        <v>0</v>
      </c>
      <c r="N1336" s="369" t="n">
        <v>0</v>
      </c>
      <c r="O1336" s="369" t="n">
        <v>0</v>
      </c>
    </row>
    <row r="1337" s="122" customFormat="true" ht="15" hidden="false" customHeight="false" outlineLevel="0" collapsed="false">
      <c r="A1337" s="380" t="s">
        <v>2255</v>
      </c>
      <c r="B1337" s="328" t="s">
        <v>3862</v>
      </c>
      <c r="C1337" s="369" t="n">
        <v>0</v>
      </c>
      <c r="D1337" s="369" t="n">
        <v>0</v>
      </c>
      <c r="E1337" s="369" t="n">
        <v>0</v>
      </c>
      <c r="F1337" s="369" t="n">
        <v>0</v>
      </c>
      <c r="G1337" s="369" t="n">
        <v>0</v>
      </c>
      <c r="H1337" s="369" t="n">
        <v>0</v>
      </c>
      <c r="I1337" s="369" t="n">
        <v>0</v>
      </c>
      <c r="J1337" s="369" t="n">
        <v>0</v>
      </c>
      <c r="K1337" s="369" t="n">
        <v>0</v>
      </c>
      <c r="L1337" s="369" t="n">
        <v>0</v>
      </c>
      <c r="M1337" s="369" t="n">
        <v>0</v>
      </c>
      <c r="N1337" s="369" t="n">
        <v>0</v>
      </c>
      <c r="O1337" s="369" t="n">
        <v>0</v>
      </c>
    </row>
    <row r="1338" s="122" customFormat="true" ht="15" hidden="false" customHeight="false" outlineLevel="0" collapsed="false">
      <c r="A1338" s="380" t="s">
        <v>2257</v>
      </c>
      <c r="B1338" s="328" t="s">
        <v>3863</v>
      </c>
      <c r="C1338" s="369" t="n">
        <v>0</v>
      </c>
      <c r="D1338" s="369" t="n">
        <v>0</v>
      </c>
      <c r="E1338" s="369" t="n">
        <v>0</v>
      </c>
      <c r="F1338" s="369" t="n">
        <v>0</v>
      </c>
      <c r="G1338" s="369" t="n">
        <v>0</v>
      </c>
      <c r="H1338" s="369" t="n">
        <v>0</v>
      </c>
      <c r="I1338" s="369" t="n">
        <v>0</v>
      </c>
      <c r="J1338" s="369" t="n">
        <v>0</v>
      </c>
      <c r="K1338" s="369" t="n">
        <v>0</v>
      </c>
      <c r="L1338" s="369" t="n">
        <v>0</v>
      </c>
      <c r="M1338" s="369" t="n">
        <v>0</v>
      </c>
      <c r="N1338" s="369" t="n">
        <v>0</v>
      </c>
      <c r="O1338" s="369" t="n">
        <v>0</v>
      </c>
    </row>
    <row r="1339" customFormat="false" ht="28.5" hidden="false" customHeight="false" outlineLevel="0" collapsed="false">
      <c r="A1339" s="375" t="s">
        <v>2259</v>
      </c>
      <c r="B1339" s="385" t="s">
        <v>4098</v>
      </c>
      <c r="C1339" s="534"/>
      <c r="D1339" s="534"/>
      <c r="E1339" s="534"/>
      <c r="F1339" s="534"/>
      <c r="G1339" s="534"/>
      <c r="H1339" s="534"/>
      <c r="I1339" s="535"/>
      <c r="J1339" s="534"/>
      <c r="K1339" s="534"/>
      <c r="L1339" s="536"/>
      <c r="M1339" s="534"/>
      <c r="N1339" s="537"/>
      <c r="O1339" s="534"/>
    </row>
    <row r="1340" customFormat="false" ht="15" hidden="false" customHeight="false" outlineLevel="0" collapsed="false">
      <c r="A1340" s="350" t="s">
        <v>2261</v>
      </c>
      <c r="B1340" s="467" t="s">
        <v>3865</v>
      </c>
      <c r="C1340" s="538"/>
      <c r="D1340" s="538"/>
      <c r="E1340" s="538"/>
      <c r="F1340" s="538"/>
      <c r="G1340" s="538"/>
      <c r="H1340" s="538"/>
      <c r="I1340" s="539"/>
      <c r="J1340" s="538"/>
      <c r="K1340" s="538"/>
      <c r="L1340" s="540"/>
      <c r="M1340" s="538"/>
      <c r="N1340" s="541"/>
      <c r="O1340" s="538"/>
    </row>
    <row r="1341" customFormat="false" ht="15" hidden="false" customHeight="false" outlineLevel="0" collapsed="false">
      <c r="A1341" s="327" t="s">
        <v>2263</v>
      </c>
      <c r="B1341" s="433" t="s">
        <v>3866</v>
      </c>
      <c r="C1341" s="542" t="e">
        <f aca="false">мат.затр!g11302</f>
        <v>#NAME?</v>
      </c>
      <c r="D1341" s="542" t="n">
        <f aca="false">тарифик!J1342</f>
        <v>536.590807675145</v>
      </c>
      <c r="E1341" s="542"/>
      <c r="F1341" s="473" t="n">
        <f aca="false">D1341*0.9*0.095+D1341*3%</f>
        <v>61.9762382864793</v>
      </c>
      <c r="G1341" s="542" t="n">
        <f aca="false">амортизация!M4889</f>
        <v>431.055072140414</v>
      </c>
      <c r="H1341" s="473" t="e">
        <f aca="false">C1341+D1341+F1341+G1341</f>
        <v>#NAME?</v>
      </c>
      <c r="I1341" s="462" t="n">
        <f aca="false">I$190</f>
        <v>0.240474587202079</v>
      </c>
      <c r="J1341" s="473" t="n">
        <f aca="false">D1341*I1341</f>
        <v>129.036452972111</v>
      </c>
      <c r="K1341" s="473" t="e">
        <f aca="false">H1341+J1341</f>
        <v>#NAME?</v>
      </c>
      <c r="L1341" s="462" t="n">
        <v>0.2</v>
      </c>
      <c r="M1341" s="473" t="e">
        <f aca="false">K1341*L1341</f>
        <v>#NAME?</v>
      </c>
      <c r="N1341" s="473" t="e">
        <f aca="false">K1341+M1341</f>
        <v>#NAME?</v>
      </c>
      <c r="O1341" s="473" t="e">
        <f aca="false">M1341</f>
        <v>#NAME?</v>
      </c>
    </row>
    <row r="1342" customFormat="false" ht="15" hidden="false" customHeight="false" outlineLevel="0" collapsed="false">
      <c r="A1342" s="327" t="s">
        <v>2265</v>
      </c>
      <c r="B1342" s="433" t="s">
        <v>3867</v>
      </c>
      <c r="C1342" s="542" t="e">
        <f aca="false">мат.затр!g11338</f>
        <v>#NAME?</v>
      </c>
      <c r="D1342" s="542" t="n">
        <f aca="false">тарифик!J1343</f>
        <v>4221.32976349844</v>
      </c>
      <c r="E1342" s="542"/>
      <c r="F1342" s="473" t="n">
        <f aca="false">D1342*0.9*0.095+D1342*3%</f>
        <v>487.56358768407</v>
      </c>
      <c r="G1342" s="542" t="n">
        <f aca="false">амортизация!M4895</f>
        <v>652.805704298676</v>
      </c>
      <c r="H1342" s="473" t="e">
        <f aca="false">C1342+D1342+F1342+G1342</f>
        <v>#NAME?</v>
      </c>
      <c r="I1342" s="462" t="n">
        <f aca="false">I$190</f>
        <v>0.240474587202079</v>
      </c>
      <c r="J1342" s="473" t="n">
        <f aca="false">D1342*I1342</f>
        <v>1015.12253232114</v>
      </c>
      <c r="K1342" s="473" t="e">
        <f aca="false">H1342+J1342</f>
        <v>#NAME?</v>
      </c>
      <c r="L1342" s="462" t="n">
        <v>0.2</v>
      </c>
      <c r="M1342" s="473" t="e">
        <f aca="false">K1342*L1342</f>
        <v>#NAME?</v>
      </c>
      <c r="N1342" s="473" t="e">
        <f aca="false">K1342+M1342</f>
        <v>#NAME?</v>
      </c>
      <c r="O1342" s="473" t="e">
        <f aca="false">M1342</f>
        <v>#NAME?</v>
      </c>
    </row>
    <row r="1343" customFormat="false" ht="15" hidden="false" customHeight="false" outlineLevel="0" collapsed="false">
      <c r="A1343" s="327" t="s">
        <v>2267</v>
      </c>
      <c r="B1343" s="433" t="s">
        <v>3868</v>
      </c>
      <c r="C1343" s="542" t="e">
        <f aca="false">мат.затр!g11352</f>
        <v>#NAME?</v>
      </c>
      <c r="D1343" s="542" t="n">
        <f aca="false">тарифик!J1344</f>
        <v>247.657295850067</v>
      </c>
      <c r="E1343" s="542"/>
      <c r="F1343" s="473" t="n">
        <f aca="false">D1343*0.9*0.095+D1343*3%</f>
        <v>28.6044176706827</v>
      </c>
      <c r="G1343" s="542" t="n">
        <f aca="false">амортизация!M4902</f>
        <v>517.050237988993</v>
      </c>
      <c r="H1343" s="473" t="e">
        <f aca="false">C1343+D1343+F1343+G1343</f>
        <v>#NAME?</v>
      </c>
      <c r="I1343" s="462" t="n">
        <f aca="false">I$190</f>
        <v>0.240474587202079</v>
      </c>
      <c r="J1343" s="473" t="n">
        <f aca="false">D1343*I1343</f>
        <v>59.555285987128</v>
      </c>
      <c r="K1343" s="473" t="e">
        <f aca="false">H1343+J1343</f>
        <v>#NAME?</v>
      </c>
      <c r="L1343" s="462" t="n">
        <v>0.2</v>
      </c>
      <c r="M1343" s="473" t="e">
        <f aca="false">K1343*L1343</f>
        <v>#NAME?</v>
      </c>
      <c r="N1343" s="473" t="e">
        <f aca="false">K1343+M1343</f>
        <v>#NAME?</v>
      </c>
      <c r="O1343" s="473" t="e">
        <f aca="false">M1343</f>
        <v>#NAME?</v>
      </c>
    </row>
    <row r="1344" customFormat="false" ht="15" hidden="false" customHeight="false" outlineLevel="0" collapsed="false">
      <c r="A1344" s="327" t="s">
        <v>2269</v>
      </c>
      <c r="B1344" s="433" t="s">
        <v>3869</v>
      </c>
      <c r="C1344" s="542" t="e">
        <f aca="false">мат.затр!g11358</f>
        <v>#NAME?</v>
      </c>
      <c r="D1344" s="542" t="n">
        <f aca="false">тарифик!J1345</f>
        <v>204.149933065596</v>
      </c>
      <c r="E1344" s="542"/>
      <c r="F1344" s="473" t="n">
        <f aca="false">D1344*0.9*0.095+D1344*3%</f>
        <v>23.5793172690763</v>
      </c>
      <c r="G1344" s="542" t="n">
        <f aca="false">амортизация!M4908</f>
        <v>379.758255243195</v>
      </c>
      <c r="H1344" s="473" t="e">
        <f aca="false">C1344+D1344+F1344+G1344</f>
        <v>#NAME?</v>
      </c>
      <c r="I1344" s="462" t="n">
        <f aca="false">I$190</f>
        <v>0.240474587202079</v>
      </c>
      <c r="J1344" s="473" t="n">
        <f aca="false">D1344*I1344</f>
        <v>49.0928708812812</v>
      </c>
      <c r="K1344" s="473" t="e">
        <f aca="false">H1344+J1344</f>
        <v>#NAME?</v>
      </c>
      <c r="L1344" s="462" t="n">
        <v>0.2</v>
      </c>
      <c r="M1344" s="473" t="e">
        <f aca="false">K1344*L1344</f>
        <v>#NAME?</v>
      </c>
      <c r="N1344" s="473" t="e">
        <f aca="false">K1344+M1344</f>
        <v>#NAME?</v>
      </c>
      <c r="O1344" s="473" t="e">
        <f aca="false">M1344</f>
        <v>#NAME?</v>
      </c>
    </row>
    <row r="1345" customFormat="false" ht="30" hidden="false" customHeight="false" outlineLevel="0" collapsed="false">
      <c r="A1345" s="327" t="s">
        <v>2271</v>
      </c>
      <c r="B1345" s="433" t="s">
        <v>3870</v>
      </c>
      <c r="C1345" s="542" t="e">
        <f aca="false">мат.затр!g11367</f>
        <v>#NAME?</v>
      </c>
      <c r="D1345" s="542" t="n">
        <f aca="false">тарифик!J1346</f>
        <v>498.661311914324</v>
      </c>
      <c r="E1345" s="542"/>
      <c r="F1345" s="473" t="n">
        <f aca="false">D1345*0.9*0.095+D1345*3%</f>
        <v>57.5953815261044</v>
      </c>
      <c r="G1345" s="542" t="n">
        <f aca="false">амортизация!M4916</f>
        <v>671.852920943031</v>
      </c>
      <c r="H1345" s="473" t="e">
        <f aca="false">C1345+D1345+F1345+G1345</f>
        <v>#NAME?</v>
      </c>
      <c r="I1345" s="462" t="n">
        <f aca="false">I$190</f>
        <v>0.240474587202079</v>
      </c>
      <c r="J1345" s="473" t="n">
        <f aca="false">D1345*I1345</f>
        <v>119.915373136244</v>
      </c>
      <c r="K1345" s="473" t="e">
        <f aca="false">H1345+J1345</f>
        <v>#NAME?</v>
      </c>
      <c r="L1345" s="462" t="n">
        <v>0.2</v>
      </c>
      <c r="M1345" s="473" t="e">
        <f aca="false">K1345*L1345</f>
        <v>#NAME?</v>
      </c>
      <c r="N1345" s="473" t="e">
        <f aca="false">K1345+M1345</f>
        <v>#NAME?</v>
      </c>
      <c r="O1345" s="473" t="e">
        <f aca="false">M1345</f>
        <v>#NAME?</v>
      </c>
    </row>
    <row r="1346" customFormat="false" ht="15" hidden="false" customHeight="false" outlineLevel="0" collapsed="false">
      <c r="A1346" s="388" t="s">
        <v>2273</v>
      </c>
      <c r="B1346" s="543" t="s">
        <v>3871</v>
      </c>
      <c r="C1346" s="538"/>
      <c r="D1346" s="538"/>
      <c r="E1346" s="542"/>
      <c r="F1346" s="538"/>
      <c r="G1346" s="538"/>
      <c r="H1346" s="474"/>
      <c r="I1346" s="475"/>
      <c r="J1346" s="474"/>
      <c r="K1346" s="474"/>
      <c r="L1346" s="475"/>
      <c r="M1346" s="474"/>
      <c r="N1346" s="474"/>
      <c r="O1346" s="474"/>
    </row>
    <row r="1347" customFormat="false" ht="30" hidden="false" customHeight="false" outlineLevel="0" collapsed="false">
      <c r="A1347" s="327" t="s">
        <v>2275</v>
      </c>
      <c r="B1347" s="433" t="s">
        <v>3872</v>
      </c>
      <c r="C1347" s="542" t="e">
        <f aca="false">мат.затр!g11393</f>
        <v>#NAME?</v>
      </c>
      <c r="D1347" s="542" t="n">
        <f aca="false">тарифик!J1348</f>
        <v>291.164658634538</v>
      </c>
      <c r="E1347" s="542"/>
      <c r="F1347" s="473" t="n">
        <f aca="false">D1347*0.9*0.095+D1347*3%</f>
        <v>33.6295180722892</v>
      </c>
      <c r="G1347" s="542" t="n">
        <f aca="false">амортизация!M4926</f>
        <v>803.115313104269</v>
      </c>
      <c r="H1347" s="473" t="e">
        <f aca="false">C1347+D1347+F1347+G1347</f>
        <v>#NAME?</v>
      </c>
      <c r="I1347" s="462" t="n">
        <f aca="false">I$190</f>
        <v>0.240474587202079</v>
      </c>
      <c r="J1347" s="473" t="n">
        <f aca="false">D1347*I1347</f>
        <v>70.0177010929748</v>
      </c>
      <c r="K1347" s="473" t="e">
        <f aca="false">H1347+J1347</f>
        <v>#NAME?</v>
      </c>
      <c r="L1347" s="462" t="n">
        <v>0.2</v>
      </c>
      <c r="M1347" s="473" t="e">
        <f aca="false">K1347*L1347</f>
        <v>#NAME?</v>
      </c>
      <c r="N1347" s="473" t="e">
        <f aca="false">K1347+M1347</f>
        <v>#NAME?</v>
      </c>
      <c r="O1347" s="473" t="e">
        <f aca="false">M1347</f>
        <v>#NAME?</v>
      </c>
    </row>
    <row r="1348" customFormat="false" ht="30" hidden="false" customHeight="false" outlineLevel="0" collapsed="false">
      <c r="A1348" s="327" t="s">
        <v>2277</v>
      </c>
      <c r="B1348" s="433" t="s">
        <v>3873</v>
      </c>
      <c r="C1348" s="542" t="e">
        <f aca="false">мат.затр!g11399</f>
        <v>#NAME?</v>
      </c>
      <c r="D1348" s="542" t="n">
        <f aca="false">тарифик!J1349</f>
        <v>271.084337349398</v>
      </c>
      <c r="E1348" s="542"/>
      <c r="F1348" s="473" t="n">
        <f aca="false">D1348*0.9*0.095+D1348*3%</f>
        <v>31.3102409638554</v>
      </c>
      <c r="G1348" s="542" t="n">
        <f aca="false">амортизация!M4934</f>
        <v>222.816497471367</v>
      </c>
      <c r="H1348" s="473" t="e">
        <f aca="false">C1348+D1348+F1348+G1348</f>
        <v>#NAME?</v>
      </c>
      <c r="I1348" s="462" t="n">
        <f aca="false">I$190</f>
        <v>0.240474587202079</v>
      </c>
      <c r="J1348" s="473" t="n">
        <f aca="false">D1348*I1348</f>
        <v>65.1888941210455</v>
      </c>
      <c r="K1348" s="473" t="e">
        <f aca="false">H1348+J1348</f>
        <v>#NAME?</v>
      </c>
      <c r="L1348" s="462" t="n">
        <v>0.2</v>
      </c>
      <c r="M1348" s="473" t="e">
        <f aca="false">K1348*L1348</f>
        <v>#NAME?</v>
      </c>
      <c r="N1348" s="473" t="e">
        <f aca="false">K1348+M1348</f>
        <v>#NAME?</v>
      </c>
      <c r="O1348" s="473" t="e">
        <f aca="false">M1348</f>
        <v>#NAME?</v>
      </c>
    </row>
    <row r="1349" customFormat="false" ht="15" hidden="false" customHeight="false" outlineLevel="0" collapsed="false">
      <c r="A1349" s="327" t="s">
        <v>2279</v>
      </c>
      <c r="B1349" s="433" t="s">
        <v>3874</v>
      </c>
      <c r="C1349" s="542" t="e">
        <f aca="false">мат.затр!g11424</f>
        <v>#NAME?</v>
      </c>
      <c r="D1349" s="542" t="n">
        <f aca="false">тарифик!J1350</f>
        <v>819.946452476573</v>
      </c>
      <c r="E1349" s="542"/>
      <c r="F1349" s="473" t="n">
        <f aca="false">D1349*0.9*0.095+D1349*3%</f>
        <v>94.7038152610442</v>
      </c>
      <c r="G1349" s="542" t="n">
        <f aca="false">амортизация!M4942</f>
        <v>386.088316227874</v>
      </c>
      <c r="H1349" s="473" t="e">
        <f aca="false">C1349+D1349+F1349+G1349</f>
        <v>#NAME?</v>
      </c>
      <c r="I1349" s="462" t="n">
        <f aca="false">I$190</f>
        <v>0.240474587202079</v>
      </c>
      <c r="J1349" s="473" t="n">
        <f aca="false">D1349*I1349</f>
        <v>197.176284687113</v>
      </c>
      <c r="K1349" s="473" t="e">
        <f aca="false">H1349+J1349</f>
        <v>#NAME?</v>
      </c>
      <c r="L1349" s="462" t="n">
        <v>0.2</v>
      </c>
      <c r="M1349" s="473" t="e">
        <f aca="false">K1349*L1349</f>
        <v>#NAME?</v>
      </c>
      <c r="N1349" s="473" t="e">
        <f aca="false">K1349+M1349</f>
        <v>#NAME?</v>
      </c>
      <c r="O1349" s="473" t="e">
        <f aca="false">M1349</f>
        <v>#NAME?</v>
      </c>
    </row>
    <row r="1350" customFormat="false" ht="30" hidden="false" customHeight="false" outlineLevel="0" collapsed="false">
      <c r="A1350" s="327" t="s">
        <v>2281</v>
      </c>
      <c r="B1350" s="433" t="s">
        <v>3875</v>
      </c>
      <c r="C1350" s="542" t="e">
        <f aca="false">мат.затр!g11434</f>
        <v>#NAME?</v>
      </c>
      <c r="D1350" s="542" t="n">
        <f aca="false">тарифик!J1351</f>
        <v>502.008032128514</v>
      </c>
      <c r="E1350" s="542"/>
      <c r="F1350" s="473" t="n">
        <f aca="false">D1350*0.9*0.095+D1350*3%</f>
        <v>57.9819277108434</v>
      </c>
      <c r="G1350" s="542" t="n">
        <f aca="false">амортизация!M4950</f>
        <v>493.547569909267</v>
      </c>
      <c r="H1350" s="473" t="e">
        <f aca="false">C1350+D1350+F1350+G1350</f>
        <v>#NAME?</v>
      </c>
      <c r="I1350" s="462" t="n">
        <f aca="false">I$190</f>
        <v>0.240474587202079</v>
      </c>
      <c r="J1350" s="473" t="n">
        <f aca="false">D1350*I1350</f>
        <v>120.720174298232</v>
      </c>
      <c r="K1350" s="473" t="e">
        <f aca="false">H1350+J1350</f>
        <v>#NAME?</v>
      </c>
      <c r="L1350" s="462" t="n">
        <v>0.2</v>
      </c>
      <c r="M1350" s="473" t="e">
        <f aca="false">K1350*L1350</f>
        <v>#NAME?</v>
      </c>
      <c r="N1350" s="473" t="e">
        <f aca="false">K1350+M1350</f>
        <v>#NAME?</v>
      </c>
      <c r="O1350" s="473" t="e">
        <f aca="false">M1350</f>
        <v>#NAME?</v>
      </c>
    </row>
    <row r="1351" customFormat="false" ht="15" hidden="false" customHeight="false" outlineLevel="0" collapsed="false">
      <c r="A1351" s="388" t="s">
        <v>2283</v>
      </c>
      <c r="B1351" s="543" t="s">
        <v>2284</v>
      </c>
      <c r="C1351" s="538"/>
      <c r="D1351" s="538"/>
      <c r="E1351" s="542"/>
      <c r="F1351" s="538"/>
      <c r="G1351" s="538"/>
      <c r="H1351" s="474"/>
      <c r="I1351" s="475"/>
      <c r="J1351" s="474"/>
      <c r="K1351" s="474"/>
      <c r="L1351" s="475"/>
      <c r="M1351" s="474"/>
      <c r="N1351" s="474"/>
      <c r="O1351" s="474"/>
    </row>
    <row r="1352" customFormat="false" ht="15" hidden="false" customHeight="false" outlineLevel="0" collapsed="false">
      <c r="A1352" s="327" t="s">
        <v>2285</v>
      </c>
      <c r="B1352" s="433" t="s">
        <v>3876</v>
      </c>
      <c r="C1352" s="542" t="e">
        <f aca="false">мат.затр!g11459</f>
        <v>#NAME?</v>
      </c>
      <c r="D1352" s="542" t="n">
        <f aca="false">тарифик!J1353</f>
        <v>642.570281124498</v>
      </c>
      <c r="E1352" s="542"/>
      <c r="F1352" s="473" t="n">
        <f aca="false">D1352*0.9*0.095+D1352*3%</f>
        <v>74.2168674698795</v>
      </c>
      <c r="G1352" s="542" t="n">
        <f aca="false">амортизация!M4960</f>
        <v>331.946973077495</v>
      </c>
      <c r="H1352" s="473" t="e">
        <f aca="false">C1352+D1352+F1352+G1352</f>
        <v>#NAME?</v>
      </c>
      <c r="I1352" s="462" t="n">
        <f aca="false">I$190</f>
        <v>0.240474587202079</v>
      </c>
      <c r="J1352" s="473" t="n">
        <f aca="false">D1352*I1352</f>
        <v>154.521823101737</v>
      </c>
      <c r="K1352" s="473" t="e">
        <f aca="false">H1352+J1352</f>
        <v>#NAME?</v>
      </c>
      <c r="L1352" s="462" t="n">
        <v>0.2</v>
      </c>
      <c r="M1352" s="473" t="e">
        <f aca="false">K1352*L1352</f>
        <v>#NAME?</v>
      </c>
      <c r="N1352" s="473" t="e">
        <f aca="false">K1352+M1352</f>
        <v>#NAME?</v>
      </c>
      <c r="O1352" s="473" t="e">
        <f aca="false">M1352</f>
        <v>#NAME?</v>
      </c>
    </row>
    <row r="1353" customFormat="false" ht="30" hidden="false" customHeight="false" outlineLevel="0" collapsed="false">
      <c r="A1353" s="327" t="s">
        <v>2287</v>
      </c>
      <c r="B1353" s="433" t="s">
        <v>3877</v>
      </c>
      <c r="C1353" s="542" t="e">
        <f aca="false">мат.затр!g11468</f>
        <v>#NAME?</v>
      </c>
      <c r="D1353" s="542" t="n">
        <f aca="false">тарифик!J1354</f>
        <v>1282.90941543954</v>
      </c>
      <c r="E1353" s="542"/>
      <c r="F1353" s="473" t="n">
        <f aca="false">D1353*0.9*0.095+D1353*3%</f>
        <v>148.176037483266</v>
      </c>
      <c r="G1353" s="542" t="n">
        <f aca="false">амортизация!M4967</f>
        <v>252.083798155585</v>
      </c>
      <c r="H1353" s="473" t="e">
        <f aca="false">C1353+D1353+F1353+G1353</f>
        <v>#NAME?</v>
      </c>
      <c r="I1353" s="462" t="n">
        <f aca="false">I$190</f>
        <v>0.240474587202079</v>
      </c>
      <c r="J1353" s="473" t="n">
        <f aca="false">D1353*I1353</f>
        <v>308.507112095483</v>
      </c>
      <c r="K1353" s="473" t="e">
        <f aca="false">H1353+J1353</f>
        <v>#NAME?</v>
      </c>
      <c r="L1353" s="462" t="n">
        <v>0.2</v>
      </c>
      <c r="M1353" s="473" t="e">
        <f aca="false">K1353*L1353</f>
        <v>#NAME?</v>
      </c>
      <c r="N1353" s="473" t="e">
        <f aca="false">K1353+M1353</f>
        <v>#NAME?</v>
      </c>
      <c r="O1353" s="473" t="e">
        <f aca="false">M1353</f>
        <v>#NAME?</v>
      </c>
    </row>
    <row r="1354" customFormat="false" ht="30" hidden="false" customHeight="false" outlineLevel="0" collapsed="false">
      <c r="A1354" s="327" t="s">
        <v>2289</v>
      </c>
      <c r="B1354" s="500" t="s">
        <v>3878</v>
      </c>
      <c r="C1354" s="542" t="e">
        <f aca="false">мат.затр!g11474</f>
        <v>#NAME?</v>
      </c>
      <c r="D1354" s="542" t="n">
        <f aca="false">тарифик!J1355</f>
        <v>455.153949129853</v>
      </c>
      <c r="E1354" s="542"/>
      <c r="F1354" s="473" t="n">
        <f aca="false">D1354*0.9*0.095+D1354*3%</f>
        <v>52.570281124498</v>
      </c>
      <c r="G1354" s="542" t="n">
        <f aca="false">амортизация!M4974</f>
        <v>77.8423880708017</v>
      </c>
      <c r="H1354" s="473" t="e">
        <f aca="false">C1354+D1354+F1354+G1354</f>
        <v>#NAME?</v>
      </c>
      <c r="I1354" s="462" t="n">
        <f aca="false">I$190</f>
        <v>0.240474587202079</v>
      </c>
      <c r="J1354" s="473" t="n">
        <f aca="false">D1354*I1354</f>
        <v>109.452958030397</v>
      </c>
      <c r="K1354" s="473" t="e">
        <f aca="false">H1354+J1354</f>
        <v>#NAME?</v>
      </c>
      <c r="L1354" s="462" t="n">
        <v>0.2</v>
      </c>
      <c r="M1354" s="473" t="e">
        <f aca="false">K1354*L1354</f>
        <v>#NAME?</v>
      </c>
      <c r="N1354" s="473" t="e">
        <f aca="false">K1354+M1354</f>
        <v>#NAME?</v>
      </c>
      <c r="O1354" s="473" t="e">
        <f aca="false">M1354</f>
        <v>#NAME?</v>
      </c>
    </row>
    <row r="1355" customFormat="false" ht="30" hidden="false" customHeight="false" outlineLevel="0" collapsed="false">
      <c r="A1355" s="327" t="s">
        <v>2291</v>
      </c>
      <c r="B1355" s="500" t="s">
        <v>3879</v>
      </c>
      <c r="C1355" s="542" t="e">
        <f aca="false">мат.затр!g11482</f>
        <v>#NAME?</v>
      </c>
      <c r="D1355" s="542" t="n">
        <f aca="false">тарифик!J1356</f>
        <v>247.657295850067</v>
      </c>
      <c r="E1355" s="542"/>
      <c r="F1355" s="473" t="n">
        <f aca="false">D1355*0.9*0.095+D1355*3%</f>
        <v>28.6044176706827</v>
      </c>
      <c r="G1355" s="542" t="n">
        <f aca="false">амортизация!M4982</f>
        <v>252.083798155585</v>
      </c>
      <c r="H1355" s="473" t="e">
        <f aca="false">C1355+D1355+F1355+G1355</f>
        <v>#NAME?</v>
      </c>
      <c r="I1355" s="462" t="n">
        <f aca="false">I$190</f>
        <v>0.240474587202079</v>
      </c>
      <c r="J1355" s="473" t="n">
        <f aca="false">D1355*I1355</f>
        <v>59.555285987128</v>
      </c>
      <c r="K1355" s="473" t="e">
        <f aca="false">H1355+J1355</f>
        <v>#NAME?</v>
      </c>
      <c r="L1355" s="462" t="n">
        <v>0.2</v>
      </c>
      <c r="M1355" s="473" t="e">
        <f aca="false">K1355*L1355</f>
        <v>#NAME?</v>
      </c>
      <c r="N1355" s="473" t="e">
        <f aca="false">K1355+M1355</f>
        <v>#NAME?</v>
      </c>
      <c r="O1355" s="473" t="e">
        <f aca="false">M1355</f>
        <v>#NAME?</v>
      </c>
    </row>
    <row r="1356" customFormat="false" ht="30" hidden="false" customHeight="false" outlineLevel="0" collapsed="false">
      <c r="A1356" s="327" t="s">
        <v>2293</v>
      </c>
      <c r="B1356" s="433" t="s">
        <v>3880</v>
      </c>
      <c r="C1356" s="542" t="e">
        <f aca="false">мат.затр!g11490</f>
        <v>#NAME?</v>
      </c>
      <c r="D1356" s="542" t="n">
        <f aca="false">тарифик!J1357</f>
        <v>2811.24497991968</v>
      </c>
      <c r="E1356" s="542"/>
      <c r="F1356" s="473" t="n">
        <f aca="false">D1356*0.9*0.095+D1356*3%</f>
        <v>324.698795180723</v>
      </c>
      <c r="G1356" s="542" t="n">
        <f aca="false">амортизация!M4989</f>
        <v>252.083798155585</v>
      </c>
      <c r="H1356" s="473" t="e">
        <f aca="false">C1356+D1356+F1356+G1356</f>
        <v>#NAME?</v>
      </c>
      <c r="I1356" s="462" t="n">
        <f aca="false">I$190</f>
        <v>0.240474587202079</v>
      </c>
      <c r="J1356" s="473" t="n">
        <f aca="false">D1356*I1356</f>
        <v>676.032976070101</v>
      </c>
      <c r="K1356" s="473" t="e">
        <f aca="false">H1356+J1356</f>
        <v>#NAME?</v>
      </c>
      <c r="L1356" s="462" t="n">
        <v>0.2</v>
      </c>
      <c r="M1356" s="473" t="e">
        <f aca="false">K1356*L1356</f>
        <v>#NAME?</v>
      </c>
      <c r="N1356" s="473" t="e">
        <f aca="false">K1356+M1356</f>
        <v>#NAME?</v>
      </c>
      <c r="O1356" s="473" t="e">
        <f aca="false">M1356</f>
        <v>#NAME?</v>
      </c>
    </row>
    <row r="1357" customFormat="false" ht="30" hidden="false" customHeight="false" outlineLevel="0" collapsed="false">
      <c r="A1357" s="327" t="s">
        <v>2295</v>
      </c>
      <c r="B1357" s="433" t="s">
        <v>3881</v>
      </c>
      <c r="C1357" s="542" t="e">
        <f aca="false">мат.затр!g11498</f>
        <v>#NAME?</v>
      </c>
      <c r="D1357" s="542" t="n">
        <f aca="false">тарифик!J1358</f>
        <v>247.657295850067</v>
      </c>
      <c r="E1357" s="542"/>
      <c r="F1357" s="473" t="n">
        <f aca="false">D1357*0.9*0.095+D1357*3%</f>
        <v>28.6044176706827</v>
      </c>
      <c r="G1357" s="542" t="n">
        <f aca="false">амортизация!M4997</f>
        <v>424.17805481184</v>
      </c>
      <c r="H1357" s="473" t="e">
        <f aca="false">C1357+D1357+F1357+G1357</f>
        <v>#NAME?</v>
      </c>
      <c r="I1357" s="462" t="n">
        <f aca="false">I$190</f>
        <v>0.240474587202079</v>
      </c>
      <c r="J1357" s="473" t="n">
        <f aca="false">D1357*I1357</f>
        <v>59.555285987128</v>
      </c>
      <c r="K1357" s="473" t="e">
        <f aca="false">H1357+J1357</f>
        <v>#NAME?</v>
      </c>
      <c r="L1357" s="462" t="n">
        <v>0.2</v>
      </c>
      <c r="M1357" s="473" t="e">
        <f aca="false">K1357*L1357</f>
        <v>#NAME?</v>
      </c>
      <c r="N1357" s="473" t="e">
        <f aca="false">K1357+M1357</f>
        <v>#NAME?</v>
      </c>
      <c r="O1357" s="473" t="e">
        <f aca="false">M1357</f>
        <v>#NAME?</v>
      </c>
    </row>
    <row r="1358" customFormat="false" ht="15" hidden="false" customHeight="false" outlineLevel="0" collapsed="false">
      <c r="A1358" s="327" t="s">
        <v>2297</v>
      </c>
      <c r="B1358" s="433" t="s">
        <v>3882</v>
      </c>
      <c r="C1358" s="542" t="e">
        <f aca="false">мат.затр!g11507</f>
        <v>#NAME?</v>
      </c>
      <c r="D1358" s="542" t="n">
        <f aca="false">тарифик!J1359</f>
        <v>455.153949129853</v>
      </c>
      <c r="E1358" s="542"/>
      <c r="F1358" s="473" t="n">
        <f aca="false">D1358*0.9*0.095+D1358*3%</f>
        <v>52.570281124498</v>
      </c>
      <c r="G1358" s="542" t="n">
        <f aca="false">амортизация!M5003</f>
        <v>379.758255243195</v>
      </c>
      <c r="H1358" s="473" t="e">
        <f aca="false">C1358+D1358+F1358+G1358</f>
        <v>#NAME?</v>
      </c>
      <c r="I1358" s="462" t="n">
        <f aca="false">I$190</f>
        <v>0.240474587202079</v>
      </c>
      <c r="J1358" s="473" t="n">
        <f aca="false">D1358*I1358</f>
        <v>109.452958030397</v>
      </c>
      <c r="K1358" s="473" t="e">
        <f aca="false">H1358+J1358</f>
        <v>#NAME?</v>
      </c>
      <c r="L1358" s="462" t="n">
        <v>0.2</v>
      </c>
      <c r="M1358" s="473" t="e">
        <f aca="false">K1358*L1358</f>
        <v>#NAME?</v>
      </c>
      <c r="N1358" s="473" t="e">
        <f aca="false">K1358+M1358</f>
        <v>#NAME?</v>
      </c>
      <c r="O1358" s="473" t="e">
        <f aca="false">M1358</f>
        <v>#NAME?</v>
      </c>
    </row>
    <row r="1359" customFormat="false" ht="15" hidden="false" customHeight="false" outlineLevel="0" collapsed="false">
      <c r="A1359" s="327" t="s">
        <v>2299</v>
      </c>
      <c r="B1359" s="433" t="s">
        <v>3883</v>
      </c>
      <c r="C1359" s="542" t="e">
        <f aca="false">мат.затр!g11514</f>
        <v>#NAME?</v>
      </c>
      <c r="D1359" s="542" t="n">
        <f aca="false">тарифик!J1360</f>
        <v>195.783132530121</v>
      </c>
      <c r="E1359" s="542"/>
      <c r="F1359" s="473" t="n">
        <f aca="false">D1359*0.9*0.095+D1359*3%</f>
        <v>22.6129518072289</v>
      </c>
      <c r="G1359" s="542" t="n">
        <f aca="false">амортизация!M5010</f>
        <v>143.518648668749</v>
      </c>
      <c r="H1359" s="473" t="e">
        <f aca="false">C1359+D1359+F1359+G1359</f>
        <v>#NAME?</v>
      </c>
      <c r="I1359" s="462" t="n">
        <f aca="false">I$190</f>
        <v>0.240474587202079</v>
      </c>
      <c r="J1359" s="473" t="n">
        <f aca="false">D1359*I1359</f>
        <v>47.0808679763106</v>
      </c>
      <c r="K1359" s="473" t="e">
        <f aca="false">H1359+J1359</f>
        <v>#NAME?</v>
      </c>
      <c r="L1359" s="462" t="n">
        <v>0.2</v>
      </c>
      <c r="M1359" s="473" t="e">
        <f aca="false">K1359*L1359</f>
        <v>#NAME?</v>
      </c>
      <c r="N1359" s="473" t="e">
        <f aca="false">K1359+M1359</f>
        <v>#NAME?</v>
      </c>
      <c r="O1359" s="473" t="e">
        <f aca="false">M1359</f>
        <v>#NAME?</v>
      </c>
    </row>
    <row r="1360" customFormat="false" ht="15" hidden="false" customHeight="false" outlineLevel="0" collapsed="false">
      <c r="A1360" s="327" t="s">
        <v>2301</v>
      </c>
      <c r="B1360" s="328" t="s">
        <v>3884</v>
      </c>
      <c r="C1360" s="542" t="e">
        <f aca="false">мат.затр!g11522</f>
        <v>#NAME?</v>
      </c>
      <c r="D1360" s="542" t="n">
        <f aca="false">тарифик!J1361</f>
        <v>627.510040160643</v>
      </c>
      <c r="E1360" s="542"/>
      <c r="F1360" s="473" t="n">
        <f aca="false">D1360*0.9*0.095+D1360*3%</f>
        <v>72.4774096385542</v>
      </c>
      <c r="G1360" s="542" t="n">
        <f aca="false">амортизация!M5018</f>
        <v>441.431699018295</v>
      </c>
      <c r="H1360" s="473" t="e">
        <f aca="false">C1360+D1360+F1360+G1360</f>
        <v>#NAME?</v>
      </c>
      <c r="I1360" s="462" t="n">
        <f aca="false">I$190</f>
        <v>0.240474587202079</v>
      </c>
      <c r="J1360" s="473" t="n">
        <f aca="false">D1360*I1360</f>
        <v>150.90021787279</v>
      </c>
      <c r="K1360" s="473" t="e">
        <f aca="false">H1360+J1360</f>
        <v>#NAME?</v>
      </c>
      <c r="L1360" s="462" t="n">
        <v>0.2</v>
      </c>
      <c r="M1360" s="473" t="e">
        <f aca="false">K1360*L1360</f>
        <v>#NAME?</v>
      </c>
      <c r="N1360" s="473" t="e">
        <f aca="false">K1360+M1360</f>
        <v>#NAME?</v>
      </c>
      <c r="O1360" s="473" t="e">
        <f aca="false">M1360</f>
        <v>#NAME?</v>
      </c>
    </row>
    <row r="1361" customFormat="false" ht="15" hidden="false" customHeight="false" outlineLevel="0" collapsed="false">
      <c r="A1361" s="327" t="s">
        <v>2303</v>
      </c>
      <c r="B1361" s="328" t="s">
        <v>3885</v>
      </c>
      <c r="C1361" s="542" t="e">
        <f aca="false">мат.затр!g11531</f>
        <v>#NAME?</v>
      </c>
      <c r="D1361" s="542" t="n">
        <f aca="false">тарифик!J1362</f>
        <v>488.621151271754</v>
      </c>
      <c r="E1361" s="542"/>
      <c r="F1361" s="473" t="n">
        <f aca="false">D1361*0.9*0.095+D1361*3%</f>
        <v>56.4357429718876</v>
      </c>
      <c r="G1361" s="542" t="n">
        <f aca="false">амортизация!M5026</f>
        <v>168.27722928752</v>
      </c>
      <c r="H1361" s="473" t="e">
        <f aca="false">C1361+D1361+F1361+G1361</f>
        <v>#NAME?</v>
      </c>
      <c r="I1361" s="462" t="n">
        <f aca="false">I$190</f>
        <v>0.240474587202079</v>
      </c>
      <c r="J1361" s="473" t="n">
        <f aca="false">D1361*I1361</f>
        <v>117.50096965028</v>
      </c>
      <c r="K1361" s="473" t="e">
        <f aca="false">H1361+J1361</f>
        <v>#NAME?</v>
      </c>
      <c r="L1361" s="462" t="n">
        <v>0.2</v>
      </c>
      <c r="M1361" s="473" t="e">
        <f aca="false">K1361*L1361</f>
        <v>#NAME?</v>
      </c>
      <c r="N1361" s="473" t="e">
        <f aca="false">K1361+M1361</f>
        <v>#NAME?</v>
      </c>
      <c r="O1361" s="473" t="e">
        <f aca="false">M1361</f>
        <v>#NAME?</v>
      </c>
    </row>
    <row r="1362" customFormat="false" ht="30" hidden="false" customHeight="false" outlineLevel="0" collapsed="false">
      <c r="A1362" s="327" t="s">
        <v>2305</v>
      </c>
      <c r="B1362" s="328" t="s">
        <v>3886</v>
      </c>
      <c r="C1362" s="542" t="e">
        <f aca="false">мат.затр!g11540</f>
        <v>#NAME?</v>
      </c>
      <c r="D1362" s="542" t="n">
        <f aca="false">тарифик!J1363</f>
        <v>1171.35207496653</v>
      </c>
      <c r="E1362" s="542"/>
      <c r="F1362" s="473" t="n">
        <f aca="false">D1362*0.9*0.095+D1362*3%</f>
        <v>135.291164658635</v>
      </c>
      <c r="G1362" s="542" t="n">
        <f aca="false">амортизация!M5034</f>
        <v>407.287840136054</v>
      </c>
      <c r="H1362" s="473" t="e">
        <f aca="false">C1362+D1362+F1362+G1362</f>
        <v>#NAME?</v>
      </c>
      <c r="I1362" s="462" t="n">
        <f aca="false">I$190</f>
        <v>0.240474587202079</v>
      </c>
      <c r="J1362" s="473" t="n">
        <f aca="false">D1362*I1362</f>
        <v>281.680406695876</v>
      </c>
      <c r="K1362" s="473" t="e">
        <f aca="false">H1362+J1362</f>
        <v>#NAME?</v>
      </c>
      <c r="L1362" s="462" t="n">
        <v>0.2</v>
      </c>
      <c r="M1362" s="473" t="e">
        <f aca="false">K1362*L1362</f>
        <v>#NAME?</v>
      </c>
      <c r="N1362" s="473" t="e">
        <f aca="false">K1362+M1362</f>
        <v>#NAME?</v>
      </c>
      <c r="O1362" s="473" t="e">
        <f aca="false">M1362</f>
        <v>#NAME?</v>
      </c>
    </row>
    <row r="1363" customFormat="false" ht="15" hidden="false" customHeight="false" outlineLevel="0" collapsed="false">
      <c r="A1363" s="389" t="s">
        <v>2307</v>
      </c>
      <c r="B1363" s="544" t="s">
        <v>2308</v>
      </c>
      <c r="C1363" s="538"/>
      <c r="D1363" s="538"/>
      <c r="E1363" s="542"/>
      <c r="F1363" s="538"/>
      <c r="G1363" s="538"/>
      <c r="H1363" s="474"/>
      <c r="I1363" s="475"/>
      <c r="J1363" s="474"/>
      <c r="K1363" s="474"/>
      <c r="L1363" s="475"/>
      <c r="M1363" s="474"/>
      <c r="N1363" s="474"/>
      <c r="O1363" s="474"/>
    </row>
    <row r="1364" customFormat="false" ht="15" hidden="false" customHeight="false" outlineLevel="0" collapsed="false">
      <c r="A1364" s="327" t="s">
        <v>2309</v>
      </c>
      <c r="B1364" s="433" t="s">
        <v>3887</v>
      </c>
      <c r="C1364" s="542" t="e">
        <f aca="false">мат.затр!g11562</f>
        <v>#NAME?</v>
      </c>
      <c r="D1364" s="542" t="n">
        <f aca="false">тарифик!J1365</f>
        <v>823.293172690763</v>
      </c>
      <c r="E1364" s="542"/>
      <c r="F1364" s="473" t="n">
        <f aca="false">D1364*0.9*0.095+D1364*3%</f>
        <v>95.0903614457831</v>
      </c>
      <c r="G1364" s="542" t="n">
        <f aca="false">амортизация!M5043</f>
        <v>431.078871039714</v>
      </c>
      <c r="H1364" s="473" t="e">
        <f aca="false">C1364+D1364+F1364+G1364</f>
        <v>#NAME?</v>
      </c>
      <c r="I1364" s="462" t="n">
        <f aca="false">I$190</f>
        <v>0.240474587202079</v>
      </c>
      <c r="J1364" s="473" t="n">
        <f aca="false">D1364*I1364</f>
        <v>197.981085849101</v>
      </c>
      <c r="K1364" s="473" t="e">
        <f aca="false">H1364+J1364</f>
        <v>#NAME?</v>
      </c>
      <c r="L1364" s="462" t="n">
        <v>0.2</v>
      </c>
      <c r="M1364" s="473" t="e">
        <f aca="false">K1364*L1364</f>
        <v>#NAME?</v>
      </c>
      <c r="N1364" s="473" t="e">
        <f aca="false">K1364+M1364</f>
        <v>#NAME?</v>
      </c>
      <c r="O1364" s="473" t="e">
        <f aca="false">M1364</f>
        <v>#NAME?</v>
      </c>
    </row>
    <row r="1365" customFormat="false" ht="15" hidden="false" customHeight="false" outlineLevel="0" collapsed="false">
      <c r="A1365" s="327" t="s">
        <v>2311</v>
      </c>
      <c r="B1365" s="433" t="s">
        <v>3888</v>
      </c>
      <c r="C1365" s="542" t="e">
        <f aca="false">мат.затр!g11577</f>
        <v>#NAME?</v>
      </c>
      <c r="D1365" s="542" t="n">
        <f aca="false">тарифик!J1366</f>
        <v>532.128514056225</v>
      </c>
      <c r="E1365" s="542"/>
      <c r="F1365" s="473" t="n">
        <f aca="false">D1365*0.9*0.095+D1365*3%</f>
        <v>61.460843373494</v>
      </c>
      <c r="G1365" s="542" t="n">
        <f aca="false">амортизация!M5051</f>
        <v>560.950208240369</v>
      </c>
      <c r="H1365" s="473" t="e">
        <f aca="false">C1365+D1365+F1365+G1365</f>
        <v>#NAME?</v>
      </c>
      <c r="I1365" s="462" t="n">
        <f aca="false">I$190</f>
        <v>0.240474587202079</v>
      </c>
      <c r="J1365" s="473" t="n">
        <f aca="false">D1365*I1365</f>
        <v>127.963384756126</v>
      </c>
      <c r="K1365" s="473" t="e">
        <f aca="false">H1365+J1365</f>
        <v>#NAME?</v>
      </c>
      <c r="L1365" s="462" t="n">
        <v>0.2</v>
      </c>
      <c r="M1365" s="473" t="e">
        <f aca="false">K1365*L1365</f>
        <v>#NAME?</v>
      </c>
      <c r="N1365" s="473" t="e">
        <f aca="false">K1365+M1365</f>
        <v>#NAME?</v>
      </c>
      <c r="O1365" s="473" t="e">
        <f aca="false">M1365</f>
        <v>#NAME?</v>
      </c>
    </row>
    <row r="1366" customFormat="false" ht="15" hidden="false" customHeight="false" outlineLevel="0" collapsed="false">
      <c r="A1366" s="327" t="s">
        <v>2313</v>
      </c>
      <c r="B1366" s="433" t="s">
        <v>3889</v>
      </c>
      <c r="C1366" s="542" t="e">
        <f aca="false">мат.затр!g11586</f>
        <v>#NAME?</v>
      </c>
      <c r="D1366" s="542" t="n">
        <f aca="false">тарифик!J1367</f>
        <v>167.336010709505</v>
      </c>
      <c r="E1366" s="542"/>
      <c r="F1366" s="473" t="n">
        <f aca="false">D1366*0.9*0.095+D1366*3%</f>
        <v>19.3273092369478</v>
      </c>
      <c r="G1366" s="542" t="n">
        <f aca="false">амортизация!M5059</f>
        <v>439.664630745203</v>
      </c>
      <c r="H1366" s="473" t="e">
        <f aca="false">C1366+D1366+F1366+G1366</f>
        <v>#NAME?</v>
      </c>
      <c r="I1366" s="462" t="n">
        <f aca="false">I$190</f>
        <v>0.240474587202079</v>
      </c>
      <c r="J1366" s="473" t="n">
        <f aca="false">D1366*I1366</f>
        <v>40.2400580994108</v>
      </c>
      <c r="K1366" s="473" t="e">
        <f aca="false">H1366+J1366</f>
        <v>#NAME?</v>
      </c>
      <c r="L1366" s="462" t="n">
        <v>0.2</v>
      </c>
      <c r="M1366" s="473" t="e">
        <f aca="false">K1366*L1366</f>
        <v>#NAME?</v>
      </c>
      <c r="N1366" s="473" t="e">
        <f aca="false">K1366+M1366</f>
        <v>#NAME?</v>
      </c>
      <c r="O1366" s="473" t="e">
        <f aca="false">M1366</f>
        <v>#NAME?</v>
      </c>
    </row>
    <row r="1367" customFormat="false" ht="15" hidden="false" customHeight="false" outlineLevel="0" collapsed="false">
      <c r="A1367" s="388" t="s">
        <v>2315</v>
      </c>
      <c r="B1367" s="543" t="s">
        <v>2316</v>
      </c>
      <c r="C1367" s="538"/>
      <c r="D1367" s="538"/>
      <c r="E1367" s="542"/>
      <c r="F1367" s="538"/>
      <c r="G1367" s="538"/>
      <c r="H1367" s="474"/>
      <c r="I1367" s="475"/>
      <c r="J1367" s="474"/>
      <c r="K1367" s="474"/>
      <c r="L1367" s="475"/>
      <c r="M1367" s="474"/>
      <c r="N1367" s="474"/>
      <c r="O1367" s="474"/>
    </row>
    <row r="1368" customFormat="false" ht="15" hidden="false" customHeight="false" outlineLevel="0" collapsed="false">
      <c r="A1368" s="327" t="s">
        <v>2317</v>
      </c>
      <c r="B1368" s="433" t="s">
        <v>3890</v>
      </c>
      <c r="C1368" s="542" t="e">
        <f aca="false">мат.затр!g11605</f>
        <v>#NAME?</v>
      </c>
      <c r="D1368" s="542" t="n">
        <f aca="false">тарифик!J1369</f>
        <v>451.807228915663</v>
      </c>
      <c r="E1368" s="542"/>
      <c r="F1368" s="473" t="n">
        <f aca="false">D1368*0.9*0.095+D1368*3%</f>
        <v>52.183734939759</v>
      </c>
      <c r="G1368" s="542" t="n">
        <f aca="false">амортизация!M5069</f>
        <v>580.514576825822</v>
      </c>
      <c r="H1368" s="473" t="e">
        <f aca="false">C1368+D1368+F1368+G1368</f>
        <v>#NAME?</v>
      </c>
      <c r="I1368" s="462" t="n">
        <f aca="false">I$190</f>
        <v>0.240474587202079</v>
      </c>
      <c r="J1368" s="473" t="n">
        <f aca="false">D1368*I1368</f>
        <v>108.648156868409</v>
      </c>
      <c r="K1368" s="473" t="e">
        <f aca="false">H1368+J1368</f>
        <v>#NAME?</v>
      </c>
      <c r="L1368" s="462" t="n">
        <v>0.2</v>
      </c>
      <c r="M1368" s="473" t="e">
        <f aca="false">K1368*L1368</f>
        <v>#NAME?</v>
      </c>
      <c r="N1368" s="473" t="e">
        <f aca="false">K1368+M1368</f>
        <v>#NAME?</v>
      </c>
      <c r="O1368" s="473" t="e">
        <f aca="false">M1368</f>
        <v>#NAME?</v>
      </c>
    </row>
    <row r="1369" customFormat="false" ht="15" hidden="false" customHeight="false" outlineLevel="0" collapsed="false">
      <c r="A1369" s="327" t="s">
        <v>2319</v>
      </c>
      <c r="B1369" s="433" t="s">
        <v>3891</v>
      </c>
      <c r="C1369" s="542" t="e">
        <f aca="false">мат.затр!g11619</f>
        <v>#NAME?</v>
      </c>
      <c r="D1369" s="542" t="n">
        <f aca="false">тарифик!J1370</f>
        <v>468.540829986613</v>
      </c>
      <c r="E1369" s="542"/>
      <c r="F1369" s="473" t="n">
        <f aca="false">D1369*0.9*0.095+D1369*3%</f>
        <v>54.1164658634538</v>
      </c>
      <c r="G1369" s="542" t="n">
        <f aca="false">амортизация!M5077</f>
        <v>593.418042540533</v>
      </c>
      <c r="H1369" s="473" t="e">
        <f aca="false">C1369+D1369+F1369+G1369</f>
        <v>#NAME?</v>
      </c>
      <c r="I1369" s="462" t="n">
        <f aca="false">I$190</f>
        <v>0.240474587202079</v>
      </c>
      <c r="J1369" s="473" t="n">
        <f aca="false">D1369*I1369</f>
        <v>112.67216267835</v>
      </c>
      <c r="K1369" s="473" t="e">
        <f aca="false">H1369+J1369</f>
        <v>#NAME?</v>
      </c>
      <c r="L1369" s="462" t="n">
        <v>0.2</v>
      </c>
      <c r="M1369" s="473" t="e">
        <f aca="false">K1369*L1369</f>
        <v>#NAME?</v>
      </c>
      <c r="N1369" s="473" t="e">
        <f aca="false">K1369+M1369</f>
        <v>#NAME?</v>
      </c>
      <c r="O1369" s="473" t="e">
        <f aca="false">M1369</f>
        <v>#NAME?</v>
      </c>
    </row>
    <row r="1370" customFormat="false" ht="30" hidden="false" customHeight="false" outlineLevel="0" collapsed="false">
      <c r="A1370" s="327" t="s">
        <v>2321</v>
      </c>
      <c r="B1370" s="433" t="s">
        <v>3892</v>
      </c>
      <c r="C1370" s="542" t="e">
        <f aca="false">мат.затр!g11628</f>
        <v>#NAME?</v>
      </c>
      <c r="D1370" s="542" t="n">
        <f aca="false">тарифик!J1371</f>
        <v>271.084337349398</v>
      </c>
      <c r="E1370" s="542"/>
      <c r="F1370" s="473" t="n">
        <f aca="false">D1370*0.9*0.095+D1370*3%</f>
        <v>31.3102409638554</v>
      </c>
      <c r="G1370" s="542" t="n">
        <f aca="false">амортизация!M5085</f>
        <v>452.568096459914</v>
      </c>
      <c r="H1370" s="473" t="e">
        <f aca="false">C1370+D1370+F1370+G1370</f>
        <v>#NAME?</v>
      </c>
      <c r="I1370" s="462" t="n">
        <f aca="false">I$190</f>
        <v>0.240474587202079</v>
      </c>
      <c r="J1370" s="473" t="n">
        <f aca="false">D1370*I1370</f>
        <v>65.1888941210455</v>
      </c>
      <c r="K1370" s="473" t="e">
        <f aca="false">H1370+J1370</f>
        <v>#NAME?</v>
      </c>
      <c r="L1370" s="462" t="n">
        <v>0.2</v>
      </c>
      <c r="M1370" s="473" t="e">
        <f aca="false">K1370*L1370</f>
        <v>#NAME?</v>
      </c>
      <c r="N1370" s="473" t="e">
        <f aca="false">K1370+M1370</f>
        <v>#NAME?</v>
      </c>
      <c r="O1370" s="473" t="e">
        <f aca="false">M1370</f>
        <v>#NAME?</v>
      </c>
    </row>
    <row r="1371" customFormat="false" ht="15" hidden="false" customHeight="false" outlineLevel="0" collapsed="false">
      <c r="A1371" s="327" t="s">
        <v>2323</v>
      </c>
      <c r="B1371" s="433" t="s">
        <v>3893</v>
      </c>
      <c r="C1371" s="542" t="e">
        <f aca="false">мат.затр!g11636</f>
        <v>#NAME?</v>
      </c>
      <c r="D1371" s="542" t="n">
        <f aca="false">тарифик!J1372</f>
        <v>271.084337349398</v>
      </c>
      <c r="E1371" s="542"/>
      <c r="F1371" s="473" t="n">
        <f aca="false">D1371*0.9*0.095+D1371*3%</f>
        <v>31.3102409638554</v>
      </c>
      <c r="G1371" s="542" t="n">
        <f aca="false">амортизация!M5093</f>
        <v>724.134361520155</v>
      </c>
      <c r="H1371" s="473" t="e">
        <f aca="false">C1371+D1371+F1371+G1371</f>
        <v>#NAME?</v>
      </c>
      <c r="I1371" s="462" t="n">
        <f aca="false">I$190</f>
        <v>0.240474587202079</v>
      </c>
      <c r="J1371" s="473" t="n">
        <f aca="false">D1371*I1371</f>
        <v>65.1888941210455</v>
      </c>
      <c r="K1371" s="473" t="e">
        <f aca="false">H1371+J1371</f>
        <v>#NAME?</v>
      </c>
      <c r="L1371" s="462" t="n">
        <v>0.2</v>
      </c>
      <c r="M1371" s="473" t="e">
        <f aca="false">K1371*L1371</f>
        <v>#NAME?</v>
      </c>
      <c r="N1371" s="473" t="e">
        <f aca="false">K1371+M1371</f>
        <v>#NAME?</v>
      </c>
      <c r="O1371" s="473" t="e">
        <f aca="false">M1371</f>
        <v>#NAME?</v>
      </c>
    </row>
    <row r="1372" customFormat="false" ht="15" hidden="false" customHeight="false" outlineLevel="0" collapsed="false">
      <c r="A1372" s="327" t="s">
        <v>2325</v>
      </c>
      <c r="B1372" s="433" t="s">
        <v>3894</v>
      </c>
      <c r="C1372" s="542" t="e">
        <f aca="false">мат.затр!g11645</f>
        <v>#NAME?</v>
      </c>
      <c r="D1372" s="542" t="n">
        <f aca="false">тарифик!J1373</f>
        <v>301.204819277108</v>
      </c>
      <c r="E1372" s="542"/>
      <c r="F1372" s="473" t="n">
        <f aca="false">D1372*0.9*0.095+D1372*3%</f>
        <v>34.789156626506</v>
      </c>
      <c r="G1372" s="542" t="n">
        <f aca="false">амортизация!M5101</f>
        <v>672.311328647925</v>
      </c>
      <c r="H1372" s="473" t="e">
        <f aca="false">C1372+D1372+F1372+G1372</f>
        <v>#NAME?</v>
      </c>
      <c r="I1372" s="462" t="n">
        <f aca="false">I$190</f>
        <v>0.240474587202079</v>
      </c>
      <c r="J1372" s="473" t="n">
        <f aca="false">D1372*I1372</f>
        <v>72.4321045789394</v>
      </c>
      <c r="K1372" s="473" t="e">
        <f aca="false">H1372+J1372</f>
        <v>#NAME?</v>
      </c>
      <c r="L1372" s="462" t="n">
        <v>0.2</v>
      </c>
      <c r="M1372" s="473" t="e">
        <f aca="false">K1372*L1372</f>
        <v>#NAME?</v>
      </c>
      <c r="N1372" s="473" t="e">
        <f aca="false">K1372+M1372</f>
        <v>#NAME?</v>
      </c>
      <c r="O1372" s="473" t="e">
        <f aca="false">M1372</f>
        <v>#NAME?</v>
      </c>
    </row>
    <row r="1373" customFormat="false" ht="30" hidden="false" customHeight="false" outlineLevel="0" collapsed="false">
      <c r="A1373" s="327" t="s">
        <v>2327</v>
      </c>
      <c r="B1373" s="433" t="s">
        <v>3895</v>
      </c>
      <c r="C1373" s="542" t="e">
        <f aca="false">мат.затр!g11655</f>
        <v>#NAME?</v>
      </c>
      <c r="D1373" s="542" t="n">
        <f aca="false">тарифик!J1374</f>
        <v>502.008032128514</v>
      </c>
      <c r="E1373" s="542"/>
      <c r="F1373" s="473" t="n">
        <f aca="false">D1373*0.9*0.095+D1373*3%</f>
        <v>57.9819277108434</v>
      </c>
      <c r="G1373" s="542" t="n">
        <f aca="false">амортизация!M5109</f>
        <v>720.696164286777</v>
      </c>
      <c r="H1373" s="473" t="e">
        <f aca="false">C1373+D1373+F1373+G1373</f>
        <v>#NAME?</v>
      </c>
      <c r="I1373" s="462" t="n">
        <f aca="false">I$190</f>
        <v>0.240474587202079</v>
      </c>
      <c r="J1373" s="473" t="n">
        <f aca="false">D1373*I1373</f>
        <v>120.720174298232</v>
      </c>
      <c r="K1373" s="473" t="e">
        <f aca="false">H1373+J1373</f>
        <v>#NAME?</v>
      </c>
      <c r="L1373" s="462" t="n">
        <v>0.2</v>
      </c>
      <c r="M1373" s="473" t="e">
        <f aca="false">K1373*L1373</f>
        <v>#NAME?</v>
      </c>
      <c r="N1373" s="473" t="e">
        <f aca="false">K1373+M1373</f>
        <v>#NAME?</v>
      </c>
      <c r="O1373" s="473" t="e">
        <f aca="false">M1373</f>
        <v>#NAME?</v>
      </c>
    </row>
    <row r="1374" customFormat="false" ht="30" hidden="false" customHeight="false" outlineLevel="0" collapsed="false">
      <c r="A1374" s="327" t="s">
        <v>2329</v>
      </c>
      <c r="B1374" s="433" t="s">
        <v>3896</v>
      </c>
      <c r="C1374" s="542" t="e">
        <f aca="false">мат.затр!g11664</f>
        <v>#NAME?</v>
      </c>
      <c r="D1374" s="542" t="n">
        <f aca="false">тарифик!J1375</f>
        <v>331.325301204819</v>
      </c>
      <c r="E1374" s="542"/>
      <c r="F1374" s="473" t="n">
        <f aca="false">D1374*0.9*0.095+D1374*3%</f>
        <v>38.2680722891566</v>
      </c>
      <c r="G1374" s="542" t="n">
        <f aca="false">амортизация!M5115</f>
        <v>651.324520303436</v>
      </c>
      <c r="H1374" s="473" t="e">
        <f aca="false">C1374+D1374+F1374+G1374</f>
        <v>#NAME?</v>
      </c>
      <c r="I1374" s="462" t="n">
        <f aca="false">I$190</f>
        <v>0.240474587202079</v>
      </c>
      <c r="J1374" s="473" t="n">
        <f aca="false">D1374*I1374</f>
        <v>79.6753150368334</v>
      </c>
      <c r="K1374" s="473" t="e">
        <f aca="false">H1374+J1374</f>
        <v>#NAME?</v>
      </c>
      <c r="L1374" s="462" t="n">
        <v>0.2</v>
      </c>
      <c r="M1374" s="473" t="e">
        <f aca="false">K1374*L1374</f>
        <v>#NAME?</v>
      </c>
      <c r="N1374" s="473" t="e">
        <f aca="false">K1374+M1374</f>
        <v>#NAME?</v>
      </c>
      <c r="O1374" s="473" t="e">
        <f aca="false">M1374</f>
        <v>#NAME?</v>
      </c>
    </row>
    <row r="1375" customFormat="false" ht="30" hidden="false" customHeight="false" outlineLevel="0" collapsed="false">
      <c r="A1375" s="327" t="s">
        <v>2331</v>
      </c>
      <c r="B1375" s="328" t="s">
        <v>3897</v>
      </c>
      <c r="C1375" s="542" t="e">
        <f aca="false">мат.затр!g11674</f>
        <v>#NAME?</v>
      </c>
      <c r="D1375" s="542" t="n">
        <f aca="false">тарифик!J1376</f>
        <v>1040.16064257028</v>
      </c>
      <c r="E1375" s="542"/>
      <c r="F1375" s="473" t="n">
        <f aca="false">D1375*0.9*0.095+D1375*3%</f>
        <v>120.138554216867</v>
      </c>
      <c r="G1375" s="542" t="n">
        <f aca="false">амортизация!M5122</f>
        <v>651.324520303436</v>
      </c>
      <c r="H1375" s="473" t="e">
        <f aca="false">C1375+D1375+F1375+G1375</f>
        <v>#NAME?</v>
      </c>
      <c r="I1375" s="462" t="n">
        <f aca="false">I$190</f>
        <v>0.240474587202079</v>
      </c>
      <c r="J1375" s="473" t="n">
        <f aca="false">D1375*I1375</f>
        <v>250.132201145938</v>
      </c>
      <c r="K1375" s="473" t="e">
        <f aca="false">H1375+J1375</f>
        <v>#NAME?</v>
      </c>
      <c r="L1375" s="462" t="n">
        <v>0.2</v>
      </c>
      <c r="M1375" s="473" t="e">
        <f aca="false">K1375*L1375</f>
        <v>#NAME?</v>
      </c>
      <c r="N1375" s="473" t="e">
        <f aca="false">K1375+M1375</f>
        <v>#NAME?</v>
      </c>
      <c r="O1375" s="473" t="e">
        <f aca="false">M1375</f>
        <v>#NAME?</v>
      </c>
    </row>
    <row r="1376" customFormat="false" ht="15" hidden="false" customHeight="false" outlineLevel="0" collapsed="false">
      <c r="A1376" s="388" t="s">
        <v>2333</v>
      </c>
      <c r="B1376" s="543" t="s">
        <v>2334</v>
      </c>
      <c r="C1376" s="538"/>
      <c r="D1376" s="538"/>
      <c r="E1376" s="542"/>
      <c r="F1376" s="538"/>
      <c r="G1376" s="538"/>
      <c r="H1376" s="474"/>
      <c r="I1376" s="475"/>
      <c r="J1376" s="474"/>
      <c r="K1376" s="474"/>
      <c r="L1376" s="475"/>
      <c r="M1376" s="474"/>
      <c r="N1376" s="474"/>
      <c r="O1376" s="474"/>
    </row>
    <row r="1377" customFormat="false" ht="15" hidden="false" customHeight="false" outlineLevel="0" collapsed="false">
      <c r="A1377" s="327" t="s">
        <v>2335</v>
      </c>
      <c r="B1377" s="433" t="s">
        <v>3898</v>
      </c>
      <c r="C1377" s="542" t="e">
        <f aca="false">мат.затр!g11692</f>
        <v>#NAME?</v>
      </c>
      <c r="D1377" s="542" t="n">
        <f aca="false">тарифик!J1378</f>
        <v>542.168674698795</v>
      </c>
      <c r="E1377" s="542"/>
      <c r="F1377" s="473" t="n">
        <f aca="false">D1377*0.9*0.095+D1377*3%</f>
        <v>62.6204819277108</v>
      </c>
      <c r="G1377" s="542" t="n">
        <f aca="false">амортизация!M5131</f>
        <v>791.158932024394</v>
      </c>
      <c r="H1377" s="473" t="e">
        <f aca="false">C1377+D1377+F1377+G1377</f>
        <v>#NAME?</v>
      </c>
      <c r="I1377" s="462" t="n">
        <f aca="false">I$190</f>
        <v>0.240474587202079</v>
      </c>
      <c r="J1377" s="473" t="n">
        <f aca="false">D1377*I1377</f>
        <v>130.377788242091</v>
      </c>
      <c r="K1377" s="473" t="e">
        <f aca="false">H1377+J1377</f>
        <v>#NAME?</v>
      </c>
      <c r="L1377" s="462" t="n">
        <v>0.2</v>
      </c>
      <c r="M1377" s="473" t="e">
        <f aca="false">K1377*L1377</f>
        <v>#NAME?</v>
      </c>
      <c r="N1377" s="473" t="e">
        <f aca="false">K1377+M1377</f>
        <v>#NAME?</v>
      </c>
      <c r="O1377" s="473" t="e">
        <f aca="false">M1377</f>
        <v>#NAME?</v>
      </c>
    </row>
    <row r="1378" customFormat="false" ht="30" hidden="false" customHeight="false" outlineLevel="0" collapsed="false">
      <c r="A1378" s="327" t="s">
        <v>2337</v>
      </c>
      <c r="B1378" s="487" t="s">
        <v>3899</v>
      </c>
      <c r="C1378" s="542" t="e">
        <f aca="false">мат.затр!g11701</f>
        <v>#NAME?</v>
      </c>
      <c r="D1378" s="542" t="n">
        <f aca="false">тарифик!J1379</f>
        <v>632.530120481928</v>
      </c>
      <c r="E1378" s="542"/>
      <c r="F1378" s="473" t="n">
        <f aca="false">D1378*0.9*0.095+D1378*3%</f>
        <v>73.0572289156627</v>
      </c>
      <c r="G1378" s="542" t="n">
        <f aca="false">амортизация!M5138</f>
        <v>181.001831399673</v>
      </c>
      <c r="H1378" s="473" t="e">
        <f aca="false">C1378+D1378+F1378+G1378</f>
        <v>#NAME?</v>
      </c>
      <c r="I1378" s="462" t="n">
        <f aca="false">I$190</f>
        <v>0.240474587202079</v>
      </c>
      <c r="J1378" s="473" t="n">
        <f aca="false">D1378*I1378</f>
        <v>152.107419615773</v>
      </c>
      <c r="K1378" s="473" t="e">
        <f aca="false">H1378+J1378</f>
        <v>#NAME?</v>
      </c>
      <c r="L1378" s="462" t="n">
        <v>0.2</v>
      </c>
      <c r="M1378" s="473" t="e">
        <f aca="false">K1378*L1378</f>
        <v>#NAME?</v>
      </c>
      <c r="N1378" s="473" t="e">
        <f aca="false">K1378+M1378</f>
        <v>#NAME?</v>
      </c>
      <c r="O1378" s="473" t="e">
        <f aca="false">M1378</f>
        <v>#NAME?</v>
      </c>
    </row>
    <row r="1379" customFormat="false" ht="30" hidden="false" customHeight="false" outlineLevel="0" collapsed="false">
      <c r="A1379" s="327" t="s">
        <v>2339</v>
      </c>
      <c r="B1379" s="487" t="s">
        <v>3900</v>
      </c>
      <c r="C1379" s="542" t="e">
        <f aca="false">мат.затр!g11711</f>
        <v>#NAME?</v>
      </c>
      <c r="D1379" s="542" t="n">
        <f aca="false">тарифик!J1380</f>
        <v>1338.68808567604</v>
      </c>
      <c r="E1379" s="542"/>
      <c r="F1379" s="473" t="n">
        <f aca="false">D1379*0.9*0.095+D1379*3%</f>
        <v>154.618473895582</v>
      </c>
      <c r="G1379" s="542" t="n">
        <f aca="false">амортизация!M5146</f>
        <v>753.16399858694</v>
      </c>
      <c r="H1379" s="473" t="e">
        <f aca="false">C1379+D1379+F1379+G1379</f>
        <v>#NAME?</v>
      </c>
      <c r="I1379" s="462" t="n">
        <f aca="false">I$190</f>
        <v>0.240474587202079</v>
      </c>
      <c r="J1379" s="473" t="n">
        <f aca="false">D1379*I1379</f>
        <v>321.920464795286</v>
      </c>
      <c r="K1379" s="473" t="e">
        <f aca="false">H1379+J1379</f>
        <v>#NAME?</v>
      </c>
      <c r="L1379" s="462" t="n">
        <v>0.2</v>
      </c>
      <c r="M1379" s="473" t="e">
        <f aca="false">K1379*L1379</f>
        <v>#NAME?</v>
      </c>
      <c r="N1379" s="473" t="e">
        <f aca="false">K1379+M1379</f>
        <v>#NAME?</v>
      </c>
      <c r="O1379" s="473" t="e">
        <f aca="false">M1379</f>
        <v>#NAME?</v>
      </c>
    </row>
    <row r="1380" customFormat="false" ht="15" hidden="false" customHeight="false" outlineLevel="0" collapsed="false">
      <c r="A1380" s="327" t="s">
        <v>2341</v>
      </c>
      <c r="B1380" s="433" t="s">
        <v>3901</v>
      </c>
      <c r="C1380" s="542" t="e">
        <f aca="false">мат.затр!g11719</f>
        <v>#NAME?</v>
      </c>
      <c r="D1380" s="542" t="n">
        <f aca="false">тарифик!J1381</f>
        <v>294.511378848728</v>
      </c>
      <c r="E1380" s="542"/>
      <c r="F1380" s="473" t="n">
        <f aca="false">D1380*0.9*0.095+D1380*3%</f>
        <v>34.0160642570281</v>
      </c>
      <c r="G1380" s="542" t="n">
        <f aca="false">амортизация!M5154</f>
        <v>672.311328647925</v>
      </c>
      <c r="H1380" s="473" t="e">
        <f aca="false">C1380+D1380+F1380+G1380</f>
        <v>#NAME?</v>
      </c>
      <c r="I1380" s="462" t="n">
        <f aca="false">I$190</f>
        <v>0.240474587202079</v>
      </c>
      <c r="J1380" s="473" t="n">
        <f aca="false">D1380*I1380</f>
        <v>70.822502254963</v>
      </c>
      <c r="K1380" s="473" t="e">
        <f aca="false">H1380+J1380</f>
        <v>#NAME?</v>
      </c>
      <c r="L1380" s="462" t="n">
        <v>0.2</v>
      </c>
      <c r="M1380" s="473" t="e">
        <f aca="false">K1380*L1380</f>
        <v>#NAME?</v>
      </c>
      <c r="N1380" s="473" t="e">
        <f aca="false">K1380+M1380</f>
        <v>#NAME?</v>
      </c>
      <c r="O1380" s="473" t="e">
        <f aca="false">M1380</f>
        <v>#NAME?</v>
      </c>
    </row>
    <row r="1381" customFormat="false" ht="15" hidden="false" customHeight="false" outlineLevel="0" collapsed="false">
      <c r="A1381" s="388" t="s">
        <v>2343</v>
      </c>
      <c r="B1381" s="543" t="s">
        <v>2344</v>
      </c>
      <c r="C1381" s="538"/>
      <c r="D1381" s="538"/>
      <c r="E1381" s="542"/>
      <c r="F1381" s="538"/>
      <c r="G1381" s="538"/>
      <c r="H1381" s="474"/>
      <c r="I1381" s="475"/>
      <c r="J1381" s="474"/>
      <c r="K1381" s="474"/>
      <c r="L1381" s="475"/>
      <c r="M1381" s="474"/>
      <c r="N1381" s="474"/>
      <c r="O1381" s="474"/>
    </row>
    <row r="1382" customFormat="false" ht="15" hidden="false" customHeight="false" outlineLevel="0" collapsed="false">
      <c r="A1382" s="327" t="s">
        <v>2345</v>
      </c>
      <c r="B1382" s="433" t="s">
        <v>3902</v>
      </c>
      <c r="C1382" s="542" t="e">
        <f aca="false">мат.затр!g11735</f>
        <v>#NAME?</v>
      </c>
      <c r="D1382" s="542" t="n">
        <f aca="false">тарифик!J1383</f>
        <v>548.862115127175</v>
      </c>
      <c r="E1382" s="542"/>
      <c r="F1382" s="473" t="n">
        <f aca="false">D1382*0.9*0.095+D1382*3%</f>
        <v>63.3935742971888</v>
      </c>
      <c r="G1382" s="542" t="n">
        <f aca="false">амортизация!M5163</f>
        <v>758.69109772423</v>
      </c>
      <c r="H1382" s="473" t="e">
        <f aca="false">C1382+D1382+F1382+G1382</f>
        <v>#NAME?</v>
      </c>
      <c r="I1382" s="462" t="n">
        <f aca="false">I$190</f>
        <v>0.240474587202079</v>
      </c>
      <c r="J1382" s="473" t="n">
        <f aca="false">D1382*I1382</f>
        <v>131.987390566067</v>
      </c>
      <c r="K1382" s="473" t="e">
        <f aca="false">H1382+J1382</f>
        <v>#NAME?</v>
      </c>
      <c r="L1382" s="462" t="n">
        <v>0.2</v>
      </c>
      <c r="M1382" s="473" t="e">
        <f aca="false">K1382*L1382</f>
        <v>#NAME?</v>
      </c>
      <c r="N1382" s="473" t="e">
        <f aca="false">K1382+M1382</f>
        <v>#NAME?</v>
      </c>
      <c r="O1382" s="473" t="e">
        <f aca="false">M1382</f>
        <v>#NAME?</v>
      </c>
    </row>
    <row r="1383" customFormat="false" ht="30" hidden="false" customHeight="false" outlineLevel="0" collapsed="false">
      <c r="A1383" s="327" t="s">
        <v>2347</v>
      </c>
      <c r="B1383" s="433" t="s">
        <v>3903</v>
      </c>
      <c r="C1383" s="542" t="e">
        <f aca="false">мат.затр!g11744</f>
        <v>#NAME?</v>
      </c>
      <c r="D1383" s="542" t="n">
        <f aca="false">тарифик!J1384</f>
        <v>184.069611780455</v>
      </c>
      <c r="E1383" s="542"/>
      <c r="F1383" s="473" t="n">
        <f aca="false">D1383*0.9*0.095+D1383*3%</f>
        <v>21.2600401606426</v>
      </c>
      <c r="G1383" s="542" t="n">
        <f aca="false">амортизация!M5170</f>
        <v>161.646632827607</v>
      </c>
      <c r="H1383" s="473" t="e">
        <f aca="false">C1383+D1383+F1383+G1383</f>
        <v>#NAME?</v>
      </c>
      <c r="I1383" s="462" t="n">
        <f aca="false">I$190</f>
        <v>0.240474587202079</v>
      </c>
      <c r="J1383" s="473" t="n">
        <f aca="false">D1383*I1383</f>
        <v>44.2640639093519</v>
      </c>
      <c r="K1383" s="473" t="e">
        <f aca="false">H1383+J1383</f>
        <v>#NAME?</v>
      </c>
      <c r="L1383" s="462" t="n">
        <v>0.2</v>
      </c>
      <c r="M1383" s="473" t="e">
        <f aca="false">K1383*L1383</f>
        <v>#NAME?</v>
      </c>
      <c r="N1383" s="473" t="e">
        <f aca="false">K1383+M1383</f>
        <v>#NAME?</v>
      </c>
      <c r="O1383" s="473" t="e">
        <f aca="false">M1383</f>
        <v>#NAME?</v>
      </c>
    </row>
    <row r="1384" customFormat="false" ht="30" hidden="false" customHeight="false" outlineLevel="0" collapsed="false">
      <c r="A1384" s="327" t="s">
        <v>2349</v>
      </c>
      <c r="B1384" s="433" t="s">
        <v>3904</v>
      </c>
      <c r="C1384" s="542" t="e">
        <f aca="false">мат.затр!g11754</f>
        <v>#NAME?</v>
      </c>
      <c r="D1384" s="542" t="n">
        <f aca="false">тарифик!J1385</f>
        <v>889.6697902722</v>
      </c>
      <c r="E1384" s="542"/>
      <c r="F1384" s="473" t="n">
        <f aca="false">D1384*0.9*0.095+D1384*3%</f>
        <v>102.756860776439</v>
      </c>
      <c r="G1384" s="542" t="n">
        <f aca="false">амортизация!M5178</f>
        <v>753.16399858694</v>
      </c>
      <c r="H1384" s="473" t="e">
        <f aca="false">C1384+D1384+F1384+G1384</f>
        <v>#NAME?</v>
      </c>
      <c r="I1384" s="462" t="n">
        <f aca="false">I$190</f>
        <v>0.240474587202079</v>
      </c>
      <c r="J1384" s="473" t="n">
        <f aca="false">D1384*I1384</f>
        <v>213.942975561867</v>
      </c>
      <c r="K1384" s="473" t="e">
        <f aca="false">H1384+J1384</f>
        <v>#NAME?</v>
      </c>
      <c r="L1384" s="462" t="n">
        <v>0.2</v>
      </c>
      <c r="M1384" s="473" t="e">
        <f aca="false">K1384*L1384</f>
        <v>#NAME?</v>
      </c>
      <c r="N1384" s="473" t="e">
        <f aca="false">K1384+M1384</f>
        <v>#NAME?</v>
      </c>
      <c r="O1384" s="473" t="e">
        <f aca="false">M1384</f>
        <v>#NAME?</v>
      </c>
    </row>
    <row r="1385" customFormat="false" ht="15" hidden="false" customHeight="false" outlineLevel="0" collapsed="false">
      <c r="A1385" s="327" t="s">
        <v>2351</v>
      </c>
      <c r="B1385" s="433" t="s">
        <v>3905</v>
      </c>
      <c r="C1385" s="542" t="e">
        <f aca="false">мат.затр!g11763</f>
        <v>#NAME?</v>
      </c>
      <c r="D1385" s="542" t="n">
        <f aca="false">тарифик!J1386</f>
        <v>277.777777777778</v>
      </c>
      <c r="E1385" s="542"/>
      <c r="F1385" s="473" t="n">
        <f aca="false">D1385*0.9*0.095+D1385*3%</f>
        <v>32.0833333333333</v>
      </c>
      <c r="G1385" s="542" t="n">
        <f aca="false">амортизация!M5186</f>
        <v>672.311328647925</v>
      </c>
      <c r="H1385" s="473" t="e">
        <f aca="false">C1385+D1385+F1385+G1385</f>
        <v>#NAME?</v>
      </c>
      <c r="I1385" s="462" t="n">
        <f aca="false">I$190</f>
        <v>0.240474587202079</v>
      </c>
      <c r="J1385" s="473" t="n">
        <f aca="false">D1385*I1385</f>
        <v>66.7984964450219</v>
      </c>
      <c r="K1385" s="473" t="e">
        <f aca="false">H1385+J1385</f>
        <v>#NAME?</v>
      </c>
      <c r="L1385" s="462" t="n">
        <v>0.2</v>
      </c>
      <c r="M1385" s="473" t="e">
        <f aca="false">K1385*L1385</f>
        <v>#NAME?</v>
      </c>
      <c r="N1385" s="473" t="e">
        <f aca="false">K1385+M1385</f>
        <v>#NAME?</v>
      </c>
      <c r="O1385" s="473" t="e">
        <f aca="false">M1385</f>
        <v>#NAME?</v>
      </c>
    </row>
    <row r="1386" customFormat="false" ht="15" hidden="false" customHeight="false" outlineLevel="0" collapsed="false">
      <c r="A1386" s="389" t="s">
        <v>2353</v>
      </c>
      <c r="B1386" s="545" t="s">
        <v>2354</v>
      </c>
      <c r="C1386" s="538"/>
      <c r="D1386" s="538"/>
      <c r="E1386" s="542"/>
      <c r="F1386" s="538"/>
      <c r="G1386" s="538"/>
      <c r="H1386" s="474"/>
      <c r="I1386" s="475"/>
      <c r="J1386" s="474"/>
      <c r="K1386" s="474"/>
      <c r="L1386" s="475"/>
      <c r="M1386" s="474"/>
      <c r="N1386" s="474"/>
      <c r="O1386" s="474"/>
    </row>
    <row r="1387" customFormat="false" ht="30" hidden="false" customHeight="false" outlineLevel="0" collapsed="false">
      <c r="A1387" s="327" t="s">
        <v>2355</v>
      </c>
      <c r="B1387" s="433" t="s">
        <v>3906</v>
      </c>
      <c r="C1387" s="542" t="e">
        <f aca="false">мат.затр!g11776</f>
        <v>#NAME?</v>
      </c>
      <c r="D1387" s="542" t="n">
        <f aca="false">тарифик!J1388</f>
        <v>552.208835341365</v>
      </c>
      <c r="E1387" s="542"/>
      <c r="F1387" s="473" t="n">
        <f aca="false">D1387*0.9*0.095+D1387*3%</f>
        <v>63.7801204819277</v>
      </c>
      <c r="G1387" s="542" t="n">
        <f aca="false">амортизация!M5195</f>
        <v>791.158932024394</v>
      </c>
      <c r="H1387" s="473" t="e">
        <f aca="false">C1387+D1387+F1387+G1387</f>
        <v>#NAME?</v>
      </c>
      <c r="I1387" s="462" t="n">
        <f aca="false">I$190</f>
        <v>0.240474587202079</v>
      </c>
      <c r="J1387" s="473" t="n">
        <f aca="false">D1387*I1387</f>
        <v>132.792191728056</v>
      </c>
      <c r="K1387" s="473" t="e">
        <f aca="false">H1387+J1387</f>
        <v>#NAME?</v>
      </c>
      <c r="L1387" s="462" t="n">
        <v>0.2</v>
      </c>
      <c r="M1387" s="473" t="e">
        <f aca="false">K1387*L1387</f>
        <v>#NAME?</v>
      </c>
      <c r="N1387" s="473" t="e">
        <f aca="false">K1387+M1387</f>
        <v>#NAME?</v>
      </c>
      <c r="O1387" s="473" t="e">
        <f aca="false">M1387</f>
        <v>#NAME?</v>
      </c>
    </row>
    <row r="1388" customFormat="false" ht="30" hidden="false" customHeight="false" outlineLevel="0" collapsed="false">
      <c r="A1388" s="327" t="s">
        <v>2357</v>
      </c>
      <c r="B1388" s="433" t="s">
        <v>3907</v>
      </c>
      <c r="C1388" s="542" t="e">
        <f aca="false">мат.затр!g11784</f>
        <v>#NAME?</v>
      </c>
      <c r="D1388" s="542" t="n">
        <f aca="false">тарифик!J1389</f>
        <v>245.426149040607</v>
      </c>
      <c r="E1388" s="542"/>
      <c r="F1388" s="473" t="n">
        <f aca="false">D1388*0.9*0.095+D1388*3%</f>
        <v>28.3467202141901</v>
      </c>
      <c r="G1388" s="542" t="n">
        <f aca="false">амортизация!M5202</f>
        <v>181.001831399673</v>
      </c>
      <c r="H1388" s="473" t="e">
        <f aca="false">C1388+D1388+F1388+G1388</f>
        <v>#NAME?</v>
      </c>
      <c r="I1388" s="462" t="n">
        <f aca="false">I$190</f>
        <v>0.240474587202079</v>
      </c>
      <c r="J1388" s="473" t="n">
        <f aca="false">D1388*I1388</f>
        <v>59.0187518791358</v>
      </c>
      <c r="K1388" s="473" t="e">
        <f aca="false">H1388+J1388</f>
        <v>#NAME?</v>
      </c>
      <c r="L1388" s="462" t="n">
        <v>0.2</v>
      </c>
      <c r="M1388" s="473" t="e">
        <f aca="false">K1388*L1388</f>
        <v>#NAME?</v>
      </c>
      <c r="N1388" s="473" t="e">
        <f aca="false">K1388+M1388</f>
        <v>#NAME?</v>
      </c>
      <c r="O1388" s="473" t="e">
        <f aca="false">M1388</f>
        <v>#NAME?</v>
      </c>
    </row>
    <row r="1389" customFormat="false" ht="15" hidden="false" customHeight="false" outlineLevel="0" collapsed="false">
      <c r="A1389" s="327" t="s">
        <v>2359</v>
      </c>
      <c r="B1389" s="433" t="s">
        <v>3908</v>
      </c>
      <c r="C1389" s="542" t="e">
        <f aca="false">мат.затр!g11793</f>
        <v>#NAME?</v>
      </c>
      <c r="D1389" s="542" t="n">
        <f aca="false">тарифик!J1390</f>
        <v>555.555555555556</v>
      </c>
      <c r="E1389" s="542"/>
      <c r="F1389" s="473" t="n">
        <f aca="false">D1389*0.9*0.095+D1389*3%</f>
        <v>64.1666666666667</v>
      </c>
      <c r="G1389" s="542" t="n">
        <f aca="false">амортизация!M5210</f>
        <v>400.745063587684</v>
      </c>
      <c r="H1389" s="473" t="e">
        <f aca="false">C1389+D1389+F1389+G1389</f>
        <v>#NAME?</v>
      </c>
      <c r="I1389" s="462" t="n">
        <f aca="false">I$190</f>
        <v>0.240474587202079</v>
      </c>
      <c r="J1389" s="473" t="n">
        <f aca="false">D1389*I1389</f>
        <v>133.596992890044</v>
      </c>
      <c r="K1389" s="473" t="e">
        <f aca="false">H1389+J1389</f>
        <v>#NAME?</v>
      </c>
      <c r="L1389" s="462" t="n">
        <v>0.2</v>
      </c>
      <c r="M1389" s="473" t="e">
        <f aca="false">K1389*L1389</f>
        <v>#NAME?</v>
      </c>
      <c r="N1389" s="473" t="e">
        <f aca="false">K1389+M1389</f>
        <v>#NAME?</v>
      </c>
      <c r="O1389" s="473" t="e">
        <f aca="false">M1389</f>
        <v>#NAME?</v>
      </c>
    </row>
    <row r="1390" customFormat="false" ht="30" hidden="false" customHeight="false" outlineLevel="0" collapsed="false">
      <c r="A1390" s="327" t="s">
        <v>2361</v>
      </c>
      <c r="B1390" s="433" t="s">
        <v>3909</v>
      </c>
      <c r="C1390" s="542" t="e">
        <f aca="false">мат.затр!g11803</f>
        <v>#NAME?</v>
      </c>
      <c r="D1390" s="542" t="n">
        <f aca="false">тарифик!J1391</f>
        <v>508.701472556894</v>
      </c>
      <c r="E1390" s="542"/>
      <c r="F1390" s="473" t="n">
        <f aca="false">D1390*0.9*0.095+D1390*3%</f>
        <v>58.7550200803213</v>
      </c>
      <c r="G1390" s="542" t="n">
        <f aca="false">амортизация!M5218</f>
        <v>720.696164286777</v>
      </c>
      <c r="H1390" s="473" t="e">
        <f aca="false">C1390+D1390+F1390+G1390</f>
        <v>#NAME?</v>
      </c>
      <c r="I1390" s="462" t="n">
        <f aca="false">I$190</f>
        <v>0.240474587202079</v>
      </c>
      <c r="J1390" s="473" t="n">
        <f aca="false">D1390*I1390</f>
        <v>122.329776622209</v>
      </c>
      <c r="K1390" s="473" t="e">
        <f aca="false">H1390+J1390</f>
        <v>#NAME?</v>
      </c>
      <c r="L1390" s="462" t="n">
        <v>0.2</v>
      </c>
      <c r="M1390" s="473" t="e">
        <f aca="false">K1390*L1390</f>
        <v>#NAME?</v>
      </c>
      <c r="N1390" s="473" t="e">
        <f aca="false">K1390+M1390</f>
        <v>#NAME?</v>
      </c>
      <c r="O1390" s="473" t="e">
        <f aca="false">M1390</f>
        <v>#NAME?</v>
      </c>
    </row>
    <row r="1391" customFormat="false" ht="15" hidden="false" customHeight="false" outlineLevel="0" collapsed="false">
      <c r="A1391" s="389" t="s">
        <v>2363</v>
      </c>
      <c r="B1391" s="544" t="s">
        <v>3910</v>
      </c>
      <c r="C1391" s="538"/>
      <c r="D1391" s="538"/>
      <c r="E1391" s="542"/>
      <c r="F1391" s="538"/>
      <c r="G1391" s="538"/>
      <c r="H1391" s="474"/>
      <c r="I1391" s="475"/>
      <c r="J1391" s="474"/>
      <c r="K1391" s="474"/>
      <c r="L1391" s="475"/>
      <c r="M1391" s="474"/>
      <c r="N1391" s="474"/>
      <c r="O1391" s="474"/>
    </row>
    <row r="1392" customFormat="false" ht="30" hidden="false" customHeight="false" outlineLevel="0" collapsed="false">
      <c r="A1392" s="327" t="s">
        <v>2365</v>
      </c>
      <c r="B1392" s="433" t="s">
        <v>3911</v>
      </c>
      <c r="C1392" s="542" t="e">
        <f aca="false">мат.затр!g11811</f>
        <v>#NAME?</v>
      </c>
      <c r="D1392" s="542" t="n">
        <f aca="false">тарифик!J1393</f>
        <v>271.084337349398</v>
      </c>
      <c r="E1392" s="542"/>
      <c r="F1392" s="473" t="n">
        <f aca="false">D1392*0.9*0.095+D1392*3%</f>
        <v>31.3102409638554</v>
      </c>
      <c r="G1392" s="542" t="n">
        <f aca="false">амортизация!M5226</f>
        <v>181.001831399673</v>
      </c>
      <c r="H1392" s="473" t="e">
        <f aca="false">C1392+D1392+F1392+G1392</f>
        <v>#NAME?</v>
      </c>
      <c r="I1392" s="462" t="n">
        <f aca="false">I$190</f>
        <v>0.240474587202079</v>
      </c>
      <c r="J1392" s="473" t="n">
        <f aca="false">D1392*I1392</f>
        <v>65.1888941210455</v>
      </c>
      <c r="K1392" s="473" t="e">
        <f aca="false">H1392+J1392</f>
        <v>#NAME?</v>
      </c>
      <c r="L1392" s="462" t="n">
        <v>0.2</v>
      </c>
      <c r="M1392" s="473" t="e">
        <f aca="false">K1392*L1392</f>
        <v>#NAME?</v>
      </c>
      <c r="N1392" s="473" t="e">
        <f aca="false">K1392+M1392</f>
        <v>#NAME?</v>
      </c>
      <c r="O1392" s="473" t="e">
        <f aca="false">M1392</f>
        <v>#NAME?</v>
      </c>
    </row>
    <row r="1393" customFormat="false" ht="15" hidden="false" customHeight="false" outlineLevel="0" collapsed="false">
      <c r="A1393" s="327" t="s">
        <v>2367</v>
      </c>
      <c r="B1393" s="433" t="s">
        <v>3912</v>
      </c>
      <c r="C1393" s="542" t="e">
        <f aca="false">мат.затр!g11820</f>
        <v>#NAME?</v>
      </c>
      <c r="D1393" s="542" t="n">
        <f aca="false">тарифик!J1394</f>
        <v>294.511378848728</v>
      </c>
      <c r="E1393" s="542"/>
      <c r="F1393" s="473" t="n">
        <f aca="false">D1393*0.9*0.095+D1393*3%</f>
        <v>34.0160642570281</v>
      </c>
      <c r="G1393" s="542" t="n">
        <f aca="false">амортизация!M5234</f>
        <v>400.745063587684</v>
      </c>
      <c r="H1393" s="473" t="e">
        <f aca="false">C1393+D1393+F1393+G1393</f>
        <v>#NAME?</v>
      </c>
      <c r="I1393" s="462" t="n">
        <f aca="false">I$190</f>
        <v>0.240474587202079</v>
      </c>
      <c r="J1393" s="473" t="n">
        <f aca="false">D1393*I1393</f>
        <v>70.822502254963</v>
      </c>
      <c r="K1393" s="473" t="e">
        <f aca="false">H1393+J1393</f>
        <v>#NAME?</v>
      </c>
      <c r="L1393" s="462" t="n">
        <v>0.2</v>
      </c>
      <c r="M1393" s="473" t="e">
        <f aca="false">K1393*L1393</f>
        <v>#NAME?</v>
      </c>
      <c r="N1393" s="473" t="e">
        <f aca="false">K1393+M1393</f>
        <v>#NAME?</v>
      </c>
      <c r="O1393" s="473" t="e">
        <f aca="false">M1393</f>
        <v>#NAME?</v>
      </c>
    </row>
    <row r="1394" customFormat="false" ht="30" hidden="false" customHeight="false" outlineLevel="0" collapsed="false">
      <c r="A1394" s="327" t="s">
        <v>2369</v>
      </c>
      <c r="B1394" s="433" t="s">
        <v>3913</v>
      </c>
      <c r="C1394" s="542" t="e">
        <f aca="false">мат.затр!g11830</f>
        <v>#NAME?</v>
      </c>
      <c r="D1394" s="542" t="n">
        <f aca="false">тарифик!J1395</f>
        <v>502.008032128514</v>
      </c>
      <c r="E1394" s="542"/>
      <c r="F1394" s="473" t="n">
        <f aca="false">D1394*0.9*0.095+D1394*3%</f>
        <v>57.9819277108434</v>
      </c>
      <c r="G1394" s="542" t="n">
        <f aca="false">амортизация!M5242</f>
        <v>483.075682359066</v>
      </c>
      <c r="H1394" s="473" t="e">
        <f aca="false">C1394+D1394+F1394+G1394</f>
        <v>#NAME?</v>
      </c>
      <c r="I1394" s="462" t="n">
        <f aca="false">I$190</f>
        <v>0.240474587202079</v>
      </c>
      <c r="J1394" s="473" t="n">
        <f aca="false">D1394*I1394</f>
        <v>120.720174298232</v>
      </c>
      <c r="K1394" s="473" t="e">
        <f aca="false">H1394+J1394</f>
        <v>#NAME?</v>
      </c>
      <c r="L1394" s="462" t="n">
        <v>0.2</v>
      </c>
      <c r="M1394" s="473" t="e">
        <f aca="false">K1394*L1394</f>
        <v>#NAME?</v>
      </c>
      <c r="N1394" s="473" t="e">
        <f aca="false">K1394+M1394</f>
        <v>#NAME?</v>
      </c>
      <c r="O1394" s="473" t="e">
        <f aca="false">M1394</f>
        <v>#NAME?</v>
      </c>
    </row>
    <row r="1395" customFormat="false" ht="15" hidden="false" customHeight="false" outlineLevel="0" collapsed="false">
      <c r="A1395" s="388" t="s">
        <v>2371</v>
      </c>
      <c r="B1395" s="543" t="s">
        <v>3914</v>
      </c>
      <c r="C1395" s="538"/>
      <c r="D1395" s="538"/>
      <c r="E1395" s="542"/>
      <c r="F1395" s="538"/>
      <c r="G1395" s="538"/>
      <c r="H1395" s="474"/>
      <c r="I1395" s="475"/>
      <c r="J1395" s="474"/>
      <c r="K1395" s="474"/>
      <c r="L1395" s="475"/>
      <c r="M1395" s="474"/>
      <c r="N1395" s="474"/>
      <c r="O1395" s="474"/>
    </row>
    <row r="1396" customFormat="false" ht="30" hidden="false" customHeight="false" outlineLevel="0" collapsed="false">
      <c r="A1396" s="327" t="s">
        <v>2373</v>
      </c>
      <c r="B1396" s="433" t="s">
        <v>3915</v>
      </c>
      <c r="C1396" s="542" t="e">
        <f aca="false">мат.затр!g11839</f>
        <v>#NAME?</v>
      </c>
      <c r="D1396" s="542" t="n">
        <f aca="false">тарифик!J1397</f>
        <v>254.350736278447</v>
      </c>
      <c r="E1396" s="542"/>
      <c r="F1396" s="473" t="n">
        <f aca="false">D1396*0.9*0.095+D1396*3%</f>
        <v>29.3775100401606</v>
      </c>
      <c r="G1396" s="542" t="n">
        <f aca="false">амортизация!M5250</f>
        <v>181.001831399673</v>
      </c>
      <c r="H1396" s="473" t="e">
        <f aca="false">C1396+D1396+F1396+G1396</f>
        <v>#NAME?</v>
      </c>
      <c r="I1396" s="462" t="n">
        <f aca="false">I$190</f>
        <v>0.240474587202079</v>
      </c>
      <c r="J1396" s="473" t="n">
        <f aca="false">D1396*I1396</f>
        <v>61.1648883111044</v>
      </c>
      <c r="K1396" s="473" t="e">
        <f aca="false">H1396+J1396</f>
        <v>#NAME?</v>
      </c>
      <c r="L1396" s="462" t="n">
        <v>0.2</v>
      </c>
      <c r="M1396" s="473" t="e">
        <f aca="false">K1396*L1396</f>
        <v>#NAME?</v>
      </c>
      <c r="N1396" s="473" t="e">
        <f aca="false">K1396+M1396</f>
        <v>#NAME?</v>
      </c>
      <c r="O1396" s="473" t="e">
        <f aca="false">M1396</f>
        <v>#NAME?</v>
      </c>
    </row>
    <row r="1397" customFormat="false" ht="15" hidden="false" customHeight="false" outlineLevel="0" collapsed="false">
      <c r="A1397" s="327" t="s">
        <v>2375</v>
      </c>
      <c r="B1397" s="433" t="s">
        <v>3916</v>
      </c>
      <c r="C1397" s="542" t="e">
        <f aca="false">мат.затр!g11847</f>
        <v>#NAME?</v>
      </c>
      <c r="D1397" s="542" t="n">
        <f aca="false">тарифик!J1398</f>
        <v>277.777777777778</v>
      </c>
      <c r="E1397" s="542"/>
      <c r="F1397" s="473" t="n">
        <f aca="false">D1397*0.9*0.095+D1397*3%</f>
        <v>32.0833333333333</v>
      </c>
      <c r="G1397" s="542" t="n">
        <f aca="false">амортизация!M5258</f>
        <v>672.311328647925</v>
      </c>
      <c r="H1397" s="473" t="e">
        <f aca="false">C1397+D1397+F1397+G1397</f>
        <v>#NAME?</v>
      </c>
      <c r="I1397" s="462" t="n">
        <f aca="false">I$190</f>
        <v>0.240474587202079</v>
      </c>
      <c r="J1397" s="473" t="n">
        <f aca="false">D1397*I1397</f>
        <v>66.7984964450219</v>
      </c>
      <c r="K1397" s="473" t="e">
        <f aca="false">H1397+J1397</f>
        <v>#NAME?</v>
      </c>
      <c r="L1397" s="462" t="n">
        <v>0.2</v>
      </c>
      <c r="M1397" s="473" t="e">
        <f aca="false">K1397*L1397</f>
        <v>#NAME?</v>
      </c>
      <c r="N1397" s="473" t="e">
        <f aca="false">K1397+M1397</f>
        <v>#NAME?</v>
      </c>
      <c r="O1397" s="473" t="e">
        <f aca="false">M1397</f>
        <v>#NAME?</v>
      </c>
    </row>
    <row r="1398" customFormat="false" ht="30" hidden="false" customHeight="false" outlineLevel="0" collapsed="false">
      <c r="A1398" s="327" t="s">
        <v>2377</v>
      </c>
      <c r="B1398" s="433" t="s">
        <v>3917</v>
      </c>
      <c r="C1398" s="542" t="e">
        <f aca="false">мат.затр!g11854</f>
        <v>#NAME?</v>
      </c>
      <c r="D1398" s="542" t="n">
        <f aca="false">тарифик!J1399</f>
        <v>485.274431057564</v>
      </c>
      <c r="E1398" s="542"/>
      <c r="F1398" s="473" t="n">
        <f aca="false">D1398*0.9*0.095+D1398*3%</f>
        <v>56.0491967871486</v>
      </c>
      <c r="G1398" s="542" t="n">
        <f aca="false">амортизация!M5266</f>
        <v>720.696164286777</v>
      </c>
      <c r="H1398" s="473" t="e">
        <f aca="false">C1398+D1398+F1398+G1398</f>
        <v>#NAME?</v>
      </c>
      <c r="I1398" s="462" t="n">
        <f aca="false">I$190</f>
        <v>0.240474587202079</v>
      </c>
      <c r="J1398" s="473" t="n">
        <f aca="false">D1398*I1398</f>
        <v>116.696168488291</v>
      </c>
      <c r="K1398" s="473" t="e">
        <f aca="false">H1398+J1398</f>
        <v>#NAME?</v>
      </c>
      <c r="L1398" s="462" t="n">
        <v>0.2</v>
      </c>
      <c r="M1398" s="473" t="e">
        <f aca="false">K1398*L1398</f>
        <v>#NAME?</v>
      </c>
      <c r="N1398" s="473" t="e">
        <f aca="false">K1398+M1398</f>
        <v>#NAME?</v>
      </c>
      <c r="O1398" s="473" t="e">
        <f aca="false">M1398</f>
        <v>#NAME?</v>
      </c>
    </row>
    <row r="1399" customFormat="false" ht="15" hidden="false" customHeight="false" outlineLevel="0" collapsed="false">
      <c r="A1399" s="388" t="s">
        <v>2379</v>
      </c>
      <c r="B1399" s="543" t="s">
        <v>3918</v>
      </c>
      <c r="C1399" s="538"/>
      <c r="D1399" s="538"/>
      <c r="E1399" s="542"/>
      <c r="F1399" s="538"/>
      <c r="G1399" s="538"/>
      <c r="H1399" s="474"/>
      <c r="I1399" s="475"/>
      <c r="J1399" s="474"/>
      <c r="K1399" s="474"/>
      <c r="L1399" s="475"/>
      <c r="M1399" s="474"/>
      <c r="N1399" s="474"/>
      <c r="O1399" s="474"/>
    </row>
    <row r="1400" customFormat="false" ht="30" hidden="false" customHeight="false" outlineLevel="0" collapsed="false">
      <c r="A1400" s="327" t="s">
        <v>2381</v>
      </c>
      <c r="B1400" s="433" t="s">
        <v>3919</v>
      </c>
      <c r="C1400" s="542" t="e">
        <f aca="false">мат.затр!g11863</f>
        <v>#NAME?</v>
      </c>
      <c r="D1400" s="542" t="n">
        <f aca="false">тарифик!J1401</f>
        <v>254.350736278447</v>
      </c>
      <c r="E1400" s="542"/>
      <c r="F1400" s="473" t="n">
        <f aca="false">D1400*0.9*0.095+D1400*3%</f>
        <v>29.3775100401606</v>
      </c>
      <c r="G1400" s="542" t="n">
        <f aca="false">амортизация!M5274</f>
        <v>182.232349889888</v>
      </c>
      <c r="H1400" s="473" t="e">
        <f aca="false">C1400+D1400+F1400+G1400</f>
        <v>#NAME?</v>
      </c>
      <c r="I1400" s="462" t="n">
        <f aca="false">I$190</f>
        <v>0.240474587202079</v>
      </c>
      <c r="J1400" s="473" t="n">
        <f aca="false">D1400*I1400</f>
        <v>61.1648883111044</v>
      </c>
      <c r="K1400" s="473" t="e">
        <f aca="false">H1400+J1400</f>
        <v>#NAME?</v>
      </c>
      <c r="L1400" s="462" t="n">
        <v>0.2</v>
      </c>
      <c r="M1400" s="473" t="e">
        <f aca="false">K1400*L1400</f>
        <v>#NAME?</v>
      </c>
      <c r="N1400" s="473" t="e">
        <f aca="false">K1400+M1400</f>
        <v>#NAME?</v>
      </c>
      <c r="O1400" s="473" t="e">
        <f aca="false">M1400</f>
        <v>#NAME?</v>
      </c>
    </row>
    <row r="1401" customFormat="false" ht="15" hidden="false" customHeight="false" outlineLevel="0" collapsed="false">
      <c r="A1401" s="327" t="s">
        <v>2383</v>
      </c>
      <c r="B1401" s="433" t="s">
        <v>3920</v>
      </c>
      <c r="C1401" s="542" t="e">
        <f aca="false">мат.затр!g11871</f>
        <v>#NAME?</v>
      </c>
      <c r="D1401" s="542" t="n">
        <f aca="false">тарифик!J1402</f>
        <v>740.740740740741</v>
      </c>
      <c r="E1401" s="542"/>
      <c r="F1401" s="473" t="n">
        <f aca="false">D1401*0.9*0.095+D1401*3%</f>
        <v>85.5555555555556</v>
      </c>
      <c r="G1401" s="542" t="n">
        <f aca="false">амортизация!M5282</f>
        <v>672.311328647925</v>
      </c>
      <c r="H1401" s="473" t="e">
        <f aca="false">C1401+D1401+F1401+G1401</f>
        <v>#NAME?</v>
      </c>
      <c r="I1401" s="462" t="n">
        <f aca="false">I$190</f>
        <v>0.240474587202079</v>
      </c>
      <c r="J1401" s="473" t="n">
        <f aca="false">D1401*I1401</f>
        <v>178.129323853392</v>
      </c>
      <c r="K1401" s="473" t="e">
        <f aca="false">H1401+J1401</f>
        <v>#NAME?</v>
      </c>
      <c r="L1401" s="462" t="n">
        <v>0.2</v>
      </c>
      <c r="M1401" s="473" t="e">
        <f aca="false">K1401*L1401</f>
        <v>#NAME?</v>
      </c>
      <c r="N1401" s="473" t="e">
        <f aca="false">K1401+M1401</f>
        <v>#NAME?</v>
      </c>
      <c r="O1401" s="473" t="e">
        <f aca="false">M1401</f>
        <v>#NAME?</v>
      </c>
    </row>
    <row r="1402" customFormat="false" ht="30" hidden="false" customHeight="false" outlineLevel="0" collapsed="false">
      <c r="A1402" s="327" t="s">
        <v>2385</v>
      </c>
      <c r="B1402" s="433" t="s">
        <v>3921</v>
      </c>
      <c r="C1402" s="542" t="e">
        <f aca="false">мат.затр!g11880</f>
        <v>#NAME?</v>
      </c>
      <c r="D1402" s="542" t="n">
        <f aca="false">тарифик!J1403</f>
        <v>485.274431057564</v>
      </c>
      <c r="E1402" s="542"/>
      <c r="F1402" s="473" t="n">
        <f aca="false">D1402*0.9*0.095+D1402*3%</f>
        <v>56.0491967871486</v>
      </c>
      <c r="G1402" s="542" t="n">
        <f aca="false">амортизация!M5290</f>
        <v>720.696164286777</v>
      </c>
      <c r="H1402" s="473" t="e">
        <f aca="false">C1402+D1402+F1402+G1402</f>
        <v>#NAME?</v>
      </c>
      <c r="I1402" s="462" t="n">
        <f aca="false">I$190</f>
        <v>0.240474587202079</v>
      </c>
      <c r="J1402" s="473" t="n">
        <f aca="false">D1402*I1402</f>
        <v>116.696168488291</v>
      </c>
      <c r="K1402" s="473" t="e">
        <f aca="false">H1402+J1402</f>
        <v>#NAME?</v>
      </c>
      <c r="L1402" s="462" t="n">
        <v>0.2</v>
      </c>
      <c r="M1402" s="473" t="e">
        <f aca="false">K1402*L1402</f>
        <v>#NAME?</v>
      </c>
      <c r="N1402" s="473" t="e">
        <f aca="false">K1402+M1402</f>
        <v>#NAME?</v>
      </c>
      <c r="O1402" s="473" t="e">
        <f aca="false">M1402</f>
        <v>#NAME?</v>
      </c>
    </row>
    <row r="1403" customFormat="false" ht="15" hidden="false" customHeight="false" outlineLevel="0" collapsed="false">
      <c r="A1403" s="388" t="s">
        <v>2387</v>
      </c>
      <c r="B1403" s="543" t="s">
        <v>3922</v>
      </c>
      <c r="C1403" s="538"/>
      <c r="D1403" s="538"/>
      <c r="E1403" s="542"/>
      <c r="F1403" s="538"/>
      <c r="G1403" s="538"/>
      <c r="H1403" s="474"/>
      <c r="I1403" s="475"/>
      <c r="J1403" s="474"/>
      <c r="K1403" s="474"/>
      <c r="L1403" s="475"/>
      <c r="M1403" s="474"/>
      <c r="N1403" s="474"/>
      <c r="O1403" s="474"/>
    </row>
    <row r="1404" customFormat="false" ht="30" hidden="false" customHeight="false" outlineLevel="0" collapsed="false">
      <c r="A1404" s="327" t="s">
        <v>2389</v>
      </c>
      <c r="B1404" s="433" t="s">
        <v>3923</v>
      </c>
      <c r="C1404" s="542" t="e">
        <f aca="false">мат.затр!g11890</f>
        <v>#NAME?</v>
      </c>
      <c r="D1404" s="542" t="n">
        <f aca="false">тарифик!J1405</f>
        <v>254.350736278447</v>
      </c>
      <c r="E1404" s="542"/>
      <c r="F1404" s="473" t="n">
        <f aca="false">D1404*0.9*0.095+D1404*3%</f>
        <v>29.3775100401606</v>
      </c>
      <c r="G1404" s="542" t="n">
        <f aca="false">амортизация!M5298</f>
        <v>182.232349889888</v>
      </c>
      <c r="H1404" s="473" t="e">
        <f aca="false">C1404+D1404+F1404+G1404</f>
        <v>#NAME?</v>
      </c>
      <c r="I1404" s="462" t="n">
        <f aca="false">I$190</f>
        <v>0.240474587202079</v>
      </c>
      <c r="J1404" s="473" t="n">
        <f aca="false">D1404*I1404</f>
        <v>61.1648883111044</v>
      </c>
      <c r="K1404" s="473" t="e">
        <f aca="false">H1404+J1404</f>
        <v>#NAME?</v>
      </c>
      <c r="L1404" s="462" t="n">
        <v>0.2</v>
      </c>
      <c r="M1404" s="473" t="e">
        <f aca="false">K1404*L1404</f>
        <v>#NAME?</v>
      </c>
      <c r="N1404" s="473" t="e">
        <f aca="false">K1404+M1404</f>
        <v>#NAME?</v>
      </c>
      <c r="O1404" s="473" t="e">
        <f aca="false">M1404</f>
        <v>#NAME?</v>
      </c>
    </row>
    <row r="1405" customFormat="false" ht="30" hidden="false" customHeight="false" outlineLevel="0" collapsed="false">
      <c r="A1405" s="327" t="s">
        <v>2391</v>
      </c>
      <c r="B1405" s="433" t="s">
        <v>3924</v>
      </c>
      <c r="C1405" s="542" t="e">
        <f aca="false">мат.затр!g11900</f>
        <v>#NAME?</v>
      </c>
      <c r="D1405" s="542" t="n">
        <f aca="false">тарифик!J1406</f>
        <v>485.274431057564</v>
      </c>
      <c r="E1405" s="542"/>
      <c r="F1405" s="473" t="n">
        <f aca="false">D1405*0.9*0.095+D1405*3%</f>
        <v>56.0491967871486</v>
      </c>
      <c r="G1405" s="542" t="n">
        <f aca="false">амортизация!M5306</f>
        <v>720.696164286777</v>
      </c>
      <c r="H1405" s="473" t="e">
        <f aca="false">C1405+D1405+F1405+G1405</f>
        <v>#NAME?</v>
      </c>
      <c r="I1405" s="462" t="n">
        <f aca="false">I$190</f>
        <v>0.240474587202079</v>
      </c>
      <c r="J1405" s="473" t="n">
        <f aca="false">D1405*I1405</f>
        <v>116.696168488291</v>
      </c>
      <c r="K1405" s="473" t="e">
        <f aca="false">H1405+J1405</f>
        <v>#NAME?</v>
      </c>
      <c r="L1405" s="462" t="n">
        <v>0.2</v>
      </c>
      <c r="M1405" s="473" t="e">
        <f aca="false">K1405*L1405</f>
        <v>#NAME?</v>
      </c>
      <c r="N1405" s="473" t="e">
        <f aca="false">K1405+M1405</f>
        <v>#NAME?</v>
      </c>
      <c r="O1405" s="473" t="e">
        <f aca="false">M1405</f>
        <v>#NAME?</v>
      </c>
    </row>
    <row r="1406" customFormat="false" ht="15" hidden="false" customHeight="false" outlineLevel="0" collapsed="false">
      <c r="A1406" s="388" t="s">
        <v>2393</v>
      </c>
      <c r="B1406" s="543" t="s">
        <v>2394</v>
      </c>
      <c r="C1406" s="538"/>
      <c r="D1406" s="538"/>
      <c r="E1406" s="542"/>
      <c r="F1406" s="538"/>
      <c r="G1406" s="538"/>
      <c r="H1406" s="474"/>
      <c r="I1406" s="475"/>
      <c r="J1406" s="474"/>
      <c r="K1406" s="474"/>
      <c r="L1406" s="475"/>
      <c r="M1406" s="474"/>
      <c r="N1406" s="474"/>
      <c r="O1406" s="474"/>
    </row>
    <row r="1407" customFormat="false" ht="30" hidden="false" customHeight="false" outlineLevel="0" collapsed="false">
      <c r="A1407" s="327" t="s">
        <v>2395</v>
      </c>
      <c r="B1407" s="433" t="s">
        <v>3925</v>
      </c>
      <c r="C1407" s="542" t="e">
        <f aca="false">мат.затр!g11910</f>
        <v>#NAME?</v>
      </c>
      <c r="D1407" s="542" t="n">
        <f aca="false">тарифик!J1408</f>
        <v>647.032574743418</v>
      </c>
      <c r="E1407" s="542"/>
      <c r="F1407" s="473" t="n">
        <f aca="false">D1407*0.9*0.095+D1407*3%</f>
        <v>74.7322623828648</v>
      </c>
      <c r="G1407" s="542" t="n">
        <f aca="false">амортизация!M5315</f>
        <v>753.16399858694</v>
      </c>
      <c r="H1407" s="473" t="e">
        <f aca="false">C1407+D1407+F1407+G1407</f>
        <v>#NAME?</v>
      </c>
      <c r="I1407" s="462" t="n">
        <f aca="false">I$190</f>
        <v>0.240474587202079</v>
      </c>
      <c r="J1407" s="473" t="n">
        <f aca="false">D1407*I1407</f>
        <v>155.594891317722</v>
      </c>
      <c r="K1407" s="473" t="e">
        <f aca="false">H1407+J1407</f>
        <v>#NAME?</v>
      </c>
      <c r="L1407" s="462" t="n">
        <v>0.2</v>
      </c>
      <c r="M1407" s="473" t="e">
        <f aca="false">K1407*L1407</f>
        <v>#NAME?</v>
      </c>
      <c r="N1407" s="473" t="e">
        <f aca="false">K1407+M1407</f>
        <v>#NAME?</v>
      </c>
      <c r="O1407" s="473" t="e">
        <f aca="false">M1407</f>
        <v>#NAME?</v>
      </c>
    </row>
    <row r="1408" customFormat="false" ht="15" hidden="false" customHeight="false" outlineLevel="0" collapsed="false">
      <c r="A1408" s="327" t="s">
        <v>2397</v>
      </c>
      <c r="B1408" s="433" t="s">
        <v>3926</v>
      </c>
      <c r="C1408" s="542" t="e">
        <f aca="false">мат.затр!g11918</f>
        <v>#NAME?</v>
      </c>
      <c r="D1408" s="542" t="n">
        <f aca="false">тарифик!J1409</f>
        <v>370.37037037037</v>
      </c>
      <c r="E1408" s="542"/>
      <c r="F1408" s="473" t="n">
        <f aca="false">D1408*0.9*0.095+D1408*3%</f>
        <v>42.7777777777778</v>
      </c>
      <c r="G1408" s="542" t="n">
        <f aca="false">амортизация!M5323</f>
        <v>672.311328647925</v>
      </c>
      <c r="H1408" s="473" t="e">
        <f aca="false">C1408+D1408+F1408+G1408</f>
        <v>#NAME?</v>
      </c>
      <c r="I1408" s="462" t="n">
        <f aca="false">I$190</f>
        <v>0.240474587202079</v>
      </c>
      <c r="J1408" s="473" t="n">
        <f aca="false">D1408*I1408</f>
        <v>89.0646619266959</v>
      </c>
      <c r="K1408" s="473" t="e">
        <f aca="false">H1408+J1408</f>
        <v>#NAME?</v>
      </c>
      <c r="L1408" s="462" t="n">
        <v>0.2</v>
      </c>
      <c r="M1408" s="473" t="e">
        <f aca="false">K1408*L1408</f>
        <v>#NAME?</v>
      </c>
      <c r="N1408" s="473" t="e">
        <f aca="false">K1408+M1408</f>
        <v>#NAME?</v>
      </c>
      <c r="O1408" s="473" t="e">
        <f aca="false">M1408</f>
        <v>#NAME?</v>
      </c>
    </row>
    <row r="1409" customFormat="false" ht="15" hidden="false" customHeight="false" outlineLevel="0" collapsed="false">
      <c r="A1409" s="388" t="s">
        <v>2399</v>
      </c>
      <c r="B1409" s="546" t="s">
        <v>3927</v>
      </c>
      <c r="C1409" s="538"/>
      <c r="D1409" s="538"/>
      <c r="E1409" s="542"/>
      <c r="F1409" s="538"/>
      <c r="G1409" s="538"/>
      <c r="H1409" s="474"/>
      <c r="I1409" s="475"/>
      <c r="J1409" s="474"/>
      <c r="K1409" s="474"/>
      <c r="L1409" s="475"/>
      <c r="M1409" s="474"/>
      <c r="N1409" s="474"/>
      <c r="O1409" s="474"/>
    </row>
    <row r="1410" customFormat="false" ht="30" hidden="false" customHeight="false" outlineLevel="0" collapsed="false">
      <c r="A1410" s="390" t="s">
        <v>2401</v>
      </c>
      <c r="B1410" s="328" t="s">
        <v>3928</v>
      </c>
      <c r="C1410" s="542" t="e">
        <f aca="false">мат.затр!g11928</f>
        <v>#NAME?</v>
      </c>
      <c r="D1410" s="542" t="n">
        <f aca="false">тарифик!J1411</f>
        <v>254.350736278447</v>
      </c>
      <c r="E1410" s="542"/>
      <c r="F1410" s="473" t="n">
        <f aca="false">D1410*0.9*0.095+D1410*3%</f>
        <v>29.3775100401606</v>
      </c>
      <c r="G1410" s="542" t="n">
        <f aca="false">амортизация!M5332</f>
        <v>799.440168079726</v>
      </c>
      <c r="H1410" s="473" t="e">
        <f aca="false">C1410+D1410+F1410+G1410</f>
        <v>#NAME?</v>
      </c>
      <c r="I1410" s="462" t="n">
        <f aca="false">I$190</f>
        <v>0.240474587202079</v>
      </c>
      <c r="J1410" s="473" t="n">
        <f aca="false">D1410*I1410</f>
        <v>61.1648883111044</v>
      </c>
      <c r="K1410" s="473" t="e">
        <f aca="false">H1410+J1410</f>
        <v>#NAME?</v>
      </c>
      <c r="L1410" s="462" t="n">
        <v>0.2</v>
      </c>
      <c r="M1410" s="473" t="e">
        <f aca="false">K1410*L1410</f>
        <v>#NAME?</v>
      </c>
      <c r="N1410" s="473" t="e">
        <f aca="false">K1410+M1410</f>
        <v>#NAME?</v>
      </c>
      <c r="O1410" s="473" t="e">
        <f aca="false">M1410</f>
        <v>#NAME?</v>
      </c>
    </row>
    <row r="1411" customFormat="false" ht="30" hidden="false" customHeight="false" outlineLevel="0" collapsed="false">
      <c r="A1411" s="390" t="s">
        <v>2403</v>
      </c>
      <c r="B1411" s="328" t="s">
        <v>3929</v>
      </c>
      <c r="C1411" s="542" t="e">
        <f aca="false">мат.затр!g11938</f>
        <v>#NAME?</v>
      </c>
      <c r="D1411" s="542" t="n">
        <f aca="false">тарифик!J1412</f>
        <v>2183.73493975904</v>
      </c>
      <c r="E1411" s="542"/>
      <c r="F1411" s="473" t="n">
        <f aca="false">D1411*0.9*0.095+D1411*3%</f>
        <v>252.221385542169</v>
      </c>
      <c r="G1411" s="542" t="n">
        <f aca="false">амортизация!M5339</f>
        <v>182.232349889888</v>
      </c>
      <c r="H1411" s="473" t="e">
        <f aca="false">C1411+D1411+F1411+G1411</f>
        <v>#NAME?</v>
      </c>
      <c r="I1411" s="462" t="n">
        <f aca="false">I$190</f>
        <v>0.240474587202079</v>
      </c>
      <c r="J1411" s="473" t="n">
        <f aca="false">D1411*I1411</f>
        <v>525.132758197311</v>
      </c>
      <c r="K1411" s="473" t="e">
        <f aca="false">H1411+J1411</f>
        <v>#NAME?</v>
      </c>
      <c r="L1411" s="462" t="n">
        <v>0.2</v>
      </c>
      <c r="M1411" s="473" t="e">
        <f aca="false">K1411*L1411</f>
        <v>#NAME?</v>
      </c>
      <c r="N1411" s="473" t="e">
        <f aca="false">K1411+M1411</f>
        <v>#NAME?</v>
      </c>
      <c r="O1411" s="473" t="e">
        <f aca="false">M1411</f>
        <v>#NAME?</v>
      </c>
    </row>
    <row r="1412" customFormat="false" ht="15" hidden="false" customHeight="false" outlineLevel="0" collapsed="false">
      <c r="A1412" s="390" t="s">
        <v>2405</v>
      </c>
      <c r="B1412" s="328" t="s">
        <v>3930</v>
      </c>
      <c r="C1412" s="542" t="e">
        <f aca="false">мат.затр!g11946</f>
        <v>#NAME?</v>
      </c>
      <c r="D1412" s="542" t="n">
        <f aca="false">тарифик!J1413</f>
        <v>324.074074074074</v>
      </c>
      <c r="E1412" s="542"/>
      <c r="F1412" s="473" t="n">
        <f aca="false">D1412*0.9*0.095+D1412*3%</f>
        <v>37.4305555555556</v>
      </c>
      <c r="G1412" s="542" t="n">
        <f aca="false">амортизация!M5347</f>
        <v>753.16399858694</v>
      </c>
      <c r="H1412" s="473" t="e">
        <f aca="false">C1412+D1412+F1412+G1412</f>
        <v>#NAME?</v>
      </c>
      <c r="I1412" s="462" t="n">
        <f aca="false">I$190</f>
        <v>0.240474587202079</v>
      </c>
      <c r="J1412" s="473" t="n">
        <f aca="false">D1412*I1412</f>
        <v>77.9315791858589</v>
      </c>
      <c r="K1412" s="473" t="e">
        <f aca="false">H1412+J1412</f>
        <v>#NAME?</v>
      </c>
      <c r="L1412" s="462" t="n">
        <v>0.2</v>
      </c>
      <c r="M1412" s="473" t="e">
        <f aca="false">K1412*L1412</f>
        <v>#NAME?</v>
      </c>
      <c r="N1412" s="473" t="e">
        <f aca="false">K1412+M1412</f>
        <v>#NAME?</v>
      </c>
      <c r="O1412" s="473" t="e">
        <f aca="false">M1412</f>
        <v>#NAME?</v>
      </c>
    </row>
    <row r="1413" customFormat="false" ht="15" hidden="false" customHeight="false" outlineLevel="0" collapsed="false">
      <c r="A1413" s="388" t="s">
        <v>2407</v>
      </c>
      <c r="B1413" s="543" t="s">
        <v>2408</v>
      </c>
      <c r="C1413" s="538"/>
      <c r="D1413" s="538"/>
      <c r="E1413" s="542"/>
      <c r="F1413" s="538"/>
      <c r="G1413" s="538"/>
      <c r="H1413" s="474"/>
      <c r="I1413" s="475"/>
      <c r="J1413" s="474"/>
      <c r="K1413" s="474"/>
      <c r="L1413" s="475"/>
      <c r="M1413" s="474"/>
      <c r="N1413" s="474"/>
      <c r="O1413" s="474"/>
    </row>
    <row r="1414" customFormat="false" ht="15" hidden="false" customHeight="false" outlineLevel="0" collapsed="false">
      <c r="A1414" s="327" t="s">
        <v>2409</v>
      </c>
      <c r="B1414" s="433" t="s">
        <v>3931</v>
      </c>
      <c r="C1414" s="542" t="e">
        <f aca="false">мат.затр!g11961</f>
        <v>#NAME?</v>
      </c>
      <c r="D1414" s="542" t="n">
        <f aca="false">тарифик!J1415</f>
        <v>428.380187416332</v>
      </c>
      <c r="E1414" s="542"/>
      <c r="F1414" s="473" t="n">
        <f aca="false">D1414*0.9*0.095+D1414*3%</f>
        <v>49.4779116465863</v>
      </c>
      <c r="G1414" s="542" t="n">
        <f aca="false">амортизация!M5355</f>
        <v>799.440168079726</v>
      </c>
      <c r="H1414" s="473" t="e">
        <f aca="false">C1414+D1414+F1414+G1414</f>
        <v>#NAME?</v>
      </c>
      <c r="I1414" s="462" t="n">
        <f aca="false">I$190</f>
        <v>0.240474587202079</v>
      </c>
      <c r="J1414" s="473" t="n">
        <f aca="false">D1414*I1414</f>
        <v>103.014548734492</v>
      </c>
      <c r="K1414" s="473" t="e">
        <f aca="false">H1414+J1414</f>
        <v>#NAME?</v>
      </c>
      <c r="L1414" s="462" t="n">
        <v>0.2</v>
      </c>
      <c r="M1414" s="473" t="e">
        <f aca="false">K1414*L1414</f>
        <v>#NAME?</v>
      </c>
      <c r="N1414" s="473" t="e">
        <f aca="false">K1414+M1414</f>
        <v>#NAME?</v>
      </c>
      <c r="O1414" s="473" t="e">
        <f aca="false">M1414</f>
        <v>#NAME?</v>
      </c>
    </row>
    <row r="1415" customFormat="false" ht="30" hidden="false" customHeight="false" outlineLevel="0" collapsed="false">
      <c r="A1415" s="327" t="s">
        <v>2411</v>
      </c>
      <c r="B1415" s="433" t="s">
        <v>3932</v>
      </c>
      <c r="C1415" s="542" t="e">
        <f aca="false">мат.затр!g11971</f>
        <v>#NAME?</v>
      </c>
      <c r="D1415" s="542" t="n">
        <f aca="false">тарифик!J1416</f>
        <v>428.380187416332</v>
      </c>
      <c r="E1415" s="542"/>
      <c r="F1415" s="473" t="n">
        <f aca="false">D1415*0.9*0.095+D1415*3%</f>
        <v>49.4779116465863</v>
      </c>
      <c r="G1415" s="542" t="n">
        <f aca="false">амортизация!M5363</f>
        <v>1026.08749814071</v>
      </c>
      <c r="H1415" s="473" t="e">
        <f aca="false">C1415+D1415+F1415+G1415</f>
        <v>#NAME?</v>
      </c>
      <c r="I1415" s="462" t="n">
        <f aca="false">I$190</f>
        <v>0.240474587202079</v>
      </c>
      <c r="J1415" s="473" t="n">
        <f aca="false">D1415*I1415</f>
        <v>103.014548734492</v>
      </c>
      <c r="K1415" s="473" t="e">
        <f aca="false">H1415+J1415</f>
        <v>#NAME?</v>
      </c>
      <c r="L1415" s="462" t="n">
        <v>0.2</v>
      </c>
      <c r="M1415" s="473" t="e">
        <f aca="false">K1415*L1415</f>
        <v>#NAME?</v>
      </c>
      <c r="N1415" s="473" t="e">
        <f aca="false">K1415+M1415</f>
        <v>#NAME?</v>
      </c>
      <c r="O1415" s="473" t="e">
        <f aca="false">M1415</f>
        <v>#NAME?</v>
      </c>
    </row>
    <row r="1416" customFormat="false" ht="15" hidden="false" customHeight="false" outlineLevel="0" collapsed="false">
      <c r="A1416" s="388" t="s">
        <v>2413</v>
      </c>
      <c r="B1416" s="543" t="s">
        <v>3933</v>
      </c>
      <c r="C1416" s="538"/>
      <c r="D1416" s="538"/>
      <c r="E1416" s="542"/>
      <c r="F1416" s="538"/>
      <c r="G1416" s="538"/>
      <c r="H1416" s="474"/>
      <c r="I1416" s="475"/>
      <c r="J1416" s="474"/>
      <c r="K1416" s="474"/>
      <c r="L1416" s="475"/>
      <c r="M1416" s="474"/>
      <c r="N1416" s="474"/>
      <c r="O1416" s="474"/>
    </row>
    <row r="1417" customFormat="false" ht="30" hidden="false" customHeight="false" outlineLevel="0" collapsed="false">
      <c r="A1417" s="327" t="s">
        <v>2415</v>
      </c>
      <c r="B1417" s="433" t="s">
        <v>3934</v>
      </c>
      <c r="C1417" s="542" t="e">
        <f aca="false">мат.затр!g11982</f>
        <v>#NAME?</v>
      </c>
      <c r="D1417" s="542" t="n">
        <f aca="false">тарифик!J1418</f>
        <v>485.274431057564</v>
      </c>
      <c r="E1417" s="542"/>
      <c r="F1417" s="473" t="n">
        <f aca="false">D1417*0.9*0.095+D1417*3%</f>
        <v>56.0491967871486</v>
      </c>
      <c r="G1417" s="542" t="n">
        <f aca="false">амортизация!M5373</f>
        <v>583.43508292429</v>
      </c>
      <c r="H1417" s="473" t="e">
        <f aca="false">C1417+D1417+F1417+G1417</f>
        <v>#NAME?</v>
      </c>
      <c r="I1417" s="462" t="n">
        <f aca="false">I$190</f>
        <v>0.240474587202079</v>
      </c>
      <c r="J1417" s="473" t="n">
        <f aca="false">D1417*I1417</f>
        <v>116.696168488291</v>
      </c>
      <c r="K1417" s="473" t="e">
        <f aca="false">H1417+J1417</f>
        <v>#NAME?</v>
      </c>
      <c r="L1417" s="462" t="n">
        <v>0.2</v>
      </c>
      <c r="M1417" s="473" t="e">
        <f aca="false">K1417*L1417</f>
        <v>#NAME?</v>
      </c>
      <c r="N1417" s="473" t="e">
        <f aca="false">K1417+M1417</f>
        <v>#NAME?</v>
      </c>
      <c r="O1417" s="473" t="e">
        <f aca="false">M1417</f>
        <v>#NAME?</v>
      </c>
    </row>
    <row r="1418" customFormat="false" ht="15" hidden="false" customHeight="false" outlineLevel="0" collapsed="false">
      <c r="A1418" s="327" t="s">
        <v>2417</v>
      </c>
      <c r="B1418" s="547" t="s">
        <v>3935</v>
      </c>
      <c r="C1418" s="542" t="e">
        <f aca="false">мат.затр!g11991</f>
        <v>#NAME?</v>
      </c>
      <c r="D1418" s="542" t="n">
        <f aca="false">тарифик!J1419</f>
        <v>505.354752342704</v>
      </c>
      <c r="E1418" s="542"/>
      <c r="F1418" s="473" t="n">
        <f aca="false">D1418*0.9*0.095+D1418*3%</f>
        <v>58.3684738955823</v>
      </c>
      <c r="G1418" s="542" t="n">
        <f aca="false">амортизация!M5381</f>
        <v>672.311328647925</v>
      </c>
      <c r="H1418" s="473" t="e">
        <f aca="false">C1418+D1418+F1418+G1418</f>
        <v>#NAME?</v>
      </c>
      <c r="I1418" s="462" t="n">
        <f aca="false">I$190</f>
        <v>0.240474587202079</v>
      </c>
      <c r="J1418" s="473" t="n">
        <f aca="false">D1418*I1418</f>
        <v>121.524975460221</v>
      </c>
      <c r="K1418" s="473" t="e">
        <f aca="false">H1418+J1418</f>
        <v>#NAME?</v>
      </c>
      <c r="L1418" s="462" t="n">
        <v>0.2</v>
      </c>
      <c r="M1418" s="473" t="e">
        <f aca="false">K1418*L1418</f>
        <v>#NAME?</v>
      </c>
      <c r="N1418" s="473" t="e">
        <f aca="false">K1418+M1418</f>
        <v>#NAME?</v>
      </c>
      <c r="O1418" s="473" t="e">
        <f aca="false">M1418</f>
        <v>#NAME?</v>
      </c>
    </row>
    <row r="1419" customFormat="false" ht="15" hidden="false" customHeight="false" outlineLevel="0" collapsed="false">
      <c r="A1419" s="388" t="s">
        <v>2419</v>
      </c>
      <c r="B1419" s="543" t="s">
        <v>3936</v>
      </c>
      <c r="C1419" s="538"/>
      <c r="D1419" s="538"/>
      <c r="E1419" s="542"/>
      <c r="F1419" s="538"/>
      <c r="G1419" s="538"/>
      <c r="H1419" s="474"/>
      <c r="I1419" s="475"/>
      <c r="J1419" s="474"/>
      <c r="K1419" s="474"/>
      <c r="L1419" s="475"/>
      <c r="M1419" s="474"/>
      <c r="N1419" s="474"/>
      <c r="O1419" s="474"/>
    </row>
    <row r="1420" customFormat="false" ht="30" hidden="false" customHeight="false" outlineLevel="0" collapsed="false">
      <c r="A1420" s="327" t="s">
        <v>2421</v>
      </c>
      <c r="B1420" s="433" t="s">
        <v>3937</v>
      </c>
      <c r="C1420" s="542" t="e">
        <f aca="false">мат.затр!g12002</f>
        <v>#NAME?</v>
      </c>
      <c r="D1420" s="542" t="n">
        <f aca="false">тарифик!J1421</f>
        <v>485.274431057564</v>
      </c>
      <c r="E1420" s="542"/>
      <c r="F1420" s="473" t="n">
        <f aca="false">D1420*0.9*0.095+D1420*3%</f>
        <v>56.0491967871486</v>
      </c>
      <c r="G1420" s="542" t="n">
        <f aca="false">амортизация!M5390</f>
        <v>888.947131117061</v>
      </c>
      <c r="H1420" s="473" t="e">
        <f aca="false">C1420+D1420+F1420+G1420</f>
        <v>#NAME?</v>
      </c>
      <c r="I1420" s="462" t="n">
        <f aca="false">I$190</f>
        <v>0.240474587202079</v>
      </c>
      <c r="J1420" s="473" t="n">
        <f aca="false">D1420*I1420</f>
        <v>116.696168488291</v>
      </c>
      <c r="K1420" s="473" t="e">
        <f aca="false">H1420+J1420</f>
        <v>#NAME?</v>
      </c>
      <c r="L1420" s="462" t="n">
        <v>0.2</v>
      </c>
      <c r="M1420" s="473" t="e">
        <f aca="false">K1420*L1420</f>
        <v>#NAME?</v>
      </c>
      <c r="N1420" s="473" t="e">
        <f aca="false">K1420+M1420</f>
        <v>#NAME?</v>
      </c>
      <c r="O1420" s="473" t="e">
        <f aca="false">M1420</f>
        <v>#NAME?</v>
      </c>
    </row>
    <row r="1421" customFormat="false" ht="15" hidden="false" customHeight="false" outlineLevel="0" collapsed="false">
      <c r="A1421" s="327" t="s">
        <v>2423</v>
      </c>
      <c r="B1421" s="433" t="s">
        <v>3938</v>
      </c>
      <c r="C1421" s="542" t="e">
        <f aca="false">мат.затр!g12011</f>
        <v>#NAME?</v>
      </c>
      <c r="D1421" s="542" t="n">
        <f aca="false">тарифик!J1422</f>
        <v>277.777777777778</v>
      </c>
      <c r="E1421" s="542"/>
      <c r="F1421" s="473" t="n">
        <f aca="false">D1421*0.9*0.095+D1421*3%</f>
        <v>32.0833333333333</v>
      </c>
      <c r="G1421" s="542" t="n">
        <f aca="false">амортизация!M5397</f>
        <v>672.311328647925</v>
      </c>
      <c r="H1421" s="473" t="e">
        <f aca="false">C1421+D1421+F1421+G1421</f>
        <v>#NAME?</v>
      </c>
      <c r="I1421" s="462" t="n">
        <f aca="false">I$190</f>
        <v>0.240474587202079</v>
      </c>
      <c r="J1421" s="473" t="n">
        <f aca="false">D1421*I1421</f>
        <v>66.7984964450219</v>
      </c>
      <c r="K1421" s="473" t="e">
        <f aca="false">H1421+J1421</f>
        <v>#NAME?</v>
      </c>
      <c r="L1421" s="462" t="n">
        <v>0.2</v>
      </c>
      <c r="M1421" s="473" t="e">
        <f aca="false">K1421*L1421</f>
        <v>#NAME?</v>
      </c>
      <c r="N1421" s="473" t="e">
        <f aca="false">K1421+M1421</f>
        <v>#NAME?</v>
      </c>
      <c r="O1421" s="473" t="e">
        <f aca="false">M1421</f>
        <v>#NAME?</v>
      </c>
    </row>
    <row r="1422" customFormat="false" ht="15" hidden="false" customHeight="false" outlineLevel="0" collapsed="false">
      <c r="A1422" s="327" t="s">
        <v>2425</v>
      </c>
      <c r="B1422" s="433" t="s">
        <v>3939</v>
      </c>
      <c r="C1422" s="542" t="e">
        <f aca="false">мат.затр!g12020</f>
        <v>#NAME?</v>
      </c>
      <c r="D1422" s="542" t="n">
        <f aca="false">тарифик!J1423</f>
        <v>311.244979919679</v>
      </c>
      <c r="E1422" s="542"/>
      <c r="F1422" s="473" t="n">
        <f aca="false">D1422*0.9*0.095+D1422*3%</f>
        <v>35.9487951807229</v>
      </c>
      <c r="G1422" s="542" t="n">
        <f aca="false">амортизация!M5404</f>
        <v>400.745063587684</v>
      </c>
      <c r="H1422" s="473" t="e">
        <f aca="false">C1422+D1422+F1422+G1422</f>
        <v>#NAME?</v>
      </c>
      <c r="I1422" s="462" t="n">
        <f aca="false">I$190</f>
        <v>0.240474587202079</v>
      </c>
      <c r="J1422" s="473" t="n">
        <f aca="false">D1422*I1422</f>
        <v>74.8465080649041</v>
      </c>
      <c r="K1422" s="473" t="e">
        <f aca="false">H1422+J1422</f>
        <v>#NAME?</v>
      </c>
      <c r="L1422" s="462" t="n">
        <v>0.2</v>
      </c>
      <c r="M1422" s="473" t="e">
        <f aca="false">K1422*L1422</f>
        <v>#NAME?</v>
      </c>
      <c r="N1422" s="473" t="e">
        <f aca="false">K1422+M1422</f>
        <v>#NAME?</v>
      </c>
      <c r="O1422" s="473" t="e">
        <f aca="false">M1422</f>
        <v>#NAME?</v>
      </c>
    </row>
    <row r="1423" customFormat="false" ht="15" hidden="false" customHeight="false" outlineLevel="0" collapsed="false">
      <c r="A1423" s="388" t="s">
        <v>2427</v>
      </c>
      <c r="B1423" s="543" t="s">
        <v>3940</v>
      </c>
      <c r="C1423" s="538"/>
      <c r="D1423" s="538"/>
      <c r="E1423" s="542"/>
      <c r="F1423" s="538"/>
      <c r="G1423" s="538"/>
      <c r="H1423" s="474"/>
      <c r="I1423" s="475"/>
      <c r="J1423" s="474"/>
      <c r="K1423" s="474"/>
      <c r="L1423" s="475"/>
      <c r="M1423" s="474"/>
      <c r="N1423" s="474"/>
      <c r="O1423" s="474"/>
    </row>
    <row r="1424" customFormat="false" ht="30" hidden="false" customHeight="false" outlineLevel="0" collapsed="false">
      <c r="A1424" s="327" t="s">
        <v>2429</v>
      </c>
      <c r="B1424" s="433" t="s">
        <v>3941</v>
      </c>
      <c r="C1424" s="542" t="e">
        <f aca="false">мат.затр!g12030</f>
        <v>#NAME?</v>
      </c>
      <c r="D1424" s="542" t="n">
        <f aca="false">тарифик!J1425</f>
        <v>468.540829986613</v>
      </c>
      <c r="E1424" s="542"/>
      <c r="F1424" s="473" t="n">
        <f aca="false">D1424*0.9*0.095+D1424*3%</f>
        <v>54.1164658634538</v>
      </c>
      <c r="G1424" s="542" t="n">
        <f aca="false">амортизация!M5413</f>
        <v>888.947131117061</v>
      </c>
      <c r="H1424" s="473" t="e">
        <f aca="false">C1424+D1424+F1424+G1424</f>
        <v>#NAME?</v>
      </c>
      <c r="I1424" s="462" t="n">
        <f aca="false">I$190</f>
        <v>0.240474587202079</v>
      </c>
      <c r="J1424" s="473" t="n">
        <f aca="false">D1424*I1424</f>
        <v>112.67216267835</v>
      </c>
      <c r="K1424" s="473" t="e">
        <f aca="false">H1424+J1424</f>
        <v>#NAME?</v>
      </c>
      <c r="L1424" s="462" t="n">
        <v>0.2</v>
      </c>
      <c r="M1424" s="473" t="e">
        <f aca="false">K1424*L1424</f>
        <v>#NAME?</v>
      </c>
      <c r="N1424" s="473" t="e">
        <f aca="false">K1424+M1424</f>
        <v>#NAME?</v>
      </c>
      <c r="O1424" s="473" t="e">
        <f aca="false">M1424</f>
        <v>#NAME?</v>
      </c>
    </row>
    <row r="1425" customFormat="false" ht="15" hidden="false" customHeight="false" outlineLevel="0" collapsed="false">
      <c r="A1425" s="327" t="s">
        <v>2431</v>
      </c>
      <c r="B1425" s="433" t="s">
        <v>3942</v>
      </c>
      <c r="C1425" s="542" t="e">
        <f aca="false">мат.затр!g12038</f>
        <v>#NAME?</v>
      </c>
      <c r="D1425" s="542" t="n">
        <f aca="false">тарифик!J1426</f>
        <v>261.044176706827</v>
      </c>
      <c r="E1425" s="542"/>
      <c r="F1425" s="473" t="n">
        <f aca="false">D1425*0.9*0.095+D1425*3%</f>
        <v>30.1506024096385</v>
      </c>
      <c r="G1425" s="542" t="n">
        <f aca="false">амортизация!M5421</f>
        <v>672.311328647925</v>
      </c>
      <c r="H1425" s="473" t="e">
        <f aca="false">C1425+D1425+F1425+G1425</f>
        <v>#NAME?</v>
      </c>
      <c r="I1425" s="462" t="n">
        <f aca="false">I$190</f>
        <v>0.240474587202079</v>
      </c>
      <c r="J1425" s="473" t="n">
        <f aca="false">D1425*I1425</f>
        <v>62.7744906350808</v>
      </c>
      <c r="K1425" s="473" t="e">
        <f aca="false">H1425+J1425</f>
        <v>#NAME?</v>
      </c>
      <c r="L1425" s="462" t="n">
        <v>0.2</v>
      </c>
      <c r="M1425" s="473" t="e">
        <f aca="false">K1425*L1425</f>
        <v>#NAME?</v>
      </c>
      <c r="N1425" s="473" t="e">
        <f aca="false">K1425+M1425</f>
        <v>#NAME?</v>
      </c>
      <c r="O1425" s="473" t="e">
        <f aca="false">M1425</f>
        <v>#NAME?</v>
      </c>
    </row>
    <row r="1426" customFormat="false" ht="15" hidden="false" customHeight="false" outlineLevel="0" collapsed="false">
      <c r="A1426" s="350" t="s">
        <v>2433</v>
      </c>
      <c r="B1426" s="467" t="s">
        <v>3943</v>
      </c>
      <c r="C1426" s="538"/>
      <c r="D1426" s="538"/>
      <c r="E1426" s="542"/>
      <c r="F1426" s="538"/>
      <c r="G1426" s="538"/>
      <c r="H1426" s="474"/>
      <c r="I1426" s="475"/>
      <c r="J1426" s="474"/>
      <c r="K1426" s="474"/>
      <c r="L1426" s="475"/>
      <c r="M1426" s="474"/>
      <c r="N1426" s="474"/>
      <c r="O1426" s="474"/>
    </row>
    <row r="1427" customFormat="false" ht="30" hidden="false" customHeight="false" outlineLevel="0" collapsed="false">
      <c r="A1427" s="327" t="s">
        <v>2435</v>
      </c>
      <c r="B1427" s="328" t="s">
        <v>3944</v>
      </c>
      <c r="C1427" s="542" t="e">
        <f aca="false">мат.затр!g12048</f>
        <v>#NAME?</v>
      </c>
      <c r="D1427" s="542" t="n">
        <f aca="false">тарифик!J1428</f>
        <v>499.776885319054</v>
      </c>
      <c r="E1427" s="542"/>
      <c r="F1427" s="473" t="n">
        <f aca="false">D1427*0.9*0.095+D1427*3%</f>
        <v>57.7242302543507</v>
      </c>
      <c r="G1427" s="542" t="n">
        <f aca="false">амортизация!M5430</f>
        <v>140.49405957162</v>
      </c>
      <c r="H1427" s="473" t="e">
        <f aca="false">C1427+D1427+F1427+G1427</f>
        <v>#NAME?</v>
      </c>
      <c r="I1427" s="462" t="n">
        <f aca="false">I$190</f>
        <v>0.240474587202079</v>
      </c>
      <c r="J1427" s="473" t="n">
        <f aca="false">D1427*I1427</f>
        <v>120.18364019024</v>
      </c>
      <c r="K1427" s="473" t="e">
        <f aca="false">H1427+J1427</f>
        <v>#NAME?</v>
      </c>
      <c r="L1427" s="462" t="n">
        <v>0.2</v>
      </c>
      <c r="M1427" s="473" t="e">
        <f aca="false">K1427*L1427</f>
        <v>#NAME?</v>
      </c>
      <c r="N1427" s="473" t="e">
        <f aca="false">K1427+M1427</f>
        <v>#NAME?</v>
      </c>
      <c r="O1427" s="473" t="e">
        <f aca="false">M1427</f>
        <v>#NAME?</v>
      </c>
    </row>
    <row r="1428" customFormat="false" ht="15" hidden="false" customHeight="false" outlineLevel="0" collapsed="false">
      <c r="A1428" s="327" t="s">
        <v>2437</v>
      </c>
      <c r="B1428" s="328" t="s">
        <v>3945</v>
      </c>
      <c r="C1428" s="542" t="e">
        <f aca="false">мат.затр!g12056</f>
        <v>#NAME?</v>
      </c>
      <c r="D1428" s="542" t="n">
        <f aca="false">тарифик!J1429</f>
        <v>217.536813922356</v>
      </c>
      <c r="E1428" s="542"/>
      <c r="F1428" s="473" t="n">
        <f aca="false">D1428*0.9*0.095+D1428*3%</f>
        <v>25.1255020080321</v>
      </c>
      <c r="G1428" s="542" t="n">
        <f aca="false">амортизация!M5438</f>
        <v>672.311328647925</v>
      </c>
      <c r="H1428" s="473" t="e">
        <f aca="false">C1428+D1428+F1428+G1428</f>
        <v>#NAME?</v>
      </c>
      <c r="I1428" s="462" t="n">
        <f aca="false">I$190</f>
        <v>0.240474587202079</v>
      </c>
      <c r="J1428" s="473" t="n">
        <f aca="false">D1428*I1428</f>
        <v>52.312075529234</v>
      </c>
      <c r="K1428" s="473" t="e">
        <f aca="false">H1428+J1428</f>
        <v>#NAME?</v>
      </c>
      <c r="L1428" s="462" t="n">
        <v>0.2</v>
      </c>
      <c r="M1428" s="473" t="e">
        <f aca="false">K1428*L1428</f>
        <v>#NAME?</v>
      </c>
      <c r="N1428" s="473" t="e">
        <f aca="false">K1428+M1428</f>
        <v>#NAME?</v>
      </c>
      <c r="O1428" s="473" t="e">
        <f aca="false">M1428</f>
        <v>#NAME?</v>
      </c>
    </row>
    <row r="1429" customFormat="false" ht="15" hidden="false" customHeight="false" outlineLevel="0" collapsed="false">
      <c r="A1429" s="350" t="s">
        <v>2439</v>
      </c>
      <c r="B1429" s="467" t="s">
        <v>3946</v>
      </c>
      <c r="C1429" s="538"/>
      <c r="D1429" s="538"/>
      <c r="E1429" s="542"/>
      <c r="F1429" s="538"/>
      <c r="G1429" s="538"/>
      <c r="H1429" s="474"/>
      <c r="I1429" s="475"/>
      <c r="J1429" s="474"/>
      <c r="K1429" s="474"/>
      <c r="L1429" s="475"/>
      <c r="M1429" s="474"/>
      <c r="N1429" s="474"/>
      <c r="O1429" s="474"/>
    </row>
    <row r="1430" customFormat="false" ht="30" hidden="false" customHeight="false" outlineLevel="0" collapsed="false">
      <c r="A1430" s="327" t="s">
        <v>2441</v>
      </c>
      <c r="B1430" s="328" t="s">
        <v>3947</v>
      </c>
      <c r="C1430" s="542" t="e">
        <f aca="false">мат.затр!g12066</f>
        <v>#NAME?</v>
      </c>
      <c r="D1430" s="542" t="n">
        <f aca="false">тарифик!J1431</f>
        <v>1249.44221329764</v>
      </c>
      <c r="E1430" s="542"/>
      <c r="F1430" s="542" t="n">
        <f aca="false">D1430*0.9*0.095+D1430*3%</f>
        <v>144.310575635877</v>
      </c>
      <c r="G1430" s="542" t="n">
        <f aca="false">амортизация!M5447</f>
        <v>672.311328647925</v>
      </c>
      <c r="H1430" s="473" t="e">
        <f aca="false">C1430+D1430+F1430+G1430</f>
        <v>#NAME?</v>
      </c>
      <c r="I1430" s="462" t="n">
        <f aca="false">I$190</f>
        <v>0.240474587202079</v>
      </c>
      <c r="J1430" s="473" t="n">
        <f aca="false">D1430*I1430</f>
        <v>300.459100475601</v>
      </c>
      <c r="K1430" s="473" t="e">
        <f aca="false">H1430+J1430</f>
        <v>#NAME?</v>
      </c>
      <c r="L1430" s="462" t="n">
        <v>0.2</v>
      </c>
      <c r="M1430" s="473" t="e">
        <f aca="false">K1430*L1430</f>
        <v>#NAME?</v>
      </c>
      <c r="N1430" s="473" t="e">
        <f aca="false">K1430+M1430</f>
        <v>#NAME?</v>
      </c>
      <c r="O1430" s="473" t="e">
        <f aca="false">M1430</f>
        <v>#NAME?</v>
      </c>
    </row>
    <row r="1431" customFormat="false" ht="15" hidden="false" customHeight="false" outlineLevel="0" collapsed="false">
      <c r="A1431" s="327" t="s">
        <v>2443</v>
      </c>
      <c r="B1431" s="328" t="s">
        <v>3948</v>
      </c>
      <c r="C1431" s="542" t="e">
        <f aca="false">мат.затр!g12075</f>
        <v>#NAME?</v>
      </c>
      <c r="D1431" s="542" t="n">
        <f aca="false">тарифик!J1432</f>
        <v>217.536813922356</v>
      </c>
      <c r="E1431" s="542"/>
      <c r="F1431" s="542" t="n">
        <f aca="false">D1431*0.9*0.095+D1431*3%</f>
        <v>25.1255020080321</v>
      </c>
      <c r="G1431" s="542" t="n">
        <f aca="false">амортизация!M5455</f>
        <v>130.816460285587</v>
      </c>
      <c r="H1431" s="473" t="e">
        <f aca="false">C1431+D1431+F1431+G1431</f>
        <v>#NAME?</v>
      </c>
      <c r="I1431" s="462" t="n">
        <f aca="false">I$190</f>
        <v>0.240474587202079</v>
      </c>
      <c r="J1431" s="473" t="n">
        <f aca="false">D1431*I1431</f>
        <v>52.312075529234</v>
      </c>
      <c r="K1431" s="473" t="e">
        <f aca="false">H1431+J1431</f>
        <v>#NAME?</v>
      </c>
      <c r="L1431" s="462" t="n">
        <v>0.2</v>
      </c>
      <c r="M1431" s="473" t="e">
        <f aca="false">K1431*L1431</f>
        <v>#NAME?</v>
      </c>
      <c r="N1431" s="473" t="e">
        <f aca="false">K1431+M1431</f>
        <v>#NAME?</v>
      </c>
      <c r="O1431" s="473" t="e">
        <f aca="false">M1431</f>
        <v>#NAME?</v>
      </c>
    </row>
    <row r="1432" customFormat="false" ht="15" hidden="false" customHeight="false" outlineLevel="0" collapsed="false">
      <c r="A1432" s="350" t="s">
        <v>2445</v>
      </c>
      <c r="B1432" s="467" t="s">
        <v>3949</v>
      </c>
      <c r="C1432" s="538"/>
      <c r="D1432" s="538"/>
      <c r="E1432" s="542"/>
      <c r="F1432" s="538"/>
      <c r="G1432" s="538"/>
      <c r="H1432" s="474"/>
      <c r="I1432" s="475"/>
      <c r="J1432" s="474"/>
      <c r="K1432" s="474"/>
      <c r="L1432" s="475"/>
      <c r="M1432" s="474"/>
      <c r="N1432" s="474"/>
      <c r="O1432" s="474"/>
    </row>
    <row r="1433" customFormat="false" ht="15" hidden="false" customHeight="false" outlineLevel="0" collapsed="false">
      <c r="A1433" s="327" t="s">
        <v>2447</v>
      </c>
      <c r="B1433" s="328" t="s">
        <v>3950</v>
      </c>
      <c r="C1433" s="542" t="e">
        <f aca="false">мат.затр!g12085</f>
        <v>#NAME?</v>
      </c>
      <c r="D1433" s="542" t="n">
        <f aca="false">тарифик!J1434</f>
        <v>1249.44221329764</v>
      </c>
      <c r="E1433" s="542"/>
      <c r="F1433" s="542" t="n">
        <f aca="false">D1433*0.9*0.095+D1433*3%</f>
        <v>144.310575635877</v>
      </c>
      <c r="G1433" s="542" t="n">
        <f aca="false">амортизация!M5464</f>
        <v>672.311328647925</v>
      </c>
      <c r="H1433" s="473" t="e">
        <f aca="false">C1433+D1433+F1433+G1433</f>
        <v>#NAME?</v>
      </c>
      <c r="I1433" s="462" t="n">
        <f aca="false">I$190</f>
        <v>0.240474587202079</v>
      </c>
      <c r="J1433" s="473" t="n">
        <f aca="false">D1433*I1433</f>
        <v>300.459100475601</v>
      </c>
      <c r="K1433" s="473" t="e">
        <f aca="false">H1433+J1433</f>
        <v>#NAME?</v>
      </c>
      <c r="L1433" s="462" t="n">
        <v>0.2</v>
      </c>
      <c r="M1433" s="473" t="e">
        <f aca="false">K1433*L1433</f>
        <v>#NAME?</v>
      </c>
      <c r="N1433" s="473" t="e">
        <f aca="false">K1433+M1433</f>
        <v>#NAME?</v>
      </c>
      <c r="O1433" s="473" t="e">
        <f aca="false">M1433</f>
        <v>#NAME?</v>
      </c>
    </row>
    <row r="1434" customFormat="false" ht="15" hidden="false" customHeight="false" outlineLevel="0" collapsed="false">
      <c r="A1434" s="327" t="s">
        <v>2449</v>
      </c>
      <c r="B1434" s="328" t="s">
        <v>3951</v>
      </c>
      <c r="C1434" s="542" t="e">
        <f aca="false">мат.затр!g12093</f>
        <v>#NAME?</v>
      </c>
      <c r="D1434" s="542" t="n">
        <f aca="false">тарифик!J1435</f>
        <v>304.551539491299</v>
      </c>
      <c r="E1434" s="542"/>
      <c r="F1434" s="542" t="n">
        <f aca="false">D1434*0.9*0.095+D1434*3%</f>
        <v>35.175702811245</v>
      </c>
      <c r="G1434" s="542" t="n">
        <f aca="false">амортизация!M5472</f>
        <v>400.745063587684</v>
      </c>
      <c r="H1434" s="473" t="e">
        <f aca="false">C1434+D1434+F1434+G1434</f>
        <v>#NAME?</v>
      </c>
      <c r="I1434" s="462" t="n">
        <f aca="false">I$190</f>
        <v>0.240474587202079</v>
      </c>
      <c r="J1434" s="473" t="n">
        <f aca="false">D1434*I1434</f>
        <v>73.2369057409277</v>
      </c>
      <c r="K1434" s="473" t="e">
        <f aca="false">H1434+J1434</f>
        <v>#NAME?</v>
      </c>
      <c r="L1434" s="462" t="n">
        <v>0.2</v>
      </c>
      <c r="M1434" s="473" t="e">
        <f aca="false">K1434*L1434</f>
        <v>#NAME?</v>
      </c>
      <c r="N1434" s="473" t="e">
        <f aca="false">K1434+M1434</f>
        <v>#NAME?</v>
      </c>
      <c r="O1434" s="473" t="e">
        <f aca="false">M1434</f>
        <v>#NAME?</v>
      </c>
    </row>
    <row r="1435" customFormat="false" ht="15" hidden="false" customHeight="false" outlineLevel="0" collapsed="false">
      <c r="A1435" s="350" t="s">
        <v>2451</v>
      </c>
      <c r="B1435" s="467" t="s">
        <v>3952</v>
      </c>
      <c r="C1435" s="538"/>
      <c r="D1435" s="538"/>
      <c r="E1435" s="542"/>
      <c r="F1435" s="538"/>
      <c r="G1435" s="538"/>
      <c r="H1435" s="474"/>
      <c r="I1435" s="475"/>
      <c r="J1435" s="474"/>
      <c r="K1435" s="474"/>
      <c r="L1435" s="475"/>
      <c r="M1435" s="474"/>
      <c r="N1435" s="474"/>
      <c r="O1435" s="474"/>
    </row>
    <row r="1436" customFormat="false" ht="30" hidden="false" customHeight="false" outlineLevel="0" collapsed="false">
      <c r="A1436" s="327" t="s">
        <v>2453</v>
      </c>
      <c r="B1436" s="328" t="s">
        <v>3953</v>
      </c>
      <c r="C1436" s="542" t="e">
        <f aca="false">мат.затр!g12104</f>
        <v>#NAME?</v>
      </c>
      <c r="D1436" s="542" t="n">
        <f aca="false">тарифик!J1437</f>
        <v>1327.53235162874</v>
      </c>
      <c r="E1436" s="542"/>
      <c r="F1436" s="542" t="n">
        <f aca="false">D1436*0.9*0.095+D1436*3%</f>
        <v>153.329986613119</v>
      </c>
      <c r="G1436" s="542" t="n">
        <f aca="false">амортизация!M5481</f>
        <v>672.311328647925</v>
      </c>
      <c r="H1436" s="473" t="e">
        <f aca="false">C1436+D1436+F1436+G1436</f>
        <v>#NAME?</v>
      </c>
      <c r="I1436" s="462" t="n">
        <f aca="false">I$190</f>
        <v>0.240474587202079</v>
      </c>
      <c r="J1436" s="473" t="n">
        <f aca="false">D1436*I1436</f>
        <v>319.237794255326</v>
      </c>
      <c r="K1436" s="473" t="e">
        <f aca="false">H1436+J1436</f>
        <v>#NAME?</v>
      </c>
      <c r="L1436" s="462" t="n">
        <v>0.2</v>
      </c>
      <c r="M1436" s="473" t="e">
        <f aca="false">K1436*L1436</f>
        <v>#NAME?</v>
      </c>
      <c r="N1436" s="473" t="e">
        <f aca="false">K1436+M1436</f>
        <v>#NAME?</v>
      </c>
      <c r="O1436" s="473" t="e">
        <f aca="false">M1436</f>
        <v>#NAME?</v>
      </c>
    </row>
    <row r="1437" customFormat="false" ht="15" hidden="false" customHeight="false" outlineLevel="0" collapsed="false">
      <c r="A1437" s="327" t="s">
        <v>2455</v>
      </c>
      <c r="B1437" s="328" t="s">
        <v>3954</v>
      </c>
      <c r="C1437" s="542" t="e">
        <f aca="false">мат.затр!g12112</f>
        <v>#NAME?</v>
      </c>
      <c r="D1437" s="542" t="n">
        <f aca="false">тарифик!J1438</f>
        <v>265.506470325747</v>
      </c>
      <c r="E1437" s="542"/>
      <c r="F1437" s="542" t="n">
        <f aca="false">D1437*0.9*0.095+D1437*3%</f>
        <v>30.6659973226238</v>
      </c>
      <c r="G1437" s="542" t="n">
        <f aca="false">амортизация!M5489</f>
        <v>400.745063587684</v>
      </c>
      <c r="H1437" s="473" t="e">
        <f aca="false">C1437+D1437+F1437+G1437</f>
        <v>#NAME?</v>
      </c>
      <c r="I1437" s="462" t="n">
        <f aca="false">I$190</f>
        <v>0.240474587202079</v>
      </c>
      <c r="J1437" s="473" t="n">
        <f aca="false">D1437*I1437</f>
        <v>63.8475588510651</v>
      </c>
      <c r="K1437" s="473" t="e">
        <f aca="false">H1437+J1437</f>
        <v>#NAME?</v>
      </c>
      <c r="L1437" s="462" t="n">
        <v>0.2</v>
      </c>
      <c r="M1437" s="473" t="e">
        <f aca="false">K1437*L1437</f>
        <v>#NAME?</v>
      </c>
      <c r="N1437" s="473" t="e">
        <f aca="false">K1437+M1437</f>
        <v>#NAME?</v>
      </c>
      <c r="O1437" s="473" t="e">
        <f aca="false">M1437</f>
        <v>#NAME?</v>
      </c>
    </row>
    <row r="1438" customFormat="false" ht="15" hidden="false" customHeight="false" outlineLevel="0" collapsed="false">
      <c r="A1438" s="388" t="s">
        <v>2457</v>
      </c>
      <c r="B1438" s="543" t="s">
        <v>2458</v>
      </c>
      <c r="C1438" s="538"/>
      <c r="D1438" s="538"/>
      <c r="E1438" s="542"/>
      <c r="F1438" s="538"/>
      <c r="G1438" s="538"/>
      <c r="H1438" s="474"/>
      <c r="I1438" s="475"/>
      <c r="J1438" s="474"/>
      <c r="K1438" s="474"/>
      <c r="L1438" s="475"/>
      <c r="M1438" s="474"/>
      <c r="N1438" s="474"/>
      <c r="O1438" s="474"/>
    </row>
    <row r="1439" customFormat="false" ht="30" hidden="false" customHeight="false" outlineLevel="0" collapsed="false">
      <c r="A1439" s="327" t="s">
        <v>2459</v>
      </c>
      <c r="B1439" s="433" t="s">
        <v>3955</v>
      </c>
      <c r="C1439" s="542" t="e">
        <f aca="false">мат.затр!g12120</f>
        <v>#NAME?</v>
      </c>
      <c r="D1439" s="542" t="n">
        <f aca="false">тарифик!J1440</f>
        <v>468.540829986613</v>
      </c>
      <c r="E1439" s="542"/>
      <c r="F1439" s="473" t="n">
        <f aca="false">D1439*0.9*0.095+D1439*3%</f>
        <v>54.1164658634538</v>
      </c>
      <c r="G1439" s="542" t="n">
        <f aca="false">амортизация!M5498</f>
        <v>672.311328647925</v>
      </c>
      <c r="H1439" s="473" t="e">
        <f aca="false">C1439+D1439+F1439+G1439</f>
        <v>#NAME?</v>
      </c>
      <c r="I1439" s="462" t="n">
        <f aca="false">I$190</f>
        <v>0.240474587202079</v>
      </c>
      <c r="J1439" s="473" t="n">
        <f aca="false">D1439*I1439</f>
        <v>112.67216267835</v>
      </c>
      <c r="K1439" s="473" t="e">
        <f aca="false">H1439+J1439</f>
        <v>#NAME?</v>
      </c>
      <c r="L1439" s="462" t="n">
        <v>0.2</v>
      </c>
      <c r="M1439" s="473" t="e">
        <f aca="false">K1439*L1439</f>
        <v>#NAME?</v>
      </c>
      <c r="N1439" s="473" t="e">
        <f aca="false">K1439+M1439</f>
        <v>#NAME?</v>
      </c>
      <c r="O1439" s="473" t="e">
        <f aca="false">M1439</f>
        <v>#NAME?</v>
      </c>
    </row>
    <row r="1440" customFormat="false" ht="15" hidden="false" customHeight="false" outlineLevel="0" collapsed="false">
      <c r="A1440" s="327" t="s">
        <v>2461</v>
      </c>
      <c r="B1440" s="433" t="s">
        <v>3956</v>
      </c>
      <c r="C1440" s="542" t="e">
        <f aca="false">мат.затр!g12128</f>
        <v>#NAME?</v>
      </c>
      <c r="D1440" s="542" t="n">
        <f aca="false">тарифик!J1441</f>
        <v>672.690763052209</v>
      </c>
      <c r="E1440" s="542"/>
      <c r="F1440" s="473" t="n">
        <f aca="false">D1440*0.9*0.095+D1440*3%</f>
        <v>77.6957831325301</v>
      </c>
      <c r="G1440" s="542" t="n">
        <f aca="false">амортизация!M5506</f>
        <v>672.311328647925</v>
      </c>
      <c r="H1440" s="473" t="e">
        <f aca="false">C1440+D1440+F1440+G1440</f>
        <v>#NAME?</v>
      </c>
      <c r="I1440" s="462" t="n">
        <f aca="false">I$190</f>
        <v>0.240474587202079</v>
      </c>
      <c r="J1440" s="473" t="n">
        <f aca="false">D1440*I1440</f>
        <v>161.765033559631</v>
      </c>
      <c r="K1440" s="473" t="e">
        <f aca="false">H1440+J1440</f>
        <v>#NAME?</v>
      </c>
      <c r="L1440" s="462" t="n">
        <v>0.2</v>
      </c>
      <c r="M1440" s="473" t="e">
        <f aca="false">K1440*L1440</f>
        <v>#NAME?</v>
      </c>
      <c r="N1440" s="473" t="e">
        <f aca="false">K1440+M1440</f>
        <v>#NAME?</v>
      </c>
      <c r="O1440" s="473" t="e">
        <f aca="false">M1440</f>
        <v>#NAME?</v>
      </c>
    </row>
    <row r="1441" customFormat="false" ht="15" hidden="false" customHeight="false" outlineLevel="0" collapsed="false">
      <c r="A1441" s="388" t="s">
        <v>2463</v>
      </c>
      <c r="B1441" s="543" t="s">
        <v>3957</v>
      </c>
      <c r="C1441" s="538"/>
      <c r="D1441" s="538"/>
      <c r="E1441" s="542"/>
      <c r="F1441" s="538"/>
      <c r="G1441" s="538"/>
      <c r="H1441" s="474"/>
      <c r="I1441" s="475"/>
      <c r="J1441" s="474"/>
      <c r="K1441" s="474"/>
      <c r="L1441" s="475"/>
      <c r="M1441" s="474"/>
      <c r="N1441" s="474"/>
      <c r="O1441" s="474"/>
    </row>
    <row r="1442" customFormat="false" ht="30" hidden="false" customHeight="false" outlineLevel="0" collapsed="false">
      <c r="A1442" s="327" t="s">
        <v>2465</v>
      </c>
      <c r="B1442" s="433" t="s">
        <v>3958</v>
      </c>
      <c r="C1442" s="542" t="e">
        <f aca="false">мат.затр!g12138</f>
        <v>#NAME?</v>
      </c>
      <c r="D1442" s="542" t="n">
        <f aca="false">тарифик!J1443</f>
        <v>312.360553324409</v>
      </c>
      <c r="E1442" s="542"/>
      <c r="F1442" s="542" t="n">
        <f aca="false">D1442*0.9*0.095+D1442*3%</f>
        <v>36.0776439089692</v>
      </c>
      <c r="G1442" s="542" t="n">
        <f aca="false">амортизация!M5515</f>
        <v>672.311328647925</v>
      </c>
      <c r="H1442" s="473" t="e">
        <f aca="false">C1442+D1442+F1442+G1442</f>
        <v>#NAME?</v>
      </c>
      <c r="I1442" s="462" t="n">
        <f aca="false">I$190</f>
        <v>0.240474587202079</v>
      </c>
      <c r="J1442" s="473" t="n">
        <f aca="false">D1442*I1442</f>
        <v>75.1147751189002</v>
      </c>
      <c r="K1442" s="473" t="e">
        <f aca="false">H1442+J1442</f>
        <v>#NAME?</v>
      </c>
      <c r="L1442" s="462" t="n">
        <v>0.2</v>
      </c>
      <c r="M1442" s="473" t="e">
        <f aca="false">K1442*L1442</f>
        <v>#NAME?</v>
      </c>
      <c r="N1442" s="473" t="e">
        <f aca="false">K1442+M1442</f>
        <v>#NAME?</v>
      </c>
      <c r="O1442" s="473" t="e">
        <f aca="false">M1442</f>
        <v>#NAME?</v>
      </c>
    </row>
    <row r="1443" customFormat="false" ht="15" hidden="false" customHeight="false" outlineLevel="0" collapsed="false">
      <c r="A1443" s="327" t="s">
        <v>2467</v>
      </c>
      <c r="B1443" s="433" t="s">
        <v>3959</v>
      </c>
      <c r="C1443" s="542" t="e">
        <f aca="false">мат.затр!g12146</f>
        <v>#NAME?</v>
      </c>
      <c r="D1443" s="542" t="n">
        <f aca="false">тарифик!J1444</f>
        <v>448.460508701473</v>
      </c>
      <c r="E1443" s="542"/>
      <c r="F1443" s="542" t="n">
        <f aca="false">D1443*0.9*0.095+D1443*3%</f>
        <v>51.7971887550201</v>
      </c>
      <c r="G1443" s="542" t="n">
        <f aca="false">амортизация!M5523</f>
        <v>672.311328647925</v>
      </c>
      <c r="H1443" s="473" t="e">
        <f aca="false">C1443+D1443+F1443+G1443</f>
        <v>#NAME?</v>
      </c>
      <c r="I1443" s="462" t="n">
        <f aca="false">I$190</f>
        <v>0.240474587202079</v>
      </c>
      <c r="J1443" s="473" t="n">
        <f aca="false">D1443*I1443</f>
        <v>107.843355706421</v>
      </c>
      <c r="K1443" s="473" t="e">
        <f aca="false">H1443+J1443</f>
        <v>#NAME?</v>
      </c>
      <c r="L1443" s="462" t="n">
        <v>0.2</v>
      </c>
      <c r="M1443" s="473" t="e">
        <f aca="false">K1443*L1443</f>
        <v>#NAME?</v>
      </c>
      <c r="N1443" s="473" t="e">
        <f aca="false">K1443+M1443</f>
        <v>#NAME?</v>
      </c>
      <c r="O1443" s="473" t="e">
        <f aca="false">M1443</f>
        <v>#NAME?</v>
      </c>
    </row>
    <row r="1444" customFormat="false" ht="15" hidden="false" customHeight="false" outlineLevel="0" collapsed="false">
      <c r="A1444" s="388" t="s">
        <v>2469</v>
      </c>
      <c r="B1444" s="467" t="s">
        <v>3960</v>
      </c>
      <c r="C1444" s="538"/>
      <c r="D1444" s="538"/>
      <c r="E1444" s="542"/>
      <c r="F1444" s="538"/>
      <c r="G1444" s="538"/>
      <c r="H1444" s="474"/>
      <c r="I1444" s="475"/>
      <c r="J1444" s="474"/>
      <c r="K1444" s="474"/>
      <c r="L1444" s="475"/>
      <c r="M1444" s="474"/>
      <c r="N1444" s="474"/>
      <c r="O1444" s="474"/>
    </row>
    <row r="1445" customFormat="false" ht="30" hidden="false" customHeight="false" outlineLevel="0" collapsed="false">
      <c r="A1445" s="390" t="s">
        <v>2471</v>
      </c>
      <c r="B1445" s="328" t="s">
        <v>3961</v>
      </c>
      <c r="C1445" s="542" t="e">
        <f aca="false">мат.затр!g12157</f>
        <v>#NAME?</v>
      </c>
      <c r="D1445" s="542" t="n">
        <f aca="false">тарифик!J1446</f>
        <v>468.540829986613</v>
      </c>
      <c r="E1445" s="542"/>
      <c r="F1445" s="542" t="n">
        <f aca="false">D1445*0.9*0.095+D1445*3%</f>
        <v>54.1164658634538</v>
      </c>
      <c r="G1445" s="542" t="n">
        <f aca="false">амортизация!M5532</f>
        <v>604.419762382865</v>
      </c>
      <c r="H1445" s="473" t="e">
        <f aca="false">C1445+D1445+F1445+G1445</f>
        <v>#NAME?</v>
      </c>
      <c r="I1445" s="462" t="n">
        <f aca="false">I$190</f>
        <v>0.240474587202079</v>
      </c>
      <c r="J1445" s="473" t="n">
        <f aca="false">D1445*I1445</f>
        <v>112.67216267835</v>
      </c>
      <c r="K1445" s="473" t="e">
        <f aca="false">H1445+J1445</f>
        <v>#NAME?</v>
      </c>
      <c r="L1445" s="462" t="n">
        <v>0.2</v>
      </c>
      <c r="M1445" s="473" t="e">
        <f aca="false">K1445*L1445</f>
        <v>#NAME?</v>
      </c>
      <c r="N1445" s="473" t="e">
        <f aca="false">K1445+M1445</f>
        <v>#NAME?</v>
      </c>
      <c r="O1445" s="473" t="e">
        <f aca="false">M1445</f>
        <v>#NAME?</v>
      </c>
    </row>
    <row r="1446" customFormat="false" ht="15" hidden="false" customHeight="false" outlineLevel="0" collapsed="false">
      <c r="A1446" s="390" t="s">
        <v>2473</v>
      </c>
      <c r="B1446" s="328" t="s">
        <v>3962</v>
      </c>
      <c r="C1446" s="542" t="e">
        <f aca="false">мат.затр!g12162</f>
        <v>#NAME?</v>
      </c>
      <c r="D1446" s="542" t="n">
        <f aca="false">тарифик!J1447</f>
        <v>448.460508701473</v>
      </c>
      <c r="E1446" s="542"/>
      <c r="F1446" s="542" t="n">
        <f aca="false">D1446*0.9*0.095+D1446*3%</f>
        <v>51.7971887550201</v>
      </c>
      <c r="G1446" s="542" t="n">
        <f aca="false">амортизация!M5540</f>
        <v>604.419762382865</v>
      </c>
      <c r="H1446" s="473" t="e">
        <f aca="false">C1446+D1446+F1446+G1446</f>
        <v>#NAME?</v>
      </c>
      <c r="I1446" s="462" t="n">
        <f aca="false">I$190</f>
        <v>0.240474587202079</v>
      </c>
      <c r="J1446" s="473" t="n">
        <f aca="false">D1446*I1446</f>
        <v>107.843355706421</v>
      </c>
      <c r="K1446" s="473" t="e">
        <f aca="false">H1446+J1446</f>
        <v>#NAME?</v>
      </c>
      <c r="L1446" s="462" t="n">
        <v>0.2</v>
      </c>
      <c r="M1446" s="473" t="e">
        <f aca="false">K1446*L1446</f>
        <v>#NAME?</v>
      </c>
      <c r="N1446" s="473" t="e">
        <f aca="false">K1446+M1446</f>
        <v>#NAME?</v>
      </c>
      <c r="O1446" s="473" t="e">
        <f aca="false">M1446</f>
        <v>#NAME?</v>
      </c>
    </row>
    <row r="1447" customFormat="false" ht="15" hidden="false" customHeight="false" outlineLevel="0" collapsed="false">
      <c r="A1447" s="388" t="s">
        <v>2475</v>
      </c>
      <c r="B1447" s="543" t="s">
        <v>3963</v>
      </c>
      <c r="C1447" s="538"/>
      <c r="D1447" s="538"/>
      <c r="E1447" s="542"/>
      <c r="F1447" s="538"/>
      <c r="G1447" s="538"/>
      <c r="H1447" s="474"/>
      <c r="I1447" s="475"/>
      <c r="J1447" s="474"/>
      <c r="K1447" s="474"/>
      <c r="L1447" s="475"/>
      <c r="M1447" s="474"/>
      <c r="N1447" s="474"/>
      <c r="O1447" s="474"/>
    </row>
    <row r="1448" customFormat="false" ht="30" hidden="false" customHeight="false" outlineLevel="0" collapsed="false">
      <c r="A1448" s="391" t="s">
        <v>2477</v>
      </c>
      <c r="B1448" s="328" t="s">
        <v>3964</v>
      </c>
      <c r="C1448" s="542" t="e">
        <f aca="false">мат.затр!g12177</f>
        <v>#NAME?</v>
      </c>
      <c r="D1448" s="542" t="n">
        <f aca="false">тарифик!J1449</f>
        <v>9638.55421686747</v>
      </c>
      <c r="E1448" s="542"/>
      <c r="F1448" s="473" t="n">
        <f aca="false">D1448*0.9*0.095+D1448*3%</f>
        <v>1113.25301204819</v>
      </c>
      <c r="G1448" s="542" t="n">
        <f aca="false">амортизация!M5549</f>
        <v>1556.03920310873</v>
      </c>
      <c r="H1448" s="473" t="e">
        <f aca="false">C1448+D1448+F1448+G1448</f>
        <v>#NAME?</v>
      </c>
      <c r="I1448" s="462" t="n">
        <f aca="false">I$190</f>
        <v>0.240474587202079</v>
      </c>
      <c r="J1448" s="473" t="n">
        <f aca="false">D1448*I1448</f>
        <v>2317.82734652606</v>
      </c>
      <c r="K1448" s="473" t="e">
        <f aca="false">H1448+J1448</f>
        <v>#NAME?</v>
      </c>
      <c r="L1448" s="462" t="n">
        <v>0.2</v>
      </c>
      <c r="M1448" s="473" t="e">
        <f aca="false">K1448*L1448</f>
        <v>#NAME?</v>
      </c>
      <c r="N1448" s="473" t="e">
        <f aca="false">K1448+M1448</f>
        <v>#NAME?</v>
      </c>
      <c r="O1448" s="473" t="e">
        <f aca="false">M1448</f>
        <v>#NAME?</v>
      </c>
    </row>
    <row r="1449" customFormat="false" ht="30" hidden="false" customHeight="false" outlineLevel="0" collapsed="false">
      <c r="A1449" s="391" t="s">
        <v>2479</v>
      </c>
      <c r="B1449" s="328" t="s">
        <v>3965</v>
      </c>
      <c r="C1449" s="542" t="e">
        <f aca="false">мат.затр!g12193</f>
        <v>#NAME?</v>
      </c>
      <c r="D1449" s="542" t="n">
        <f aca="false">тарифик!J1450</f>
        <v>9638.55421686747</v>
      </c>
      <c r="E1449" s="542"/>
      <c r="F1449" s="473" t="n">
        <f aca="false">D1449*0.9*0.095+D1449*3%</f>
        <v>1113.25301204819</v>
      </c>
      <c r="G1449" s="542" t="n">
        <f aca="false">амортизация!M5557</f>
        <v>1556.03920310873</v>
      </c>
      <c r="H1449" s="473" t="e">
        <f aca="false">C1449+D1449+F1449+G1449</f>
        <v>#NAME?</v>
      </c>
      <c r="I1449" s="462" t="n">
        <f aca="false">I$190</f>
        <v>0.240474587202079</v>
      </c>
      <c r="J1449" s="473" t="n">
        <f aca="false">D1449*I1449</f>
        <v>2317.82734652606</v>
      </c>
      <c r="K1449" s="473" t="e">
        <f aca="false">H1449+J1449</f>
        <v>#NAME?</v>
      </c>
      <c r="L1449" s="462" t="n">
        <v>0.2</v>
      </c>
      <c r="M1449" s="473" t="e">
        <f aca="false">K1449*L1449</f>
        <v>#NAME?</v>
      </c>
      <c r="N1449" s="473" t="e">
        <f aca="false">K1449+M1449</f>
        <v>#NAME?</v>
      </c>
      <c r="O1449" s="473" t="e">
        <f aca="false">M1449</f>
        <v>#NAME?</v>
      </c>
    </row>
    <row r="1450" customFormat="false" ht="30" hidden="false" customHeight="false" outlineLevel="0" collapsed="false">
      <c r="A1450" s="391" t="s">
        <v>2481</v>
      </c>
      <c r="B1450" s="328" t="s">
        <v>3966</v>
      </c>
      <c r="C1450" s="542" t="e">
        <f aca="false">мат.затр!g12208</f>
        <v>#NAME?</v>
      </c>
      <c r="D1450" s="542" t="n">
        <f aca="false">тарифик!J1451</f>
        <v>9638.55421686747</v>
      </c>
      <c r="E1450" s="542"/>
      <c r="F1450" s="473" t="n">
        <f aca="false">D1450*0.9*0.095+D1450*3%</f>
        <v>1113.25301204819</v>
      </c>
      <c r="G1450" s="542" t="n">
        <f aca="false">амортизация!M5565</f>
        <v>1556.03920310873</v>
      </c>
      <c r="H1450" s="473" t="e">
        <f aca="false">C1450+D1450+F1450+G1450</f>
        <v>#NAME?</v>
      </c>
      <c r="I1450" s="462" t="n">
        <f aca="false">I$190</f>
        <v>0.240474587202079</v>
      </c>
      <c r="J1450" s="473" t="n">
        <f aca="false">D1450*I1450</f>
        <v>2317.82734652606</v>
      </c>
      <c r="K1450" s="473" t="e">
        <f aca="false">H1450+J1450</f>
        <v>#NAME?</v>
      </c>
      <c r="L1450" s="462" t="n">
        <v>0.2</v>
      </c>
      <c r="M1450" s="473" t="e">
        <f aca="false">K1450*L1450</f>
        <v>#NAME?</v>
      </c>
      <c r="N1450" s="473" t="e">
        <f aca="false">K1450+M1450</f>
        <v>#NAME?</v>
      </c>
      <c r="O1450" s="473" t="e">
        <f aca="false">M1450</f>
        <v>#NAME?</v>
      </c>
    </row>
    <row r="1451" customFormat="false" ht="30" hidden="false" customHeight="false" outlineLevel="0" collapsed="false">
      <c r="A1451" s="392" t="s">
        <v>2483</v>
      </c>
      <c r="B1451" s="487" t="s">
        <v>3967</v>
      </c>
      <c r="C1451" s="542" t="e">
        <f aca="false">мат.затр!g12223</f>
        <v>#NAME?</v>
      </c>
      <c r="D1451" s="542" t="n">
        <f aca="false">тарифик!J1452</f>
        <v>9839.35742971888</v>
      </c>
      <c r="E1451" s="542"/>
      <c r="F1451" s="473" t="n">
        <f aca="false">D1451*0.9*0.095+D1451*3%</f>
        <v>1136.44578313253</v>
      </c>
      <c r="G1451" s="542" t="n">
        <f aca="false">амортизация!M5573</f>
        <v>672.311328647925</v>
      </c>
      <c r="H1451" s="473" t="e">
        <f aca="false">C1451+D1451+F1451+G1451</f>
        <v>#NAME?</v>
      </c>
      <c r="I1451" s="462" t="n">
        <f aca="false">I$190</f>
        <v>0.240474587202079</v>
      </c>
      <c r="J1451" s="473" t="n">
        <f aca="false">D1451*I1451</f>
        <v>2366.11541624536</v>
      </c>
      <c r="K1451" s="473" t="e">
        <f aca="false">H1451+J1451</f>
        <v>#NAME?</v>
      </c>
      <c r="L1451" s="462" t="n">
        <v>0.2</v>
      </c>
      <c r="M1451" s="473" t="e">
        <f aca="false">K1451*L1451</f>
        <v>#NAME?</v>
      </c>
      <c r="N1451" s="473" t="e">
        <f aca="false">K1451+M1451</f>
        <v>#NAME?</v>
      </c>
      <c r="O1451" s="473" t="e">
        <f aca="false">M1451</f>
        <v>#NAME?</v>
      </c>
    </row>
    <row r="1452" customFormat="false" ht="30" hidden="false" customHeight="false" outlineLevel="0" collapsed="false">
      <c r="A1452" s="392" t="s">
        <v>2485</v>
      </c>
      <c r="B1452" s="487" t="s">
        <v>3968</v>
      </c>
      <c r="C1452" s="542" t="e">
        <f aca="false">мат.затр!g12238</f>
        <v>#NAME?</v>
      </c>
      <c r="D1452" s="542" t="n">
        <f aca="false">тарифик!J1453</f>
        <v>9839.35742971888</v>
      </c>
      <c r="E1452" s="542"/>
      <c r="F1452" s="473" t="n">
        <f aca="false">D1452*0.9*0.095+D1452*3%</f>
        <v>1136.44578313253</v>
      </c>
      <c r="G1452" s="542" t="n">
        <f aca="false">амортизация!M5581</f>
        <v>672.311328647925</v>
      </c>
      <c r="H1452" s="473" t="e">
        <f aca="false">C1452+D1452+F1452+G1452</f>
        <v>#NAME?</v>
      </c>
      <c r="I1452" s="462" t="n">
        <f aca="false">I$190</f>
        <v>0.240474587202079</v>
      </c>
      <c r="J1452" s="473" t="n">
        <f aca="false">D1452*I1452</f>
        <v>2366.11541624536</v>
      </c>
      <c r="K1452" s="473" t="e">
        <f aca="false">H1452+J1452</f>
        <v>#NAME?</v>
      </c>
      <c r="L1452" s="462" t="n">
        <v>0.2</v>
      </c>
      <c r="M1452" s="473" t="e">
        <f aca="false">K1452*L1452</f>
        <v>#NAME?</v>
      </c>
      <c r="N1452" s="473" t="e">
        <f aca="false">K1452+M1452</f>
        <v>#NAME?</v>
      </c>
      <c r="O1452" s="473" t="e">
        <f aca="false">M1452</f>
        <v>#NAME?</v>
      </c>
    </row>
    <row r="1453" customFormat="false" ht="30" hidden="false" customHeight="false" outlineLevel="0" collapsed="false">
      <c r="A1453" s="392" t="s">
        <v>2487</v>
      </c>
      <c r="B1453" s="487" t="s">
        <v>3969</v>
      </c>
      <c r="C1453" s="542" t="e">
        <f aca="false">мат.затр!g12253</f>
        <v>#NAME?</v>
      </c>
      <c r="D1453" s="542" t="n">
        <f aca="false">тарифик!J1454</f>
        <v>9839.35742971888</v>
      </c>
      <c r="E1453" s="542"/>
      <c r="F1453" s="473" t="n">
        <f aca="false">D1453*0.9*0.095+D1453*3%</f>
        <v>1136.44578313253</v>
      </c>
      <c r="G1453" s="542" t="n">
        <f aca="false">амортизация!M5589</f>
        <v>672.311328647925</v>
      </c>
      <c r="H1453" s="473" t="e">
        <f aca="false">C1453+D1453+F1453+G1453</f>
        <v>#NAME?</v>
      </c>
      <c r="I1453" s="462" t="n">
        <f aca="false">I$190</f>
        <v>0.240474587202079</v>
      </c>
      <c r="J1453" s="473" t="n">
        <f aca="false">D1453*I1453</f>
        <v>2366.11541624536</v>
      </c>
      <c r="K1453" s="473" t="e">
        <f aca="false">H1453+J1453</f>
        <v>#NAME?</v>
      </c>
      <c r="L1453" s="462" t="n">
        <v>0.2</v>
      </c>
      <c r="M1453" s="473" t="e">
        <f aca="false">K1453*L1453</f>
        <v>#NAME?</v>
      </c>
      <c r="N1453" s="473" t="e">
        <f aca="false">K1453+M1453</f>
        <v>#NAME?</v>
      </c>
      <c r="O1453" s="473" t="e">
        <f aca="false">M1453</f>
        <v>#NAME?</v>
      </c>
    </row>
    <row r="1454" customFormat="false" ht="15" hidden="false" customHeight="false" outlineLevel="0" collapsed="false">
      <c r="A1454" s="392" t="s">
        <v>2489</v>
      </c>
      <c r="B1454" s="487" t="s">
        <v>3970</v>
      </c>
      <c r="C1454" s="542" t="e">
        <f aca="false">мат.затр!g12268</f>
        <v>#NAME?</v>
      </c>
      <c r="D1454" s="542" t="n">
        <f aca="false">тарифик!J1455</f>
        <v>9317.26907630522</v>
      </c>
      <c r="E1454" s="542"/>
      <c r="F1454" s="473" t="n">
        <f aca="false">D1454*0.9*0.095+D1454*3%</f>
        <v>1076.14457831325</v>
      </c>
      <c r="G1454" s="542" t="n">
        <f aca="false">амортизация!M5596</f>
        <v>583.43508292429</v>
      </c>
      <c r="H1454" s="473" t="e">
        <f aca="false">C1454+D1454+F1454+G1454</f>
        <v>#NAME?</v>
      </c>
      <c r="I1454" s="462" t="n">
        <f aca="false">I$190</f>
        <v>0.240474587202079</v>
      </c>
      <c r="J1454" s="473" t="n">
        <f aca="false">D1454*I1454</f>
        <v>2240.56643497519</v>
      </c>
      <c r="K1454" s="473" t="e">
        <f aca="false">H1454+J1454</f>
        <v>#NAME?</v>
      </c>
      <c r="L1454" s="462" t="n">
        <v>0.2</v>
      </c>
      <c r="M1454" s="473" t="e">
        <f aca="false">K1454*L1454</f>
        <v>#NAME?</v>
      </c>
      <c r="N1454" s="473" t="e">
        <f aca="false">K1454+M1454</f>
        <v>#NAME?</v>
      </c>
      <c r="O1454" s="473" t="e">
        <f aca="false">M1454</f>
        <v>#NAME?</v>
      </c>
    </row>
    <row r="1455" customFormat="false" ht="30" hidden="false" customHeight="false" outlineLevel="0" collapsed="false">
      <c r="A1455" s="392" t="s">
        <v>2491</v>
      </c>
      <c r="B1455" s="487" t="s">
        <v>3971</v>
      </c>
      <c r="C1455" s="542" t="e">
        <f aca="false">мат.затр!g12283</f>
        <v>#NAME?</v>
      </c>
      <c r="D1455" s="542" t="n">
        <f aca="false">тарифик!J1456</f>
        <v>9317.26907630522</v>
      </c>
      <c r="E1455" s="542"/>
      <c r="F1455" s="473" t="n">
        <f aca="false">D1455*0.9*0.095+D1455*3%</f>
        <v>1076.14457831325</v>
      </c>
      <c r="G1455" s="542" t="n">
        <f aca="false">амортизация!M5603</f>
        <v>583.43508292429</v>
      </c>
      <c r="H1455" s="473" t="e">
        <f aca="false">C1455+D1455+F1455+G1455</f>
        <v>#NAME?</v>
      </c>
      <c r="I1455" s="462" t="n">
        <f aca="false">I$190</f>
        <v>0.240474587202079</v>
      </c>
      <c r="J1455" s="473" t="n">
        <f aca="false">D1455*I1455</f>
        <v>2240.56643497519</v>
      </c>
      <c r="K1455" s="473" t="e">
        <f aca="false">H1455+J1455</f>
        <v>#NAME?</v>
      </c>
      <c r="L1455" s="462" t="n">
        <v>0.2</v>
      </c>
      <c r="M1455" s="473" t="e">
        <f aca="false">K1455*L1455</f>
        <v>#NAME?</v>
      </c>
      <c r="N1455" s="473" t="e">
        <f aca="false">K1455+M1455</f>
        <v>#NAME?</v>
      </c>
      <c r="O1455" s="473" t="e">
        <f aca="false">M1455</f>
        <v>#NAME?</v>
      </c>
    </row>
    <row r="1456" customFormat="false" ht="32.25" hidden="false" customHeight="true" outlineLevel="0" collapsed="false">
      <c r="A1456" s="392" t="s">
        <v>2493</v>
      </c>
      <c r="B1456" s="487" t="s">
        <v>3972</v>
      </c>
      <c r="C1456" s="542" t="e">
        <f aca="false">мат.затр!g12298</f>
        <v>#NAME?</v>
      </c>
      <c r="D1456" s="542" t="n">
        <f aca="false">тарифик!J1457</f>
        <v>9317.26907630522</v>
      </c>
      <c r="E1456" s="542"/>
      <c r="F1456" s="473" t="n">
        <f aca="false">D1456*0.9*0.095+D1456*3%</f>
        <v>1076.14457831325</v>
      </c>
      <c r="G1456" s="542" t="n">
        <f aca="false">амортизация!M5610</f>
        <v>583.43508292429</v>
      </c>
      <c r="H1456" s="473" t="e">
        <f aca="false">C1456+D1456+F1456+G1456</f>
        <v>#NAME?</v>
      </c>
      <c r="I1456" s="462" t="n">
        <f aca="false">I$190</f>
        <v>0.240474587202079</v>
      </c>
      <c r="J1456" s="473" t="n">
        <f aca="false">D1456*I1456</f>
        <v>2240.56643497519</v>
      </c>
      <c r="K1456" s="473" t="e">
        <f aca="false">H1456+J1456</f>
        <v>#NAME?</v>
      </c>
      <c r="L1456" s="462" t="n">
        <v>0.2</v>
      </c>
      <c r="M1456" s="473" t="e">
        <f aca="false">K1456*L1456</f>
        <v>#NAME?</v>
      </c>
      <c r="N1456" s="473" t="e">
        <f aca="false">K1456+M1456</f>
        <v>#NAME?</v>
      </c>
      <c r="O1456" s="473" t="e">
        <f aca="false">M1456</f>
        <v>#NAME?</v>
      </c>
    </row>
    <row r="1457" customFormat="false" ht="30" hidden="false" customHeight="false" outlineLevel="0" collapsed="false">
      <c r="A1457" s="392" t="s">
        <v>2495</v>
      </c>
      <c r="B1457" s="487" t="s">
        <v>3973</v>
      </c>
      <c r="C1457" s="542" t="e">
        <f aca="false">мат.затр!g12314</f>
        <v>#NAME?</v>
      </c>
      <c r="D1457" s="542" t="n">
        <f aca="false">тарифик!J1458</f>
        <v>9839.35742971888</v>
      </c>
      <c r="E1457" s="542"/>
      <c r="F1457" s="473" t="n">
        <f aca="false">D1457*0.9*0.095+D1457*3%</f>
        <v>1136.44578313253</v>
      </c>
      <c r="G1457" s="542" t="n">
        <f aca="false">амортизация!M5617</f>
        <v>672.311328647925</v>
      </c>
      <c r="H1457" s="473" t="e">
        <f aca="false">C1457+D1457+F1457+G1457</f>
        <v>#NAME?</v>
      </c>
      <c r="I1457" s="462" t="n">
        <f aca="false">I$190</f>
        <v>0.240474587202079</v>
      </c>
      <c r="J1457" s="473" t="n">
        <f aca="false">D1457*I1457</f>
        <v>2366.11541624536</v>
      </c>
      <c r="K1457" s="473" t="e">
        <f aca="false">H1457+J1457</f>
        <v>#NAME?</v>
      </c>
      <c r="L1457" s="462" t="n">
        <v>0.2</v>
      </c>
      <c r="M1457" s="473" t="e">
        <f aca="false">K1457*L1457</f>
        <v>#NAME?</v>
      </c>
      <c r="N1457" s="473" t="e">
        <f aca="false">K1457+M1457</f>
        <v>#NAME?</v>
      </c>
      <c r="O1457" s="473" t="e">
        <f aca="false">M1457</f>
        <v>#NAME?</v>
      </c>
    </row>
    <row r="1458" customFormat="false" ht="30" hidden="false" customHeight="false" outlineLevel="0" collapsed="false">
      <c r="A1458" s="392" t="s">
        <v>2497</v>
      </c>
      <c r="B1458" s="487" t="s">
        <v>3974</v>
      </c>
      <c r="C1458" s="542" t="e">
        <f aca="false">мат.затр!g12330</f>
        <v>#NAME?</v>
      </c>
      <c r="D1458" s="542" t="n">
        <f aca="false">тарифик!J1459</f>
        <v>9839.35742971888</v>
      </c>
      <c r="E1458" s="542"/>
      <c r="F1458" s="473" t="n">
        <f aca="false">D1458*0.9*0.095+D1458*3%</f>
        <v>1136.44578313253</v>
      </c>
      <c r="G1458" s="542" t="n">
        <f aca="false">амортизация!M5624</f>
        <v>672.311328647925</v>
      </c>
      <c r="H1458" s="473" t="e">
        <f aca="false">C1458+D1458+F1458+G1458</f>
        <v>#NAME?</v>
      </c>
      <c r="I1458" s="462" t="n">
        <f aca="false">I$190</f>
        <v>0.240474587202079</v>
      </c>
      <c r="J1458" s="473" t="n">
        <f aca="false">D1458*I1458</f>
        <v>2366.11541624536</v>
      </c>
      <c r="K1458" s="473" t="e">
        <f aca="false">H1458+J1458</f>
        <v>#NAME?</v>
      </c>
      <c r="L1458" s="462" t="n">
        <v>0.2</v>
      </c>
      <c r="M1458" s="473" t="e">
        <f aca="false">K1458*L1458</f>
        <v>#NAME?</v>
      </c>
      <c r="N1458" s="473" t="e">
        <f aca="false">K1458+M1458</f>
        <v>#NAME?</v>
      </c>
      <c r="O1458" s="473" t="e">
        <f aca="false">M1458</f>
        <v>#NAME?</v>
      </c>
    </row>
    <row r="1459" customFormat="false" ht="30" hidden="false" customHeight="false" outlineLevel="0" collapsed="false">
      <c r="A1459" s="392" t="s">
        <v>2499</v>
      </c>
      <c r="B1459" s="487" t="s">
        <v>3975</v>
      </c>
      <c r="C1459" s="542" t="e">
        <f aca="false">мат.затр!g12345</f>
        <v>#NAME?</v>
      </c>
      <c r="D1459" s="542" t="n">
        <f aca="false">тарифик!J1460</f>
        <v>15461.8473895582</v>
      </c>
      <c r="E1459" s="542"/>
      <c r="F1459" s="473" t="n">
        <f aca="false">D1459*0.9*0.095+D1459*3%</f>
        <v>1785.84337349398</v>
      </c>
      <c r="G1459" s="542" t="n">
        <f aca="false">амортизация!M5632</f>
        <v>831.90800237989</v>
      </c>
      <c r="H1459" s="473" t="e">
        <f aca="false">C1459+D1459+F1459+G1459</f>
        <v>#NAME?</v>
      </c>
      <c r="I1459" s="462" t="n">
        <f aca="false">I$190</f>
        <v>0.240474587202079</v>
      </c>
      <c r="J1459" s="473" t="n">
        <f aca="false">D1459*I1459</f>
        <v>3718.18136838556</v>
      </c>
      <c r="K1459" s="473" t="e">
        <f aca="false">H1459+J1459</f>
        <v>#NAME?</v>
      </c>
      <c r="L1459" s="462" t="n">
        <v>0.2</v>
      </c>
      <c r="M1459" s="473" t="e">
        <f aca="false">K1459*L1459</f>
        <v>#NAME?</v>
      </c>
      <c r="N1459" s="473" t="e">
        <f aca="false">K1459+M1459</f>
        <v>#NAME?</v>
      </c>
      <c r="O1459" s="473" t="e">
        <f aca="false">M1459</f>
        <v>#NAME?</v>
      </c>
    </row>
    <row r="1460" customFormat="false" ht="30" hidden="false" customHeight="false" outlineLevel="0" collapsed="false">
      <c r="A1460" s="392" t="s">
        <v>2501</v>
      </c>
      <c r="B1460" s="487" t="s">
        <v>3976</v>
      </c>
      <c r="C1460" s="542" t="e">
        <f aca="false">мат.затр!g12360</f>
        <v>#NAME?</v>
      </c>
      <c r="D1460" s="542" t="n">
        <f aca="false">тарифик!J1461</f>
        <v>15461.8473895582</v>
      </c>
      <c r="E1460" s="542"/>
      <c r="F1460" s="473" t="n">
        <f aca="false">D1460*0.9*0.095+D1460*3%</f>
        <v>1785.84337349398</v>
      </c>
      <c r="G1460" s="542" t="n">
        <f aca="false">амортизация!M5640</f>
        <v>831.90800237989</v>
      </c>
      <c r="H1460" s="473" t="e">
        <f aca="false">C1460+D1460+F1460+G1460</f>
        <v>#NAME?</v>
      </c>
      <c r="I1460" s="462" t="n">
        <f aca="false">I$190</f>
        <v>0.240474587202079</v>
      </c>
      <c r="J1460" s="473" t="n">
        <f aca="false">D1460*I1460</f>
        <v>3718.18136838556</v>
      </c>
      <c r="K1460" s="473" t="e">
        <f aca="false">H1460+J1460</f>
        <v>#NAME?</v>
      </c>
      <c r="L1460" s="462" t="n">
        <v>0.2</v>
      </c>
      <c r="M1460" s="473" t="e">
        <f aca="false">K1460*L1460</f>
        <v>#NAME?</v>
      </c>
      <c r="N1460" s="473" t="e">
        <f aca="false">K1460+M1460</f>
        <v>#NAME?</v>
      </c>
      <c r="O1460" s="473" t="e">
        <f aca="false">M1460</f>
        <v>#NAME?</v>
      </c>
    </row>
    <row r="1461" customFormat="false" ht="30" hidden="false" customHeight="false" outlineLevel="0" collapsed="false">
      <c r="A1461" s="392" t="s">
        <v>2503</v>
      </c>
      <c r="B1461" s="487" t="s">
        <v>3977</v>
      </c>
      <c r="C1461" s="542" t="e">
        <f aca="false">мат.затр!g12376</f>
        <v>#NAME?</v>
      </c>
      <c r="D1461" s="542" t="n">
        <f aca="false">тарифик!J1462</f>
        <v>15461.8473895582</v>
      </c>
      <c r="E1461" s="542"/>
      <c r="F1461" s="473" t="n">
        <f aca="false">D1461*0.9*0.095+D1461*3%</f>
        <v>1785.84337349398</v>
      </c>
      <c r="G1461" s="542" t="n">
        <f aca="false">амортизация!M5648</f>
        <v>831.90800237989</v>
      </c>
      <c r="H1461" s="473" t="e">
        <f aca="false">C1461+D1461+F1461+G1461</f>
        <v>#NAME?</v>
      </c>
      <c r="I1461" s="462" t="n">
        <f aca="false">I$190</f>
        <v>0.240474587202079</v>
      </c>
      <c r="J1461" s="473" t="n">
        <f aca="false">D1461*I1461</f>
        <v>3718.18136838556</v>
      </c>
      <c r="K1461" s="473" t="e">
        <f aca="false">H1461+J1461</f>
        <v>#NAME?</v>
      </c>
      <c r="L1461" s="462" t="n">
        <v>0.2</v>
      </c>
      <c r="M1461" s="473" t="e">
        <f aca="false">K1461*L1461</f>
        <v>#NAME?</v>
      </c>
      <c r="N1461" s="473" t="e">
        <f aca="false">K1461+M1461</f>
        <v>#NAME?</v>
      </c>
      <c r="O1461" s="473" t="e">
        <f aca="false">M1461</f>
        <v>#NAME?</v>
      </c>
    </row>
    <row r="1462" customFormat="false" ht="30" hidden="false" customHeight="false" outlineLevel="0" collapsed="false">
      <c r="A1462" s="392" t="s">
        <v>2505</v>
      </c>
      <c r="B1462" s="487" t="s">
        <v>3978</v>
      </c>
      <c r="C1462" s="542" t="e">
        <f aca="false">мат.затр!g12390</f>
        <v>#NAME?</v>
      </c>
      <c r="D1462" s="542" t="n">
        <f aca="false">тарифик!J1463</f>
        <v>9919.67871485944</v>
      </c>
      <c r="E1462" s="542"/>
      <c r="F1462" s="473" t="n">
        <f aca="false">D1462*0.9*0.095+D1462*3%</f>
        <v>1145.72289156627</v>
      </c>
      <c r="G1462" s="542" t="n">
        <f aca="false">амортизация!M5656</f>
        <v>831.90800237989</v>
      </c>
      <c r="H1462" s="473" t="e">
        <f aca="false">C1462+D1462+F1462+G1462</f>
        <v>#NAME?</v>
      </c>
      <c r="I1462" s="462" t="n">
        <f aca="false">I$190</f>
        <v>0.240474587202079</v>
      </c>
      <c r="J1462" s="473" t="n">
        <f aca="false">D1462*I1462</f>
        <v>2385.43064413307</v>
      </c>
      <c r="K1462" s="473" t="e">
        <f aca="false">H1462+J1462</f>
        <v>#NAME?</v>
      </c>
      <c r="L1462" s="462" t="n">
        <v>0.2</v>
      </c>
      <c r="M1462" s="473" t="e">
        <f aca="false">K1462*L1462</f>
        <v>#NAME?</v>
      </c>
      <c r="N1462" s="473" t="e">
        <f aca="false">K1462+M1462</f>
        <v>#NAME?</v>
      </c>
      <c r="O1462" s="473" t="e">
        <f aca="false">M1462</f>
        <v>#NAME?</v>
      </c>
    </row>
    <row r="1463" customFormat="false" ht="30" hidden="false" customHeight="false" outlineLevel="0" collapsed="false">
      <c r="A1463" s="392" t="s">
        <v>2507</v>
      </c>
      <c r="B1463" s="487" t="s">
        <v>3979</v>
      </c>
      <c r="C1463" s="542" t="e">
        <f aca="false">мат.затр!g12404</f>
        <v>#NAME?</v>
      </c>
      <c r="D1463" s="542" t="n">
        <f aca="false">тарифик!J1464</f>
        <v>15461.8473895582</v>
      </c>
      <c r="E1463" s="542"/>
      <c r="F1463" s="473" t="n">
        <f aca="false">D1463*0.9*0.095+D1463*3%</f>
        <v>1785.84337349398</v>
      </c>
      <c r="G1463" s="542" t="n">
        <f aca="false">амортизация!M5664</f>
        <v>831.90800237989</v>
      </c>
      <c r="H1463" s="473" t="e">
        <f aca="false">C1463+D1463+F1463+G1463</f>
        <v>#NAME?</v>
      </c>
      <c r="I1463" s="462" t="n">
        <f aca="false">I$190</f>
        <v>0.240474587202079</v>
      </c>
      <c r="J1463" s="473" t="n">
        <f aca="false">D1463*I1463</f>
        <v>3718.18136838556</v>
      </c>
      <c r="K1463" s="473" t="e">
        <f aca="false">H1463+J1463</f>
        <v>#NAME?</v>
      </c>
      <c r="L1463" s="462" t="n">
        <v>0.2</v>
      </c>
      <c r="M1463" s="473" t="e">
        <f aca="false">K1463*L1463</f>
        <v>#NAME?</v>
      </c>
      <c r="N1463" s="473" t="e">
        <f aca="false">K1463+M1463</f>
        <v>#NAME?</v>
      </c>
      <c r="O1463" s="473" t="e">
        <f aca="false">M1463</f>
        <v>#NAME?</v>
      </c>
    </row>
    <row r="1464" customFormat="false" ht="30" hidden="false" customHeight="false" outlineLevel="0" collapsed="false">
      <c r="A1464" s="392" t="s">
        <v>2509</v>
      </c>
      <c r="B1464" s="487" t="s">
        <v>3980</v>
      </c>
      <c r="C1464" s="542" t="e">
        <f aca="false">мат.затр!g12417</f>
        <v>#NAME?</v>
      </c>
      <c r="D1464" s="542" t="n">
        <f aca="false">тарифик!J1465</f>
        <v>9518.07228915663</v>
      </c>
      <c r="E1464" s="542"/>
      <c r="F1464" s="473" t="n">
        <f aca="false">D1464*0.9*0.095+D1464*3%</f>
        <v>1099.33734939759</v>
      </c>
      <c r="G1464" s="542" t="n">
        <f aca="false">амортизация!M5672</f>
        <v>831.90800237989</v>
      </c>
      <c r="H1464" s="473" t="e">
        <f aca="false">C1464+D1464+F1464+G1464</f>
        <v>#NAME?</v>
      </c>
      <c r="I1464" s="462" t="n">
        <f aca="false">I$190</f>
        <v>0.240474587202079</v>
      </c>
      <c r="J1464" s="473" t="n">
        <f aca="false">D1464*I1464</f>
        <v>2288.85450469449</v>
      </c>
      <c r="K1464" s="473" t="e">
        <f aca="false">H1464+J1464</f>
        <v>#NAME?</v>
      </c>
      <c r="L1464" s="462" t="n">
        <v>0.2</v>
      </c>
      <c r="M1464" s="473" t="e">
        <f aca="false">K1464*L1464</f>
        <v>#NAME?</v>
      </c>
      <c r="N1464" s="473" t="e">
        <f aca="false">K1464+M1464</f>
        <v>#NAME?</v>
      </c>
      <c r="O1464" s="473" t="e">
        <f aca="false">M1464</f>
        <v>#NAME?</v>
      </c>
    </row>
    <row r="1465" customFormat="false" ht="30" hidden="false" customHeight="false" outlineLevel="0" collapsed="false">
      <c r="A1465" s="392" t="s">
        <v>2511</v>
      </c>
      <c r="B1465" s="487" t="s">
        <v>3981</v>
      </c>
      <c r="C1465" s="542" t="e">
        <f aca="false">мат.затр!g12429</f>
        <v>#NAME?</v>
      </c>
      <c r="D1465" s="542" t="n">
        <f aca="false">тарифик!J1466</f>
        <v>9518.07228915663</v>
      </c>
      <c r="E1465" s="542"/>
      <c r="F1465" s="473" t="n">
        <f aca="false">D1465*0.9*0.095+D1465*3%</f>
        <v>1099.33734939759</v>
      </c>
      <c r="G1465" s="542" t="n">
        <f aca="false">амортизация!M5680</f>
        <v>831.90800237989</v>
      </c>
      <c r="H1465" s="473" t="e">
        <f aca="false">C1465+D1465+F1465+G1465</f>
        <v>#NAME?</v>
      </c>
      <c r="I1465" s="462" t="n">
        <f aca="false">I$190</f>
        <v>0.240474587202079</v>
      </c>
      <c r="J1465" s="473" t="n">
        <f aca="false">D1465*I1465</f>
        <v>2288.85450469449</v>
      </c>
      <c r="K1465" s="473" t="e">
        <f aca="false">H1465+J1465</f>
        <v>#NAME?</v>
      </c>
      <c r="L1465" s="462" t="n">
        <v>0.2</v>
      </c>
      <c r="M1465" s="473" t="e">
        <f aca="false">K1465*L1465</f>
        <v>#NAME?</v>
      </c>
      <c r="N1465" s="473" t="e">
        <f aca="false">K1465+M1465</f>
        <v>#NAME?</v>
      </c>
      <c r="O1465" s="473" t="e">
        <f aca="false">M1465</f>
        <v>#NAME?</v>
      </c>
    </row>
    <row r="1466" customFormat="false" ht="30" hidden="false" customHeight="false" outlineLevel="0" collapsed="false">
      <c r="A1466" s="391" t="s">
        <v>2513</v>
      </c>
      <c r="B1466" s="328" t="s">
        <v>3982</v>
      </c>
      <c r="C1466" s="542" t="e">
        <f aca="false">мат.затр!g12440</f>
        <v>#NAME?</v>
      </c>
      <c r="D1466" s="542" t="n">
        <f aca="false">тарифик!J1467</f>
        <v>9779.11646586345</v>
      </c>
      <c r="E1466" s="542"/>
      <c r="F1466" s="473" t="n">
        <f aca="false">D1466*0.9*0.095+D1466*3%</f>
        <v>1129.48795180723</v>
      </c>
      <c r="G1466" s="542" t="n">
        <f aca="false">амортизация!M5688</f>
        <v>1286.75516882344</v>
      </c>
      <c r="H1466" s="473" t="e">
        <f aca="false">C1466+D1466+F1466+G1466</f>
        <v>#NAME?</v>
      </c>
      <c r="I1466" s="462" t="n">
        <f aca="false">I$190</f>
        <v>0.240474587202079</v>
      </c>
      <c r="J1466" s="473" t="n">
        <f aca="false">D1466*I1466</f>
        <v>2351.62899532957</v>
      </c>
      <c r="K1466" s="473" t="e">
        <f aca="false">H1466+J1466</f>
        <v>#NAME?</v>
      </c>
      <c r="L1466" s="462" t="n">
        <v>0.2</v>
      </c>
      <c r="M1466" s="473" t="e">
        <f aca="false">K1466*L1466</f>
        <v>#NAME?</v>
      </c>
      <c r="N1466" s="473" t="e">
        <f aca="false">K1466+M1466</f>
        <v>#NAME?</v>
      </c>
      <c r="O1466" s="473" t="e">
        <f aca="false">M1466</f>
        <v>#NAME?</v>
      </c>
    </row>
    <row r="1467" customFormat="false" ht="30" hidden="false" customHeight="false" outlineLevel="0" collapsed="false">
      <c r="A1467" s="391" t="s">
        <v>2515</v>
      </c>
      <c r="B1467" s="328" t="s">
        <v>3983</v>
      </c>
      <c r="C1467" s="542" t="e">
        <f aca="false">мат.затр!g12451</f>
        <v>#NAME?</v>
      </c>
      <c r="D1467" s="542" t="n">
        <f aca="false">тарифик!J1468</f>
        <v>9779.11646586345</v>
      </c>
      <c r="E1467" s="542"/>
      <c r="F1467" s="473" t="n">
        <f aca="false">D1467*0.9*0.095+D1467*3%</f>
        <v>1129.48795180723</v>
      </c>
      <c r="G1467" s="542" t="n">
        <f aca="false">амортизация!M5696</f>
        <v>1286.75516882344</v>
      </c>
      <c r="H1467" s="473" t="e">
        <f aca="false">C1467+D1467+F1467+G1467</f>
        <v>#NAME?</v>
      </c>
      <c r="I1467" s="462" t="n">
        <f aca="false">I$190</f>
        <v>0.240474587202079</v>
      </c>
      <c r="J1467" s="473" t="n">
        <f aca="false">D1467*I1467</f>
        <v>2351.62899532957</v>
      </c>
      <c r="K1467" s="473" t="e">
        <f aca="false">H1467+J1467</f>
        <v>#NAME?</v>
      </c>
      <c r="L1467" s="462" t="n">
        <v>0.2</v>
      </c>
      <c r="M1467" s="473" t="e">
        <f aca="false">K1467*L1467</f>
        <v>#NAME?</v>
      </c>
      <c r="N1467" s="473" t="e">
        <f aca="false">K1467+M1467</f>
        <v>#NAME?</v>
      </c>
      <c r="O1467" s="473" t="e">
        <f aca="false">M1467</f>
        <v>#NAME?</v>
      </c>
    </row>
    <row r="1468" customFormat="false" ht="30" hidden="false" customHeight="false" outlineLevel="0" collapsed="false">
      <c r="A1468" s="391" t="s">
        <v>2517</v>
      </c>
      <c r="B1468" s="328" t="s">
        <v>3984</v>
      </c>
      <c r="C1468" s="542" t="e">
        <f aca="false">мат.затр!g12461</f>
        <v>#NAME?</v>
      </c>
      <c r="D1468" s="542" t="n">
        <f aca="false">тарифик!J1469</f>
        <v>10441.7670682731</v>
      </c>
      <c r="E1468" s="542"/>
      <c r="F1468" s="473" t="n">
        <f aca="false">D1468*0.9*0.095+D1468*3%</f>
        <v>1206.02409638554</v>
      </c>
      <c r="G1468" s="542" t="n">
        <f aca="false">амортизация!M5704</f>
        <v>1286.75516882344</v>
      </c>
      <c r="H1468" s="473" t="e">
        <f aca="false">C1468+D1468+F1468+G1468</f>
        <v>#NAME?</v>
      </c>
      <c r="I1468" s="462" t="n">
        <f aca="false">I$190</f>
        <v>0.240474587202079</v>
      </c>
      <c r="J1468" s="473" t="n">
        <f aca="false">D1468*I1468</f>
        <v>2510.97962540323</v>
      </c>
      <c r="K1468" s="473" t="e">
        <f aca="false">H1468+J1468</f>
        <v>#NAME?</v>
      </c>
      <c r="L1468" s="462" t="n">
        <v>0.2</v>
      </c>
      <c r="M1468" s="473" t="e">
        <f aca="false">K1468*L1468</f>
        <v>#NAME?</v>
      </c>
      <c r="N1468" s="473" t="e">
        <f aca="false">K1468+M1468</f>
        <v>#NAME?</v>
      </c>
      <c r="O1468" s="473" t="e">
        <f aca="false">M1468</f>
        <v>#NAME?</v>
      </c>
    </row>
    <row r="1469" customFormat="false" ht="30" hidden="false" customHeight="false" outlineLevel="0" collapsed="false">
      <c r="A1469" s="391" t="s">
        <v>2519</v>
      </c>
      <c r="B1469" s="328" t="s">
        <v>3985</v>
      </c>
      <c r="C1469" s="542" t="e">
        <f aca="false">мат.затр!g12471</f>
        <v>#NAME?</v>
      </c>
      <c r="D1469" s="542" t="n">
        <f aca="false">тарифик!J1470</f>
        <v>10441.7670682731</v>
      </c>
      <c r="E1469" s="542"/>
      <c r="F1469" s="473" t="n">
        <f aca="false">D1469*0.9*0.095+D1469*3%</f>
        <v>1206.02409638554</v>
      </c>
      <c r="G1469" s="542" t="n">
        <f aca="false">амортизация!M5712</f>
        <v>1286.75516882344</v>
      </c>
      <c r="H1469" s="473" t="e">
        <f aca="false">C1469+D1469+F1469+G1469</f>
        <v>#NAME?</v>
      </c>
      <c r="I1469" s="462" t="n">
        <f aca="false">I$190</f>
        <v>0.240474587202079</v>
      </c>
      <c r="J1469" s="473" t="n">
        <f aca="false">D1469*I1469</f>
        <v>2510.97962540323</v>
      </c>
      <c r="K1469" s="473" t="e">
        <f aca="false">H1469+J1469</f>
        <v>#NAME?</v>
      </c>
      <c r="L1469" s="462" t="n">
        <v>0.2</v>
      </c>
      <c r="M1469" s="473" t="e">
        <f aca="false">K1469*L1469</f>
        <v>#NAME?</v>
      </c>
      <c r="N1469" s="473" t="e">
        <f aca="false">K1469+M1469</f>
        <v>#NAME?</v>
      </c>
      <c r="O1469" s="473" t="e">
        <f aca="false">M1469</f>
        <v>#NAME?</v>
      </c>
    </row>
    <row r="1470" customFormat="false" ht="15" hidden="false" customHeight="false" outlineLevel="0" collapsed="false">
      <c r="A1470" s="388" t="s">
        <v>2521</v>
      </c>
      <c r="B1470" s="543" t="s">
        <v>3751</v>
      </c>
      <c r="C1470" s="538"/>
      <c r="D1470" s="538"/>
      <c r="E1470" s="542"/>
      <c r="F1470" s="538"/>
      <c r="G1470" s="538"/>
      <c r="H1470" s="474"/>
      <c r="I1470" s="475"/>
      <c r="J1470" s="474"/>
      <c r="K1470" s="474"/>
      <c r="L1470" s="475"/>
      <c r="M1470" s="474"/>
      <c r="N1470" s="474"/>
      <c r="O1470" s="474"/>
    </row>
    <row r="1471" customFormat="false" ht="30" hidden="false" customHeight="false" outlineLevel="0" collapsed="false">
      <c r="A1471" s="327" t="s">
        <v>2522</v>
      </c>
      <c r="B1471" s="548" t="s">
        <v>3986</v>
      </c>
      <c r="C1471" s="542" t="e">
        <f aca="false">мат.затр!g12481</f>
        <v>#NAME?</v>
      </c>
      <c r="D1471" s="542" t="n">
        <f aca="false">тарифик!J1472</f>
        <v>451.807228915663</v>
      </c>
      <c r="E1471" s="542"/>
      <c r="F1471" s="542" t="n">
        <f aca="false">D1471*0.9*0.095+D1471*3%</f>
        <v>52.183734939759</v>
      </c>
      <c r="G1471" s="542" t="n">
        <f aca="false">амортизация!M5721</f>
        <v>831.90800237989</v>
      </c>
      <c r="H1471" s="473" t="e">
        <f aca="false">C1471+D1471+F1471+G1471</f>
        <v>#NAME?</v>
      </c>
      <c r="I1471" s="462" t="n">
        <f aca="false">I$190</f>
        <v>0.240474587202079</v>
      </c>
      <c r="J1471" s="473" t="n">
        <f aca="false">D1471*I1471</f>
        <v>108.648156868409</v>
      </c>
      <c r="K1471" s="473" t="e">
        <f aca="false">H1471+J1471</f>
        <v>#NAME?</v>
      </c>
      <c r="L1471" s="462" t="n">
        <v>0.2</v>
      </c>
      <c r="M1471" s="473" t="e">
        <f aca="false">K1471*L1471</f>
        <v>#NAME?</v>
      </c>
      <c r="N1471" s="473" t="e">
        <f aca="false">K1471+M1471</f>
        <v>#NAME?</v>
      </c>
      <c r="O1471" s="473" t="e">
        <f aca="false">M1471</f>
        <v>#NAME?</v>
      </c>
    </row>
    <row r="1472" customFormat="false" ht="15" hidden="false" customHeight="false" outlineLevel="0" collapsed="false">
      <c r="A1472" s="350" t="s">
        <v>2524</v>
      </c>
      <c r="B1472" s="549" t="s">
        <v>3987</v>
      </c>
      <c r="C1472" s="550" t="e">
        <f aca="false">мат.затр!g12491</f>
        <v>#NAME?</v>
      </c>
      <c r="D1472" s="538" t="n">
        <f aca="false">тарифик!J1473</f>
        <v>82.5524319500223</v>
      </c>
      <c r="E1472" s="538"/>
      <c r="F1472" s="538" t="n">
        <f aca="false">D1472*0.9*0.095+D1472*3%</f>
        <v>9.53480589022758</v>
      </c>
      <c r="G1472" s="538" t="n">
        <f aca="false">амортизация!M5728</f>
        <v>560.341737319649</v>
      </c>
      <c r="H1472" s="474" t="e">
        <f aca="false">C1472+D1472+F1472+G1472</f>
        <v>#NAME?</v>
      </c>
      <c r="I1472" s="475" t="n">
        <f aca="false">I$190</f>
        <v>0.240474587202079</v>
      </c>
      <c r="J1472" s="474" t="n">
        <f aca="false">D1472*I1472</f>
        <v>19.8517619957093</v>
      </c>
      <c r="K1472" s="474" t="e">
        <f aca="false">H1472+J1472</f>
        <v>#NAME?</v>
      </c>
      <c r="L1472" s="475" t="n">
        <v>0.2</v>
      </c>
      <c r="M1472" s="474" t="e">
        <f aca="false">K1472*L1472</f>
        <v>#NAME?</v>
      </c>
      <c r="N1472" s="474" t="e">
        <f aca="false">K1472+M1472</f>
        <v>#NAME?</v>
      </c>
      <c r="O1472" s="474" t="e">
        <f aca="false">M1472</f>
        <v>#NAME?</v>
      </c>
    </row>
    <row r="1473" customFormat="false" ht="15" hidden="false" customHeight="false" outlineLevel="0" collapsed="false">
      <c r="A1473" s="350" t="s">
        <v>2526</v>
      </c>
      <c r="B1473" s="467" t="s">
        <v>3988</v>
      </c>
      <c r="C1473" s="538" t="e">
        <f aca="false">мат.затр!g12496</f>
        <v>#NAME?</v>
      </c>
      <c r="D1473" s="538" t="n">
        <f aca="false">тарифик!J1474</f>
        <v>150.602409638554</v>
      </c>
      <c r="E1473" s="538"/>
      <c r="F1473" s="538" t="n">
        <f aca="false">D1473*0.9*0.095+D1473*3%</f>
        <v>17.394578313253</v>
      </c>
      <c r="G1473" s="538" t="n">
        <f aca="false">амортизация!M5729</f>
        <v>0</v>
      </c>
      <c r="H1473" s="474" t="e">
        <f aca="false">C1473+D1473+F1473+G1473</f>
        <v>#NAME?</v>
      </c>
      <c r="I1473" s="475" t="n">
        <f aca="false">I$190</f>
        <v>0.240474587202079</v>
      </c>
      <c r="J1473" s="474" t="n">
        <f aca="false">D1473*I1473</f>
        <v>36.2160522894697</v>
      </c>
      <c r="K1473" s="474" t="e">
        <f aca="false">H1473+J1473</f>
        <v>#NAME?</v>
      </c>
      <c r="L1473" s="475" t="n">
        <v>0.2</v>
      </c>
      <c r="M1473" s="474" t="e">
        <f aca="false">K1473*L1473</f>
        <v>#NAME?</v>
      </c>
      <c r="N1473" s="474" t="e">
        <f aca="false">K1473+M1473</f>
        <v>#NAME?</v>
      </c>
      <c r="O1473" s="474" t="e">
        <f aca="false">M1473</f>
        <v>#NAME?</v>
      </c>
    </row>
    <row r="1474" customFormat="false" ht="28.5" hidden="false" customHeight="false" outlineLevel="0" collapsed="false">
      <c r="A1474" s="350" t="s">
        <v>2528</v>
      </c>
      <c r="B1474" s="467" t="s">
        <v>3989</v>
      </c>
      <c r="C1474" s="538"/>
      <c r="D1474" s="538" t="n">
        <f aca="false">тарифик!J1475</f>
        <v>16984.6050870147</v>
      </c>
      <c r="E1474" s="538"/>
      <c r="F1474" s="538" t="n">
        <f aca="false">D1474*0.9*0.095+D1474*3%</f>
        <v>1961.7218875502</v>
      </c>
      <c r="G1474" s="538" t="n">
        <f aca="false">амортизация!M5730</f>
        <v>0</v>
      </c>
      <c r="H1474" s="474" t="n">
        <f aca="false">C1474+D1474+F1474+G1474</f>
        <v>18946.3269745649</v>
      </c>
      <c r="I1474" s="475" t="n">
        <f aca="false">I$190</f>
        <v>0.240474587202079</v>
      </c>
      <c r="J1474" s="474" t="n">
        <f aca="false">D1474*I1474</f>
        <v>4084.3658970902</v>
      </c>
      <c r="K1474" s="474" t="n">
        <f aca="false">H1474+J1474</f>
        <v>23030.6928716551</v>
      </c>
      <c r="L1474" s="475" t="n">
        <v>0.2</v>
      </c>
      <c r="M1474" s="474" t="n">
        <f aca="false">K1474*L1474</f>
        <v>4606.13857433103</v>
      </c>
      <c r="N1474" s="474" t="n">
        <f aca="false">K1474+M1474</f>
        <v>27636.8314459861</v>
      </c>
      <c r="O1474" s="474" t="n">
        <f aca="false">M1474</f>
        <v>4606.13857433103</v>
      </c>
    </row>
    <row r="1475" customFormat="false" ht="28.5" hidden="false" customHeight="false" outlineLevel="0" collapsed="false">
      <c r="A1475" s="350" t="s">
        <v>2530</v>
      </c>
      <c r="B1475" s="467" t="s">
        <v>3990</v>
      </c>
      <c r="C1475" s="538"/>
      <c r="D1475" s="538" t="n">
        <f aca="false">тарифик!J1476</f>
        <v>99866.1311914324</v>
      </c>
      <c r="E1475" s="538"/>
      <c r="F1475" s="538" t="n">
        <f aca="false">D1475*0.9*0.095+D1475*3%</f>
        <v>11534.5381526104</v>
      </c>
      <c r="G1475" s="538" t="n">
        <f aca="false">амортизация!M5731</f>
        <v>0</v>
      </c>
      <c r="H1475" s="474" t="n">
        <f aca="false">C1475+D1475+F1475+G1475</f>
        <v>111400.669344043</v>
      </c>
      <c r="I1475" s="475" t="n">
        <f aca="false">I$190</f>
        <v>0.240474587202079</v>
      </c>
      <c r="J1475" s="474" t="n">
        <f aca="false">D1475*I1475</f>
        <v>24015.2666737284</v>
      </c>
      <c r="K1475" s="474" t="n">
        <f aca="false">H1475+J1475</f>
        <v>135415.936017771</v>
      </c>
      <c r="L1475" s="475" t="n">
        <v>0.2</v>
      </c>
      <c r="M1475" s="474" t="n">
        <f aca="false">K1475*L1475</f>
        <v>27083.1872035542</v>
      </c>
      <c r="N1475" s="474" t="n">
        <f aca="false">K1475+M1475</f>
        <v>162499.123221325</v>
      </c>
      <c r="O1475" s="474" t="n">
        <f aca="false">M1475</f>
        <v>27083.1872035542</v>
      </c>
    </row>
    <row r="1476" customFormat="false" ht="42.75" hidden="false" customHeight="false" outlineLevel="0" collapsed="false">
      <c r="A1476" s="350" t="s">
        <v>2532</v>
      </c>
      <c r="B1476" s="467" t="s">
        <v>3991</v>
      </c>
      <c r="C1476" s="538" t="e">
        <f aca="false">мат.затр!g12510</f>
        <v>#NAME?</v>
      </c>
      <c r="D1476" s="538" t="n">
        <f aca="false">тарифик!J1477</f>
        <v>326.305220883534</v>
      </c>
      <c r="E1476" s="538"/>
      <c r="F1476" s="538" t="n">
        <f aca="false">D1476*0.9*0.095+D1476*3%</f>
        <v>37.6882530120482</v>
      </c>
      <c r="G1476" s="538" t="n">
        <f aca="false">амортизация!M5737</f>
        <v>662.299801056076</v>
      </c>
      <c r="H1476" s="474" t="e">
        <f aca="false">C1476+D1476+F1476+G1476</f>
        <v>#NAME?</v>
      </c>
      <c r="I1476" s="475" t="n">
        <f aca="false">I$190</f>
        <v>0.240474587202079</v>
      </c>
      <c r="J1476" s="474" t="n">
        <f aca="false">D1476*I1476</f>
        <v>78.4681132938511</v>
      </c>
      <c r="K1476" s="474" t="e">
        <f aca="false">H1476+J1476</f>
        <v>#NAME?</v>
      </c>
      <c r="L1476" s="475" t="n">
        <v>0.2</v>
      </c>
      <c r="M1476" s="474" t="e">
        <f aca="false">K1476*L1476</f>
        <v>#NAME?</v>
      </c>
      <c r="N1476" s="474" t="e">
        <f aca="false">K1476+M1476</f>
        <v>#NAME?</v>
      </c>
      <c r="O1476" s="474" t="e">
        <f aca="false">M1476</f>
        <v>#NAME?</v>
      </c>
    </row>
    <row r="1477" customFormat="false" ht="42.75" hidden="false" customHeight="false" outlineLevel="0" collapsed="false">
      <c r="A1477" s="350" t="s">
        <v>2534</v>
      </c>
      <c r="B1477" s="467" t="s">
        <v>3992</v>
      </c>
      <c r="C1477" s="538" t="e">
        <f aca="false">мат.затр!g12522</f>
        <v>#NAME?</v>
      </c>
      <c r="D1477" s="538" t="n">
        <f aca="false">тарифик!J1478</f>
        <v>326.305220883534</v>
      </c>
      <c r="E1477" s="538"/>
      <c r="F1477" s="538" t="n">
        <f aca="false">D1477*0.9*0.095+D1477*3%</f>
        <v>37.6882530120482</v>
      </c>
      <c r="G1477" s="538" t="n">
        <f aca="false">амортизация!M5743</f>
        <v>662.299801056076</v>
      </c>
      <c r="H1477" s="474" t="e">
        <f aca="false">C1477+D1477+F1477+G1477</f>
        <v>#NAME?</v>
      </c>
      <c r="I1477" s="475" t="n">
        <f aca="false">I$190</f>
        <v>0.240474587202079</v>
      </c>
      <c r="J1477" s="474" t="n">
        <f aca="false">D1477*I1477</f>
        <v>78.4681132938511</v>
      </c>
      <c r="K1477" s="474" t="e">
        <f aca="false">H1477+J1477</f>
        <v>#NAME?</v>
      </c>
      <c r="L1477" s="475" t="n">
        <v>0.2</v>
      </c>
      <c r="M1477" s="474" t="e">
        <f aca="false">K1477*L1477</f>
        <v>#NAME?</v>
      </c>
      <c r="N1477" s="474" t="e">
        <f aca="false">K1477+M1477</f>
        <v>#NAME?</v>
      </c>
      <c r="O1477" s="474" t="e">
        <f aca="false">M1477</f>
        <v>#NAME?</v>
      </c>
    </row>
    <row r="1478" customFormat="false" ht="42.75" hidden="false" customHeight="false" outlineLevel="0" collapsed="false">
      <c r="A1478" s="350" t="s">
        <v>2536</v>
      </c>
      <c r="B1478" s="467" t="s">
        <v>3993</v>
      </c>
      <c r="C1478" s="538" t="e">
        <f aca="false">мат.затр!g12534</f>
        <v>#NAME?</v>
      </c>
      <c r="D1478" s="538" t="n">
        <f aca="false">тарифик!J1479</f>
        <v>33467.2021419009</v>
      </c>
      <c r="E1478" s="538"/>
      <c r="F1478" s="538" t="n">
        <f aca="false">D1478*0.9*0.095+D1478*3%</f>
        <v>3865.46184738956</v>
      </c>
      <c r="G1478" s="538" t="n">
        <f aca="false">амортизация!M5749</f>
        <v>662.299801056076</v>
      </c>
      <c r="H1478" s="474" t="e">
        <f aca="false">C1478+D1478+F1478+G1478</f>
        <v>#NAME?</v>
      </c>
      <c r="I1478" s="475" t="n">
        <f aca="false">I$190</f>
        <v>0.240474587202079</v>
      </c>
      <c r="J1478" s="474" t="n">
        <f aca="false">D1478*I1478</f>
        <v>8048.01161988216</v>
      </c>
      <c r="K1478" s="474" t="e">
        <f aca="false">H1478+J1478</f>
        <v>#NAME?</v>
      </c>
      <c r="L1478" s="475" t="n">
        <v>0.2</v>
      </c>
      <c r="M1478" s="474" t="e">
        <f aca="false">K1478*L1478</f>
        <v>#NAME?</v>
      </c>
      <c r="N1478" s="474" t="e">
        <f aca="false">K1478+M1478</f>
        <v>#NAME?</v>
      </c>
      <c r="O1478" s="474" t="e">
        <f aca="false">M1478</f>
        <v>#NAME?</v>
      </c>
    </row>
    <row r="1479" customFormat="false" ht="42.75" hidden="false" customHeight="false" outlineLevel="0" collapsed="false">
      <c r="A1479" s="350" t="s">
        <v>2538</v>
      </c>
      <c r="B1479" s="467" t="s">
        <v>3994</v>
      </c>
      <c r="C1479" s="538" t="e">
        <f aca="false">мат.затр!g12545</f>
        <v>#NAME?</v>
      </c>
      <c r="D1479" s="538" t="n">
        <f aca="false">тарифик!J1480</f>
        <v>25970.5488621151</v>
      </c>
      <c r="E1479" s="538"/>
      <c r="F1479" s="538" t="n">
        <f aca="false">D1479*0.9*0.095+D1479*3%</f>
        <v>2999.5983935743</v>
      </c>
      <c r="G1479" s="538" t="n">
        <f aca="false">амортизация!M5755</f>
        <v>662.299801056076</v>
      </c>
      <c r="H1479" s="474" t="e">
        <f aca="false">C1479+D1479+F1479+G1479</f>
        <v>#NAME?</v>
      </c>
      <c r="I1479" s="475" t="n">
        <f aca="false">I$190</f>
        <v>0.240474587202079</v>
      </c>
      <c r="J1479" s="474" t="n">
        <f aca="false">D1479*I1479</f>
        <v>6245.25701702856</v>
      </c>
      <c r="K1479" s="474" t="e">
        <f aca="false">H1479+J1479</f>
        <v>#NAME?</v>
      </c>
      <c r="L1479" s="475" t="n">
        <v>0.2</v>
      </c>
      <c r="M1479" s="474" t="e">
        <f aca="false">K1479*L1479</f>
        <v>#NAME?</v>
      </c>
      <c r="N1479" s="474" t="e">
        <f aca="false">K1479+M1479</f>
        <v>#NAME?</v>
      </c>
      <c r="O1479" s="474" t="e">
        <f aca="false">M1479</f>
        <v>#NAME?</v>
      </c>
    </row>
    <row r="1480" s="531" customFormat="true" ht="15" hidden="false" customHeight="false" outlineLevel="0" collapsed="false">
      <c r="A1480" s="138" t="s">
        <v>2540</v>
      </c>
      <c r="B1480" s="92" t="s">
        <v>3995</v>
      </c>
      <c r="C1480" s="551"/>
      <c r="D1480" s="551"/>
      <c r="E1480" s="551"/>
      <c r="F1480" s="551"/>
      <c r="G1480" s="551"/>
      <c r="H1480" s="551"/>
      <c r="I1480" s="551"/>
      <c r="J1480" s="551"/>
      <c r="K1480" s="551"/>
      <c r="L1480" s="551"/>
      <c r="M1480" s="551"/>
      <c r="N1480" s="551"/>
      <c r="O1480" s="551"/>
    </row>
    <row r="1481" s="531" customFormat="true" ht="30" hidden="false" customHeight="false" outlineLevel="0" collapsed="false">
      <c r="A1481" s="142" t="s">
        <v>2542</v>
      </c>
      <c r="B1481" s="49" t="s">
        <v>3996</v>
      </c>
      <c r="C1481" s="552" t="e">
        <f aca="false">мат.затр!g12548</f>
        <v>#NAME?</v>
      </c>
      <c r="D1481" s="552" t="n">
        <f aca="false">тарифик!J1482</f>
        <v>6660.24096385542</v>
      </c>
      <c r="E1481" s="552"/>
      <c r="F1481" s="552" t="n">
        <f aca="false">D1481*0.9*0.095+D1481*3%</f>
        <v>769.257831325301</v>
      </c>
      <c r="G1481" s="552" t="n">
        <f aca="false">амортизация!M5760</f>
        <v>145.638699924414</v>
      </c>
      <c r="H1481" s="552" t="e">
        <f aca="false">C1481+D1481+F1481+G1481</f>
        <v>#NAME?</v>
      </c>
      <c r="I1481" s="553" t="n">
        <v>0.24</v>
      </c>
      <c r="J1481" s="554" t="n">
        <f aca="false">D1481*I1481</f>
        <v>1598.4578313253</v>
      </c>
      <c r="K1481" s="554" t="e">
        <f aca="false">H1481+J1481</f>
        <v>#NAME?</v>
      </c>
      <c r="L1481" s="553" t="n">
        <v>0.2</v>
      </c>
      <c r="M1481" s="554" t="e">
        <f aca="false">K1481*L1481</f>
        <v>#NAME?</v>
      </c>
      <c r="N1481" s="554" t="e">
        <f aca="false">K1481+M1481</f>
        <v>#NAME?</v>
      </c>
      <c r="O1481" s="554" t="e">
        <f aca="false">M1481</f>
        <v>#NAME?</v>
      </c>
    </row>
    <row r="1482" s="531" customFormat="true" ht="15" hidden="false" customHeight="false" outlineLevel="0" collapsed="false">
      <c r="A1482" s="142" t="s">
        <v>2545</v>
      </c>
      <c r="B1482" s="49" t="s">
        <v>3997</v>
      </c>
      <c r="C1482" s="552" t="e">
        <f aca="false">мат.затр!g12552</f>
        <v>#NAME?</v>
      </c>
      <c r="D1482" s="552" t="n">
        <f aca="false">тарифик!J1483</f>
        <v>21943.2396251673</v>
      </c>
      <c r="E1482" s="552"/>
      <c r="F1482" s="552" t="n">
        <f aca="false">D1482*0.9*0.095+D1482*3%</f>
        <v>2534.44417670683</v>
      </c>
      <c r="G1482" s="552" t="n">
        <f aca="false">амортизация!M5764</f>
        <v>145.638699924414</v>
      </c>
      <c r="H1482" s="552" t="e">
        <f aca="false">C1482+D1482+F1482+G1482</f>
        <v>#NAME?</v>
      </c>
      <c r="I1482" s="553" t="n">
        <v>0.24</v>
      </c>
      <c r="J1482" s="554" t="n">
        <f aca="false">D1482*I1482</f>
        <v>5266.37751004016</v>
      </c>
      <c r="K1482" s="554" t="e">
        <f aca="false">H1482+J1482</f>
        <v>#NAME?</v>
      </c>
      <c r="L1482" s="553" t="n">
        <v>0.2</v>
      </c>
      <c r="M1482" s="554" t="e">
        <f aca="false">K1482*L1482</f>
        <v>#NAME?</v>
      </c>
      <c r="N1482" s="554" t="e">
        <f aca="false">K1482+M1482</f>
        <v>#NAME?</v>
      </c>
      <c r="O1482" s="554" t="e">
        <f aca="false">M1482</f>
        <v>#NAME?</v>
      </c>
    </row>
    <row r="1483" s="531" customFormat="true" ht="28.5" hidden="false" customHeight="false" outlineLevel="0" collapsed="false">
      <c r="A1483" s="138" t="s">
        <v>2548</v>
      </c>
      <c r="B1483" s="92" t="s">
        <v>3998</v>
      </c>
      <c r="C1483" s="551"/>
      <c r="D1483" s="551"/>
      <c r="E1483" s="551"/>
      <c r="F1483" s="551"/>
      <c r="G1483" s="551"/>
      <c r="H1483" s="551"/>
      <c r="I1483" s="551"/>
      <c r="J1483" s="551"/>
      <c r="K1483" s="551"/>
      <c r="L1483" s="551"/>
      <c r="M1483" s="551"/>
      <c r="N1483" s="551"/>
      <c r="O1483" s="551"/>
    </row>
    <row r="1484" s="531" customFormat="true" ht="30" hidden="false" customHeight="false" outlineLevel="0" collapsed="false">
      <c r="A1484" s="142" t="s">
        <v>2550</v>
      </c>
      <c r="B1484" s="49" t="s">
        <v>3999</v>
      </c>
      <c r="C1484" s="552" t="e">
        <f aca="false">мат.затр!g12554</f>
        <v>#NAME?</v>
      </c>
      <c r="D1484" s="552" t="n">
        <f aca="false">тарифик!J1485</f>
        <v>3122.89156626506</v>
      </c>
      <c r="E1484" s="552"/>
      <c r="F1484" s="552" t="n">
        <f aca="false">D1484*0.9*0.095+D1484*3%</f>
        <v>360.693975903614</v>
      </c>
      <c r="G1484" s="552" t="n">
        <f aca="false">амортизация!M5769</f>
        <v>7.82755102040816</v>
      </c>
      <c r="H1484" s="552" t="e">
        <f aca="false">C1484+D1484+F1484+G1484</f>
        <v>#NAME?</v>
      </c>
      <c r="I1484" s="553" t="n">
        <v>0.24</v>
      </c>
      <c r="J1484" s="554" t="n">
        <f aca="false">D1484*I1484</f>
        <v>749.493975903615</v>
      </c>
      <c r="K1484" s="554" t="e">
        <f aca="false">H1484+J1484</f>
        <v>#NAME?</v>
      </c>
      <c r="L1484" s="553" t="n">
        <v>0.2</v>
      </c>
      <c r="M1484" s="554" t="e">
        <f aca="false">K1484*L1484</f>
        <v>#NAME?</v>
      </c>
      <c r="N1484" s="554" t="e">
        <f aca="false">K1484+M1484</f>
        <v>#NAME?</v>
      </c>
      <c r="O1484" s="554" t="e">
        <f aca="false">M1484</f>
        <v>#NAME?</v>
      </c>
    </row>
    <row r="1485" s="531" customFormat="true" ht="30" hidden="false" customHeight="false" outlineLevel="0" collapsed="false">
      <c r="A1485" s="142" t="s">
        <v>2553</v>
      </c>
      <c r="B1485" s="49" t="s">
        <v>4000</v>
      </c>
      <c r="C1485" s="552" t="e">
        <f aca="false">мат.затр!g12555</f>
        <v>#NAME?</v>
      </c>
      <c r="D1485" s="552" t="n">
        <f aca="false">тарифик!J1486</f>
        <v>3122.89156626506</v>
      </c>
      <c r="E1485" s="552"/>
      <c r="F1485" s="552" t="n">
        <f aca="false">D1485*0.9*0.095+D1485*3%</f>
        <v>360.693975903614</v>
      </c>
      <c r="G1485" s="552" t="n">
        <f aca="false">амортизация!M5773</f>
        <v>7.82755102040816</v>
      </c>
      <c r="H1485" s="552" t="e">
        <f aca="false">C1485+D1485+F1485+G1485</f>
        <v>#NAME?</v>
      </c>
      <c r="I1485" s="553" t="n">
        <v>0.24</v>
      </c>
      <c r="J1485" s="554" t="n">
        <f aca="false">D1485*I1485</f>
        <v>749.493975903615</v>
      </c>
      <c r="K1485" s="554" t="e">
        <f aca="false">H1485+J1485</f>
        <v>#NAME?</v>
      </c>
      <c r="L1485" s="553" t="n">
        <v>0.2</v>
      </c>
      <c r="M1485" s="554" t="e">
        <f aca="false">K1485*L1485</f>
        <v>#NAME?</v>
      </c>
      <c r="N1485" s="554" t="e">
        <f aca="false">K1485+M1485</f>
        <v>#NAME?</v>
      </c>
      <c r="O1485" s="554" t="e">
        <f aca="false">M1485</f>
        <v>#NAME?</v>
      </c>
    </row>
    <row r="1486" s="531" customFormat="true" ht="28.5" hidden="false" customHeight="false" outlineLevel="0" collapsed="false">
      <c r="A1486" s="138" t="s">
        <v>2555</v>
      </c>
      <c r="B1486" s="92" t="s">
        <v>4001</v>
      </c>
      <c r="C1486" s="551"/>
      <c r="D1486" s="551"/>
      <c r="E1486" s="551"/>
      <c r="F1486" s="551"/>
      <c r="G1486" s="551"/>
      <c r="H1486" s="551"/>
      <c r="I1486" s="551"/>
      <c r="J1486" s="551"/>
      <c r="K1486" s="551"/>
      <c r="L1486" s="551"/>
      <c r="M1486" s="551"/>
      <c r="N1486" s="551"/>
      <c r="O1486" s="551"/>
    </row>
    <row r="1487" s="531" customFormat="true" ht="15" hidden="false" customHeight="false" outlineLevel="0" collapsed="false">
      <c r="A1487" s="142" t="s">
        <v>2557</v>
      </c>
      <c r="B1487" s="49" t="s">
        <v>4002</v>
      </c>
      <c r="C1487" s="552" t="e">
        <f aca="false">мат.затр!g12563</f>
        <v>#NAME?</v>
      </c>
      <c r="D1487" s="552" t="n">
        <f aca="false">тарифик!J1488</f>
        <v>51.9857206604195</v>
      </c>
      <c r="E1487" s="552"/>
      <c r="F1487" s="552" t="n">
        <f aca="false">D1487*0.9*0.095+D1487*3%</f>
        <v>6.00435073627845</v>
      </c>
      <c r="G1487" s="552" t="n">
        <f aca="false">амортизация!M5782</f>
        <v>0.931594860166289</v>
      </c>
      <c r="H1487" s="554" t="e">
        <f aca="false">C1487+D1487+F1487+G1487</f>
        <v>#NAME?</v>
      </c>
      <c r="I1487" s="553" t="n">
        <f aca="false">I$190</f>
        <v>0.240474587202079</v>
      </c>
      <c r="J1487" s="554" t="n">
        <f aca="false">D1487*I1487</f>
        <v>12.501244716217</v>
      </c>
      <c r="K1487" s="554" t="e">
        <f aca="false">H1487+J1487</f>
        <v>#NAME?</v>
      </c>
      <c r="L1487" s="553" t="n">
        <v>0.2</v>
      </c>
      <c r="M1487" s="554" t="e">
        <f aca="false">K1487*L1487</f>
        <v>#NAME?</v>
      </c>
      <c r="N1487" s="554" t="e">
        <f aca="false">K1487+M1487</f>
        <v>#NAME?</v>
      </c>
      <c r="O1487" s="554" t="e">
        <f aca="false">M1487</f>
        <v>#NAME?</v>
      </c>
    </row>
    <row r="1488" s="531" customFormat="true" ht="15" hidden="false" customHeight="false" outlineLevel="0" collapsed="false">
      <c r="A1488" s="142" t="s">
        <v>2560</v>
      </c>
      <c r="B1488" s="49" t="s">
        <v>4003</v>
      </c>
      <c r="C1488" s="552" t="e">
        <f aca="false">мат.затр!g12570</f>
        <v>#NAME?</v>
      </c>
      <c r="D1488" s="552" t="n">
        <f aca="false">тарифик!J1489</f>
        <v>51.9857206604195</v>
      </c>
      <c r="E1488" s="552"/>
      <c r="F1488" s="552" t="n">
        <f aca="false">D1488*0.9*0.095+D1488*3%</f>
        <v>6.00435073627845</v>
      </c>
      <c r="G1488" s="552" t="n">
        <f aca="false">амортизация!M5782</f>
        <v>0.931594860166289</v>
      </c>
      <c r="H1488" s="554" t="e">
        <f aca="false">C1488+D1488+F1488+G1488</f>
        <v>#NAME?</v>
      </c>
      <c r="I1488" s="553" t="n">
        <f aca="false">I$190</f>
        <v>0.240474587202079</v>
      </c>
      <c r="J1488" s="554" t="n">
        <f aca="false">D1488*I1488</f>
        <v>12.501244716217</v>
      </c>
      <c r="K1488" s="554" t="e">
        <f aca="false">H1488+J1488</f>
        <v>#NAME?</v>
      </c>
      <c r="L1488" s="553" t="n">
        <v>0.2</v>
      </c>
      <c r="M1488" s="554" t="e">
        <f aca="false">K1488*L1488</f>
        <v>#NAME?</v>
      </c>
      <c r="N1488" s="554" t="e">
        <f aca="false">K1488+M1488</f>
        <v>#NAME?</v>
      </c>
      <c r="O1488" s="554" t="e">
        <f aca="false">M1488</f>
        <v>#NAME?</v>
      </c>
    </row>
    <row r="1489" s="531" customFormat="true" ht="15" hidden="false" customHeight="false" outlineLevel="0" collapsed="false">
      <c r="A1489" s="142" t="s">
        <v>2562</v>
      </c>
      <c r="B1489" s="49" t="s">
        <v>4004</v>
      </c>
      <c r="C1489" s="552" t="e">
        <f aca="false">мат.затр!g12579</f>
        <v>#NAME?</v>
      </c>
      <c r="D1489" s="552" t="n">
        <f aca="false">тарифик!J1490</f>
        <v>52.2088353413655</v>
      </c>
      <c r="E1489" s="552"/>
      <c r="F1489" s="552" t="n">
        <f aca="false">D1489*0.9*0.095+D1489*3%</f>
        <v>6.03012048192771</v>
      </c>
      <c r="G1489" s="552" t="n">
        <f aca="false">амортизация!M5782</f>
        <v>0.931594860166289</v>
      </c>
      <c r="H1489" s="554" t="e">
        <f aca="false">C1489+D1489+F1489+G1489</f>
        <v>#NAME?</v>
      </c>
      <c r="I1489" s="553" t="n">
        <f aca="false">I$190</f>
        <v>0.240474587202079</v>
      </c>
      <c r="J1489" s="554" t="n">
        <f aca="false">D1489*I1489</f>
        <v>12.5548981270162</v>
      </c>
      <c r="K1489" s="554" t="e">
        <f aca="false">H1489+J1489</f>
        <v>#NAME?</v>
      </c>
      <c r="L1489" s="553" t="n">
        <v>0.2</v>
      </c>
      <c r="M1489" s="554" t="e">
        <f aca="false">K1489*L1489</f>
        <v>#NAME?</v>
      </c>
      <c r="N1489" s="554" t="e">
        <f aca="false">K1489+M1489</f>
        <v>#NAME?</v>
      </c>
      <c r="O1489" s="554" t="e">
        <f aca="false">M1489</f>
        <v>#NAME?</v>
      </c>
    </row>
    <row r="1490" s="531" customFormat="true" ht="15" hidden="false" customHeight="false" outlineLevel="0" collapsed="false">
      <c r="A1490" s="142" t="s">
        <v>2564</v>
      </c>
      <c r="B1490" s="49" t="s">
        <v>4005</v>
      </c>
      <c r="C1490" s="552" t="e">
        <f aca="false">мат.затр!g12588</f>
        <v>#NAME?</v>
      </c>
      <c r="D1490" s="552" t="n">
        <f aca="false">тарифик!J1491</f>
        <v>52.2088353413655</v>
      </c>
      <c r="E1490" s="552"/>
      <c r="F1490" s="552" t="n">
        <f aca="false">D1490*0.9*0.095+D1490*3%</f>
        <v>6.03012048192771</v>
      </c>
      <c r="G1490" s="552" t="n">
        <f aca="false">амортизация!M5782</f>
        <v>0.931594860166289</v>
      </c>
      <c r="H1490" s="554" t="e">
        <f aca="false">C1490+D1490+F1490+G1490</f>
        <v>#NAME?</v>
      </c>
      <c r="I1490" s="553" t="n">
        <f aca="false">I$190</f>
        <v>0.240474587202079</v>
      </c>
      <c r="J1490" s="554" t="n">
        <f aca="false">D1490*I1490</f>
        <v>12.5548981270162</v>
      </c>
      <c r="K1490" s="554" t="e">
        <f aca="false">H1490+J1490</f>
        <v>#NAME?</v>
      </c>
      <c r="L1490" s="553" t="n">
        <v>0.2</v>
      </c>
      <c r="M1490" s="554" t="e">
        <f aca="false">K1490*L1490</f>
        <v>#NAME?</v>
      </c>
      <c r="N1490" s="554" t="e">
        <f aca="false">K1490+M1490</f>
        <v>#NAME?</v>
      </c>
      <c r="O1490" s="554" t="e">
        <f aca="false">M1490</f>
        <v>#NAME?</v>
      </c>
    </row>
    <row r="1491" s="531" customFormat="true" ht="42.75" hidden="false" customHeight="false" outlineLevel="0" collapsed="false">
      <c r="A1491" s="148" t="n">
        <v>11</v>
      </c>
      <c r="B1491" s="149" t="s">
        <v>4006</v>
      </c>
      <c r="C1491" s="552" t="e">
        <f aca="false">мат.затр!g12591</f>
        <v>#NAME?</v>
      </c>
      <c r="D1491" s="552" t="n">
        <f aca="false">тарифик!J1492</f>
        <v>10709.5046854083</v>
      </c>
      <c r="E1491" s="552"/>
      <c r="F1491" s="552" t="n">
        <f aca="false">D1491*0.9*0.095+D1491*3%</f>
        <v>1236.94779116466</v>
      </c>
      <c r="G1491" s="552"/>
      <c r="H1491" s="554" t="e">
        <f aca="false">C1491+D1491+F1491+G1491</f>
        <v>#NAME?</v>
      </c>
      <c r="I1491" s="553" t="n">
        <f aca="false">I$190</f>
        <v>0.240474587202079</v>
      </c>
      <c r="J1491" s="554" t="n">
        <f aca="false">D1491*I1491</f>
        <v>2575.36371836229</v>
      </c>
      <c r="K1491" s="554" t="e">
        <f aca="false">H1491+J1491</f>
        <v>#NAME?</v>
      </c>
      <c r="L1491" s="553" t="n">
        <v>0.2</v>
      </c>
      <c r="M1491" s="554" t="e">
        <f aca="false">K1491*L1491</f>
        <v>#NAME?</v>
      </c>
      <c r="N1491" s="554" t="e">
        <f aca="false">K1491+M1491</f>
        <v>#NAME?</v>
      </c>
      <c r="O1491" s="554" t="e">
        <f aca="false">M1491</f>
        <v>#NAME?</v>
      </c>
    </row>
    <row r="1492" s="531" customFormat="true" ht="15" hidden="false" customHeight="false" outlineLevel="0" collapsed="false">
      <c r="A1492" s="148" t="n">
        <v>12</v>
      </c>
      <c r="B1492" s="149" t="s">
        <v>4007</v>
      </c>
      <c r="C1492" s="552"/>
      <c r="D1492" s="552" t="n">
        <f aca="false">тарифик!J1493</f>
        <v>1621.37438643463</v>
      </c>
      <c r="E1492" s="552"/>
      <c r="F1492" s="552" t="n">
        <f aca="false">D1492*0.9*0.095+D1492*3%</f>
        <v>187.268741633199</v>
      </c>
      <c r="G1492" s="552" t="n">
        <f aca="false">амортизация!M5783</f>
        <v>25.8503401360544</v>
      </c>
      <c r="H1492" s="554" t="n">
        <f aca="false">C1492+D1492+F1492+G1492</f>
        <v>1834.49346820388</v>
      </c>
      <c r="I1492" s="553" t="n">
        <v>0.24</v>
      </c>
      <c r="J1492" s="554" t="n">
        <f aca="false">D1492*I1492</f>
        <v>389.129852744311</v>
      </c>
      <c r="K1492" s="554" t="n">
        <f aca="false">H1492+J1492</f>
        <v>2223.62332094819</v>
      </c>
      <c r="L1492" s="553" t="n">
        <v>0.2</v>
      </c>
      <c r="M1492" s="554" t="n">
        <f aca="false">K1492*L1492</f>
        <v>444.724664189638</v>
      </c>
      <c r="N1492" s="554" t="n">
        <f aca="false">K1492+M1492</f>
        <v>2668.34798513783</v>
      </c>
      <c r="O1492" s="554" t="n">
        <f aca="false">M1492</f>
        <v>444.724664189638</v>
      </c>
    </row>
    <row r="1493" s="531" customFormat="true" ht="15" hidden="false" customHeight="false" outlineLevel="0" collapsed="false">
      <c r="A1493" s="148" t="n">
        <v>13</v>
      </c>
      <c r="B1493" s="149" t="s">
        <v>4008</v>
      </c>
      <c r="C1493" s="552"/>
      <c r="D1493" s="552" t="n">
        <f aca="false">тарифик!J1494</f>
        <v>922.088353413655</v>
      </c>
      <c r="E1493" s="552"/>
      <c r="F1493" s="552" t="n">
        <f aca="false">D1493*0.9*0.095+D1493*3%</f>
        <v>106.501204819277</v>
      </c>
      <c r="G1493" s="552"/>
      <c r="H1493" s="554" t="n">
        <f aca="false">C1493+D1493+F1493+G1493</f>
        <v>1028.58955823293</v>
      </c>
      <c r="I1493" s="553" t="n">
        <v>0.24</v>
      </c>
      <c r="J1493" s="554" t="n">
        <f aca="false">D1493*I1493</f>
        <v>221.301204819277</v>
      </c>
      <c r="K1493" s="554" t="n">
        <f aca="false">H1493+J1493</f>
        <v>1249.89076305221</v>
      </c>
      <c r="L1493" s="553" t="n">
        <v>0.2</v>
      </c>
      <c r="M1493" s="554" t="n">
        <f aca="false">K1493*L1493</f>
        <v>249.978152610442</v>
      </c>
      <c r="N1493" s="554" t="n">
        <f aca="false">K1493+M1493</f>
        <v>1499.86891566265</v>
      </c>
      <c r="O1493" s="554" t="n">
        <f aca="false">M1493</f>
        <v>249.978152610442</v>
      </c>
    </row>
    <row r="1494" s="531" customFormat="true" ht="15" hidden="false" customHeight="false" outlineLevel="0" collapsed="false">
      <c r="A1494" s="148" t="n">
        <v>14</v>
      </c>
      <c r="B1494" s="149" t="s">
        <v>4009</v>
      </c>
      <c r="C1494" s="552"/>
      <c r="D1494" s="552" t="n">
        <f aca="false">тарифик!J1495</f>
        <v>184.404283801874</v>
      </c>
      <c r="E1494" s="552"/>
      <c r="F1494" s="552" t="n">
        <f aca="false">D1494*0.9*0.095+D1494*3%</f>
        <v>21.2986947791165</v>
      </c>
      <c r="G1494" s="552"/>
      <c r="H1494" s="554" t="n">
        <f aca="false">C1494+D1494+F1494+G1494</f>
        <v>205.702978580991</v>
      </c>
      <c r="I1494" s="553" t="n">
        <v>0.24</v>
      </c>
      <c r="J1494" s="554" t="n">
        <f aca="false">D1494*I1494</f>
        <v>44.2570281124498</v>
      </c>
      <c r="K1494" s="554" t="n">
        <f aca="false">H1494+J1494</f>
        <v>249.96000669344</v>
      </c>
      <c r="L1494" s="553" t="n">
        <v>0.2</v>
      </c>
      <c r="M1494" s="554" t="n">
        <f aca="false">K1494*L1494</f>
        <v>49.9920013386881</v>
      </c>
      <c r="N1494" s="554" t="n">
        <f aca="false">K1494+M1494</f>
        <v>299.952008032129</v>
      </c>
      <c r="O1494" s="554" t="n">
        <f aca="false">M1494</f>
        <v>49.9920013386881</v>
      </c>
    </row>
    <row r="1495" s="531" customFormat="true" ht="28.5" hidden="false" customHeight="false" outlineLevel="0" collapsed="false">
      <c r="A1495" s="152" t="s">
        <v>2573</v>
      </c>
      <c r="B1495" s="395" t="s">
        <v>4010</v>
      </c>
      <c r="C1495" s="395"/>
      <c r="D1495" s="395"/>
      <c r="E1495" s="395"/>
      <c r="F1495" s="395"/>
      <c r="G1495" s="395"/>
      <c r="H1495" s="395"/>
      <c r="I1495" s="395"/>
      <c r="J1495" s="395"/>
      <c r="K1495" s="395"/>
      <c r="L1495" s="395"/>
      <c r="M1495" s="395"/>
      <c r="N1495" s="395"/>
      <c r="O1495" s="395"/>
    </row>
    <row r="1496" s="531" customFormat="true" ht="30" hidden="false" customHeight="true" outlineLevel="0" collapsed="false">
      <c r="A1496" s="396" t="s">
        <v>2577</v>
      </c>
      <c r="B1496" s="163" t="s">
        <v>4011</v>
      </c>
      <c r="C1496" s="552" t="e">
        <f aca="false">мат.затр!g12606</f>
        <v>#NAME?</v>
      </c>
      <c r="D1496" s="552" t="n">
        <f aca="false">тарифик!J1497</f>
        <v>145874.600847836</v>
      </c>
      <c r="E1496" s="552"/>
      <c r="F1496" s="552" t="n">
        <f aca="false">D1496*0.9*0.095+D1496*3%</f>
        <v>16848.516397925</v>
      </c>
      <c r="G1496" s="552" t="n">
        <f aca="false">амортизация!M5787</f>
        <v>0</v>
      </c>
      <c r="H1496" s="554" t="e">
        <f aca="false">C1496+D1496+F1496+G1496</f>
        <v>#NAME?</v>
      </c>
      <c r="I1496" s="553" t="n">
        <f aca="false">I$190</f>
        <v>0.240474587202079</v>
      </c>
      <c r="J1496" s="554" t="n">
        <f aca="false">D1496*I1496</f>
        <v>35079.1344221513</v>
      </c>
      <c r="K1496" s="554" t="e">
        <f aca="false">H1496+J1496</f>
        <v>#NAME?</v>
      </c>
      <c r="L1496" s="553" t="n">
        <v>0.2</v>
      </c>
      <c r="M1496" s="554" t="e">
        <f aca="false">K1496*L1496</f>
        <v>#NAME?</v>
      </c>
      <c r="N1496" s="554" t="e">
        <f aca="false">K1496+M1496</f>
        <v>#NAME?</v>
      </c>
      <c r="O1496" s="554" t="e">
        <f aca="false">M1496</f>
        <v>#NAME?</v>
      </c>
    </row>
    <row r="1497" s="531" customFormat="true" ht="28.5" hidden="false" customHeight="false" outlineLevel="0" collapsed="false">
      <c r="A1497" s="396" t="s">
        <v>2579</v>
      </c>
      <c r="B1497" s="172" t="s">
        <v>4012</v>
      </c>
      <c r="C1497" s="552" t="e">
        <f aca="false">мат.затр!g12607</f>
        <v>#NAME?</v>
      </c>
      <c r="D1497" s="552" t="n">
        <f aca="false">тарифик!J1498</f>
        <v>153949.129852744</v>
      </c>
      <c r="E1497" s="552"/>
      <c r="F1497" s="552" t="n">
        <f aca="false">D1497*0.9*0.095+D1497*3%</f>
        <v>17781.124497992</v>
      </c>
      <c r="G1497" s="552" t="n">
        <f aca="false">амортизация!M5787</f>
        <v>0</v>
      </c>
      <c r="H1497" s="554" t="e">
        <f aca="false">C1497+D1497+F1497+G1497</f>
        <v>#NAME?</v>
      </c>
      <c r="I1497" s="553" t="n">
        <f aca="false">I$190</f>
        <v>0.240474587202079</v>
      </c>
      <c r="J1497" s="554" t="n">
        <f aca="false">D1497*I1497</f>
        <v>37020.8534514579</v>
      </c>
      <c r="K1497" s="554" t="e">
        <f aca="false">H1497+J1497</f>
        <v>#NAME?</v>
      </c>
      <c r="L1497" s="553" t="n">
        <v>0.2</v>
      </c>
      <c r="M1497" s="554" t="e">
        <f aca="false">K1497*L1497</f>
        <v>#NAME?</v>
      </c>
      <c r="N1497" s="554" t="e">
        <f aca="false">K1497+M1497</f>
        <v>#NAME?</v>
      </c>
      <c r="O1497" s="554" t="e">
        <f aca="false">M1497</f>
        <v>#NAME?</v>
      </c>
    </row>
    <row r="1498" s="531" customFormat="true" ht="15.75" hidden="false" customHeight="false" outlineLevel="0" collapsed="false">
      <c r="A1498" s="396" t="s">
        <v>2581</v>
      </c>
      <c r="B1498" s="163" t="s">
        <v>4013</v>
      </c>
      <c r="C1498" s="552" t="e">
        <f aca="false">мат.затр!g12612</f>
        <v>#NAME?</v>
      </c>
      <c r="D1498" s="552" t="n">
        <f aca="false">тарифик!J1499</f>
        <v>58567.6037483266</v>
      </c>
      <c r="E1498" s="552"/>
      <c r="F1498" s="552" t="n">
        <f aca="false">D1498*0.9*0.095+D1498*3%</f>
        <v>6764.55823293173</v>
      </c>
      <c r="G1498" s="552" t="n">
        <f aca="false">амортизация!M5787</f>
        <v>0</v>
      </c>
      <c r="H1498" s="554" t="e">
        <f aca="false">C1498+D1498+F1498+G1498</f>
        <v>#NAME?</v>
      </c>
      <c r="I1498" s="553" t="n">
        <f aca="false">I$190</f>
        <v>0.240474587202079</v>
      </c>
      <c r="J1498" s="554" t="n">
        <f aca="false">D1498*I1498</f>
        <v>14084.0203347938</v>
      </c>
      <c r="K1498" s="554" t="e">
        <f aca="false">H1498+J1498</f>
        <v>#NAME?</v>
      </c>
      <c r="L1498" s="553" t="n">
        <v>0.2</v>
      </c>
      <c r="M1498" s="554" t="e">
        <f aca="false">K1498*L1498</f>
        <v>#NAME?</v>
      </c>
      <c r="N1498" s="554" t="e">
        <f aca="false">K1498+M1498</f>
        <v>#NAME?</v>
      </c>
      <c r="O1498" s="554" t="e">
        <f aca="false">M1498</f>
        <v>#NAME?</v>
      </c>
    </row>
    <row r="1499" s="531" customFormat="true" ht="60" hidden="false" customHeight="false" outlineLevel="0" collapsed="false">
      <c r="A1499" s="396" t="s">
        <v>2583</v>
      </c>
      <c r="B1499" s="163" t="s">
        <v>4014</v>
      </c>
      <c r="C1499" s="552"/>
      <c r="D1499" s="552" t="n">
        <f aca="false">тарифик!J1500</f>
        <v>2342.70414993307</v>
      </c>
      <c r="E1499" s="552"/>
      <c r="F1499" s="552" t="n">
        <f aca="false">D1499*0.9*0.095+D1499*3%</f>
        <v>270.582329317269</v>
      </c>
      <c r="G1499" s="552" t="n">
        <f aca="false">амортизация!M5787</f>
        <v>0</v>
      </c>
      <c r="H1499" s="554" t="n">
        <f aca="false">C1499+D1499+F1499+G1499</f>
        <v>2613.28647925033</v>
      </c>
      <c r="I1499" s="553" t="n">
        <f aca="false">I$190</f>
        <v>0.240474587202079</v>
      </c>
      <c r="J1499" s="554" t="n">
        <f aca="false">D1499*I1499</f>
        <v>563.360813391751</v>
      </c>
      <c r="K1499" s="554" t="n">
        <f aca="false">H1499+J1499</f>
        <v>3176.64729264209</v>
      </c>
      <c r="L1499" s="553" t="n">
        <v>0.2</v>
      </c>
      <c r="M1499" s="554" t="n">
        <f aca="false">K1499*L1499</f>
        <v>635.329458528417</v>
      </c>
      <c r="N1499" s="554" t="n">
        <f aca="false">K1499+M1499</f>
        <v>3811.9767511705</v>
      </c>
      <c r="O1499" s="554" t="n">
        <f aca="false">M1499</f>
        <v>635.329458528417</v>
      </c>
    </row>
    <row r="1500" s="531" customFormat="true" ht="35.25" hidden="false" customHeight="true" outlineLevel="0" collapsed="false">
      <c r="A1500" s="399" t="s">
        <v>2586</v>
      </c>
      <c r="B1500" s="168" t="s">
        <v>4015</v>
      </c>
      <c r="C1500" s="232"/>
      <c r="D1500" s="232"/>
      <c r="E1500" s="232"/>
      <c r="F1500" s="232"/>
      <c r="G1500" s="232"/>
      <c r="H1500" s="232"/>
      <c r="I1500" s="232"/>
      <c r="J1500" s="232"/>
      <c r="K1500" s="232"/>
      <c r="L1500" s="232"/>
      <c r="M1500" s="232"/>
      <c r="N1500" s="232"/>
      <c r="O1500" s="232"/>
    </row>
    <row r="1501" s="531" customFormat="true" ht="35.25" hidden="false" customHeight="true" outlineLevel="0" collapsed="false">
      <c r="A1501" s="28" t="s">
        <v>2629</v>
      </c>
      <c r="B1501" s="555" t="s">
        <v>4099</v>
      </c>
      <c r="C1501" s="556" t="e">
        <f aca="false">мат.затр!g12616</f>
        <v>#NAME?</v>
      </c>
      <c r="D1501" s="556" t="n">
        <f aca="false">тарифик!J1502</f>
        <v>20961.2441070226</v>
      </c>
      <c r="E1501" s="556"/>
      <c r="F1501" s="552" t="n">
        <f aca="false">D1501*0.9*0.095+D1501*3%</f>
        <v>2421.02369436111</v>
      </c>
      <c r="G1501" s="556" t="n">
        <v>0</v>
      </c>
      <c r="H1501" s="556" t="e">
        <f aca="false">C1501+D1501+F1501+G1501</f>
        <v>#NAME?</v>
      </c>
      <c r="I1501" s="553" t="n">
        <f aca="false">'накл расходы'!D16</f>
        <v>0.240474587202079</v>
      </c>
      <c r="J1501" s="556" t="n">
        <f aca="false">I1501*D1501</f>
        <v>5040.64652387827</v>
      </c>
      <c r="K1501" s="556" t="e">
        <f aca="false">H1501+J1501</f>
        <v>#NAME?</v>
      </c>
      <c r="L1501" s="553" t="n">
        <v>0.2</v>
      </c>
      <c r="M1501" s="554" t="e">
        <f aca="false">K1501*L1501</f>
        <v>#NAME?</v>
      </c>
      <c r="N1501" s="554" t="e">
        <f aca="false">K1501+M1501</f>
        <v>#NAME?</v>
      </c>
      <c r="O1501" s="554" t="e">
        <f aca="false">M1501</f>
        <v>#NAME?</v>
      </c>
    </row>
    <row r="1502" s="531" customFormat="true" ht="15.75" hidden="false" customHeight="false" outlineLevel="0" collapsed="false">
      <c r="A1502" s="399" t="s">
        <v>4100</v>
      </c>
      <c r="B1502" s="168" t="s">
        <v>4040</v>
      </c>
      <c r="C1502" s="534"/>
      <c r="D1502" s="557"/>
      <c r="E1502" s="557"/>
      <c r="F1502" s="557"/>
      <c r="G1502" s="557"/>
      <c r="H1502" s="557"/>
      <c r="I1502" s="557"/>
      <c r="J1502" s="557"/>
      <c r="K1502" s="557"/>
      <c r="L1502" s="557"/>
      <c r="M1502" s="557"/>
      <c r="N1502" s="557"/>
      <c r="O1502" s="557"/>
    </row>
    <row r="1503" s="531" customFormat="true" ht="18" hidden="false" customHeight="true" outlineLevel="0" collapsed="false">
      <c r="A1503" s="142" t="s">
        <v>2638</v>
      </c>
      <c r="B1503" s="163" t="s">
        <v>4041</v>
      </c>
      <c r="C1503" s="552" t="e">
        <f aca="false">мат.затр!g12630/3</f>
        <v>#NAME?</v>
      </c>
      <c r="D1503" s="556" t="n">
        <f aca="false">тарифик!J1504</f>
        <v>3908.96921017403</v>
      </c>
      <c r="E1503" s="558"/>
      <c r="F1503" s="552" t="n">
        <f aca="false">D1503*0.9*0.095+D1503*3%</f>
        <v>451.4859437751</v>
      </c>
      <c r="G1503" s="552" t="n">
        <f aca="false">амортизация!M5806/3</f>
        <v>582.271917328935</v>
      </c>
      <c r="H1503" s="554" t="e">
        <f aca="false">C1503+D1503+F1503+G1503</f>
        <v>#NAME?</v>
      </c>
      <c r="I1503" s="553" t="n">
        <f aca="false">'накл расходы'!D16</f>
        <v>0.240474587202079</v>
      </c>
      <c r="J1503" s="554" t="n">
        <f aca="false">D1503*I1503</f>
        <v>940.007757202236</v>
      </c>
      <c r="K1503" s="554" t="e">
        <f aca="false">H1503+J1503</f>
        <v>#NAME?</v>
      </c>
      <c r="L1503" s="553" t="n">
        <v>0.2</v>
      </c>
      <c r="M1503" s="554" t="e">
        <f aca="false">K1503*L1503</f>
        <v>#NAME?</v>
      </c>
      <c r="N1503" s="554" t="e">
        <f aca="false">K1503+M1503</f>
        <v>#NAME?</v>
      </c>
      <c r="O1503" s="554" t="e">
        <f aca="false">M1503</f>
        <v>#NAME?</v>
      </c>
    </row>
    <row r="1504" s="531" customFormat="true" ht="18.75" hidden="false" customHeight="true" outlineLevel="0" collapsed="false">
      <c r="A1504" s="202" t="n">
        <v>18</v>
      </c>
      <c r="B1504" s="92" t="s">
        <v>4042</v>
      </c>
      <c r="C1504" s="559"/>
      <c r="D1504" s="551"/>
      <c r="E1504" s="559"/>
      <c r="F1504" s="551"/>
      <c r="G1504" s="551"/>
      <c r="H1504" s="559"/>
      <c r="I1504" s="551"/>
      <c r="J1504" s="559"/>
      <c r="K1504" s="551"/>
      <c r="L1504" s="559"/>
      <c r="M1504" s="551"/>
      <c r="N1504" s="559"/>
      <c r="O1504" s="551"/>
    </row>
    <row r="1505" s="531" customFormat="true" ht="18.75" hidden="false" customHeight="true" outlineLevel="0" collapsed="false">
      <c r="A1505" s="142" t="s">
        <v>2644</v>
      </c>
      <c r="B1505" s="203" t="s">
        <v>4043</v>
      </c>
      <c r="C1505" s="560" t="n">
        <v>0</v>
      </c>
      <c r="D1505" s="561" t="n">
        <f aca="false">тарифик!J1525</f>
        <v>5622.48995983936</v>
      </c>
      <c r="E1505" s="562"/>
      <c r="F1505" s="552" t="n">
        <f aca="false">D1505*0.9*0.095+D1505*3%</f>
        <v>649.397590361446</v>
      </c>
      <c r="G1505" s="563" t="n">
        <f aca="false">амортизация!M6009</f>
        <v>0</v>
      </c>
      <c r="H1505" s="554" t="n">
        <f aca="false">C1505+D1505+F1505+G1505</f>
        <v>6271.8875502008</v>
      </c>
      <c r="I1505" s="553" t="n">
        <f aca="false">'накл расходы'!D16</f>
        <v>0.240474587202079</v>
      </c>
      <c r="J1505" s="554" t="n">
        <f aca="false">D1505*I1505</f>
        <v>1352.0659521402</v>
      </c>
      <c r="K1505" s="554" t="n">
        <f aca="false">H1505+J1505</f>
        <v>7623.95350234101</v>
      </c>
      <c r="L1505" s="553" t="n">
        <v>0.2</v>
      </c>
      <c r="M1505" s="554" t="n">
        <f aca="false">K1505*L1505</f>
        <v>1524.7907004682</v>
      </c>
      <c r="N1505" s="554" t="n">
        <f aca="false">K1505+M1505</f>
        <v>9148.74420280921</v>
      </c>
      <c r="O1505" s="554" t="n">
        <f aca="false">M1505</f>
        <v>1524.7907004682</v>
      </c>
    </row>
    <row r="1506" s="531" customFormat="true" ht="18.75" hidden="false" customHeight="true" outlineLevel="0" collapsed="false">
      <c r="A1506" s="142" t="s">
        <v>2646</v>
      </c>
      <c r="B1506" s="203" t="s">
        <v>4044</v>
      </c>
      <c r="C1506" s="560" t="n">
        <v>0</v>
      </c>
      <c r="D1506" s="561" t="n">
        <f aca="false">тарифик!J1526</f>
        <v>5622.48995983936</v>
      </c>
      <c r="E1506" s="562"/>
      <c r="F1506" s="552" t="n">
        <f aca="false">D1506*0.9*0.095+D1506*3%</f>
        <v>649.397590361446</v>
      </c>
      <c r="G1506" s="563" t="n">
        <f aca="false">амортизация!M6010</f>
        <v>0</v>
      </c>
      <c r="H1506" s="554" t="n">
        <f aca="false">C1506+D1506+F1506+G1506</f>
        <v>6271.8875502008</v>
      </c>
      <c r="I1506" s="553" t="n">
        <v>0</v>
      </c>
      <c r="J1506" s="554" t="n">
        <f aca="false">D1506*I1506</f>
        <v>0</v>
      </c>
      <c r="K1506" s="554" t="n">
        <f aca="false">H1506+J1506</f>
        <v>6271.8875502008</v>
      </c>
      <c r="L1506" s="553" t="n">
        <v>0.2</v>
      </c>
      <c r="M1506" s="554" t="n">
        <f aca="false">K1506*L1506</f>
        <v>1254.37751004016</v>
      </c>
      <c r="N1506" s="554" t="n">
        <f aca="false">K1506+M1506</f>
        <v>7526.26506024096</v>
      </c>
      <c r="O1506" s="554" t="n">
        <f aca="false">M1506</f>
        <v>1254.37751004016</v>
      </c>
    </row>
    <row r="1507" s="531" customFormat="true" ht="63.75" hidden="false" customHeight="true" outlineLevel="0" collapsed="false">
      <c r="A1507" s="142" t="s">
        <v>2648</v>
      </c>
      <c r="B1507" s="172" t="s">
        <v>4045</v>
      </c>
      <c r="C1507" s="552" t="e">
        <f aca="false">мат.затр!g12958</f>
        <v>#NAME?</v>
      </c>
      <c r="D1507" s="552" t="n">
        <f aca="false">тарифик!J1527</f>
        <v>3212.85140562249</v>
      </c>
      <c r="E1507" s="552"/>
      <c r="F1507" s="552" t="n">
        <f aca="false">D1507*0.9*0.095+D1507*3%</f>
        <v>371.084337349398</v>
      </c>
      <c r="G1507" s="552" t="n">
        <v>0</v>
      </c>
      <c r="H1507" s="554" t="e">
        <f aca="false">C1507+D1507+F1507+G1507</f>
        <v>#NAME?</v>
      </c>
      <c r="I1507" s="553" t="n">
        <f aca="false">'накл расходы'!D16</f>
        <v>0.240474587202079</v>
      </c>
      <c r="J1507" s="554" t="n">
        <f aca="false">D1507*I1507</f>
        <v>772.609115508687</v>
      </c>
      <c r="K1507" s="554" t="e">
        <f aca="false">H1507+J1507</f>
        <v>#NAME?</v>
      </c>
      <c r="L1507" s="553" t="n">
        <v>0.2</v>
      </c>
      <c r="M1507" s="554" t="e">
        <f aca="false">K1507*L1507</f>
        <v>#NAME?</v>
      </c>
      <c r="N1507" s="554" t="e">
        <f aca="false">K1507+M1507</f>
        <v>#NAME?</v>
      </c>
      <c r="O1507" s="554" t="e">
        <f aca="false">M1507</f>
        <v>#NAME?</v>
      </c>
    </row>
    <row r="1508" s="531" customFormat="true" ht="31.5" hidden="false" customHeight="true" outlineLevel="0" collapsed="false">
      <c r="A1508" s="142" t="s">
        <v>2650</v>
      </c>
      <c r="B1508" s="172" t="s">
        <v>4046</v>
      </c>
      <c r="C1508" s="552" t="e">
        <f aca="false">мат.затр!g12959</f>
        <v>#NAME?</v>
      </c>
      <c r="D1508" s="552" t="n">
        <f aca="false">тарифик!J1528</f>
        <v>1392.23560910308</v>
      </c>
      <c r="E1508" s="552"/>
      <c r="F1508" s="552" t="n">
        <f aca="false">D1508*0.9*0.095+D1508*3%</f>
        <v>160.803212851406</v>
      </c>
      <c r="G1508" s="552" t="n">
        <v>0</v>
      </c>
      <c r="H1508" s="554" t="e">
        <f aca="false">C1508+D1508+F1508+G1508</f>
        <v>#NAME?</v>
      </c>
      <c r="I1508" s="553" t="n">
        <f aca="false">'накл расходы'!D16</f>
        <v>0.240474587202079</v>
      </c>
      <c r="J1508" s="554" t="n">
        <f aca="false">D1508*I1508</f>
        <v>334.797283387098</v>
      </c>
      <c r="K1508" s="554" t="e">
        <f aca="false">H1508+J1508</f>
        <v>#NAME?</v>
      </c>
      <c r="L1508" s="553" t="n">
        <v>0.2</v>
      </c>
      <c r="M1508" s="554" t="e">
        <f aca="false">K1508*L1508</f>
        <v>#NAME?</v>
      </c>
      <c r="N1508" s="554" t="e">
        <f aca="false">K1508+M1508</f>
        <v>#NAME?</v>
      </c>
      <c r="O1508" s="554" t="e">
        <f aca="false">M1508</f>
        <v>#NAME?</v>
      </c>
    </row>
    <row r="1509" s="531" customFormat="true" ht="15" hidden="false" customHeight="true" outlineLevel="0" collapsed="false">
      <c r="A1509" s="207" t="n">
        <v>19</v>
      </c>
      <c r="B1509" s="92" t="s">
        <v>4047</v>
      </c>
      <c r="C1509" s="551"/>
      <c r="D1509" s="551"/>
      <c r="E1509" s="551"/>
      <c r="F1509" s="551"/>
      <c r="G1509" s="551"/>
      <c r="H1509" s="551"/>
      <c r="I1509" s="551"/>
      <c r="J1509" s="551"/>
      <c r="K1509" s="551"/>
      <c r="L1509" s="551"/>
      <c r="M1509" s="551"/>
      <c r="N1509" s="551"/>
      <c r="O1509" s="551"/>
    </row>
    <row r="1510" s="531" customFormat="true" ht="18.75" hidden="false" customHeight="true" outlineLevel="0" collapsed="false">
      <c r="A1510" s="142" t="s">
        <v>2656</v>
      </c>
      <c r="B1510" s="49" t="s">
        <v>4048</v>
      </c>
      <c r="C1510" s="552" t="e">
        <f aca="false">мат.затр!g12961</f>
        <v>#NAME?</v>
      </c>
      <c r="D1510" s="552" t="n">
        <f aca="false">тарифик!J1530</f>
        <v>937.081659973226</v>
      </c>
      <c r="E1510" s="552"/>
      <c r="F1510" s="552" t="n">
        <f aca="false">D1510*0.9*0.095+D1510*3%</f>
        <v>108.232931726908</v>
      </c>
      <c r="G1510" s="552" t="n">
        <f aca="false">амортизация!M6014</f>
        <v>0</v>
      </c>
      <c r="H1510" s="554" t="e">
        <f aca="false">C1510+D1510+F1510+G1510</f>
        <v>#NAME?</v>
      </c>
      <c r="I1510" s="553" t="n">
        <f aca="false">I$190</f>
        <v>0.240474587202079</v>
      </c>
      <c r="J1510" s="554" t="n">
        <f aca="false">D1510*I1510</f>
        <v>225.344325356701</v>
      </c>
      <c r="K1510" s="554" t="e">
        <f aca="false">H1510+J1510</f>
        <v>#NAME?</v>
      </c>
      <c r="L1510" s="553" t="n">
        <v>0.2</v>
      </c>
      <c r="M1510" s="554" t="e">
        <f aca="false">K1510*L1510</f>
        <v>#NAME?</v>
      </c>
      <c r="N1510" s="554" t="e">
        <f aca="false">K1510+M1510</f>
        <v>#NAME?</v>
      </c>
      <c r="O1510" s="554" t="e">
        <f aca="false">M1510</f>
        <v>#NAME?</v>
      </c>
    </row>
    <row r="1511" s="531" customFormat="true" ht="18.75" hidden="false" customHeight="true" outlineLevel="0" collapsed="false">
      <c r="A1511" s="91" t="s">
        <v>2658</v>
      </c>
      <c r="B1511" s="211" t="s">
        <v>4049</v>
      </c>
      <c r="C1511" s="211"/>
      <c r="D1511" s="211"/>
      <c r="E1511" s="211"/>
      <c r="F1511" s="551"/>
      <c r="G1511" s="551"/>
      <c r="H1511" s="551"/>
      <c r="I1511" s="551"/>
      <c r="J1511" s="551"/>
      <c r="K1511" s="551"/>
      <c r="L1511" s="551"/>
      <c r="M1511" s="551"/>
      <c r="N1511" s="551"/>
      <c r="O1511" s="551"/>
    </row>
    <row r="1512" s="531" customFormat="true" ht="18.75" hidden="false" customHeight="true" outlineLevel="0" collapsed="false">
      <c r="A1512" s="564"/>
      <c r="B1512" s="213" t="s">
        <v>4050</v>
      </c>
      <c r="C1512" s="423"/>
      <c r="D1512" s="423"/>
      <c r="E1512" s="423"/>
      <c r="F1512" s="565"/>
      <c r="G1512" s="565"/>
      <c r="H1512" s="565"/>
      <c r="I1512" s="565"/>
      <c r="J1512" s="565"/>
      <c r="K1512" s="565"/>
      <c r="L1512" s="565"/>
      <c r="M1512" s="565"/>
      <c r="N1512" s="565"/>
      <c r="O1512" s="565"/>
    </row>
    <row r="1513" customFormat="false" ht="35.25" hidden="false" customHeight="true" outlineLevel="0" collapsed="false">
      <c r="A1513" s="427" t="s">
        <v>2662</v>
      </c>
      <c r="B1513" s="430" t="s">
        <v>4101</v>
      </c>
      <c r="C1513" s="542" t="e">
        <f aca="false">мат.затр!g12967</f>
        <v>#NAME?</v>
      </c>
      <c r="D1513" s="542" t="n">
        <f aca="false">тарифик!J1533</f>
        <v>0</v>
      </c>
      <c r="E1513" s="542"/>
      <c r="F1513" s="473" t="n">
        <f aca="false">D1513*0.9*0.095+D1513*3%</f>
        <v>0</v>
      </c>
      <c r="G1513" s="542"/>
      <c r="H1513" s="473" t="e">
        <f aca="false">C1513+D1513+F1513+G1513</f>
        <v>#NAME?</v>
      </c>
      <c r="I1513" s="462" t="n">
        <f aca="false">'накл расходы'!D16</f>
        <v>0.240474587202079</v>
      </c>
      <c r="J1513" s="473" t="n">
        <f aca="false">D1513*I1513</f>
        <v>0</v>
      </c>
      <c r="K1513" s="473" t="e">
        <f aca="false">H1513+J1513</f>
        <v>#NAME?</v>
      </c>
      <c r="L1513" s="462" t="n">
        <v>0.2</v>
      </c>
      <c r="M1513" s="473" t="e">
        <f aca="false">K1513*L1513</f>
        <v>#NAME?</v>
      </c>
      <c r="N1513" s="473" t="e">
        <f aca="false">K1513+M1513</f>
        <v>#NAME?</v>
      </c>
      <c r="O1513" s="473" t="e">
        <f aca="false">M1513</f>
        <v>#NAME?</v>
      </c>
    </row>
    <row r="1514" customFormat="false" ht="20.25" hidden="false" customHeight="true" outlineLevel="0" collapsed="false">
      <c r="A1514" s="428"/>
      <c r="B1514" s="433" t="s">
        <v>4051</v>
      </c>
      <c r="C1514" s="542"/>
      <c r="D1514" s="542"/>
      <c r="E1514" s="542"/>
      <c r="F1514" s="473"/>
      <c r="G1514" s="542"/>
      <c r="H1514" s="473"/>
      <c r="I1514" s="462"/>
      <c r="J1514" s="473"/>
      <c r="K1514" s="473"/>
      <c r="L1514" s="462"/>
      <c r="M1514" s="473"/>
      <c r="N1514" s="473"/>
      <c r="O1514" s="473"/>
    </row>
    <row r="1515" customFormat="false" ht="18" hidden="false" customHeight="true" outlineLevel="0" collapsed="false">
      <c r="A1515" s="428"/>
      <c r="B1515" s="433" t="s">
        <v>4052</v>
      </c>
      <c r="C1515" s="542" t="e">
        <f aca="false">мат.затр!g12967</f>
        <v>#NAME?</v>
      </c>
      <c r="D1515" s="542" t="n">
        <f aca="false">тарифик!J1534</f>
        <v>392.235609103079</v>
      </c>
      <c r="E1515" s="542"/>
      <c r="F1515" s="473" t="n">
        <f aca="false">D1515*0.9*0.095+D1515*3%</f>
        <v>45.3032128514056</v>
      </c>
      <c r="G1515" s="542"/>
      <c r="H1515" s="473" t="e">
        <f aca="false">C1515+D1515+F1515+G1515</f>
        <v>#NAME?</v>
      </c>
      <c r="I1515" s="462" t="n">
        <f aca="false">'накл расходы'!D16</f>
        <v>0.240474587202079</v>
      </c>
      <c r="J1515" s="473" t="n">
        <f aca="false">D1515*I1515</f>
        <v>94.3226961850189</v>
      </c>
      <c r="K1515" s="473" t="e">
        <f aca="false">H1515+J1515</f>
        <v>#NAME?</v>
      </c>
      <c r="L1515" s="462" t="n">
        <v>0.2</v>
      </c>
      <c r="M1515" s="473" t="e">
        <f aca="false">K1515*L1515</f>
        <v>#NAME?</v>
      </c>
      <c r="N1515" s="473" t="e">
        <f aca="false">K1515+M1515</f>
        <v>#NAME?</v>
      </c>
      <c r="O1515" s="473" t="e">
        <f aca="false">M1515</f>
        <v>#NAME?</v>
      </c>
      <c r="P1515" s="451" t="e">
        <f aca="false">N1515/60</f>
        <v>#NAME?</v>
      </c>
    </row>
    <row r="1516" customFormat="false" ht="18" hidden="false" customHeight="true" outlineLevel="0" collapsed="false">
      <c r="A1516" s="428"/>
      <c r="B1516" s="433" t="s">
        <v>4053</v>
      </c>
      <c r="C1516" s="542" t="e">
        <f aca="false">мат.затр!g12967</f>
        <v>#NAME?</v>
      </c>
      <c r="D1516" s="542" t="n">
        <f aca="false">тарифик!J1535</f>
        <v>354.75234270415</v>
      </c>
      <c r="E1516" s="542"/>
      <c r="F1516" s="473" t="n">
        <f aca="false">D1516*0.9*0.095+D1516*3%</f>
        <v>40.9738955823293</v>
      </c>
      <c r="G1516" s="542"/>
      <c r="H1516" s="473" t="e">
        <f aca="false">C1516+D1516+F1516+G1516</f>
        <v>#NAME?</v>
      </c>
      <c r="I1516" s="462" t="n">
        <f aca="false">'накл расходы'!D16</f>
        <v>0.240474587202079</v>
      </c>
      <c r="J1516" s="473" t="n">
        <f aca="false">D1516*I1516</f>
        <v>85.3089231707509</v>
      </c>
      <c r="K1516" s="473" t="e">
        <f aca="false">H1516+J1516</f>
        <v>#NAME?</v>
      </c>
      <c r="L1516" s="462" t="n">
        <v>0.2</v>
      </c>
      <c r="M1516" s="473" t="e">
        <f aca="false">K1516*L1516</f>
        <v>#NAME?</v>
      </c>
      <c r="N1516" s="473" t="e">
        <f aca="false">K1516+M1516</f>
        <v>#NAME?</v>
      </c>
      <c r="O1516" s="473" t="e">
        <f aca="false">M1516</f>
        <v>#NAME?</v>
      </c>
      <c r="P1516" s="451" t="e">
        <f aca="false">N1516/90</f>
        <v>#NAME?</v>
      </c>
    </row>
    <row r="1517" customFormat="false" ht="18" hidden="false" customHeight="true" outlineLevel="0" collapsed="false">
      <c r="A1517" s="428"/>
      <c r="B1517" s="566" t="s">
        <v>4054</v>
      </c>
      <c r="C1517" s="542" t="e">
        <f aca="false">мат.затр!g12967</f>
        <v>#NAME?</v>
      </c>
      <c r="D1517" s="542" t="n">
        <f aca="false">тарифик!J1536</f>
        <v>340.696117804552</v>
      </c>
      <c r="E1517" s="542"/>
      <c r="F1517" s="473" t="n">
        <f aca="false">D1517*0.9*0.095+D1517*3%</f>
        <v>39.3504016064257</v>
      </c>
      <c r="G1517" s="542"/>
      <c r="H1517" s="473" t="e">
        <f aca="false">C1517+D1517+F1517+G1517</f>
        <v>#NAME?</v>
      </c>
      <c r="I1517" s="462" t="n">
        <f aca="false">'накл расходы'!D16</f>
        <v>0.240474587202079</v>
      </c>
      <c r="J1517" s="473" t="n">
        <f aca="false">D1517*I1517</f>
        <v>81.9287582904004</v>
      </c>
      <c r="K1517" s="473" t="e">
        <f aca="false">H1517+J1517</f>
        <v>#NAME?</v>
      </c>
      <c r="L1517" s="462" t="n">
        <v>0.2</v>
      </c>
      <c r="M1517" s="473" t="e">
        <f aca="false">K1517*L1517</f>
        <v>#NAME?</v>
      </c>
      <c r="N1517" s="473" t="e">
        <f aca="false">K1517+M1517</f>
        <v>#NAME?</v>
      </c>
      <c r="O1517" s="473" t="e">
        <f aca="false">M1517</f>
        <v>#NAME?</v>
      </c>
    </row>
    <row r="1518" customFormat="false" ht="18" hidden="false" customHeight="true" outlineLevel="0" collapsed="false">
      <c r="A1518" s="428"/>
      <c r="B1518" s="433" t="s">
        <v>4055</v>
      </c>
      <c r="C1518" s="542" t="e">
        <f aca="false">мат.затр!g12967</f>
        <v>#NAME?</v>
      </c>
      <c r="D1518" s="542" t="n">
        <f aca="false">тарифик!J1537</f>
        <v>330.655957161981</v>
      </c>
      <c r="E1518" s="542"/>
      <c r="F1518" s="473" t="n">
        <f aca="false">D1518*0.9*0.095+D1518*3%</f>
        <v>38.1907630522088</v>
      </c>
      <c r="G1518" s="542"/>
      <c r="H1518" s="473" t="e">
        <f aca="false">C1518+D1518+F1518+G1518</f>
        <v>#NAME?</v>
      </c>
      <c r="I1518" s="462" t="n">
        <f aca="false">'накл расходы'!D16</f>
        <v>0.240474587202079</v>
      </c>
      <c r="J1518" s="473" t="n">
        <f aca="false">D1518*I1518</f>
        <v>79.5143548044357</v>
      </c>
      <c r="K1518" s="473" t="e">
        <f aca="false">H1518+J1518</f>
        <v>#NAME?</v>
      </c>
      <c r="L1518" s="462" t="n">
        <v>0.2</v>
      </c>
      <c r="M1518" s="473" t="e">
        <f aca="false">K1518*L1518</f>
        <v>#NAME?</v>
      </c>
      <c r="N1518" s="473" t="e">
        <f aca="false">K1518+M1518</f>
        <v>#NAME?</v>
      </c>
      <c r="O1518" s="473" t="e">
        <f aca="false">M1518</f>
        <v>#NAME?</v>
      </c>
    </row>
    <row r="1519" customFormat="false" ht="35.25" hidden="false" customHeight="true" outlineLevel="0" collapsed="false">
      <c r="A1519" s="427" t="s">
        <v>2672</v>
      </c>
      <c r="B1519" s="217" t="s">
        <v>4056</v>
      </c>
      <c r="C1519" s="542"/>
      <c r="D1519" s="542" t="n">
        <f aca="false">тарифик!J1538</f>
        <v>0</v>
      </c>
      <c r="E1519" s="542"/>
      <c r="F1519" s="473" t="n">
        <f aca="false">D1519*0.9*0.095+D1519*3%</f>
        <v>0</v>
      </c>
      <c r="G1519" s="542"/>
      <c r="H1519" s="473" t="n">
        <f aca="false">C1519+D1519+F1519+G1519</f>
        <v>0</v>
      </c>
      <c r="I1519" s="462"/>
      <c r="J1519" s="473"/>
      <c r="K1519" s="473" t="n">
        <f aca="false">H1519+J1519</f>
        <v>0</v>
      </c>
      <c r="L1519" s="462" t="n">
        <v>0.2</v>
      </c>
      <c r="M1519" s="473" t="n">
        <f aca="false">K1519*L1519</f>
        <v>0</v>
      </c>
      <c r="N1519" s="473" t="n">
        <f aca="false">K1519+M1519</f>
        <v>0</v>
      </c>
      <c r="O1519" s="473" t="n">
        <f aca="false">M1519</f>
        <v>0</v>
      </c>
    </row>
    <row r="1520" customFormat="false" ht="21" hidden="false" customHeight="true" outlineLevel="0" collapsed="false">
      <c r="A1520" s="429"/>
      <c r="B1520" s="433" t="s">
        <v>4051</v>
      </c>
      <c r="C1520" s="542"/>
      <c r="D1520" s="542"/>
      <c r="E1520" s="542"/>
      <c r="F1520" s="473" t="n">
        <f aca="false">D1520*0.9*0.095+D1520*3%</f>
        <v>0</v>
      </c>
      <c r="G1520" s="542"/>
      <c r="H1520" s="473"/>
      <c r="I1520" s="462"/>
      <c r="J1520" s="473"/>
      <c r="K1520" s="473"/>
      <c r="L1520" s="462"/>
      <c r="M1520" s="473"/>
      <c r="N1520" s="473"/>
      <c r="O1520" s="473"/>
    </row>
    <row r="1521" customFormat="false" ht="21" hidden="false" customHeight="true" outlineLevel="0" collapsed="false">
      <c r="A1521" s="429"/>
      <c r="B1521" s="566" t="s">
        <v>4052</v>
      </c>
      <c r="C1521" s="542"/>
      <c r="D1521" s="542" t="n">
        <f aca="false">тарифик!J1540</f>
        <v>392.235609103079</v>
      </c>
      <c r="E1521" s="542"/>
      <c r="F1521" s="473" t="n">
        <f aca="false">D1521*0.9*0.095+D1521*3%</f>
        <v>45.3032128514056</v>
      </c>
      <c r="G1521" s="542"/>
      <c r="H1521" s="473" t="n">
        <f aca="false">C1521+D1521+F1521+G1521</f>
        <v>437.538821954485</v>
      </c>
      <c r="I1521" s="462"/>
      <c r="J1521" s="473" t="n">
        <f aca="false">D1521*I1521</f>
        <v>0</v>
      </c>
      <c r="K1521" s="473" t="n">
        <f aca="false">H1521+J1521</f>
        <v>437.538821954485</v>
      </c>
      <c r="L1521" s="462" t="n">
        <v>0.2</v>
      </c>
      <c r="M1521" s="473" t="n">
        <f aca="false">K1521*L1521</f>
        <v>87.5077643908969</v>
      </c>
      <c r="N1521" s="473" t="n">
        <f aca="false">K1521+M1521</f>
        <v>525.046586345382</v>
      </c>
      <c r="O1521" s="473" t="n">
        <f aca="false">M1521</f>
        <v>87.5077643908969</v>
      </c>
    </row>
    <row r="1522" customFormat="false" ht="21" hidden="false" customHeight="true" outlineLevel="0" collapsed="false">
      <c r="A1522" s="429"/>
      <c r="B1522" s="433" t="s">
        <v>4053</v>
      </c>
      <c r="C1522" s="542"/>
      <c r="D1522" s="542" t="n">
        <f aca="false">тарифик!J1541</f>
        <v>392.235609103079</v>
      </c>
      <c r="E1522" s="542"/>
      <c r="F1522" s="473" t="n">
        <f aca="false">D1522*0.9*0.095+D1522*3%</f>
        <v>45.3032128514056</v>
      </c>
      <c r="G1522" s="542"/>
      <c r="H1522" s="473" t="n">
        <f aca="false">C1522+D1522+F1522+G1522</f>
        <v>437.538821954485</v>
      </c>
      <c r="I1522" s="462"/>
      <c r="J1522" s="473" t="n">
        <f aca="false">D1522*I1522</f>
        <v>0</v>
      </c>
      <c r="K1522" s="473" t="n">
        <f aca="false">H1522+J1522</f>
        <v>437.538821954485</v>
      </c>
      <c r="L1522" s="462" t="n">
        <v>0.2</v>
      </c>
      <c r="M1522" s="473" t="n">
        <f aca="false">K1522*L1522</f>
        <v>87.5077643908969</v>
      </c>
      <c r="N1522" s="473" t="n">
        <f aca="false">K1522+M1522</f>
        <v>525.046586345382</v>
      </c>
      <c r="O1522" s="473" t="n">
        <f aca="false">M1522</f>
        <v>87.5077643908969</v>
      </c>
    </row>
    <row r="1523" customFormat="false" ht="21" hidden="false" customHeight="true" outlineLevel="0" collapsed="false">
      <c r="A1523" s="429"/>
      <c r="B1523" s="433" t="s">
        <v>4054</v>
      </c>
      <c r="C1523" s="542"/>
      <c r="D1523" s="542" t="n">
        <f aca="false">тарифик!J1542</f>
        <v>392.235609103079</v>
      </c>
      <c r="E1523" s="542"/>
      <c r="F1523" s="473" t="n">
        <f aca="false">D1523*0.9*0.095+D1523*3%</f>
        <v>45.3032128514056</v>
      </c>
      <c r="G1523" s="542"/>
      <c r="H1523" s="473" t="n">
        <f aca="false">C1523+D1523+F1523+G1523</f>
        <v>437.538821954485</v>
      </c>
      <c r="I1523" s="462"/>
      <c r="J1523" s="473" t="n">
        <f aca="false">D1523*I1523</f>
        <v>0</v>
      </c>
      <c r="K1523" s="473" t="n">
        <f aca="false">H1523+J1523</f>
        <v>437.538821954485</v>
      </c>
      <c r="L1523" s="462" t="n">
        <v>0.2</v>
      </c>
      <c r="M1523" s="473" t="n">
        <f aca="false">K1523*L1523</f>
        <v>87.5077643908969</v>
      </c>
      <c r="N1523" s="473" t="n">
        <f aca="false">K1523+M1523</f>
        <v>525.046586345382</v>
      </c>
      <c r="O1523" s="473" t="n">
        <f aca="false">M1523</f>
        <v>87.5077643908969</v>
      </c>
    </row>
    <row r="1524" customFormat="false" ht="21" hidden="false" customHeight="true" outlineLevel="0" collapsed="false">
      <c r="A1524" s="429"/>
      <c r="B1524" s="433" t="s">
        <v>4055</v>
      </c>
      <c r="C1524" s="542"/>
      <c r="D1524" s="542" t="n">
        <f aca="false">тарифик!J1543</f>
        <v>392.235609103079</v>
      </c>
      <c r="E1524" s="542"/>
      <c r="F1524" s="473" t="n">
        <f aca="false">D1524*0.9*0.095+D1524*3%</f>
        <v>45.3032128514056</v>
      </c>
      <c r="G1524" s="542"/>
      <c r="H1524" s="473" t="n">
        <f aca="false">C1524+D1524+F1524+G1524</f>
        <v>437.538821954485</v>
      </c>
      <c r="I1524" s="462"/>
      <c r="J1524" s="473" t="n">
        <f aca="false">D1524*I1524</f>
        <v>0</v>
      </c>
      <c r="K1524" s="473" t="n">
        <f aca="false">H1524+J1524</f>
        <v>437.538821954485</v>
      </c>
      <c r="L1524" s="462" t="n">
        <v>0.2</v>
      </c>
      <c r="M1524" s="473" t="n">
        <f aca="false">K1524*L1524</f>
        <v>87.5077643908969</v>
      </c>
      <c r="N1524" s="473" t="n">
        <f aca="false">K1524+M1524</f>
        <v>525.046586345382</v>
      </c>
      <c r="O1524" s="473" t="n">
        <f aca="false">M1524</f>
        <v>87.5077643908969</v>
      </c>
    </row>
    <row r="1525" customFormat="false" ht="35.25" hidden="false" customHeight="true" outlineLevel="0" collapsed="false">
      <c r="A1525" s="142" t="s">
        <v>2674</v>
      </c>
      <c r="B1525" s="430" t="s">
        <v>4057</v>
      </c>
      <c r="C1525" s="542"/>
      <c r="D1525" s="542"/>
      <c r="E1525" s="542"/>
      <c r="F1525" s="473"/>
      <c r="G1525" s="542"/>
      <c r="H1525" s="473"/>
      <c r="I1525" s="567"/>
      <c r="J1525" s="542"/>
      <c r="K1525" s="542"/>
      <c r="L1525" s="568"/>
      <c r="M1525" s="542"/>
      <c r="N1525" s="569"/>
      <c r="O1525" s="542"/>
    </row>
    <row r="1526" customFormat="false" ht="22.5" hidden="false" customHeight="true" outlineLevel="0" collapsed="false">
      <c r="A1526" s="142"/>
      <c r="B1526" s="566" t="s">
        <v>4052</v>
      </c>
      <c r="C1526" s="542" t="e">
        <f aca="false">мат.затр!g12968</f>
        <v>#NAME?</v>
      </c>
      <c r="D1526" s="542" t="n">
        <f aca="false">тарифик!J1545</f>
        <v>392.235609103079</v>
      </c>
      <c r="E1526" s="542"/>
      <c r="F1526" s="473" t="n">
        <f aca="false">D1526*0.9*0.095+D1526*3%</f>
        <v>45.3032128514056</v>
      </c>
      <c r="G1526" s="542"/>
      <c r="H1526" s="473" t="e">
        <f aca="false">C1526+D1526+F1526+G1526</f>
        <v>#NAME?</v>
      </c>
      <c r="I1526" s="462" t="n">
        <f aca="false">'накл расходы'!D16</f>
        <v>0.240474587202079</v>
      </c>
      <c r="J1526" s="473" t="n">
        <f aca="false">D1526*I1526</f>
        <v>94.3226961850189</v>
      </c>
      <c r="K1526" s="473" t="e">
        <f aca="false">H1526+J1526</f>
        <v>#NAME?</v>
      </c>
      <c r="L1526" s="462" t="n">
        <v>0.2</v>
      </c>
      <c r="M1526" s="473" t="e">
        <f aca="false">K1526*L1526</f>
        <v>#NAME?</v>
      </c>
      <c r="N1526" s="473" t="e">
        <f aca="false">K1526+M1526</f>
        <v>#NAME?</v>
      </c>
      <c r="O1526" s="473" t="e">
        <f aca="false">M1526</f>
        <v>#NAME?</v>
      </c>
    </row>
    <row r="1527" customFormat="false" ht="21.75" hidden="false" customHeight="true" outlineLevel="0" collapsed="false">
      <c r="A1527" s="142"/>
      <c r="B1527" s="433" t="s">
        <v>4053</v>
      </c>
      <c r="C1527" s="542" t="e">
        <f aca="false">мат.затр!g12968</f>
        <v>#NAME?</v>
      </c>
      <c r="D1527" s="542" t="n">
        <f aca="false">тарифик!J1546</f>
        <v>354.75234270415</v>
      </c>
      <c r="E1527" s="542"/>
      <c r="F1527" s="473" t="n">
        <f aca="false">D1527*0.9*0.095+D1527*3%</f>
        <v>40.9738955823293</v>
      </c>
      <c r="G1527" s="542"/>
      <c r="H1527" s="473" t="e">
        <f aca="false">C1527+D1527+F1527+G1527</f>
        <v>#NAME?</v>
      </c>
      <c r="I1527" s="462" t="n">
        <f aca="false">'накл расходы'!D16</f>
        <v>0.240474587202079</v>
      </c>
      <c r="J1527" s="473" t="n">
        <f aca="false">D1527*I1527</f>
        <v>85.3089231707509</v>
      </c>
      <c r="K1527" s="473" t="e">
        <f aca="false">H1527+J1527</f>
        <v>#NAME?</v>
      </c>
      <c r="L1527" s="462" t="n">
        <v>0.2</v>
      </c>
      <c r="M1527" s="473" t="e">
        <f aca="false">K1527*L1527</f>
        <v>#NAME?</v>
      </c>
      <c r="N1527" s="473" t="e">
        <f aca="false">K1527+M1527</f>
        <v>#NAME?</v>
      </c>
      <c r="O1527" s="473" t="e">
        <f aca="false">M1527</f>
        <v>#NAME?</v>
      </c>
    </row>
    <row r="1528" customFormat="false" ht="22.5" hidden="false" customHeight="true" outlineLevel="0" collapsed="false">
      <c r="A1528" s="142"/>
      <c r="B1528" s="433" t="s">
        <v>4054</v>
      </c>
      <c r="C1528" s="542" t="e">
        <f aca="false">мат.затр!g12968</f>
        <v>#NAME?</v>
      </c>
      <c r="D1528" s="542" t="n">
        <f aca="false">тарифик!J1547</f>
        <v>340.696117804552</v>
      </c>
      <c r="E1528" s="542"/>
      <c r="F1528" s="473" t="n">
        <f aca="false">D1528*0.9*0.095+D1528*3%</f>
        <v>39.3504016064257</v>
      </c>
      <c r="G1528" s="542"/>
      <c r="H1528" s="473" t="e">
        <f aca="false">C1528+D1528+F1528+G1528</f>
        <v>#NAME?</v>
      </c>
      <c r="I1528" s="462" t="n">
        <f aca="false">'накл расходы'!D16</f>
        <v>0.240474587202079</v>
      </c>
      <c r="J1528" s="473" t="n">
        <f aca="false">D1528*I1528</f>
        <v>81.9287582904004</v>
      </c>
      <c r="K1528" s="473" t="e">
        <f aca="false">H1528+J1528</f>
        <v>#NAME?</v>
      </c>
      <c r="L1528" s="462" t="n">
        <v>0.2</v>
      </c>
      <c r="M1528" s="473" t="e">
        <f aca="false">K1528*L1528</f>
        <v>#NAME?</v>
      </c>
      <c r="N1528" s="473" t="e">
        <f aca="false">K1528+M1528</f>
        <v>#NAME?</v>
      </c>
      <c r="O1528" s="473" t="e">
        <f aca="false">M1528</f>
        <v>#NAME?</v>
      </c>
    </row>
    <row r="1529" customFormat="false" ht="20.25" hidden="false" customHeight="true" outlineLevel="0" collapsed="false">
      <c r="A1529" s="142"/>
      <c r="B1529" s="433" t="s">
        <v>4055</v>
      </c>
      <c r="C1529" s="542" t="e">
        <f aca="false">мат.затр!g12968</f>
        <v>#NAME?</v>
      </c>
      <c r="D1529" s="542" t="n">
        <f aca="false">тарифик!J1548</f>
        <v>330.655957161981</v>
      </c>
      <c r="E1529" s="542"/>
      <c r="F1529" s="473" t="n">
        <f aca="false">D1529*0.9*0.095+D1529*3%</f>
        <v>38.1907630522088</v>
      </c>
      <c r="G1529" s="542"/>
      <c r="H1529" s="473" t="e">
        <f aca="false">C1529+D1529+F1529+G1529</f>
        <v>#NAME?</v>
      </c>
      <c r="I1529" s="462" t="n">
        <f aca="false">'накл расходы'!D16</f>
        <v>0.240474587202079</v>
      </c>
      <c r="J1529" s="473" t="n">
        <f aca="false">D1529*I1529</f>
        <v>79.5143548044357</v>
      </c>
      <c r="K1529" s="473" t="e">
        <f aca="false">H1529+J1529</f>
        <v>#NAME?</v>
      </c>
      <c r="L1529" s="462" t="n">
        <v>0.2</v>
      </c>
      <c r="M1529" s="473" t="e">
        <f aca="false">K1529*L1529</f>
        <v>#NAME?</v>
      </c>
      <c r="N1529" s="473" t="e">
        <f aca="false">K1529+M1529</f>
        <v>#NAME?</v>
      </c>
      <c r="O1529" s="473" t="e">
        <f aca="false">M1529</f>
        <v>#NAME?</v>
      </c>
    </row>
    <row r="1530" customFormat="false" ht="19.5" hidden="false" customHeight="true" outlineLevel="0" collapsed="false">
      <c r="A1530" s="142"/>
      <c r="B1530" s="213" t="s">
        <v>4058</v>
      </c>
      <c r="C1530" s="542"/>
      <c r="D1530" s="542"/>
      <c r="E1530" s="542"/>
      <c r="F1530" s="473"/>
      <c r="G1530" s="542"/>
      <c r="H1530" s="473"/>
      <c r="I1530" s="462"/>
      <c r="J1530" s="473"/>
      <c r="K1530" s="473"/>
      <c r="L1530" s="462"/>
      <c r="M1530" s="473"/>
      <c r="N1530" s="473"/>
      <c r="O1530" s="473"/>
    </row>
    <row r="1531" customFormat="false" ht="20.25" hidden="false" customHeight="true" outlineLevel="0" collapsed="false">
      <c r="A1531" s="431" t="s">
        <v>2677</v>
      </c>
      <c r="B1531" s="430" t="s">
        <v>4059</v>
      </c>
      <c r="C1531" s="542"/>
      <c r="D1531" s="542"/>
      <c r="E1531" s="542"/>
      <c r="F1531" s="473"/>
      <c r="G1531" s="542"/>
      <c r="H1531" s="473"/>
      <c r="I1531" s="462"/>
      <c r="J1531" s="473"/>
      <c r="K1531" s="473"/>
      <c r="L1531" s="462"/>
      <c r="M1531" s="473"/>
      <c r="N1531" s="473"/>
      <c r="O1531" s="473"/>
    </row>
    <row r="1532" customFormat="false" ht="20.25" hidden="false" customHeight="true" outlineLevel="0" collapsed="false">
      <c r="A1532" s="431"/>
      <c r="B1532" s="432" t="s">
        <v>4052</v>
      </c>
      <c r="C1532" s="542" t="e">
        <f aca="false">мат.затр!g12984</f>
        <v>#NAME?</v>
      </c>
      <c r="D1532" s="542" t="n">
        <f aca="false">тарифик!J1551</f>
        <v>187.416331994645</v>
      </c>
      <c r="E1532" s="542"/>
      <c r="F1532" s="473" t="n">
        <f aca="false">D1532*0.9*0.095+D1532*3%</f>
        <v>21.6465863453815</v>
      </c>
      <c r="G1532" s="542"/>
      <c r="H1532" s="473" t="e">
        <f aca="false">C1532+D1532+F1532+G1532</f>
        <v>#NAME?</v>
      </c>
      <c r="I1532" s="462" t="n">
        <f aca="false">'накл расходы'!D16</f>
        <v>0.240474587202079</v>
      </c>
      <c r="J1532" s="473" t="n">
        <f aca="false">D1532*I1532</f>
        <v>45.0688650713401</v>
      </c>
      <c r="K1532" s="473" t="e">
        <f aca="false">H1532+J1532</f>
        <v>#NAME?</v>
      </c>
      <c r="L1532" s="462" t="n">
        <v>0.2</v>
      </c>
      <c r="M1532" s="473" t="e">
        <f aca="false">K1532*L1532</f>
        <v>#NAME?</v>
      </c>
      <c r="N1532" s="473" t="e">
        <f aca="false">K1532+M1532</f>
        <v>#NAME?</v>
      </c>
      <c r="O1532" s="473" t="e">
        <f aca="false">M1532</f>
        <v>#NAME?</v>
      </c>
    </row>
    <row r="1533" customFormat="false" ht="20.25" hidden="false" customHeight="true" outlineLevel="0" collapsed="false">
      <c r="A1533" s="431"/>
      <c r="B1533" s="432" t="s">
        <v>4053</v>
      </c>
      <c r="C1533" s="542" t="e">
        <f aca="false">мат.затр!g12984</f>
        <v>#NAME?</v>
      </c>
      <c r="D1533" s="542" t="n">
        <f aca="false">тарифик!J1552</f>
        <v>113.788487282463</v>
      </c>
      <c r="E1533" s="542"/>
      <c r="F1533" s="473" t="n">
        <f aca="false">D1533*0.9*0.095+D1533*3%</f>
        <v>13.1425702811245</v>
      </c>
      <c r="G1533" s="542"/>
      <c r="H1533" s="473" t="e">
        <f aca="false">C1533+D1533+F1533+G1533</f>
        <v>#NAME?</v>
      </c>
      <c r="I1533" s="462" t="n">
        <f aca="false">'накл расходы'!D16</f>
        <v>0.240474587202079</v>
      </c>
      <c r="J1533" s="473" t="n">
        <f aca="false">D1533*I1533</f>
        <v>27.3632395075993</v>
      </c>
      <c r="K1533" s="473" t="e">
        <f aca="false">H1533+J1533</f>
        <v>#NAME?</v>
      </c>
      <c r="L1533" s="462" t="n">
        <v>0.2</v>
      </c>
      <c r="M1533" s="473" t="e">
        <f aca="false">K1533*L1533</f>
        <v>#NAME?</v>
      </c>
      <c r="N1533" s="473" t="e">
        <f aca="false">K1533+M1533</f>
        <v>#NAME?</v>
      </c>
      <c r="O1533" s="473" t="e">
        <f aca="false">M1533</f>
        <v>#NAME?</v>
      </c>
    </row>
    <row r="1534" customFormat="false" ht="20.25" hidden="false" customHeight="true" outlineLevel="0" collapsed="false">
      <c r="A1534" s="431"/>
      <c r="B1534" s="432" t="s">
        <v>4054</v>
      </c>
      <c r="C1534" s="542" t="e">
        <f aca="false">мат.затр!g12984</f>
        <v>#NAME?</v>
      </c>
      <c r="D1534" s="542" t="n">
        <f aca="false">тарифик!J1553</f>
        <v>110.441767068273</v>
      </c>
      <c r="E1534" s="542"/>
      <c r="F1534" s="473" t="n">
        <f aca="false">D1534*0.9*0.095+D1534*3%</f>
        <v>12.7560240963855</v>
      </c>
      <c r="G1534" s="542"/>
      <c r="H1534" s="473" t="e">
        <f aca="false">C1534+D1534+F1534+G1534</f>
        <v>#NAME?</v>
      </c>
      <c r="I1534" s="462" t="n">
        <f aca="false">'накл расходы'!D16</f>
        <v>0.240474587202079</v>
      </c>
      <c r="J1534" s="473" t="n">
        <f aca="false">D1534*I1534</f>
        <v>26.5584383456111</v>
      </c>
      <c r="K1534" s="473" t="e">
        <f aca="false">H1534+J1534</f>
        <v>#NAME?</v>
      </c>
      <c r="L1534" s="462" t="n">
        <v>0.2</v>
      </c>
      <c r="M1534" s="473" t="e">
        <f aca="false">K1534*L1534</f>
        <v>#NAME?</v>
      </c>
      <c r="N1534" s="473" t="e">
        <f aca="false">K1534+M1534</f>
        <v>#NAME?</v>
      </c>
      <c r="O1534" s="473" t="e">
        <f aca="false">M1534</f>
        <v>#NAME?</v>
      </c>
    </row>
    <row r="1535" customFormat="false" ht="34.5" hidden="false" customHeight="true" outlineLevel="0" collapsed="false">
      <c r="A1535" s="431" t="s">
        <v>2678</v>
      </c>
      <c r="B1535" s="217" t="s">
        <v>4060</v>
      </c>
      <c r="C1535" s="542"/>
      <c r="D1535" s="542"/>
      <c r="E1535" s="542"/>
      <c r="F1535" s="473"/>
      <c r="G1535" s="542"/>
      <c r="H1535" s="473"/>
      <c r="I1535" s="462"/>
      <c r="J1535" s="473"/>
      <c r="K1535" s="473"/>
      <c r="L1535" s="462"/>
      <c r="M1535" s="473"/>
      <c r="N1535" s="473"/>
      <c r="O1535" s="473"/>
    </row>
    <row r="1536" customFormat="false" ht="20.25" hidden="false" customHeight="true" outlineLevel="0" collapsed="false">
      <c r="A1536" s="431"/>
      <c r="B1536" s="217" t="s">
        <v>4052</v>
      </c>
      <c r="C1536" s="542"/>
      <c r="D1536" s="542" t="n">
        <f aca="false">тарифик!J1555</f>
        <v>254.350736278447</v>
      </c>
      <c r="E1536" s="542"/>
      <c r="F1536" s="473" t="n">
        <f aca="false">D1536*0.9*0.095+D1536*3%</f>
        <v>29.3775100401606</v>
      </c>
      <c r="G1536" s="542"/>
      <c r="H1536" s="473" t="n">
        <f aca="false">C1536+D1536+F1536+G1536</f>
        <v>283.728246318608</v>
      </c>
      <c r="I1536" s="462"/>
      <c r="J1536" s="473" t="n">
        <f aca="false">D1536*I1536</f>
        <v>0</v>
      </c>
      <c r="K1536" s="473" t="n">
        <f aca="false">H1536+J1536</f>
        <v>283.728246318608</v>
      </c>
      <c r="L1536" s="462" t="n">
        <v>0.2</v>
      </c>
      <c r="M1536" s="473" t="n">
        <f aca="false">K1536*L1536</f>
        <v>56.7456492637216</v>
      </c>
      <c r="N1536" s="473" t="n">
        <f aca="false">K1536+M1536</f>
        <v>340.473895582329</v>
      </c>
      <c r="O1536" s="473" t="n">
        <f aca="false">M1536</f>
        <v>56.7456492637216</v>
      </c>
    </row>
    <row r="1537" customFormat="false" ht="20.25" hidden="false" customHeight="true" outlineLevel="0" collapsed="false">
      <c r="A1537" s="431"/>
      <c r="B1537" s="217" t="s">
        <v>4053</v>
      </c>
      <c r="C1537" s="542"/>
      <c r="D1537" s="542" t="n">
        <f aca="false">тарифик!J1556</f>
        <v>254.350736278447</v>
      </c>
      <c r="E1537" s="542"/>
      <c r="F1537" s="473" t="n">
        <f aca="false">D1537*0.9*0.095+D1537*3%</f>
        <v>29.3775100401606</v>
      </c>
      <c r="G1537" s="542"/>
      <c r="H1537" s="473" t="n">
        <f aca="false">C1537+D1537+F1537+G1537</f>
        <v>283.728246318608</v>
      </c>
      <c r="I1537" s="462"/>
      <c r="J1537" s="473" t="n">
        <f aca="false">D1537*I1537</f>
        <v>0</v>
      </c>
      <c r="K1537" s="473" t="n">
        <f aca="false">H1537+J1537</f>
        <v>283.728246318608</v>
      </c>
      <c r="L1537" s="462" t="n">
        <v>0.2</v>
      </c>
      <c r="M1537" s="473" t="n">
        <f aca="false">K1537*L1537</f>
        <v>56.7456492637216</v>
      </c>
      <c r="N1537" s="473" t="n">
        <f aca="false">K1537+M1537</f>
        <v>340.473895582329</v>
      </c>
      <c r="O1537" s="473" t="n">
        <f aca="false">M1537</f>
        <v>56.7456492637216</v>
      </c>
    </row>
    <row r="1538" customFormat="false" ht="20.25" hidden="false" customHeight="true" outlineLevel="0" collapsed="false">
      <c r="A1538" s="431"/>
      <c r="B1538" s="217" t="s">
        <v>4054</v>
      </c>
      <c r="C1538" s="542"/>
      <c r="D1538" s="542" t="n">
        <f aca="false">тарифик!J1557</f>
        <v>254.350736278447</v>
      </c>
      <c r="E1538" s="542"/>
      <c r="F1538" s="473" t="n">
        <f aca="false">D1538*0.9*0.095+D1538*3%</f>
        <v>29.3775100401606</v>
      </c>
      <c r="G1538" s="542"/>
      <c r="H1538" s="473" t="n">
        <f aca="false">C1538+D1538+F1538+G1538</f>
        <v>283.728246318608</v>
      </c>
      <c r="I1538" s="462"/>
      <c r="J1538" s="473" t="n">
        <f aca="false">D1538*I1538</f>
        <v>0</v>
      </c>
      <c r="K1538" s="473" t="n">
        <f aca="false">H1538+J1538</f>
        <v>283.728246318608</v>
      </c>
      <c r="L1538" s="462" t="n">
        <v>0.2</v>
      </c>
      <c r="M1538" s="473" t="n">
        <f aca="false">K1538*L1538</f>
        <v>56.7456492637216</v>
      </c>
      <c r="N1538" s="473" t="n">
        <f aca="false">K1538+M1538</f>
        <v>340.473895582329</v>
      </c>
      <c r="O1538" s="473" t="n">
        <f aca="false">M1538</f>
        <v>56.7456492637216</v>
      </c>
    </row>
    <row r="1539" customFormat="false" ht="33.75" hidden="false" customHeight="true" outlineLevel="0" collapsed="false">
      <c r="A1539" s="431" t="s">
        <v>2679</v>
      </c>
      <c r="B1539" s="430" t="s">
        <v>4061</v>
      </c>
      <c r="C1539" s="542"/>
      <c r="D1539" s="542"/>
      <c r="E1539" s="542"/>
      <c r="F1539" s="473"/>
      <c r="G1539" s="542"/>
      <c r="H1539" s="473"/>
      <c r="I1539" s="462"/>
      <c r="J1539" s="473"/>
      <c r="K1539" s="473"/>
      <c r="L1539" s="462"/>
      <c r="M1539" s="473"/>
      <c r="N1539" s="473"/>
      <c r="O1539" s="473"/>
    </row>
    <row r="1540" customFormat="false" ht="20.25" hidden="false" customHeight="true" outlineLevel="0" collapsed="false">
      <c r="A1540" s="431"/>
      <c r="B1540" s="217" t="s">
        <v>4052</v>
      </c>
      <c r="C1540" s="542" t="e">
        <f aca="false">мат.затр!g12985</f>
        <v>#NAME?</v>
      </c>
      <c r="D1540" s="542" t="n">
        <f aca="false">тарифик!J1559</f>
        <v>187.416331994645</v>
      </c>
      <c r="E1540" s="542"/>
      <c r="F1540" s="473" t="n">
        <f aca="false">D1540*0.9*0.095+D1540*3%</f>
        <v>21.6465863453815</v>
      </c>
      <c r="G1540" s="542"/>
      <c r="H1540" s="473" t="e">
        <f aca="false">C1540+D1540+F1540+G1540</f>
        <v>#NAME?</v>
      </c>
      <c r="I1540" s="462" t="n">
        <f aca="false">'накл расходы'!D16</f>
        <v>0.240474587202079</v>
      </c>
      <c r="J1540" s="473" t="n">
        <f aca="false">D1540*I1540</f>
        <v>45.0688650713401</v>
      </c>
      <c r="K1540" s="473" t="e">
        <f aca="false">H1540+J1540</f>
        <v>#NAME?</v>
      </c>
      <c r="L1540" s="462" t="n">
        <v>0.2</v>
      </c>
      <c r="M1540" s="473" t="e">
        <f aca="false">K1540*L1540</f>
        <v>#NAME?</v>
      </c>
      <c r="N1540" s="473" t="e">
        <f aca="false">K1540+M1540</f>
        <v>#NAME?</v>
      </c>
      <c r="O1540" s="473" t="e">
        <f aca="false">M1540</f>
        <v>#NAME?</v>
      </c>
    </row>
    <row r="1541" customFormat="false" ht="20.25" hidden="false" customHeight="true" outlineLevel="0" collapsed="false">
      <c r="A1541" s="431"/>
      <c r="B1541" s="217" t="s">
        <v>4053</v>
      </c>
      <c r="C1541" s="542" t="e">
        <f aca="false">мат.затр!g12985</f>
        <v>#NAME?</v>
      </c>
      <c r="D1541" s="542" t="n">
        <f aca="false">тарифик!J1560</f>
        <v>113.788487282463</v>
      </c>
      <c r="E1541" s="542"/>
      <c r="F1541" s="473" t="n">
        <f aca="false">D1541*0.9*0.095+D1541*3%</f>
        <v>13.1425702811245</v>
      </c>
      <c r="G1541" s="542"/>
      <c r="H1541" s="473" t="e">
        <f aca="false">C1541+D1541+F1541+G1541</f>
        <v>#NAME?</v>
      </c>
      <c r="I1541" s="462" t="n">
        <f aca="false">'накл расходы'!D16</f>
        <v>0.240474587202079</v>
      </c>
      <c r="J1541" s="473" t="n">
        <f aca="false">D1541*I1541</f>
        <v>27.3632395075993</v>
      </c>
      <c r="K1541" s="473" t="e">
        <f aca="false">H1541+J1541</f>
        <v>#NAME?</v>
      </c>
      <c r="L1541" s="462" t="n">
        <v>0.2</v>
      </c>
      <c r="M1541" s="473" t="e">
        <f aca="false">K1541*L1541</f>
        <v>#NAME?</v>
      </c>
      <c r="N1541" s="473" t="e">
        <f aca="false">K1541+M1541</f>
        <v>#NAME?</v>
      </c>
      <c r="O1541" s="473" t="e">
        <f aca="false">M1541</f>
        <v>#NAME?</v>
      </c>
    </row>
    <row r="1542" customFormat="false" ht="20.25" hidden="false" customHeight="true" outlineLevel="0" collapsed="false">
      <c r="A1542" s="431"/>
      <c r="B1542" s="217" t="s">
        <v>4054</v>
      </c>
      <c r="C1542" s="542" t="e">
        <f aca="false">мат.затр!g12985</f>
        <v>#NAME?</v>
      </c>
      <c r="D1542" s="542" t="n">
        <f aca="false">тарифик!J1561</f>
        <v>110.441767068273</v>
      </c>
      <c r="E1542" s="542"/>
      <c r="F1542" s="473" t="n">
        <f aca="false">D1542*0.9*0.095+D1542*3%</f>
        <v>12.7560240963855</v>
      </c>
      <c r="G1542" s="542"/>
      <c r="H1542" s="473" t="e">
        <f aca="false">C1542+D1542+F1542+G1542</f>
        <v>#NAME?</v>
      </c>
      <c r="I1542" s="462" t="n">
        <f aca="false">'накл расходы'!D16</f>
        <v>0.240474587202079</v>
      </c>
      <c r="J1542" s="473" t="n">
        <f aca="false">D1542*I1542</f>
        <v>26.5584383456111</v>
      </c>
      <c r="K1542" s="473" t="e">
        <f aca="false">H1542+J1542</f>
        <v>#NAME?</v>
      </c>
      <c r="L1542" s="462" t="n">
        <v>0.2</v>
      </c>
      <c r="M1542" s="473" t="e">
        <f aca="false">K1542*L1542</f>
        <v>#NAME?</v>
      </c>
      <c r="N1542" s="473" t="e">
        <f aca="false">K1542+M1542</f>
        <v>#NAME?</v>
      </c>
      <c r="O1542" s="473" t="e">
        <f aca="false">M1542</f>
        <v>#NAME?</v>
      </c>
    </row>
    <row r="1543" customFormat="false" ht="20.25" hidden="false" customHeight="true" outlineLevel="0" collapsed="false">
      <c r="A1543" s="431" t="s">
        <v>2680</v>
      </c>
      <c r="B1543" s="217" t="s">
        <v>4062</v>
      </c>
      <c r="C1543" s="542"/>
      <c r="D1543" s="542" t="n">
        <f aca="false">тарифик!J1562</f>
        <v>392.235609103079</v>
      </c>
      <c r="E1543" s="542"/>
      <c r="F1543" s="473" t="n">
        <v>38.1907630522088</v>
      </c>
      <c r="G1543" s="542"/>
      <c r="H1543" s="473" t="n">
        <f aca="false">C1543+D1543+F1543+G1543</f>
        <v>430.426372155288</v>
      </c>
      <c r="I1543" s="462" t="n">
        <f aca="false">'накл расходы'!D16</f>
        <v>0.240474587202079</v>
      </c>
      <c r="J1543" s="473" t="n">
        <f aca="false">D1543*I1543</f>
        <v>94.3226961850189</v>
      </c>
      <c r="K1543" s="473" t="n">
        <f aca="false">H1543+J1543</f>
        <v>524.749068340307</v>
      </c>
      <c r="L1543" s="462" t="n">
        <v>0.2</v>
      </c>
      <c r="M1543" s="473" t="n">
        <f aca="false">K1543*L1543</f>
        <v>104.949813668061</v>
      </c>
      <c r="N1543" s="473" t="n">
        <f aca="false">K1543+M1543</f>
        <v>629.698882008368</v>
      </c>
      <c r="O1543" s="473" t="n">
        <f aca="false">M1543</f>
        <v>104.949813668061</v>
      </c>
      <c r="Q1543" s="451" t="n">
        <f aca="false">N1543*450</f>
        <v>283364.496903766</v>
      </c>
    </row>
    <row r="1544" customFormat="false" ht="20.25" hidden="false" customHeight="true" outlineLevel="0" collapsed="false">
      <c r="A1544" s="431" t="s">
        <v>2682</v>
      </c>
      <c r="B1544" s="217" t="s">
        <v>4063</v>
      </c>
      <c r="C1544" s="542" t="e">
        <f aca="false">мат.затр!g12997</f>
        <v>#NAME?</v>
      </c>
      <c r="D1544" s="542" t="n">
        <f aca="false">тарифик!J1563</f>
        <v>392.235609103079</v>
      </c>
      <c r="E1544" s="542"/>
      <c r="F1544" s="473" t="n">
        <v>38.1907630522088</v>
      </c>
      <c r="G1544" s="542"/>
      <c r="H1544" s="473" t="e">
        <f aca="false">C1544+D1544+F1544+G1544</f>
        <v>#NAME?</v>
      </c>
      <c r="I1544" s="462" t="n">
        <f aca="false">'накл расходы'!D16</f>
        <v>0.240474587202079</v>
      </c>
      <c r="J1544" s="473" t="n">
        <f aca="false">D1544*I1544</f>
        <v>94.3226961850189</v>
      </c>
      <c r="K1544" s="473" t="e">
        <f aca="false">H1544+J1544</f>
        <v>#NAME?</v>
      </c>
      <c r="L1544" s="462" t="n">
        <v>0.2</v>
      </c>
      <c r="M1544" s="473" t="e">
        <f aca="false">K1544*L1544</f>
        <v>#NAME?</v>
      </c>
      <c r="N1544" s="473" t="e">
        <f aca="false">K1544+M1544</f>
        <v>#NAME?</v>
      </c>
      <c r="O1544" s="473" t="e">
        <f aca="false">M1544</f>
        <v>#NAME?</v>
      </c>
      <c r="Q1544" s="451" t="e">
        <f aca="false">N1544*450</f>
        <v>#NAME?</v>
      </c>
      <c r="S1544" s="451" t="e">
        <f aca="false">Q1544-Q1543</f>
        <v>#NAME?</v>
      </c>
    </row>
    <row r="1545" customFormat="false" ht="15" hidden="false" customHeight="false" outlineLevel="0" collapsed="false">
      <c r="A1545" s="142" t="s">
        <v>2684</v>
      </c>
      <c r="B1545" s="433" t="s">
        <v>4064</v>
      </c>
      <c r="C1545" s="542" t="e">
        <f aca="false">мат.затр!g13522</f>
        <v>#NAME?</v>
      </c>
      <c r="D1545" s="542" t="n">
        <f aca="false">тарифик!J1564</f>
        <v>10438.1526104418</v>
      </c>
      <c r="E1545" s="542"/>
      <c r="F1545" s="473" t="n">
        <f aca="false">D1545*0.9*0.095+D1545*3%</f>
        <v>1205.60662650602</v>
      </c>
      <c r="G1545" s="542" t="n">
        <f aca="false">амортизация!M6045</f>
        <v>0</v>
      </c>
      <c r="H1545" s="473" t="e">
        <f aca="false">C1545+D1545+F1545+G1545</f>
        <v>#NAME?</v>
      </c>
      <c r="I1545" s="462" t="n">
        <v>0.24</v>
      </c>
      <c r="J1545" s="473" t="n">
        <f aca="false">D1545*I1545</f>
        <v>2505.15662650602</v>
      </c>
      <c r="K1545" s="473" t="e">
        <f aca="false">H1545+J1545</f>
        <v>#NAME?</v>
      </c>
      <c r="L1545" s="462" t="n">
        <v>0.2</v>
      </c>
      <c r="M1545" s="473" t="e">
        <f aca="false">K1545*L1545</f>
        <v>#NAME?</v>
      </c>
      <c r="N1545" s="473" t="e">
        <f aca="false">K1545+M1545</f>
        <v>#NAME?</v>
      </c>
      <c r="O1545" s="473" t="e">
        <f aca="false">M1545</f>
        <v>#NAME?</v>
      </c>
    </row>
    <row r="1546" customFormat="false" ht="15" hidden="false" customHeight="false" outlineLevel="0" collapsed="false">
      <c r="A1546" s="343" t="s">
        <v>4065</v>
      </c>
      <c r="B1546" s="318" t="s">
        <v>4066</v>
      </c>
      <c r="C1546" s="534"/>
      <c r="D1546" s="534"/>
      <c r="E1546" s="534"/>
      <c r="F1546" s="534"/>
      <c r="G1546" s="534"/>
      <c r="H1546" s="534"/>
      <c r="I1546" s="535"/>
      <c r="J1546" s="534"/>
      <c r="K1546" s="534"/>
      <c r="L1546" s="536"/>
      <c r="M1546" s="534"/>
      <c r="N1546" s="537"/>
      <c r="O1546" s="534"/>
    </row>
    <row r="1547" customFormat="false" ht="15" hidden="false" customHeight="false" outlineLevel="0" collapsed="false">
      <c r="A1547" s="570" t="s">
        <v>2689</v>
      </c>
      <c r="B1547" s="566" t="s">
        <v>4067</v>
      </c>
      <c r="C1547" s="542" t="e">
        <f aca="false">мат.затр!g13528</f>
        <v>#NAME?</v>
      </c>
      <c r="D1547" s="542" t="n">
        <f aca="false">тарифик!J1566</f>
        <v>1054.21686746988</v>
      </c>
      <c r="E1547" s="542"/>
      <c r="F1547" s="473" t="n">
        <f aca="false">D1547*0.9*0.095+D1547*3%</f>
        <v>121.762048192771</v>
      </c>
      <c r="G1547" s="542" t="n">
        <f aca="false">амортизация!M6020</f>
        <v>39.1914881749219</v>
      </c>
      <c r="H1547" s="473" t="e">
        <f aca="false">C1547+D1547+F1547+G1547</f>
        <v>#NAME?</v>
      </c>
      <c r="I1547" s="462" t="n">
        <f aca="false">I$190</f>
        <v>0.240474587202079</v>
      </c>
      <c r="J1547" s="473" t="n">
        <f aca="false">D1547*I1547</f>
        <v>253.512366026288</v>
      </c>
      <c r="K1547" s="473" t="e">
        <f aca="false">H1547+J1547</f>
        <v>#NAME?</v>
      </c>
      <c r="L1547" s="462" t="n">
        <v>0.2</v>
      </c>
      <c r="M1547" s="473" t="e">
        <f aca="false">K1547*L1547</f>
        <v>#NAME?</v>
      </c>
      <c r="N1547" s="473" t="e">
        <f aca="false">K1547+M1547</f>
        <v>#NAME?</v>
      </c>
      <c r="O1547" s="473" t="e">
        <f aca="false">M1547</f>
        <v>#NAME?</v>
      </c>
    </row>
    <row r="1548" customFormat="false" ht="15" hidden="false" customHeight="false" outlineLevel="0" collapsed="false">
      <c r="A1548" s="571" t="s">
        <v>2692</v>
      </c>
      <c r="B1548" s="433" t="s">
        <v>4068</v>
      </c>
      <c r="C1548" s="542" t="e">
        <f aca="false">мат.затр!g13533</f>
        <v>#NAME?</v>
      </c>
      <c r="D1548" s="542" t="n">
        <f aca="false">тарифик!J1567</f>
        <v>1054.21686746988</v>
      </c>
      <c r="E1548" s="542"/>
      <c r="F1548" s="473" t="n">
        <f aca="false">D1548*0.9*0.095+D1548*3%</f>
        <v>121.762048192771</v>
      </c>
      <c r="G1548" s="542" t="n">
        <f aca="false">амортизация!M6023</f>
        <v>39.1914881749219</v>
      </c>
      <c r="H1548" s="473" t="e">
        <f aca="false">C1548+D1548+F1548+G1548</f>
        <v>#NAME?</v>
      </c>
      <c r="I1548" s="462" t="n">
        <f aca="false">I$190</f>
        <v>0.240474587202079</v>
      </c>
      <c r="J1548" s="473" t="n">
        <f aca="false">D1548*I1548</f>
        <v>253.512366026288</v>
      </c>
      <c r="K1548" s="473" t="e">
        <f aca="false">H1548+J1548</f>
        <v>#NAME?</v>
      </c>
      <c r="L1548" s="462" t="n">
        <v>0.2</v>
      </c>
      <c r="M1548" s="473" t="e">
        <f aca="false">K1548*L1548</f>
        <v>#NAME?</v>
      </c>
      <c r="N1548" s="473" t="e">
        <f aca="false">K1548+M1548</f>
        <v>#NAME?</v>
      </c>
      <c r="O1548" s="473" t="e">
        <f aca="false">M1548</f>
        <v>#NAME?</v>
      </c>
    </row>
    <row r="1549" customFormat="false" ht="15" hidden="false" customHeight="false" outlineLevel="0" collapsed="false">
      <c r="A1549" s="571" t="s">
        <v>2694</v>
      </c>
      <c r="B1549" s="433" t="s">
        <v>4069</v>
      </c>
      <c r="C1549" s="542" t="e">
        <f aca="false">мат.затр!g13539</f>
        <v>#NAME?</v>
      </c>
      <c r="D1549" s="542" t="n">
        <f aca="false">тарифик!J1568</f>
        <v>2126.50602409639</v>
      </c>
      <c r="E1549" s="542"/>
      <c r="F1549" s="473" t="n">
        <f aca="false">D1549*0.9*0.095+D1549*3%</f>
        <v>245.611445783133</v>
      </c>
      <c r="G1549" s="542" t="n">
        <f aca="false">амортизация!M6027</f>
        <v>42.9565484158858</v>
      </c>
      <c r="H1549" s="473" t="e">
        <f aca="false">C1549+D1549+F1549+G1549</f>
        <v>#NAME?</v>
      </c>
      <c r="I1549" s="462" t="n">
        <f aca="false">I$190</f>
        <v>0.240474587202079</v>
      </c>
      <c r="J1549" s="473" t="n">
        <f aca="false">D1549*I1549</f>
        <v>511.370658327312</v>
      </c>
      <c r="K1549" s="473" t="e">
        <f aca="false">H1549+J1549</f>
        <v>#NAME?</v>
      </c>
      <c r="L1549" s="462" t="n">
        <v>0.2</v>
      </c>
      <c r="M1549" s="473" t="e">
        <f aca="false">K1549*L1549</f>
        <v>#NAME?</v>
      </c>
      <c r="N1549" s="473" t="e">
        <f aca="false">K1549+M1549</f>
        <v>#NAME?</v>
      </c>
      <c r="O1549" s="473" t="e">
        <f aca="false">M1549</f>
        <v>#NAME?</v>
      </c>
    </row>
    <row r="1550" customFormat="false" ht="15" hidden="false" customHeight="false" outlineLevel="0" collapsed="false">
      <c r="A1550" s="571" t="s">
        <v>2696</v>
      </c>
      <c r="B1550" s="433" t="s">
        <v>4070</v>
      </c>
      <c r="C1550" s="542" t="e">
        <f aca="false">мат.затр!g13544</f>
        <v>#NAME?</v>
      </c>
      <c r="D1550" s="542" t="n">
        <f aca="false">тарифик!J1569</f>
        <v>1054.21686746988</v>
      </c>
      <c r="E1550" s="542"/>
      <c r="F1550" s="473" t="n">
        <f aca="false">D1550*0.9*0.095+D1550*3%</f>
        <v>121.762048192771</v>
      </c>
      <c r="G1550" s="542" t="n">
        <f aca="false">амортизация!M6043</f>
        <v>19.0763052208835</v>
      </c>
      <c r="H1550" s="473" t="e">
        <f aca="false">C1550+D1550+F1550+G1550</f>
        <v>#NAME?</v>
      </c>
      <c r="I1550" s="462" t="n">
        <f aca="false">I$190</f>
        <v>0.240474587202079</v>
      </c>
      <c r="J1550" s="473" t="n">
        <f aca="false">D1550*I1550</f>
        <v>253.512366026288</v>
      </c>
      <c r="K1550" s="473" t="e">
        <f aca="false">H1550+J1550</f>
        <v>#NAME?</v>
      </c>
      <c r="L1550" s="462" t="n">
        <v>0.2</v>
      </c>
      <c r="M1550" s="473" t="e">
        <f aca="false">K1550*L1550</f>
        <v>#NAME?</v>
      </c>
      <c r="N1550" s="473" t="e">
        <f aca="false">K1550+M1550</f>
        <v>#NAME?</v>
      </c>
      <c r="O1550" s="473" t="e">
        <f aca="false">M1550</f>
        <v>#NAME?</v>
      </c>
    </row>
    <row r="1551" s="97" customFormat="true" ht="15.75" hidden="false" customHeight="false" outlineLevel="0" collapsed="false">
      <c r="A1551" s="572" t="s">
        <v>2698</v>
      </c>
      <c r="B1551" s="573" t="s">
        <v>4071</v>
      </c>
      <c r="C1551" s="199"/>
      <c r="D1551" s="361"/>
      <c r="E1551" s="361"/>
      <c r="F1551" s="437"/>
      <c r="G1551" s="437"/>
      <c r="H1551" s="473"/>
      <c r="I1551" s="161"/>
      <c r="J1551" s="473"/>
      <c r="K1551" s="473"/>
      <c r="L1551" s="161"/>
      <c r="M1551" s="473"/>
      <c r="N1551" s="473"/>
      <c r="O1551" s="473"/>
    </row>
    <row r="1552" s="97" customFormat="true" ht="30" hidden="false" customHeight="false" outlineLevel="0" collapsed="false">
      <c r="A1552" s="435" t="s">
        <v>2700</v>
      </c>
      <c r="B1552" s="40" t="s">
        <v>4072</v>
      </c>
      <c r="C1552" s="199" t="e">
        <f aca="false">мат.затр!g13548</f>
        <v>#NAME?</v>
      </c>
      <c r="D1552" s="436" t="n">
        <f aca="false">тарифик!J1571</f>
        <v>722891.56626506</v>
      </c>
      <c r="E1552" s="436"/>
      <c r="F1552" s="473" t="n">
        <f aca="false">D1552*0.9*0.095+D1552*3%</f>
        <v>83493.9759036145</v>
      </c>
      <c r="G1552" s="437" t="n">
        <f aca="false">амортизация!M6030</f>
        <v>5.25385487528345</v>
      </c>
      <c r="H1552" s="473" t="e">
        <f aca="false">C1552+D1552+F1552+G1552</f>
        <v>#NAME?</v>
      </c>
      <c r="I1552" s="462" t="n">
        <f aca="false">'накл расходы'!D16</f>
        <v>0.240474587202079</v>
      </c>
      <c r="J1552" s="473" t="n">
        <f aca="false">D1552*I1552</f>
        <v>173837.050989455</v>
      </c>
      <c r="K1552" s="473" t="e">
        <f aca="false">H1552+J1552</f>
        <v>#NAME?</v>
      </c>
      <c r="L1552" s="462" t="n">
        <v>0.2</v>
      </c>
      <c r="M1552" s="473" t="e">
        <f aca="false">K1552*L1552</f>
        <v>#NAME?</v>
      </c>
      <c r="N1552" s="473" t="e">
        <f aca="false">K1552+M1552</f>
        <v>#NAME?</v>
      </c>
      <c r="O1552" s="473" t="e">
        <f aca="false">M1552</f>
        <v>#NAME?</v>
      </c>
    </row>
    <row r="1553" s="97" customFormat="true" ht="30" hidden="false" customHeight="false" outlineLevel="0" collapsed="false">
      <c r="A1553" s="435" t="s">
        <v>2702</v>
      </c>
      <c r="B1553" s="40" t="s">
        <v>4073</v>
      </c>
      <c r="C1553" s="199" t="e">
        <f aca="false">мат.затр!g13551</f>
        <v>#NAME?</v>
      </c>
      <c r="D1553" s="436" t="n">
        <f aca="false">тарифик!J1572</f>
        <v>771084.337349398</v>
      </c>
      <c r="E1553" s="436"/>
      <c r="F1553" s="473" t="n">
        <f aca="false">D1553*0.9*0.095+D1553*3%</f>
        <v>89060.2409638554</v>
      </c>
      <c r="G1553" s="437" t="n">
        <f aca="false">амортизация!M6031</f>
        <v>5.25385487528345</v>
      </c>
      <c r="H1553" s="473" t="e">
        <f aca="false">C1553+D1553+F1553+G1553</f>
        <v>#NAME?</v>
      </c>
      <c r="I1553" s="462" t="n">
        <f aca="false">'накл расходы'!D16</f>
        <v>0.240474587202079</v>
      </c>
      <c r="J1553" s="473" t="n">
        <f aca="false">D1553*I1553</f>
        <v>185426.187722085</v>
      </c>
      <c r="K1553" s="473" t="e">
        <f aca="false">H1553+J1553</f>
        <v>#NAME?</v>
      </c>
      <c r="L1553" s="462" t="n">
        <v>0.2</v>
      </c>
      <c r="M1553" s="473" t="e">
        <f aca="false">K1553*L1553</f>
        <v>#NAME?</v>
      </c>
      <c r="N1553" s="473" t="e">
        <f aca="false">K1553+M1553</f>
        <v>#NAME?</v>
      </c>
      <c r="O1553" s="473" t="e">
        <f aca="false">M1553</f>
        <v>#NAME?</v>
      </c>
    </row>
    <row r="1554" s="97" customFormat="true" ht="30" hidden="false" customHeight="false" outlineLevel="0" collapsed="false">
      <c r="A1554" s="435" t="s">
        <v>2704</v>
      </c>
      <c r="B1554" s="40" t="s">
        <v>4074</v>
      </c>
      <c r="C1554" s="199" t="e">
        <f aca="false">мат.затр!g13554</f>
        <v>#NAME?</v>
      </c>
      <c r="D1554" s="31" t="n">
        <f aca="false">тарифик!J1573</f>
        <v>722891.56626506</v>
      </c>
      <c r="E1554" s="31"/>
      <c r="F1554" s="473" t="n">
        <f aca="false">D1554*0.9*0.095+D1554*3%</f>
        <v>83493.9759036145</v>
      </c>
      <c r="G1554" s="166" t="n">
        <f aca="false">амортизация!M6032</f>
        <v>5.25385487528345</v>
      </c>
      <c r="H1554" s="473" t="e">
        <f aca="false">C1554+D1554+F1554+G1554</f>
        <v>#NAME?</v>
      </c>
      <c r="I1554" s="462" t="n">
        <f aca="false">'накл расходы'!D16</f>
        <v>0.240474587202079</v>
      </c>
      <c r="J1554" s="473" t="n">
        <f aca="false">D1554*I1554</f>
        <v>173837.050989455</v>
      </c>
      <c r="K1554" s="473" t="e">
        <f aca="false">H1554+J1554</f>
        <v>#NAME?</v>
      </c>
      <c r="L1554" s="462" t="n">
        <v>0.2</v>
      </c>
      <c r="M1554" s="473" t="e">
        <f aca="false">K1554*L1554</f>
        <v>#NAME?</v>
      </c>
      <c r="N1554" s="473" t="e">
        <f aca="false">K1554+M1554</f>
        <v>#NAME?</v>
      </c>
      <c r="O1554" s="473" t="e">
        <f aca="false">M1554</f>
        <v>#NAME?</v>
      </c>
    </row>
    <row r="1555" s="97" customFormat="true" ht="82.5" hidden="false" customHeight="true" outlineLevel="0" collapsed="false">
      <c r="A1555" s="439" t="s">
        <v>2706</v>
      </c>
      <c r="B1555" s="440" t="s">
        <v>4075</v>
      </c>
      <c r="C1555" s="574" t="e">
        <f aca="false">мат.затр!g13557</f>
        <v>#NAME?</v>
      </c>
      <c r="D1555" s="575" t="n">
        <f aca="false">тарифик!J1574</f>
        <v>1473.5609103079</v>
      </c>
      <c r="E1555" s="575"/>
      <c r="F1555" s="473" t="n">
        <f aca="false">D1555*0.9*0.095+D1555*3%</f>
        <v>170.196285140562</v>
      </c>
      <c r="G1555" s="542" t="n">
        <f aca="false">амортизация!M6033</f>
        <v>0</v>
      </c>
      <c r="H1555" s="473" t="e">
        <f aca="false">C1555+D1555+F1555+G1555</f>
        <v>#NAME?</v>
      </c>
      <c r="I1555" s="462" t="n">
        <f aca="false">'накл расходы'!D16</f>
        <v>0.240474587202079</v>
      </c>
      <c r="J1555" s="473" t="n">
        <f aca="false">D1555*I1555</f>
        <v>354.353951623412</v>
      </c>
      <c r="K1555" s="473" t="e">
        <f aca="false">H1555+J1555</f>
        <v>#NAME?</v>
      </c>
      <c r="L1555" s="462" t="n">
        <v>0.2</v>
      </c>
      <c r="M1555" s="473" t="e">
        <f aca="false">K1555*L1555</f>
        <v>#NAME?</v>
      </c>
      <c r="N1555" s="473" t="e">
        <f aca="false">K1555+M1555</f>
        <v>#NAME?</v>
      </c>
      <c r="O1555" s="473" t="e">
        <f aca="false">M1555</f>
        <v>#NAME?</v>
      </c>
    </row>
    <row r="1556" s="97" customFormat="true" ht="26.25" hidden="false" customHeight="true" outlineLevel="0" collapsed="false">
      <c r="A1556" s="442" t="s">
        <v>2708</v>
      </c>
      <c r="B1556" s="401" t="s">
        <v>4076</v>
      </c>
      <c r="C1556" s="169"/>
      <c r="D1556" s="155"/>
      <c r="E1556" s="155"/>
      <c r="F1556" s="227"/>
      <c r="G1556" s="227"/>
      <c r="H1556" s="443"/>
      <c r="I1556" s="14"/>
      <c r="J1556" s="14"/>
      <c r="K1556" s="443"/>
      <c r="L1556" s="530"/>
      <c r="M1556" s="529"/>
      <c r="N1556" s="529"/>
      <c r="O1556" s="529"/>
    </row>
    <row r="1557" s="97" customFormat="true" ht="44.25" hidden="false" customHeight="true" outlineLevel="0" collapsed="false">
      <c r="A1557" s="576"/>
      <c r="B1557" s="573" t="s">
        <v>4077</v>
      </c>
      <c r="C1557" s="574" t="e">
        <f aca="false">мат.затр!g13560</f>
        <v>#NAME?</v>
      </c>
      <c r="D1557" s="575" t="n">
        <f aca="false">тарифик!J1576</f>
        <v>1550.87014725569</v>
      </c>
      <c r="E1557" s="575"/>
      <c r="F1557" s="473" t="n">
        <f aca="false">D1557*0.9*0.095+D1557*3%</f>
        <v>179.125502008032</v>
      </c>
      <c r="G1557" s="542" t="n">
        <f aca="false">амортизация!M6037</f>
        <v>4.21137849584278</v>
      </c>
      <c r="H1557" s="473" t="e">
        <f aca="false">C1557+D1557+F1557+G1557</f>
        <v>#NAME?</v>
      </c>
      <c r="I1557" s="462" t="n">
        <f aca="false">'накл расходы'!D16</f>
        <v>0.240474587202079</v>
      </c>
      <c r="J1557" s="473" t="n">
        <f aca="false">D1557*I1557</f>
        <v>372.944858465339</v>
      </c>
      <c r="K1557" s="473" t="e">
        <f aca="false">H1557+J1557</f>
        <v>#NAME?</v>
      </c>
      <c r="L1557" s="462" t="n">
        <v>0.2</v>
      </c>
      <c r="M1557" s="473" t="e">
        <f aca="false">K1557*L1557</f>
        <v>#NAME?</v>
      </c>
      <c r="N1557" s="473" t="e">
        <f aca="false">K1557+M1557</f>
        <v>#NAME?</v>
      </c>
      <c r="O1557" s="473" t="e">
        <f aca="false">M1557</f>
        <v>#NAME?</v>
      </c>
    </row>
    <row r="1558" customFormat="false" ht="36" hidden="false" customHeight="true" outlineLevel="0" collapsed="false">
      <c r="A1558" s="341"/>
      <c r="B1558" s="577"/>
      <c r="C1558" s="542"/>
      <c r="D1558" s="542"/>
      <c r="E1558" s="542"/>
      <c r="F1558" s="473"/>
      <c r="G1558" s="542"/>
      <c r="H1558" s="473"/>
      <c r="I1558" s="462"/>
      <c r="J1558" s="473"/>
      <c r="K1558" s="473"/>
      <c r="L1558" s="462"/>
      <c r="M1558" s="473"/>
      <c r="N1558" s="473"/>
      <c r="O1558" s="473"/>
    </row>
  </sheetData>
  <mergeCells count="16">
    <mergeCell ref="A5:A7"/>
    <mergeCell ref="B5:B7"/>
    <mergeCell ref="C5:G5"/>
    <mergeCell ref="H5:H7"/>
    <mergeCell ref="I5:J6"/>
    <mergeCell ref="K5:K7"/>
    <mergeCell ref="L5:M6"/>
    <mergeCell ref="N5:N7"/>
    <mergeCell ref="O5:O7"/>
    <mergeCell ref="C6:C7"/>
    <mergeCell ref="D6:F6"/>
    <mergeCell ref="G6:G7"/>
    <mergeCell ref="B1511:E1511"/>
    <mergeCell ref="F1511:H1511"/>
    <mergeCell ref="I1511:L1511"/>
    <mergeCell ref="M1511:O1511"/>
  </mergeCells>
  <printOptions headings="false" gridLines="false" gridLinesSet="true" horizontalCentered="false" verticalCentered="false"/>
  <pageMargins left="0" right="0" top="0.747916666666667" bottom="0.747916666666667" header="0.511811023622047" footer="0.511811023622047"/>
  <pageSetup paperSize="9" scale="6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ES13560"/>
  <sheetViews>
    <sheetView showFormulas="false" showGridLines="true" showRowColHeaders="true" showZeros="true" rightToLeft="false" tabSelected="false" showOutlineSymbols="true" defaultGridColor="true" view="pageBreakPreview" topLeftCell="A7" colorId="64" zoomScale="100" zoomScaleNormal="100" zoomScalePageLayoutView="100" workbookViewId="0">
      <pane xSplit="0" ySplit="7" topLeftCell="A12948" activePane="bottomLeft" state="frozen"/>
      <selection pane="topLeft" activeCell="A7" activeCellId="0" sqref="A7"/>
      <selection pane="bottomLeft" activeCell="A12956" activeCellId="0" sqref="A12956"/>
    </sheetView>
  </sheetViews>
  <sheetFormatPr defaultColWidth="9.1484375" defaultRowHeight="15" zeroHeight="false" outlineLevelRow="0" outlineLevelCol="0"/>
  <cols>
    <col collapsed="false" customWidth="true" hidden="false" outlineLevel="0" max="1" min="1" style="578" width="8.86"/>
    <col collapsed="false" customWidth="true" hidden="false" outlineLevel="0" max="2" min="2" style="579" width="46.57"/>
    <col collapsed="false" customWidth="true" hidden="false" outlineLevel="0" max="3" min="3" style="580" width="26.42"/>
    <col collapsed="false" customWidth="true" hidden="false" outlineLevel="0" max="4" min="4" style="581" width="15.29"/>
    <col collapsed="false" customWidth="true" hidden="false" outlineLevel="0" max="5" min="5" style="581" width="14.71"/>
    <col collapsed="false" customWidth="true" hidden="false" outlineLevel="0" max="6" min="6" style="581" width="13.71"/>
    <col collapsed="false" customWidth="true" hidden="false" outlineLevel="0" max="7" min="7" style="582" width="15.14"/>
    <col collapsed="false" customWidth="true" hidden="false" outlineLevel="0" max="8" min="8" style="581" width="29.42"/>
    <col collapsed="false" customWidth="false" hidden="false" outlineLevel="0" max="16384" min="9" style="531" width="9.14"/>
  </cols>
  <sheetData>
    <row r="1" customFormat="false" ht="15.75" hidden="false" customHeight="true" outlineLevel="0" collapsed="false">
      <c r="E1" s="583"/>
      <c r="F1" s="584" t="s">
        <v>4102</v>
      </c>
      <c r="G1" s="584"/>
      <c r="H1" s="584"/>
    </row>
    <row r="2" customFormat="false" ht="15.75" hidden="false" customHeight="true" outlineLevel="0" collapsed="false">
      <c r="E2" s="583"/>
      <c r="F2" s="584" t="s">
        <v>4103</v>
      </c>
      <c r="G2" s="584"/>
      <c r="H2" s="584"/>
    </row>
    <row r="3" customFormat="false" ht="15.75" hidden="false" customHeight="true" outlineLevel="0" collapsed="false">
      <c r="E3" s="583"/>
      <c r="F3" s="584" t="s">
        <v>4104</v>
      </c>
      <c r="G3" s="584"/>
      <c r="H3" s="584"/>
    </row>
    <row r="4" customFormat="false" ht="15.75" hidden="false" customHeight="true" outlineLevel="0" collapsed="false">
      <c r="E4" s="583"/>
      <c r="F4" s="584" t="s">
        <v>4105</v>
      </c>
      <c r="G4" s="584"/>
      <c r="H4" s="584"/>
    </row>
    <row r="5" customFormat="false" ht="15" hidden="false" customHeight="false" outlineLevel="0" collapsed="false">
      <c r="E5" s="583"/>
      <c r="F5" s="583"/>
      <c r="H5" s="582"/>
    </row>
    <row r="6" s="485" customFormat="true" ht="15" hidden="false" customHeight="true" outlineLevel="0" collapsed="false">
      <c r="A6" s="585" t="s">
        <v>4106</v>
      </c>
      <c r="B6" s="585"/>
      <c r="C6" s="585"/>
      <c r="D6" s="585"/>
      <c r="E6" s="585"/>
      <c r="F6" s="585"/>
      <c r="G6" s="585"/>
      <c r="H6" s="585"/>
    </row>
    <row r="7" s="485" customFormat="true" ht="42" hidden="false" customHeight="true" outlineLevel="0" collapsed="false">
      <c r="A7" s="585" t="s">
        <v>4107</v>
      </c>
      <c r="B7" s="585"/>
      <c r="C7" s="585"/>
      <c r="D7" s="585"/>
      <c r="E7" s="585"/>
      <c r="F7" s="585"/>
      <c r="G7" s="585"/>
      <c r="H7" s="585"/>
    </row>
    <row r="8" s="485" customFormat="true" ht="13.5" hidden="false" customHeight="true" outlineLevel="0" collapsed="false">
      <c r="A8" s="586"/>
      <c r="B8" s="587"/>
      <c r="C8" s="588"/>
      <c r="D8" s="589"/>
      <c r="E8" s="589"/>
      <c r="F8" s="589"/>
      <c r="G8" s="590"/>
      <c r="H8" s="589"/>
    </row>
    <row r="9" s="485" customFormat="true" ht="59.25" hidden="false" customHeight="true" outlineLevel="0" collapsed="false">
      <c r="A9" s="591" t="s">
        <v>4108</v>
      </c>
      <c r="B9" s="591"/>
      <c r="C9" s="591"/>
      <c r="D9" s="591"/>
      <c r="E9" s="591"/>
      <c r="F9" s="591"/>
      <c r="G9" s="591"/>
      <c r="H9" s="591"/>
    </row>
    <row r="10" s="485" customFormat="true" ht="15" hidden="false" customHeight="false" outlineLevel="0" collapsed="false">
      <c r="A10" s="589"/>
      <c r="B10" s="589"/>
      <c r="C10" s="589"/>
      <c r="D10" s="589"/>
      <c r="E10" s="589"/>
      <c r="F10" s="589"/>
      <c r="G10" s="589"/>
      <c r="H10" s="589"/>
    </row>
    <row r="11" s="485" customFormat="true" ht="35.25" hidden="false" customHeight="true" outlineLevel="0" collapsed="false">
      <c r="A11" s="592" t="s">
        <v>2870</v>
      </c>
      <c r="B11" s="592" t="s">
        <v>4109</v>
      </c>
      <c r="C11" s="592" t="s">
        <v>4110</v>
      </c>
      <c r="D11" s="593" t="s">
        <v>4111</v>
      </c>
      <c r="E11" s="593" t="s">
        <v>4112</v>
      </c>
      <c r="F11" s="593"/>
      <c r="G11" s="593"/>
      <c r="H11" s="593" t="s">
        <v>4113</v>
      </c>
    </row>
    <row r="12" s="485" customFormat="true" ht="28.5" hidden="false" customHeight="true" outlineLevel="0" collapsed="false">
      <c r="A12" s="592"/>
      <c r="B12" s="592"/>
      <c r="C12" s="592"/>
      <c r="D12" s="593"/>
      <c r="E12" s="593" t="s">
        <v>4114</v>
      </c>
      <c r="F12" s="593" t="s">
        <v>4115</v>
      </c>
      <c r="G12" s="594" t="s">
        <v>4116</v>
      </c>
      <c r="H12" s="593"/>
    </row>
    <row r="13" s="485" customFormat="true" ht="15" hidden="false" customHeight="false" outlineLevel="0" collapsed="false">
      <c r="A13" s="592" t="n">
        <v>1</v>
      </c>
      <c r="B13" s="592" t="s">
        <v>1320</v>
      </c>
      <c r="C13" s="592" t="s">
        <v>1688</v>
      </c>
      <c r="D13" s="592" t="s">
        <v>1782</v>
      </c>
      <c r="E13" s="592" t="s">
        <v>2061</v>
      </c>
      <c r="F13" s="592" t="s">
        <v>2159</v>
      </c>
      <c r="G13" s="595" t="s">
        <v>2259</v>
      </c>
      <c r="H13" s="592"/>
    </row>
    <row r="14" s="485" customFormat="true" ht="36" hidden="false" customHeight="true" outlineLevel="0" collapsed="false">
      <c r="A14" s="596" t="s">
        <v>4117</v>
      </c>
      <c r="B14" s="597" t="s">
        <v>2879</v>
      </c>
      <c r="C14" s="597"/>
      <c r="D14" s="463"/>
      <c r="E14" s="463"/>
      <c r="F14" s="463"/>
      <c r="G14" s="598"/>
      <c r="H14" s="598"/>
    </row>
    <row r="15" customFormat="false" ht="92.25" hidden="false" customHeight="true" outlineLevel="0" collapsed="false">
      <c r="A15" s="599" t="s">
        <v>11</v>
      </c>
      <c r="B15" s="467" t="s">
        <v>4118</v>
      </c>
      <c r="C15" s="467"/>
      <c r="D15" s="600"/>
      <c r="E15" s="600"/>
      <c r="F15" s="600"/>
      <c r="G15" s="601"/>
      <c r="H15" s="601"/>
    </row>
    <row r="16" customFormat="false" ht="15" hidden="false" customHeight="false" outlineLevel="0" collapsed="false">
      <c r="A16" s="571" t="s">
        <v>4119</v>
      </c>
      <c r="B16" s="328" t="s">
        <v>2881</v>
      </c>
      <c r="C16" s="374" t="s">
        <v>4120</v>
      </c>
      <c r="D16" s="602" t="s">
        <v>4121</v>
      </c>
      <c r="E16" s="603" t="n">
        <v>0.02</v>
      </c>
      <c r="F16" s="604" t="n">
        <v>1500</v>
      </c>
      <c r="G16" s="605" t="n">
        <f aca="false">E16*F16</f>
        <v>30</v>
      </c>
      <c r="H16" s="606"/>
    </row>
    <row r="17" customFormat="false" ht="15" hidden="false" customHeight="false" outlineLevel="0" collapsed="false">
      <c r="A17" s="571"/>
      <c r="B17" s="328"/>
      <c r="C17" s="374" t="s">
        <v>4122</v>
      </c>
      <c r="D17" s="602" t="s">
        <v>4123</v>
      </c>
      <c r="E17" s="603" t="n">
        <v>0.03</v>
      </c>
      <c r="F17" s="607" t="n">
        <v>800</v>
      </c>
      <c r="G17" s="605" t="n">
        <f aca="false">E17*F17</f>
        <v>24</v>
      </c>
      <c r="H17" s="606"/>
    </row>
    <row r="18" customFormat="false" ht="15" hidden="false" customHeight="false" outlineLevel="0" collapsed="false">
      <c r="A18" s="571"/>
      <c r="B18" s="328"/>
      <c r="C18" s="603" t="s">
        <v>4124</v>
      </c>
      <c r="D18" s="602" t="s">
        <v>4125</v>
      </c>
      <c r="E18" s="603" t="n">
        <v>0.1</v>
      </c>
      <c r="F18" s="607" t="n">
        <v>120</v>
      </c>
      <c r="G18" s="605" t="n">
        <f aca="false">E18*F18</f>
        <v>12</v>
      </c>
      <c r="H18" s="606"/>
    </row>
    <row r="19" customFormat="false" ht="15" hidden="false" customHeight="false" outlineLevel="0" collapsed="false">
      <c r="A19" s="571"/>
      <c r="B19" s="328"/>
      <c r="C19" s="603" t="s">
        <v>4126</v>
      </c>
      <c r="D19" s="602" t="s">
        <v>4127</v>
      </c>
      <c r="E19" s="603" t="n">
        <v>0.02</v>
      </c>
      <c r="F19" s="607" t="n">
        <v>2700</v>
      </c>
      <c r="G19" s="605" t="n">
        <f aca="false">E19*F19</f>
        <v>54</v>
      </c>
      <c r="H19" s="606"/>
    </row>
    <row r="20" customFormat="false" ht="15" hidden="false" customHeight="false" outlineLevel="0" collapsed="false">
      <c r="A20" s="571"/>
      <c r="B20" s="608" t="s">
        <v>4128</v>
      </c>
      <c r="C20" s="609"/>
      <c r="D20" s="610"/>
      <c r="E20" s="611"/>
      <c r="F20" s="612"/>
      <c r="G20" s="613" t="n">
        <f aca="false">SUM(G16:G19)</f>
        <v>120</v>
      </c>
      <c r="H20" s="610"/>
    </row>
    <row r="21" customFormat="false" ht="15" hidden="false" customHeight="false" outlineLevel="0" collapsed="false">
      <c r="A21" s="571" t="s">
        <v>4129</v>
      </c>
      <c r="B21" s="328" t="s">
        <v>2882</v>
      </c>
      <c r="C21" s="433" t="s">
        <v>4130</v>
      </c>
      <c r="D21" s="606" t="s">
        <v>4131</v>
      </c>
      <c r="E21" s="614" t="n">
        <v>0.01</v>
      </c>
      <c r="F21" s="615" t="n">
        <v>13000</v>
      </c>
      <c r="G21" s="605" t="n">
        <f aca="false">E21*F21</f>
        <v>130</v>
      </c>
      <c r="H21" s="606"/>
    </row>
    <row r="22" customFormat="false" ht="15" hidden="false" customHeight="false" outlineLevel="0" collapsed="false">
      <c r="A22" s="571"/>
      <c r="B22" s="608"/>
      <c r="C22" s="433" t="s">
        <v>4132</v>
      </c>
      <c r="D22" s="606" t="s">
        <v>4133</v>
      </c>
      <c r="E22" s="616" t="n">
        <v>0.0002</v>
      </c>
      <c r="F22" s="617" t="n">
        <v>18000</v>
      </c>
      <c r="G22" s="605" t="n">
        <f aca="false">E22*F22</f>
        <v>3.6</v>
      </c>
      <c r="H22" s="610"/>
    </row>
    <row r="23" customFormat="false" ht="15" hidden="false" customHeight="false" outlineLevel="0" collapsed="false">
      <c r="A23" s="571"/>
      <c r="B23" s="328"/>
      <c r="C23" s="374" t="s">
        <v>4120</v>
      </c>
      <c r="D23" s="602" t="s">
        <v>4121</v>
      </c>
      <c r="E23" s="603" t="n">
        <v>0.02</v>
      </c>
      <c r="F23" s="604" t="n">
        <v>1500</v>
      </c>
      <c r="G23" s="605" t="n">
        <f aca="false">E23*F23</f>
        <v>30</v>
      </c>
      <c r="H23" s="593"/>
    </row>
    <row r="24" customFormat="false" ht="15" hidden="false" customHeight="false" outlineLevel="0" collapsed="false">
      <c r="A24" s="571"/>
      <c r="B24" s="608"/>
      <c r="C24" s="374" t="s">
        <v>4122</v>
      </c>
      <c r="D24" s="602" t="s">
        <v>4123</v>
      </c>
      <c r="E24" s="603" t="n">
        <v>0.03</v>
      </c>
      <c r="F24" s="607" t="n">
        <v>800</v>
      </c>
      <c r="G24" s="605" t="n">
        <f aca="false">E24*F24</f>
        <v>24</v>
      </c>
      <c r="H24" s="618"/>
    </row>
    <row r="25" customFormat="false" ht="15" hidden="false" customHeight="false" outlineLevel="0" collapsed="false">
      <c r="A25" s="571"/>
      <c r="B25" s="328"/>
      <c r="C25" s="603" t="s">
        <v>4124</v>
      </c>
      <c r="D25" s="602" t="s">
        <v>4125</v>
      </c>
      <c r="E25" s="603" t="n">
        <v>0.01</v>
      </c>
      <c r="F25" s="607" t="n">
        <v>120</v>
      </c>
      <c r="G25" s="605" t="n">
        <f aca="false">E25*F25</f>
        <v>1.2</v>
      </c>
      <c r="H25" s="606"/>
    </row>
    <row r="26" customFormat="false" ht="15" hidden="false" customHeight="false" outlineLevel="0" collapsed="false">
      <c r="A26" s="571"/>
      <c r="B26" s="328"/>
      <c r="C26" s="603" t="s">
        <v>4126</v>
      </c>
      <c r="D26" s="602" t="s">
        <v>4127</v>
      </c>
      <c r="E26" s="603" t="n">
        <v>0.02</v>
      </c>
      <c r="F26" s="607" t="n">
        <v>2700</v>
      </c>
      <c r="G26" s="605" t="n">
        <f aca="false">E26*F26</f>
        <v>54</v>
      </c>
      <c r="H26" s="606"/>
    </row>
    <row r="27" customFormat="false" ht="15" hidden="false" customHeight="false" outlineLevel="0" collapsed="false">
      <c r="A27" s="571"/>
      <c r="B27" s="608" t="s">
        <v>4128</v>
      </c>
      <c r="C27" s="614"/>
      <c r="D27" s="610"/>
      <c r="E27" s="611"/>
      <c r="F27" s="612"/>
      <c r="G27" s="613" t="n">
        <f aca="false">SUM(G21:G26)</f>
        <v>242.8</v>
      </c>
      <c r="H27" s="606"/>
    </row>
    <row r="28" customFormat="false" ht="15" hidden="false" customHeight="false" outlineLevel="0" collapsed="false">
      <c r="A28" s="571" t="s">
        <v>4134</v>
      </c>
      <c r="B28" s="328" t="s">
        <v>2883</v>
      </c>
      <c r="C28" s="433" t="s">
        <v>4130</v>
      </c>
      <c r="D28" s="606" t="s">
        <v>4131</v>
      </c>
      <c r="E28" s="614" t="n">
        <v>0.01</v>
      </c>
      <c r="F28" s="615" t="n">
        <v>13000</v>
      </c>
      <c r="G28" s="605" t="n">
        <f aca="false">E28*F28</f>
        <v>130</v>
      </c>
      <c r="H28" s="610"/>
    </row>
    <row r="29" customFormat="false" ht="15" hidden="false" customHeight="false" outlineLevel="0" collapsed="false">
      <c r="A29" s="571"/>
      <c r="B29" s="328"/>
      <c r="C29" s="433" t="s">
        <v>4132</v>
      </c>
      <c r="D29" s="606" t="s">
        <v>4133</v>
      </c>
      <c r="E29" s="616" t="n">
        <v>0.0002</v>
      </c>
      <c r="F29" s="617" t="n">
        <v>18000</v>
      </c>
      <c r="G29" s="605" t="n">
        <f aca="false">E29*F29</f>
        <v>3.6</v>
      </c>
      <c r="H29" s="610"/>
    </row>
    <row r="30" customFormat="false" ht="15" hidden="false" customHeight="false" outlineLevel="0" collapsed="false">
      <c r="A30" s="571"/>
      <c r="B30" s="606"/>
      <c r="C30" s="374" t="s">
        <v>4120</v>
      </c>
      <c r="D30" s="602" t="s">
        <v>4121</v>
      </c>
      <c r="E30" s="603" t="n">
        <v>0.02</v>
      </c>
      <c r="F30" s="604" t="n">
        <v>1500</v>
      </c>
      <c r="G30" s="605" t="n">
        <f aca="false">E30*F30</f>
        <v>30</v>
      </c>
      <c r="H30" s="606"/>
    </row>
    <row r="31" customFormat="false" ht="15" hidden="false" customHeight="false" outlineLevel="0" collapsed="false">
      <c r="A31" s="571"/>
      <c r="B31" s="500"/>
      <c r="C31" s="374" t="s">
        <v>4122</v>
      </c>
      <c r="D31" s="602" t="s">
        <v>4123</v>
      </c>
      <c r="E31" s="603" t="n">
        <v>0.03</v>
      </c>
      <c r="F31" s="607" t="n">
        <v>800</v>
      </c>
      <c r="G31" s="605" t="n">
        <f aca="false">E31*F31</f>
        <v>24</v>
      </c>
      <c r="H31" s="606"/>
    </row>
    <row r="32" customFormat="false" ht="15" hidden="false" customHeight="false" outlineLevel="0" collapsed="false">
      <c r="A32" s="571"/>
      <c r="B32" s="500"/>
      <c r="C32" s="603" t="s">
        <v>4124</v>
      </c>
      <c r="D32" s="602" t="s">
        <v>4125</v>
      </c>
      <c r="E32" s="603" t="n">
        <v>0.01</v>
      </c>
      <c r="F32" s="607" t="n">
        <v>120</v>
      </c>
      <c r="G32" s="605" t="n">
        <f aca="false">E32*F32</f>
        <v>1.2</v>
      </c>
      <c r="H32" s="606"/>
    </row>
    <row r="33" customFormat="false" ht="15" hidden="false" customHeight="false" outlineLevel="0" collapsed="false">
      <c r="A33" s="571"/>
      <c r="B33" s="500"/>
      <c r="C33" s="603" t="s">
        <v>4126</v>
      </c>
      <c r="D33" s="602" t="s">
        <v>4127</v>
      </c>
      <c r="E33" s="603" t="n">
        <v>0.02</v>
      </c>
      <c r="F33" s="607" t="n">
        <v>2700</v>
      </c>
      <c r="G33" s="605" t="n">
        <f aca="false">E33*F33</f>
        <v>54</v>
      </c>
      <c r="H33" s="606"/>
    </row>
    <row r="34" customFormat="false" ht="15" hidden="false" customHeight="false" outlineLevel="0" collapsed="false">
      <c r="A34" s="571"/>
      <c r="B34" s="608" t="s">
        <v>4128</v>
      </c>
      <c r="C34" s="609"/>
      <c r="D34" s="610"/>
      <c r="E34" s="611"/>
      <c r="F34" s="612"/>
      <c r="G34" s="613" t="n">
        <f aca="false">SUM(G28:G33)</f>
        <v>242.8</v>
      </c>
      <c r="H34" s="391"/>
    </row>
    <row r="35" customFormat="false" ht="15" hidden="false" customHeight="false" outlineLevel="0" collapsed="false">
      <c r="A35" s="571" t="s">
        <v>4135</v>
      </c>
      <c r="B35" s="328" t="s">
        <v>4136</v>
      </c>
      <c r="C35" s="614" t="s">
        <v>4137</v>
      </c>
      <c r="D35" s="606" t="s">
        <v>4138</v>
      </c>
      <c r="E35" s="603" t="n">
        <v>0.1</v>
      </c>
      <c r="F35" s="617" t="n">
        <v>10000</v>
      </c>
      <c r="G35" s="605" t="n">
        <f aca="false">E35*F35</f>
        <v>1000</v>
      </c>
      <c r="H35" s="606"/>
    </row>
    <row r="36" customFormat="false" ht="15" hidden="false" customHeight="false" outlineLevel="0" collapsed="false">
      <c r="A36" s="571"/>
      <c r="B36" s="500"/>
      <c r="C36" s="374" t="s">
        <v>4120</v>
      </c>
      <c r="D36" s="602" t="s">
        <v>4121</v>
      </c>
      <c r="E36" s="603" t="n">
        <v>0.02</v>
      </c>
      <c r="F36" s="604" t="n">
        <v>1500</v>
      </c>
      <c r="G36" s="605" t="n">
        <f aca="false">E36*F36</f>
        <v>30</v>
      </c>
      <c r="H36" s="606"/>
    </row>
    <row r="37" customFormat="false" ht="15" hidden="false" customHeight="false" outlineLevel="0" collapsed="false">
      <c r="A37" s="571"/>
      <c r="B37" s="500"/>
      <c r="C37" s="374" t="s">
        <v>4122</v>
      </c>
      <c r="D37" s="602" t="s">
        <v>4123</v>
      </c>
      <c r="E37" s="603" t="n">
        <v>0.01</v>
      </c>
      <c r="F37" s="607" t="n">
        <v>800</v>
      </c>
      <c r="G37" s="605" t="n">
        <f aca="false">E37*F37</f>
        <v>8</v>
      </c>
      <c r="H37" s="606"/>
    </row>
    <row r="38" customFormat="false" ht="15" hidden="false" customHeight="false" outlineLevel="0" collapsed="false">
      <c r="A38" s="571"/>
      <c r="B38" s="608"/>
      <c r="C38" s="603" t="s">
        <v>4124</v>
      </c>
      <c r="D38" s="602" t="s">
        <v>4125</v>
      </c>
      <c r="E38" s="603" t="n">
        <v>0.01</v>
      </c>
      <c r="F38" s="607" t="n">
        <v>120</v>
      </c>
      <c r="G38" s="605" t="n">
        <f aca="false">E38*F38</f>
        <v>1.2</v>
      </c>
      <c r="H38" s="610"/>
    </row>
    <row r="39" customFormat="false" ht="15" hidden="false" customHeight="false" outlineLevel="0" collapsed="false">
      <c r="A39" s="571"/>
      <c r="B39" s="608" t="s">
        <v>4128</v>
      </c>
      <c r="C39" s="603"/>
      <c r="D39" s="602"/>
      <c r="E39" s="602"/>
      <c r="F39" s="619"/>
      <c r="G39" s="620" t="n">
        <f aca="false">SUM(G35:G38)</f>
        <v>1039.2</v>
      </c>
      <c r="H39" s="610"/>
    </row>
    <row r="40" customFormat="false" ht="30" hidden="false" customHeight="false" outlineLevel="0" collapsed="false">
      <c r="A40" s="571" t="s">
        <v>22</v>
      </c>
      <c r="B40" s="328" t="s">
        <v>4139</v>
      </c>
      <c r="C40" s="374" t="s">
        <v>4140</v>
      </c>
      <c r="D40" s="606" t="s">
        <v>4141</v>
      </c>
      <c r="E40" s="603" t="n">
        <v>0.02</v>
      </c>
      <c r="F40" s="617" t="n">
        <v>26785</v>
      </c>
      <c r="G40" s="605" t="n">
        <f aca="false">E40*F40</f>
        <v>535.7</v>
      </c>
      <c r="H40" s="606"/>
    </row>
    <row r="41" customFormat="false" ht="15" hidden="false" customHeight="false" outlineLevel="0" collapsed="false">
      <c r="A41" s="571"/>
      <c r="B41" s="500"/>
      <c r="C41" s="374" t="s">
        <v>4120</v>
      </c>
      <c r="D41" s="602" t="s">
        <v>4121</v>
      </c>
      <c r="E41" s="603" t="n">
        <v>0.02</v>
      </c>
      <c r="F41" s="604" t="n">
        <v>1500</v>
      </c>
      <c r="G41" s="605" t="n">
        <f aca="false">E41*F41</f>
        <v>30</v>
      </c>
      <c r="H41" s="606"/>
    </row>
    <row r="42" customFormat="false" ht="15" hidden="false" customHeight="false" outlineLevel="0" collapsed="false">
      <c r="A42" s="571"/>
      <c r="B42" s="500"/>
      <c r="C42" s="374" t="s">
        <v>4122</v>
      </c>
      <c r="D42" s="602" t="s">
        <v>4123</v>
      </c>
      <c r="E42" s="603" t="n">
        <v>0.03</v>
      </c>
      <c r="F42" s="607" t="n">
        <v>800</v>
      </c>
      <c r="G42" s="605" t="n">
        <f aca="false">E42*F42</f>
        <v>24</v>
      </c>
      <c r="H42" s="606"/>
    </row>
    <row r="43" customFormat="false" ht="15" hidden="false" customHeight="false" outlineLevel="0" collapsed="false">
      <c r="A43" s="571"/>
      <c r="B43" s="500"/>
      <c r="C43" s="603" t="s">
        <v>4124</v>
      </c>
      <c r="D43" s="602" t="s">
        <v>4125</v>
      </c>
      <c r="E43" s="603" t="n">
        <v>0.5</v>
      </c>
      <c r="F43" s="607" t="n">
        <v>120</v>
      </c>
      <c r="G43" s="605" t="n">
        <f aca="false">E43*F43</f>
        <v>60</v>
      </c>
      <c r="H43" s="606"/>
    </row>
    <row r="44" customFormat="false" ht="15" hidden="false" customHeight="false" outlineLevel="0" collapsed="false">
      <c r="A44" s="571"/>
      <c r="B44" s="500"/>
      <c r="C44" s="603" t="s">
        <v>4126</v>
      </c>
      <c r="D44" s="602" t="s">
        <v>4127</v>
      </c>
      <c r="E44" s="603" t="n">
        <v>0.02</v>
      </c>
      <c r="F44" s="607" t="n">
        <v>2700</v>
      </c>
      <c r="G44" s="605" t="n">
        <f aca="false">E44*F44</f>
        <v>54</v>
      </c>
      <c r="H44" s="606"/>
    </row>
    <row r="45" customFormat="false" ht="15" hidden="false" customHeight="false" outlineLevel="0" collapsed="false">
      <c r="A45" s="571"/>
      <c r="B45" s="608" t="s">
        <v>4128</v>
      </c>
      <c r="C45" s="609"/>
      <c r="D45" s="610"/>
      <c r="E45" s="611"/>
      <c r="F45" s="612"/>
      <c r="G45" s="613" t="n">
        <f aca="false">SUM(G40:G44)</f>
        <v>703.7</v>
      </c>
      <c r="H45" s="391"/>
    </row>
    <row r="46" customFormat="false" ht="30" hidden="false" customHeight="false" outlineLevel="0" collapsed="false">
      <c r="A46" s="571" t="s">
        <v>24</v>
      </c>
      <c r="B46" s="328" t="s">
        <v>4142</v>
      </c>
      <c r="C46" s="603" t="s">
        <v>4143</v>
      </c>
      <c r="D46" s="602" t="s">
        <v>4127</v>
      </c>
      <c r="E46" s="603" t="n">
        <v>0.04</v>
      </c>
      <c r="F46" s="607" t="n">
        <v>18000</v>
      </c>
      <c r="G46" s="605" t="n">
        <f aca="false">E46*F46</f>
        <v>720</v>
      </c>
      <c r="H46" s="606"/>
    </row>
    <row r="47" customFormat="false" ht="15" hidden="false" customHeight="false" outlineLevel="0" collapsed="false">
      <c r="A47" s="571"/>
      <c r="B47" s="500"/>
      <c r="C47" s="374" t="s">
        <v>4120</v>
      </c>
      <c r="D47" s="602" t="s">
        <v>4121</v>
      </c>
      <c r="E47" s="603" t="n">
        <v>0.02</v>
      </c>
      <c r="F47" s="604" t="n">
        <v>1500</v>
      </c>
      <c r="G47" s="605" t="n">
        <f aca="false">E47*F47</f>
        <v>30</v>
      </c>
      <c r="H47" s="606"/>
    </row>
    <row r="48" customFormat="false" ht="15" hidden="false" customHeight="false" outlineLevel="0" collapsed="false">
      <c r="A48" s="571"/>
      <c r="B48" s="500"/>
      <c r="C48" s="374" t="s">
        <v>4122</v>
      </c>
      <c r="D48" s="602" t="s">
        <v>4123</v>
      </c>
      <c r="E48" s="603" t="n">
        <v>0.01</v>
      </c>
      <c r="F48" s="607" t="n">
        <v>800</v>
      </c>
      <c r="G48" s="605" t="n">
        <f aca="false">E48*F48</f>
        <v>8</v>
      </c>
      <c r="H48" s="606"/>
    </row>
    <row r="49" customFormat="false" ht="15" hidden="false" customHeight="false" outlineLevel="0" collapsed="false">
      <c r="A49" s="571"/>
      <c r="B49" s="500"/>
      <c r="C49" s="603" t="s">
        <v>4124</v>
      </c>
      <c r="D49" s="602" t="s">
        <v>4125</v>
      </c>
      <c r="E49" s="603" t="n">
        <v>0.1</v>
      </c>
      <c r="F49" s="607" t="n">
        <v>720</v>
      </c>
      <c r="G49" s="605" t="n">
        <f aca="false">E49*F49</f>
        <v>72</v>
      </c>
      <c r="H49" s="606"/>
    </row>
    <row r="50" customFormat="false" ht="15" hidden="false" customHeight="false" outlineLevel="0" collapsed="false">
      <c r="A50" s="571"/>
      <c r="B50" s="608"/>
      <c r="C50" s="603" t="s">
        <v>4126</v>
      </c>
      <c r="D50" s="602" t="s">
        <v>4127</v>
      </c>
      <c r="E50" s="603" t="n">
        <v>0.02</v>
      </c>
      <c r="F50" s="607" t="n">
        <v>2700</v>
      </c>
      <c r="G50" s="605" t="n">
        <f aca="false">E50*F50</f>
        <v>54</v>
      </c>
      <c r="H50" s="391"/>
    </row>
    <row r="51" customFormat="false" ht="15" hidden="false" customHeight="false" outlineLevel="0" collapsed="false">
      <c r="A51" s="571"/>
      <c r="B51" s="608" t="s">
        <v>4128</v>
      </c>
      <c r="C51" s="603"/>
      <c r="D51" s="602"/>
      <c r="E51" s="602"/>
      <c r="F51" s="619"/>
      <c r="G51" s="620" t="n">
        <f aca="false">SUM(G46:G50)</f>
        <v>884</v>
      </c>
      <c r="H51" s="391"/>
    </row>
    <row r="52" customFormat="false" ht="30" hidden="false" customHeight="false" outlineLevel="0" collapsed="false">
      <c r="A52" s="571" t="s">
        <v>26</v>
      </c>
      <c r="B52" s="433" t="s">
        <v>4144</v>
      </c>
      <c r="C52" s="603" t="s">
        <v>4145</v>
      </c>
      <c r="D52" s="602" t="s">
        <v>4138</v>
      </c>
      <c r="E52" s="603" t="n">
        <v>0.1</v>
      </c>
      <c r="F52" s="607" t="n">
        <v>12500</v>
      </c>
      <c r="G52" s="605" t="n">
        <f aca="false">E52*F52</f>
        <v>1250</v>
      </c>
      <c r="H52" s="606"/>
    </row>
    <row r="53" customFormat="false" ht="30" hidden="false" customHeight="false" outlineLevel="0" collapsed="false">
      <c r="A53" s="571"/>
      <c r="B53" s="500"/>
      <c r="C53" s="621" t="s">
        <v>4146</v>
      </c>
      <c r="D53" s="602" t="s">
        <v>4131</v>
      </c>
      <c r="E53" s="603" t="n">
        <v>0.01</v>
      </c>
      <c r="F53" s="607" t="n">
        <v>10000</v>
      </c>
      <c r="G53" s="605" t="n">
        <f aca="false">E53*F53</f>
        <v>100</v>
      </c>
      <c r="H53" s="606"/>
    </row>
    <row r="54" customFormat="false" ht="15" hidden="false" customHeight="false" outlineLevel="0" collapsed="false">
      <c r="A54" s="571"/>
      <c r="B54" s="500"/>
      <c r="C54" s="621" t="s">
        <v>4147</v>
      </c>
      <c r="D54" s="602" t="s">
        <v>4133</v>
      </c>
      <c r="E54" s="603" t="n">
        <v>0.01</v>
      </c>
      <c r="F54" s="607" t="n">
        <v>14039.2</v>
      </c>
      <c r="G54" s="605" t="n">
        <f aca="false">E54*F54</f>
        <v>140.392</v>
      </c>
      <c r="H54" s="606"/>
    </row>
    <row r="55" customFormat="false" ht="15" hidden="false" customHeight="false" outlineLevel="0" collapsed="false">
      <c r="A55" s="571"/>
      <c r="B55" s="608"/>
      <c r="C55" s="374" t="s">
        <v>4120</v>
      </c>
      <c r="D55" s="602" t="s">
        <v>4121</v>
      </c>
      <c r="E55" s="603" t="n">
        <v>0.02</v>
      </c>
      <c r="F55" s="604" t="n">
        <v>1500</v>
      </c>
      <c r="G55" s="605" t="n">
        <f aca="false">E55*F55</f>
        <v>30</v>
      </c>
      <c r="H55" s="391"/>
    </row>
    <row r="56" customFormat="false" ht="15" hidden="false" customHeight="false" outlineLevel="0" collapsed="false">
      <c r="A56" s="571"/>
      <c r="B56" s="328"/>
      <c r="C56" s="374" t="s">
        <v>4122</v>
      </c>
      <c r="D56" s="602" t="s">
        <v>4123</v>
      </c>
      <c r="E56" s="603" t="n">
        <v>0.01</v>
      </c>
      <c r="F56" s="607" t="n">
        <v>800</v>
      </c>
      <c r="G56" s="605" t="n">
        <f aca="false">E56*F56</f>
        <v>8</v>
      </c>
      <c r="H56" s="606"/>
    </row>
    <row r="57" customFormat="false" ht="15" hidden="false" customHeight="false" outlineLevel="0" collapsed="false">
      <c r="A57" s="571"/>
      <c r="B57" s="500"/>
      <c r="C57" s="603" t="s">
        <v>4124</v>
      </c>
      <c r="D57" s="602" t="s">
        <v>4125</v>
      </c>
      <c r="E57" s="603" t="n">
        <v>0.1</v>
      </c>
      <c r="F57" s="607" t="n">
        <v>120</v>
      </c>
      <c r="G57" s="605" t="n">
        <f aca="false">E57*F57</f>
        <v>12</v>
      </c>
      <c r="H57" s="606"/>
    </row>
    <row r="58" customFormat="false" ht="15" hidden="false" customHeight="false" outlineLevel="0" collapsed="false">
      <c r="A58" s="571"/>
      <c r="B58" s="500"/>
      <c r="C58" s="603" t="s">
        <v>4126</v>
      </c>
      <c r="D58" s="602" t="s">
        <v>4127</v>
      </c>
      <c r="E58" s="603" t="n">
        <v>0.02</v>
      </c>
      <c r="F58" s="607" t="n">
        <v>2700</v>
      </c>
      <c r="G58" s="605" t="n">
        <f aca="false">E58*F58</f>
        <v>54</v>
      </c>
      <c r="H58" s="606"/>
    </row>
    <row r="59" customFormat="false" ht="15" hidden="false" customHeight="false" outlineLevel="0" collapsed="false">
      <c r="A59" s="571"/>
      <c r="B59" s="608" t="s">
        <v>4128</v>
      </c>
      <c r="C59" s="614"/>
      <c r="D59" s="606"/>
      <c r="E59" s="622"/>
      <c r="F59" s="361"/>
      <c r="G59" s="613" t="n">
        <f aca="false">SUM(G52:G58)</f>
        <v>1594.392</v>
      </c>
      <c r="H59" s="606"/>
    </row>
    <row r="60" customFormat="false" ht="15" hidden="false" customHeight="false" outlineLevel="0" collapsed="false">
      <c r="A60" s="571" t="s">
        <v>28</v>
      </c>
      <c r="B60" s="433" t="s">
        <v>2888</v>
      </c>
      <c r="C60" s="614" t="s">
        <v>4148</v>
      </c>
      <c r="D60" s="606" t="s">
        <v>4149</v>
      </c>
      <c r="E60" s="616" t="n">
        <v>0.04</v>
      </c>
      <c r="F60" s="617" t="n">
        <v>12900</v>
      </c>
      <c r="G60" s="605" t="n">
        <f aca="false">E60*F60</f>
        <v>516</v>
      </c>
      <c r="H60" s="391"/>
    </row>
    <row r="61" customFormat="false" ht="15" hidden="false" customHeight="false" outlineLevel="0" collapsed="false">
      <c r="A61" s="571"/>
      <c r="B61" s="328"/>
      <c r="C61" s="374" t="s">
        <v>4120</v>
      </c>
      <c r="D61" s="602" t="s">
        <v>4121</v>
      </c>
      <c r="E61" s="603" t="n">
        <v>0.02</v>
      </c>
      <c r="F61" s="604" t="n">
        <v>1500</v>
      </c>
      <c r="G61" s="605" t="n">
        <f aca="false">E61*F61</f>
        <v>30</v>
      </c>
      <c r="H61" s="606"/>
    </row>
    <row r="62" customFormat="false" ht="15" hidden="false" customHeight="false" outlineLevel="0" collapsed="false">
      <c r="A62" s="571"/>
      <c r="B62" s="500"/>
      <c r="C62" s="374" t="s">
        <v>4122</v>
      </c>
      <c r="D62" s="602" t="s">
        <v>4123</v>
      </c>
      <c r="E62" s="603" t="n">
        <v>0.029</v>
      </c>
      <c r="F62" s="607" t="n">
        <v>800</v>
      </c>
      <c r="G62" s="605" t="n">
        <f aca="false">E62*F62</f>
        <v>23.2</v>
      </c>
      <c r="H62" s="606"/>
    </row>
    <row r="63" customFormat="false" ht="15" hidden="false" customHeight="false" outlineLevel="0" collapsed="false">
      <c r="A63" s="571"/>
      <c r="B63" s="500"/>
      <c r="C63" s="603" t="s">
        <v>4124</v>
      </c>
      <c r="D63" s="602" t="s">
        <v>4125</v>
      </c>
      <c r="E63" s="603" t="n">
        <v>0.001</v>
      </c>
      <c r="F63" s="607" t="n">
        <v>120</v>
      </c>
      <c r="G63" s="605" t="n">
        <f aca="false">E63*F63</f>
        <v>0.12</v>
      </c>
      <c r="H63" s="606"/>
    </row>
    <row r="64" customFormat="false" ht="15" hidden="false" customHeight="false" outlineLevel="0" collapsed="false">
      <c r="A64" s="571"/>
      <c r="B64" s="500"/>
      <c r="C64" s="603" t="s">
        <v>4126</v>
      </c>
      <c r="D64" s="602" t="s">
        <v>4127</v>
      </c>
      <c r="E64" s="603" t="n">
        <v>0.02</v>
      </c>
      <c r="F64" s="607" t="n">
        <v>2700</v>
      </c>
      <c r="G64" s="605" t="n">
        <f aca="false">E64*F64</f>
        <v>54</v>
      </c>
      <c r="H64" s="606"/>
    </row>
    <row r="65" customFormat="false" ht="15" hidden="false" customHeight="false" outlineLevel="0" collapsed="false">
      <c r="A65" s="571"/>
      <c r="B65" s="608" t="s">
        <v>4128</v>
      </c>
      <c r="C65" s="609"/>
      <c r="D65" s="610"/>
      <c r="E65" s="611"/>
      <c r="F65" s="612"/>
      <c r="G65" s="613" t="n">
        <f aca="false">SUM(G60:G64)</f>
        <v>623.32</v>
      </c>
      <c r="H65" s="391"/>
    </row>
    <row r="66" customFormat="false" ht="15" hidden="false" customHeight="false" outlineLevel="0" collapsed="false">
      <c r="A66" s="571" t="s">
        <v>30</v>
      </c>
      <c r="B66" s="337" t="s">
        <v>2889</v>
      </c>
      <c r="C66" s="374" t="s">
        <v>4120</v>
      </c>
      <c r="D66" s="602" t="s">
        <v>4121</v>
      </c>
      <c r="E66" s="603" t="n">
        <v>0.02</v>
      </c>
      <c r="F66" s="604" t="n">
        <v>1500</v>
      </c>
      <c r="G66" s="605" t="n">
        <f aca="false">E66*F66</f>
        <v>30</v>
      </c>
      <c r="H66" s="606"/>
    </row>
    <row r="67" customFormat="false" ht="15" hidden="false" customHeight="false" outlineLevel="0" collapsed="false">
      <c r="A67" s="571"/>
      <c r="B67" s="500"/>
      <c r="C67" s="374" t="s">
        <v>4122</v>
      </c>
      <c r="D67" s="602" t="s">
        <v>4123</v>
      </c>
      <c r="E67" s="603" t="n">
        <v>0.09</v>
      </c>
      <c r="F67" s="607" t="n">
        <v>800</v>
      </c>
      <c r="G67" s="605" t="n">
        <f aca="false">E67*F67</f>
        <v>72</v>
      </c>
      <c r="H67" s="606"/>
    </row>
    <row r="68" customFormat="false" ht="15" hidden="false" customHeight="false" outlineLevel="0" collapsed="false">
      <c r="A68" s="571"/>
      <c r="B68" s="500"/>
      <c r="C68" s="603" t="s">
        <v>4124</v>
      </c>
      <c r="D68" s="602" t="s">
        <v>4125</v>
      </c>
      <c r="E68" s="603" t="n">
        <v>0.981</v>
      </c>
      <c r="F68" s="607" t="n">
        <v>120</v>
      </c>
      <c r="G68" s="605" t="n">
        <f aca="false">E68*F68</f>
        <v>117.72</v>
      </c>
      <c r="H68" s="606"/>
    </row>
    <row r="69" customFormat="false" ht="15" hidden="false" customHeight="false" outlineLevel="0" collapsed="false">
      <c r="A69" s="571"/>
      <c r="B69" s="500"/>
      <c r="C69" s="603" t="s">
        <v>4126</v>
      </c>
      <c r="D69" s="602" t="s">
        <v>4127</v>
      </c>
      <c r="E69" s="603" t="n">
        <v>0.02</v>
      </c>
      <c r="F69" s="607" t="n">
        <v>2700</v>
      </c>
      <c r="G69" s="605" t="n">
        <f aca="false">E69*F69</f>
        <v>54</v>
      </c>
      <c r="H69" s="606"/>
    </row>
    <row r="70" customFormat="false" ht="15" hidden="false" customHeight="false" outlineLevel="0" collapsed="false">
      <c r="A70" s="571"/>
      <c r="B70" s="608" t="s">
        <v>4128</v>
      </c>
      <c r="C70" s="609"/>
      <c r="D70" s="610"/>
      <c r="E70" s="611"/>
      <c r="F70" s="612"/>
      <c r="G70" s="623" t="n">
        <f aca="false">SUM(G66:G69)</f>
        <v>273.72</v>
      </c>
      <c r="H70" s="391"/>
    </row>
    <row r="71" customFormat="false" ht="15" hidden="false" customHeight="false" outlineLevel="0" collapsed="false">
      <c r="A71" s="571" t="s">
        <v>32</v>
      </c>
      <c r="B71" s="337" t="s">
        <v>2890</v>
      </c>
      <c r="C71" s="603" t="s">
        <v>4150</v>
      </c>
      <c r="D71" s="602" t="s">
        <v>4133</v>
      </c>
      <c r="E71" s="624" t="n">
        <v>0.005</v>
      </c>
      <c r="F71" s="607" t="n">
        <v>103.04</v>
      </c>
      <c r="G71" s="605" t="n">
        <f aca="false">E71*F71</f>
        <v>0.5152</v>
      </c>
      <c r="H71" s="606"/>
    </row>
    <row r="72" customFormat="false" ht="30" hidden="false" customHeight="false" outlineLevel="0" collapsed="false">
      <c r="A72" s="571"/>
      <c r="B72" s="500"/>
      <c r="C72" s="603" t="s">
        <v>4151</v>
      </c>
      <c r="D72" s="602" t="s">
        <v>4131</v>
      </c>
      <c r="E72" s="603" t="n">
        <v>0.1</v>
      </c>
      <c r="F72" s="607" t="n">
        <v>12000</v>
      </c>
      <c r="G72" s="605" t="n">
        <f aca="false">E72*F72</f>
        <v>1200</v>
      </c>
      <c r="H72" s="606"/>
    </row>
    <row r="73" customFormat="false" ht="15" hidden="false" customHeight="false" outlineLevel="0" collapsed="false">
      <c r="A73" s="571"/>
      <c r="B73" s="500"/>
      <c r="C73" s="374" t="s">
        <v>4120</v>
      </c>
      <c r="D73" s="602" t="s">
        <v>4121</v>
      </c>
      <c r="E73" s="603" t="n">
        <v>0.02</v>
      </c>
      <c r="F73" s="604" t="n">
        <v>1500</v>
      </c>
      <c r="G73" s="605" t="n">
        <f aca="false">E73*F73</f>
        <v>30</v>
      </c>
      <c r="H73" s="606"/>
    </row>
    <row r="74" customFormat="false" ht="15" hidden="false" customHeight="false" outlineLevel="0" collapsed="false">
      <c r="A74" s="571"/>
      <c r="B74" s="500"/>
      <c r="C74" s="374" t="s">
        <v>4122</v>
      </c>
      <c r="D74" s="602" t="s">
        <v>4123</v>
      </c>
      <c r="E74" s="603" t="n">
        <v>0.0281</v>
      </c>
      <c r="F74" s="607" t="n">
        <v>800</v>
      </c>
      <c r="G74" s="605" t="n">
        <f aca="false">E74*F74</f>
        <v>22.48</v>
      </c>
      <c r="H74" s="606"/>
    </row>
    <row r="75" customFormat="false" ht="15" hidden="false" customHeight="false" outlineLevel="0" collapsed="false">
      <c r="A75" s="571"/>
      <c r="B75" s="500"/>
      <c r="C75" s="603" t="s">
        <v>4124</v>
      </c>
      <c r="D75" s="602" t="s">
        <v>4125</v>
      </c>
      <c r="E75" s="603" t="n">
        <v>0.01</v>
      </c>
      <c r="F75" s="607" t="n">
        <v>120</v>
      </c>
      <c r="G75" s="605" t="n">
        <f aca="false">E75*F75</f>
        <v>1.2</v>
      </c>
      <c r="H75" s="606"/>
    </row>
    <row r="76" customFormat="false" ht="15" hidden="false" customHeight="false" outlineLevel="0" collapsed="false">
      <c r="A76" s="571"/>
      <c r="B76" s="606"/>
      <c r="C76" s="603" t="s">
        <v>4126</v>
      </c>
      <c r="D76" s="602" t="s">
        <v>4127</v>
      </c>
      <c r="E76" s="603" t="n">
        <v>0.02</v>
      </c>
      <c r="F76" s="607" t="n">
        <v>2700</v>
      </c>
      <c r="G76" s="605" t="n">
        <f aca="false">E76*F76</f>
        <v>54</v>
      </c>
      <c r="H76" s="391"/>
    </row>
    <row r="77" customFormat="false" ht="15" hidden="false" customHeight="false" outlineLevel="0" collapsed="false">
      <c r="A77" s="571"/>
      <c r="B77" s="608" t="s">
        <v>4128</v>
      </c>
      <c r="C77" s="603"/>
      <c r="D77" s="602"/>
      <c r="E77" s="602"/>
      <c r="F77" s="619"/>
      <c r="G77" s="620" t="n">
        <f aca="false">SUM(G71:G76)</f>
        <v>1308.1952</v>
      </c>
      <c r="H77" s="391"/>
    </row>
    <row r="78" customFormat="false" ht="30" hidden="false" customHeight="false" outlineLevel="0" collapsed="false">
      <c r="A78" s="571" t="s">
        <v>34</v>
      </c>
      <c r="B78" s="337" t="s">
        <v>2891</v>
      </c>
      <c r="C78" s="603" t="s">
        <v>4152</v>
      </c>
      <c r="D78" s="602" t="s">
        <v>4141</v>
      </c>
      <c r="E78" s="603" t="n">
        <v>0.01</v>
      </c>
      <c r="F78" s="607" t="n">
        <v>12000</v>
      </c>
      <c r="G78" s="605" t="n">
        <f aca="false">E78*F78</f>
        <v>120</v>
      </c>
      <c r="H78" s="606"/>
    </row>
    <row r="79" customFormat="false" ht="15" hidden="false" customHeight="false" outlineLevel="0" collapsed="false">
      <c r="A79" s="571"/>
      <c r="B79" s="500"/>
      <c r="C79" s="621" t="s">
        <v>4153</v>
      </c>
      <c r="D79" s="602" t="s">
        <v>4127</v>
      </c>
      <c r="E79" s="624" t="n">
        <v>0.1</v>
      </c>
      <c r="F79" s="607" t="n">
        <v>5678</v>
      </c>
      <c r="G79" s="605" t="n">
        <f aca="false">E79*F79</f>
        <v>567.8</v>
      </c>
      <c r="H79" s="606"/>
    </row>
    <row r="80" customFormat="false" ht="15" hidden="false" customHeight="false" outlineLevel="0" collapsed="false">
      <c r="A80" s="571"/>
      <c r="B80" s="500"/>
      <c r="C80" s="621" t="s">
        <v>4154</v>
      </c>
      <c r="D80" s="602" t="s">
        <v>4127</v>
      </c>
      <c r="E80" s="624" t="n">
        <v>0.001</v>
      </c>
      <c r="F80" s="607" t="n">
        <v>10976</v>
      </c>
      <c r="G80" s="605" t="n">
        <f aca="false">E80*F80</f>
        <v>10.976</v>
      </c>
      <c r="H80" s="606"/>
    </row>
    <row r="81" customFormat="false" ht="15" hidden="false" customHeight="false" outlineLevel="0" collapsed="false">
      <c r="A81" s="571"/>
      <c r="B81" s="500"/>
      <c r="C81" s="621" t="s">
        <v>4155</v>
      </c>
      <c r="D81" s="602" t="s">
        <v>4127</v>
      </c>
      <c r="E81" s="624" t="n">
        <v>0.0001</v>
      </c>
      <c r="F81" s="625" t="n">
        <v>285000</v>
      </c>
      <c r="G81" s="605" t="n">
        <f aca="false">E81*F81</f>
        <v>28.5</v>
      </c>
      <c r="H81" s="606"/>
    </row>
    <row r="82" customFormat="false" ht="15" hidden="false" customHeight="false" outlineLevel="0" collapsed="false">
      <c r="A82" s="571"/>
      <c r="B82" s="500"/>
      <c r="C82" s="603" t="s">
        <v>4156</v>
      </c>
      <c r="D82" s="602" t="s">
        <v>4127</v>
      </c>
      <c r="E82" s="624" t="n">
        <v>0.01</v>
      </c>
      <c r="F82" s="607" t="n">
        <v>10976</v>
      </c>
      <c r="G82" s="605" t="n">
        <f aca="false">E82*F82</f>
        <v>109.76</v>
      </c>
      <c r="H82" s="606"/>
    </row>
    <row r="83" customFormat="false" ht="15" hidden="false" customHeight="false" outlineLevel="0" collapsed="false">
      <c r="A83" s="571"/>
      <c r="B83" s="500"/>
      <c r="C83" s="374" t="s">
        <v>4157</v>
      </c>
      <c r="D83" s="602" t="s">
        <v>4133</v>
      </c>
      <c r="E83" s="603" t="n">
        <v>0.0031</v>
      </c>
      <c r="F83" s="607" t="n">
        <v>5000</v>
      </c>
      <c r="G83" s="605" t="n">
        <f aca="false">E83*F83</f>
        <v>15.5</v>
      </c>
      <c r="H83" s="606"/>
    </row>
    <row r="84" customFormat="false" ht="15" hidden="false" customHeight="false" outlineLevel="0" collapsed="false">
      <c r="A84" s="571"/>
      <c r="B84" s="608"/>
      <c r="C84" s="374" t="s">
        <v>4158</v>
      </c>
      <c r="D84" s="602" t="s">
        <v>4133</v>
      </c>
      <c r="E84" s="603" t="n">
        <v>0.0011</v>
      </c>
      <c r="F84" s="607" t="n">
        <v>7000</v>
      </c>
      <c r="G84" s="605" t="n">
        <f aca="false">E84*F84</f>
        <v>7.7</v>
      </c>
      <c r="H84" s="391"/>
    </row>
    <row r="85" customFormat="false" ht="15" hidden="false" customHeight="false" outlineLevel="0" collapsed="false">
      <c r="A85" s="571"/>
      <c r="B85" s="328"/>
      <c r="C85" s="374" t="s">
        <v>4120</v>
      </c>
      <c r="D85" s="602" t="s">
        <v>4121</v>
      </c>
      <c r="E85" s="603" t="n">
        <v>0.02</v>
      </c>
      <c r="F85" s="604" t="n">
        <v>1500</v>
      </c>
      <c r="G85" s="605" t="n">
        <f aca="false">E85*F85</f>
        <v>30</v>
      </c>
      <c r="H85" s="606"/>
    </row>
    <row r="86" customFormat="false" ht="15" hidden="false" customHeight="false" outlineLevel="0" collapsed="false">
      <c r="A86" s="571"/>
      <c r="B86" s="500"/>
      <c r="C86" s="374" t="s">
        <v>4122</v>
      </c>
      <c r="D86" s="602" t="s">
        <v>4123</v>
      </c>
      <c r="E86" s="603" t="n">
        <v>0.029</v>
      </c>
      <c r="F86" s="607" t="n">
        <v>800</v>
      </c>
      <c r="G86" s="605" t="n">
        <f aca="false">E86*F86</f>
        <v>23.2</v>
      </c>
      <c r="H86" s="606"/>
    </row>
    <row r="87" customFormat="false" ht="15" hidden="false" customHeight="false" outlineLevel="0" collapsed="false">
      <c r="A87" s="571"/>
      <c r="B87" s="500"/>
      <c r="C87" s="603" t="s">
        <v>4124</v>
      </c>
      <c r="D87" s="602" t="s">
        <v>4125</v>
      </c>
      <c r="E87" s="603" t="n">
        <v>0.1</v>
      </c>
      <c r="F87" s="607" t="n">
        <v>120</v>
      </c>
      <c r="G87" s="605" t="n">
        <f aca="false">E87*F87</f>
        <v>12</v>
      </c>
      <c r="H87" s="606"/>
    </row>
    <row r="88" customFormat="false" ht="15" hidden="false" customHeight="false" outlineLevel="0" collapsed="false">
      <c r="A88" s="571"/>
      <c r="B88" s="500"/>
      <c r="C88" s="603" t="s">
        <v>4126</v>
      </c>
      <c r="D88" s="602" t="s">
        <v>4127</v>
      </c>
      <c r="E88" s="603" t="n">
        <v>0.02</v>
      </c>
      <c r="F88" s="607" t="n">
        <v>2700</v>
      </c>
      <c r="G88" s="605" t="n">
        <f aca="false">E88*F88</f>
        <v>54</v>
      </c>
      <c r="H88" s="606"/>
    </row>
    <row r="89" customFormat="false" ht="15" hidden="false" customHeight="false" outlineLevel="0" collapsed="false">
      <c r="A89" s="571"/>
      <c r="B89" s="608" t="s">
        <v>4128</v>
      </c>
      <c r="C89" s="609"/>
      <c r="D89" s="610"/>
      <c r="E89" s="611"/>
      <c r="F89" s="612"/>
      <c r="G89" s="613" t="n">
        <f aca="false">SUM(G78:G88)</f>
        <v>979.436</v>
      </c>
      <c r="H89" s="391"/>
    </row>
    <row r="90" customFormat="false" ht="15" hidden="false" customHeight="false" outlineLevel="0" collapsed="false">
      <c r="A90" s="571" t="s">
        <v>36</v>
      </c>
      <c r="B90" s="337" t="s">
        <v>2892</v>
      </c>
      <c r="C90" s="621" t="s">
        <v>4153</v>
      </c>
      <c r="D90" s="602" t="s">
        <v>4133</v>
      </c>
      <c r="E90" s="624" t="n">
        <v>0.01</v>
      </c>
      <c r="F90" s="607" t="n">
        <v>5678</v>
      </c>
      <c r="G90" s="605" t="n">
        <f aca="false">E90*F90</f>
        <v>56.78</v>
      </c>
      <c r="H90" s="606"/>
    </row>
    <row r="91" customFormat="false" ht="15" hidden="false" customHeight="false" outlineLevel="0" collapsed="false">
      <c r="A91" s="571"/>
      <c r="B91" s="500"/>
      <c r="C91" s="614" t="s">
        <v>4159</v>
      </c>
      <c r="D91" s="602" t="s">
        <v>4133</v>
      </c>
      <c r="E91" s="624" t="n">
        <v>0.001</v>
      </c>
      <c r="F91" s="626" t="s">
        <v>4160</v>
      </c>
      <c r="G91" s="605" t="n">
        <f aca="false">E91*F91</f>
        <v>1240</v>
      </c>
      <c r="H91" s="606"/>
    </row>
    <row r="92" customFormat="false" ht="15" hidden="false" customHeight="false" outlineLevel="0" collapsed="false">
      <c r="A92" s="571"/>
      <c r="B92" s="500"/>
      <c r="C92" s="603" t="s">
        <v>4161</v>
      </c>
      <c r="D92" s="602" t="s">
        <v>4133</v>
      </c>
      <c r="E92" s="624" t="n">
        <v>0.01</v>
      </c>
      <c r="F92" s="607" t="n">
        <v>31360</v>
      </c>
      <c r="G92" s="605" t="n">
        <f aca="false">E92*F92</f>
        <v>313.6</v>
      </c>
      <c r="H92" s="606"/>
    </row>
    <row r="93" customFormat="false" ht="15" hidden="false" customHeight="false" outlineLevel="0" collapsed="false">
      <c r="A93" s="571"/>
      <c r="B93" s="500"/>
      <c r="C93" s="374" t="s">
        <v>4120</v>
      </c>
      <c r="D93" s="602" t="s">
        <v>4121</v>
      </c>
      <c r="E93" s="603" t="n">
        <v>0.02</v>
      </c>
      <c r="F93" s="604" t="n">
        <v>1500</v>
      </c>
      <c r="G93" s="605" t="n">
        <f aca="false">E93*F93</f>
        <v>30</v>
      </c>
      <c r="H93" s="606"/>
    </row>
    <row r="94" customFormat="false" ht="15" hidden="false" customHeight="false" outlineLevel="0" collapsed="false">
      <c r="A94" s="571"/>
      <c r="B94" s="500"/>
      <c r="C94" s="374" t="s">
        <v>4122</v>
      </c>
      <c r="D94" s="602" t="s">
        <v>4123</v>
      </c>
      <c r="E94" s="603" t="n">
        <v>0.029</v>
      </c>
      <c r="F94" s="607" t="n">
        <v>800</v>
      </c>
      <c r="G94" s="605" t="n">
        <f aca="false">E94*F94</f>
        <v>23.2</v>
      </c>
      <c r="H94" s="606"/>
    </row>
    <row r="95" customFormat="false" ht="15" hidden="false" customHeight="false" outlineLevel="0" collapsed="false">
      <c r="A95" s="571"/>
      <c r="B95" s="500"/>
      <c r="C95" s="603" t="s">
        <v>4124</v>
      </c>
      <c r="D95" s="602" t="s">
        <v>4125</v>
      </c>
      <c r="E95" s="603" t="n">
        <v>0.1</v>
      </c>
      <c r="F95" s="607" t="n">
        <v>120</v>
      </c>
      <c r="G95" s="605" t="n">
        <f aca="false">E95*F95</f>
        <v>12</v>
      </c>
      <c r="H95" s="606"/>
    </row>
    <row r="96" customFormat="false" ht="15" hidden="false" customHeight="false" outlineLevel="0" collapsed="false">
      <c r="A96" s="571"/>
      <c r="B96" s="500"/>
      <c r="C96" s="603" t="s">
        <v>4126</v>
      </c>
      <c r="D96" s="602" t="s">
        <v>4127</v>
      </c>
      <c r="E96" s="603" t="n">
        <v>0.02</v>
      </c>
      <c r="F96" s="607" t="n">
        <v>2700</v>
      </c>
      <c r="G96" s="605" t="n">
        <f aca="false">E96*F96</f>
        <v>54</v>
      </c>
      <c r="H96" s="606"/>
    </row>
    <row r="97" customFormat="false" ht="15" hidden="false" customHeight="false" outlineLevel="0" collapsed="false">
      <c r="A97" s="571"/>
      <c r="B97" s="608" t="s">
        <v>4128</v>
      </c>
      <c r="C97" s="609"/>
      <c r="D97" s="610"/>
      <c r="E97" s="611"/>
      <c r="F97" s="612"/>
      <c r="G97" s="613" t="n">
        <f aca="false">SUM(G90:G96)</f>
        <v>1729.58</v>
      </c>
      <c r="H97" s="391"/>
    </row>
    <row r="98" customFormat="false" ht="30" hidden="false" customHeight="false" outlineLevel="0" collapsed="false">
      <c r="A98" s="571" t="s">
        <v>38</v>
      </c>
      <c r="B98" s="337" t="s">
        <v>2893</v>
      </c>
      <c r="C98" s="603" t="s">
        <v>4162</v>
      </c>
      <c r="D98" s="602" t="s">
        <v>4133</v>
      </c>
      <c r="E98" s="624" t="n">
        <v>0.02</v>
      </c>
      <c r="F98" s="607" t="n">
        <v>8064</v>
      </c>
      <c r="G98" s="605" t="n">
        <f aca="false">E98*F98</f>
        <v>161.28</v>
      </c>
      <c r="H98" s="606"/>
    </row>
    <row r="99" customFormat="false" ht="15" hidden="false" customHeight="false" outlineLevel="0" collapsed="false">
      <c r="A99" s="571"/>
      <c r="B99" s="500"/>
      <c r="C99" s="603" t="s">
        <v>4147</v>
      </c>
      <c r="D99" s="602" t="s">
        <v>4133</v>
      </c>
      <c r="E99" s="624" t="n">
        <v>0.01</v>
      </c>
      <c r="F99" s="607" t="n">
        <v>14039.2</v>
      </c>
      <c r="G99" s="605" t="n">
        <f aca="false">E99*F99</f>
        <v>140.392</v>
      </c>
      <c r="H99" s="606"/>
    </row>
    <row r="100" customFormat="false" ht="15" hidden="false" customHeight="false" outlineLevel="0" collapsed="false">
      <c r="A100" s="571"/>
      <c r="B100" s="500"/>
      <c r="C100" s="374" t="s">
        <v>4163</v>
      </c>
      <c r="D100" s="606" t="s">
        <v>4138</v>
      </c>
      <c r="E100" s="616" t="n">
        <v>0.1</v>
      </c>
      <c r="F100" s="607" t="n">
        <v>12000</v>
      </c>
      <c r="G100" s="605" t="n">
        <f aca="false">E100*F100</f>
        <v>1200</v>
      </c>
      <c r="H100" s="606"/>
    </row>
    <row r="101" customFormat="false" ht="15" hidden="false" customHeight="false" outlineLevel="0" collapsed="false">
      <c r="A101" s="571"/>
      <c r="B101" s="500"/>
      <c r="C101" s="603" t="s">
        <v>4164</v>
      </c>
      <c r="D101" s="602" t="s">
        <v>4133</v>
      </c>
      <c r="E101" s="624" t="n">
        <v>0.008</v>
      </c>
      <c r="F101" s="607" t="n">
        <v>15100</v>
      </c>
      <c r="G101" s="605" t="n">
        <f aca="false">E101*F101</f>
        <v>120.8</v>
      </c>
      <c r="H101" s="606"/>
    </row>
    <row r="102" customFormat="false" ht="15" hidden="false" customHeight="false" outlineLevel="0" collapsed="false">
      <c r="A102" s="571"/>
      <c r="B102" s="500"/>
      <c r="C102" s="603" t="s">
        <v>4165</v>
      </c>
      <c r="D102" s="602" t="s">
        <v>4133</v>
      </c>
      <c r="E102" s="624" t="n">
        <v>0.001</v>
      </c>
      <c r="F102" s="607" t="n">
        <v>5500</v>
      </c>
      <c r="G102" s="605" t="n">
        <f aca="false">E102*F102</f>
        <v>5.5</v>
      </c>
      <c r="H102" s="606"/>
    </row>
    <row r="103" customFormat="false" ht="15" hidden="false" customHeight="false" outlineLevel="0" collapsed="false">
      <c r="A103" s="571"/>
      <c r="B103" s="500"/>
      <c r="C103" s="603" t="s">
        <v>4166</v>
      </c>
      <c r="D103" s="602" t="s">
        <v>4133</v>
      </c>
      <c r="E103" s="624" t="n">
        <v>0.001</v>
      </c>
      <c r="F103" s="607" t="n">
        <v>87000</v>
      </c>
      <c r="G103" s="605" t="n">
        <f aca="false">E103*F103</f>
        <v>87</v>
      </c>
      <c r="H103" s="606"/>
    </row>
    <row r="104" customFormat="false" ht="15" hidden="false" customHeight="false" outlineLevel="0" collapsed="false">
      <c r="A104" s="571"/>
      <c r="B104" s="500"/>
      <c r="C104" s="374" t="s">
        <v>4120</v>
      </c>
      <c r="D104" s="602" t="s">
        <v>4121</v>
      </c>
      <c r="E104" s="603" t="n">
        <v>0.02</v>
      </c>
      <c r="F104" s="604" t="n">
        <v>1500</v>
      </c>
      <c r="G104" s="605" t="n">
        <f aca="false">E104*F104</f>
        <v>30</v>
      </c>
      <c r="H104" s="606"/>
    </row>
    <row r="105" customFormat="false" ht="15" hidden="false" customHeight="false" outlineLevel="0" collapsed="false">
      <c r="A105" s="571"/>
      <c r="B105" s="500"/>
      <c r="C105" s="374" t="s">
        <v>4122</v>
      </c>
      <c r="D105" s="602" t="s">
        <v>4123</v>
      </c>
      <c r="E105" s="603" t="n">
        <v>0.003</v>
      </c>
      <c r="F105" s="607" t="n">
        <v>800</v>
      </c>
      <c r="G105" s="605" t="n">
        <f aca="false">E105*F105</f>
        <v>2.4</v>
      </c>
      <c r="H105" s="606"/>
    </row>
    <row r="106" customFormat="false" ht="15" hidden="false" customHeight="false" outlineLevel="0" collapsed="false">
      <c r="A106" s="571"/>
      <c r="B106" s="500"/>
      <c r="C106" s="603" t="s">
        <v>4124</v>
      </c>
      <c r="D106" s="602" t="s">
        <v>4125</v>
      </c>
      <c r="E106" s="603" t="n">
        <v>0.1</v>
      </c>
      <c r="F106" s="607" t="n">
        <v>120</v>
      </c>
      <c r="G106" s="605" t="n">
        <f aca="false">E106*F106</f>
        <v>12</v>
      </c>
      <c r="H106" s="391"/>
    </row>
    <row r="107" customFormat="false" ht="15" hidden="false" customHeight="false" outlineLevel="0" collapsed="false">
      <c r="A107" s="571"/>
      <c r="B107" s="328"/>
      <c r="C107" s="603" t="s">
        <v>4126</v>
      </c>
      <c r="D107" s="602" t="s">
        <v>4127</v>
      </c>
      <c r="E107" s="603" t="n">
        <v>0.02</v>
      </c>
      <c r="F107" s="607" t="n">
        <v>2700</v>
      </c>
      <c r="G107" s="605" t="n">
        <f aca="false">E107*F107</f>
        <v>54</v>
      </c>
      <c r="H107" s="606"/>
    </row>
    <row r="108" customFormat="false" ht="15" hidden="false" customHeight="false" outlineLevel="0" collapsed="false">
      <c r="A108" s="571"/>
      <c r="B108" s="608" t="s">
        <v>4128</v>
      </c>
      <c r="C108" s="603"/>
      <c r="D108" s="602"/>
      <c r="E108" s="602"/>
      <c r="F108" s="619"/>
      <c r="G108" s="620" t="n">
        <f aca="false">SUM(G98:G107)</f>
        <v>1813.372</v>
      </c>
      <c r="H108" s="606"/>
    </row>
    <row r="109" customFormat="false" ht="15" hidden="false" customHeight="false" outlineLevel="0" collapsed="false">
      <c r="A109" s="571" t="s">
        <v>40</v>
      </c>
      <c r="B109" s="337" t="s">
        <v>2894</v>
      </c>
      <c r="C109" s="603" t="s">
        <v>4167</v>
      </c>
      <c r="D109" s="602" t="s">
        <v>4133</v>
      </c>
      <c r="E109" s="624" t="n">
        <v>0.001</v>
      </c>
      <c r="F109" s="607" t="n">
        <v>5500</v>
      </c>
      <c r="G109" s="605" t="n">
        <f aca="false">E109*F109</f>
        <v>5.5</v>
      </c>
      <c r="H109" s="606"/>
    </row>
    <row r="110" customFormat="false" ht="15" hidden="false" customHeight="false" outlineLevel="0" collapsed="false">
      <c r="A110" s="571"/>
      <c r="B110" s="500"/>
      <c r="C110" s="374" t="s">
        <v>4168</v>
      </c>
      <c r="D110" s="602" t="s">
        <v>4133</v>
      </c>
      <c r="E110" s="624" t="n">
        <v>0.001</v>
      </c>
      <c r="F110" s="607" t="n">
        <v>10976</v>
      </c>
      <c r="G110" s="605" t="n">
        <f aca="false">E110*F110</f>
        <v>10.976</v>
      </c>
      <c r="H110" s="606"/>
    </row>
    <row r="111" customFormat="false" ht="15" hidden="false" customHeight="false" outlineLevel="0" collapsed="false">
      <c r="A111" s="571"/>
      <c r="B111" s="500"/>
      <c r="C111" s="374" t="s">
        <v>4169</v>
      </c>
      <c r="D111" s="606" t="s">
        <v>4138</v>
      </c>
      <c r="E111" s="627" t="n">
        <v>0.01</v>
      </c>
      <c r="F111" s="607" t="n">
        <v>12500</v>
      </c>
      <c r="G111" s="605" t="n">
        <f aca="false">E111*F111</f>
        <v>125</v>
      </c>
      <c r="H111" s="606"/>
    </row>
    <row r="112" customFormat="false" ht="15" hidden="false" customHeight="false" outlineLevel="0" collapsed="false">
      <c r="A112" s="571"/>
      <c r="B112" s="500"/>
      <c r="C112" s="374" t="s">
        <v>4170</v>
      </c>
      <c r="D112" s="602" t="s">
        <v>4133</v>
      </c>
      <c r="E112" s="624" t="n">
        <v>0.01</v>
      </c>
      <c r="F112" s="607" t="n">
        <v>124000</v>
      </c>
      <c r="G112" s="605" t="n">
        <f aca="false">E112*F112</f>
        <v>1240</v>
      </c>
      <c r="H112" s="606"/>
    </row>
    <row r="113" customFormat="false" ht="15" hidden="false" customHeight="false" outlineLevel="0" collapsed="false">
      <c r="A113" s="571"/>
      <c r="B113" s="500"/>
      <c r="C113" s="374" t="s">
        <v>4171</v>
      </c>
      <c r="D113" s="602" t="s">
        <v>4133</v>
      </c>
      <c r="E113" s="624" t="n">
        <v>0.001</v>
      </c>
      <c r="F113" s="607" t="n">
        <v>18000</v>
      </c>
      <c r="G113" s="605" t="n">
        <f aca="false">E113*F113</f>
        <v>18</v>
      </c>
      <c r="H113" s="391"/>
    </row>
    <row r="114" customFormat="false" ht="15" hidden="false" customHeight="false" outlineLevel="0" collapsed="false">
      <c r="A114" s="571"/>
      <c r="B114" s="328"/>
      <c r="C114" s="374" t="s">
        <v>4120</v>
      </c>
      <c r="D114" s="602" t="s">
        <v>4121</v>
      </c>
      <c r="E114" s="603" t="n">
        <v>0.001</v>
      </c>
      <c r="F114" s="604" t="n">
        <v>1500</v>
      </c>
      <c r="G114" s="605" t="n">
        <f aca="false">E114*F114</f>
        <v>1.5</v>
      </c>
      <c r="H114" s="606"/>
    </row>
    <row r="115" customFormat="false" ht="15" hidden="false" customHeight="false" outlineLevel="0" collapsed="false">
      <c r="A115" s="571"/>
      <c r="B115" s="500"/>
      <c r="C115" s="374" t="s">
        <v>4122</v>
      </c>
      <c r="D115" s="602" t="s">
        <v>4123</v>
      </c>
      <c r="E115" s="603" t="n">
        <v>0.01</v>
      </c>
      <c r="F115" s="607" t="n">
        <v>800</v>
      </c>
      <c r="G115" s="605" t="n">
        <f aca="false">E115*F115</f>
        <v>8</v>
      </c>
      <c r="H115" s="606"/>
    </row>
    <row r="116" customFormat="false" ht="15" hidden="false" customHeight="false" outlineLevel="0" collapsed="false">
      <c r="A116" s="571"/>
      <c r="B116" s="500"/>
      <c r="C116" s="603" t="s">
        <v>4124</v>
      </c>
      <c r="D116" s="602" t="s">
        <v>4125</v>
      </c>
      <c r="E116" s="603" t="n">
        <v>0.01</v>
      </c>
      <c r="F116" s="607" t="n">
        <v>120</v>
      </c>
      <c r="G116" s="605" t="n">
        <f aca="false">E116*F116</f>
        <v>1.2</v>
      </c>
      <c r="H116" s="606"/>
    </row>
    <row r="117" customFormat="false" ht="15" hidden="false" customHeight="false" outlineLevel="0" collapsed="false">
      <c r="A117" s="571"/>
      <c r="B117" s="500"/>
      <c r="C117" s="603" t="s">
        <v>4126</v>
      </c>
      <c r="D117" s="602" t="s">
        <v>4127</v>
      </c>
      <c r="E117" s="603" t="n">
        <v>0.01</v>
      </c>
      <c r="F117" s="607" t="n">
        <v>2700</v>
      </c>
      <c r="G117" s="605" t="n">
        <f aca="false">E117*F117</f>
        <v>27</v>
      </c>
      <c r="H117" s="606"/>
    </row>
    <row r="118" customFormat="false" ht="15" hidden="false" customHeight="false" outlineLevel="0" collapsed="false">
      <c r="A118" s="571"/>
      <c r="B118" s="608" t="s">
        <v>4128</v>
      </c>
      <c r="C118" s="614"/>
      <c r="D118" s="606"/>
      <c r="E118" s="622"/>
      <c r="F118" s="361"/>
      <c r="G118" s="613" t="n">
        <f aca="false">SUM(G109:G117)</f>
        <v>1437.176</v>
      </c>
      <c r="H118" s="606"/>
    </row>
    <row r="119" customFormat="false" ht="30" hidden="false" customHeight="false" outlineLevel="0" collapsed="false">
      <c r="A119" s="571" t="s">
        <v>42</v>
      </c>
      <c r="B119" s="337" t="s">
        <v>2895</v>
      </c>
      <c r="C119" s="603" t="s">
        <v>4162</v>
      </c>
      <c r="D119" s="602" t="s">
        <v>4133</v>
      </c>
      <c r="E119" s="624" t="n">
        <v>0.01</v>
      </c>
      <c r="F119" s="607" t="n">
        <v>8064</v>
      </c>
      <c r="G119" s="605" t="n">
        <f aca="false">E119*F119</f>
        <v>80.64</v>
      </c>
      <c r="H119" s="606"/>
    </row>
    <row r="120" customFormat="false" ht="15" hidden="false" customHeight="false" outlineLevel="0" collapsed="false">
      <c r="A120" s="571"/>
      <c r="B120" s="500"/>
      <c r="C120" s="603" t="s">
        <v>4172</v>
      </c>
      <c r="D120" s="606" t="s">
        <v>4138</v>
      </c>
      <c r="E120" s="616" t="n">
        <v>0.1</v>
      </c>
      <c r="F120" s="607" t="n">
        <v>1500</v>
      </c>
      <c r="G120" s="605" t="n">
        <f aca="false">E120*F120</f>
        <v>150</v>
      </c>
      <c r="H120" s="606"/>
    </row>
    <row r="121" customFormat="false" ht="15" hidden="false" customHeight="false" outlineLevel="0" collapsed="false">
      <c r="A121" s="571"/>
      <c r="B121" s="608"/>
      <c r="C121" s="603" t="s">
        <v>4173</v>
      </c>
      <c r="D121" s="628" t="s">
        <v>4133</v>
      </c>
      <c r="E121" s="624" t="n">
        <v>0.002</v>
      </c>
      <c r="F121" s="607" t="n">
        <v>4895</v>
      </c>
      <c r="G121" s="605" t="n">
        <f aca="false">E121*F121</f>
        <v>9.79</v>
      </c>
      <c r="H121" s="606"/>
    </row>
    <row r="122" customFormat="false" ht="15" hidden="false" customHeight="false" outlineLevel="0" collapsed="false">
      <c r="A122" s="571"/>
      <c r="B122" s="328"/>
      <c r="C122" s="603" t="s">
        <v>4156</v>
      </c>
      <c r="D122" s="628" t="s">
        <v>4133</v>
      </c>
      <c r="E122" s="624" t="n">
        <v>0.001</v>
      </c>
      <c r="F122" s="626" t="n">
        <v>10976</v>
      </c>
      <c r="G122" s="605" t="n">
        <f aca="false">E122*F122</f>
        <v>10.976</v>
      </c>
      <c r="H122" s="606"/>
    </row>
    <row r="123" customFormat="false" ht="15" hidden="false" customHeight="false" outlineLevel="0" collapsed="false">
      <c r="A123" s="571"/>
      <c r="B123" s="500"/>
      <c r="C123" s="603" t="s">
        <v>4174</v>
      </c>
      <c r="D123" s="628" t="s">
        <v>4133</v>
      </c>
      <c r="E123" s="603" t="n">
        <v>0.0001</v>
      </c>
      <c r="F123" s="607" t="n">
        <v>81000</v>
      </c>
      <c r="G123" s="605" t="n">
        <f aca="false">E123*F123</f>
        <v>8.1</v>
      </c>
      <c r="H123" s="606"/>
    </row>
    <row r="124" customFormat="false" ht="15" hidden="false" customHeight="false" outlineLevel="0" collapsed="false">
      <c r="A124" s="571"/>
      <c r="B124" s="500"/>
      <c r="C124" s="603" t="s">
        <v>4153</v>
      </c>
      <c r="D124" s="602" t="s">
        <v>4133</v>
      </c>
      <c r="E124" s="603" t="n">
        <v>0.0001</v>
      </c>
      <c r="F124" s="607" t="n">
        <v>5678</v>
      </c>
      <c r="G124" s="605" t="n">
        <f aca="false">E124*F124</f>
        <v>0.5678</v>
      </c>
      <c r="H124" s="606"/>
    </row>
    <row r="125" customFormat="false" ht="15" hidden="false" customHeight="false" outlineLevel="0" collapsed="false">
      <c r="A125" s="571"/>
      <c r="B125" s="500"/>
      <c r="C125" s="374" t="s">
        <v>4120</v>
      </c>
      <c r="D125" s="602" t="s">
        <v>4121</v>
      </c>
      <c r="E125" s="603" t="n">
        <v>0.03</v>
      </c>
      <c r="F125" s="604" t="n">
        <v>1500</v>
      </c>
      <c r="G125" s="605" t="n">
        <f aca="false">E125*F125</f>
        <v>45</v>
      </c>
      <c r="H125" s="606"/>
    </row>
    <row r="126" customFormat="false" ht="15" hidden="false" customHeight="false" outlineLevel="0" collapsed="false">
      <c r="A126" s="571"/>
      <c r="B126" s="500"/>
      <c r="C126" s="374" t="s">
        <v>4122</v>
      </c>
      <c r="D126" s="602" t="s">
        <v>4123</v>
      </c>
      <c r="E126" s="603" t="n">
        <v>0.0003</v>
      </c>
      <c r="F126" s="607" t="n">
        <v>720</v>
      </c>
      <c r="G126" s="605" t="n">
        <f aca="false">E126*F126</f>
        <v>0.216</v>
      </c>
      <c r="H126" s="606"/>
    </row>
    <row r="127" customFormat="false" ht="15" hidden="false" customHeight="false" outlineLevel="0" collapsed="false">
      <c r="A127" s="571"/>
      <c r="B127" s="500"/>
      <c r="C127" s="603" t="s">
        <v>4124</v>
      </c>
      <c r="D127" s="602" t="s">
        <v>4125</v>
      </c>
      <c r="E127" s="603" t="n">
        <v>0.0029</v>
      </c>
      <c r="F127" s="607" t="n">
        <v>120</v>
      </c>
      <c r="G127" s="605" t="n">
        <f aca="false">E127*F127</f>
        <v>0.348</v>
      </c>
      <c r="H127" s="606"/>
    </row>
    <row r="128" customFormat="false" ht="15" hidden="false" customHeight="false" outlineLevel="0" collapsed="false">
      <c r="A128" s="571"/>
      <c r="B128" s="500"/>
      <c r="C128" s="603" t="s">
        <v>4126</v>
      </c>
      <c r="D128" s="602" t="s">
        <v>4127</v>
      </c>
      <c r="E128" s="603" t="n">
        <v>0.021</v>
      </c>
      <c r="F128" s="607" t="n">
        <v>2700</v>
      </c>
      <c r="G128" s="605" t="n">
        <f aca="false">E128*F128</f>
        <v>56.7</v>
      </c>
      <c r="H128" s="606"/>
    </row>
    <row r="129" customFormat="false" ht="15" hidden="false" customHeight="false" outlineLevel="0" collapsed="false">
      <c r="A129" s="571"/>
      <c r="B129" s="608" t="s">
        <v>4128</v>
      </c>
      <c r="C129" s="629"/>
      <c r="D129" s="571"/>
      <c r="E129" s="629"/>
      <c r="F129" s="630"/>
      <c r="G129" s="631" t="n">
        <f aca="false">SUM(G119:G128)</f>
        <v>362.3378</v>
      </c>
      <c r="H129" s="571"/>
    </row>
    <row r="130" customFormat="false" ht="15" hidden="false" customHeight="false" outlineLevel="0" collapsed="false">
      <c r="A130" s="571" t="s">
        <v>44</v>
      </c>
      <c r="B130" s="632" t="s">
        <v>2896</v>
      </c>
      <c r="C130" s="633" t="s">
        <v>4156</v>
      </c>
      <c r="D130" s="634" t="s">
        <v>4133</v>
      </c>
      <c r="E130" s="635" t="n">
        <v>0.01</v>
      </c>
      <c r="F130" s="626" t="n">
        <v>10976</v>
      </c>
      <c r="G130" s="636" t="n">
        <f aca="false">E130*F130</f>
        <v>109.76</v>
      </c>
      <c r="H130" s="571"/>
    </row>
    <row r="131" customFormat="false" ht="15" hidden="false" customHeight="false" outlineLevel="0" collapsed="false">
      <c r="A131" s="571"/>
      <c r="B131" s="632"/>
      <c r="C131" s="633" t="s">
        <v>4153</v>
      </c>
      <c r="D131" s="637" t="s">
        <v>4133</v>
      </c>
      <c r="E131" s="633" t="n">
        <v>0.005</v>
      </c>
      <c r="F131" s="626" t="n">
        <v>5678</v>
      </c>
      <c r="G131" s="636" t="n">
        <f aca="false">E131*F131</f>
        <v>28.39</v>
      </c>
      <c r="H131" s="571"/>
    </row>
    <row r="132" customFormat="false" ht="15" hidden="false" customHeight="false" outlineLevel="0" collapsed="false">
      <c r="A132" s="571"/>
      <c r="B132" s="632"/>
      <c r="C132" s="633" t="s">
        <v>4175</v>
      </c>
      <c r="D132" s="634" t="s">
        <v>4149</v>
      </c>
      <c r="E132" s="635" t="n">
        <v>0.005</v>
      </c>
      <c r="F132" s="626" t="n">
        <v>15680</v>
      </c>
      <c r="G132" s="636" t="n">
        <f aca="false">E132*F132</f>
        <v>78.4</v>
      </c>
      <c r="H132" s="571"/>
    </row>
    <row r="133" customFormat="false" ht="15" hidden="false" customHeight="false" outlineLevel="0" collapsed="false">
      <c r="A133" s="571"/>
      <c r="B133" s="632"/>
      <c r="C133" s="629" t="s">
        <v>4154</v>
      </c>
      <c r="D133" s="637" t="s">
        <v>4176</v>
      </c>
      <c r="E133" s="635" t="n">
        <v>0.001</v>
      </c>
      <c r="F133" s="626" t="s">
        <v>4177</v>
      </c>
      <c r="G133" s="636" t="n">
        <f aca="false">E133*F133</f>
        <v>10.976</v>
      </c>
      <c r="H133" s="571"/>
    </row>
    <row r="134" customFormat="false" ht="15" hidden="false" customHeight="false" outlineLevel="0" collapsed="false">
      <c r="A134" s="571"/>
      <c r="B134" s="500"/>
      <c r="C134" s="629" t="s">
        <v>4178</v>
      </c>
      <c r="D134" s="571" t="s">
        <v>4133</v>
      </c>
      <c r="E134" s="629" t="n">
        <v>0.01</v>
      </c>
      <c r="F134" s="630" t="n">
        <v>31360</v>
      </c>
      <c r="G134" s="636" t="n">
        <f aca="false">E134*F134</f>
        <v>313.6</v>
      </c>
      <c r="H134" s="571"/>
    </row>
    <row r="135" customFormat="false" ht="15" hidden="false" customHeight="false" outlineLevel="0" collapsed="false">
      <c r="A135" s="571"/>
      <c r="B135" s="500"/>
      <c r="C135" s="638" t="s">
        <v>4120</v>
      </c>
      <c r="D135" s="637" t="s">
        <v>4121</v>
      </c>
      <c r="E135" s="633" t="n">
        <v>0.02</v>
      </c>
      <c r="F135" s="639" t="n">
        <v>1500</v>
      </c>
      <c r="G135" s="636" t="n">
        <f aca="false">E135*F135</f>
        <v>30</v>
      </c>
      <c r="H135" s="571"/>
    </row>
    <row r="136" customFormat="false" ht="15" hidden="false" customHeight="false" outlineLevel="0" collapsed="false">
      <c r="A136" s="571"/>
      <c r="B136" s="500"/>
      <c r="C136" s="638" t="s">
        <v>4122</v>
      </c>
      <c r="D136" s="637" t="s">
        <v>4123</v>
      </c>
      <c r="E136" s="633" t="n">
        <v>0.015</v>
      </c>
      <c r="F136" s="626" t="n">
        <v>800</v>
      </c>
      <c r="G136" s="636" t="n">
        <f aca="false">E136*F136</f>
        <v>12</v>
      </c>
      <c r="H136" s="571"/>
    </row>
    <row r="137" customFormat="false" ht="15" hidden="false" customHeight="false" outlineLevel="0" collapsed="false">
      <c r="A137" s="571"/>
      <c r="B137" s="500"/>
      <c r="C137" s="633" t="s">
        <v>4124</v>
      </c>
      <c r="D137" s="637" t="s">
        <v>4125</v>
      </c>
      <c r="E137" s="633" t="n">
        <v>0.71</v>
      </c>
      <c r="F137" s="626" t="n">
        <v>120</v>
      </c>
      <c r="G137" s="636" t="n">
        <f aca="false">E137*F137</f>
        <v>85.2</v>
      </c>
      <c r="H137" s="571"/>
    </row>
    <row r="138" customFormat="false" ht="15" hidden="false" customHeight="false" outlineLevel="0" collapsed="false">
      <c r="A138" s="571"/>
      <c r="B138" s="500"/>
      <c r="C138" s="633" t="s">
        <v>4126</v>
      </c>
      <c r="D138" s="637" t="s">
        <v>4127</v>
      </c>
      <c r="E138" s="633" t="n">
        <v>0.021</v>
      </c>
      <c r="F138" s="626" t="n">
        <v>2700</v>
      </c>
      <c r="G138" s="636" t="n">
        <f aca="false">E138*F138</f>
        <v>56.7</v>
      </c>
      <c r="H138" s="571"/>
    </row>
    <row r="139" customFormat="false" ht="15" hidden="false" customHeight="false" outlineLevel="0" collapsed="false">
      <c r="A139" s="571"/>
      <c r="B139" s="608" t="s">
        <v>4128</v>
      </c>
      <c r="C139" s="629"/>
      <c r="D139" s="571"/>
      <c r="E139" s="629"/>
      <c r="F139" s="630"/>
      <c r="G139" s="640" t="n">
        <f aca="false">SUM(G130:G138)</f>
        <v>725.026</v>
      </c>
      <c r="H139" s="571"/>
    </row>
    <row r="140" customFormat="false" ht="15" hidden="false" customHeight="false" outlineLevel="0" collapsed="false">
      <c r="A140" s="571" t="s">
        <v>46</v>
      </c>
      <c r="B140" s="632" t="s">
        <v>2897</v>
      </c>
      <c r="C140" s="633" t="s">
        <v>4179</v>
      </c>
      <c r="D140" s="637" t="s">
        <v>4133</v>
      </c>
      <c r="E140" s="635" t="s">
        <v>4180</v>
      </c>
      <c r="F140" s="626" t="n">
        <v>920000</v>
      </c>
      <c r="G140" s="636" t="n">
        <f aca="false">E140*F140</f>
        <v>920</v>
      </c>
      <c r="H140" s="571"/>
    </row>
    <row r="141" customFormat="false" ht="15" hidden="false" customHeight="false" outlineLevel="0" collapsed="false">
      <c r="A141" s="571"/>
      <c r="B141" s="500"/>
      <c r="C141" s="633" t="s">
        <v>4181</v>
      </c>
      <c r="D141" s="637" t="s">
        <v>4133</v>
      </c>
      <c r="E141" s="635" t="n">
        <v>0.002</v>
      </c>
      <c r="F141" s="626" t="n">
        <v>9000</v>
      </c>
      <c r="G141" s="636" t="n">
        <f aca="false">E141*F141</f>
        <v>18</v>
      </c>
      <c r="H141" s="571"/>
    </row>
    <row r="142" customFormat="false" ht="30" hidden="false" customHeight="false" outlineLevel="0" collapsed="false">
      <c r="A142" s="571"/>
      <c r="B142" s="500"/>
      <c r="C142" s="633" t="s">
        <v>4182</v>
      </c>
      <c r="D142" s="637" t="s">
        <v>4133</v>
      </c>
      <c r="E142" s="635" t="n">
        <v>0.002</v>
      </c>
      <c r="F142" s="626" t="n">
        <v>7500</v>
      </c>
      <c r="G142" s="636" t="n">
        <f aca="false">E142*F142</f>
        <v>15</v>
      </c>
      <c r="H142" s="571"/>
    </row>
    <row r="143" customFormat="false" ht="15" hidden="false" customHeight="false" outlineLevel="0" collapsed="false">
      <c r="A143" s="571"/>
      <c r="B143" s="500"/>
      <c r="C143" s="638" t="s">
        <v>4171</v>
      </c>
      <c r="D143" s="637" t="s">
        <v>4133</v>
      </c>
      <c r="E143" s="635" t="n">
        <v>0.003</v>
      </c>
      <c r="F143" s="626" t="n">
        <v>18000</v>
      </c>
      <c r="G143" s="636" t="n">
        <f aca="false">E143*F143</f>
        <v>54</v>
      </c>
      <c r="H143" s="571"/>
    </row>
    <row r="144" customFormat="false" ht="15" hidden="false" customHeight="false" outlineLevel="0" collapsed="false">
      <c r="A144" s="571"/>
      <c r="B144" s="500"/>
      <c r="C144" s="633" t="s">
        <v>4183</v>
      </c>
      <c r="D144" s="637" t="s">
        <v>4133</v>
      </c>
      <c r="E144" s="635" t="n">
        <v>0.001</v>
      </c>
      <c r="F144" s="626" t="n">
        <v>15100</v>
      </c>
      <c r="G144" s="636" t="n">
        <f aca="false">E144*F144</f>
        <v>15.1</v>
      </c>
      <c r="H144" s="571"/>
    </row>
    <row r="145" customFormat="false" ht="15" hidden="false" customHeight="false" outlineLevel="0" collapsed="false">
      <c r="A145" s="571"/>
      <c r="B145" s="500"/>
      <c r="C145" s="633" t="s">
        <v>4184</v>
      </c>
      <c r="D145" s="637" t="s">
        <v>4133</v>
      </c>
      <c r="E145" s="635" t="n">
        <v>0.002</v>
      </c>
      <c r="F145" s="626" t="n">
        <v>10000</v>
      </c>
      <c r="G145" s="636" t="n">
        <f aca="false">E145*F145</f>
        <v>20</v>
      </c>
      <c r="H145" s="571"/>
    </row>
    <row r="146" customFormat="false" ht="30" hidden="false" customHeight="false" outlineLevel="0" collapsed="false">
      <c r="A146" s="571"/>
      <c r="B146" s="500"/>
      <c r="C146" s="633" t="s">
        <v>4185</v>
      </c>
      <c r="D146" s="571" t="s">
        <v>4131</v>
      </c>
      <c r="E146" s="635" t="s">
        <v>4186</v>
      </c>
      <c r="F146" s="626" t="n">
        <v>12000</v>
      </c>
      <c r="G146" s="636" t="n">
        <f aca="false">E146*F146</f>
        <v>120</v>
      </c>
      <c r="H146" s="571"/>
    </row>
    <row r="147" customFormat="false" ht="15" hidden="false" customHeight="false" outlineLevel="0" collapsed="false">
      <c r="A147" s="571"/>
      <c r="B147" s="608"/>
      <c r="C147" s="633" t="s">
        <v>4187</v>
      </c>
      <c r="D147" s="571" t="s">
        <v>4138</v>
      </c>
      <c r="E147" s="629" t="s">
        <v>4186</v>
      </c>
      <c r="F147" s="641" t="n">
        <v>14000</v>
      </c>
      <c r="G147" s="636" t="n">
        <f aca="false">E147*F147</f>
        <v>140</v>
      </c>
      <c r="H147" s="571"/>
    </row>
    <row r="148" customFormat="false" ht="15" hidden="false" customHeight="false" outlineLevel="0" collapsed="false">
      <c r="A148" s="571"/>
      <c r="B148" s="500"/>
      <c r="C148" s="638" t="s">
        <v>4120</v>
      </c>
      <c r="D148" s="637" t="s">
        <v>4121</v>
      </c>
      <c r="E148" s="633" t="n">
        <v>0.02</v>
      </c>
      <c r="F148" s="639" t="n">
        <v>1500</v>
      </c>
      <c r="G148" s="636" t="n">
        <f aca="false">E148*F148</f>
        <v>30</v>
      </c>
      <c r="H148" s="571"/>
    </row>
    <row r="149" customFormat="false" ht="15" hidden="false" customHeight="false" outlineLevel="0" collapsed="false">
      <c r="A149" s="571"/>
      <c r="B149" s="500"/>
      <c r="C149" s="638" t="s">
        <v>4122</v>
      </c>
      <c r="D149" s="637" t="s">
        <v>4123</v>
      </c>
      <c r="E149" s="633" t="n">
        <v>0.01</v>
      </c>
      <c r="F149" s="626" t="n">
        <v>800</v>
      </c>
      <c r="G149" s="636" t="n">
        <f aca="false">E149*F149</f>
        <v>8</v>
      </c>
      <c r="H149" s="571"/>
    </row>
    <row r="150" customFormat="false" ht="15" hidden="false" customHeight="false" outlineLevel="0" collapsed="false">
      <c r="A150" s="571"/>
      <c r="B150" s="500"/>
      <c r="C150" s="633" t="s">
        <v>4124</v>
      </c>
      <c r="D150" s="637" t="s">
        <v>4125</v>
      </c>
      <c r="E150" s="633" t="n">
        <v>0.03</v>
      </c>
      <c r="F150" s="626" t="n">
        <v>120</v>
      </c>
      <c r="G150" s="636" t="n">
        <f aca="false">E150*F150</f>
        <v>3.6</v>
      </c>
      <c r="H150" s="571"/>
    </row>
    <row r="151" customFormat="false" ht="15" hidden="false" customHeight="false" outlineLevel="0" collapsed="false">
      <c r="A151" s="571"/>
      <c r="B151" s="500"/>
      <c r="C151" s="633" t="s">
        <v>4126</v>
      </c>
      <c r="D151" s="637" t="s">
        <v>4127</v>
      </c>
      <c r="E151" s="633" t="n">
        <v>0.021</v>
      </c>
      <c r="F151" s="626" t="n">
        <v>2700</v>
      </c>
      <c r="G151" s="636" t="n">
        <f aca="false">E151*F151</f>
        <v>56.7</v>
      </c>
      <c r="H151" s="571"/>
    </row>
    <row r="152" customFormat="false" ht="15" hidden="false" customHeight="false" outlineLevel="0" collapsed="false">
      <c r="A152" s="571"/>
      <c r="B152" s="608" t="s">
        <v>4128</v>
      </c>
      <c r="C152" s="629"/>
      <c r="D152" s="571"/>
      <c r="E152" s="629"/>
      <c r="F152" s="630"/>
      <c r="G152" s="640" t="n">
        <f aca="false">SUM(G140:G151)</f>
        <v>1400.4</v>
      </c>
      <c r="H152" s="571"/>
    </row>
    <row r="153" customFormat="false" ht="15" hidden="false" customHeight="false" outlineLevel="0" collapsed="false">
      <c r="A153" s="571" t="s">
        <v>48</v>
      </c>
      <c r="B153" s="632" t="s">
        <v>2898</v>
      </c>
      <c r="C153" s="638" t="s">
        <v>4154</v>
      </c>
      <c r="D153" s="637" t="s">
        <v>4149</v>
      </c>
      <c r="E153" s="633" t="n">
        <v>0.001</v>
      </c>
      <c r="F153" s="639" t="n">
        <v>10976</v>
      </c>
      <c r="G153" s="636" t="n">
        <f aca="false">E153*F153</f>
        <v>10.976</v>
      </c>
      <c r="H153" s="571"/>
    </row>
    <row r="154" customFormat="false" ht="15" hidden="false" customHeight="false" outlineLevel="0" collapsed="false">
      <c r="A154" s="571"/>
      <c r="B154" s="500"/>
      <c r="C154" s="638" t="s">
        <v>4188</v>
      </c>
      <c r="D154" s="637" t="s">
        <v>4149</v>
      </c>
      <c r="E154" s="633" t="n">
        <v>0.01</v>
      </c>
      <c r="F154" s="626" t="n">
        <v>15100</v>
      </c>
      <c r="G154" s="636" t="n">
        <f aca="false">E154*F154</f>
        <v>151</v>
      </c>
      <c r="H154" s="571"/>
    </row>
    <row r="155" customFormat="false" ht="15" hidden="false" customHeight="false" outlineLevel="0" collapsed="false">
      <c r="A155" s="571"/>
      <c r="B155" s="500"/>
      <c r="C155" s="633" t="s">
        <v>4189</v>
      </c>
      <c r="D155" s="637" t="s">
        <v>4125</v>
      </c>
      <c r="E155" s="633" t="n">
        <v>0.01</v>
      </c>
      <c r="F155" s="626" t="n">
        <v>3600</v>
      </c>
      <c r="G155" s="636" t="n">
        <f aca="false">E155*F155</f>
        <v>36</v>
      </c>
      <c r="H155" s="571"/>
    </row>
    <row r="156" customFormat="false" ht="15" hidden="false" customHeight="false" outlineLevel="0" collapsed="false">
      <c r="A156" s="571"/>
      <c r="B156" s="500"/>
      <c r="C156" s="633" t="s">
        <v>4171</v>
      </c>
      <c r="D156" s="637" t="s">
        <v>4127</v>
      </c>
      <c r="E156" s="633" t="n">
        <v>0.021</v>
      </c>
      <c r="F156" s="626" t="n">
        <v>18000</v>
      </c>
      <c r="G156" s="636" t="n">
        <f aca="false">E156*F156</f>
        <v>378</v>
      </c>
      <c r="H156" s="571"/>
    </row>
    <row r="157" customFormat="false" ht="15" hidden="false" customHeight="false" outlineLevel="0" collapsed="false">
      <c r="A157" s="571"/>
      <c r="B157" s="642"/>
      <c r="C157" s="633" t="s">
        <v>4190</v>
      </c>
      <c r="D157" s="637" t="s">
        <v>4191</v>
      </c>
      <c r="E157" s="633" t="n">
        <v>0.01</v>
      </c>
      <c r="F157" s="626" t="n">
        <v>15000</v>
      </c>
      <c r="G157" s="636" t="n">
        <f aca="false">E157*F157</f>
        <v>150</v>
      </c>
      <c r="H157" s="571"/>
    </row>
    <row r="158" customFormat="false" ht="15" hidden="false" customHeight="false" outlineLevel="0" collapsed="false">
      <c r="A158" s="571"/>
      <c r="B158" s="608" t="s">
        <v>4128</v>
      </c>
      <c r="C158" s="633"/>
      <c r="D158" s="637"/>
      <c r="E158" s="633"/>
      <c r="F158" s="626"/>
      <c r="G158" s="640" t="n">
        <f aca="false">SUM(G153:G157)</f>
        <v>725.976</v>
      </c>
      <c r="H158" s="571"/>
    </row>
    <row r="159" customFormat="false" ht="15" hidden="false" customHeight="false" outlineLevel="0" collapsed="false">
      <c r="A159" s="571" t="s">
        <v>50</v>
      </c>
      <c r="B159" s="632" t="s">
        <v>2899</v>
      </c>
      <c r="C159" s="633" t="s">
        <v>4154</v>
      </c>
      <c r="D159" s="637" t="s">
        <v>4133</v>
      </c>
      <c r="E159" s="635" t="n">
        <v>0.01</v>
      </c>
      <c r="F159" s="626" t="n">
        <v>10976</v>
      </c>
      <c r="G159" s="636" t="n">
        <f aca="false">E159*F159</f>
        <v>109.76</v>
      </c>
      <c r="H159" s="571"/>
    </row>
    <row r="160" customFormat="false" ht="15" hidden="false" customHeight="false" outlineLevel="0" collapsed="false">
      <c r="A160" s="571"/>
      <c r="B160" s="500"/>
      <c r="C160" s="633" t="s">
        <v>4192</v>
      </c>
      <c r="D160" s="637" t="s">
        <v>4133</v>
      </c>
      <c r="E160" s="635" t="n">
        <v>0.01</v>
      </c>
      <c r="F160" s="626" t="n">
        <v>14000</v>
      </c>
      <c r="G160" s="636" t="n">
        <f aca="false">E160*F160</f>
        <v>140</v>
      </c>
      <c r="H160" s="571"/>
    </row>
    <row r="161" customFormat="false" ht="15" hidden="false" customHeight="false" outlineLevel="0" collapsed="false">
      <c r="A161" s="571"/>
      <c r="B161" s="500"/>
      <c r="C161" s="633" t="s">
        <v>4193</v>
      </c>
      <c r="D161" s="637" t="s">
        <v>4133</v>
      </c>
      <c r="E161" s="635" t="n">
        <v>0.01</v>
      </c>
      <c r="F161" s="626" t="n">
        <v>130000</v>
      </c>
      <c r="G161" s="636" t="n">
        <f aca="false">E161*F161</f>
        <v>1300</v>
      </c>
      <c r="H161" s="571"/>
    </row>
    <row r="162" customFormat="false" ht="30" hidden="false" customHeight="false" outlineLevel="0" collapsed="false">
      <c r="A162" s="571"/>
      <c r="B162" s="608"/>
      <c r="C162" s="633" t="s">
        <v>4152</v>
      </c>
      <c r="D162" s="637" t="s">
        <v>4131</v>
      </c>
      <c r="E162" s="633" t="s">
        <v>4186</v>
      </c>
      <c r="F162" s="626" t="n">
        <v>12000</v>
      </c>
      <c r="G162" s="636" t="n">
        <f aca="false">E162*F162</f>
        <v>120</v>
      </c>
      <c r="H162" s="606"/>
    </row>
    <row r="163" customFormat="false" ht="15" hidden="false" customHeight="false" outlineLevel="0" collapsed="false">
      <c r="A163" s="571"/>
      <c r="B163" s="608"/>
      <c r="C163" s="633" t="s">
        <v>4194</v>
      </c>
      <c r="D163" s="637" t="s">
        <v>4133</v>
      </c>
      <c r="E163" s="633" t="s">
        <v>4195</v>
      </c>
      <c r="F163" s="626" t="n">
        <v>560000</v>
      </c>
      <c r="G163" s="636" t="n">
        <f aca="false">E163*F163</f>
        <v>168</v>
      </c>
      <c r="H163" s="571"/>
    </row>
    <row r="164" customFormat="false" ht="15" hidden="false" customHeight="false" outlineLevel="0" collapsed="false">
      <c r="A164" s="571"/>
      <c r="B164" s="608"/>
      <c r="C164" s="638" t="s">
        <v>4158</v>
      </c>
      <c r="D164" s="637" t="s">
        <v>4133</v>
      </c>
      <c r="E164" s="633" t="n">
        <v>0.001</v>
      </c>
      <c r="F164" s="626" t="n">
        <v>7000</v>
      </c>
      <c r="G164" s="636" t="n">
        <f aca="false">E164*F164</f>
        <v>7</v>
      </c>
      <c r="H164" s="571"/>
    </row>
    <row r="165" customFormat="false" ht="15" hidden="false" customHeight="false" outlineLevel="0" collapsed="false">
      <c r="A165" s="571"/>
      <c r="B165" s="500"/>
      <c r="C165" s="638" t="s">
        <v>4120</v>
      </c>
      <c r="D165" s="637" t="s">
        <v>4121</v>
      </c>
      <c r="E165" s="633" t="n">
        <v>0.02</v>
      </c>
      <c r="F165" s="639" t="n">
        <v>1500</v>
      </c>
      <c r="G165" s="636" t="n">
        <f aca="false">E165*F165</f>
        <v>30</v>
      </c>
      <c r="H165" s="571"/>
    </row>
    <row r="166" customFormat="false" ht="15" hidden="false" customHeight="false" outlineLevel="0" collapsed="false">
      <c r="A166" s="571"/>
      <c r="B166" s="500"/>
      <c r="C166" s="638" t="s">
        <v>4122</v>
      </c>
      <c r="D166" s="637" t="s">
        <v>4123</v>
      </c>
      <c r="E166" s="633" t="n">
        <v>0.01</v>
      </c>
      <c r="F166" s="626" t="n">
        <v>800</v>
      </c>
      <c r="G166" s="636" t="n">
        <f aca="false">E166*F166</f>
        <v>8</v>
      </c>
      <c r="H166" s="571"/>
    </row>
    <row r="167" customFormat="false" ht="15" hidden="false" customHeight="false" outlineLevel="0" collapsed="false">
      <c r="A167" s="571"/>
      <c r="B167" s="500"/>
      <c r="C167" s="633" t="s">
        <v>4124</v>
      </c>
      <c r="D167" s="637" t="s">
        <v>4125</v>
      </c>
      <c r="E167" s="633" t="n">
        <v>0.1</v>
      </c>
      <c r="F167" s="626" t="n">
        <v>120</v>
      </c>
      <c r="G167" s="636" t="n">
        <f aca="false">E167*F167</f>
        <v>12</v>
      </c>
      <c r="H167" s="571"/>
    </row>
    <row r="168" customFormat="false" ht="15" hidden="false" customHeight="false" outlineLevel="0" collapsed="false">
      <c r="A168" s="571"/>
      <c r="B168" s="500"/>
      <c r="C168" s="633" t="s">
        <v>4126</v>
      </c>
      <c r="D168" s="637" t="s">
        <v>4127</v>
      </c>
      <c r="E168" s="633" t="n">
        <v>0.01</v>
      </c>
      <c r="F168" s="626" t="n">
        <v>2700</v>
      </c>
      <c r="G168" s="636" t="n">
        <f aca="false">E168*F168</f>
        <v>27</v>
      </c>
      <c r="H168" s="571"/>
    </row>
    <row r="169" customFormat="false" ht="15" hidden="false" customHeight="false" outlineLevel="0" collapsed="false">
      <c r="A169" s="571"/>
      <c r="B169" s="608" t="s">
        <v>4128</v>
      </c>
      <c r="C169" s="640"/>
      <c r="D169" s="327"/>
      <c r="E169" s="640"/>
      <c r="F169" s="643"/>
      <c r="G169" s="640" t="n">
        <f aca="false">SUM(G159:G168)</f>
        <v>1921.76</v>
      </c>
      <c r="H169" s="571"/>
    </row>
    <row r="170" customFormat="false" ht="15" hidden="false" customHeight="false" outlineLevel="0" collapsed="false">
      <c r="A170" s="571" t="s">
        <v>52</v>
      </c>
      <c r="B170" s="632" t="s">
        <v>2900</v>
      </c>
      <c r="C170" s="633" t="s">
        <v>4196</v>
      </c>
      <c r="D170" s="637" t="s">
        <v>4133</v>
      </c>
      <c r="E170" s="635" t="n">
        <v>0.01</v>
      </c>
      <c r="F170" s="626" t="n">
        <v>5678</v>
      </c>
      <c r="G170" s="636" t="n">
        <f aca="false">E170*F170</f>
        <v>56.78</v>
      </c>
      <c r="H170" s="571"/>
    </row>
    <row r="171" customFormat="false" ht="15" hidden="false" customHeight="false" outlineLevel="0" collapsed="false">
      <c r="A171" s="571"/>
      <c r="B171" s="500"/>
      <c r="C171" s="633" t="s">
        <v>4192</v>
      </c>
      <c r="D171" s="637" t="s">
        <v>4133</v>
      </c>
      <c r="E171" s="635" t="n">
        <v>0.01</v>
      </c>
      <c r="F171" s="626" t="n">
        <v>14000</v>
      </c>
      <c r="G171" s="636" t="n">
        <f aca="false">E171*F171</f>
        <v>140</v>
      </c>
      <c r="H171" s="571"/>
    </row>
    <row r="172" customFormat="false" ht="30" hidden="false" customHeight="false" outlineLevel="0" collapsed="false">
      <c r="A172" s="571"/>
      <c r="B172" s="500"/>
      <c r="C172" s="633" t="s">
        <v>4197</v>
      </c>
      <c r="D172" s="637" t="s">
        <v>4133</v>
      </c>
      <c r="E172" s="635" t="s">
        <v>4198</v>
      </c>
      <c r="F172" s="626" t="n">
        <v>285000</v>
      </c>
      <c r="G172" s="636" t="n">
        <f aca="false">E172*F172</f>
        <v>142.5</v>
      </c>
      <c r="H172" s="571"/>
    </row>
    <row r="173" customFormat="false" ht="15" hidden="false" customHeight="false" outlineLevel="0" collapsed="false">
      <c r="A173" s="571"/>
      <c r="B173" s="500"/>
      <c r="C173" s="633" t="s">
        <v>4156</v>
      </c>
      <c r="D173" s="634" t="s">
        <v>4133</v>
      </c>
      <c r="E173" s="635" t="n">
        <v>0.001</v>
      </c>
      <c r="F173" s="626" t="n">
        <v>10976</v>
      </c>
      <c r="G173" s="636" t="n">
        <f aca="false">E173*F173</f>
        <v>10.976</v>
      </c>
      <c r="H173" s="571"/>
    </row>
    <row r="174" customFormat="false" ht="15" hidden="false" customHeight="false" outlineLevel="0" collapsed="false">
      <c r="A174" s="571"/>
      <c r="B174" s="500"/>
      <c r="C174" s="633" t="s">
        <v>4154</v>
      </c>
      <c r="D174" s="637" t="s">
        <v>4133</v>
      </c>
      <c r="E174" s="635" t="n">
        <v>0.2</v>
      </c>
      <c r="F174" s="626" t="n">
        <v>10976</v>
      </c>
      <c r="G174" s="636" t="n">
        <f aca="false">E174*F174</f>
        <v>2195.2</v>
      </c>
      <c r="H174" s="571"/>
    </row>
    <row r="175" customFormat="false" ht="15" hidden="false" customHeight="false" outlineLevel="0" collapsed="false">
      <c r="A175" s="571"/>
      <c r="B175" s="500"/>
      <c r="C175" s="638" t="s">
        <v>4120</v>
      </c>
      <c r="D175" s="637" t="s">
        <v>4121</v>
      </c>
      <c r="E175" s="633" t="n">
        <v>0.02</v>
      </c>
      <c r="F175" s="639" t="n">
        <v>1500</v>
      </c>
      <c r="G175" s="636" t="n">
        <f aca="false">E175*F175</f>
        <v>30</v>
      </c>
      <c r="H175" s="571"/>
    </row>
    <row r="176" customFormat="false" ht="15" hidden="false" customHeight="false" outlineLevel="0" collapsed="false">
      <c r="A176" s="571"/>
      <c r="B176" s="500"/>
      <c r="C176" s="638" t="s">
        <v>4122</v>
      </c>
      <c r="D176" s="637" t="s">
        <v>4123</v>
      </c>
      <c r="E176" s="633" t="n">
        <v>0.02</v>
      </c>
      <c r="F176" s="626" t="n">
        <v>800</v>
      </c>
      <c r="G176" s="636" t="n">
        <f aca="false">E176*F176</f>
        <v>16</v>
      </c>
      <c r="H176" s="571"/>
    </row>
    <row r="177" customFormat="false" ht="15" hidden="false" customHeight="false" outlineLevel="0" collapsed="false">
      <c r="A177" s="571"/>
      <c r="B177" s="571"/>
      <c r="C177" s="633" t="s">
        <v>4124</v>
      </c>
      <c r="D177" s="637" t="s">
        <v>4125</v>
      </c>
      <c r="E177" s="633" t="n">
        <v>0.7</v>
      </c>
      <c r="F177" s="626" t="n">
        <v>120</v>
      </c>
      <c r="G177" s="636" t="n">
        <f aca="false">E177*F177</f>
        <v>84</v>
      </c>
      <c r="H177" s="571"/>
    </row>
    <row r="178" customFormat="false" ht="15" hidden="false" customHeight="false" outlineLevel="0" collapsed="false">
      <c r="A178" s="571"/>
      <c r="B178" s="500"/>
      <c r="C178" s="633" t="s">
        <v>4126</v>
      </c>
      <c r="D178" s="637" t="s">
        <v>4127</v>
      </c>
      <c r="E178" s="633" t="n">
        <v>0.021</v>
      </c>
      <c r="F178" s="626" t="n">
        <v>2700</v>
      </c>
      <c r="G178" s="636" t="n">
        <f aca="false">E178*F178</f>
        <v>56.7</v>
      </c>
      <c r="H178" s="571"/>
    </row>
    <row r="179" customFormat="false" ht="15" hidden="false" customHeight="false" outlineLevel="0" collapsed="false">
      <c r="A179" s="571"/>
      <c r="B179" s="608" t="s">
        <v>4128</v>
      </c>
      <c r="C179" s="629"/>
      <c r="D179" s="571"/>
      <c r="E179" s="629"/>
      <c r="F179" s="630"/>
      <c r="G179" s="640" t="n">
        <f aca="false">SUM(G170:G178)</f>
        <v>2732.156</v>
      </c>
      <c r="H179" s="571"/>
    </row>
    <row r="180" customFormat="false" ht="15" hidden="false" customHeight="false" outlineLevel="0" collapsed="false">
      <c r="A180" s="571" t="s">
        <v>54</v>
      </c>
      <c r="B180" s="632" t="s">
        <v>2901</v>
      </c>
      <c r="C180" s="633" t="s">
        <v>4150</v>
      </c>
      <c r="D180" s="637" t="s">
        <v>4133</v>
      </c>
      <c r="E180" s="635" t="s">
        <v>4180</v>
      </c>
      <c r="F180" s="626" t="n">
        <v>103040</v>
      </c>
      <c r="G180" s="636" t="n">
        <f aca="false">E180*F180</f>
        <v>103.04</v>
      </c>
      <c r="H180" s="571"/>
    </row>
    <row r="181" customFormat="false" ht="30" hidden="false" customHeight="false" outlineLevel="0" collapsed="false">
      <c r="A181" s="571"/>
      <c r="B181" s="608"/>
      <c r="C181" s="633" t="s">
        <v>4199</v>
      </c>
      <c r="D181" s="637" t="s">
        <v>4138</v>
      </c>
      <c r="E181" s="633" t="s">
        <v>4200</v>
      </c>
      <c r="F181" s="626" t="n">
        <v>12000</v>
      </c>
      <c r="G181" s="636" t="n">
        <f aca="false">E181*F181</f>
        <v>600</v>
      </c>
      <c r="H181" s="571"/>
    </row>
    <row r="182" customFormat="false" ht="15" hidden="false" customHeight="false" outlineLevel="0" collapsed="false">
      <c r="A182" s="571"/>
      <c r="B182" s="500"/>
      <c r="C182" s="638" t="s">
        <v>4120</v>
      </c>
      <c r="D182" s="637" t="s">
        <v>4121</v>
      </c>
      <c r="E182" s="633" t="n">
        <v>0.02</v>
      </c>
      <c r="F182" s="639" t="n">
        <v>1500</v>
      </c>
      <c r="G182" s="636" t="n">
        <f aca="false">E182*F182</f>
        <v>30</v>
      </c>
      <c r="H182" s="571"/>
    </row>
    <row r="183" customFormat="false" ht="15" hidden="false" customHeight="false" outlineLevel="0" collapsed="false">
      <c r="A183" s="571"/>
      <c r="B183" s="500"/>
      <c r="C183" s="638" t="s">
        <v>4122</v>
      </c>
      <c r="D183" s="637" t="s">
        <v>4123</v>
      </c>
      <c r="E183" s="633" t="n">
        <v>0.055</v>
      </c>
      <c r="F183" s="626" t="n">
        <v>800</v>
      </c>
      <c r="G183" s="636" t="n">
        <f aca="false">E183*F183</f>
        <v>44</v>
      </c>
      <c r="H183" s="571"/>
    </row>
    <row r="184" customFormat="false" ht="15" hidden="false" customHeight="false" outlineLevel="0" collapsed="false">
      <c r="A184" s="571"/>
      <c r="B184" s="500"/>
      <c r="C184" s="633" t="s">
        <v>4124</v>
      </c>
      <c r="D184" s="637" t="s">
        <v>4125</v>
      </c>
      <c r="E184" s="633" t="n">
        <v>0.71</v>
      </c>
      <c r="F184" s="626" t="n">
        <v>120</v>
      </c>
      <c r="G184" s="636" t="n">
        <f aca="false">E184*F184</f>
        <v>85.2</v>
      </c>
      <c r="H184" s="571"/>
    </row>
    <row r="185" customFormat="false" ht="15" hidden="false" customHeight="false" outlineLevel="0" collapsed="false">
      <c r="A185" s="571"/>
      <c r="B185" s="571"/>
      <c r="C185" s="633" t="s">
        <v>4126</v>
      </c>
      <c r="D185" s="637" t="s">
        <v>4127</v>
      </c>
      <c r="E185" s="633" t="n">
        <v>0.021</v>
      </c>
      <c r="F185" s="626" t="n">
        <v>2700</v>
      </c>
      <c r="G185" s="636" t="n">
        <f aca="false">E185*F185</f>
        <v>56.7</v>
      </c>
      <c r="H185" s="571"/>
    </row>
    <row r="186" customFormat="false" ht="15" hidden="false" customHeight="false" outlineLevel="0" collapsed="false">
      <c r="A186" s="571"/>
      <c r="B186" s="608" t="s">
        <v>4128</v>
      </c>
      <c r="C186" s="629"/>
      <c r="D186" s="571"/>
      <c r="E186" s="629"/>
      <c r="F186" s="630"/>
      <c r="G186" s="640" t="n">
        <f aca="false">SUM(G180:G185)</f>
        <v>918.94</v>
      </c>
      <c r="H186" s="571"/>
    </row>
    <row r="187" customFormat="false" ht="15" hidden="false" customHeight="false" outlineLevel="0" collapsed="false">
      <c r="A187" s="571" t="s">
        <v>56</v>
      </c>
      <c r="B187" s="632" t="s">
        <v>2902</v>
      </c>
      <c r="C187" s="629" t="s">
        <v>4201</v>
      </c>
      <c r="D187" s="571" t="s">
        <v>4133</v>
      </c>
      <c r="E187" s="630" t="n">
        <v>0.002</v>
      </c>
      <c r="F187" s="644" t="n">
        <v>40000</v>
      </c>
      <c r="G187" s="636" t="n">
        <f aca="false">E187*F187</f>
        <v>80</v>
      </c>
      <c r="H187" s="571"/>
    </row>
    <row r="188" customFormat="false" ht="15" hidden="false" customHeight="false" outlineLevel="0" collapsed="false">
      <c r="A188" s="571"/>
      <c r="B188" s="500"/>
      <c r="C188" s="638" t="s">
        <v>4171</v>
      </c>
      <c r="D188" s="637" t="s">
        <v>4133</v>
      </c>
      <c r="E188" s="633" t="n">
        <v>0.005</v>
      </c>
      <c r="F188" s="626" t="n">
        <v>18000</v>
      </c>
      <c r="G188" s="636" t="n">
        <f aca="false">E188*F188</f>
        <v>90</v>
      </c>
      <c r="H188" s="571"/>
    </row>
    <row r="189" customFormat="false" ht="15" hidden="false" customHeight="false" outlineLevel="0" collapsed="false">
      <c r="A189" s="571"/>
      <c r="B189" s="500"/>
      <c r="C189" s="638" t="s">
        <v>4147</v>
      </c>
      <c r="D189" s="637" t="s">
        <v>4133</v>
      </c>
      <c r="E189" s="633" t="n">
        <v>0.005</v>
      </c>
      <c r="F189" s="626" t="n">
        <v>14039</v>
      </c>
      <c r="G189" s="636" t="n">
        <f aca="false">E189*F189</f>
        <v>70.195</v>
      </c>
      <c r="H189" s="571"/>
    </row>
    <row r="190" customFormat="false" ht="15" hidden="false" customHeight="false" outlineLevel="0" collapsed="false">
      <c r="A190" s="571"/>
      <c r="B190" s="500"/>
      <c r="C190" s="638" t="s">
        <v>4202</v>
      </c>
      <c r="D190" s="637" t="s">
        <v>4133</v>
      </c>
      <c r="E190" s="633" t="n">
        <v>0.005</v>
      </c>
      <c r="F190" s="645" t="n">
        <v>12000</v>
      </c>
      <c r="G190" s="636" t="n">
        <f aca="false">E190*F190</f>
        <v>60</v>
      </c>
      <c r="H190" s="571"/>
    </row>
    <row r="191" customFormat="false" ht="15" hidden="false" customHeight="false" outlineLevel="0" collapsed="false">
      <c r="A191" s="571"/>
      <c r="B191" s="608"/>
      <c r="C191" s="638" t="s">
        <v>4132</v>
      </c>
      <c r="D191" s="637" t="s">
        <v>4133</v>
      </c>
      <c r="E191" s="633" t="n">
        <v>0.004</v>
      </c>
      <c r="F191" s="645" t="n">
        <v>18000</v>
      </c>
      <c r="G191" s="636" t="n">
        <f aca="false">E191*F191</f>
        <v>72</v>
      </c>
      <c r="H191" s="571"/>
    </row>
    <row r="192" customFormat="false" ht="45" hidden="false" customHeight="false" outlineLevel="0" collapsed="false">
      <c r="A192" s="571"/>
      <c r="B192" s="500"/>
      <c r="C192" s="646" t="s">
        <v>4203</v>
      </c>
      <c r="D192" s="637" t="s">
        <v>4133</v>
      </c>
      <c r="E192" s="629" t="n">
        <v>0.02</v>
      </c>
      <c r="F192" s="644" t="n">
        <v>10192</v>
      </c>
      <c r="G192" s="636" t="n">
        <f aca="false">E192*F192</f>
        <v>203.84</v>
      </c>
      <c r="H192" s="571"/>
    </row>
    <row r="193" customFormat="false" ht="15" hidden="false" customHeight="false" outlineLevel="0" collapsed="false">
      <c r="A193" s="571"/>
      <c r="B193" s="500"/>
      <c r="C193" s="638" t="s">
        <v>4204</v>
      </c>
      <c r="D193" s="637" t="s">
        <v>4133</v>
      </c>
      <c r="E193" s="633" t="n">
        <v>0.02</v>
      </c>
      <c r="F193" s="645" t="n">
        <v>7500</v>
      </c>
      <c r="G193" s="636" t="n">
        <f aca="false">E193*F193</f>
        <v>150</v>
      </c>
      <c r="H193" s="571"/>
    </row>
    <row r="194" customFormat="false" ht="15" hidden="false" customHeight="false" outlineLevel="0" collapsed="false">
      <c r="A194" s="571"/>
      <c r="B194" s="500"/>
      <c r="C194" s="638" t="s">
        <v>4120</v>
      </c>
      <c r="D194" s="637" t="s">
        <v>4121</v>
      </c>
      <c r="E194" s="633" t="n">
        <v>0.02</v>
      </c>
      <c r="F194" s="639" t="n">
        <v>1500</v>
      </c>
      <c r="G194" s="636" t="n">
        <f aca="false">E194*F194</f>
        <v>30</v>
      </c>
      <c r="H194" s="571"/>
    </row>
    <row r="195" customFormat="false" ht="15" hidden="false" customHeight="false" outlineLevel="0" collapsed="false">
      <c r="A195" s="571"/>
      <c r="B195" s="500"/>
      <c r="C195" s="638" t="s">
        <v>4122</v>
      </c>
      <c r="D195" s="637" t="s">
        <v>4123</v>
      </c>
      <c r="E195" s="633" t="n">
        <v>0.055</v>
      </c>
      <c r="F195" s="626" t="n">
        <v>800</v>
      </c>
      <c r="G195" s="636" t="n">
        <f aca="false">E195*F195</f>
        <v>44</v>
      </c>
      <c r="H195" s="571"/>
    </row>
    <row r="196" customFormat="false" ht="15" hidden="false" customHeight="false" outlineLevel="0" collapsed="false">
      <c r="A196" s="571"/>
      <c r="B196" s="500"/>
      <c r="C196" s="633" t="s">
        <v>4124</v>
      </c>
      <c r="D196" s="637" t="s">
        <v>4125</v>
      </c>
      <c r="E196" s="633" t="n">
        <v>0.71</v>
      </c>
      <c r="F196" s="626" t="n">
        <v>120</v>
      </c>
      <c r="G196" s="636" t="n">
        <f aca="false">E196*F196</f>
        <v>85.2</v>
      </c>
      <c r="H196" s="571"/>
    </row>
    <row r="197" customFormat="false" ht="15" hidden="false" customHeight="false" outlineLevel="0" collapsed="false">
      <c r="A197" s="571"/>
      <c r="B197" s="500"/>
      <c r="C197" s="633" t="s">
        <v>4126</v>
      </c>
      <c r="D197" s="637" t="s">
        <v>4127</v>
      </c>
      <c r="E197" s="633" t="n">
        <v>0.021</v>
      </c>
      <c r="F197" s="626" t="n">
        <v>2700</v>
      </c>
      <c r="G197" s="636" t="n">
        <f aca="false">E197*F197</f>
        <v>56.7</v>
      </c>
      <c r="H197" s="571"/>
    </row>
    <row r="198" customFormat="false" ht="15" hidden="false" customHeight="false" outlineLevel="0" collapsed="false">
      <c r="A198" s="571"/>
      <c r="B198" s="608" t="s">
        <v>4128</v>
      </c>
      <c r="C198" s="640"/>
      <c r="D198" s="327"/>
      <c r="E198" s="640"/>
      <c r="F198" s="643"/>
      <c r="G198" s="640" t="n">
        <f aca="false">SUM(G187:G197)</f>
        <v>941.935</v>
      </c>
      <c r="H198" s="571"/>
    </row>
    <row r="199" customFormat="false" ht="30" hidden="false" customHeight="false" outlineLevel="0" collapsed="false">
      <c r="A199" s="571" t="s">
        <v>58</v>
      </c>
      <c r="B199" s="632" t="s">
        <v>2903</v>
      </c>
      <c r="C199" s="638" t="s">
        <v>4201</v>
      </c>
      <c r="D199" s="637" t="s">
        <v>4133</v>
      </c>
      <c r="E199" s="633" t="n">
        <v>0.01</v>
      </c>
      <c r="F199" s="644" t="n">
        <v>40000</v>
      </c>
      <c r="G199" s="636" t="n">
        <f aca="false">E199*F199</f>
        <v>400</v>
      </c>
      <c r="H199" s="571"/>
    </row>
    <row r="200" customFormat="false" ht="15" hidden="false" customHeight="false" outlineLevel="0" collapsed="false">
      <c r="A200" s="571"/>
      <c r="B200" s="500"/>
      <c r="C200" s="638" t="s">
        <v>4205</v>
      </c>
      <c r="D200" s="637" t="s">
        <v>4133</v>
      </c>
      <c r="E200" s="633" t="n">
        <v>0.01</v>
      </c>
      <c r="F200" s="626" t="n">
        <v>10976</v>
      </c>
      <c r="G200" s="636" t="n">
        <f aca="false">E200*F200</f>
        <v>109.76</v>
      </c>
      <c r="H200" s="571"/>
    </row>
    <row r="201" customFormat="false" ht="15" hidden="false" customHeight="false" outlineLevel="0" collapsed="false">
      <c r="A201" s="571"/>
      <c r="B201" s="500"/>
      <c r="C201" s="638" t="s">
        <v>4206</v>
      </c>
      <c r="D201" s="637" t="s">
        <v>4133</v>
      </c>
      <c r="E201" s="633" t="n">
        <v>0.002</v>
      </c>
      <c r="F201" s="645" t="n">
        <v>87000</v>
      </c>
      <c r="G201" s="636" t="n">
        <f aca="false">E201*F201</f>
        <v>174</v>
      </c>
      <c r="H201" s="571"/>
    </row>
    <row r="202" customFormat="false" ht="15" hidden="false" customHeight="false" outlineLevel="0" collapsed="false">
      <c r="A202" s="571"/>
      <c r="B202" s="500"/>
      <c r="C202" s="638" t="s">
        <v>4171</v>
      </c>
      <c r="D202" s="637" t="s">
        <v>4133</v>
      </c>
      <c r="E202" s="633" t="n">
        <v>0.002</v>
      </c>
      <c r="F202" s="626" t="n">
        <v>18000</v>
      </c>
      <c r="G202" s="636" t="n">
        <f aca="false">E202*F202</f>
        <v>36</v>
      </c>
      <c r="H202" s="571"/>
    </row>
    <row r="203" customFormat="false" ht="15" hidden="false" customHeight="false" outlineLevel="0" collapsed="false">
      <c r="A203" s="571"/>
      <c r="B203" s="608"/>
      <c r="C203" s="638" t="s">
        <v>4207</v>
      </c>
      <c r="D203" s="637" t="s">
        <v>4133</v>
      </c>
      <c r="E203" s="633" t="n">
        <v>0.01</v>
      </c>
      <c r="F203" s="645" t="n">
        <v>32480</v>
      </c>
      <c r="G203" s="636" t="n">
        <f aca="false">E203*F203</f>
        <v>324.8</v>
      </c>
      <c r="H203" s="571"/>
    </row>
    <row r="204" customFormat="false" ht="15" hidden="false" customHeight="false" outlineLevel="0" collapsed="false">
      <c r="A204" s="571"/>
      <c r="B204" s="500"/>
      <c r="C204" s="638" t="s">
        <v>4208</v>
      </c>
      <c r="D204" s="637" t="s">
        <v>4138</v>
      </c>
      <c r="E204" s="633" t="n">
        <v>0.01</v>
      </c>
      <c r="F204" s="626" t="n">
        <v>12000</v>
      </c>
      <c r="G204" s="636" t="n">
        <f aca="false">E204*F204</f>
        <v>120</v>
      </c>
      <c r="H204" s="571"/>
    </row>
    <row r="205" customFormat="false" ht="15" hidden="false" customHeight="false" outlineLevel="0" collapsed="false">
      <c r="A205" s="571"/>
      <c r="B205" s="500"/>
      <c r="C205" s="638" t="s">
        <v>4202</v>
      </c>
      <c r="D205" s="637" t="s">
        <v>4133</v>
      </c>
      <c r="E205" s="633" t="n">
        <v>0.01</v>
      </c>
      <c r="F205" s="645" t="n">
        <v>12000</v>
      </c>
      <c r="G205" s="636" t="n">
        <f aca="false">E205*F205</f>
        <v>120</v>
      </c>
      <c r="H205" s="571"/>
    </row>
    <row r="206" customFormat="false" ht="15" hidden="false" customHeight="false" outlineLevel="0" collapsed="false">
      <c r="A206" s="571"/>
      <c r="B206" s="500"/>
      <c r="C206" s="638" t="s">
        <v>4132</v>
      </c>
      <c r="D206" s="637" t="s">
        <v>4133</v>
      </c>
      <c r="E206" s="633" t="n">
        <v>0.002</v>
      </c>
      <c r="F206" s="645" t="n">
        <v>18000</v>
      </c>
      <c r="G206" s="636" t="n">
        <f aca="false">E206*F206</f>
        <v>36</v>
      </c>
      <c r="H206" s="571"/>
    </row>
    <row r="207" customFormat="false" ht="45" hidden="false" customHeight="false" outlineLevel="0" collapsed="false">
      <c r="A207" s="571"/>
      <c r="B207" s="500"/>
      <c r="C207" s="646" t="s">
        <v>4203</v>
      </c>
      <c r="D207" s="637" t="s">
        <v>4133</v>
      </c>
      <c r="E207" s="629" t="n">
        <v>0.02</v>
      </c>
      <c r="F207" s="644" t="n">
        <v>10192</v>
      </c>
      <c r="G207" s="636" t="n">
        <f aca="false">E207*F207</f>
        <v>203.84</v>
      </c>
      <c r="H207" s="571"/>
    </row>
    <row r="208" customFormat="false" ht="15" hidden="false" customHeight="false" outlineLevel="0" collapsed="false">
      <c r="A208" s="571"/>
      <c r="B208" s="608"/>
      <c r="C208" s="638" t="s">
        <v>4204</v>
      </c>
      <c r="D208" s="637" t="s">
        <v>4133</v>
      </c>
      <c r="E208" s="633" t="n">
        <v>0.002</v>
      </c>
      <c r="F208" s="645" t="n">
        <v>7500</v>
      </c>
      <c r="G208" s="636" t="n">
        <f aca="false">E208*F208</f>
        <v>15</v>
      </c>
      <c r="H208" s="571"/>
    </row>
    <row r="209" customFormat="false" ht="15" hidden="false" customHeight="false" outlineLevel="0" collapsed="false">
      <c r="A209" s="571"/>
      <c r="B209" s="500"/>
      <c r="C209" s="638" t="s">
        <v>4120</v>
      </c>
      <c r="D209" s="637" t="s">
        <v>4121</v>
      </c>
      <c r="E209" s="633" t="n">
        <v>0.02</v>
      </c>
      <c r="F209" s="639" t="n">
        <v>1500</v>
      </c>
      <c r="G209" s="636" t="n">
        <f aca="false">E209*F209</f>
        <v>30</v>
      </c>
      <c r="H209" s="571"/>
    </row>
    <row r="210" customFormat="false" ht="15" hidden="false" customHeight="false" outlineLevel="0" collapsed="false">
      <c r="A210" s="571"/>
      <c r="B210" s="500"/>
      <c r="C210" s="638" t="s">
        <v>4122</v>
      </c>
      <c r="D210" s="637" t="s">
        <v>4123</v>
      </c>
      <c r="E210" s="633" t="n">
        <v>0.055</v>
      </c>
      <c r="F210" s="626" t="n">
        <v>800</v>
      </c>
      <c r="G210" s="636" t="n">
        <f aca="false">E210*F210</f>
        <v>44</v>
      </c>
      <c r="H210" s="571"/>
    </row>
    <row r="211" customFormat="false" ht="15" hidden="false" customHeight="false" outlineLevel="0" collapsed="false">
      <c r="A211" s="571"/>
      <c r="B211" s="500"/>
      <c r="C211" s="633" t="s">
        <v>4124</v>
      </c>
      <c r="D211" s="637" t="s">
        <v>4125</v>
      </c>
      <c r="E211" s="633" t="n">
        <v>0.72</v>
      </c>
      <c r="F211" s="626" t="n">
        <v>120</v>
      </c>
      <c r="G211" s="636" t="n">
        <f aca="false">E211*F211</f>
        <v>86.4</v>
      </c>
      <c r="H211" s="571"/>
    </row>
    <row r="212" customFormat="false" ht="15" hidden="false" customHeight="false" outlineLevel="0" collapsed="false">
      <c r="A212" s="571"/>
      <c r="B212" s="500"/>
      <c r="C212" s="633" t="s">
        <v>4126</v>
      </c>
      <c r="D212" s="637" t="s">
        <v>4127</v>
      </c>
      <c r="E212" s="633" t="n">
        <v>0.021</v>
      </c>
      <c r="F212" s="626" t="n">
        <v>2700</v>
      </c>
      <c r="G212" s="636" t="n">
        <f aca="false">E212*F212</f>
        <v>56.7</v>
      </c>
      <c r="H212" s="571"/>
    </row>
    <row r="213" customFormat="false" ht="15" hidden="false" customHeight="false" outlineLevel="0" collapsed="false">
      <c r="A213" s="571"/>
      <c r="B213" s="608" t="s">
        <v>4128</v>
      </c>
      <c r="C213" s="640"/>
      <c r="D213" s="327"/>
      <c r="E213" s="640"/>
      <c r="F213" s="643"/>
      <c r="G213" s="640" t="n">
        <f aca="false">SUM(G199:G212)</f>
        <v>1756.5</v>
      </c>
      <c r="H213" s="571"/>
    </row>
    <row r="214" customFormat="false" ht="15" hidden="false" customHeight="false" outlineLevel="0" collapsed="false">
      <c r="A214" s="571" t="s">
        <v>60</v>
      </c>
      <c r="B214" s="500" t="s">
        <v>2904</v>
      </c>
      <c r="C214" s="629" t="s">
        <v>4201</v>
      </c>
      <c r="D214" s="571" t="s">
        <v>4133</v>
      </c>
      <c r="E214" s="629" t="n">
        <v>0.01</v>
      </c>
      <c r="F214" s="644" t="n">
        <v>40000</v>
      </c>
      <c r="G214" s="636" t="n">
        <f aca="false">E214*F214</f>
        <v>400</v>
      </c>
      <c r="H214" s="571"/>
    </row>
    <row r="215" customFormat="false" ht="30" hidden="false" customHeight="false" outlineLevel="0" collapsed="false">
      <c r="A215" s="571"/>
      <c r="B215" s="500"/>
      <c r="C215" s="646" t="s">
        <v>4185</v>
      </c>
      <c r="D215" s="571" t="s">
        <v>4138</v>
      </c>
      <c r="E215" s="629" t="n">
        <v>0.02</v>
      </c>
      <c r="F215" s="644" t="n">
        <v>12000</v>
      </c>
      <c r="G215" s="636" t="n">
        <f aca="false">E215*F215</f>
        <v>240</v>
      </c>
      <c r="H215" s="571"/>
    </row>
    <row r="216" customFormat="false" ht="15" hidden="false" customHeight="false" outlineLevel="0" collapsed="false">
      <c r="A216" s="571"/>
      <c r="B216" s="500"/>
      <c r="C216" s="646" t="s">
        <v>4150</v>
      </c>
      <c r="D216" s="571" t="s">
        <v>4133</v>
      </c>
      <c r="E216" s="629" t="n">
        <v>0.005</v>
      </c>
      <c r="F216" s="626" t="n">
        <v>103.04</v>
      </c>
      <c r="G216" s="636" t="n">
        <f aca="false">E216*F216</f>
        <v>0.5152</v>
      </c>
      <c r="H216" s="571"/>
    </row>
    <row r="217" customFormat="false" ht="15" hidden="false" customHeight="false" outlineLevel="0" collapsed="false">
      <c r="A217" s="571"/>
      <c r="B217" s="608"/>
      <c r="C217" s="629" t="s">
        <v>4171</v>
      </c>
      <c r="D217" s="571" t="s">
        <v>4133</v>
      </c>
      <c r="E217" s="629" t="n">
        <v>0.005</v>
      </c>
      <c r="F217" s="626" t="n">
        <v>18000</v>
      </c>
      <c r="G217" s="636" t="n">
        <f aca="false">E217*F217</f>
        <v>90</v>
      </c>
      <c r="H217" s="571"/>
    </row>
    <row r="218" customFormat="false" ht="15" hidden="false" customHeight="false" outlineLevel="0" collapsed="false">
      <c r="A218" s="571"/>
      <c r="B218" s="500"/>
      <c r="C218" s="638" t="s">
        <v>4120</v>
      </c>
      <c r="D218" s="637" t="s">
        <v>4121</v>
      </c>
      <c r="E218" s="633" t="n">
        <v>0.02</v>
      </c>
      <c r="F218" s="639" t="n">
        <v>1500</v>
      </c>
      <c r="G218" s="636" t="n">
        <f aca="false">E218*F218</f>
        <v>30</v>
      </c>
      <c r="H218" s="571"/>
    </row>
    <row r="219" customFormat="false" ht="15" hidden="false" customHeight="false" outlineLevel="0" collapsed="false">
      <c r="A219" s="571"/>
      <c r="B219" s="500"/>
      <c r="C219" s="638" t="s">
        <v>4122</v>
      </c>
      <c r="D219" s="637" t="s">
        <v>4123</v>
      </c>
      <c r="E219" s="633" t="n">
        <v>0.055</v>
      </c>
      <c r="F219" s="626" t="n">
        <v>800</v>
      </c>
      <c r="G219" s="636" t="n">
        <f aca="false">E219*F219</f>
        <v>44</v>
      </c>
      <c r="H219" s="571"/>
    </row>
    <row r="220" customFormat="false" ht="15" hidden="false" customHeight="false" outlineLevel="0" collapsed="false">
      <c r="A220" s="571"/>
      <c r="B220" s="608"/>
      <c r="C220" s="633" t="s">
        <v>4124</v>
      </c>
      <c r="D220" s="637" t="s">
        <v>4125</v>
      </c>
      <c r="E220" s="633" t="n">
        <v>0.71</v>
      </c>
      <c r="F220" s="626" t="n">
        <v>120</v>
      </c>
      <c r="G220" s="636" t="n">
        <f aca="false">E220*F220</f>
        <v>85.2</v>
      </c>
      <c r="H220" s="571"/>
    </row>
    <row r="221" customFormat="false" ht="15" hidden="false" customHeight="false" outlineLevel="0" collapsed="false">
      <c r="A221" s="571"/>
      <c r="B221" s="500"/>
      <c r="C221" s="633" t="s">
        <v>4126</v>
      </c>
      <c r="D221" s="637" t="s">
        <v>4127</v>
      </c>
      <c r="E221" s="633" t="n">
        <v>0.021</v>
      </c>
      <c r="F221" s="626" t="n">
        <v>2700</v>
      </c>
      <c r="G221" s="636" t="n">
        <f aca="false">E221*F221</f>
        <v>56.7</v>
      </c>
      <c r="H221" s="571"/>
    </row>
    <row r="222" customFormat="false" ht="15" hidden="false" customHeight="false" outlineLevel="0" collapsed="false">
      <c r="A222" s="571"/>
      <c r="B222" s="608" t="s">
        <v>4128</v>
      </c>
      <c r="C222" s="640"/>
      <c r="D222" s="327"/>
      <c r="E222" s="640"/>
      <c r="F222" s="643"/>
      <c r="G222" s="640" t="n">
        <f aca="false">SUM(G214:G221)</f>
        <v>946.4152</v>
      </c>
      <c r="H222" s="571"/>
    </row>
    <row r="223" customFormat="false" ht="15" hidden="false" customHeight="false" outlineLevel="0" collapsed="false">
      <c r="A223" s="571" t="s">
        <v>62</v>
      </c>
      <c r="B223" s="500" t="s">
        <v>2905</v>
      </c>
      <c r="C223" s="629" t="s">
        <v>4201</v>
      </c>
      <c r="D223" s="571" t="s">
        <v>4133</v>
      </c>
      <c r="E223" s="629" t="n">
        <v>0.01</v>
      </c>
      <c r="F223" s="644" t="n">
        <v>40000</v>
      </c>
      <c r="G223" s="636" t="n">
        <f aca="false">E223*F223</f>
        <v>400</v>
      </c>
      <c r="H223" s="571"/>
    </row>
    <row r="224" customFormat="false" ht="45" hidden="false" customHeight="false" outlineLevel="0" collapsed="false">
      <c r="A224" s="571"/>
      <c r="B224" s="500"/>
      <c r="C224" s="646" t="s">
        <v>4203</v>
      </c>
      <c r="D224" s="571" t="s">
        <v>4138</v>
      </c>
      <c r="E224" s="629" t="n">
        <v>0.01</v>
      </c>
      <c r="F224" s="644" t="n">
        <v>10192</v>
      </c>
      <c r="G224" s="636" t="n">
        <f aca="false">E224*F224</f>
        <v>101.92</v>
      </c>
      <c r="H224" s="571"/>
    </row>
    <row r="225" customFormat="false" ht="15" hidden="false" customHeight="false" outlineLevel="0" collapsed="false">
      <c r="A225" s="571"/>
      <c r="B225" s="500"/>
      <c r="C225" s="629" t="s">
        <v>4171</v>
      </c>
      <c r="D225" s="571" t="s">
        <v>4133</v>
      </c>
      <c r="E225" s="629" t="s">
        <v>4209</v>
      </c>
      <c r="F225" s="626" t="n">
        <v>18000</v>
      </c>
      <c r="G225" s="636" t="n">
        <f aca="false">E225*F225</f>
        <v>36</v>
      </c>
      <c r="H225" s="571"/>
    </row>
    <row r="226" customFormat="false" ht="15" hidden="false" customHeight="false" outlineLevel="0" collapsed="false">
      <c r="A226" s="571"/>
      <c r="B226" s="500"/>
      <c r="C226" s="638" t="s">
        <v>4210</v>
      </c>
      <c r="D226" s="637" t="s">
        <v>4133</v>
      </c>
      <c r="E226" s="635" t="n">
        <v>0.2</v>
      </c>
      <c r="F226" s="626" t="n">
        <v>3000</v>
      </c>
      <c r="G226" s="636" t="n">
        <f aca="false">E226*F226</f>
        <v>600</v>
      </c>
      <c r="H226" s="606"/>
    </row>
    <row r="227" customFormat="false" ht="15" hidden="false" customHeight="false" outlineLevel="0" collapsed="false">
      <c r="A227" s="571"/>
      <c r="B227" s="500"/>
      <c r="C227" s="638" t="s">
        <v>4202</v>
      </c>
      <c r="D227" s="637" t="s">
        <v>4133</v>
      </c>
      <c r="E227" s="633" t="n">
        <v>0.005</v>
      </c>
      <c r="F227" s="645" t="n">
        <v>12000</v>
      </c>
      <c r="G227" s="636" t="n">
        <f aca="false">E227*F227</f>
        <v>60</v>
      </c>
      <c r="H227" s="571"/>
    </row>
    <row r="228" customFormat="false" ht="15" hidden="false" customHeight="false" outlineLevel="0" collapsed="false">
      <c r="A228" s="571"/>
      <c r="B228" s="500"/>
      <c r="C228" s="638" t="s">
        <v>4120</v>
      </c>
      <c r="D228" s="637" t="s">
        <v>4121</v>
      </c>
      <c r="E228" s="633" t="n">
        <v>0.02</v>
      </c>
      <c r="F228" s="639" t="n">
        <v>1500</v>
      </c>
      <c r="G228" s="636" t="n">
        <f aca="false">E228*F228</f>
        <v>30</v>
      </c>
      <c r="H228" s="571"/>
    </row>
    <row r="229" customFormat="false" ht="15" hidden="false" customHeight="false" outlineLevel="0" collapsed="false">
      <c r="A229" s="571"/>
      <c r="B229" s="608"/>
      <c r="C229" s="638" t="s">
        <v>4122</v>
      </c>
      <c r="D229" s="637" t="s">
        <v>4123</v>
      </c>
      <c r="E229" s="633" t="n">
        <v>0.055</v>
      </c>
      <c r="F229" s="626" t="n">
        <v>800</v>
      </c>
      <c r="G229" s="636" t="n">
        <f aca="false">E229*F229</f>
        <v>44</v>
      </c>
      <c r="H229" s="571"/>
    </row>
    <row r="230" customFormat="false" ht="15" hidden="false" customHeight="false" outlineLevel="0" collapsed="false">
      <c r="A230" s="571"/>
      <c r="B230" s="500"/>
      <c r="C230" s="633" t="s">
        <v>4211</v>
      </c>
      <c r="D230" s="637" t="s">
        <v>4149</v>
      </c>
      <c r="E230" s="633" t="n">
        <v>0.001</v>
      </c>
      <c r="F230" s="626" t="n">
        <v>5121</v>
      </c>
      <c r="G230" s="636" t="n">
        <f aca="false">E230*F230</f>
        <v>5.121</v>
      </c>
      <c r="H230" s="606"/>
    </row>
    <row r="231" customFormat="false" ht="15" hidden="false" customHeight="false" outlineLevel="0" collapsed="false">
      <c r="A231" s="571"/>
      <c r="B231" s="571"/>
      <c r="C231" s="633" t="s">
        <v>4126</v>
      </c>
      <c r="D231" s="637" t="s">
        <v>4127</v>
      </c>
      <c r="E231" s="633" t="n">
        <v>0.01</v>
      </c>
      <c r="F231" s="626" t="n">
        <v>2700</v>
      </c>
      <c r="G231" s="636" t="n">
        <f aca="false">E231*F231</f>
        <v>27</v>
      </c>
      <c r="H231" s="571"/>
    </row>
    <row r="232" customFormat="false" ht="15" hidden="false" customHeight="false" outlineLevel="0" collapsed="false">
      <c r="A232" s="571"/>
      <c r="B232" s="608" t="s">
        <v>4128</v>
      </c>
      <c r="C232" s="629"/>
      <c r="D232" s="571"/>
      <c r="E232" s="629"/>
      <c r="F232" s="630"/>
      <c r="G232" s="640" t="n">
        <f aca="false">SUM(G223:G231)</f>
        <v>1304.041</v>
      </c>
      <c r="H232" s="571"/>
    </row>
    <row r="233" customFormat="false" ht="30" hidden="false" customHeight="false" outlineLevel="0" collapsed="false">
      <c r="A233" s="571" t="s">
        <v>64</v>
      </c>
      <c r="B233" s="632" t="s">
        <v>2906</v>
      </c>
      <c r="C233" s="633" t="s">
        <v>4202</v>
      </c>
      <c r="D233" s="637" t="s">
        <v>4133</v>
      </c>
      <c r="E233" s="635" t="n">
        <v>0.005</v>
      </c>
      <c r="F233" s="645" t="n">
        <v>12000</v>
      </c>
      <c r="G233" s="636" t="n">
        <f aca="false">E233*F233</f>
        <v>60</v>
      </c>
      <c r="H233" s="571"/>
    </row>
    <row r="234" customFormat="false" ht="15" hidden="false" customHeight="false" outlineLevel="0" collapsed="false">
      <c r="A234" s="571"/>
      <c r="B234" s="500"/>
      <c r="C234" s="633" t="s">
        <v>4147</v>
      </c>
      <c r="D234" s="637" t="s">
        <v>4133</v>
      </c>
      <c r="E234" s="635" t="n">
        <v>0.028</v>
      </c>
      <c r="F234" s="626" t="n">
        <v>14.039</v>
      </c>
      <c r="G234" s="636" t="n">
        <v>393.092</v>
      </c>
      <c r="H234" s="571"/>
    </row>
    <row r="235" customFormat="false" ht="15" hidden="false" customHeight="false" outlineLevel="0" collapsed="false">
      <c r="A235" s="571"/>
      <c r="B235" s="608"/>
      <c r="C235" s="633" t="s">
        <v>4212</v>
      </c>
      <c r="D235" s="637" t="s">
        <v>4133</v>
      </c>
      <c r="E235" s="633" t="n">
        <v>0.0049</v>
      </c>
      <c r="F235" s="639" t="n">
        <v>32480</v>
      </c>
      <c r="G235" s="636" t="n">
        <f aca="false">E235*F235</f>
        <v>159.152</v>
      </c>
      <c r="H235" s="571"/>
    </row>
    <row r="236" customFormat="false" ht="15" hidden="false" customHeight="false" outlineLevel="0" collapsed="false">
      <c r="A236" s="571"/>
      <c r="B236" s="500"/>
      <c r="C236" s="629" t="s">
        <v>4201</v>
      </c>
      <c r="D236" s="571" t="s">
        <v>4133</v>
      </c>
      <c r="E236" s="629" t="s">
        <v>4213</v>
      </c>
      <c r="F236" s="644" t="n">
        <v>40000</v>
      </c>
      <c r="G236" s="636" t="n">
        <f aca="false">E236*F236</f>
        <v>200</v>
      </c>
      <c r="H236" s="571"/>
    </row>
    <row r="237" customFormat="false" ht="15" hidden="false" customHeight="false" outlineLevel="0" collapsed="false">
      <c r="A237" s="571"/>
      <c r="B237" s="500"/>
      <c r="C237" s="638" t="s">
        <v>4132</v>
      </c>
      <c r="D237" s="637" t="s">
        <v>4133</v>
      </c>
      <c r="E237" s="633" t="n">
        <v>0.01</v>
      </c>
      <c r="F237" s="645" t="n">
        <v>18000</v>
      </c>
      <c r="G237" s="636" t="n">
        <f aca="false">E237*F237</f>
        <v>180</v>
      </c>
      <c r="H237" s="571"/>
    </row>
    <row r="238" customFormat="false" ht="45" hidden="false" customHeight="false" outlineLevel="0" collapsed="false">
      <c r="A238" s="571"/>
      <c r="B238" s="500"/>
      <c r="C238" s="646" t="s">
        <v>4203</v>
      </c>
      <c r="D238" s="637" t="s">
        <v>4131</v>
      </c>
      <c r="E238" s="635" t="n">
        <v>0.005</v>
      </c>
      <c r="F238" s="644" t="n">
        <v>10192</v>
      </c>
      <c r="G238" s="636" t="n">
        <f aca="false">E238*F238</f>
        <v>50.96</v>
      </c>
      <c r="H238" s="571"/>
    </row>
    <row r="239" customFormat="false" ht="15" hidden="false" customHeight="false" outlineLevel="0" collapsed="false">
      <c r="A239" s="571"/>
      <c r="B239" s="500"/>
      <c r="C239" s="638" t="s">
        <v>4120</v>
      </c>
      <c r="D239" s="637" t="s">
        <v>4121</v>
      </c>
      <c r="E239" s="633" t="n">
        <v>0.02</v>
      </c>
      <c r="F239" s="639" t="n">
        <v>1500</v>
      </c>
      <c r="G239" s="636" t="n">
        <f aca="false">E239*F239</f>
        <v>30</v>
      </c>
      <c r="H239" s="571"/>
    </row>
    <row r="240" customFormat="false" ht="15" hidden="false" customHeight="false" outlineLevel="0" collapsed="false">
      <c r="A240" s="571"/>
      <c r="B240" s="500"/>
      <c r="C240" s="638" t="s">
        <v>4122</v>
      </c>
      <c r="D240" s="637" t="s">
        <v>4123</v>
      </c>
      <c r="E240" s="633" t="n">
        <v>0.005</v>
      </c>
      <c r="F240" s="626" t="n">
        <v>800</v>
      </c>
      <c r="G240" s="636" t="n">
        <f aca="false">E240*F240</f>
        <v>4</v>
      </c>
      <c r="H240" s="571"/>
    </row>
    <row r="241" customFormat="false" ht="15" hidden="false" customHeight="false" outlineLevel="0" collapsed="false">
      <c r="A241" s="571"/>
      <c r="B241" s="500"/>
      <c r="C241" s="633" t="s">
        <v>4124</v>
      </c>
      <c r="D241" s="637" t="s">
        <v>4125</v>
      </c>
      <c r="E241" s="633" t="n">
        <v>0.74</v>
      </c>
      <c r="F241" s="626" t="n">
        <v>120</v>
      </c>
      <c r="G241" s="636" t="n">
        <f aca="false">E241*F241</f>
        <v>88.8</v>
      </c>
      <c r="H241" s="571"/>
    </row>
    <row r="242" customFormat="false" ht="15" hidden="false" customHeight="false" outlineLevel="0" collapsed="false">
      <c r="A242" s="571"/>
      <c r="B242" s="500"/>
      <c r="C242" s="633" t="s">
        <v>4126</v>
      </c>
      <c r="D242" s="637" t="s">
        <v>4127</v>
      </c>
      <c r="E242" s="633" t="n">
        <v>0.01</v>
      </c>
      <c r="F242" s="626" t="n">
        <v>2700</v>
      </c>
      <c r="G242" s="636" t="n">
        <f aca="false">E242*F242</f>
        <v>27</v>
      </c>
      <c r="H242" s="571"/>
    </row>
    <row r="243" customFormat="false" ht="15" hidden="false" customHeight="false" outlineLevel="0" collapsed="false">
      <c r="A243" s="571"/>
      <c r="B243" s="608" t="s">
        <v>4128</v>
      </c>
      <c r="C243" s="629"/>
      <c r="D243" s="571"/>
      <c r="E243" s="629"/>
      <c r="F243" s="630"/>
      <c r="G243" s="640" t="n">
        <f aca="false">SUM(G233:G242)</f>
        <v>1193.004</v>
      </c>
      <c r="H243" s="571"/>
    </row>
    <row r="244" customFormat="false" ht="15" hidden="false" customHeight="false" outlineLevel="0" collapsed="false">
      <c r="A244" s="571" t="s">
        <v>66</v>
      </c>
      <c r="B244" s="632" t="s">
        <v>2907</v>
      </c>
      <c r="C244" s="646" t="s">
        <v>4147</v>
      </c>
      <c r="D244" s="637" t="s">
        <v>4133</v>
      </c>
      <c r="E244" s="635" t="n">
        <v>0.01</v>
      </c>
      <c r="F244" s="626" t="n">
        <v>14.039</v>
      </c>
      <c r="G244" s="636" t="n">
        <v>140.39</v>
      </c>
      <c r="H244" s="629"/>
    </row>
    <row r="245" customFormat="false" ht="15" hidden="false" customHeight="false" outlineLevel="0" collapsed="false">
      <c r="A245" s="571"/>
      <c r="B245" s="500"/>
      <c r="C245" s="633" t="s">
        <v>4214</v>
      </c>
      <c r="D245" s="637" t="s">
        <v>4133</v>
      </c>
      <c r="E245" s="635" t="n">
        <v>0.01</v>
      </c>
      <c r="F245" s="644" t="n">
        <v>40000</v>
      </c>
      <c r="G245" s="636" t="n">
        <f aca="false">E245*F245</f>
        <v>400</v>
      </c>
      <c r="H245" s="571"/>
    </row>
    <row r="246" customFormat="false" ht="45" hidden="false" customHeight="false" outlineLevel="0" collapsed="false">
      <c r="A246" s="571"/>
      <c r="B246" s="608"/>
      <c r="C246" s="646" t="s">
        <v>4203</v>
      </c>
      <c r="D246" s="637" t="s">
        <v>4131</v>
      </c>
      <c r="E246" s="635" t="n">
        <v>0.01</v>
      </c>
      <c r="F246" s="644" t="n">
        <v>10192</v>
      </c>
      <c r="G246" s="636" t="n">
        <f aca="false">E246*F246</f>
        <v>101.92</v>
      </c>
      <c r="H246" s="571"/>
    </row>
    <row r="247" customFormat="false" ht="15" hidden="false" customHeight="false" outlineLevel="0" collapsed="false">
      <c r="A247" s="571"/>
      <c r="B247" s="500"/>
      <c r="C247" s="646" t="s">
        <v>4215</v>
      </c>
      <c r="D247" s="637" t="s">
        <v>4133</v>
      </c>
      <c r="E247" s="635" t="n">
        <v>0.01</v>
      </c>
      <c r="F247" s="626" t="n">
        <v>15000</v>
      </c>
      <c r="G247" s="636" t="n">
        <f aca="false">E247*F247</f>
        <v>150</v>
      </c>
      <c r="H247" s="606"/>
    </row>
    <row r="248" customFormat="false" ht="15" hidden="false" customHeight="false" outlineLevel="0" collapsed="false">
      <c r="A248" s="571"/>
      <c r="B248" s="608"/>
      <c r="C248" s="646" t="s">
        <v>4216</v>
      </c>
      <c r="D248" s="637" t="s">
        <v>4133</v>
      </c>
      <c r="E248" s="635" t="n">
        <v>0.02</v>
      </c>
      <c r="F248" s="626" t="n">
        <v>18000</v>
      </c>
      <c r="G248" s="636" t="n">
        <f aca="false">E248*F248</f>
        <v>360</v>
      </c>
      <c r="H248" s="606"/>
    </row>
    <row r="249" customFormat="false" ht="15" hidden="false" customHeight="false" outlineLevel="0" collapsed="false">
      <c r="A249" s="571"/>
      <c r="B249" s="608"/>
      <c r="C249" s="646" t="s">
        <v>4202</v>
      </c>
      <c r="D249" s="637" t="s">
        <v>4133</v>
      </c>
      <c r="E249" s="635" t="n">
        <v>0.02</v>
      </c>
      <c r="F249" s="645" t="n">
        <v>12000</v>
      </c>
      <c r="G249" s="636" t="n">
        <f aca="false">E249*F249</f>
        <v>240</v>
      </c>
      <c r="H249" s="571"/>
    </row>
    <row r="250" customFormat="false" ht="15" hidden="false" customHeight="false" outlineLevel="0" collapsed="false">
      <c r="A250" s="571"/>
      <c r="B250" s="500"/>
      <c r="C250" s="638" t="s">
        <v>4120</v>
      </c>
      <c r="D250" s="637" t="s">
        <v>4121</v>
      </c>
      <c r="E250" s="633" t="n">
        <v>0.02</v>
      </c>
      <c r="F250" s="639" t="n">
        <v>1500</v>
      </c>
      <c r="G250" s="636" t="n">
        <f aca="false">E250*F250</f>
        <v>30</v>
      </c>
      <c r="H250" s="571"/>
    </row>
    <row r="251" customFormat="false" ht="15" hidden="false" customHeight="false" outlineLevel="0" collapsed="false">
      <c r="A251" s="571"/>
      <c r="B251" s="608"/>
      <c r="C251" s="638" t="s">
        <v>4122</v>
      </c>
      <c r="D251" s="637" t="s">
        <v>4123</v>
      </c>
      <c r="E251" s="633" t="n">
        <v>0.065</v>
      </c>
      <c r="F251" s="626" t="n">
        <v>800</v>
      </c>
      <c r="G251" s="636" t="n">
        <f aca="false">E251*F251</f>
        <v>52</v>
      </c>
      <c r="H251" s="571"/>
    </row>
    <row r="252" customFormat="false" ht="15" hidden="false" customHeight="false" outlineLevel="0" collapsed="false">
      <c r="A252" s="571"/>
      <c r="B252" s="500"/>
      <c r="C252" s="633" t="s">
        <v>4124</v>
      </c>
      <c r="D252" s="637" t="s">
        <v>4125</v>
      </c>
      <c r="E252" s="633" t="n">
        <v>0.71</v>
      </c>
      <c r="F252" s="626" t="n">
        <v>120</v>
      </c>
      <c r="G252" s="636" t="n">
        <f aca="false">E252*F252</f>
        <v>85.2</v>
      </c>
      <c r="H252" s="571"/>
    </row>
    <row r="253" customFormat="false" ht="15" hidden="false" customHeight="false" outlineLevel="0" collapsed="false">
      <c r="A253" s="571"/>
      <c r="B253" s="500"/>
      <c r="C253" s="633" t="s">
        <v>4126</v>
      </c>
      <c r="D253" s="637" t="s">
        <v>4127</v>
      </c>
      <c r="E253" s="633" t="n">
        <v>0.021</v>
      </c>
      <c r="F253" s="626" t="n">
        <v>2700</v>
      </c>
      <c r="G253" s="636" t="n">
        <f aca="false">E253*F253</f>
        <v>56.7</v>
      </c>
      <c r="H253" s="571"/>
    </row>
    <row r="254" customFormat="false" ht="15" hidden="false" customHeight="false" outlineLevel="0" collapsed="false">
      <c r="A254" s="571"/>
      <c r="B254" s="608" t="s">
        <v>4128</v>
      </c>
      <c r="C254" s="640"/>
      <c r="D254" s="327"/>
      <c r="E254" s="640"/>
      <c r="F254" s="643"/>
      <c r="G254" s="640" t="n">
        <f aca="false">SUM(G244:G253)</f>
        <v>1616.21</v>
      </c>
      <c r="H254" s="571"/>
    </row>
    <row r="255" customFormat="false" ht="30" hidden="false" customHeight="false" outlineLevel="0" collapsed="false">
      <c r="A255" s="571" t="s">
        <v>68</v>
      </c>
      <c r="B255" s="500" t="s">
        <v>2908</v>
      </c>
      <c r="C255" s="633" t="s">
        <v>4217</v>
      </c>
      <c r="D255" s="634" t="s">
        <v>4133</v>
      </c>
      <c r="E255" s="635" t="s">
        <v>4213</v>
      </c>
      <c r="F255" s="626" t="n">
        <v>55000</v>
      </c>
      <c r="G255" s="636" t="n">
        <f aca="false">E255*F255</f>
        <v>275</v>
      </c>
      <c r="H255" s="606"/>
    </row>
    <row r="256" customFormat="false" ht="15" hidden="false" customHeight="false" outlineLevel="0" collapsed="false">
      <c r="A256" s="571"/>
      <c r="B256" s="500"/>
      <c r="C256" s="633" t="s">
        <v>4212</v>
      </c>
      <c r="D256" s="634" t="s">
        <v>4133</v>
      </c>
      <c r="E256" s="635" t="n">
        <v>0.001</v>
      </c>
      <c r="F256" s="626" t="n">
        <v>32480</v>
      </c>
      <c r="G256" s="636" t="n">
        <f aca="false">E256*F256</f>
        <v>32.48</v>
      </c>
      <c r="H256" s="571"/>
    </row>
    <row r="257" customFormat="false" ht="15" hidden="false" customHeight="false" outlineLevel="0" collapsed="false">
      <c r="A257" s="571"/>
      <c r="B257" s="500"/>
      <c r="C257" s="633" t="s">
        <v>4147</v>
      </c>
      <c r="D257" s="634" t="s">
        <v>4133</v>
      </c>
      <c r="E257" s="635" t="n">
        <v>0.021</v>
      </c>
      <c r="F257" s="626" t="n">
        <v>14.039</v>
      </c>
      <c r="G257" s="636" t="n">
        <v>294.819</v>
      </c>
      <c r="H257" s="571"/>
    </row>
    <row r="258" customFormat="false" ht="15" hidden="false" customHeight="false" outlineLevel="0" collapsed="false">
      <c r="A258" s="571"/>
      <c r="B258" s="500"/>
      <c r="C258" s="633" t="s">
        <v>4218</v>
      </c>
      <c r="D258" s="634" t="s">
        <v>4133</v>
      </c>
      <c r="E258" s="635" t="n">
        <v>0.001</v>
      </c>
      <c r="F258" s="626" t="s">
        <v>4219</v>
      </c>
      <c r="G258" s="636" t="n">
        <v>1097.6</v>
      </c>
      <c r="H258" s="571"/>
    </row>
    <row r="259" customFormat="false" ht="15" hidden="false" customHeight="false" outlineLevel="0" collapsed="false">
      <c r="A259" s="571"/>
      <c r="B259" s="500"/>
      <c r="C259" s="647" t="s">
        <v>4220</v>
      </c>
      <c r="D259" s="634" t="s">
        <v>4133</v>
      </c>
      <c r="E259" s="635" t="n">
        <v>0.001</v>
      </c>
      <c r="F259" s="645" t="n">
        <v>188000</v>
      </c>
      <c r="G259" s="636" t="n">
        <f aca="false">E259*F259</f>
        <v>188</v>
      </c>
      <c r="H259" s="606"/>
    </row>
    <row r="260" customFormat="false" ht="15" hidden="false" customHeight="false" outlineLevel="0" collapsed="false">
      <c r="A260" s="571"/>
      <c r="B260" s="608"/>
      <c r="C260" s="647" t="s">
        <v>4221</v>
      </c>
      <c r="D260" s="634" t="s">
        <v>4133</v>
      </c>
      <c r="E260" s="635" t="n">
        <v>0.001</v>
      </c>
      <c r="F260" s="645" t="n">
        <v>55000</v>
      </c>
      <c r="G260" s="636" t="n">
        <f aca="false">E260*F260</f>
        <v>55</v>
      </c>
      <c r="H260" s="606"/>
    </row>
    <row r="261" customFormat="false" ht="15" hidden="false" customHeight="false" outlineLevel="0" collapsed="false">
      <c r="A261" s="571"/>
      <c r="B261" s="500"/>
      <c r="C261" s="633" t="s">
        <v>4222</v>
      </c>
      <c r="D261" s="634" t="s">
        <v>4133</v>
      </c>
      <c r="E261" s="635" t="n">
        <v>0.01</v>
      </c>
      <c r="F261" s="645" t="n">
        <v>59000</v>
      </c>
      <c r="G261" s="636" t="n">
        <f aca="false">E261*F261</f>
        <v>590</v>
      </c>
      <c r="H261" s="606"/>
    </row>
    <row r="262" customFormat="false" ht="15" hidden="false" customHeight="false" outlineLevel="0" collapsed="false">
      <c r="A262" s="571"/>
      <c r="B262" s="500"/>
      <c r="C262" s="633" t="s">
        <v>4223</v>
      </c>
      <c r="D262" s="634" t="s">
        <v>4133</v>
      </c>
      <c r="E262" s="635" t="n">
        <v>0.01</v>
      </c>
      <c r="F262" s="645" t="s">
        <v>4224</v>
      </c>
      <c r="G262" s="636" t="n">
        <f aca="false">E262*F262</f>
        <v>9.408</v>
      </c>
      <c r="H262" s="571"/>
    </row>
    <row r="263" customFormat="false" ht="15" hidden="false" customHeight="false" outlineLevel="0" collapsed="false">
      <c r="A263" s="571"/>
      <c r="B263" s="500"/>
      <c r="C263" s="633" t="s">
        <v>4211</v>
      </c>
      <c r="D263" s="637" t="s">
        <v>4149</v>
      </c>
      <c r="E263" s="633" t="n">
        <v>0.001</v>
      </c>
      <c r="F263" s="626" t="n">
        <v>5121</v>
      </c>
      <c r="G263" s="636" t="n">
        <f aca="false">E263*F263</f>
        <v>5.121</v>
      </c>
      <c r="H263" s="606"/>
    </row>
    <row r="264" customFormat="false" ht="15" hidden="false" customHeight="false" outlineLevel="0" collapsed="false">
      <c r="A264" s="571"/>
      <c r="B264" s="608"/>
      <c r="C264" s="638" t="s">
        <v>4120</v>
      </c>
      <c r="D264" s="637" t="s">
        <v>4121</v>
      </c>
      <c r="E264" s="633" t="n">
        <v>0.02</v>
      </c>
      <c r="F264" s="639" t="n">
        <v>1500</v>
      </c>
      <c r="G264" s="636" t="n">
        <f aca="false">E264*F264</f>
        <v>30</v>
      </c>
      <c r="H264" s="571"/>
    </row>
    <row r="265" customFormat="false" ht="15" hidden="false" customHeight="false" outlineLevel="0" collapsed="false">
      <c r="A265" s="571"/>
      <c r="B265" s="500"/>
      <c r="C265" s="638" t="s">
        <v>4122</v>
      </c>
      <c r="D265" s="637" t="s">
        <v>4123</v>
      </c>
      <c r="E265" s="633" t="n">
        <v>0.065</v>
      </c>
      <c r="F265" s="626" t="n">
        <v>800</v>
      </c>
      <c r="G265" s="636" t="n">
        <f aca="false">E265*F265</f>
        <v>52</v>
      </c>
      <c r="H265" s="571"/>
    </row>
    <row r="266" customFormat="false" ht="15" hidden="false" customHeight="false" outlineLevel="0" collapsed="false">
      <c r="A266" s="571"/>
      <c r="B266" s="500"/>
      <c r="C266" s="633" t="s">
        <v>4124</v>
      </c>
      <c r="D266" s="637" t="s">
        <v>4125</v>
      </c>
      <c r="E266" s="633" t="n">
        <v>0.71</v>
      </c>
      <c r="F266" s="626" t="n">
        <v>120</v>
      </c>
      <c r="G266" s="636" t="n">
        <f aca="false">E266*F266</f>
        <v>85.2</v>
      </c>
      <c r="H266" s="571"/>
    </row>
    <row r="267" customFormat="false" ht="15" hidden="false" customHeight="false" outlineLevel="0" collapsed="false">
      <c r="A267" s="571"/>
      <c r="B267" s="500"/>
      <c r="C267" s="633" t="s">
        <v>4126</v>
      </c>
      <c r="D267" s="637" t="s">
        <v>4127</v>
      </c>
      <c r="E267" s="633" t="n">
        <v>0.01</v>
      </c>
      <c r="F267" s="626" t="n">
        <v>2700</v>
      </c>
      <c r="G267" s="636" t="n">
        <f aca="false">E267*F267</f>
        <v>27</v>
      </c>
      <c r="H267" s="571"/>
    </row>
    <row r="268" customFormat="false" ht="15" hidden="false" customHeight="false" outlineLevel="0" collapsed="false">
      <c r="A268" s="571"/>
      <c r="B268" s="608" t="s">
        <v>4128</v>
      </c>
      <c r="C268" s="629"/>
      <c r="D268" s="571"/>
      <c r="E268" s="629"/>
      <c r="F268" s="630"/>
      <c r="G268" s="640" t="n">
        <f aca="false">SUM(G255:G267)</f>
        <v>2741.628</v>
      </c>
      <c r="H268" s="571"/>
    </row>
    <row r="269" customFormat="false" ht="30" hidden="false" customHeight="false" outlineLevel="0" collapsed="false">
      <c r="A269" s="571" t="s">
        <v>70</v>
      </c>
      <c r="B269" s="500" t="s">
        <v>2909</v>
      </c>
      <c r="C269" s="646" t="s">
        <v>4154</v>
      </c>
      <c r="D269" s="637" t="s">
        <v>4133</v>
      </c>
      <c r="E269" s="635" t="s">
        <v>4200</v>
      </c>
      <c r="F269" s="626" t="n">
        <v>10976</v>
      </c>
      <c r="G269" s="636" t="n">
        <f aca="false">E269*F269</f>
        <v>548.8</v>
      </c>
      <c r="H269" s="571"/>
    </row>
    <row r="270" customFormat="false" ht="15" hidden="false" customHeight="false" outlineLevel="0" collapsed="false">
      <c r="A270" s="571"/>
      <c r="B270" s="500"/>
      <c r="C270" s="633" t="s">
        <v>4214</v>
      </c>
      <c r="D270" s="637" t="s">
        <v>4133</v>
      </c>
      <c r="E270" s="635" t="n">
        <v>0.005</v>
      </c>
      <c r="F270" s="644" t="n">
        <v>40000</v>
      </c>
      <c r="G270" s="636" t="n">
        <f aca="false">E270*F270</f>
        <v>200</v>
      </c>
      <c r="H270" s="571"/>
    </row>
    <row r="271" customFormat="false" ht="45" hidden="false" customHeight="false" outlineLevel="0" collapsed="false">
      <c r="A271" s="571"/>
      <c r="B271" s="500"/>
      <c r="C271" s="646" t="s">
        <v>4203</v>
      </c>
      <c r="D271" s="637" t="s">
        <v>4131</v>
      </c>
      <c r="E271" s="635" t="s">
        <v>4200</v>
      </c>
      <c r="F271" s="644" t="n">
        <v>10192</v>
      </c>
      <c r="G271" s="636" t="n">
        <f aca="false">E271*F271</f>
        <v>509.6</v>
      </c>
      <c r="H271" s="571"/>
    </row>
    <row r="272" customFormat="false" ht="15" hidden="false" customHeight="false" outlineLevel="0" collapsed="false">
      <c r="A272" s="571"/>
      <c r="B272" s="500"/>
      <c r="C272" s="646" t="s">
        <v>4215</v>
      </c>
      <c r="D272" s="637" t="s">
        <v>4133</v>
      </c>
      <c r="E272" s="635" t="n">
        <v>0.01</v>
      </c>
      <c r="F272" s="626" t="n">
        <v>15000</v>
      </c>
      <c r="G272" s="636" t="n">
        <f aca="false">E272*F272</f>
        <v>150</v>
      </c>
      <c r="H272" s="606"/>
    </row>
    <row r="273" customFormat="false" ht="15" hidden="false" customHeight="false" outlineLevel="0" collapsed="false">
      <c r="A273" s="571"/>
      <c r="B273" s="500"/>
      <c r="C273" s="646" t="s">
        <v>4225</v>
      </c>
      <c r="D273" s="637" t="s">
        <v>4133</v>
      </c>
      <c r="E273" s="635" t="n">
        <v>0.01</v>
      </c>
      <c r="F273" s="626" t="n">
        <v>15000</v>
      </c>
      <c r="G273" s="636" t="n">
        <f aca="false">E273*F273</f>
        <v>150</v>
      </c>
      <c r="H273" s="571"/>
    </row>
    <row r="274" customFormat="false" ht="15" hidden="false" customHeight="false" outlineLevel="0" collapsed="false">
      <c r="A274" s="571"/>
      <c r="B274" s="500"/>
      <c r="C274" s="646" t="s">
        <v>4202</v>
      </c>
      <c r="D274" s="637" t="s">
        <v>4133</v>
      </c>
      <c r="E274" s="635" t="n">
        <v>0.01</v>
      </c>
      <c r="F274" s="645" t="n">
        <v>12000</v>
      </c>
      <c r="G274" s="636" t="n">
        <f aca="false">E274*F274</f>
        <v>120</v>
      </c>
      <c r="H274" s="571"/>
    </row>
    <row r="275" customFormat="false" ht="15" hidden="false" customHeight="false" outlineLevel="0" collapsed="false">
      <c r="A275" s="571"/>
      <c r="B275" s="500"/>
      <c r="C275" s="638" t="s">
        <v>4120</v>
      </c>
      <c r="D275" s="637" t="s">
        <v>4121</v>
      </c>
      <c r="E275" s="633" t="n">
        <v>0.02</v>
      </c>
      <c r="F275" s="639" t="n">
        <v>1500</v>
      </c>
      <c r="G275" s="636" t="n">
        <f aca="false">E275*F275</f>
        <v>30</v>
      </c>
      <c r="H275" s="571"/>
    </row>
    <row r="276" customFormat="false" ht="15" hidden="false" customHeight="false" outlineLevel="0" collapsed="false">
      <c r="A276" s="571"/>
      <c r="B276" s="500"/>
      <c r="C276" s="638" t="s">
        <v>4122</v>
      </c>
      <c r="D276" s="637" t="s">
        <v>4123</v>
      </c>
      <c r="E276" s="633" t="n">
        <v>0.065</v>
      </c>
      <c r="F276" s="626" t="n">
        <v>800</v>
      </c>
      <c r="G276" s="636" t="n">
        <f aca="false">E276*F276</f>
        <v>52</v>
      </c>
      <c r="H276" s="571"/>
    </row>
    <row r="277" customFormat="false" ht="15" hidden="false" customHeight="false" outlineLevel="0" collapsed="false">
      <c r="A277" s="571"/>
      <c r="B277" s="500"/>
      <c r="C277" s="633" t="s">
        <v>4124</v>
      </c>
      <c r="D277" s="637" t="s">
        <v>4125</v>
      </c>
      <c r="E277" s="633" t="n">
        <v>0.71</v>
      </c>
      <c r="F277" s="626" t="n">
        <v>120</v>
      </c>
      <c r="G277" s="636" t="n">
        <f aca="false">E277*F277</f>
        <v>85.2</v>
      </c>
      <c r="H277" s="571"/>
    </row>
    <row r="278" customFormat="false" ht="15" hidden="false" customHeight="false" outlineLevel="0" collapsed="false">
      <c r="A278" s="571"/>
      <c r="B278" s="500"/>
      <c r="C278" s="633" t="s">
        <v>4126</v>
      </c>
      <c r="D278" s="637" t="s">
        <v>4127</v>
      </c>
      <c r="E278" s="633" t="n">
        <v>0.021</v>
      </c>
      <c r="F278" s="626" t="n">
        <v>2700</v>
      </c>
      <c r="G278" s="636" t="n">
        <f aca="false">E278*F278</f>
        <v>56.7</v>
      </c>
      <c r="H278" s="571"/>
    </row>
    <row r="279" customFormat="false" ht="15" hidden="false" customHeight="false" outlineLevel="0" collapsed="false">
      <c r="A279" s="571"/>
      <c r="B279" s="608" t="s">
        <v>4128</v>
      </c>
      <c r="C279" s="629"/>
      <c r="D279" s="571"/>
      <c r="E279" s="629"/>
      <c r="F279" s="630"/>
      <c r="G279" s="640" t="n">
        <f aca="false">SUM(G269:G278)</f>
        <v>1902.3</v>
      </c>
      <c r="H279" s="571"/>
    </row>
    <row r="280" customFormat="false" ht="30" hidden="false" customHeight="false" outlineLevel="0" collapsed="false">
      <c r="A280" s="571" t="s">
        <v>72</v>
      </c>
      <c r="B280" s="500" t="s">
        <v>2910</v>
      </c>
      <c r="C280" s="646" t="s">
        <v>4154</v>
      </c>
      <c r="D280" s="637" t="s">
        <v>4133</v>
      </c>
      <c r="E280" s="635" t="s">
        <v>4200</v>
      </c>
      <c r="F280" s="626" t="n">
        <v>10976</v>
      </c>
      <c r="G280" s="636" t="n">
        <f aca="false">E280*F280</f>
        <v>548.8</v>
      </c>
      <c r="H280" s="571"/>
    </row>
    <row r="281" customFormat="false" ht="15" hidden="false" customHeight="false" outlineLevel="0" collapsed="false">
      <c r="A281" s="571"/>
      <c r="B281" s="608"/>
      <c r="C281" s="633" t="s">
        <v>4214</v>
      </c>
      <c r="D281" s="637" t="s">
        <v>4133</v>
      </c>
      <c r="E281" s="635" t="n">
        <v>0.005</v>
      </c>
      <c r="F281" s="626" t="n">
        <v>40000</v>
      </c>
      <c r="G281" s="636" t="n">
        <f aca="false">E281*F281</f>
        <v>200</v>
      </c>
      <c r="H281" s="571"/>
    </row>
    <row r="282" customFormat="false" ht="38.25" hidden="false" customHeight="true" outlineLevel="0" collapsed="false">
      <c r="A282" s="571"/>
      <c r="B282" s="500"/>
      <c r="C282" s="646" t="s">
        <v>4203</v>
      </c>
      <c r="D282" s="637" t="s">
        <v>4131</v>
      </c>
      <c r="E282" s="635" t="s">
        <v>4200</v>
      </c>
      <c r="F282" s="644" t="n">
        <v>10192</v>
      </c>
      <c r="G282" s="636" t="n">
        <f aca="false">E282*F282</f>
        <v>509.6</v>
      </c>
      <c r="H282" s="571"/>
    </row>
    <row r="283" customFormat="false" ht="15" hidden="false" customHeight="false" outlineLevel="0" collapsed="false">
      <c r="A283" s="571"/>
      <c r="B283" s="500"/>
      <c r="C283" s="646" t="s">
        <v>4215</v>
      </c>
      <c r="D283" s="637" t="s">
        <v>4133</v>
      </c>
      <c r="E283" s="635" t="n">
        <v>0.01</v>
      </c>
      <c r="F283" s="626" t="n">
        <v>15000</v>
      </c>
      <c r="G283" s="636" t="n">
        <f aca="false">E283*F283</f>
        <v>150</v>
      </c>
      <c r="H283" s="606"/>
    </row>
    <row r="284" customFormat="false" ht="15" hidden="false" customHeight="false" outlineLevel="0" collapsed="false">
      <c r="A284" s="571"/>
      <c r="B284" s="500"/>
      <c r="C284" s="646" t="s">
        <v>4216</v>
      </c>
      <c r="D284" s="637" t="s">
        <v>4133</v>
      </c>
      <c r="E284" s="635" t="n">
        <v>0.01</v>
      </c>
      <c r="F284" s="626" t="n">
        <v>18000</v>
      </c>
      <c r="G284" s="636" t="n">
        <f aca="false">E284*F284</f>
        <v>180</v>
      </c>
      <c r="H284" s="571"/>
    </row>
    <row r="285" customFormat="false" ht="15" hidden="false" customHeight="false" outlineLevel="0" collapsed="false">
      <c r="A285" s="571"/>
      <c r="B285" s="500"/>
      <c r="C285" s="646" t="s">
        <v>4202</v>
      </c>
      <c r="D285" s="637" t="s">
        <v>4133</v>
      </c>
      <c r="E285" s="635" t="n">
        <v>0.01</v>
      </c>
      <c r="F285" s="645" t="n">
        <v>12000</v>
      </c>
      <c r="G285" s="636" t="n">
        <f aca="false">E285*F285</f>
        <v>120</v>
      </c>
      <c r="H285" s="571"/>
    </row>
    <row r="286" customFormat="false" ht="15" hidden="false" customHeight="false" outlineLevel="0" collapsed="false">
      <c r="A286" s="571"/>
      <c r="B286" s="608"/>
      <c r="C286" s="638" t="s">
        <v>4120</v>
      </c>
      <c r="D286" s="637" t="s">
        <v>4121</v>
      </c>
      <c r="E286" s="633" t="n">
        <v>0.02</v>
      </c>
      <c r="F286" s="639" t="n">
        <v>1500</v>
      </c>
      <c r="G286" s="636" t="n">
        <f aca="false">E286*F286</f>
        <v>30</v>
      </c>
      <c r="H286" s="571"/>
    </row>
    <row r="287" customFormat="false" ht="15" hidden="false" customHeight="false" outlineLevel="0" collapsed="false">
      <c r="A287" s="571"/>
      <c r="B287" s="500"/>
      <c r="C287" s="638" t="s">
        <v>4122</v>
      </c>
      <c r="D287" s="637" t="s">
        <v>4123</v>
      </c>
      <c r="E287" s="633" t="n">
        <v>0.065</v>
      </c>
      <c r="F287" s="626" t="n">
        <v>800</v>
      </c>
      <c r="G287" s="636" t="n">
        <f aca="false">E287*F287</f>
        <v>52</v>
      </c>
      <c r="H287" s="571"/>
    </row>
    <row r="288" customFormat="false" ht="15" hidden="false" customHeight="false" outlineLevel="0" collapsed="false">
      <c r="A288" s="571"/>
      <c r="B288" s="500"/>
      <c r="C288" s="633" t="s">
        <v>4124</v>
      </c>
      <c r="D288" s="637" t="s">
        <v>4125</v>
      </c>
      <c r="E288" s="633" t="n">
        <v>0.71</v>
      </c>
      <c r="F288" s="626" t="n">
        <v>120</v>
      </c>
      <c r="G288" s="636" t="n">
        <f aca="false">E288*F288</f>
        <v>85.2</v>
      </c>
      <c r="H288" s="571"/>
    </row>
    <row r="289" customFormat="false" ht="15" hidden="false" customHeight="false" outlineLevel="0" collapsed="false">
      <c r="A289" s="571"/>
      <c r="B289" s="500"/>
      <c r="C289" s="633" t="s">
        <v>4126</v>
      </c>
      <c r="D289" s="637" t="s">
        <v>4127</v>
      </c>
      <c r="E289" s="633" t="n">
        <v>0.021</v>
      </c>
      <c r="F289" s="626" t="n">
        <v>2700</v>
      </c>
      <c r="G289" s="636" t="n">
        <f aca="false">E289*F289</f>
        <v>56.7</v>
      </c>
      <c r="H289" s="571"/>
    </row>
    <row r="290" customFormat="false" ht="15" hidden="false" customHeight="false" outlineLevel="0" collapsed="false">
      <c r="A290" s="571"/>
      <c r="B290" s="608" t="s">
        <v>4128</v>
      </c>
      <c r="C290" s="640"/>
      <c r="D290" s="327"/>
      <c r="E290" s="640"/>
      <c r="F290" s="643"/>
      <c r="G290" s="640" t="n">
        <f aca="false">SUM(G280:G289)</f>
        <v>1932.3</v>
      </c>
      <c r="H290" s="571"/>
    </row>
    <row r="291" customFormat="false" ht="45" hidden="false" customHeight="false" outlineLevel="0" collapsed="false">
      <c r="A291" s="571" t="s">
        <v>74</v>
      </c>
      <c r="B291" s="500" t="s">
        <v>2911</v>
      </c>
      <c r="C291" s="633" t="s">
        <v>4226</v>
      </c>
      <c r="D291" s="637" t="s">
        <v>4133</v>
      </c>
      <c r="E291" s="635" t="n">
        <v>0.0035</v>
      </c>
      <c r="F291" s="626" t="n">
        <v>221910</v>
      </c>
      <c r="G291" s="636" t="n">
        <f aca="false">E291*F291</f>
        <v>776.685</v>
      </c>
      <c r="H291" s="571"/>
    </row>
    <row r="292" customFormat="false" ht="15" hidden="false" customHeight="false" outlineLevel="0" collapsed="false">
      <c r="A292" s="571"/>
      <c r="B292" s="500"/>
      <c r="C292" s="633" t="s">
        <v>4225</v>
      </c>
      <c r="D292" s="637" t="s">
        <v>4133</v>
      </c>
      <c r="E292" s="635" t="n">
        <v>0.054</v>
      </c>
      <c r="F292" s="626" t="n">
        <v>15100</v>
      </c>
      <c r="G292" s="636" t="n">
        <f aca="false">E292*F292</f>
        <v>815.4</v>
      </c>
      <c r="H292" s="571"/>
    </row>
    <row r="293" customFormat="false" ht="15" hidden="false" customHeight="false" outlineLevel="0" collapsed="false">
      <c r="A293" s="571"/>
      <c r="B293" s="500"/>
      <c r="C293" s="633" t="s">
        <v>4168</v>
      </c>
      <c r="D293" s="637" t="s">
        <v>4133</v>
      </c>
      <c r="E293" s="635" t="n">
        <v>0.02</v>
      </c>
      <c r="F293" s="626" t="n">
        <v>10976</v>
      </c>
      <c r="G293" s="636" t="n">
        <f aca="false">E293*F293</f>
        <v>219.52</v>
      </c>
      <c r="H293" s="571"/>
    </row>
    <row r="294" customFormat="false" ht="30" hidden="false" customHeight="false" outlineLevel="0" collapsed="false">
      <c r="A294" s="571"/>
      <c r="B294" s="500"/>
      <c r="C294" s="633" t="s">
        <v>4227</v>
      </c>
      <c r="D294" s="637" t="s">
        <v>4133</v>
      </c>
      <c r="E294" s="635" t="n">
        <v>0.017</v>
      </c>
      <c r="F294" s="626" t="n">
        <v>24000</v>
      </c>
      <c r="G294" s="636" t="n">
        <f aca="false">E294*F294</f>
        <v>408</v>
      </c>
      <c r="H294" s="571"/>
    </row>
    <row r="295" customFormat="false" ht="45" hidden="false" customHeight="false" outlineLevel="0" collapsed="false">
      <c r="A295" s="571"/>
      <c r="B295" s="500"/>
      <c r="C295" s="633" t="s">
        <v>4228</v>
      </c>
      <c r="D295" s="637" t="s">
        <v>4131</v>
      </c>
      <c r="E295" s="633" t="s">
        <v>4200</v>
      </c>
      <c r="F295" s="626" t="n">
        <v>15000</v>
      </c>
      <c r="G295" s="636" t="n">
        <f aca="false">E295*F295</f>
        <v>750</v>
      </c>
      <c r="H295" s="606"/>
    </row>
    <row r="296" customFormat="false" ht="15" hidden="false" customHeight="false" outlineLevel="0" collapsed="false">
      <c r="A296" s="571"/>
      <c r="B296" s="608"/>
      <c r="C296" s="633" t="s">
        <v>4229</v>
      </c>
      <c r="D296" s="637" t="s">
        <v>4121</v>
      </c>
      <c r="E296" s="633" t="s">
        <v>4230</v>
      </c>
      <c r="F296" s="626" t="n">
        <v>5000</v>
      </c>
      <c r="G296" s="636" t="n">
        <f aca="false">E296*F296</f>
        <v>500</v>
      </c>
      <c r="H296" s="606"/>
    </row>
    <row r="297" customFormat="false" ht="15" hidden="false" customHeight="false" outlineLevel="0" collapsed="false">
      <c r="A297" s="571"/>
      <c r="B297" s="500"/>
      <c r="C297" s="633" t="s">
        <v>4126</v>
      </c>
      <c r="D297" s="637" t="s">
        <v>4127</v>
      </c>
      <c r="E297" s="633" t="n">
        <v>0.015</v>
      </c>
      <c r="F297" s="626" t="n">
        <v>2700</v>
      </c>
      <c r="G297" s="636" t="n">
        <f aca="false">E297*F297</f>
        <v>40.5</v>
      </c>
      <c r="H297" s="571"/>
    </row>
    <row r="298" customFormat="false" ht="15" hidden="false" customHeight="false" outlineLevel="0" collapsed="false">
      <c r="A298" s="571"/>
      <c r="B298" s="500"/>
      <c r="C298" s="638" t="s">
        <v>4120</v>
      </c>
      <c r="D298" s="637" t="s">
        <v>4121</v>
      </c>
      <c r="E298" s="633" t="n">
        <v>0.02</v>
      </c>
      <c r="F298" s="639" t="n">
        <v>1500</v>
      </c>
      <c r="G298" s="636" t="n">
        <f aca="false">E298*F298</f>
        <v>30</v>
      </c>
      <c r="H298" s="571"/>
    </row>
    <row r="299" customFormat="false" ht="15" hidden="false" customHeight="false" outlineLevel="0" collapsed="false">
      <c r="A299" s="571"/>
      <c r="B299" s="500"/>
      <c r="C299" s="638" t="s">
        <v>4122</v>
      </c>
      <c r="D299" s="637" t="s">
        <v>4123</v>
      </c>
      <c r="E299" s="633" t="n">
        <v>0.065</v>
      </c>
      <c r="F299" s="626" t="n">
        <v>800</v>
      </c>
      <c r="G299" s="636" t="n">
        <f aca="false">E299*F299</f>
        <v>52</v>
      </c>
      <c r="H299" s="571"/>
    </row>
    <row r="300" customFormat="false" ht="15" hidden="false" customHeight="false" outlineLevel="0" collapsed="false">
      <c r="A300" s="571"/>
      <c r="B300" s="500"/>
      <c r="C300" s="633" t="s">
        <v>4124</v>
      </c>
      <c r="D300" s="637" t="s">
        <v>4125</v>
      </c>
      <c r="E300" s="633" t="n">
        <v>0.71</v>
      </c>
      <c r="F300" s="626" t="n">
        <v>120</v>
      </c>
      <c r="G300" s="636" t="n">
        <f aca="false">E300*F300</f>
        <v>85.2</v>
      </c>
      <c r="H300" s="571"/>
    </row>
    <row r="301" customFormat="false" ht="15" hidden="false" customHeight="false" outlineLevel="0" collapsed="false">
      <c r="A301" s="571"/>
      <c r="B301" s="500"/>
      <c r="C301" s="633" t="s">
        <v>4126</v>
      </c>
      <c r="D301" s="637" t="s">
        <v>4127</v>
      </c>
      <c r="E301" s="633" t="n">
        <v>0.021</v>
      </c>
      <c r="F301" s="626" t="n">
        <v>2700</v>
      </c>
      <c r="G301" s="636" t="n">
        <f aca="false">E301*F301</f>
        <v>56.7</v>
      </c>
      <c r="H301" s="571"/>
    </row>
    <row r="302" customFormat="false" ht="15" hidden="false" customHeight="false" outlineLevel="0" collapsed="false">
      <c r="A302" s="571"/>
      <c r="B302" s="608" t="s">
        <v>4128</v>
      </c>
      <c r="C302" s="640"/>
      <c r="D302" s="327"/>
      <c r="E302" s="640"/>
      <c r="F302" s="643"/>
      <c r="G302" s="640" t="n">
        <f aca="false">SUM(G291:G301)</f>
        <v>3734.005</v>
      </c>
      <c r="H302" s="571"/>
    </row>
    <row r="303" customFormat="false" ht="15" hidden="false" customHeight="false" outlineLevel="0" collapsed="false">
      <c r="A303" s="571" t="s">
        <v>76</v>
      </c>
      <c r="B303" s="632" t="s">
        <v>2912</v>
      </c>
      <c r="C303" s="638" t="s">
        <v>4231</v>
      </c>
      <c r="D303" s="637" t="s">
        <v>4133</v>
      </c>
      <c r="E303" s="635" t="n">
        <v>0.001</v>
      </c>
      <c r="F303" s="626" t="n">
        <v>125000</v>
      </c>
      <c r="G303" s="636" t="n">
        <f aca="false">E303*F303</f>
        <v>125</v>
      </c>
      <c r="H303" s="606"/>
    </row>
    <row r="304" customFormat="false" ht="15" hidden="false" customHeight="false" outlineLevel="0" collapsed="false">
      <c r="A304" s="571"/>
      <c r="B304" s="500"/>
      <c r="C304" s="638" t="s">
        <v>4232</v>
      </c>
      <c r="D304" s="637" t="s">
        <v>4133</v>
      </c>
      <c r="E304" s="635" t="n">
        <v>0.05</v>
      </c>
      <c r="F304" s="626" t="n">
        <v>15000</v>
      </c>
      <c r="G304" s="636" t="n">
        <f aca="false">E304*F304</f>
        <v>750</v>
      </c>
      <c r="H304" s="606"/>
    </row>
    <row r="305" customFormat="false" ht="15" hidden="false" customHeight="false" outlineLevel="0" collapsed="false">
      <c r="A305" s="571"/>
      <c r="B305" s="500"/>
      <c r="C305" s="638" t="s">
        <v>4233</v>
      </c>
      <c r="D305" s="637" t="s">
        <v>4133</v>
      </c>
      <c r="E305" s="633" t="n">
        <v>0.003</v>
      </c>
      <c r="F305" s="626" t="n">
        <v>55000</v>
      </c>
      <c r="G305" s="636" t="n">
        <f aca="false">E305*F305</f>
        <v>165</v>
      </c>
      <c r="H305" s="606"/>
    </row>
    <row r="306" customFormat="false" ht="15" hidden="false" customHeight="false" outlineLevel="0" collapsed="false">
      <c r="A306" s="571"/>
      <c r="B306" s="500"/>
      <c r="C306" s="638" t="s">
        <v>4154</v>
      </c>
      <c r="D306" s="637" t="s">
        <v>4133</v>
      </c>
      <c r="E306" s="635" t="n">
        <v>0.01</v>
      </c>
      <c r="F306" s="626" t="n">
        <v>10976</v>
      </c>
      <c r="G306" s="636" t="n">
        <f aca="false">E306*F306</f>
        <v>109.76</v>
      </c>
      <c r="H306" s="571"/>
    </row>
    <row r="307" customFormat="false" ht="15" hidden="false" customHeight="false" outlineLevel="0" collapsed="false">
      <c r="A307" s="571"/>
      <c r="B307" s="500"/>
      <c r="C307" s="638" t="s">
        <v>4171</v>
      </c>
      <c r="D307" s="637" t="s">
        <v>4133</v>
      </c>
      <c r="E307" s="635" t="n">
        <v>0.015</v>
      </c>
      <c r="F307" s="626" t="n">
        <v>18000</v>
      </c>
      <c r="G307" s="636" t="n">
        <f aca="false">E307*F307</f>
        <v>270</v>
      </c>
      <c r="H307" s="571"/>
    </row>
    <row r="308" customFormat="false" ht="15" hidden="false" customHeight="false" outlineLevel="0" collapsed="false">
      <c r="A308" s="571"/>
      <c r="B308" s="608"/>
      <c r="C308" s="638" t="s">
        <v>4234</v>
      </c>
      <c r="D308" s="637" t="s">
        <v>4133</v>
      </c>
      <c r="E308" s="635" t="n">
        <v>0.006</v>
      </c>
      <c r="F308" s="641" t="n">
        <v>25000</v>
      </c>
      <c r="G308" s="636" t="n">
        <f aca="false">E308*F308</f>
        <v>150</v>
      </c>
      <c r="H308" s="606"/>
    </row>
    <row r="309" customFormat="false" ht="15" hidden="false" customHeight="false" outlineLevel="0" collapsed="false">
      <c r="A309" s="571"/>
      <c r="B309" s="608"/>
      <c r="C309" s="638" t="s">
        <v>4183</v>
      </c>
      <c r="D309" s="637" t="s">
        <v>4133</v>
      </c>
      <c r="E309" s="635" t="n">
        <v>0.001</v>
      </c>
      <c r="F309" s="626" t="n">
        <v>15100</v>
      </c>
      <c r="G309" s="636" t="n">
        <f aca="false">E309*F309</f>
        <v>15.1</v>
      </c>
      <c r="H309" s="571"/>
    </row>
    <row r="310" customFormat="false" ht="15" hidden="false" customHeight="false" outlineLevel="0" collapsed="false">
      <c r="A310" s="571"/>
      <c r="B310" s="500"/>
      <c r="C310" s="638" t="s">
        <v>4235</v>
      </c>
      <c r="D310" s="571" t="s">
        <v>4138</v>
      </c>
      <c r="E310" s="629" t="s">
        <v>4186</v>
      </c>
      <c r="F310" s="626" t="n">
        <v>75000</v>
      </c>
      <c r="G310" s="636" t="n">
        <f aca="false">E310*F310</f>
        <v>750</v>
      </c>
      <c r="H310" s="571"/>
    </row>
    <row r="311" customFormat="false" ht="15" hidden="false" customHeight="false" outlineLevel="0" collapsed="false">
      <c r="A311" s="571"/>
      <c r="B311" s="608"/>
      <c r="C311" s="638" t="s">
        <v>4236</v>
      </c>
      <c r="D311" s="637" t="s">
        <v>4133</v>
      </c>
      <c r="E311" s="633" t="n">
        <v>0.005</v>
      </c>
      <c r="F311" s="626" t="n">
        <v>12500</v>
      </c>
      <c r="G311" s="636" t="n">
        <f aca="false">E311*F311</f>
        <v>62.5</v>
      </c>
      <c r="H311" s="606"/>
    </row>
    <row r="312" customFormat="false" ht="15" hidden="false" customHeight="false" outlineLevel="0" collapsed="false">
      <c r="A312" s="571"/>
      <c r="B312" s="500"/>
      <c r="C312" s="638" t="s">
        <v>4237</v>
      </c>
      <c r="D312" s="637" t="s">
        <v>4149</v>
      </c>
      <c r="E312" s="633" t="n">
        <v>0.04</v>
      </c>
      <c r="F312" s="639" t="n">
        <v>7500</v>
      </c>
      <c r="G312" s="636" t="n">
        <f aca="false">E312*F312</f>
        <v>300</v>
      </c>
      <c r="H312" s="606"/>
    </row>
    <row r="313" customFormat="false" ht="15" hidden="false" customHeight="false" outlineLevel="0" collapsed="false">
      <c r="A313" s="571"/>
      <c r="B313" s="500"/>
      <c r="C313" s="638" t="s">
        <v>4122</v>
      </c>
      <c r="D313" s="637" t="s">
        <v>4123</v>
      </c>
      <c r="E313" s="633" t="n">
        <v>0.055</v>
      </c>
      <c r="F313" s="626" t="n">
        <v>800</v>
      </c>
      <c r="G313" s="636" t="n">
        <f aca="false">E313*F313</f>
        <v>44</v>
      </c>
      <c r="H313" s="571"/>
    </row>
    <row r="314" customFormat="false" ht="15" hidden="false" customHeight="false" outlineLevel="0" collapsed="false">
      <c r="A314" s="571"/>
      <c r="B314" s="608"/>
      <c r="C314" s="633" t="s">
        <v>4124</v>
      </c>
      <c r="D314" s="637" t="s">
        <v>4125</v>
      </c>
      <c r="E314" s="633" t="n">
        <v>0.71</v>
      </c>
      <c r="F314" s="626" t="n">
        <v>120</v>
      </c>
      <c r="G314" s="636" t="n">
        <f aca="false">E314*F314</f>
        <v>85.2</v>
      </c>
      <c r="H314" s="571"/>
    </row>
    <row r="315" customFormat="false" ht="15" hidden="false" customHeight="false" outlineLevel="0" collapsed="false">
      <c r="A315" s="571"/>
      <c r="B315" s="500"/>
      <c r="C315" s="633" t="s">
        <v>4126</v>
      </c>
      <c r="D315" s="637" t="s">
        <v>4127</v>
      </c>
      <c r="E315" s="633" t="n">
        <v>0.021</v>
      </c>
      <c r="F315" s="626" t="n">
        <v>2700</v>
      </c>
      <c r="G315" s="636" t="n">
        <f aca="false">E315*F315</f>
        <v>56.7</v>
      </c>
      <c r="H315" s="571"/>
    </row>
    <row r="316" customFormat="false" ht="15" hidden="false" customHeight="false" outlineLevel="0" collapsed="false">
      <c r="A316" s="571"/>
      <c r="B316" s="608" t="s">
        <v>4128</v>
      </c>
      <c r="C316" s="629"/>
      <c r="D316" s="571"/>
      <c r="E316" s="629"/>
      <c r="F316" s="630"/>
      <c r="G316" s="640" t="n">
        <f aca="false">SUM(G303:G315)</f>
        <v>2883.26</v>
      </c>
      <c r="H316" s="571"/>
    </row>
    <row r="317" customFormat="false" ht="15" hidden="false" customHeight="false" outlineLevel="0" collapsed="false">
      <c r="A317" s="571" t="s">
        <v>78</v>
      </c>
      <c r="B317" s="500" t="s">
        <v>4238</v>
      </c>
      <c r="C317" s="636" t="s">
        <v>4239</v>
      </c>
      <c r="D317" s="637" t="s">
        <v>4133</v>
      </c>
      <c r="E317" s="635" t="n">
        <v>0.001</v>
      </c>
      <c r="F317" s="626" t="n">
        <v>35000</v>
      </c>
      <c r="G317" s="636" t="n">
        <f aca="false">E317*F317</f>
        <v>35</v>
      </c>
      <c r="H317" s="606"/>
    </row>
    <row r="318" customFormat="false" ht="15" hidden="false" customHeight="false" outlineLevel="0" collapsed="false">
      <c r="A318" s="571"/>
      <c r="B318" s="500"/>
      <c r="C318" s="633" t="s">
        <v>4225</v>
      </c>
      <c r="D318" s="637" t="s">
        <v>4133</v>
      </c>
      <c r="E318" s="635" t="n">
        <v>0.001</v>
      </c>
      <c r="F318" s="626" t="n">
        <v>15100</v>
      </c>
      <c r="G318" s="636" t="n">
        <f aca="false">E318*F318</f>
        <v>15.1</v>
      </c>
      <c r="H318" s="571"/>
    </row>
    <row r="319" customFormat="false" ht="15" hidden="false" customHeight="false" outlineLevel="0" collapsed="false">
      <c r="A319" s="571"/>
      <c r="B319" s="500"/>
      <c r="C319" s="633" t="s">
        <v>4240</v>
      </c>
      <c r="D319" s="637" t="s">
        <v>4133</v>
      </c>
      <c r="E319" s="635" t="n">
        <v>0.001</v>
      </c>
      <c r="F319" s="626" t="n">
        <v>48000</v>
      </c>
      <c r="G319" s="636" t="n">
        <f aca="false">E319*F319</f>
        <v>48</v>
      </c>
      <c r="H319" s="606"/>
    </row>
    <row r="320" customFormat="false" ht="30" hidden="false" customHeight="false" outlineLevel="0" collapsed="false">
      <c r="A320" s="571"/>
      <c r="B320" s="500"/>
      <c r="C320" s="633" t="s">
        <v>4241</v>
      </c>
      <c r="D320" s="571" t="s">
        <v>4133</v>
      </c>
      <c r="E320" s="633" t="n">
        <v>0.001</v>
      </c>
      <c r="F320" s="626" t="s">
        <v>4242</v>
      </c>
      <c r="G320" s="636" t="n">
        <f aca="false">E320*F320</f>
        <v>65</v>
      </c>
      <c r="H320" s="606"/>
    </row>
    <row r="321" customFormat="false" ht="15" hidden="false" customHeight="false" outlineLevel="0" collapsed="false">
      <c r="A321" s="571"/>
      <c r="B321" s="500"/>
      <c r="C321" s="647" t="s">
        <v>4243</v>
      </c>
      <c r="D321" s="571" t="s">
        <v>4133</v>
      </c>
      <c r="E321" s="635" t="n">
        <v>0.001</v>
      </c>
      <c r="F321" s="648" t="n">
        <v>5125</v>
      </c>
      <c r="G321" s="636" t="n">
        <f aca="false">E321*F321</f>
        <v>5.125</v>
      </c>
      <c r="H321" s="606"/>
    </row>
    <row r="322" customFormat="false" ht="15" hidden="false" customHeight="false" outlineLevel="0" collapsed="false">
      <c r="A322" s="571"/>
      <c r="B322" s="608"/>
      <c r="C322" s="633" t="s">
        <v>4244</v>
      </c>
      <c r="D322" s="637" t="s">
        <v>4133</v>
      </c>
      <c r="E322" s="635" t="n">
        <v>0.001</v>
      </c>
      <c r="F322" s="626" t="n">
        <v>57000</v>
      </c>
      <c r="G322" s="636" t="n">
        <f aca="false">E322*F322</f>
        <v>57</v>
      </c>
      <c r="H322" s="606"/>
    </row>
    <row r="323" customFormat="false" ht="15" hidden="false" customHeight="false" outlineLevel="0" collapsed="false">
      <c r="A323" s="571"/>
      <c r="B323" s="500"/>
      <c r="C323" s="633" t="s">
        <v>4245</v>
      </c>
      <c r="D323" s="571" t="s">
        <v>4138</v>
      </c>
      <c r="E323" s="629" t="s">
        <v>4200</v>
      </c>
      <c r="F323" s="626" t="n">
        <v>25000</v>
      </c>
      <c r="G323" s="636" t="n">
        <f aca="false">E323*F323</f>
        <v>1250</v>
      </c>
      <c r="H323" s="606"/>
    </row>
    <row r="324" customFormat="false" ht="15" hidden="false" customHeight="false" outlineLevel="0" collapsed="false">
      <c r="A324" s="571"/>
      <c r="B324" s="500"/>
      <c r="C324" s="638" t="s">
        <v>4120</v>
      </c>
      <c r="D324" s="637" t="s">
        <v>4121</v>
      </c>
      <c r="E324" s="633" t="n">
        <v>0.02</v>
      </c>
      <c r="F324" s="639" t="n">
        <v>1500</v>
      </c>
      <c r="G324" s="636" t="n">
        <f aca="false">E324*F324</f>
        <v>30</v>
      </c>
      <c r="H324" s="571"/>
    </row>
    <row r="325" customFormat="false" ht="15" hidden="false" customHeight="false" outlineLevel="0" collapsed="false">
      <c r="A325" s="571"/>
      <c r="B325" s="500"/>
      <c r="C325" s="638" t="s">
        <v>4122</v>
      </c>
      <c r="D325" s="637" t="s">
        <v>4123</v>
      </c>
      <c r="E325" s="633" t="n">
        <v>0.065</v>
      </c>
      <c r="F325" s="626" t="n">
        <v>800</v>
      </c>
      <c r="G325" s="636" t="n">
        <f aca="false">E325*F325</f>
        <v>52</v>
      </c>
      <c r="H325" s="571"/>
    </row>
    <row r="326" customFormat="false" ht="15" hidden="false" customHeight="false" outlineLevel="0" collapsed="false">
      <c r="A326" s="571"/>
      <c r="B326" s="608"/>
      <c r="C326" s="633" t="s">
        <v>4124</v>
      </c>
      <c r="D326" s="637" t="s">
        <v>4125</v>
      </c>
      <c r="E326" s="633" t="n">
        <v>0.71</v>
      </c>
      <c r="F326" s="626" t="n">
        <v>120</v>
      </c>
      <c r="G326" s="636" t="n">
        <f aca="false">E326*F326</f>
        <v>85.2</v>
      </c>
      <c r="H326" s="571"/>
    </row>
    <row r="327" customFormat="false" ht="15" hidden="false" customHeight="false" outlineLevel="0" collapsed="false">
      <c r="A327" s="571"/>
      <c r="B327" s="500"/>
      <c r="C327" s="633" t="s">
        <v>4126</v>
      </c>
      <c r="D327" s="637" t="s">
        <v>4127</v>
      </c>
      <c r="E327" s="633" t="n">
        <v>0.021</v>
      </c>
      <c r="F327" s="626" t="n">
        <v>2700</v>
      </c>
      <c r="G327" s="636" t="n">
        <f aca="false">E327*F327</f>
        <v>56.7</v>
      </c>
      <c r="H327" s="571"/>
    </row>
    <row r="328" customFormat="false" ht="15" hidden="false" customHeight="false" outlineLevel="0" collapsed="false">
      <c r="A328" s="571"/>
      <c r="B328" s="608" t="s">
        <v>4128</v>
      </c>
      <c r="C328" s="629"/>
      <c r="D328" s="571"/>
      <c r="E328" s="629"/>
      <c r="F328" s="630"/>
      <c r="G328" s="640" t="n">
        <f aca="false">SUM(G317:G327)</f>
        <v>1699.125</v>
      </c>
      <c r="H328" s="571"/>
    </row>
    <row r="329" customFormat="false" ht="15" hidden="false" customHeight="false" outlineLevel="0" collapsed="false">
      <c r="A329" s="571" t="s">
        <v>80</v>
      </c>
      <c r="B329" s="632" t="s">
        <v>2914</v>
      </c>
      <c r="C329" s="635" t="s">
        <v>4246</v>
      </c>
      <c r="D329" s="571" t="s">
        <v>4138</v>
      </c>
      <c r="E329" s="629" t="s">
        <v>4247</v>
      </c>
      <c r="F329" s="648" t="n">
        <v>150000</v>
      </c>
      <c r="G329" s="636" t="n">
        <f aca="false">E329*F329</f>
        <v>16500</v>
      </c>
      <c r="H329" s="606"/>
    </row>
    <row r="330" customFormat="false" ht="15" hidden="false" customHeight="false" outlineLevel="0" collapsed="false">
      <c r="A330" s="571"/>
      <c r="B330" s="500"/>
      <c r="C330" s="635" t="s">
        <v>4158</v>
      </c>
      <c r="D330" s="634" t="s">
        <v>4133</v>
      </c>
      <c r="E330" s="635" t="n">
        <v>0.01</v>
      </c>
      <c r="F330" s="648" t="n">
        <v>7000</v>
      </c>
      <c r="G330" s="636" t="n">
        <f aca="false">E330*F330</f>
        <v>70</v>
      </c>
      <c r="H330" s="571"/>
    </row>
    <row r="331" customFormat="false" ht="15" hidden="false" customHeight="false" outlineLevel="0" collapsed="false">
      <c r="A331" s="571"/>
      <c r="B331" s="500"/>
      <c r="C331" s="638" t="s">
        <v>4248</v>
      </c>
      <c r="D331" s="637" t="s">
        <v>4133</v>
      </c>
      <c r="E331" s="635" t="n">
        <v>0.01</v>
      </c>
      <c r="F331" s="626" t="s">
        <v>4249</v>
      </c>
      <c r="G331" s="636" t="n">
        <f aca="false">E331*F331</f>
        <v>60.48</v>
      </c>
      <c r="H331" s="571"/>
    </row>
    <row r="332" customFormat="false" ht="15" hidden="false" customHeight="false" outlineLevel="0" collapsed="false">
      <c r="A332" s="571"/>
      <c r="B332" s="608"/>
      <c r="C332" s="635" t="s">
        <v>4250</v>
      </c>
      <c r="D332" s="637" t="s">
        <v>4133</v>
      </c>
      <c r="E332" s="635" t="n">
        <v>0.02</v>
      </c>
      <c r="F332" s="648" t="n">
        <v>25000</v>
      </c>
      <c r="G332" s="636" t="n">
        <f aca="false">E332*F332</f>
        <v>500</v>
      </c>
      <c r="H332" s="571"/>
    </row>
    <row r="333" customFormat="false" ht="15" hidden="false" customHeight="false" outlineLevel="0" collapsed="false">
      <c r="A333" s="571"/>
      <c r="B333" s="608"/>
      <c r="C333" s="635" t="s">
        <v>4212</v>
      </c>
      <c r="D333" s="637" t="s">
        <v>4133</v>
      </c>
      <c r="E333" s="635" t="n">
        <v>0.01</v>
      </c>
      <c r="F333" s="648" t="n">
        <v>32480</v>
      </c>
      <c r="G333" s="636" t="n">
        <f aca="false">E333*F333</f>
        <v>324.8</v>
      </c>
      <c r="H333" s="571"/>
    </row>
    <row r="334" customFormat="false" ht="15" hidden="false" customHeight="false" outlineLevel="0" collapsed="false">
      <c r="A334" s="571"/>
      <c r="B334" s="500"/>
      <c r="C334" s="635" t="s">
        <v>4147</v>
      </c>
      <c r="D334" s="637" t="s">
        <v>4133</v>
      </c>
      <c r="E334" s="635" t="n">
        <v>0.01</v>
      </c>
      <c r="F334" s="626" t="n">
        <v>14.039</v>
      </c>
      <c r="G334" s="636" t="n">
        <v>140.39</v>
      </c>
      <c r="H334" s="571"/>
    </row>
    <row r="335" customFormat="false" ht="15" hidden="false" customHeight="false" outlineLevel="0" collapsed="false">
      <c r="A335" s="571"/>
      <c r="B335" s="500"/>
      <c r="C335" s="635" t="s">
        <v>4251</v>
      </c>
      <c r="D335" s="634" t="s">
        <v>4252</v>
      </c>
      <c r="E335" s="635" t="n">
        <v>0.002</v>
      </c>
      <c r="F335" s="648" t="n">
        <v>275000</v>
      </c>
      <c r="G335" s="636" t="n">
        <f aca="false">E335*F335</f>
        <v>550</v>
      </c>
      <c r="H335" s="571"/>
    </row>
    <row r="336" customFormat="false" ht="15" hidden="false" customHeight="false" outlineLevel="0" collapsed="false">
      <c r="A336" s="571"/>
      <c r="B336" s="500"/>
      <c r="C336" s="638" t="s">
        <v>4120</v>
      </c>
      <c r="D336" s="637" t="s">
        <v>4121</v>
      </c>
      <c r="E336" s="633" t="n">
        <v>0.02</v>
      </c>
      <c r="F336" s="639" t="n">
        <v>1500</v>
      </c>
      <c r="G336" s="636" t="n">
        <f aca="false">E336*F336</f>
        <v>30</v>
      </c>
      <c r="H336" s="571"/>
    </row>
    <row r="337" customFormat="false" ht="15" hidden="false" customHeight="false" outlineLevel="0" collapsed="false">
      <c r="A337" s="571"/>
      <c r="B337" s="500"/>
      <c r="C337" s="638" t="s">
        <v>4122</v>
      </c>
      <c r="D337" s="637" t="s">
        <v>4123</v>
      </c>
      <c r="E337" s="633" t="n">
        <v>0.065</v>
      </c>
      <c r="F337" s="626" t="n">
        <v>800</v>
      </c>
      <c r="G337" s="636" t="n">
        <f aca="false">E337*F337</f>
        <v>52</v>
      </c>
      <c r="H337" s="571"/>
    </row>
    <row r="338" customFormat="false" ht="15" hidden="false" customHeight="false" outlineLevel="0" collapsed="false">
      <c r="A338" s="571"/>
      <c r="B338" s="500"/>
      <c r="C338" s="633" t="s">
        <v>4124</v>
      </c>
      <c r="D338" s="637" t="s">
        <v>4125</v>
      </c>
      <c r="E338" s="633" t="n">
        <v>0.71</v>
      </c>
      <c r="F338" s="626" t="n">
        <v>120</v>
      </c>
      <c r="G338" s="636" t="n">
        <f aca="false">E338*F338</f>
        <v>85.2</v>
      </c>
      <c r="H338" s="571"/>
    </row>
    <row r="339" customFormat="false" ht="15" hidden="false" customHeight="false" outlineLevel="0" collapsed="false">
      <c r="A339" s="571"/>
      <c r="B339" s="500"/>
      <c r="C339" s="633" t="s">
        <v>4126</v>
      </c>
      <c r="D339" s="637" t="s">
        <v>4127</v>
      </c>
      <c r="E339" s="633" t="n">
        <v>0.021</v>
      </c>
      <c r="F339" s="626" t="n">
        <v>2700</v>
      </c>
      <c r="G339" s="636" t="n">
        <f aca="false">E339*F339</f>
        <v>56.7</v>
      </c>
      <c r="H339" s="571"/>
    </row>
    <row r="340" customFormat="false" ht="15" hidden="false" customHeight="false" outlineLevel="0" collapsed="false">
      <c r="A340" s="571"/>
      <c r="B340" s="608" t="s">
        <v>4128</v>
      </c>
      <c r="C340" s="629"/>
      <c r="D340" s="571"/>
      <c r="E340" s="629"/>
      <c r="F340" s="630"/>
      <c r="G340" s="640" t="n">
        <f aca="false">SUM(G329:G339)</f>
        <v>18369.57</v>
      </c>
      <c r="H340" s="571"/>
    </row>
    <row r="341" customFormat="false" ht="30" hidden="false" customHeight="false" outlineLevel="0" collapsed="false">
      <c r="A341" s="571" t="s">
        <v>82</v>
      </c>
      <c r="B341" s="632" t="s">
        <v>2915</v>
      </c>
      <c r="C341" s="633" t="s">
        <v>4253</v>
      </c>
      <c r="D341" s="637" t="s">
        <v>4133</v>
      </c>
      <c r="E341" s="635" t="n">
        <v>0.011</v>
      </c>
      <c r="F341" s="626" t="n">
        <v>25000</v>
      </c>
      <c r="G341" s="636" t="n">
        <f aca="false">E341*F341</f>
        <v>275</v>
      </c>
      <c r="H341" s="606"/>
    </row>
    <row r="342" customFormat="false" ht="15" hidden="false" customHeight="false" outlineLevel="0" collapsed="false">
      <c r="A342" s="571"/>
      <c r="B342" s="500"/>
      <c r="C342" s="633" t="s">
        <v>4154</v>
      </c>
      <c r="D342" s="637" t="s">
        <v>4133</v>
      </c>
      <c r="E342" s="635" t="n">
        <v>0.004</v>
      </c>
      <c r="F342" s="626" t="n">
        <v>10976</v>
      </c>
      <c r="G342" s="636" t="n">
        <f aca="false">E342*F342</f>
        <v>43.904</v>
      </c>
      <c r="H342" s="571"/>
    </row>
    <row r="343" customFormat="false" ht="15" hidden="false" customHeight="false" outlineLevel="0" collapsed="false">
      <c r="A343" s="571"/>
      <c r="B343" s="500"/>
      <c r="C343" s="633" t="s">
        <v>4254</v>
      </c>
      <c r="D343" s="637" t="s">
        <v>4133</v>
      </c>
      <c r="E343" s="635" t="n">
        <v>0.025</v>
      </c>
      <c r="F343" s="626" t="n">
        <v>15000</v>
      </c>
      <c r="G343" s="636" t="n">
        <f aca="false">E343*F343</f>
        <v>375</v>
      </c>
      <c r="H343" s="606"/>
    </row>
    <row r="344" customFormat="false" ht="15" hidden="false" customHeight="false" outlineLevel="0" collapsed="false">
      <c r="A344" s="571"/>
      <c r="B344" s="608"/>
      <c r="C344" s="633" t="s">
        <v>4255</v>
      </c>
      <c r="D344" s="571" t="s">
        <v>4138</v>
      </c>
      <c r="E344" s="629" t="s">
        <v>4200</v>
      </c>
      <c r="F344" s="626" t="n">
        <v>17000</v>
      </c>
      <c r="G344" s="636" t="n">
        <f aca="false">E344*F344</f>
        <v>850</v>
      </c>
      <c r="H344" s="606"/>
    </row>
    <row r="345" customFormat="false" ht="30" hidden="false" customHeight="false" outlineLevel="0" collapsed="false">
      <c r="A345" s="571"/>
      <c r="B345" s="500"/>
      <c r="C345" s="633" t="s">
        <v>4256</v>
      </c>
      <c r="D345" s="637" t="s">
        <v>4133</v>
      </c>
      <c r="E345" s="635" t="n">
        <v>0.016</v>
      </c>
      <c r="F345" s="626" t="n">
        <v>17500</v>
      </c>
      <c r="G345" s="636" t="n">
        <f aca="false">E345*F345</f>
        <v>280</v>
      </c>
      <c r="H345" s="606"/>
    </row>
    <row r="346" customFormat="false" ht="15" hidden="false" customHeight="false" outlineLevel="0" collapsed="false">
      <c r="A346" s="571"/>
      <c r="B346" s="608"/>
      <c r="C346" s="633" t="s">
        <v>4257</v>
      </c>
      <c r="D346" s="637" t="s">
        <v>4133</v>
      </c>
      <c r="E346" s="633" t="n">
        <v>0.007</v>
      </c>
      <c r="F346" s="626" t="n">
        <v>18000</v>
      </c>
      <c r="G346" s="636" t="n">
        <f aca="false">E346*F346</f>
        <v>126</v>
      </c>
      <c r="H346" s="571"/>
    </row>
    <row r="347" customFormat="false" ht="15" hidden="false" customHeight="false" outlineLevel="0" collapsed="false">
      <c r="A347" s="571"/>
      <c r="B347" s="500"/>
      <c r="C347" s="638" t="s">
        <v>4120</v>
      </c>
      <c r="D347" s="637" t="s">
        <v>4121</v>
      </c>
      <c r="E347" s="633" t="n">
        <v>0.02</v>
      </c>
      <c r="F347" s="639" t="n">
        <v>1500</v>
      </c>
      <c r="G347" s="636" t="n">
        <f aca="false">E347*F347</f>
        <v>30</v>
      </c>
      <c r="H347" s="571"/>
    </row>
    <row r="348" customFormat="false" ht="15" hidden="false" customHeight="false" outlineLevel="0" collapsed="false">
      <c r="A348" s="571"/>
      <c r="B348" s="500"/>
      <c r="C348" s="649" t="s">
        <v>4258</v>
      </c>
      <c r="D348" s="637" t="s">
        <v>4149</v>
      </c>
      <c r="E348" s="633" t="n">
        <v>0.001</v>
      </c>
      <c r="F348" s="626" t="n">
        <v>59000</v>
      </c>
      <c r="G348" s="636" t="n">
        <f aca="false">E348*F348</f>
        <v>59</v>
      </c>
      <c r="H348" s="606"/>
    </row>
    <row r="349" customFormat="false" ht="15" hidden="false" customHeight="false" outlineLevel="0" collapsed="false">
      <c r="A349" s="571"/>
      <c r="B349" s="500"/>
      <c r="C349" s="633" t="s">
        <v>4124</v>
      </c>
      <c r="D349" s="637" t="s">
        <v>4125</v>
      </c>
      <c r="E349" s="633" t="n">
        <v>0.71</v>
      </c>
      <c r="F349" s="626" t="n">
        <v>120</v>
      </c>
      <c r="G349" s="636" t="n">
        <f aca="false">E349*F349</f>
        <v>85.2</v>
      </c>
      <c r="H349" s="571"/>
    </row>
    <row r="350" customFormat="false" ht="15" hidden="false" customHeight="false" outlineLevel="0" collapsed="false">
      <c r="A350" s="571"/>
      <c r="B350" s="500"/>
      <c r="C350" s="633" t="s">
        <v>4126</v>
      </c>
      <c r="D350" s="637" t="s">
        <v>4127</v>
      </c>
      <c r="E350" s="633" t="n">
        <v>0.021</v>
      </c>
      <c r="F350" s="626" t="n">
        <v>2700</v>
      </c>
      <c r="G350" s="636" t="n">
        <f aca="false">E350*F350</f>
        <v>56.7</v>
      </c>
      <c r="H350" s="571"/>
    </row>
    <row r="351" customFormat="false" ht="15" hidden="false" customHeight="false" outlineLevel="0" collapsed="false">
      <c r="A351" s="571"/>
      <c r="B351" s="608" t="s">
        <v>4128</v>
      </c>
      <c r="C351" s="640"/>
      <c r="D351" s="327"/>
      <c r="E351" s="640"/>
      <c r="F351" s="643"/>
      <c r="G351" s="640" t="n">
        <f aca="false">SUM(G341:G350)</f>
        <v>2180.804</v>
      </c>
      <c r="H351" s="571"/>
    </row>
    <row r="352" customFormat="false" ht="15" hidden="false" customHeight="false" outlineLevel="0" collapsed="false">
      <c r="A352" s="571" t="s">
        <v>84</v>
      </c>
      <c r="B352" s="500" t="s">
        <v>4259</v>
      </c>
      <c r="C352" s="629" t="s">
        <v>4260</v>
      </c>
      <c r="D352" s="571" t="s">
        <v>4138</v>
      </c>
      <c r="E352" s="629" t="s">
        <v>4200</v>
      </c>
      <c r="F352" s="648" t="n">
        <v>20000</v>
      </c>
      <c r="G352" s="636" t="n">
        <f aca="false">E352*F352</f>
        <v>1000</v>
      </c>
      <c r="H352" s="571"/>
    </row>
    <row r="353" customFormat="false" ht="30" hidden="false" customHeight="false" outlineLevel="0" collapsed="false">
      <c r="A353" s="571"/>
      <c r="B353" s="500"/>
      <c r="C353" s="629" t="s">
        <v>4261</v>
      </c>
      <c r="D353" s="571" t="s">
        <v>4133</v>
      </c>
      <c r="E353" s="633" t="n">
        <v>0.01</v>
      </c>
      <c r="F353" s="639" t="n">
        <v>10500</v>
      </c>
      <c r="G353" s="636" t="n">
        <f aca="false">E353*F353</f>
        <v>105</v>
      </c>
      <c r="H353" s="571"/>
    </row>
    <row r="354" customFormat="false" ht="15" hidden="false" customHeight="false" outlineLevel="0" collapsed="false">
      <c r="A354" s="571"/>
      <c r="B354" s="500"/>
      <c r="C354" s="629" t="s">
        <v>4262</v>
      </c>
      <c r="D354" s="571" t="s">
        <v>4133</v>
      </c>
      <c r="E354" s="633" t="n">
        <v>0.01</v>
      </c>
      <c r="F354" s="626" t="n">
        <v>12000</v>
      </c>
      <c r="G354" s="636" t="n">
        <f aca="false">E354*F354</f>
        <v>120</v>
      </c>
      <c r="H354" s="571"/>
    </row>
    <row r="355" customFormat="false" ht="15" hidden="false" customHeight="false" outlineLevel="0" collapsed="false">
      <c r="A355" s="571"/>
      <c r="B355" s="500"/>
      <c r="C355" s="629" t="s">
        <v>4263</v>
      </c>
      <c r="D355" s="571" t="s">
        <v>4133</v>
      </c>
      <c r="E355" s="633" t="n">
        <v>0.01</v>
      </c>
      <c r="F355" s="648" t="n">
        <v>18000</v>
      </c>
      <c r="G355" s="636" t="n">
        <f aca="false">E355*F355</f>
        <v>180</v>
      </c>
      <c r="H355" s="571"/>
    </row>
    <row r="356" customFormat="false" ht="15" hidden="false" customHeight="false" outlineLevel="0" collapsed="false">
      <c r="A356" s="571"/>
      <c r="B356" s="500"/>
      <c r="C356" s="629" t="s">
        <v>4264</v>
      </c>
      <c r="D356" s="571" t="s">
        <v>4133</v>
      </c>
      <c r="E356" s="633" t="n">
        <v>0.005</v>
      </c>
      <c r="F356" s="644" t="n">
        <v>60000</v>
      </c>
      <c r="G356" s="636" t="n">
        <f aca="false">E356*F356</f>
        <v>300</v>
      </c>
      <c r="H356" s="571"/>
    </row>
    <row r="357" customFormat="false" ht="15" hidden="false" customHeight="false" outlineLevel="0" collapsed="false">
      <c r="A357" s="571"/>
      <c r="B357" s="608"/>
      <c r="C357" s="629" t="s">
        <v>4265</v>
      </c>
      <c r="D357" s="571" t="s">
        <v>4133</v>
      </c>
      <c r="E357" s="635" t="n">
        <v>0.005</v>
      </c>
      <c r="F357" s="648" t="n">
        <v>31360</v>
      </c>
      <c r="G357" s="636" t="n">
        <f aca="false">E357*F357</f>
        <v>156.8</v>
      </c>
      <c r="H357" s="571"/>
    </row>
    <row r="358" customFormat="false" ht="30" hidden="false" customHeight="false" outlineLevel="0" collapsed="false">
      <c r="A358" s="571"/>
      <c r="B358" s="500"/>
      <c r="C358" s="629" t="s">
        <v>4227</v>
      </c>
      <c r="D358" s="571" t="s">
        <v>4133</v>
      </c>
      <c r="E358" s="633" t="n">
        <v>0.001</v>
      </c>
      <c r="F358" s="626" t="n">
        <v>24000</v>
      </c>
      <c r="G358" s="636" t="n">
        <f aca="false">E358*F358</f>
        <v>24</v>
      </c>
      <c r="H358" s="571"/>
    </row>
    <row r="359" customFormat="false" ht="15" hidden="false" customHeight="false" outlineLevel="0" collapsed="false">
      <c r="A359" s="571"/>
      <c r="B359" s="500"/>
      <c r="C359" s="629" t="s">
        <v>4266</v>
      </c>
      <c r="D359" s="571" t="s">
        <v>4133</v>
      </c>
      <c r="E359" s="633" t="n">
        <v>0.01</v>
      </c>
      <c r="F359" s="626" t="n">
        <v>12320</v>
      </c>
      <c r="G359" s="636" t="n">
        <f aca="false">E359*F359</f>
        <v>123.2</v>
      </c>
      <c r="H359" s="571"/>
    </row>
    <row r="360" customFormat="false" ht="15" hidden="false" customHeight="false" outlineLevel="0" collapsed="false">
      <c r="A360" s="571"/>
      <c r="B360" s="500"/>
      <c r="C360" s="629" t="s">
        <v>4158</v>
      </c>
      <c r="D360" s="571" t="s">
        <v>4133</v>
      </c>
      <c r="E360" s="633" t="n">
        <v>0.01</v>
      </c>
      <c r="F360" s="626" t="n">
        <v>7000</v>
      </c>
      <c r="G360" s="636" t="n">
        <f aca="false">E360*F360</f>
        <v>70</v>
      </c>
      <c r="H360" s="571"/>
    </row>
    <row r="361" customFormat="false" ht="15" hidden="false" customHeight="false" outlineLevel="0" collapsed="false">
      <c r="A361" s="571"/>
      <c r="B361" s="500"/>
      <c r="C361" s="629" t="s">
        <v>4147</v>
      </c>
      <c r="D361" s="571" t="s">
        <v>4133</v>
      </c>
      <c r="E361" s="635" t="n">
        <v>0.01</v>
      </c>
      <c r="F361" s="626" t="n">
        <v>14039</v>
      </c>
      <c r="G361" s="636" t="n">
        <f aca="false">E361*F361</f>
        <v>140.39</v>
      </c>
      <c r="H361" s="571"/>
    </row>
    <row r="362" customFormat="false" ht="15" hidden="false" customHeight="false" outlineLevel="0" collapsed="false">
      <c r="A362" s="571"/>
      <c r="B362" s="500"/>
      <c r="C362" s="629" t="s">
        <v>4225</v>
      </c>
      <c r="D362" s="571" t="s">
        <v>4133</v>
      </c>
      <c r="E362" s="633" t="n">
        <v>0.01</v>
      </c>
      <c r="F362" s="639" t="n">
        <v>15100</v>
      </c>
      <c r="G362" s="636" t="n">
        <f aca="false">E362*F362</f>
        <v>151</v>
      </c>
      <c r="H362" s="571"/>
    </row>
    <row r="363" customFormat="false" ht="15" hidden="false" customHeight="false" outlineLevel="0" collapsed="false">
      <c r="A363" s="571"/>
      <c r="B363" s="608"/>
      <c r="C363" s="638" t="s">
        <v>4120</v>
      </c>
      <c r="D363" s="637" t="s">
        <v>4121</v>
      </c>
      <c r="E363" s="633" t="n">
        <v>0.02</v>
      </c>
      <c r="F363" s="639" t="n">
        <v>1500</v>
      </c>
      <c r="G363" s="636" t="n">
        <f aca="false">E363*F363</f>
        <v>30</v>
      </c>
      <c r="H363" s="571"/>
    </row>
    <row r="364" customFormat="false" ht="15" hidden="false" customHeight="false" outlineLevel="0" collapsed="false">
      <c r="A364" s="571"/>
      <c r="B364" s="608"/>
      <c r="C364" s="638" t="s">
        <v>4122</v>
      </c>
      <c r="D364" s="637" t="s">
        <v>4123</v>
      </c>
      <c r="E364" s="633" t="n">
        <v>0.065</v>
      </c>
      <c r="F364" s="626" t="n">
        <v>800</v>
      </c>
      <c r="G364" s="636" t="n">
        <f aca="false">E364*F364</f>
        <v>52</v>
      </c>
      <c r="H364" s="571"/>
    </row>
    <row r="365" customFormat="false" ht="15" hidden="false" customHeight="false" outlineLevel="0" collapsed="false">
      <c r="A365" s="571"/>
      <c r="B365" s="500"/>
      <c r="C365" s="633" t="s">
        <v>4124</v>
      </c>
      <c r="D365" s="637" t="s">
        <v>4125</v>
      </c>
      <c r="E365" s="633" t="n">
        <v>0.055</v>
      </c>
      <c r="F365" s="626" t="n">
        <v>120</v>
      </c>
      <c r="G365" s="636" t="n">
        <f aca="false">E365*F365</f>
        <v>6.6</v>
      </c>
      <c r="H365" s="571"/>
    </row>
    <row r="366" customFormat="false" ht="15" hidden="false" customHeight="false" outlineLevel="0" collapsed="false">
      <c r="A366" s="571"/>
      <c r="B366" s="608"/>
      <c r="C366" s="633" t="s">
        <v>4126</v>
      </c>
      <c r="D366" s="637" t="s">
        <v>4127</v>
      </c>
      <c r="E366" s="633" t="n">
        <v>0.021</v>
      </c>
      <c r="F366" s="626" t="n">
        <v>2700</v>
      </c>
      <c r="G366" s="636" t="n">
        <f aca="false">E366*F366</f>
        <v>56.7</v>
      </c>
      <c r="H366" s="571"/>
    </row>
    <row r="367" customFormat="false" ht="15" hidden="false" customHeight="false" outlineLevel="0" collapsed="false">
      <c r="A367" s="571"/>
      <c r="B367" s="608" t="s">
        <v>4128</v>
      </c>
      <c r="C367" s="629"/>
      <c r="D367" s="571"/>
      <c r="E367" s="629"/>
      <c r="F367" s="630"/>
      <c r="G367" s="640" t="n">
        <f aca="false">SUM(G352:G366)</f>
        <v>2515.69</v>
      </c>
      <c r="H367" s="571"/>
    </row>
    <row r="368" customFormat="false" ht="15" hidden="false" customHeight="false" outlineLevel="0" collapsed="false">
      <c r="A368" s="571" t="s">
        <v>86</v>
      </c>
      <c r="B368" s="500" t="s">
        <v>3269</v>
      </c>
      <c r="C368" s="650" t="s">
        <v>4189</v>
      </c>
      <c r="D368" s="637" t="s">
        <v>4127</v>
      </c>
      <c r="E368" s="629" t="s">
        <v>4267</v>
      </c>
      <c r="F368" s="630" t="n">
        <v>3559.84</v>
      </c>
      <c r="G368" s="636" t="n">
        <f aca="false">E368*F368</f>
        <v>71.1968</v>
      </c>
      <c r="H368" s="571"/>
    </row>
    <row r="369" customFormat="false" ht="15" hidden="false" customHeight="false" outlineLevel="0" collapsed="false">
      <c r="A369" s="571"/>
      <c r="B369" s="500"/>
      <c r="C369" s="633" t="s">
        <v>4268</v>
      </c>
      <c r="D369" s="571" t="s">
        <v>4138</v>
      </c>
      <c r="E369" s="629" t="n">
        <v>0.01</v>
      </c>
      <c r="F369" s="630" t="n">
        <v>1441</v>
      </c>
      <c r="G369" s="636" t="n">
        <f aca="false">E369*F369</f>
        <v>14.41</v>
      </c>
      <c r="H369" s="606"/>
    </row>
    <row r="370" customFormat="false" ht="15" hidden="false" customHeight="false" outlineLevel="0" collapsed="false">
      <c r="A370" s="571"/>
      <c r="B370" s="608"/>
      <c r="C370" s="650" t="s">
        <v>4269</v>
      </c>
      <c r="D370" s="637" t="s">
        <v>4133</v>
      </c>
      <c r="E370" s="633" t="s">
        <v>4267</v>
      </c>
      <c r="F370" s="639" t="n">
        <v>13500</v>
      </c>
      <c r="G370" s="636" t="n">
        <f aca="false">E370*F370</f>
        <v>270</v>
      </c>
      <c r="H370" s="606"/>
    </row>
    <row r="371" customFormat="false" ht="15" hidden="false" customHeight="false" outlineLevel="0" collapsed="false">
      <c r="A371" s="571"/>
      <c r="B371" s="500"/>
      <c r="C371" s="638" t="s">
        <v>4120</v>
      </c>
      <c r="D371" s="637" t="s">
        <v>4121</v>
      </c>
      <c r="E371" s="633" t="n">
        <v>0.02</v>
      </c>
      <c r="F371" s="639" t="n">
        <v>1500</v>
      </c>
      <c r="G371" s="636" t="n">
        <f aca="false">E371*F371</f>
        <v>30</v>
      </c>
      <c r="H371" s="571"/>
    </row>
    <row r="372" customFormat="false" ht="15" hidden="false" customHeight="false" outlineLevel="0" collapsed="false">
      <c r="A372" s="571"/>
      <c r="B372" s="500"/>
      <c r="C372" s="638" t="s">
        <v>4122</v>
      </c>
      <c r="D372" s="637" t="s">
        <v>4123</v>
      </c>
      <c r="E372" s="633" t="n">
        <v>0.05</v>
      </c>
      <c r="F372" s="626" t="n">
        <v>800</v>
      </c>
      <c r="G372" s="636" t="n">
        <f aca="false">E372*F372</f>
        <v>40</v>
      </c>
      <c r="H372" s="571"/>
    </row>
    <row r="373" customFormat="false" ht="15" hidden="false" customHeight="false" outlineLevel="0" collapsed="false">
      <c r="A373" s="571"/>
      <c r="B373" s="500"/>
      <c r="C373" s="633" t="s">
        <v>4270</v>
      </c>
      <c r="D373" s="637" t="s">
        <v>4149</v>
      </c>
      <c r="E373" s="633" t="s">
        <v>4271</v>
      </c>
      <c r="F373" s="626" t="n">
        <v>7560</v>
      </c>
      <c r="G373" s="636" t="n">
        <f aca="false">E373*F373</f>
        <v>226.8</v>
      </c>
      <c r="H373" s="571"/>
    </row>
    <row r="374" customFormat="false" ht="15" hidden="false" customHeight="false" outlineLevel="0" collapsed="false">
      <c r="A374" s="571"/>
      <c r="B374" s="500"/>
      <c r="C374" s="633" t="s">
        <v>4126</v>
      </c>
      <c r="D374" s="637" t="s">
        <v>4127</v>
      </c>
      <c r="E374" s="633" t="n">
        <v>0.02</v>
      </c>
      <c r="F374" s="626" t="n">
        <v>2700</v>
      </c>
      <c r="G374" s="636" t="n">
        <f aca="false">E374*F374</f>
        <v>54</v>
      </c>
      <c r="H374" s="571"/>
    </row>
    <row r="375" customFormat="false" ht="15" hidden="false" customHeight="false" outlineLevel="0" collapsed="false">
      <c r="A375" s="571"/>
      <c r="B375" s="608" t="s">
        <v>4128</v>
      </c>
      <c r="C375" s="629"/>
      <c r="D375" s="571"/>
      <c r="E375" s="629"/>
      <c r="F375" s="630"/>
      <c r="G375" s="640" t="n">
        <f aca="false">SUM(G368:G374)</f>
        <v>706.4068</v>
      </c>
      <c r="H375" s="571"/>
    </row>
    <row r="376" customFormat="false" ht="15" hidden="false" customHeight="false" outlineLevel="0" collapsed="false">
      <c r="A376" s="571" t="s">
        <v>88</v>
      </c>
      <c r="B376" s="500" t="s">
        <v>3269</v>
      </c>
      <c r="C376" s="650" t="s">
        <v>4189</v>
      </c>
      <c r="D376" s="637" t="s">
        <v>4133</v>
      </c>
      <c r="E376" s="629" t="n">
        <v>0.1</v>
      </c>
      <c r="F376" s="630" t="n">
        <v>3559.84</v>
      </c>
      <c r="G376" s="636" t="n">
        <f aca="false">E376*F376</f>
        <v>355.984</v>
      </c>
      <c r="H376" s="571"/>
    </row>
    <row r="377" customFormat="false" ht="15" hidden="false" customHeight="false" outlineLevel="0" collapsed="false">
      <c r="A377" s="571"/>
      <c r="B377" s="500"/>
      <c r="C377" s="638" t="s">
        <v>4272</v>
      </c>
      <c r="D377" s="637" t="s">
        <v>4252</v>
      </c>
      <c r="E377" s="633" t="n">
        <v>0.01</v>
      </c>
      <c r="F377" s="626" t="n">
        <v>100000</v>
      </c>
      <c r="G377" s="636" t="n">
        <f aca="false">E377*F377</f>
        <v>1000</v>
      </c>
      <c r="H377" s="606"/>
    </row>
    <row r="378" customFormat="false" ht="15" hidden="false" customHeight="false" outlineLevel="0" collapsed="false">
      <c r="A378" s="571"/>
      <c r="B378" s="500"/>
      <c r="C378" s="633" t="s">
        <v>4268</v>
      </c>
      <c r="D378" s="571" t="s">
        <v>4138</v>
      </c>
      <c r="E378" s="629" t="n">
        <v>0.1</v>
      </c>
      <c r="F378" s="626" t="n">
        <v>6900</v>
      </c>
      <c r="G378" s="636" t="n">
        <f aca="false">E378*F378</f>
        <v>690</v>
      </c>
      <c r="H378" s="606"/>
    </row>
    <row r="379" customFormat="false" ht="15" hidden="false" customHeight="false" outlineLevel="0" collapsed="false">
      <c r="A379" s="571"/>
      <c r="B379" s="500"/>
      <c r="C379" s="638" t="s">
        <v>4120</v>
      </c>
      <c r="D379" s="637" t="s">
        <v>4121</v>
      </c>
      <c r="E379" s="633" t="n">
        <v>0.02</v>
      </c>
      <c r="F379" s="639" t="n">
        <v>1500</v>
      </c>
      <c r="G379" s="636" t="n">
        <f aca="false">E379*F379</f>
        <v>30</v>
      </c>
      <c r="H379" s="571"/>
    </row>
    <row r="380" customFormat="false" ht="15" hidden="false" customHeight="false" outlineLevel="0" collapsed="false">
      <c r="A380" s="571"/>
      <c r="B380" s="500"/>
      <c r="C380" s="638" t="s">
        <v>4122</v>
      </c>
      <c r="D380" s="637" t="s">
        <v>4123</v>
      </c>
      <c r="E380" s="633" t="n">
        <v>0.099</v>
      </c>
      <c r="F380" s="626" t="n">
        <v>800</v>
      </c>
      <c r="G380" s="636" t="n">
        <f aca="false">E380*F380</f>
        <v>79.2</v>
      </c>
      <c r="H380" s="571"/>
    </row>
    <row r="381" customFormat="false" ht="15" hidden="false" customHeight="false" outlineLevel="0" collapsed="false">
      <c r="A381" s="571"/>
      <c r="B381" s="608"/>
      <c r="C381" s="633" t="s">
        <v>4270</v>
      </c>
      <c r="D381" s="637" t="s">
        <v>4149</v>
      </c>
      <c r="E381" s="633" t="n">
        <v>0.05</v>
      </c>
      <c r="F381" s="626" t="n">
        <v>7560</v>
      </c>
      <c r="G381" s="636" t="n">
        <f aca="false">E381*F381</f>
        <v>378</v>
      </c>
      <c r="H381" s="571"/>
    </row>
    <row r="382" customFormat="false" ht="15" hidden="false" customHeight="false" outlineLevel="0" collapsed="false">
      <c r="A382" s="571"/>
      <c r="B382" s="500"/>
      <c r="C382" s="633" t="s">
        <v>4126</v>
      </c>
      <c r="D382" s="637" t="s">
        <v>4127</v>
      </c>
      <c r="E382" s="633" t="n">
        <v>0.021</v>
      </c>
      <c r="F382" s="626" t="n">
        <v>2700</v>
      </c>
      <c r="G382" s="636" t="n">
        <f aca="false">E382*F382</f>
        <v>56.7</v>
      </c>
      <c r="H382" s="571"/>
    </row>
    <row r="383" customFormat="false" ht="15" hidden="false" customHeight="false" outlineLevel="0" collapsed="false">
      <c r="A383" s="571"/>
      <c r="B383" s="608" t="s">
        <v>4128</v>
      </c>
      <c r="C383" s="640"/>
      <c r="D383" s="327"/>
      <c r="E383" s="640"/>
      <c r="F383" s="643"/>
      <c r="G383" s="640" t="n">
        <f aca="false">SUM(G376:G382)</f>
        <v>2589.884</v>
      </c>
      <c r="H383" s="571"/>
    </row>
    <row r="384" customFormat="false" ht="15" hidden="false" customHeight="false" outlineLevel="0" collapsed="false">
      <c r="A384" s="571" t="s">
        <v>90</v>
      </c>
      <c r="B384" s="632" t="s">
        <v>4273</v>
      </c>
      <c r="C384" s="650" t="s">
        <v>4189</v>
      </c>
      <c r="D384" s="637" t="s">
        <v>4127</v>
      </c>
      <c r="E384" s="629" t="n">
        <v>0.1</v>
      </c>
      <c r="F384" s="630" t="n">
        <v>3559.84</v>
      </c>
      <c r="G384" s="636" t="n">
        <f aca="false">E384*F384</f>
        <v>355.984</v>
      </c>
      <c r="H384" s="571"/>
    </row>
    <row r="385" customFormat="false" ht="15" hidden="false" customHeight="false" outlineLevel="0" collapsed="false">
      <c r="A385" s="571"/>
      <c r="B385" s="500"/>
      <c r="C385" s="633" t="s">
        <v>4274</v>
      </c>
      <c r="D385" s="571" t="s">
        <v>4138</v>
      </c>
      <c r="E385" s="629" t="s">
        <v>4200</v>
      </c>
      <c r="F385" s="630" t="n">
        <v>6900</v>
      </c>
      <c r="G385" s="636" t="n">
        <f aca="false">E385*F385</f>
        <v>345</v>
      </c>
      <c r="H385" s="606"/>
    </row>
    <row r="386" customFormat="false" ht="15" hidden="false" customHeight="false" outlineLevel="0" collapsed="false">
      <c r="A386" s="571"/>
      <c r="B386" s="500"/>
      <c r="C386" s="650" t="s">
        <v>4269</v>
      </c>
      <c r="D386" s="637" t="s">
        <v>4133</v>
      </c>
      <c r="E386" s="633" t="n">
        <v>0.01</v>
      </c>
      <c r="F386" s="639" t="n">
        <v>13500</v>
      </c>
      <c r="G386" s="636" t="n">
        <f aca="false">E386*F386</f>
        <v>135</v>
      </c>
      <c r="H386" s="606"/>
    </row>
    <row r="387" customFormat="false" ht="15" hidden="false" customHeight="false" outlineLevel="0" collapsed="false">
      <c r="A387" s="571"/>
      <c r="B387" s="608"/>
      <c r="C387" s="638" t="s">
        <v>4120</v>
      </c>
      <c r="D387" s="637" t="s">
        <v>4121</v>
      </c>
      <c r="E387" s="633" t="n">
        <v>0.02</v>
      </c>
      <c r="F387" s="639" t="n">
        <v>1500</v>
      </c>
      <c r="G387" s="636" t="n">
        <f aca="false">E387*F387</f>
        <v>30</v>
      </c>
      <c r="H387" s="571"/>
    </row>
    <row r="388" customFormat="false" ht="15" hidden="false" customHeight="false" outlineLevel="0" collapsed="false">
      <c r="A388" s="571"/>
      <c r="B388" s="500"/>
      <c r="C388" s="638" t="s">
        <v>4122</v>
      </c>
      <c r="D388" s="637" t="s">
        <v>4123</v>
      </c>
      <c r="E388" s="633" t="n">
        <v>0.1</v>
      </c>
      <c r="F388" s="626" t="n">
        <v>800</v>
      </c>
      <c r="G388" s="636" t="n">
        <f aca="false">E388*F388</f>
        <v>80</v>
      </c>
      <c r="H388" s="571"/>
    </row>
    <row r="389" customFormat="false" ht="15" hidden="false" customHeight="false" outlineLevel="0" collapsed="false">
      <c r="A389" s="571"/>
      <c r="B389" s="500"/>
      <c r="C389" s="633" t="s">
        <v>4270</v>
      </c>
      <c r="D389" s="637" t="s">
        <v>4149</v>
      </c>
      <c r="E389" s="633" t="n">
        <v>0.05</v>
      </c>
      <c r="F389" s="626" t="n">
        <v>7560</v>
      </c>
      <c r="G389" s="636" t="n">
        <f aca="false">E389*F389</f>
        <v>378</v>
      </c>
      <c r="H389" s="571"/>
    </row>
    <row r="390" customFormat="false" ht="15" hidden="false" customHeight="false" outlineLevel="0" collapsed="false">
      <c r="A390" s="571"/>
      <c r="B390" s="500"/>
      <c r="C390" s="633" t="s">
        <v>4126</v>
      </c>
      <c r="D390" s="637" t="s">
        <v>4127</v>
      </c>
      <c r="E390" s="633" t="n">
        <v>0.021</v>
      </c>
      <c r="F390" s="626" t="n">
        <v>2700</v>
      </c>
      <c r="G390" s="636" t="n">
        <f aca="false">E390*F390</f>
        <v>56.7</v>
      </c>
      <c r="H390" s="571"/>
    </row>
    <row r="391" customFormat="false" ht="15" hidden="false" customHeight="false" outlineLevel="0" collapsed="false">
      <c r="A391" s="571"/>
      <c r="B391" s="608" t="s">
        <v>4128</v>
      </c>
      <c r="C391" s="640"/>
      <c r="D391" s="327"/>
      <c r="E391" s="640"/>
      <c r="F391" s="643"/>
      <c r="G391" s="640" t="n">
        <f aca="false">SUM(G384:G390)</f>
        <v>1380.684</v>
      </c>
      <c r="H391" s="571"/>
    </row>
    <row r="392" customFormat="false" ht="15" hidden="false" customHeight="false" outlineLevel="0" collapsed="false">
      <c r="A392" s="571" t="s">
        <v>92</v>
      </c>
      <c r="B392" s="632" t="s">
        <v>4273</v>
      </c>
      <c r="C392" s="650" t="s">
        <v>4189</v>
      </c>
      <c r="D392" s="637" t="s">
        <v>4127</v>
      </c>
      <c r="E392" s="629" t="n">
        <v>0.0986</v>
      </c>
      <c r="F392" s="630" t="n">
        <v>3559.84</v>
      </c>
      <c r="G392" s="636" t="n">
        <f aca="false">E392*F392</f>
        <v>351.000224</v>
      </c>
      <c r="H392" s="571"/>
    </row>
    <row r="393" customFormat="false" ht="15" hidden="false" customHeight="false" outlineLevel="0" collapsed="false">
      <c r="A393" s="571"/>
      <c r="B393" s="500"/>
      <c r="C393" s="633" t="s">
        <v>4274</v>
      </c>
      <c r="D393" s="571" t="s">
        <v>4138</v>
      </c>
      <c r="E393" s="629" t="n">
        <v>0.1</v>
      </c>
      <c r="F393" s="630" t="n">
        <v>6900</v>
      </c>
      <c r="G393" s="636" t="n">
        <f aca="false">E393*F393</f>
        <v>690</v>
      </c>
      <c r="H393" s="606"/>
    </row>
    <row r="394" customFormat="false" ht="15" hidden="false" customHeight="false" outlineLevel="0" collapsed="false">
      <c r="A394" s="571"/>
      <c r="B394" s="500"/>
      <c r="C394" s="638" t="s">
        <v>4272</v>
      </c>
      <c r="D394" s="637" t="s">
        <v>4252</v>
      </c>
      <c r="E394" s="633" t="n">
        <v>0.001</v>
      </c>
      <c r="F394" s="626" t="n">
        <v>100000</v>
      </c>
      <c r="G394" s="636" t="n">
        <f aca="false">E394*F394</f>
        <v>100</v>
      </c>
      <c r="H394" s="606"/>
    </row>
    <row r="395" customFormat="false" ht="15" hidden="false" customHeight="false" outlineLevel="0" collapsed="false">
      <c r="A395" s="571"/>
      <c r="B395" s="500"/>
      <c r="C395" s="633" t="s">
        <v>4270</v>
      </c>
      <c r="D395" s="637" t="s">
        <v>4149</v>
      </c>
      <c r="E395" s="633" t="n">
        <v>0.05</v>
      </c>
      <c r="F395" s="626" t="n">
        <v>7560</v>
      </c>
      <c r="G395" s="636" t="n">
        <f aca="false">E395*F395</f>
        <v>378</v>
      </c>
      <c r="H395" s="571"/>
    </row>
    <row r="396" customFormat="false" ht="15" hidden="false" customHeight="false" outlineLevel="0" collapsed="false">
      <c r="A396" s="571"/>
      <c r="B396" s="500"/>
      <c r="C396" s="638" t="s">
        <v>4122</v>
      </c>
      <c r="D396" s="637" t="s">
        <v>4123</v>
      </c>
      <c r="E396" s="633" t="n">
        <v>0.098</v>
      </c>
      <c r="F396" s="626" t="n">
        <v>800</v>
      </c>
      <c r="G396" s="636" t="n">
        <f aca="false">E396*F396</f>
        <v>78.4</v>
      </c>
      <c r="H396" s="571"/>
    </row>
    <row r="397" customFormat="false" ht="15" hidden="false" customHeight="false" outlineLevel="0" collapsed="false">
      <c r="A397" s="571"/>
      <c r="B397" s="608"/>
      <c r="C397" s="633" t="s">
        <v>4124</v>
      </c>
      <c r="D397" s="637" t="s">
        <v>4125</v>
      </c>
      <c r="E397" s="633" t="n">
        <v>0.99</v>
      </c>
      <c r="F397" s="626" t="n">
        <v>120</v>
      </c>
      <c r="G397" s="636" t="n">
        <f aca="false">E397*F397</f>
        <v>118.8</v>
      </c>
      <c r="H397" s="571"/>
    </row>
    <row r="398" customFormat="false" ht="15" hidden="false" customHeight="false" outlineLevel="0" collapsed="false">
      <c r="A398" s="571"/>
      <c r="B398" s="500"/>
      <c r="C398" s="633" t="s">
        <v>4126</v>
      </c>
      <c r="D398" s="637" t="s">
        <v>4127</v>
      </c>
      <c r="E398" s="633" t="n">
        <v>0.023</v>
      </c>
      <c r="F398" s="626" t="n">
        <v>2700</v>
      </c>
      <c r="G398" s="636" t="n">
        <f aca="false">E398*F398</f>
        <v>62.1</v>
      </c>
      <c r="H398" s="571"/>
    </row>
    <row r="399" customFormat="false" ht="15" hidden="false" customHeight="false" outlineLevel="0" collapsed="false">
      <c r="A399" s="571"/>
      <c r="B399" s="608" t="s">
        <v>4128</v>
      </c>
      <c r="C399" s="640"/>
      <c r="D399" s="327"/>
      <c r="E399" s="640"/>
      <c r="F399" s="643"/>
      <c r="G399" s="640" t="n">
        <f aca="false">SUM(G392:G398)</f>
        <v>1778.300224</v>
      </c>
      <c r="H399" s="571"/>
    </row>
    <row r="400" customFormat="false" ht="15" hidden="false" customHeight="false" outlineLevel="0" collapsed="false">
      <c r="A400" s="571" t="s">
        <v>94</v>
      </c>
      <c r="B400" s="632" t="s">
        <v>4275</v>
      </c>
      <c r="C400" s="633" t="s">
        <v>4276</v>
      </c>
      <c r="D400" s="571" t="s">
        <v>4138</v>
      </c>
      <c r="E400" s="629" t="s">
        <v>4200</v>
      </c>
      <c r="F400" s="626" t="n">
        <v>6900</v>
      </c>
      <c r="G400" s="636" t="n">
        <f aca="false">E400*F400</f>
        <v>345</v>
      </c>
      <c r="H400" s="606"/>
    </row>
    <row r="401" customFormat="false" ht="15" hidden="false" customHeight="false" outlineLevel="0" collapsed="false">
      <c r="A401" s="571"/>
      <c r="B401" s="500"/>
      <c r="C401" s="635" t="s">
        <v>4269</v>
      </c>
      <c r="D401" s="634" t="s">
        <v>4133</v>
      </c>
      <c r="E401" s="635" t="s">
        <v>4200</v>
      </c>
      <c r="F401" s="626" t="n">
        <v>13500</v>
      </c>
      <c r="G401" s="636" t="n">
        <f aca="false">E401*F401</f>
        <v>675</v>
      </c>
      <c r="H401" s="606"/>
    </row>
    <row r="402" customFormat="false" ht="15" hidden="false" customHeight="false" outlineLevel="0" collapsed="false">
      <c r="A402" s="571"/>
      <c r="B402" s="500"/>
      <c r="C402" s="633" t="s">
        <v>4277</v>
      </c>
      <c r="D402" s="637" t="s">
        <v>4133</v>
      </c>
      <c r="E402" s="635" t="s">
        <v>4271</v>
      </c>
      <c r="F402" s="626" t="n">
        <v>18000</v>
      </c>
      <c r="G402" s="636" t="n">
        <f aca="false">E402*F402</f>
        <v>540</v>
      </c>
      <c r="H402" s="606"/>
    </row>
    <row r="403" customFormat="false" ht="15" hidden="false" customHeight="false" outlineLevel="0" collapsed="false">
      <c r="A403" s="571"/>
      <c r="B403" s="500"/>
      <c r="C403" s="638" t="s">
        <v>4120</v>
      </c>
      <c r="D403" s="637" t="s">
        <v>4121</v>
      </c>
      <c r="E403" s="633" t="n">
        <v>0.03</v>
      </c>
      <c r="F403" s="639" t="n">
        <v>1500</v>
      </c>
      <c r="G403" s="636" t="n">
        <f aca="false">E403*F403</f>
        <v>45</v>
      </c>
      <c r="H403" s="571"/>
    </row>
    <row r="404" customFormat="false" ht="15" hidden="false" customHeight="false" outlineLevel="0" collapsed="false">
      <c r="A404" s="571"/>
      <c r="B404" s="500"/>
      <c r="C404" s="638" t="s">
        <v>4122</v>
      </c>
      <c r="D404" s="637" t="s">
        <v>4123</v>
      </c>
      <c r="E404" s="633" t="n">
        <v>0.01</v>
      </c>
      <c r="F404" s="626" t="n">
        <v>800</v>
      </c>
      <c r="G404" s="636" t="n">
        <f aca="false">E404*F404</f>
        <v>8</v>
      </c>
      <c r="H404" s="571"/>
    </row>
    <row r="405" customFormat="false" ht="15" hidden="false" customHeight="false" outlineLevel="0" collapsed="false">
      <c r="A405" s="571"/>
      <c r="B405" s="608"/>
      <c r="C405" s="629" t="s">
        <v>4270</v>
      </c>
      <c r="D405" s="571" t="s">
        <v>4149</v>
      </c>
      <c r="E405" s="629" t="n">
        <v>0.05</v>
      </c>
      <c r="F405" s="645" t="n">
        <v>7560</v>
      </c>
      <c r="G405" s="647" t="n">
        <f aca="false">E405*F405</f>
        <v>378</v>
      </c>
      <c r="H405" s="571"/>
    </row>
    <row r="406" customFormat="false" ht="15" hidden="false" customHeight="false" outlineLevel="0" collapsed="false">
      <c r="A406" s="571"/>
      <c r="B406" s="500"/>
      <c r="C406" s="633" t="s">
        <v>4126</v>
      </c>
      <c r="D406" s="637" t="s">
        <v>4149</v>
      </c>
      <c r="E406" s="633" t="n">
        <v>0.02</v>
      </c>
      <c r="F406" s="626" t="n">
        <v>2700</v>
      </c>
      <c r="G406" s="636" t="n">
        <f aca="false">E406*F406</f>
        <v>54</v>
      </c>
      <c r="H406" s="571"/>
    </row>
    <row r="407" customFormat="false" ht="15" hidden="false" customHeight="false" outlineLevel="0" collapsed="false">
      <c r="A407" s="571"/>
      <c r="B407" s="608" t="s">
        <v>4128</v>
      </c>
      <c r="C407" s="640"/>
      <c r="D407" s="327"/>
      <c r="E407" s="640"/>
      <c r="F407" s="643"/>
      <c r="G407" s="640" t="n">
        <f aca="false">SUM(G400:G406)</f>
        <v>2045</v>
      </c>
      <c r="H407" s="571"/>
    </row>
    <row r="408" customFormat="false" ht="15" hidden="false" customHeight="false" outlineLevel="0" collapsed="false">
      <c r="A408" s="571" t="s">
        <v>96</v>
      </c>
      <c r="B408" s="632" t="s">
        <v>4275</v>
      </c>
      <c r="C408" s="633" t="s">
        <v>4276</v>
      </c>
      <c r="D408" s="571" t="s">
        <v>4138</v>
      </c>
      <c r="E408" s="629" t="n">
        <v>0.1</v>
      </c>
      <c r="F408" s="626" t="n">
        <v>6900</v>
      </c>
      <c r="G408" s="636" t="n">
        <f aca="false">E408*F408</f>
        <v>690</v>
      </c>
      <c r="H408" s="606"/>
    </row>
    <row r="409" customFormat="false" ht="15" hidden="false" customHeight="false" outlineLevel="0" collapsed="false">
      <c r="A409" s="571"/>
      <c r="B409" s="500"/>
      <c r="C409" s="638" t="s">
        <v>4189</v>
      </c>
      <c r="D409" s="637" t="s">
        <v>4133</v>
      </c>
      <c r="E409" s="633" t="n">
        <v>0.1</v>
      </c>
      <c r="F409" s="630" t="n">
        <v>3600</v>
      </c>
      <c r="G409" s="636" t="n">
        <f aca="false">E409*F409</f>
        <v>360</v>
      </c>
      <c r="H409" s="571"/>
    </row>
    <row r="410" customFormat="false" ht="15" hidden="false" customHeight="false" outlineLevel="0" collapsed="false">
      <c r="A410" s="571"/>
      <c r="B410" s="500"/>
      <c r="C410" s="638" t="s">
        <v>4272</v>
      </c>
      <c r="D410" s="637" t="s">
        <v>4252</v>
      </c>
      <c r="E410" s="633" t="n">
        <v>0.001</v>
      </c>
      <c r="F410" s="626" t="n">
        <v>100000</v>
      </c>
      <c r="G410" s="636" t="n">
        <f aca="false">E410*F410</f>
        <v>100</v>
      </c>
      <c r="H410" s="606"/>
    </row>
    <row r="411" customFormat="false" ht="15" hidden="false" customHeight="false" outlineLevel="0" collapsed="false">
      <c r="A411" s="571"/>
      <c r="B411" s="500"/>
      <c r="C411" s="638" t="s">
        <v>4120</v>
      </c>
      <c r="D411" s="637" t="s">
        <v>4121</v>
      </c>
      <c r="E411" s="633" t="n">
        <v>0.03</v>
      </c>
      <c r="F411" s="639" t="n">
        <v>1500</v>
      </c>
      <c r="G411" s="636" t="n">
        <f aca="false">E411*F411</f>
        <v>45</v>
      </c>
      <c r="H411" s="571"/>
    </row>
    <row r="412" customFormat="false" ht="15" hidden="false" customHeight="false" outlineLevel="0" collapsed="false">
      <c r="A412" s="571"/>
      <c r="B412" s="608"/>
      <c r="C412" s="638" t="s">
        <v>4122</v>
      </c>
      <c r="D412" s="637" t="s">
        <v>4123</v>
      </c>
      <c r="E412" s="633" t="n">
        <v>0.068</v>
      </c>
      <c r="F412" s="626" t="n">
        <v>800</v>
      </c>
      <c r="G412" s="636" t="n">
        <f aca="false">E412*F412</f>
        <v>54.4</v>
      </c>
      <c r="H412" s="571"/>
    </row>
    <row r="413" customFormat="false" ht="15" hidden="false" customHeight="false" outlineLevel="0" collapsed="false">
      <c r="A413" s="571"/>
      <c r="B413" s="500"/>
      <c r="C413" s="633" t="s">
        <v>4270</v>
      </c>
      <c r="D413" s="637" t="s">
        <v>4149</v>
      </c>
      <c r="E413" s="633" t="n">
        <v>0.05</v>
      </c>
      <c r="F413" s="626" t="n">
        <v>7560</v>
      </c>
      <c r="G413" s="636" t="n">
        <f aca="false">E413*F413</f>
        <v>378</v>
      </c>
      <c r="H413" s="571"/>
    </row>
    <row r="414" customFormat="false" ht="15" hidden="false" customHeight="false" outlineLevel="0" collapsed="false">
      <c r="A414" s="571"/>
      <c r="B414" s="500"/>
      <c r="C414" s="633" t="s">
        <v>4126</v>
      </c>
      <c r="D414" s="637" t="s">
        <v>4149</v>
      </c>
      <c r="E414" s="633" t="n">
        <v>0.02</v>
      </c>
      <c r="F414" s="626" t="n">
        <v>2700</v>
      </c>
      <c r="G414" s="636" t="n">
        <f aca="false">E414*F414</f>
        <v>54</v>
      </c>
      <c r="H414" s="571"/>
    </row>
    <row r="415" customFormat="false" ht="15" hidden="false" customHeight="false" outlineLevel="0" collapsed="false">
      <c r="A415" s="571"/>
      <c r="B415" s="608" t="s">
        <v>4128</v>
      </c>
      <c r="C415" s="640"/>
      <c r="D415" s="327"/>
      <c r="E415" s="640"/>
      <c r="F415" s="643"/>
      <c r="G415" s="640" t="n">
        <f aca="false">SUM(G408:G414)</f>
        <v>1681.4</v>
      </c>
      <c r="H415" s="571"/>
    </row>
    <row r="416" customFormat="false" ht="15" hidden="false" customHeight="false" outlineLevel="0" collapsed="false">
      <c r="A416" s="571" t="s">
        <v>98</v>
      </c>
      <c r="B416" s="632" t="s">
        <v>3254</v>
      </c>
      <c r="C416" s="635" t="s">
        <v>4269</v>
      </c>
      <c r="D416" s="634" t="s">
        <v>4133</v>
      </c>
      <c r="E416" s="635" t="s">
        <v>4200</v>
      </c>
      <c r="F416" s="626" t="n">
        <v>13500</v>
      </c>
      <c r="G416" s="636" t="n">
        <f aca="false">E416*F416</f>
        <v>675</v>
      </c>
      <c r="H416" s="606"/>
    </row>
    <row r="417" customFormat="false" ht="15" hidden="false" customHeight="false" outlineLevel="0" collapsed="false">
      <c r="A417" s="571"/>
      <c r="B417" s="500"/>
      <c r="C417" s="633" t="s">
        <v>4277</v>
      </c>
      <c r="D417" s="637" t="s">
        <v>4133</v>
      </c>
      <c r="E417" s="635" t="s">
        <v>4200</v>
      </c>
      <c r="F417" s="626" t="n">
        <v>18000</v>
      </c>
      <c r="G417" s="636" t="n">
        <f aca="false">E417*F417</f>
        <v>900</v>
      </c>
      <c r="H417" s="606"/>
    </row>
    <row r="418" customFormat="false" ht="15" hidden="false" customHeight="false" outlineLevel="0" collapsed="false">
      <c r="A418" s="571"/>
      <c r="B418" s="500"/>
      <c r="C418" s="633" t="s">
        <v>4278</v>
      </c>
      <c r="D418" s="571" t="s">
        <v>4138</v>
      </c>
      <c r="E418" s="629" t="s">
        <v>4200</v>
      </c>
      <c r="F418" s="626" t="s">
        <v>4279</v>
      </c>
      <c r="G418" s="636" t="n">
        <f aca="false">E418*F418</f>
        <v>355</v>
      </c>
      <c r="H418" s="571"/>
    </row>
    <row r="419" customFormat="false" ht="15" hidden="false" customHeight="false" outlineLevel="0" collapsed="false">
      <c r="A419" s="571"/>
      <c r="B419" s="500"/>
      <c r="C419" s="638" t="s">
        <v>4120</v>
      </c>
      <c r="D419" s="637" t="s">
        <v>4121</v>
      </c>
      <c r="E419" s="633" t="n">
        <v>0.03</v>
      </c>
      <c r="F419" s="639" t="n">
        <v>1500</v>
      </c>
      <c r="G419" s="636" t="n">
        <f aca="false">E419*F419</f>
        <v>45</v>
      </c>
      <c r="H419" s="571"/>
    </row>
    <row r="420" s="651" customFormat="true" ht="15" hidden="false" customHeight="false" outlineLevel="0" collapsed="false">
      <c r="A420" s="571"/>
      <c r="B420" s="500"/>
      <c r="C420" s="638" t="s">
        <v>4122</v>
      </c>
      <c r="D420" s="637" t="s">
        <v>4123</v>
      </c>
      <c r="E420" s="633" t="n">
        <v>0.069</v>
      </c>
      <c r="F420" s="626" t="n">
        <v>800</v>
      </c>
      <c r="G420" s="636" t="n">
        <f aca="false">E420*F420</f>
        <v>55.2</v>
      </c>
      <c r="H420" s="571"/>
    </row>
    <row r="421" customFormat="false" ht="15" hidden="false" customHeight="false" outlineLevel="0" collapsed="false">
      <c r="A421" s="571"/>
      <c r="B421" s="500"/>
      <c r="C421" s="633" t="s">
        <v>4270</v>
      </c>
      <c r="D421" s="637" t="s">
        <v>4149</v>
      </c>
      <c r="E421" s="633" t="n">
        <v>0.05</v>
      </c>
      <c r="F421" s="626" t="n">
        <v>7560</v>
      </c>
      <c r="G421" s="636" t="n">
        <f aca="false">E421*F421</f>
        <v>378</v>
      </c>
      <c r="H421" s="571"/>
    </row>
    <row r="422" customFormat="false" ht="15" hidden="false" customHeight="false" outlineLevel="0" collapsed="false">
      <c r="A422" s="571"/>
      <c r="B422" s="500"/>
      <c r="C422" s="633" t="s">
        <v>4126</v>
      </c>
      <c r="D422" s="637" t="s">
        <v>4127</v>
      </c>
      <c r="E422" s="633" t="n">
        <v>0.02</v>
      </c>
      <c r="F422" s="626" t="n">
        <v>2700</v>
      </c>
      <c r="G422" s="636" t="n">
        <f aca="false">E422*F422</f>
        <v>54</v>
      </c>
      <c r="H422" s="571"/>
    </row>
    <row r="423" customFormat="false" ht="15" hidden="false" customHeight="false" outlineLevel="0" collapsed="false">
      <c r="A423" s="571"/>
      <c r="B423" s="608" t="s">
        <v>4128</v>
      </c>
      <c r="C423" s="629"/>
      <c r="D423" s="571"/>
      <c r="E423" s="629"/>
      <c r="F423" s="630"/>
      <c r="G423" s="640" t="n">
        <f aca="false">SUM(G416:G422)</f>
        <v>2462.2</v>
      </c>
      <c r="H423" s="571"/>
    </row>
    <row r="424" customFormat="false" ht="15" hidden="false" customHeight="false" outlineLevel="0" collapsed="false">
      <c r="A424" s="571" t="s">
        <v>100</v>
      </c>
      <c r="B424" s="632" t="s">
        <v>3254</v>
      </c>
      <c r="C424" s="633" t="s">
        <v>4278</v>
      </c>
      <c r="D424" s="571" t="s">
        <v>4138</v>
      </c>
      <c r="E424" s="629" t="s">
        <v>4230</v>
      </c>
      <c r="F424" s="626" t="s">
        <v>4279</v>
      </c>
      <c r="G424" s="636" t="n">
        <f aca="false">E424*F424</f>
        <v>710</v>
      </c>
      <c r="H424" s="571"/>
    </row>
    <row r="425" customFormat="false" ht="15" hidden="false" customHeight="false" outlineLevel="0" collapsed="false">
      <c r="A425" s="571"/>
      <c r="B425" s="500"/>
      <c r="C425" s="638" t="s">
        <v>4189</v>
      </c>
      <c r="D425" s="637" t="s">
        <v>4133</v>
      </c>
      <c r="E425" s="633" t="n">
        <v>0.1</v>
      </c>
      <c r="F425" s="630" t="n">
        <v>3600</v>
      </c>
      <c r="G425" s="636" t="n">
        <f aca="false">E425*F425</f>
        <v>360</v>
      </c>
      <c r="H425" s="571"/>
    </row>
    <row r="426" customFormat="false" ht="15" hidden="false" customHeight="false" outlineLevel="0" collapsed="false">
      <c r="A426" s="571"/>
      <c r="B426" s="500"/>
      <c r="C426" s="638" t="s">
        <v>4272</v>
      </c>
      <c r="D426" s="637" t="s">
        <v>4252</v>
      </c>
      <c r="E426" s="633" t="n">
        <v>0.01</v>
      </c>
      <c r="F426" s="626" t="n">
        <v>100000</v>
      </c>
      <c r="G426" s="636" t="n">
        <f aca="false">E426*F426</f>
        <v>1000</v>
      </c>
      <c r="H426" s="606"/>
    </row>
    <row r="427" customFormat="false" ht="15" hidden="false" customHeight="false" outlineLevel="0" collapsed="false">
      <c r="A427" s="571"/>
      <c r="B427" s="500"/>
      <c r="C427" s="638" t="s">
        <v>4120</v>
      </c>
      <c r="D427" s="637" t="s">
        <v>4121</v>
      </c>
      <c r="E427" s="633" t="n">
        <v>0.03</v>
      </c>
      <c r="F427" s="639" t="n">
        <v>1500</v>
      </c>
      <c r="G427" s="636" t="n">
        <f aca="false">E427*F427</f>
        <v>45</v>
      </c>
      <c r="H427" s="571"/>
    </row>
    <row r="428" customFormat="false" ht="15" hidden="false" customHeight="false" outlineLevel="0" collapsed="false">
      <c r="A428" s="571"/>
      <c r="B428" s="500"/>
      <c r="C428" s="638" t="s">
        <v>4122</v>
      </c>
      <c r="D428" s="637" t="s">
        <v>4123</v>
      </c>
      <c r="E428" s="633" t="n">
        <v>0.068</v>
      </c>
      <c r="F428" s="626" t="n">
        <v>800</v>
      </c>
      <c r="G428" s="636" t="n">
        <f aca="false">E428*F428</f>
        <v>54.4</v>
      </c>
      <c r="H428" s="571"/>
    </row>
    <row r="429" customFormat="false" ht="15" hidden="false" customHeight="false" outlineLevel="0" collapsed="false">
      <c r="A429" s="571"/>
      <c r="B429" s="500"/>
      <c r="C429" s="633" t="s">
        <v>4270</v>
      </c>
      <c r="D429" s="637" t="s">
        <v>4149</v>
      </c>
      <c r="E429" s="633" t="n">
        <v>0.05</v>
      </c>
      <c r="F429" s="626" t="n">
        <v>3600</v>
      </c>
      <c r="G429" s="636" t="n">
        <f aca="false">E429*F429</f>
        <v>180</v>
      </c>
      <c r="H429" s="571"/>
    </row>
    <row r="430" customFormat="false" ht="15" hidden="false" customHeight="false" outlineLevel="0" collapsed="false">
      <c r="A430" s="571"/>
      <c r="B430" s="500"/>
      <c r="C430" s="633" t="s">
        <v>4126</v>
      </c>
      <c r="D430" s="637" t="s">
        <v>4149</v>
      </c>
      <c r="E430" s="633" t="n">
        <v>0.02</v>
      </c>
      <c r="F430" s="626" t="n">
        <v>2700</v>
      </c>
      <c r="G430" s="636" t="n">
        <f aca="false">E430*F430</f>
        <v>54</v>
      </c>
      <c r="H430" s="571"/>
    </row>
    <row r="431" customFormat="false" ht="15" hidden="false" customHeight="false" outlineLevel="0" collapsed="false">
      <c r="A431" s="571"/>
      <c r="B431" s="608" t="s">
        <v>4128</v>
      </c>
      <c r="C431" s="640"/>
      <c r="D431" s="327"/>
      <c r="E431" s="640"/>
      <c r="F431" s="643"/>
      <c r="G431" s="640" t="n">
        <f aca="false">SUM(G424:G430)</f>
        <v>2403.4</v>
      </c>
      <c r="H431" s="571"/>
    </row>
    <row r="432" customFormat="false" ht="15" hidden="false" customHeight="false" outlineLevel="0" collapsed="false">
      <c r="A432" s="571" t="s">
        <v>102</v>
      </c>
      <c r="B432" s="632" t="s">
        <v>3104</v>
      </c>
      <c r="C432" s="500" t="s">
        <v>4280</v>
      </c>
      <c r="D432" s="571" t="s">
        <v>4138</v>
      </c>
      <c r="E432" s="629" t="n">
        <v>0.05</v>
      </c>
      <c r="F432" s="630" t="s">
        <v>4279</v>
      </c>
      <c r="G432" s="636" t="n">
        <f aca="false">E432*F432</f>
        <v>355</v>
      </c>
      <c r="H432" s="571"/>
    </row>
    <row r="433" customFormat="false" ht="15" hidden="false" customHeight="false" outlineLevel="0" collapsed="false">
      <c r="A433" s="571"/>
      <c r="B433" s="500"/>
      <c r="C433" s="500" t="s">
        <v>4189</v>
      </c>
      <c r="D433" s="652" t="s">
        <v>4133</v>
      </c>
      <c r="E433" s="653" t="n">
        <v>0.01</v>
      </c>
      <c r="F433" s="630" t="n">
        <v>3600</v>
      </c>
      <c r="G433" s="636" t="n">
        <f aca="false">E433*F433</f>
        <v>36</v>
      </c>
      <c r="H433" s="571"/>
    </row>
    <row r="434" customFormat="false" ht="15" hidden="false" customHeight="false" outlineLevel="0" collapsed="false">
      <c r="A434" s="571"/>
      <c r="B434" s="500"/>
      <c r="C434" s="500" t="s">
        <v>4147</v>
      </c>
      <c r="D434" s="652" t="s">
        <v>4133</v>
      </c>
      <c r="E434" s="653" t="n">
        <v>0.02</v>
      </c>
      <c r="F434" s="626" t="n">
        <v>14039</v>
      </c>
      <c r="G434" s="636" t="n">
        <f aca="false">E434*F434</f>
        <v>280.78</v>
      </c>
      <c r="H434" s="571"/>
    </row>
    <row r="435" customFormat="false" ht="15" hidden="false" customHeight="false" outlineLevel="0" collapsed="false">
      <c r="A435" s="571"/>
      <c r="B435" s="500"/>
      <c r="C435" s="500" t="s">
        <v>4269</v>
      </c>
      <c r="D435" s="652" t="s">
        <v>4133</v>
      </c>
      <c r="E435" s="653" t="n">
        <v>0.01</v>
      </c>
      <c r="F435" s="626" t="n">
        <v>13500</v>
      </c>
      <c r="G435" s="636" t="n">
        <f aca="false">E435*F435</f>
        <v>135</v>
      </c>
      <c r="H435" s="606"/>
    </row>
    <row r="436" customFormat="false" ht="15" hidden="false" customHeight="false" outlineLevel="0" collapsed="false">
      <c r="A436" s="571"/>
      <c r="B436" s="500"/>
      <c r="C436" s="500" t="s">
        <v>4281</v>
      </c>
      <c r="D436" s="571" t="s">
        <v>4138</v>
      </c>
      <c r="E436" s="629" t="s">
        <v>4271</v>
      </c>
      <c r="F436" s="648" t="n">
        <v>34720</v>
      </c>
      <c r="G436" s="636" t="n">
        <f aca="false">E436*F436</f>
        <v>1041.6</v>
      </c>
      <c r="H436" s="571"/>
    </row>
    <row r="437" customFormat="false" ht="15" hidden="false" customHeight="false" outlineLevel="0" collapsed="false">
      <c r="A437" s="571"/>
      <c r="B437" s="500"/>
      <c r="C437" s="500" t="s">
        <v>4282</v>
      </c>
      <c r="D437" s="652" t="s">
        <v>4133</v>
      </c>
      <c r="E437" s="653" t="s">
        <v>4186</v>
      </c>
      <c r="F437" s="644" t="n">
        <v>57000</v>
      </c>
      <c r="G437" s="636" t="n">
        <f aca="false">E437*F437</f>
        <v>570</v>
      </c>
      <c r="H437" s="606"/>
    </row>
    <row r="438" customFormat="false" ht="15" hidden="false" customHeight="false" outlineLevel="0" collapsed="false">
      <c r="A438" s="571"/>
      <c r="B438" s="608"/>
      <c r="C438" s="500" t="s">
        <v>4283</v>
      </c>
      <c r="D438" s="637" t="s">
        <v>4252</v>
      </c>
      <c r="E438" s="653" t="n">
        <v>0.002</v>
      </c>
      <c r="F438" s="644" t="n">
        <v>25000</v>
      </c>
      <c r="G438" s="636" t="n">
        <f aca="false">E438*F438</f>
        <v>50</v>
      </c>
      <c r="H438" s="606"/>
    </row>
    <row r="439" customFormat="false" ht="15" hidden="false" customHeight="false" outlineLevel="0" collapsed="false">
      <c r="A439" s="571"/>
      <c r="B439" s="500"/>
      <c r="C439" s="500" t="s">
        <v>4284</v>
      </c>
      <c r="D439" s="652" t="s">
        <v>4133</v>
      </c>
      <c r="E439" s="653" t="n">
        <v>0.02</v>
      </c>
      <c r="F439" s="644" t="n">
        <v>7500</v>
      </c>
      <c r="G439" s="636" t="n">
        <f aca="false">E439*F439</f>
        <v>150</v>
      </c>
      <c r="H439" s="606"/>
    </row>
    <row r="440" customFormat="false" ht="15" hidden="false" customHeight="false" outlineLevel="0" collapsed="false">
      <c r="A440" s="571"/>
      <c r="B440" s="500"/>
      <c r="C440" s="500" t="s">
        <v>4285</v>
      </c>
      <c r="D440" s="652" t="s">
        <v>4133</v>
      </c>
      <c r="E440" s="653" t="n">
        <v>0.02</v>
      </c>
      <c r="F440" s="644" t="n">
        <v>6500</v>
      </c>
      <c r="G440" s="636" t="n">
        <f aca="false">E440*F440</f>
        <v>130</v>
      </c>
      <c r="H440" s="606"/>
    </row>
    <row r="441" customFormat="false" ht="15" hidden="false" customHeight="false" outlineLevel="0" collapsed="false">
      <c r="A441" s="571"/>
      <c r="B441" s="500"/>
      <c r="C441" s="638" t="s">
        <v>4120</v>
      </c>
      <c r="D441" s="637" t="s">
        <v>4121</v>
      </c>
      <c r="E441" s="633" t="n">
        <v>0.03</v>
      </c>
      <c r="F441" s="639" t="n">
        <v>1500</v>
      </c>
      <c r="G441" s="636" t="n">
        <f aca="false">E441*F441</f>
        <v>45</v>
      </c>
      <c r="H441" s="571"/>
    </row>
    <row r="442" customFormat="false" ht="15" hidden="false" customHeight="false" outlineLevel="0" collapsed="false">
      <c r="A442" s="571"/>
      <c r="B442" s="608"/>
      <c r="C442" s="638" t="s">
        <v>4122</v>
      </c>
      <c r="D442" s="637" t="s">
        <v>4123</v>
      </c>
      <c r="E442" s="633" t="n">
        <v>0.098</v>
      </c>
      <c r="F442" s="626" t="n">
        <v>720</v>
      </c>
      <c r="G442" s="636" t="n">
        <f aca="false">E442*F442</f>
        <v>70.56</v>
      </c>
      <c r="H442" s="571"/>
    </row>
    <row r="443" customFormat="false" ht="15" hidden="false" customHeight="false" outlineLevel="0" collapsed="false">
      <c r="A443" s="571"/>
      <c r="B443" s="500"/>
      <c r="C443" s="633" t="s">
        <v>4270</v>
      </c>
      <c r="D443" s="637" t="s">
        <v>4149</v>
      </c>
      <c r="E443" s="633" t="n">
        <v>0.05</v>
      </c>
      <c r="F443" s="626" t="n">
        <v>7560</v>
      </c>
      <c r="G443" s="636" t="n">
        <f aca="false">E443*F443</f>
        <v>378</v>
      </c>
      <c r="H443" s="571"/>
    </row>
    <row r="444" customFormat="false" ht="15" hidden="false" customHeight="false" outlineLevel="0" collapsed="false">
      <c r="A444" s="571"/>
      <c r="B444" s="500"/>
      <c r="C444" s="633" t="s">
        <v>4126</v>
      </c>
      <c r="D444" s="637" t="s">
        <v>4127</v>
      </c>
      <c r="E444" s="633" t="n">
        <v>0.023</v>
      </c>
      <c r="F444" s="626" t="n">
        <v>2700</v>
      </c>
      <c r="G444" s="636" t="n">
        <f aca="false">E444*F444</f>
        <v>62.1</v>
      </c>
      <c r="H444" s="571"/>
    </row>
    <row r="445" customFormat="false" ht="15" hidden="false" customHeight="false" outlineLevel="0" collapsed="false">
      <c r="A445" s="571"/>
      <c r="B445" s="608" t="s">
        <v>4128</v>
      </c>
      <c r="C445" s="640"/>
      <c r="D445" s="327"/>
      <c r="E445" s="640"/>
      <c r="F445" s="643"/>
      <c r="G445" s="640" t="n">
        <f aca="false">SUM(G432:G444)</f>
        <v>3304.04</v>
      </c>
      <c r="H445" s="571"/>
    </row>
    <row r="446" customFormat="false" ht="15" hidden="false" customHeight="false" outlineLevel="0" collapsed="false">
      <c r="A446" s="571" t="s">
        <v>104</v>
      </c>
      <c r="B446" s="632" t="s">
        <v>3104</v>
      </c>
      <c r="C446" s="500" t="s">
        <v>4280</v>
      </c>
      <c r="D446" s="571" t="s">
        <v>4138</v>
      </c>
      <c r="E446" s="629" t="n">
        <v>0.1</v>
      </c>
      <c r="F446" s="630" t="s">
        <v>4279</v>
      </c>
      <c r="G446" s="636" t="n">
        <f aca="false">E446*F446</f>
        <v>710</v>
      </c>
      <c r="H446" s="571"/>
    </row>
    <row r="447" customFormat="false" ht="15" hidden="false" customHeight="false" outlineLevel="0" collapsed="false">
      <c r="A447" s="571"/>
      <c r="B447" s="500"/>
      <c r="C447" s="500" t="s">
        <v>4189</v>
      </c>
      <c r="D447" s="652" t="s">
        <v>4133</v>
      </c>
      <c r="E447" s="653" t="n">
        <v>0.01</v>
      </c>
      <c r="F447" s="630" t="n">
        <v>3600</v>
      </c>
      <c r="G447" s="636" t="n">
        <f aca="false">E447*F447</f>
        <v>36</v>
      </c>
      <c r="H447" s="571"/>
    </row>
    <row r="448" customFormat="false" ht="15" hidden="false" customHeight="false" outlineLevel="0" collapsed="false">
      <c r="A448" s="571"/>
      <c r="B448" s="500"/>
      <c r="C448" s="500" t="s">
        <v>4147</v>
      </c>
      <c r="D448" s="652" t="s">
        <v>4133</v>
      </c>
      <c r="E448" s="653" t="n">
        <v>0.01</v>
      </c>
      <c r="F448" s="626" t="n">
        <v>14039</v>
      </c>
      <c r="G448" s="636" t="n">
        <f aca="false">E448*F448</f>
        <v>140.39</v>
      </c>
      <c r="H448" s="571"/>
    </row>
    <row r="449" customFormat="false" ht="15" hidden="false" customHeight="false" outlineLevel="0" collapsed="false">
      <c r="A449" s="571"/>
      <c r="B449" s="500"/>
      <c r="C449" s="500" t="s">
        <v>4286</v>
      </c>
      <c r="D449" s="652" t="s">
        <v>4133</v>
      </c>
      <c r="E449" s="653" t="n">
        <v>0.01</v>
      </c>
      <c r="F449" s="639" t="n">
        <v>15100</v>
      </c>
      <c r="G449" s="636" t="n">
        <f aca="false">E449*F449</f>
        <v>151</v>
      </c>
      <c r="H449" s="571"/>
    </row>
    <row r="450" customFormat="false" ht="15" hidden="false" customHeight="false" outlineLevel="0" collapsed="false">
      <c r="A450" s="571"/>
      <c r="B450" s="500"/>
      <c r="C450" s="500" t="s">
        <v>4287</v>
      </c>
      <c r="D450" s="654" t="s">
        <v>4133</v>
      </c>
      <c r="E450" s="653" t="n">
        <v>0.001</v>
      </c>
      <c r="F450" s="648" t="n">
        <v>225000</v>
      </c>
      <c r="G450" s="636" t="n">
        <f aca="false">E450*F450</f>
        <v>225</v>
      </c>
      <c r="H450" s="571"/>
    </row>
    <row r="451" customFormat="false" ht="15" hidden="false" customHeight="false" outlineLevel="0" collapsed="false">
      <c r="A451" s="571"/>
      <c r="B451" s="500"/>
      <c r="C451" s="638" t="s">
        <v>4120</v>
      </c>
      <c r="D451" s="637" t="s">
        <v>4121</v>
      </c>
      <c r="E451" s="633" t="n">
        <v>0.03</v>
      </c>
      <c r="F451" s="639" t="n">
        <v>1500</v>
      </c>
      <c r="G451" s="636" t="n">
        <f aca="false">E451*F451</f>
        <v>45</v>
      </c>
      <c r="H451" s="571"/>
    </row>
    <row r="452" customFormat="false" ht="15" hidden="false" customHeight="false" outlineLevel="0" collapsed="false">
      <c r="A452" s="571"/>
      <c r="B452" s="500"/>
      <c r="C452" s="638" t="s">
        <v>4122</v>
      </c>
      <c r="D452" s="637" t="s">
        <v>4123</v>
      </c>
      <c r="E452" s="633" t="n">
        <v>0.01</v>
      </c>
      <c r="F452" s="626" t="n">
        <v>800</v>
      </c>
      <c r="G452" s="636" t="n">
        <f aca="false">E452*F452</f>
        <v>8</v>
      </c>
      <c r="H452" s="571"/>
    </row>
    <row r="453" customFormat="false" ht="15" hidden="false" customHeight="false" outlineLevel="0" collapsed="false">
      <c r="A453" s="571"/>
      <c r="B453" s="500"/>
      <c r="C453" s="633" t="s">
        <v>4270</v>
      </c>
      <c r="D453" s="637" t="s">
        <v>4149</v>
      </c>
      <c r="E453" s="633" t="n">
        <v>0.05</v>
      </c>
      <c r="F453" s="626" t="n">
        <v>7560</v>
      </c>
      <c r="G453" s="636" t="n">
        <f aca="false">E453*F453</f>
        <v>378</v>
      </c>
      <c r="H453" s="571"/>
    </row>
    <row r="454" customFormat="false" ht="15" hidden="false" customHeight="false" outlineLevel="0" collapsed="false">
      <c r="A454" s="571"/>
      <c r="B454" s="608"/>
      <c r="C454" s="633" t="s">
        <v>4126</v>
      </c>
      <c r="D454" s="637" t="s">
        <v>4127</v>
      </c>
      <c r="E454" s="633" t="n">
        <v>0.013</v>
      </c>
      <c r="F454" s="626" t="n">
        <v>2700</v>
      </c>
      <c r="G454" s="636" t="n">
        <f aca="false">E454*F454</f>
        <v>35.1</v>
      </c>
      <c r="H454" s="571"/>
    </row>
    <row r="455" customFormat="false" ht="15" hidden="false" customHeight="false" outlineLevel="0" collapsed="false">
      <c r="A455" s="571"/>
      <c r="B455" s="608" t="s">
        <v>4128</v>
      </c>
      <c r="C455" s="640"/>
      <c r="D455" s="327"/>
      <c r="E455" s="640"/>
      <c r="F455" s="643"/>
      <c r="G455" s="640" t="n">
        <f aca="false">SUM(G446:G454)</f>
        <v>1728.49</v>
      </c>
      <c r="H455" s="571"/>
    </row>
    <row r="456" customFormat="false" ht="15" hidden="false" customHeight="false" outlineLevel="0" collapsed="false">
      <c r="A456" s="571" t="s">
        <v>106</v>
      </c>
      <c r="B456" s="632" t="s">
        <v>3105</v>
      </c>
      <c r="C456" s="500" t="s">
        <v>4288</v>
      </c>
      <c r="D456" s="571" t="s">
        <v>4138</v>
      </c>
      <c r="E456" s="629" t="n">
        <v>0.03</v>
      </c>
      <c r="F456" s="648" t="n">
        <v>6900</v>
      </c>
      <c r="G456" s="636" t="n">
        <f aca="false">E456*F456</f>
        <v>207</v>
      </c>
      <c r="H456" s="606"/>
    </row>
    <row r="457" customFormat="false" ht="15" hidden="false" customHeight="false" outlineLevel="0" collapsed="false">
      <c r="A457" s="571"/>
      <c r="B457" s="500"/>
      <c r="C457" s="500" t="s">
        <v>4189</v>
      </c>
      <c r="D457" s="652" t="s">
        <v>4133</v>
      </c>
      <c r="E457" s="653" t="n">
        <v>0.03</v>
      </c>
      <c r="F457" s="630" t="n">
        <v>3600</v>
      </c>
      <c r="G457" s="636" t="n">
        <f aca="false">E457*F457</f>
        <v>108</v>
      </c>
      <c r="H457" s="571"/>
    </row>
    <row r="458" customFormat="false" ht="15" hidden="false" customHeight="false" outlineLevel="0" collapsed="false">
      <c r="A458" s="571"/>
      <c r="B458" s="500"/>
      <c r="C458" s="500" t="s">
        <v>4281</v>
      </c>
      <c r="D458" s="571" t="s">
        <v>4138</v>
      </c>
      <c r="E458" s="629" t="s">
        <v>4200</v>
      </c>
      <c r="F458" s="648" t="n">
        <v>34720</v>
      </c>
      <c r="G458" s="636" t="n">
        <f aca="false">E458*F458</f>
        <v>1736</v>
      </c>
      <c r="H458" s="571"/>
    </row>
    <row r="459" customFormat="false" ht="15" hidden="false" customHeight="false" outlineLevel="0" collapsed="false">
      <c r="A459" s="571"/>
      <c r="B459" s="500"/>
      <c r="C459" s="500" t="s">
        <v>4285</v>
      </c>
      <c r="D459" s="652" t="s">
        <v>4133</v>
      </c>
      <c r="E459" s="653" t="n">
        <v>0.01</v>
      </c>
      <c r="F459" s="644" t="n">
        <v>6500</v>
      </c>
      <c r="G459" s="636" t="n">
        <f aca="false">E459*F459</f>
        <v>65</v>
      </c>
      <c r="H459" s="606"/>
    </row>
    <row r="460" customFormat="false" ht="15" hidden="false" customHeight="false" outlineLevel="0" collapsed="false">
      <c r="A460" s="571"/>
      <c r="B460" s="500"/>
      <c r="C460" s="500" t="s">
        <v>4147</v>
      </c>
      <c r="D460" s="652" t="s">
        <v>4133</v>
      </c>
      <c r="E460" s="653" t="n">
        <v>0.01</v>
      </c>
      <c r="F460" s="626" t="n">
        <v>14039</v>
      </c>
      <c r="G460" s="636" t="n">
        <f aca="false">E460*F460</f>
        <v>140.39</v>
      </c>
      <c r="H460" s="571"/>
    </row>
    <row r="461" customFormat="false" ht="15" hidden="false" customHeight="false" outlineLevel="0" collapsed="false">
      <c r="A461" s="571"/>
      <c r="B461" s="500"/>
      <c r="C461" s="500" t="s">
        <v>4154</v>
      </c>
      <c r="D461" s="652" t="s">
        <v>4133</v>
      </c>
      <c r="E461" s="653" t="n">
        <v>0.002</v>
      </c>
      <c r="F461" s="626" t="n">
        <v>10976</v>
      </c>
      <c r="G461" s="636" t="n">
        <f aca="false">E461*F461</f>
        <v>21.952</v>
      </c>
      <c r="H461" s="571"/>
    </row>
    <row r="462" customFormat="false" ht="15" hidden="false" customHeight="false" outlineLevel="0" collapsed="false">
      <c r="A462" s="571"/>
      <c r="B462" s="608"/>
      <c r="C462" s="500" t="s">
        <v>4289</v>
      </c>
      <c r="D462" s="652" t="s">
        <v>4133</v>
      </c>
      <c r="E462" s="653" t="n">
        <v>0.01</v>
      </c>
      <c r="F462" s="644" t="n">
        <v>5500</v>
      </c>
      <c r="G462" s="636" t="n">
        <f aca="false">E462*F462</f>
        <v>55</v>
      </c>
      <c r="H462" s="606"/>
    </row>
    <row r="463" customFormat="false" ht="15" hidden="false" customHeight="false" outlineLevel="0" collapsed="false">
      <c r="A463" s="571"/>
      <c r="B463" s="500"/>
      <c r="C463" s="500" t="s">
        <v>4269</v>
      </c>
      <c r="D463" s="652" t="s">
        <v>4133</v>
      </c>
      <c r="E463" s="653" t="n">
        <v>0.01</v>
      </c>
      <c r="F463" s="639" t="n">
        <v>13500</v>
      </c>
      <c r="G463" s="636" t="n">
        <f aca="false">E463*F463</f>
        <v>135</v>
      </c>
      <c r="H463" s="606"/>
    </row>
    <row r="464" customFormat="false" ht="15" hidden="false" customHeight="false" outlineLevel="0" collapsed="false">
      <c r="A464" s="571"/>
      <c r="B464" s="500"/>
      <c r="C464" s="638" t="s">
        <v>4120</v>
      </c>
      <c r="D464" s="637" t="s">
        <v>4121</v>
      </c>
      <c r="E464" s="633" t="n">
        <v>0.03</v>
      </c>
      <c r="F464" s="639" t="n">
        <v>1500</v>
      </c>
      <c r="G464" s="636" t="n">
        <f aca="false">E464*F464</f>
        <v>45</v>
      </c>
      <c r="H464" s="571"/>
    </row>
    <row r="465" customFormat="false" ht="15" hidden="false" customHeight="false" outlineLevel="0" collapsed="false">
      <c r="A465" s="571"/>
      <c r="B465" s="500"/>
      <c r="C465" s="638" t="s">
        <v>4122</v>
      </c>
      <c r="D465" s="637" t="s">
        <v>4123</v>
      </c>
      <c r="E465" s="633" t="n">
        <v>0.01</v>
      </c>
      <c r="F465" s="626" t="n">
        <v>800</v>
      </c>
      <c r="G465" s="636" t="n">
        <f aca="false">E465*F465</f>
        <v>8</v>
      </c>
      <c r="H465" s="571"/>
    </row>
    <row r="466" customFormat="false" ht="15" hidden="false" customHeight="false" outlineLevel="0" collapsed="false">
      <c r="A466" s="571"/>
      <c r="B466" s="608"/>
      <c r="C466" s="633" t="s">
        <v>4270</v>
      </c>
      <c r="D466" s="637" t="s">
        <v>4149</v>
      </c>
      <c r="E466" s="633" t="n">
        <v>0.05</v>
      </c>
      <c r="F466" s="626" t="n">
        <v>7560</v>
      </c>
      <c r="G466" s="636" t="n">
        <f aca="false">E466*F466</f>
        <v>378</v>
      </c>
      <c r="H466" s="571"/>
    </row>
    <row r="467" customFormat="false" ht="15" hidden="false" customHeight="false" outlineLevel="0" collapsed="false">
      <c r="A467" s="571"/>
      <c r="B467" s="500"/>
      <c r="C467" s="633" t="s">
        <v>4126</v>
      </c>
      <c r="D467" s="637" t="s">
        <v>4127</v>
      </c>
      <c r="E467" s="633" t="n">
        <v>0.01</v>
      </c>
      <c r="F467" s="626" t="n">
        <v>2700</v>
      </c>
      <c r="G467" s="636" t="n">
        <f aca="false">E467*F467</f>
        <v>27</v>
      </c>
      <c r="H467" s="571"/>
    </row>
    <row r="468" customFormat="false" ht="15" hidden="false" customHeight="false" outlineLevel="0" collapsed="false">
      <c r="A468" s="571"/>
      <c r="B468" s="608" t="s">
        <v>4128</v>
      </c>
      <c r="C468" s="640"/>
      <c r="D468" s="327"/>
      <c r="E468" s="640"/>
      <c r="F468" s="643"/>
      <c r="G468" s="640" t="n">
        <f aca="false">SUM(G456:G467)</f>
        <v>2926.342</v>
      </c>
      <c r="H468" s="578"/>
    </row>
    <row r="469" customFormat="false" ht="15" hidden="false" customHeight="false" outlineLevel="0" collapsed="false">
      <c r="A469" s="571" t="s">
        <v>108</v>
      </c>
      <c r="B469" s="632" t="s">
        <v>3105</v>
      </c>
      <c r="C469" s="500" t="s">
        <v>4288</v>
      </c>
      <c r="D469" s="571" t="s">
        <v>4138</v>
      </c>
      <c r="E469" s="629" t="s">
        <v>4200</v>
      </c>
      <c r="F469" s="630" t="n">
        <v>7800</v>
      </c>
      <c r="G469" s="636" t="n">
        <f aca="false">E469*F469</f>
        <v>390</v>
      </c>
      <c r="H469" s="606"/>
    </row>
    <row r="470" customFormat="false" ht="15" hidden="false" customHeight="false" outlineLevel="0" collapsed="false">
      <c r="A470" s="571"/>
      <c r="B470" s="500"/>
      <c r="C470" s="500" t="s">
        <v>4189</v>
      </c>
      <c r="D470" s="652" t="s">
        <v>4133</v>
      </c>
      <c r="E470" s="653" t="n">
        <v>0.1</v>
      </c>
      <c r="F470" s="630" t="n">
        <v>3600</v>
      </c>
      <c r="G470" s="636" t="n">
        <f aca="false">E470*F470</f>
        <v>360</v>
      </c>
      <c r="H470" s="571"/>
    </row>
    <row r="471" customFormat="false" ht="15" hidden="false" customHeight="false" outlineLevel="0" collapsed="false">
      <c r="A471" s="571"/>
      <c r="B471" s="500"/>
      <c r="C471" s="500" t="s">
        <v>4147</v>
      </c>
      <c r="D471" s="652" t="s">
        <v>4133</v>
      </c>
      <c r="E471" s="653" t="s">
        <v>4271</v>
      </c>
      <c r="F471" s="626" t="n">
        <v>14039</v>
      </c>
      <c r="G471" s="636" t="n">
        <f aca="false">E471*F471</f>
        <v>421.17</v>
      </c>
      <c r="H471" s="571"/>
    </row>
    <row r="472" customFormat="false" ht="15" hidden="false" customHeight="false" outlineLevel="0" collapsed="false">
      <c r="A472" s="571"/>
      <c r="B472" s="500"/>
      <c r="C472" s="500" t="s">
        <v>4286</v>
      </c>
      <c r="D472" s="652" t="s">
        <v>4133</v>
      </c>
      <c r="E472" s="653" t="s">
        <v>4200</v>
      </c>
      <c r="F472" s="639" t="n">
        <v>15100</v>
      </c>
      <c r="G472" s="636" t="n">
        <f aca="false">E472*F472</f>
        <v>755</v>
      </c>
      <c r="H472" s="571"/>
    </row>
    <row r="473" customFormat="false" ht="15" hidden="false" customHeight="false" outlineLevel="0" collapsed="false">
      <c r="A473" s="571"/>
      <c r="B473" s="500"/>
      <c r="C473" s="500" t="s">
        <v>4287</v>
      </c>
      <c r="D473" s="654" t="s">
        <v>4252</v>
      </c>
      <c r="E473" s="653" t="n">
        <v>0.001</v>
      </c>
      <c r="F473" s="648" t="n">
        <v>225000</v>
      </c>
      <c r="G473" s="636" t="n">
        <f aca="false">E473*F473</f>
        <v>225</v>
      </c>
      <c r="H473" s="571"/>
    </row>
    <row r="474" customFormat="false" ht="15" hidden="false" customHeight="false" outlineLevel="0" collapsed="false">
      <c r="A474" s="571"/>
      <c r="B474" s="500"/>
      <c r="C474" s="638" t="s">
        <v>4120</v>
      </c>
      <c r="D474" s="637" t="s">
        <v>4121</v>
      </c>
      <c r="E474" s="633" t="n">
        <v>0.03</v>
      </c>
      <c r="F474" s="639" t="n">
        <v>1500</v>
      </c>
      <c r="G474" s="636" t="n">
        <f aca="false">E474*F474</f>
        <v>45</v>
      </c>
      <c r="H474" s="571"/>
    </row>
    <row r="475" customFormat="false" ht="15" hidden="false" customHeight="false" outlineLevel="0" collapsed="false">
      <c r="A475" s="571"/>
      <c r="B475" s="500"/>
      <c r="C475" s="638" t="s">
        <v>4122</v>
      </c>
      <c r="D475" s="637" t="s">
        <v>4123</v>
      </c>
      <c r="E475" s="633" t="n">
        <v>0.0018</v>
      </c>
      <c r="F475" s="626" t="n">
        <v>800</v>
      </c>
      <c r="G475" s="636" t="n">
        <f aca="false">E475*F475</f>
        <v>1.44</v>
      </c>
      <c r="H475" s="571"/>
    </row>
    <row r="476" customFormat="false" ht="15" hidden="false" customHeight="false" outlineLevel="0" collapsed="false">
      <c r="A476" s="571"/>
      <c r="B476" s="500"/>
      <c r="C476" s="633" t="s">
        <v>4270</v>
      </c>
      <c r="D476" s="637" t="s">
        <v>4149</v>
      </c>
      <c r="E476" s="633" t="n">
        <v>0.05</v>
      </c>
      <c r="F476" s="626" t="n">
        <v>7560</v>
      </c>
      <c r="G476" s="636" t="n">
        <f aca="false">E476*F476</f>
        <v>378</v>
      </c>
      <c r="H476" s="571"/>
    </row>
    <row r="477" customFormat="false" ht="15" hidden="false" customHeight="false" outlineLevel="0" collapsed="false">
      <c r="A477" s="571"/>
      <c r="B477" s="608"/>
      <c r="C477" s="633" t="s">
        <v>4126</v>
      </c>
      <c r="D477" s="637" t="s">
        <v>4127</v>
      </c>
      <c r="E477" s="633" t="n">
        <v>0.013</v>
      </c>
      <c r="F477" s="626" t="n">
        <v>2700</v>
      </c>
      <c r="G477" s="636" t="n">
        <f aca="false">E477*F477</f>
        <v>35.1</v>
      </c>
      <c r="H477" s="571"/>
    </row>
    <row r="478" customFormat="false" ht="15" hidden="false" customHeight="false" outlineLevel="0" collapsed="false">
      <c r="A478" s="571"/>
      <c r="B478" s="608" t="s">
        <v>4128</v>
      </c>
      <c r="C478" s="629"/>
      <c r="D478" s="571"/>
      <c r="E478" s="629"/>
      <c r="F478" s="630"/>
      <c r="G478" s="640" t="n">
        <f aca="false">SUM(G469:G477)</f>
        <v>2610.71</v>
      </c>
      <c r="H478" s="571"/>
    </row>
    <row r="479" customFormat="false" ht="15" hidden="false" customHeight="false" outlineLevel="0" collapsed="false">
      <c r="A479" s="571" t="s">
        <v>110</v>
      </c>
      <c r="B479" s="632" t="s">
        <v>4290</v>
      </c>
      <c r="C479" s="647" t="s">
        <v>4291</v>
      </c>
      <c r="D479" s="571" t="s">
        <v>4138</v>
      </c>
      <c r="E479" s="629" t="s">
        <v>4200</v>
      </c>
      <c r="F479" s="644" t="n">
        <v>6900</v>
      </c>
      <c r="G479" s="636" t="n">
        <f aca="false">E479*F479</f>
        <v>345</v>
      </c>
      <c r="H479" s="606"/>
    </row>
    <row r="480" customFormat="false" ht="15" hidden="false" customHeight="false" outlineLevel="0" collapsed="false">
      <c r="A480" s="571"/>
      <c r="B480" s="500"/>
      <c r="C480" s="655" t="s">
        <v>4292</v>
      </c>
      <c r="D480" s="652" t="s">
        <v>4133</v>
      </c>
      <c r="E480" s="633" t="n">
        <v>0.01</v>
      </c>
      <c r="F480" s="644" t="n">
        <v>2500</v>
      </c>
      <c r="G480" s="636" t="n">
        <f aca="false">E480*F480</f>
        <v>25</v>
      </c>
      <c r="H480" s="606"/>
    </row>
    <row r="481" customFormat="false" ht="15" hidden="false" customHeight="false" outlineLevel="0" collapsed="false">
      <c r="A481" s="571"/>
      <c r="B481" s="500"/>
      <c r="C481" s="655" t="s">
        <v>4147</v>
      </c>
      <c r="D481" s="652" t="s">
        <v>4133</v>
      </c>
      <c r="E481" s="633" t="n">
        <v>0.01</v>
      </c>
      <c r="F481" s="626" t="n">
        <v>14039</v>
      </c>
      <c r="G481" s="636" t="n">
        <f aca="false">E481*F481</f>
        <v>140.39</v>
      </c>
      <c r="H481" s="571"/>
    </row>
    <row r="482" customFormat="false" ht="15" hidden="false" customHeight="false" outlineLevel="0" collapsed="false">
      <c r="A482" s="571"/>
      <c r="B482" s="500"/>
      <c r="C482" s="655" t="s">
        <v>4293</v>
      </c>
      <c r="D482" s="652" t="s">
        <v>4294</v>
      </c>
      <c r="E482" s="633" t="n">
        <v>0.01</v>
      </c>
      <c r="F482" s="644" t="n">
        <v>15000</v>
      </c>
      <c r="G482" s="636" t="n">
        <f aca="false">E482*F482</f>
        <v>150</v>
      </c>
      <c r="H482" s="606"/>
    </row>
    <row r="483" customFormat="false" ht="15" hidden="false" customHeight="false" outlineLevel="0" collapsed="false">
      <c r="A483" s="571"/>
      <c r="B483" s="500"/>
      <c r="C483" s="655" t="s">
        <v>4295</v>
      </c>
      <c r="D483" s="652" t="s">
        <v>4133</v>
      </c>
      <c r="E483" s="633" t="n">
        <v>0.01</v>
      </c>
      <c r="F483" s="644" t="n">
        <v>25000</v>
      </c>
      <c r="G483" s="636" t="n">
        <f aca="false">E483*F483</f>
        <v>250</v>
      </c>
      <c r="H483" s="571"/>
    </row>
    <row r="484" customFormat="false" ht="15" hidden="false" customHeight="false" outlineLevel="0" collapsed="false">
      <c r="A484" s="571"/>
      <c r="B484" s="500"/>
      <c r="C484" s="655" t="s">
        <v>4296</v>
      </c>
      <c r="D484" s="652" t="s">
        <v>4133</v>
      </c>
      <c r="E484" s="633" t="n">
        <v>0.015</v>
      </c>
      <c r="F484" s="639" t="n">
        <v>15100</v>
      </c>
      <c r="G484" s="636" t="n">
        <f aca="false">E484*F484</f>
        <v>226.5</v>
      </c>
      <c r="H484" s="571"/>
    </row>
    <row r="485" customFormat="false" ht="15" hidden="false" customHeight="false" outlineLevel="0" collapsed="false">
      <c r="A485" s="571"/>
      <c r="B485" s="500"/>
      <c r="C485" s="655" t="s">
        <v>4297</v>
      </c>
      <c r="D485" s="652" t="s">
        <v>4133</v>
      </c>
      <c r="E485" s="633" t="s">
        <v>4213</v>
      </c>
      <c r="F485" s="644" t="n">
        <v>60000</v>
      </c>
      <c r="G485" s="636" t="n">
        <f aca="false">E485*F485</f>
        <v>300</v>
      </c>
      <c r="H485" s="571"/>
    </row>
    <row r="486" customFormat="false" ht="15" hidden="false" customHeight="false" outlineLevel="0" collapsed="false">
      <c r="A486" s="571"/>
      <c r="B486" s="500"/>
      <c r="C486" s="655" t="s">
        <v>4298</v>
      </c>
      <c r="D486" s="652" t="s">
        <v>4133</v>
      </c>
      <c r="E486" s="633" t="s">
        <v>4195</v>
      </c>
      <c r="F486" s="641" t="n">
        <v>1240000</v>
      </c>
      <c r="G486" s="636" t="n">
        <f aca="false">E486*F486</f>
        <v>372</v>
      </c>
      <c r="H486" s="606"/>
    </row>
    <row r="487" customFormat="false" ht="15" hidden="false" customHeight="false" outlineLevel="0" collapsed="false">
      <c r="A487" s="571"/>
      <c r="B487" s="500"/>
      <c r="C487" s="638" t="s">
        <v>4299</v>
      </c>
      <c r="D487" s="652" t="s">
        <v>4133</v>
      </c>
      <c r="E487" s="633" t="n">
        <v>0.0022</v>
      </c>
      <c r="F487" s="644" t="n">
        <v>78100</v>
      </c>
      <c r="G487" s="636" t="n">
        <f aca="false">E487*F487</f>
        <v>171.82</v>
      </c>
      <c r="H487" s="606"/>
    </row>
    <row r="488" customFormat="false" ht="15" hidden="false" customHeight="false" outlineLevel="0" collapsed="false">
      <c r="A488" s="571"/>
      <c r="B488" s="608"/>
      <c r="C488" s="638" t="s">
        <v>4300</v>
      </c>
      <c r="D488" s="652" t="s">
        <v>4133</v>
      </c>
      <c r="E488" s="633" t="n">
        <v>0.01</v>
      </c>
      <c r="F488" s="644" t="n">
        <v>11500</v>
      </c>
      <c r="G488" s="636" t="n">
        <f aca="false">E488*F488</f>
        <v>115</v>
      </c>
      <c r="H488" s="606"/>
    </row>
    <row r="489" customFormat="false" ht="15" hidden="false" customHeight="false" outlineLevel="0" collapsed="false">
      <c r="A489" s="571"/>
      <c r="B489" s="500"/>
      <c r="C489" s="655" t="s">
        <v>4301</v>
      </c>
      <c r="D489" s="652" t="s">
        <v>4133</v>
      </c>
      <c r="E489" s="633" t="n">
        <v>0.02</v>
      </c>
      <c r="F489" s="644" t="n">
        <v>28000</v>
      </c>
      <c r="G489" s="636" t="n">
        <f aca="false">E489*F489</f>
        <v>560</v>
      </c>
      <c r="H489" s="606"/>
    </row>
    <row r="490" customFormat="false" ht="15" hidden="false" customHeight="false" outlineLevel="0" collapsed="false">
      <c r="A490" s="571"/>
      <c r="B490" s="500"/>
      <c r="C490" s="638" t="s">
        <v>4120</v>
      </c>
      <c r="D490" s="637" t="s">
        <v>4121</v>
      </c>
      <c r="E490" s="633" t="n">
        <v>0.03</v>
      </c>
      <c r="F490" s="639" t="n">
        <v>1500</v>
      </c>
      <c r="G490" s="636" t="n">
        <f aca="false">E490*F490</f>
        <v>45</v>
      </c>
      <c r="H490" s="571"/>
    </row>
    <row r="491" customFormat="false" ht="15" hidden="false" customHeight="false" outlineLevel="0" collapsed="false">
      <c r="A491" s="571"/>
      <c r="B491" s="500"/>
      <c r="C491" s="638" t="s">
        <v>4122</v>
      </c>
      <c r="D491" s="637" t="s">
        <v>4123</v>
      </c>
      <c r="E491" s="633" t="n">
        <v>0.068</v>
      </c>
      <c r="F491" s="626" t="n">
        <v>800</v>
      </c>
      <c r="G491" s="636" t="n">
        <f aca="false">E491*F491</f>
        <v>54.4</v>
      </c>
      <c r="H491" s="571"/>
    </row>
    <row r="492" customFormat="false" ht="15" hidden="false" customHeight="false" outlineLevel="0" collapsed="false">
      <c r="A492" s="571"/>
      <c r="B492" s="500"/>
      <c r="C492" s="633" t="s">
        <v>4124</v>
      </c>
      <c r="D492" s="637" t="s">
        <v>4125</v>
      </c>
      <c r="E492" s="633" t="n">
        <v>0.1</v>
      </c>
      <c r="F492" s="626" t="n">
        <v>120</v>
      </c>
      <c r="G492" s="636" t="n">
        <f aca="false">E492*F492</f>
        <v>12</v>
      </c>
      <c r="H492" s="571"/>
    </row>
    <row r="493" customFormat="false" ht="15" hidden="false" customHeight="false" outlineLevel="0" collapsed="false">
      <c r="A493" s="571"/>
      <c r="B493" s="500"/>
      <c r="C493" s="633" t="s">
        <v>4126</v>
      </c>
      <c r="D493" s="637" t="s">
        <v>4149</v>
      </c>
      <c r="E493" s="633" t="n">
        <v>0.02</v>
      </c>
      <c r="F493" s="626" t="n">
        <v>2700</v>
      </c>
      <c r="G493" s="636" t="n">
        <f aca="false">E493*F493</f>
        <v>54</v>
      </c>
      <c r="H493" s="571"/>
    </row>
    <row r="494" customFormat="false" ht="15" hidden="false" customHeight="false" outlineLevel="0" collapsed="false">
      <c r="A494" s="571"/>
      <c r="B494" s="608" t="s">
        <v>4128</v>
      </c>
      <c r="C494" s="640"/>
      <c r="D494" s="327"/>
      <c r="E494" s="640"/>
      <c r="F494" s="643"/>
      <c r="G494" s="640" t="n">
        <f aca="false">SUM(G479:G493)</f>
        <v>2821.11</v>
      </c>
      <c r="H494" s="571"/>
    </row>
    <row r="495" customFormat="false" ht="15" hidden="false" customHeight="false" outlineLevel="0" collapsed="false">
      <c r="A495" s="571" t="s">
        <v>112</v>
      </c>
      <c r="B495" s="632" t="s">
        <v>4290</v>
      </c>
      <c r="C495" s="647" t="s">
        <v>4291</v>
      </c>
      <c r="D495" s="571" t="s">
        <v>4138</v>
      </c>
      <c r="E495" s="629" t="s">
        <v>4200</v>
      </c>
      <c r="F495" s="644" t="n">
        <v>6900</v>
      </c>
      <c r="G495" s="636" t="n">
        <f aca="false">E495*F495</f>
        <v>345</v>
      </c>
      <c r="H495" s="606"/>
    </row>
    <row r="496" customFormat="false" ht="15" hidden="false" customHeight="false" outlineLevel="0" collapsed="false">
      <c r="A496" s="571"/>
      <c r="B496" s="500"/>
      <c r="C496" s="638" t="s">
        <v>4189</v>
      </c>
      <c r="D496" s="637" t="s">
        <v>4133</v>
      </c>
      <c r="E496" s="633" t="n">
        <v>0.01</v>
      </c>
      <c r="F496" s="630" t="n">
        <v>3600</v>
      </c>
      <c r="G496" s="636" t="n">
        <f aca="false">E496*F496</f>
        <v>36</v>
      </c>
      <c r="H496" s="571"/>
    </row>
    <row r="497" customFormat="false" ht="15" hidden="false" customHeight="false" outlineLevel="0" collapsed="false">
      <c r="A497" s="571"/>
      <c r="B497" s="500"/>
      <c r="C497" s="638" t="s">
        <v>4272</v>
      </c>
      <c r="D497" s="637" t="s">
        <v>4252</v>
      </c>
      <c r="E497" s="633" t="n">
        <v>0.01</v>
      </c>
      <c r="F497" s="626" t="n">
        <v>100000</v>
      </c>
      <c r="G497" s="636" t="n">
        <f aca="false">E497*F497</f>
        <v>1000</v>
      </c>
      <c r="H497" s="606"/>
    </row>
    <row r="498" customFormat="false" ht="15" hidden="false" customHeight="false" outlineLevel="0" collapsed="false">
      <c r="A498" s="571"/>
      <c r="B498" s="500"/>
      <c r="C498" s="638" t="s">
        <v>4120</v>
      </c>
      <c r="D498" s="637" t="s">
        <v>4121</v>
      </c>
      <c r="E498" s="633" t="n">
        <v>0.03</v>
      </c>
      <c r="F498" s="639" t="n">
        <v>1500</v>
      </c>
      <c r="G498" s="636" t="n">
        <f aca="false">E498*F498</f>
        <v>45</v>
      </c>
      <c r="H498" s="571"/>
    </row>
    <row r="499" customFormat="false" ht="15" hidden="false" customHeight="false" outlineLevel="0" collapsed="false">
      <c r="A499" s="571"/>
      <c r="B499" s="500"/>
      <c r="C499" s="638" t="s">
        <v>4122</v>
      </c>
      <c r="D499" s="637" t="s">
        <v>4123</v>
      </c>
      <c r="E499" s="633" t="n">
        <v>0.01</v>
      </c>
      <c r="F499" s="626" t="n">
        <v>800</v>
      </c>
      <c r="G499" s="636" t="n">
        <f aca="false">E499*F499</f>
        <v>8</v>
      </c>
      <c r="H499" s="571"/>
    </row>
    <row r="500" customFormat="false" ht="15" hidden="false" customHeight="false" outlineLevel="0" collapsed="false">
      <c r="A500" s="571"/>
      <c r="B500" s="500"/>
      <c r="C500" s="633" t="s">
        <v>4124</v>
      </c>
      <c r="D500" s="637" t="s">
        <v>4125</v>
      </c>
      <c r="E500" s="633" t="n">
        <v>0.1</v>
      </c>
      <c r="F500" s="626" t="n">
        <v>120</v>
      </c>
      <c r="G500" s="636" t="n">
        <f aca="false">E500*F500</f>
        <v>12</v>
      </c>
      <c r="H500" s="571"/>
    </row>
    <row r="501" customFormat="false" ht="15" hidden="false" customHeight="false" outlineLevel="0" collapsed="false">
      <c r="A501" s="571"/>
      <c r="B501" s="500"/>
      <c r="C501" s="633" t="s">
        <v>4126</v>
      </c>
      <c r="D501" s="637" t="s">
        <v>4149</v>
      </c>
      <c r="E501" s="633" t="n">
        <v>0.02</v>
      </c>
      <c r="F501" s="626" t="n">
        <v>2700</v>
      </c>
      <c r="G501" s="636" t="n">
        <f aca="false">E501*F501</f>
        <v>54</v>
      </c>
      <c r="H501" s="571"/>
    </row>
    <row r="502" customFormat="false" ht="15" hidden="false" customHeight="false" outlineLevel="0" collapsed="false">
      <c r="A502" s="571"/>
      <c r="B502" s="608" t="s">
        <v>4128</v>
      </c>
      <c r="C502" s="640"/>
      <c r="D502" s="327"/>
      <c r="E502" s="640"/>
      <c r="F502" s="643"/>
      <c r="G502" s="640" t="n">
        <f aca="false">SUM(G495:G501)</f>
        <v>1500</v>
      </c>
      <c r="H502" s="571"/>
    </row>
    <row r="503" customFormat="false" ht="15" hidden="false" customHeight="false" outlineLevel="0" collapsed="false">
      <c r="A503" s="571" t="s">
        <v>114</v>
      </c>
      <c r="B503" s="500" t="s">
        <v>4302</v>
      </c>
      <c r="C503" s="635" t="s">
        <v>4303</v>
      </c>
      <c r="D503" s="571" t="s">
        <v>4138</v>
      </c>
      <c r="E503" s="629" t="n">
        <v>0.1</v>
      </c>
      <c r="F503" s="648" t="n">
        <v>6900</v>
      </c>
      <c r="G503" s="636" t="n">
        <f aca="false">E503*F503</f>
        <v>690</v>
      </c>
      <c r="H503" s="571"/>
    </row>
    <row r="504" customFormat="false" ht="15" hidden="false" customHeight="false" outlineLevel="0" collapsed="false">
      <c r="A504" s="571"/>
      <c r="B504" s="500"/>
      <c r="C504" s="635" t="s">
        <v>4189</v>
      </c>
      <c r="D504" s="634" t="s">
        <v>4133</v>
      </c>
      <c r="E504" s="635" t="n">
        <v>0.1</v>
      </c>
      <c r="F504" s="630" t="n">
        <v>3600</v>
      </c>
      <c r="G504" s="636" t="n">
        <f aca="false">E504*F504</f>
        <v>360</v>
      </c>
      <c r="H504" s="571"/>
    </row>
    <row r="505" customFormat="false" ht="15" hidden="false" customHeight="false" outlineLevel="0" collapsed="false">
      <c r="A505" s="571"/>
      <c r="B505" s="500"/>
      <c r="C505" s="635" t="s">
        <v>4270</v>
      </c>
      <c r="D505" s="634" t="s">
        <v>4133</v>
      </c>
      <c r="E505" s="635" t="n">
        <v>0.1</v>
      </c>
      <c r="F505" s="626" t="n">
        <v>7560</v>
      </c>
      <c r="G505" s="636" t="n">
        <f aca="false">E505*F505</f>
        <v>756</v>
      </c>
      <c r="H505" s="571"/>
    </row>
    <row r="506" customFormat="false" ht="15" hidden="false" customHeight="false" outlineLevel="0" collapsed="false">
      <c r="A506" s="571"/>
      <c r="B506" s="500"/>
      <c r="C506" s="635" t="s">
        <v>4304</v>
      </c>
      <c r="D506" s="634" t="s">
        <v>4133</v>
      </c>
      <c r="E506" s="635" t="s">
        <v>4198</v>
      </c>
      <c r="F506" s="648" t="n">
        <v>1810000</v>
      </c>
      <c r="G506" s="636" t="n">
        <f aca="false">E506*F506</f>
        <v>905</v>
      </c>
      <c r="H506" s="606"/>
    </row>
    <row r="507" customFormat="false" ht="15" hidden="false" customHeight="false" outlineLevel="0" collapsed="false">
      <c r="A507" s="571"/>
      <c r="B507" s="500"/>
      <c r="C507" s="635" t="s">
        <v>4305</v>
      </c>
      <c r="D507" s="634" t="s">
        <v>4133</v>
      </c>
      <c r="E507" s="635" t="s">
        <v>4271</v>
      </c>
      <c r="F507" s="648" t="n">
        <v>9500</v>
      </c>
      <c r="G507" s="636" t="n">
        <f aca="false">E507*F507</f>
        <v>285</v>
      </c>
      <c r="H507" s="606"/>
    </row>
    <row r="508" customFormat="false" ht="15" hidden="false" customHeight="false" outlineLevel="0" collapsed="false">
      <c r="A508" s="571"/>
      <c r="B508" s="500"/>
      <c r="C508" s="635" t="s">
        <v>4183</v>
      </c>
      <c r="D508" s="634" t="s">
        <v>4133</v>
      </c>
      <c r="E508" s="635" t="s">
        <v>4200</v>
      </c>
      <c r="F508" s="639" t="n">
        <v>15100</v>
      </c>
      <c r="G508" s="636" t="n">
        <f aca="false">E508*F508</f>
        <v>755</v>
      </c>
      <c r="H508" s="571"/>
    </row>
    <row r="509" customFormat="false" ht="15" hidden="false" customHeight="false" outlineLevel="0" collapsed="false">
      <c r="A509" s="571"/>
      <c r="B509" s="500"/>
      <c r="C509" s="638" t="s">
        <v>4120</v>
      </c>
      <c r="D509" s="637" t="s">
        <v>4121</v>
      </c>
      <c r="E509" s="633" t="n">
        <v>0.03</v>
      </c>
      <c r="F509" s="639" t="n">
        <v>1500</v>
      </c>
      <c r="G509" s="636" t="n">
        <f aca="false">E509*F509</f>
        <v>45</v>
      </c>
      <c r="H509" s="571"/>
    </row>
    <row r="510" customFormat="false" ht="15" hidden="false" customHeight="false" outlineLevel="0" collapsed="false">
      <c r="A510" s="571"/>
      <c r="B510" s="500"/>
      <c r="C510" s="638" t="s">
        <v>4122</v>
      </c>
      <c r="D510" s="637" t="s">
        <v>4123</v>
      </c>
      <c r="E510" s="633" t="n">
        <v>0.01</v>
      </c>
      <c r="F510" s="626" t="n">
        <v>800</v>
      </c>
      <c r="G510" s="636" t="n">
        <f aca="false">E510*F510</f>
        <v>8</v>
      </c>
      <c r="H510" s="571"/>
    </row>
    <row r="511" customFormat="false" ht="15" hidden="false" customHeight="false" outlineLevel="0" collapsed="false">
      <c r="A511" s="571"/>
      <c r="B511" s="500"/>
      <c r="C511" s="633" t="s">
        <v>4124</v>
      </c>
      <c r="D511" s="637" t="s">
        <v>4125</v>
      </c>
      <c r="E511" s="633" t="n">
        <v>0.1</v>
      </c>
      <c r="F511" s="626" t="n">
        <v>120</v>
      </c>
      <c r="G511" s="636" t="n">
        <f aca="false">E511*F511</f>
        <v>12</v>
      </c>
      <c r="H511" s="571"/>
    </row>
    <row r="512" customFormat="false" ht="15" hidden="false" customHeight="false" outlineLevel="0" collapsed="false">
      <c r="A512" s="571"/>
      <c r="B512" s="500"/>
      <c r="C512" s="633" t="s">
        <v>4126</v>
      </c>
      <c r="D512" s="637" t="s">
        <v>4149</v>
      </c>
      <c r="E512" s="633" t="n">
        <v>0.02</v>
      </c>
      <c r="F512" s="626" t="n">
        <v>2700</v>
      </c>
      <c r="G512" s="636" t="n">
        <f aca="false">E512*F512</f>
        <v>54</v>
      </c>
      <c r="H512" s="571"/>
    </row>
    <row r="513" customFormat="false" ht="15" hidden="false" customHeight="false" outlineLevel="0" collapsed="false">
      <c r="A513" s="571"/>
      <c r="B513" s="608" t="s">
        <v>4128</v>
      </c>
      <c r="C513" s="640"/>
      <c r="D513" s="327"/>
      <c r="E513" s="640"/>
      <c r="F513" s="643"/>
      <c r="G513" s="640" t="n">
        <f aca="false">SUM(G503:G512)</f>
        <v>3870</v>
      </c>
      <c r="H513" s="571"/>
    </row>
    <row r="514" customFormat="false" ht="30" hidden="false" customHeight="false" outlineLevel="0" collapsed="false">
      <c r="A514" s="571" t="s">
        <v>116</v>
      </c>
      <c r="B514" s="632" t="s">
        <v>2932</v>
      </c>
      <c r="C514" s="633" t="s">
        <v>4306</v>
      </c>
      <c r="D514" s="637" t="s">
        <v>4133</v>
      </c>
      <c r="E514" s="635" t="n">
        <v>0.001</v>
      </c>
      <c r="F514" s="626" t="n">
        <v>456020</v>
      </c>
      <c r="G514" s="636" t="n">
        <f aca="false">E514*F514</f>
        <v>456.02</v>
      </c>
      <c r="H514" s="606"/>
    </row>
    <row r="515" customFormat="false" ht="15" hidden="false" customHeight="false" outlineLevel="0" collapsed="false">
      <c r="A515" s="571"/>
      <c r="B515" s="500"/>
      <c r="C515" s="633" t="s">
        <v>4307</v>
      </c>
      <c r="D515" s="637" t="s">
        <v>4133</v>
      </c>
      <c r="E515" s="635" t="s">
        <v>4267</v>
      </c>
      <c r="F515" s="626" t="n">
        <v>20160</v>
      </c>
      <c r="G515" s="636" t="n">
        <f aca="false">E515*F515</f>
        <v>403.2</v>
      </c>
      <c r="H515" s="571"/>
    </row>
    <row r="516" customFormat="false" ht="30" hidden="false" customHeight="false" outlineLevel="0" collapsed="false">
      <c r="A516" s="571"/>
      <c r="B516" s="608"/>
      <c r="C516" s="633" t="s">
        <v>4308</v>
      </c>
      <c r="D516" s="637" t="s">
        <v>4133</v>
      </c>
      <c r="E516" s="635" t="n">
        <v>0.01</v>
      </c>
      <c r="F516" s="626" t="n">
        <v>6000</v>
      </c>
      <c r="G516" s="636" t="n">
        <f aca="false">E516*F516</f>
        <v>60</v>
      </c>
      <c r="H516" s="606"/>
    </row>
    <row r="517" customFormat="false" ht="15" hidden="false" customHeight="false" outlineLevel="0" collapsed="false">
      <c r="A517" s="571"/>
      <c r="B517" s="500"/>
      <c r="C517" s="633" t="s">
        <v>4147</v>
      </c>
      <c r="D517" s="637" t="s">
        <v>4133</v>
      </c>
      <c r="E517" s="635" t="s">
        <v>4186</v>
      </c>
      <c r="F517" s="626" t="n">
        <v>14039</v>
      </c>
      <c r="G517" s="636" t="n">
        <f aca="false">E517*F517</f>
        <v>140.39</v>
      </c>
      <c r="H517" s="571"/>
    </row>
    <row r="518" customFormat="false" ht="15" hidden="false" customHeight="false" outlineLevel="0" collapsed="false">
      <c r="A518" s="571"/>
      <c r="B518" s="500"/>
      <c r="C518" s="633" t="s">
        <v>4309</v>
      </c>
      <c r="D518" s="637" t="s">
        <v>4133</v>
      </c>
      <c r="E518" s="635" t="n">
        <v>0.02</v>
      </c>
      <c r="F518" s="626" t="n">
        <v>6500</v>
      </c>
      <c r="G518" s="636" t="n">
        <f aca="false">E518*F518</f>
        <v>130</v>
      </c>
      <c r="H518" s="606"/>
    </row>
    <row r="519" customFormat="false" ht="30" hidden="false" customHeight="false" outlineLevel="0" collapsed="false">
      <c r="A519" s="571"/>
      <c r="B519" s="608"/>
      <c r="C519" s="633" t="s">
        <v>4310</v>
      </c>
      <c r="D519" s="637" t="s">
        <v>4133</v>
      </c>
      <c r="E519" s="635" t="n">
        <v>0.05</v>
      </c>
      <c r="F519" s="644" t="n">
        <v>11500</v>
      </c>
      <c r="G519" s="636" t="n">
        <f aca="false">E519*F519</f>
        <v>575</v>
      </c>
      <c r="H519" s="606"/>
    </row>
    <row r="520" customFormat="false" ht="15" hidden="false" customHeight="false" outlineLevel="0" collapsed="false">
      <c r="A520" s="571"/>
      <c r="B520" s="500"/>
      <c r="C520" s="633" t="s">
        <v>4311</v>
      </c>
      <c r="D520" s="637" t="s">
        <v>4149</v>
      </c>
      <c r="E520" s="633" t="n">
        <v>0.01</v>
      </c>
      <c r="F520" s="626" t="n">
        <v>12000</v>
      </c>
      <c r="G520" s="636" t="n">
        <f aca="false">E520*F520</f>
        <v>120</v>
      </c>
      <c r="H520" s="606"/>
    </row>
    <row r="521" customFormat="false" ht="30" hidden="false" customHeight="false" outlineLevel="0" collapsed="false">
      <c r="A521" s="571"/>
      <c r="B521" s="500"/>
      <c r="C521" s="633" t="s">
        <v>4312</v>
      </c>
      <c r="D521" s="637" t="s">
        <v>4133</v>
      </c>
      <c r="E521" s="635" t="n">
        <v>0.01</v>
      </c>
      <c r="F521" s="626" t="n">
        <v>54880</v>
      </c>
      <c r="G521" s="636" t="n">
        <f aca="false">E521*F521</f>
        <v>548.8</v>
      </c>
      <c r="H521" s="571"/>
    </row>
    <row r="522" customFormat="false" ht="15" hidden="false" customHeight="false" outlineLevel="0" collapsed="false">
      <c r="A522" s="571"/>
      <c r="B522" s="500"/>
      <c r="C522" s="633" t="s">
        <v>4313</v>
      </c>
      <c r="D522" s="637" t="s">
        <v>4133</v>
      </c>
      <c r="E522" s="635" t="s">
        <v>4213</v>
      </c>
      <c r="F522" s="626" t="n">
        <v>40000</v>
      </c>
      <c r="G522" s="636" t="n">
        <f aca="false">E522*F522</f>
        <v>200</v>
      </c>
      <c r="H522" s="606"/>
    </row>
    <row r="523" customFormat="false" ht="15" hidden="false" customHeight="false" outlineLevel="0" collapsed="false">
      <c r="A523" s="571"/>
      <c r="B523" s="608"/>
      <c r="C523" s="633" t="s">
        <v>4314</v>
      </c>
      <c r="D523" s="571" t="s">
        <v>4138</v>
      </c>
      <c r="E523" s="629" t="n">
        <v>0.01</v>
      </c>
      <c r="F523" s="626" t="s">
        <v>4279</v>
      </c>
      <c r="G523" s="636" t="n">
        <f aca="false">E523*F523</f>
        <v>71</v>
      </c>
      <c r="H523" s="606"/>
    </row>
    <row r="524" customFormat="false" ht="15" hidden="false" customHeight="false" outlineLevel="0" collapsed="false">
      <c r="A524" s="571"/>
      <c r="B524" s="500"/>
      <c r="C524" s="638" t="s">
        <v>4120</v>
      </c>
      <c r="D524" s="637" t="s">
        <v>4121</v>
      </c>
      <c r="E524" s="633" t="n">
        <v>0.03</v>
      </c>
      <c r="F524" s="639" t="n">
        <v>1500</v>
      </c>
      <c r="G524" s="636" t="n">
        <f aca="false">E524*F524</f>
        <v>45</v>
      </c>
      <c r="H524" s="571"/>
    </row>
    <row r="525" customFormat="false" ht="15" hidden="false" customHeight="false" outlineLevel="0" collapsed="false">
      <c r="A525" s="571"/>
      <c r="B525" s="500"/>
      <c r="C525" s="638" t="s">
        <v>4122</v>
      </c>
      <c r="D525" s="637" t="s">
        <v>4123</v>
      </c>
      <c r="E525" s="633" t="n">
        <v>0.04</v>
      </c>
      <c r="F525" s="626" t="n">
        <v>800</v>
      </c>
      <c r="G525" s="636" t="n">
        <f aca="false">E525*F525</f>
        <v>32</v>
      </c>
      <c r="H525" s="571"/>
    </row>
    <row r="526" customFormat="false" ht="15" hidden="false" customHeight="false" outlineLevel="0" collapsed="false">
      <c r="A526" s="571"/>
      <c r="B526" s="500"/>
      <c r="C526" s="633" t="s">
        <v>4124</v>
      </c>
      <c r="D526" s="637" t="s">
        <v>4125</v>
      </c>
      <c r="E526" s="633" t="n">
        <v>0.1</v>
      </c>
      <c r="F526" s="626" t="n">
        <v>120</v>
      </c>
      <c r="G526" s="636" t="n">
        <f aca="false">E526*F526</f>
        <v>12</v>
      </c>
      <c r="H526" s="571"/>
    </row>
    <row r="527" customFormat="false" ht="15" hidden="false" customHeight="false" outlineLevel="0" collapsed="false">
      <c r="A527" s="571"/>
      <c r="B527" s="500"/>
      <c r="C527" s="633" t="s">
        <v>4126</v>
      </c>
      <c r="D527" s="637" t="s">
        <v>4127</v>
      </c>
      <c r="E527" s="633" t="n">
        <v>0.021</v>
      </c>
      <c r="F527" s="626" t="n">
        <v>2700</v>
      </c>
      <c r="G527" s="636" t="n">
        <f aca="false">E527*F527</f>
        <v>56.7</v>
      </c>
      <c r="H527" s="571"/>
    </row>
    <row r="528" customFormat="false" ht="15" hidden="false" customHeight="false" outlineLevel="0" collapsed="false">
      <c r="A528" s="571"/>
      <c r="B528" s="608" t="s">
        <v>4128</v>
      </c>
      <c r="C528" s="640"/>
      <c r="D528" s="327"/>
      <c r="E528" s="640"/>
      <c r="F528" s="643"/>
      <c r="G528" s="640" t="n">
        <f aca="false">SUM(G514:G527)</f>
        <v>2850.11</v>
      </c>
      <c r="H528" s="571"/>
    </row>
    <row r="529" customFormat="false" ht="15" hidden="false" customHeight="false" outlineLevel="0" collapsed="false">
      <c r="A529" s="571" t="s">
        <v>118</v>
      </c>
      <c r="B529" s="500" t="s">
        <v>2933</v>
      </c>
      <c r="C529" s="638" t="s">
        <v>4189</v>
      </c>
      <c r="D529" s="637" t="s">
        <v>4133</v>
      </c>
      <c r="E529" s="633" t="n">
        <v>0.1</v>
      </c>
      <c r="F529" s="630" t="n">
        <v>3600</v>
      </c>
      <c r="G529" s="636" t="n">
        <f aca="false">E529*F529</f>
        <v>360</v>
      </c>
      <c r="H529" s="571"/>
    </row>
    <row r="530" customFormat="false" ht="15" hidden="false" customHeight="false" outlineLevel="0" collapsed="false">
      <c r="A530" s="571"/>
      <c r="B530" s="500"/>
      <c r="C530" s="638" t="s">
        <v>4272</v>
      </c>
      <c r="D530" s="637" t="s">
        <v>4252</v>
      </c>
      <c r="E530" s="633" t="n">
        <v>0.01</v>
      </c>
      <c r="F530" s="626" t="n">
        <v>100000</v>
      </c>
      <c r="G530" s="636" t="n">
        <f aca="false">E530*F530</f>
        <v>1000</v>
      </c>
      <c r="H530" s="606"/>
    </row>
    <row r="531" customFormat="false" ht="15" hidden="false" customHeight="false" outlineLevel="0" collapsed="false">
      <c r="A531" s="571"/>
      <c r="B531" s="500"/>
      <c r="C531" s="633" t="s">
        <v>4315</v>
      </c>
      <c r="D531" s="571" t="s">
        <v>4138</v>
      </c>
      <c r="E531" s="629" t="n">
        <v>0.01</v>
      </c>
      <c r="F531" s="626" t="n">
        <v>7200</v>
      </c>
      <c r="G531" s="636" t="n">
        <f aca="false">E531*F531</f>
        <v>72</v>
      </c>
      <c r="H531" s="606"/>
    </row>
    <row r="532" customFormat="false" ht="15" hidden="false" customHeight="false" outlineLevel="0" collapsed="false">
      <c r="A532" s="571"/>
      <c r="B532" s="500"/>
      <c r="C532" s="638" t="s">
        <v>4120</v>
      </c>
      <c r="D532" s="637" t="s">
        <v>4121</v>
      </c>
      <c r="E532" s="633" t="n">
        <v>0.03</v>
      </c>
      <c r="F532" s="639" t="n">
        <v>1500</v>
      </c>
      <c r="G532" s="636" t="n">
        <f aca="false">E532*F532</f>
        <v>45</v>
      </c>
      <c r="H532" s="571"/>
    </row>
    <row r="533" customFormat="false" ht="15" hidden="false" customHeight="false" outlineLevel="0" collapsed="false">
      <c r="A533" s="571"/>
      <c r="B533" s="500"/>
      <c r="C533" s="638" t="s">
        <v>4122</v>
      </c>
      <c r="D533" s="637" t="s">
        <v>4123</v>
      </c>
      <c r="E533" s="633" t="n">
        <v>0.1</v>
      </c>
      <c r="F533" s="626" t="n">
        <v>800</v>
      </c>
      <c r="G533" s="636" t="n">
        <f aca="false">E533*F533</f>
        <v>80</v>
      </c>
      <c r="H533" s="571"/>
    </row>
    <row r="534" customFormat="false" ht="15" hidden="false" customHeight="false" outlineLevel="0" collapsed="false">
      <c r="A534" s="571"/>
      <c r="B534" s="500"/>
      <c r="C534" s="633" t="s">
        <v>4124</v>
      </c>
      <c r="D534" s="637" t="s">
        <v>4125</v>
      </c>
      <c r="E534" s="633" t="n">
        <v>0.1</v>
      </c>
      <c r="F534" s="626" t="n">
        <v>120</v>
      </c>
      <c r="G534" s="636" t="n">
        <f aca="false">E534*F534</f>
        <v>12</v>
      </c>
      <c r="H534" s="571"/>
    </row>
    <row r="535" customFormat="false" ht="15" hidden="false" customHeight="false" outlineLevel="0" collapsed="false">
      <c r="A535" s="571"/>
      <c r="B535" s="500"/>
      <c r="C535" s="633" t="s">
        <v>4126</v>
      </c>
      <c r="D535" s="637" t="s">
        <v>4149</v>
      </c>
      <c r="E535" s="633" t="n">
        <v>0.02</v>
      </c>
      <c r="F535" s="626" t="n">
        <v>2700</v>
      </c>
      <c r="G535" s="636" t="n">
        <f aca="false">E535*F535</f>
        <v>54</v>
      </c>
      <c r="H535" s="571"/>
    </row>
    <row r="536" customFormat="false" ht="15" hidden="false" customHeight="false" outlineLevel="0" collapsed="false">
      <c r="A536" s="571"/>
      <c r="B536" s="608" t="s">
        <v>4128</v>
      </c>
      <c r="C536" s="640"/>
      <c r="D536" s="327"/>
      <c r="E536" s="640"/>
      <c r="F536" s="643"/>
      <c r="G536" s="640" t="n">
        <f aca="false">SUM(G529:G535)</f>
        <v>1623</v>
      </c>
      <c r="H536" s="571"/>
    </row>
    <row r="537" customFormat="false" ht="15" hidden="false" customHeight="false" outlineLevel="0" collapsed="false">
      <c r="A537" s="571" t="s">
        <v>120</v>
      </c>
      <c r="B537" s="500" t="s">
        <v>4316</v>
      </c>
      <c r="C537" s="629" t="s">
        <v>4317</v>
      </c>
      <c r="D537" s="571" t="s">
        <v>4133</v>
      </c>
      <c r="E537" s="629" t="n">
        <v>0.01</v>
      </c>
      <c r="F537" s="626" t="s">
        <v>4249</v>
      </c>
      <c r="G537" s="636" t="n">
        <f aca="false">E537*F537</f>
        <v>60.48</v>
      </c>
      <c r="H537" s="571"/>
    </row>
    <row r="538" customFormat="false" ht="30" hidden="false" customHeight="false" outlineLevel="0" collapsed="false">
      <c r="A538" s="571"/>
      <c r="B538" s="500"/>
      <c r="C538" s="629" t="s">
        <v>4318</v>
      </c>
      <c r="D538" s="571" t="s">
        <v>4133</v>
      </c>
      <c r="E538" s="629" t="n">
        <v>0.01</v>
      </c>
      <c r="F538" s="630" t="n">
        <v>5500</v>
      </c>
      <c r="G538" s="636" t="n">
        <f aca="false">E538*F538</f>
        <v>55</v>
      </c>
      <c r="H538" s="606"/>
    </row>
    <row r="539" customFormat="false" ht="15" hidden="false" customHeight="false" outlineLevel="0" collapsed="false">
      <c r="A539" s="571"/>
      <c r="B539" s="500"/>
      <c r="C539" s="629" t="s">
        <v>4154</v>
      </c>
      <c r="D539" s="571" t="s">
        <v>4133</v>
      </c>
      <c r="E539" s="629" t="n">
        <v>0.01</v>
      </c>
      <c r="F539" s="626" t="n">
        <v>10976</v>
      </c>
      <c r="G539" s="636" t="n">
        <f aca="false">E539*F539</f>
        <v>109.76</v>
      </c>
      <c r="H539" s="571"/>
    </row>
    <row r="540" customFormat="false" ht="15" hidden="false" customHeight="false" outlineLevel="0" collapsed="false">
      <c r="A540" s="571"/>
      <c r="B540" s="500"/>
      <c r="C540" s="629" t="s">
        <v>4225</v>
      </c>
      <c r="D540" s="571" t="s">
        <v>4133</v>
      </c>
      <c r="E540" s="629" t="n">
        <v>0.01</v>
      </c>
      <c r="F540" s="630" t="n">
        <v>15100</v>
      </c>
      <c r="G540" s="636" t="n">
        <f aca="false">E540*F540</f>
        <v>151</v>
      </c>
      <c r="H540" s="571"/>
    </row>
    <row r="541" customFormat="false" ht="15" hidden="false" customHeight="false" outlineLevel="0" collapsed="false">
      <c r="A541" s="571"/>
      <c r="B541" s="500"/>
      <c r="C541" s="629" t="s">
        <v>4319</v>
      </c>
      <c r="D541" s="571" t="s">
        <v>4133</v>
      </c>
      <c r="E541" s="629" t="n">
        <v>0.004</v>
      </c>
      <c r="F541" s="630" t="n">
        <v>18000</v>
      </c>
      <c r="G541" s="636" t="n">
        <f aca="false">E541*F541</f>
        <v>72</v>
      </c>
      <c r="H541" s="571"/>
    </row>
    <row r="542" customFormat="false" ht="30" hidden="false" customHeight="false" outlineLevel="0" collapsed="false">
      <c r="A542" s="571"/>
      <c r="B542" s="500"/>
      <c r="C542" s="629" t="s">
        <v>4320</v>
      </c>
      <c r="D542" s="571" t="s">
        <v>4121</v>
      </c>
      <c r="E542" s="629" t="n">
        <v>1</v>
      </c>
      <c r="F542" s="630" t="n">
        <v>1400</v>
      </c>
      <c r="G542" s="636" t="n">
        <f aca="false">E542*F542</f>
        <v>1400</v>
      </c>
      <c r="H542" s="606"/>
    </row>
    <row r="543" customFormat="false" ht="15" hidden="false" customHeight="false" outlineLevel="0" collapsed="false">
      <c r="A543" s="571"/>
      <c r="B543" s="500"/>
      <c r="C543" s="629" t="s">
        <v>4321</v>
      </c>
      <c r="D543" s="571" t="s">
        <v>4138</v>
      </c>
      <c r="E543" s="629" t="n">
        <v>0.1</v>
      </c>
      <c r="F543" s="630" t="n">
        <v>7200</v>
      </c>
      <c r="G543" s="636" t="n">
        <f aca="false">E543*F543</f>
        <v>720</v>
      </c>
      <c r="H543" s="606"/>
    </row>
    <row r="544" customFormat="false" ht="15" hidden="false" customHeight="false" outlineLevel="0" collapsed="false">
      <c r="A544" s="571"/>
      <c r="B544" s="500"/>
      <c r="C544" s="638" t="s">
        <v>4120</v>
      </c>
      <c r="D544" s="637" t="s">
        <v>4121</v>
      </c>
      <c r="E544" s="633" t="n">
        <v>0.03</v>
      </c>
      <c r="F544" s="639" t="n">
        <v>1500</v>
      </c>
      <c r="G544" s="636" t="n">
        <f aca="false">E544*F544</f>
        <v>45</v>
      </c>
      <c r="H544" s="571"/>
    </row>
    <row r="545" customFormat="false" ht="15" hidden="false" customHeight="false" outlineLevel="0" collapsed="false">
      <c r="A545" s="571"/>
      <c r="B545" s="608"/>
      <c r="C545" s="638" t="s">
        <v>4122</v>
      </c>
      <c r="D545" s="637" t="s">
        <v>4123</v>
      </c>
      <c r="E545" s="633" t="n">
        <v>0.01</v>
      </c>
      <c r="F545" s="626" t="n">
        <v>800</v>
      </c>
      <c r="G545" s="636" t="n">
        <f aca="false">E545*F545</f>
        <v>8</v>
      </c>
      <c r="H545" s="571"/>
    </row>
    <row r="546" customFormat="false" ht="15" hidden="false" customHeight="false" outlineLevel="0" collapsed="false">
      <c r="A546" s="571"/>
      <c r="B546" s="500"/>
      <c r="C546" s="633" t="s">
        <v>4124</v>
      </c>
      <c r="D546" s="637" t="s">
        <v>4125</v>
      </c>
      <c r="E546" s="633" t="n">
        <v>0.1</v>
      </c>
      <c r="F546" s="626" t="n">
        <v>120</v>
      </c>
      <c r="G546" s="636" t="n">
        <f aca="false">E546*F546</f>
        <v>12</v>
      </c>
      <c r="H546" s="571"/>
    </row>
    <row r="547" customFormat="false" ht="15" hidden="false" customHeight="false" outlineLevel="0" collapsed="false">
      <c r="A547" s="571"/>
      <c r="B547" s="500"/>
      <c r="C547" s="633" t="s">
        <v>4126</v>
      </c>
      <c r="D547" s="637" t="s">
        <v>4149</v>
      </c>
      <c r="E547" s="633" t="n">
        <v>0.02</v>
      </c>
      <c r="F547" s="626" t="n">
        <v>2700</v>
      </c>
      <c r="G547" s="636" t="n">
        <f aca="false">E547*F547</f>
        <v>54</v>
      </c>
      <c r="H547" s="571"/>
    </row>
    <row r="548" customFormat="false" ht="15" hidden="false" customHeight="false" outlineLevel="0" collapsed="false">
      <c r="A548" s="571"/>
      <c r="B548" s="608" t="s">
        <v>4128</v>
      </c>
      <c r="C548" s="640"/>
      <c r="D548" s="327"/>
      <c r="E548" s="640"/>
      <c r="F548" s="643"/>
      <c r="G548" s="640" t="n">
        <f aca="false">SUM(G537:G547)</f>
        <v>2687.24</v>
      </c>
      <c r="H548" s="571"/>
    </row>
    <row r="549" customFormat="false" ht="15" hidden="false" customHeight="false" outlineLevel="0" collapsed="false">
      <c r="A549" s="571" t="s">
        <v>122</v>
      </c>
      <c r="B549" s="500" t="s">
        <v>4316</v>
      </c>
      <c r="C549" s="655" t="s">
        <v>4317</v>
      </c>
      <c r="D549" s="652" t="s">
        <v>4133</v>
      </c>
      <c r="E549" s="633" t="n">
        <v>0.1</v>
      </c>
      <c r="F549" s="644" t="n">
        <v>5500</v>
      </c>
      <c r="G549" s="636" t="n">
        <f aca="false">E549*F549</f>
        <v>550</v>
      </c>
      <c r="H549" s="571"/>
    </row>
    <row r="550" customFormat="false" ht="15" hidden="false" customHeight="false" outlineLevel="0" collapsed="false">
      <c r="A550" s="571"/>
      <c r="B550" s="500"/>
      <c r="C550" s="647" t="s">
        <v>4321</v>
      </c>
      <c r="D550" s="571" t="s">
        <v>4138</v>
      </c>
      <c r="E550" s="629" t="n">
        <v>0.1</v>
      </c>
      <c r="F550" s="645" t="n">
        <v>7200</v>
      </c>
      <c r="G550" s="636" t="n">
        <f aca="false">E550*F550</f>
        <v>720</v>
      </c>
      <c r="H550" s="606"/>
    </row>
    <row r="551" customFormat="false" ht="15" hidden="false" customHeight="false" outlineLevel="0" collapsed="false">
      <c r="A551" s="571"/>
      <c r="B551" s="500"/>
      <c r="C551" s="647" t="s">
        <v>4250</v>
      </c>
      <c r="D551" s="654" t="s">
        <v>4133</v>
      </c>
      <c r="E551" s="633" t="n">
        <v>0.012</v>
      </c>
      <c r="F551" s="645" t="n">
        <v>25000</v>
      </c>
      <c r="G551" s="636" t="n">
        <f aca="false">E551*F551</f>
        <v>300</v>
      </c>
      <c r="H551" s="571"/>
    </row>
    <row r="552" customFormat="false" ht="15" hidden="false" customHeight="false" outlineLevel="0" collapsed="false">
      <c r="A552" s="571"/>
      <c r="B552" s="608"/>
      <c r="C552" s="647" t="s">
        <v>4322</v>
      </c>
      <c r="D552" s="654" t="s">
        <v>4121</v>
      </c>
      <c r="E552" s="633" t="n">
        <v>4</v>
      </c>
      <c r="F552" s="645" t="n">
        <v>150</v>
      </c>
      <c r="G552" s="636" t="n">
        <f aca="false">E552*F552</f>
        <v>600</v>
      </c>
      <c r="H552" s="606"/>
    </row>
    <row r="553" customFormat="false" ht="15" hidden="false" customHeight="false" outlineLevel="0" collapsed="false">
      <c r="A553" s="571"/>
      <c r="B553" s="500"/>
      <c r="C553" s="638" t="s">
        <v>4120</v>
      </c>
      <c r="D553" s="637" t="s">
        <v>4121</v>
      </c>
      <c r="E553" s="633" t="n">
        <v>0.03</v>
      </c>
      <c r="F553" s="639" t="n">
        <v>1500</v>
      </c>
      <c r="G553" s="636" t="n">
        <f aca="false">E553*F553</f>
        <v>45</v>
      </c>
      <c r="H553" s="571"/>
    </row>
    <row r="554" customFormat="false" ht="15" hidden="false" customHeight="false" outlineLevel="0" collapsed="false">
      <c r="A554" s="571"/>
      <c r="B554" s="500"/>
      <c r="C554" s="638" t="s">
        <v>4122</v>
      </c>
      <c r="D554" s="637" t="s">
        <v>4123</v>
      </c>
      <c r="E554" s="633" t="n">
        <v>0.01</v>
      </c>
      <c r="F554" s="626" t="n">
        <v>800</v>
      </c>
      <c r="G554" s="636" t="n">
        <f aca="false">E554*F554</f>
        <v>8</v>
      </c>
      <c r="H554" s="571"/>
    </row>
    <row r="555" customFormat="false" ht="15" hidden="false" customHeight="false" outlineLevel="0" collapsed="false">
      <c r="A555" s="571"/>
      <c r="B555" s="500"/>
      <c r="C555" s="633" t="s">
        <v>4124</v>
      </c>
      <c r="D555" s="637" t="s">
        <v>4125</v>
      </c>
      <c r="E555" s="633" t="n">
        <v>0.1</v>
      </c>
      <c r="F555" s="626" t="n">
        <v>120</v>
      </c>
      <c r="G555" s="636" t="n">
        <f aca="false">E555*F555</f>
        <v>12</v>
      </c>
      <c r="H555" s="571"/>
    </row>
    <row r="556" customFormat="false" ht="15" hidden="false" customHeight="false" outlineLevel="0" collapsed="false">
      <c r="A556" s="571"/>
      <c r="B556" s="608"/>
      <c r="C556" s="633" t="s">
        <v>4126</v>
      </c>
      <c r="D556" s="637" t="s">
        <v>4149</v>
      </c>
      <c r="E556" s="633" t="n">
        <v>0.02</v>
      </c>
      <c r="F556" s="626" t="n">
        <v>2700</v>
      </c>
      <c r="G556" s="636" t="n">
        <f aca="false">E556*F556</f>
        <v>54</v>
      </c>
      <c r="H556" s="571"/>
    </row>
    <row r="557" customFormat="false" ht="15" hidden="false" customHeight="false" outlineLevel="0" collapsed="false">
      <c r="A557" s="571"/>
      <c r="B557" s="608" t="s">
        <v>4128</v>
      </c>
      <c r="C557" s="640"/>
      <c r="D557" s="327"/>
      <c r="E557" s="640"/>
      <c r="F557" s="643"/>
      <c r="G557" s="640" t="n">
        <f aca="false">SUM(G549:G556)</f>
        <v>2289</v>
      </c>
      <c r="H557" s="571"/>
    </row>
    <row r="558" customFormat="false" ht="15" hidden="false" customHeight="false" outlineLevel="0" collapsed="false">
      <c r="A558" s="571" t="s">
        <v>124</v>
      </c>
      <c r="B558" s="500" t="s">
        <v>2936</v>
      </c>
      <c r="C558" s="635" t="s">
        <v>4171</v>
      </c>
      <c r="D558" s="634" t="s">
        <v>4133</v>
      </c>
      <c r="E558" s="635" t="n">
        <v>0.01</v>
      </c>
      <c r="F558" s="626" t="n">
        <v>18000</v>
      </c>
      <c r="G558" s="636" t="n">
        <f aca="false">E558*F558</f>
        <v>180</v>
      </c>
      <c r="H558" s="571"/>
    </row>
    <row r="559" customFormat="false" ht="15" hidden="false" customHeight="false" outlineLevel="0" collapsed="false">
      <c r="A559" s="571"/>
      <c r="B559" s="500"/>
      <c r="C559" s="635" t="s">
        <v>4323</v>
      </c>
      <c r="D559" s="634" t="s">
        <v>4133</v>
      </c>
      <c r="E559" s="635" t="n">
        <v>0.01</v>
      </c>
      <c r="F559" s="648" t="n">
        <v>18100</v>
      </c>
      <c r="G559" s="636" t="n">
        <f aca="false">E559*F559</f>
        <v>181</v>
      </c>
      <c r="H559" s="606"/>
    </row>
    <row r="560" customFormat="false" ht="15" hidden="false" customHeight="false" outlineLevel="0" collapsed="false">
      <c r="A560" s="571"/>
      <c r="B560" s="500"/>
      <c r="C560" s="635" t="s">
        <v>4154</v>
      </c>
      <c r="D560" s="634" t="s">
        <v>4133</v>
      </c>
      <c r="E560" s="635" t="s">
        <v>4200</v>
      </c>
      <c r="F560" s="626" t="n">
        <v>10976</v>
      </c>
      <c r="G560" s="636" t="n">
        <f aca="false">E560*F560</f>
        <v>548.8</v>
      </c>
      <c r="H560" s="571"/>
    </row>
    <row r="561" customFormat="false" ht="45" hidden="false" customHeight="false" outlineLevel="0" collapsed="false">
      <c r="A561" s="571"/>
      <c r="B561" s="500"/>
      <c r="C561" s="646" t="s">
        <v>4203</v>
      </c>
      <c r="D561" s="637" t="s">
        <v>4131</v>
      </c>
      <c r="E561" s="635" t="n">
        <v>0.01</v>
      </c>
      <c r="F561" s="644" t="n">
        <v>10192</v>
      </c>
      <c r="G561" s="636" t="n">
        <f aca="false">E561*F561</f>
        <v>101.92</v>
      </c>
      <c r="H561" s="571"/>
    </row>
    <row r="562" customFormat="false" ht="15" hidden="false" customHeight="false" outlineLevel="0" collapsed="false">
      <c r="A562" s="571"/>
      <c r="B562" s="500"/>
      <c r="C562" s="635" t="s">
        <v>4324</v>
      </c>
      <c r="D562" s="637" t="s">
        <v>4131</v>
      </c>
      <c r="E562" s="635" t="s">
        <v>4271</v>
      </c>
      <c r="F562" s="648" t="n">
        <v>35000</v>
      </c>
      <c r="G562" s="636" t="n">
        <f aca="false">E562*F562</f>
        <v>1050</v>
      </c>
      <c r="H562" s="606"/>
    </row>
    <row r="563" customFormat="false" ht="15" hidden="false" customHeight="false" outlineLevel="0" collapsed="false">
      <c r="A563" s="571"/>
      <c r="B563" s="500"/>
      <c r="C563" s="635" t="s">
        <v>791</v>
      </c>
      <c r="D563" s="571" t="s">
        <v>4138</v>
      </c>
      <c r="E563" s="629" t="s">
        <v>4325</v>
      </c>
      <c r="F563" s="648" t="n">
        <v>210000</v>
      </c>
      <c r="G563" s="636" t="n">
        <f aca="false">E563*F563</f>
        <v>630</v>
      </c>
      <c r="H563" s="606"/>
    </row>
    <row r="564" customFormat="false" ht="15" hidden="false" customHeight="false" outlineLevel="0" collapsed="false">
      <c r="A564" s="571"/>
      <c r="B564" s="500"/>
      <c r="C564" s="635" t="s">
        <v>4202</v>
      </c>
      <c r="D564" s="634" t="s">
        <v>4133</v>
      </c>
      <c r="E564" s="635" t="n">
        <v>0.02</v>
      </c>
      <c r="F564" s="645" t="n">
        <v>12000</v>
      </c>
      <c r="G564" s="636" t="n">
        <f aca="false">E564*F564</f>
        <v>240</v>
      </c>
      <c r="H564" s="571"/>
    </row>
    <row r="565" customFormat="false" ht="15" hidden="false" customHeight="false" outlineLevel="0" collapsed="false">
      <c r="A565" s="571"/>
      <c r="B565" s="500"/>
      <c r="C565" s="638" t="s">
        <v>4120</v>
      </c>
      <c r="D565" s="637" t="s">
        <v>4121</v>
      </c>
      <c r="E565" s="633" t="n">
        <v>0.03</v>
      </c>
      <c r="F565" s="639" t="n">
        <v>1500</v>
      </c>
      <c r="G565" s="636" t="n">
        <f aca="false">E565*F565</f>
        <v>45</v>
      </c>
      <c r="H565" s="571"/>
    </row>
    <row r="566" customFormat="false" ht="15" hidden="false" customHeight="false" outlineLevel="0" collapsed="false">
      <c r="A566" s="571"/>
      <c r="B566" s="500"/>
      <c r="C566" s="638" t="s">
        <v>4122</v>
      </c>
      <c r="D566" s="637" t="s">
        <v>4123</v>
      </c>
      <c r="E566" s="633" t="n">
        <v>0.065</v>
      </c>
      <c r="F566" s="626" t="n">
        <v>800</v>
      </c>
      <c r="G566" s="636" t="n">
        <f aca="false">E566*F566</f>
        <v>52</v>
      </c>
      <c r="H566" s="571"/>
    </row>
    <row r="567" customFormat="false" ht="15" hidden="false" customHeight="false" outlineLevel="0" collapsed="false">
      <c r="A567" s="571"/>
      <c r="B567" s="500"/>
      <c r="C567" s="633" t="s">
        <v>4124</v>
      </c>
      <c r="D567" s="637" t="s">
        <v>4125</v>
      </c>
      <c r="E567" s="633" t="n">
        <v>0.73</v>
      </c>
      <c r="F567" s="626" t="n">
        <v>120</v>
      </c>
      <c r="G567" s="636" t="n">
        <f aca="false">E567*F567</f>
        <v>87.6</v>
      </c>
      <c r="H567" s="571"/>
    </row>
    <row r="568" customFormat="false" ht="15" hidden="false" customHeight="false" outlineLevel="0" collapsed="false">
      <c r="A568" s="571"/>
      <c r="B568" s="500"/>
      <c r="C568" s="633" t="s">
        <v>4126</v>
      </c>
      <c r="D568" s="637" t="s">
        <v>4127</v>
      </c>
      <c r="E568" s="633" t="n">
        <v>0.021</v>
      </c>
      <c r="F568" s="626" t="n">
        <v>2700</v>
      </c>
      <c r="G568" s="636" t="n">
        <f aca="false">E568*F568</f>
        <v>56.7</v>
      </c>
      <c r="H568" s="571"/>
    </row>
    <row r="569" customFormat="false" ht="15" hidden="false" customHeight="false" outlineLevel="0" collapsed="false">
      <c r="A569" s="571"/>
      <c r="B569" s="608" t="s">
        <v>4128</v>
      </c>
      <c r="C569" s="629"/>
      <c r="D569" s="571"/>
      <c r="E569" s="629"/>
      <c r="F569" s="630"/>
      <c r="G569" s="640" t="n">
        <f aca="false">SUM(G558:G568)</f>
        <v>3173.02</v>
      </c>
      <c r="H569" s="571"/>
    </row>
    <row r="570" customFormat="false" ht="30" hidden="false" customHeight="false" outlineLevel="0" collapsed="false">
      <c r="A570" s="571" t="s">
        <v>126</v>
      </c>
      <c r="B570" s="500" t="s">
        <v>4326</v>
      </c>
      <c r="C570" s="633" t="s">
        <v>4327</v>
      </c>
      <c r="D570" s="637" t="s">
        <v>4133</v>
      </c>
      <c r="E570" s="635" t="n">
        <v>0.001</v>
      </c>
      <c r="F570" s="626" t="n">
        <v>456020</v>
      </c>
      <c r="G570" s="636" t="n">
        <f aca="false">E570*F570</f>
        <v>456.02</v>
      </c>
      <c r="H570" s="606"/>
    </row>
    <row r="571" customFormat="false" ht="15" hidden="false" customHeight="false" outlineLevel="0" collapsed="false">
      <c r="A571" s="571"/>
      <c r="B571" s="500"/>
      <c r="C571" s="633" t="s">
        <v>4147</v>
      </c>
      <c r="D571" s="637" t="s">
        <v>4133</v>
      </c>
      <c r="E571" s="635" t="s">
        <v>4271</v>
      </c>
      <c r="F571" s="626" t="n">
        <v>14039</v>
      </c>
      <c r="G571" s="636" t="n">
        <f aca="false">E571*F571</f>
        <v>421.17</v>
      </c>
      <c r="H571" s="571"/>
    </row>
    <row r="572" customFormat="false" ht="30" hidden="false" customHeight="false" outlineLevel="0" collapsed="false">
      <c r="A572" s="571"/>
      <c r="B572" s="500"/>
      <c r="C572" s="633" t="s">
        <v>4328</v>
      </c>
      <c r="D572" s="637" t="s">
        <v>4133</v>
      </c>
      <c r="E572" s="635" t="s">
        <v>4213</v>
      </c>
      <c r="F572" s="626" t="n">
        <v>54880</v>
      </c>
      <c r="G572" s="636" t="n">
        <f aca="false">E572*F572</f>
        <v>274.4</v>
      </c>
      <c r="H572" s="571"/>
    </row>
    <row r="573" customFormat="false" ht="15" hidden="false" customHeight="false" outlineLevel="0" collapsed="false">
      <c r="A573" s="571"/>
      <c r="B573" s="500"/>
      <c r="C573" s="633" t="s">
        <v>4329</v>
      </c>
      <c r="D573" s="571" t="s">
        <v>4138</v>
      </c>
      <c r="E573" s="629" t="s">
        <v>4271</v>
      </c>
      <c r="F573" s="626" t="s">
        <v>4279</v>
      </c>
      <c r="G573" s="636" t="n">
        <f aca="false">E573*F573</f>
        <v>213</v>
      </c>
      <c r="H573" s="606"/>
    </row>
    <row r="574" customFormat="false" ht="30" hidden="false" customHeight="false" outlineLevel="0" collapsed="false">
      <c r="A574" s="571"/>
      <c r="B574" s="500"/>
      <c r="C574" s="646" t="s">
        <v>4330</v>
      </c>
      <c r="D574" s="637" t="s">
        <v>4133</v>
      </c>
      <c r="E574" s="633" t="s">
        <v>4271</v>
      </c>
      <c r="F574" s="626" t="n">
        <v>24000</v>
      </c>
      <c r="G574" s="636" t="n">
        <f aca="false">E574*F574</f>
        <v>720</v>
      </c>
      <c r="H574" s="571"/>
    </row>
    <row r="575" customFormat="false" ht="15" hidden="false" customHeight="false" outlineLevel="0" collapsed="false">
      <c r="A575" s="571"/>
      <c r="B575" s="500"/>
      <c r="C575" s="638" t="s">
        <v>4120</v>
      </c>
      <c r="D575" s="637" t="s">
        <v>4121</v>
      </c>
      <c r="E575" s="633" t="n">
        <v>0.03</v>
      </c>
      <c r="F575" s="639" t="n">
        <v>1500</v>
      </c>
      <c r="G575" s="636" t="n">
        <f aca="false">E575*F575</f>
        <v>45</v>
      </c>
      <c r="H575" s="571"/>
    </row>
    <row r="576" customFormat="false" ht="15" hidden="false" customHeight="false" outlineLevel="0" collapsed="false">
      <c r="A576" s="571"/>
      <c r="B576" s="500"/>
      <c r="C576" s="638" t="s">
        <v>4122</v>
      </c>
      <c r="D576" s="637" t="s">
        <v>4123</v>
      </c>
      <c r="E576" s="633" t="n">
        <v>0.065</v>
      </c>
      <c r="F576" s="626" t="n">
        <v>800</v>
      </c>
      <c r="G576" s="636" t="n">
        <f aca="false">E576*F576</f>
        <v>52</v>
      </c>
      <c r="H576" s="571"/>
    </row>
    <row r="577" customFormat="false" ht="15" hidden="false" customHeight="false" outlineLevel="0" collapsed="false">
      <c r="A577" s="571"/>
      <c r="B577" s="500"/>
      <c r="C577" s="633" t="s">
        <v>4124</v>
      </c>
      <c r="D577" s="637" t="s">
        <v>4125</v>
      </c>
      <c r="E577" s="633" t="n">
        <v>0.71</v>
      </c>
      <c r="F577" s="626" t="n">
        <v>120</v>
      </c>
      <c r="G577" s="636" t="n">
        <f aca="false">E577*F577</f>
        <v>85.2</v>
      </c>
      <c r="H577" s="571"/>
    </row>
    <row r="578" customFormat="false" ht="15" hidden="false" customHeight="false" outlineLevel="0" collapsed="false">
      <c r="A578" s="571"/>
      <c r="B578" s="500"/>
      <c r="C578" s="633" t="s">
        <v>4126</v>
      </c>
      <c r="D578" s="637" t="s">
        <v>4127</v>
      </c>
      <c r="E578" s="633" t="n">
        <v>0.021</v>
      </c>
      <c r="F578" s="626" t="n">
        <v>2700</v>
      </c>
      <c r="G578" s="636" t="n">
        <f aca="false">E578*F578</f>
        <v>56.7</v>
      </c>
      <c r="H578" s="571"/>
    </row>
    <row r="579" customFormat="false" ht="15" hidden="false" customHeight="false" outlineLevel="0" collapsed="false">
      <c r="A579" s="571"/>
      <c r="B579" s="608" t="s">
        <v>4128</v>
      </c>
      <c r="C579" s="629"/>
      <c r="D579" s="571"/>
      <c r="E579" s="629"/>
      <c r="F579" s="630"/>
      <c r="G579" s="640" t="n">
        <f aca="false">SUM(G570:G578)</f>
        <v>2323.49</v>
      </c>
      <c r="H579" s="571"/>
    </row>
    <row r="580" customFormat="false" ht="15" hidden="false" customHeight="false" outlineLevel="0" collapsed="false">
      <c r="A580" s="571" t="s">
        <v>128</v>
      </c>
      <c r="B580" s="500" t="s">
        <v>2938</v>
      </c>
      <c r="C580" s="650" t="s">
        <v>4189</v>
      </c>
      <c r="D580" s="656" t="s">
        <v>4133</v>
      </c>
      <c r="E580" s="629" t="n">
        <v>0.1</v>
      </c>
      <c r="F580" s="630" t="n">
        <v>3600</v>
      </c>
      <c r="G580" s="636" t="n">
        <f aca="false">E580*F580</f>
        <v>360</v>
      </c>
      <c r="H580" s="571"/>
    </row>
    <row r="581" customFormat="false" ht="15" hidden="false" customHeight="false" outlineLevel="0" collapsed="false">
      <c r="A581" s="571"/>
      <c r="B581" s="500"/>
      <c r="C581" s="657" t="s">
        <v>4147</v>
      </c>
      <c r="D581" s="656" t="s">
        <v>4133</v>
      </c>
      <c r="E581" s="629" t="s">
        <v>4200</v>
      </c>
      <c r="F581" s="626" t="n">
        <v>14039</v>
      </c>
      <c r="G581" s="636" t="n">
        <f aca="false">E581*F581</f>
        <v>701.95</v>
      </c>
      <c r="H581" s="571"/>
    </row>
    <row r="582" customFormat="false" ht="15" hidden="false" customHeight="false" outlineLevel="0" collapsed="false">
      <c r="A582" s="571"/>
      <c r="B582" s="500"/>
      <c r="C582" s="635" t="s">
        <v>4331</v>
      </c>
      <c r="D582" s="571" t="s">
        <v>4138</v>
      </c>
      <c r="E582" s="629" t="s">
        <v>4200</v>
      </c>
      <c r="F582" s="630" t="n">
        <v>7000</v>
      </c>
      <c r="G582" s="636" t="n">
        <f aca="false">E582*F582</f>
        <v>350</v>
      </c>
      <c r="H582" s="606"/>
    </row>
    <row r="583" customFormat="false" ht="15" hidden="false" customHeight="false" outlineLevel="0" collapsed="false">
      <c r="A583" s="571"/>
      <c r="B583" s="500"/>
      <c r="C583" s="629" t="s">
        <v>4244</v>
      </c>
      <c r="D583" s="571" t="s">
        <v>4133</v>
      </c>
      <c r="E583" s="629" t="n">
        <v>0.01</v>
      </c>
      <c r="F583" s="644" t="n">
        <v>57000</v>
      </c>
      <c r="G583" s="636" t="n">
        <f aca="false">E583*F583</f>
        <v>570</v>
      </c>
      <c r="H583" s="606"/>
    </row>
    <row r="584" customFormat="false" ht="15" hidden="false" customHeight="false" outlineLevel="0" collapsed="false">
      <c r="A584" s="571"/>
      <c r="B584" s="500"/>
      <c r="C584" s="500" t="s">
        <v>4332</v>
      </c>
      <c r="D584" s="652" t="s">
        <v>4133</v>
      </c>
      <c r="E584" s="653" t="n">
        <v>0.01</v>
      </c>
      <c r="F584" s="644" t="n">
        <v>15000</v>
      </c>
      <c r="G584" s="636" t="n">
        <f aca="false">E584*F584</f>
        <v>150</v>
      </c>
      <c r="H584" s="606"/>
    </row>
    <row r="585" customFormat="false" ht="15" hidden="false" customHeight="false" outlineLevel="0" collapsed="false">
      <c r="A585" s="571"/>
      <c r="B585" s="500"/>
      <c r="C585" s="500" t="s">
        <v>4333</v>
      </c>
      <c r="D585" s="656" t="s">
        <v>4133</v>
      </c>
      <c r="E585" s="658" t="n">
        <v>0.01</v>
      </c>
      <c r="F585" s="659" t="n">
        <v>10976</v>
      </c>
      <c r="G585" s="636" t="n">
        <f aca="false">E585*F585</f>
        <v>109.76</v>
      </c>
      <c r="H585" s="571"/>
    </row>
    <row r="586" customFormat="false" ht="15" hidden="false" customHeight="false" outlineLevel="0" collapsed="false">
      <c r="A586" s="571"/>
      <c r="B586" s="500"/>
      <c r="C586" s="638" t="s">
        <v>4120</v>
      </c>
      <c r="D586" s="637" t="s">
        <v>4121</v>
      </c>
      <c r="E586" s="633" t="n">
        <v>0.02</v>
      </c>
      <c r="F586" s="639" t="n">
        <v>1500</v>
      </c>
      <c r="G586" s="636" t="n">
        <f aca="false">E586*F586</f>
        <v>30</v>
      </c>
      <c r="H586" s="571"/>
    </row>
    <row r="587" customFormat="false" ht="15" hidden="false" customHeight="false" outlineLevel="0" collapsed="false">
      <c r="A587" s="571"/>
      <c r="B587" s="500"/>
      <c r="C587" s="638" t="s">
        <v>4122</v>
      </c>
      <c r="D587" s="637" t="s">
        <v>4123</v>
      </c>
      <c r="E587" s="633" t="n">
        <v>0.065</v>
      </c>
      <c r="F587" s="626" t="n">
        <v>800</v>
      </c>
      <c r="G587" s="636" t="n">
        <f aca="false">E587*F587</f>
        <v>52</v>
      </c>
      <c r="H587" s="571"/>
    </row>
    <row r="588" customFormat="false" ht="15" hidden="false" customHeight="false" outlineLevel="0" collapsed="false">
      <c r="A588" s="571"/>
      <c r="B588" s="500"/>
      <c r="C588" s="633" t="s">
        <v>4124</v>
      </c>
      <c r="D588" s="637" t="s">
        <v>4125</v>
      </c>
      <c r="E588" s="633" t="n">
        <v>0.71</v>
      </c>
      <c r="F588" s="626" t="n">
        <v>120</v>
      </c>
      <c r="G588" s="636" t="n">
        <f aca="false">E588*F588</f>
        <v>85.2</v>
      </c>
      <c r="H588" s="571"/>
    </row>
    <row r="589" customFormat="false" ht="15" hidden="false" customHeight="false" outlineLevel="0" collapsed="false">
      <c r="A589" s="571"/>
      <c r="B589" s="500"/>
      <c r="C589" s="633" t="s">
        <v>4126</v>
      </c>
      <c r="D589" s="637" t="s">
        <v>4127</v>
      </c>
      <c r="E589" s="633" t="n">
        <v>0.021</v>
      </c>
      <c r="F589" s="626" t="n">
        <v>2700</v>
      </c>
      <c r="G589" s="636" t="n">
        <f aca="false">E589*F589</f>
        <v>56.7</v>
      </c>
      <c r="H589" s="571"/>
    </row>
    <row r="590" customFormat="false" ht="15" hidden="false" customHeight="false" outlineLevel="0" collapsed="false">
      <c r="A590" s="571"/>
      <c r="B590" s="608" t="s">
        <v>4128</v>
      </c>
      <c r="C590" s="629"/>
      <c r="D590" s="571"/>
      <c r="E590" s="629"/>
      <c r="F590" s="630"/>
      <c r="G590" s="640" t="n">
        <f aca="false">SUM(G580:G589)</f>
        <v>2465.61</v>
      </c>
      <c r="H590" s="571"/>
    </row>
    <row r="591" customFormat="false" ht="15" hidden="false" customHeight="false" outlineLevel="0" collapsed="false">
      <c r="A591" s="571" t="s">
        <v>130</v>
      </c>
      <c r="B591" s="500" t="s">
        <v>4334</v>
      </c>
      <c r="C591" s="638" t="s">
        <v>4335</v>
      </c>
      <c r="D591" s="637" t="s">
        <v>4133</v>
      </c>
      <c r="E591" s="635" t="n">
        <v>0.1</v>
      </c>
      <c r="F591" s="626" t="n">
        <v>6048</v>
      </c>
      <c r="G591" s="636" t="n">
        <f aca="false">E591*F591</f>
        <v>604.8</v>
      </c>
      <c r="H591" s="571"/>
    </row>
    <row r="592" customFormat="false" ht="15" hidden="false" customHeight="false" outlineLevel="0" collapsed="false">
      <c r="A592" s="571"/>
      <c r="B592" s="500"/>
      <c r="C592" s="633" t="s">
        <v>4336</v>
      </c>
      <c r="D592" s="571" t="s">
        <v>4138</v>
      </c>
      <c r="E592" s="629" t="n">
        <v>0.1</v>
      </c>
      <c r="F592" s="626" t="n">
        <v>7500</v>
      </c>
      <c r="G592" s="636" t="n">
        <f aca="false">E592*F592</f>
        <v>750</v>
      </c>
      <c r="H592" s="606"/>
    </row>
    <row r="593" customFormat="false" ht="15" hidden="false" customHeight="false" outlineLevel="0" collapsed="false">
      <c r="A593" s="571"/>
      <c r="B593" s="500"/>
      <c r="C593" s="633" t="s">
        <v>4229</v>
      </c>
      <c r="D593" s="637" t="s">
        <v>4121</v>
      </c>
      <c r="E593" s="633" t="s">
        <v>4337</v>
      </c>
      <c r="F593" s="626" t="n">
        <v>1500</v>
      </c>
      <c r="G593" s="636" t="n">
        <f aca="false">E593*F593</f>
        <v>750</v>
      </c>
      <c r="H593" s="606"/>
    </row>
    <row r="594" customFormat="false" ht="15" hidden="false" customHeight="false" outlineLevel="0" collapsed="false">
      <c r="A594" s="571"/>
      <c r="B594" s="500"/>
      <c r="C594" s="638" t="s">
        <v>4120</v>
      </c>
      <c r="D594" s="637" t="s">
        <v>4121</v>
      </c>
      <c r="E594" s="633" t="n">
        <v>0.03</v>
      </c>
      <c r="F594" s="639" t="n">
        <v>1500</v>
      </c>
      <c r="G594" s="636" t="n">
        <f aca="false">E594*F594</f>
        <v>45</v>
      </c>
      <c r="H594" s="571"/>
    </row>
    <row r="595" customFormat="false" ht="15" hidden="false" customHeight="false" outlineLevel="0" collapsed="false">
      <c r="A595" s="571"/>
      <c r="B595" s="500"/>
      <c r="C595" s="638" t="s">
        <v>4122</v>
      </c>
      <c r="D595" s="637" t="s">
        <v>4123</v>
      </c>
      <c r="E595" s="633" t="n">
        <v>0.1</v>
      </c>
      <c r="F595" s="626" t="n">
        <v>800</v>
      </c>
      <c r="G595" s="636" t="n">
        <f aca="false">E595*F595</f>
        <v>80</v>
      </c>
      <c r="H595" s="571"/>
    </row>
    <row r="596" customFormat="false" ht="15" hidden="false" customHeight="false" outlineLevel="0" collapsed="false">
      <c r="A596" s="571"/>
      <c r="B596" s="608"/>
      <c r="C596" s="633" t="s">
        <v>4124</v>
      </c>
      <c r="D596" s="637" t="s">
        <v>4125</v>
      </c>
      <c r="E596" s="633" t="n">
        <v>0.1</v>
      </c>
      <c r="F596" s="626" t="n">
        <v>120</v>
      </c>
      <c r="G596" s="636" t="n">
        <f aca="false">E596*F596</f>
        <v>12</v>
      </c>
      <c r="H596" s="571"/>
    </row>
    <row r="597" customFormat="false" ht="15" hidden="false" customHeight="false" outlineLevel="0" collapsed="false">
      <c r="A597" s="571"/>
      <c r="B597" s="500"/>
      <c r="C597" s="633" t="s">
        <v>4126</v>
      </c>
      <c r="D597" s="637" t="s">
        <v>4127</v>
      </c>
      <c r="E597" s="633" t="n">
        <v>0.021</v>
      </c>
      <c r="F597" s="626" t="n">
        <v>2700</v>
      </c>
      <c r="G597" s="636" t="n">
        <f aca="false">E597*F597</f>
        <v>56.7</v>
      </c>
      <c r="H597" s="571"/>
    </row>
    <row r="598" customFormat="false" ht="15" hidden="false" customHeight="false" outlineLevel="0" collapsed="false">
      <c r="A598" s="571"/>
      <c r="B598" s="608" t="s">
        <v>4128</v>
      </c>
      <c r="C598" s="640"/>
      <c r="D598" s="327"/>
      <c r="E598" s="640"/>
      <c r="F598" s="643"/>
      <c r="G598" s="640" t="n">
        <f aca="false">SUM(G591:G597)</f>
        <v>2298.5</v>
      </c>
      <c r="H598" s="571"/>
    </row>
    <row r="599" customFormat="false" ht="15" hidden="false" customHeight="false" outlineLevel="0" collapsed="false">
      <c r="A599" s="571" t="s">
        <v>132</v>
      </c>
      <c r="B599" s="500" t="s">
        <v>4338</v>
      </c>
      <c r="C599" s="647"/>
      <c r="D599" s="571"/>
      <c r="E599" s="629"/>
      <c r="F599" s="645"/>
      <c r="G599" s="636"/>
      <c r="H599" s="571"/>
    </row>
    <row r="600" customFormat="false" ht="15" hidden="false" customHeight="false" outlineLevel="0" collapsed="false">
      <c r="A600" s="571"/>
      <c r="B600" s="500"/>
      <c r="C600" s="635" t="s">
        <v>4339</v>
      </c>
      <c r="D600" s="634" t="s">
        <v>4133</v>
      </c>
      <c r="E600" s="635" t="s">
        <v>4213</v>
      </c>
      <c r="F600" s="648" t="n">
        <v>55000</v>
      </c>
      <c r="G600" s="636" t="n">
        <f aca="false">E600*F600</f>
        <v>275</v>
      </c>
      <c r="H600" s="606"/>
    </row>
    <row r="601" customFormat="false" ht="15" hidden="false" customHeight="false" outlineLevel="0" collapsed="false">
      <c r="A601" s="571"/>
      <c r="B601" s="608"/>
      <c r="C601" s="635" t="s">
        <v>4251</v>
      </c>
      <c r="D601" s="634" t="s">
        <v>4252</v>
      </c>
      <c r="E601" s="635" t="n">
        <v>0.001</v>
      </c>
      <c r="F601" s="648" t="n">
        <v>275000</v>
      </c>
      <c r="G601" s="636" t="n">
        <f aca="false">E601*F601</f>
        <v>275</v>
      </c>
      <c r="H601" s="571"/>
    </row>
    <row r="602" customFormat="false" ht="15" hidden="false" customHeight="false" outlineLevel="0" collapsed="false">
      <c r="A602" s="571"/>
      <c r="B602" s="500"/>
      <c r="C602" s="635" t="s">
        <v>4340</v>
      </c>
      <c r="D602" s="634" t="s">
        <v>4133</v>
      </c>
      <c r="E602" s="635" t="n">
        <v>0.01</v>
      </c>
      <c r="F602" s="648" t="n">
        <v>12320</v>
      </c>
      <c r="G602" s="636" t="n">
        <f aca="false">E602*F602</f>
        <v>123.2</v>
      </c>
      <c r="H602" s="571"/>
    </row>
    <row r="603" customFormat="false" ht="15" hidden="false" customHeight="false" outlineLevel="0" collapsed="false">
      <c r="A603" s="571"/>
      <c r="B603" s="500"/>
      <c r="C603" s="635" t="s">
        <v>4132</v>
      </c>
      <c r="D603" s="634" t="s">
        <v>4133</v>
      </c>
      <c r="E603" s="635" t="n">
        <v>0.001</v>
      </c>
      <c r="F603" s="648" t="n">
        <v>18000</v>
      </c>
      <c r="G603" s="636" t="n">
        <f aca="false">E603*F603</f>
        <v>18</v>
      </c>
      <c r="H603" s="571"/>
    </row>
    <row r="604" customFormat="false" ht="15" hidden="false" customHeight="false" outlineLevel="0" collapsed="false">
      <c r="A604" s="571"/>
      <c r="B604" s="608"/>
      <c r="C604" s="635" t="s">
        <v>4212</v>
      </c>
      <c r="D604" s="634" t="s">
        <v>4133</v>
      </c>
      <c r="E604" s="635" t="s">
        <v>4341</v>
      </c>
      <c r="F604" s="648" t="n">
        <v>32480</v>
      </c>
      <c r="G604" s="636" t="n">
        <f aca="false">E604*F604</f>
        <v>1104.32</v>
      </c>
      <c r="H604" s="571"/>
    </row>
    <row r="605" customFormat="false" ht="15" hidden="false" customHeight="false" outlineLevel="0" collapsed="false">
      <c r="A605" s="571"/>
      <c r="B605" s="500"/>
      <c r="C605" s="635" t="s">
        <v>4147</v>
      </c>
      <c r="D605" s="634" t="s">
        <v>4133</v>
      </c>
      <c r="E605" s="635" t="n">
        <v>0.01</v>
      </c>
      <c r="F605" s="626" t="n">
        <v>14039</v>
      </c>
      <c r="G605" s="636" t="n">
        <f aca="false">E605*F605</f>
        <v>140.39</v>
      </c>
      <c r="H605" s="571"/>
    </row>
    <row r="606" customFormat="false" ht="15" hidden="false" customHeight="false" outlineLevel="0" collapsed="false">
      <c r="A606" s="571"/>
      <c r="B606" s="500"/>
      <c r="C606" s="635" t="s">
        <v>4154</v>
      </c>
      <c r="D606" s="634" t="s">
        <v>4133</v>
      </c>
      <c r="E606" s="635" t="n">
        <v>0.026</v>
      </c>
      <c r="F606" s="648" t="n">
        <v>10976</v>
      </c>
      <c r="G606" s="636" t="n">
        <f aca="false">E606*F606</f>
        <v>285.376</v>
      </c>
      <c r="H606" s="571"/>
    </row>
    <row r="607" customFormat="false" ht="15" hidden="false" customHeight="false" outlineLevel="0" collapsed="false">
      <c r="A607" s="571"/>
      <c r="B607" s="500"/>
      <c r="C607" s="638" t="s">
        <v>4120</v>
      </c>
      <c r="D607" s="637" t="s">
        <v>4121</v>
      </c>
      <c r="E607" s="633" t="n">
        <v>0.03</v>
      </c>
      <c r="F607" s="639" t="n">
        <v>1500</v>
      </c>
      <c r="G607" s="636" t="n">
        <f aca="false">E607*F607</f>
        <v>45</v>
      </c>
      <c r="H607" s="571"/>
    </row>
    <row r="608" customFormat="false" ht="15" hidden="false" customHeight="false" outlineLevel="0" collapsed="false">
      <c r="A608" s="571"/>
      <c r="B608" s="500"/>
      <c r="C608" s="638" t="s">
        <v>4122</v>
      </c>
      <c r="D608" s="637" t="s">
        <v>4123</v>
      </c>
      <c r="E608" s="633" t="n">
        <v>0.001</v>
      </c>
      <c r="F608" s="626" t="n">
        <v>800</v>
      </c>
      <c r="G608" s="636" t="n">
        <f aca="false">E608*F608</f>
        <v>0.8</v>
      </c>
      <c r="H608" s="571"/>
    </row>
    <row r="609" customFormat="false" ht="15" hidden="false" customHeight="false" outlineLevel="0" collapsed="false">
      <c r="A609" s="571"/>
      <c r="B609" s="500"/>
      <c r="C609" s="633" t="s">
        <v>4124</v>
      </c>
      <c r="D609" s="637" t="s">
        <v>4125</v>
      </c>
      <c r="E609" s="633" t="n">
        <v>0.1</v>
      </c>
      <c r="F609" s="626" t="n">
        <v>120</v>
      </c>
      <c r="G609" s="636" t="n">
        <f aca="false">E609*F609</f>
        <v>12</v>
      </c>
      <c r="H609" s="571"/>
    </row>
    <row r="610" customFormat="false" ht="15" hidden="false" customHeight="false" outlineLevel="0" collapsed="false">
      <c r="A610" s="571"/>
      <c r="B610" s="500"/>
      <c r="C610" s="633" t="s">
        <v>4126</v>
      </c>
      <c r="D610" s="637" t="s">
        <v>4149</v>
      </c>
      <c r="E610" s="633" t="n">
        <v>0.02</v>
      </c>
      <c r="F610" s="626" t="n">
        <v>2700</v>
      </c>
      <c r="G610" s="636" t="n">
        <f aca="false">E610*F610</f>
        <v>54</v>
      </c>
      <c r="H610" s="571"/>
    </row>
    <row r="611" customFormat="false" ht="15" hidden="false" customHeight="false" outlineLevel="0" collapsed="false">
      <c r="A611" s="571"/>
      <c r="B611" s="608" t="s">
        <v>4128</v>
      </c>
      <c r="C611" s="640"/>
      <c r="D611" s="327"/>
      <c r="E611" s="640"/>
      <c r="F611" s="643"/>
      <c r="G611" s="640" t="n">
        <f aca="false">SUM(G599:G610)</f>
        <v>2333.086</v>
      </c>
      <c r="H611" s="571"/>
    </row>
    <row r="612" customFormat="false" ht="15" hidden="false" customHeight="false" outlineLevel="0" collapsed="false">
      <c r="A612" s="571" t="s">
        <v>134</v>
      </c>
      <c r="B612" s="500" t="s">
        <v>4342</v>
      </c>
      <c r="C612" s="635" t="s">
        <v>4343</v>
      </c>
      <c r="D612" s="571" t="s">
        <v>4138</v>
      </c>
      <c r="E612" s="629" t="n">
        <v>0.1</v>
      </c>
      <c r="F612" s="648" t="n">
        <v>7200</v>
      </c>
      <c r="G612" s="636" t="n">
        <f aca="false">E612*F612</f>
        <v>720</v>
      </c>
      <c r="H612" s="606"/>
    </row>
    <row r="613" customFormat="false" ht="15" hidden="false" customHeight="false" outlineLevel="0" collapsed="false">
      <c r="A613" s="571"/>
      <c r="B613" s="500"/>
      <c r="C613" s="635" t="s">
        <v>4158</v>
      </c>
      <c r="D613" s="634" t="s">
        <v>4133</v>
      </c>
      <c r="E613" s="635" t="n">
        <v>0.01</v>
      </c>
      <c r="F613" s="648" t="n">
        <v>7000</v>
      </c>
      <c r="G613" s="636" t="n">
        <f aca="false">E613*F613</f>
        <v>70</v>
      </c>
      <c r="H613" s="571"/>
    </row>
    <row r="614" customFormat="false" ht="15" hidden="false" customHeight="false" outlineLevel="0" collapsed="false">
      <c r="A614" s="571"/>
      <c r="B614" s="500"/>
      <c r="C614" s="635" t="s">
        <v>4272</v>
      </c>
      <c r="D614" s="634" t="s">
        <v>4252</v>
      </c>
      <c r="E614" s="635" t="n">
        <v>0.01</v>
      </c>
      <c r="F614" s="648" t="n">
        <v>100000</v>
      </c>
      <c r="G614" s="636" t="n">
        <f aca="false">E614*F614</f>
        <v>1000</v>
      </c>
      <c r="H614" s="606"/>
    </row>
    <row r="615" customFormat="false" ht="15" hidden="false" customHeight="false" outlineLevel="0" collapsed="false">
      <c r="A615" s="571"/>
      <c r="B615" s="500"/>
      <c r="C615" s="638" t="s">
        <v>4120</v>
      </c>
      <c r="D615" s="637" t="s">
        <v>4121</v>
      </c>
      <c r="E615" s="633" t="n">
        <v>0.01</v>
      </c>
      <c r="F615" s="639" t="n">
        <v>1500</v>
      </c>
      <c r="G615" s="636" t="n">
        <f aca="false">E615*F615</f>
        <v>15</v>
      </c>
      <c r="H615" s="571"/>
    </row>
    <row r="616" customFormat="false" ht="15" hidden="false" customHeight="false" outlineLevel="0" collapsed="false">
      <c r="A616" s="571"/>
      <c r="B616" s="500"/>
      <c r="C616" s="638" t="s">
        <v>4122</v>
      </c>
      <c r="D616" s="637" t="s">
        <v>4123</v>
      </c>
      <c r="E616" s="633" t="n">
        <v>0.01</v>
      </c>
      <c r="F616" s="626" t="n">
        <v>800</v>
      </c>
      <c r="G616" s="636" t="n">
        <f aca="false">E616*F616</f>
        <v>8</v>
      </c>
      <c r="H616" s="571"/>
    </row>
    <row r="617" customFormat="false" ht="15" hidden="false" customHeight="false" outlineLevel="0" collapsed="false">
      <c r="A617" s="571"/>
      <c r="B617" s="500"/>
      <c r="C617" s="633" t="s">
        <v>4124</v>
      </c>
      <c r="D617" s="637" t="s">
        <v>4125</v>
      </c>
      <c r="E617" s="633" t="n">
        <v>0.1</v>
      </c>
      <c r="F617" s="626" t="n">
        <v>120</v>
      </c>
      <c r="G617" s="636" t="n">
        <f aca="false">E617*F617</f>
        <v>12</v>
      </c>
      <c r="H617" s="571"/>
    </row>
    <row r="618" customFormat="false" ht="15" hidden="false" customHeight="false" outlineLevel="0" collapsed="false">
      <c r="A618" s="571"/>
      <c r="B618" s="608"/>
      <c r="C618" s="633" t="s">
        <v>4126</v>
      </c>
      <c r="D618" s="637" t="s">
        <v>4149</v>
      </c>
      <c r="E618" s="633" t="n">
        <v>0.01</v>
      </c>
      <c r="F618" s="626" t="n">
        <v>2700</v>
      </c>
      <c r="G618" s="636" t="n">
        <f aca="false">E618*F618</f>
        <v>27</v>
      </c>
      <c r="H618" s="571"/>
    </row>
    <row r="619" customFormat="false" ht="15" hidden="false" customHeight="false" outlineLevel="0" collapsed="false">
      <c r="A619" s="571"/>
      <c r="B619" s="608" t="s">
        <v>4128</v>
      </c>
      <c r="C619" s="640"/>
      <c r="D619" s="327"/>
      <c r="E619" s="640"/>
      <c r="F619" s="643"/>
      <c r="G619" s="640" t="n">
        <f aca="false">SUM(G612:G618)</f>
        <v>1852</v>
      </c>
      <c r="H619" s="571"/>
    </row>
    <row r="620" customFormat="false" ht="15" hidden="false" customHeight="false" outlineLevel="0" collapsed="false">
      <c r="A620" s="571" t="s">
        <v>136</v>
      </c>
      <c r="B620" s="500" t="s">
        <v>4344</v>
      </c>
      <c r="C620" s="635" t="s">
        <v>4345</v>
      </c>
      <c r="D620" s="571" t="s">
        <v>4138</v>
      </c>
      <c r="E620" s="629" t="n">
        <v>0.1</v>
      </c>
      <c r="F620" s="648" t="n">
        <v>7200</v>
      </c>
      <c r="G620" s="636" t="n">
        <f aca="false">E620*F620</f>
        <v>720</v>
      </c>
      <c r="H620" s="606"/>
    </row>
    <row r="621" customFormat="false" ht="15" hidden="false" customHeight="false" outlineLevel="0" collapsed="false">
      <c r="A621" s="571"/>
      <c r="B621" s="500"/>
      <c r="C621" s="635" t="s">
        <v>4158</v>
      </c>
      <c r="D621" s="634" t="s">
        <v>4133</v>
      </c>
      <c r="E621" s="635" t="n">
        <v>0.01</v>
      </c>
      <c r="F621" s="648" t="n">
        <v>7000</v>
      </c>
      <c r="G621" s="636" t="n">
        <f aca="false">E621*F621</f>
        <v>70</v>
      </c>
      <c r="H621" s="571"/>
    </row>
    <row r="622" customFormat="false" ht="15" hidden="false" customHeight="false" outlineLevel="0" collapsed="false">
      <c r="A622" s="571"/>
      <c r="B622" s="608"/>
      <c r="C622" s="635" t="s">
        <v>4272</v>
      </c>
      <c r="D622" s="634" t="s">
        <v>4252</v>
      </c>
      <c r="E622" s="635" t="n">
        <v>0.01</v>
      </c>
      <c r="F622" s="648" t="n">
        <v>100000</v>
      </c>
      <c r="G622" s="636" t="n">
        <f aca="false">E622*F622</f>
        <v>1000</v>
      </c>
      <c r="H622" s="606"/>
    </row>
    <row r="623" customFormat="false" ht="15" hidden="false" customHeight="false" outlineLevel="0" collapsed="false">
      <c r="A623" s="571"/>
      <c r="B623" s="500"/>
      <c r="C623" s="638" t="s">
        <v>4120</v>
      </c>
      <c r="D623" s="637" t="s">
        <v>4121</v>
      </c>
      <c r="E623" s="633" t="n">
        <v>0.03</v>
      </c>
      <c r="F623" s="639" t="n">
        <v>1500</v>
      </c>
      <c r="G623" s="636" t="n">
        <f aca="false">E623*F623</f>
        <v>45</v>
      </c>
      <c r="H623" s="571"/>
    </row>
    <row r="624" customFormat="false" ht="15" hidden="false" customHeight="false" outlineLevel="0" collapsed="false">
      <c r="A624" s="571"/>
      <c r="B624" s="500"/>
      <c r="C624" s="638" t="s">
        <v>4122</v>
      </c>
      <c r="D624" s="637" t="s">
        <v>4123</v>
      </c>
      <c r="E624" s="633" t="n">
        <v>0.01</v>
      </c>
      <c r="F624" s="626" t="n">
        <v>800</v>
      </c>
      <c r="G624" s="636" t="n">
        <f aca="false">E624*F624</f>
        <v>8</v>
      </c>
      <c r="H624" s="571"/>
    </row>
    <row r="625" customFormat="false" ht="15" hidden="false" customHeight="false" outlineLevel="0" collapsed="false">
      <c r="A625" s="571"/>
      <c r="B625" s="500"/>
      <c r="C625" s="633" t="s">
        <v>4124</v>
      </c>
      <c r="D625" s="637" t="s">
        <v>4125</v>
      </c>
      <c r="E625" s="633" t="n">
        <v>0.1</v>
      </c>
      <c r="F625" s="626" t="n">
        <v>120</v>
      </c>
      <c r="G625" s="636" t="n">
        <f aca="false">E625*F625</f>
        <v>12</v>
      </c>
      <c r="H625" s="571"/>
    </row>
    <row r="626" customFormat="false" ht="15" hidden="false" customHeight="false" outlineLevel="0" collapsed="false">
      <c r="A626" s="571"/>
      <c r="B626" s="608"/>
      <c r="C626" s="633" t="s">
        <v>4126</v>
      </c>
      <c r="D626" s="637" t="s">
        <v>4149</v>
      </c>
      <c r="E626" s="633" t="n">
        <v>0.02</v>
      </c>
      <c r="F626" s="626" t="n">
        <v>2700</v>
      </c>
      <c r="G626" s="636" t="n">
        <f aca="false">E626*F626</f>
        <v>54</v>
      </c>
      <c r="H626" s="571"/>
    </row>
    <row r="627" customFormat="false" ht="15" hidden="false" customHeight="false" outlineLevel="0" collapsed="false">
      <c r="A627" s="571"/>
      <c r="B627" s="608" t="s">
        <v>4128</v>
      </c>
      <c r="C627" s="640"/>
      <c r="D627" s="327"/>
      <c r="E627" s="640"/>
      <c r="F627" s="643"/>
      <c r="G627" s="640" t="n">
        <f aca="false">SUM(G620:G626)</f>
        <v>1909</v>
      </c>
      <c r="H627" s="571"/>
    </row>
    <row r="628" customFormat="false" ht="30" hidden="false" customHeight="false" outlineLevel="0" collapsed="false">
      <c r="A628" s="571" t="s">
        <v>138</v>
      </c>
      <c r="B628" s="500" t="s">
        <v>4346</v>
      </c>
      <c r="C628" s="629" t="s">
        <v>4347</v>
      </c>
      <c r="D628" s="571" t="s">
        <v>4348</v>
      </c>
      <c r="E628" s="629" t="n">
        <v>1</v>
      </c>
      <c r="F628" s="630" t="n">
        <v>300</v>
      </c>
      <c r="G628" s="631" t="n">
        <f aca="false">E628*F628</f>
        <v>300</v>
      </c>
      <c r="H628" s="571"/>
    </row>
    <row r="629" customFormat="false" ht="30" hidden="false" customHeight="false" outlineLevel="0" collapsed="false">
      <c r="A629" s="571" t="s">
        <v>140</v>
      </c>
      <c r="B629" s="328" t="s">
        <v>2944</v>
      </c>
      <c r="C629" s="603" t="s">
        <v>4277</v>
      </c>
      <c r="D629" s="602" t="s">
        <v>4127</v>
      </c>
      <c r="E629" s="603" t="n">
        <v>0.01</v>
      </c>
      <c r="F629" s="607" t="n">
        <v>18000</v>
      </c>
      <c r="G629" s="605" t="n">
        <f aca="false">E629*F629</f>
        <v>180</v>
      </c>
      <c r="H629" s="606"/>
    </row>
    <row r="630" customFormat="false" ht="15" hidden="false" customHeight="false" outlineLevel="0" collapsed="false">
      <c r="A630" s="571"/>
      <c r="B630" s="500"/>
      <c r="C630" s="374" t="s">
        <v>4120</v>
      </c>
      <c r="D630" s="602" t="s">
        <v>4121</v>
      </c>
      <c r="E630" s="603" t="n">
        <v>0.02</v>
      </c>
      <c r="F630" s="604" t="n">
        <v>1500</v>
      </c>
      <c r="G630" s="605" t="n">
        <f aca="false">E630*F630</f>
        <v>30</v>
      </c>
      <c r="H630" s="606"/>
    </row>
    <row r="631" customFormat="false" ht="15" hidden="false" customHeight="false" outlineLevel="0" collapsed="false">
      <c r="A631" s="571"/>
      <c r="B631" s="500"/>
      <c r="C631" s="374" t="s">
        <v>4122</v>
      </c>
      <c r="D631" s="602" t="s">
        <v>4123</v>
      </c>
      <c r="E631" s="603" t="n">
        <v>0.01</v>
      </c>
      <c r="F631" s="607" t="n">
        <v>800</v>
      </c>
      <c r="G631" s="605" t="n">
        <f aca="false">E631*F631</f>
        <v>8</v>
      </c>
      <c r="H631" s="606"/>
    </row>
    <row r="632" customFormat="false" ht="15" hidden="false" customHeight="false" outlineLevel="0" collapsed="false">
      <c r="A632" s="571"/>
      <c r="B632" s="500"/>
      <c r="C632" s="603" t="s">
        <v>4124</v>
      </c>
      <c r="D632" s="602" t="s">
        <v>4125</v>
      </c>
      <c r="E632" s="603" t="n">
        <v>0.1</v>
      </c>
      <c r="F632" s="607" t="n">
        <v>720</v>
      </c>
      <c r="G632" s="605" t="n">
        <f aca="false">E632*F632</f>
        <v>72</v>
      </c>
      <c r="H632" s="606"/>
    </row>
    <row r="633" customFormat="false" ht="15" hidden="false" customHeight="false" outlineLevel="0" collapsed="false">
      <c r="A633" s="571"/>
      <c r="B633" s="608"/>
      <c r="C633" s="603" t="s">
        <v>4126</v>
      </c>
      <c r="D633" s="602" t="s">
        <v>4127</v>
      </c>
      <c r="E633" s="603" t="n">
        <v>0.02</v>
      </c>
      <c r="F633" s="607" t="n">
        <v>2700</v>
      </c>
      <c r="G633" s="605" t="n">
        <f aca="false">E633*F633</f>
        <v>54</v>
      </c>
      <c r="H633" s="391"/>
    </row>
    <row r="634" customFormat="false" ht="15" hidden="false" customHeight="false" outlineLevel="0" collapsed="false">
      <c r="A634" s="571"/>
      <c r="B634" s="500"/>
      <c r="C634" s="614"/>
      <c r="D634" s="602"/>
      <c r="E634" s="603"/>
      <c r="F634" s="607"/>
      <c r="G634" s="620" t="n">
        <f aca="false">SUM(G629:G633)</f>
        <v>344</v>
      </c>
      <c r="H634" s="391"/>
    </row>
    <row r="635" s="663" customFormat="true" ht="15.75" hidden="false" customHeight="false" outlineLevel="0" collapsed="false">
      <c r="A635" s="328" t="s">
        <v>142</v>
      </c>
      <c r="B635" s="328" t="s">
        <v>2945</v>
      </c>
      <c r="C635" s="328" t="s">
        <v>4349</v>
      </c>
      <c r="D635" s="660" t="s">
        <v>4138</v>
      </c>
      <c r="E635" s="661" t="n">
        <v>0.1</v>
      </c>
      <c r="F635" s="660" t="n">
        <v>7200</v>
      </c>
      <c r="G635" s="660" t="n">
        <f aca="false">F635*E635</f>
        <v>720</v>
      </c>
      <c r="H635" s="662"/>
    </row>
    <row r="636" s="663" customFormat="true" ht="15.75" hidden="false" customHeight="false" outlineLevel="0" collapsed="false">
      <c r="A636" s="328"/>
      <c r="B636" s="328"/>
      <c r="C636" s="328" t="s">
        <v>4189</v>
      </c>
      <c r="D636" s="660" t="s">
        <v>4133</v>
      </c>
      <c r="E636" s="661" t="n">
        <v>0.097</v>
      </c>
      <c r="F636" s="660" t="n">
        <v>3600</v>
      </c>
      <c r="G636" s="660" t="n">
        <f aca="false">F636*E636</f>
        <v>349.2</v>
      </c>
      <c r="H636" s="662"/>
    </row>
    <row r="637" s="663" customFormat="true" ht="15.75" hidden="false" customHeight="false" outlineLevel="0" collapsed="false">
      <c r="A637" s="328"/>
      <c r="B637" s="328"/>
      <c r="C637" s="328" t="s">
        <v>4350</v>
      </c>
      <c r="D637" s="660" t="s">
        <v>4133</v>
      </c>
      <c r="E637" s="661" t="n">
        <v>0.01</v>
      </c>
      <c r="F637" s="660" t="n">
        <v>5500</v>
      </c>
      <c r="G637" s="660" t="n">
        <f aca="false">F637*E637</f>
        <v>55</v>
      </c>
      <c r="H637" s="662"/>
    </row>
    <row r="638" s="663" customFormat="true" ht="15.75" hidden="false" customHeight="false" outlineLevel="0" collapsed="false">
      <c r="A638" s="328"/>
      <c r="B638" s="328"/>
      <c r="C638" s="328" t="s">
        <v>4351</v>
      </c>
      <c r="D638" s="660" t="s">
        <v>4252</v>
      </c>
      <c r="E638" s="664" t="n">
        <v>0.001</v>
      </c>
      <c r="F638" s="665" t="n">
        <v>100000</v>
      </c>
      <c r="G638" s="660" t="n">
        <f aca="false">F638*E638</f>
        <v>100</v>
      </c>
      <c r="H638" s="666"/>
    </row>
    <row r="639" s="663" customFormat="true" ht="15.75" hidden="false" customHeight="false" outlineLevel="0" collapsed="false">
      <c r="A639" s="328"/>
      <c r="B639" s="328"/>
      <c r="C639" s="328" t="s">
        <v>4120</v>
      </c>
      <c r="D639" s="660" t="s">
        <v>4121</v>
      </c>
      <c r="E639" s="661" t="n">
        <v>2</v>
      </c>
      <c r="F639" s="660" t="n">
        <v>1500</v>
      </c>
      <c r="G639" s="660" t="n">
        <f aca="false">E639*F639/100</f>
        <v>30</v>
      </c>
      <c r="H639" s="662"/>
    </row>
    <row r="640" s="663" customFormat="true" ht="15.75" hidden="false" customHeight="false" outlineLevel="0" collapsed="false">
      <c r="A640" s="328"/>
      <c r="B640" s="328"/>
      <c r="C640" s="328" t="s">
        <v>4122</v>
      </c>
      <c r="D640" s="660" t="s">
        <v>4123</v>
      </c>
      <c r="E640" s="661" t="n">
        <v>0.098</v>
      </c>
      <c r="F640" s="660" t="n">
        <v>800</v>
      </c>
      <c r="G640" s="660" t="n">
        <f aca="false">E640*F640</f>
        <v>78.4</v>
      </c>
      <c r="H640" s="662"/>
    </row>
    <row r="641" s="663" customFormat="true" ht="15.75" hidden="false" customHeight="false" outlineLevel="0" collapsed="false">
      <c r="A641" s="328"/>
      <c r="B641" s="328"/>
      <c r="C641" s="328" t="s">
        <v>4124</v>
      </c>
      <c r="D641" s="660" t="s">
        <v>4125</v>
      </c>
      <c r="E641" s="661" t="n">
        <v>0.95</v>
      </c>
      <c r="F641" s="660" t="n">
        <v>120</v>
      </c>
      <c r="G641" s="660" t="n">
        <f aca="false">E641*F641</f>
        <v>114</v>
      </c>
      <c r="H641" s="662"/>
    </row>
    <row r="642" s="663" customFormat="true" ht="15.75" hidden="false" customHeight="false" outlineLevel="0" collapsed="false">
      <c r="A642" s="328"/>
      <c r="B642" s="328"/>
      <c r="C642" s="328" t="s">
        <v>4126</v>
      </c>
      <c r="D642" s="660" t="s">
        <v>4127</v>
      </c>
      <c r="E642" s="661" t="n">
        <v>0.021</v>
      </c>
      <c r="F642" s="660" t="n">
        <v>2700</v>
      </c>
      <c r="G642" s="660" t="n">
        <f aca="false">E642*F642</f>
        <v>56.7</v>
      </c>
      <c r="H642" s="662"/>
    </row>
    <row r="643" s="663" customFormat="true" ht="15.75" hidden="false" customHeight="false" outlineLevel="0" collapsed="false">
      <c r="A643" s="328"/>
      <c r="B643" s="328" t="s">
        <v>4128</v>
      </c>
      <c r="C643" s="328"/>
      <c r="D643" s="660"/>
      <c r="E643" s="660"/>
      <c r="F643" s="660"/>
      <c r="G643" s="667" t="n">
        <f aca="false">SUM(G635:G642)</f>
        <v>1503.3</v>
      </c>
      <c r="H643" s="666"/>
    </row>
    <row r="644" s="663" customFormat="true" ht="15.75" hidden="false" customHeight="false" outlineLevel="0" collapsed="false">
      <c r="A644" s="500" t="s">
        <v>144</v>
      </c>
      <c r="B644" s="328" t="s">
        <v>2946</v>
      </c>
      <c r="C644" s="328" t="s">
        <v>4352</v>
      </c>
      <c r="D644" s="660" t="s">
        <v>4138</v>
      </c>
      <c r="E644" s="661" t="n">
        <v>0.1</v>
      </c>
      <c r="F644" s="660" t="n">
        <v>7200</v>
      </c>
      <c r="G644" s="660" t="n">
        <f aca="false">F644*E644</f>
        <v>720</v>
      </c>
      <c r="H644" s="662"/>
    </row>
    <row r="645" s="663" customFormat="true" ht="15.75" hidden="false" customHeight="false" outlineLevel="0" collapsed="false">
      <c r="A645" s="328"/>
      <c r="B645" s="328"/>
      <c r="C645" s="328" t="s">
        <v>4189</v>
      </c>
      <c r="D645" s="660" t="s">
        <v>4133</v>
      </c>
      <c r="E645" s="661" t="n">
        <v>0.097</v>
      </c>
      <c r="F645" s="660" t="n">
        <v>3600</v>
      </c>
      <c r="G645" s="660" t="n">
        <f aca="false">F645*E645</f>
        <v>349.2</v>
      </c>
      <c r="H645" s="662"/>
    </row>
    <row r="646" s="663" customFormat="true" ht="15.75" hidden="false" customHeight="false" outlineLevel="0" collapsed="false">
      <c r="A646" s="328"/>
      <c r="B646" s="328"/>
      <c r="C646" s="328" t="s">
        <v>4350</v>
      </c>
      <c r="D646" s="660" t="s">
        <v>4133</v>
      </c>
      <c r="E646" s="661" t="n">
        <v>0.01</v>
      </c>
      <c r="F646" s="660" t="n">
        <v>5500</v>
      </c>
      <c r="G646" s="660" t="n">
        <f aca="false">F646*E646</f>
        <v>55</v>
      </c>
      <c r="H646" s="662"/>
    </row>
    <row r="647" s="663" customFormat="true" ht="15.75" hidden="false" customHeight="false" outlineLevel="0" collapsed="false">
      <c r="A647" s="328"/>
      <c r="B647" s="328"/>
      <c r="C647" s="328" t="s">
        <v>4351</v>
      </c>
      <c r="D647" s="660" t="s">
        <v>4252</v>
      </c>
      <c r="E647" s="664" t="n">
        <v>0.001</v>
      </c>
      <c r="F647" s="665" t="n">
        <v>100000</v>
      </c>
      <c r="G647" s="660" t="n">
        <f aca="false">F647*E647</f>
        <v>100</v>
      </c>
      <c r="H647" s="666"/>
    </row>
    <row r="648" s="663" customFormat="true" ht="15.75" hidden="false" customHeight="false" outlineLevel="0" collapsed="false">
      <c r="A648" s="328"/>
      <c r="B648" s="328"/>
      <c r="C648" s="328" t="s">
        <v>4120</v>
      </c>
      <c r="D648" s="660" t="s">
        <v>4121</v>
      </c>
      <c r="E648" s="661" t="n">
        <v>2</v>
      </c>
      <c r="F648" s="660" t="n">
        <v>1500</v>
      </c>
      <c r="G648" s="660" t="n">
        <f aca="false">E648*F648/100</f>
        <v>30</v>
      </c>
      <c r="H648" s="662"/>
    </row>
    <row r="649" s="663" customFormat="true" ht="15.75" hidden="false" customHeight="false" outlineLevel="0" collapsed="false">
      <c r="A649" s="328"/>
      <c r="B649" s="328"/>
      <c r="C649" s="328" t="s">
        <v>4122</v>
      </c>
      <c r="D649" s="660" t="s">
        <v>4123</v>
      </c>
      <c r="E649" s="661" t="n">
        <v>0.098</v>
      </c>
      <c r="F649" s="660" t="n">
        <v>800</v>
      </c>
      <c r="G649" s="660" t="n">
        <f aca="false">E649*F649</f>
        <v>78.4</v>
      </c>
      <c r="H649" s="662"/>
    </row>
    <row r="650" s="663" customFormat="true" ht="15.75" hidden="false" customHeight="false" outlineLevel="0" collapsed="false">
      <c r="A650" s="328"/>
      <c r="B650" s="328"/>
      <c r="C650" s="328" t="s">
        <v>4124</v>
      </c>
      <c r="D650" s="660" t="s">
        <v>4125</v>
      </c>
      <c r="E650" s="661" t="n">
        <v>0.95</v>
      </c>
      <c r="F650" s="660" t="n">
        <v>120</v>
      </c>
      <c r="G650" s="660" t="n">
        <f aca="false">E650*F650</f>
        <v>114</v>
      </c>
      <c r="H650" s="662"/>
    </row>
    <row r="651" s="663" customFormat="true" ht="15.75" hidden="false" customHeight="false" outlineLevel="0" collapsed="false">
      <c r="A651" s="328"/>
      <c r="B651" s="328"/>
      <c r="C651" s="328" t="s">
        <v>4126</v>
      </c>
      <c r="D651" s="660" t="s">
        <v>4127</v>
      </c>
      <c r="E651" s="661" t="n">
        <v>0.021</v>
      </c>
      <c r="F651" s="660" t="n">
        <v>2700</v>
      </c>
      <c r="G651" s="660" t="n">
        <f aca="false">E651*F651</f>
        <v>56.7</v>
      </c>
      <c r="H651" s="662"/>
    </row>
    <row r="652" s="663" customFormat="true" ht="15.75" hidden="false" customHeight="false" outlineLevel="0" collapsed="false">
      <c r="A652" s="328"/>
      <c r="B652" s="328" t="s">
        <v>4128</v>
      </c>
      <c r="C652" s="328"/>
      <c r="D652" s="660"/>
      <c r="E652" s="660"/>
      <c r="F652" s="660"/>
      <c r="G652" s="667" t="n">
        <f aca="false">SUM(G644:G651)</f>
        <v>1503.3</v>
      </c>
      <c r="H652" s="666"/>
    </row>
    <row r="653" s="663" customFormat="true" ht="15.75" hidden="false" customHeight="false" outlineLevel="0" collapsed="false">
      <c r="A653" s="500" t="s">
        <v>146</v>
      </c>
      <c r="B653" s="328" t="s">
        <v>4353</v>
      </c>
      <c r="C653" s="328" t="s">
        <v>4354</v>
      </c>
      <c r="D653" s="660" t="s">
        <v>4138</v>
      </c>
      <c r="E653" s="661" t="n">
        <v>0.1</v>
      </c>
      <c r="F653" s="660" t="n">
        <v>7200</v>
      </c>
      <c r="G653" s="660" t="n">
        <f aca="false">F653*E653</f>
        <v>720</v>
      </c>
      <c r="H653" s="662"/>
    </row>
    <row r="654" s="663" customFormat="true" ht="15.75" hidden="false" customHeight="false" outlineLevel="0" collapsed="false">
      <c r="A654" s="328"/>
      <c r="B654" s="328"/>
      <c r="C654" s="328" t="s">
        <v>4189</v>
      </c>
      <c r="D654" s="660" t="s">
        <v>4133</v>
      </c>
      <c r="E654" s="661" t="n">
        <v>0.097</v>
      </c>
      <c r="F654" s="660" t="n">
        <v>3600</v>
      </c>
      <c r="G654" s="660" t="n">
        <f aca="false">F654*E654</f>
        <v>349.2</v>
      </c>
      <c r="H654" s="662"/>
    </row>
    <row r="655" s="663" customFormat="true" ht="15.75" hidden="false" customHeight="false" outlineLevel="0" collapsed="false">
      <c r="A655" s="328"/>
      <c r="B655" s="328"/>
      <c r="C655" s="328" t="s">
        <v>4350</v>
      </c>
      <c r="D655" s="660" t="s">
        <v>4133</v>
      </c>
      <c r="E655" s="661" t="n">
        <v>0.01</v>
      </c>
      <c r="F655" s="660" t="n">
        <v>5500</v>
      </c>
      <c r="G655" s="660" t="n">
        <f aca="false">F655*E655</f>
        <v>55</v>
      </c>
      <c r="H655" s="662"/>
    </row>
    <row r="656" s="663" customFormat="true" ht="15.75" hidden="false" customHeight="false" outlineLevel="0" collapsed="false">
      <c r="A656" s="328"/>
      <c r="B656" s="328"/>
      <c r="C656" s="328" t="s">
        <v>4351</v>
      </c>
      <c r="D656" s="660" t="s">
        <v>4252</v>
      </c>
      <c r="E656" s="664" t="n">
        <v>0.001</v>
      </c>
      <c r="F656" s="665" t="n">
        <v>100000</v>
      </c>
      <c r="G656" s="660" t="n">
        <f aca="false">F656*E656</f>
        <v>100</v>
      </c>
      <c r="H656" s="666"/>
    </row>
    <row r="657" s="663" customFormat="true" ht="15.75" hidden="false" customHeight="false" outlineLevel="0" collapsed="false">
      <c r="A657" s="328"/>
      <c r="B657" s="328"/>
      <c r="C657" s="328" t="s">
        <v>4120</v>
      </c>
      <c r="D657" s="660" t="s">
        <v>4121</v>
      </c>
      <c r="E657" s="661" t="n">
        <v>2</v>
      </c>
      <c r="F657" s="660" t="n">
        <v>1500</v>
      </c>
      <c r="G657" s="660" t="n">
        <f aca="false">E657*F657/100</f>
        <v>30</v>
      </c>
      <c r="H657" s="662"/>
    </row>
    <row r="658" s="663" customFormat="true" ht="15.75" hidden="false" customHeight="false" outlineLevel="0" collapsed="false">
      <c r="A658" s="328"/>
      <c r="B658" s="328"/>
      <c r="C658" s="328" t="s">
        <v>4122</v>
      </c>
      <c r="D658" s="660" t="s">
        <v>4123</v>
      </c>
      <c r="E658" s="661" t="n">
        <v>0.098</v>
      </c>
      <c r="F658" s="660" t="n">
        <v>800</v>
      </c>
      <c r="G658" s="660" t="n">
        <f aca="false">E658*F658</f>
        <v>78.4</v>
      </c>
      <c r="H658" s="662"/>
    </row>
    <row r="659" s="663" customFormat="true" ht="15.75" hidden="false" customHeight="false" outlineLevel="0" collapsed="false">
      <c r="A659" s="328"/>
      <c r="B659" s="328"/>
      <c r="C659" s="328" t="s">
        <v>4124</v>
      </c>
      <c r="D659" s="660" t="s">
        <v>4125</v>
      </c>
      <c r="E659" s="661" t="n">
        <v>0.95</v>
      </c>
      <c r="F659" s="660" t="n">
        <v>120</v>
      </c>
      <c r="G659" s="660" t="n">
        <f aca="false">E659*F659</f>
        <v>114</v>
      </c>
      <c r="H659" s="662"/>
    </row>
    <row r="660" s="663" customFormat="true" ht="15.75" hidden="false" customHeight="false" outlineLevel="0" collapsed="false">
      <c r="A660" s="328"/>
      <c r="B660" s="328"/>
      <c r="C660" s="328" t="s">
        <v>4126</v>
      </c>
      <c r="D660" s="660" t="s">
        <v>4127</v>
      </c>
      <c r="E660" s="661" t="n">
        <v>0.021</v>
      </c>
      <c r="F660" s="660" t="n">
        <v>2700</v>
      </c>
      <c r="G660" s="660" t="n">
        <f aca="false">E660*F660</f>
        <v>56.7</v>
      </c>
      <c r="H660" s="662"/>
    </row>
    <row r="661" s="663" customFormat="true" ht="15.75" hidden="false" customHeight="false" outlineLevel="0" collapsed="false">
      <c r="A661" s="328"/>
      <c r="B661" s="328" t="s">
        <v>4128</v>
      </c>
      <c r="C661" s="328"/>
      <c r="D661" s="660"/>
      <c r="E661" s="660"/>
      <c r="F661" s="660"/>
      <c r="G661" s="667" t="n">
        <f aca="false">SUM(G653:G660)</f>
        <v>1503.3</v>
      </c>
      <c r="H661" s="666"/>
    </row>
    <row r="662" s="663" customFormat="true" ht="15.75" hidden="false" customHeight="false" outlineLevel="0" collapsed="false">
      <c r="A662" s="500" t="s">
        <v>148</v>
      </c>
      <c r="B662" s="328" t="s">
        <v>2948</v>
      </c>
      <c r="C662" s="328" t="s">
        <v>4355</v>
      </c>
      <c r="D662" s="660" t="s">
        <v>4138</v>
      </c>
      <c r="E662" s="661" t="n">
        <v>0.1</v>
      </c>
      <c r="F662" s="660" t="n">
        <v>7200</v>
      </c>
      <c r="G662" s="660" t="n">
        <f aca="false">F662*E662</f>
        <v>720</v>
      </c>
      <c r="H662" s="662"/>
    </row>
    <row r="663" s="663" customFormat="true" ht="15.75" hidden="false" customHeight="false" outlineLevel="0" collapsed="false">
      <c r="A663" s="328"/>
      <c r="B663" s="328"/>
      <c r="C663" s="328" t="s">
        <v>4189</v>
      </c>
      <c r="D663" s="660" t="s">
        <v>4133</v>
      </c>
      <c r="E663" s="661" t="n">
        <v>0.097</v>
      </c>
      <c r="F663" s="660" t="n">
        <v>3600</v>
      </c>
      <c r="G663" s="660" t="n">
        <f aca="false">F663*E663</f>
        <v>349.2</v>
      </c>
      <c r="H663" s="662"/>
    </row>
    <row r="664" s="663" customFormat="true" ht="15.75" hidden="false" customHeight="false" outlineLevel="0" collapsed="false">
      <c r="A664" s="328"/>
      <c r="B664" s="328"/>
      <c r="C664" s="328" t="s">
        <v>4350</v>
      </c>
      <c r="D664" s="660" t="s">
        <v>4133</v>
      </c>
      <c r="E664" s="661" t="n">
        <v>0.01</v>
      </c>
      <c r="F664" s="660" t="n">
        <v>5500</v>
      </c>
      <c r="G664" s="660" t="n">
        <f aca="false">F664*E664</f>
        <v>55</v>
      </c>
      <c r="H664" s="662"/>
    </row>
    <row r="665" s="663" customFormat="true" ht="15.75" hidden="false" customHeight="false" outlineLevel="0" collapsed="false">
      <c r="A665" s="328"/>
      <c r="B665" s="328"/>
      <c r="C665" s="328" t="s">
        <v>4351</v>
      </c>
      <c r="D665" s="660" t="s">
        <v>4252</v>
      </c>
      <c r="E665" s="664" t="n">
        <v>0.001</v>
      </c>
      <c r="F665" s="665" t="n">
        <v>100000</v>
      </c>
      <c r="G665" s="660" t="n">
        <f aca="false">F665*E665</f>
        <v>100</v>
      </c>
      <c r="H665" s="666"/>
    </row>
    <row r="666" s="663" customFormat="true" ht="15.75" hidden="false" customHeight="false" outlineLevel="0" collapsed="false">
      <c r="A666" s="328"/>
      <c r="B666" s="328"/>
      <c r="C666" s="328" t="s">
        <v>4120</v>
      </c>
      <c r="D666" s="660" t="s">
        <v>4121</v>
      </c>
      <c r="E666" s="661" t="n">
        <v>2</v>
      </c>
      <c r="F666" s="660" t="n">
        <v>1500</v>
      </c>
      <c r="G666" s="660" t="n">
        <f aca="false">E666*F666/100</f>
        <v>30</v>
      </c>
      <c r="H666" s="662"/>
    </row>
    <row r="667" s="663" customFormat="true" ht="15.75" hidden="false" customHeight="false" outlineLevel="0" collapsed="false">
      <c r="A667" s="328"/>
      <c r="B667" s="328"/>
      <c r="C667" s="328" t="s">
        <v>4122</v>
      </c>
      <c r="D667" s="660" t="s">
        <v>4123</v>
      </c>
      <c r="E667" s="661" t="n">
        <v>0.098</v>
      </c>
      <c r="F667" s="660" t="n">
        <v>800</v>
      </c>
      <c r="G667" s="660" t="n">
        <f aca="false">E667*F667</f>
        <v>78.4</v>
      </c>
      <c r="H667" s="662"/>
    </row>
    <row r="668" s="663" customFormat="true" ht="15.75" hidden="false" customHeight="false" outlineLevel="0" collapsed="false">
      <c r="A668" s="328"/>
      <c r="B668" s="328"/>
      <c r="C668" s="328" t="s">
        <v>4124</v>
      </c>
      <c r="D668" s="660" t="s">
        <v>4125</v>
      </c>
      <c r="E668" s="661" t="n">
        <v>0.95</v>
      </c>
      <c r="F668" s="660" t="n">
        <v>120</v>
      </c>
      <c r="G668" s="660" t="n">
        <f aca="false">E668*F668</f>
        <v>114</v>
      </c>
      <c r="H668" s="662"/>
    </row>
    <row r="669" s="663" customFormat="true" ht="15.75" hidden="false" customHeight="false" outlineLevel="0" collapsed="false">
      <c r="A669" s="328"/>
      <c r="B669" s="328"/>
      <c r="C669" s="328" t="s">
        <v>4126</v>
      </c>
      <c r="D669" s="660" t="s">
        <v>4127</v>
      </c>
      <c r="E669" s="661" t="n">
        <v>0.021</v>
      </c>
      <c r="F669" s="660" t="n">
        <v>2700</v>
      </c>
      <c r="G669" s="660" t="n">
        <f aca="false">E669*F669</f>
        <v>56.7</v>
      </c>
      <c r="H669" s="662"/>
    </row>
    <row r="670" s="663" customFormat="true" ht="15.75" hidden="false" customHeight="false" outlineLevel="0" collapsed="false">
      <c r="A670" s="328"/>
      <c r="B670" s="328" t="s">
        <v>4128</v>
      </c>
      <c r="C670" s="328"/>
      <c r="D670" s="660"/>
      <c r="E670" s="660"/>
      <c r="F670" s="660"/>
      <c r="G670" s="667" t="n">
        <f aca="false">SUM(G662:G669)</f>
        <v>1503.3</v>
      </c>
      <c r="H670" s="666"/>
    </row>
    <row r="671" s="663" customFormat="true" ht="15.75" hidden="false" customHeight="false" outlineLevel="0" collapsed="false">
      <c r="A671" s="500" t="s">
        <v>150</v>
      </c>
      <c r="B671" s="328" t="s">
        <v>2949</v>
      </c>
      <c r="C671" s="328" t="s">
        <v>4352</v>
      </c>
      <c r="D671" s="660" t="s">
        <v>4138</v>
      </c>
      <c r="E671" s="661" t="n">
        <v>0.1</v>
      </c>
      <c r="F671" s="660" t="n">
        <v>7200</v>
      </c>
      <c r="G671" s="660" t="n">
        <f aca="false">F671*E671</f>
        <v>720</v>
      </c>
      <c r="H671" s="662"/>
    </row>
    <row r="672" s="663" customFormat="true" ht="15.75" hidden="false" customHeight="false" outlineLevel="0" collapsed="false">
      <c r="A672" s="328"/>
      <c r="B672" s="328"/>
      <c r="C672" s="328" t="s">
        <v>4189</v>
      </c>
      <c r="D672" s="660" t="s">
        <v>4133</v>
      </c>
      <c r="E672" s="661" t="n">
        <v>0.097</v>
      </c>
      <c r="F672" s="660" t="n">
        <v>3600</v>
      </c>
      <c r="G672" s="660" t="n">
        <f aca="false">F672*E672</f>
        <v>349.2</v>
      </c>
      <c r="H672" s="662"/>
    </row>
    <row r="673" s="663" customFormat="true" ht="15.75" hidden="false" customHeight="false" outlineLevel="0" collapsed="false">
      <c r="A673" s="328"/>
      <c r="B673" s="328"/>
      <c r="C673" s="328" t="s">
        <v>4350</v>
      </c>
      <c r="D673" s="660" t="s">
        <v>4133</v>
      </c>
      <c r="E673" s="661" t="n">
        <v>0.01</v>
      </c>
      <c r="F673" s="660" t="n">
        <v>5500</v>
      </c>
      <c r="G673" s="660" t="n">
        <f aca="false">F673*E673</f>
        <v>55</v>
      </c>
      <c r="H673" s="662"/>
    </row>
    <row r="674" s="663" customFormat="true" ht="15.75" hidden="false" customHeight="false" outlineLevel="0" collapsed="false">
      <c r="A674" s="328"/>
      <c r="B674" s="328"/>
      <c r="C674" s="328" t="s">
        <v>4351</v>
      </c>
      <c r="D674" s="660" t="s">
        <v>4252</v>
      </c>
      <c r="E674" s="664" t="n">
        <v>0.001</v>
      </c>
      <c r="F674" s="665" t="n">
        <v>100000</v>
      </c>
      <c r="G674" s="660" t="n">
        <f aca="false">F674*E674</f>
        <v>100</v>
      </c>
      <c r="H674" s="666"/>
    </row>
    <row r="675" s="663" customFormat="true" ht="15.75" hidden="false" customHeight="false" outlineLevel="0" collapsed="false">
      <c r="A675" s="328"/>
      <c r="B675" s="328"/>
      <c r="C675" s="328" t="s">
        <v>4120</v>
      </c>
      <c r="D675" s="660" t="s">
        <v>4121</v>
      </c>
      <c r="E675" s="661" t="n">
        <v>2</v>
      </c>
      <c r="F675" s="660" t="n">
        <v>1500</v>
      </c>
      <c r="G675" s="660" t="n">
        <f aca="false">E675*F675/100</f>
        <v>30</v>
      </c>
      <c r="H675" s="662"/>
    </row>
    <row r="676" s="663" customFormat="true" ht="15.75" hidden="false" customHeight="false" outlineLevel="0" collapsed="false">
      <c r="A676" s="328"/>
      <c r="B676" s="328"/>
      <c r="C676" s="328" t="s">
        <v>4122</v>
      </c>
      <c r="D676" s="660" t="s">
        <v>4123</v>
      </c>
      <c r="E676" s="661" t="n">
        <v>0.098</v>
      </c>
      <c r="F676" s="660" t="n">
        <v>800</v>
      </c>
      <c r="G676" s="660" t="n">
        <f aca="false">E676*F676</f>
        <v>78.4</v>
      </c>
      <c r="H676" s="662"/>
    </row>
    <row r="677" s="663" customFormat="true" ht="15.75" hidden="false" customHeight="false" outlineLevel="0" collapsed="false">
      <c r="A677" s="328"/>
      <c r="B677" s="328"/>
      <c r="C677" s="328" t="s">
        <v>4124</v>
      </c>
      <c r="D677" s="660" t="s">
        <v>4125</v>
      </c>
      <c r="E677" s="661" t="n">
        <v>0.95</v>
      </c>
      <c r="F677" s="660" t="n">
        <v>120</v>
      </c>
      <c r="G677" s="660" t="n">
        <f aca="false">E677*F677</f>
        <v>114</v>
      </c>
      <c r="H677" s="662"/>
    </row>
    <row r="678" s="663" customFormat="true" ht="15.75" hidden="false" customHeight="false" outlineLevel="0" collapsed="false">
      <c r="A678" s="328"/>
      <c r="B678" s="328"/>
      <c r="C678" s="328" t="s">
        <v>4126</v>
      </c>
      <c r="D678" s="660" t="s">
        <v>4127</v>
      </c>
      <c r="E678" s="661" t="n">
        <v>0.021</v>
      </c>
      <c r="F678" s="660" t="n">
        <v>2700</v>
      </c>
      <c r="G678" s="660" t="n">
        <f aca="false">E678*F678</f>
        <v>56.7</v>
      </c>
      <c r="H678" s="662"/>
    </row>
    <row r="679" s="663" customFormat="true" ht="15.75" hidden="false" customHeight="false" outlineLevel="0" collapsed="false">
      <c r="A679" s="328"/>
      <c r="B679" s="328" t="s">
        <v>4128</v>
      </c>
      <c r="C679" s="328"/>
      <c r="D679" s="660"/>
      <c r="E679" s="660"/>
      <c r="F679" s="660"/>
      <c r="G679" s="667" t="n">
        <f aca="false">SUM(G671:G678)</f>
        <v>1503.3</v>
      </c>
      <c r="H679" s="666"/>
    </row>
    <row r="680" customFormat="false" ht="42.75" hidden="false" customHeight="false" outlineLevel="0" collapsed="false">
      <c r="A680" s="327" t="s">
        <v>2730</v>
      </c>
      <c r="B680" s="640" t="s">
        <v>2950</v>
      </c>
      <c r="C680" s="640"/>
      <c r="D680" s="327"/>
      <c r="E680" s="640"/>
      <c r="F680" s="640"/>
      <c r="G680" s="640"/>
      <c r="H680" s="629"/>
    </row>
    <row r="681" customFormat="false" ht="15" hidden="false" customHeight="false" outlineLevel="0" collapsed="false">
      <c r="A681" s="571" t="s">
        <v>154</v>
      </c>
      <c r="B681" s="500" t="s">
        <v>2881</v>
      </c>
      <c r="C681" s="638" t="s">
        <v>4120</v>
      </c>
      <c r="D681" s="637" t="s">
        <v>4121</v>
      </c>
      <c r="E681" s="633" t="n">
        <v>0.01</v>
      </c>
      <c r="F681" s="639" t="n">
        <v>1500</v>
      </c>
      <c r="G681" s="636" t="n">
        <f aca="false">E681*F681</f>
        <v>15</v>
      </c>
      <c r="H681" s="571"/>
    </row>
    <row r="682" customFormat="false" ht="15" hidden="false" customHeight="false" outlineLevel="0" collapsed="false">
      <c r="A682" s="571"/>
      <c r="B682" s="500"/>
      <c r="C682" s="638" t="s">
        <v>4122</v>
      </c>
      <c r="D682" s="637" t="s">
        <v>4123</v>
      </c>
      <c r="E682" s="633" t="n">
        <v>0.01</v>
      </c>
      <c r="F682" s="626" t="n">
        <v>800</v>
      </c>
      <c r="G682" s="636" t="n">
        <f aca="false">E682*F682</f>
        <v>8</v>
      </c>
      <c r="H682" s="571"/>
    </row>
    <row r="683" customFormat="false" ht="15" hidden="false" customHeight="false" outlineLevel="0" collapsed="false">
      <c r="A683" s="571"/>
      <c r="B683" s="500"/>
      <c r="C683" s="633" t="s">
        <v>4124</v>
      </c>
      <c r="D683" s="637" t="s">
        <v>4125</v>
      </c>
      <c r="E683" s="633" t="n">
        <v>0.1</v>
      </c>
      <c r="F683" s="626" t="n">
        <v>120</v>
      </c>
      <c r="G683" s="636" t="n">
        <f aca="false">E683*F683</f>
        <v>12</v>
      </c>
      <c r="H683" s="571"/>
    </row>
    <row r="684" customFormat="false" ht="15" hidden="false" customHeight="false" outlineLevel="0" collapsed="false">
      <c r="A684" s="571"/>
      <c r="B684" s="500"/>
      <c r="C684" s="633" t="s">
        <v>4126</v>
      </c>
      <c r="D684" s="637" t="s">
        <v>4127</v>
      </c>
      <c r="E684" s="633" t="n">
        <v>0.05</v>
      </c>
      <c r="F684" s="626" t="n">
        <v>2700</v>
      </c>
      <c r="G684" s="636" t="n">
        <f aca="false">E684*F684</f>
        <v>135</v>
      </c>
      <c r="H684" s="571"/>
    </row>
    <row r="685" customFormat="false" ht="15" hidden="false" customHeight="false" outlineLevel="0" collapsed="false">
      <c r="A685" s="571"/>
      <c r="B685" s="608" t="s">
        <v>4128</v>
      </c>
      <c r="C685" s="640"/>
      <c r="D685" s="327"/>
      <c r="E685" s="640"/>
      <c r="F685" s="643"/>
      <c r="G685" s="640" t="n">
        <f aca="false">SUM(G681:G684)</f>
        <v>170</v>
      </c>
      <c r="H685" s="571"/>
    </row>
    <row r="686" customFormat="false" ht="15" hidden="false" customHeight="false" outlineLevel="0" collapsed="false">
      <c r="A686" s="571" t="s">
        <v>155</v>
      </c>
      <c r="B686" s="500" t="s">
        <v>2882</v>
      </c>
      <c r="C686" s="647"/>
      <c r="D686" s="654"/>
      <c r="E686" s="647"/>
      <c r="F686" s="645"/>
      <c r="G686" s="629"/>
      <c r="H686" s="571"/>
    </row>
    <row r="687" customFormat="false" ht="15" hidden="false" customHeight="false" outlineLevel="0" collapsed="false">
      <c r="A687" s="571"/>
      <c r="B687" s="608"/>
      <c r="C687" s="638" t="s">
        <v>4120</v>
      </c>
      <c r="D687" s="637" t="s">
        <v>4121</v>
      </c>
      <c r="E687" s="633" t="n">
        <v>0.03</v>
      </c>
      <c r="F687" s="639" t="n">
        <v>1500</v>
      </c>
      <c r="G687" s="636" t="n">
        <f aca="false">E687*F687</f>
        <v>45</v>
      </c>
      <c r="H687" s="571"/>
    </row>
    <row r="688" customFormat="false" ht="15" hidden="false" customHeight="false" outlineLevel="0" collapsed="false">
      <c r="A688" s="571"/>
      <c r="B688" s="500"/>
      <c r="C688" s="638" t="s">
        <v>4122</v>
      </c>
      <c r="D688" s="637" t="s">
        <v>4123</v>
      </c>
      <c r="E688" s="633" t="n">
        <v>0.03</v>
      </c>
      <c r="F688" s="626" t="n">
        <v>800</v>
      </c>
      <c r="G688" s="636" t="n">
        <f aca="false">E688*F688</f>
        <v>24</v>
      </c>
      <c r="H688" s="571"/>
    </row>
    <row r="689" customFormat="false" ht="15" hidden="false" customHeight="false" outlineLevel="0" collapsed="false">
      <c r="A689" s="571"/>
      <c r="B689" s="608"/>
      <c r="C689" s="633" t="s">
        <v>4124</v>
      </c>
      <c r="D689" s="637" t="s">
        <v>4125</v>
      </c>
      <c r="E689" s="633" t="n">
        <v>0.1</v>
      </c>
      <c r="F689" s="626" t="n">
        <v>120</v>
      </c>
      <c r="G689" s="636" t="n">
        <f aca="false">E689*F689</f>
        <v>12</v>
      </c>
      <c r="H689" s="571"/>
    </row>
    <row r="690" customFormat="false" ht="15" hidden="false" customHeight="false" outlineLevel="0" collapsed="false">
      <c r="A690" s="571"/>
      <c r="B690" s="500"/>
      <c r="C690" s="633" t="s">
        <v>4126</v>
      </c>
      <c r="D690" s="637" t="s">
        <v>4127</v>
      </c>
      <c r="E690" s="633" t="n">
        <v>0.02</v>
      </c>
      <c r="F690" s="626" t="n">
        <v>2700</v>
      </c>
      <c r="G690" s="636" t="n">
        <f aca="false">E690*F690</f>
        <v>54</v>
      </c>
      <c r="H690" s="571"/>
    </row>
    <row r="691" customFormat="false" ht="15" hidden="false" customHeight="false" outlineLevel="0" collapsed="false">
      <c r="A691" s="571"/>
      <c r="B691" s="608" t="s">
        <v>4128</v>
      </c>
      <c r="C691" s="629"/>
      <c r="D691" s="327"/>
      <c r="E691" s="640"/>
      <c r="F691" s="643"/>
      <c r="G691" s="640" t="n">
        <f aca="false">SUM(G687:G690)</f>
        <v>135</v>
      </c>
      <c r="H691" s="571"/>
    </row>
    <row r="692" customFormat="false" ht="15" hidden="false" customHeight="false" outlineLevel="0" collapsed="false">
      <c r="A692" s="571" t="s">
        <v>156</v>
      </c>
      <c r="B692" s="500" t="s">
        <v>2883</v>
      </c>
      <c r="C692" s="500" t="s">
        <v>4130</v>
      </c>
      <c r="D692" s="571" t="s">
        <v>4131</v>
      </c>
      <c r="E692" s="629" t="n">
        <v>0.01</v>
      </c>
      <c r="F692" s="629" t="n">
        <v>13000</v>
      </c>
      <c r="G692" s="636" t="n">
        <f aca="false">E692*F692</f>
        <v>130</v>
      </c>
      <c r="H692" s="606"/>
    </row>
    <row r="693" customFormat="false" ht="15" hidden="false" customHeight="false" outlineLevel="0" collapsed="false">
      <c r="A693" s="571"/>
      <c r="B693" s="500"/>
      <c r="C693" s="500" t="s">
        <v>4132</v>
      </c>
      <c r="D693" s="571" t="s">
        <v>4133</v>
      </c>
      <c r="E693" s="629" t="n">
        <v>0.0002</v>
      </c>
      <c r="F693" s="630" t="n">
        <v>18000</v>
      </c>
      <c r="G693" s="636" t="n">
        <f aca="false">E693*F693</f>
        <v>3.6</v>
      </c>
      <c r="H693" s="571"/>
    </row>
    <row r="694" customFormat="false" ht="15" hidden="false" customHeight="false" outlineLevel="0" collapsed="false">
      <c r="A694" s="571"/>
      <c r="B694" s="571"/>
      <c r="C694" s="638" t="s">
        <v>4120</v>
      </c>
      <c r="D694" s="637" t="s">
        <v>4121</v>
      </c>
      <c r="E694" s="633" t="n">
        <v>0.02</v>
      </c>
      <c r="F694" s="639" t="n">
        <v>1500</v>
      </c>
      <c r="G694" s="636" t="n">
        <f aca="false">E694*F694</f>
        <v>30</v>
      </c>
      <c r="H694" s="571"/>
    </row>
    <row r="695" customFormat="false" ht="15" hidden="false" customHeight="false" outlineLevel="0" collapsed="false">
      <c r="A695" s="571"/>
      <c r="B695" s="500"/>
      <c r="C695" s="638" t="s">
        <v>4122</v>
      </c>
      <c r="D695" s="637" t="s">
        <v>4123</v>
      </c>
      <c r="E695" s="633" t="n">
        <v>0.03</v>
      </c>
      <c r="F695" s="626" t="n">
        <v>800</v>
      </c>
      <c r="G695" s="636" t="n">
        <f aca="false">E695*F695</f>
        <v>24</v>
      </c>
      <c r="H695" s="571"/>
    </row>
    <row r="696" customFormat="false" ht="15" hidden="false" customHeight="false" outlineLevel="0" collapsed="false">
      <c r="A696" s="571"/>
      <c r="B696" s="500"/>
      <c r="C696" s="633" t="s">
        <v>4124</v>
      </c>
      <c r="D696" s="637" t="s">
        <v>4125</v>
      </c>
      <c r="E696" s="633" t="n">
        <v>0.01</v>
      </c>
      <c r="F696" s="626" t="n">
        <v>120</v>
      </c>
      <c r="G696" s="636" t="n">
        <f aca="false">E696*F696</f>
        <v>1.2</v>
      </c>
      <c r="H696" s="571"/>
    </row>
    <row r="697" customFormat="false" ht="15" hidden="false" customHeight="false" outlineLevel="0" collapsed="false">
      <c r="A697" s="571"/>
      <c r="B697" s="608" t="s">
        <v>4128</v>
      </c>
      <c r="C697" s="640"/>
      <c r="D697" s="327"/>
      <c r="E697" s="640"/>
      <c r="F697" s="643"/>
      <c r="G697" s="640" t="n">
        <f aca="false">SUM(G692:G696)</f>
        <v>188.8</v>
      </c>
      <c r="H697" s="571"/>
    </row>
    <row r="698" customFormat="false" ht="15" hidden="false" customHeight="false" outlineLevel="0" collapsed="false">
      <c r="A698" s="571" t="s">
        <v>157</v>
      </c>
      <c r="B698" s="500" t="s">
        <v>4136</v>
      </c>
      <c r="C698" s="629" t="s">
        <v>4137</v>
      </c>
      <c r="D698" s="571" t="s">
        <v>4138</v>
      </c>
      <c r="E698" s="633" t="n">
        <v>0.1</v>
      </c>
      <c r="F698" s="630" t="n">
        <v>10000</v>
      </c>
      <c r="G698" s="636" t="n">
        <f aca="false">E698*F698</f>
        <v>1000</v>
      </c>
      <c r="H698" s="606"/>
    </row>
    <row r="699" customFormat="false" ht="15" hidden="false" customHeight="false" outlineLevel="0" collapsed="false">
      <c r="A699" s="571"/>
      <c r="B699" s="500"/>
      <c r="C699" s="638" t="s">
        <v>4120</v>
      </c>
      <c r="D699" s="637" t="s">
        <v>4121</v>
      </c>
      <c r="E699" s="633" t="n">
        <v>0.03</v>
      </c>
      <c r="F699" s="639" t="n">
        <v>1500</v>
      </c>
      <c r="G699" s="636" t="n">
        <f aca="false">E699*F699</f>
        <v>45</v>
      </c>
      <c r="H699" s="571"/>
    </row>
    <row r="700" customFormat="false" ht="15" hidden="false" customHeight="false" outlineLevel="0" collapsed="false">
      <c r="A700" s="571"/>
      <c r="B700" s="500"/>
      <c r="C700" s="638" t="s">
        <v>4122</v>
      </c>
      <c r="D700" s="637" t="s">
        <v>4123</v>
      </c>
      <c r="E700" s="633" t="n">
        <v>0.1</v>
      </c>
      <c r="F700" s="626" t="n">
        <v>800</v>
      </c>
      <c r="G700" s="636" t="n">
        <f aca="false">E700*F700</f>
        <v>80</v>
      </c>
      <c r="H700" s="571"/>
    </row>
    <row r="701" customFormat="false" ht="15" hidden="false" customHeight="false" outlineLevel="0" collapsed="false">
      <c r="A701" s="571"/>
      <c r="B701" s="608"/>
      <c r="C701" s="633" t="s">
        <v>4124</v>
      </c>
      <c r="D701" s="637" t="s">
        <v>4125</v>
      </c>
      <c r="E701" s="633" t="n">
        <v>0.1</v>
      </c>
      <c r="F701" s="626" t="n">
        <v>120</v>
      </c>
      <c r="G701" s="636" t="n">
        <f aca="false">E701*F701</f>
        <v>12</v>
      </c>
      <c r="H701" s="571"/>
    </row>
    <row r="702" customFormat="false" ht="15" hidden="false" customHeight="false" outlineLevel="0" collapsed="false">
      <c r="A702" s="571"/>
      <c r="B702" s="608" t="s">
        <v>4128</v>
      </c>
      <c r="C702" s="633"/>
      <c r="D702" s="637"/>
      <c r="E702" s="633"/>
      <c r="F702" s="626"/>
      <c r="G702" s="631" t="n">
        <f aca="false">SUM(G698:G701)</f>
        <v>1137</v>
      </c>
      <c r="H702" s="571"/>
    </row>
    <row r="703" customFormat="false" ht="30" hidden="false" customHeight="false" outlineLevel="0" collapsed="false">
      <c r="A703" s="571" t="s">
        <v>158</v>
      </c>
      <c r="B703" s="500" t="s">
        <v>4356</v>
      </c>
      <c r="C703" s="638" t="s">
        <v>4140</v>
      </c>
      <c r="D703" s="571" t="s">
        <v>4141</v>
      </c>
      <c r="E703" s="633" t="n">
        <v>0.03</v>
      </c>
      <c r="F703" s="630" t="n">
        <v>26785</v>
      </c>
      <c r="G703" s="636" t="n">
        <f aca="false">E703*F703</f>
        <v>803.55</v>
      </c>
      <c r="H703" s="606"/>
    </row>
    <row r="704" customFormat="false" ht="15" hidden="false" customHeight="false" outlineLevel="0" collapsed="false">
      <c r="A704" s="571"/>
      <c r="B704" s="500"/>
      <c r="C704" s="638" t="s">
        <v>4120</v>
      </c>
      <c r="D704" s="637" t="s">
        <v>4121</v>
      </c>
      <c r="E704" s="633" t="n">
        <v>0.03</v>
      </c>
      <c r="F704" s="639" t="n">
        <v>1500</v>
      </c>
      <c r="G704" s="636" t="n">
        <f aca="false">E704*F704</f>
        <v>45</v>
      </c>
      <c r="H704" s="571"/>
    </row>
    <row r="705" customFormat="false" ht="15" hidden="false" customHeight="false" outlineLevel="0" collapsed="false">
      <c r="A705" s="571"/>
      <c r="B705" s="500"/>
      <c r="C705" s="638" t="s">
        <v>4122</v>
      </c>
      <c r="D705" s="637" t="s">
        <v>4123</v>
      </c>
      <c r="E705" s="633" t="n">
        <v>0.03</v>
      </c>
      <c r="F705" s="626" t="n">
        <v>800</v>
      </c>
      <c r="G705" s="636" t="n">
        <f aca="false">E705*F705</f>
        <v>24</v>
      </c>
      <c r="H705" s="571"/>
    </row>
    <row r="706" customFormat="false" ht="15" hidden="false" customHeight="false" outlineLevel="0" collapsed="false">
      <c r="A706" s="571"/>
      <c r="B706" s="500"/>
      <c r="C706" s="633" t="s">
        <v>4124</v>
      </c>
      <c r="D706" s="637" t="s">
        <v>4125</v>
      </c>
      <c r="E706" s="633" t="n">
        <v>0.1</v>
      </c>
      <c r="F706" s="626" t="n">
        <v>120</v>
      </c>
      <c r="G706" s="636" t="n">
        <f aca="false">E706*F706</f>
        <v>12</v>
      </c>
      <c r="H706" s="571"/>
    </row>
    <row r="707" customFormat="false" ht="15" hidden="false" customHeight="false" outlineLevel="0" collapsed="false">
      <c r="A707" s="571"/>
      <c r="B707" s="500"/>
      <c r="C707" s="633" t="s">
        <v>4126</v>
      </c>
      <c r="D707" s="637" t="s">
        <v>4127</v>
      </c>
      <c r="E707" s="633" t="n">
        <v>0.01</v>
      </c>
      <c r="F707" s="626" t="n">
        <v>2700</v>
      </c>
      <c r="G707" s="636" t="n">
        <f aca="false">E707*F707</f>
        <v>27</v>
      </c>
      <c r="H707" s="571"/>
    </row>
    <row r="708" customFormat="false" ht="15" hidden="false" customHeight="false" outlineLevel="0" collapsed="false">
      <c r="A708" s="571"/>
      <c r="B708" s="608" t="s">
        <v>4128</v>
      </c>
      <c r="C708" s="640"/>
      <c r="D708" s="327"/>
      <c r="E708" s="640"/>
      <c r="F708" s="643"/>
      <c r="G708" s="640" t="n">
        <f aca="false">SUM(G703:G707)</f>
        <v>911.55</v>
      </c>
      <c r="H708" s="571"/>
    </row>
    <row r="709" customFormat="false" ht="30" hidden="false" customHeight="false" outlineLevel="0" collapsed="false">
      <c r="A709" s="571" t="s">
        <v>159</v>
      </c>
      <c r="B709" s="500" t="s">
        <v>4142</v>
      </c>
      <c r="C709" s="633" t="s">
        <v>4357</v>
      </c>
      <c r="D709" s="637" t="s">
        <v>4127</v>
      </c>
      <c r="E709" s="633" t="n">
        <v>0.03</v>
      </c>
      <c r="F709" s="626" t="n">
        <v>18000</v>
      </c>
      <c r="G709" s="636" t="n">
        <f aca="false">E709*F709</f>
        <v>540</v>
      </c>
      <c r="H709" s="606"/>
    </row>
    <row r="710" customFormat="false" ht="15" hidden="false" customHeight="false" outlineLevel="0" collapsed="false">
      <c r="A710" s="571"/>
      <c r="B710" s="500"/>
      <c r="C710" s="638" t="s">
        <v>4120</v>
      </c>
      <c r="D710" s="637" t="s">
        <v>4121</v>
      </c>
      <c r="E710" s="633" t="n">
        <v>0.02</v>
      </c>
      <c r="F710" s="639" t="n">
        <v>1500</v>
      </c>
      <c r="G710" s="636" t="n">
        <f aca="false">E710*F710</f>
        <v>30</v>
      </c>
      <c r="H710" s="571"/>
    </row>
    <row r="711" customFormat="false" ht="15" hidden="false" customHeight="false" outlineLevel="0" collapsed="false">
      <c r="A711" s="571"/>
      <c r="B711" s="500"/>
      <c r="C711" s="638" t="s">
        <v>4122</v>
      </c>
      <c r="D711" s="637" t="s">
        <v>4123</v>
      </c>
      <c r="E711" s="633" t="n">
        <v>0.01</v>
      </c>
      <c r="F711" s="626" t="n">
        <v>800</v>
      </c>
      <c r="G711" s="636" t="n">
        <f aca="false">E711*F711</f>
        <v>8</v>
      </c>
      <c r="H711" s="571"/>
    </row>
    <row r="712" customFormat="false" ht="15" hidden="false" customHeight="false" outlineLevel="0" collapsed="false">
      <c r="A712" s="571"/>
      <c r="B712" s="500"/>
      <c r="C712" s="633" t="s">
        <v>4124</v>
      </c>
      <c r="D712" s="637" t="s">
        <v>4125</v>
      </c>
      <c r="E712" s="633" t="n">
        <v>0.1</v>
      </c>
      <c r="F712" s="626" t="n">
        <v>720</v>
      </c>
      <c r="G712" s="636" t="n">
        <f aca="false">E712*F712</f>
        <v>72</v>
      </c>
      <c r="H712" s="571"/>
    </row>
    <row r="713" customFormat="false" ht="15" hidden="false" customHeight="false" outlineLevel="0" collapsed="false">
      <c r="A713" s="571"/>
      <c r="B713" s="608"/>
      <c r="C713" s="633" t="s">
        <v>4126</v>
      </c>
      <c r="D713" s="637" t="s">
        <v>4127</v>
      </c>
      <c r="E713" s="633" t="n">
        <v>0.02</v>
      </c>
      <c r="F713" s="626" t="n">
        <v>2700</v>
      </c>
      <c r="G713" s="636" t="n">
        <f aca="false">E713*F713</f>
        <v>54</v>
      </c>
      <c r="H713" s="571"/>
    </row>
    <row r="714" customFormat="false" ht="15" hidden="false" customHeight="false" outlineLevel="0" collapsed="false">
      <c r="A714" s="571"/>
      <c r="B714" s="608" t="s">
        <v>4128</v>
      </c>
      <c r="C714" s="633"/>
      <c r="D714" s="637"/>
      <c r="E714" s="633"/>
      <c r="F714" s="626"/>
      <c r="G714" s="631" t="n">
        <f aca="false">SUM(G709:G713)</f>
        <v>704</v>
      </c>
      <c r="H714" s="571"/>
    </row>
    <row r="715" customFormat="false" ht="30" hidden="false" customHeight="false" outlineLevel="0" collapsed="false">
      <c r="A715" s="571" t="s">
        <v>160</v>
      </c>
      <c r="B715" s="500" t="s">
        <v>4144</v>
      </c>
      <c r="C715" s="633" t="s">
        <v>4145</v>
      </c>
      <c r="D715" s="637" t="s">
        <v>4138</v>
      </c>
      <c r="E715" s="633" t="n">
        <v>0.03</v>
      </c>
      <c r="F715" s="626" t="n">
        <v>12500</v>
      </c>
      <c r="G715" s="636" t="n">
        <f aca="false">E715*F715</f>
        <v>375</v>
      </c>
      <c r="H715" s="606"/>
    </row>
    <row r="716" customFormat="false" ht="30" hidden="false" customHeight="false" outlineLevel="0" collapsed="false">
      <c r="A716" s="571"/>
      <c r="B716" s="500"/>
      <c r="C716" s="646" t="s">
        <v>4146</v>
      </c>
      <c r="D716" s="637" t="s">
        <v>4131</v>
      </c>
      <c r="E716" s="657" t="n">
        <v>0.03</v>
      </c>
      <c r="F716" s="626" t="n">
        <v>10000</v>
      </c>
      <c r="G716" s="636" t="n">
        <f aca="false">E716*F716</f>
        <v>300</v>
      </c>
      <c r="H716" s="606"/>
    </row>
    <row r="717" customFormat="false" ht="15" hidden="false" customHeight="false" outlineLevel="0" collapsed="false">
      <c r="A717" s="571"/>
      <c r="B717" s="500"/>
      <c r="C717" s="646" t="s">
        <v>4147</v>
      </c>
      <c r="D717" s="637" t="s">
        <v>4133</v>
      </c>
      <c r="E717" s="633" t="n">
        <v>0.01</v>
      </c>
      <c r="F717" s="626" t="n">
        <v>14039</v>
      </c>
      <c r="G717" s="636" t="n">
        <f aca="false">E717*F717</f>
        <v>140.39</v>
      </c>
      <c r="H717" s="571"/>
    </row>
    <row r="718" customFormat="false" ht="15" hidden="false" customHeight="false" outlineLevel="0" collapsed="false">
      <c r="A718" s="571"/>
      <c r="B718" s="608"/>
      <c r="C718" s="638" t="s">
        <v>4120</v>
      </c>
      <c r="D718" s="637" t="s">
        <v>4121</v>
      </c>
      <c r="E718" s="633" t="n">
        <v>0.02</v>
      </c>
      <c r="F718" s="639" t="n">
        <v>1500</v>
      </c>
      <c r="G718" s="636" t="n">
        <f aca="false">E718*F718</f>
        <v>30</v>
      </c>
      <c r="H718" s="571"/>
    </row>
    <row r="719" customFormat="false" ht="15" hidden="false" customHeight="false" outlineLevel="0" collapsed="false">
      <c r="A719" s="571"/>
      <c r="B719" s="500"/>
      <c r="C719" s="638" t="s">
        <v>4122</v>
      </c>
      <c r="D719" s="637" t="s">
        <v>4123</v>
      </c>
      <c r="E719" s="633" t="n">
        <v>0.01</v>
      </c>
      <c r="F719" s="626" t="n">
        <v>800</v>
      </c>
      <c r="G719" s="636" t="n">
        <f aca="false">E719*F719</f>
        <v>8</v>
      </c>
      <c r="H719" s="571"/>
    </row>
    <row r="720" customFormat="false" ht="15" hidden="false" customHeight="false" outlineLevel="0" collapsed="false">
      <c r="A720" s="571"/>
      <c r="B720" s="500"/>
      <c r="C720" s="633" t="s">
        <v>4124</v>
      </c>
      <c r="D720" s="637" t="s">
        <v>4125</v>
      </c>
      <c r="E720" s="633" t="n">
        <v>0.1</v>
      </c>
      <c r="F720" s="626" t="n">
        <v>120</v>
      </c>
      <c r="G720" s="636" t="n">
        <f aca="false">E720*F720</f>
        <v>12</v>
      </c>
      <c r="H720" s="571"/>
    </row>
    <row r="721" customFormat="false" ht="15" hidden="false" customHeight="false" outlineLevel="0" collapsed="false">
      <c r="A721" s="571"/>
      <c r="B721" s="500"/>
      <c r="C721" s="633" t="s">
        <v>4126</v>
      </c>
      <c r="D721" s="637" t="s">
        <v>4127</v>
      </c>
      <c r="E721" s="633" t="n">
        <v>0.02</v>
      </c>
      <c r="F721" s="626" t="n">
        <v>2700</v>
      </c>
      <c r="G721" s="636" t="n">
        <f aca="false">E721*F721</f>
        <v>54</v>
      </c>
      <c r="H721" s="571"/>
    </row>
    <row r="722" customFormat="false" ht="15" hidden="false" customHeight="false" outlineLevel="0" collapsed="false">
      <c r="A722" s="571"/>
      <c r="B722" s="608" t="s">
        <v>4128</v>
      </c>
      <c r="C722" s="629"/>
      <c r="D722" s="571"/>
      <c r="E722" s="629"/>
      <c r="F722" s="630"/>
      <c r="G722" s="640" t="n">
        <f aca="false">SUM(G715:G721)</f>
        <v>919.39</v>
      </c>
      <c r="H722" s="571"/>
    </row>
    <row r="723" customFormat="false" ht="15" hidden="false" customHeight="false" outlineLevel="0" collapsed="false">
      <c r="A723" s="571" t="s">
        <v>161</v>
      </c>
      <c r="B723" s="632" t="s">
        <v>2890</v>
      </c>
      <c r="C723" s="633" t="s">
        <v>4150</v>
      </c>
      <c r="D723" s="637" t="s">
        <v>4133</v>
      </c>
      <c r="E723" s="635" t="n">
        <v>0.005</v>
      </c>
      <c r="F723" s="626" t="n">
        <v>103.04</v>
      </c>
      <c r="G723" s="636" t="n">
        <f aca="false">E723*F723</f>
        <v>0.5152</v>
      </c>
      <c r="H723" s="571"/>
    </row>
    <row r="724" customFormat="false" ht="30" hidden="false" customHeight="false" outlineLevel="0" collapsed="false">
      <c r="A724" s="571"/>
      <c r="B724" s="500"/>
      <c r="C724" s="633" t="s">
        <v>4151</v>
      </c>
      <c r="D724" s="637" t="s">
        <v>4131</v>
      </c>
      <c r="E724" s="668" t="n">
        <v>0.08</v>
      </c>
      <c r="F724" s="626" t="n">
        <v>12000</v>
      </c>
      <c r="G724" s="636" t="n">
        <f aca="false">E724*F724</f>
        <v>960</v>
      </c>
      <c r="H724" s="571"/>
    </row>
    <row r="725" customFormat="false" ht="15" hidden="false" customHeight="false" outlineLevel="0" collapsed="false">
      <c r="A725" s="571"/>
      <c r="B725" s="500"/>
      <c r="C725" s="638" t="s">
        <v>4120</v>
      </c>
      <c r="D725" s="637" t="s">
        <v>4121</v>
      </c>
      <c r="E725" s="633" t="n">
        <v>0.02</v>
      </c>
      <c r="F725" s="639" t="n">
        <v>1500</v>
      </c>
      <c r="G725" s="636" t="n">
        <f aca="false">E725*F725</f>
        <v>30</v>
      </c>
      <c r="H725" s="571"/>
    </row>
    <row r="726" customFormat="false" ht="15" hidden="false" customHeight="false" outlineLevel="0" collapsed="false">
      <c r="A726" s="571"/>
      <c r="B726" s="500"/>
      <c r="C726" s="638" t="s">
        <v>4122</v>
      </c>
      <c r="D726" s="637" t="s">
        <v>4123</v>
      </c>
      <c r="E726" s="633" t="n">
        <v>0.0281</v>
      </c>
      <c r="F726" s="626" t="n">
        <v>800</v>
      </c>
      <c r="G726" s="636" t="n">
        <f aca="false">E726*F726</f>
        <v>22.48</v>
      </c>
      <c r="H726" s="571"/>
    </row>
    <row r="727" customFormat="false" ht="15" hidden="false" customHeight="false" outlineLevel="0" collapsed="false">
      <c r="A727" s="571"/>
      <c r="B727" s="500"/>
      <c r="C727" s="633" t="s">
        <v>4124</v>
      </c>
      <c r="D727" s="637" t="s">
        <v>4125</v>
      </c>
      <c r="E727" s="633" t="n">
        <v>0.01</v>
      </c>
      <c r="F727" s="626" t="n">
        <v>120</v>
      </c>
      <c r="G727" s="636" t="n">
        <f aca="false">E727*F727</f>
        <v>1.2</v>
      </c>
      <c r="H727" s="571"/>
    </row>
    <row r="728" customFormat="false" ht="15" hidden="false" customHeight="false" outlineLevel="0" collapsed="false">
      <c r="A728" s="571"/>
      <c r="B728" s="571"/>
      <c r="C728" s="633" t="s">
        <v>4126</v>
      </c>
      <c r="D728" s="637" t="s">
        <v>4127</v>
      </c>
      <c r="E728" s="633" t="n">
        <v>0.02</v>
      </c>
      <c r="F728" s="626" t="n">
        <v>2700</v>
      </c>
      <c r="G728" s="636" t="n">
        <f aca="false">E728*F728</f>
        <v>54</v>
      </c>
      <c r="H728" s="571"/>
    </row>
    <row r="729" customFormat="false" ht="15" hidden="false" customHeight="false" outlineLevel="0" collapsed="false">
      <c r="A729" s="571"/>
      <c r="B729" s="608" t="s">
        <v>4128</v>
      </c>
      <c r="C729" s="633"/>
      <c r="D729" s="637"/>
      <c r="E729" s="633"/>
      <c r="F729" s="626"/>
      <c r="G729" s="631" t="n">
        <f aca="false">SUM(G723:G728)</f>
        <v>1068.1952</v>
      </c>
      <c r="H729" s="571"/>
    </row>
    <row r="730" customFormat="false" ht="30" hidden="false" customHeight="false" outlineLevel="0" collapsed="false">
      <c r="A730" s="571" t="s">
        <v>163</v>
      </c>
      <c r="B730" s="632" t="s">
        <v>2891</v>
      </c>
      <c r="C730" s="633" t="s">
        <v>4152</v>
      </c>
      <c r="D730" s="637" t="s">
        <v>4141</v>
      </c>
      <c r="E730" s="633" t="s">
        <v>4200</v>
      </c>
      <c r="F730" s="626" t="n">
        <v>12000</v>
      </c>
      <c r="G730" s="636" t="n">
        <f aca="false">E730*F730</f>
        <v>600</v>
      </c>
      <c r="H730" s="606"/>
    </row>
    <row r="731" customFormat="false" ht="15" hidden="false" customHeight="false" outlineLevel="0" collapsed="false">
      <c r="A731" s="571"/>
      <c r="B731" s="500"/>
      <c r="C731" s="646" t="s">
        <v>4153</v>
      </c>
      <c r="D731" s="637" t="s">
        <v>4127</v>
      </c>
      <c r="E731" s="635" t="s">
        <v>4200</v>
      </c>
      <c r="F731" s="626" t="n">
        <v>5678</v>
      </c>
      <c r="G731" s="636" t="n">
        <f aca="false">E731*F731</f>
        <v>283.9</v>
      </c>
      <c r="H731" s="571"/>
    </row>
    <row r="732" customFormat="false" ht="15" hidden="false" customHeight="false" outlineLevel="0" collapsed="false">
      <c r="A732" s="571"/>
      <c r="B732" s="500"/>
      <c r="C732" s="646" t="s">
        <v>4154</v>
      </c>
      <c r="D732" s="637" t="s">
        <v>4127</v>
      </c>
      <c r="E732" s="635" t="n">
        <v>0.001</v>
      </c>
      <c r="F732" s="626" t="n">
        <v>10976</v>
      </c>
      <c r="G732" s="636" t="n">
        <f aca="false">E732*F732</f>
        <v>10.976</v>
      </c>
      <c r="H732" s="571"/>
    </row>
    <row r="733" customFormat="false" ht="15" hidden="false" customHeight="false" outlineLevel="0" collapsed="false">
      <c r="A733" s="571"/>
      <c r="B733" s="500"/>
      <c r="C733" s="646" t="s">
        <v>4155</v>
      </c>
      <c r="D733" s="637" t="s">
        <v>4127</v>
      </c>
      <c r="E733" s="635" t="n">
        <v>0.0001</v>
      </c>
      <c r="F733" s="641" t="n">
        <v>285000</v>
      </c>
      <c r="G733" s="636" t="n">
        <f aca="false">E733*F733</f>
        <v>28.5</v>
      </c>
      <c r="H733" s="571"/>
    </row>
    <row r="734" customFormat="false" ht="15" hidden="false" customHeight="false" outlineLevel="0" collapsed="false">
      <c r="A734" s="571"/>
      <c r="B734" s="500"/>
      <c r="C734" s="633" t="s">
        <v>4156</v>
      </c>
      <c r="D734" s="637" t="s">
        <v>4127</v>
      </c>
      <c r="E734" s="635" t="n">
        <v>0.01</v>
      </c>
      <c r="F734" s="626" t="n">
        <v>10976</v>
      </c>
      <c r="G734" s="636" t="n">
        <f aca="false">E734*F734</f>
        <v>109.76</v>
      </c>
      <c r="H734" s="571"/>
    </row>
    <row r="735" customFormat="false" ht="15" hidden="false" customHeight="false" outlineLevel="0" collapsed="false">
      <c r="A735" s="571"/>
      <c r="B735" s="500"/>
      <c r="C735" s="638" t="s">
        <v>4157</v>
      </c>
      <c r="D735" s="637" t="s">
        <v>4133</v>
      </c>
      <c r="E735" s="633" t="n">
        <v>0.0031</v>
      </c>
      <c r="F735" s="626" t="n">
        <v>5000</v>
      </c>
      <c r="G735" s="636" t="n">
        <f aca="false">E735*F735</f>
        <v>15.5</v>
      </c>
      <c r="H735" s="606"/>
    </row>
    <row r="736" customFormat="false" ht="15" hidden="false" customHeight="false" outlineLevel="0" collapsed="false">
      <c r="A736" s="571"/>
      <c r="B736" s="608"/>
      <c r="C736" s="638" t="s">
        <v>4158</v>
      </c>
      <c r="D736" s="637" t="s">
        <v>4133</v>
      </c>
      <c r="E736" s="633" t="n">
        <v>0.0011</v>
      </c>
      <c r="F736" s="626" t="n">
        <v>7000</v>
      </c>
      <c r="G736" s="636" t="n">
        <f aca="false">E736*F736</f>
        <v>7.7</v>
      </c>
      <c r="H736" s="571"/>
    </row>
    <row r="737" customFormat="false" ht="15" hidden="false" customHeight="false" outlineLevel="0" collapsed="false">
      <c r="A737" s="571"/>
      <c r="B737" s="500"/>
      <c r="C737" s="638" t="s">
        <v>4120</v>
      </c>
      <c r="D737" s="637" t="s">
        <v>4121</v>
      </c>
      <c r="E737" s="633" t="n">
        <v>0.02</v>
      </c>
      <c r="F737" s="639" t="n">
        <v>1500</v>
      </c>
      <c r="G737" s="636" t="n">
        <f aca="false">E737*F737</f>
        <v>30</v>
      </c>
      <c r="H737" s="571"/>
    </row>
    <row r="738" customFormat="false" ht="15" hidden="false" customHeight="false" outlineLevel="0" collapsed="false">
      <c r="A738" s="571"/>
      <c r="B738" s="500"/>
      <c r="C738" s="638" t="s">
        <v>4122</v>
      </c>
      <c r="D738" s="637" t="s">
        <v>4123</v>
      </c>
      <c r="E738" s="633" t="n">
        <v>0.029</v>
      </c>
      <c r="F738" s="626" t="n">
        <v>800</v>
      </c>
      <c r="G738" s="636" t="n">
        <f aca="false">E738*F738</f>
        <v>23.2</v>
      </c>
      <c r="H738" s="571"/>
    </row>
    <row r="739" customFormat="false" ht="15" hidden="false" customHeight="false" outlineLevel="0" collapsed="false">
      <c r="A739" s="571"/>
      <c r="B739" s="500"/>
      <c r="C739" s="633" t="s">
        <v>4124</v>
      </c>
      <c r="D739" s="637" t="s">
        <v>4125</v>
      </c>
      <c r="E739" s="633" t="n">
        <v>0.1</v>
      </c>
      <c r="F739" s="626" t="n">
        <v>120</v>
      </c>
      <c r="G739" s="636" t="n">
        <f aca="false">E739*F739</f>
        <v>12</v>
      </c>
      <c r="H739" s="571"/>
    </row>
    <row r="740" customFormat="false" ht="15" hidden="false" customHeight="false" outlineLevel="0" collapsed="false">
      <c r="A740" s="571"/>
      <c r="B740" s="500"/>
      <c r="C740" s="633" t="s">
        <v>4126</v>
      </c>
      <c r="D740" s="637" t="s">
        <v>4127</v>
      </c>
      <c r="E740" s="633" t="n">
        <v>0.02</v>
      </c>
      <c r="F740" s="626" t="n">
        <v>2700</v>
      </c>
      <c r="G740" s="636" t="n">
        <f aca="false">E740*F740</f>
        <v>54</v>
      </c>
      <c r="H740" s="571"/>
    </row>
    <row r="741" customFormat="false" ht="15" hidden="false" customHeight="false" outlineLevel="0" collapsed="false">
      <c r="A741" s="571"/>
      <c r="B741" s="608" t="s">
        <v>4128</v>
      </c>
      <c r="C741" s="640"/>
      <c r="D741" s="327"/>
      <c r="E741" s="640"/>
      <c r="F741" s="643"/>
      <c r="G741" s="640" t="n">
        <f aca="false">SUM(G730:G740)</f>
        <v>1175.536</v>
      </c>
      <c r="H741" s="571"/>
    </row>
    <row r="742" customFormat="false" ht="15" hidden="false" customHeight="false" outlineLevel="0" collapsed="false">
      <c r="A742" s="571" t="s">
        <v>165</v>
      </c>
      <c r="B742" s="632" t="s">
        <v>2892</v>
      </c>
      <c r="C742" s="646" t="s">
        <v>4153</v>
      </c>
      <c r="D742" s="637" t="s">
        <v>4133</v>
      </c>
      <c r="E742" s="635" t="n">
        <v>0.035</v>
      </c>
      <c r="F742" s="626" t="n">
        <v>5678</v>
      </c>
      <c r="G742" s="636" t="n">
        <f aca="false">E742*F742</f>
        <v>198.73</v>
      </c>
      <c r="H742" s="571"/>
    </row>
    <row r="743" customFormat="false" ht="15" hidden="false" customHeight="false" outlineLevel="0" collapsed="false">
      <c r="A743" s="571"/>
      <c r="B743" s="500"/>
      <c r="C743" s="629" t="s">
        <v>4159</v>
      </c>
      <c r="D743" s="637" t="s">
        <v>4133</v>
      </c>
      <c r="E743" s="635" t="s">
        <v>4358</v>
      </c>
      <c r="F743" s="626" t="s">
        <v>4160</v>
      </c>
      <c r="G743" s="636" t="n">
        <f aca="false">E743*F743</f>
        <v>992</v>
      </c>
      <c r="H743" s="606"/>
    </row>
    <row r="744" customFormat="false" ht="15" hidden="false" customHeight="false" outlineLevel="0" collapsed="false">
      <c r="A744" s="571"/>
      <c r="B744" s="500"/>
      <c r="C744" s="633" t="s">
        <v>4161</v>
      </c>
      <c r="D744" s="637" t="s">
        <v>4133</v>
      </c>
      <c r="E744" s="635" t="n">
        <v>0.01</v>
      </c>
      <c r="F744" s="626" t="n">
        <v>31360</v>
      </c>
      <c r="G744" s="636" t="n">
        <f aca="false">E744*F744</f>
        <v>313.6</v>
      </c>
      <c r="H744" s="571"/>
    </row>
    <row r="745" customFormat="false" ht="15" hidden="false" customHeight="false" outlineLevel="0" collapsed="false">
      <c r="A745" s="571"/>
      <c r="B745" s="500"/>
      <c r="C745" s="638" t="s">
        <v>4120</v>
      </c>
      <c r="D745" s="637" t="s">
        <v>4121</v>
      </c>
      <c r="E745" s="633" t="n">
        <v>0.02</v>
      </c>
      <c r="F745" s="639" t="n">
        <v>1500</v>
      </c>
      <c r="G745" s="636" t="n">
        <f aca="false">E745*F745</f>
        <v>30</v>
      </c>
      <c r="H745" s="571"/>
    </row>
    <row r="746" customFormat="false" ht="15" hidden="false" customHeight="false" outlineLevel="0" collapsed="false">
      <c r="A746" s="571"/>
      <c r="B746" s="500"/>
      <c r="C746" s="638" t="s">
        <v>4122</v>
      </c>
      <c r="D746" s="637" t="s">
        <v>4123</v>
      </c>
      <c r="E746" s="633" t="n">
        <v>0.029</v>
      </c>
      <c r="F746" s="626" t="n">
        <v>800</v>
      </c>
      <c r="G746" s="636" t="n">
        <f aca="false">E746*F746</f>
        <v>23.2</v>
      </c>
      <c r="H746" s="571"/>
    </row>
    <row r="747" customFormat="false" ht="15" hidden="false" customHeight="false" outlineLevel="0" collapsed="false">
      <c r="A747" s="571"/>
      <c r="B747" s="500"/>
      <c r="C747" s="633" t="s">
        <v>4124</v>
      </c>
      <c r="D747" s="637" t="s">
        <v>4125</v>
      </c>
      <c r="E747" s="633" t="n">
        <v>0.1</v>
      </c>
      <c r="F747" s="626" t="n">
        <v>120</v>
      </c>
      <c r="G747" s="636" t="n">
        <f aca="false">E747*F747</f>
        <v>12</v>
      </c>
      <c r="H747" s="571"/>
    </row>
    <row r="748" customFormat="false" ht="15" hidden="false" customHeight="false" outlineLevel="0" collapsed="false">
      <c r="A748" s="571"/>
      <c r="B748" s="500"/>
      <c r="C748" s="633" t="s">
        <v>4126</v>
      </c>
      <c r="D748" s="637" t="s">
        <v>4127</v>
      </c>
      <c r="E748" s="633" t="n">
        <v>0.02</v>
      </c>
      <c r="F748" s="626" t="n">
        <v>2700</v>
      </c>
      <c r="G748" s="636" t="n">
        <f aca="false">E748*F748</f>
        <v>54</v>
      </c>
      <c r="H748" s="571"/>
    </row>
    <row r="749" customFormat="false" ht="15" hidden="false" customHeight="false" outlineLevel="0" collapsed="false">
      <c r="A749" s="571"/>
      <c r="B749" s="608" t="s">
        <v>4128</v>
      </c>
      <c r="C749" s="640"/>
      <c r="D749" s="327"/>
      <c r="E749" s="640"/>
      <c r="F749" s="643"/>
      <c r="G749" s="640" t="n">
        <f aca="false">SUM(G742:G748)</f>
        <v>1623.53</v>
      </c>
      <c r="H749" s="571"/>
    </row>
    <row r="750" customFormat="false" ht="30" hidden="false" customHeight="false" outlineLevel="0" collapsed="false">
      <c r="A750" s="571" t="s">
        <v>166</v>
      </c>
      <c r="B750" s="632" t="s">
        <v>2893</v>
      </c>
      <c r="C750" s="633" t="s">
        <v>4162</v>
      </c>
      <c r="D750" s="637" t="s">
        <v>4133</v>
      </c>
      <c r="E750" s="635" t="n">
        <v>0.02</v>
      </c>
      <c r="F750" s="626" t="n">
        <v>8064</v>
      </c>
      <c r="G750" s="636" t="n">
        <f aca="false">E750*F750</f>
        <v>161.28</v>
      </c>
      <c r="H750" s="606"/>
    </row>
    <row r="751" customFormat="false" ht="15" hidden="false" customHeight="false" outlineLevel="0" collapsed="false">
      <c r="A751" s="571"/>
      <c r="B751" s="500"/>
      <c r="C751" s="633" t="s">
        <v>4147</v>
      </c>
      <c r="D751" s="637" t="s">
        <v>4133</v>
      </c>
      <c r="E751" s="635" t="n">
        <v>0.01</v>
      </c>
      <c r="F751" s="626" t="n">
        <v>14039</v>
      </c>
      <c r="G751" s="636" t="n">
        <f aca="false">E751*F751</f>
        <v>140.39</v>
      </c>
      <c r="H751" s="571"/>
    </row>
    <row r="752" customFormat="false" ht="15" hidden="false" customHeight="false" outlineLevel="0" collapsed="false">
      <c r="A752" s="571"/>
      <c r="B752" s="500"/>
      <c r="C752" s="638" t="s">
        <v>4163</v>
      </c>
      <c r="D752" s="571" t="s">
        <v>4138</v>
      </c>
      <c r="E752" s="629" t="s">
        <v>4200</v>
      </c>
      <c r="F752" s="626" t="n">
        <v>12000</v>
      </c>
      <c r="G752" s="636" t="n">
        <f aca="false">E752*F752</f>
        <v>600</v>
      </c>
      <c r="H752" s="606"/>
    </row>
    <row r="753" customFormat="false" ht="15" hidden="false" customHeight="false" outlineLevel="0" collapsed="false">
      <c r="A753" s="571"/>
      <c r="B753" s="500"/>
      <c r="C753" s="633" t="s">
        <v>4164</v>
      </c>
      <c r="D753" s="637" t="s">
        <v>4133</v>
      </c>
      <c r="E753" s="635" t="s">
        <v>4325</v>
      </c>
      <c r="F753" s="626" t="n">
        <v>15100</v>
      </c>
      <c r="G753" s="636" t="n">
        <f aca="false">E753*F753</f>
        <v>45.3</v>
      </c>
      <c r="H753" s="571"/>
    </row>
    <row r="754" customFormat="false" ht="15" hidden="false" customHeight="false" outlineLevel="0" collapsed="false">
      <c r="A754" s="571"/>
      <c r="B754" s="500"/>
      <c r="C754" s="633" t="s">
        <v>4165</v>
      </c>
      <c r="D754" s="637" t="s">
        <v>4133</v>
      </c>
      <c r="E754" s="635" t="n">
        <v>0.001</v>
      </c>
      <c r="F754" s="626" t="n">
        <v>5500</v>
      </c>
      <c r="G754" s="636" t="n">
        <f aca="false">E754*F754</f>
        <v>5.5</v>
      </c>
      <c r="H754" s="606"/>
    </row>
    <row r="755" customFormat="false" ht="15" hidden="false" customHeight="false" outlineLevel="0" collapsed="false">
      <c r="A755" s="571"/>
      <c r="B755" s="500"/>
      <c r="C755" s="633" t="s">
        <v>4166</v>
      </c>
      <c r="D755" s="637" t="s">
        <v>4133</v>
      </c>
      <c r="E755" s="635" t="n">
        <v>0.001</v>
      </c>
      <c r="F755" s="626" t="n">
        <v>87000</v>
      </c>
      <c r="G755" s="636" t="n">
        <f aca="false">E755*F755</f>
        <v>87</v>
      </c>
      <c r="H755" s="571"/>
    </row>
    <row r="756" customFormat="false" ht="15" hidden="false" customHeight="false" outlineLevel="0" collapsed="false">
      <c r="A756" s="571"/>
      <c r="B756" s="500"/>
      <c r="C756" s="638" t="s">
        <v>4120</v>
      </c>
      <c r="D756" s="637" t="s">
        <v>4121</v>
      </c>
      <c r="E756" s="633" t="n">
        <v>0.02</v>
      </c>
      <c r="F756" s="639" t="n">
        <v>1500</v>
      </c>
      <c r="G756" s="636" t="n">
        <f aca="false">E756*F756</f>
        <v>30</v>
      </c>
      <c r="H756" s="571"/>
    </row>
    <row r="757" customFormat="false" ht="15" hidden="false" customHeight="false" outlineLevel="0" collapsed="false">
      <c r="A757" s="571"/>
      <c r="B757" s="500"/>
      <c r="C757" s="638" t="s">
        <v>4122</v>
      </c>
      <c r="D757" s="637" t="s">
        <v>4123</v>
      </c>
      <c r="E757" s="633" t="n">
        <v>0.003</v>
      </c>
      <c r="F757" s="626" t="n">
        <v>800</v>
      </c>
      <c r="G757" s="636" t="n">
        <f aca="false">E757*F757</f>
        <v>2.4</v>
      </c>
      <c r="H757" s="571"/>
    </row>
    <row r="758" customFormat="false" ht="15" hidden="false" customHeight="false" outlineLevel="0" collapsed="false">
      <c r="A758" s="571"/>
      <c r="B758" s="500"/>
      <c r="C758" s="633" t="s">
        <v>4124</v>
      </c>
      <c r="D758" s="637" t="s">
        <v>4125</v>
      </c>
      <c r="E758" s="633" t="n">
        <v>0.1</v>
      </c>
      <c r="F758" s="626" t="n">
        <v>120</v>
      </c>
      <c r="G758" s="636" t="n">
        <f aca="false">E758*F758</f>
        <v>12</v>
      </c>
      <c r="H758" s="571"/>
    </row>
    <row r="759" customFormat="false" ht="15" hidden="false" customHeight="false" outlineLevel="0" collapsed="false">
      <c r="A759" s="571"/>
      <c r="B759" s="500"/>
      <c r="C759" s="633" t="s">
        <v>4126</v>
      </c>
      <c r="D759" s="637" t="s">
        <v>4127</v>
      </c>
      <c r="E759" s="633" t="n">
        <v>0.02</v>
      </c>
      <c r="F759" s="626" t="n">
        <v>2700</v>
      </c>
      <c r="G759" s="636" t="n">
        <f aca="false">E759*F759</f>
        <v>54</v>
      </c>
      <c r="H759" s="571"/>
    </row>
    <row r="760" customFormat="false" ht="15" hidden="false" customHeight="false" outlineLevel="0" collapsed="false">
      <c r="A760" s="571"/>
      <c r="B760" s="608" t="s">
        <v>4128</v>
      </c>
      <c r="C760" s="633"/>
      <c r="D760" s="637"/>
      <c r="E760" s="633"/>
      <c r="F760" s="626"/>
      <c r="G760" s="631" t="n">
        <f aca="false">SUM(G750:G759)</f>
        <v>1137.87</v>
      </c>
      <c r="H760" s="571"/>
    </row>
    <row r="761" customFormat="false" ht="15" hidden="false" customHeight="false" outlineLevel="0" collapsed="false">
      <c r="A761" s="571" t="s">
        <v>167</v>
      </c>
      <c r="B761" s="632" t="s">
        <v>2894</v>
      </c>
      <c r="C761" s="633" t="s">
        <v>4167</v>
      </c>
      <c r="D761" s="637" t="s">
        <v>4133</v>
      </c>
      <c r="E761" s="635" t="n">
        <v>0.03</v>
      </c>
      <c r="F761" s="607" t="n">
        <v>5500</v>
      </c>
      <c r="G761" s="636" t="n">
        <f aca="false">E51907*F51907</f>
        <v>0</v>
      </c>
      <c r="H761" s="606"/>
    </row>
    <row r="762" customFormat="false" ht="15" hidden="false" customHeight="false" outlineLevel="0" collapsed="false">
      <c r="A762" s="571"/>
      <c r="B762" s="500"/>
      <c r="C762" s="638" t="s">
        <v>4168</v>
      </c>
      <c r="D762" s="637" t="s">
        <v>4133</v>
      </c>
      <c r="E762" s="635" t="n">
        <v>0.01</v>
      </c>
      <c r="F762" s="626" t="n">
        <v>10976</v>
      </c>
      <c r="G762" s="636" t="n">
        <f aca="false">E762*F762</f>
        <v>109.76</v>
      </c>
      <c r="H762" s="571"/>
    </row>
    <row r="763" customFormat="false" ht="15" hidden="false" customHeight="false" outlineLevel="0" collapsed="false">
      <c r="A763" s="571"/>
      <c r="B763" s="500"/>
      <c r="C763" s="638" t="s">
        <v>4169</v>
      </c>
      <c r="D763" s="571" t="s">
        <v>4138</v>
      </c>
      <c r="E763" s="629" t="n">
        <v>0.1</v>
      </c>
      <c r="F763" s="626" t="n">
        <v>1500</v>
      </c>
      <c r="G763" s="636" t="n">
        <f aca="false">E763*F763</f>
        <v>150</v>
      </c>
      <c r="H763" s="606"/>
    </row>
    <row r="764" customFormat="false" ht="15" hidden="false" customHeight="false" outlineLevel="0" collapsed="false">
      <c r="A764" s="571"/>
      <c r="B764" s="500"/>
      <c r="C764" s="638" t="s">
        <v>4170</v>
      </c>
      <c r="D764" s="637" t="s">
        <v>4133</v>
      </c>
      <c r="E764" s="635" t="n">
        <v>0.01</v>
      </c>
      <c r="F764" s="626" t="n">
        <v>18900</v>
      </c>
      <c r="G764" s="636" t="n">
        <f aca="false">E764*F764</f>
        <v>189</v>
      </c>
      <c r="H764" s="606"/>
    </row>
    <row r="765" customFormat="false" ht="15" hidden="false" customHeight="false" outlineLevel="0" collapsed="false">
      <c r="A765" s="571"/>
      <c r="B765" s="500"/>
      <c r="C765" s="638" t="s">
        <v>4171</v>
      </c>
      <c r="D765" s="637" t="s">
        <v>4133</v>
      </c>
      <c r="E765" s="635" t="n">
        <v>0.01</v>
      </c>
      <c r="F765" s="626" t="n">
        <v>18000</v>
      </c>
      <c r="G765" s="636" t="n">
        <f aca="false">E765*F765</f>
        <v>180</v>
      </c>
      <c r="H765" s="571"/>
    </row>
    <row r="766" customFormat="false" ht="15" hidden="false" customHeight="false" outlineLevel="0" collapsed="false">
      <c r="A766" s="571"/>
      <c r="B766" s="500"/>
      <c r="C766" s="638" t="s">
        <v>4120</v>
      </c>
      <c r="D766" s="637" t="s">
        <v>4121</v>
      </c>
      <c r="E766" s="633" t="n">
        <v>0.03</v>
      </c>
      <c r="F766" s="639" t="n">
        <v>1500</v>
      </c>
      <c r="G766" s="636" t="n">
        <f aca="false">E766*F766</f>
        <v>45</v>
      </c>
      <c r="H766" s="571"/>
    </row>
    <row r="767" customFormat="false" ht="15" hidden="false" customHeight="false" outlineLevel="0" collapsed="false">
      <c r="A767" s="571"/>
      <c r="B767" s="500"/>
      <c r="C767" s="638" t="s">
        <v>4122</v>
      </c>
      <c r="D767" s="637" t="s">
        <v>4123</v>
      </c>
      <c r="E767" s="633" t="n">
        <v>0.042</v>
      </c>
      <c r="F767" s="626" t="n">
        <v>800</v>
      </c>
      <c r="G767" s="636" t="n">
        <f aca="false">E767*F767</f>
        <v>33.6</v>
      </c>
      <c r="H767" s="571"/>
    </row>
    <row r="768" customFormat="false" ht="15" hidden="false" customHeight="false" outlineLevel="0" collapsed="false">
      <c r="A768" s="571"/>
      <c r="B768" s="500"/>
      <c r="C768" s="633" t="s">
        <v>4124</v>
      </c>
      <c r="D768" s="637" t="s">
        <v>4125</v>
      </c>
      <c r="E768" s="633" t="n">
        <v>0.1</v>
      </c>
      <c r="F768" s="626" t="n">
        <v>120</v>
      </c>
      <c r="G768" s="636" t="n">
        <f aca="false">E768*F768</f>
        <v>12</v>
      </c>
      <c r="H768" s="571"/>
    </row>
    <row r="769" customFormat="false" ht="15" hidden="false" customHeight="false" outlineLevel="0" collapsed="false">
      <c r="A769" s="571"/>
      <c r="B769" s="500"/>
      <c r="C769" s="633" t="s">
        <v>4126</v>
      </c>
      <c r="D769" s="637" t="s">
        <v>4127</v>
      </c>
      <c r="E769" s="633" t="n">
        <v>0.021</v>
      </c>
      <c r="F769" s="626" t="n">
        <v>2700</v>
      </c>
      <c r="G769" s="636" t="n">
        <f aca="false">E769*F769</f>
        <v>56.7</v>
      </c>
      <c r="H769" s="571"/>
    </row>
    <row r="770" customFormat="false" ht="15" hidden="false" customHeight="false" outlineLevel="0" collapsed="false">
      <c r="A770" s="571"/>
      <c r="B770" s="608" t="s">
        <v>4128</v>
      </c>
      <c r="C770" s="629"/>
      <c r="D770" s="571"/>
      <c r="E770" s="629"/>
      <c r="F770" s="630"/>
      <c r="G770" s="640" t="n">
        <f aca="false">SUM(G761:G769)</f>
        <v>776.06</v>
      </c>
      <c r="H770" s="571"/>
    </row>
    <row r="771" customFormat="false" ht="30" hidden="false" customHeight="false" outlineLevel="0" collapsed="false">
      <c r="A771" s="571" t="s">
        <v>168</v>
      </c>
      <c r="B771" s="632" t="s">
        <v>2895</v>
      </c>
      <c r="C771" s="633" t="s">
        <v>4162</v>
      </c>
      <c r="D771" s="637" t="s">
        <v>4133</v>
      </c>
      <c r="E771" s="635" t="n">
        <v>0.01</v>
      </c>
      <c r="F771" s="626" t="n">
        <v>8064</v>
      </c>
      <c r="G771" s="636" t="n">
        <f aca="false">E771*F771</f>
        <v>80.64</v>
      </c>
      <c r="H771" s="606"/>
    </row>
    <row r="772" customFormat="false" ht="15" hidden="false" customHeight="false" outlineLevel="0" collapsed="false">
      <c r="A772" s="571"/>
      <c r="B772" s="500"/>
      <c r="C772" s="633" t="s">
        <v>4172</v>
      </c>
      <c r="D772" s="571" t="s">
        <v>4138</v>
      </c>
      <c r="E772" s="629" t="n">
        <v>0.1</v>
      </c>
      <c r="F772" s="626" t="n">
        <v>1500</v>
      </c>
      <c r="G772" s="636" t="n">
        <f aca="false">E772*F772</f>
        <v>150</v>
      </c>
      <c r="H772" s="571"/>
    </row>
    <row r="773" customFormat="false" ht="15" hidden="false" customHeight="false" outlineLevel="0" collapsed="false">
      <c r="A773" s="571"/>
      <c r="B773" s="608"/>
      <c r="C773" s="633" t="s">
        <v>4173</v>
      </c>
      <c r="D773" s="634" t="s">
        <v>4133</v>
      </c>
      <c r="E773" s="635" t="s">
        <v>4213</v>
      </c>
      <c r="F773" s="626" t="n">
        <v>4895</v>
      </c>
      <c r="G773" s="636" t="n">
        <f aca="false">E773*F773</f>
        <v>24.475</v>
      </c>
      <c r="H773" s="606"/>
    </row>
    <row r="774" customFormat="false" ht="15" hidden="false" customHeight="false" outlineLevel="0" collapsed="false">
      <c r="A774" s="571"/>
      <c r="B774" s="500"/>
      <c r="C774" s="633" t="s">
        <v>4156</v>
      </c>
      <c r="D774" s="634" t="s">
        <v>4133</v>
      </c>
      <c r="E774" s="635" t="s">
        <v>4267</v>
      </c>
      <c r="F774" s="626" t="n">
        <v>10976</v>
      </c>
      <c r="G774" s="636" t="n">
        <f aca="false">E774*F774</f>
        <v>219.52</v>
      </c>
      <c r="H774" s="571"/>
    </row>
    <row r="775" customFormat="false" ht="15" hidden="false" customHeight="false" outlineLevel="0" collapsed="false">
      <c r="A775" s="571"/>
      <c r="B775" s="500"/>
      <c r="C775" s="633" t="s">
        <v>4174</v>
      </c>
      <c r="D775" s="634" t="s">
        <v>4133</v>
      </c>
      <c r="E775" s="633" t="s">
        <v>4195</v>
      </c>
      <c r="F775" s="626" t="n">
        <v>81000</v>
      </c>
      <c r="G775" s="636" t="n">
        <f aca="false">E775*F775</f>
        <v>24.3</v>
      </c>
      <c r="H775" s="606"/>
    </row>
    <row r="776" customFormat="false" ht="15" hidden="false" customHeight="false" outlineLevel="0" collapsed="false">
      <c r="A776" s="571"/>
      <c r="B776" s="500"/>
      <c r="C776" s="633" t="s">
        <v>4153</v>
      </c>
      <c r="D776" s="637" t="s">
        <v>4133</v>
      </c>
      <c r="E776" s="633" t="n">
        <v>0.0001</v>
      </c>
      <c r="F776" s="626" t="n">
        <v>5678</v>
      </c>
      <c r="G776" s="636" t="n">
        <f aca="false">E776*F776</f>
        <v>0.5678</v>
      </c>
      <c r="H776" s="571"/>
    </row>
    <row r="777" customFormat="false" ht="15" hidden="false" customHeight="false" outlineLevel="0" collapsed="false">
      <c r="A777" s="571"/>
      <c r="B777" s="500"/>
      <c r="C777" s="638" t="s">
        <v>4120</v>
      </c>
      <c r="D777" s="637" t="s">
        <v>4121</v>
      </c>
      <c r="E777" s="633" t="n">
        <v>0.03</v>
      </c>
      <c r="F777" s="639" t="n">
        <v>1500</v>
      </c>
      <c r="G777" s="636" t="n">
        <f aca="false">E777*F777</f>
        <v>45</v>
      </c>
      <c r="H777" s="571"/>
    </row>
    <row r="778" customFormat="false" ht="15" hidden="false" customHeight="false" outlineLevel="0" collapsed="false">
      <c r="A778" s="571"/>
      <c r="B778" s="500"/>
      <c r="C778" s="638" t="s">
        <v>4122</v>
      </c>
      <c r="D778" s="637" t="s">
        <v>4123</v>
      </c>
      <c r="E778" s="633" t="n">
        <v>0.0003</v>
      </c>
      <c r="F778" s="626" t="n">
        <v>800</v>
      </c>
      <c r="G778" s="636" t="n">
        <f aca="false">E778*F778</f>
        <v>0.24</v>
      </c>
      <c r="H778" s="571"/>
    </row>
    <row r="779" customFormat="false" ht="15" hidden="false" customHeight="false" outlineLevel="0" collapsed="false">
      <c r="A779" s="571"/>
      <c r="B779" s="500"/>
      <c r="C779" s="633" t="s">
        <v>4124</v>
      </c>
      <c r="D779" s="637" t="s">
        <v>4125</v>
      </c>
      <c r="E779" s="633" t="n">
        <v>0.0029</v>
      </c>
      <c r="F779" s="626" t="n">
        <v>120</v>
      </c>
      <c r="G779" s="636" t="n">
        <f aca="false">E779*F779</f>
        <v>0.348</v>
      </c>
      <c r="H779" s="571"/>
    </row>
    <row r="780" customFormat="false" ht="15" hidden="false" customHeight="false" outlineLevel="0" collapsed="false">
      <c r="A780" s="571"/>
      <c r="B780" s="500"/>
      <c r="C780" s="633" t="s">
        <v>4126</v>
      </c>
      <c r="D780" s="637" t="s">
        <v>4127</v>
      </c>
      <c r="E780" s="633" t="n">
        <v>0.021</v>
      </c>
      <c r="F780" s="626" t="n">
        <v>2700</v>
      </c>
      <c r="G780" s="636" t="n">
        <f aca="false">E780*F780</f>
        <v>56.7</v>
      </c>
      <c r="H780" s="571"/>
    </row>
    <row r="781" customFormat="false" ht="15" hidden="false" customHeight="false" outlineLevel="0" collapsed="false">
      <c r="A781" s="571"/>
      <c r="B781" s="608" t="s">
        <v>4128</v>
      </c>
      <c r="C781" s="629"/>
      <c r="D781" s="571"/>
      <c r="E781" s="629"/>
      <c r="F781" s="630"/>
      <c r="G781" s="640" t="n">
        <f aca="false">SUM(G771:G780)</f>
        <v>601.7908</v>
      </c>
      <c r="H781" s="571"/>
    </row>
    <row r="782" customFormat="false" ht="15" hidden="false" customHeight="false" outlineLevel="0" collapsed="false">
      <c r="A782" s="571" t="s">
        <v>169</v>
      </c>
      <c r="B782" s="632" t="s">
        <v>2896</v>
      </c>
      <c r="C782" s="629" t="s">
        <v>4175</v>
      </c>
      <c r="D782" s="571" t="s">
        <v>4359</v>
      </c>
      <c r="E782" s="629" t="s">
        <v>4360</v>
      </c>
      <c r="F782" s="630" t="n">
        <v>15680</v>
      </c>
      <c r="G782" s="636" t="n">
        <f aca="false">E782*F782</f>
        <v>235.2</v>
      </c>
      <c r="H782" s="571"/>
    </row>
    <row r="783" customFormat="false" ht="15" hidden="false" customHeight="false" outlineLevel="0" collapsed="false">
      <c r="A783" s="571"/>
      <c r="B783" s="500"/>
      <c r="C783" s="629" t="s">
        <v>4178</v>
      </c>
      <c r="D783" s="571" t="s">
        <v>4133</v>
      </c>
      <c r="E783" s="629" t="s">
        <v>4186</v>
      </c>
      <c r="F783" s="630" t="n">
        <v>31360</v>
      </c>
      <c r="G783" s="636" t="n">
        <f aca="false">E783*F783</f>
        <v>313.6</v>
      </c>
      <c r="H783" s="571"/>
    </row>
    <row r="784" customFormat="false" ht="15" hidden="false" customHeight="false" outlineLevel="0" collapsed="false">
      <c r="A784" s="571"/>
      <c r="B784" s="500"/>
      <c r="C784" s="638" t="s">
        <v>4120</v>
      </c>
      <c r="D784" s="637" t="s">
        <v>4121</v>
      </c>
      <c r="E784" s="629" t="s">
        <v>4267</v>
      </c>
      <c r="F784" s="639" t="n">
        <v>1500</v>
      </c>
      <c r="G784" s="636" t="n">
        <f aca="false">E784*F784</f>
        <v>30</v>
      </c>
      <c r="H784" s="571"/>
    </row>
    <row r="785" customFormat="false" ht="15" hidden="false" customHeight="false" outlineLevel="0" collapsed="false">
      <c r="A785" s="571"/>
      <c r="B785" s="500"/>
      <c r="C785" s="638" t="s">
        <v>4122</v>
      </c>
      <c r="D785" s="637" t="s">
        <v>4123</v>
      </c>
      <c r="E785" s="633" t="n">
        <v>0.055</v>
      </c>
      <c r="F785" s="626" t="n">
        <v>800</v>
      </c>
      <c r="G785" s="636" t="n">
        <f aca="false">E785*F785</f>
        <v>44</v>
      </c>
      <c r="H785" s="571"/>
    </row>
    <row r="786" customFormat="false" ht="15" hidden="false" customHeight="false" outlineLevel="0" collapsed="false">
      <c r="A786" s="571"/>
      <c r="B786" s="500"/>
      <c r="C786" s="633" t="s">
        <v>4124</v>
      </c>
      <c r="D786" s="637" t="s">
        <v>4125</v>
      </c>
      <c r="E786" s="633" t="n">
        <v>0.71</v>
      </c>
      <c r="F786" s="626" t="n">
        <v>120</v>
      </c>
      <c r="G786" s="636" t="n">
        <f aca="false">E786*F786</f>
        <v>85.2</v>
      </c>
      <c r="H786" s="571"/>
    </row>
    <row r="787" customFormat="false" ht="15" hidden="false" customHeight="false" outlineLevel="0" collapsed="false">
      <c r="A787" s="571"/>
      <c r="B787" s="500"/>
      <c r="C787" s="633" t="s">
        <v>4126</v>
      </c>
      <c r="D787" s="637" t="s">
        <v>4127</v>
      </c>
      <c r="E787" s="633" t="n">
        <v>0.021</v>
      </c>
      <c r="F787" s="626" t="n">
        <v>2700</v>
      </c>
      <c r="G787" s="636" t="n">
        <f aca="false">E787*F787</f>
        <v>56.7</v>
      </c>
      <c r="H787" s="571"/>
    </row>
    <row r="788" customFormat="false" ht="15" hidden="false" customHeight="false" outlineLevel="0" collapsed="false">
      <c r="A788" s="571"/>
      <c r="B788" s="608" t="s">
        <v>4128</v>
      </c>
      <c r="C788" s="629"/>
      <c r="D788" s="571"/>
      <c r="E788" s="629"/>
      <c r="F788" s="630"/>
      <c r="G788" s="640" t="n">
        <f aca="false">SUM(G782:G787)</f>
        <v>764.7</v>
      </c>
      <c r="H788" s="571"/>
    </row>
    <row r="789" customFormat="false" ht="15" hidden="false" customHeight="false" outlineLevel="0" collapsed="false">
      <c r="A789" s="571" t="s">
        <v>171</v>
      </c>
      <c r="B789" s="632" t="s">
        <v>2897</v>
      </c>
      <c r="C789" s="633" t="s">
        <v>4179</v>
      </c>
      <c r="D789" s="637" t="s">
        <v>4133</v>
      </c>
      <c r="E789" s="635" t="s">
        <v>4198</v>
      </c>
      <c r="F789" s="626" t="n">
        <v>920000</v>
      </c>
      <c r="G789" s="636" t="n">
        <f aca="false">E789*F789</f>
        <v>460</v>
      </c>
      <c r="H789" s="571"/>
    </row>
    <row r="790" customFormat="false" ht="15" hidden="false" customHeight="false" outlineLevel="0" collapsed="false">
      <c r="A790" s="571"/>
      <c r="B790" s="500"/>
      <c r="C790" s="633" t="s">
        <v>4181</v>
      </c>
      <c r="D790" s="637" t="s">
        <v>4133</v>
      </c>
      <c r="E790" s="635" t="n">
        <v>0.002</v>
      </c>
      <c r="F790" s="626" t="n">
        <v>9000</v>
      </c>
      <c r="G790" s="636" t="n">
        <f aca="false">E790*F790</f>
        <v>18</v>
      </c>
      <c r="H790" s="571"/>
    </row>
    <row r="791" customFormat="false" ht="30" hidden="false" customHeight="false" outlineLevel="0" collapsed="false">
      <c r="A791" s="571"/>
      <c r="B791" s="500"/>
      <c r="C791" s="633" t="s">
        <v>4182</v>
      </c>
      <c r="D791" s="637" t="s">
        <v>4133</v>
      </c>
      <c r="E791" s="635" t="n">
        <v>0.002</v>
      </c>
      <c r="F791" s="626" t="n">
        <v>7500</v>
      </c>
      <c r="G791" s="636" t="n">
        <f aca="false">E791*F791</f>
        <v>15</v>
      </c>
      <c r="H791" s="606"/>
    </row>
    <row r="792" customFormat="false" ht="15" hidden="false" customHeight="false" outlineLevel="0" collapsed="false">
      <c r="A792" s="571"/>
      <c r="B792" s="500"/>
      <c r="C792" s="638" t="s">
        <v>4171</v>
      </c>
      <c r="D792" s="637" t="s">
        <v>4133</v>
      </c>
      <c r="E792" s="635" t="n">
        <v>0.003</v>
      </c>
      <c r="F792" s="626" t="n">
        <v>18000</v>
      </c>
      <c r="G792" s="636" t="n">
        <f aca="false">E792*F792</f>
        <v>54</v>
      </c>
      <c r="H792" s="571"/>
    </row>
    <row r="793" customFormat="false" ht="15" hidden="false" customHeight="false" outlineLevel="0" collapsed="false">
      <c r="A793" s="571"/>
      <c r="B793" s="500"/>
      <c r="C793" s="633" t="s">
        <v>4183</v>
      </c>
      <c r="D793" s="637" t="s">
        <v>4133</v>
      </c>
      <c r="E793" s="635" t="n">
        <v>0.001</v>
      </c>
      <c r="F793" s="626" t="n">
        <v>15100</v>
      </c>
      <c r="G793" s="636" t="n">
        <f aca="false">E793*F793</f>
        <v>15.1</v>
      </c>
      <c r="H793" s="571"/>
    </row>
    <row r="794" customFormat="false" ht="15" hidden="false" customHeight="false" outlineLevel="0" collapsed="false">
      <c r="A794" s="571"/>
      <c r="B794" s="500"/>
      <c r="C794" s="633" t="s">
        <v>4184</v>
      </c>
      <c r="D794" s="637" t="s">
        <v>4133</v>
      </c>
      <c r="E794" s="635" t="n">
        <v>0.002</v>
      </c>
      <c r="F794" s="626" t="n">
        <v>10000</v>
      </c>
      <c r="G794" s="636" t="n">
        <f aca="false">E794*F794</f>
        <v>20</v>
      </c>
      <c r="H794" s="606"/>
    </row>
    <row r="795" customFormat="false" ht="30" hidden="false" customHeight="false" outlineLevel="0" collapsed="false">
      <c r="A795" s="571"/>
      <c r="B795" s="500"/>
      <c r="C795" s="633" t="s">
        <v>4185</v>
      </c>
      <c r="D795" s="571" t="s">
        <v>4131</v>
      </c>
      <c r="E795" s="635" t="s">
        <v>4267</v>
      </c>
      <c r="F795" s="626" t="n">
        <v>12000</v>
      </c>
      <c r="G795" s="636" t="n">
        <f aca="false">E795*F795</f>
        <v>240</v>
      </c>
      <c r="H795" s="571"/>
    </row>
    <row r="796" customFormat="false" ht="30" hidden="false" customHeight="false" outlineLevel="0" collapsed="false">
      <c r="A796" s="571"/>
      <c r="B796" s="500"/>
      <c r="C796" s="633" t="s">
        <v>4361</v>
      </c>
      <c r="D796" s="571" t="s">
        <v>4131</v>
      </c>
      <c r="E796" s="635" t="s">
        <v>4267</v>
      </c>
      <c r="F796" s="626" t="n">
        <v>12000</v>
      </c>
      <c r="G796" s="636" t="n">
        <f aca="false">E796*F796</f>
        <v>240</v>
      </c>
      <c r="H796" s="606"/>
    </row>
    <row r="797" customFormat="false" ht="15" hidden="false" customHeight="false" outlineLevel="0" collapsed="false">
      <c r="A797" s="571"/>
      <c r="B797" s="608"/>
      <c r="C797" s="633" t="s">
        <v>4187</v>
      </c>
      <c r="D797" s="571" t="s">
        <v>4138</v>
      </c>
      <c r="E797" s="629" t="s">
        <v>4267</v>
      </c>
      <c r="F797" s="641" t="n">
        <v>14000</v>
      </c>
      <c r="G797" s="636" t="n">
        <f aca="false">E797*F797</f>
        <v>280</v>
      </c>
      <c r="H797" s="606"/>
    </row>
    <row r="798" customFormat="false" ht="15" hidden="false" customHeight="false" outlineLevel="0" collapsed="false">
      <c r="A798" s="571"/>
      <c r="B798" s="608"/>
      <c r="C798" s="638" t="s">
        <v>4120</v>
      </c>
      <c r="D798" s="637" t="s">
        <v>4121</v>
      </c>
      <c r="E798" s="633" t="n">
        <v>0.02</v>
      </c>
      <c r="F798" s="639" t="n">
        <v>1500</v>
      </c>
      <c r="G798" s="636" t="n">
        <f aca="false">E798*F798</f>
        <v>30</v>
      </c>
      <c r="H798" s="571"/>
    </row>
    <row r="799" customFormat="false" ht="15" hidden="false" customHeight="false" outlineLevel="0" collapsed="false">
      <c r="A799" s="571"/>
      <c r="B799" s="500"/>
      <c r="C799" s="638" t="s">
        <v>4122</v>
      </c>
      <c r="D799" s="637" t="s">
        <v>4123</v>
      </c>
      <c r="E799" s="633" t="n">
        <v>0.01</v>
      </c>
      <c r="F799" s="626" t="n">
        <v>800</v>
      </c>
      <c r="G799" s="636" t="n">
        <f aca="false">E799*F799</f>
        <v>8</v>
      </c>
      <c r="H799" s="571"/>
    </row>
    <row r="800" customFormat="false" ht="15" hidden="false" customHeight="false" outlineLevel="0" collapsed="false">
      <c r="A800" s="571"/>
      <c r="B800" s="500"/>
      <c r="C800" s="638"/>
      <c r="D800" s="637"/>
      <c r="E800" s="633"/>
      <c r="F800" s="626"/>
      <c r="G800" s="636"/>
      <c r="H800" s="571"/>
    </row>
    <row r="801" customFormat="false" ht="15" hidden="false" customHeight="false" outlineLevel="0" collapsed="false">
      <c r="A801" s="571"/>
      <c r="B801" s="500"/>
      <c r="C801" s="633" t="s">
        <v>4124</v>
      </c>
      <c r="D801" s="637" t="s">
        <v>4125</v>
      </c>
      <c r="E801" s="633" t="n">
        <v>0.1</v>
      </c>
      <c r="F801" s="626" t="n">
        <v>120</v>
      </c>
      <c r="G801" s="636" t="n">
        <f aca="false">E801*F801</f>
        <v>12</v>
      </c>
      <c r="H801" s="571"/>
    </row>
    <row r="802" customFormat="false" ht="15" hidden="false" customHeight="false" outlineLevel="0" collapsed="false">
      <c r="A802" s="571"/>
      <c r="B802" s="500"/>
      <c r="C802" s="633" t="s">
        <v>4126</v>
      </c>
      <c r="D802" s="637" t="s">
        <v>4127</v>
      </c>
      <c r="E802" s="633" t="n">
        <v>0.021</v>
      </c>
      <c r="F802" s="626" t="n">
        <v>2700</v>
      </c>
      <c r="G802" s="636" t="n">
        <f aca="false">E802*F802</f>
        <v>56.7</v>
      </c>
      <c r="H802" s="571"/>
    </row>
    <row r="803" customFormat="false" ht="15" hidden="false" customHeight="false" outlineLevel="0" collapsed="false">
      <c r="A803" s="571"/>
      <c r="B803" s="608" t="s">
        <v>4128</v>
      </c>
      <c r="C803" s="629"/>
      <c r="D803" s="571"/>
      <c r="E803" s="629"/>
      <c r="F803" s="630"/>
      <c r="G803" s="640" t="n">
        <f aca="false">SUM(G789:G802)</f>
        <v>1448.8</v>
      </c>
      <c r="H803" s="571"/>
    </row>
    <row r="804" customFormat="false" ht="15" hidden="false" customHeight="false" outlineLevel="0" collapsed="false">
      <c r="A804" s="571" t="s">
        <v>173</v>
      </c>
      <c r="B804" s="632" t="s">
        <v>2898</v>
      </c>
      <c r="C804" s="638" t="s">
        <v>4154</v>
      </c>
      <c r="D804" s="637" t="s">
        <v>4149</v>
      </c>
      <c r="E804" s="633" t="n">
        <v>0.001</v>
      </c>
      <c r="F804" s="639" t="n">
        <v>10976</v>
      </c>
      <c r="G804" s="636" t="n">
        <f aca="false">E804*F804</f>
        <v>10.976</v>
      </c>
      <c r="H804" s="571"/>
    </row>
    <row r="805" customFormat="false" ht="15" hidden="false" customHeight="false" outlineLevel="0" collapsed="false">
      <c r="A805" s="571"/>
      <c r="B805" s="500"/>
      <c r="C805" s="638" t="s">
        <v>4188</v>
      </c>
      <c r="D805" s="637" t="s">
        <v>4149</v>
      </c>
      <c r="E805" s="633" t="n">
        <v>0.01</v>
      </c>
      <c r="F805" s="626" t="n">
        <v>15100</v>
      </c>
      <c r="G805" s="636" t="n">
        <f aca="false">E805*F805</f>
        <v>151</v>
      </c>
      <c r="H805" s="571"/>
    </row>
    <row r="806" customFormat="false" ht="15" hidden="false" customHeight="false" outlineLevel="0" collapsed="false">
      <c r="A806" s="571"/>
      <c r="B806" s="500"/>
      <c r="C806" s="633" t="s">
        <v>4189</v>
      </c>
      <c r="D806" s="637" t="s">
        <v>4125</v>
      </c>
      <c r="E806" s="633" t="n">
        <v>0.01</v>
      </c>
      <c r="F806" s="626" t="n">
        <v>3600</v>
      </c>
      <c r="G806" s="636" t="n">
        <f aca="false">E806*F806</f>
        <v>36</v>
      </c>
      <c r="H806" s="571"/>
    </row>
    <row r="807" customFormat="false" ht="15" hidden="false" customHeight="false" outlineLevel="0" collapsed="false">
      <c r="A807" s="571"/>
      <c r="B807" s="500"/>
      <c r="C807" s="633" t="s">
        <v>4171</v>
      </c>
      <c r="D807" s="637" t="s">
        <v>4127</v>
      </c>
      <c r="E807" s="633" t="n">
        <v>0.021</v>
      </c>
      <c r="F807" s="626" t="n">
        <v>18000</v>
      </c>
      <c r="G807" s="636" t="n">
        <f aca="false">E807*F807</f>
        <v>378</v>
      </c>
      <c r="H807" s="571"/>
    </row>
    <row r="808" customFormat="false" ht="15" hidden="false" customHeight="false" outlineLevel="0" collapsed="false">
      <c r="A808" s="571"/>
      <c r="B808" s="500"/>
      <c r="C808" s="633" t="s">
        <v>4190</v>
      </c>
      <c r="D808" s="637" t="s">
        <v>4191</v>
      </c>
      <c r="E808" s="633" t="n">
        <v>0.01</v>
      </c>
      <c r="F808" s="626" t="s">
        <v>4362</v>
      </c>
      <c r="G808" s="636" t="n">
        <f aca="false">E808*F808</f>
        <v>72</v>
      </c>
      <c r="H808" s="606"/>
    </row>
    <row r="809" customFormat="false" ht="15" hidden="false" customHeight="false" outlineLevel="0" collapsed="false">
      <c r="A809" s="571"/>
      <c r="B809" s="608" t="s">
        <v>4128</v>
      </c>
      <c r="C809" s="629"/>
      <c r="D809" s="571"/>
      <c r="E809" s="629"/>
      <c r="F809" s="630"/>
      <c r="G809" s="640" t="n">
        <f aca="false">SUM(G804:G808)</f>
        <v>647.976</v>
      </c>
      <c r="H809" s="571"/>
    </row>
    <row r="810" customFormat="false" ht="15" hidden="false" customHeight="false" outlineLevel="0" collapsed="false">
      <c r="A810" s="571" t="s">
        <v>174</v>
      </c>
      <c r="B810" s="632" t="s">
        <v>2899</v>
      </c>
      <c r="C810" s="633" t="s">
        <v>4154</v>
      </c>
      <c r="D810" s="637" t="s">
        <v>4133</v>
      </c>
      <c r="E810" s="635" t="n">
        <v>0.01</v>
      </c>
      <c r="F810" s="626" t="n">
        <v>10976</v>
      </c>
      <c r="G810" s="636" t="n">
        <f aca="false">E810*F810</f>
        <v>109.76</v>
      </c>
      <c r="H810" s="571"/>
    </row>
    <row r="811" customFormat="false" ht="15" hidden="false" customHeight="false" outlineLevel="0" collapsed="false">
      <c r="A811" s="571"/>
      <c r="B811" s="500"/>
      <c r="C811" s="633" t="s">
        <v>4192</v>
      </c>
      <c r="D811" s="637" t="s">
        <v>4133</v>
      </c>
      <c r="E811" s="635" t="n">
        <v>0.01</v>
      </c>
      <c r="F811" s="626" t="n">
        <v>14000</v>
      </c>
      <c r="G811" s="636" t="n">
        <f aca="false">E811*F811</f>
        <v>140</v>
      </c>
      <c r="H811" s="571"/>
    </row>
    <row r="812" customFormat="false" ht="15" hidden="false" customHeight="false" outlineLevel="0" collapsed="false">
      <c r="A812" s="571"/>
      <c r="B812" s="500"/>
      <c r="C812" s="633" t="s">
        <v>4193</v>
      </c>
      <c r="D812" s="637" t="s">
        <v>4133</v>
      </c>
      <c r="E812" s="635" t="s">
        <v>4180</v>
      </c>
      <c r="F812" s="626" t="s">
        <v>4363</v>
      </c>
      <c r="G812" s="636" t="n">
        <f aca="false">E812*F812</f>
        <v>280</v>
      </c>
      <c r="H812" s="606"/>
    </row>
    <row r="813" customFormat="false" ht="30" hidden="false" customHeight="false" outlineLevel="0" collapsed="false">
      <c r="A813" s="571"/>
      <c r="B813" s="608"/>
      <c r="C813" s="633" t="s">
        <v>4152</v>
      </c>
      <c r="D813" s="637" t="s">
        <v>4131</v>
      </c>
      <c r="E813" s="633" t="s">
        <v>4213</v>
      </c>
      <c r="F813" s="626" t="n">
        <v>12000</v>
      </c>
      <c r="G813" s="636" t="n">
        <f aca="false">E813*F813</f>
        <v>60</v>
      </c>
      <c r="H813" s="606"/>
    </row>
    <row r="814" customFormat="false" ht="15" hidden="false" customHeight="false" outlineLevel="0" collapsed="false">
      <c r="A814" s="571"/>
      <c r="B814" s="500"/>
      <c r="C814" s="633" t="s">
        <v>4194</v>
      </c>
      <c r="D814" s="637" t="s">
        <v>4133</v>
      </c>
      <c r="E814" s="633" t="n">
        <v>0.001</v>
      </c>
      <c r="F814" s="626" t="n">
        <v>560000</v>
      </c>
      <c r="G814" s="636" t="n">
        <f aca="false">E814*F814</f>
        <v>560</v>
      </c>
      <c r="H814" s="606"/>
    </row>
    <row r="815" customFormat="false" ht="15" hidden="false" customHeight="false" outlineLevel="0" collapsed="false">
      <c r="A815" s="571"/>
      <c r="B815" s="500"/>
      <c r="C815" s="638" t="s">
        <v>4158</v>
      </c>
      <c r="D815" s="637" t="s">
        <v>4133</v>
      </c>
      <c r="E815" s="633" t="n">
        <v>0.001</v>
      </c>
      <c r="F815" s="626" t="n">
        <v>7000</v>
      </c>
      <c r="G815" s="636" t="n">
        <f aca="false">E815*F815</f>
        <v>7</v>
      </c>
      <c r="H815" s="571"/>
    </row>
    <row r="816" customFormat="false" ht="15" hidden="false" customHeight="false" outlineLevel="0" collapsed="false">
      <c r="A816" s="571"/>
      <c r="B816" s="500"/>
      <c r="C816" s="638" t="s">
        <v>4120</v>
      </c>
      <c r="D816" s="637" t="s">
        <v>4121</v>
      </c>
      <c r="E816" s="633" t="n">
        <v>0.02</v>
      </c>
      <c r="F816" s="639" t="n">
        <v>1500</v>
      </c>
      <c r="G816" s="636" t="n">
        <f aca="false">E816*F816</f>
        <v>30</v>
      </c>
      <c r="H816" s="571"/>
    </row>
    <row r="817" customFormat="false" ht="15" hidden="false" customHeight="false" outlineLevel="0" collapsed="false">
      <c r="A817" s="571"/>
      <c r="B817" s="500"/>
      <c r="C817" s="638" t="s">
        <v>4122</v>
      </c>
      <c r="D817" s="637" t="s">
        <v>4123</v>
      </c>
      <c r="E817" s="633" t="n">
        <v>0.01</v>
      </c>
      <c r="F817" s="626" t="n">
        <v>800</v>
      </c>
      <c r="G817" s="636" t="n">
        <f aca="false">E817*F817</f>
        <v>8</v>
      </c>
      <c r="H817" s="571"/>
    </row>
    <row r="818" customFormat="false" ht="15" hidden="false" customHeight="false" outlineLevel="0" collapsed="false">
      <c r="A818" s="571"/>
      <c r="B818" s="608" t="s">
        <v>4128</v>
      </c>
      <c r="C818" s="633"/>
      <c r="D818" s="637"/>
      <c r="E818" s="633"/>
      <c r="F818" s="626"/>
      <c r="G818" s="631" t="n">
        <f aca="false">SUM(G810:G817)</f>
        <v>1194.76</v>
      </c>
      <c r="H818" s="571"/>
    </row>
    <row r="819" customFormat="false" ht="15" hidden="false" customHeight="false" outlineLevel="0" collapsed="false">
      <c r="A819" s="571" t="s">
        <v>175</v>
      </c>
      <c r="B819" s="632" t="s">
        <v>2900</v>
      </c>
      <c r="C819" s="633" t="s">
        <v>4156</v>
      </c>
      <c r="D819" s="637" t="s">
        <v>4149</v>
      </c>
      <c r="E819" s="633" t="n">
        <v>0.01</v>
      </c>
      <c r="F819" s="626" t="n">
        <v>10976</v>
      </c>
      <c r="G819" s="636" t="n">
        <f aca="false">E819*F819</f>
        <v>109.76</v>
      </c>
      <c r="H819" s="571"/>
    </row>
    <row r="820" customFormat="false" ht="15" hidden="false" customHeight="false" outlineLevel="0" collapsed="false">
      <c r="A820" s="571"/>
      <c r="B820" s="500"/>
      <c r="C820" s="633" t="s">
        <v>4153</v>
      </c>
      <c r="D820" s="637" t="s">
        <v>4133</v>
      </c>
      <c r="E820" s="635" t="n">
        <v>0.01</v>
      </c>
      <c r="F820" s="626" t="n">
        <v>5678</v>
      </c>
      <c r="G820" s="636" t="n">
        <f aca="false">E820*F820</f>
        <v>56.78</v>
      </c>
      <c r="H820" s="571"/>
    </row>
    <row r="821" customFormat="false" ht="30" hidden="false" customHeight="false" outlineLevel="0" collapsed="false">
      <c r="A821" s="571"/>
      <c r="B821" s="500"/>
      <c r="C821" s="633" t="s">
        <v>4197</v>
      </c>
      <c r="D821" s="637" t="s">
        <v>4133</v>
      </c>
      <c r="E821" s="635" t="n">
        <v>0.002</v>
      </c>
      <c r="F821" s="641" t="n">
        <v>285000</v>
      </c>
      <c r="G821" s="636" t="n">
        <f aca="false">E821*F821</f>
        <v>570</v>
      </c>
      <c r="H821" s="571"/>
    </row>
    <row r="822" customFormat="false" ht="15" hidden="false" customHeight="false" outlineLevel="0" collapsed="false">
      <c r="A822" s="571"/>
      <c r="B822" s="500"/>
      <c r="C822" s="633" t="s">
        <v>4154</v>
      </c>
      <c r="D822" s="637" t="s">
        <v>4133</v>
      </c>
      <c r="E822" s="635" t="n">
        <v>0.02</v>
      </c>
      <c r="F822" s="626" t="n">
        <v>10976</v>
      </c>
      <c r="G822" s="636" t="n">
        <f aca="false">E822*F822</f>
        <v>219.52</v>
      </c>
      <c r="H822" s="571"/>
    </row>
    <row r="823" customFormat="false" ht="15" hidden="false" customHeight="false" outlineLevel="0" collapsed="false">
      <c r="A823" s="571"/>
      <c r="B823" s="500"/>
      <c r="C823" s="638" t="s">
        <v>4120</v>
      </c>
      <c r="D823" s="637" t="s">
        <v>4121</v>
      </c>
      <c r="E823" s="633" t="n">
        <v>0.03</v>
      </c>
      <c r="F823" s="639" t="n">
        <v>1500</v>
      </c>
      <c r="G823" s="636" t="n">
        <f aca="false">E823*F823</f>
        <v>45</v>
      </c>
      <c r="H823" s="571"/>
    </row>
    <row r="824" customFormat="false" ht="15" hidden="false" customHeight="false" outlineLevel="0" collapsed="false">
      <c r="A824" s="571"/>
      <c r="B824" s="500"/>
      <c r="C824" s="638" t="s">
        <v>4122</v>
      </c>
      <c r="D824" s="637" t="s">
        <v>4123</v>
      </c>
      <c r="E824" s="633" t="n">
        <v>0.02</v>
      </c>
      <c r="F824" s="626" t="n">
        <v>800</v>
      </c>
      <c r="G824" s="636" t="n">
        <f aca="false">E824*F824</f>
        <v>16</v>
      </c>
      <c r="H824" s="571"/>
    </row>
    <row r="825" customFormat="false" ht="15" hidden="false" customHeight="false" outlineLevel="0" collapsed="false">
      <c r="A825" s="571"/>
      <c r="B825" s="571"/>
      <c r="C825" s="633" t="s">
        <v>4124</v>
      </c>
      <c r="D825" s="637" t="s">
        <v>4125</v>
      </c>
      <c r="E825" s="633" t="n">
        <v>0.7</v>
      </c>
      <c r="F825" s="626" t="n">
        <v>120</v>
      </c>
      <c r="G825" s="636" t="n">
        <f aca="false">E825*F825</f>
        <v>84</v>
      </c>
      <c r="H825" s="571"/>
    </row>
    <row r="826" customFormat="false" ht="15" hidden="false" customHeight="false" outlineLevel="0" collapsed="false">
      <c r="A826" s="571"/>
      <c r="B826" s="500"/>
      <c r="C826" s="633" t="s">
        <v>4126</v>
      </c>
      <c r="D826" s="637" t="s">
        <v>4127</v>
      </c>
      <c r="E826" s="633" t="n">
        <v>0.021</v>
      </c>
      <c r="F826" s="626" t="n">
        <v>2700</v>
      </c>
      <c r="G826" s="636" t="n">
        <f aca="false">E826*F826</f>
        <v>56.7</v>
      </c>
      <c r="H826" s="571"/>
    </row>
    <row r="827" customFormat="false" ht="15" hidden="false" customHeight="false" outlineLevel="0" collapsed="false">
      <c r="A827" s="571"/>
      <c r="B827" s="608" t="s">
        <v>4128</v>
      </c>
      <c r="C827" s="629"/>
      <c r="D827" s="571"/>
      <c r="E827" s="629"/>
      <c r="F827" s="630"/>
      <c r="G827" s="640" t="n">
        <f aca="false">SUM(G819:G826)</f>
        <v>1157.76</v>
      </c>
      <c r="H827" s="571"/>
    </row>
    <row r="828" customFormat="false" ht="15" hidden="false" customHeight="false" outlineLevel="0" collapsed="false">
      <c r="A828" s="571" t="s">
        <v>176</v>
      </c>
      <c r="B828" s="632" t="s">
        <v>2901</v>
      </c>
      <c r="C828" s="633" t="s">
        <v>4150</v>
      </c>
      <c r="D828" s="637" t="s">
        <v>4133</v>
      </c>
      <c r="E828" s="635" t="s">
        <v>4213</v>
      </c>
      <c r="F828" s="626" t="n">
        <v>103040</v>
      </c>
      <c r="G828" s="636" t="n">
        <f aca="false">E828*F828</f>
        <v>515.2</v>
      </c>
      <c r="H828" s="571"/>
    </row>
    <row r="829" customFormat="false" ht="30" hidden="false" customHeight="false" outlineLevel="0" collapsed="false">
      <c r="A829" s="571"/>
      <c r="B829" s="608"/>
      <c r="C829" s="633" t="s">
        <v>4199</v>
      </c>
      <c r="D829" s="637" t="s">
        <v>4138</v>
      </c>
      <c r="E829" s="633" t="s">
        <v>4200</v>
      </c>
      <c r="F829" s="626" t="n">
        <v>12000</v>
      </c>
      <c r="G829" s="636" t="n">
        <f aca="false">E829*F829</f>
        <v>600</v>
      </c>
      <c r="H829" s="571"/>
    </row>
    <row r="830" customFormat="false" ht="15" hidden="false" customHeight="false" outlineLevel="0" collapsed="false">
      <c r="A830" s="571"/>
      <c r="B830" s="500"/>
      <c r="C830" s="638" t="s">
        <v>4120</v>
      </c>
      <c r="D830" s="637" t="s">
        <v>4121</v>
      </c>
      <c r="E830" s="633" t="n">
        <v>0.03</v>
      </c>
      <c r="F830" s="639" t="n">
        <v>1500</v>
      </c>
      <c r="G830" s="636" t="n">
        <f aca="false">E830*F830</f>
        <v>45</v>
      </c>
      <c r="H830" s="571"/>
    </row>
    <row r="831" customFormat="false" ht="15" hidden="false" customHeight="false" outlineLevel="0" collapsed="false">
      <c r="A831" s="571"/>
      <c r="B831" s="500"/>
      <c r="C831" s="638" t="s">
        <v>4122</v>
      </c>
      <c r="D831" s="637" t="s">
        <v>4123</v>
      </c>
      <c r="E831" s="633" t="n">
        <v>0.055</v>
      </c>
      <c r="F831" s="626" t="n">
        <v>800</v>
      </c>
      <c r="G831" s="636" t="n">
        <f aca="false">E831*F831</f>
        <v>44</v>
      </c>
      <c r="H831" s="571"/>
    </row>
    <row r="832" customFormat="false" ht="15" hidden="false" customHeight="false" outlineLevel="0" collapsed="false">
      <c r="A832" s="571"/>
      <c r="B832" s="500"/>
      <c r="C832" s="633" t="s">
        <v>4124</v>
      </c>
      <c r="D832" s="637" t="s">
        <v>4125</v>
      </c>
      <c r="E832" s="633" t="n">
        <v>0.71</v>
      </c>
      <c r="F832" s="626" t="n">
        <v>120</v>
      </c>
      <c r="G832" s="636" t="n">
        <f aca="false">E832*F832</f>
        <v>85.2</v>
      </c>
      <c r="H832" s="571"/>
    </row>
    <row r="833" customFormat="false" ht="15" hidden="false" customHeight="false" outlineLevel="0" collapsed="false">
      <c r="A833" s="571"/>
      <c r="B833" s="571"/>
      <c r="C833" s="633" t="s">
        <v>4126</v>
      </c>
      <c r="D833" s="637" t="s">
        <v>4127</v>
      </c>
      <c r="E833" s="633" t="n">
        <v>0.021</v>
      </c>
      <c r="F833" s="626" t="n">
        <v>2700</v>
      </c>
      <c r="G833" s="636" t="n">
        <f aca="false">E833*F833</f>
        <v>56.7</v>
      </c>
      <c r="H833" s="571"/>
    </row>
    <row r="834" customFormat="false" ht="15" hidden="false" customHeight="false" outlineLevel="0" collapsed="false">
      <c r="A834" s="571"/>
      <c r="B834" s="608" t="s">
        <v>4128</v>
      </c>
      <c r="C834" s="629"/>
      <c r="D834" s="571"/>
      <c r="E834" s="629"/>
      <c r="F834" s="630"/>
      <c r="G834" s="640" t="n">
        <f aca="false">SUM(G828:G833)</f>
        <v>1346.1</v>
      </c>
      <c r="H834" s="571"/>
    </row>
    <row r="835" customFormat="false" ht="15" hidden="false" customHeight="false" outlineLevel="0" collapsed="false">
      <c r="A835" s="571" t="s">
        <v>178</v>
      </c>
      <c r="B835" s="500" t="s">
        <v>2904</v>
      </c>
      <c r="C835" s="629" t="s">
        <v>4201</v>
      </c>
      <c r="D835" s="571" t="s">
        <v>4133</v>
      </c>
      <c r="E835" s="629" t="n">
        <v>0.001</v>
      </c>
      <c r="F835" s="644" t="n">
        <v>40000</v>
      </c>
      <c r="G835" s="636" t="n">
        <f aca="false">E835*F835</f>
        <v>40</v>
      </c>
      <c r="H835" s="571"/>
    </row>
    <row r="836" customFormat="false" ht="45" hidden="false" customHeight="false" outlineLevel="0" collapsed="false">
      <c r="A836" s="571"/>
      <c r="B836" s="500"/>
      <c r="C836" s="646" t="s">
        <v>4203</v>
      </c>
      <c r="D836" s="571" t="s">
        <v>4138</v>
      </c>
      <c r="E836" s="629" t="n">
        <v>0.1</v>
      </c>
      <c r="F836" s="644" t="n">
        <v>10192</v>
      </c>
      <c r="G836" s="636" t="n">
        <f aca="false">E836*F836</f>
        <v>1019.2</v>
      </c>
      <c r="H836" s="571"/>
    </row>
    <row r="837" customFormat="false" ht="15" hidden="false" customHeight="false" outlineLevel="0" collapsed="false">
      <c r="A837" s="571"/>
      <c r="B837" s="608"/>
      <c r="C837" s="629" t="s">
        <v>4171</v>
      </c>
      <c r="D837" s="571" t="s">
        <v>4133</v>
      </c>
      <c r="E837" s="629" t="n">
        <v>0.005</v>
      </c>
      <c r="F837" s="626" t="n">
        <v>18000</v>
      </c>
      <c r="G837" s="636" t="n">
        <f aca="false">E837*F837</f>
        <v>90</v>
      </c>
      <c r="H837" s="571"/>
    </row>
    <row r="838" customFormat="false" ht="15" hidden="false" customHeight="false" outlineLevel="0" collapsed="false">
      <c r="A838" s="571"/>
      <c r="B838" s="500"/>
      <c r="C838" s="638" t="s">
        <v>4120</v>
      </c>
      <c r="D838" s="637" t="s">
        <v>4121</v>
      </c>
      <c r="E838" s="633" t="n">
        <v>0.03</v>
      </c>
      <c r="F838" s="639" t="n">
        <v>1500</v>
      </c>
      <c r="G838" s="636" t="n">
        <f aca="false">E838*F838</f>
        <v>45</v>
      </c>
      <c r="H838" s="571"/>
    </row>
    <row r="839" customFormat="false" ht="15" hidden="false" customHeight="false" outlineLevel="0" collapsed="false">
      <c r="A839" s="571"/>
      <c r="B839" s="500"/>
      <c r="C839" s="638" t="s">
        <v>4122</v>
      </c>
      <c r="D839" s="637" t="s">
        <v>4123</v>
      </c>
      <c r="E839" s="633" t="n">
        <v>0.055</v>
      </c>
      <c r="F839" s="626" t="n">
        <v>800</v>
      </c>
      <c r="G839" s="636" t="n">
        <f aca="false">E839*F839</f>
        <v>44</v>
      </c>
      <c r="H839" s="571"/>
    </row>
    <row r="840" customFormat="false" ht="15" hidden="false" customHeight="false" outlineLevel="0" collapsed="false">
      <c r="A840" s="571"/>
      <c r="B840" s="608"/>
      <c r="C840" s="633" t="s">
        <v>4124</v>
      </c>
      <c r="D840" s="637" t="s">
        <v>4125</v>
      </c>
      <c r="E840" s="633" t="n">
        <v>0.71</v>
      </c>
      <c r="F840" s="626" t="n">
        <v>120</v>
      </c>
      <c r="G840" s="636" t="n">
        <f aca="false">E840*F840</f>
        <v>85.2</v>
      </c>
      <c r="H840" s="571"/>
    </row>
    <row r="841" customFormat="false" ht="15" hidden="false" customHeight="false" outlineLevel="0" collapsed="false">
      <c r="A841" s="571"/>
      <c r="B841" s="500"/>
      <c r="C841" s="633" t="s">
        <v>4126</v>
      </c>
      <c r="D841" s="637" t="s">
        <v>4127</v>
      </c>
      <c r="E841" s="633" t="n">
        <v>0.021</v>
      </c>
      <c r="F841" s="626" t="n">
        <v>2700</v>
      </c>
      <c r="G841" s="636" t="n">
        <f aca="false">E841*F841</f>
        <v>56.7</v>
      </c>
      <c r="H841" s="571"/>
    </row>
    <row r="842" customFormat="false" ht="15" hidden="false" customHeight="false" outlineLevel="0" collapsed="false">
      <c r="A842" s="571"/>
      <c r="B842" s="608" t="s">
        <v>4128</v>
      </c>
      <c r="C842" s="640"/>
      <c r="D842" s="327"/>
      <c r="E842" s="640"/>
      <c r="F842" s="643"/>
      <c r="G842" s="640" t="n">
        <f aca="false">SUM(G835:G841)</f>
        <v>1380.1</v>
      </c>
      <c r="H842" s="571"/>
    </row>
    <row r="843" customFormat="false" ht="15" hidden="false" customHeight="false" outlineLevel="0" collapsed="false">
      <c r="A843" s="571" t="s">
        <v>179</v>
      </c>
      <c r="B843" s="500" t="s">
        <v>2905</v>
      </c>
      <c r="C843" s="629" t="s">
        <v>4201</v>
      </c>
      <c r="D843" s="571" t="s">
        <v>4133</v>
      </c>
      <c r="E843" s="629" t="n">
        <v>0.001</v>
      </c>
      <c r="F843" s="644" t="n">
        <v>40000</v>
      </c>
      <c r="G843" s="636" t="n">
        <f aca="false">E843*F843</f>
        <v>40</v>
      </c>
      <c r="H843" s="571"/>
    </row>
    <row r="844" customFormat="false" ht="45" hidden="false" customHeight="false" outlineLevel="0" collapsed="false">
      <c r="A844" s="571"/>
      <c r="B844" s="500"/>
      <c r="C844" s="646" t="s">
        <v>4203</v>
      </c>
      <c r="D844" s="571" t="s">
        <v>4138</v>
      </c>
      <c r="E844" s="629" t="n">
        <v>0.1</v>
      </c>
      <c r="F844" s="644" t="n">
        <v>10192</v>
      </c>
      <c r="G844" s="636" t="n">
        <f aca="false">E844*F844</f>
        <v>1019.2</v>
      </c>
      <c r="H844" s="571"/>
    </row>
    <row r="845" customFormat="false" ht="15" hidden="false" customHeight="false" outlineLevel="0" collapsed="false">
      <c r="A845" s="571"/>
      <c r="B845" s="500"/>
      <c r="C845" s="629" t="s">
        <v>4171</v>
      </c>
      <c r="D845" s="571" t="s">
        <v>4133</v>
      </c>
      <c r="E845" s="629" t="n">
        <v>0.01</v>
      </c>
      <c r="F845" s="626" t="n">
        <v>18000</v>
      </c>
      <c r="G845" s="636" t="n">
        <f aca="false">E845*F845</f>
        <v>180</v>
      </c>
      <c r="H845" s="571"/>
    </row>
    <row r="846" customFormat="false" ht="15" hidden="false" customHeight="false" outlineLevel="0" collapsed="false">
      <c r="A846" s="571"/>
      <c r="B846" s="500"/>
      <c r="C846" s="638" t="s">
        <v>4120</v>
      </c>
      <c r="D846" s="637" t="s">
        <v>4121</v>
      </c>
      <c r="E846" s="633" t="n">
        <v>0.03</v>
      </c>
      <c r="F846" s="639" t="n">
        <v>1500</v>
      </c>
      <c r="G846" s="636" t="n">
        <f aca="false">E846*F846</f>
        <v>45</v>
      </c>
      <c r="H846" s="571"/>
    </row>
    <row r="847" customFormat="false" ht="15" hidden="false" customHeight="false" outlineLevel="0" collapsed="false">
      <c r="A847" s="571"/>
      <c r="B847" s="608"/>
      <c r="C847" s="638" t="s">
        <v>4122</v>
      </c>
      <c r="D847" s="637" t="s">
        <v>4123</v>
      </c>
      <c r="E847" s="633" t="n">
        <v>0.01</v>
      </c>
      <c r="F847" s="626" t="n">
        <v>800</v>
      </c>
      <c r="G847" s="636" t="n">
        <f aca="false">E847*F847</f>
        <v>8</v>
      </c>
      <c r="H847" s="571"/>
    </row>
    <row r="848" customFormat="false" ht="15" hidden="false" customHeight="false" outlineLevel="0" collapsed="false">
      <c r="A848" s="571"/>
      <c r="B848" s="500"/>
      <c r="C848" s="633" t="s">
        <v>4124</v>
      </c>
      <c r="D848" s="637" t="s">
        <v>4125</v>
      </c>
      <c r="E848" s="633" t="n">
        <v>0.71</v>
      </c>
      <c r="F848" s="626" t="n">
        <v>120</v>
      </c>
      <c r="G848" s="636" t="n">
        <f aca="false">E848*F848</f>
        <v>85.2</v>
      </c>
      <c r="H848" s="571"/>
    </row>
    <row r="849" customFormat="false" ht="15" hidden="false" customHeight="false" outlineLevel="0" collapsed="false">
      <c r="A849" s="571"/>
      <c r="B849" s="571"/>
      <c r="C849" s="633" t="s">
        <v>4126</v>
      </c>
      <c r="D849" s="637" t="s">
        <v>4127</v>
      </c>
      <c r="E849" s="633" t="n">
        <v>0.01</v>
      </c>
      <c r="F849" s="626" t="n">
        <v>2700</v>
      </c>
      <c r="G849" s="636" t="n">
        <f aca="false">E849*F849</f>
        <v>27</v>
      </c>
      <c r="H849" s="571"/>
    </row>
    <row r="850" customFormat="false" ht="15" hidden="false" customHeight="false" outlineLevel="0" collapsed="false">
      <c r="A850" s="571"/>
      <c r="B850" s="608" t="s">
        <v>4128</v>
      </c>
      <c r="C850" s="629"/>
      <c r="D850" s="571"/>
      <c r="E850" s="629"/>
      <c r="F850" s="630"/>
      <c r="G850" s="640" t="n">
        <f aca="false">SUM(G843:G849)</f>
        <v>1404.4</v>
      </c>
      <c r="H850" s="571"/>
    </row>
    <row r="851" customFormat="false" ht="30" hidden="false" customHeight="false" outlineLevel="0" collapsed="false">
      <c r="A851" s="571" t="s">
        <v>180</v>
      </c>
      <c r="B851" s="632" t="s">
        <v>2906</v>
      </c>
      <c r="C851" s="633" t="s">
        <v>4202</v>
      </c>
      <c r="D851" s="637" t="s">
        <v>4133</v>
      </c>
      <c r="E851" s="635" t="n">
        <v>0.005</v>
      </c>
      <c r="F851" s="645" t="n">
        <v>12000</v>
      </c>
      <c r="G851" s="636" t="n">
        <f aca="false">E851*F851</f>
        <v>60</v>
      </c>
      <c r="H851" s="571"/>
    </row>
    <row r="852" customFormat="false" ht="15" hidden="false" customHeight="false" outlineLevel="0" collapsed="false">
      <c r="A852" s="571"/>
      <c r="B852" s="500"/>
      <c r="C852" s="633" t="s">
        <v>4147</v>
      </c>
      <c r="D852" s="637" t="s">
        <v>4133</v>
      </c>
      <c r="E852" s="635" t="s">
        <v>4186</v>
      </c>
      <c r="F852" s="626" t="n">
        <v>14039</v>
      </c>
      <c r="G852" s="636" t="n">
        <f aca="false">E852*F852</f>
        <v>140.39</v>
      </c>
      <c r="H852" s="571"/>
    </row>
    <row r="853" customFormat="false" ht="15" hidden="false" customHeight="false" outlineLevel="0" collapsed="false">
      <c r="A853" s="571"/>
      <c r="B853" s="608"/>
      <c r="C853" s="633" t="s">
        <v>4212</v>
      </c>
      <c r="D853" s="637" t="s">
        <v>4133</v>
      </c>
      <c r="E853" s="633" t="n">
        <v>0.0049</v>
      </c>
      <c r="F853" s="639" t="n">
        <v>32480</v>
      </c>
      <c r="G853" s="636" t="n">
        <f aca="false">E853*F853</f>
        <v>159.152</v>
      </c>
      <c r="H853" s="571"/>
    </row>
    <row r="854" customFormat="false" ht="15" hidden="false" customHeight="false" outlineLevel="0" collapsed="false">
      <c r="A854" s="571"/>
      <c r="B854" s="500"/>
      <c r="C854" s="629" t="s">
        <v>4201</v>
      </c>
      <c r="D854" s="571" t="s">
        <v>4133</v>
      </c>
      <c r="E854" s="629" t="s">
        <v>4213</v>
      </c>
      <c r="F854" s="644" t="n">
        <v>40000</v>
      </c>
      <c r="G854" s="636" t="n">
        <f aca="false">E854*F854</f>
        <v>200</v>
      </c>
      <c r="H854" s="571"/>
    </row>
    <row r="855" customFormat="false" ht="15" hidden="false" customHeight="false" outlineLevel="0" collapsed="false">
      <c r="A855" s="571"/>
      <c r="B855" s="500"/>
      <c r="C855" s="633" t="s">
        <v>4132</v>
      </c>
      <c r="D855" s="637" t="s">
        <v>4133</v>
      </c>
      <c r="E855" s="633" t="n">
        <v>0.01</v>
      </c>
      <c r="F855" s="626" t="n">
        <v>18000</v>
      </c>
      <c r="G855" s="636" t="n">
        <f aca="false">E855*F855</f>
        <v>180</v>
      </c>
      <c r="H855" s="571"/>
    </row>
    <row r="856" customFormat="false" ht="45" hidden="false" customHeight="false" outlineLevel="0" collapsed="false">
      <c r="A856" s="571"/>
      <c r="B856" s="500"/>
      <c r="C856" s="646" t="s">
        <v>4203</v>
      </c>
      <c r="D856" s="637" t="s">
        <v>4131</v>
      </c>
      <c r="E856" s="633" t="n">
        <v>1</v>
      </c>
      <c r="F856" s="644" t="n">
        <v>750</v>
      </c>
      <c r="G856" s="636" t="n">
        <f aca="false">E856*F856</f>
        <v>750</v>
      </c>
      <c r="H856" s="571"/>
    </row>
    <row r="857" customFormat="false" ht="15" hidden="false" customHeight="false" outlineLevel="0" collapsed="false">
      <c r="A857" s="571"/>
      <c r="B857" s="500"/>
      <c r="C857" s="638" t="s">
        <v>4120</v>
      </c>
      <c r="D857" s="637" t="s">
        <v>4121</v>
      </c>
      <c r="E857" s="633" t="n">
        <v>0.02</v>
      </c>
      <c r="F857" s="639" t="n">
        <v>1500</v>
      </c>
      <c r="G857" s="636" t="n">
        <f aca="false">E857*F857</f>
        <v>30</v>
      </c>
      <c r="H857" s="571"/>
    </row>
    <row r="858" customFormat="false" ht="15" hidden="false" customHeight="false" outlineLevel="0" collapsed="false">
      <c r="A858" s="571"/>
      <c r="B858" s="500"/>
      <c r="C858" s="638" t="s">
        <v>4122</v>
      </c>
      <c r="D858" s="637" t="s">
        <v>4123</v>
      </c>
      <c r="E858" s="633" t="n">
        <v>0.005</v>
      </c>
      <c r="F858" s="626" t="n">
        <v>800</v>
      </c>
      <c r="G858" s="636" t="n">
        <f aca="false">E858*F858</f>
        <v>4</v>
      </c>
      <c r="H858" s="571"/>
    </row>
    <row r="859" customFormat="false" ht="15" hidden="false" customHeight="false" outlineLevel="0" collapsed="false">
      <c r="A859" s="571"/>
      <c r="B859" s="500"/>
      <c r="C859" s="633" t="s">
        <v>4124</v>
      </c>
      <c r="D859" s="637" t="s">
        <v>4125</v>
      </c>
      <c r="E859" s="633" t="n">
        <v>0.74</v>
      </c>
      <c r="F859" s="626" t="n">
        <v>120</v>
      </c>
      <c r="G859" s="636" t="n">
        <f aca="false">E859*F859</f>
        <v>88.8</v>
      </c>
      <c r="H859" s="571"/>
    </row>
    <row r="860" customFormat="false" ht="15" hidden="false" customHeight="false" outlineLevel="0" collapsed="false">
      <c r="A860" s="571"/>
      <c r="B860" s="500"/>
      <c r="C860" s="633" t="s">
        <v>4126</v>
      </c>
      <c r="D860" s="637" t="s">
        <v>4127</v>
      </c>
      <c r="E860" s="633" t="n">
        <v>0.01</v>
      </c>
      <c r="F860" s="626" t="n">
        <v>2700</v>
      </c>
      <c r="G860" s="636" t="n">
        <f aca="false">E860*F860</f>
        <v>27</v>
      </c>
      <c r="H860" s="571"/>
    </row>
    <row r="861" customFormat="false" ht="15" hidden="false" customHeight="false" outlineLevel="0" collapsed="false">
      <c r="A861" s="571"/>
      <c r="B861" s="608" t="s">
        <v>4128</v>
      </c>
      <c r="C861" s="629"/>
      <c r="D861" s="571"/>
      <c r="E861" s="629"/>
      <c r="F861" s="630"/>
      <c r="G861" s="640" t="n">
        <f aca="false">SUM(G851:G860)</f>
        <v>1639.342</v>
      </c>
      <c r="H861" s="571"/>
    </row>
    <row r="862" customFormat="false" ht="15" hidden="false" customHeight="false" outlineLevel="0" collapsed="false">
      <c r="A862" s="571" t="s">
        <v>181</v>
      </c>
      <c r="B862" s="500" t="s">
        <v>2957</v>
      </c>
      <c r="C862" s="635" t="s">
        <v>4364</v>
      </c>
      <c r="D862" s="634" t="s">
        <v>4133</v>
      </c>
      <c r="E862" s="635" t="n">
        <v>0.01</v>
      </c>
      <c r="F862" s="648" t="n">
        <v>5500</v>
      </c>
      <c r="G862" s="636" t="n">
        <f aca="false">E862*F862</f>
        <v>55</v>
      </c>
      <c r="H862" s="606"/>
    </row>
    <row r="863" customFormat="false" ht="15" hidden="false" customHeight="false" outlineLevel="0" collapsed="false">
      <c r="A863" s="571"/>
      <c r="B863" s="500"/>
      <c r="C863" s="635" t="s">
        <v>4365</v>
      </c>
      <c r="D863" s="634" t="s">
        <v>4133</v>
      </c>
      <c r="E863" s="635" t="n">
        <v>0.01</v>
      </c>
      <c r="F863" s="648" t="n">
        <v>15100</v>
      </c>
      <c r="G863" s="636" t="n">
        <f aca="false">E863*F863</f>
        <v>151</v>
      </c>
      <c r="H863" s="571"/>
    </row>
    <row r="864" customFormat="false" ht="15" hidden="false" customHeight="false" outlineLevel="0" collapsed="false">
      <c r="A864" s="571"/>
      <c r="B864" s="500"/>
      <c r="C864" s="635" t="s">
        <v>4201</v>
      </c>
      <c r="D864" s="634" t="s">
        <v>4133</v>
      </c>
      <c r="E864" s="635" t="n">
        <v>0.004</v>
      </c>
      <c r="F864" s="644" t="n">
        <v>40000</v>
      </c>
      <c r="G864" s="636" t="n">
        <f aca="false">E864*F864</f>
        <v>160</v>
      </c>
      <c r="H864" s="571"/>
    </row>
    <row r="865" customFormat="false" ht="15" hidden="false" customHeight="false" outlineLevel="0" collapsed="false">
      <c r="A865" s="571"/>
      <c r="B865" s="500"/>
      <c r="C865" s="635" t="s">
        <v>4366</v>
      </c>
      <c r="D865" s="634" t="s">
        <v>4133</v>
      </c>
      <c r="E865" s="635" t="n">
        <v>0.01</v>
      </c>
      <c r="F865" s="648" t="n">
        <v>5000</v>
      </c>
      <c r="G865" s="636" t="n">
        <f aca="false">E865*F865</f>
        <v>50</v>
      </c>
      <c r="H865" s="606"/>
    </row>
    <row r="866" customFormat="false" ht="15" hidden="false" customHeight="false" outlineLevel="0" collapsed="false">
      <c r="A866" s="571"/>
      <c r="B866" s="500"/>
      <c r="C866" s="635" t="s">
        <v>4295</v>
      </c>
      <c r="D866" s="634" t="s">
        <v>4133</v>
      </c>
      <c r="E866" s="635" t="s">
        <v>4271</v>
      </c>
      <c r="F866" s="648" t="n">
        <v>12320</v>
      </c>
      <c r="G866" s="636" t="n">
        <f aca="false">E866*F866</f>
        <v>369.6</v>
      </c>
      <c r="H866" s="571"/>
    </row>
    <row r="867" customFormat="false" ht="45" hidden="false" customHeight="false" outlineLevel="0" collapsed="false">
      <c r="A867" s="571"/>
      <c r="B867" s="500"/>
      <c r="C867" s="633" t="s">
        <v>4367</v>
      </c>
      <c r="D867" s="634" t="s">
        <v>4131</v>
      </c>
      <c r="E867" s="635" t="s">
        <v>4267</v>
      </c>
      <c r="F867" s="644" t="n">
        <v>10192</v>
      </c>
      <c r="G867" s="636" t="n">
        <f aca="false">E867*F867</f>
        <v>203.84</v>
      </c>
      <c r="H867" s="571"/>
    </row>
    <row r="868" customFormat="false" ht="15" hidden="false" customHeight="false" outlineLevel="0" collapsed="false">
      <c r="A868" s="571"/>
      <c r="B868" s="500"/>
      <c r="C868" s="635" t="s">
        <v>4202</v>
      </c>
      <c r="D868" s="634" t="s">
        <v>4133</v>
      </c>
      <c r="E868" s="635" t="s">
        <v>4186</v>
      </c>
      <c r="F868" s="648" t="n">
        <v>12000</v>
      </c>
      <c r="G868" s="636" t="n">
        <f aca="false">E868*F868</f>
        <v>120</v>
      </c>
      <c r="H868" s="571"/>
    </row>
    <row r="869" customFormat="false" ht="15" hidden="false" customHeight="false" outlineLevel="0" collapsed="false">
      <c r="A869" s="571"/>
      <c r="B869" s="500"/>
      <c r="C869" s="638" t="s">
        <v>4120</v>
      </c>
      <c r="D869" s="637" t="s">
        <v>4121</v>
      </c>
      <c r="E869" s="633" t="n">
        <v>0.03</v>
      </c>
      <c r="F869" s="639" t="n">
        <v>1500</v>
      </c>
      <c r="G869" s="636" t="n">
        <f aca="false">E869*F869</f>
        <v>45</v>
      </c>
      <c r="H869" s="571"/>
    </row>
    <row r="870" customFormat="false" ht="15" hidden="false" customHeight="false" outlineLevel="0" collapsed="false">
      <c r="A870" s="571"/>
      <c r="B870" s="500"/>
      <c r="C870" s="638" t="s">
        <v>4122</v>
      </c>
      <c r="D870" s="637" t="s">
        <v>4123</v>
      </c>
      <c r="E870" s="633" t="n">
        <v>0.01</v>
      </c>
      <c r="F870" s="626" t="n">
        <v>800</v>
      </c>
      <c r="G870" s="636" t="n">
        <f aca="false">E870*F870</f>
        <v>8</v>
      </c>
      <c r="H870" s="571"/>
    </row>
    <row r="871" customFormat="false" ht="15" hidden="false" customHeight="false" outlineLevel="0" collapsed="false">
      <c r="A871" s="571"/>
      <c r="B871" s="500"/>
      <c r="C871" s="633" t="s">
        <v>4124</v>
      </c>
      <c r="D871" s="637" t="s">
        <v>4125</v>
      </c>
      <c r="E871" s="633" t="n">
        <v>0.1</v>
      </c>
      <c r="F871" s="626" t="n">
        <v>120</v>
      </c>
      <c r="G871" s="636" t="n">
        <f aca="false">E871*F871</f>
        <v>12</v>
      </c>
      <c r="H871" s="571"/>
    </row>
    <row r="872" customFormat="false" ht="15" hidden="false" customHeight="false" outlineLevel="0" collapsed="false">
      <c r="A872" s="571"/>
      <c r="B872" s="500"/>
      <c r="C872" s="633" t="s">
        <v>4126</v>
      </c>
      <c r="D872" s="637" t="s">
        <v>4149</v>
      </c>
      <c r="E872" s="633" t="n">
        <v>0.02</v>
      </c>
      <c r="F872" s="626" t="n">
        <v>2700</v>
      </c>
      <c r="G872" s="636" t="n">
        <f aca="false">E872*F872</f>
        <v>54</v>
      </c>
      <c r="H872" s="571"/>
    </row>
    <row r="873" customFormat="false" ht="15" hidden="false" customHeight="false" outlineLevel="0" collapsed="false">
      <c r="A873" s="571"/>
      <c r="B873" s="608" t="s">
        <v>4128</v>
      </c>
      <c r="C873" s="640"/>
      <c r="D873" s="327"/>
      <c r="E873" s="640"/>
      <c r="F873" s="643"/>
      <c r="G873" s="640" t="n">
        <f aca="false">SUM(G862:G872)</f>
        <v>1228.44</v>
      </c>
      <c r="H873" s="571"/>
    </row>
    <row r="874" customFormat="false" ht="45" hidden="false" customHeight="false" outlineLevel="0" collapsed="false">
      <c r="A874" s="571" t="s">
        <v>183</v>
      </c>
      <c r="B874" s="500" t="s">
        <v>2911</v>
      </c>
      <c r="C874" s="633" t="s">
        <v>4147</v>
      </c>
      <c r="D874" s="637" t="s">
        <v>4133</v>
      </c>
      <c r="E874" s="635" t="n">
        <v>0.002</v>
      </c>
      <c r="F874" s="626" t="n">
        <v>14039</v>
      </c>
      <c r="G874" s="636" t="n">
        <f aca="false">E874*F874</f>
        <v>28.078</v>
      </c>
      <c r="H874" s="571"/>
    </row>
    <row r="875" customFormat="false" ht="15" hidden="false" customHeight="false" outlineLevel="0" collapsed="false">
      <c r="A875" s="571"/>
      <c r="B875" s="500"/>
      <c r="C875" s="633" t="s">
        <v>4225</v>
      </c>
      <c r="D875" s="637" t="s">
        <v>4133</v>
      </c>
      <c r="E875" s="635" t="n">
        <v>0.025</v>
      </c>
      <c r="F875" s="626" t="n">
        <v>15100</v>
      </c>
      <c r="G875" s="636" t="n">
        <f aca="false">E875*F875</f>
        <v>377.5</v>
      </c>
      <c r="H875" s="571"/>
    </row>
    <row r="876" customFormat="false" ht="15" hidden="false" customHeight="false" outlineLevel="0" collapsed="false">
      <c r="A876" s="571"/>
      <c r="B876" s="500"/>
      <c r="C876" s="633" t="s">
        <v>4168</v>
      </c>
      <c r="D876" s="637" t="s">
        <v>4133</v>
      </c>
      <c r="E876" s="635" t="n">
        <v>0.001</v>
      </c>
      <c r="F876" s="626" t="n">
        <v>10976</v>
      </c>
      <c r="G876" s="636" t="n">
        <f aca="false">E876*F876</f>
        <v>10.976</v>
      </c>
      <c r="H876" s="571"/>
    </row>
    <row r="877" customFormat="false" ht="30" hidden="false" customHeight="false" outlineLevel="0" collapsed="false">
      <c r="A877" s="571"/>
      <c r="B877" s="500"/>
      <c r="C877" s="669" t="s">
        <v>4368</v>
      </c>
      <c r="D877" s="637" t="s">
        <v>4133</v>
      </c>
      <c r="E877" s="670" t="n">
        <v>0.017</v>
      </c>
      <c r="F877" s="626" t="n">
        <v>24000</v>
      </c>
      <c r="G877" s="636" t="n">
        <f aca="false">E877*F877</f>
        <v>408</v>
      </c>
      <c r="H877" s="571"/>
    </row>
    <row r="878" customFormat="false" ht="45" hidden="false" customHeight="false" outlineLevel="0" collapsed="false">
      <c r="A878" s="571"/>
      <c r="B878" s="500"/>
      <c r="C878" s="633" t="s">
        <v>4228</v>
      </c>
      <c r="D878" s="637" t="s">
        <v>4131</v>
      </c>
      <c r="E878" s="633" t="s">
        <v>4271</v>
      </c>
      <c r="F878" s="626" t="n">
        <v>15000</v>
      </c>
      <c r="G878" s="636" t="n">
        <f aca="false">E878*F878</f>
        <v>450</v>
      </c>
      <c r="H878" s="606"/>
    </row>
    <row r="879" customFormat="false" ht="15" hidden="false" customHeight="false" outlineLevel="0" collapsed="false">
      <c r="A879" s="571"/>
      <c r="B879" s="608"/>
      <c r="C879" s="633" t="s">
        <v>4229</v>
      </c>
      <c r="D879" s="637" t="s">
        <v>4121</v>
      </c>
      <c r="E879" s="633" t="n">
        <v>0.2</v>
      </c>
      <c r="F879" s="626" t="n">
        <v>1400</v>
      </c>
      <c r="G879" s="636" t="n">
        <f aca="false">E879*F879</f>
        <v>280</v>
      </c>
      <c r="H879" s="606"/>
    </row>
    <row r="880" customFormat="false" ht="15" hidden="false" customHeight="false" outlineLevel="0" collapsed="false">
      <c r="A880" s="571"/>
      <c r="B880" s="500"/>
      <c r="C880" s="633" t="s">
        <v>4126</v>
      </c>
      <c r="D880" s="637" t="s">
        <v>4127</v>
      </c>
      <c r="E880" s="633" t="n">
        <v>0.015</v>
      </c>
      <c r="F880" s="626" t="n">
        <v>2700</v>
      </c>
      <c r="G880" s="636" t="n">
        <f aca="false">E880*F880</f>
        <v>40.5</v>
      </c>
      <c r="H880" s="571"/>
    </row>
    <row r="881" customFormat="false" ht="15" hidden="false" customHeight="false" outlineLevel="0" collapsed="false">
      <c r="A881" s="571"/>
      <c r="B881" s="500"/>
      <c r="C881" s="638" t="s">
        <v>4120</v>
      </c>
      <c r="D881" s="637" t="s">
        <v>4121</v>
      </c>
      <c r="E881" s="633" t="n">
        <v>0.03</v>
      </c>
      <c r="F881" s="639" t="n">
        <v>1500</v>
      </c>
      <c r="G881" s="636" t="n">
        <f aca="false">E881*F881</f>
        <v>45</v>
      </c>
      <c r="H881" s="571"/>
    </row>
    <row r="882" customFormat="false" ht="15" hidden="false" customHeight="false" outlineLevel="0" collapsed="false">
      <c r="A882" s="571"/>
      <c r="B882" s="500"/>
      <c r="C882" s="670" t="s">
        <v>4369</v>
      </c>
      <c r="D882" s="637" t="s">
        <v>4149</v>
      </c>
      <c r="E882" s="633" t="n">
        <v>0.001</v>
      </c>
      <c r="F882" s="639" t="n">
        <v>221910</v>
      </c>
      <c r="G882" s="636" t="n">
        <f aca="false">E882*F882</f>
        <v>221.91</v>
      </c>
      <c r="H882" s="606"/>
    </row>
    <row r="883" customFormat="false" ht="15" hidden="false" customHeight="false" outlineLevel="0" collapsed="false">
      <c r="A883" s="571"/>
      <c r="B883" s="500"/>
      <c r="C883" s="638" t="s">
        <v>4122</v>
      </c>
      <c r="D883" s="637" t="s">
        <v>4123</v>
      </c>
      <c r="E883" s="633" t="n">
        <v>0.065</v>
      </c>
      <c r="F883" s="626" t="n">
        <v>800</v>
      </c>
      <c r="G883" s="636" t="n">
        <f aca="false">E883*F883</f>
        <v>52</v>
      </c>
      <c r="H883" s="571"/>
    </row>
    <row r="884" customFormat="false" ht="15" hidden="false" customHeight="false" outlineLevel="0" collapsed="false">
      <c r="A884" s="571"/>
      <c r="B884" s="608" t="s">
        <v>4128</v>
      </c>
      <c r="C884" s="640"/>
      <c r="D884" s="327"/>
      <c r="E884" s="640"/>
      <c r="F884" s="643"/>
      <c r="G884" s="640" t="n">
        <f aca="false">SUM(G874:G883)</f>
        <v>1913.964</v>
      </c>
      <c r="H884" s="571"/>
    </row>
    <row r="885" customFormat="false" ht="15" hidden="false" customHeight="false" outlineLevel="0" collapsed="false">
      <c r="A885" s="571" t="s">
        <v>185</v>
      </c>
      <c r="B885" s="632" t="s">
        <v>2912</v>
      </c>
      <c r="C885" s="638" t="s">
        <v>4231</v>
      </c>
      <c r="D885" s="637" t="s">
        <v>4133</v>
      </c>
      <c r="E885" s="635" t="n">
        <v>0.001</v>
      </c>
      <c r="F885" s="626" t="n">
        <v>125000</v>
      </c>
      <c r="G885" s="636" t="n">
        <f aca="false">E885*F885</f>
        <v>125</v>
      </c>
      <c r="H885" s="606"/>
    </row>
    <row r="886" customFormat="false" ht="15" hidden="false" customHeight="false" outlineLevel="0" collapsed="false">
      <c r="A886" s="571"/>
      <c r="B886" s="500"/>
      <c r="C886" s="638" t="s">
        <v>4232</v>
      </c>
      <c r="D886" s="637" t="s">
        <v>4133</v>
      </c>
      <c r="E886" s="635" t="n">
        <v>0.01</v>
      </c>
      <c r="F886" s="626" t="n">
        <v>15000</v>
      </c>
      <c r="G886" s="636" t="n">
        <f aca="false">E886*F886</f>
        <v>150</v>
      </c>
      <c r="H886" s="606"/>
    </row>
    <row r="887" customFormat="false" ht="15" hidden="false" customHeight="false" outlineLevel="0" collapsed="false">
      <c r="A887" s="571"/>
      <c r="B887" s="500"/>
      <c r="C887" s="638" t="s">
        <v>4233</v>
      </c>
      <c r="D887" s="637" t="s">
        <v>4133</v>
      </c>
      <c r="E887" s="633" t="n">
        <v>0.003</v>
      </c>
      <c r="F887" s="626" t="n">
        <v>55000</v>
      </c>
      <c r="G887" s="636" t="n">
        <f aca="false">E887*F887</f>
        <v>165</v>
      </c>
      <c r="H887" s="606"/>
    </row>
    <row r="888" customFormat="false" ht="15" hidden="false" customHeight="false" outlineLevel="0" collapsed="false">
      <c r="A888" s="571"/>
      <c r="B888" s="500"/>
      <c r="C888" s="638" t="s">
        <v>4154</v>
      </c>
      <c r="D888" s="637" t="s">
        <v>4133</v>
      </c>
      <c r="E888" s="635" t="n">
        <v>0.01</v>
      </c>
      <c r="F888" s="626" t="n">
        <v>10976</v>
      </c>
      <c r="G888" s="636" t="n">
        <f aca="false">E888*F888</f>
        <v>109.76</v>
      </c>
      <c r="H888" s="571"/>
    </row>
    <row r="889" customFormat="false" ht="15" hidden="false" customHeight="false" outlineLevel="0" collapsed="false">
      <c r="A889" s="571"/>
      <c r="B889" s="500"/>
      <c r="C889" s="638" t="s">
        <v>4171</v>
      </c>
      <c r="D889" s="637" t="s">
        <v>4133</v>
      </c>
      <c r="E889" s="635" t="n">
        <v>0.015</v>
      </c>
      <c r="F889" s="626" t="n">
        <v>18000</v>
      </c>
      <c r="G889" s="636" t="n">
        <f aca="false">E889*F889</f>
        <v>270</v>
      </c>
      <c r="H889" s="571"/>
    </row>
    <row r="890" customFormat="false" ht="15" hidden="false" customHeight="false" outlineLevel="0" collapsed="false">
      <c r="A890" s="571"/>
      <c r="B890" s="500"/>
      <c r="C890" s="638" t="s">
        <v>4234</v>
      </c>
      <c r="D890" s="637" t="s">
        <v>4133</v>
      </c>
      <c r="E890" s="635" t="n">
        <v>0.006</v>
      </c>
      <c r="F890" s="641" t="n">
        <v>25000</v>
      </c>
      <c r="G890" s="636" t="n">
        <f aca="false">E890*F890</f>
        <v>150</v>
      </c>
      <c r="H890" s="606"/>
    </row>
    <row r="891" customFormat="false" ht="15" hidden="false" customHeight="false" outlineLevel="0" collapsed="false">
      <c r="A891" s="571"/>
      <c r="B891" s="608"/>
      <c r="C891" s="638" t="s">
        <v>4183</v>
      </c>
      <c r="D891" s="637" t="s">
        <v>4133</v>
      </c>
      <c r="E891" s="635" t="n">
        <v>0.001</v>
      </c>
      <c r="F891" s="626" t="n">
        <v>15100</v>
      </c>
      <c r="G891" s="636" t="n">
        <f aca="false">E891*F891</f>
        <v>15.1</v>
      </c>
      <c r="H891" s="571"/>
    </row>
    <row r="892" customFormat="false" ht="15" hidden="false" customHeight="false" outlineLevel="0" collapsed="false">
      <c r="A892" s="571"/>
      <c r="B892" s="608"/>
      <c r="C892" s="638" t="s">
        <v>4235</v>
      </c>
      <c r="D892" s="571" t="s">
        <v>4138</v>
      </c>
      <c r="E892" s="629" t="n">
        <v>0.1</v>
      </c>
      <c r="F892" s="626" t="n">
        <v>7200</v>
      </c>
      <c r="G892" s="636" t="n">
        <f aca="false">E892*F892</f>
        <v>720</v>
      </c>
      <c r="H892" s="606"/>
    </row>
    <row r="893" customFormat="false" ht="15" hidden="false" customHeight="false" outlineLevel="0" collapsed="false">
      <c r="A893" s="571"/>
      <c r="B893" s="608"/>
      <c r="C893" s="638" t="s">
        <v>4236</v>
      </c>
      <c r="D893" s="637" t="s">
        <v>4133</v>
      </c>
      <c r="E893" s="633" t="n">
        <v>0.005</v>
      </c>
      <c r="F893" s="626" t="n">
        <v>28000</v>
      </c>
      <c r="G893" s="636" t="n">
        <f aca="false">E893*F893</f>
        <v>140</v>
      </c>
      <c r="H893" s="606"/>
    </row>
    <row r="894" customFormat="false" ht="15" hidden="false" customHeight="false" outlineLevel="0" collapsed="false">
      <c r="A894" s="571"/>
      <c r="B894" s="500"/>
      <c r="C894" s="638" t="s">
        <v>4237</v>
      </c>
      <c r="D894" s="637" t="s">
        <v>4149</v>
      </c>
      <c r="E894" s="633" t="n">
        <v>0.04</v>
      </c>
      <c r="F894" s="639" t="n">
        <v>7500</v>
      </c>
      <c r="G894" s="636" t="n">
        <f aca="false">E894*F894</f>
        <v>300</v>
      </c>
      <c r="H894" s="606"/>
    </row>
    <row r="895" customFormat="false" ht="30" hidden="false" customHeight="false" outlineLevel="0" collapsed="false">
      <c r="A895" s="571"/>
      <c r="B895" s="500"/>
      <c r="C895" s="638" t="s">
        <v>4370</v>
      </c>
      <c r="D895" s="571" t="s">
        <v>4121</v>
      </c>
      <c r="E895" s="635" t="n">
        <v>0.01</v>
      </c>
      <c r="F895" s="626" t="n">
        <v>1400</v>
      </c>
      <c r="G895" s="636" t="n">
        <f aca="false">E895*F895</f>
        <v>14</v>
      </c>
      <c r="H895" s="606"/>
    </row>
    <row r="896" customFormat="false" ht="15" hidden="false" customHeight="false" outlineLevel="0" collapsed="false">
      <c r="A896" s="571"/>
      <c r="B896" s="500"/>
      <c r="C896" s="638" t="s">
        <v>4120</v>
      </c>
      <c r="D896" s="637" t="s">
        <v>4121</v>
      </c>
      <c r="E896" s="633" t="n">
        <v>0.03</v>
      </c>
      <c r="F896" s="639" t="n">
        <v>1500</v>
      </c>
      <c r="G896" s="636" t="n">
        <f aca="false">E896*F896</f>
        <v>45</v>
      </c>
      <c r="H896" s="571"/>
    </row>
    <row r="897" customFormat="false" ht="15" hidden="false" customHeight="false" outlineLevel="0" collapsed="false">
      <c r="A897" s="571"/>
      <c r="B897" s="500"/>
      <c r="C897" s="638" t="s">
        <v>4122</v>
      </c>
      <c r="D897" s="637" t="s">
        <v>4123</v>
      </c>
      <c r="E897" s="633" t="n">
        <v>0.055</v>
      </c>
      <c r="F897" s="626" t="n">
        <v>800</v>
      </c>
      <c r="G897" s="636" t="n">
        <f aca="false">E897*F897</f>
        <v>44</v>
      </c>
      <c r="H897" s="571"/>
    </row>
    <row r="898" customFormat="false" ht="15" hidden="false" customHeight="false" outlineLevel="0" collapsed="false">
      <c r="A898" s="571"/>
      <c r="B898" s="608"/>
      <c r="C898" s="633" t="s">
        <v>4124</v>
      </c>
      <c r="D898" s="637" t="s">
        <v>4125</v>
      </c>
      <c r="E898" s="633" t="n">
        <v>0.71</v>
      </c>
      <c r="F898" s="626" t="n">
        <v>120</v>
      </c>
      <c r="G898" s="636" t="n">
        <f aca="false">E898*F898</f>
        <v>85.2</v>
      </c>
      <c r="H898" s="571"/>
    </row>
    <row r="899" customFormat="false" ht="15" hidden="false" customHeight="false" outlineLevel="0" collapsed="false">
      <c r="A899" s="571"/>
      <c r="B899" s="500"/>
      <c r="C899" s="633" t="s">
        <v>4126</v>
      </c>
      <c r="D899" s="637" t="s">
        <v>4127</v>
      </c>
      <c r="E899" s="633" t="n">
        <v>0.021</v>
      </c>
      <c r="F899" s="626" t="n">
        <v>2700</v>
      </c>
      <c r="G899" s="636" t="n">
        <f aca="false">E899*F899</f>
        <v>56.7</v>
      </c>
      <c r="H899" s="571"/>
    </row>
    <row r="900" customFormat="false" ht="15" hidden="false" customHeight="false" outlineLevel="0" collapsed="false">
      <c r="A900" s="571"/>
      <c r="B900" s="608" t="s">
        <v>4128</v>
      </c>
      <c r="C900" s="629"/>
      <c r="D900" s="571"/>
      <c r="E900" s="629"/>
      <c r="F900" s="630"/>
      <c r="G900" s="640" t="n">
        <f aca="false">SUM(G885:G899)</f>
        <v>2389.76</v>
      </c>
      <c r="H900" s="571"/>
    </row>
    <row r="901" customFormat="false" ht="15" hidden="false" customHeight="false" outlineLevel="0" collapsed="false">
      <c r="A901" s="571" t="s">
        <v>186</v>
      </c>
      <c r="B901" s="500" t="s">
        <v>4238</v>
      </c>
      <c r="C901" s="636" t="s">
        <v>4239</v>
      </c>
      <c r="D901" s="637" t="s">
        <v>4133</v>
      </c>
      <c r="E901" s="635" t="n">
        <v>0.01</v>
      </c>
      <c r="F901" s="626" t="n">
        <v>2500</v>
      </c>
      <c r="G901" s="636" t="n">
        <f aca="false">E901*F901</f>
        <v>25</v>
      </c>
      <c r="H901" s="606"/>
    </row>
    <row r="902" customFormat="false" ht="15" hidden="false" customHeight="false" outlineLevel="0" collapsed="false">
      <c r="A902" s="571"/>
      <c r="B902" s="500"/>
      <c r="C902" s="633" t="s">
        <v>4225</v>
      </c>
      <c r="D902" s="637" t="s">
        <v>4133</v>
      </c>
      <c r="E902" s="635" t="n">
        <v>0.001</v>
      </c>
      <c r="F902" s="626" t="n">
        <v>15100</v>
      </c>
      <c r="G902" s="636" t="n">
        <f aca="false">E902*F902</f>
        <v>15.1</v>
      </c>
      <c r="H902" s="571"/>
    </row>
    <row r="903" customFormat="false" ht="15" hidden="false" customHeight="false" outlineLevel="0" collapsed="false">
      <c r="A903" s="571"/>
      <c r="B903" s="500"/>
      <c r="C903" s="633" t="s">
        <v>4240</v>
      </c>
      <c r="D903" s="637" t="s">
        <v>4133</v>
      </c>
      <c r="E903" s="635" t="n">
        <v>0.001</v>
      </c>
      <c r="F903" s="626" t="n">
        <v>48000</v>
      </c>
      <c r="G903" s="636" t="n">
        <f aca="false">E903*F903</f>
        <v>48</v>
      </c>
      <c r="H903" s="606"/>
    </row>
    <row r="904" customFormat="false" ht="30" hidden="false" customHeight="false" outlineLevel="0" collapsed="false">
      <c r="A904" s="571"/>
      <c r="B904" s="500"/>
      <c r="C904" s="633" t="s">
        <v>4241</v>
      </c>
      <c r="D904" s="571" t="s">
        <v>4133</v>
      </c>
      <c r="E904" s="633" t="n">
        <v>0.001</v>
      </c>
      <c r="F904" s="626" t="n">
        <v>65000</v>
      </c>
      <c r="G904" s="636" t="n">
        <f aca="false">E904*F904</f>
        <v>65</v>
      </c>
      <c r="H904" s="606"/>
    </row>
    <row r="905" customFormat="false" ht="15" hidden="false" customHeight="false" outlineLevel="0" collapsed="false">
      <c r="A905" s="571"/>
      <c r="B905" s="500"/>
      <c r="C905" s="647" t="s">
        <v>4243</v>
      </c>
      <c r="D905" s="571" t="s">
        <v>4133</v>
      </c>
      <c r="E905" s="635" t="n">
        <v>0.01</v>
      </c>
      <c r="F905" s="648" t="n">
        <v>5121</v>
      </c>
      <c r="G905" s="636" t="n">
        <f aca="false">E905*F905</f>
        <v>51.21</v>
      </c>
      <c r="H905" s="606"/>
    </row>
    <row r="906" customFormat="false" ht="15" hidden="false" customHeight="false" outlineLevel="0" collapsed="false">
      <c r="A906" s="571"/>
      <c r="B906" s="608"/>
      <c r="C906" s="633" t="s">
        <v>4244</v>
      </c>
      <c r="D906" s="637" t="s">
        <v>4133</v>
      </c>
      <c r="E906" s="635" t="n">
        <v>0.0012</v>
      </c>
      <c r="F906" s="626" t="n">
        <v>57000</v>
      </c>
      <c r="G906" s="636" t="n">
        <f aca="false">E906*F906</f>
        <v>68.4</v>
      </c>
      <c r="H906" s="606"/>
    </row>
    <row r="907" customFormat="false" ht="15" hidden="false" customHeight="false" outlineLevel="0" collapsed="false">
      <c r="A907" s="571"/>
      <c r="B907" s="500"/>
      <c r="C907" s="633" t="s">
        <v>4245</v>
      </c>
      <c r="D907" s="571" t="s">
        <v>4138</v>
      </c>
      <c r="E907" s="629" t="s">
        <v>4271</v>
      </c>
      <c r="F907" s="626" t="n">
        <v>25000</v>
      </c>
      <c r="G907" s="636" t="n">
        <f aca="false">E907*F907</f>
        <v>750</v>
      </c>
      <c r="H907" s="606"/>
    </row>
    <row r="908" customFormat="false" ht="15" hidden="false" customHeight="false" outlineLevel="0" collapsed="false">
      <c r="A908" s="571"/>
      <c r="B908" s="500"/>
      <c r="C908" s="638" t="s">
        <v>4120</v>
      </c>
      <c r="D908" s="637" t="s">
        <v>4121</v>
      </c>
      <c r="E908" s="633" t="n">
        <v>0.03</v>
      </c>
      <c r="F908" s="639" t="n">
        <v>1500</v>
      </c>
      <c r="G908" s="636" t="n">
        <f aca="false">E908*F908</f>
        <v>45</v>
      </c>
      <c r="H908" s="571"/>
    </row>
    <row r="909" customFormat="false" ht="15" hidden="false" customHeight="false" outlineLevel="0" collapsed="false">
      <c r="A909" s="571"/>
      <c r="B909" s="500"/>
      <c r="C909" s="638" t="s">
        <v>4122</v>
      </c>
      <c r="D909" s="637" t="s">
        <v>4123</v>
      </c>
      <c r="E909" s="633" t="n">
        <v>0.065</v>
      </c>
      <c r="F909" s="626" t="n">
        <v>800</v>
      </c>
      <c r="G909" s="636" t="n">
        <f aca="false">E909*F909</f>
        <v>52</v>
      </c>
      <c r="H909" s="571"/>
    </row>
    <row r="910" customFormat="false" ht="15" hidden="false" customHeight="false" outlineLevel="0" collapsed="false">
      <c r="A910" s="571"/>
      <c r="B910" s="608"/>
      <c r="C910" s="633" t="s">
        <v>4124</v>
      </c>
      <c r="D910" s="637" t="s">
        <v>4125</v>
      </c>
      <c r="E910" s="633" t="n">
        <v>0.71</v>
      </c>
      <c r="F910" s="626" t="n">
        <v>120</v>
      </c>
      <c r="G910" s="636" t="n">
        <f aca="false">E910*F910</f>
        <v>85.2</v>
      </c>
      <c r="H910" s="571"/>
    </row>
    <row r="911" customFormat="false" ht="15" hidden="false" customHeight="false" outlineLevel="0" collapsed="false">
      <c r="A911" s="571"/>
      <c r="B911" s="500"/>
      <c r="C911" s="633" t="s">
        <v>4126</v>
      </c>
      <c r="D911" s="637" t="s">
        <v>4127</v>
      </c>
      <c r="E911" s="633" t="n">
        <v>0.021</v>
      </c>
      <c r="F911" s="626" t="n">
        <v>2700</v>
      </c>
      <c r="G911" s="636" t="n">
        <f aca="false">E911*F911</f>
        <v>56.7</v>
      </c>
      <c r="H911" s="571"/>
    </row>
    <row r="912" customFormat="false" ht="15" hidden="false" customHeight="false" outlineLevel="0" collapsed="false">
      <c r="A912" s="571"/>
      <c r="B912" s="608" t="s">
        <v>4128</v>
      </c>
      <c r="C912" s="629"/>
      <c r="D912" s="571"/>
      <c r="E912" s="629"/>
      <c r="F912" s="630"/>
      <c r="G912" s="640" t="n">
        <f aca="false">SUM(G901:G911)</f>
        <v>1261.61</v>
      </c>
      <c r="H912" s="571"/>
    </row>
    <row r="913" customFormat="false" ht="15" hidden="false" customHeight="false" outlineLevel="0" collapsed="false">
      <c r="A913" s="571" t="s">
        <v>188</v>
      </c>
      <c r="B913" s="632" t="s">
        <v>2914</v>
      </c>
      <c r="C913" s="635" t="s">
        <v>4246</v>
      </c>
      <c r="D913" s="571" t="s">
        <v>4138</v>
      </c>
      <c r="E913" s="629" t="n">
        <v>0.1</v>
      </c>
      <c r="F913" s="648" t="n">
        <v>150000</v>
      </c>
      <c r="G913" s="636" t="n">
        <f aca="false">E913*F913</f>
        <v>15000</v>
      </c>
      <c r="H913" s="606"/>
    </row>
    <row r="914" customFormat="false" ht="15" hidden="false" customHeight="false" outlineLevel="0" collapsed="false">
      <c r="A914" s="571"/>
      <c r="B914" s="500"/>
      <c r="C914" s="635" t="s">
        <v>4158</v>
      </c>
      <c r="D914" s="634" t="s">
        <v>4133</v>
      </c>
      <c r="E914" s="635" t="n">
        <v>0.01</v>
      </c>
      <c r="F914" s="648" t="n">
        <v>7000</v>
      </c>
      <c r="G914" s="636" t="n">
        <f aca="false">E914*F914</f>
        <v>70</v>
      </c>
      <c r="H914" s="571"/>
    </row>
    <row r="915" customFormat="false" ht="15" hidden="false" customHeight="false" outlineLevel="0" collapsed="false">
      <c r="A915" s="571"/>
      <c r="B915" s="500"/>
      <c r="C915" s="638" t="s">
        <v>4248</v>
      </c>
      <c r="D915" s="637" t="s">
        <v>4133</v>
      </c>
      <c r="E915" s="635" t="n">
        <v>0.01</v>
      </c>
      <c r="F915" s="626" t="s">
        <v>4249</v>
      </c>
      <c r="G915" s="636" t="n">
        <f aca="false">E915*F915</f>
        <v>60.48</v>
      </c>
      <c r="H915" s="571"/>
    </row>
    <row r="916" customFormat="false" ht="15" hidden="false" customHeight="false" outlineLevel="0" collapsed="false">
      <c r="A916" s="571"/>
      <c r="B916" s="608"/>
      <c r="C916" s="635" t="s">
        <v>4250</v>
      </c>
      <c r="D916" s="637" t="s">
        <v>4133</v>
      </c>
      <c r="E916" s="635" t="s">
        <v>4360</v>
      </c>
      <c r="F916" s="648" t="n">
        <v>250000</v>
      </c>
      <c r="G916" s="636" t="n">
        <f aca="false">E916*F916</f>
        <v>3750</v>
      </c>
      <c r="H916" s="571"/>
    </row>
    <row r="917" customFormat="false" ht="15" hidden="false" customHeight="false" outlineLevel="0" collapsed="false">
      <c r="A917" s="571"/>
      <c r="B917" s="608"/>
      <c r="C917" s="635" t="s">
        <v>4212</v>
      </c>
      <c r="D917" s="637" t="s">
        <v>4133</v>
      </c>
      <c r="E917" s="635" t="n">
        <v>0.006</v>
      </c>
      <c r="F917" s="648" t="n">
        <v>31360</v>
      </c>
      <c r="G917" s="636" t="n">
        <f aca="false">E917*F917</f>
        <v>188.16</v>
      </c>
      <c r="H917" s="571"/>
    </row>
    <row r="918" customFormat="false" ht="15" hidden="false" customHeight="false" outlineLevel="0" collapsed="false">
      <c r="A918" s="571"/>
      <c r="B918" s="500"/>
      <c r="C918" s="635" t="s">
        <v>4147</v>
      </c>
      <c r="D918" s="637" t="s">
        <v>4133</v>
      </c>
      <c r="E918" s="635" t="n">
        <v>0.00111</v>
      </c>
      <c r="F918" s="626" t="n">
        <v>14039</v>
      </c>
      <c r="G918" s="636" t="n">
        <f aca="false">E918*F918</f>
        <v>15.58329</v>
      </c>
      <c r="H918" s="571"/>
    </row>
    <row r="919" customFormat="false" ht="15" hidden="false" customHeight="false" outlineLevel="0" collapsed="false">
      <c r="A919" s="571"/>
      <c r="B919" s="500"/>
      <c r="C919" s="635" t="s">
        <v>4251</v>
      </c>
      <c r="D919" s="634" t="s">
        <v>4252</v>
      </c>
      <c r="E919" s="635" t="n">
        <v>0.002</v>
      </c>
      <c r="F919" s="648" t="n">
        <v>275000</v>
      </c>
      <c r="G919" s="636" t="n">
        <f aca="false">E919*F919</f>
        <v>550</v>
      </c>
      <c r="H919" s="606"/>
    </row>
    <row r="920" customFormat="false" ht="15" hidden="false" customHeight="false" outlineLevel="0" collapsed="false">
      <c r="A920" s="571"/>
      <c r="B920" s="500"/>
      <c r="C920" s="638" t="s">
        <v>4120</v>
      </c>
      <c r="D920" s="637" t="s">
        <v>4121</v>
      </c>
      <c r="E920" s="633" t="n">
        <v>0.03</v>
      </c>
      <c r="F920" s="639" t="n">
        <v>1500</v>
      </c>
      <c r="G920" s="636" t="n">
        <f aca="false">E920*F920</f>
        <v>45</v>
      </c>
      <c r="H920" s="571"/>
    </row>
    <row r="921" customFormat="false" ht="15" hidden="false" customHeight="false" outlineLevel="0" collapsed="false">
      <c r="A921" s="571"/>
      <c r="B921" s="500"/>
      <c r="C921" s="638" t="s">
        <v>4122</v>
      </c>
      <c r="D921" s="637" t="s">
        <v>4123</v>
      </c>
      <c r="E921" s="633" t="n">
        <v>0.065</v>
      </c>
      <c r="F921" s="626" t="n">
        <v>800</v>
      </c>
      <c r="G921" s="636" t="n">
        <f aca="false">E921*F921</f>
        <v>52</v>
      </c>
      <c r="H921" s="571"/>
    </row>
    <row r="922" customFormat="false" ht="15" hidden="false" customHeight="false" outlineLevel="0" collapsed="false">
      <c r="A922" s="571"/>
      <c r="B922" s="500"/>
      <c r="C922" s="633" t="s">
        <v>4124</v>
      </c>
      <c r="D922" s="637" t="s">
        <v>4125</v>
      </c>
      <c r="E922" s="633" t="n">
        <v>0.71</v>
      </c>
      <c r="F922" s="626" t="n">
        <v>120</v>
      </c>
      <c r="G922" s="636" t="n">
        <f aca="false">E922*F922</f>
        <v>85.2</v>
      </c>
      <c r="H922" s="571"/>
    </row>
    <row r="923" customFormat="false" ht="15" hidden="false" customHeight="false" outlineLevel="0" collapsed="false">
      <c r="A923" s="571"/>
      <c r="B923" s="500"/>
      <c r="C923" s="633" t="s">
        <v>4126</v>
      </c>
      <c r="D923" s="637" t="s">
        <v>4127</v>
      </c>
      <c r="E923" s="633" t="n">
        <v>0.021</v>
      </c>
      <c r="F923" s="626" t="n">
        <v>2700</v>
      </c>
      <c r="G923" s="636" t="n">
        <f aca="false">E923*F923</f>
        <v>56.7</v>
      </c>
      <c r="H923" s="571"/>
    </row>
    <row r="924" customFormat="false" ht="15" hidden="false" customHeight="false" outlineLevel="0" collapsed="false">
      <c r="A924" s="571"/>
      <c r="B924" s="608" t="s">
        <v>4128</v>
      </c>
      <c r="C924" s="629"/>
      <c r="D924" s="571"/>
      <c r="E924" s="629"/>
      <c r="F924" s="630"/>
      <c r="G924" s="640" t="n">
        <f aca="false">SUM(G913:G923)</f>
        <v>19873.12329</v>
      </c>
      <c r="H924" s="571"/>
    </row>
    <row r="925" customFormat="false" ht="15" hidden="false" customHeight="false" outlineLevel="0" collapsed="false">
      <c r="A925" s="571" t="s">
        <v>189</v>
      </c>
      <c r="B925" s="632" t="s">
        <v>2915</v>
      </c>
      <c r="C925" s="633" t="s">
        <v>4371</v>
      </c>
      <c r="D925" s="637" t="s">
        <v>4133</v>
      </c>
      <c r="E925" s="635" t="n">
        <v>0.011</v>
      </c>
      <c r="F925" s="626" t="n">
        <v>28000</v>
      </c>
      <c r="G925" s="636" t="n">
        <f aca="false">E925*F925</f>
        <v>308</v>
      </c>
      <c r="H925" s="606"/>
    </row>
    <row r="926" customFormat="false" ht="15" hidden="false" customHeight="false" outlineLevel="0" collapsed="false">
      <c r="A926" s="571"/>
      <c r="B926" s="500"/>
      <c r="C926" s="633" t="s">
        <v>4154</v>
      </c>
      <c r="D926" s="637" t="s">
        <v>4133</v>
      </c>
      <c r="E926" s="635" t="n">
        <v>0.04</v>
      </c>
      <c r="F926" s="626" t="n">
        <v>10976</v>
      </c>
      <c r="G926" s="636" t="n">
        <f aca="false">E926*F926</f>
        <v>439.04</v>
      </c>
      <c r="H926" s="571"/>
    </row>
    <row r="927" customFormat="false" ht="15" hidden="false" customHeight="false" outlineLevel="0" collapsed="false">
      <c r="A927" s="571"/>
      <c r="B927" s="500"/>
      <c r="C927" s="633" t="s">
        <v>4309</v>
      </c>
      <c r="D927" s="637" t="s">
        <v>4133</v>
      </c>
      <c r="E927" s="635" t="n">
        <v>0.01</v>
      </c>
      <c r="F927" s="626" t="n">
        <v>6500</v>
      </c>
      <c r="G927" s="636" t="n">
        <f aca="false">E927*F927</f>
        <v>65</v>
      </c>
      <c r="H927" s="606"/>
    </row>
    <row r="928" customFormat="false" ht="15" hidden="false" customHeight="false" outlineLevel="0" collapsed="false">
      <c r="A928" s="571"/>
      <c r="B928" s="608"/>
      <c r="C928" s="633" t="s">
        <v>4255</v>
      </c>
      <c r="D928" s="571" t="s">
        <v>4138</v>
      </c>
      <c r="E928" s="629" t="n">
        <v>0.1</v>
      </c>
      <c r="F928" s="626" t="n">
        <v>6900</v>
      </c>
      <c r="G928" s="636" t="n">
        <f aca="false">E928*F928</f>
        <v>690</v>
      </c>
      <c r="H928" s="606"/>
    </row>
    <row r="929" customFormat="false" ht="30" hidden="false" customHeight="false" outlineLevel="0" collapsed="false">
      <c r="A929" s="571"/>
      <c r="B929" s="500"/>
      <c r="C929" s="633" t="s">
        <v>4256</v>
      </c>
      <c r="D929" s="637" t="s">
        <v>4133</v>
      </c>
      <c r="E929" s="635" t="n">
        <v>0.016</v>
      </c>
      <c r="F929" s="626" t="n">
        <v>17500</v>
      </c>
      <c r="G929" s="636" t="n">
        <f aca="false">E929*F929</f>
        <v>280</v>
      </c>
      <c r="H929" s="606"/>
    </row>
    <row r="930" customFormat="false" ht="15" hidden="false" customHeight="false" outlineLevel="0" collapsed="false">
      <c r="A930" s="571"/>
      <c r="B930" s="608"/>
      <c r="C930" s="633" t="s">
        <v>4147</v>
      </c>
      <c r="D930" s="637" t="s">
        <v>4133</v>
      </c>
      <c r="E930" s="633" t="n">
        <v>0.01</v>
      </c>
      <c r="F930" s="626" t="n">
        <v>14039</v>
      </c>
      <c r="G930" s="636" t="n">
        <f aca="false">E930*F930</f>
        <v>140.39</v>
      </c>
      <c r="H930" s="571"/>
    </row>
    <row r="931" customFormat="false" ht="15" hidden="false" customHeight="false" outlineLevel="0" collapsed="false">
      <c r="A931" s="571"/>
      <c r="B931" s="500"/>
      <c r="C931" s="638" t="s">
        <v>4120</v>
      </c>
      <c r="D931" s="637" t="s">
        <v>4121</v>
      </c>
      <c r="E931" s="633" t="n">
        <v>0.03</v>
      </c>
      <c r="F931" s="639" t="n">
        <v>1500</v>
      </c>
      <c r="G931" s="636" t="n">
        <f aca="false">E931*F931</f>
        <v>45</v>
      </c>
      <c r="H931" s="571"/>
    </row>
    <row r="932" customFormat="false" ht="15" hidden="false" customHeight="false" outlineLevel="0" collapsed="false">
      <c r="A932" s="571"/>
      <c r="B932" s="500"/>
      <c r="C932" s="638" t="s">
        <v>4122</v>
      </c>
      <c r="D932" s="637" t="s">
        <v>4123</v>
      </c>
      <c r="E932" s="633" t="n">
        <v>0.065</v>
      </c>
      <c r="F932" s="626" t="n">
        <v>800</v>
      </c>
      <c r="G932" s="636" t="n">
        <f aca="false">E932*F932</f>
        <v>52</v>
      </c>
      <c r="H932" s="571"/>
    </row>
    <row r="933" customFormat="false" ht="15" hidden="false" customHeight="false" outlineLevel="0" collapsed="false">
      <c r="A933" s="571"/>
      <c r="B933" s="500"/>
      <c r="C933" s="633" t="s">
        <v>4124</v>
      </c>
      <c r="D933" s="637" t="s">
        <v>4125</v>
      </c>
      <c r="E933" s="633" t="n">
        <v>0.71</v>
      </c>
      <c r="F933" s="626" t="n">
        <v>120</v>
      </c>
      <c r="G933" s="636" t="n">
        <f aca="false">E933*F933</f>
        <v>85.2</v>
      </c>
      <c r="H933" s="571"/>
    </row>
    <row r="934" customFormat="false" ht="15" hidden="false" customHeight="false" outlineLevel="0" collapsed="false">
      <c r="A934" s="571"/>
      <c r="B934" s="500"/>
      <c r="C934" s="633" t="s">
        <v>4126</v>
      </c>
      <c r="D934" s="637" t="s">
        <v>4127</v>
      </c>
      <c r="E934" s="633" t="n">
        <v>0.021</v>
      </c>
      <c r="F934" s="626" t="n">
        <v>2700</v>
      </c>
      <c r="G934" s="636" t="n">
        <f aca="false">E934*F934</f>
        <v>56.7</v>
      </c>
      <c r="H934" s="571"/>
    </row>
    <row r="935" customFormat="false" ht="15" hidden="false" customHeight="false" outlineLevel="0" collapsed="false">
      <c r="A935" s="571"/>
      <c r="B935" s="608" t="s">
        <v>4128</v>
      </c>
      <c r="C935" s="640"/>
      <c r="D935" s="327"/>
      <c r="E935" s="640"/>
      <c r="F935" s="643"/>
      <c r="G935" s="640" t="n">
        <f aca="false">SUM(G925:G934)</f>
        <v>2161.33</v>
      </c>
      <c r="H935" s="571"/>
    </row>
    <row r="936" customFormat="false" ht="15" hidden="false" customHeight="false" outlineLevel="0" collapsed="false">
      <c r="A936" s="571" t="s">
        <v>190</v>
      </c>
      <c r="B936" s="500" t="s">
        <v>4259</v>
      </c>
      <c r="C936" s="629" t="s">
        <v>4260</v>
      </c>
      <c r="D936" s="571" t="s">
        <v>4138</v>
      </c>
      <c r="E936" s="629" t="s">
        <v>4271</v>
      </c>
      <c r="F936" s="648" t="n">
        <v>20000</v>
      </c>
      <c r="G936" s="636" t="n">
        <f aca="false">E936*F936</f>
        <v>600</v>
      </c>
      <c r="H936" s="571"/>
    </row>
    <row r="937" customFormat="false" ht="30" hidden="false" customHeight="false" outlineLevel="0" collapsed="false">
      <c r="A937" s="571"/>
      <c r="B937" s="500"/>
      <c r="C937" s="629" t="s">
        <v>4261</v>
      </c>
      <c r="D937" s="571" t="s">
        <v>4133</v>
      </c>
      <c r="E937" s="633" t="n">
        <v>0.01</v>
      </c>
      <c r="F937" s="639" t="n">
        <v>10500</v>
      </c>
      <c r="G937" s="636" t="n">
        <f aca="false">E937*F937</f>
        <v>105</v>
      </c>
      <c r="H937" s="571"/>
    </row>
    <row r="938" customFormat="false" ht="15" hidden="false" customHeight="false" outlineLevel="0" collapsed="false">
      <c r="A938" s="571"/>
      <c r="B938" s="500"/>
      <c r="C938" s="629" t="s">
        <v>4262</v>
      </c>
      <c r="D938" s="571" t="s">
        <v>4133</v>
      </c>
      <c r="E938" s="633" t="n">
        <v>0.01</v>
      </c>
      <c r="F938" s="626" t="n">
        <v>17000</v>
      </c>
      <c r="G938" s="636" t="n">
        <f aca="false">E938*F938</f>
        <v>170</v>
      </c>
      <c r="H938" s="571"/>
    </row>
    <row r="939" customFormat="false" ht="15" hidden="false" customHeight="false" outlineLevel="0" collapsed="false">
      <c r="A939" s="571"/>
      <c r="B939" s="500"/>
      <c r="C939" s="629" t="s">
        <v>4263</v>
      </c>
      <c r="D939" s="571" t="s">
        <v>4133</v>
      </c>
      <c r="E939" s="633" t="n">
        <v>0.01</v>
      </c>
      <c r="F939" s="626" t="n">
        <v>18000</v>
      </c>
      <c r="G939" s="636" t="n">
        <f aca="false">E939*F939</f>
        <v>180</v>
      </c>
      <c r="H939" s="571"/>
    </row>
    <row r="940" customFormat="false" ht="15" hidden="false" customHeight="false" outlineLevel="0" collapsed="false">
      <c r="A940" s="571"/>
      <c r="B940" s="500"/>
      <c r="C940" s="629" t="s">
        <v>4264</v>
      </c>
      <c r="D940" s="571" t="s">
        <v>4133</v>
      </c>
      <c r="E940" s="633" t="s">
        <v>4213</v>
      </c>
      <c r="F940" s="644" t="n">
        <v>60000</v>
      </c>
      <c r="G940" s="636" t="n">
        <f aca="false">E940*F940</f>
        <v>300</v>
      </c>
      <c r="H940" s="571"/>
    </row>
    <row r="941" customFormat="false" ht="15" hidden="false" customHeight="false" outlineLevel="0" collapsed="false">
      <c r="A941" s="571"/>
      <c r="B941" s="608"/>
      <c r="C941" s="629" t="s">
        <v>4265</v>
      </c>
      <c r="D941" s="571" t="s">
        <v>4133</v>
      </c>
      <c r="E941" s="635" t="n">
        <v>0.001</v>
      </c>
      <c r="F941" s="648" t="n">
        <v>31360</v>
      </c>
      <c r="G941" s="636" t="n">
        <f aca="false">E941*F941</f>
        <v>31.36</v>
      </c>
      <c r="H941" s="571"/>
    </row>
    <row r="942" customFormat="false" ht="30" hidden="false" customHeight="false" outlineLevel="0" collapsed="false">
      <c r="A942" s="571"/>
      <c r="B942" s="500"/>
      <c r="C942" s="629" t="s">
        <v>4227</v>
      </c>
      <c r="D942" s="571" t="s">
        <v>4133</v>
      </c>
      <c r="E942" s="633" t="n">
        <v>0.01</v>
      </c>
      <c r="F942" s="626" t="n">
        <v>24000</v>
      </c>
      <c r="G942" s="636" t="n">
        <f aca="false">E942*F942</f>
        <v>240</v>
      </c>
      <c r="H942" s="571"/>
    </row>
    <row r="943" customFormat="false" ht="15" hidden="false" customHeight="false" outlineLevel="0" collapsed="false">
      <c r="A943" s="571"/>
      <c r="B943" s="500"/>
      <c r="C943" s="629" t="s">
        <v>4266</v>
      </c>
      <c r="D943" s="571" t="s">
        <v>4133</v>
      </c>
      <c r="E943" s="633" t="n">
        <v>0.01</v>
      </c>
      <c r="F943" s="626" t="n">
        <v>12320</v>
      </c>
      <c r="G943" s="636" t="n">
        <f aca="false">E943*F943</f>
        <v>123.2</v>
      </c>
      <c r="H943" s="571"/>
    </row>
    <row r="944" customFormat="false" ht="15" hidden="false" customHeight="false" outlineLevel="0" collapsed="false">
      <c r="A944" s="571"/>
      <c r="B944" s="500"/>
      <c r="C944" s="629" t="s">
        <v>4158</v>
      </c>
      <c r="D944" s="571" t="s">
        <v>4133</v>
      </c>
      <c r="E944" s="633" t="n">
        <v>0.01</v>
      </c>
      <c r="F944" s="626" t="n">
        <v>7000</v>
      </c>
      <c r="G944" s="636" t="n">
        <f aca="false">E944*F944</f>
        <v>70</v>
      </c>
      <c r="H944" s="571"/>
    </row>
    <row r="945" customFormat="false" ht="15" hidden="false" customHeight="false" outlineLevel="0" collapsed="false">
      <c r="A945" s="571"/>
      <c r="B945" s="500"/>
      <c r="C945" s="629" t="s">
        <v>4147</v>
      </c>
      <c r="D945" s="571" t="s">
        <v>4133</v>
      </c>
      <c r="E945" s="635" t="n">
        <v>0.01</v>
      </c>
      <c r="F945" s="626" t="n">
        <v>14039</v>
      </c>
      <c r="G945" s="636" t="n">
        <f aca="false">E945*F945</f>
        <v>140.39</v>
      </c>
      <c r="H945" s="571"/>
    </row>
    <row r="946" customFormat="false" ht="15" hidden="false" customHeight="false" outlineLevel="0" collapsed="false">
      <c r="A946" s="571"/>
      <c r="B946" s="500"/>
      <c r="C946" s="629" t="s">
        <v>4225</v>
      </c>
      <c r="D946" s="571" t="s">
        <v>4133</v>
      </c>
      <c r="E946" s="633" t="n">
        <v>0.01</v>
      </c>
      <c r="F946" s="639" t="n">
        <v>15100</v>
      </c>
      <c r="G946" s="636" t="n">
        <f aca="false">E946*F946</f>
        <v>151</v>
      </c>
      <c r="H946" s="571"/>
    </row>
    <row r="947" customFormat="false" ht="15" hidden="false" customHeight="false" outlineLevel="0" collapsed="false">
      <c r="A947" s="571"/>
      <c r="B947" s="608"/>
      <c r="C947" s="638" t="s">
        <v>4120</v>
      </c>
      <c r="D947" s="637" t="s">
        <v>4121</v>
      </c>
      <c r="E947" s="633" t="n">
        <v>0.03</v>
      </c>
      <c r="F947" s="639" t="n">
        <v>1500</v>
      </c>
      <c r="G947" s="636" t="n">
        <f aca="false">E947*F947</f>
        <v>45</v>
      </c>
      <c r="H947" s="571"/>
    </row>
    <row r="948" customFormat="false" ht="15" hidden="false" customHeight="false" outlineLevel="0" collapsed="false">
      <c r="A948" s="571"/>
      <c r="B948" s="608"/>
      <c r="C948" s="638" t="s">
        <v>4122</v>
      </c>
      <c r="D948" s="637" t="s">
        <v>4123</v>
      </c>
      <c r="E948" s="633" t="n">
        <v>0.1</v>
      </c>
      <c r="F948" s="626" t="n">
        <v>800</v>
      </c>
      <c r="G948" s="636" t="n">
        <f aca="false">E948*F948</f>
        <v>80</v>
      </c>
      <c r="H948" s="571"/>
    </row>
    <row r="949" customFormat="false" ht="15" hidden="false" customHeight="false" outlineLevel="0" collapsed="false">
      <c r="A949" s="571"/>
      <c r="B949" s="500"/>
      <c r="C949" s="633" t="s">
        <v>4124</v>
      </c>
      <c r="D949" s="637" t="s">
        <v>4125</v>
      </c>
      <c r="E949" s="633" t="n">
        <v>0.1</v>
      </c>
      <c r="F949" s="626" t="n">
        <v>120</v>
      </c>
      <c r="G949" s="636" t="n">
        <f aca="false">E949*F949</f>
        <v>12</v>
      </c>
      <c r="H949" s="571"/>
    </row>
    <row r="950" customFormat="false" ht="15" hidden="false" customHeight="false" outlineLevel="0" collapsed="false">
      <c r="A950" s="571"/>
      <c r="B950" s="608"/>
      <c r="C950" s="633" t="s">
        <v>4126</v>
      </c>
      <c r="D950" s="637" t="s">
        <v>4127</v>
      </c>
      <c r="E950" s="633" t="n">
        <v>0.021</v>
      </c>
      <c r="F950" s="626" t="n">
        <v>2700</v>
      </c>
      <c r="G950" s="636" t="n">
        <f aca="false">E950*F950</f>
        <v>56.7</v>
      </c>
      <c r="H950" s="571"/>
    </row>
    <row r="951" customFormat="false" ht="15" hidden="false" customHeight="false" outlineLevel="0" collapsed="false">
      <c r="A951" s="571"/>
      <c r="B951" s="608" t="s">
        <v>4128</v>
      </c>
      <c r="C951" s="629"/>
      <c r="D951" s="571"/>
      <c r="E951" s="629"/>
      <c r="F951" s="630"/>
      <c r="G951" s="640" t="n">
        <f aca="false">SUM(G936:G950)</f>
        <v>2304.65</v>
      </c>
      <c r="H951" s="571"/>
    </row>
    <row r="952" customFormat="false" ht="15" hidden="false" customHeight="false" outlineLevel="0" collapsed="false">
      <c r="A952" s="571" t="s">
        <v>192</v>
      </c>
      <c r="B952" s="500" t="s">
        <v>3269</v>
      </c>
      <c r="C952" s="650" t="s">
        <v>4189</v>
      </c>
      <c r="D952" s="637" t="s">
        <v>4127</v>
      </c>
      <c r="E952" s="629" t="n">
        <v>0.01</v>
      </c>
      <c r="F952" s="630" t="n">
        <v>3600</v>
      </c>
      <c r="G952" s="636" t="n">
        <f aca="false">E952*F952</f>
        <v>36</v>
      </c>
      <c r="H952" s="571"/>
    </row>
    <row r="953" customFormat="false" ht="15" hidden="false" customHeight="false" outlineLevel="0" collapsed="false">
      <c r="A953" s="571"/>
      <c r="B953" s="500"/>
      <c r="C953" s="633" t="s">
        <v>4268</v>
      </c>
      <c r="D953" s="571" t="s">
        <v>4138</v>
      </c>
      <c r="E953" s="629" t="n">
        <v>0.01</v>
      </c>
      <c r="F953" s="630" t="n">
        <v>6900</v>
      </c>
      <c r="G953" s="636" t="n">
        <f aca="false">E953*F953</f>
        <v>69</v>
      </c>
      <c r="H953" s="606"/>
    </row>
    <row r="954" customFormat="false" ht="15" hidden="false" customHeight="false" outlineLevel="0" collapsed="false">
      <c r="A954" s="571"/>
      <c r="B954" s="608"/>
      <c r="C954" s="650" t="s">
        <v>4269</v>
      </c>
      <c r="D954" s="637" t="s">
        <v>4133</v>
      </c>
      <c r="E954" s="633" t="s">
        <v>4200</v>
      </c>
      <c r="F954" s="639" t="n">
        <v>13500</v>
      </c>
      <c r="G954" s="636" t="n">
        <f aca="false">E954*F954</f>
        <v>675</v>
      </c>
      <c r="H954" s="606"/>
    </row>
    <row r="955" customFormat="false" ht="15" hidden="false" customHeight="false" outlineLevel="0" collapsed="false">
      <c r="A955" s="571"/>
      <c r="B955" s="500"/>
      <c r="C955" s="638" t="s">
        <v>4120</v>
      </c>
      <c r="D955" s="637" t="s">
        <v>4121</v>
      </c>
      <c r="E955" s="633" t="n">
        <v>0.03</v>
      </c>
      <c r="F955" s="639" t="n">
        <v>1500</v>
      </c>
      <c r="G955" s="636" t="n">
        <f aca="false">E955*F955</f>
        <v>45</v>
      </c>
      <c r="H955" s="571"/>
    </row>
    <row r="956" customFormat="false" ht="15" hidden="false" customHeight="false" outlineLevel="0" collapsed="false">
      <c r="A956" s="571"/>
      <c r="B956" s="500"/>
      <c r="C956" s="633" t="s">
        <v>4270</v>
      </c>
      <c r="D956" s="637" t="s">
        <v>4149</v>
      </c>
      <c r="E956" s="633" t="n">
        <v>0.05</v>
      </c>
      <c r="F956" s="626" t="n">
        <v>7560</v>
      </c>
      <c r="G956" s="636" t="n">
        <f aca="false">E956*F956</f>
        <v>378</v>
      </c>
      <c r="H956" s="571"/>
    </row>
    <row r="957" customFormat="false" ht="15" hidden="false" customHeight="false" outlineLevel="0" collapsed="false">
      <c r="A957" s="571"/>
      <c r="B957" s="500"/>
      <c r="C957" s="633" t="s">
        <v>4124</v>
      </c>
      <c r="D957" s="637" t="s">
        <v>4125</v>
      </c>
      <c r="E957" s="633" t="n">
        <v>0.7</v>
      </c>
      <c r="F957" s="626" t="n">
        <v>120</v>
      </c>
      <c r="G957" s="636" t="n">
        <f aca="false">E957*F957</f>
        <v>84</v>
      </c>
      <c r="H957" s="571"/>
    </row>
    <row r="958" customFormat="false" ht="15" hidden="false" customHeight="false" outlineLevel="0" collapsed="false">
      <c r="A958" s="571"/>
      <c r="B958" s="500"/>
      <c r="C958" s="633" t="s">
        <v>4126</v>
      </c>
      <c r="D958" s="637" t="s">
        <v>4127</v>
      </c>
      <c r="E958" s="633" t="n">
        <v>0.021</v>
      </c>
      <c r="F958" s="626" t="n">
        <v>2700</v>
      </c>
      <c r="G958" s="636" t="n">
        <f aca="false">E958*F958</f>
        <v>56.7</v>
      </c>
      <c r="H958" s="571"/>
    </row>
    <row r="959" customFormat="false" ht="15" hidden="false" customHeight="false" outlineLevel="0" collapsed="false">
      <c r="A959" s="571"/>
      <c r="B959" s="608" t="s">
        <v>4128</v>
      </c>
      <c r="C959" s="629"/>
      <c r="D959" s="571"/>
      <c r="E959" s="629"/>
      <c r="F959" s="630"/>
      <c r="G959" s="640" t="n">
        <f aca="false">SUM(G952:G958)</f>
        <v>1343.7</v>
      </c>
      <c r="H959" s="571"/>
    </row>
    <row r="960" customFormat="false" ht="15" hidden="false" customHeight="false" outlineLevel="0" collapsed="false">
      <c r="A960" s="571" t="s">
        <v>193</v>
      </c>
      <c r="B960" s="500" t="s">
        <v>3269</v>
      </c>
      <c r="C960" s="650" t="s">
        <v>4189</v>
      </c>
      <c r="D960" s="637" t="s">
        <v>4133</v>
      </c>
      <c r="E960" s="629" t="n">
        <v>0.095</v>
      </c>
      <c r="F960" s="630" t="n">
        <v>3559.84</v>
      </c>
      <c r="G960" s="636" t="n">
        <f aca="false">E960*F960</f>
        <v>338.1848</v>
      </c>
      <c r="H960" s="571"/>
    </row>
    <row r="961" customFormat="false" ht="15" hidden="false" customHeight="false" outlineLevel="0" collapsed="false">
      <c r="A961" s="571"/>
      <c r="B961" s="500"/>
      <c r="C961" s="638" t="s">
        <v>4272</v>
      </c>
      <c r="D961" s="637" t="s">
        <v>4252</v>
      </c>
      <c r="E961" s="629" t="s">
        <v>4213</v>
      </c>
      <c r="F961" s="626" t="n">
        <v>100000</v>
      </c>
      <c r="G961" s="636" t="n">
        <f aca="false">E961*F961</f>
        <v>500</v>
      </c>
      <c r="H961" s="606"/>
    </row>
    <row r="962" customFormat="false" ht="15" hidden="false" customHeight="false" outlineLevel="0" collapsed="false">
      <c r="A962" s="571"/>
      <c r="B962" s="500"/>
      <c r="C962" s="633" t="s">
        <v>4268</v>
      </c>
      <c r="D962" s="571" t="s">
        <v>4138</v>
      </c>
      <c r="E962" s="629" t="n">
        <v>0.1</v>
      </c>
      <c r="F962" s="626" t="n">
        <v>6900</v>
      </c>
      <c r="G962" s="636" t="n">
        <f aca="false">E962*F962</f>
        <v>690</v>
      </c>
      <c r="H962" s="606"/>
    </row>
    <row r="963" customFormat="false" ht="15" hidden="false" customHeight="false" outlineLevel="0" collapsed="false">
      <c r="A963" s="571"/>
      <c r="B963" s="500"/>
      <c r="C963" s="638" t="s">
        <v>4120</v>
      </c>
      <c r="D963" s="637" t="s">
        <v>4121</v>
      </c>
      <c r="E963" s="633" t="n">
        <v>0.03</v>
      </c>
      <c r="F963" s="639" t="n">
        <v>1500</v>
      </c>
      <c r="G963" s="636" t="n">
        <f aca="false">E963*F963</f>
        <v>45</v>
      </c>
      <c r="H963" s="571"/>
    </row>
    <row r="964" customFormat="false" ht="15" hidden="false" customHeight="false" outlineLevel="0" collapsed="false">
      <c r="A964" s="571"/>
      <c r="B964" s="500"/>
      <c r="C964" s="638" t="s">
        <v>4122</v>
      </c>
      <c r="D964" s="637" t="s">
        <v>4123</v>
      </c>
      <c r="E964" s="633" t="n">
        <v>0.099</v>
      </c>
      <c r="F964" s="626" t="n">
        <v>800</v>
      </c>
      <c r="G964" s="636" t="n">
        <f aca="false">E964*F964</f>
        <v>79.2</v>
      </c>
      <c r="H964" s="571"/>
    </row>
    <row r="965" customFormat="false" ht="15" hidden="false" customHeight="false" outlineLevel="0" collapsed="false">
      <c r="A965" s="571"/>
      <c r="B965" s="608"/>
      <c r="C965" s="633" t="s">
        <v>4270</v>
      </c>
      <c r="D965" s="637" t="s">
        <v>4149</v>
      </c>
      <c r="E965" s="633" t="n">
        <v>0.05</v>
      </c>
      <c r="F965" s="626" t="n">
        <v>7560</v>
      </c>
      <c r="G965" s="636" t="n">
        <f aca="false">E965*F965</f>
        <v>378</v>
      </c>
      <c r="H965" s="571"/>
    </row>
    <row r="966" customFormat="false" ht="15" hidden="false" customHeight="false" outlineLevel="0" collapsed="false">
      <c r="A966" s="571"/>
      <c r="B966" s="500"/>
      <c r="C966" s="633" t="s">
        <v>4126</v>
      </c>
      <c r="D966" s="637" t="s">
        <v>4127</v>
      </c>
      <c r="E966" s="633" t="n">
        <v>0.021</v>
      </c>
      <c r="F966" s="626" t="n">
        <v>2700</v>
      </c>
      <c r="G966" s="636" t="n">
        <f aca="false">E966*F966</f>
        <v>56.7</v>
      </c>
      <c r="H966" s="571"/>
    </row>
    <row r="967" customFormat="false" ht="15" hidden="false" customHeight="false" outlineLevel="0" collapsed="false">
      <c r="A967" s="571"/>
      <c r="B967" s="608" t="s">
        <v>4128</v>
      </c>
      <c r="C967" s="640"/>
      <c r="D967" s="327"/>
      <c r="E967" s="640"/>
      <c r="F967" s="643"/>
      <c r="G967" s="640" t="n">
        <f aca="false">SUM(G960:G966)</f>
        <v>2087.0848</v>
      </c>
      <c r="H967" s="571"/>
    </row>
    <row r="968" customFormat="false" ht="15" hidden="false" customHeight="false" outlineLevel="0" collapsed="false">
      <c r="A968" s="571" t="s">
        <v>194</v>
      </c>
      <c r="B968" s="632" t="s">
        <v>4273</v>
      </c>
      <c r="C968" s="650" t="s">
        <v>4189</v>
      </c>
      <c r="D968" s="637" t="s">
        <v>4127</v>
      </c>
      <c r="E968" s="629" t="n">
        <v>0.05</v>
      </c>
      <c r="F968" s="630" t="n">
        <v>3600</v>
      </c>
      <c r="G968" s="636" t="n">
        <f aca="false">E968*F968</f>
        <v>180</v>
      </c>
      <c r="H968" s="571"/>
    </row>
    <row r="969" customFormat="false" ht="15" hidden="false" customHeight="false" outlineLevel="0" collapsed="false">
      <c r="A969" s="571"/>
      <c r="B969" s="500"/>
      <c r="C969" s="633" t="s">
        <v>4274</v>
      </c>
      <c r="D969" s="571" t="s">
        <v>4138</v>
      </c>
      <c r="E969" s="629" t="n">
        <v>0.1</v>
      </c>
      <c r="F969" s="630" t="n">
        <v>6900</v>
      </c>
      <c r="G969" s="636" t="n">
        <f aca="false">E969*F969</f>
        <v>690</v>
      </c>
      <c r="H969" s="606"/>
    </row>
    <row r="970" customFormat="false" ht="15" hidden="false" customHeight="false" outlineLevel="0" collapsed="false">
      <c r="A970" s="571"/>
      <c r="B970" s="500"/>
      <c r="C970" s="650" t="s">
        <v>4269</v>
      </c>
      <c r="D970" s="637" t="s">
        <v>4133</v>
      </c>
      <c r="E970" s="633" t="s">
        <v>4200</v>
      </c>
      <c r="F970" s="626" t="n">
        <v>13500</v>
      </c>
      <c r="G970" s="636" t="n">
        <f aca="false">E970*F970</f>
        <v>675</v>
      </c>
      <c r="H970" s="606"/>
    </row>
    <row r="971" customFormat="false" ht="15" hidden="false" customHeight="false" outlineLevel="0" collapsed="false">
      <c r="A971" s="571"/>
      <c r="B971" s="608"/>
      <c r="C971" s="638" t="s">
        <v>4120</v>
      </c>
      <c r="D971" s="637" t="s">
        <v>4121</v>
      </c>
      <c r="E971" s="633" t="n">
        <v>0.03</v>
      </c>
      <c r="F971" s="639" t="n">
        <v>1500</v>
      </c>
      <c r="G971" s="636" t="n">
        <f aca="false">E971*F971</f>
        <v>45</v>
      </c>
      <c r="H971" s="571"/>
    </row>
    <row r="972" customFormat="false" ht="15" hidden="false" customHeight="false" outlineLevel="0" collapsed="false">
      <c r="A972" s="571"/>
      <c r="B972" s="500"/>
      <c r="C972" s="638" t="s">
        <v>4122</v>
      </c>
      <c r="D972" s="637" t="s">
        <v>4123</v>
      </c>
      <c r="E972" s="633" t="n">
        <v>0.1</v>
      </c>
      <c r="F972" s="626" t="n">
        <v>800</v>
      </c>
      <c r="G972" s="636" t="n">
        <f aca="false">E972*F972</f>
        <v>80</v>
      </c>
      <c r="H972" s="571"/>
    </row>
    <row r="973" customFormat="false" ht="15" hidden="false" customHeight="false" outlineLevel="0" collapsed="false">
      <c r="A973" s="571"/>
      <c r="B973" s="500"/>
      <c r="C973" s="633" t="s">
        <v>4124</v>
      </c>
      <c r="D973" s="637" t="s">
        <v>4125</v>
      </c>
      <c r="E973" s="633" t="n">
        <v>0.66</v>
      </c>
      <c r="F973" s="626" t="n">
        <v>120</v>
      </c>
      <c r="G973" s="636" t="n">
        <f aca="false">E973*F973</f>
        <v>79.2</v>
      </c>
      <c r="H973" s="571"/>
    </row>
    <row r="974" customFormat="false" ht="15" hidden="false" customHeight="false" outlineLevel="0" collapsed="false">
      <c r="A974" s="571"/>
      <c r="B974" s="500"/>
      <c r="C974" s="633" t="s">
        <v>4270</v>
      </c>
      <c r="D974" s="637" t="s">
        <v>4149</v>
      </c>
      <c r="E974" s="633" t="n">
        <v>0.05</v>
      </c>
      <c r="F974" s="626" t="n">
        <v>7560</v>
      </c>
      <c r="G974" s="636" t="n">
        <f aca="false">E974*F974</f>
        <v>378</v>
      </c>
      <c r="H974" s="571"/>
    </row>
    <row r="975" customFormat="false" ht="15" hidden="false" customHeight="false" outlineLevel="0" collapsed="false">
      <c r="A975" s="571"/>
      <c r="B975" s="608" t="s">
        <v>4128</v>
      </c>
      <c r="C975" s="640"/>
      <c r="D975" s="327"/>
      <c r="E975" s="640"/>
      <c r="F975" s="643"/>
      <c r="G975" s="640" t="n">
        <f aca="false">SUM(G968:G974)</f>
        <v>2127.2</v>
      </c>
      <c r="H975" s="571"/>
    </row>
    <row r="976" customFormat="false" ht="15" hidden="false" customHeight="false" outlineLevel="0" collapsed="false">
      <c r="A976" s="571" t="s">
        <v>196</v>
      </c>
      <c r="B976" s="632" t="s">
        <v>4273</v>
      </c>
      <c r="C976" s="650" t="s">
        <v>4189</v>
      </c>
      <c r="D976" s="637" t="s">
        <v>4127</v>
      </c>
      <c r="E976" s="629" t="n">
        <v>0.05</v>
      </c>
      <c r="F976" s="630" t="n">
        <v>3600</v>
      </c>
      <c r="G976" s="636" t="n">
        <f aca="false">E976*F976</f>
        <v>180</v>
      </c>
      <c r="H976" s="571"/>
    </row>
    <row r="977" customFormat="false" ht="15" hidden="false" customHeight="false" outlineLevel="0" collapsed="false">
      <c r="A977" s="571"/>
      <c r="B977" s="500"/>
      <c r="C977" s="633" t="s">
        <v>4274</v>
      </c>
      <c r="D977" s="571" t="s">
        <v>4138</v>
      </c>
      <c r="E977" s="629" t="s">
        <v>4200</v>
      </c>
      <c r="F977" s="630" t="n">
        <v>6900</v>
      </c>
      <c r="G977" s="636" t="n">
        <f aca="false">E977*F977</f>
        <v>345</v>
      </c>
      <c r="H977" s="606"/>
    </row>
    <row r="978" customFormat="false" ht="15" hidden="false" customHeight="false" outlineLevel="0" collapsed="false">
      <c r="A978" s="571"/>
      <c r="B978" s="500"/>
      <c r="C978" s="638" t="s">
        <v>4272</v>
      </c>
      <c r="D978" s="637" t="s">
        <v>4252</v>
      </c>
      <c r="E978" s="633" t="s">
        <v>4186</v>
      </c>
      <c r="F978" s="626" t="n">
        <v>100000</v>
      </c>
      <c r="G978" s="636" t="n">
        <f aca="false">E978*F978</f>
        <v>1000</v>
      </c>
      <c r="H978" s="606"/>
    </row>
    <row r="979" customFormat="false" ht="15" hidden="false" customHeight="false" outlineLevel="0" collapsed="false">
      <c r="A979" s="571"/>
      <c r="B979" s="500"/>
      <c r="C979" s="638" t="s">
        <v>4120</v>
      </c>
      <c r="D979" s="637" t="s">
        <v>4121</v>
      </c>
      <c r="E979" s="633" t="n">
        <v>0.08</v>
      </c>
      <c r="F979" s="639" t="n">
        <v>1500</v>
      </c>
      <c r="G979" s="636" t="n">
        <f aca="false">E979*F979</f>
        <v>120</v>
      </c>
      <c r="H979" s="571"/>
    </row>
    <row r="980" customFormat="false" ht="15" hidden="false" customHeight="false" outlineLevel="0" collapsed="false">
      <c r="A980" s="571"/>
      <c r="B980" s="500"/>
      <c r="C980" s="638" t="s">
        <v>4122</v>
      </c>
      <c r="D980" s="637" t="s">
        <v>4123</v>
      </c>
      <c r="E980" s="633" t="n">
        <v>0.098</v>
      </c>
      <c r="F980" s="626" t="n">
        <v>800</v>
      </c>
      <c r="G980" s="636" t="n">
        <f aca="false">E980*F980</f>
        <v>78.4</v>
      </c>
      <c r="H980" s="571"/>
    </row>
    <row r="981" customFormat="false" ht="15" hidden="false" customHeight="false" outlineLevel="0" collapsed="false">
      <c r="A981" s="571"/>
      <c r="B981" s="608"/>
      <c r="C981" s="633" t="s">
        <v>4270</v>
      </c>
      <c r="D981" s="637" t="s">
        <v>4149</v>
      </c>
      <c r="E981" s="633" t="n">
        <v>0.05</v>
      </c>
      <c r="F981" s="626" t="n">
        <v>7560</v>
      </c>
      <c r="G981" s="636" t="n">
        <f aca="false">E981*F981</f>
        <v>378</v>
      </c>
      <c r="H981" s="571"/>
    </row>
    <row r="982" customFormat="false" ht="15" hidden="false" customHeight="false" outlineLevel="0" collapsed="false">
      <c r="A982" s="571"/>
      <c r="B982" s="500"/>
      <c r="C982" s="633" t="s">
        <v>4126</v>
      </c>
      <c r="D982" s="637" t="s">
        <v>4127</v>
      </c>
      <c r="E982" s="633" t="n">
        <v>0.023</v>
      </c>
      <c r="F982" s="626" t="n">
        <v>2700</v>
      </c>
      <c r="G982" s="636" t="n">
        <f aca="false">E982*F982</f>
        <v>62.1</v>
      </c>
      <c r="H982" s="571"/>
    </row>
    <row r="983" customFormat="false" ht="15" hidden="false" customHeight="false" outlineLevel="0" collapsed="false">
      <c r="A983" s="571"/>
      <c r="B983" s="608" t="s">
        <v>4128</v>
      </c>
      <c r="C983" s="640"/>
      <c r="D983" s="327"/>
      <c r="E983" s="640"/>
      <c r="F983" s="643"/>
      <c r="G983" s="640" t="n">
        <f aca="false">SUM(G976:G982)</f>
        <v>2163.5</v>
      </c>
      <c r="H983" s="571"/>
    </row>
    <row r="984" customFormat="false" ht="15" hidden="false" customHeight="false" outlineLevel="0" collapsed="false">
      <c r="A984" s="571" t="s">
        <v>198</v>
      </c>
      <c r="B984" s="632" t="s">
        <v>4275</v>
      </c>
      <c r="C984" s="633" t="s">
        <v>4276</v>
      </c>
      <c r="D984" s="571" t="s">
        <v>4138</v>
      </c>
      <c r="E984" s="629" t="s">
        <v>4200</v>
      </c>
      <c r="F984" s="626" t="n">
        <v>6900</v>
      </c>
      <c r="G984" s="636" t="n">
        <f aca="false">E984*F984</f>
        <v>345</v>
      </c>
      <c r="H984" s="606"/>
    </row>
    <row r="985" customFormat="false" ht="15" hidden="false" customHeight="false" outlineLevel="0" collapsed="false">
      <c r="A985" s="571"/>
      <c r="B985" s="500"/>
      <c r="C985" s="635" t="s">
        <v>4269</v>
      </c>
      <c r="D985" s="634" t="s">
        <v>4133</v>
      </c>
      <c r="E985" s="635" t="s">
        <v>4200</v>
      </c>
      <c r="F985" s="626" t="n">
        <v>13500</v>
      </c>
      <c r="G985" s="636" t="n">
        <f aca="false">E985*F985</f>
        <v>675</v>
      </c>
      <c r="H985" s="606"/>
    </row>
    <row r="986" customFormat="false" ht="15" hidden="false" customHeight="false" outlineLevel="0" collapsed="false">
      <c r="A986" s="571"/>
      <c r="B986" s="500"/>
      <c r="C986" s="633" t="s">
        <v>4277</v>
      </c>
      <c r="D986" s="637" t="s">
        <v>4133</v>
      </c>
      <c r="E986" s="635" t="s">
        <v>4200</v>
      </c>
      <c r="F986" s="626" t="n">
        <v>18000</v>
      </c>
      <c r="G986" s="636" t="n">
        <f aca="false">E986*F986</f>
        <v>900</v>
      </c>
      <c r="H986" s="606"/>
    </row>
    <row r="987" customFormat="false" ht="15" hidden="false" customHeight="false" outlineLevel="0" collapsed="false">
      <c r="A987" s="571"/>
      <c r="B987" s="500"/>
      <c r="C987" s="650" t="s">
        <v>4189</v>
      </c>
      <c r="D987" s="637" t="s">
        <v>4127</v>
      </c>
      <c r="E987" s="629" t="n">
        <v>0.05</v>
      </c>
      <c r="F987" s="630" t="n">
        <v>3600</v>
      </c>
      <c r="G987" s="636" t="n">
        <f aca="false">E987*F987</f>
        <v>180</v>
      </c>
      <c r="H987" s="571"/>
    </row>
    <row r="988" customFormat="false" ht="15" hidden="false" customHeight="false" outlineLevel="0" collapsed="false">
      <c r="A988" s="571"/>
      <c r="B988" s="500"/>
      <c r="C988" s="638" t="s">
        <v>4122</v>
      </c>
      <c r="D988" s="637" t="s">
        <v>4123</v>
      </c>
      <c r="E988" s="633" t="n">
        <v>0.078</v>
      </c>
      <c r="F988" s="626" t="n">
        <v>800</v>
      </c>
      <c r="G988" s="636" t="n">
        <f aca="false">E988*F988</f>
        <v>62.4</v>
      </c>
      <c r="H988" s="571"/>
    </row>
    <row r="989" customFormat="false" ht="15" hidden="false" customHeight="false" outlineLevel="0" collapsed="false">
      <c r="A989" s="571"/>
      <c r="B989" s="608"/>
      <c r="C989" s="633" t="s">
        <v>4270</v>
      </c>
      <c r="D989" s="637" t="s">
        <v>4149</v>
      </c>
      <c r="E989" s="633" t="n">
        <v>0.05</v>
      </c>
      <c r="F989" s="626" t="n">
        <v>7560</v>
      </c>
      <c r="G989" s="636" t="n">
        <f aca="false">E989*F989</f>
        <v>378</v>
      </c>
      <c r="H989" s="571"/>
    </row>
    <row r="990" customFormat="false" ht="15" hidden="false" customHeight="false" outlineLevel="0" collapsed="false">
      <c r="A990" s="571"/>
      <c r="B990" s="500"/>
      <c r="C990" s="633" t="s">
        <v>4126</v>
      </c>
      <c r="D990" s="637" t="s">
        <v>4149</v>
      </c>
      <c r="E990" s="633" t="n">
        <v>0.02</v>
      </c>
      <c r="F990" s="626" t="n">
        <v>2700</v>
      </c>
      <c r="G990" s="636" t="n">
        <f aca="false">E990*F990</f>
        <v>54</v>
      </c>
      <c r="H990" s="571"/>
    </row>
    <row r="991" customFormat="false" ht="15" hidden="false" customHeight="false" outlineLevel="0" collapsed="false">
      <c r="A991" s="571"/>
      <c r="B991" s="608" t="s">
        <v>4128</v>
      </c>
      <c r="C991" s="640"/>
      <c r="D991" s="327"/>
      <c r="E991" s="640"/>
      <c r="F991" s="643"/>
      <c r="G991" s="640" t="n">
        <f aca="false">SUM(G984:G990)</f>
        <v>2594.4</v>
      </c>
      <c r="H991" s="571"/>
    </row>
    <row r="992" customFormat="false" ht="15" hidden="false" customHeight="false" outlineLevel="0" collapsed="false">
      <c r="A992" s="571" t="s">
        <v>200</v>
      </c>
      <c r="B992" s="632" t="s">
        <v>4275</v>
      </c>
      <c r="C992" s="633" t="s">
        <v>4276</v>
      </c>
      <c r="D992" s="571" t="s">
        <v>4138</v>
      </c>
      <c r="E992" s="629" t="n">
        <v>0.1</v>
      </c>
      <c r="F992" s="626" t="n">
        <v>6900</v>
      </c>
      <c r="G992" s="636" t="n">
        <f aca="false">E992*F992</f>
        <v>690</v>
      </c>
      <c r="H992" s="606"/>
    </row>
    <row r="993" customFormat="false" ht="15" hidden="false" customHeight="false" outlineLevel="0" collapsed="false">
      <c r="A993" s="571"/>
      <c r="B993" s="500"/>
      <c r="C993" s="638" t="s">
        <v>4189</v>
      </c>
      <c r="D993" s="637" t="s">
        <v>4133</v>
      </c>
      <c r="E993" s="633" t="n">
        <v>0.1</v>
      </c>
      <c r="F993" s="630" t="n">
        <v>3600</v>
      </c>
      <c r="G993" s="636" t="n">
        <f aca="false">E993*F993</f>
        <v>360</v>
      </c>
      <c r="H993" s="571"/>
    </row>
    <row r="994" customFormat="false" ht="15" hidden="false" customHeight="false" outlineLevel="0" collapsed="false">
      <c r="A994" s="571"/>
      <c r="B994" s="500"/>
      <c r="C994" s="638" t="s">
        <v>4272</v>
      </c>
      <c r="D994" s="637" t="s">
        <v>4252</v>
      </c>
      <c r="E994" s="633" t="s">
        <v>4213</v>
      </c>
      <c r="F994" s="626" t="n">
        <v>100000</v>
      </c>
      <c r="G994" s="636" t="n">
        <f aca="false">E994*F994</f>
        <v>500</v>
      </c>
      <c r="H994" s="606"/>
    </row>
    <row r="995" customFormat="false" ht="15" hidden="false" customHeight="false" outlineLevel="0" collapsed="false">
      <c r="A995" s="571"/>
      <c r="B995" s="500"/>
      <c r="C995" s="638" t="s">
        <v>4120</v>
      </c>
      <c r="D995" s="637" t="s">
        <v>4121</v>
      </c>
      <c r="E995" s="633" t="n">
        <v>0.03</v>
      </c>
      <c r="F995" s="639" t="n">
        <v>1500</v>
      </c>
      <c r="G995" s="636" t="n">
        <f aca="false">E995*F995</f>
        <v>45</v>
      </c>
      <c r="H995" s="571"/>
    </row>
    <row r="996" customFormat="false" ht="15" hidden="false" customHeight="false" outlineLevel="0" collapsed="false">
      <c r="A996" s="571"/>
      <c r="B996" s="608"/>
      <c r="C996" s="638" t="s">
        <v>4122</v>
      </c>
      <c r="D996" s="637" t="s">
        <v>4123</v>
      </c>
      <c r="E996" s="633" t="n">
        <v>0.1</v>
      </c>
      <c r="F996" s="626" t="n">
        <v>800</v>
      </c>
      <c r="G996" s="636" t="n">
        <f aca="false">E996*F996</f>
        <v>80</v>
      </c>
      <c r="H996" s="571"/>
    </row>
    <row r="997" customFormat="false" ht="15" hidden="false" customHeight="false" outlineLevel="0" collapsed="false">
      <c r="A997" s="571"/>
      <c r="B997" s="500"/>
      <c r="C997" s="633" t="s">
        <v>4270</v>
      </c>
      <c r="D997" s="637" t="s">
        <v>4149</v>
      </c>
      <c r="E997" s="633" t="n">
        <v>0.05</v>
      </c>
      <c r="F997" s="626" t="n">
        <v>7560</v>
      </c>
      <c r="G997" s="636" t="n">
        <f aca="false">E997*F997</f>
        <v>378</v>
      </c>
      <c r="H997" s="571"/>
    </row>
    <row r="998" customFormat="false" ht="15" hidden="false" customHeight="false" outlineLevel="0" collapsed="false">
      <c r="A998" s="571"/>
      <c r="B998" s="500"/>
      <c r="C998" s="633" t="s">
        <v>4126</v>
      </c>
      <c r="D998" s="637" t="s">
        <v>4149</v>
      </c>
      <c r="E998" s="633" t="n">
        <v>0.02</v>
      </c>
      <c r="F998" s="626" t="n">
        <v>2700</v>
      </c>
      <c r="G998" s="636" t="n">
        <f aca="false">E998*F998</f>
        <v>54</v>
      </c>
      <c r="H998" s="571"/>
    </row>
    <row r="999" customFormat="false" ht="15" hidden="false" customHeight="false" outlineLevel="0" collapsed="false">
      <c r="A999" s="571"/>
      <c r="B999" s="608" t="s">
        <v>4128</v>
      </c>
      <c r="C999" s="640"/>
      <c r="D999" s="327"/>
      <c r="E999" s="640"/>
      <c r="F999" s="643"/>
      <c r="G999" s="640" t="n">
        <f aca="false">SUM(G992:G998)</f>
        <v>2107</v>
      </c>
      <c r="H999" s="571"/>
    </row>
    <row r="1000" customFormat="false" ht="15" hidden="false" customHeight="false" outlineLevel="0" collapsed="false">
      <c r="A1000" s="571" t="s">
        <v>202</v>
      </c>
      <c r="B1000" s="632" t="s">
        <v>3254</v>
      </c>
      <c r="C1000" s="635" t="s">
        <v>4269</v>
      </c>
      <c r="D1000" s="634" t="s">
        <v>4133</v>
      </c>
      <c r="E1000" s="635" t="s">
        <v>4267</v>
      </c>
      <c r="F1000" s="626" t="n">
        <v>13500</v>
      </c>
      <c r="G1000" s="636" t="n">
        <f aca="false">E1000*F1000</f>
        <v>270</v>
      </c>
      <c r="H1000" s="606"/>
    </row>
    <row r="1001" customFormat="false" ht="15" hidden="false" customHeight="false" outlineLevel="0" collapsed="false">
      <c r="A1001" s="571"/>
      <c r="B1001" s="500"/>
      <c r="C1001" s="633" t="s">
        <v>4277</v>
      </c>
      <c r="D1001" s="637" t="s">
        <v>4133</v>
      </c>
      <c r="E1001" s="635" t="s">
        <v>4267</v>
      </c>
      <c r="F1001" s="626" t="n">
        <v>18000</v>
      </c>
      <c r="G1001" s="636" t="n">
        <f aca="false">E1001*F1001</f>
        <v>360</v>
      </c>
      <c r="H1001" s="606"/>
    </row>
    <row r="1002" customFormat="false" ht="15" hidden="false" customHeight="false" outlineLevel="0" collapsed="false">
      <c r="A1002" s="571"/>
      <c r="B1002" s="500"/>
      <c r="C1002" s="633" t="s">
        <v>4278</v>
      </c>
      <c r="D1002" s="571" t="s">
        <v>4138</v>
      </c>
      <c r="E1002" s="629" t="n">
        <v>0.1</v>
      </c>
      <c r="F1002" s="626" t="s">
        <v>4279</v>
      </c>
      <c r="G1002" s="636" t="n">
        <f aca="false">E1002*F1002</f>
        <v>710</v>
      </c>
      <c r="H1002" s="606"/>
    </row>
    <row r="1003" customFormat="false" ht="15" hidden="false" customHeight="false" outlineLevel="0" collapsed="false">
      <c r="A1003" s="571"/>
      <c r="B1003" s="500"/>
      <c r="C1003" s="638" t="s">
        <v>4120</v>
      </c>
      <c r="D1003" s="637" t="s">
        <v>4121</v>
      </c>
      <c r="E1003" s="633" t="n">
        <v>0.03</v>
      </c>
      <c r="F1003" s="639" t="n">
        <v>1500</v>
      </c>
      <c r="G1003" s="636" t="n">
        <f aca="false">E1003*F1003</f>
        <v>45</v>
      </c>
      <c r="H1003" s="571"/>
    </row>
    <row r="1004" customFormat="false" ht="15" hidden="false" customHeight="false" outlineLevel="0" collapsed="false">
      <c r="A1004" s="571"/>
      <c r="B1004" s="500"/>
      <c r="C1004" s="638" t="s">
        <v>4122</v>
      </c>
      <c r="D1004" s="637" t="s">
        <v>4123</v>
      </c>
      <c r="E1004" s="633" t="n">
        <v>0.069</v>
      </c>
      <c r="F1004" s="626" t="n">
        <v>800</v>
      </c>
      <c r="G1004" s="636" t="n">
        <f aca="false">E1004*F1004</f>
        <v>55.2</v>
      </c>
      <c r="H1004" s="571"/>
    </row>
    <row r="1005" customFormat="false" ht="15" hidden="false" customHeight="false" outlineLevel="0" collapsed="false">
      <c r="A1005" s="571"/>
      <c r="B1005" s="500"/>
      <c r="C1005" s="633" t="s">
        <v>4270</v>
      </c>
      <c r="D1005" s="637" t="s">
        <v>4149</v>
      </c>
      <c r="E1005" s="633" t="n">
        <v>0.05</v>
      </c>
      <c r="F1005" s="626" t="n">
        <v>7560</v>
      </c>
      <c r="G1005" s="636" t="n">
        <f aca="false">E1005*F1005</f>
        <v>378</v>
      </c>
      <c r="H1005" s="571"/>
    </row>
    <row r="1006" customFormat="false" ht="15" hidden="false" customHeight="false" outlineLevel="0" collapsed="false">
      <c r="A1006" s="571"/>
      <c r="B1006" s="500"/>
      <c r="C1006" s="633" t="s">
        <v>4126</v>
      </c>
      <c r="D1006" s="637" t="s">
        <v>4127</v>
      </c>
      <c r="E1006" s="633" t="n">
        <v>0.02</v>
      </c>
      <c r="F1006" s="626" t="n">
        <v>2700</v>
      </c>
      <c r="G1006" s="636" t="n">
        <f aca="false">E1006*F1006</f>
        <v>54</v>
      </c>
      <c r="H1006" s="571"/>
    </row>
    <row r="1007" customFormat="false" ht="15" hidden="false" customHeight="false" outlineLevel="0" collapsed="false">
      <c r="A1007" s="571"/>
      <c r="B1007" s="608" t="s">
        <v>4128</v>
      </c>
      <c r="C1007" s="629"/>
      <c r="D1007" s="571"/>
      <c r="E1007" s="629"/>
      <c r="F1007" s="630"/>
      <c r="G1007" s="640" t="n">
        <f aca="false">SUM(G1000:G1006)</f>
        <v>1872.2</v>
      </c>
      <c r="H1007" s="571"/>
    </row>
    <row r="1008" customFormat="false" ht="15" hidden="false" customHeight="false" outlineLevel="0" collapsed="false">
      <c r="A1008" s="571" t="s">
        <v>203</v>
      </c>
      <c r="B1008" s="632" t="s">
        <v>3254</v>
      </c>
      <c r="C1008" s="633" t="s">
        <v>4278</v>
      </c>
      <c r="D1008" s="571" t="s">
        <v>4138</v>
      </c>
      <c r="E1008" s="629" t="n">
        <v>0.1</v>
      </c>
      <c r="F1008" s="626" t="s">
        <v>4279</v>
      </c>
      <c r="G1008" s="636" t="n">
        <f aca="false">E1008*F1008</f>
        <v>710</v>
      </c>
      <c r="H1008" s="606"/>
    </row>
    <row r="1009" customFormat="false" ht="15" hidden="false" customHeight="false" outlineLevel="0" collapsed="false">
      <c r="A1009" s="571"/>
      <c r="B1009" s="500"/>
      <c r="C1009" s="638" t="s">
        <v>4189</v>
      </c>
      <c r="D1009" s="637" t="s">
        <v>4133</v>
      </c>
      <c r="E1009" s="633" t="n">
        <v>0.1</v>
      </c>
      <c r="F1009" s="630" t="n">
        <v>3600</v>
      </c>
      <c r="G1009" s="636" t="n">
        <f aca="false">E1009*F1009</f>
        <v>360</v>
      </c>
      <c r="H1009" s="571"/>
    </row>
    <row r="1010" customFormat="false" ht="15" hidden="false" customHeight="false" outlineLevel="0" collapsed="false">
      <c r="A1010" s="571"/>
      <c r="B1010" s="500"/>
      <c r="C1010" s="638" t="s">
        <v>4272</v>
      </c>
      <c r="D1010" s="637" t="s">
        <v>4252</v>
      </c>
      <c r="E1010" s="635" t="s">
        <v>4186</v>
      </c>
      <c r="F1010" s="626" t="n">
        <v>100000</v>
      </c>
      <c r="G1010" s="636" t="n">
        <f aca="false">E1010*F1010</f>
        <v>1000</v>
      </c>
      <c r="H1010" s="606"/>
    </row>
    <row r="1011" customFormat="false" ht="15" hidden="false" customHeight="false" outlineLevel="0" collapsed="false">
      <c r="A1011" s="571"/>
      <c r="B1011" s="500"/>
      <c r="C1011" s="638" t="s">
        <v>4120</v>
      </c>
      <c r="D1011" s="637" t="s">
        <v>4121</v>
      </c>
      <c r="E1011" s="633" t="n">
        <v>0.05</v>
      </c>
      <c r="F1011" s="639" t="n">
        <v>1500</v>
      </c>
      <c r="G1011" s="636" t="n">
        <f aca="false">E1011*F1011</f>
        <v>75</v>
      </c>
      <c r="H1011" s="571"/>
    </row>
    <row r="1012" customFormat="false" ht="15" hidden="false" customHeight="false" outlineLevel="0" collapsed="false">
      <c r="A1012" s="571"/>
      <c r="B1012" s="500"/>
      <c r="C1012" s="638" t="s">
        <v>4122</v>
      </c>
      <c r="D1012" s="637" t="s">
        <v>4123</v>
      </c>
      <c r="E1012" s="633" t="n">
        <v>0.068</v>
      </c>
      <c r="F1012" s="626" t="n">
        <v>800</v>
      </c>
      <c r="G1012" s="636" t="n">
        <f aca="false">E1012*F1012</f>
        <v>54.4</v>
      </c>
      <c r="H1012" s="571"/>
    </row>
    <row r="1013" customFormat="false" ht="15" hidden="false" customHeight="false" outlineLevel="0" collapsed="false">
      <c r="A1013" s="571"/>
      <c r="B1013" s="500"/>
      <c r="C1013" s="633" t="s">
        <v>4270</v>
      </c>
      <c r="D1013" s="637" t="s">
        <v>4149</v>
      </c>
      <c r="E1013" s="633" t="n">
        <v>0.05</v>
      </c>
      <c r="F1013" s="626" t="n">
        <v>7560</v>
      </c>
      <c r="G1013" s="636" t="n">
        <f aca="false">E1013*F1013</f>
        <v>378</v>
      </c>
      <c r="H1013" s="571"/>
    </row>
    <row r="1014" customFormat="false" ht="15" hidden="false" customHeight="false" outlineLevel="0" collapsed="false">
      <c r="A1014" s="571"/>
      <c r="B1014" s="500"/>
      <c r="C1014" s="633" t="s">
        <v>4126</v>
      </c>
      <c r="D1014" s="637" t="s">
        <v>4149</v>
      </c>
      <c r="E1014" s="633" t="n">
        <v>0.02</v>
      </c>
      <c r="F1014" s="626" t="n">
        <v>2700</v>
      </c>
      <c r="G1014" s="636" t="n">
        <f aca="false">E1014*F1014</f>
        <v>54</v>
      </c>
      <c r="H1014" s="571"/>
    </row>
    <row r="1015" customFormat="false" ht="15" hidden="false" customHeight="false" outlineLevel="0" collapsed="false">
      <c r="A1015" s="571"/>
      <c r="B1015" s="608" t="s">
        <v>4128</v>
      </c>
      <c r="C1015" s="640"/>
      <c r="D1015" s="327"/>
      <c r="E1015" s="640"/>
      <c r="F1015" s="643"/>
      <c r="G1015" s="640" t="n">
        <f aca="false">SUM(G1008:G1014)</f>
        <v>2631.4</v>
      </c>
      <c r="H1015" s="571"/>
    </row>
    <row r="1016" customFormat="false" ht="15" hidden="false" customHeight="false" outlineLevel="0" collapsed="false">
      <c r="A1016" s="571" t="s">
        <v>204</v>
      </c>
      <c r="B1016" s="632" t="s">
        <v>3104</v>
      </c>
      <c r="C1016" s="500" t="s">
        <v>4280</v>
      </c>
      <c r="D1016" s="571" t="s">
        <v>4138</v>
      </c>
      <c r="E1016" s="629" t="s">
        <v>4200</v>
      </c>
      <c r="F1016" s="630" t="s">
        <v>4279</v>
      </c>
      <c r="G1016" s="636" t="n">
        <f aca="false">E1016*F1016</f>
        <v>355</v>
      </c>
      <c r="H1016" s="606"/>
    </row>
    <row r="1017" customFormat="false" ht="15" hidden="false" customHeight="false" outlineLevel="0" collapsed="false">
      <c r="A1017" s="571"/>
      <c r="B1017" s="500"/>
      <c r="C1017" s="500" t="s">
        <v>4189</v>
      </c>
      <c r="D1017" s="652" t="s">
        <v>4133</v>
      </c>
      <c r="E1017" s="653" t="n">
        <v>0.01</v>
      </c>
      <c r="F1017" s="630" t="n">
        <v>3600</v>
      </c>
      <c r="G1017" s="636" t="n">
        <f aca="false">E1017*F1017</f>
        <v>36</v>
      </c>
      <c r="H1017" s="571"/>
    </row>
    <row r="1018" customFormat="false" ht="15" hidden="false" customHeight="false" outlineLevel="0" collapsed="false">
      <c r="A1018" s="571"/>
      <c r="B1018" s="500"/>
      <c r="C1018" s="500" t="s">
        <v>4147</v>
      </c>
      <c r="D1018" s="652" t="s">
        <v>4133</v>
      </c>
      <c r="E1018" s="653" t="n">
        <v>0.01</v>
      </c>
      <c r="F1018" s="626" t="n">
        <v>14039</v>
      </c>
      <c r="G1018" s="636" t="n">
        <f aca="false">E1018*F1018</f>
        <v>140.39</v>
      </c>
      <c r="H1018" s="571"/>
    </row>
    <row r="1019" customFormat="false" ht="15" hidden="false" customHeight="false" outlineLevel="0" collapsed="false">
      <c r="A1019" s="571"/>
      <c r="B1019" s="500"/>
      <c r="C1019" s="500" t="s">
        <v>4269</v>
      </c>
      <c r="D1019" s="652" t="s">
        <v>4133</v>
      </c>
      <c r="E1019" s="653" t="n">
        <v>0.01</v>
      </c>
      <c r="F1019" s="626" t="n">
        <v>13500</v>
      </c>
      <c r="G1019" s="636" t="n">
        <f aca="false">E1019*F1019</f>
        <v>135</v>
      </c>
      <c r="H1019" s="606"/>
    </row>
    <row r="1020" customFormat="false" ht="15" hidden="false" customHeight="false" outlineLevel="0" collapsed="false">
      <c r="A1020" s="571"/>
      <c r="B1020" s="500"/>
      <c r="C1020" s="500" t="s">
        <v>4281</v>
      </c>
      <c r="D1020" s="571" t="s">
        <v>4138</v>
      </c>
      <c r="E1020" s="629" t="s">
        <v>4200</v>
      </c>
      <c r="F1020" s="648" t="n">
        <v>7200</v>
      </c>
      <c r="G1020" s="636" t="n">
        <f aca="false">E1020*F1020</f>
        <v>360</v>
      </c>
      <c r="H1020" s="571"/>
    </row>
    <row r="1021" customFormat="false" ht="15" hidden="false" customHeight="false" outlineLevel="0" collapsed="false">
      <c r="A1021" s="571"/>
      <c r="B1021" s="500"/>
      <c r="C1021" s="500" t="s">
        <v>4282</v>
      </c>
      <c r="D1021" s="652" t="s">
        <v>4133</v>
      </c>
      <c r="E1021" s="653" t="s">
        <v>4213</v>
      </c>
      <c r="F1021" s="644" t="n">
        <v>57000</v>
      </c>
      <c r="G1021" s="636" t="n">
        <f aca="false">E1021*F1021</f>
        <v>285</v>
      </c>
      <c r="H1021" s="606"/>
    </row>
    <row r="1022" customFormat="false" ht="15" hidden="false" customHeight="false" outlineLevel="0" collapsed="false">
      <c r="A1022" s="571"/>
      <c r="B1022" s="608"/>
      <c r="C1022" s="500" t="s">
        <v>4283</v>
      </c>
      <c r="D1022" s="637" t="s">
        <v>4252</v>
      </c>
      <c r="E1022" s="653" t="n">
        <v>0.001</v>
      </c>
      <c r="F1022" s="644" t="n">
        <v>130000</v>
      </c>
      <c r="G1022" s="636" t="n">
        <f aca="false">E1022*F1022</f>
        <v>130</v>
      </c>
      <c r="H1022" s="606"/>
    </row>
    <row r="1023" customFormat="false" ht="15" hidden="false" customHeight="false" outlineLevel="0" collapsed="false">
      <c r="A1023" s="571"/>
      <c r="B1023" s="500"/>
      <c r="C1023" s="500" t="s">
        <v>4284</v>
      </c>
      <c r="D1023" s="652" t="s">
        <v>4133</v>
      </c>
      <c r="E1023" s="653" t="s">
        <v>4186</v>
      </c>
      <c r="F1023" s="644" t="n">
        <v>15000</v>
      </c>
      <c r="G1023" s="636" t="n">
        <f aca="false">E1023*F1023</f>
        <v>150</v>
      </c>
      <c r="H1023" s="606"/>
    </row>
    <row r="1024" customFormat="false" ht="15" hidden="false" customHeight="false" outlineLevel="0" collapsed="false">
      <c r="A1024" s="571"/>
      <c r="B1024" s="500"/>
      <c r="C1024" s="500" t="s">
        <v>4285</v>
      </c>
      <c r="D1024" s="652" t="s">
        <v>4133</v>
      </c>
      <c r="E1024" s="653" t="n">
        <v>0.01</v>
      </c>
      <c r="F1024" s="644" t="n">
        <v>18000</v>
      </c>
      <c r="G1024" s="636" t="n">
        <f aca="false">E1024*F1024</f>
        <v>180</v>
      </c>
      <c r="H1024" s="606"/>
    </row>
    <row r="1025" customFormat="false" ht="15" hidden="false" customHeight="false" outlineLevel="0" collapsed="false">
      <c r="A1025" s="571"/>
      <c r="B1025" s="500"/>
      <c r="C1025" s="638" t="s">
        <v>4120</v>
      </c>
      <c r="D1025" s="637" t="s">
        <v>4121</v>
      </c>
      <c r="E1025" s="633" t="n">
        <v>0.03</v>
      </c>
      <c r="F1025" s="639" t="n">
        <v>1500</v>
      </c>
      <c r="G1025" s="636" t="n">
        <f aca="false">E1025*F1025</f>
        <v>45</v>
      </c>
      <c r="H1025" s="571"/>
    </row>
    <row r="1026" customFormat="false" ht="15" hidden="false" customHeight="false" outlineLevel="0" collapsed="false">
      <c r="A1026" s="571"/>
      <c r="B1026" s="608"/>
      <c r="C1026" s="638" t="s">
        <v>4122</v>
      </c>
      <c r="D1026" s="637" t="s">
        <v>4123</v>
      </c>
      <c r="E1026" s="633" t="n">
        <v>0.098</v>
      </c>
      <c r="F1026" s="626" t="n">
        <v>800</v>
      </c>
      <c r="G1026" s="636" t="n">
        <f aca="false">E1026*F1026</f>
        <v>78.4</v>
      </c>
      <c r="H1026" s="571"/>
    </row>
    <row r="1027" customFormat="false" ht="15" hidden="false" customHeight="false" outlineLevel="0" collapsed="false">
      <c r="A1027" s="571"/>
      <c r="B1027" s="500"/>
      <c r="C1027" s="633" t="s">
        <v>4270</v>
      </c>
      <c r="D1027" s="637" t="s">
        <v>4149</v>
      </c>
      <c r="E1027" s="633" t="n">
        <v>0.05</v>
      </c>
      <c r="F1027" s="626" t="n">
        <v>7560</v>
      </c>
      <c r="G1027" s="636" t="n">
        <f aca="false">E1027*F1027</f>
        <v>378</v>
      </c>
      <c r="H1027" s="571"/>
    </row>
    <row r="1028" customFormat="false" ht="15" hidden="false" customHeight="false" outlineLevel="0" collapsed="false">
      <c r="A1028" s="571"/>
      <c r="B1028" s="500"/>
      <c r="C1028" s="633" t="s">
        <v>4126</v>
      </c>
      <c r="D1028" s="637" t="s">
        <v>4127</v>
      </c>
      <c r="E1028" s="633" t="n">
        <v>0.023</v>
      </c>
      <c r="F1028" s="626" t="n">
        <v>2700</v>
      </c>
      <c r="G1028" s="636" t="n">
        <f aca="false">E1028*F1028</f>
        <v>62.1</v>
      </c>
      <c r="H1028" s="571"/>
    </row>
    <row r="1029" customFormat="false" ht="15" hidden="false" customHeight="false" outlineLevel="0" collapsed="false">
      <c r="A1029" s="571"/>
      <c r="B1029" s="608" t="s">
        <v>4128</v>
      </c>
      <c r="C1029" s="640"/>
      <c r="D1029" s="327"/>
      <c r="E1029" s="640"/>
      <c r="F1029" s="643"/>
      <c r="G1029" s="640" t="n">
        <f aca="false">SUM(G1016:G1028)</f>
        <v>2334.89</v>
      </c>
      <c r="H1029" s="578"/>
    </row>
    <row r="1030" customFormat="false" ht="15" hidden="false" customHeight="false" outlineLevel="0" collapsed="false">
      <c r="A1030" s="571" t="s">
        <v>205</v>
      </c>
      <c r="B1030" s="632" t="s">
        <v>3104</v>
      </c>
      <c r="C1030" s="500" t="s">
        <v>4280</v>
      </c>
      <c r="D1030" s="571" t="s">
        <v>4138</v>
      </c>
      <c r="E1030" s="629" t="s">
        <v>4271</v>
      </c>
      <c r="F1030" s="630" t="s">
        <v>4279</v>
      </c>
      <c r="G1030" s="636" t="n">
        <f aca="false">E1030*F1030</f>
        <v>213</v>
      </c>
      <c r="H1030" s="606"/>
    </row>
    <row r="1031" customFormat="false" ht="15" hidden="false" customHeight="false" outlineLevel="0" collapsed="false">
      <c r="A1031" s="571"/>
      <c r="B1031" s="500"/>
      <c r="C1031" s="500" t="s">
        <v>4189</v>
      </c>
      <c r="D1031" s="652" t="s">
        <v>4133</v>
      </c>
      <c r="E1031" s="653" t="s">
        <v>4230</v>
      </c>
      <c r="F1031" s="630" t="n">
        <v>3600</v>
      </c>
      <c r="G1031" s="636" t="n">
        <f aca="false">E1031*F1031</f>
        <v>360</v>
      </c>
      <c r="H1031" s="571"/>
    </row>
    <row r="1032" customFormat="false" ht="15" hidden="false" customHeight="false" outlineLevel="0" collapsed="false">
      <c r="A1032" s="571"/>
      <c r="B1032" s="500"/>
      <c r="C1032" s="500" t="s">
        <v>4147</v>
      </c>
      <c r="D1032" s="652" t="s">
        <v>4133</v>
      </c>
      <c r="E1032" s="653" t="s">
        <v>4200</v>
      </c>
      <c r="F1032" s="626" t="n">
        <v>14039</v>
      </c>
      <c r="G1032" s="636" t="n">
        <f aca="false">E1032*F1032</f>
        <v>701.95</v>
      </c>
      <c r="H1032" s="571"/>
    </row>
    <row r="1033" customFormat="false" ht="15" hidden="false" customHeight="false" outlineLevel="0" collapsed="false">
      <c r="A1033" s="571"/>
      <c r="B1033" s="500"/>
      <c r="C1033" s="500" t="s">
        <v>4286</v>
      </c>
      <c r="D1033" s="652" t="s">
        <v>4133</v>
      </c>
      <c r="E1033" s="653" t="s">
        <v>4213</v>
      </c>
      <c r="F1033" s="644" t="n">
        <v>15100</v>
      </c>
      <c r="G1033" s="636" t="n">
        <f aca="false">E1033*F1033</f>
        <v>75.5</v>
      </c>
      <c r="H1033" s="571"/>
    </row>
    <row r="1034" customFormat="false" ht="15" hidden="false" customHeight="false" outlineLevel="0" collapsed="false">
      <c r="A1034" s="571"/>
      <c r="B1034" s="500"/>
      <c r="C1034" s="500" t="s">
        <v>4287</v>
      </c>
      <c r="D1034" s="654" t="s">
        <v>4133</v>
      </c>
      <c r="E1034" s="653" t="n">
        <v>0.001</v>
      </c>
      <c r="F1034" s="648" t="n">
        <v>225000</v>
      </c>
      <c r="G1034" s="636" t="n">
        <f aca="false">E1034*F1034</f>
        <v>225</v>
      </c>
      <c r="H1034" s="571"/>
    </row>
    <row r="1035" customFormat="false" ht="15" hidden="false" customHeight="false" outlineLevel="0" collapsed="false">
      <c r="A1035" s="571"/>
      <c r="B1035" s="500"/>
      <c r="C1035" s="638" t="s">
        <v>4120</v>
      </c>
      <c r="D1035" s="637" t="s">
        <v>4121</v>
      </c>
      <c r="E1035" s="633" t="n">
        <v>0.03</v>
      </c>
      <c r="F1035" s="639" t="n">
        <v>1500</v>
      </c>
      <c r="G1035" s="636" t="n">
        <f aca="false">E1035*F1035</f>
        <v>45</v>
      </c>
      <c r="H1035" s="571"/>
    </row>
    <row r="1036" customFormat="false" ht="15" hidden="false" customHeight="false" outlineLevel="0" collapsed="false">
      <c r="A1036" s="571"/>
      <c r="B1036" s="500"/>
      <c r="C1036" s="638" t="s">
        <v>4122</v>
      </c>
      <c r="D1036" s="637" t="s">
        <v>4123</v>
      </c>
      <c r="E1036" s="633" t="n">
        <v>0.01</v>
      </c>
      <c r="F1036" s="626" t="n">
        <v>800</v>
      </c>
      <c r="G1036" s="636" t="n">
        <f aca="false">E1036*F1036</f>
        <v>8</v>
      </c>
      <c r="H1036" s="571"/>
    </row>
    <row r="1037" customFormat="false" ht="15" hidden="false" customHeight="false" outlineLevel="0" collapsed="false">
      <c r="A1037" s="571"/>
      <c r="B1037" s="500"/>
      <c r="C1037" s="633" t="s">
        <v>4270</v>
      </c>
      <c r="D1037" s="637" t="s">
        <v>4149</v>
      </c>
      <c r="E1037" s="633" t="n">
        <v>0.05</v>
      </c>
      <c r="F1037" s="626" t="n">
        <v>7560</v>
      </c>
      <c r="G1037" s="636" t="n">
        <f aca="false">E1037*F1037</f>
        <v>378</v>
      </c>
      <c r="H1037" s="571"/>
    </row>
    <row r="1038" customFormat="false" ht="15" hidden="false" customHeight="false" outlineLevel="0" collapsed="false">
      <c r="A1038" s="571"/>
      <c r="B1038" s="608"/>
      <c r="C1038" s="633" t="s">
        <v>4126</v>
      </c>
      <c r="D1038" s="637" t="s">
        <v>4127</v>
      </c>
      <c r="E1038" s="633" t="n">
        <v>0.013</v>
      </c>
      <c r="F1038" s="626" t="n">
        <v>2700</v>
      </c>
      <c r="G1038" s="636" t="n">
        <f aca="false">E1038*F1038</f>
        <v>35.1</v>
      </c>
      <c r="H1038" s="571"/>
    </row>
    <row r="1039" customFormat="false" ht="15" hidden="false" customHeight="false" outlineLevel="0" collapsed="false">
      <c r="A1039" s="571"/>
      <c r="B1039" s="608" t="s">
        <v>4128</v>
      </c>
      <c r="C1039" s="640"/>
      <c r="D1039" s="327"/>
      <c r="E1039" s="640"/>
      <c r="F1039" s="643"/>
      <c r="G1039" s="640" t="n">
        <f aca="false">SUM(G1030:G1038)</f>
        <v>2041.55</v>
      </c>
      <c r="H1039" s="571"/>
    </row>
    <row r="1040" customFormat="false" ht="15" hidden="false" customHeight="false" outlineLevel="0" collapsed="false">
      <c r="A1040" s="571" t="s">
        <v>206</v>
      </c>
      <c r="B1040" s="632" t="s">
        <v>3105</v>
      </c>
      <c r="C1040" s="500" t="s">
        <v>4288</v>
      </c>
      <c r="D1040" s="571" t="s">
        <v>4372</v>
      </c>
      <c r="E1040" s="629" t="s">
        <v>4267</v>
      </c>
      <c r="F1040" s="648" t="n">
        <v>6900</v>
      </c>
      <c r="G1040" s="636" t="n">
        <f aca="false">E1040*F1040</f>
        <v>138</v>
      </c>
      <c r="H1040" s="606"/>
    </row>
    <row r="1041" customFormat="false" ht="15" hidden="false" customHeight="false" outlineLevel="0" collapsed="false">
      <c r="A1041" s="571"/>
      <c r="B1041" s="500"/>
      <c r="C1041" s="500" t="s">
        <v>4189</v>
      </c>
      <c r="D1041" s="652" t="s">
        <v>4133</v>
      </c>
      <c r="E1041" s="653" t="s">
        <v>4267</v>
      </c>
      <c r="F1041" s="630" t="n">
        <v>3600</v>
      </c>
      <c r="G1041" s="636" t="n">
        <f aca="false">E1041*F1041</f>
        <v>72</v>
      </c>
      <c r="H1041" s="571"/>
    </row>
    <row r="1042" customFormat="false" ht="15" hidden="false" customHeight="false" outlineLevel="0" collapsed="false">
      <c r="A1042" s="571"/>
      <c r="B1042" s="500"/>
      <c r="C1042" s="500" t="s">
        <v>4281</v>
      </c>
      <c r="D1042" s="571" t="s">
        <v>4372</v>
      </c>
      <c r="E1042" s="629" t="s">
        <v>4186</v>
      </c>
      <c r="F1042" s="648" t="n">
        <v>34720</v>
      </c>
      <c r="G1042" s="636" t="n">
        <f aca="false">E1042*F1042</f>
        <v>347.2</v>
      </c>
      <c r="H1042" s="571"/>
    </row>
    <row r="1043" customFormat="false" ht="15" hidden="false" customHeight="false" outlineLevel="0" collapsed="false">
      <c r="A1043" s="571"/>
      <c r="B1043" s="500"/>
      <c r="C1043" s="500" t="s">
        <v>4285</v>
      </c>
      <c r="D1043" s="652" t="s">
        <v>4133</v>
      </c>
      <c r="E1043" s="653" t="n">
        <v>0.01</v>
      </c>
      <c r="F1043" s="644" t="n">
        <v>18000</v>
      </c>
      <c r="G1043" s="636" t="n">
        <f aca="false">E1043*F1043</f>
        <v>180</v>
      </c>
      <c r="H1043" s="606"/>
    </row>
    <row r="1044" customFormat="false" ht="15" hidden="false" customHeight="false" outlineLevel="0" collapsed="false">
      <c r="A1044" s="571"/>
      <c r="B1044" s="500"/>
      <c r="C1044" s="500" t="s">
        <v>4147</v>
      </c>
      <c r="D1044" s="652" t="s">
        <v>4133</v>
      </c>
      <c r="E1044" s="653" t="n">
        <v>0.01</v>
      </c>
      <c r="F1044" s="626" t="n">
        <v>14039</v>
      </c>
      <c r="G1044" s="636" t="n">
        <f aca="false">E1044*F1044</f>
        <v>140.39</v>
      </c>
      <c r="H1044" s="571"/>
    </row>
    <row r="1045" customFormat="false" ht="15" hidden="false" customHeight="false" outlineLevel="0" collapsed="false">
      <c r="A1045" s="571"/>
      <c r="B1045" s="500"/>
      <c r="C1045" s="500" t="s">
        <v>4154</v>
      </c>
      <c r="D1045" s="652" t="s">
        <v>4133</v>
      </c>
      <c r="E1045" s="653" t="n">
        <v>0.01</v>
      </c>
      <c r="F1045" s="626" t="n">
        <v>10976</v>
      </c>
      <c r="G1045" s="636" t="n">
        <f aca="false">E1045*F1045</f>
        <v>109.76</v>
      </c>
      <c r="H1045" s="571"/>
    </row>
    <row r="1046" customFormat="false" ht="15" hidden="false" customHeight="false" outlineLevel="0" collapsed="false">
      <c r="A1046" s="571"/>
      <c r="B1046" s="608"/>
      <c r="C1046" s="500" t="s">
        <v>4289</v>
      </c>
      <c r="D1046" s="652" t="s">
        <v>4133</v>
      </c>
      <c r="E1046" s="653" t="n">
        <v>0.01</v>
      </c>
      <c r="F1046" s="644" t="n">
        <v>5500</v>
      </c>
      <c r="G1046" s="636" t="n">
        <f aca="false">E1046*F1046</f>
        <v>55</v>
      </c>
      <c r="H1046" s="606"/>
    </row>
    <row r="1047" customFormat="false" ht="15" hidden="false" customHeight="false" outlineLevel="0" collapsed="false">
      <c r="A1047" s="571"/>
      <c r="B1047" s="500"/>
      <c r="C1047" s="500" t="s">
        <v>4269</v>
      </c>
      <c r="D1047" s="652" t="s">
        <v>4133</v>
      </c>
      <c r="E1047" s="653" t="n">
        <v>0.01</v>
      </c>
      <c r="F1047" s="626" t="n">
        <v>13500</v>
      </c>
      <c r="G1047" s="636" t="n">
        <f aca="false">E1047*F1047</f>
        <v>135</v>
      </c>
      <c r="H1047" s="606"/>
    </row>
    <row r="1048" customFormat="false" ht="15" hidden="false" customHeight="false" outlineLevel="0" collapsed="false">
      <c r="A1048" s="571"/>
      <c r="B1048" s="500"/>
      <c r="C1048" s="638" t="s">
        <v>4120</v>
      </c>
      <c r="D1048" s="637" t="s">
        <v>4121</v>
      </c>
      <c r="E1048" s="633" t="n">
        <v>0.03</v>
      </c>
      <c r="F1048" s="639" t="n">
        <v>1500</v>
      </c>
      <c r="G1048" s="636" t="n">
        <f aca="false">E1048*F1048</f>
        <v>45</v>
      </c>
      <c r="H1048" s="571"/>
    </row>
    <row r="1049" customFormat="false" ht="15" hidden="false" customHeight="false" outlineLevel="0" collapsed="false">
      <c r="A1049" s="571"/>
      <c r="B1049" s="500"/>
      <c r="C1049" s="638" t="s">
        <v>4122</v>
      </c>
      <c r="D1049" s="637" t="s">
        <v>4123</v>
      </c>
      <c r="E1049" s="633" t="n">
        <v>0.01</v>
      </c>
      <c r="F1049" s="626" t="n">
        <v>800</v>
      </c>
      <c r="G1049" s="636" t="n">
        <f aca="false">E1049*F1049</f>
        <v>8</v>
      </c>
      <c r="H1049" s="571"/>
    </row>
    <row r="1050" customFormat="false" ht="15" hidden="false" customHeight="false" outlineLevel="0" collapsed="false">
      <c r="A1050" s="571"/>
      <c r="B1050" s="608"/>
      <c r="C1050" s="633" t="s">
        <v>4270</v>
      </c>
      <c r="D1050" s="637" t="s">
        <v>4149</v>
      </c>
      <c r="E1050" s="633" t="n">
        <v>0.05</v>
      </c>
      <c r="F1050" s="626" t="n">
        <v>7560</v>
      </c>
      <c r="G1050" s="636" t="n">
        <f aca="false">E1050*F1050</f>
        <v>378</v>
      </c>
      <c r="H1050" s="571"/>
    </row>
    <row r="1051" customFormat="false" ht="15" hidden="false" customHeight="false" outlineLevel="0" collapsed="false">
      <c r="A1051" s="571"/>
      <c r="B1051" s="500"/>
      <c r="C1051" s="633" t="s">
        <v>4126</v>
      </c>
      <c r="D1051" s="637" t="s">
        <v>4127</v>
      </c>
      <c r="E1051" s="633" t="n">
        <v>0.013</v>
      </c>
      <c r="F1051" s="626" t="n">
        <v>2700</v>
      </c>
      <c r="G1051" s="636" t="n">
        <f aca="false">E1051*F1051</f>
        <v>35.1</v>
      </c>
      <c r="H1051" s="571"/>
    </row>
    <row r="1052" customFormat="false" ht="15" hidden="false" customHeight="false" outlineLevel="0" collapsed="false">
      <c r="A1052" s="571"/>
      <c r="B1052" s="608" t="s">
        <v>4128</v>
      </c>
      <c r="C1052" s="640"/>
      <c r="D1052" s="327"/>
      <c r="E1052" s="640"/>
      <c r="F1052" s="643"/>
      <c r="G1052" s="640" t="n">
        <f aca="false">SUM(G1040:G1051)</f>
        <v>1643.45</v>
      </c>
      <c r="H1052" s="571"/>
    </row>
    <row r="1053" customFormat="false" ht="15" hidden="false" customHeight="false" outlineLevel="0" collapsed="false">
      <c r="A1053" s="571" t="s">
        <v>207</v>
      </c>
      <c r="B1053" s="632" t="s">
        <v>3105</v>
      </c>
      <c r="C1053" s="500" t="s">
        <v>4288</v>
      </c>
      <c r="D1053" s="571" t="s">
        <v>4372</v>
      </c>
      <c r="E1053" s="629" t="s">
        <v>4267</v>
      </c>
      <c r="F1053" s="630" t="n">
        <v>6900</v>
      </c>
      <c r="G1053" s="636" t="n">
        <f aca="false">E1053*F1053</f>
        <v>138</v>
      </c>
      <c r="H1053" s="606"/>
    </row>
    <row r="1054" customFormat="false" ht="15" hidden="false" customHeight="false" outlineLevel="0" collapsed="false">
      <c r="A1054" s="571"/>
      <c r="B1054" s="500"/>
      <c r="C1054" s="500" t="s">
        <v>4189</v>
      </c>
      <c r="D1054" s="652" t="s">
        <v>4133</v>
      </c>
      <c r="E1054" s="653" t="s">
        <v>4267</v>
      </c>
      <c r="F1054" s="630" t="n">
        <v>3600</v>
      </c>
      <c r="G1054" s="636" t="n">
        <f aca="false">E1054*F1054</f>
        <v>72</v>
      </c>
      <c r="H1054" s="571"/>
    </row>
    <row r="1055" customFormat="false" ht="15" hidden="false" customHeight="false" outlineLevel="0" collapsed="false">
      <c r="A1055" s="571"/>
      <c r="B1055" s="500"/>
      <c r="C1055" s="500" t="s">
        <v>4147</v>
      </c>
      <c r="D1055" s="652" t="s">
        <v>4133</v>
      </c>
      <c r="E1055" s="653" t="s">
        <v>4267</v>
      </c>
      <c r="F1055" s="626" t="n">
        <v>14039</v>
      </c>
      <c r="G1055" s="636" t="n">
        <f aca="false">E1055*F1055</f>
        <v>280.78</v>
      </c>
      <c r="H1055" s="571"/>
    </row>
    <row r="1056" customFormat="false" ht="15" hidden="false" customHeight="false" outlineLevel="0" collapsed="false">
      <c r="A1056" s="571"/>
      <c r="B1056" s="500"/>
      <c r="C1056" s="500" t="s">
        <v>4286</v>
      </c>
      <c r="D1056" s="652" t="s">
        <v>4133</v>
      </c>
      <c r="E1056" s="653" t="s">
        <v>4267</v>
      </c>
      <c r="F1056" s="644" t="n">
        <v>15100</v>
      </c>
      <c r="G1056" s="636" t="n">
        <f aca="false">E1056*F1056</f>
        <v>302</v>
      </c>
      <c r="H1056" s="571"/>
    </row>
    <row r="1057" customFormat="false" ht="15" hidden="false" customHeight="false" outlineLevel="0" collapsed="false">
      <c r="A1057" s="571"/>
      <c r="B1057" s="500"/>
      <c r="C1057" s="500" t="s">
        <v>4287</v>
      </c>
      <c r="D1057" s="654" t="s">
        <v>4252</v>
      </c>
      <c r="E1057" s="653" t="n">
        <v>0.001</v>
      </c>
      <c r="F1057" s="648" t="n">
        <v>225000</v>
      </c>
      <c r="G1057" s="636" t="n">
        <f aca="false">E1057*F1057</f>
        <v>225</v>
      </c>
      <c r="H1057" s="571"/>
    </row>
    <row r="1058" customFormat="false" ht="15" hidden="false" customHeight="false" outlineLevel="0" collapsed="false">
      <c r="A1058" s="571"/>
      <c r="B1058" s="500"/>
      <c r="C1058" s="638" t="s">
        <v>4120</v>
      </c>
      <c r="D1058" s="637" t="s">
        <v>4121</v>
      </c>
      <c r="E1058" s="633" t="n">
        <v>0.03</v>
      </c>
      <c r="F1058" s="639" t="n">
        <v>1500</v>
      </c>
      <c r="G1058" s="636" t="n">
        <f aca="false">E1058*F1058</f>
        <v>45</v>
      </c>
      <c r="H1058" s="571"/>
    </row>
    <row r="1059" customFormat="false" ht="15" hidden="false" customHeight="false" outlineLevel="0" collapsed="false">
      <c r="A1059" s="571"/>
      <c r="B1059" s="500"/>
      <c r="C1059" s="638" t="s">
        <v>4122</v>
      </c>
      <c r="D1059" s="637" t="s">
        <v>4123</v>
      </c>
      <c r="E1059" s="633" t="n">
        <v>0.1</v>
      </c>
      <c r="F1059" s="626" t="n">
        <v>800</v>
      </c>
      <c r="G1059" s="636" t="n">
        <f aca="false">E1059*F1059</f>
        <v>80</v>
      </c>
      <c r="H1059" s="571"/>
    </row>
    <row r="1060" customFormat="false" ht="15" hidden="false" customHeight="false" outlineLevel="0" collapsed="false">
      <c r="A1060" s="571"/>
      <c r="B1060" s="500"/>
      <c r="C1060" s="633" t="s">
        <v>4270</v>
      </c>
      <c r="D1060" s="637" t="s">
        <v>4149</v>
      </c>
      <c r="E1060" s="633" t="n">
        <v>0.05</v>
      </c>
      <c r="F1060" s="626" t="n">
        <v>7560</v>
      </c>
      <c r="G1060" s="636" t="n">
        <f aca="false">E1060*F1060</f>
        <v>378</v>
      </c>
      <c r="H1060" s="571"/>
    </row>
    <row r="1061" customFormat="false" ht="15" hidden="false" customHeight="false" outlineLevel="0" collapsed="false">
      <c r="A1061" s="571"/>
      <c r="B1061" s="608"/>
      <c r="C1061" s="633" t="s">
        <v>4126</v>
      </c>
      <c r="D1061" s="637" t="s">
        <v>4127</v>
      </c>
      <c r="E1061" s="633" t="n">
        <v>0.013</v>
      </c>
      <c r="F1061" s="626" t="n">
        <v>2700</v>
      </c>
      <c r="G1061" s="636" t="n">
        <f aca="false">E1061*F1061</f>
        <v>35.1</v>
      </c>
      <c r="H1061" s="571"/>
    </row>
    <row r="1062" customFormat="false" ht="15" hidden="false" customHeight="false" outlineLevel="0" collapsed="false">
      <c r="A1062" s="571"/>
      <c r="B1062" s="608" t="s">
        <v>4128</v>
      </c>
      <c r="C1062" s="629"/>
      <c r="D1062" s="571"/>
      <c r="E1062" s="629"/>
      <c r="F1062" s="630"/>
      <c r="G1062" s="640" t="n">
        <f aca="false">SUM(G1053:G1061)</f>
        <v>1555.88</v>
      </c>
      <c r="H1062" s="571"/>
    </row>
    <row r="1063" customFormat="false" ht="15" hidden="false" customHeight="false" outlineLevel="0" collapsed="false">
      <c r="A1063" s="571" t="s">
        <v>208</v>
      </c>
      <c r="B1063" s="632" t="s">
        <v>4290</v>
      </c>
      <c r="C1063" s="647" t="s">
        <v>4291</v>
      </c>
      <c r="D1063" s="571" t="s">
        <v>4372</v>
      </c>
      <c r="E1063" s="629" t="s">
        <v>4267</v>
      </c>
      <c r="F1063" s="644" t="n">
        <v>6900</v>
      </c>
      <c r="G1063" s="636" t="n">
        <f aca="false">E1063*F1063</f>
        <v>138</v>
      </c>
      <c r="H1063" s="606"/>
    </row>
    <row r="1064" customFormat="false" ht="15" hidden="false" customHeight="false" outlineLevel="0" collapsed="false">
      <c r="A1064" s="571"/>
      <c r="B1064" s="500"/>
      <c r="C1064" s="655" t="s">
        <v>4292</v>
      </c>
      <c r="D1064" s="652" t="s">
        <v>4133</v>
      </c>
      <c r="E1064" s="633" t="n">
        <v>0.01</v>
      </c>
      <c r="F1064" s="644" t="n">
        <v>15000</v>
      </c>
      <c r="G1064" s="636" t="n">
        <f aca="false">E1064*F1064</f>
        <v>150</v>
      </c>
      <c r="H1064" s="606"/>
    </row>
    <row r="1065" customFormat="false" ht="15" hidden="false" customHeight="false" outlineLevel="0" collapsed="false">
      <c r="A1065" s="571"/>
      <c r="B1065" s="500"/>
      <c r="C1065" s="655" t="s">
        <v>4147</v>
      </c>
      <c r="D1065" s="652" t="s">
        <v>4133</v>
      </c>
      <c r="E1065" s="633" t="n">
        <v>0.01</v>
      </c>
      <c r="F1065" s="626" t="n">
        <v>14039</v>
      </c>
      <c r="G1065" s="636" t="n">
        <f aca="false">E1065*F1065</f>
        <v>140.39</v>
      </c>
      <c r="H1065" s="571"/>
    </row>
    <row r="1066" customFormat="false" ht="15" hidden="false" customHeight="false" outlineLevel="0" collapsed="false">
      <c r="A1066" s="571"/>
      <c r="B1066" s="500"/>
      <c r="C1066" s="655" t="s">
        <v>4293</v>
      </c>
      <c r="D1066" s="652" t="s">
        <v>4294</v>
      </c>
      <c r="E1066" s="633" t="n">
        <v>0.01</v>
      </c>
      <c r="F1066" s="644" t="n">
        <v>5000</v>
      </c>
      <c r="G1066" s="636" t="n">
        <f aca="false">E1066*F1066</f>
        <v>50</v>
      </c>
      <c r="H1066" s="606"/>
    </row>
    <row r="1067" customFormat="false" ht="15" hidden="false" customHeight="false" outlineLevel="0" collapsed="false">
      <c r="A1067" s="571"/>
      <c r="B1067" s="500"/>
      <c r="C1067" s="655" t="s">
        <v>4295</v>
      </c>
      <c r="D1067" s="652" t="s">
        <v>4133</v>
      </c>
      <c r="E1067" s="633" t="n">
        <v>0.01</v>
      </c>
      <c r="F1067" s="644" t="n">
        <v>12320</v>
      </c>
      <c r="G1067" s="636" t="n">
        <f aca="false">E1067*F1067</f>
        <v>123.2</v>
      </c>
      <c r="H1067" s="571"/>
    </row>
    <row r="1068" customFormat="false" ht="15" hidden="false" customHeight="false" outlineLevel="0" collapsed="false">
      <c r="A1068" s="571"/>
      <c r="B1068" s="500"/>
      <c r="C1068" s="655" t="s">
        <v>4296</v>
      </c>
      <c r="D1068" s="652" t="s">
        <v>4133</v>
      </c>
      <c r="E1068" s="633" t="n">
        <v>0.015</v>
      </c>
      <c r="F1068" s="644" t="n">
        <v>15100</v>
      </c>
      <c r="G1068" s="636" t="n">
        <f aca="false">E1068*F1068</f>
        <v>226.5</v>
      </c>
      <c r="H1068" s="571"/>
    </row>
    <row r="1069" customFormat="false" ht="15" hidden="false" customHeight="false" outlineLevel="0" collapsed="false">
      <c r="A1069" s="571"/>
      <c r="B1069" s="500"/>
      <c r="C1069" s="655" t="s">
        <v>4297</v>
      </c>
      <c r="D1069" s="652" t="s">
        <v>4133</v>
      </c>
      <c r="E1069" s="633" t="s">
        <v>4209</v>
      </c>
      <c r="F1069" s="644" t="n">
        <v>60000</v>
      </c>
      <c r="G1069" s="636" t="n">
        <f aca="false">E1069*F1069</f>
        <v>120</v>
      </c>
      <c r="H1069" s="571"/>
    </row>
    <row r="1070" customFormat="false" ht="15" hidden="false" customHeight="false" outlineLevel="0" collapsed="false">
      <c r="A1070" s="571"/>
      <c r="B1070" s="500"/>
      <c r="C1070" s="655" t="s">
        <v>4298</v>
      </c>
      <c r="D1070" s="652" t="s">
        <v>4133</v>
      </c>
      <c r="E1070" s="633" t="s">
        <v>4198</v>
      </c>
      <c r="F1070" s="626" t="n">
        <v>1240000</v>
      </c>
      <c r="G1070" s="636" t="n">
        <f aca="false">E1070*F1070</f>
        <v>620</v>
      </c>
      <c r="H1070" s="606"/>
    </row>
    <row r="1071" customFormat="false" ht="15" hidden="false" customHeight="false" outlineLevel="0" collapsed="false">
      <c r="A1071" s="571"/>
      <c r="B1071" s="500"/>
      <c r="C1071" s="638" t="s">
        <v>4373</v>
      </c>
      <c r="D1071" s="652" t="s">
        <v>4133</v>
      </c>
      <c r="E1071" s="633" t="n">
        <v>0.0022</v>
      </c>
      <c r="F1071" s="644" t="n">
        <v>78100</v>
      </c>
      <c r="G1071" s="636" t="n">
        <f aca="false">E1071*F1071</f>
        <v>171.82</v>
      </c>
      <c r="H1071" s="606"/>
    </row>
    <row r="1072" customFormat="false" ht="15" hidden="false" customHeight="false" outlineLevel="0" collapsed="false">
      <c r="A1072" s="571"/>
      <c r="B1072" s="608"/>
      <c r="C1072" s="638" t="s">
        <v>4300</v>
      </c>
      <c r="D1072" s="652" t="s">
        <v>4133</v>
      </c>
      <c r="E1072" s="633" t="n">
        <v>0.01</v>
      </c>
      <c r="F1072" s="644" t="n">
        <v>11500</v>
      </c>
      <c r="G1072" s="636" t="n">
        <f aca="false">E1072*F1072</f>
        <v>115</v>
      </c>
      <c r="H1072" s="606"/>
    </row>
    <row r="1073" customFormat="false" ht="15" hidden="false" customHeight="false" outlineLevel="0" collapsed="false">
      <c r="A1073" s="571"/>
      <c r="B1073" s="500"/>
      <c r="C1073" s="655" t="s">
        <v>4301</v>
      </c>
      <c r="D1073" s="652" t="s">
        <v>4133</v>
      </c>
      <c r="E1073" s="633" t="s">
        <v>4213</v>
      </c>
      <c r="F1073" s="644" t="n">
        <v>28000</v>
      </c>
      <c r="G1073" s="636" t="n">
        <f aca="false">E1073*F1073</f>
        <v>140</v>
      </c>
      <c r="H1073" s="606"/>
    </row>
    <row r="1074" customFormat="false" ht="15" hidden="false" customHeight="false" outlineLevel="0" collapsed="false">
      <c r="A1074" s="571"/>
      <c r="B1074" s="500"/>
      <c r="C1074" s="638" t="s">
        <v>4120</v>
      </c>
      <c r="D1074" s="637" t="s">
        <v>4121</v>
      </c>
      <c r="E1074" s="633" t="n">
        <v>0.03</v>
      </c>
      <c r="F1074" s="639" t="n">
        <v>1500</v>
      </c>
      <c r="G1074" s="636" t="n">
        <f aca="false">E1074*F1074</f>
        <v>45</v>
      </c>
      <c r="H1074" s="571"/>
    </row>
    <row r="1075" customFormat="false" ht="15" hidden="false" customHeight="false" outlineLevel="0" collapsed="false">
      <c r="A1075" s="571"/>
      <c r="B1075" s="500"/>
      <c r="C1075" s="638" t="s">
        <v>4122</v>
      </c>
      <c r="D1075" s="637" t="s">
        <v>4123</v>
      </c>
      <c r="E1075" s="633" t="n">
        <v>0.068</v>
      </c>
      <c r="F1075" s="626" t="n">
        <v>800</v>
      </c>
      <c r="G1075" s="636" t="n">
        <f aca="false">E1075*F1075</f>
        <v>54.4</v>
      </c>
      <c r="H1075" s="571"/>
    </row>
    <row r="1076" customFormat="false" ht="15" hidden="false" customHeight="false" outlineLevel="0" collapsed="false">
      <c r="A1076" s="571"/>
      <c r="B1076" s="500"/>
      <c r="C1076" s="633" t="s">
        <v>4270</v>
      </c>
      <c r="D1076" s="637" t="s">
        <v>4149</v>
      </c>
      <c r="E1076" s="633" t="n">
        <v>0.05</v>
      </c>
      <c r="F1076" s="626" t="n">
        <v>7560</v>
      </c>
      <c r="G1076" s="636" t="n">
        <f aca="false">E1076*F1076</f>
        <v>378</v>
      </c>
      <c r="H1076" s="571"/>
    </row>
    <row r="1077" customFormat="false" ht="15" hidden="false" customHeight="false" outlineLevel="0" collapsed="false">
      <c r="A1077" s="571"/>
      <c r="B1077" s="500"/>
      <c r="C1077" s="633" t="s">
        <v>4126</v>
      </c>
      <c r="D1077" s="637" t="s">
        <v>4149</v>
      </c>
      <c r="E1077" s="633" t="n">
        <v>0.02</v>
      </c>
      <c r="F1077" s="626" t="n">
        <v>2700</v>
      </c>
      <c r="G1077" s="636" t="n">
        <f aca="false">E1077*F1077</f>
        <v>54</v>
      </c>
      <c r="H1077" s="571"/>
    </row>
    <row r="1078" customFormat="false" ht="15" hidden="false" customHeight="false" outlineLevel="0" collapsed="false">
      <c r="A1078" s="571"/>
      <c r="B1078" s="608" t="s">
        <v>4128</v>
      </c>
      <c r="C1078" s="640"/>
      <c r="D1078" s="327"/>
      <c r="E1078" s="640"/>
      <c r="F1078" s="643"/>
      <c r="G1078" s="640" t="n">
        <f aca="false">SUM(G1063:G1077)</f>
        <v>2526.31</v>
      </c>
      <c r="H1078" s="571"/>
    </row>
    <row r="1079" customFormat="false" ht="15" hidden="false" customHeight="false" outlineLevel="0" collapsed="false">
      <c r="A1079" s="571" t="s">
        <v>209</v>
      </c>
      <c r="B1079" s="632" t="s">
        <v>4290</v>
      </c>
      <c r="C1079" s="647" t="s">
        <v>4291</v>
      </c>
      <c r="D1079" s="571" t="s">
        <v>4372</v>
      </c>
      <c r="E1079" s="629" t="n">
        <v>0.01</v>
      </c>
      <c r="F1079" s="644" t="n">
        <v>6900</v>
      </c>
      <c r="G1079" s="635" t="n">
        <f aca="false">E1079*F1079</f>
        <v>69</v>
      </c>
      <c r="H1079" s="606"/>
    </row>
    <row r="1080" customFormat="false" ht="15" hidden="false" customHeight="false" outlineLevel="0" collapsed="false">
      <c r="A1080" s="571"/>
      <c r="B1080" s="500"/>
      <c r="C1080" s="638" t="s">
        <v>4189</v>
      </c>
      <c r="D1080" s="637" t="s">
        <v>4133</v>
      </c>
      <c r="E1080" s="633" t="n">
        <v>0.1</v>
      </c>
      <c r="F1080" s="630" t="n">
        <v>3600</v>
      </c>
      <c r="G1080" s="635" t="n">
        <f aca="false">E1080*F1080</f>
        <v>360</v>
      </c>
      <c r="H1080" s="571"/>
    </row>
    <row r="1081" customFormat="false" ht="15" hidden="false" customHeight="false" outlineLevel="0" collapsed="false">
      <c r="A1081" s="571"/>
      <c r="B1081" s="500"/>
      <c r="C1081" s="638" t="s">
        <v>4272</v>
      </c>
      <c r="D1081" s="637" t="s">
        <v>4252</v>
      </c>
      <c r="E1081" s="671" t="n">
        <v>0.01</v>
      </c>
      <c r="F1081" s="626" t="n">
        <v>100000</v>
      </c>
      <c r="G1081" s="635" t="n">
        <f aca="false">E1081*F1081</f>
        <v>1000</v>
      </c>
      <c r="H1081" s="606"/>
    </row>
    <row r="1082" customFormat="false" ht="15" hidden="false" customHeight="false" outlineLevel="0" collapsed="false">
      <c r="A1082" s="571"/>
      <c r="B1082" s="500"/>
      <c r="C1082" s="638" t="s">
        <v>4120</v>
      </c>
      <c r="D1082" s="637" t="s">
        <v>4121</v>
      </c>
      <c r="E1082" s="633" t="n">
        <v>0.02</v>
      </c>
      <c r="F1082" s="639" t="n">
        <v>1500</v>
      </c>
      <c r="G1082" s="635" t="n">
        <f aca="false">E1082*F1082</f>
        <v>30</v>
      </c>
      <c r="H1082" s="571"/>
    </row>
    <row r="1083" customFormat="false" ht="15" hidden="false" customHeight="false" outlineLevel="0" collapsed="false">
      <c r="A1083" s="571"/>
      <c r="B1083" s="500"/>
      <c r="C1083" s="638" t="s">
        <v>4122</v>
      </c>
      <c r="D1083" s="637" t="s">
        <v>4123</v>
      </c>
      <c r="E1083" s="633" t="n">
        <v>0.1</v>
      </c>
      <c r="F1083" s="626" t="n">
        <v>800</v>
      </c>
      <c r="G1083" s="635" t="n">
        <f aca="false">E1083*F1083</f>
        <v>80</v>
      </c>
      <c r="H1083" s="571"/>
    </row>
    <row r="1084" customFormat="false" ht="15" hidden="false" customHeight="false" outlineLevel="0" collapsed="false">
      <c r="A1084" s="571"/>
      <c r="B1084" s="500"/>
      <c r="C1084" s="633" t="s">
        <v>4270</v>
      </c>
      <c r="D1084" s="637" t="s">
        <v>4149</v>
      </c>
      <c r="E1084" s="633" t="n">
        <v>0.05</v>
      </c>
      <c r="F1084" s="626" t="n">
        <v>7560</v>
      </c>
      <c r="G1084" s="636" t="n">
        <f aca="false">E1084*F1084</f>
        <v>378</v>
      </c>
      <c r="H1084" s="571"/>
    </row>
    <row r="1085" customFormat="false" ht="15" hidden="false" customHeight="false" outlineLevel="0" collapsed="false">
      <c r="A1085" s="571"/>
      <c r="B1085" s="500"/>
      <c r="C1085" s="633" t="s">
        <v>4126</v>
      </c>
      <c r="D1085" s="637" t="s">
        <v>4149</v>
      </c>
      <c r="E1085" s="633" t="n">
        <v>0.02</v>
      </c>
      <c r="F1085" s="626" t="n">
        <v>2700</v>
      </c>
      <c r="G1085" s="635" t="n">
        <f aca="false">E1085*F1085</f>
        <v>54</v>
      </c>
      <c r="H1085" s="571"/>
    </row>
    <row r="1086" customFormat="false" ht="15" hidden="false" customHeight="false" outlineLevel="0" collapsed="false">
      <c r="A1086" s="571"/>
      <c r="B1086" s="608" t="s">
        <v>4128</v>
      </c>
      <c r="C1086" s="640"/>
      <c r="D1086" s="327"/>
      <c r="E1086" s="640"/>
      <c r="F1086" s="643"/>
      <c r="G1086" s="640" t="n">
        <f aca="false">SUM(G1079:G1085)</f>
        <v>1971</v>
      </c>
      <c r="H1086" s="571"/>
    </row>
    <row r="1087" customFormat="false" ht="15" hidden="false" customHeight="false" outlineLevel="0" collapsed="false">
      <c r="A1087" s="571" t="s">
        <v>210</v>
      </c>
      <c r="B1087" s="500" t="s">
        <v>4302</v>
      </c>
      <c r="C1087" s="635" t="s">
        <v>4303</v>
      </c>
      <c r="D1087" s="571" t="s">
        <v>4372</v>
      </c>
      <c r="E1087" s="629" t="s">
        <v>4267</v>
      </c>
      <c r="F1087" s="630" t="s">
        <v>4279</v>
      </c>
      <c r="G1087" s="636" t="n">
        <f aca="false">E1087*F1087</f>
        <v>142</v>
      </c>
      <c r="H1087" s="606"/>
    </row>
    <row r="1088" customFormat="false" ht="15" hidden="false" customHeight="false" outlineLevel="0" collapsed="false">
      <c r="A1088" s="571"/>
      <c r="B1088" s="500"/>
      <c r="C1088" s="635" t="s">
        <v>4189</v>
      </c>
      <c r="D1088" s="634" t="s">
        <v>4133</v>
      </c>
      <c r="E1088" s="635" t="s">
        <v>4267</v>
      </c>
      <c r="F1088" s="630" t="n">
        <v>3600</v>
      </c>
      <c r="G1088" s="635" t="n">
        <f aca="false">E1088*F1088</f>
        <v>72</v>
      </c>
      <c r="H1088" s="571"/>
    </row>
    <row r="1089" customFormat="false" ht="15" hidden="false" customHeight="false" outlineLevel="0" collapsed="false">
      <c r="A1089" s="571"/>
      <c r="B1089" s="500"/>
      <c r="C1089" s="635" t="s">
        <v>4270</v>
      </c>
      <c r="D1089" s="634" t="s">
        <v>4133</v>
      </c>
      <c r="E1089" s="635" t="s">
        <v>4267</v>
      </c>
      <c r="F1089" s="648" t="n">
        <v>7560</v>
      </c>
      <c r="G1089" s="635" t="n">
        <f aca="false">E1089*F1089</f>
        <v>151.2</v>
      </c>
      <c r="H1089" s="571"/>
    </row>
    <row r="1090" customFormat="false" ht="15" hidden="false" customHeight="false" outlineLevel="0" collapsed="false">
      <c r="A1090" s="571"/>
      <c r="B1090" s="500"/>
      <c r="C1090" s="635" t="s">
        <v>4304</v>
      </c>
      <c r="D1090" s="634" t="s">
        <v>4133</v>
      </c>
      <c r="E1090" s="635" t="s">
        <v>4374</v>
      </c>
      <c r="F1090" s="648" t="n">
        <v>1810000</v>
      </c>
      <c r="G1090" s="635" t="n">
        <f aca="false">E1090*F1090</f>
        <v>181</v>
      </c>
      <c r="H1090" s="606"/>
    </row>
    <row r="1091" customFormat="false" ht="15" hidden="false" customHeight="false" outlineLevel="0" collapsed="false">
      <c r="A1091" s="571"/>
      <c r="B1091" s="500"/>
      <c r="C1091" s="635" t="s">
        <v>4305</v>
      </c>
      <c r="D1091" s="634" t="s">
        <v>4133</v>
      </c>
      <c r="E1091" s="635" t="s">
        <v>4200</v>
      </c>
      <c r="F1091" s="648" t="n">
        <v>9500</v>
      </c>
      <c r="G1091" s="635" t="n">
        <f aca="false">E1091*F1091</f>
        <v>475</v>
      </c>
      <c r="H1091" s="606"/>
    </row>
    <row r="1092" customFormat="false" ht="15" hidden="false" customHeight="false" outlineLevel="0" collapsed="false">
      <c r="A1092" s="571"/>
      <c r="B1092" s="500"/>
      <c r="C1092" s="635" t="s">
        <v>4183</v>
      </c>
      <c r="D1092" s="634" t="s">
        <v>4133</v>
      </c>
      <c r="E1092" s="635" t="s">
        <v>4200</v>
      </c>
      <c r="F1092" s="648" t="n">
        <v>15100</v>
      </c>
      <c r="G1092" s="635" t="n">
        <f aca="false">E1092*F1092</f>
        <v>755</v>
      </c>
      <c r="H1092" s="571"/>
    </row>
    <row r="1093" customFormat="false" ht="15" hidden="false" customHeight="false" outlineLevel="0" collapsed="false">
      <c r="A1093" s="571"/>
      <c r="B1093" s="500"/>
      <c r="C1093" s="638" t="s">
        <v>4120</v>
      </c>
      <c r="D1093" s="637" t="s">
        <v>4121</v>
      </c>
      <c r="E1093" s="633" t="n">
        <v>0.03</v>
      </c>
      <c r="F1093" s="639" t="n">
        <v>1500</v>
      </c>
      <c r="G1093" s="635" t="n">
        <f aca="false">E1093*F1093</f>
        <v>45</v>
      </c>
      <c r="H1093" s="571"/>
    </row>
    <row r="1094" customFormat="false" ht="15" hidden="false" customHeight="false" outlineLevel="0" collapsed="false">
      <c r="A1094" s="571"/>
      <c r="B1094" s="500"/>
      <c r="C1094" s="638" t="s">
        <v>4122</v>
      </c>
      <c r="D1094" s="637" t="s">
        <v>4123</v>
      </c>
      <c r="E1094" s="633" t="n">
        <v>0.1</v>
      </c>
      <c r="F1094" s="626" t="n">
        <v>800</v>
      </c>
      <c r="G1094" s="635" t="n">
        <f aca="false">E1094*F1094</f>
        <v>80</v>
      </c>
      <c r="H1094" s="571"/>
    </row>
    <row r="1095" customFormat="false" ht="15" hidden="false" customHeight="false" outlineLevel="0" collapsed="false">
      <c r="A1095" s="571"/>
      <c r="B1095" s="500"/>
      <c r="C1095" s="633" t="s">
        <v>4270</v>
      </c>
      <c r="D1095" s="637" t="s">
        <v>4149</v>
      </c>
      <c r="E1095" s="633" t="n">
        <v>0.05</v>
      </c>
      <c r="F1095" s="626" t="n">
        <v>7560</v>
      </c>
      <c r="G1095" s="636" t="n">
        <f aca="false">E1095*F1095</f>
        <v>378</v>
      </c>
      <c r="H1095" s="571"/>
    </row>
    <row r="1096" customFormat="false" ht="15" hidden="false" customHeight="false" outlineLevel="0" collapsed="false">
      <c r="A1096" s="571"/>
      <c r="B1096" s="500"/>
      <c r="C1096" s="633" t="s">
        <v>4126</v>
      </c>
      <c r="D1096" s="637" t="s">
        <v>4149</v>
      </c>
      <c r="E1096" s="633" t="n">
        <v>0.02</v>
      </c>
      <c r="F1096" s="626" t="n">
        <v>2700</v>
      </c>
      <c r="G1096" s="635" t="n">
        <f aca="false">E1096*F1096</f>
        <v>54</v>
      </c>
      <c r="H1096" s="571"/>
    </row>
    <row r="1097" customFormat="false" ht="15" hidden="false" customHeight="false" outlineLevel="0" collapsed="false">
      <c r="A1097" s="571"/>
      <c r="B1097" s="608" t="s">
        <v>4128</v>
      </c>
      <c r="C1097" s="640"/>
      <c r="D1097" s="327"/>
      <c r="E1097" s="640"/>
      <c r="F1097" s="643"/>
      <c r="G1097" s="640" t="n">
        <f aca="false">SUM(G1087:G1096)</f>
        <v>2333.2</v>
      </c>
      <c r="H1097" s="571"/>
    </row>
    <row r="1098" customFormat="false" ht="30" hidden="false" customHeight="false" outlineLevel="0" collapsed="false">
      <c r="A1098" s="571" t="s">
        <v>211</v>
      </c>
      <c r="B1098" s="632" t="s">
        <v>2932</v>
      </c>
      <c r="C1098" s="633" t="s">
        <v>4306</v>
      </c>
      <c r="D1098" s="637" t="s">
        <v>4133</v>
      </c>
      <c r="E1098" s="635" t="s">
        <v>4209</v>
      </c>
      <c r="F1098" s="626" t="n">
        <v>456020</v>
      </c>
      <c r="G1098" s="635" t="n">
        <f aca="false">E1098*F1098</f>
        <v>912.04</v>
      </c>
      <c r="H1098" s="606"/>
    </row>
    <row r="1099" customFormat="false" ht="15" hidden="false" customHeight="false" outlineLevel="0" collapsed="false">
      <c r="A1099" s="571"/>
      <c r="B1099" s="500"/>
      <c r="C1099" s="633" t="s">
        <v>4307</v>
      </c>
      <c r="D1099" s="637" t="s">
        <v>4133</v>
      </c>
      <c r="E1099" s="635" t="s">
        <v>4267</v>
      </c>
      <c r="F1099" s="626" t="n">
        <v>20160</v>
      </c>
      <c r="G1099" s="635" t="n">
        <f aca="false">E1099*F1099</f>
        <v>403.2</v>
      </c>
      <c r="H1099" s="571"/>
    </row>
    <row r="1100" customFormat="false" ht="30" hidden="false" customHeight="false" outlineLevel="0" collapsed="false">
      <c r="A1100" s="571"/>
      <c r="B1100" s="608"/>
      <c r="C1100" s="633" t="s">
        <v>4308</v>
      </c>
      <c r="D1100" s="637" t="s">
        <v>4133</v>
      </c>
      <c r="E1100" s="635" t="s">
        <v>4267</v>
      </c>
      <c r="F1100" s="626" t="n">
        <v>8604</v>
      </c>
      <c r="G1100" s="635" t="n">
        <f aca="false">E1100*F1100</f>
        <v>172.08</v>
      </c>
      <c r="H1100" s="606"/>
    </row>
    <row r="1101" customFormat="false" ht="15" hidden="false" customHeight="false" outlineLevel="0" collapsed="false">
      <c r="A1101" s="571"/>
      <c r="B1101" s="500"/>
      <c r="C1101" s="633" t="s">
        <v>4147</v>
      </c>
      <c r="D1101" s="637" t="s">
        <v>4133</v>
      </c>
      <c r="E1101" s="635" t="s">
        <v>4267</v>
      </c>
      <c r="F1101" s="626" t="n">
        <v>14039</v>
      </c>
      <c r="G1101" s="635" t="n">
        <f aca="false">E1101*F1101</f>
        <v>280.78</v>
      </c>
      <c r="H1101" s="571"/>
    </row>
    <row r="1102" customFormat="false" ht="15" hidden="false" customHeight="false" outlineLevel="0" collapsed="false">
      <c r="A1102" s="571"/>
      <c r="B1102" s="500"/>
      <c r="C1102" s="633" t="s">
        <v>4309</v>
      </c>
      <c r="D1102" s="637" t="s">
        <v>4133</v>
      </c>
      <c r="E1102" s="635" t="s">
        <v>4267</v>
      </c>
      <c r="F1102" s="626" t="n">
        <v>6500</v>
      </c>
      <c r="G1102" s="635" t="n">
        <f aca="false">E1102*F1102</f>
        <v>130</v>
      </c>
      <c r="H1102" s="606"/>
    </row>
    <row r="1103" customFormat="false" ht="30" hidden="false" customHeight="false" outlineLevel="0" collapsed="false">
      <c r="A1103" s="571"/>
      <c r="B1103" s="608"/>
      <c r="C1103" s="633" t="s">
        <v>4310</v>
      </c>
      <c r="D1103" s="637" t="s">
        <v>4133</v>
      </c>
      <c r="E1103" s="635" t="n">
        <v>0.01</v>
      </c>
      <c r="F1103" s="644" t="n">
        <v>11500</v>
      </c>
      <c r="G1103" s="635" t="n">
        <f aca="false">E1103*F1103</f>
        <v>115</v>
      </c>
      <c r="H1103" s="606"/>
    </row>
    <row r="1104" customFormat="false" ht="15" hidden="false" customHeight="false" outlineLevel="0" collapsed="false">
      <c r="A1104" s="571"/>
      <c r="B1104" s="500"/>
      <c r="C1104" s="633" t="s">
        <v>4311</v>
      </c>
      <c r="D1104" s="637" t="s">
        <v>4149</v>
      </c>
      <c r="E1104" s="633" t="n">
        <v>0.01</v>
      </c>
      <c r="F1104" s="626" t="n">
        <v>12000</v>
      </c>
      <c r="G1104" s="635" t="n">
        <f aca="false">E1104*F1104</f>
        <v>120</v>
      </c>
      <c r="H1104" s="606"/>
    </row>
    <row r="1105" customFormat="false" ht="30" hidden="false" customHeight="false" outlineLevel="0" collapsed="false">
      <c r="A1105" s="571"/>
      <c r="B1105" s="500"/>
      <c r="C1105" s="633" t="s">
        <v>4312</v>
      </c>
      <c r="D1105" s="637" t="s">
        <v>4133</v>
      </c>
      <c r="E1105" s="635" t="s">
        <v>4213</v>
      </c>
      <c r="F1105" s="626" t="n">
        <v>54880</v>
      </c>
      <c r="G1105" s="635" t="n">
        <f aca="false">E1105*F1105</f>
        <v>274.4</v>
      </c>
      <c r="H1105" s="571"/>
    </row>
    <row r="1106" customFormat="false" ht="15" hidden="false" customHeight="false" outlineLevel="0" collapsed="false">
      <c r="A1106" s="571"/>
      <c r="B1106" s="500"/>
      <c r="C1106" s="633" t="s">
        <v>4313</v>
      </c>
      <c r="D1106" s="637" t="s">
        <v>4133</v>
      </c>
      <c r="E1106" s="635" t="s">
        <v>4213</v>
      </c>
      <c r="F1106" s="626" t="s">
        <v>4375</v>
      </c>
      <c r="G1106" s="635" t="n">
        <f aca="false">E1106*F1106</f>
        <v>300</v>
      </c>
      <c r="H1106" s="606"/>
    </row>
    <row r="1107" customFormat="false" ht="15" hidden="false" customHeight="false" outlineLevel="0" collapsed="false">
      <c r="A1107" s="571"/>
      <c r="B1107" s="608"/>
      <c r="C1107" s="633" t="s">
        <v>4314</v>
      </c>
      <c r="D1107" s="571" t="s">
        <v>4372</v>
      </c>
      <c r="E1107" s="629" t="n">
        <v>0.08</v>
      </c>
      <c r="F1107" s="626" t="s">
        <v>4279</v>
      </c>
      <c r="G1107" s="635" t="n">
        <f aca="false">E1107*F1107</f>
        <v>568</v>
      </c>
      <c r="H1107" s="606"/>
    </row>
    <row r="1108" customFormat="false" ht="15" hidden="false" customHeight="false" outlineLevel="0" collapsed="false">
      <c r="A1108" s="571"/>
      <c r="B1108" s="500"/>
      <c r="C1108" s="638" t="s">
        <v>4120</v>
      </c>
      <c r="D1108" s="637" t="s">
        <v>4121</v>
      </c>
      <c r="E1108" s="633" t="n">
        <v>0.03</v>
      </c>
      <c r="F1108" s="639" t="n">
        <v>1500</v>
      </c>
      <c r="G1108" s="635" t="n">
        <f aca="false">E1108*F1108</f>
        <v>45</v>
      </c>
      <c r="H1108" s="571"/>
    </row>
    <row r="1109" customFormat="false" ht="15" hidden="false" customHeight="false" outlineLevel="0" collapsed="false">
      <c r="A1109" s="571"/>
      <c r="B1109" s="500"/>
      <c r="C1109" s="638" t="s">
        <v>4122</v>
      </c>
      <c r="D1109" s="637" t="s">
        <v>4123</v>
      </c>
      <c r="E1109" s="633" t="n">
        <v>0.045</v>
      </c>
      <c r="F1109" s="626" t="n">
        <v>800</v>
      </c>
      <c r="G1109" s="635" t="n">
        <f aca="false">E1109*F1109</f>
        <v>36</v>
      </c>
      <c r="H1109" s="571"/>
    </row>
    <row r="1110" customFormat="false" ht="15" hidden="false" customHeight="false" outlineLevel="0" collapsed="false">
      <c r="A1110" s="571"/>
      <c r="B1110" s="500"/>
      <c r="C1110" s="633" t="s">
        <v>4270</v>
      </c>
      <c r="D1110" s="637" t="s">
        <v>4149</v>
      </c>
      <c r="E1110" s="633" t="n">
        <v>0.05</v>
      </c>
      <c r="F1110" s="626" t="n">
        <v>7560</v>
      </c>
      <c r="G1110" s="636" t="n">
        <f aca="false">E1110*F1110</f>
        <v>378</v>
      </c>
      <c r="H1110" s="571"/>
    </row>
    <row r="1111" customFormat="false" ht="15" hidden="false" customHeight="false" outlineLevel="0" collapsed="false">
      <c r="A1111" s="571"/>
      <c r="B1111" s="500"/>
      <c r="C1111" s="633" t="s">
        <v>4126</v>
      </c>
      <c r="D1111" s="637" t="s">
        <v>4127</v>
      </c>
      <c r="E1111" s="633" t="n">
        <v>0.021</v>
      </c>
      <c r="F1111" s="626" t="n">
        <v>2700</v>
      </c>
      <c r="G1111" s="635" t="n">
        <f aca="false">E1111*F1111</f>
        <v>56.7</v>
      </c>
      <c r="H1111" s="571"/>
    </row>
    <row r="1112" customFormat="false" ht="15" hidden="false" customHeight="false" outlineLevel="0" collapsed="false">
      <c r="A1112" s="571"/>
      <c r="B1112" s="608" t="s">
        <v>4128</v>
      </c>
      <c r="C1112" s="640"/>
      <c r="D1112" s="327"/>
      <c r="E1112" s="640"/>
      <c r="F1112" s="643"/>
      <c r="G1112" s="640" t="n">
        <f aca="false">SUM(G1098:G1111)</f>
        <v>3791.2</v>
      </c>
      <c r="H1112" s="571"/>
    </row>
    <row r="1113" customFormat="false" ht="15" hidden="false" customHeight="false" outlineLevel="0" collapsed="false">
      <c r="A1113" s="571" t="s">
        <v>212</v>
      </c>
      <c r="B1113" s="500" t="s">
        <v>2933</v>
      </c>
      <c r="C1113" s="638" t="s">
        <v>4189</v>
      </c>
      <c r="D1113" s="637" t="s">
        <v>4133</v>
      </c>
      <c r="E1113" s="672" t="n">
        <v>0.05</v>
      </c>
      <c r="F1113" s="630" t="n">
        <v>3600</v>
      </c>
      <c r="G1113" s="635" t="n">
        <f aca="false">E1113*F1113</f>
        <v>180</v>
      </c>
      <c r="H1113" s="571"/>
    </row>
    <row r="1114" customFormat="false" ht="15" hidden="false" customHeight="false" outlineLevel="0" collapsed="false">
      <c r="A1114" s="571"/>
      <c r="B1114" s="500"/>
      <c r="C1114" s="638" t="s">
        <v>4272</v>
      </c>
      <c r="D1114" s="637" t="s">
        <v>4252</v>
      </c>
      <c r="E1114" s="672" t="n">
        <v>0.01</v>
      </c>
      <c r="F1114" s="626" t="n">
        <v>100000</v>
      </c>
      <c r="G1114" s="635" t="n">
        <f aca="false">E1114*F1114</f>
        <v>1000</v>
      </c>
      <c r="H1114" s="606"/>
    </row>
    <row r="1115" customFormat="false" ht="15" hidden="false" customHeight="false" outlineLevel="0" collapsed="false">
      <c r="A1115" s="571"/>
      <c r="B1115" s="500"/>
      <c r="C1115" s="633" t="s">
        <v>4315</v>
      </c>
      <c r="D1115" s="571" t="s">
        <v>4372</v>
      </c>
      <c r="E1115" s="673" t="n">
        <v>0.1</v>
      </c>
      <c r="F1115" s="626" t="n">
        <v>7200</v>
      </c>
      <c r="G1115" s="635" t="n">
        <f aca="false">E1115*F1115</f>
        <v>720</v>
      </c>
      <c r="H1115" s="606"/>
    </row>
    <row r="1116" customFormat="false" ht="15" hidden="false" customHeight="false" outlineLevel="0" collapsed="false">
      <c r="A1116" s="571"/>
      <c r="B1116" s="500"/>
      <c r="C1116" s="638" t="s">
        <v>4120</v>
      </c>
      <c r="D1116" s="637" t="s">
        <v>4121</v>
      </c>
      <c r="E1116" s="672" t="n">
        <v>0.03</v>
      </c>
      <c r="F1116" s="639" t="n">
        <v>1500</v>
      </c>
      <c r="G1116" s="635" t="n">
        <f aca="false">E1116*F1116</f>
        <v>45</v>
      </c>
      <c r="H1116" s="571"/>
    </row>
    <row r="1117" customFormat="false" ht="15" hidden="false" customHeight="false" outlineLevel="0" collapsed="false">
      <c r="A1117" s="571"/>
      <c r="B1117" s="500"/>
      <c r="C1117" s="638" t="s">
        <v>4122</v>
      </c>
      <c r="D1117" s="637" t="s">
        <v>4123</v>
      </c>
      <c r="E1117" s="674" t="n">
        <v>0.1</v>
      </c>
      <c r="F1117" s="626" t="n">
        <v>800</v>
      </c>
      <c r="G1117" s="635" t="n">
        <f aca="false">E1117*F1117</f>
        <v>80</v>
      </c>
      <c r="H1117" s="571"/>
    </row>
    <row r="1118" customFormat="false" ht="15" hidden="false" customHeight="false" outlineLevel="0" collapsed="false">
      <c r="A1118" s="571"/>
      <c r="B1118" s="500"/>
      <c r="C1118" s="633" t="s">
        <v>4124</v>
      </c>
      <c r="D1118" s="637" t="s">
        <v>4125</v>
      </c>
      <c r="E1118" s="674" t="n">
        <v>0.1</v>
      </c>
      <c r="F1118" s="626" t="n">
        <v>120</v>
      </c>
      <c r="G1118" s="635" t="n">
        <f aca="false">E1118*F1118</f>
        <v>12</v>
      </c>
      <c r="H1118" s="571"/>
    </row>
    <row r="1119" customFormat="false" ht="15" hidden="false" customHeight="false" outlineLevel="0" collapsed="false">
      <c r="A1119" s="571"/>
      <c r="B1119" s="500"/>
      <c r="C1119" s="633" t="s">
        <v>4126</v>
      </c>
      <c r="D1119" s="637" t="s">
        <v>4149</v>
      </c>
      <c r="E1119" s="672" t="n">
        <v>0.02</v>
      </c>
      <c r="F1119" s="626" t="n">
        <v>2700</v>
      </c>
      <c r="G1119" s="635" t="n">
        <f aca="false">E1119*F1119</f>
        <v>54</v>
      </c>
      <c r="H1119" s="571"/>
    </row>
    <row r="1120" customFormat="false" ht="15" hidden="false" customHeight="false" outlineLevel="0" collapsed="false">
      <c r="A1120" s="571"/>
      <c r="B1120" s="608" t="s">
        <v>4128</v>
      </c>
      <c r="C1120" s="640"/>
      <c r="D1120" s="327"/>
      <c r="E1120" s="675"/>
      <c r="F1120" s="643"/>
      <c r="G1120" s="640" t="n">
        <f aca="false">SUM(G1113:G1119)</f>
        <v>2091</v>
      </c>
      <c r="H1120" s="571"/>
    </row>
    <row r="1121" customFormat="false" ht="15" hidden="false" customHeight="false" outlineLevel="0" collapsed="false">
      <c r="A1121" s="571" t="s">
        <v>213</v>
      </c>
      <c r="B1121" s="500" t="s">
        <v>4316</v>
      </c>
      <c r="C1121" s="629" t="s">
        <v>4317</v>
      </c>
      <c r="D1121" s="571" t="s">
        <v>4133</v>
      </c>
      <c r="E1121" s="676" t="n">
        <v>0.01</v>
      </c>
      <c r="F1121" s="648" t="n">
        <v>6048</v>
      </c>
      <c r="G1121" s="635" t="n">
        <f aca="false">E1121*F1121</f>
        <v>60.48</v>
      </c>
      <c r="H1121" s="571"/>
    </row>
    <row r="1122" customFormat="false" ht="30" hidden="false" customHeight="false" outlineLevel="0" collapsed="false">
      <c r="A1122" s="571"/>
      <c r="B1122" s="500"/>
      <c r="C1122" s="629" t="s">
        <v>4318</v>
      </c>
      <c r="D1122" s="571" t="s">
        <v>4133</v>
      </c>
      <c r="E1122" s="676" t="n">
        <v>0.01</v>
      </c>
      <c r="F1122" s="630" t="n">
        <v>5500</v>
      </c>
      <c r="G1122" s="635" t="n">
        <f aca="false">E1122*F1122</f>
        <v>55</v>
      </c>
      <c r="H1122" s="571"/>
    </row>
    <row r="1123" customFormat="false" ht="15" hidden="false" customHeight="false" outlineLevel="0" collapsed="false">
      <c r="A1123" s="571"/>
      <c r="B1123" s="500"/>
      <c r="C1123" s="629" t="s">
        <v>4154</v>
      </c>
      <c r="D1123" s="571" t="s">
        <v>4133</v>
      </c>
      <c r="E1123" s="676" t="n">
        <v>0.02</v>
      </c>
      <c r="F1123" s="626" t="n">
        <v>10976</v>
      </c>
      <c r="G1123" s="635" t="n">
        <f aca="false">E1123*F1123</f>
        <v>219.52</v>
      </c>
      <c r="H1123" s="571"/>
    </row>
    <row r="1124" customFormat="false" ht="15" hidden="false" customHeight="false" outlineLevel="0" collapsed="false">
      <c r="A1124" s="571"/>
      <c r="B1124" s="500"/>
      <c r="C1124" s="629" t="s">
        <v>4225</v>
      </c>
      <c r="D1124" s="571" t="s">
        <v>4133</v>
      </c>
      <c r="E1124" s="676" t="n">
        <v>0.05</v>
      </c>
      <c r="F1124" s="630" t="n">
        <v>15100</v>
      </c>
      <c r="G1124" s="635" t="n">
        <f aca="false">E1124*F1124</f>
        <v>755</v>
      </c>
      <c r="H1124" s="571"/>
    </row>
    <row r="1125" customFormat="false" ht="15" hidden="false" customHeight="false" outlineLevel="0" collapsed="false">
      <c r="A1125" s="571"/>
      <c r="B1125" s="500"/>
      <c r="C1125" s="629" t="s">
        <v>4319</v>
      </c>
      <c r="D1125" s="571" t="s">
        <v>4133</v>
      </c>
      <c r="E1125" s="676" t="n">
        <v>0.01</v>
      </c>
      <c r="F1125" s="630" t="n">
        <v>18000</v>
      </c>
      <c r="G1125" s="635" t="n">
        <f aca="false">E1125*F1125</f>
        <v>180</v>
      </c>
      <c r="H1125" s="571"/>
    </row>
    <row r="1126" customFormat="false" ht="30" hidden="false" customHeight="false" outlineLevel="0" collapsed="false">
      <c r="A1126" s="571"/>
      <c r="B1126" s="500"/>
      <c r="C1126" s="629" t="s">
        <v>4320</v>
      </c>
      <c r="D1126" s="571" t="s">
        <v>4121</v>
      </c>
      <c r="E1126" s="673" t="n">
        <v>0.1</v>
      </c>
      <c r="F1126" s="630" t="n">
        <v>1400</v>
      </c>
      <c r="G1126" s="635" t="n">
        <f aca="false">E1126*F1126</f>
        <v>140</v>
      </c>
      <c r="H1126" s="571"/>
    </row>
    <row r="1127" customFormat="false" ht="15" hidden="false" customHeight="false" outlineLevel="0" collapsed="false">
      <c r="A1127" s="571"/>
      <c r="B1127" s="500"/>
      <c r="C1127" s="629" t="s">
        <v>4321</v>
      </c>
      <c r="D1127" s="571" t="s">
        <v>4372</v>
      </c>
      <c r="E1127" s="673" t="n">
        <v>0.05</v>
      </c>
      <c r="F1127" s="630" t="n">
        <v>7200</v>
      </c>
      <c r="G1127" s="635" t="n">
        <f aca="false">E1127*F1127</f>
        <v>360</v>
      </c>
      <c r="H1127" s="571"/>
    </row>
    <row r="1128" customFormat="false" ht="15" hidden="false" customHeight="false" outlineLevel="0" collapsed="false">
      <c r="A1128" s="571"/>
      <c r="B1128" s="500"/>
      <c r="C1128" s="638" t="s">
        <v>4120</v>
      </c>
      <c r="D1128" s="637" t="s">
        <v>4121</v>
      </c>
      <c r="E1128" s="672" t="n">
        <v>0.03</v>
      </c>
      <c r="F1128" s="639" t="n">
        <v>1500</v>
      </c>
      <c r="G1128" s="635" t="n">
        <f aca="false">E1128*F1128</f>
        <v>45</v>
      </c>
      <c r="H1128" s="571"/>
    </row>
    <row r="1129" customFormat="false" ht="15" hidden="false" customHeight="false" outlineLevel="0" collapsed="false">
      <c r="A1129" s="571"/>
      <c r="B1129" s="608"/>
      <c r="C1129" s="638" t="s">
        <v>4122</v>
      </c>
      <c r="D1129" s="637" t="s">
        <v>4123</v>
      </c>
      <c r="E1129" s="674" t="n">
        <v>0.1</v>
      </c>
      <c r="F1129" s="626" t="n">
        <v>800</v>
      </c>
      <c r="G1129" s="635" t="n">
        <f aca="false">E1129*F1129</f>
        <v>80</v>
      </c>
      <c r="H1129" s="571"/>
    </row>
    <row r="1130" customFormat="false" ht="15" hidden="false" customHeight="false" outlineLevel="0" collapsed="false">
      <c r="A1130" s="571"/>
      <c r="B1130" s="500"/>
      <c r="C1130" s="633" t="s">
        <v>4124</v>
      </c>
      <c r="D1130" s="637" t="s">
        <v>4125</v>
      </c>
      <c r="E1130" s="674" t="n">
        <v>0.1</v>
      </c>
      <c r="F1130" s="626" t="n">
        <v>120</v>
      </c>
      <c r="G1130" s="635" t="n">
        <f aca="false">E1130*F1130</f>
        <v>12</v>
      </c>
      <c r="H1130" s="571"/>
    </row>
    <row r="1131" customFormat="false" ht="15" hidden="false" customHeight="false" outlineLevel="0" collapsed="false">
      <c r="A1131" s="571"/>
      <c r="B1131" s="500"/>
      <c r="C1131" s="633" t="s">
        <v>4126</v>
      </c>
      <c r="D1131" s="637" t="s">
        <v>4149</v>
      </c>
      <c r="E1131" s="672" t="n">
        <v>0.02</v>
      </c>
      <c r="F1131" s="626" t="n">
        <v>2700</v>
      </c>
      <c r="G1131" s="635" t="n">
        <f aca="false">E1131*F1131</f>
        <v>54</v>
      </c>
      <c r="H1131" s="571"/>
    </row>
    <row r="1132" customFormat="false" ht="15" hidden="false" customHeight="false" outlineLevel="0" collapsed="false">
      <c r="A1132" s="571"/>
      <c r="B1132" s="608" t="s">
        <v>4128</v>
      </c>
      <c r="C1132" s="640"/>
      <c r="D1132" s="327"/>
      <c r="E1132" s="677"/>
      <c r="F1132" s="643"/>
      <c r="G1132" s="640" t="n">
        <f aca="false">SUM(G1121:G1131)</f>
        <v>1961</v>
      </c>
      <c r="H1132" s="571"/>
    </row>
    <row r="1133" customFormat="false" ht="15" hidden="false" customHeight="false" outlineLevel="0" collapsed="false">
      <c r="A1133" s="571" t="s">
        <v>214</v>
      </c>
      <c r="B1133" s="500" t="s">
        <v>4316</v>
      </c>
      <c r="C1133" s="655" t="s">
        <v>4317</v>
      </c>
      <c r="D1133" s="652" t="s">
        <v>4133</v>
      </c>
      <c r="E1133" s="633" t="s">
        <v>4230</v>
      </c>
      <c r="F1133" s="648" t="n">
        <v>6048</v>
      </c>
      <c r="G1133" s="635" t="n">
        <f aca="false">E1133*F1133</f>
        <v>604.8</v>
      </c>
      <c r="H1133" s="571"/>
    </row>
    <row r="1134" customFormat="false" ht="15" hidden="false" customHeight="false" outlineLevel="0" collapsed="false">
      <c r="A1134" s="571"/>
      <c r="B1134" s="500"/>
      <c r="C1134" s="647" t="s">
        <v>4321</v>
      </c>
      <c r="D1134" s="571" t="s">
        <v>4372</v>
      </c>
      <c r="E1134" s="629" t="s">
        <v>4376</v>
      </c>
      <c r="F1134" s="645" t="n">
        <v>7200</v>
      </c>
      <c r="G1134" s="635" t="n">
        <f aca="false">E1134*F1134</f>
        <v>5760</v>
      </c>
      <c r="H1134" s="571"/>
    </row>
    <row r="1135" customFormat="false" ht="15" hidden="false" customHeight="false" outlineLevel="0" collapsed="false">
      <c r="A1135" s="571"/>
      <c r="B1135" s="500"/>
      <c r="C1135" s="647" t="s">
        <v>4250</v>
      </c>
      <c r="D1135" s="654" t="s">
        <v>4133</v>
      </c>
      <c r="E1135" s="633" t="s">
        <v>4230</v>
      </c>
      <c r="F1135" s="645" t="n">
        <v>25000</v>
      </c>
      <c r="G1135" s="635" t="n">
        <f aca="false">E1135*F1135</f>
        <v>2500</v>
      </c>
      <c r="H1135" s="571"/>
    </row>
    <row r="1136" customFormat="false" ht="15" hidden="false" customHeight="false" outlineLevel="0" collapsed="false">
      <c r="A1136" s="571"/>
      <c r="B1136" s="608"/>
      <c r="C1136" s="647" t="s">
        <v>4322</v>
      </c>
      <c r="D1136" s="654" t="s">
        <v>4121</v>
      </c>
      <c r="E1136" s="633" t="n">
        <v>4</v>
      </c>
      <c r="F1136" s="645" t="n">
        <v>150</v>
      </c>
      <c r="G1136" s="635" t="n">
        <f aca="false">E1136*F1136</f>
        <v>600</v>
      </c>
      <c r="H1136" s="571"/>
    </row>
    <row r="1137" customFormat="false" ht="15" hidden="false" customHeight="false" outlineLevel="0" collapsed="false">
      <c r="A1137" s="571"/>
      <c r="B1137" s="500"/>
      <c r="C1137" s="638" t="s">
        <v>4120</v>
      </c>
      <c r="D1137" s="637" t="s">
        <v>4121</v>
      </c>
      <c r="E1137" s="633" t="n">
        <v>0.03</v>
      </c>
      <c r="F1137" s="639" t="n">
        <v>1500</v>
      </c>
      <c r="G1137" s="635" t="n">
        <f aca="false">E1137*F1137</f>
        <v>45</v>
      </c>
      <c r="H1137" s="571"/>
    </row>
    <row r="1138" customFormat="false" ht="15" hidden="false" customHeight="false" outlineLevel="0" collapsed="false">
      <c r="A1138" s="571"/>
      <c r="B1138" s="500"/>
      <c r="C1138" s="638" t="s">
        <v>4122</v>
      </c>
      <c r="D1138" s="637" t="s">
        <v>4123</v>
      </c>
      <c r="E1138" s="633" t="n">
        <v>0.1</v>
      </c>
      <c r="F1138" s="626" t="n">
        <v>800</v>
      </c>
      <c r="G1138" s="635" t="n">
        <f aca="false">E1138*F1138</f>
        <v>80</v>
      </c>
      <c r="H1138" s="571"/>
    </row>
    <row r="1139" customFormat="false" ht="15" hidden="false" customHeight="false" outlineLevel="0" collapsed="false">
      <c r="A1139" s="571"/>
      <c r="B1139" s="500"/>
      <c r="C1139" s="633" t="s">
        <v>4124</v>
      </c>
      <c r="D1139" s="637" t="s">
        <v>4125</v>
      </c>
      <c r="E1139" s="633" t="n">
        <v>0.1</v>
      </c>
      <c r="F1139" s="626" t="n">
        <v>120</v>
      </c>
      <c r="G1139" s="635" t="n">
        <f aca="false">E1139*F1139</f>
        <v>12</v>
      </c>
      <c r="H1139" s="571"/>
    </row>
    <row r="1140" customFormat="false" ht="15" hidden="false" customHeight="false" outlineLevel="0" collapsed="false">
      <c r="A1140" s="571"/>
      <c r="B1140" s="608"/>
      <c r="C1140" s="633" t="s">
        <v>4126</v>
      </c>
      <c r="D1140" s="637" t="s">
        <v>4149</v>
      </c>
      <c r="E1140" s="633" t="n">
        <v>0.02</v>
      </c>
      <c r="F1140" s="626" t="n">
        <v>2700</v>
      </c>
      <c r="G1140" s="635" t="n">
        <f aca="false">E1140*F1140</f>
        <v>54</v>
      </c>
      <c r="H1140" s="571"/>
    </row>
    <row r="1141" customFormat="false" ht="15" hidden="false" customHeight="false" outlineLevel="0" collapsed="false">
      <c r="A1141" s="571"/>
      <c r="B1141" s="608" t="s">
        <v>4128</v>
      </c>
      <c r="C1141" s="640"/>
      <c r="D1141" s="327"/>
      <c r="E1141" s="640"/>
      <c r="F1141" s="643"/>
      <c r="G1141" s="640" t="n">
        <f aca="false">SUM(G1133:G1140)</f>
        <v>9655.8</v>
      </c>
      <c r="H1141" s="571"/>
    </row>
    <row r="1142" customFormat="false" ht="15" hidden="false" customHeight="false" outlineLevel="0" collapsed="false">
      <c r="A1142" s="571" t="s">
        <v>215</v>
      </c>
      <c r="B1142" s="500" t="s">
        <v>2936</v>
      </c>
      <c r="C1142" s="635" t="s">
        <v>4171</v>
      </c>
      <c r="D1142" s="634" t="s">
        <v>4133</v>
      </c>
      <c r="E1142" s="635" t="n">
        <v>0.01</v>
      </c>
      <c r="F1142" s="626" t="n">
        <v>18000</v>
      </c>
      <c r="G1142" s="635" t="n">
        <f aca="false">E1142*F1142</f>
        <v>180</v>
      </c>
      <c r="H1142" s="571"/>
    </row>
    <row r="1143" customFormat="false" ht="15" hidden="false" customHeight="false" outlineLevel="0" collapsed="false">
      <c r="A1143" s="571"/>
      <c r="B1143" s="500"/>
      <c r="C1143" s="635" t="s">
        <v>4323</v>
      </c>
      <c r="D1143" s="634" t="s">
        <v>4133</v>
      </c>
      <c r="E1143" s="635" t="n">
        <v>0.01</v>
      </c>
      <c r="F1143" s="648" t="n">
        <v>18100</v>
      </c>
      <c r="G1143" s="635" t="n">
        <f aca="false">E1143*F1143</f>
        <v>181</v>
      </c>
      <c r="H1143" s="606"/>
    </row>
    <row r="1144" customFormat="false" ht="15" hidden="false" customHeight="false" outlineLevel="0" collapsed="false">
      <c r="A1144" s="571"/>
      <c r="B1144" s="500"/>
      <c r="C1144" s="635" t="s">
        <v>4154</v>
      </c>
      <c r="D1144" s="634" t="s">
        <v>4133</v>
      </c>
      <c r="E1144" s="635" t="s">
        <v>4200</v>
      </c>
      <c r="F1144" s="626" t="n">
        <v>10976</v>
      </c>
      <c r="G1144" s="635" t="n">
        <f aca="false">E1144*F1144</f>
        <v>548.8</v>
      </c>
      <c r="H1144" s="571"/>
    </row>
    <row r="1145" customFormat="false" ht="45" hidden="false" customHeight="false" outlineLevel="0" collapsed="false">
      <c r="A1145" s="571"/>
      <c r="B1145" s="500"/>
      <c r="C1145" s="646" t="s">
        <v>4203</v>
      </c>
      <c r="D1145" s="637" t="s">
        <v>4131</v>
      </c>
      <c r="E1145" s="635" t="n">
        <v>0.01</v>
      </c>
      <c r="F1145" s="644" t="n">
        <v>10192</v>
      </c>
      <c r="G1145" s="635" t="n">
        <f aca="false">E1145*F1145</f>
        <v>101.92</v>
      </c>
      <c r="H1145" s="571"/>
    </row>
    <row r="1146" customFormat="false" ht="15" hidden="false" customHeight="false" outlineLevel="0" collapsed="false">
      <c r="A1146" s="571"/>
      <c r="B1146" s="500"/>
      <c r="C1146" s="635" t="s">
        <v>4324</v>
      </c>
      <c r="D1146" s="637" t="s">
        <v>4131</v>
      </c>
      <c r="E1146" s="635" t="s">
        <v>4186</v>
      </c>
      <c r="F1146" s="648" t="n">
        <v>35000</v>
      </c>
      <c r="G1146" s="635" t="n">
        <f aca="false">E1146*F1146</f>
        <v>350</v>
      </c>
      <c r="H1146" s="606"/>
    </row>
    <row r="1147" customFormat="false" ht="15" hidden="false" customHeight="false" outlineLevel="0" collapsed="false">
      <c r="A1147" s="571"/>
      <c r="B1147" s="500"/>
      <c r="C1147" s="635" t="s">
        <v>791</v>
      </c>
      <c r="D1147" s="571" t="s">
        <v>4138</v>
      </c>
      <c r="E1147" s="629" t="s">
        <v>4213</v>
      </c>
      <c r="F1147" s="648" t="n">
        <v>210000</v>
      </c>
      <c r="G1147" s="636" t="n">
        <f aca="false">E1147*F1147</f>
        <v>1050</v>
      </c>
      <c r="H1147" s="606"/>
    </row>
    <row r="1148" customFormat="false" ht="15" hidden="false" customHeight="false" outlineLevel="0" collapsed="false">
      <c r="A1148" s="571"/>
      <c r="B1148" s="500"/>
      <c r="C1148" s="635" t="s">
        <v>4202</v>
      </c>
      <c r="D1148" s="634" t="s">
        <v>4133</v>
      </c>
      <c r="E1148" s="635" t="n">
        <v>0.02</v>
      </c>
      <c r="F1148" s="648" t="n">
        <v>12000</v>
      </c>
      <c r="G1148" s="635" t="n">
        <f aca="false">E1148*F1148</f>
        <v>240</v>
      </c>
      <c r="H1148" s="571"/>
    </row>
    <row r="1149" customFormat="false" ht="15" hidden="false" customHeight="false" outlineLevel="0" collapsed="false">
      <c r="A1149" s="571"/>
      <c r="B1149" s="500"/>
      <c r="C1149" s="638" t="s">
        <v>4120</v>
      </c>
      <c r="D1149" s="637" t="s">
        <v>4121</v>
      </c>
      <c r="E1149" s="633" t="n">
        <v>0.03</v>
      </c>
      <c r="F1149" s="639" t="n">
        <v>1500</v>
      </c>
      <c r="G1149" s="635" t="n">
        <f aca="false">E1149*F1149</f>
        <v>45</v>
      </c>
      <c r="H1149" s="571"/>
    </row>
    <row r="1150" customFormat="false" ht="15" hidden="false" customHeight="false" outlineLevel="0" collapsed="false">
      <c r="A1150" s="571"/>
      <c r="B1150" s="500"/>
      <c r="C1150" s="638" t="s">
        <v>4122</v>
      </c>
      <c r="D1150" s="637" t="s">
        <v>4123</v>
      </c>
      <c r="E1150" s="633" t="n">
        <v>0.065</v>
      </c>
      <c r="F1150" s="626" t="n">
        <v>800</v>
      </c>
      <c r="G1150" s="635" t="n">
        <f aca="false">E1150*F1150</f>
        <v>52</v>
      </c>
      <c r="H1150" s="571"/>
    </row>
    <row r="1151" customFormat="false" ht="15" hidden="false" customHeight="false" outlineLevel="0" collapsed="false">
      <c r="A1151" s="571"/>
      <c r="B1151" s="500"/>
      <c r="C1151" s="633" t="s">
        <v>4124</v>
      </c>
      <c r="D1151" s="637" t="s">
        <v>4125</v>
      </c>
      <c r="E1151" s="633" t="n">
        <v>0.73</v>
      </c>
      <c r="F1151" s="626" t="n">
        <v>120</v>
      </c>
      <c r="G1151" s="635" t="n">
        <f aca="false">E1151*F1151</f>
        <v>87.6</v>
      </c>
      <c r="H1151" s="571"/>
    </row>
    <row r="1152" customFormat="false" ht="15" hidden="false" customHeight="false" outlineLevel="0" collapsed="false">
      <c r="A1152" s="571"/>
      <c r="B1152" s="500"/>
      <c r="C1152" s="633" t="s">
        <v>4126</v>
      </c>
      <c r="D1152" s="637" t="s">
        <v>4127</v>
      </c>
      <c r="E1152" s="633" t="n">
        <v>0.021</v>
      </c>
      <c r="F1152" s="626" t="n">
        <v>2700</v>
      </c>
      <c r="G1152" s="635" t="n">
        <f aca="false">E1152*F1152</f>
        <v>56.7</v>
      </c>
      <c r="H1152" s="571"/>
    </row>
    <row r="1153" customFormat="false" ht="15" hidden="false" customHeight="false" outlineLevel="0" collapsed="false">
      <c r="A1153" s="571"/>
      <c r="B1153" s="608" t="s">
        <v>4128</v>
      </c>
      <c r="C1153" s="629"/>
      <c r="D1153" s="571"/>
      <c r="E1153" s="629"/>
      <c r="F1153" s="630"/>
      <c r="G1153" s="640" t="n">
        <f aca="false">SUM(G1142:G1152)</f>
        <v>2893.02</v>
      </c>
      <c r="H1153" s="571"/>
    </row>
    <row r="1154" customFormat="false" ht="30" hidden="false" customHeight="false" outlineLevel="0" collapsed="false">
      <c r="A1154" s="571" t="s">
        <v>216</v>
      </c>
      <c r="B1154" s="500" t="s">
        <v>4326</v>
      </c>
      <c r="C1154" s="633" t="s">
        <v>4327</v>
      </c>
      <c r="D1154" s="637" t="s">
        <v>4133</v>
      </c>
      <c r="E1154" s="635" t="s">
        <v>4325</v>
      </c>
      <c r="F1154" s="626" t="n">
        <v>456020</v>
      </c>
      <c r="G1154" s="635" t="n">
        <f aca="false">E1154*F1154</f>
        <v>1368.06</v>
      </c>
      <c r="H1154" s="606"/>
    </row>
    <row r="1155" customFormat="false" ht="15" hidden="false" customHeight="false" outlineLevel="0" collapsed="false">
      <c r="A1155" s="571"/>
      <c r="B1155" s="500"/>
      <c r="C1155" s="633" t="s">
        <v>4147</v>
      </c>
      <c r="D1155" s="637" t="s">
        <v>4133</v>
      </c>
      <c r="E1155" s="635" t="n">
        <v>0.01</v>
      </c>
      <c r="F1155" s="626" t="n">
        <v>14039</v>
      </c>
      <c r="G1155" s="635" t="n">
        <f aca="false">E1155*F1155</f>
        <v>140.39</v>
      </c>
      <c r="H1155" s="571"/>
    </row>
    <row r="1156" customFormat="false" ht="30" hidden="false" customHeight="false" outlineLevel="0" collapsed="false">
      <c r="A1156" s="571"/>
      <c r="B1156" s="500"/>
      <c r="C1156" s="633" t="s">
        <v>4328</v>
      </c>
      <c r="D1156" s="637" t="s">
        <v>4133</v>
      </c>
      <c r="E1156" s="635" t="s">
        <v>4213</v>
      </c>
      <c r="F1156" s="626" t="n">
        <v>54880</v>
      </c>
      <c r="G1156" s="635" t="n">
        <f aca="false">E1156*F1156</f>
        <v>274.4</v>
      </c>
      <c r="H1156" s="571"/>
    </row>
    <row r="1157" customFormat="false" ht="15" hidden="false" customHeight="false" outlineLevel="0" collapsed="false">
      <c r="A1157" s="571"/>
      <c r="B1157" s="500"/>
      <c r="C1157" s="633" t="s">
        <v>4329</v>
      </c>
      <c r="D1157" s="571" t="s">
        <v>4372</v>
      </c>
      <c r="E1157" s="629" t="s">
        <v>4200</v>
      </c>
      <c r="F1157" s="626" t="s">
        <v>4279</v>
      </c>
      <c r="G1157" s="635" t="n">
        <f aca="false">E1157*F1157</f>
        <v>355</v>
      </c>
      <c r="H1157" s="606"/>
    </row>
    <row r="1158" customFormat="false" ht="30" hidden="false" customHeight="false" outlineLevel="0" collapsed="false">
      <c r="A1158" s="571"/>
      <c r="B1158" s="500"/>
      <c r="C1158" s="646" t="s">
        <v>4330</v>
      </c>
      <c r="D1158" s="637" t="s">
        <v>4133</v>
      </c>
      <c r="E1158" s="633" t="n">
        <v>0.01</v>
      </c>
      <c r="F1158" s="626" t="n">
        <v>24000</v>
      </c>
      <c r="G1158" s="635" t="n">
        <f aca="false">E1158*F1158</f>
        <v>240</v>
      </c>
      <c r="H1158" s="571"/>
    </row>
    <row r="1159" customFormat="false" ht="15" hidden="false" customHeight="false" outlineLevel="0" collapsed="false">
      <c r="A1159" s="571"/>
      <c r="B1159" s="500"/>
      <c r="C1159" s="638" t="s">
        <v>4120</v>
      </c>
      <c r="D1159" s="637" t="s">
        <v>4121</v>
      </c>
      <c r="E1159" s="633" t="n">
        <v>0.03</v>
      </c>
      <c r="F1159" s="639" t="n">
        <v>1500</v>
      </c>
      <c r="G1159" s="635" t="n">
        <f aca="false">E1159*F1159</f>
        <v>45</v>
      </c>
      <c r="H1159" s="571"/>
    </row>
    <row r="1160" customFormat="false" ht="15" hidden="false" customHeight="false" outlineLevel="0" collapsed="false">
      <c r="A1160" s="571"/>
      <c r="B1160" s="500"/>
      <c r="C1160" s="638" t="s">
        <v>4122</v>
      </c>
      <c r="D1160" s="637" t="s">
        <v>4123</v>
      </c>
      <c r="E1160" s="633" t="n">
        <v>0.1</v>
      </c>
      <c r="F1160" s="626" t="n">
        <v>800</v>
      </c>
      <c r="G1160" s="635" t="n">
        <f aca="false">E1160*F1160</f>
        <v>80</v>
      </c>
      <c r="H1160" s="571"/>
    </row>
    <row r="1161" customFormat="false" ht="15" hidden="false" customHeight="false" outlineLevel="0" collapsed="false">
      <c r="A1161" s="571"/>
      <c r="B1161" s="500"/>
      <c r="C1161" s="633" t="s">
        <v>4124</v>
      </c>
      <c r="D1161" s="637" t="s">
        <v>4125</v>
      </c>
      <c r="E1161" s="633" t="n">
        <v>0.71</v>
      </c>
      <c r="F1161" s="626" t="n">
        <v>120</v>
      </c>
      <c r="G1161" s="635" t="n">
        <f aca="false">E1161*F1161</f>
        <v>85.2</v>
      </c>
      <c r="H1161" s="571"/>
    </row>
    <row r="1162" customFormat="false" ht="15" hidden="false" customHeight="false" outlineLevel="0" collapsed="false">
      <c r="A1162" s="571"/>
      <c r="B1162" s="500"/>
      <c r="C1162" s="633" t="s">
        <v>4126</v>
      </c>
      <c r="D1162" s="637" t="s">
        <v>4127</v>
      </c>
      <c r="E1162" s="633" t="n">
        <v>0.021</v>
      </c>
      <c r="F1162" s="626" t="n">
        <v>2700</v>
      </c>
      <c r="G1162" s="635" t="n">
        <f aca="false">E1162*F1162</f>
        <v>56.7</v>
      </c>
      <c r="H1162" s="571"/>
    </row>
    <row r="1163" customFormat="false" ht="15" hidden="false" customHeight="false" outlineLevel="0" collapsed="false">
      <c r="A1163" s="571"/>
      <c r="B1163" s="608" t="s">
        <v>4128</v>
      </c>
      <c r="C1163" s="629"/>
      <c r="D1163" s="571"/>
      <c r="E1163" s="629"/>
      <c r="F1163" s="630"/>
      <c r="G1163" s="640" t="n">
        <f aca="false">SUM(G1154:G1162)</f>
        <v>2644.75</v>
      </c>
      <c r="H1163" s="571"/>
    </row>
    <row r="1164" customFormat="false" ht="15" hidden="false" customHeight="false" outlineLevel="0" collapsed="false">
      <c r="A1164" s="571" t="s">
        <v>217</v>
      </c>
      <c r="B1164" s="500" t="s">
        <v>2938</v>
      </c>
      <c r="C1164" s="650" t="s">
        <v>4189</v>
      </c>
      <c r="D1164" s="656" t="s">
        <v>4133</v>
      </c>
      <c r="E1164" s="629" t="s">
        <v>4200</v>
      </c>
      <c r="F1164" s="630" t="n">
        <v>3600</v>
      </c>
      <c r="G1164" s="635" t="n">
        <f aca="false">E1164*F1164</f>
        <v>180</v>
      </c>
      <c r="H1164" s="571"/>
    </row>
    <row r="1165" customFormat="false" ht="15" hidden="false" customHeight="false" outlineLevel="0" collapsed="false">
      <c r="A1165" s="571"/>
      <c r="B1165" s="500"/>
      <c r="C1165" s="650" t="s">
        <v>4147</v>
      </c>
      <c r="D1165" s="656" t="s">
        <v>4133</v>
      </c>
      <c r="E1165" s="629" t="s">
        <v>4200</v>
      </c>
      <c r="F1165" s="626" t="n">
        <v>14039</v>
      </c>
      <c r="G1165" s="635" t="n">
        <f aca="false">E1165*F1165</f>
        <v>701.95</v>
      </c>
      <c r="H1165" s="571"/>
    </row>
    <row r="1166" customFormat="false" ht="15" hidden="false" customHeight="false" outlineLevel="0" collapsed="false">
      <c r="A1166" s="571"/>
      <c r="B1166" s="500"/>
      <c r="C1166" s="635" t="s">
        <v>4331</v>
      </c>
      <c r="D1166" s="571" t="s">
        <v>4372</v>
      </c>
      <c r="E1166" s="629" t="s">
        <v>4200</v>
      </c>
      <c r="F1166" s="630" t="n">
        <v>7000</v>
      </c>
      <c r="G1166" s="635" t="n">
        <f aca="false">E1166*F1166</f>
        <v>350</v>
      </c>
      <c r="H1166" s="606"/>
    </row>
    <row r="1167" customFormat="false" ht="15" hidden="false" customHeight="false" outlineLevel="0" collapsed="false">
      <c r="A1167" s="571"/>
      <c r="B1167" s="500"/>
      <c r="C1167" s="629" t="s">
        <v>4244</v>
      </c>
      <c r="D1167" s="571" t="s">
        <v>4133</v>
      </c>
      <c r="E1167" s="629" t="s">
        <v>4213</v>
      </c>
      <c r="F1167" s="630" t="n">
        <v>57000</v>
      </c>
      <c r="G1167" s="635" t="n">
        <f aca="false">E1167*F1167</f>
        <v>285</v>
      </c>
      <c r="H1167" s="606"/>
    </row>
    <row r="1168" customFormat="false" ht="15" hidden="false" customHeight="false" outlineLevel="0" collapsed="false">
      <c r="A1168" s="571"/>
      <c r="B1168" s="500"/>
      <c r="C1168" s="500" t="s">
        <v>4332</v>
      </c>
      <c r="D1168" s="652" t="s">
        <v>4133</v>
      </c>
      <c r="E1168" s="653" t="n">
        <v>0.01</v>
      </c>
      <c r="F1168" s="644" t="n">
        <v>15000</v>
      </c>
      <c r="G1168" s="635" t="n">
        <f aca="false">E1168*F1168</f>
        <v>150</v>
      </c>
      <c r="H1168" s="606"/>
    </row>
    <row r="1169" customFormat="false" ht="15" hidden="false" customHeight="false" outlineLevel="0" collapsed="false">
      <c r="A1169" s="571"/>
      <c r="B1169" s="500"/>
      <c r="C1169" s="500" t="s">
        <v>4333</v>
      </c>
      <c r="D1169" s="656" t="s">
        <v>4133</v>
      </c>
      <c r="E1169" s="658" t="n">
        <v>0.01</v>
      </c>
      <c r="F1169" s="659" t="n">
        <v>10976</v>
      </c>
      <c r="G1169" s="635" t="n">
        <f aca="false">E1169*F1169</f>
        <v>109.76</v>
      </c>
      <c r="H1169" s="571"/>
    </row>
    <row r="1170" customFormat="false" ht="15" hidden="false" customHeight="false" outlineLevel="0" collapsed="false">
      <c r="A1170" s="571"/>
      <c r="B1170" s="500"/>
      <c r="C1170" s="638" t="s">
        <v>4120</v>
      </c>
      <c r="D1170" s="637" t="s">
        <v>4121</v>
      </c>
      <c r="E1170" s="633" t="n">
        <v>0.03</v>
      </c>
      <c r="F1170" s="639" t="n">
        <v>1500</v>
      </c>
      <c r="G1170" s="635" t="n">
        <f aca="false">E1170*F1170</f>
        <v>45</v>
      </c>
      <c r="H1170" s="571"/>
    </row>
    <row r="1171" customFormat="false" ht="15" hidden="false" customHeight="false" outlineLevel="0" collapsed="false">
      <c r="A1171" s="571"/>
      <c r="B1171" s="500"/>
      <c r="C1171" s="638" t="s">
        <v>4122</v>
      </c>
      <c r="D1171" s="637" t="s">
        <v>4123</v>
      </c>
      <c r="E1171" s="633" t="n">
        <v>0.065</v>
      </c>
      <c r="F1171" s="626" t="n">
        <v>800</v>
      </c>
      <c r="G1171" s="635" t="n">
        <f aca="false">E1171*F1171</f>
        <v>52</v>
      </c>
      <c r="H1171" s="571"/>
    </row>
    <row r="1172" customFormat="false" ht="15" hidden="false" customHeight="false" outlineLevel="0" collapsed="false">
      <c r="A1172" s="571"/>
      <c r="B1172" s="500"/>
      <c r="C1172" s="633" t="s">
        <v>4124</v>
      </c>
      <c r="D1172" s="637" t="s">
        <v>4125</v>
      </c>
      <c r="E1172" s="633" t="n">
        <v>0.71</v>
      </c>
      <c r="F1172" s="626" t="n">
        <v>120</v>
      </c>
      <c r="G1172" s="635" t="n">
        <f aca="false">E1172*F1172</f>
        <v>85.2</v>
      </c>
      <c r="H1172" s="571"/>
    </row>
    <row r="1173" customFormat="false" ht="15" hidden="false" customHeight="false" outlineLevel="0" collapsed="false">
      <c r="A1173" s="571"/>
      <c r="B1173" s="500"/>
      <c r="C1173" s="633" t="s">
        <v>4126</v>
      </c>
      <c r="D1173" s="637" t="s">
        <v>4127</v>
      </c>
      <c r="E1173" s="633" t="n">
        <v>0.021</v>
      </c>
      <c r="F1173" s="626" t="n">
        <v>2700</v>
      </c>
      <c r="G1173" s="635" t="n">
        <f aca="false">E1173*F1173</f>
        <v>56.7</v>
      </c>
      <c r="H1173" s="571"/>
    </row>
    <row r="1174" customFormat="false" ht="15" hidden="false" customHeight="false" outlineLevel="0" collapsed="false">
      <c r="A1174" s="571"/>
      <c r="B1174" s="608" t="s">
        <v>4128</v>
      </c>
      <c r="C1174" s="629"/>
      <c r="D1174" s="571"/>
      <c r="E1174" s="629"/>
      <c r="F1174" s="630"/>
      <c r="G1174" s="640" t="n">
        <f aca="false">SUM(G1164:G1173)</f>
        <v>2015.61</v>
      </c>
      <c r="H1174" s="571"/>
    </row>
    <row r="1175" customFormat="false" ht="15" hidden="false" customHeight="false" outlineLevel="0" collapsed="false">
      <c r="A1175" s="571" t="s">
        <v>218</v>
      </c>
      <c r="B1175" s="500" t="s">
        <v>4334</v>
      </c>
      <c r="C1175" s="638" t="s">
        <v>4335</v>
      </c>
      <c r="D1175" s="637" t="s">
        <v>4133</v>
      </c>
      <c r="E1175" s="635" t="s">
        <v>4200</v>
      </c>
      <c r="F1175" s="648" t="n">
        <v>6048</v>
      </c>
      <c r="G1175" s="635" t="n">
        <f aca="false">E1175*F1175</f>
        <v>302.4</v>
      </c>
      <c r="H1175" s="571"/>
    </row>
    <row r="1176" customFormat="false" ht="15" hidden="false" customHeight="false" outlineLevel="0" collapsed="false">
      <c r="A1176" s="571"/>
      <c r="B1176" s="500"/>
      <c r="C1176" s="633" t="s">
        <v>4336</v>
      </c>
      <c r="D1176" s="571" t="s">
        <v>4372</v>
      </c>
      <c r="E1176" s="629" t="n">
        <v>0.01</v>
      </c>
      <c r="F1176" s="626" t="n">
        <v>7500</v>
      </c>
      <c r="G1176" s="635" t="n">
        <f aca="false">E1176*F1176</f>
        <v>75</v>
      </c>
      <c r="H1176" s="606"/>
    </row>
    <row r="1177" customFormat="false" ht="15" hidden="false" customHeight="false" outlineLevel="0" collapsed="false">
      <c r="A1177" s="571"/>
      <c r="B1177" s="500"/>
      <c r="C1177" s="633" t="s">
        <v>4205</v>
      </c>
      <c r="D1177" s="637" t="s">
        <v>4133</v>
      </c>
      <c r="E1177" s="633" t="n">
        <v>0.01</v>
      </c>
      <c r="F1177" s="626" t="n">
        <v>10976</v>
      </c>
      <c r="G1177" s="635" t="n">
        <f aca="false">E1177*F1177</f>
        <v>109.76</v>
      </c>
      <c r="H1177" s="571"/>
    </row>
    <row r="1178" customFormat="false" ht="15" hidden="false" customHeight="false" outlineLevel="0" collapsed="false">
      <c r="A1178" s="571"/>
      <c r="B1178" s="500"/>
      <c r="C1178" s="638" t="s">
        <v>4120</v>
      </c>
      <c r="D1178" s="637" t="s">
        <v>4121</v>
      </c>
      <c r="E1178" s="633" t="n">
        <v>0.01</v>
      </c>
      <c r="F1178" s="639" t="n">
        <v>1500</v>
      </c>
      <c r="G1178" s="635" t="n">
        <f aca="false">E1178*F1178</f>
        <v>15</v>
      </c>
      <c r="H1178" s="571"/>
    </row>
    <row r="1179" customFormat="false" ht="15" hidden="false" customHeight="false" outlineLevel="0" collapsed="false">
      <c r="A1179" s="571"/>
      <c r="B1179" s="500"/>
      <c r="C1179" s="638" t="s">
        <v>4377</v>
      </c>
      <c r="D1179" s="637" t="s">
        <v>4123</v>
      </c>
      <c r="E1179" s="633" t="n">
        <v>0.01</v>
      </c>
      <c r="F1179" s="626" t="n">
        <v>17000</v>
      </c>
      <c r="G1179" s="635" t="n">
        <f aca="false">E1179*F1179</f>
        <v>170</v>
      </c>
      <c r="H1179" s="571"/>
    </row>
    <row r="1180" customFormat="false" ht="15" hidden="false" customHeight="false" outlineLevel="0" collapsed="false">
      <c r="A1180" s="571"/>
      <c r="B1180" s="608"/>
      <c r="C1180" s="633" t="s">
        <v>4378</v>
      </c>
      <c r="D1180" s="637" t="s">
        <v>4125</v>
      </c>
      <c r="E1180" s="633" t="s">
        <v>4213</v>
      </c>
      <c r="F1180" s="626" t="n">
        <v>55000</v>
      </c>
      <c r="G1180" s="635" t="n">
        <f aca="false">E1180*F1180</f>
        <v>275</v>
      </c>
      <c r="H1180" s="571"/>
    </row>
    <row r="1181" customFormat="false" ht="15" hidden="false" customHeight="false" outlineLevel="0" collapsed="false">
      <c r="A1181" s="571"/>
      <c r="B1181" s="500"/>
      <c r="C1181" s="650" t="s">
        <v>4147</v>
      </c>
      <c r="D1181" s="656" t="s">
        <v>4133</v>
      </c>
      <c r="E1181" s="629" t="s">
        <v>4379</v>
      </c>
      <c r="F1181" s="626" t="n">
        <v>14039</v>
      </c>
      <c r="G1181" s="635" t="n">
        <f aca="false">E1181*F1181</f>
        <v>842.34</v>
      </c>
      <c r="H1181" s="571"/>
    </row>
    <row r="1182" customFormat="false" ht="15" hidden="false" customHeight="false" outlineLevel="0" collapsed="false">
      <c r="A1182" s="571"/>
      <c r="B1182" s="608" t="s">
        <v>4128</v>
      </c>
      <c r="C1182" s="640"/>
      <c r="D1182" s="327"/>
      <c r="E1182" s="640"/>
      <c r="F1182" s="643"/>
      <c r="G1182" s="640" t="n">
        <f aca="false">SUM(G1175:G1181)</f>
        <v>1789.5</v>
      </c>
      <c r="H1182" s="571"/>
    </row>
    <row r="1183" customFormat="false" ht="30" hidden="false" customHeight="false" outlineLevel="0" collapsed="false">
      <c r="A1183" s="571" t="s">
        <v>219</v>
      </c>
      <c r="B1183" s="500" t="s">
        <v>4338</v>
      </c>
      <c r="C1183" s="647" t="s">
        <v>4380</v>
      </c>
      <c r="D1183" s="571"/>
      <c r="E1183" s="629"/>
      <c r="F1183" s="645"/>
      <c r="G1183" s="678"/>
      <c r="H1183" s="571"/>
    </row>
    <row r="1184" customFormat="false" ht="15" hidden="false" customHeight="false" outlineLevel="0" collapsed="false">
      <c r="A1184" s="571"/>
      <c r="B1184" s="500"/>
      <c r="C1184" s="635" t="s">
        <v>4339</v>
      </c>
      <c r="D1184" s="634" t="s">
        <v>4133</v>
      </c>
      <c r="E1184" s="635" t="n">
        <v>0.01</v>
      </c>
      <c r="F1184" s="648" t="n">
        <v>55000</v>
      </c>
      <c r="G1184" s="678" t="n">
        <f aca="false">F1184*E1184</f>
        <v>550</v>
      </c>
      <c r="H1184" s="606"/>
    </row>
    <row r="1185" customFormat="false" ht="15" hidden="false" customHeight="false" outlineLevel="0" collapsed="false">
      <c r="A1185" s="571"/>
      <c r="B1185" s="608"/>
      <c r="C1185" s="635" t="s">
        <v>4251</v>
      </c>
      <c r="D1185" s="634" t="s">
        <v>4252</v>
      </c>
      <c r="E1185" s="635" t="n">
        <v>0.001</v>
      </c>
      <c r="F1185" s="648" t="n">
        <v>275000</v>
      </c>
      <c r="G1185" s="678" t="n">
        <f aca="false">F1185*E1185</f>
        <v>275</v>
      </c>
      <c r="H1185" s="606"/>
    </row>
    <row r="1186" customFormat="false" ht="15" hidden="false" customHeight="false" outlineLevel="0" collapsed="false">
      <c r="A1186" s="571"/>
      <c r="B1186" s="500"/>
      <c r="C1186" s="635" t="s">
        <v>4340</v>
      </c>
      <c r="D1186" s="634" t="s">
        <v>4133</v>
      </c>
      <c r="E1186" s="635" t="n">
        <v>0.01</v>
      </c>
      <c r="F1186" s="648" t="n">
        <v>12320</v>
      </c>
      <c r="G1186" s="678" t="n">
        <f aca="false">F1186*E1186</f>
        <v>123.2</v>
      </c>
      <c r="H1186" s="571"/>
    </row>
    <row r="1187" customFormat="false" ht="15" hidden="false" customHeight="false" outlineLevel="0" collapsed="false">
      <c r="A1187" s="571"/>
      <c r="B1187" s="500"/>
      <c r="C1187" s="635" t="s">
        <v>4132</v>
      </c>
      <c r="D1187" s="634" t="s">
        <v>4133</v>
      </c>
      <c r="E1187" s="635" t="n">
        <v>0.01</v>
      </c>
      <c r="F1187" s="648" t="n">
        <v>18000</v>
      </c>
      <c r="G1187" s="678" t="n">
        <f aca="false">F1187*E1187</f>
        <v>180</v>
      </c>
      <c r="H1187" s="571"/>
    </row>
    <row r="1188" customFormat="false" ht="15" hidden="false" customHeight="false" outlineLevel="0" collapsed="false">
      <c r="A1188" s="571"/>
      <c r="B1188" s="608"/>
      <c r="C1188" s="635" t="s">
        <v>4212</v>
      </c>
      <c r="D1188" s="634" t="s">
        <v>4133</v>
      </c>
      <c r="E1188" s="635" t="s">
        <v>4381</v>
      </c>
      <c r="F1188" s="648" t="n">
        <v>32480</v>
      </c>
      <c r="G1188" s="678" t="n">
        <f aca="false">F1188*E1188</f>
        <v>454.72</v>
      </c>
      <c r="H1188" s="571"/>
    </row>
    <row r="1189" customFormat="false" ht="15" hidden="false" customHeight="false" outlineLevel="0" collapsed="false">
      <c r="A1189" s="571"/>
      <c r="B1189" s="500"/>
      <c r="C1189" s="635" t="s">
        <v>4147</v>
      </c>
      <c r="D1189" s="634" t="s">
        <v>4133</v>
      </c>
      <c r="E1189" s="635" t="s">
        <v>4200</v>
      </c>
      <c r="F1189" s="626" t="n">
        <v>14039</v>
      </c>
      <c r="G1189" s="678" t="n">
        <f aca="false">F1189*E1189</f>
        <v>701.95</v>
      </c>
      <c r="H1189" s="571"/>
    </row>
    <row r="1190" customFormat="false" ht="15" hidden="false" customHeight="false" outlineLevel="0" collapsed="false">
      <c r="A1190" s="571"/>
      <c r="B1190" s="500"/>
      <c r="C1190" s="635" t="s">
        <v>4154</v>
      </c>
      <c r="D1190" s="634" t="s">
        <v>4133</v>
      </c>
      <c r="E1190" s="635" t="s">
        <v>4200</v>
      </c>
      <c r="F1190" s="626" t="n">
        <v>10976</v>
      </c>
      <c r="G1190" s="678" t="n">
        <f aca="false">F1190*E1190</f>
        <v>548.8</v>
      </c>
      <c r="H1190" s="571"/>
    </row>
    <row r="1191" customFormat="false" ht="15" hidden="false" customHeight="false" outlineLevel="0" collapsed="false">
      <c r="A1191" s="571"/>
      <c r="B1191" s="500"/>
      <c r="C1191" s="638" t="s">
        <v>4120</v>
      </c>
      <c r="D1191" s="637" t="s">
        <v>4121</v>
      </c>
      <c r="E1191" s="633" t="n">
        <v>0.03</v>
      </c>
      <c r="F1191" s="639" t="n">
        <v>1500</v>
      </c>
      <c r="G1191" s="678" t="n">
        <f aca="false">F1191*E1191</f>
        <v>45</v>
      </c>
      <c r="H1191" s="571"/>
    </row>
    <row r="1192" customFormat="false" ht="15" hidden="false" customHeight="false" outlineLevel="0" collapsed="false">
      <c r="A1192" s="571"/>
      <c r="B1192" s="500"/>
      <c r="C1192" s="638" t="s">
        <v>4122</v>
      </c>
      <c r="D1192" s="637" t="s">
        <v>4123</v>
      </c>
      <c r="E1192" s="633" t="n">
        <v>0.01</v>
      </c>
      <c r="F1192" s="626" t="n">
        <v>800</v>
      </c>
      <c r="G1192" s="678" t="n">
        <f aca="false">F1192*E1192</f>
        <v>8</v>
      </c>
      <c r="H1192" s="571"/>
    </row>
    <row r="1193" customFormat="false" ht="15" hidden="false" customHeight="false" outlineLevel="0" collapsed="false">
      <c r="A1193" s="571"/>
      <c r="B1193" s="500"/>
      <c r="C1193" s="633" t="s">
        <v>4124</v>
      </c>
      <c r="D1193" s="637" t="s">
        <v>4125</v>
      </c>
      <c r="E1193" s="633" t="n">
        <v>0.1</v>
      </c>
      <c r="F1193" s="626" t="n">
        <v>120</v>
      </c>
      <c r="G1193" s="678" t="n">
        <f aca="false">F1193*E1193</f>
        <v>12</v>
      </c>
      <c r="H1193" s="571"/>
    </row>
    <row r="1194" customFormat="false" ht="15" hidden="false" customHeight="false" outlineLevel="0" collapsed="false">
      <c r="A1194" s="571"/>
      <c r="B1194" s="500"/>
      <c r="C1194" s="633" t="s">
        <v>4126</v>
      </c>
      <c r="D1194" s="637" t="s">
        <v>4149</v>
      </c>
      <c r="E1194" s="633" t="n">
        <v>0.02</v>
      </c>
      <c r="F1194" s="626" t="n">
        <v>3612</v>
      </c>
      <c r="G1194" s="678" t="n">
        <f aca="false">F1194*E1194</f>
        <v>72.24</v>
      </c>
      <c r="H1194" s="571"/>
    </row>
    <row r="1195" customFormat="false" ht="15" hidden="false" customHeight="false" outlineLevel="0" collapsed="false">
      <c r="A1195" s="571"/>
      <c r="B1195" s="608" t="s">
        <v>4128</v>
      </c>
      <c r="C1195" s="640"/>
      <c r="D1195" s="327"/>
      <c r="E1195" s="640"/>
      <c r="F1195" s="643"/>
      <c r="G1195" s="640" t="n">
        <f aca="false">SUM(G1183:G1194)</f>
        <v>2970.91</v>
      </c>
      <c r="H1195" s="571"/>
    </row>
    <row r="1196" customFormat="false" ht="15" hidden="false" customHeight="false" outlineLevel="0" collapsed="false">
      <c r="A1196" s="571" t="s">
        <v>220</v>
      </c>
      <c r="B1196" s="500" t="s">
        <v>2960</v>
      </c>
      <c r="C1196" s="647" t="s">
        <v>4201</v>
      </c>
      <c r="D1196" s="637" t="s">
        <v>4149</v>
      </c>
      <c r="E1196" s="633" t="s">
        <v>4186</v>
      </c>
      <c r="F1196" s="644" t="n">
        <v>40000</v>
      </c>
      <c r="G1196" s="678" t="n">
        <f aca="false">F1196*E1196</f>
        <v>400</v>
      </c>
      <c r="H1196" s="571"/>
    </row>
    <row r="1197" customFormat="false" ht="15" hidden="false" customHeight="false" outlineLevel="0" collapsed="false">
      <c r="A1197" s="571"/>
      <c r="B1197" s="500"/>
      <c r="C1197" s="647" t="s">
        <v>4205</v>
      </c>
      <c r="D1197" s="637" t="s">
        <v>4149</v>
      </c>
      <c r="E1197" s="633" t="s">
        <v>4267</v>
      </c>
      <c r="F1197" s="626" t="n">
        <v>10976</v>
      </c>
      <c r="G1197" s="678" t="n">
        <f aca="false">F1197*E1197</f>
        <v>219.52</v>
      </c>
      <c r="H1197" s="571"/>
    </row>
    <row r="1198" customFormat="false" ht="15" hidden="false" customHeight="false" outlineLevel="0" collapsed="false">
      <c r="A1198" s="571"/>
      <c r="B1198" s="500"/>
      <c r="C1198" s="647" t="s">
        <v>4167</v>
      </c>
      <c r="D1198" s="637" t="s">
        <v>4149</v>
      </c>
      <c r="E1198" s="633" t="n">
        <v>0.1</v>
      </c>
      <c r="F1198" s="607" t="n">
        <v>5500</v>
      </c>
      <c r="G1198" s="678" t="n">
        <f aca="false">F1198*E1198</f>
        <v>550</v>
      </c>
      <c r="H1198" s="606"/>
    </row>
    <row r="1199" customFormat="false" ht="15" hidden="false" customHeight="false" outlineLevel="0" collapsed="false">
      <c r="A1199" s="571"/>
      <c r="B1199" s="608"/>
      <c r="C1199" s="647" t="s">
        <v>4147</v>
      </c>
      <c r="D1199" s="637" t="s">
        <v>4149</v>
      </c>
      <c r="E1199" s="633" t="s">
        <v>4267</v>
      </c>
      <c r="F1199" s="626" t="n">
        <v>14039</v>
      </c>
      <c r="G1199" s="678" t="n">
        <f aca="false">F1199*E1199</f>
        <v>280.78</v>
      </c>
      <c r="H1199" s="571"/>
    </row>
    <row r="1200" customFormat="false" ht="15" hidden="false" customHeight="false" outlineLevel="0" collapsed="false">
      <c r="A1200" s="571"/>
      <c r="B1200" s="500"/>
      <c r="C1200" s="638" t="s">
        <v>4120</v>
      </c>
      <c r="D1200" s="637" t="s">
        <v>4121</v>
      </c>
      <c r="E1200" s="633" t="n">
        <v>0.02</v>
      </c>
      <c r="F1200" s="639" t="n">
        <v>1500</v>
      </c>
      <c r="G1200" s="678" t="n">
        <f aca="false">F1200*E1200</f>
        <v>30</v>
      </c>
      <c r="H1200" s="571"/>
    </row>
    <row r="1201" customFormat="false" ht="15" hidden="false" customHeight="false" outlineLevel="0" collapsed="false">
      <c r="A1201" s="571"/>
      <c r="B1201" s="500"/>
      <c r="C1201" s="638" t="s">
        <v>4122</v>
      </c>
      <c r="D1201" s="637" t="s">
        <v>4123</v>
      </c>
      <c r="E1201" s="633" t="n">
        <v>0.05</v>
      </c>
      <c r="F1201" s="626" t="n">
        <v>800</v>
      </c>
      <c r="G1201" s="678" t="n">
        <f aca="false">F1201*E1201</f>
        <v>40</v>
      </c>
      <c r="H1201" s="571"/>
    </row>
    <row r="1202" customFormat="false" ht="15" hidden="false" customHeight="false" outlineLevel="0" collapsed="false">
      <c r="A1202" s="571"/>
      <c r="B1202" s="500"/>
      <c r="C1202" s="633" t="s">
        <v>4124</v>
      </c>
      <c r="D1202" s="637" t="s">
        <v>4125</v>
      </c>
      <c r="E1202" s="633" t="n">
        <v>0.7</v>
      </c>
      <c r="F1202" s="626" t="n">
        <v>120</v>
      </c>
      <c r="G1202" s="678" t="n">
        <f aca="false">F1202*E1202</f>
        <v>84</v>
      </c>
      <c r="H1202" s="571"/>
    </row>
    <row r="1203" customFormat="false" ht="15" hidden="false" customHeight="false" outlineLevel="0" collapsed="false">
      <c r="A1203" s="571"/>
      <c r="B1203" s="500"/>
      <c r="C1203" s="633" t="s">
        <v>4126</v>
      </c>
      <c r="D1203" s="637" t="s">
        <v>4127</v>
      </c>
      <c r="E1203" s="633" t="n">
        <v>0.02</v>
      </c>
      <c r="F1203" s="626" t="n">
        <v>2700</v>
      </c>
      <c r="G1203" s="678" t="n">
        <f aca="false">F1203*E1203</f>
        <v>54</v>
      </c>
      <c r="H1203" s="571"/>
    </row>
    <row r="1204" customFormat="false" ht="15" hidden="false" customHeight="false" outlineLevel="0" collapsed="false">
      <c r="A1204" s="571"/>
      <c r="B1204" s="608" t="s">
        <v>4128</v>
      </c>
      <c r="C1204" s="640"/>
      <c r="D1204" s="327"/>
      <c r="E1204" s="640"/>
      <c r="F1204" s="643"/>
      <c r="G1204" s="640" t="n">
        <f aca="false">SUM(G1196:G1203)</f>
        <v>1658.3</v>
      </c>
      <c r="H1204" s="571"/>
    </row>
    <row r="1205" customFormat="false" ht="15" hidden="false" customHeight="false" outlineLevel="0" collapsed="false">
      <c r="A1205" s="571" t="s">
        <v>222</v>
      </c>
      <c r="B1205" s="500" t="s">
        <v>4342</v>
      </c>
      <c r="C1205" s="635" t="s">
        <v>4343</v>
      </c>
      <c r="D1205" s="571" t="s">
        <v>4372</v>
      </c>
      <c r="E1205" s="629" t="n">
        <v>0.1</v>
      </c>
      <c r="F1205" s="648" t="n">
        <v>7200</v>
      </c>
      <c r="G1205" s="678" t="n">
        <f aca="false">F1205*E1205</f>
        <v>720</v>
      </c>
      <c r="H1205" s="606"/>
    </row>
    <row r="1206" customFormat="false" ht="15" hidden="false" customHeight="false" outlineLevel="0" collapsed="false">
      <c r="A1206" s="571"/>
      <c r="B1206" s="500"/>
      <c r="C1206" s="635" t="s">
        <v>4158</v>
      </c>
      <c r="D1206" s="634" t="s">
        <v>4133</v>
      </c>
      <c r="E1206" s="635" t="n">
        <v>0.01</v>
      </c>
      <c r="F1206" s="626" t="n">
        <v>7000</v>
      </c>
      <c r="G1206" s="678" t="n">
        <f aca="false">F1206*E1206</f>
        <v>70</v>
      </c>
      <c r="H1206" s="571"/>
    </row>
    <row r="1207" customFormat="false" ht="15" hidden="false" customHeight="false" outlineLevel="0" collapsed="false">
      <c r="A1207" s="571"/>
      <c r="B1207" s="500"/>
      <c r="C1207" s="635" t="s">
        <v>4272</v>
      </c>
      <c r="D1207" s="634" t="s">
        <v>4252</v>
      </c>
      <c r="E1207" s="635" t="n">
        <v>0.004</v>
      </c>
      <c r="F1207" s="648" t="n">
        <v>100000</v>
      </c>
      <c r="G1207" s="678" t="n">
        <f aca="false">F1207*E1207</f>
        <v>400</v>
      </c>
      <c r="H1207" s="606"/>
    </row>
    <row r="1208" customFormat="false" ht="15" hidden="false" customHeight="false" outlineLevel="0" collapsed="false">
      <c r="A1208" s="571"/>
      <c r="B1208" s="500"/>
      <c r="C1208" s="638" t="s">
        <v>4120</v>
      </c>
      <c r="D1208" s="637" t="s">
        <v>4121</v>
      </c>
      <c r="E1208" s="633" t="n">
        <v>0.03</v>
      </c>
      <c r="F1208" s="639" t="n">
        <v>1500</v>
      </c>
      <c r="G1208" s="678" t="n">
        <f aca="false">F1208*E1208</f>
        <v>45</v>
      </c>
      <c r="H1208" s="571"/>
    </row>
    <row r="1209" customFormat="false" ht="15" hidden="false" customHeight="false" outlineLevel="0" collapsed="false">
      <c r="A1209" s="571"/>
      <c r="B1209" s="500"/>
      <c r="C1209" s="638" t="s">
        <v>4122</v>
      </c>
      <c r="D1209" s="637" t="s">
        <v>4123</v>
      </c>
      <c r="E1209" s="633" t="n">
        <v>0.01</v>
      </c>
      <c r="F1209" s="626" t="n">
        <v>800</v>
      </c>
      <c r="G1209" s="678" t="n">
        <f aca="false">F1209*E1209</f>
        <v>8</v>
      </c>
      <c r="H1209" s="571"/>
    </row>
    <row r="1210" customFormat="false" ht="15" hidden="false" customHeight="false" outlineLevel="0" collapsed="false">
      <c r="A1210" s="571"/>
      <c r="B1210" s="500"/>
      <c r="C1210" s="633" t="s">
        <v>4124</v>
      </c>
      <c r="D1210" s="637" t="s">
        <v>4125</v>
      </c>
      <c r="E1210" s="633" t="n">
        <v>0.1</v>
      </c>
      <c r="F1210" s="626" t="n">
        <v>120</v>
      </c>
      <c r="G1210" s="678" t="n">
        <f aca="false">F1210*E1210</f>
        <v>12</v>
      </c>
      <c r="H1210" s="571"/>
    </row>
    <row r="1211" customFormat="false" ht="15" hidden="false" customHeight="false" outlineLevel="0" collapsed="false">
      <c r="A1211" s="571"/>
      <c r="B1211" s="608"/>
      <c r="C1211" s="633" t="s">
        <v>4126</v>
      </c>
      <c r="D1211" s="637" t="s">
        <v>4149</v>
      </c>
      <c r="E1211" s="633" t="n">
        <v>0.02</v>
      </c>
      <c r="F1211" s="626" t="n">
        <v>2700</v>
      </c>
      <c r="G1211" s="678" t="n">
        <f aca="false">F1211*E1211</f>
        <v>54</v>
      </c>
      <c r="H1211" s="571"/>
    </row>
    <row r="1212" customFormat="false" ht="15" hidden="false" customHeight="false" outlineLevel="0" collapsed="false">
      <c r="A1212" s="571"/>
      <c r="B1212" s="608" t="s">
        <v>4128</v>
      </c>
      <c r="C1212" s="640"/>
      <c r="D1212" s="327"/>
      <c r="E1212" s="640"/>
      <c r="F1212" s="643"/>
      <c r="G1212" s="640" t="n">
        <f aca="false">SUM(G1205:G1211)</f>
        <v>1309</v>
      </c>
      <c r="H1212" s="571"/>
    </row>
    <row r="1213" customFormat="false" ht="15" hidden="false" customHeight="false" outlineLevel="0" collapsed="false">
      <c r="A1213" s="571" t="s">
        <v>223</v>
      </c>
      <c r="B1213" s="500" t="s">
        <v>4344</v>
      </c>
      <c r="C1213" s="635" t="s">
        <v>4345</v>
      </c>
      <c r="D1213" s="571" t="s">
        <v>4372</v>
      </c>
      <c r="E1213" s="629" t="n">
        <v>0.1</v>
      </c>
      <c r="F1213" s="648" t="n">
        <v>7200</v>
      </c>
      <c r="G1213" s="678" t="n">
        <f aca="false">F1213*E1213</f>
        <v>720</v>
      </c>
      <c r="H1213" s="606"/>
    </row>
    <row r="1214" customFormat="false" ht="15" hidden="false" customHeight="false" outlineLevel="0" collapsed="false">
      <c r="A1214" s="571"/>
      <c r="B1214" s="500"/>
      <c r="C1214" s="635" t="s">
        <v>4158</v>
      </c>
      <c r="D1214" s="634" t="s">
        <v>4133</v>
      </c>
      <c r="E1214" s="635" t="n">
        <v>0.01</v>
      </c>
      <c r="F1214" s="626" t="n">
        <v>7000</v>
      </c>
      <c r="G1214" s="678" t="n">
        <f aca="false">F1214*E1214</f>
        <v>70</v>
      </c>
      <c r="H1214" s="571"/>
    </row>
    <row r="1215" customFormat="false" ht="15" hidden="false" customHeight="false" outlineLevel="0" collapsed="false">
      <c r="A1215" s="571"/>
      <c r="B1215" s="608"/>
      <c r="C1215" s="635" t="s">
        <v>4272</v>
      </c>
      <c r="D1215" s="634" t="s">
        <v>4252</v>
      </c>
      <c r="E1215" s="635" t="n">
        <v>0.004</v>
      </c>
      <c r="F1215" s="648" t="n">
        <v>100000</v>
      </c>
      <c r="G1215" s="678" t="n">
        <f aca="false">F1215*E1215</f>
        <v>400</v>
      </c>
      <c r="H1215" s="606"/>
    </row>
    <row r="1216" customFormat="false" ht="15" hidden="false" customHeight="false" outlineLevel="0" collapsed="false">
      <c r="A1216" s="571"/>
      <c r="B1216" s="500"/>
      <c r="C1216" s="638" t="s">
        <v>4120</v>
      </c>
      <c r="D1216" s="637" t="s">
        <v>4121</v>
      </c>
      <c r="E1216" s="633" t="n">
        <v>0.03</v>
      </c>
      <c r="F1216" s="639" t="n">
        <v>1500</v>
      </c>
      <c r="G1216" s="636" t="n">
        <f aca="false">E1216*F1216/100</f>
        <v>0.45</v>
      </c>
      <c r="H1216" s="571"/>
    </row>
    <row r="1217" customFormat="false" ht="15" hidden="false" customHeight="false" outlineLevel="0" collapsed="false">
      <c r="A1217" s="571"/>
      <c r="B1217" s="500"/>
      <c r="C1217" s="638" t="s">
        <v>4122</v>
      </c>
      <c r="D1217" s="637" t="s">
        <v>4123</v>
      </c>
      <c r="E1217" s="633" t="n">
        <v>0.01</v>
      </c>
      <c r="F1217" s="626" t="n">
        <v>800</v>
      </c>
      <c r="G1217" s="636" t="n">
        <f aca="false">E1217*F1217</f>
        <v>8</v>
      </c>
      <c r="H1217" s="571"/>
    </row>
    <row r="1218" customFormat="false" ht="15" hidden="false" customHeight="false" outlineLevel="0" collapsed="false">
      <c r="A1218" s="571"/>
      <c r="B1218" s="500"/>
      <c r="C1218" s="633" t="s">
        <v>4124</v>
      </c>
      <c r="D1218" s="637" t="s">
        <v>4125</v>
      </c>
      <c r="E1218" s="633" t="n">
        <v>0.1</v>
      </c>
      <c r="F1218" s="626" t="n">
        <v>120</v>
      </c>
      <c r="G1218" s="636" t="n">
        <f aca="false">E1218*F1218</f>
        <v>12</v>
      </c>
      <c r="H1218" s="571"/>
    </row>
    <row r="1219" customFormat="false" ht="15" hidden="false" customHeight="false" outlineLevel="0" collapsed="false">
      <c r="A1219" s="571"/>
      <c r="B1219" s="608"/>
      <c r="C1219" s="633" t="s">
        <v>4126</v>
      </c>
      <c r="D1219" s="637" t="s">
        <v>4149</v>
      </c>
      <c r="E1219" s="633" t="n">
        <v>0.02</v>
      </c>
      <c r="F1219" s="626" t="n">
        <v>2700</v>
      </c>
      <c r="G1219" s="636" t="n">
        <f aca="false">E1219*F1219</f>
        <v>54</v>
      </c>
      <c r="H1219" s="571"/>
    </row>
    <row r="1220" customFormat="false" ht="15" hidden="false" customHeight="false" outlineLevel="0" collapsed="false">
      <c r="A1220" s="571"/>
      <c r="B1220" s="608" t="s">
        <v>4128</v>
      </c>
      <c r="C1220" s="640"/>
      <c r="D1220" s="327"/>
      <c r="E1220" s="640"/>
      <c r="F1220" s="643"/>
      <c r="G1220" s="640" t="n">
        <f aca="false">SUM(G1213:G1219)</f>
        <v>1264.45</v>
      </c>
      <c r="H1220" s="571"/>
    </row>
    <row r="1221" customFormat="false" ht="30" hidden="false" customHeight="false" outlineLevel="0" collapsed="false">
      <c r="A1221" s="571" t="s">
        <v>224</v>
      </c>
      <c r="B1221" s="500" t="s">
        <v>4382</v>
      </c>
      <c r="C1221" s="633" t="s">
        <v>4199</v>
      </c>
      <c r="D1221" s="634" t="s">
        <v>4131</v>
      </c>
      <c r="E1221" s="635" t="s">
        <v>4267</v>
      </c>
      <c r="F1221" s="648" t="n">
        <v>12000</v>
      </c>
      <c r="G1221" s="678" t="n">
        <f aca="false">F1221*E1221</f>
        <v>240</v>
      </c>
      <c r="H1221" s="571"/>
    </row>
    <row r="1222" customFormat="false" ht="15" hidden="false" customHeight="false" outlineLevel="0" collapsed="false">
      <c r="A1222" s="571"/>
      <c r="B1222" s="500"/>
      <c r="C1222" s="638" t="s">
        <v>4225</v>
      </c>
      <c r="D1222" s="637" t="s">
        <v>4149</v>
      </c>
      <c r="E1222" s="633" t="s">
        <v>4271</v>
      </c>
      <c r="F1222" s="639" t="n">
        <v>15100</v>
      </c>
      <c r="G1222" s="678" t="n">
        <f aca="false">F1222*E1222</f>
        <v>453</v>
      </c>
      <c r="H1222" s="571"/>
    </row>
    <row r="1223" customFormat="false" ht="15" hidden="false" customHeight="false" outlineLevel="0" collapsed="false">
      <c r="A1223" s="571"/>
      <c r="B1223" s="500"/>
      <c r="C1223" s="638" t="s">
        <v>4297</v>
      </c>
      <c r="D1223" s="637" t="s">
        <v>4149</v>
      </c>
      <c r="E1223" s="633" t="n">
        <v>0.002</v>
      </c>
      <c r="F1223" s="644" t="n">
        <v>60000</v>
      </c>
      <c r="G1223" s="678" t="n">
        <f aca="false">F1223*E1223</f>
        <v>120</v>
      </c>
      <c r="H1223" s="571"/>
    </row>
    <row r="1224" customFormat="false" ht="15" hidden="false" customHeight="false" outlineLevel="0" collapsed="false">
      <c r="A1224" s="571"/>
      <c r="B1224" s="500"/>
      <c r="C1224" s="638" t="s">
        <v>4150</v>
      </c>
      <c r="D1224" s="637" t="s">
        <v>4149</v>
      </c>
      <c r="E1224" s="633" t="s">
        <v>4325</v>
      </c>
      <c r="F1224" s="639" t="n">
        <v>103040</v>
      </c>
      <c r="G1224" s="678" t="n">
        <f aca="false">F1224*E1224</f>
        <v>309.12</v>
      </c>
      <c r="H1224" s="571"/>
    </row>
    <row r="1225" customFormat="false" ht="15" hidden="false" customHeight="false" outlineLevel="0" collapsed="false">
      <c r="A1225" s="571"/>
      <c r="B1225" s="500"/>
      <c r="C1225" s="638" t="s">
        <v>4120</v>
      </c>
      <c r="D1225" s="637" t="s">
        <v>4121</v>
      </c>
      <c r="E1225" s="633" t="n">
        <v>0.03</v>
      </c>
      <c r="F1225" s="639" t="n">
        <v>1500</v>
      </c>
      <c r="G1225" s="636" t="n">
        <f aca="false">E1225*F1225</f>
        <v>45</v>
      </c>
      <c r="H1225" s="571"/>
    </row>
    <row r="1226" customFormat="false" ht="15" hidden="false" customHeight="false" outlineLevel="0" collapsed="false">
      <c r="A1226" s="571"/>
      <c r="B1226" s="500"/>
      <c r="C1226" s="638" t="s">
        <v>4122</v>
      </c>
      <c r="D1226" s="637" t="s">
        <v>4123</v>
      </c>
      <c r="E1226" s="633" t="n">
        <v>0.00018</v>
      </c>
      <c r="F1226" s="626" t="n">
        <v>800</v>
      </c>
      <c r="G1226" s="636" t="n">
        <f aca="false">E1226*F1226</f>
        <v>0.144</v>
      </c>
      <c r="H1226" s="571"/>
    </row>
    <row r="1227" customFormat="false" ht="15" hidden="false" customHeight="false" outlineLevel="0" collapsed="false">
      <c r="A1227" s="571"/>
      <c r="B1227" s="500"/>
      <c r="C1227" s="633" t="s">
        <v>4124</v>
      </c>
      <c r="D1227" s="637" t="s">
        <v>4125</v>
      </c>
      <c r="E1227" s="633" t="n">
        <v>0.01</v>
      </c>
      <c r="F1227" s="626" t="n">
        <v>120</v>
      </c>
      <c r="G1227" s="636" t="n">
        <f aca="false">E1227*F1227</f>
        <v>1.2</v>
      </c>
      <c r="H1227" s="571"/>
    </row>
    <row r="1228" customFormat="false" ht="15" hidden="false" customHeight="false" outlineLevel="0" collapsed="false">
      <c r="A1228" s="571"/>
      <c r="B1228" s="608"/>
      <c r="C1228" s="633" t="s">
        <v>4126</v>
      </c>
      <c r="D1228" s="637" t="s">
        <v>4149</v>
      </c>
      <c r="E1228" s="633" t="n">
        <v>0.02</v>
      </c>
      <c r="F1228" s="626" t="n">
        <v>2700</v>
      </c>
      <c r="G1228" s="636" t="n">
        <f aca="false">E1228*F1228</f>
        <v>54</v>
      </c>
      <c r="H1228" s="571"/>
    </row>
    <row r="1229" customFormat="false" ht="15" hidden="false" customHeight="false" outlineLevel="0" collapsed="false">
      <c r="A1229" s="571"/>
      <c r="B1229" s="608" t="s">
        <v>4128</v>
      </c>
      <c r="C1229" s="640"/>
      <c r="D1229" s="327"/>
      <c r="E1229" s="640"/>
      <c r="F1229" s="643"/>
      <c r="G1229" s="640" t="n">
        <f aca="false">SUM(G1221:G1228)</f>
        <v>1222.464</v>
      </c>
      <c r="H1229" s="571"/>
    </row>
    <row r="1230" customFormat="false" ht="15" hidden="false" customHeight="false" outlineLevel="0" collapsed="false">
      <c r="A1230" s="327" t="s">
        <v>2753</v>
      </c>
      <c r="B1230" s="640" t="s">
        <v>2962</v>
      </c>
      <c r="C1230" s="640"/>
      <c r="D1230" s="327"/>
      <c r="E1230" s="640"/>
      <c r="F1230" s="640"/>
      <c r="G1230" s="640"/>
      <c r="H1230" s="629"/>
    </row>
    <row r="1231" customFormat="false" ht="15" hidden="false" customHeight="false" outlineLevel="0" collapsed="false">
      <c r="A1231" s="571" t="s">
        <v>4383</v>
      </c>
      <c r="B1231" s="632" t="s">
        <v>2963</v>
      </c>
      <c r="C1231" s="638" t="s">
        <v>4120</v>
      </c>
      <c r="D1231" s="637" t="s">
        <v>4121</v>
      </c>
      <c r="E1231" s="633" t="n">
        <v>0.03</v>
      </c>
      <c r="F1231" s="639" t="n">
        <v>1500</v>
      </c>
      <c r="G1231" s="636" t="n">
        <f aca="false">E1231*F1231</f>
        <v>45</v>
      </c>
      <c r="H1231" s="571"/>
    </row>
    <row r="1232" customFormat="false" ht="15" hidden="false" customHeight="false" outlineLevel="0" collapsed="false">
      <c r="A1232" s="571"/>
      <c r="B1232" s="500"/>
      <c r="C1232" s="638" t="s">
        <v>4122</v>
      </c>
      <c r="D1232" s="637" t="s">
        <v>4123</v>
      </c>
      <c r="E1232" s="633" t="n">
        <v>0.339</v>
      </c>
      <c r="F1232" s="626" t="n">
        <v>800</v>
      </c>
      <c r="G1232" s="636" t="n">
        <f aca="false">E1232*F1232</f>
        <v>271.2</v>
      </c>
      <c r="H1232" s="571"/>
    </row>
    <row r="1233" customFormat="false" ht="15" hidden="false" customHeight="false" outlineLevel="0" collapsed="false">
      <c r="A1233" s="571"/>
      <c r="B1233" s="500"/>
      <c r="C1233" s="633" t="s">
        <v>4124</v>
      </c>
      <c r="D1233" s="637" t="s">
        <v>4125</v>
      </c>
      <c r="E1233" s="633" t="n">
        <v>0.1</v>
      </c>
      <c r="F1233" s="626" t="n">
        <v>120</v>
      </c>
      <c r="G1233" s="636" t="n">
        <f aca="false">E1233*F1233</f>
        <v>12</v>
      </c>
      <c r="H1233" s="571"/>
    </row>
    <row r="1234" customFormat="false" ht="15" hidden="false" customHeight="false" outlineLevel="0" collapsed="false">
      <c r="A1234" s="571"/>
      <c r="B1234" s="500"/>
      <c r="C1234" s="633" t="s">
        <v>4126</v>
      </c>
      <c r="D1234" s="637" t="s">
        <v>4127</v>
      </c>
      <c r="E1234" s="633" t="n">
        <v>0.02</v>
      </c>
      <c r="F1234" s="626" t="n">
        <v>2700</v>
      </c>
      <c r="G1234" s="636" t="n">
        <f aca="false">E1234*F1234</f>
        <v>54</v>
      </c>
      <c r="H1234" s="571"/>
    </row>
    <row r="1235" customFormat="false" ht="15" hidden="false" customHeight="false" outlineLevel="0" collapsed="false">
      <c r="A1235" s="571"/>
      <c r="B1235" s="608" t="s">
        <v>4128</v>
      </c>
      <c r="C1235" s="640"/>
      <c r="D1235" s="327"/>
      <c r="E1235" s="640"/>
      <c r="F1235" s="643"/>
      <c r="G1235" s="640" t="n">
        <f aca="false">SUM(G1231:G1234)</f>
        <v>382.2</v>
      </c>
      <c r="H1235" s="571"/>
    </row>
    <row r="1236" customFormat="false" ht="30" hidden="false" customHeight="false" outlineLevel="0" collapsed="false">
      <c r="A1236" s="571" t="s">
        <v>4384</v>
      </c>
      <c r="B1236" s="632" t="s">
        <v>2964</v>
      </c>
      <c r="C1236" s="638" t="s">
        <v>4140</v>
      </c>
      <c r="D1236" s="571" t="s">
        <v>4138</v>
      </c>
      <c r="E1236" s="672" t="n">
        <v>0.04</v>
      </c>
      <c r="F1236" s="630" t="n">
        <v>26785</v>
      </c>
      <c r="G1236" s="629" t="n">
        <f aca="false">F1236*E1236</f>
        <v>1071.4</v>
      </c>
      <c r="H1236" s="606"/>
    </row>
    <row r="1237" customFormat="false" ht="15" hidden="false" customHeight="false" outlineLevel="0" collapsed="false">
      <c r="A1237" s="571"/>
      <c r="B1237" s="500"/>
      <c r="C1237" s="638" t="s">
        <v>4120</v>
      </c>
      <c r="D1237" s="637" t="s">
        <v>4121</v>
      </c>
      <c r="E1237" s="672" t="n">
        <v>0.02</v>
      </c>
      <c r="F1237" s="639" t="n">
        <v>1500</v>
      </c>
      <c r="G1237" s="636" t="n">
        <f aca="false">E1237*F1237</f>
        <v>30</v>
      </c>
      <c r="H1237" s="571"/>
    </row>
    <row r="1238" customFormat="false" ht="15" hidden="false" customHeight="false" outlineLevel="0" collapsed="false">
      <c r="A1238" s="571"/>
      <c r="B1238" s="500"/>
      <c r="C1238" s="638" t="s">
        <v>4122</v>
      </c>
      <c r="D1238" s="637" t="s">
        <v>4123</v>
      </c>
      <c r="E1238" s="633" t="n">
        <v>0.1</v>
      </c>
      <c r="F1238" s="626" t="n">
        <v>800</v>
      </c>
      <c r="G1238" s="636" t="n">
        <f aca="false">E1238*F1238</f>
        <v>80</v>
      </c>
      <c r="H1238" s="571"/>
    </row>
    <row r="1239" customFormat="false" ht="15" hidden="false" customHeight="false" outlineLevel="0" collapsed="false">
      <c r="A1239" s="571"/>
      <c r="B1239" s="500"/>
      <c r="C1239" s="633" t="s">
        <v>4124</v>
      </c>
      <c r="D1239" s="637" t="s">
        <v>4125</v>
      </c>
      <c r="E1239" s="633" t="n">
        <v>0.1</v>
      </c>
      <c r="F1239" s="626" t="n">
        <v>120</v>
      </c>
      <c r="G1239" s="636" t="n">
        <f aca="false">E1239*F1239</f>
        <v>12</v>
      </c>
      <c r="H1239" s="571"/>
    </row>
    <row r="1240" customFormat="false" ht="15" hidden="false" customHeight="false" outlineLevel="0" collapsed="false">
      <c r="A1240" s="571"/>
      <c r="B1240" s="500"/>
      <c r="C1240" s="633" t="s">
        <v>4126</v>
      </c>
      <c r="D1240" s="637" t="s">
        <v>4127</v>
      </c>
      <c r="E1240" s="633" t="n">
        <v>0.02</v>
      </c>
      <c r="F1240" s="626" t="n">
        <v>2700</v>
      </c>
      <c r="G1240" s="636" t="n">
        <f aca="false">E1240*F1240</f>
        <v>54</v>
      </c>
      <c r="H1240" s="571"/>
    </row>
    <row r="1241" customFormat="false" ht="15" hidden="false" customHeight="false" outlineLevel="0" collapsed="false">
      <c r="A1241" s="571"/>
      <c r="B1241" s="608" t="s">
        <v>4128</v>
      </c>
      <c r="C1241" s="640"/>
      <c r="D1241" s="327"/>
      <c r="E1241" s="640"/>
      <c r="F1241" s="643"/>
      <c r="G1241" s="640" t="n">
        <f aca="false">SUM(G1236:G1240)</f>
        <v>1247.4</v>
      </c>
      <c r="H1241" s="571"/>
    </row>
    <row r="1242" customFormat="false" ht="15" hidden="false" customHeight="false" outlineLevel="0" collapsed="false">
      <c r="A1242" s="571" t="s">
        <v>4385</v>
      </c>
      <c r="B1242" s="632" t="s">
        <v>2965</v>
      </c>
      <c r="C1242" s="638" t="s">
        <v>4120</v>
      </c>
      <c r="D1242" s="637" t="s">
        <v>4121</v>
      </c>
      <c r="E1242" s="633" t="n">
        <v>0.02</v>
      </c>
      <c r="F1242" s="639" t="n">
        <v>1500</v>
      </c>
      <c r="G1242" s="636" t="n">
        <f aca="false">E1242*F1242</f>
        <v>30</v>
      </c>
      <c r="H1242" s="571"/>
    </row>
    <row r="1243" customFormat="false" ht="15" hidden="false" customHeight="false" outlineLevel="0" collapsed="false">
      <c r="A1243" s="571"/>
      <c r="B1243" s="500"/>
      <c r="C1243" s="638" t="s">
        <v>4122</v>
      </c>
      <c r="D1243" s="637" t="s">
        <v>4123</v>
      </c>
      <c r="E1243" s="633" t="n">
        <v>0.339</v>
      </c>
      <c r="F1243" s="626" t="n">
        <v>800</v>
      </c>
      <c r="G1243" s="636" t="n">
        <f aca="false">E1243*F1243</f>
        <v>271.2</v>
      </c>
      <c r="H1243" s="571"/>
    </row>
    <row r="1244" customFormat="false" ht="15" hidden="false" customHeight="false" outlineLevel="0" collapsed="false">
      <c r="A1244" s="571"/>
      <c r="B1244" s="608"/>
      <c r="C1244" s="633" t="s">
        <v>4124</v>
      </c>
      <c r="D1244" s="637" t="s">
        <v>4125</v>
      </c>
      <c r="E1244" s="633" t="n">
        <v>0.1</v>
      </c>
      <c r="F1244" s="626" t="n">
        <v>120</v>
      </c>
      <c r="G1244" s="636" t="n">
        <f aca="false">E1244*F1244</f>
        <v>12</v>
      </c>
      <c r="H1244" s="571"/>
    </row>
    <row r="1245" customFormat="false" ht="15" hidden="false" customHeight="false" outlineLevel="0" collapsed="false">
      <c r="A1245" s="571"/>
      <c r="B1245" s="500"/>
      <c r="C1245" s="633" t="s">
        <v>4126</v>
      </c>
      <c r="D1245" s="637" t="s">
        <v>4127</v>
      </c>
      <c r="E1245" s="633" t="n">
        <v>0.02</v>
      </c>
      <c r="F1245" s="626" t="n">
        <v>2700</v>
      </c>
      <c r="G1245" s="636" t="n">
        <f aca="false">E1245*F1245</f>
        <v>54</v>
      </c>
      <c r="H1245" s="571"/>
    </row>
    <row r="1246" customFormat="false" ht="15" hidden="false" customHeight="false" outlineLevel="0" collapsed="false">
      <c r="A1246" s="571"/>
      <c r="B1246" s="608" t="s">
        <v>4128</v>
      </c>
      <c r="C1246" s="640"/>
      <c r="D1246" s="327"/>
      <c r="E1246" s="640"/>
      <c r="F1246" s="643"/>
      <c r="G1246" s="640" t="n">
        <f aca="false">SUM(G1242:G1245)</f>
        <v>367.2</v>
      </c>
      <c r="H1246" s="571"/>
    </row>
    <row r="1247" customFormat="false" ht="15" hidden="false" customHeight="false" outlineLevel="0" collapsed="false">
      <c r="A1247" s="571" t="s">
        <v>4386</v>
      </c>
      <c r="B1247" s="632" t="s">
        <v>2893</v>
      </c>
      <c r="C1247" s="638" t="s">
        <v>4163</v>
      </c>
      <c r="D1247" s="571" t="s">
        <v>4372</v>
      </c>
      <c r="E1247" s="629" t="s">
        <v>4200</v>
      </c>
      <c r="F1247" s="626" t="n">
        <v>6900</v>
      </c>
      <c r="G1247" s="636" t="n">
        <f aca="false">E1247*F1247</f>
        <v>345</v>
      </c>
      <c r="H1247" s="606"/>
    </row>
    <row r="1248" customFormat="false" ht="15" hidden="false" customHeight="false" outlineLevel="0" collapsed="false">
      <c r="A1248" s="571"/>
      <c r="B1248" s="500"/>
      <c r="C1248" s="633" t="s">
        <v>4165</v>
      </c>
      <c r="D1248" s="637" t="s">
        <v>4133</v>
      </c>
      <c r="E1248" s="635" t="s">
        <v>4387</v>
      </c>
      <c r="F1248" s="626" t="n">
        <v>5500</v>
      </c>
      <c r="G1248" s="636" t="n">
        <f aca="false">E1248*F1248</f>
        <v>4966.5</v>
      </c>
      <c r="H1248" s="606"/>
    </row>
    <row r="1249" customFormat="false" ht="15" hidden="false" customHeight="false" outlineLevel="0" collapsed="false">
      <c r="A1249" s="571"/>
      <c r="B1249" s="500"/>
      <c r="C1249" s="633" t="s">
        <v>4277</v>
      </c>
      <c r="D1249" s="571" t="s">
        <v>4133</v>
      </c>
      <c r="E1249" s="629" t="n">
        <v>0.00016</v>
      </c>
      <c r="F1249" s="630" t="n">
        <v>10500</v>
      </c>
      <c r="G1249" s="636" t="n">
        <f aca="false">E1249*F1249</f>
        <v>1.68</v>
      </c>
      <c r="H1249" s="606"/>
    </row>
    <row r="1250" customFormat="false" ht="15" hidden="false" customHeight="false" outlineLevel="0" collapsed="false">
      <c r="A1250" s="571"/>
      <c r="B1250" s="500"/>
      <c r="C1250" s="633" t="s">
        <v>4388</v>
      </c>
      <c r="D1250" s="637" t="s">
        <v>4133</v>
      </c>
      <c r="E1250" s="633" t="s">
        <v>4389</v>
      </c>
      <c r="F1250" s="626" t="n">
        <v>15000</v>
      </c>
      <c r="G1250" s="636" t="n">
        <f aca="false">E1250*F1250</f>
        <v>412.5</v>
      </c>
      <c r="H1250" s="606"/>
    </row>
    <row r="1251" customFormat="false" ht="15" hidden="false" customHeight="false" outlineLevel="0" collapsed="false">
      <c r="A1251" s="571"/>
      <c r="B1251" s="500"/>
      <c r="C1251" s="633" t="s">
        <v>4390</v>
      </c>
      <c r="D1251" s="637" t="s">
        <v>4133</v>
      </c>
      <c r="E1251" s="635" t="n">
        <v>0.01</v>
      </c>
      <c r="F1251" s="626" t="n">
        <v>49000</v>
      </c>
      <c r="G1251" s="636" t="n">
        <f aca="false">E1251*F1251</f>
        <v>490</v>
      </c>
      <c r="H1251" s="606"/>
    </row>
    <row r="1252" customFormat="false" ht="15" hidden="false" customHeight="false" outlineLevel="0" collapsed="false">
      <c r="A1252" s="571"/>
      <c r="B1252" s="608"/>
      <c r="C1252" s="633" t="s">
        <v>4391</v>
      </c>
      <c r="D1252" s="679" t="s">
        <v>4392</v>
      </c>
      <c r="E1252" s="680" t="n">
        <v>0.08</v>
      </c>
      <c r="F1252" s="681" t="n">
        <v>892</v>
      </c>
      <c r="G1252" s="636" t="n">
        <f aca="false">E1252*F1252</f>
        <v>71.36</v>
      </c>
      <c r="H1252" s="571"/>
    </row>
    <row r="1253" customFormat="false" ht="15" hidden="false" customHeight="false" outlineLevel="0" collapsed="false">
      <c r="A1253" s="571"/>
      <c r="B1253" s="500"/>
      <c r="C1253" s="633" t="s">
        <v>4393</v>
      </c>
      <c r="D1253" s="637" t="s">
        <v>4123</v>
      </c>
      <c r="E1253" s="633" t="s">
        <v>4394</v>
      </c>
      <c r="F1253" s="626" t="n">
        <v>5500</v>
      </c>
      <c r="G1253" s="636" t="n">
        <f aca="false">E1253*F1253</f>
        <v>13.75</v>
      </c>
      <c r="H1253" s="571"/>
    </row>
    <row r="1254" customFormat="false" ht="15" hidden="false" customHeight="false" outlineLevel="0" collapsed="false">
      <c r="A1254" s="571"/>
      <c r="B1254" s="500"/>
      <c r="C1254" s="633" t="s">
        <v>4225</v>
      </c>
      <c r="D1254" s="637" t="s">
        <v>4125</v>
      </c>
      <c r="E1254" s="633" t="s">
        <v>4395</v>
      </c>
      <c r="F1254" s="626" t="s">
        <v>4396</v>
      </c>
      <c r="G1254" s="636" t="n">
        <f aca="false">E1254*F1254</f>
        <v>120.8</v>
      </c>
      <c r="H1254" s="571"/>
    </row>
    <row r="1255" customFormat="false" ht="15" hidden="false" customHeight="false" outlineLevel="0" collapsed="false">
      <c r="A1255" s="571"/>
      <c r="B1255" s="500"/>
      <c r="C1255" s="633" t="s">
        <v>4126</v>
      </c>
      <c r="D1255" s="637" t="s">
        <v>4127</v>
      </c>
      <c r="E1255" s="633" t="n">
        <v>0.02</v>
      </c>
      <c r="F1255" s="626" t="n">
        <v>2700</v>
      </c>
      <c r="G1255" s="636" t="n">
        <f aca="false">E1255*F1255</f>
        <v>54</v>
      </c>
      <c r="H1255" s="571"/>
    </row>
    <row r="1256" customFormat="false" ht="15" hidden="false" customHeight="false" outlineLevel="0" collapsed="false">
      <c r="A1256" s="571"/>
      <c r="B1256" s="608" t="s">
        <v>4128</v>
      </c>
      <c r="C1256" s="640"/>
      <c r="D1256" s="327"/>
      <c r="E1256" s="640"/>
      <c r="F1256" s="643"/>
      <c r="G1256" s="640" t="n">
        <f aca="false">SUM(G1247:G1255)</f>
        <v>6475.59</v>
      </c>
      <c r="H1256" s="571"/>
    </row>
    <row r="1257" customFormat="false" ht="15" hidden="false" customHeight="false" outlineLevel="0" collapsed="false">
      <c r="A1257" s="571" t="s">
        <v>4397</v>
      </c>
      <c r="B1257" s="632" t="s">
        <v>2966</v>
      </c>
      <c r="C1257" s="638" t="s">
        <v>4398</v>
      </c>
      <c r="D1257" s="637" t="s">
        <v>4133</v>
      </c>
      <c r="E1257" s="633" t="n">
        <v>0.01</v>
      </c>
      <c r="F1257" s="626" t="n">
        <v>12400</v>
      </c>
      <c r="G1257" s="636" t="n">
        <f aca="false">E1257*F1257</f>
        <v>124</v>
      </c>
      <c r="H1257" s="571"/>
    </row>
    <row r="1258" customFormat="false" ht="15" hidden="false" customHeight="false" outlineLevel="0" collapsed="false">
      <c r="A1258" s="571"/>
      <c r="B1258" s="500"/>
      <c r="C1258" s="638" t="s">
        <v>4399</v>
      </c>
      <c r="D1258" s="637" t="s">
        <v>4133</v>
      </c>
      <c r="E1258" s="633" t="n">
        <v>0.01</v>
      </c>
      <c r="F1258" s="626" t="s">
        <v>4400</v>
      </c>
      <c r="G1258" s="636" t="n">
        <f aca="false">E1258*F1258</f>
        <v>180</v>
      </c>
      <c r="H1258" s="571"/>
    </row>
    <row r="1259" customFormat="false" ht="15" hidden="false" customHeight="false" outlineLevel="0" collapsed="false">
      <c r="A1259" s="571"/>
      <c r="B1259" s="500"/>
      <c r="C1259" s="638" t="s">
        <v>4147</v>
      </c>
      <c r="D1259" s="637" t="s">
        <v>4133</v>
      </c>
      <c r="E1259" s="633" t="s">
        <v>4401</v>
      </c>
      <c r="F1259" s="626" t="n">
        <v>5500</v>
      </c>
      <c r="G1259" s="636" t="n">
        <f aca="false">E1259*F1259</f>
        <v>5500</v>
      </c>
      <c r="H1259" s="606"/>
    </row>
    <row r="1260" customFormat="false" ht="15" hidden="false" customHeight="false" outlineLevel="0" collapsed="false">
      <c r="A1260" s="571"/>
      <c r="B1260" s="500"/>
      <c r="C1260" s="638" t="s">
        <v>4211</v>
      </c>
      <c r="D1260" s="637" t="s">
        <v>4133</v>
      </c>
      <c r="E1260" s="633" t="s">
        <v>4402</v>
      </c>
      <c r="F1260" s="626" t="n">
        <v>5121</v>
      </c>
      <c r="G1260" s="636" t="n">
        <f aca="false">E1260*F1260</f>
        <v>204.84</v>
      </c>
      <c r="H1260" s="606"/>
    </row>
    <row r="1261" customFormat="false" ht="15" hidden="false" customHeight="false" outlineLevel="0" collapsed="false">
      <c r="A1261" s="571"/>
      <c r="B1261" s="500"/>
      <c r="C1261" s="638" t="s">
        <v>4403</v>
      </c>
      <c r="D1261" s="637" t="s">
        <v>4133</v>
      </c>
      <c r="E1261" s="633" t="s">
        <v>4404</v>
      </c>
      <c r="F1261" s="626" t="n">
        <v>5500</v>
      </c>
      <c r="G1261" s="636" t="n">
        <f aca="false">E1261*F1261</f>
        <v>148.5</v>
      </c>
      <c r="H1261" s="606"/>
    </row>
    <row r="1262" customFormat="false" ht="15" hidden="false" customHeight="false" outlineLevel="0" collapsed="false">
      <c r="A1262" s="571"/>
      <c r="B1262" s="500"/>
      <c r="C1262" s="638" t="s">
        <v>4120</v>
      </c>
      <c r="D1262" s="637" t="s">
        <v>4121</v>
      </c>
      <c r="E1262" s="633" t="n">
        <v>0.03</v>
      </c>
      <c r="F1262" s="639" t="n">
        <v>1500</v>
      </c>
      <c r="G1262" s="636" t="n">
        <f aca="false">E1262*F1262</f>
        <v>45</v>
      </c>
      <c r="H1262" s="571"/>
    </row>
    <row r="1263" customFormat="false" ht="15" hidden="false" customHeight="false" outlineLevel="0" collapsed="false">
      <c r="A1263" s="571"/>
      <c r="B1263" s="500"/>
      <c r="C1263" s="638" t="s">
        <v>4122</v>
      </c>
      <c r="D1263" s="637" t="s">
        <v>4123</v>
      </c>
      <c r="E1263" s="633" t="n">
        <v>0.029</v>
      </c>
      <c r="F1263" s="626" t="n">
        <v>800</v>
      </c>
      <c r="G1263" s="636" t="n">
        <f aca="false">E1263*F1263</f>
        <v>23.2</v>
      </c>
      <c r="H1263" s="571"/>
    </row>
    <row r="1264" customFormat="false" ht="15" hidden="false" customHeight="false" outlineLevel="0" collapsed="false">
      <c r="A1264" s="571"/>
      <c r="B1264" s="608"/>
      <c r="C1264" s="633" t="s">
        <v>4124</v>
      </c>
      <c r="D1264" s="637" t="s">
        <v>4125</v>
      </c>
      <c r="E1264" s="633" t="n">
        <v>0.1</v>
      </c>
      <c r="F1264" s="626" t="n">
        <v>120</v>
      </c>
      <c r="G1264" s="636" t="n">
        <f aca="false">E1264*F1264</f>
        <v>12</v>
      </c>
      <c r="H1264" s="571"/>
    </row>
    <row r="1265" customFormat="false" ht="15" hidden="false" customHeight="false" outlineLevel="0" collapsed="false">
      <c r="A1265" s="571"/>
      <c r="B1265" s="500"/>
      <c r="C1265" s="633" t="s">
        <v>4126</v>
      </c>
      <c r="D1265" s="637" t="s">
        <v>4127</v>
      </c>
      <c r="E1265" s="633" t="n">
        <v>0.02</v>
      </c>
      <c r="F1265" s="626" t="n">
        <v>2700</v>
      </c>
      <c r="G1265" s="636" t="n">
        <f aca="false">E1265*F1265</f>
        <v>54</v>
      </c>
      <c r="H1265" s="571"/>
    </row>
    <row r="1266" customFormat="false" ht="15" hidden="false" customHeight="false" outlineLevel="0" collapsed="false">
      <c r="A1266" s="571"/>
      <c r="B1266" s="608" t="s">
        <v>4128</v>
      </c>
      <c r="C1266" s="640"/>
      <c r="D1266" s="327"/>
      <c r="E1266" s="640"/>
      <c r="F1266" s="643"/>
      <c r="G1266" s="640" t="n">
        <f aca="false">SUM(G1257:G1265)</f>
        <v>6291.54</v>
      </c>
      <c r="H1266" s="571"/>
    </row>
    <row r="1267" customFormat="false" ht="15" hidden="false" customHeight="false" outlineLevel="0" collapsed="false">
      <c r="A1267" s="571" t="s">
        <v>4405</v>
      </c>
      <c r="B1267" s="632" t="s">
        <v>2967</v>
      </c>
      <c r="C1267" s="629" t="s">
        <v>4390</v>
      </c>
      <c r="D1267" s="571" t="s">
        <v>4133</v>
      </c>
      <c r="E1267" s="629" t="s">
        <v>4213</v>
      </c>
      <c r="F1267" s="630" t="n">
        <v>49000</v>
      </c>
      <c r="G1267" s="636" t="n">
        <f aca="false">E1267*F1267</f>
        <v>245</v>
      </c>
      <c r="H1267" s="606"/>
    </row>
    <row r="1268" customFormat="false" ht="15" hidden="false" customHeight="false" outlineLevel="0" collapsed="false">
      <c r="A1268" s="571"/>
      <c r="B1268" s="500"/>
      <c r="C1268" s="629" t="s">
        <v>4406</v>
      </c>
      <c r="D1268" s="571" t="s">
        <v>4133</v>
      </c>
      <c r="E1268" s="629" t="n">
        <v>0.005</v>
      </c>
      <c r="F1268" s="630" t="n">
        <v>55000</v>
      </c>
      <c r="G1268" s="636" t="n">
        <f aca="false">E1268*F1268</f>
        <v>275</v>
      </c>
      <c r="H1268" s="606"/>
    </row>
    <row r="1269" customFormat="false" ht="15" hidden="false" customHeight="false" outlineLevel="0" collapsed="false">
      <c r="A1269" s="571"/>
      <c r="B1269" s="500"/>
      <c r="C1269" s="629" t="s">
        <v>4407</v>
      </c>
      <c r="D1269" s="571" t="s">
        <v>4133</v>
      </c>
      <c r="E1269" s="629" t="n">
        <v>0.03</v>
      </c>
      <c r="F1269" s="630" t="n">
        <v>5500</v>
      </c>
      <c r="G1269" s="636" t="n">
        <f aca="false">E1269*F1269</f>
        <v>165</v>
      </c>
      <c r="H1269" s="606"/>
    </row>
    <row r="1270" customFormat="false" ht="15" hidden="false" customHeight="false" outlineLevel="0" collapsed="false">
      <c r="A1270" s="571"/>
      <c r="B1270" s="500"/>
      <c r="C1270" s="629" t="s">
        <v>4147</v>
      </c>
      <c r="D1270" s="571" t="s">
        <v>4133</v>
      </c>
      <c r="E1270" s="629" t="s">
        <v>4267</v>
      </c>
      <c r="F1270" s="626" t="n">
        <v>14039</v>
      </c>
      <c r="G1270" s="636" t="n">
        <f aca="false">E1270*F1270</f>
        <v>280.78</v>
      </c>
      <c r="H1270" s="571"/>
    </row>
    <row r="1271" customFormat="false" ht="15" hidden="false" customHeight="false" outlineLevel="0" collapsed="false">
      <c r="A1271" s="571"/>
      <c r="B1271" s="500"/>
      <c r="C1271" s="629" t="s">
        <v>4239</v>
      </c>
      <c r="D1271" s="571" t="s">
        <v>4133</v>
      </c>
      <c r="E1271" s="629" t="s">
        <v>4186</v>
      </c>
      <c r="F1271" s="630" t="n">
        <v>35000</v>
      </c>
      <c r="G1271" s="636" t="n">
        <f aca="false">E1271*F1271</f>
        <v>350</v>
      </c>
      <c r="H1271" s="606"/>
    </row>
    <row r="1272" customFormat="false" ht="15" hidden="false" customHeight="false" outlineLevel="0" collapsed="false">
      <c r="A1272" s="571"/>
      <c r="B1272" s="500"/>
      <c r="C1272" s="629" t="s">
        <v>4296</v>
      </c>
      <c r="D1272" s="571" t="s">
        <v>4133</v>
      </c>
      <c r="E1272" s="629" t="s">
        <v>4186</v>
      </c>
      <c r="F1272" s="630" t="n">
        <v>15100</v>
      </c>
      <c r="G1272" s="636" t="n">
        <f aca="false">E1272*F1272</f>
        <v>151</v>
      </c>
      <c r="H1272" s="571"/>
    </row>
    <row r="1273" customFormat="false" ht="30" hidden="false" customHeight="false" outlineLevel="0" collapsed="false">
      <c r="A1273" s="571"/>
      <c r="B1273" s="608"/>
      <c r="C1273" s="500" t="s">
        <v>4408</v>
      </c>
      <c r="D1273" s="571" t="s">
        <v>4138</v>
      </c>
      <c r="E1273" s="629" t="s">
        <v>4186</v>
      </c>
      <c r="F1273" s="630" t="n">
        <v>18500</v>
      </c>
      <c r="G1273" s="636" t="n">
        <f aca="false">E1273*F1273</f>
        <v>185</v>
      </c>
      <c r="H1273" s="571"/>
    </row>
    <row r="1274" customFormat="false" ht="15" hidden="false" customHeight="false" outlineLevel="0" collapsed="false">
      <c r="A1274" s="571"/>
      <c r="B1274" s="500"/>
      <c r="C1274" s="629" t="s">
        <v>4409</v>
      </c>
      <c r="D1274" s="571" t="s">
        <v>4133</v>
      </c>
      <c r="E1274" s="629" t="s">
        <v>4209</v>
      </c>
      <c r="F1274" s="630" t="n">
        <v>280000</v>
      </c>
      <c r="G1274" s="636" t="n">
        <f aca="false">E1274*F1274</f>
        <v>560</v>
      </c>
      <c r="H1274" s="606"/>
    </row>
    <row r="1275" customFormat="false" ht="15" hidden="false" customHeight="false" outlineLevel="0" collapsed="false">
      <c r="A1275" s="571"/>
      <c r="B1275" s="500"/>
      <c r="C1275" s="629" t="s">
        <v>4410</v>
      </c>
      <c r="D1275" s="571" t="s">
        <v>4133</v>
      </c>
      <c r="E1275" s="629" t="s">
        <v>4180</v>
      </c>
      <c r="F1275" s="648" t="n">
        <v>221910</v>
      </c>
      <c r="G1275" s="636" t="n">
        <f aca="false">E1275*F1275</f>
        <v>221.91</v>
      </c>
      <c r="H1275" s="606"/>
    </row>
    <row r="1276" customFormat="false" ht="15" hidden="false" customHeight="false" outlineLevel="0" collapsed="false">
      <c r="A1276" s="571"/>
      <c r="B1276" s="500"/>
      <c r="C1276" s="638" t="s">
        <v>4120</v>
      </c>
      <c r="D1276" s="637" t="s">
        <v>4121</v>
      </c>
      <c r="E1276" s="633" t="n">
        <v>0.03</v>
      </c>
      <c r="F1276" s="639" t="n">
        <v>1500</v>
      </c>
      <c r="G1276" s="636" t="n">
        <f aca="false">E1276*F1276</f>
        <v>45</v>
      </c>
      <c r="H1276" s="571"/>
    </row>
    <row r="1277" customFormat="false" ht="15" hidden="false" customHeight="false" outlineLevel="0" collapsed="false">
      <c r="A1277" s="571"/>
      <c r="B1277" s="500"/>
      <c r="C1277" s="638" t="s">
        <v>4122</v>
      </c>
      <c r="D1277" s="637" t="s">
        <v>4123</v>
      </c>
      <c r="E1277" s="633" t="n">
        <v>0.029</v>
      </c>
      <c r="F1277" s="626" t="n">
        <v>800</v>
      </c>
      <c r="G1277" s="636" t="n">
        <f aca="false">E1277*F1277</f>
        <v>23.2</v>
      </c>
      <c r="H1277" s="571"/>
    </row>
    <row r="1278" customFormat="false" ht="15" hidden="false" customHeight="false" outlineLevel="0" collapsed="false">
      <c r="A1278" s="571"/>
      <c r="B1278" s="500"/>
      <c r="C1278" s="633" t="s">
        <v>4124</v>
      </c>
      <c r="D1278" s="637" t="s">
        <v>4125</v>
      </c>
      <c r="E1278" s="633" t="n">
        <v>0.1</v>
      </c>
      <c r="F1278" s="626" t="n">
        <v>120</v>
      </c>
      <c r="G1278" s="636" t="n">
        <f aca="false">E1278*F1278</f>
        <v>12</v>
      </c>
      <c r="H1278" s="571"/>
    </row>
    <row r="1279" customFormat="false" ht="15" hidden="false" customHeight="false" outlineLevel="0" collapsed="false">
      <c r="A1279" s="571"/>
      <c r="B1279" s="500"/>
      <c r="C1279" s="633" t="s">
        <v>4126</v>
      </c>
      <c r="D1279" s="637" t="s">
        <v>4127</v>
      </c>
      <c r="E1279" s="633" t="n">
        <v>0.02</v>
      </c>
      <c r="F1279" s="626" t="n">
        <v>2700</v>
      </c>
      <c r="G1279" s="636" t="n">
        <f aca="false">E1279*F1279</f>
        <v>54</v>
      </c>
      <c r="H1279" s="571"/>
    </row>
    <row r="1280" customFormat="false" ht="15" hidden="false" customHeight="false" outlineLevel="0" collapsed="false">
      <c r="A1280" s="571"/>
      <c r="B1280" s="608" t="s">
        <v>4128</v>
      </c>
      <c r="C1280" s="640"/>
      <c r="D1280" s="327"/>
      <c r="E1280" s="640"/>
      <c r="F1280" s="643"/>
      <c r="G1280" s="640" t="n">
        <f aca="false">SUM(G1267:G1279)</f>
        <v>2567.89</v>
      </c>
      <c r="H1280" s="571"/>
    </row>
    <row r="1281" customFormat="false" ht="15" hidden="false" customHeight="false" outlineLevel="0" collapsed="false">
      <c r="A1281" s="571" t="s">
        <v>4411</v>
      </c>
      <c r="B1281" s="632" t="s">
        <v>2968</v>
      </c>
      <c r="C1281" s="629" t="s">
        <v>4412</v>
      </c>
      <c r="D1281" s="571" t="s">
        <v>4133</v>
      </c>
      <c r="E1281" s="676" t="n">
        <v>0.01</v>
      </c>
      <c r="F1281" s="630" t="n">
        <v>24000</v>
      </c>
      <c r="G1281" s="636" t="n">
        <f aca="false">E1281*F1281</f>
        <v>240</v>
      </c>
      <c r="H1281" s="571"/>
    </row>
    <row r="1282" customFormat="false" ht="15" hidden="false" customHeight="false" outlineLevel="0" collapsed="false">
      <c r="A1282" s="571"/>
      <c r="B1282" s="500"/>
      <c r="C1282" s="629" t="s">
        <v>4413</v>
      </c>
      <c r="D1282" s="571" t="s">
        <v>4133</v>
      </c>
      <c r="E1282" s="629" t="s">
        <v>4186</v>
      </c>
      <c r="F1282" s="630" t="n">
        <v>12400</v>
      </c>
      <c r="G1282" s="636" t="n">
        <f aca="false">E1282*F1282</f>
        <v>124</v>
      </c>
      <c r="H1282" s="571"/>
    </row>
    <row r="1283" customFormat="false" ht="15" hidden="false" customHeight="false" outlineLevel="0" collapsed="false">
      <c r="A1283" s="571"/>
      <c r="B1283" s="500"/>
      <c r="C1283" s="629" t="s">
        <v>4414</v>
      </c>
      <c r="D1283" s="571" t="s">
        <v>4133</v>
      </c>
      <c r="E1283" s="629" t="n">
        <v>0.001</v>
      </c>
      <c r="F1283" s="630" t="s">
        <v>4415</v>
      </c>
      <c r="G1283" s="636" t="n">
        <f aca="false">E1283*F1283</f>
        <v>200</v>
      </c>
      <c r="H1283" s="571"/>
    </row>
    <row r="1284" customFormat="false" ht="15" hidden="false" customHeight="false" outlineLevel="0" collapsed="false">
      <c r="A1284" s="571"/>
      <c r="B1284" s="500"/>
      <c r="C1284" s="629" t="s">
        <v>4193</v>
      </c>
      <c r="D1284" s="571" t="s">
        <v>4133</v>
      </c>
      <c r="E1284" s="629" t="n">
        <v>0.001</v>
      </c>
      <c r="F1284" s="630" t="n">
        <v>280000</v>
      </c>
      <c r="G1284" s="636" t="n">
        <f aca="false">E1284*F1284</f>
        <v>280</v>
      </c>
      <c r="H1284" s="606"/>
    </row>
    <row r="1285" customFormat="false" ht="15" hidden="false" customHeight="false" outlineLevel="0" collapsed="false">
      <c r="A1285" s="571"/>
      <c r="B1285" s="500"/>
      <c r="C1285" s="638" t="s">
        <v>4120</v>
      </c>
      <c r="D1285" s="637" t="s">
        <v>4121</v>
      </c>
      <c r="E1285" s="633" t="n">
        <v>0.03</v>
      </c>
      <c r="F1285" s="639" t="n">
        <v>1500</v>
      </c>
      <c r="G1285" s="636" t="n">
        <f aca="false">E1285*F1285</f>
        <v>45</v>
      </c>
      <c r="H1285" s="571"/>
    </row>
    <row r="1286" customFormat="false" ht="15" hidden="false" customHeight="false" outlineLevel="0" collapsed="false">
      <c r="A1286" s="571"/>
      <c r="B1286" s="500"/>
      <c r="C1286" s="638" t="s">
        <v>4122</v>
      </c>
      <c r="D1286" s="637" t="s">
        <v>4123</v>
      </c>
      <c r="E1286" s="633" t="n">
        <v>0.029</v>
      </c>
      <c r="F1286" s="626" t="n">
        <v>800</v>
      </c>
      <c r="G1286" s="636" t="n">
        <f aca="false">E1286*F1286</f>
        <v>23.2</v>
      </c>
      <c r="H1286" s="571"/>
    </row>
    <row r="1287" customFormat="false" ht="15" hidden="false" customHeight="false" outlineLevel="0" collapsed="false">
      <c r="A1287" s="571"/>
      <c r="B1287" s="500"/>
      <c r="C1287" s="633" t="s">
        <v>4124</v>
      </c>
      <c r="D1287" s="637" t="s">
        <v>4125</v>
      </c>
      <c r="E1287" s="633" t="n">
        <v>0.1</v>
      </c>
      <c r="F1287" s="626" t="n">
        <v>120</v>
      </c>
      <c r="G1287" s="636" t="n">
        <f aca="false">E1287*F1287</f>
        <v>12</v>
      </c>
      <c r="H1287" s="571"/>
    </row>
    <row r="1288" customFormat="false" ht="15" hidden="false" customHeight="false" outlineLevel="0" collapsed="false">
      <c r="A1288" s="571"/>
      <c r="B1288" s="500"/>
      <c r="C1288" s="633" t="s">
        <v>4126</v>
      </c>
      <c r="D1288" s="637" t="s">
        <v>4127</v>
      </c>
      <c r="E1288" s="633" t="n">
        <v>0.02</v>
      </c>
      <c r="F1288" s="626" t="n">
        <v>2700</v>
      </c>
      <c r="G1288" s="636" t="n">
        <f aca="false">E1288*F1288</f>
        <v>54</v>
      </c>
      <c r="H1288" s="571"/>
    </row>
    <row r="1289" customFormat="false" ht="15" hidden="false" customHeight="false" outlineLevel="0" collapsed="false">
      <c r="A1289" s="571"/>
      <c r="B1289" s="608" t="s">
        <v>4128</v>
      </c>
      <c r="C1289" s="640"/>
      <c r="D1289" s="327"/>
      <c r="E1289" s="640"/>
      <c r="F1289" s="643"/>
      <c r="G1289" s="640" t="n">
        <f aca="false">SUM(G1281:G1288)</f>
        <v>978.2</v>
      </c>
      <c r="H1289" s="571"/>
    </row>
    <row r="1290" customFormat="false" ht="15" hidden="false" customHeight="false" outlineLevel="0" collapsed="false">
      <c r="A1290" s="571" t="s">
        <v>4416</v>
      </c>
      <c r="B1290" s="632" t="s">
        <v>2969</v>
      </c>
      <c r="C1290" s="638" t="s">
        <v>4147</v>
      </c>
      <c r="D1290" s="637" t="s">
        <v>4133</v>
      </c>
      <c r="E1290" s="633" t="s">
        <v>4230</v>
      </c>
      <c r="F1290" s="626" t="n">
        <v>14039</v>
      </c>
      <c r="G1290" s="636" t="n">
        <f aca="false">E1290*F1290</f>
        <v>1403.9</v>
      </c>
      <c r="H1290" s="571"/>
    </row>
    <row r="1291" customFormat="false" ht="15" hidden="false" customHeight="false" outlineLevel="0" collapsed="false">
      <c r="A1291" s="571"/>
      <c r="B1291" s="500"/>
      <c r="C1291" s="638" t="s">
        <v>4297</v>
      </c>
      <c r="D1291" s="637" t="s">
        <v>4133</v>
      </c>
      <c r="E1291" s="633" t="s">
        <v>4213</v>
      </c>
      <c r="F1291" s="644" t="n">
        <v>60000</v>
      </c>
      <c r="G1291" s="636" t="n">
        <f aca="false">E1291*F1291</f>
        <v>300</v>
      </c>
      <c r="H1291" s="571"/>
    </row>
    <row r="1292" customFormat="false" ht="15" hidden="false" customHeight="false" outlineLevel="0" collapsed="false">
      <c r="A1292" s="571"/>
      <c r="B1292" s="500"/>
      <c r="C1292" s="638" t="s">
        <v>4150</v>
      </c>
      <c r="D1292" s="637" t="s">
        <v>4133</v>
      </c>
      <c r="E1292" s="633" t="s">
        <v>4213</v>
      </c>
      <c r="F1292" s="626" t="n">
        <v>103040</v>
      </c>
      <c r="G1292" s="636" t="n">
        <f aca="false">E1292*F1292</f>
        <v>515.2</v>
      </c>
      <c r="H1292" s="571"/>
    </row>
    <row r="1293" customFormat="false" ht="15" hidden="false" customHeight="false" outlineLevel="0" collapsed="false">
      <c r="A1293" s="571"/>
      <c r="B1293" s="500"/>
      <c r="C1293" s="638" t="s">
        <v>4120</v>
      </c>
      <c r="D1293" s="637" t="s">
        <v>4121</v>
      </c>
      <c r="E1293" s="633" t="n">
        <v>0.03</v>
      </c>
      <c r="F1293" s="639" t="n">
        <v>1500</v>
      </c>
      <c r="G1293" s="636" t="n">
        <f aca="false">E1293*F1293</f>
        <v>45</v>
      </c>
      <c r="H1293" s="571"/>
    </row>
    <row r="1294" customFormat="false" ht="15" hidden="false" customHeight="false" outlineLevel="0" collapsed="false">
      <c r="A1294" s="571"/>
      <c r="B1294" s="500"/>
      <c r="C1294" s="638" t="s">
        <v>4122</v>
      </c>
      <c r="D1294" s="637" t="s">
        <v>4123</v>
      </c>
      <c r="E1294" s="633" t="n">
        <v>0.03</v>
      </c>
      <c r="F1294" s="626" t="n">
        <v>800</v>
      </c>
      <c r="G1294" s="636" t="n">
        <f aca="false">E1294*F1294</f>
        <v>24</v>
      </c>
      <c r="H1294" s="571"/>
    </row>
    <row r="1295" customFormat="false" ht="15" hidden="false" customHeight="false" outlineLevel="0" collapsed="false">
      <c r="A1295" s="571"/>
      <c r="B1295" s="500"/>
      <c r="C1295" s="633" t="s">
        <v>4124</v>
      </c>
      <c r="D1295" s="637" t="s">
        <v>4125</v>
      </c>
      <c r="E1295" s="633" t="n">
        <v>0.1</v>
      </c>
      <c r="F1295" s="626" t="n">
        <v>120</v>
      </c>
      <c r="G1295" s="636" t="n">
        <f aca="false">E1295*F1295</f>
        <v>12</v>
      </c>
      <c r="H1295" s="571"/>
    </row>
    <row r="1296" customFormat="false" ht="15" hidden="false" customHeight="false" outlineLevel="0" collapsed="false">
      <c r="A1296" s="571"/>
      <c r="B1296" s="500"/>
      <c r="C1296" s="633" t="s">
        <v>4126</v>
      </c>
      <c r="D1296" s="637" t="s">
        <v>4127</v>
      </c>
      <c r="E1296" s="633" t="n">
        <v>0.02</v>
      </c>
      <c r="F1296" s="626" t="n">
        <v>2700</v>
      </c>
      <c r="G1296" s="636" t="n">
        <f aca="false">E1296*F1296</f>
        <v>54</v>
      </c>
      <c r="H1296" s="571"/>
    </row>
    <row r="1297" customFormat="false" ht="15" hidden="false" customHeight="false" outlineLevel="0" collapsed="false">
      <c r="A1297" s="571"/>
      <c r="B1297" s="608" t="s">
        <v>4128</v>
      </c>
      <c r="C1297" s="640"/>
      <c r="D1297" s="327"/>
      <c r="E1297" s="640"/>
      <c r="F1297" s="643"/>
      <c r="G1297" s="640" t="n">
        <f aca="false">SUM(G1290:G1296)</f>
        <v>2354.1</v>
      </c>
      <c r="H1297" s="571"/>
    </row>
    <row r="1298" customFormat="false" ht="15" hidden="false" customHeight="false" outlineLevel="0" collapsed="false">
      <c r="A1298" s="571" t="s">
        <v>4417</v>
      </c>
      <c r="B1298" s="632" t="s">
        <v>2970</v>
      </c>
      <c r="C1298" s="638" t="s">
        <v>4154</v>
      </c>
      <c r="D1298" s="637" t="s">
        <v>4133</v>
      </c>
      <c r="E1298" s="633" t="n">
        <v>0.01</v>
      </c>
      <c r="F1298" s="626" t="n">
        <v>10976</v>
      </c>
      <c r="G1298" s="636" t="n">
        <f aca="false">E1298*F1298</f>
        <v>109.76</v>
      </c>
      <c r="H1298" s="571"/>
    </row>
    <row r="1299" customFormat="false" ht="15" hidden="false" customHeight="false" outlineLevel="0" collapsed="false">
      <c r="A1299" s="571"/>
      <c r="B1299" s="500"/>
      <c r="C1299" s="638" t="s">
        <v>4225</v>
      </c>
      <c r="D1299" s="637" t="s">
        <v>4133</v>
      </c>
      <c r="E1299" s="633" t="n">
        <v>0.01</v>
      </c>
      <c r="F1299" s="626" t="n">
        <v>15100</v>
      </c>
      <c r="G1299" s="636" t="n">
        <f aca="false">E1299*F1299</f>
        <v>151</v>
      </c>
      <c r="H1299" s="571"/>
    </row>
    <row r="1300" customFormat="false" ht="15" hidden="false" customHeight="false" outlineLevel="0" collapsed="false">
      <c r="A1300" s="571"/>
      <c r="B1300" s="500"/>
      <c r="C1300" s="638" t="s">
        <v>4157</v>
      </c>
      <c r="D1300" s="637" t="s">
        <v>4133</v>
      </c>
      <c r="E1300" s="633" t="n">
        <v>0.029</v>
      </c>
      <c r="F1300" s="626" t="n">
        <v>8000</v>
      </c>
      <c r="G1300" s="636" t="n">
        <f aca="false">E1300*F1300</f>
        <v>232</v>
      </c>
      <c r="H1300" s="606"/>
    </row>
    <row r="1301" customFormat="false" ht="15" hidden="false" customHeight="false" outlineLevel="0" collapsed="false">
      <c r="A1301" s="571"/>
      <c r="B1301" s="500"/>
      <c r="C1301" s="638" t="s">
        <v>4418</v>
      </c>
      <c r="D1301" s="637" t="s">
        <v>4133</v>
      </c>
      <c r="E1301" s="633" t="s">
        <v>4198</v>
      </c>
      <c r="F1301" s="641" t="n">
        <v>285000</v>
      </c>
      <c r="G1301" s="636" t="n">
        <f aca="false">E1301*F1301</f>
        <v>142.5</v>
      </c>
      <c r="H1301" s="571"/>
    </row>
    <row r="1302" customFormat="false" ht="30" hidden="false" customHeight="false" outlineLevel="0" collapsed="false">
      <c r="A1302" s="571"/>
      <c r="B1302" s="500"/>
      <c r="C1302" s="638" t="s">
        <v>4152</v>
      </c>
      <c r="D1302" s="637" t="s">
        <v>4138</v>
      </c>
      <c r="E1302" s="633" t="s">
        <v>4186</v>
      </c>
      <c r="F1302" s="626" t="n">
        <v>12000</v>
      </c>
      <c r="G1302" s="636" t="n">
        <f aca="false">E1302*F1302</f>
        <v>120</v>
      </c>
      <c r="H1302" s="606"/>
    </row>
    <row r="1303" customFormat="false" ht="15" hidden="false" customHeight="false" outlineLevel="0" collapsed="false">
      <c r="A1303" s="571"/>
      <c r="B1303" s="500"/>
      <c r="C1303" s="638" t="s">
        <v>4156</v>
      </c>
      <c r="D1303" s="637" t="s">
        <v>4133</v>
      </c>
      <c r="E1303" s="633" t="n">
        <v>0.02</v>
      </c>
      <c r="F1303" s="626" t="n">
        <v>10976</v>
      </c>
      <c r="G1303" s="636" t="n">
        <f aca="false">E1303*F1303</f>
        <v>219.52</v>
      </c>
      <c r="H1303" s="571"/>
    </row>
    <row r="1304" customFormat="false" ht="15" hidden="false" customHeight="false" outlineLevel="0" collapsed="false">
      <c r="A1304" s="571"/>
      <c r="B1304" s="500"/>
      <c r="C1304" s="638" t="s">
        <v>4153</v>
      </c>
      <c r="D1304" s="637" t="s">
        <v>4133</v>
      </c>
      <c r="E1304" s="633" t="s">
        <v>4230</v>
      </c>
      <c r="F1304" s="626" t="n">
        <v>5678</v>
      </c>
      <c r="G1304" s="636" t="n">
        <f aca="false">E1304*F1304</f>
        <v>567.8</v>
      </c>
      <c r="H1304" s="571"/>
    </row>
    <row r="1305" customFormat="false" ht="15" hidden="false" customHeight="false" outlineLevel="0" collapsed="false">
      <c r="A1305" s="571"/>
      <c r="B1305" s="500"/>
      <c r="C1305" s="638" t="s">
        <v>4120</v>
      </c>
      <c r="D1305" s="637" t="s">
        <v>4121</v>
      </c>
      <c r="E1305" s="633" t="n">
        <v>0.03</v>
      </c>
      <c r="F1305" s="639" t="n">
        <v>1500</v>
      </c>
      <c r="G1305" s="636" t="n">
        <f aca="false">E1305*F1305</f>
        <v>45</v>
      </c>
      <c r="H1305" s="571"/>
    </row>
    <row r="1306" customFormat="false" ht="15" hidden="false" customHeight="false" outlineLevel="0" collapsed="false">
      <c r="A1306" s="571"/>
      <c r="B1306" s="500"/>
      <c r="C1306" s="638" t="s">
        <v>4122</v>
      </c>
      <c r="D1306" s="637" t="s">
        <v>4123</v>
      </c>
      <c r="E1306" s="633" t="n">
        <v>0.029</v>
      </c>
      <c r="F1306" s="626" t="n">
        <v>800</v>
      </c>
      <c r="G1306" s="636" t="n">
        <f aca="false">E1306*F1306</f>
        <v>23.2</v>
      </c>
      <c r="H1306" s="571"/>
    </row>
    <row r="1307" customFormat="false" ht="30" hidden="false" customHeight="false" outlineLevel="0" collapsed="false">
      <c r="A1307" s="571"/>
      <c r="B1307" s="500"/>
      <c r="C1307" s="633" t="s">
        <v>4419</v>
      </c>
      <c r="D1307" s="682" t="s">
        <v>4149</v>
      </c>
      <c r="E1307" s="683" t="n">
        <v>0.005</v>
      </c>
      <c r="F1307" s="684" t="n">
        <v>25000</v>
      </c>
      <c r="G1307" s="636" t="n">
        <f aca="false">E1307*F1307</f>
        <v>125</v>
      </c>
      <c r="H1307" s="571"/>
    </row>
    <row r="1308" customFormat="false" ht="15" hidden="false" customHeight="false" outlineLevel="0" collapsed="false">
      <c r="A1308" s="571"/>
      <c r="B1308" s="500"/>
      <c r="C1308" s="633" t="s">
        <v>4126</v>
      </c>
      <c r="D1308" s="637" t="s">
        <v>4127</v>
      </c>
      <c r="E1308" s="633" t="n">
        <v>0.02</v>
      </c>
      <c r="F1308" s="626" t="n">
        <v>2700</v>
      </c>
      <c r="G1308" s="636" t="n">
        <f aca="false">E1308*F1308</f>
        <v>54</v>
      </c>
      <c r="H1308" s="571"/>
    </row>
    <row r="1309" customFormat="false" ht="15" hidden="false" customHeight="false" outlineLevel="0" collapsed="false">
      <c r="A1309" s="571"/>
      <c r="B1309" s="608" t="s">
        <v>4128</v>
      </c>
      <c r="C1309" s="640"/>
      <c r="D1309" s="327"/>
      <c r="E1309" s="640"/>
      <c r="F1309" s="643"/>
      <c r="G1309" s="640" t="n">
        <f aca="false">SUM(G1298:G1308)</f>
        <v>1789.78</v>
      </c>
      <c r="H1309" s="571"/>
    </row>
    <row r="1310" customFormat="false" ht="15" hidden="false" customHeight="false" outlineLevel="0" collapsed="false">
      <c r="A1310" s="571" t="s">
        <v>4420</v>
      </c>
      <c r="B1310" s="632" t="s">
        <v>2971</v>
      </c>
      <c r="C1310" s="646"/>
      <c r="D1310" s="637"/>
      <c r="E1310" s="635"/>
      <c r="F1310" s="626"/>
      <c r="G1310" s="636" t="n">
        <f aca="false">E1310*F1310</f>
        <v>0</v>
      </c>
      <c r="H1310" s="571"/>
    </row>
    <row r="1311" customFormat="false" ht="15" hidden="false" customHeight="false" outlineLevel="0" collapsed="false">
      <c r="A1311" s="571"/>
      <c r="B1311" s="500"/>
      <c r="C1311" s="629" t="s">
        <v>4159</v>
      </c>
      <c r="D1311" s="637" t="s">
        <v>4133</v>
      </c>
      <c r="E1311" s="635" t="s">
        <v>4421</v>
      </c>
      <c r="F1311" s="626" t="n">
        <v>1240000</v>
      </c>
      <c r="G1311" s="636" t="n">
        <f aca="false">E1311*F1311</f>
        <v>4216</v>
      </c>
      <c r="H1311" s="606"/>
    </row>
    <row r="1312" customFormat="false" ht="15" hidden="false" customHeight="false" outlineLevel="0" collapsed="false">
      <c r="A1312" s="571"/>
      <c r="B1312" s="500"/>
      <c r="C1312" s="633" t="s">
        <v>4161</v>
      </c>
      <c r="D1312" s="637" t="s">
        <v>4133</v>
      </c>
      <c r="E1312" s="635" t="s">
        <v>4186</v>
      </c>
      <c r="F1312" s="626" t="n">
        <v>31360</v>
      </c>
      <c r="G1312" s="636" t="n">
        <f aca="false">E1312*F1312</f>
        <v>313.6</v>
      </c>
      <c r="H1312" s="571"/>
    </row>
    <row r="1313" customFormat="false" ht="15" hidden="false" customHeight="false" outlineLevel="0" collapsed="false">
      <c r="A1313" s="571"/>
      <c r="B1313" s="500"/>
      <c r="C1313" s="642" t="s">
        <v>4422</v>
      </c>
      <c r="D1313" s="637" t="s">
        <v>4121</v>
      </c>
      <c r="E1313" s="633" t="n">
        <v>0.03</v>
      </c>
      <c r="F1313" s="639" t="n">
        <v>1500</v>
      </c>
      <c r="G1313" s="636" t="n">
        <f aca="false">E1313*F1313</f>
        <v>45</v>
      </c>
      <c r="H1313" s="571"/>
    </row>
    <row r="1314" customFormat="false" ht="15" hidden="false" customHeight="false" outlineLevel="0" collapsed="false">
      <c r="A1314" s="571"/>
      <c r="B1314" s="500"/>
      <c r="C1314" s="633" t="s">
        <v>4124</v>
      </c>
      <c r="D1314" s="637" t="s">
        <v>4125</v>
      </c>
      <c r="E1314" s="633" t="n">
        <v>0.1</v>
      </c>
      <c r="F1314" s="626" t="n">
        <v>120</v>
      </c>
      <c r="G1314" s="636" t="n">
        <f aca="false">E1314*F1314</f>
        <v>12</v>
      </c>
      <c r="H1314" s="571"/>
    </row>
    <row r="1315" customFormat="false" ht="15" hidden="false" customHeight="false" outlineLevel="0" collapsed="false">
      <c r="A1315" s="571"/>
      <c r="B1315" s="500"/>
      <c r="C1315" s="633" t="s">
        <v>4126</v>
      </c>
      <c r="D1315" s="637" t="s">
        <v>4127</v>
      </c>
      <c r="E1315" s="633" t="n">
        <v>0.02</v>
      </c>
      <c r="F1315" s="626" t="n">
        <v>2700</v>
      </c>
      <c r="G1315" s="636" t="n">
        <f aca="false">E1315*F1315</f>
        <v>54</v>
      </c>
      <c r="H1315" s="571"/>
    </row>
    <row r="1316" customFormat="false" ht="15" hidden="false" customHeight="false" outlineLevel="0" collapsed="false">
      <c r="A1316" s="571"/>
      <c r="B1316" s="500"/>
      <c r="C1316" s="640"/>
      <c r="D1316" s="327"/>
      <c r="E1316" s="640"/>
      <c r="F1316" s="643"/>
      <c r="G1316" s="636" t="n">
        <f aca="false">E1316*F1316</f>
        <v>0</v>
      </c>
      <c r="H1316" s="571"/>
    </row>
    <row r="1317" customFormat="false" ht="15" hidden="false" customHeight="false" outlineLevel="0" collapsed="false">
      <c r="A1317" s="571"/>
      <c r="B1317" s="608" t="s">
        <v>4128</v>
      </c>
      <c r="G1317" s="640" t="n">
        <f aca="false">SUM(G1310:G1316)</f>
        <v>4640.6</v>
      </c>
      <c r="H1317" s="571"/>
    </row>
    <row r="1318" customFormat="false" ht="15" hidden="false" customHeight="false" outlineLevel="0" collapsed="false">
      <c r="A1318" s="571" t="s">
        <v>4423</v>
      </c>
      <c r="B1318" s="632" t="s">
        <v>2955</v>
      </c>
      <c r="C1318" s="629" t="s">
        <v>4178</v>
      </c>
      <c r="D1318" s="571" t="s">
        <v>4133</v>
      </c>
      <c r="E1318" s="685" t="n">
        <v>0.01</v>
      </c>
      <c r="F1318" s="686" t="n">
        <v>31360</v>
      </c>
      <c r="G1318" s="687" t="n">
        <f aca="false">E1318*F1318</f>
        <v>313.6</v>
      </c>
      <c r="H1318" s="571"/>
    </row>
    <row r="1319" customFormat="false" ht="15" hidden="false" customHeight="false" outlineLevel="0" collapsed="false">
      <c r="A1319" s="571"/>
      <c r="B1319" s="500"/>
      <c r="C1319" s="633" t="s">
        <v>4424</v>
      </c>
      <c r="D1319" s="637" t="s">
        <v>4133</v>
      </c>
      <c r="E1319" s="688" t="n">
        <v>0.001</v>
      </c>
      <c r="F1319" s="689" t="n">
        <v>280000</v>
      </c>
      <c r="G1319" s="687" t="n">
        <f aca="false">E1319*F1319</f>
        <v>280</v>
      </c>
      <c r="H1319" s="571"/>
    </row>
    <row r="1320" customFormat="false" ht="15" hidden="false" customHeight="false" outlineLevel="0" collapsed="false">
      <c r="A1320" s="571"/>
      <c r="B1320" s="500"/>
      <c r="C1320" s="633" t="s">
        <v>4147</v>
      </c>
      <c r="D1320" s="634" t="s">
        <v>4133</v>
      </c>
      <c r="E1320" s="688" t="n">
        <v>0.05</v>
      </c>
      <c r="F1320" s="689" t="n">
        <v>14039</v>
      </c>
      <c r="G1320" s="687" t="n">
        <f aca="false">E1320*F1320</f>
        <v>701.95</v>
      </c>
      <c r="H1320" s="571"/>
    </row>
    <row r="1321" customFormat="false" ht="15" hidden="false" customHeight="false" outlineLevel="0" collapsed="false">
      <c r="A1321" s="571"/>
      <c r="B1321" s="500"/>
      <c r="C1321" s="633" t="s">
        <v>4154</v>
      </c>
      <c r="D1321" s="637" t="s">
        <v>4133</v>
      </c>
      <c r="E1321" s="671" t="n">
        <v>0.025</v>
      </c>
      <c r="F1321" s="689" t="n">
        <v>10976</v>
      </c>
      <c r="G1321" s="687" t="n">
        <f aca="false">E1321*F1321</f>
        <v>274.4</v>
      </c>
      <c r="H1321" s="571"/>
    </row>
    <row r="1322" customFormat="false" ht="15" hidden="false" customHeight="false" outlineLevel="0" collapsed="false">
      <c r="A1322" s="571"/>
      <c r="B1322" s="500"/>
      <c r="C1322" s="633" t="s">
        <v>4126</v>
      </c>
      <c r="D1322" s="637" t="s">
        <v>4127</v>
      </c>
      <c r="E1322" s="671" t="n">
        <v>0.021</v>
      </c>
      <c r="F1322" s="689" t="n">
        <v>2700</v>
      </c>
      <c r="G1322" s="687" t="n">
        <f aca="false">E1322*F1322</f>
        <v>56.7</v>
      </c>
      <c r="H1322" s="571"/>
    </row>
    <row r="1323" customFormat="false" ht="15" hidden="false" customHeight="false" outlineLevel="0" collapsed="false">
      <c r="A1323" s="571"/>
      <c r="B1323" s="608" t="s">
        <v>4128</v>
      </c>
      <c r="C1323" s="640"/>
      <c r="D1323" s="327"/>
      <c r="E1323" s="640"/>
      <c r="F1323" s="643"/>
      <c r="G1323" s="640" t="n">
        <f aca="false">SUM(G1318:G1322)</f>
        <v>1626.65</v>
      </c>
      <c r="H1323" s="571"/>
    </row>
    <row r="1324" customFormat="false" ht="15" hidden="false" customHeight="false" outlineLevel="0" collapsed="false">
      <c r="A1324" s="571" t="s">
        <v>4425</v>
      </c>
      <c r="B1324" s="632" t="s">
        <v>2972</v>
      </c>
      <c r="C1324" s="500" t="s">
        <v>4422</v>
      </c>
      <c r="D1324" s="571" t="s">
        <v>4133</v>
      </c>
      <c r="E1324" s="629" t="n">
        <v>0.00016</v>
      </c>
      <c r="F1324" s="630" t="n">
        <v>10500</v>
      </c>
      <c r="G1324" s="636" t="n">
        <f aca="false">E1324*F1324</f>
        <v>1.68</v>
      </c>
      <c r="H1324" s="571"/>
    </row>
    <row r="1325" customFormat="false" ht="15" hidden="false" customHeight="false" outlineLevel="0" collapsed="false">
      <c r="A1325" s="571"/>
      <c r="B1325" s="500"/>
      <c r="C1325" s="500" t="s">
        <v>4426</v>
      </c>
      <c r="D1325" s="571" t="s">
        <v>4133</v>
      </c>
      <c r="E1325" s="629" t="n">
        <v>0.0022</v>
      </c>
      <c r="F1325" s="630" t="n">
        <v>12500</v>
      </c>
      <c r="G1325" s="636" t="n">
        <f aca="false">E1325*F1325</f>
        <v>27.5</v>
      </c>
      <c r="H1325" s="571"/>
    </row>
    <row r="1326" customFormat="false" ht="15" hidden="false" customHeight="false" outlineLevel="0" collapsed="false">
      <c r="A1326" s="571"/>
      <c r="B1326" s="500"/>
      <c r="C1326" s="500" t="s">
        <v>4153</v>
      </c>
      <c r="D1326" s="571" t="s">
        <v>4133</v>
      </c>
      <c r="E1326" s="629" t="n">
        <v>0.001</v>
      </c>
      <c r="F1326" s="626" t="n">
        <v>5678</v>
      </c>
      <c r="G1326" s="636" t="n">
        <f aca="false">E1326*F1326</f>
        <v>5.678</v>
      </c>
      <c r="H1326" s="571"/>
    </row>
    <row r="1327" customFormat="false" ht="15" hidden="false" customHeight="false" outlineLevel="0" collapsed="false">
      <c r="A1327" s="571"/>
      <c r="B1327" s="500"/>
      <c r="C1327" s="500" t="s">
        <v>4427</v>
      </c>
      <c r="D1327" s="571" t="s">
        <v>4133</v>
      </c>
      <c r="E1327" s="629" t="n">
        <v>0.001</v>
      </c>
      <c r="F1327" s="630" t="n">
        <v>78100</v>
      </c>
      <c r="G1327" s="636" t="n">
        <f aca="false">E1327*F1327</f>
        <v>78.1</v>
      </c>
      <c r="H1327" s="571"/>
    </row>
    <row r="1328" customFormat="false" ht="30" hidden="false" customHeight="false" outlineLevel="0" collapsed="false">
      <c r="A1328" s="571"/>
      <c r="B1328" s="500"/>
      <c r="C1328" s="500" t="s">
        <v>4306</v>
      </c>
      <c r="D1328" s="571" t="s">
        <v>4133</v>
      </c>
      <c r="E1328" s="629" t="s">
        <v>4180</v>
      </c>
      <c r="F1328" s="626" t="n">
        <v>456020</v>
      </c>
      <c r="G1328" s="636" t="n">
        <f aca="false">E1328*F1328</f>
        <v>456.02</v>
      </c>
      <c r="H1328" s="571"/>
    </row>
    <row r="1329" customFormat="false" ht="15" hidden="false" customHeight="false" outlineLevel="0" collapsed="false">
      <c r="A1329" s="571"/>
      <c r="B1329" s="500"/>
      <c r="C1329" s="500" t="s">
        <v>4428</v>
      </c>
      <c r="D1329" s="571" t="s">
        <v>4133</v>
      </c>
      <c r="E1329" s="629" t="n">
        <v>0.004</v>
      </c>
      <c r="F1329" s="630" t="s">
        <v>4429</v>
      </c>
      <c r="G1329" s="636" t="n">
        <f aca="false">E1329*F1329</f>
        <v>42</v>
      </c>
      <c r="H1329" s="571"/>
    </row>
    <row r="1330" customFormat="false" ht="30" hidden="false" customHeight="false" outlineLevel="0" collapsed="false">
      <c r="A1330" s="571"/>
      <c r="B1330" s="608"/>
      <c r="C1330" s="500" t="s">
        <v>4430</v>
      </c>
      <c r="D1330" s="571" t="s">
        <v>4133</v>
      </c>
      <c r="E1330" s="629" t="n">
        <v>0.003</v>
      </c>
      <c r="F1330" s="630" t="n">
        <v>21000</v>
      </c>
      <c r="G1330" s="636" t="n">
        <f aca="false">E1330*F1330</f>
        <v>63</v>
      </c>
      <c r="H1330" s="571"/>
    </row>
    <row r="1331" customFormat="false" ht="30" hidden="false" customHeight="false" outlineLevel="0" collapsed="false">
      <c r="A1331" s="571"/>
      <c r="B1331" s="500"/>
      <c r="C1331" s="500" t="s">
        <v>4431</v>
      </c>
      <c r="D1331" s="571" t="s">
        <v>4133</v>
      </c>
      <c r="E1331" s="629" t="n">
        <v>0.002</v>
      </c>
      <c r="F1331" s="630" t="n">
        <v>24000</v>
      </c>
      <c r="G1331" s="636" t="n">
        <f aca="false">E1331*F1331</f>
        <v>48</v>
      </c>
      <c r="H1331" s="571"/>
    </row>
    <row r="1332" customFormat="false" ht="15" hidden="false" customHeight="false" outlineLevel="0" collapsed="false">
      <c r="A1332" s="571"/>
      <c r="B1332" s="500"/>
      <c r="C1332" s="500" t="s">
        <v>4277</v>
      </c>
      <c r="D1332" s="571" t="s">
        <v>4133</v>
      </c>
      <c r="E1332" s="629" t="s">
        <v>4213</v>
      </c>
      <c r="F1332" s="626" t="n">
        <v>18000</v>
      </c>
      <c r="G1332" s="636" t="n">
        <f aca="false">E1332*F1332</f>
        <v>90</v>
      </c>
      <c r="H1332" s="571"/>
    </row>
    <row r="1333" customFormat="false" ht="15" hidden="false" customHeight="false" outlineLevel="0" collapsed="false">
      <c r="A1333" s="571"/>
      <c r="B1333" s="500"/>
      <c r="C1333" s="500" t="s">
        <v>4432</v>
      </c>
      <c r="D1333" s="571" t="s">
        <v>4133</v>
      </c>
      <c r="E1333" s="629" t="n">
        <v>0.01</v>
      </c>
      <c r="F1333" s="630" t="n">
        <v>5500</v>
      </c>
      <c r="G1333" s="636" t="n">
        <f aca="false">E1333*F1333</f>
        <v>55</v>
      </c>
      <c r="H1333" s="571"/>
    </row>
    <row r="1334" customFormat="false" ht="15" hidden="false" customHeight="false" outlineLevel="0" collapsed="false">
      <c r="A1334" s="571"/>
      <c r="B1334" s="500"/>
      <c r="C1334" s="500" t="s">
        <v>4189</v>
      </c>
      <c r="D1334" s="571" t="s">
        <v>4133</v>
      </c>
      <c r="E1334" s="629" t="n">
        <v>0.01</v>
      </c>
      <c r="F1334" s="630" t="n">
        <v>3600</v>
      </c>
      <c r="G1334" s="636" t="n">
        <f aca="false">E1334*F1334</f>
        <v>36</v>
      </c>
      <c r="H1334" s="571"/>
    </row>
    <row r="1335" customFormat="false" ht="15" hidden="false" customHeight="false" outlineLevel="0" collapsed="false">
      <c r="A1335" s="571"/>
      <c r="B1335" s="500"/>
      <c r="C1335" s="500" t="s">
        <v>4234</v>
      </c>
      <c r="D1335" s="571" t="s">
        <v>4133</v>
      </c>
      <c r="E1335" s="629" t="s">
        <v>4213</v>
      </c>
      <c r="F1335" s="630" t="n">
        <v>25000</v>
      </c>
      <c r="G1335" s="636" t="n">
        <f aca="false">E1335*F1335</f>
        <v>125</v>
      </c>
      <c r="H1335" s="571"/>
    </row>
    <row r="1336" customFormat="false" ht="15" hidden="false" customHeight="false" outlineLevel="0" collapsed="false">
      <c r="A1336" s="571"/>
      <c r="B1336" s="500"/>
      <c r="C1336" s="500" t="s">
        <v>4147</v>
      </c>
      <c r="D1336" s="571" t="s">
        <v>4133</v>
      </c>
      <c r="E1336" s="629" t="n">
        <v>0.01</v>
      </c>
      <c r="F1336" s="626" t="n">
        <v>14039</v>
      </c>
      <c r="G1336" s="636" t="n">
        <f aca="false">E1336*F1336</f>
        <v>140.39</v>
      </c>
      <c r="H1336" s="571"/>
    </row>
    <row r="1337" customFormat="false" ht="15" hidden="false" customHeight="false" outlineLevel="0" collapsed="false">
      <c r="A1337" s="571"/>
      <c r="B1337" s="500"/>
      <c r="C1337" s="500" t="s">
        <v>4154</v>
      </c>
      <c r="D1337" s="571" t="s">
        <v>4133</v>
      </c>
      <c r="E1337" s="629" t="n">
        <v>0.025</v>
      </c>
      <c r="F1337" s="626" t="n">
        <v>10976</v>
      </c>
      <c r="G1337" s="636" t="n">
        <f aca="false">E1337*F1337</f>
        <v>274.4</v>
      </c>
      <c r="H1337" s="571"/>
    </row>
    <row r="1338" customFormat="false" ht="30" hidden="false" customHeight="false" outlineLevel="0" collapsed="false">
      <c r="A1338" s="571"/>
      <c r="B1338" s="608"/>
      <c r="C1338" s="500" t="s">
        <v>4433</v>
      </c>
      <c r="D1338" s="571" t="s">
        <v>4133</v>
      </c>
      <c r="E1338" s="629" t="s">
        <v>4271</v>
      </c>
      <c r="F1338" s="630" t="n">
        <v>5500</v>
      </c>
      <c r="G1338" s="636" t="n">
        <f aca="false">E1338*F1338</f>
        <v>165</v>
      </c>
      <c r="H1338" s="571"/>
    </row>
    <row r="1339" customFormat="false" ht="15" hidden="false" customHeight="false" outlineLevel="0" collapsed="false">
      <c r="A1339" s="571"/>
      <c r="B1339" s="500"/>
      <c r="C1339" s="500" t="s">
        <v>4333</v>
      </c>
      <c r="D1339" s="571" t="s">
        <v>4133</v>
      </c>
      <c r="E1339" s="629" t="n">
        <v>0.02</v>
      </c>
      <c r="F1339" s="630" t="n">
        <v>7500</v>
      </c>
      <c r="G1339" s="636" t="n">
        <f aca="false">E1339*F1339</f>
        <v>150</v>
      </c>
      <c r="H1339" s="571"/>
    </row>
    <row r="1340" customFormat="false" ht="15" hidden="false" customHeight="false" outlineLevel="0" collapsed="false">
      <c r="A1340" s="571"/>
      <c r="B1340" s="500"/>
      <c r="C1340" s="500" t="s">
        <v>4193</v>
      </c>
      <c r="D1340" s="571" t="s">
        <v>4133</v>
      </c>
      <c r="E1340" s="629" t="s">
        <v>4198</v>
      </c>
      <c r="F1340" s="630" t="n">
        <v>280000</v>
      </c>
      <c r="G1340" s="636" t="n">
        <f aca="false">E1340*F1340</f>
        <v>140</v>
      </c>
      <c r="H1340" s="571"/>
    </row>
    <row r="1341" customFormat="false" ht="15" hidden="false" customHeight="false" outlineLevel="0" collapsed="false">
      <c r="A1341" s="571"/>
      <c r="B1341" s="500"/>
      <c r="C1341" s="500" t="s">
        <v>4297</v>
      </c>
      <c r="D1341" s="571" t="s">
        <v>4133</v>
      </c>
      <c r="E1341" s="629" t="s">
        <v>4434</v>
      </c>
      <c r="F1341" s="644" t="n">
        <v>60000</v>
      </c>
      <c r="G1341" s="636" t="n">
        <f aca="false">E1341*F1341</f>
        <v>132</v>
      </c>
      <c r="H1341" s="571"/>
    </row>
    <row r="1342" customFormat="false" ht="15" hidden="false" customHeight="false" outlineLevel="0" collapsed="false">
      <c r="A1342" s="571"/>
      <c r="B1342" s="500"/>
      <c r="C1342" s="638" t="s">
        <v>4120</v>
      </c>
      <c r="D1342" s="637" t="s">
        <v>4121</v>
      </c>
      <c r="E1342" s="633" t="n">
        <v>0.03</v>
      </c>
      <c r="F1342" s="639" t="n">
        <v>1500</v>
      </c>
      <c r="G1342" s="636" t="n">
        <f aca="false">E1342*F1342</f>
        <v>45</v>
      </c>
      <c r="H1342" s="571"/>
    </row>
    <row r="1343" customFormat="false" ht="15" hidden="false" customHeight="false" outlineLevel="0" collapsed="false">
      <c r="A1343" s="571"/>
      <c r="B1343" s="500"/>
      <c r="C1343" s="638" t="s">
        <v>4122</v>
      </c>
      <c r="D1343" s="637" t="s">
        <v>4123</v>
      </c>
      <c r="E1343" s="633" t="n">
        <v>0.029</v>
      </c>
      <c r="F1343" s="626" t="n">
        <v>800</v>
      </c>
      <c r="G1343" s="636" t="n">
        <f aca="false">E1343*F1343</f>
        <v>23.2</v>
      </c>
      <c r="H1343" s="571"/>
    </row>
    <row r="1344" customFormat="false" ht="15" hidden="false" customHeight="false" outlineLevel="0" collapsed="false">
      <c r="A1344" s="571"/>
      <c r="B1344" s="500"/>
      <c r="C1344" s="633" t="s">
        <v>4124</v>
      </c>
      <c r="D1344" s="637" t="s">
        <v>4125</v>
      </c>
      <c r="E1344" s="633" t="n">
        <v>0.1</v>
      </c>
      <c r="F1344" s="626" t="n">
        <v>120</v>
      </c>
      <c r="G1344" s="636" t="n">
        <f aca="false">E1344*F1344</f>
        <v>12</v>
      </c>
      <c r="H1344" s="571"/>
    </row>
    <row r="1345" customFormat="false" ht="15" hidden="false" customHeight="false" outlineLevel="0" collapsed="false">
      <c r="A1345" s="571"/>
      <c r="B1345" s="500"/>
      <c r="C1345" s="633" t="s">
        <v>4126</v>
      </c>
      <c r="D1345" s="637" t="s">
        <v>4127</v>
      </c>
      <c r="E1345" s="633" t="n">
        <v>0.02</v>
      </c>
      <c r="F1345" s="626" t="n">
        <v>2700</v>
      </c>
      <c r="G1345" s="636" t="n">
        <f aca="false">E1345*F1345</f>
        <v>54</v>
      </c>
      <c r="H1345" s="571"/>
    </row>
    <row r="1346" customFormat="false" ht="15" hidden="false" customHeight="false" outlineLevel="0" collapsed="false">
      <c r="A1346" s="571"/>
      <c r="B1346" s="608" t="s">
        <v>4128</v>
      </c>
      <c r="C1346" s="640"/>
      <c r="D1346" s="327"/>
      <c r="E1346" s="640"/>
      <c r="F1346" s="643"/>
      <c r="G1346" s="640" t="n">
        <f aca="false">SUM(G1324:G1345)</f>
        <v>2163.968</v>
      </c>
      <c r="H1346" s="571"/>
    </row>
    <row r="1347" customFormat="false" ht="15" hidden="false" customHeight="false" outlineLevel="0" collapsed="false">
      <c r="A1347" s="571" t="s">
        <v>4435</v>
      </c>
      <c r="B1347" s="632" t="s">
        <v>2959</v>
      </c>
      <c r="C1347" s="638" t="s">
        <v>4335</v>
      </c>
      <c r="D1347" s="637" t="s">
        <v>4133</v>
      </c>
      <c r="E1347" s="635" t="s">
        <v>4200</v>
      </c>
      <c r="F1347" s="648" t="n">
        <v>6048</v>
      </c>
      <c r="G1347" s="636" t="n">
        <f aca="false">E1347*F1347</f>
        <v>302.4</v>
      </c>
      <c r="H1347" s="571"/>
    </row>
    <row r="1348" customFormat="false" ht="15" hidden="false" customHeight="false" outlineLevel="0" collapsed="false">
      <c r="A1348" s="571"/>
      <c r="B1348" s="500"/>
      <c r="C1348" s="633" t="s">
        <v>4336</v>
      </c>
      <c r="D1348" s="571" t="s">
        <v>4372</v>
      </c>
      <c r="E1348" s="629" t="s">
        <v>4200</v>
      </c>
      <c r="F1348" s="626" t="n">
        <v>7500</v>
      </c>
      <c r="G1348" s="636" t="n">
        <f aca="false">E1348*F1348</f>
        <v>375</v>
      </c>
      <c r="H1348" s="571"/>
    </row>
    <row r="1349" customFormat="false" ht="15" hidden="false" customHeight="false" outlineLevel="0" collapsed="false">
      <c r="A1349" s="571"/>
      <c r="B1349" s="500"/>
      <c r="C1349" s="638" t="s">
        <v>4377</v>
      </c>
      <c r="D1349" s="637" t="s">
        <v>4123</v>
      </c>
      <c r="E1349" s="633" t="n">
        <v>0.01</v>
      </c>
      <c r="F1349" s="626" t="n">
        <v>17000</v>
      </c>
      <c r="G1349" s="635" t="n">
        <f aca="false">E1349*F1349</f>
        <v>170</v>
      </c>
      <c r="H1349" s="571"/>
    </row>
    <row r="1350" customFormat="false" ht="15" hidden="false" customHeight="false" outlineLevel="0" collapsed="false">
      <c r="A1350" s="571"/>
      <c r="B1350" s="500"/>
      <c r="C1350" s="633" t="s">
        <v>4378</v>
      </c>
      <c r="D1350" s="637" t="s">
        <v>4125</v>
      </c>
      <c r="E1350" s="633" t="s">
        <v>4186</v>
      </c>
      <c r="F1350" s="626" t="n">
        <v>55000</v>
      </c>
      <c r="G1350" s="635" t="n">
        <f aca="false">E1350*F1350</f>
        <v>550</v>
      </c>
      <c r="H1350" s="571"/>
    </row>
    <row r="1351" customFormat="false" ht="15" hidden="false" customHeight="false" outlineLevel="0" collapsed="false">
      <c r="A1351" s="571"/>
      <c r="B1351" s="500"/>
      <c r="C1351" s="650" t="s">
        <v>4147</v>
      </c>
      <c r="D1351" s="656" t="s">
        <v>4133</v>
      </c>
      <c r="E1351" s="629" t="s">
        <v>4267</v>
      </c>
      <c r="F1351" s="626" t="n">
        <v>14039</v>
      </c>
      <c r="G1351" s="635" t="n">
        <f aca="false">E1351*F1351</f>
        <v>280.78</v>
      </c>
      <c r="H1351" s="571"/>
    </row>
    <row r="1352" customFormat="false" ht="15" hidden="false" customHeight="false" outlineLevel="0" collapsed="false">
      <c r="A1352" s="571"/>
      <c r="B1352" s="608"/>
      <c r="C1352" s="633" t="s">
        <v>4205</v>
      </c>
      <c r="D1352" s="637" t="s">
        <v>4125</v>
      </c>
      <c r="E1352" s="633" t="s">
        <v>4267</v>
      </c>
      <c r="F1352" s="626" t="n">
        <v>10976</v>
      </c>
      <c r="G1352" s="636" t="n">
        <f aca="false">E1352*F1352</f>
        <v>219.52</v>
      </c>
      <c r="H1352" s="571"/>
    </row>
    <row r="1353" customFormat="false" ht="15" hidden="false" customHeight="false" outlineLevel="0" collapsed="false">
      <c r="A1353" s="571"/>
      <c r="B1353" s="500"/>
      <c r="C1353" s="633" t="s">
        <v>4270</v>
      </c>
      <c r="D1353" s="637" t="s">
        <v>4149</v>
      </c>
      <c r="E1353" s="633" t="n">
        <v>0.05</v>
      </c>
      <c r="F1353" s="626" t="n">
        <v>7560</v>
      </c>
      <c r="G1353" s="636" t="n">
        <f aca="false">E1353*F1353</f>
        <v>378</v>
      </c>
      <c r="H1353" s="571"/>
    </row>
    <row r="1354" customFormat="false" ht="15" hidden="false" customHeight="false" outlineLevel="0" collapsed="false">
      <c r="A1354" s="571"/>
      <c r="B1354" s="608" t="s">
        <v>4128</v>
      </c>
      <c r="C1354" s="640"/>
      <c r="D1354" s="327"/>
      <c r="E1354" s="640"/>
      <c r="F1354" s="643"/>
      <c r="G1354" s="640" t="n">
        <f aca="false">SUM(G1347:G1353)</f>
        <v>2275.7</v>
      </c>
      <c r="H1354" s="571"/>
    </row>
    <row r="1355" customFormat="false" ht="30" hidden="false" customHeight="false" outlineLevel="0" collapsed="false">
      <c r="A1355" s="571" t="s">
        <v>251</v>
      </c>
      <c r="B1355" s="632" t="s">
        <v>2973</v>
      </c>
      <c r="C1355" s="500" t="s">
        <v>4436</v>
      </c>
      <c r="D1355" s="637" t="s">
        <v>4133</v>
      </c>
      <c r="E1355" s="633" t="s">
        <v>4267</v>
      </c>
      <c r="F1355" s="626" t="n">
        <v>13500</v>
      </c>
      <c r="G1355" s="636" t="n">
        <f aca="false">E1355*F1355</f>
        <v>270</v>
      </c>
      <c r="H1355" s="606"/>
    </row>
    <row r="1356" customFormat="false" ht="15" hidden="false" customHeight="false" outlineLevel="0" collapsed="false">
      <c r="A1356" s="571"/>
      <c r="B1356" s="500"/>
      <c r="C1356" s="500" t="s">
        <v>4277</v>
      </c>
      <c r="D1356" s="637" t="s">
        <v>4133</v>
      </c>
      <c r="E1356" s="633" t="s">
        <v>4267</v>
      </c>
      <c r="F1356" s="626" t="n">
        <v>18000</v>
      </c>
      <c r="G1356" s="636" t="n">
        <f aca="false">E1356*F1356</f>
        <v>360</v>
      </c>
      <c r="H1356" s="606"/>
    </row>
    <row r="1357" customFormat="false" ht="15" hidden="false" customHeight="false" outlineLevel="0" collapsed="false">
      <c r="A1357" s="571"/>
      <c r="B1357" s="608"/>
      <c r="C1357" s="500" t="s">
        <v>4437</v>
      </c>
      <c r="D1357" s="571" t="s">
        <v>4372</v>
      </c>
      <c r="E1357" s="633" t="s">
        <v>4438</v>
      </c>
      <c r="F1357" s="626" t="n">
        <v>6900</v>
      </c>
      <c r="G1357" s="636" t="n">
        <f aca="false">E1357*F1357</f>
        <v>32.43</v>
      </c>
      <c r="H1357" s="606"/>
    </row>
    <row r="1358" customFormat="false" ht="15" hidden="false" customHeight="false" outlineLevel="0" collapsed="false">
      <c r="A1358" s="571"/>
      <c r="B1358" s="500"/>
      <c r="C1358" s="500" t="s">
        <v>4171</v>
      </c>
      <c r="D1358" s="571" t="s">
        <v>4149</v>
      </c>
      <c r="E1358" s="633" t="s">
        <v>4439</v>
      </c>
      <c r="F1358" s="626" t="s">
        <v>4400</v>
      </c>
      <c r="G1358" s="636" t="n">
        <f aca="false">E1358*F1358</f>
        <v>1944</v>
      </c>
      <c r="H1358" s="606"/>
    </row>
    <row r="1359" customFormat="false" ht="15" hidden="false" customHeight="false" outlineLevel="0" collapsed="false">
      <c r="A1359" s="571"/>
      <c r="B1359" s="500"/>
      <c r="C1359" s="500" t="s">
        <v>4153</v>
      </c>
      <c r="D1359" s="571" t="s">
        <v>4133</v>
      </c>
      <c r="E1359" s="629" t="n">
        <v>0.001</v>
      </c>
      <c r="F1359" s="626" t="n">
        <v>5678</v>
      </c>
      <c r="G1359" s="636" t="n">
        <f aca="false">E1359*F1359</f>
        <v>5.678</v>
      </c>
      <c r="H1359" s="606"/>
    </row>
    <row r="1360" customFormat="false" ht="15" hidden="false" customHeight="false" outlineLevel="0" collapsed="false">
      <c r="A1360" s="571"/>
      <c r="B1360" s="500"/>
      <c r="C1360" s="500" t="s">
        <v>4440</v>
      </c>
      <c r="D1360" s="571" t="s">
        <v>4149</v>
      </c>
      <c r="E1360" s="633" t="s">
        <v>4441</v>
      </c>
      <c r="F1360" s="626" t="s">
        <v>4442</v>
      </c>
      <c r="G1360" s="636" t="n">
        <f aca="false">E1360*F1360</f>
        <v>18</v>
      </c>
      <c r="H1360" s="606"/>
    </row>
    <row r="1361" customFormat="false" ht="30" hidden="false" customHeight="false" outlineLevel="0" collapsed="false">
      <c r="A1361" s="571"/>
      <c r="B1361" s="500"/>
      <c r="C1361" s="500" t="s">
        <v>4443</v>
      </c>
      <c r="D1361" s="571" t="s">
        <v>4149</v>
      </c>
      <c r="E1361" s="633" t="s">
        <v>4198</v>
      </c>
      <c r="F1361" s="626" t="n">
        <v>7000</v>
      </c>
      <c r="G1361" s="636" t="n">
        <f aca="false">E1361*F1361</f>
        <v>3.5</v>
      </c>
      <c r="H1361" s="606"/>
    </row>
    <row r="1362" customFormat="false" ht="15" hidden="false" customHeight="false" outlineLevel="0" collapsed="false">
      <c r="A1362" s="571"/>
      <c r="B1362" s="500"/>
      <c r="C1362" s="500" t="s">
        <v>4444</v>
      </c>
      <c r="D1362" s="571" t="s">
        <v>4149</v>
      </c>
      <c r="E1362" s="633" t="s">
        <v>4230</v>
      </c>
      <c r="F1362" s="626" t="n">
        <v>7800</v>
      </c>
      <c r="G1362" s="636" t="n">
        <f aca="false">E1362*F1362</f>
        <v>780</v>
      </c>
      <c r="H1362" s="606"/>
    </row>
    <row r="1363" customFormat="false" ht="15" hidden="false" customHeight="false" outlineLevel="0" collapsed="false">
      <c r="A1363" s="571"/>
      <c r="B1363" s="500"/>
      <c r="C1363" s="500" t="s">
        <v>4311</v>
      </c>
      <c r="D1363" s="571" t="s">
        <v>4149</v>
      </c>
      <c r="E1363" s="633" t="s">
        <v>4445</v>
      </c>
      <c r="F1363" s="626" t="s">
        <v>4446</v>
      </c>
      <c r="G1363" s="636" t="n">
        <f aca="false">E1363*F1363</f>
        <v>3600</v>
      </c>
      <c r="H1363" s="606"/>
    </row>
    <row r="1364" customFormat="false" ht="15" hidden="false" customHeight="false" outlineLevel="0" collapsed="false">
      <c r="A1364" s="571"/>
      <c r="B1364" s="608"/>
      <c r="C1364" s="500" t="s">
        <v>4120</v>
      </c>
      <c r="D1364" s="637" t="s">
        <v>4121</v>
      </c>
      <c r="E1364" s="633" t="n">
        <v>0.03</v>
      </c>
      <c r="F1364" s="639" t="n">
        <v>1500</v>
      </c>
      <c r="G1364" s="636" t="n">
        <f aca="false">E1364*F1364</f>
        <v>45</v>
      </c>
      <c r="H1364" s="571"/>
    </row>
    <row r="1365" customFormat="false" ht="15" hidden="false" customHeight="false" outlineLevel="0" collapsed="false">
      <c r="A1365" s="571"/>
      <c r="B1365" s="500"/>
      <c r="C1365" s="500" t="s">
        <v>4122</v>
      </c>
      <c r="D1365" s="637" t="s">
        <v>4123</v>
      </c>
      <c r="E1365" s="633" t="s">
        <v>4337</v>
      </c>
      <c r="F1365" s="626" t="n">
        <v>800</v>
      </c>
      <c r="G1365" s="636" t="n">
        <f aca="false">E1365*F1365</f>
        <v>400</v>
      </c>
      <c r="H1365" s="571"/>
    </row>
    <row r="1366" customFormat="false" ht="15" hidden="false" customHeight="false" outlineLevel="0" collapsed="false">
      <c r="A1366" s="571"/>
      <c r="B1366" s="500"/>
      <c r="C1366" s="650" t="s">
        <v>4147</v>
      </c>
      <c r="D1366" s="656" t="s">
        <v>4133</v>
      </c>
      <c r="E1366" s="633" t="s">
        <v>4374</v>
      </c>
      <c r="F1366" s="626" t="n">
        <v>14039</v>
      </c>
      <c r="G1366" s="635" t="n">
        <f aca="false">E1366*F1366</f>
        <v>1.4039</v>
      </c>
      <c r="H1366" s="571"/>
    </row>
    <row r="1367" customFormat="false" ht="15" hidden="false" customHeight="false" outlineLevel="0" collapsed="false">
      <c r="A1367" s="571"/>
      <c r="B1367" s="500"/>
      <c r="C1367" s="629" t="s">
        <v>4270</v>
      </c>
      <c r="D1367" s="637" t="s">
        <v>4149</v>
      </c>
      <c r="E1367" s="633" t="n">
        <v>0.05</v>
      </c>
      <c r="F1367" s="626" t="n">
        <v>7560</v>
      </c>
      <c r="G1367" s="636" t="n">
        <f aca="false">E1367*F1367</f>
        <v>378</v>
      </c>
      <c r="H1367" s="571"/>
    </row>
    <row r="1368" customFormat="false" ht="15" hidden="false" customHeight="false" outlineLevel="0" collapsed="false">
      <c r="A1368" s="571"/>
      <c r="B1368" s="608" t="s">
        <v>4128</v>
      </c>
      <c r="C1368" s="640"/>
      <c r="D1368" s="327"/>
      <c r="E1368" s="640"/>
      <c r="F1368" s="643"/>
      <c r="G1368" s="640" t="n">
        <f aca="false">SUM(G1355:G1367)</f>
        <v>7838.0119</v>
      </c>
      <c r="H1368" s="571"/>
    </row>
    <row r="1369" customFormat="false" ht="15" hidden="false" customHeight="false" outlineLevel="0" collapsed="false">
      <c r="A1369" s="571" t="s">
        <v>253</v>
      </c>
      <c r="B1369" s="632" t="s">
        <v>4447</v>
      </c>
      <c r="C1369" s="500" t="s">
        <v>4277</v>
      </c>
      <c r="D1369" s="637" t="s">
        <v>4133</v>
      </c>
      <c r="E1369" s="671" t="s">
        <v>4267</v>
      </c>
      <c r="F1369" s="689" t="n">
        <v>18000</v>
      </c>
      <c r="G1369" s="687" t="n">
        <f aca="false">E1369*F1369</f>
        <v>360</v>
      </c>
      <c r="H1369" s="606"/>
    </row>
    <row r="1370" customFormat="false" ht="15" hidden="false" customHeight="false" outlineLevel="0" collapsed="false">
      <c r="A1370" s="571"/>
      <c r="B1370" s="500"/>
      <c r="C1370" s="500" t="s">
        <v>4437</v>
      </c>
      <c r="D1370" s="571" t="s">
        <v>4372</v>
      </c>
      <c r="E1370" s="671" t="s">
        <v>4438</v>
      </c>
      <c r="F1370" s="689" t="n">
        <v>6900</v>
      </c>
      <c r="G1370" s="687" t="n">
        <f aca="false">E1370*F1370</f>
        <v>32.43</v>
      </c>
      <c r="H1370" s="606"/>
    </row>
    <row r="1371" customFormat="false" ht="15" hidden="false" customHeight="false" outlineLevel="0" collapsed="false">
      <c r="A1371" s="571"/>
      <c r="B1371" s="500"/>
      <c r="C1371" s="500" t="s">
        <v>4171</v>
      </c>
      <c r="D1371" s="571" t="s">
        <v>4149</v>
      </c>
      <c r="E1371" s="671" t="s">
        <v>4439</v>
      </c>
      <c r="F1371" s="689" t="s">
        <v>4400</v>
      </c>
      <c r="G1371" s="687" t="n">
        <f aca="false">E1371*F1371</f>
        <v>1944</v>
      </c>
      <c r="H1371" s="606"/>
    </row>
    <row r="1372" customFormat="false" ht="15" hidden="false" customHeight="false" outlineLevel="0" collapsed="false">
      <c r="A1372" s="571"/>
      <c r="B1372" s="500"/>
      <c r="C1372" s="500" t="s">
        <v>4153</v>
      </c>
      <c r="D1372" s="571" t="s">
        <v>4133</v>
      </c>
      <c r="E1372" s="685" t="n">
        <v>0.001</v>
      </c>
      <c r="F1372" s="689" t="n">
        <v>5678</v>
      </c>
      <c r="G1372" s="687" t="n">
        <f aca="false">E1372*F1372</f>
        <v>5.678</v>
      </c>
      <c r="H1372" s="606"/>
    </row>
    <row r="1373" customFormat="false" ht="15" hidden="false" customHeight="false" outlineLevel="0" collapsed="false">
      <c r="A1373" s="571"/>
      <c r="B1373" s="608"/>
      <c r="C1373" s="500" t="s">
        <v>4440</v>
      </c>
      <c r="D1373" s="571" t="s">
        <v>4149</v>
      </c>
      <c r="E1373" s="671" t="s">
        <v>4441</v>
      </c>
      <c r="F1373" s="689" t="s">
        <v>4442</v>
      </c>
      <c r="G1373" s="687" t="n">
        <f aca="false">E1373*F1373</f>
        <v>18</v>
      </c>
      <c r="H1373" s="606"/>
    </row>
    <row r="1374" customFormat="false" ht="30" hidden="false" customHeight="false" outlineLevel="0" collapsed="false">
      <c r="A1374" s="571"/>
      <c r="B1374" s="500"/>
      <c r="C1374" s="500" t="s">
        <v>4443</v>
      </c>
      <c r="D1374" s="571" t="s">
        <v>4149</v>
      </c>
      <c r="E1374" s="671" t="s">
        <v>4198</v>
      </c>
      <c r="F1374" s="689" t="n">
        <v>7000</v>
      </c>
      <c r="G1374" s="687" t="n">
        <f aca="false">E1374*F1374</f>
        <v>3.5</v>
      </c>
      <c r="H1374" s="606"/>
    </row>
    <row r="1375" customFormat="false" ht="15" hidden="false" customHeight="false" outlineLevel="0" collapsed="false">
      <c r="A1375" s="571"/>
      <c r="B1375" s="500"/>
      <c r="C1375" s="500" t="s">
        <v>4444</v>
      </c>
      <c r="D1375" s="571" t="s">
        <v>4149</v>
      </c>
      <c r="E1375" s="671" t="s">
        <v>4230</v>
      </c>
      <c r="F1375" s="689" t="n">
        <v>7800</v>
      </c>
      <c r="G1375" s="687" t="n">
        <f aca="false">E1375*F1375</f>
        <v>780</v>
      </c>
      <c r="H1375" s="571"/>
    </row>
    <row r="1376" customFormat="false" ht="15" hidden="false" customHeight="false" outlineLevel="0" collapsed="false">
      <c r="A1376" s="571"/>
      <c r="B1376" s="608"/>
      <c r="C1376" s="500" t="s">
        <v>4311</v>
      </c>
      <c r="D1376" s="571" t="s">
        <v>4149</v>
      </c>
      <c r="E1376" s="671" t="s">
        <v>4445</v>
      </c>
      <c r="F1376" s="689" t="s">
        <v>4446</v>
      </c>
      <c r="G1376" s="687" t="n">
        <f aca="false">E1376*F1376</f>
        <v>3600</v>
      </c>
      <c r="H1376" s="571"/>
    </row>
    <row r="1377" customFormat="false" ht="15" hidden="false" customHeight="false" outlineLevel="0" collapsed="false">
      <c r="A1377" s="571"/>
      <c r="B1377" s="500"/>
      <c r="C1377" s="500" t="s">
        <v>4120</v>
      </c>
      <c r="D1377" s="637" t="s">
        <v>4121</v>
      </c>
      <c r="E1377" s="671" t="n">
        <v>0.03</v>
      </c>
      <c r="F1377" s="690" t="n">
        <v>1500</v>
      </c>
      <c r="G1377" s="687" t="n">
        <f aca="false">E1377*F1377</f>
        <v>45</v>
      </c>
      <c r="H1377" s="571"/>
    </row>
    <row r="1378" customFormat="false" ht="15" hidden="false" customHeight="false" outlineLevel="0" collapsed="false">
      <c r="A1378" s="571"/>
      <c r="B1378" s="500"/>
      <c r="C1378" s="500" t="s">
        <v>4122</v>
      </c>
      <c r="D1378" s="637" t="s">
        <v>4123</v>
      </c>
      <c r="E1378" s="671" t="s">
        <v>4337</v>
      </c>
      <c r="F1378" s="689" t="n">
        <v>800</v>
      </c>
      <c r="G1378" s="687" t="n">
        <f aca="false">E1378*F1378</f>
        <v>400</v>
      </c>
      <c r="H1378" s="571"/>
    </row>
    <row r="1379" customFormat="false" ht="15" hidden="false" customHeight="false" outlineLevel="0" collapsed="false">
      <c r="A1379" s="571"/>
      <c r="B1379" s="500"/>
      <c r="C1379" s="650" t="s">
        <v>4147</v>
      </c>
      <c r="D1379" s="656" t="s">
        <v>4133</v>
      </c>
      <c r="E1379" s="671" t="s">
        <v>4374</v>
      </c>
      <c r="F1379" s="689" t="n">
        <v>14039</v>
      </c>
      <c r="G1379" s="687" t="n">
        <f aca="false">E1379*F1379</f>
        <v>1.4039</v>
      </c>
      <c r="H1379" s="571"/>
    </row>
    <row r="1380" customFormat="false" ht="15" hidden="false" customHeight="false" outlineLevel="0" collapsed="false">
      <c r="A1380" s="571"/>
      <c r="B1380" s="608" t="s">
        <v>4128</v>
      </c>
      <c r="C1380" s="640"/>
      <c r="D1380" s="327"/>
      <c r="E1380" s="691"/>
      <c r="F1380" s="692"/>
      <c r="G1380" s="691" t="n">
        <f aca="false">SUM(G1369:G1379)</f>
        <v>7190.0119</v>
      </c>
      <c r="H1380" s="571"/>
    </row>
    <row r="1381" customFormat="false" ht="15" hidden="false" customHeight="false" outlineLevel="0" collapsed="false">
      <c r="A1381" s="571" t="s">
        <v>255</v>
      </c>
      <c r="B1381" s="632" t="s">
        <v>4447</v>
      </c>
      <c r="C1381" s="500" t="s">
        <v>4277</v>
      </c>
      <c r="D1381" s="637" t="s">
        <v>4133</v>
      </c>
      <c r="E1381" s="633" t="s">
        <v>4267</v>
      </c>
      <c r="F1381" s="626" t="n">
        <v>18000</v>
      </c>
      <c r="G1381" s="636" t="n">
        <f aca="false">E1381*F1381</f>
        <v>360</v>
      </c>
      <c r="H1381" s="571"/>
    </row>
    <row r="1382" customFormat="false" ht="15" hidden="false" customHeight="false" outlineLevel="0" collapsed="false">
      <c r="A1382" s="571"/>
      <c r="B1382" s="500"/>
      <c r="C1382" s="500" t="s">
        <v>4437</v>
      </c>
      <c r="D1382" s="571" t="s">
        <v>4372</v>
      </c>
      <c r="E1382" s="633" t="s">
        <v>4438</v>
      </c>
      <c r="F1382" s="626" t="n">
        <v>6900</v>
      </c>
      <c r="G1382" s="636" t="n">
        <f aca="false">E1382*F1382</f>
        <v>32.43</v>
      </c>
      <c r="H1382" s="571"/>
    </row>
    <row r="1383" customFormat="false" ht="15" hidden="false" customHeight="false" outlineLevel="0" collapsed="false">
      <c r="A1383" s="571"/>
      <c r="B1383" s="500"/>
      <c r="C1383" s="500" t="s">
        <v>4171</v>
      </c>
      <c r="D1383" s="571" t="s">
        <v>4149</v>
      </c>
      <c r="E1383" s="633" t="s">
        <v>4439</v>
      </c>
      <c r="F1383" s="626" t="s">
        <v>4400</v>
      </c>
      <c r="G1383" s="636" t="n">
        <f aca="false">E1383*F1383</f>
        <v>1944</v>
      </c>
      <c r="H1383" s="606"/>
    </row>
    <row r="1384" customFormat="false" ht="15" hidden="false" customHeight="false" outlineLevel="0" collapsed="false">
      <c r="A1384" s="571"/>
      <c r="B1384" s="500"/>
      <c r="C1384" s="500" t="s">
        <v>4153</v>
      </c>
      <c r="D1384" s="571" t="s">
        <v>4133</v>
      </c>
      <c r="E1384" s="629" t="n">
        <v>0.001</v>
      </c>
      <c r="F1384" s="626" t="n">
        <v>5678</v>
      </c>
      <c r="G1384" s="636" t="n">
        <f aca="false">E1384*F1384</f>
        <v>5.678</v>
      </c>
      <c r="H1384" s="606"/>
    </row>
    <row r="1385" customFormat="false" ht="15" hidden="false" customHeight="false" outlineLevel="0" collapsed="false">
      <c r="A1385" s="571"/>
      <c r="B1385" s="500"/>
      <c r="C1385" s="500" t="s">
        <v>4440</v>
      </c>
      <c r="D1385" s="571" t="s">
        <v>4149</v>
      </c>
      <c r="E1385" s="633" t="s">
        <v>4441</v>
      </c>
      <c r="F1385" s="626" t="s">
        <v>4442</v>
      </c>
      <c r="G1385" s="636" t="n">
        <f aca="false">E1385*F1385</f>
        <v>18</v>
      </c>
      <c r="H1385" s="606"/>
    </row>
    <row r="1386" customFormat="false" ht="30" hidden="false" customHeight="false" outlineLevel="0" collapsed="false">
      <c r="A1386" s="571"/>
      <c r="B1386" s="500"/>
      <c r="C1386" s="500" t="s">
        <v>4443</v>
      </c>
      <c r="D1386" s="571" t="s">
        <v>4149</v>
      </c>
      <c r="E1386" s="633" t="s">
        <v>4198</v>
      </c>
      <c r="F1386" s="626" t="n">
        <v>7000</v>
      </c>
      <c r="G1386" s="636" t="n">
        <f aca="false">E1386*F1386</f>
        <v>3.5</v>
      </c>
      <c r="H1386" s="606"/>
    </row>
    <row r="1387" customFormat="false" ht="15" hidden="false" customHeight="false" outlineLevel="0" collapsed="false">
      <c r="A1387" s="571"/>
      <c r="B1387" s="500"/>
      <c r="C1387" s="500" t="s">
        <v>4444</v>
      </c>
      <c r="D1387" s="571" t="s">
        <v>4149</v>
      </c>
      <c r="E1387" s="633" t="s">
        <v>4230</v>
      </c>
      <c r="F1387" s="626" t="n">
        <v>7800</v>
      </c>
      <c r="G1387" s="636" t="n">
        <f aca="false">E1387*F1387</f>
        <v>780</v>
      </c>
      <c r="H1387" s="606"/>
    </row>
    <row r="1388" customFormat="false" ht="15" hidden="false" customHeight="false" outlineLevel="0" collapsed="false">
      <c r="A1388" s="571"/>
      <c r="B1388" s="500"/>
      <c r="C1388" s="500" t="s">
        <v>4311</v>
      </c>
      <c r="D1388" s="571" t="s">
        <v>4149</v>
      </c>
      <c r="E1388" s="633" t="s">
        <v>4445</v>
      </c>
      <c r="F1388" s="626" t="s">
        <v>4446</v>
      </c>
      <c r="G1388" s="636" t="n">
        <f aca="false">E1388*F1388</f>
        <v>3600</v>
      </c>
      <c r="H1388" s="571"/>
    </row>
    <row r="1389" customFormat="false" ht="15" hidden="false" customHeight="false" outlineLevel="0" collapsed="false">
      <c r="A1389" s="571"/>
      <c r="B1389" s="500"/>
      <c r="C1389" s="500" t="s">
        <v>4120</v>
      </c>
      <c r="D1389" s="637" t="s">
        <v>4121</v>
      </c>
      <c r="E1389" s="633" t="n">
        <v>0.03</v>
      </c>
      <c r="F1389" s="639" t="n">
        <v>1500</v>
      </c>
      <c r="G1389" s="636" t="n">
        <f aca="false">E1389*F1389</f>
        <v>45</v>
      </c>
      <c r="H1389" s="571"/>
    </row>
    <row r="1390" customFormat="false" ht="15" hidden="false" customHeight="false" outlineLevel="0" collapsed="false">
      <c r="A1390" s="571"/>
      <c r="B1390" s="608"/>
      <c r="C1390" s="500" t="s">
        <v>4122</v>
      </c>
      <c r="D1390" s="637" t="s">
        <v>4123</v>
      </c>
      <c r="E1390" s="633" t="s">
        <v>4337</v>
      </c>
      <c r="F1390" s="626" t="n">
        <v>800</v>
      </c>
      <c r="G1390" s="636" t="n">
        <f aca="false">E1390*F1390</f>
        <v>400</v>
      </c>
      <c r="H1390" s="571"/>
    </row>
    <row r="1391" customFormat="false" ht="15" hidden="false" customHeight="false" outlineLevel="0" collapsed="false">
      <c r="A1391" s="571"/>
      <c r="B1391" s="500"/>
      <c r="C1391" s="650" t="s">
        <v>4147</v>
      </c>
      <c r="D1391" s="656" t="s">
        <v>4133</v>
      </c>
      <c r="E1391" s="633" t="s">
        <v>4374</v>
      </c>
      <c r="F1391" s="626" t="n">
        <v>14039</v>
      </c>
      <c r="G1391" s="636" t="n">
        <f aca="false">E1391*F1391</f>
        <v>1.4039</v>
      </c>
      <c r="H1391" s="571"/>
    </row>
    <row r="1392" customFormat="false" ht="15" hidden="false" customHeight="false" outlineLevel="0" collapsed="false">
      <c r="A1392" s="571"/>
      <c r="B1392" s="608" t="s">
        <v>4128</v>
      </c>
      <c r="C1392" s="640"/>
      <c r="D1392" s="327"/>
      <c r="E1392" s="640"/>
      <c r="F1392" s="643"/>
      <c r="G1392" s="640" t="n">
        <f aca="false">SUM(G1381:G1391)</f>
        <v>7190.0119</v>
      </c>
      <c r="H1392" s="571"/>
    </row>
    <row r="1393" customFormat="false" ht="60" hidden="false" customHeight="false" outlineLevel="0" collapsed="false">
      <c r="A1393" s="571" t="s">
        <v>257</v>
      </c>
      <c r="B1393" s="500" t="s">
        <v>4448</v>
      </c>
      <c r="C1393" s="500" t="s">
        <v>4154</v>
      </c>
      <c r="D1393" s="571" t="s">
        <v>4133</v>
      </c>
      <c r="E1393" s="629" t="s">
        <v>4449</v>
      </c>
      <c r="F1393" s="626" t="n">
        <v>10976</v>
      </c>
      <c r="G1393" s="636" t="n">
        <f aca="false">E1393*F1393</f>
        <v>2304.96</v>
      </c>
      <c r="H1393" s="571"/>
    </row>
    <row r="1394" customFormat="false" ht="15" hidden="false" customHeight="false" outlineLevel="0" collapsed="false">
      <c r="A1394" s="571"/>
      <c r="B1394" s="500"/>
      <c r="C1394" s="500" t="s">
        <v>4189</v>
      </c>
      <c r="D1394" s="637" t="s">
        <v>4133</v>
      </c>
      <c r="E1394" s="633" t="s">
        <v>4450</v>
      </c>
      <c r="F1394" s="630" t="n">
        <v>3600</v>
      </c>
      <c r="G1394" s="636" t="n">
        <f aca="false">E1394*F1394</f>
        <v>252</v>
      </c>
      <c r="H1394" s="571"/>
    </row>
    <row r="1395" customFormat="false" ht="15" hidden="false" customHeight="false" outlineLevel="0" collapsed="false">
      <c r="A1395" s="571"/>
      <c r="B1395" s="500"/>
      <c r="C1395" s="629" t="s">
        <v>4270</v>
      </c>
      <c r="D1395" s="637" t="s">
        <v>4149</v>
      </c>
      <c r="E1395" s="633" t="n">
        <v>0.05</v>
      </c>
      <c r="F1395" s="626" t="n">
        <v>7560</v>
      </c>
      <c r="G1395" s="636" t="n">
        <f aca="false">E1395*F1395</f>
        <v>378</v>
      </c>
      <c r="H1395" s="571"/>
    </row>
    <row r="1396" customFormat="false" ht="15" hidden="false" customHeight="false" outlineLevel="0" collapsed="false">
      <c r="A1396" s="571"/>
      <c r="B1396" s="500"/>
      <c r="C1396" s="500" t="s">
        <v>4120</v>
      </c>
      <c r="D1396" s="637" t="s">
        <v>4121</v>
      </c>
      <c r="E1396" s="633" t="n">
        <v>0.02</v>
      </c>
      <c r="F1396" s="639" t="n">
        <v>1500</v>
      </c>
      <c r="G1396" s="636" t="n">
        <f aca="false">E1396*F1396</f>
        <v>30</v>
      </c>
      <c r="H1396" s="571"/>
    </row>
    <row r="1397" customFormat="false" ht="15" hidden="false" customHeight="false" outlineLevel="0" collapsed="false">
      <c r="A1397" s="571"/>
      <c r="B1397" s="500"/>
      <c r="C1397" s="500" t="s">
        <v>4122</v>
      </c>
      <c r="D1397" s="637" t="s">
        <v>4123</v>
      </c>
      <c r="E1397" s="633" t="n">
        <v>0.029</v>
      </c>
      <c r="F1397" s="626" t="n">
        <v>800</v>
      </c>
      <c r="G1397" s="636" t="n">
        <f aca="false">E1397*F1397</f>
        <v>23.2</v>
      </c>
      <c r="H1397" s="571"/>
    </row>
    <row r="1398" customFormat="false" ht="15" hidden="false" customHeight="false" outlineLevel="0" collapsed="false">
      <c r="A1398" s="571"/>
      <c r="B1398" s="500"/>
      <c r="C1398" s="629" t="s">
        <v>4124</v>
      </c>
      <c r="D1398" s="637" t="s">
        <v>4125</v>
      </c>
      <c r="E1398" s="633" t="n">
        <v>0.1</v>
      </c>
      <c r="F1398" s="626" t="n">
        <v>120</v>
      </c>
      <c r="G1398" s="636" t="n">
        <f aca="false">E1398*F1398</f>
        <v>12</v>
      </c>
      <c r="H1398" s="571"/>
    </row>
    <row r="1399" customFormat="false" ht="15" hidden="false" customHeight="false" outlineLevel="0" collapsed="false">
      <c r="A1399" s="571"/>
      <c r="B1399" s="608"/>
      <c r="C1399" s="629" t="s">
        <v>4451</v>
      </c>
      <c r="D1399" s="637" t="s">
        <v>4127</v>
      </c>
      <c r="E1399" s="633" t="s">
        <v>4452</v>
      </c>
      <c r="F1399" s="626" t="s">
        <v>4442</v>
      </c>
      <c r="G1399" s="636" t="n">
        <f aca="false">E1399*F1399</f>
        <v>166.5</v>
      </c>
      <c r="H1399" s="571"/>
    </row>
    <row r="1400" customFormat="false" ht="15" hidden="false" customHeight="false" outlineLevel="0" collapsed="false">
      <c r="A1400" s="571"/>
      <c r="B1400" s="608" t="s">
        <v>4128</v>
      </c>
      <c r="C1400" s="640"/>
      <c r="D1400" s="327"/>
      <c r="E1400" s="640"/>
      <c r="F1400" s="643"/>
      <c r="G1400" s="640" t="n">
        <f aca="false">SUM(G1393:G1399)</f>
        <v>3166.66</v>
      </c>
      <c r="H1400" s="571"/>
    </row>
    <row r="1401" customFormat="false" ht="15" hidden="false" customHeight="false" outlineLevel="0" collapsed="false">
      <c r="A1401" s="571" t="s">
        <v>259</v>
      </c>
      <c r="B1401" s="500" t="s">
        <v>2977</v>
      </c>
      <c r="C1401" s="629" t="s">
        <v>4277</v>
      </c>
      <c r="D1401" s="637" t="s">
        <v>4149</v>
      </c>
      <c r="E1401" s="633" t="s">
        <v>4453</v>
      </c>
      <c r="F1401" s="626" t="n">
        <v>18000</v>
      </c>
      <c r="G1401" s="636" t="n">
        <f aca="false">E1401*F1401</f>
        <v>1350</v>
      </c>
      <c r="H1401" s="606"/>
    </row>
    <row r="1402" customFormat="false" ht="15" hidden="false" customHeight="false" outlineLevel="0" collapsed="false">
      <c r="A1402" s="571"/>
      <c r="B1402" s="500"/>
      <c r="C1402" s="500" t="s">
        <v>4154</v>
      </c>
      <c r="D1402" s="571" t="s">
        <v>4133</v>
      </c>
      <c r="E1402" s="629" t="n">
        <v>0.025</v>
      </c>
      <c r="F1402" s="626" t="n">
        <v>10976</v>
      </c>
      <c r="G1402" s="636" t="n">
        <f aca="false">E1402*F1402</f>
        <v>274.4</v>
      </c>
      <c r="H1402" s="571"/>
    </row>
    <row r="1403" customFormat="false" ht="30" hidden="false" customHeight="false" outlineLevel="0" collapsed="false">
      <c r="A1403" s="571"/>
      <c r="B1403" s="500"/>
      <c r="C1403" s="500" t="s">
        <v>4140</v>
      </c>
      <c r="D1403" s="571" t="s">
        <v>4138</v>
      </c>
      <c r="E1403" s="633" t="s">
        <v>4186</v>
      </c>
      <c r="F1403" s="630" t="n">
        <v>26785</v>
      </c>
      <c r="G1403" s="636" t="n">
        <f aca="false">E1403*F1403</f>
        <v>267.85</v>
      </c>
      <c r="H1403" s="571"/>
    </row>
    <row r="1404" customFormat="false" ht="15" hidden="false" customHeight="false" outlineLevel="0" collapsed="false">
      <c r="A1404" s="571"/>
      <c r="B1404" s="500"/>
      <c r="C1404" s="500" t="s">
        <v>4120</v>
      </c>
      <c r="D1404" s="637" t="s">
        <v>4121</v>
      </c>
      <c r="E1404" s="633" t="n">
        <v>0.03</v>
      </c>
      <c r="F1404" s="639" t="n">
        <v>1500</v>
      </c>
      <c r="G1404" s="636" t="n">
        <f aca="false">E1404*F1404</f>
        <v>45</v>
      </c>
      <c r="H1404" s="606"/>
    </row>
    <row r="1405" customFormat="false" ht="15" hidden="false" customHeight="false" outlineLevel="0" collapsed="false">
      <c r="A1405" s="571"/>
      <c r="B1405" s="608"/>
      <c r="C1405" s="500" t="s">
        <v>4122</v>
      </c>
      <c r="D1405" s="637" t="s">
        <v>4123</v>
      </c>
      <c r="E1405" s="633" t="n">
        <v>0.1</v>
      </c>
      <c r="F1405" s="626" t="n">
        <v>800</v>
      </c>
      <c r="G1405" s="636" t="n">
        <f aca="false">E1405*F1405</f>
        <v>80</v>
      </c>
      <c r="H1405" s="571"/>
    </row>
    <row r="1406" customFormat="false" ht="15" hidden="false" customHeight="false" outlineLevel="0" collapsed="false">
      <c r="A1406" s="571"/>
      <c r="B1406" s="500"/>
      <c r="C1406" s="629" t="s">
        <v>4124</v>
      </c>
      <c r="D1406" s="637" t="s">
        <v>4125</v>
      </c>
      <c r="E1406" s="633" t="n">
        <v>0.1</v>
      </c>
      <c r="F1406" s="626" t="n">
        <v>120</v>
      </c>
      <c r="G1406" s="636" t="n">
        <f aca="false">E1406*F1406</f>
        <v>12</v>
      </c>
      <c r="H1406" s="571"/>
    </row>
    <row r="1407" customFormat="false" ht="15" hidden="false" customHeight="false" outlineLevel="0" collapsed="false">
      <c r="A1407" s="571"/>
      <c r="B1407" s="500"/>
      <c r="C1407" s="629" t="s">
        <v>4126</v>
      </c>
      <c r="D1407" s="637" t="s">
        <v>4127</v>
      </c>
      <c r="E1407" s="633" t="n">
        <v>0.02</v>
      </c>
      <c r="F1407" s="626" t="n">
        <v>2700</v>
      </c>
      <c r="G1407" s="636" t="n">
        <f aca="false">E1407*F1407</f>
        <v>54</v>
      </c>
      <c r="H1407" s="571"/>
    </row>
    <row r="1408" customFormat="false" ht="15" hidden="false" customHeight="false" outlineLevel="0" collapsed="false">
      <c r="A1408" s="571"/>
      <c r="B1408" s="608" t="s">
        <v>4128</v>
      </c>
      <c r="C1408" s="640"/>
      <c r="D1408" s="327"/>
      <c r="E1408" s="640"/>
      <c r="F1408" s="643"/>
      <c r="G1408" s="640" t="n">
        <f aca="false">SUM(G1401:G1407)</f>
        <v>2083.25</v>
      </c>
      <c r="H1408" s="571"/>
    </row>
    <row r="1409" customFormat="false" ht="30" hidden="false" customHeight="false" outlineLevel="0" collapsed="false">
      <c r="A1409" s="571" t="s">
        <v>261</v>
      </c>
      <c r="B1409" s="647" t="s">
        <v>4454</v>
      </c>
      <c r="C1409" s="629" t="s">
        <v>4347</v>
      </c>
      <c r="D1409" s="571" t="s">
        <v>4348</v>
      </c>
      <c r="E1409" s="629" t="n">
        <v>1</v>
      </c>
      <c r="F1409" s="630" t="n">
        <v>300</v>
      </c>
      <c r="G1409" s="640" t="n">
        <v>300</v>
      </c>
      <c r="H1409" s="571"/>
    </row>
    <row r="1410" customFormat="false" ht="128.25" hidden="false" customHeight="false" outlineLevel="0" collapsed="false">
      <c r="A1410" s="693" t="s">
        <v>2758</v>
      </c>
      <c r="B1410" s="694" t="s">
        <v>2979</v>
      </c>
      <c r="C1410" s="695"/>
      <c r="D1410" s="696"/>
      <c r="E1410" s="696"/>
      <c r="F1410" s="696"/>
      <c r="G1410" s="695"/>
      <c r="H1410" s="695"/>
    </row>
    <row r="1411" customFormat="false" ht="15" hidden="false" customHeight="false" outlineLevel="0" collapsed="false">
      <c r="A1411" s="571" t="s">
        <v>4455</v>
      </c>
      <c r="B1411" s="337" t="s">
        <v>2980</v>
      </c>
      <c r="C1411" s="374" t="s">
        <v>4122</v>
      </c>
      <c r="D1411" s="602" t="s">
        <v>4123</v>
      </c>
      <c r="E1411" s="602" t="n">
        <v>0.211</v>
      </c>
      <c r="F1411" s="697" t="n">
        <v>800</v>
      </c>
      <c r="G1411" s="605" t="n">
        <f aca="false">E1411*F1411</f>
        <v>168.8</v>
      </c>
      <c r="H1411" s="606"/>
    </row>
    <row r="1412" customFormat="false" ht="15" hidden="false" customHeight="false" outlineLevel="0" collapsed="false">
      <c r="A1412" s="571"/>
      <c r="B1412" s="500"/>
      <c r="C1412" s="433" t="s">
        <v>4120</v>
      </c>
      <c r="D1412" s="602" t="s">
        <v>4121</v>
      </c>
      <c r="E1412" s="602" t="n">
        <v>0.301</v>
      </c>
      <c r="F1412" s="698" t="n">
        <v>1500</v>
      </c>
      <c r="G1412" s="605" t="n">
        <f aca="false">E1412*F1412</f>
        <v>451.5</v>
      </c>
      <c r="H1412" s="606"/>
    </row>
    <row r="1413" customFormat="false" ht="15" hidden="false" customHeight="false" outlineLevel="0" collapsed="false">
      <c r="A1413" s="571"/>
      <c r="B1413" s="500"/>
      <c r="C1413" s="603" t="s">
        <v>4124</v>
      </c>
      <c r="D1413" s="602" t="s">
        <v>4456</v>
      </c>
      <c r="E1413" s="602" t="n">
        <v>0.042</v>
      </c>
      <c r="F1413" s="619" t="n">
        <v>170</v>
      </c>
      <c r="G1413" s="605" t="n">
        <f aca="false">E1413*F1413</f>
        <v>7.14</v>
      </c>
      <c r="H1413" s="606"/>
    </row>
    <row r="1414" customFormat="false" ht="15" hidden="false" customHeight="false" outlineLevel="0" collapsed="false">
      <c r="A1414" s="571"/>
      <c r="B1414" s="500"/>
      <c r="C1414" s="614" t="s">
        <v>4347</v>
      </c>
      <c r="D1414" s="606" t="s">
        <v>4191</v>
      </c>
      <c r="E1414" s="606" t="n">
        <v>2</v>
      </c>
      <c r="F1414" s="697" t="n">
        <v>130</v>
      </c>
      <c r="G1414" s="605" t="n">
        <f aca="false">E1414*F1414</f>
        <v>260</v>
      </c>
      <c r="H1414" s="606"/>
    </row>
    <row r="1415" customFormat="false" ht="15" hidden="false" customHeight="false" outlineLevel="0" collapsed="false">
      <c r="A1415" s="571"/>
      <c r="B1415" s="500"/>
      <c r="C1415" s="603" t="s">
        <v>4457</v>
      </c>
      <c r="D1415" s="602" t="s">
        <v>4348</v>
      </c>
      <c r="E1415" s="602" t="n">
        <v>0.087</v>
      </c>
      <c r="F1415" s="699" t="n">
        <v>1500</v>
      </c>
      <c r="G1415" s="605" t="n">
        <f aca="false">E1415*F1415</f>
        <v>130.5</v>
      </c>
      <c r="H1415" s="606"/>
    </row>
    <row r="1416" customFormat="false" ht="15" hidden="false" customHeight="false" outlineLevel="0" collapsed="false">
      <c r="A1416" s="571"/>
      <c r="B1416" s="500"/>
      <c r="C1416" s="603" t="s">
        <v>4126</v>
      </c>
      <c r="D1416" s="606" t="s">
        <v>4149</v>
      </c>
      <c r="E1416" s="602" t="n">
        <v>0.05</v>
      </c>
      <c r="F1416" s="619" t="n">
        <v>2700</v>
      </c>
      <c r="G1416" s="605" t="n">
        <f aca="false">E1416*F1416</f>
        <v>135</v>
      </c>
      <c r="H1416" s="606"/>
    </row>
    <row r="1417" customFormat="false" ht="15" hidden="false" customHeight="false" outlineLevel="0" collapsed="false">
      <c r="A1417" s="571"/>
      <c r="B1417" s="608" t="s">
        <v>4128</v>
      </c>
      <c r="C1417" s="614"/>
      <c r="D1417" s="610"/>
      <c r="E1417" s="611"/>
      <c r="F1417" s="612"/>
      <c r="G1417" s="613" t="n">
        <f aca="false">SUM(G1411:G1416)</f>
        <v>1152.94</v>
      </c>
      <c r="H1417" s="606"/>
    </row>
    <row r="1418" customFormat="false" ht="15" hidden="false" customHeight="false" outlineLevel="0" collapsed="false">
      <c r="A1418" s="571" t="s">
        <v>4458</v>
      </c>
      <c r="B1418" s="337" t="s">
        <v>2981</v>
      </c>
      <c r="C1418" s="374" t="s">
        <v>4122</v>
      </c>
      <c r="D1418" s="602" t="s">
        <v>4123</v>
      </c>
      <c r="E1418" s="602" t="n">
        <v>0.211</v>
      </c>
      <c r="F1418" s="697" t="n">
        <v>800</v>
      </c>
      <c r="G1418" s="605" t="n">
        <f aca="false">E1418*F1418</f>
        <v>168.8</v>
      </c>
      <c r="H1418" s="606"/>
    </row>
    <row r="1419" customFormat="false" ht="15" hidden="false" customHeight="false" outlineLevel="0" collapsed="false">
      <c r="A1419" s="571"/>
      <c r="B1419" s="500"/>
      <c r="C1419" s="433" t="s">
        <v>4120</v>
      </c>
      <c r="D1419" s="602" t="s">
        <v>4121</v>
      </c>
      <c r="E1419" s="602" t="n">
        <v>0.301</v>
      </c>
      <c r="F1419" s="698" t="n">
        <v>1500</v>
      </c>
      <c r="G1419" s="605" t="n">
        <f aca="false">E1419*F1419</f>
        <v>451.5</v>
      </c>
      <c r="H1419" s="606"/>
    </row>
    <row r="1420" customFormat="false" ht="15" hidden="false" customHeight="false" outlineLevel="0" collapsed="false">
      <c r="A1420" s="571"/>
      <c r="B1420" s="500"/>
      <c r="C1420" s="603" t="s">
        <v>4124</v>
      </c>
      <c r="D1420" s="602" t="s">
        <v>4456</v>
      </c>
      <c r="E1420" s="602" t="n">
        <v>0.042</v>
      </c>
      <c r="F1420" s="619" t="n">
        <v>170</v>
      </c>
      <c r="G1420" s="605" t="n">
        <f aca="false">E1420*F1420</f>
        <v>7.14</v>
      </c>
      <c r="H1420" s="606"/>
    </row>
    <row r="1421" customFormat="false" ht="15" hidden="false" customHeight="false" outlineLevel="0" collapsed="false">
      <c r="A1421" s="571"/>
      <c r="B1421" s="500"/>
      <c r="C1421" s="614" t="s">
        <v>4347</v>
      </c>
      <c r="D1421" s="606" t="s">
        <v>4191</v>
      </c>
      <c r="E1421" s="606" t="n">
        <v>2</v>
      </c>
      <c r="F1421" s="697" t="n">
        <v>130</v>
      </c>
      <c r="G1421" s="605" t="n">
        <f aca="false">E1421*F1421</f>
        <v>260</v>
      </c>
      <c r="H1421" s="606"/>
    </row>
    <row r="1422" customFormat="false" ht="15" hidden="false" customHeight="false" outlineLevel="0" collapsed="false">
      <c r="A1422" s="571"/>
      <c r="B1422" s="500"/>
      <c r="C1422" s="603" t="s">
        <v>4457</v>
      </c>
      <c r="D1422" s="602" t="s">
        <v>4348</v>
      </c>
      <c r="E1422" s="602" t="n">
        <v>0.087</v>
      </c>
      <c r="F1422" s="697" t="n">
        <v>1500</v>
      </c>
      <c r="G1422" s="605" t="n">
        <f aca="false">E1422*F1422</f>
        <v>130.5</v>
      </c>
      <c r="H1422" s="606"/>
    </row>
    <row r="1423" customFormat="false" ht="15" hidden="false" customHeight="false" outlineLevel="0" collapsed="false">
      <c r="A1423" s="571"/>
      <c r="B1423" s="500"/>
      <c r="C1423" s="603" t="s">
        <v>4126</v>
      </c>
      <c r="D1423" s="606" t="s">
        <v>4149</v>
      </c>
      <c r="E1423" s="602" t="n">
        <v>0.05</v>
      </c>
      <c r="F1423" s="619" t="n">
        <v>2700</v>
      </c>
      <c r="G1423" s="605" t="n">
        <f aca="false">E1423*F1423</f>
        <v>135</v>
      </c>
      <c r="H1423" s="606"/>
    </row>
    <row r="1424" customFormat="false" ht="15" hidden="false" customHeight="false" outlineLevel="0" collapsed="false">
      <c r="A1424" s="571"/>
      <c r="B1424" s="608" t="s">
        <v>4128</v>
      </c>
      <c r="C1424" s="614"/>
      <c r="D1424" s="610"/>
      <c r="E1424" s="611"/>
      <c r="F1424" s="612"/>
      <c r="G1424" s="613" t="n">
        <f aca="false">SUM(G1418:G1423)</f>
        <v>1152.94</v>
      </c>
      <c r="H1424" s="606"/>
    </row>
    <row r="1425" customFormat="false" ht="15" hidden="false" customHeight="false" outlineLevel="0" collapsed="false">
      <c r="A1425" s="571" t="s">
        <v>4459</v>
      </c>
      <c r="B1425" s="337" t="s">
        <v>2881</v>
      </c>
      <c r="C1425" s="374" t="s">
        <v>4122</v>
      </c>
      <c r="D1425" s="602" t="s">
        <v>4123</v>
      </c>
      <c r="E1425" s="602" t="n">
        <v>0.211</v>
      </c>
      <c r="F1425" s="697" t="n">
        <v>800</v>
      </c>
      <c r="G1425" s="605" t="n">
        <f aca="false">E1425*F1425</f>
        <v>168.8</v>
      </c>
      <c r="H1425" s="391"/>
    </row>
    <row r="1426" customFormat="false" ht="15" hidden="false" customHeight="false" outlineLevel="0" collapsed="false">
      <c r="A1426" s="571"/>
      <c r="B1426" s="328"/>
      <c r="C1426" s="433" t="s">
        <v>4120</v>
      </c>
      <c r="D1426" s="602" t="s">
        <v>4121</v>
      </c>
      <c r="E1426" s="602" t="n">
        <v>0.301</v>
      </c>
      <c r="F1426" s="698" t="n">
        <v>1500</v>
      </c>
      <c r="G1426" s="605" t="n">
        <f aca="false">E1426*F1426</f>
        <v>451.5</v>
      </c>
      <c r="H1426" s="606"/>
    </row>
    <row r="1427" customFormat="false" ht="15" hidden="false" customHeight="false" outlineLevel="0" collapsed="false">
      <c r="A1427" s="571"/>
      <c r="B1427" s="500"/>
      <c r="C1427" s="603" t="s">
        <v>4124</v>
      </c>
      <c r="D1427" s="602" t="s">
        <v>4456</v>
      </c>
      <c r="E1427" s="602" t="n">
        <v>0.042</v>
      </c>
      <c r="F1427" s="619" t="n">
        <v>170</v>
      </c>
      <c r="G1427" s="605" t="n">
        <f aca="false">E1427*F1427</f>
        <v>7.14</v>
      </c>
      <c r="H1427" s="606"/>
    </row>
    <row r="1428" customFormat="false" ht="15" hidden="false" customHeight="false" outlineLevel="0" collapsed="false">
      <c r="A1428" s="571"/>
      <c r="B1428" s="500"/>
      <c r="C1428" s="614" t="s">
        <v>4347</v>
      </c>
      <c r="D1428" s="606" t="s">
        <v>4191</v>
      </c>
      <c r="E1428" s="606" t="n">
        <v>2</v>
      </c>
      <c r="F1428" s="697" t="n">
        <v>130</v>
      </c>
      <c r="G1428" s="605" t="n">
        <f aca="false">E1428*F1428</f>
        <v>260</v>
      </c>
      <c r="H1428" s="606"/>
    </row>
    <row r="1429" customFormat="false" ht="15" hidden="false" customHeight="false" outlineLevel="0" collapsed="false">
      <c r="A1429" s="571"/>
      <c r="B1429" s="500"/>
      <c r="C1429" s="603" t="s">
        <v>4457</v>
      </c>
      <c r="D1429" s="602" t="s">
        <v>4348</v>
      </c>
      <c r="E1429" s="602" t="n">
        <v>0.087</v>
      </c>
      <c r="F1429" s="699" t="n">
        <v>1500</v>
      </c>
      <c r="G1429" s="605" t="n">
        <f aca="false">E1429*F1429</f>
        <v>130.5</v>
      </c>
      <c r="H1429" s="606"/>
    </row>
    <row r="1430" customFormat="false" ht="15" hidden="false" customHeight="false" outlineLevel="0" collapsed="false">
      <c r="A1430" s="571"/>
      <c r="B1430" s="500"/>
      <c r="C1430" s="603" t="s">
        <v>4126</v>
      </c>
      <c r="D1430" s="606" t="s">
        <v>4149</v>
      </c>
      <c r="E1430" s="602" t="n">
        <v>0.05</v>
      </c>
      <c r="F1430" s="619" t="n">
        <v>2700</v>
      </c>
      <c r="G1430" s="605" t="n">
        <f aca="false">E1430*F1430</f>
        <v>135</v>
      </c>
      <c r="H1430" s="606"/>
    </row>
    <row r="1431" customFormat="false" ht="15" hidden="false" customHeight="false" outlineLevel="0" collapsed="false">
      <c r="A1431" s="571"/>
      <c r="B1431" s="608" t="s">
        <v>4128</v>
      </c>
      <c r="C1431" s="614"/>
      <c r="D1431" s="610"/>
      <c r="E1431" s="611"/>
      <c r="F1431" s="612"/>
      <c r="G1431" s="613" t="n">
        <f aca="false">SUM(G1425:G1430)</f>
        <v>1152.94</v>
      </c>
      <c r="H1431" s="391"/>
    </row>
    <row r="1432" customFormat="false" ht="45" hidden="false" customHeight="false" outlineLevel="0" collapsed="false">
      <c r="A1432" s="571" t="s">
        <v>4460</v>
      </c>
      <c r="B1432" s="700" t="s">
        <v>2982</v>
      </c>
      <c r="C1432" s="374" t="s">
        <v>4461</v>
      </c>
      <c r="D1432" s="606" t="s">
        <v>4123</v>
      </c>
      <c r="E1432" s="602" t="n">
        <v>0.25</v>
      </c>
      <c r="F1432" s="361" t="n">
        <v>26785</v>
      </c>
      <c r="G1432" s="615" t="n">
        <f aca="false">F1432*E1432</f>
        <v>6696.25</v>
      </c>
      <c r="H1432" s="606"/>
    </row>
    <row r="1433" customFormat="false" ht="15" hidden="false" customHeight="false" outlineLevel="0" collapsed="false">
      <c r="A1433" s="571"/>
      <c r="B1433" s="483"/>
      <c r="C1433" s="433" t="s">
        <v>4120</v>
      </c>
      <c r="D1433" s="602" t="s">
        <v>4121</v>
      </c>
      <c r="E1433" s="602" t="n">
        <v>0.031</v>
      </c>
      <c r="F1433" s="698" t="n">
        <v>1500</v>
      </c>
      <c r="G1433" s="615" t="n">
        <f aca="false">F1433*E1433</f>
        <v>46.5</v>
      </c>
      <c r="H1433" s="606"/>
    </row>
    <row r="1434" customFormat="false" ht="15" hidden="false" customHeight="false" outlineLevel="0" collapsed="false">
      <c r="A1434" s="571"/>
      <c r="B1434" s="500"/>
      <c r="C1434" s="374" t="s">
        <v>4122</v>
      </c>
      <c r="D1434" s="602" t="s">
        <v>4123</v>
      </c>
      <c r="E1434" s="602" t="n">
        <v>0.1</v>
      </c>
      <c r="F1434" s="619" t="n">
        <v>800</v>
      </c>
      <c r="G1434" s="615" t="n">
        <f aca="false">F1434*E1434</f>
        <v>80</v>
      </c>
      <c r="H1434" s="606"/>
    </row>
    <row r="1435" customFormat="false" ht="15" hidden="false" customHeight="false" outlineLevel="0" collapsed="false">
      <c r="A1435" s="571"/>
      <c r="B1435" s="500"/>
      <c r="C1435" s="603" t="s">
        <v>4124</v>
      </c>
      <c r="D1435" s="602" t="s">
        <v>4456</v>
      </c>
      <c r="E1435" s="602" t="n">
        <v>0.1</v>
      </c>
      <c r="F1435" s="619" t="n">
        <v>170</v>
      </c>
      <c r="G1435" s="615" t="n">
        <f aca="false">F1435*E1435</f>
        <v>17</v>
      </c>
      <c r="H1435" s="606"/>
    </row>
    <row r="1436" customFormat="false" ht="15" hidden="false" customHeight="false" outlineLevel="0" collapsed="false">
      <c r="A1436" s="571"/>
      <c r="B1436" s="500"/>
      <c r="C1436" s="603" t="s">
        <v>4347</v>
      </c>
      <c r="D1436" s="602" t="s">
        <v>4191</v>
      </c>
      <c r="E1436" s="602" t="n">
        <v>1</v>
      </c>
      <c r="F1436" s="619" t="n">
        <v>130</v>
      </c>
      <c r="G1436" s="615" t="n">
        <f aca="false">F1436*E1436</f>
        <v>130</v>
      </c>
      <c r="H1436" s="606"/>
    </row>
    <row r="1437" customFormat="false" ht="15" hidden="false" customHeight="false" outlineLevel="0" collapsed="false">
      <c r="A1437" s="571"/>
      <c r="B1437" s="500"/>
      <c r="C1437" s="603" t="s">
        <v>4457</v>
      </c>
      <c r="D1437" s="606" t="s">
        <v>4191</v>
      </c>
      <c r="E1437" s="602" t="n">
        <v>0.25</v>
      </c>
      <c r="F1437" s="699" t="n">
        <v>1500</v>
      </c>
      <c r="G1437" s="615" t="n">
        <f aca="false">F1437*E1437</f>
        <v>375</v>
      </c>
      <c r="H1437" s="606"/>
    </row>
    <row r="1438" customFormat="false" ht="15" hidden="false" customHeight="false" outlineLevel="0" collapsed="false">
      <c r="A1438" s="571"/>
      <c r="B1438" s="500"/>
      <c r="C1438" s="603" t="s">
        <v>4126</v>
      </c>
      <c r="D1438" s="606" t="s">
        <v>4149</v>
      </c>
      <c r="E1438" s="602" t="n">
        <v>0.02</v>
      </c>
      <c r="F1438" s="619" t="n">
        <v>2700</v>
      </c>
      <c r="G1438" s="615" t="n">
        <f aca="false">F1438*E1438</f>
        <v>54</v>
      </c>
      <c r="H1438" s="606"/>
    </row>
    <row r="1439" customFormat="false" ht="15" hidden="false" customHeight="false" outlineLevel="0" collapsed="false">
      <c r="A1439" s="571"/>
      <c r="B1439" s="608" t="s">
        <v>4128</v>
      </c>
      <c r="C1439" s="609"/>
      <c r="D1439" s="610"/>
      <c r="E1439" s="611"/>
      <c r="F1439" s="612"/>
      <c r="G1439" s="613" t="n">
        <f aca="false">SUM(G1432:G1438)</f>
        <v>7398.75</v>
      </c>
      <c r="H1439" s="391"/>
    </row>
    <row r="1440" customFormat="false" ht="15" hidden="false" customHeight="false" outlineLevel="0" collapsed="false">
      <c r="A1440" s="571" t="s">
        <v>4462</v>
      </c>
      <c r="B1440" s="337" t="s">
        <v>2983</v>
      </c>
      <c r="C1440" s="603" t="s">
        <v>4463</v>
      </c>
      <c r="D1440" s="602" t="s">
        <v>4191</v>
      </c>
      <c r="E1440" s="602" t="n">
        <v>0.255</v>
      </c>
      <c r="F1440" s="619" t="n">
        <v>4500</v>
      </c>
      <c r="G1440" s="605" t="n">
        <f aca="false">E1440*F1440</f>
        <v>1147.5</v>
      </c>
      <c r="H1440" s="606"/>
    </row>
    <row r="1441" customFormat="false" ht="15" hidden="false" customHeight="false" outlineLevel="0" collapsed="false">
      <c r="A1441" s="571"/>
      <c r="B1441" s="337"/>
      <c r="C1441" s="374" t="s">
        <v>4122</v>
      </c>
      <c r="D1441" s="602" t="s">
        <v>4123</v>
      </c>
      <c r="E1441" s="602" t="n">
        <v>0.498</v>
      </c>
      <c r="F1441" s="619" t="n">
        <v>800</v>
      </c>
      <c r="G1441" s="605" t="n">
        <f aca="false">E1441*F1441</f>
        <v>398.4</v>
      </c>
      <c r="H1441" s="606"/>
    </row>
    <row r="1442" customFormat="false" ht="15" hidden="false" customHeight="false" outlineLevel="0" collapsed="false">
      <c r="A1442" s="571"/>
      <c r="B1442" s="337"/>
      <c r="C1442" s="433" t="s">
        <v>4120</v>
      </c>
      <c r="D1442" s="602" t="s">
        <v>4121</v>
      </c>
      <c r="E1442" s="602" t="n">
        <f aca="false">3/100</f>
        <v>0.03</v>
      </c>
      <c r="F1442" s="698" t="n">
        <v>1500</v>
      </c>
      <c r="G1442" s="605" t="n">
        <f aca="false">E1442*F1442</f>
        <v>45</v>
      </c>
      <c r="H1442" s="606"/>
    </row>
    <row r="1443" customFormat="false" ht="15" hidden="false" customHeight="false" outlineLevel="0" collapsed="false">
      <c r="A1443" s="571"/>
      <c r="B1443" s="500"/>
      <c r="C1443" s="603" t="s">
        <v>4124</v>
      </c>
      <c r="D1443" s="602" t="s">
        <v>4456</v>
      </c>
      <c r="E1443" s="602" t="n">
        <v>0.5</v>
      </c>
      <c r="F1443" s="619" t="n">
        <v>170</v>
      </c>
      <c r="G1443" s="605" t="n">
        <f aca="false">E1443*F1443</f>
        <v>85</v>
      </c>
      <c r="H1443" s="606"/>
    </row>
    <row r="1444" customFormat="false" ht="15" hidden="false" customHeight="false" outlineLevel="0" collapsed="false">
      <c r="A1444" s="571"/>
      <c r="B1444" s="500"/>
      <c r="C1444" s="603" t="s">
        <v>4347</v>
      </c>
      <c r="D1444" s="602" t="s">
        <v>4191</v>
      </c>
      <c r="E1444" s="602" t="n">
        <v>1</v>
      </c>
      <c r="F1444" s="619" t="n">
        <v>130</v>
      </c>
      <c r="G1444" s="605" t="n">
        <f aca="false">E1444*F1444</f>
        <v>130</v>
      </c>
      <c r="H1444" s="606"/>
    </row>
    <row r="1445" customFormat="false" ht="15" hidden="false" customHeight="false" outlineLevel="0" collapsed="false">
      <c r="A1445" s="571"/>
      <c r="B1445" s="500"/>
      <c r="C1445" s="603" t="s">
        <v>4457</v>
      </c>
      <c r="D1445" s="606" t="s">
        <v>4191</v>
      </c>
      <c r="E1445" s="602" t="n">
        <v>0.0844</v>
      </c>
      <c r="F1445" s="699" t="n">
        <v>1500</v>
      </c>
      <c r="G1445" s="605" t="n">
        <f aca="false">E1445*F1445</f>
        <v>126.6</v>
      </c>
      <c r="H1445" s="606"/>
    </row>
    <row r="1446" customFormat="false" ht="15" hidden="false" customHeight="false" outlineLevel="0" collapsed="false">
      <c r="A1446" s="571"/>
      <c r="B1446" s="500"/>
      <c r="C1446" s="603" t="s">
        <v>4126</v>
      </c>
      <c r="D1446" s="606" t="s">
        <v>4149</v>
      </c>
      <c r="E1446" s="602" t="n">
        <v>0.02</v>
      </c>
      <c r="F1446" s="619" t="n">
        <v>2700</v>
      </c>
      <c r="G1446" s="605" t="n">
        <f aca="false">E1446*F1446</f>
        <v>54</v>
      </c>
      <c r="H1446" s="606"/>
    </row>
    <row r="1447" customFormat="false" ht="15" hidden="false" customHeight="false" outlineLevel="0" collapsed="false">
      <c r="A1447" s="571"/>
      <c r="B1447" s="608" t="s">
        <v>4128</v>
      </c>
      <c r="C1447" s="614"/>
      <c r="D1447" s="610"/>
      <c r="E1447" s="611"/>
      <c r="F1447" s="612"/>
      <c r="G1447" s="613" t="n">
        <f aca="false">SUM(G1440:G1446)</f>
        <v>1986.5</v>
      </c>
      <c r="H1447" s="391"/>
    </row>
    <row r="1448" customFormat="false" ht="15" hidden="false" customHeight="false" outlineLevel="0" collapsed="false">
      <c r="A1448" s="571" t="s">
        <v>4464</v>
      </c>
      <c r="B1448" s="337" t="s">
        <v>2984</v>
      </c>
      <c r="C1448" s="374" t="s">
        <v>4122</v>
      </c>
      <c r="D1448" s="602" t="s">
        <v>4123</v>
      </c>
      <c r="E1448" s="602" t="n">
        <v>0.956</v>
      </c>
      <c r="F1448" s="619" t="n">
        <v>800</v>
      </c>
      <c r="G1448" s="605" t="n">
        <f aca="false">E1448*F1448</f>
        <v>764.8</v>
      </c>
      <c r="H1448" s="606"/>
    </row>
    <row r="1449" customFormat="false" ht="15" hidden="false" customHeight="false" outlineLevel="0" collapsed="false">
      <c r="A1449" s="571"/>
      <c r="B1449" s="500"/>
      <c r="C1449" s="433" t="s">
        <v>4120</v>
      </c>
      <c r="D1449" s="602" t="s">
        <v>4121</v>
      </c>
      <c r="E1449" s="602" t="n">
        <v>0.03</v>
      </c>
      <c r="F1449" s="698" t="n">
        <v>1500</v>
      </c>
      <c r="G1449" s="605" t="n">
        <f aca="false">E1449*F1449</f>
        <v>45</v>
      </c>
      <c r="H1449" s="606"/>
    </row>
    <row r="1450" customFormat="false" ht="15" hidden="false" customHeight="false" outlineLevel="0" collapsed="false">
      <c r="A1450" s="571"/>
      <c r="B1450" s="500"/>
      <c r="C1450" s="603" t="s">
        <v>4124</v>
      </c>
      <c r="D1450" s="602" t="s">
        <v>4456</v>
      </c>
      <c r="E1450" s="602" t="n">
        <v>0.5</v>
      </c>
      <c r="F1450" s="619" t="n">
        <v>170</v>
      </c>
      <c r="G1450" s="605" t="n">
        <f aca="false">E1450*F1450</f>
        <v>85</v>
      </c>
      <c r="H1450" s="606"/>
    </row>
    <row r="1451" customFormat="false" ht="15" hidden="false" customHeight="false" outlineLevel="0" collapsed="false">
      <c r="A1451" s="571"/>
      <c r="B1451" s="500"/>
      <c r="C1451" s="603" t="s">
        <v>4347</v>
      </c>
      <c r="D1451" s="602" t="s">
        <v>4191</v>
      </c>
      <c r="E1451" s="602" t="n">
        <v>1</v>
      </c>
      <c r="F1451" s="619" t="n">
        <v>130</v>
      </c>
      <c r="G1451" s="605" t="n">
        <f aca="false">E1451*F1451</f>
        <v>130</v>
      </c>
      <c r="H1451" s="606"/>
    </row>
    <row r="1452" customFormat="false" ht="15" hidden="false" customHeight="false" outlineLevel="0" collapsed="false">
      <c r="A1452" s="571"/>
      <c r="B1452" s="500"/>
      <c r="C1452" s="603" t="s">
        <v>4126</v>
      </c>
      <c r="D1452" s="606" t="s">
        <v>4149</v>
      </c>
      <c r="E1452" s="602" t="n">
        <v>0.02</v>
      </c>
      <c r="F1452" s="619" t="n">
        <v>2700</v>
      </c>
      <c r="G1452" s="605" t="n">
        <f aca="false">E1452*F1452</f>
        <v>54</v>
      </c>
      <c r="H1452" s="606"/>
    </row>
    <row r="1453" customFormat="false" ht="15" hidden="false" customHeight="false" outlineLevel="0" collapsed="false">
      <c r="A1453" s="571"/>
      <c r="B1453" s="608" t="s">
        <v>4128</v>
      </c>
      <c r="C1453" s="614"/>
      <c r="D1453" s="610"/>
      <c r="E1453" s="611"/>
      <c r="F1453" s="612"/>
      <c r="G1453" s="613" t="n">
        <f aca="false">SUM(G1448:G1452)</f>
        <v>1078.8</v>
      </c>
      <c r="H1453" s="391"/>
    </row>
    <row r="1454" customFormat="false" ht="15" hidden="false" customHeight="false" outlineLevel="0" collapsed="false">
      <c r="A1454" s="701" t="s">
        <v>275</v>
      </c>
      <c r="B1454" s="483" t="s">
        <v>2985</v>
      </c>
      <c r="C1454" s="603" t="s">
        <v>4465</v>
      </c>
      <c r="D1454" s="602" t="s">
        <v>4191</v>
      </c>
      <c r="E1454" s="602" t="n">
        <v>1</v>
      </c>
      <c r="F1454" s="619" t="n">
        <v>4500</v>
      </c>
      <c r="G1454" s="605" t="n">
        <f aca="false">E1454*F1454</f>
        <v>4500</v>
      </c>
      <c r="H1454" s="391"/>
    </row>
    <row r="1455" customFormat="false" ht="15" hidden="false" customHeight="false" outlineLevel="0" collapsed="false">
      <c r="A1455" s="701"/>
      <c r="B1455" s="483"/>
      <c r="C1455" s="374" t="s">
        <v>4122</v>
      </c>
      <c r="D1455" s="602" t="s">
        <v>4123</v>
      </c>
      <c r="E1455" s="602" t="n">
        <v>0.849</v>
      </c>
      <c r="F1455" s="619" t="n">
        <v>800</v>
      </c>
      <c r="G1455" s="605" t="n">
        <f aca="false">E1455*F1455</f>
        <v>679.2</v>
      </c>
      <c r="H1455" s="391"/>
    </row>
    <row r="1456" customFormat="false" ht="15" hidden="false" customHeight="false" outlineLevel="0" collapsed="false">
      <c r="A1456" s="571"/>
      <c r="B1456" s="500"/>
      <c r="C1456" s="433" t="s">
        <v>4120</v>
      </c>
      <c r="D1456" s="602" t="s">
        <v>4121</v>
      </c>
      <c r="E1456" s="602" t="n">
        <v>1</v>
      </c>
      <c r="F1456" s="698" t="n">
        <v>1500</v>
      </c>
      <c r="G1456" s="605" t="n">
        <f aca="false">E1456*F1456</f>
        <v>1500</v>
      </c>
      <c r="H1456" s="391"/>
    </row>
    <row r="1457" customFormat="false" ht="15" hidden="false" customHeight="false" outlineLevel="0" collapsed="false">
      <c r="A1457" s="571"/>
      <c r="B1457" s="608"/>
      <c r="C1457" s="603" t="s">
        <v>4124</v>
      </c>
      <c r="D1457" s="602" t="s">
        <v>4456</v>
      </c>
      <c r="E1457" s="602" t="n">
        <v>0.5</v>
      </c>
      <c r="F1457" s="619" t="n">
        <v>170</v>
      </c>
      <c r="G1457" s="605" t="n">
        <f aca="false">E1457*F1457</f>
        <v>85</v>
      </c>
      <c r="H1457" s="391"/>
    </row>
    <row r="1458" customFormat="false" ht="15" hidden="false" customHeight="false" outlineLevel="0" collapsed="false">
      <c r="A1458" s="571"/>
      <c r="B1458" s="608"/>
      <c r="C1458" s="603" t="s">
        <v>4347</v>
      </c>
      <c r="D1458" s="602" t="s">
        <v>4191</v>
      </c>
      <c r="E1458" s="602" t="n">
        <v>2</v>
      </c>
      <c r="F1458" s="619" t="n">
        <v>130</v>
      </c>
      <c r="G1458" s="605" t="n">
        <f aca="false">E1458*F1458</f>
        <v>260</v>
      </c>
      <c r="H1458" s="391"/>
    </row>
    <row r="1459" customFormat="false" ht="15" hidden="false" customHeight="false" outlineLevel="0" collapsed="false">
      <c r="A1459" s="571"/>
      <c r="B1459" s="608"/>
      <c r="C1459" s="603" t="s">
        <v>4457</v>
      </c>
      <c r="D1459" s="602" t="s">
        <v>4191</v>
      </c>
      <c r="E1459" s="602" t="n">
        <v>0.6891</v>
      </c>
      <c r="F1459" s="619" t="n">
        <v>1500</v>
      </c>
      <c r="G1459" s="605" t="n">
        <f aca="false">E1459*F1459</f>
        <v>1033.65</v>
      </c>
      <c r="H1459" s="391"/>
    </row>
    <row r="1460" customFormat="false" ht="15" hidden="false" customHeight="false" outlineLevel="0" collapsed="false">
      <c r="A1460" s="571"/>
      <c r="B1460" s="608"/>
      <c r="C1460" s="603" t="s">
        <v>4126</v>
      </c>
      <c r="D1460" s="606" t="s">
        <v>4149</v>
      </c>
      <c r="E1460" s="602" t="n">
        <v>0.02</v>
      </c>
      <c r="F1460" s="619" t="n">
        <v>2700</v>
      </c>
      <c r="G1460" s="605" t="n">
        <f aca="false">E1460*F1460</f>
        <v>54</v>
      </c>
      <c r="H1460" s="391"/>
    </row>
    <row r="1461" customFormat="false" ht="15" hidden="false" customHeight="false" outlineLevel="0" collapsed="false">
      <c r="A1461" s="571"/>
      <c r="B1461" s="608" t="s">
        <v>4128</v>
      </c>
      <c r="C1461" s="614"/>
      <c r="D1461" s="610"/>
      <c r="E1461" s="611"/>
      <c r="F1461" s="612"/>
      <c r="G1461" s="613" t="n">
        <f aca="false">SUM(G1454:G1460)</f>
        <v>8111.85</v>
      </c>
      <c r="H1461" s="391"/>
    </row>
    <row r="1462" customFormat="false" ht="15" hidden="false" customHeight="false" outlineLevel="0" collapsed="false">
      <c r="A1462" s="701" t="s">
        <v>277</v>
      </c>
      <c r="B1462" s="483" t="s">
        <v>2986</v>
      </c>
      <c r="C1462" s="603" t="s">
        <v>4465</v>
      </c>
      <c r="D1462" s="602" t="s">
        <v>4191</v>
      </c>
      <c r="E1462" s="602" t="n">
        <v>1</v>
      </c>
      <c r="F1462" s="619" t="n">
        <v>4500</v>
      </c>
      <c r="G1462" s="605" t="n">
        <f aca="false">E1462*F1462</f>
        <v>4500</v>
      </c>
      <c r="H1462" s="391"/>
    </row>
    <row r="1463" customFormat="false" ht="15" hidden="false" customHeight="false" outlineLevel="0" collapsed="false">
      <c r="A1463" s="701"/>
      <c r="B1463" s="483"/>
      <c r="C1463" s="374" t="s">
        <v>4122</v>
      </c>
      <c r="D1463" s="602" t="s">
        <v>4123</v>
      </c>
      <c r="E1463" s="602" t="n">
        <v>0.59</v>
      </c>
      <c r="F1463" s="619" t="n">
        <v>800</v>
      </c>
      <c r="G1463" s="605" t="n">
        <f aca="false">E1463*F1463</f>
        <v>472</v>
      </c>
      <c r="H1463" s="391"/>
    </row>
    <row r="1464" customFormat="false" ht="15" hidden="false" customHeight="false" outlineLevel="0" collapsed="false">
      <c r="A1464" s="571"/>
      <c r="B1464" s="608"/>
      <c r="C1464" s="433" t="s">
        <v>4120</v>
      </c>
      <c r="D1464" s="602" t="s">
        <v>4121</v>
      </c>
      <c r="E1464" s="602" t="n">
        <v>0.02</v>
      </c>
      <c r="F1464" s="698" t="n">
        <v>1500</v>
      </c>
      <c r="G1464" s="605" t="n">
        <f aca="false">E1464*F1464</f>
        <v>30</v>
      </c>
      <c r="H1464" s="391"/>
    </row>
    <row r="1465" customFormat="false" ht="15" hidden="false" customHeight="false" outlineLevel="0" collapsed="false">
      <c r="A1465" s="571"/>
      <c r="B1465" s="608"/>
      <c r="C1465" s="603" t="s">
        <v>4124</v>
      </c>
      <c r="D1465" s="602" t="s">
        <v>4456</v>
      </c>
      <c r="E1465" s="602" t="n">
        <v>0.5</v>
      </c>
      <c r="F1465" s="619" t="n">
        <v>170</v>
      </c>
      <c r="G1465" s="605" t="n">
        <f aca="false">E1465*F1465</f>
        <v>85</v>
      </c>
      <c r="H1465" s="391"/>
    </row>
    <row r="1466" customFormat="false" ht="15" hidden="false" customHeight="false" outlineLevel="0" collapsed="false">
      <c r="A1466" s="571"/>
      <c r="B1466" s="608"/>
      <c r="C1466" s="603" t="s">
        <v>4347</v>
      </c>
      <c r="D1466" s="602" t="s">
        <v>4191</v>
      </c>
      <c r="E1466" s="602" t="n">
        <v>2</v>
      </c>
      <c r="F1466" s="619" t="n">
        <v>130</v>
      </c>
      <c r="G1466" s="605" t="n">
        <f aca="false">E1466*F1466</f>
        <v>260</v>
      </c>
      <c r="H1466" s="391"/>
    </row>
    <row r="1467" customFormat="false" ht="15" hidden="false" customHeight="false" outlineLevel="0" collapsed="false">
      <c r="A1467" s="571"/>
      <c r="B1467" s="608"/>
      <c r="C1467" s="603" t="s">
        <v>4457</v>
      </c>
      <c r="D1467" s="602" t="s">
        <v>4191</v>
      </c>
      <c r="E1467" s="602" t="n">
        <v>0.6891</v>
      </c>
      <c r="F1467" s="619" t="n">
        <v>1500</v>
      </c>
      <c r="G1467" s="605" t="n">
        <f aca="false">E1467*F1467</f>
        <v>1033.65</v>
      </c>
      <c r="H1467" s="391"/>
    </row>
    <row r="1468" customFormat="false" ht="15" hidden="false" customHeight="false" outlineLevel="0" collapsed="false">
      <c r="A1468" s="571"/>
      <c r="B1468" s="608"/>
      <c r="C1468" s="603" t="s">
        <v>4126</v>
      </c>
      <c r="D1468" s="606" t="s">
        <v>4149</v>
      </c>
      <c r="E1468" s="602" t="n">
        <v>0.02</v>
      </c>
      <c r="F1468" s="619" t="n">
        <v>2700</v>
      </c>
      <c r="G1468" s="605" t="n">
        <f aca="false">E1468*F1468</f>
        <v>54</v>
      </c>
      <c r="H1468" s="391"/>
    </row>
    <row r="1469" customFormat="false" ht="15" hidden="false" customHeight="false" outlineLevel="0" collapsed="false">
      <c r="B1469" s="608" t="s">
        <v>4128</v>
      </c>
      <c r="C1469" s="614"/>
      <c r="D1469" s="610"/>
      <c r="E1469" s="611"/>
      <c r="F1469" s="612"/>
      <c r="G1469" s="613" t="n">
        <f aca="false">SUM(G1462:G1468)</f>
        <v>6434.65</v>
      </c>
      <c r="H1469" s="391"/>
    </row>
    <row r="1470" customFormat="false" ht="15" hidden="false" customHeight="true" outlineLevel="0" collapsed="false">
      <c r="A1470" s="701" t="s">
        <v>279</v>
      </c>
      <c r="B1470" s="483" t="s">
        <v>2987</v>
      </c>
      <c r="C1470" s="614" t="s">
        <v>4201</v>
      </c>
      <c r="D1470" s="606" t="s">
        <v>4149</v>
      </c>
      <c r="E1470" s="602" t="n">
        <v>0.125</v>
      </c>
      <c r="F1470" s="361" t="n">
        <v>40000</v>
      </c>
      <c r="G1470" s="615" t="n">
        <f aca="false">F1470*E1470</f>
        <v>5000</v>
      </c>
      <c r="H1470" s="391"/>
    </row>
    <row r="1471" customFormat="false" ht="15" hidden="false" customHeight="false" outlineLevel="0" collapsed="false">
      <c r="A1471" s="571"/>
      <c r="B1471" s="483"/>
      <c r="C1471" s="614" t="s">
        <v>4202</v>
      </c>
      <c r="D1471" s="606" t="s">
        <v>4149</v>
      </c>
      <c r="E1471" s="602" t="n">
        <v>0.736</v>
      </c>
      <c r="F1471" s="361" t="n">
        <v>12000</v>
      </c>
      <c r="G1471" s="615" t="n">
        <f aca="false">F1471*E1471</f>
        <v>8832</v>
      </c>
      <c r="H1471" s="391"/>
    </row>
    <row r="1472" customFormat="false" ht="15" hidden="false" customHeight="false" outlineLevel="0" collapsed="false">
      <c r="A1472" s="571"/>
      <c r="B1472" s="483"/>
      <c r="C1472" s="614" t="s">
        <v>4466</v>
      </c>
      <c r="D1472" s="606" t="s">
        <v>4149</v>
      </c>
      <c r="E1472" s="602" t="n">
        <v>0.91</v>
      </c>
      <c r="F1472" s="361" t="n">
        <v>14039</v>
      </c>
      <c r="G1472" s="615" t="n">
        <f aca="false">F1472*E1472</f>
        <v>12775.49</v>
      </c>
      <c r="H1472" s="606"/>
    </row>
    <row r="1473" customFormat="false" ht="30" hidden="false" customHeight="false" outlineLevel="0" collapsed="false">
      <c r="A1473" s="571"/>
      <c r="B1473" s="483"/>
      <c r="C1473" s="614" t="s">
        <v>4467</v>
      </c>
      <c r="D1473" s="606" t="s">
        <v>4131</v>
      </c>
      <c r="E1473" s="602" t="n">
        <v>1</v>
      </c>
      <c r="F1473" s="361" t="n">
        <v>10192</v>
      </c>
      <c r="G1473" s="615" t="n">
        <f aca="false">F1473*E1473</f>
        <v>10192</v>
      </c>
      <c r="H1473" s="606"/>
    </row>
    <row r="1474" customFormat="false" ht="15" hidden="false" customHeight="false" outlineLevel="0" collapsed="false">
      <c r="A1474" s="571"/>
      <c r="B1474" s="483"/>
      <c r="C1474" s="433" t="s">
        <v>4171</v>
      </c>
      <c r="D1474" s="606" t="s">
        <v>4149</v>
      </c>
      <c r="E1474" s="702" t="n">
        <v>0.08</v>
      </c>
      <c r="F1474" s="361" t="n">
        <v>18000</v>
      </c>
      <c r="G1474" s="615" t="n">
        <f aca="false">F1474*E1474</f>
        <v>1440</v>
      </c>
      <c r="H1474" s="391"/>
    </row>
    <row r="1475" customFormat="false" ht="15" hidden="false" customHeight="false" outlineLevel="0" collapsed="false">
      <c r="A1475" s="571"/>
      <c r="B1475" s="483"/>
      <c r="C1475" s="374" t="s">
        <v>4122</v>
      </c>
      <c r="D1475" s="602" t="s">
        <v>4123</v>
      </c>
      <c r="E1475" s="602" t="n">
        <v>0.1</v>
      </c>
      <c r="F1475" s="619" t="n">
        <v>800</v>
      </c>
      <c r="G1475" s="615" t="n">
        <f aca="false">F1475*E1475</f>
        <v>80</v>
      </c>
      <c r="H1475" s="391"/>
    </row>
    <row r="1476" customFormat="false" ht="15" hidden="false" customHeight="false" outlineLevel="0" collapsed="false">
      <c r="A1476" s="571"/>
      <c r="B1476" s="483"/>
      <c r="C1476" s="433" t="s">
        <v>4120</v>
      </c>
      <c r="D1476" s="602" t="s">
        <v>4121</v>
      </c>
      <c r="E1476" s="602" t="n">
        <v>0.02</v>
      </c>
      <c r="F1476" s="698" t="n">
        <v>1500</v>
      </c>
      <c r="G1476" s="615" t="n">
        <f aca="false">F1476*E1476</f>
        <v>30</v>
      </c>
      <c r="H1476" s="391"/>
    </row>
    <row r="1477" customFormat="false" ht="15" hidden="false" customHeight="false" outlineLevel="0" collapsed="false">
      <c r="A1477" s="571"/>
      <c r="B1477" s="483"/>
      <c r="C1477" s="603" t="s">
        <v>4124</v>
      </c>
      <c r="D1477" s="602" t="s">
        <v>4456</v>
      </c>
      <c r="E1477" s="602" t="n">
        <v>0.1</v>
      </c>
      <c r="F1477" s="619" t="n">
        <v>170</v>
      </c>
      <c r="G1477" s="615" t="n">
        <f aca="false">F1477*E1477</f>
        <v>17</v>
      </c>
      <c r="H1477" s="391"/>
    </row>
    <row r="1478" customFormat="false" ht="15" hidden="false" customHeight="false" outlineLevel="0" collapsed="false">
      <c r="A1478" s="571"/>
      <c r="B1478" s="483"/>
      <c r="C1478" s="603" t="s">
        <v>4347</v>
      </c>
      <c r="D1478" s="602" t="s">
        <v>4191</v>
      </c>
      <c r="E1478" s="602" t="n">
        <v>2</v>
      </c>
      <c r="F1478" s="619" t="n">
        <v>130</v>
      </c>
      <c r="G1478" s="615" t="n">
        <f aca="false">F1478*E1478</f>
        <v>260</v>
      </c>
      <c r="H1478" s="391"/>
    </row>
    <row r="1479" customFormat="false" ht="15" hidden="false" customHeight="false" outlineLevel="0" collapsed="false">
      <c r="A1479" s="571"/>
      <c r="B1479" s="483"/>
      <c r="C1479" s="603" t="s">
        <v>4457</v>
      </c>
      <c r="D1479" s="602" t="s">
        <v>4348</v>
      </c>
      <c r="E1479" s="602" t="n">
        <v>0.02</v>
      </c>
      <c r="F1479" s="619" t="n">
        <v>1500</v>
      </c>
      <c r="G1479" s="615" t="n">
        <f aca="false">F1479*E1479</f>
        <v>30</v>
      </c>
      <c r="H1479" s="391"/>
    </row>
    <row r="1480" customFormat="false" ht="15" hidden="false" customHeight="false" outlineLevel="0" collapsed="false">
      <c r="A1480" s="571"/>
      <c r="B1480" s="483"/>
      <c r="C1480" s="603" t="s">
        <v>4126</v>
      </c>
      <c r="D1480" s="602" t="s">
        <v>4149</v>
      </c>
      <c r="E1480" s="602" t="n">
        <v>0.02</v>
      </c>
      <c r="F1480" s="619" t="n">
        <v>3500</v>
      </c>
      <c r="G1480" s="615" t="n">
        <f aca="false">F1480*E1480</f>
        <v>70</v>
      </c>
      <c r="H1480" s="391"/>
    </row>
    <row r="1481" customFormat="false" ht="15" hidden="false" customHeight="false" outlineLevel="0" collapsed="false">
      <c r="A1481" s="571"/>
      <c r="B1481" s="608" t="s">
        <v>4128</v>
      </c>
      <c r="C1481" s="614"/>
      <c r="D1481" s="606"/>
      <c r="E1481" s="622"/>
      <c r="F1481" s="361"/>
      <c r="G1481" s="613" t="n">
        <f aca="false">SUM(G1470:G1480)</f>
        <v>38726.49</v>
      </c>
      <c r="H1481" s="391"/>
    </row>
    <row r="1482" customFormat="false" ht="15" hidden="false" customHeight="true" outlineLevel="0" collapsed="false">
      <c r="A1482" s="571" t="s">
        <v>4468</v>
      </c>
      <c r="B1482" s="483" t="s">
        <v>2988</v>
      </c>
      <c r="C1482" s="614" t="s">
        <v>4201</v>
      </c>
      <c r="D1482" s="606" t="s">
        <v>4149</v>
      </c>
      <c r="E1482" s="602" t="n">
        <v>0.04889</v>
      </c>
      <c r="F1482" s="361" t="n">
        <v>40000</v>
      </c>
      <c r="G1482" s="615" t="n">
        <f aca="false">F1482*E1482</f>
        <v>1955.6</v>
      </c>
      <c r="H1482" s="606"/>
    </row>
    <row r="1483" customFormat="false" ht="15" hidden="false" customHeight="false" outlineLevel="0" collapsed="false">
      <c r="A1483" s="571"/>
      <c r="B1483" s="483"/>
      <c r="C1483" s="614" t="s">
        <v>4202</v>
      </c>
      <c r="D1483" s="606" t="s">
        <v>4133</v>
      </c>
      <c r="E1483" s="602" t="n">
        <v>0.055</v>
      </c>
      <c r="F1483" s="361" t="n">
        <v>12000</v>
      </c>
      <c r="G1483" s="615" t="n">
        <f aca="false">F1483*E1483</f>
        <v>660</v>
      </c>
      <c r="H1483" s="606"/>
    </row>
    <row r="1484" customFormat="false" ht="30" hidden="false" customHeight="false" outlineLevel="0" collapsed="false">
      <c r="A1484" s="571"/>
      <c r="B1484" s="483"/>
      <c r="C1484" s="614" t="s">
        <v>4469</v>
      </c>
      <c r="D1484" s="606" t="s">
        <v>4131</v>
      </c>
      <c r="E1484" s="602" t="n">
        <v>0.35</v>
      </c>
      <c r="F1484" s="361" t="n">
        <v>18500</v>
      </c>
      <c r="G1484" s="615" t="n">
        <f aca="false">F1484*E1484</f>
        <v>6475</v>
      </c>
      <c r="H1484" s="606"/>
    </row>
    <row r="1485" customFormat="false" ht="30" hidden="false" customHeight="false" outlineLevel="0" collapsed="false">
      <c r="A1485" s="571"/>
      <c r="B1485" s="483"/>
      <c r="C1485" s="614" t="s">
        <v>4467</v>
      </c>
      <c r="D1485" s="606" t="s">
        <v>4131</v>
      </c>
      <c r="E1485" s="602" t="n">
        <v>1</v>
      </c>
      <c r="F1485" s="361" t="n">
        <v>10192</v>
      </c>
      <c r="G1485" s="615" t="n">
        <f aca="false">F1485*E1485</f>
        <v>10192</v>
      </c>
      <c r="H1485" s="606"/>
    </row>
    <row r="1486" customFormat="false" ht="15" hidden="false" customHeight="false" outlineLevel="0" collapsed="false">
      <c r="A1486" s="571"/>
      <c r="B1486" s="483"/>
      <c r="C1486" s="374" t="s">
        <v>4122</v>
      </c>
      <c r="D1486" s="602" t="s">
        <v>4123</v>
      </c>
      <c r="E1486" s="602" t="n">
        <v>0.1</v>
      </c>
      <c r="F1486" s="619" t="n">
        <v>800</v>
      </c>
      <c r="G1486" s="615" t="n">
        <f aca="false">F1486*E1486</f>
        <v>80</v>
      </c>
      <c r="H1486" s="606"/>
    </row>
    <row r="1487" customFormat="false" ht="15" hidden="false" customHeight="false" outlineLevel="0" collapsed="false">
      <c r="A1487" s="571"/>
      <c r="B1487" s="483"/>
      <c r="C1487" s="433" t="s">
        <v>4120</v>
      </c>
      <c r="D1487" s="602" t="s">
        <v>4121</v>
      </c>
      <c r="E1487" s="602" t="n">
        <v>0.02</v>
      </c>
      <c r="F1487" s="698" t="n">
        <v>1500</v>
      </c>
      <c r="G1487" s="615" t="n">
        <f aca="false">F1487*E1487</f>
        <v>30</v>
      </c>
      <c r="H1487" s="606"/>
    </row>
    <row r="1488" customFormat="false" ht="15" hidden="false" customHeight="false" outlineLevel="0" collapsed="false">
      <c r="A1488" s="571"/>
      <c r="B1488" s="483"/>
      <c r="C1488" s="603" t="s">
        <v>4124</v>
      </c>
      <c r="D1488" s="602" t="s">
        <v>4456</v>
      </c>
      <c r="E1488" s="602" t="n">
        <v>0.1</v>
      </c>
      <c r="F1488" s="619" t="n">
        <v>170</v>
      </c>
      <c r="G1488" s="615" t="n">
        <f aca="false">F1488*E1488</f>
        <v>17</v>
      </c>
      <c r="H1488" s="606"/>
    </row>
    <row r="1489" customFormat="false" ht="15" hidden="false" customHeight="false" outlineLevel="0" collapsed="false">
      <c r="A1489" s="571"/>
      <c r="B1489" s="483"/>
      <c r="C1489" s="603" t="s">
        <v>4347</v>
      </c>
      <c r="D1489" s="602" t="s">
        <v>4191</v>
      </c>
      <c r="E1489" s="602" t="n">
        <v>2</v>
      </c>
      <c r="F1489" s="619" t="n">
        <v>130</v>
      </c>
      <c r="G1489" s="615" t="n">
        <f aca="false">F1489*E1489</f>
        <v>260</v>
      </c>
      <c r="H1489" s="606"/>
    </row>
    <row r="1490" customFormat="false" ht="15" hidden="false" customHeight="false" outlineLevel="0" collapsed="false">
      <c r="A1490" s="571"/>
      <c r="B1490" s="483"/>
      <c r="C1490" s="603" t="s">
        <v>4457</v>
      </c>
      <c r="D1490" s="602" t="s">
        <v>4191</v>
      </c>
      <c r="E1490" s="602" t="n">
        <v>0.02</v>
      </c>
      <c r="F1490" s="619" t="n">
        <v>1500</v>
      </c>
      <c r="G1490" s="615" t="n">
        <f aca="false">F1490*E1490</f>
        <v>30</v>
      </c>
      <c r="H1490" s="606"/>
    </row>
    <row r="1491" customFormat="false" ht="15" hidden="false" customHeight="false" outlineLevel="0" collapsed="false">
      <c r="A1491" s="571"/>
      <c r="B1491" s="483"/>
      <c r="C1491" s="603" t="s">
        <v>4126</v>
      </c>
      <c r="D1491" s="602" t="s">
        <v>4149</v>
      </c>
      <c r="E1491" s="602" t="n">
        <v>0.02</v>
      </c>
      <c r="F1491" s="619" t="n">
        <v>2700</v>
      </c>
      <c r="G1491" s="615" t="n">
        <f aca="false">F1491*E1491</f>
        <v>54</v>
      </c>
      <c r="H1491" s="606"/>
    </row>
    <row r="1492" customFormat="false" ht="15" hidden="false" customHeight="false" outlineLevel="0" collapsed="false">
      <c r="A1492" s="571"/>
      <c r="B1492" s="608" t="s">
        <v>4128</v>
      </c>
      <c r="C1492" s="614"/>
      <c r="D1492" s="606"/>
      <c r="E1492" s="622"/>
      <c r="F1492" s="361"/>
      <c r="G1492" s="613" t="n">
        <f aca="false">SUM(G1482:G1491)</f>
        <v>19753.6</v>
      </c>
      <c r="H1492" s="391"/>
    </row>
    <row r="1493" customFormat="false" ht="15" hidden="false" customHeight="true" outlineLevel="0" collapsed="false">
      <c r="A1493" s="571" t="s">
        <v>4470</v>
      </c>
      <c r="B1493" s="483" t="s">
        <v>4097</v>
      </c>
      <c r="C1493" s="614" t="s">
        <v>4201</v>
      </c>
      <c r="D1493" s="606" t="s">
        <v>4149</v>
      </c>
      <c r="E1493" s="602" t="n">
        <v>0.04889</v>
      </c>
      <c r="F1493" s="361" t="n">
        <v>40000</v>
      </c>
      <c r="G1493" s="615" t="n">
        <f aca="false">F1493*E1493</f>
        <v>1955.6</v>
      </c>
      <c r="H1493" s="606"/>
    </row>
    <row r="1494" customFormat="false" ht="15" hidden="false" customHeight="false" outlineLevel="0" collapsed="false">
      <c r="A1494" s="571"/>
      <c r="B1494" s="483"/>
      <c r="C1494" s="614" t="s">
        <v>4202</v>
      </c>
      <c r="D1494" s="606" t="s">
        <v>4133</v>
      </c>
      <c r="E1494" s="602" t="n">
        <v>0.055</v>
      </c>
      <c r="F1494" s="361" t="n">
        <v>12000</v>
      </c>
      <c r="G1494" s="615" t="n">
        <f aca="false">F1494*E1494</f>
        <v>660</v>
      </c>
      <c r="H1494" s="606"/>
    </row>
    <row r="1495" customFormat="false" ht="30" hidden="false" customHeight="false" outlineLevel="0" collapsed="false">
      <c r="A1495" s="571"/>
      <c r="B1495" s="483"/>
      <c r="C1495" s="614" t="s">
        <v>4469</v>
      </c>
      <c r="D1495" s="606" t="s">
        <v>4131</v>
      </c>
      <c r="E1495" s="602" t="n">
        <v>0.35</v>
      </c>
      <c r="F1495" s="361" t="n">
        <v>18500</v>
      </c>
      <c r="G1495" s="615" t="n">
        <f aca="false">F1495*E1495</f>
        <v>6475</v>
      </c>
      <c r="H1495" s="606"/>
    </row>
    <row r="1496" customFormat="false" ht="30" hidden="false" customHeight="false" outlineLevel="0" collapsed="false">
      <c r="A1496" s="571"/>
      <c r="B1496" s="483"/>
      <c r="C1496" s="614" t="s">
        <v>4467</v>
      </c>
      <c r="D1496" s="606" t="s">
        <v>4131</v>
      </c>
      <c r="E1496" s="602" t="n">
        <v>1</v>
      </c>
      <c r="F1496" s="361" t="n">
        <v>10192</v>
      </c>
      <c r="G1496" s="615" t="n">
        <f aca="false">F1496*E1496</f>
        <v>10192</v>
      </c>
      <c r="H1496" s="606"/>
    </row>
    <row r="1497" customFormat="false" ht="15" hidden="false" customHeight="false" outlineLevel="0" collapsed="false">
      <c r="A1497" s="571"/>
      <c r="B1497" s="483"/>
      <c r="C1497" s="374" t="s">
        <v>4122</v>
      </c>
      <c r="D1497" s="602" t="s">
        <v>4123</v>
      </c>
      <c r="E1497" s="602" t="n">
        <v>0.1</v>
      </c>
      <c r="F1497" s="619" t="n">
        <v>800</v>
      </c>
      <c r="G1497" s="615" t="n">
        <f aca="false">F1497*E1497</f>
        <v>80</v>
      </c>
      <c r="H1497" s="606"/>
    </row>
    <row r="1498" customFormat="false" ht="15" hidden="false" customHeight="false" outlineLevel="0" collapsed="false">
      <c r="A1498" s="571"/>
      <c r="B1498" s="483"/>
      <c r="C1498" s="433" t="s">
        <v>4120</v>
      </c>
      <c r="D1498" s="602" t="s">
        <v>4121</v>
      </c>
      <c r="E1498" s="602" t="n">
        <v>0.02</v>
      </c>
      <c r="F1498" s="698" t="n">
        <v>1500</v>
      </c>
      <c r="G1498" s="615" t="n">
        <f aca="false">F1498*E1498</f>
        <v>30</v>
      </c>
      <c r="H1498" s="606"/>
    </row>
    <row r="1499" customFormat="false" ht="15" hidden="false" customHeight="false" outlineLevel="0" collapsed="false">
      <c r="A1499" s="571"/>
      <c r="B1499" s="483"/>
      <c r="C1499" s="603" t="s">
        <v>4124</v>
      </c>
      <c r="D1499" s="602" t="s">
        <v>4456</v>
      </c>
      <c r="E1499" s="602" t="n">
        <v>0.1</v>
      </c>
      <c r="F1499" s="619" t="n">
        <v>170</v>
      </c>
      <c r="G1499" s="615" t="n">
        <f aca="false">F1499*E1499</f>
        <v>17</v>
      </c>
      <c r="H1499" s="606"/>
    </row>
    <row r="1500" customFormat="false" ht="15" hidden="false" customHeight="false" outlineLevel="0" collapsed="false">
      <c r="A1500" s="571"/>
      <c r="B1500" s="483"/>
      <c r="C1500" s="603" t="s">
        <v>4347</v>
      </c>
      <c r="D1500" s="602" t="s">
        <v>4191</v>
      </c>
      <c r="E1500" s="602" t="n">
        <v>2</v>
      </c>
      <c r="F1500" s="619" t="n">
        <v>130</v>
      </c>
      <c r="G1500" s="615" t="n">
        <f aca="false">F1500*E1500</f>
        <v>260</v>
      </c>
      <c r="H1500" s="606"/>
    </row>
    <row r="1501" customFormat="false" ht="15" hidden="false" customHeight="false" outlineLevel="0" collapsed="false">
      <c r="A1501" s="571"/>
      <c r="B1501" s="483"/>
      <c r="C1501" s="603" t="s">
        <v>4457</v>
      </c>
      <c r="D1501" s="602" t="s">
        <v>4191</v>
      </c>
      <c r="E1501" s="602" t="n">
        <v>0.02</v>
      </c>
      <c r="F1501" s="619" t="n">
        <v>1500</v>
      </c>
      <c r="G1501" s="615" t="n">
        <f aca="false">F1501*E1501</f>
        <v>30</v>
      </c>
      <c r="H1501" s="606"/>
    </row>
    <row r="1502" customFormat="false" ht="15" hidden="false" customHeight="false" outlineLevel="0" collapsed="false">
      <c r="A1502" s="571"/>
      <c r="B1502" s="483"/>
      <c r="C1502" s="603" t="s">
        <v>4126</v>
      </c>
      <c r="D1502" s="602" t="s">
        <v>4149</v>
      </c>
      <c r="E1502" s="602" t="n">
        <v>0.02</v>
      </c>
      <c r="F1502" s="619" t="n">
        <v>2700</v>
      </c>
      <c r="G1502" s="615" t="n">
        <f aca="false">F1502*E1502</f>
        <v>54</v>
      </c>
      <c r="H1502" s="606"/>
    </row>
    <row r="1503" customFormat="false" ht="15" hidden="false" customHeight="false" outlineLevel="0" collapsed="false">
      <c r="A1503" s="571"/>
      <c r="B1503" s="608" t="s">
        <v>4128</v>
      </c>
      <c r="C1503" s="614"/>
      <c r="D1503" s="606"/>
      <c r="E1503" s="622"/>
      <c r="F1503" s="361"/>
      <c r="G1503" s="613" t="n">
        <f aca="false">SUM(G1493:G1502)</f>
        <v>19753.6</v>
      </c>
      <c r="H1503" s="391"/>
    </row>
    <row r="1504" customFormat="false" ht="15" hidden="false" customHeight="true" outlineLevel="0" collapsed="false">
      <c r="A1504" s="571" t="s">
        <v>4471</v>
      </c>
      <c r="B1504" s="483" t="s">
        <v>2990</v>
      </c>
      <c r="C1504" s="614" t="s">
        <v>4201</v>
      </c>
      <c r="D1504" s="606" t="s">
        <v>4149</v>
      </c>
      <c r="E1504" s="602" t="n">
        <v>0.05</v>
      </c>
      <c r="F1504" s="361" t="n">
        <v>40000</v>
      </c>
      <c r="G1504" s="615" t="n">
        <f aca="false">F1504*E1504</f>
        <v>2000</v>
      </c>
      <c r="H1504" s="606"/>
    </row>
    <row r="1505" customFormat="false" ht="15" hidden="false" customHeight="false" outlineLevel="0" collapsed="false">
      <c r="A1505" s="571"/>
      <c r="B1505" s="483"/>
      <c r="C1505" s="614" t="s">
        <v>4202</v>
      </c>
      <c r="D1505" s="606" t="s">
        <v>4133</v>
      </c>
      <c r="E1505" s="602" t="n">
        <v>0.0527</v>
      </c>
      <c r="F1505" s="361" t="n">
        <v>12000</v>
      </c>
      <c r="G1505" s="615" t="n">
        <f aca="false">F1505*E1505</f>
        <v>632.4</v>
      </c>
      <c r="H1505" s="606"/>
    </row>
    <row r="1506" customFormat="false" ht="15" hidden="false" customHeight="false" outlineLevel="0" collapsed="false">
      <c r="A1506" s="571"/>
      <c r="B1506" s="483"/>
      <c r="C1506" s="433" t="s">
        <v>4466</v>
      </c>
      <c r="D1506" s="606" t="s">
        <v>4149</v>
      </c>
      <c r="E1506" s="602" t="n">
        <v>0.1</v>
      </c>
      <c r="F1506" s="361" t="n">
        <v>14039</v>
      </c>
      <c r="G1506" s="615" t="n">
        <f aca="false">F1506*E1506</f>
        <v>1403.9</v>
      </c>
      <c r="H1506" s="606"/>
    </row>
    <row r="1507" customFormat="false" ht="30" hidden="false" customHeight="false" outlineLevel="0" collapsed="false">
      <c r="A1507" s="571"/>
      <c r="B1507" s="483"/>
      <c r="C1507" s="433" t="s">
        <v>4472</v>
      </c>
      <c r="D1507" s="606" t="s">
        <v>4131</v>
      </c>
      <c r="E1507" s="602" t="n">
        <v>0.7</v>
      </c>
      <c r="F1507" s="361" t="n">
        <v>12500</v>
      </c>
      <c r="G1507" s="615" t="n">
        <f aca="false">F1507*E1507</f>
        <v>8750</v>
      </c>
      <c r="H1507" s="606"/>
    </row>
    <row r="1508" customFormat="false" ht="30" hidden="false" customHeight="false" outlineLevel="0" collapsed="false">
      <c r="A1508" s="571"/>
      <c r="B1508" s="483"/>
      <c r="C1508" s="614" t="s">
        <v>4467</v>
      </c>
      <c r="D1508" s="606" t="s">
        <v>4131</v>
      </c>
      <c r="E1508" s="602" t="n">
        <v>0.5</v>
      </c>
      <c r="F1508" s="361" t="n">
        <v>10192</v>
      </c>
      <c r="G1508" s="615" t="n">
        <f aca="false">F1508*E1508</f>
        <v>5096</v>
      </c>
      <c r="H1508" s="610"/>
    </row>
    <row r="1509" customFormat="false" ht="15" hidden="false" customHeight="false" outlineLevel="0" collapsed="false">
      <c r="A1509" s="571"/>
      <c r="B1509" s="483"/>
      <c r="C1509" s="614" t="s">
        <v>4132</v>
      </c>
      <c r="D1509" s="602" t="s">
        <v>4149</v>
      </c>
      <c r="E1509" s="602" t="n">
        <v>0.06</v>
      </c>
      <c r="F1509" s="361" t="n">
        <v>14000</v>
      </c>
      <c r="G1509" s="615" t="n">
        <f aca="false">F1509*E1509</f>
        <v>840</v>
      </c>
      <c r="H1509" s="606"/>
    </row>
    <row r="1510" customFormat="false" ht="15" hidden="false" customHeight="false" outlineLevel="0" collapsed="false">
      <c r="A1510" s="571"/>
      <c r="B1510" s="483"/>
      <c r="C1510" s="374" t="s">
        <v>4122</v>
      </c>
      <c r="D1510" s="602" t="s">
        <v>4123</v>
      </c>
      <c r="E1510" s="602" t="n">
        <v>0.1</v>
      </c>
      <c r="F1510" s="619" t="n">
        <v>800</v>
      </c>
      <c r="G1510" s="615" t="n">
        <f aca="false">F1510*E1510</f>
        <v>80</v>
      </c>
      <c r="H1510" s="606"/>
    </row>
    <row r="1511" customFormat="false" ht="15" hidden="false" customHeight="false" outlineLevel="0" collapsed="false">
      <c r="A1511" s="571"/>
      <c r="B1511" s="483"/>
      <c r="C1511" s="433" t="s">
        <v>4120</v>
      </c>
      <c r="D1511" s="602" t="s">
        <v>4121</v>
      </c>
      <c r="E1511" s="602" t="n">
        <v>0.02</v>
      </c>
      <c r="F1511" s="698" t="n">
        <v>1500</v>
      </c>
      <c r="G1511" s="615" t="n">
        <f aca="false">F1511*E1511</f>
        <v>30</v>
      </c>
      <c r="H1511" s="606"/>
    </row>
    <row r="1512" customFormat="false" ht="15" hidden="false" customHeight="false" outlineLevel="0" collapsed="false">
      <c r="A1512" s="571"/>
      <c r="B1512" s="483"/>
      <c r="C1512" s="603" t="s">
        <v>4124</v>
      </c>
      <c r="D1512" s="602" t="s">
        <v>4456</v>
      </c>
      <c r="E1512" s="602" t="n">
        <v>0.1</v>
      </c>
      <c r="F1512" s="619" t="n">
        <v>170</v>
      </c>
      <c r="G1512" s="615" t="n">
        <f aca="false">F1512*E1512</f>
        <v>17</v>
      </c>
      <c r="H1512" s="606"/>
    </row>
    <row r="1513" customFormat="false" ht="15" hidden="false" customHeight="false" outlineLevel="0" collapsed="false">
      <c r="A1513" s="571"/>
      <c r="B1513" s="483"/>
      <c r="C1513" s="603" t="s">
        <v>4347</v>
      </c>
      <c r="D1513" s="602" t="s">
        <v>4191</v>
      </c>
      <c r="E1513" s="602" t="n">
        <v>2</v>
      </c>
      <c r="F1513" s="619" t="n">
        <v>130</v>
      </c>
      <c r="G1513" s="615" t="n">
        <f aca="false">F1513*E1513</f>
        <v>260</v>
      </c>
      <c r="H1513" s="606"/>
    </row>
    <row r="1514" customFormat="false" ht="15" hidden="false" customHeight="false" outlineLevel="0" collapsed="false">
      <c r="A1514" s="571"/>
      <c r="B1514" s="483"/>
      <c r="C1514" s="603" t="s">
        <v>4457</v>
      </c>
      <c r="D1514" s="602" t="s">
        <v>4191</v>
      </c>
      <c r="E1514" s="602" t="n">
        <v>0.02</v>
      </c>
      <c r="F1514" s="619" t="n">
        <v>1500</v>
      </c>
      <c r="G1514" s="615" t="n">
        <f aca="false">F1514*E1514</f>
        <v>30</v>
      </c>
      <c r="H1514" s="391"/>
    </row>
    <row r="1515" customFormat="false" ht="15" hidden="false" customHeight="false" outlineLevel="0" collapsed="false">
      <c r="A1515" s="571"/>
      <c r="B1515" s="483"/>
      <c r="C1515" s="603" t="s">
        <v>4126</v>
      </c>
      <c r="D1515" s="606" t="s">
        <v>4149</v>
      </c>
      <c r="E1515" s="602" t="n">
        <v>0.02</v>
      </c>
      <c r="F1515" s="619" t="n">
        <v>3500</v>
      </c>
      <c r="G1515" s="615" t="n">
        <f aca="false">F1515*E1515</f>
        <v>70</v>
      </c>
      <c r="H1515" s="606"/>
    </row>
    <row r="1516" customFormat="false" ht="15" hidden="false" customHeight="false" outlineLevel="0" collapsed="false">
      <c r="A1516" s="571"/>
      <c r="B1516" s="608" t="s">
        <v>4128</v>
      </c>
      <c r="C1516" s="609"/>
      <c r="D1516" s="610"/>
      <c r="E1516" s="611"/>
      <c r="F1516" s="612"/>
      <c r="G1516" s="613" t="n">
        <f aca="false">SUM(G1504:G1515)</f>
        <v>19209.3</v>
      </c>
      <c r="H1516" s="391"/>
    </row>
    <row r="1517" customFormat="false" ht="15" hidden="false" customHeight="true" outlineLevel="0" collapsed="false">
      <c r="A1517" s="571" t="s">
        <v>4473</v>
      </c>
      <c r="B1517" s="483" t="s">
        <v>2991</v>
      </c>
      <c r="C1517" s="614" t="s">
        <v>4201</v>
      </c>
      <c r="D1517" s="606" t="s">
        <v>4149</v>
      </c>
      <c r="E1517" s="602" t="n">
        <v>0.05</v>
      </c>
      <c r="F1517" s="361" t="n">
        <v>40000</v>
      </c>
      <c r="G1517" s="615" t="n">
        <f aca="false">F1517*E1517</f>
        <v>2000</v>
      </c>
      <c r="H1517" s="606"/>
    </row>
    <row r="1518" customFormat="false" ht="15" hidden="false" customHeight="false" outlineLevel="0" collapsed="false">
      <c r="A1518" s="571"/>
      <c r="B1518" s="483"/>
      <c r="C1518" s="614" t="s">
        <v>4202</v>
      </c>
      <c r="D1518" s="606" t="s">
        <v>4133</v>
      </c>
      <c r="E1518" s="602" t="n">
        <v>0.0527</v>
      </c>
      <c r="F1518" s="361" t="n">
        <v>12000</v>
      </c>
      <c r="G1518" s="615" t="n">
        <f aca="false">F1518*E1518</f>
        <v>632.4</v>
      </c>
      <c r="H1518" s="606"/>
    </row>
    <row r="1519" customFormat="false" ht="15" hidden="false" customHeight="false" outlineLevel="0" collapsed="false">
      <c r="A1519" s="571"/>
      <c r="B1519" s="483"/>
      <c r="C1519" s="433" t="s">
        <v>4466</v>
      </c>
      <c r="D1519" s="606" t="s">
        <v>4149</v>
      </c>
      <c r="E1519" s="602" t="n">
        <v>0.1</v>
      </c>
      <c r="F1519" s="361" t="n">
        <v>14039</v>
      </c>
      <c r="G1519" s="615" t="n">
        <f aca="false">F1519*E1519</f>
        <v>1403.9</v>
      </c>
      <c r="H1519" s="606"/>
    </row>
    <row r="1520" customFormat="false" ht="30" hidden="false" customHeight="false" outlineLevel="0" collapsed="false">
      <c r="A1520" s="571"/>
      <c r="B1520" s="483"/>
      <c r="C1520" s="433" t="s">
        <v>4472</v>
      </c>
      <c r="D1520" s="606" t="s">
        <v>4131</v>
      </c>
      <c r="E1520" s="602" t="n">
        <v>0.7</v>
      </c>
      <c r="F1520" s="361" t="n">
        <v>12500</v>
      </c>
      <c r="G1520" s="615" t="n">
        <f aca="false">F1520*E1520</f>
        <v>8750</v>
      </c>
      <c r="H1520" s="606"/>
    </row>
    <row r="1521" customFormat="false" ht="30" hidden="false" customHeight="false" outlineLevel="0" collapsed="false">
      <c r="A1521" s="571"/>
      <c r="B1521" s="483"/>
      <c r="C1521" s="614" t="s">
        <v>4467</v>
      </c>
      <c r="D1521" s="606" t="s">
        <v>4131</v>
      </c>
      <c r="E1521" s="602" t="n">
        <v>0.5</v>
      </c>
      <c r="F1521" s="361" t="n">
        <v>10192</v>
      </c>
      <c r="G1521" s="615" t="n">
        <f aca="false">F1521*E1521</f>
        <v>5096</v>
      </c>
      <c r="H1521" s="606"/>
    </row>
    <row r="1522" customFormat="false" ht="15" hidden="false" customHeight="false" outlineLevel="0" collapsed="false">
      <c r="A1522" s="571"/>
      <c r="B1522" s="483"/>
      <c r="C1522" s="614" t="s">
        <v>4132</v>
      </c>
      <c r="D1522" s="602" t="s">
        <v>4149</v>
      </c>
      <c r="E1522" s="602" t="n">
        <v>0.06</v>
      </c>
      <c r="F1522" s="361" t="n">
        <v>14000</v>
      </c>
      <c r="G1522" s="615" t="n">
        <f aca="false">F1522*E1522</f>
        <v>840</v>
      </c>
      <c r="H1522" s="606"/>
    </row>
    <row r="1523" customFormat="false" ht="15" hidden="false" customHeight="false" outlineLevel="0" collapsed="false">
      <c r="A1523" s="571"/>
      <c r="B1523" s="483"/>
      <c r="C1523" s="374" t="s">
        <v>4122</v>
      </c>
      <c r="D1523" s="602" t="s">
        <v>4123</v>
      </c>
      <c r="E1523" s="602" t="n">
        <v>0.1</v>
      </c>
      <c r="F1523" s="619" t="n">
        <v>800</v>
      </c>
      <c r="G1523" s="615" t="n">
        <f aca="false">F1523*E1523</f>
        <v>80</v>
      </c>
      <c r="H1523" s="606"/>
    </row>
    <row r="1524" customFormat="false" ht="15" hidden="false" customHeight="false" outlineLevel="0" collapsed="false">
      <c r="A1524" s="571"/>
      <c r="B1524" s="483"/>
      <c r="C1524" s="433" t="s">
        <v>4120</v>
      </c>
      <c r="D1524" s="602" t="s">
        <v>4121</v>
      </c>
      <c r="E1524" s="602" t="n">
        <v>0.02</v>
      </c>
      <c r="F1524" s="698" t="n">
        <v>1500</v>
      </c>
      <c r="G1524" s="615" t="n">
        <f aca="false">F1524*E1524</f>
        <v>30</v>
      </c>
      <c r="H1524" s="606"/>
    </row>
    <row r="1525" customFormat="false" ht="15" hidden="false" customHeight="false" outlineLevel="0" collapsed="false">
      <c r="A1525" s="571"/>
      <c r="B1525" s="483"/>
      <c r="C1525" s="603" t="s">
        <v>4124</v>
      </c>
      <c r="D1525" s="602" t="s">
        <v>4456</v>
      </c>
      <c r="E1525" s="602" t="n">
        <v>0.1</v>
      </c>
      <c r="F1525" s="619" t="n">
        <v>170</v>
      </c>
      <c r="G1525" s="615" t="n">
        <f aca="false">F1525*E1525</f>
        <v>17</v>
      </c>
      <c r="H1525" s="606"/>
    </row>
    <row r="1526" customFormat="false" ht="15" hidden="false" customHeight="false" outlineLevel="0" collapsed="false">
      <c r="A1526" s="571"/>
      <c r="B1526" s="483"/>
      <c r="C1526" s="603" t="s">
        <v>4347</v>
      </c>
      <c r="D1526" s="602" t="s">
        <v>4191</v>
      </c>
      <c r="E1526" s="602" t="n">
        <v>2</v>
      </c>
      <c r="F1526" s="619" t="n">
        <v>130</v>
      </c>
      <c r="G1526" s="615" t="n">
        <f aca="false">F1526*E1526</f>
        <v>260</v>
      </c>
      <c r="H1526" s="606"/>
    </row>
    <row r="1527" customFormat="false" ht="15" hidden="false" customHeight="false" outlineLevel="0" collapsed="false">
      <c r="A1527" s="571"/>
      <c r="B1527" s="483"/>
      <c r="C1527" s="603" t="s">
        <v>4457</v>
      </c>
      <c r="D1527" s="602" t="s">
        <v>4191</v>
      </c>
      <c r="E1527" s="602" t="n">
        <v>0.02</v>
      </c>
      <c r="F1527" s="619" t="n">
        <v>1500</v>
      </c>
      <c r="G1527" s="615" t="n">
        <f aca="false">F1527*E1527</f>
        <v>30</v>
      </c>
      <c r="H1527" s="606"/>
    </row>
    <row r="1528" customFormat="false" ht="15" hidden="false" customHeight="false" outlineLevel="0" collapsed="false">
      <c r="A1528" s="571"/>
      <c r="B1528" s="483"/>
      <c r="C1528" s="603" t="s">
        <v>4126</v>
      </c>
      <c r="D1528" s="606" t="s">
        <v>4149</v>
      </c>
      <c r="E1528" s="602" t="n">
        <v>0.02</v>
      </c>
      <c r="F1528" s="619" t="n">
        <v>3500</v>
      </c>
      <c r="G1528" s="615" t="n">
        <f aca="false">F1528*E1528</f>
        <v>70</v>
      </c>
      <c r="H1528" s="391"/>
    </row>
    <row r="1529" customFormat="false" ht="15" hidden="false" customHeight="false" outlineLevel="0" collapsed="false">
      <c r="A1529" s="571"/>
      <c r="B1529" s="608" t="s">
        <v>4128</v>
      </c>
      <c r="C1529" s="609"/>
      <c r="D1529" s="610"/>
      <c r="E1529" s="611"/>
      <c r="F1529" s="612"/>
      <c r="G1529" s="613" t="n">
        <f aca="false">SUM(G1517:G1528)</f>
        <v>19209.3</v>
      </c>
      <c r="H1529" s="391"/>
    </row>
    <row r="1530" customFormat="false" ht="30" hidden="false" customHeight="true" outlineLevel="0" collapsed="false">
      <c r="A1530" s="571" t="s">
        <v>4474</v>
      </c>
      <c r="B1530" s="483" t="s">
        <v>2992</v>
      </c>
      <c r="C1530" s="433" t="s">
        <v>4475</v>
      </c>
      <c r="D1530" s="606" t="s">
        <v>4131</v>
      </c>
      <c r="E1530" s="602" t="n">
        <v>1</v>
      </c>
      <c r="F1530" s="361" t="n">
        <v>14000</v>
      </c>
      <c r="G1530" s="615" t="n">
        <f aca="false">F1530*E1530</f>
        <v>14000</v>
      </c>
      <c r="H1530" s="606"/>
    </row>
    <row r="1531" customFormat="false" ht="15" hidden="false" customHeight="false" outlineLevel="0" collapsed="false">
      <c r="A1531" s="571"/>
      <c r="B1531" s="483"/>
      <c r="C1531" s="433" t="s">
        <v>4154</v>
      </c>
      <c r="D1531" s="606" t="s">
        <v>4149</v>
      </c>
      <c r="E1531" s="602" t="n">
        <v>0.05</v>
      </c>
      <c r="F1531" s="361" t="n">
        <v>10976</v>
      </c>
      <c r="G1531" s="615" t="n">
        <f aca="false">F1531*E1531</f>
        <v>548.8</v>
      </c>
      <c r="H1531" s="606"/>
    </row>
    <row r="1532" customFormat="false" ht="15" hidden="false" customHeight="false" outlineLevel="0" collapsed="false">
      <c r="A1532" s="571"/>
      <c r="B1532" s="483"/>
      <c r="C1532" s="433" t="s">
        <v>4476</v>
      </c>
      <c r="D1532" s="606" t="s">
        <v>4149</v>
      </c>
      <c r="E1532" s="602" t="n">
        <v>0.011</v>
      </c>
      <c r="F1532" s="361" t="n">
        <v>640000</v>
      </c>
      <c r="G1532" s="615" t="n">
        <f aca="false">F1532*E1532</f>
        <v>7040</v>
      </c>
      <c r="H1532" s="606"/>
    </row>
    <row r="1533" customFormat="false" ht="30" hidden="false" customHeight="false" outlineLevel="0" collapsed="false">
      <c r="A1533" s="571"/>
      <c r="B1533" s="483"/>
      <c r="C1533" s="433" t="s">
        <v>4419</v>
      </c>
      <c r="D1533" s="606" t="s">
        <v>4149</v>
      </c>
      <c r="E1533" s="602" t="n">
        <v>0.0273</v>
      </c>
      <c r="F1533" s="361" t="n">
        <v>25000</v>
      </c>
      <c r="G1533" s="615" t="n">
        <f aca="false">F1533*E1533</f>
        <v>682.5</v>
      </c>
      <c r="H1533" s="606"/>
    </row>
    <row r="1534" customFormat="false" ht="15" hidden="false" customHeight="false" outlineLevel="0" collapsed="false">
      <c r="A1534" s="571"/>
      <c r="B1534" s="483"/>
      <c r="C1534" s="374" t="s">
        <v>4122</v>
      </c>
      <c r="D1534" s="602" t="s">
        <v>4123</v>
      </c>
      <c r="E1534" s="602" t="n">
        <v>0.1</v>
      </c>
      <c r="F1534" s="619" t="n">
        <v>800</v>
      </c>
      <c r="G1534" s="615" t="n">
        <f aca="false">F1534*E1534</f>
        <v>80</v>
      </c>
      <c r="H1534" s="606"/>
    </row>
    <row r="1535" customFormat="false" ht="15" hidden="false" customHeight="false" outlineLevel="0" collapsed="false">
      <c r="A1535" s="571"/>
      <c r="B1535" s="483"/>
      <c r="C1535" s="433" t="s">
        <v>4120</v>
      </c>
      <c r="D1535" s="602" t="s">
        <v>4121</v>
      </c>
      <c r="E1535" s="602" t="n">
        <v>0.02</v>
      </c>
      <c r="F1535" s="698" t="n">
        <v>1500</v>
      </c>
      <c r="G1535" s="615" t="n">
        <f aca="false">F1535*E1535</f>
        <v>30</v>
      </c>
      <c r="H1535" s="391"/>
    </row>
    <row r="1536" customFormat="false" ht="15" hidden="false" customHeight="false" outlineLevel="0" collapsed="false">
      <c r="A1536" s="571"/>
      <c r="B1536" s="483"/>
      <c r="C1536" s="603" t="s">
        <v>4124</v>
      </c>
      <c r="D1536" s="602" t="s">
        <v>4456</v>
      </c>
      <c r="E1536" s="602" t="n">
        <v>0.1</v>
      </c>
      <c r="F1536" s="619" t="n">
        <v>170</v>
      </c>
      <c r="G1536" s="615" t="n">
        <f aca="false">F1536*E1536</f>
        <v>17</v>
      </c>
      <c r="H1536" s="391"/>
    </row>
    <row r="1537" customFormat="false" ht="15" hidden="false" customHeight="false" outlineLevel="0" collapsed="false">
      <c r="A1537" s="571"/>
      <c r="B1537" s="483"/>
      <c r="C1537" s="603" t="s">
        <v>4347</v>
      </c>
      <c r="D1537" s="602" t="s">
        <v>4191</v>
      </c>
      <c r="E1537" s="602" t="n">
        <v>2</v>
      </c>
      <c r="F1537" s="619" t="n">
        <v>130</v>
      </c>
      <c r="G1537" s="615" t="n">
        <f aca="false">F1537*E1537</f>
        <v>260</v>
      </c>
      <c r="H1537" s="391"/>
    </row>
    <row r="1538" customFormat="false" ht="15" hidden="false" customHeight="false" outlineLevel="0" collapsed="false">
      <c r="A1538" s="571"/>
      <c r="B1538" s="483"/>
      <c r="C1538" s="603" t="s">
        <v>4457</v>
      </c>
      <c r="D1538" s="602" t="s">
        <v>4191</v>
      </c>
      <c r="E1538" s="602" t="n">
        <v>0.02</v>
      </c>
      <c r="F1538" s="619" t="n">
        <v>1500</v>
      </c>
      <c r="G1538" s="615" t="n">
        <f aca="false">F1538*E1538</f>
        <v>30</v>
      </c>
      <c r="H1538" s="606"/>
    </row>
    <row r="1539" customFormat="false" ht="15" hidden="false" customHeight="false" outlineLevel="0" collapsed="false">
      <c r="A1539" s="571"/>
      <c r="B1539" s="483"/>
      <c r="C1539" s="603" t="s">
        <v>4126</v>
      </c>
      <c r="D1539" s="606" t="s">
        <v>4149</v>
      </c>
      <c r="E1539" s="602" t="n">
        <v>0.02</v>
      </c>
      <c r="F1539" s="619" t="n">
        <v>2700</v>
      </c>
      <c r="G1539" s="615" t="n">
        <f aca="false">F1539*E1539</f>
        <v>54</v>
      </c>
      <c r="H1539" s="606"/>
    </row>
    <row r="1540" customFormat="false" ht="15" hidden="false" customHeight="false" outlineLevel="0" collapsed="false">
      <c r="A1540" s="571"/>
      <c r="B1540" s="608" t="s">
        <v>4128</v>
      </c>
      <c r="C1540" s="609"/>
      <c r="D1540" s="610"/>
      <c r="E1540" s="611"/>
      <c r="F1540" s="612"/>
      <c r="G1540" s="613" t="n">
        <f aca="false">SUM(G1530:G1539)</f>
        <v>22742.3</v>
      </c>
      <c r="H1540" s="391"/>
    </row>
    <row r="1541" customFormat="false" ht="30" hidden="false" customHeight="true" outlineLevel="0" collapsed="false">
      <c r="A1541" s="571" t="s">
        <v>4477</v>
      </c>
      <c r="B1541" s="483" t="s">
        <v>2993</v>
      </c>
      <c r="C1541" s="433" t="s">
        <v>4475</v>
      </c>
      <c r="D1541" s="606" t="s">
        <v>4131</v>
      </c>
      <c r="E1541" s="602" t="n">
        <v>1</v>
      </c>
      <c r="F1541" s="361" t="n">
        <v>14000</v>
      </c>
      <c r="G1541" s="615" t="n">
        <f aca="false">F1541*E1541</f>
        <v>14000</v>
      </c>
      <c r="H1541" s="606"/>
    </row>
    <row r="1542" customFormat="false" ht="15" hidden="false" customHeight="false" outlineLevel="0" collapsed="false">
      <c r="A1542" s="571"/>
      <c r="B1542" s="483"/>
      <c r="C1542" s="433" t="s">
        <v>4154</v>
      </c>
      <c r="D1542" s="606" t="s">
        <v>4149</v>
      </c>
      <c r="E1542" s="602" t="n">
        <v>0.05</v>
      </c>
      <c r="F1542" s="361" t="n">
        <v>10976</v>
      </c>
      <c r="G1542" s="615" t="n">
        <f aca="false">F1542*E1542</f>
        <v>548.8</v>
      </c>
      <c r="H1542" s="606"/>
    </row>
    <row r="1543" customFormat="false" ht="15" hidden="false" customHeight="false" outlineLevel="0" collapsed="false">
      <c r="A1543" s="571"/>
      <c r="B1543" s="483"/>
      <c r="C1543" s="433" t="s">
        <v>4476</v>
      </c>
      <c r="D1543" s="606" t="s">
        <v>4149</v>
      </c>
      <c r="E1543" s="602" t="n">
        <v>0.011</v>
      </c>
      <c r="F1543" s="361" t="n">
        <v>550000</v>
      </c>
      <c r="G1543" s="615" t="n">
        <f aca="false">F1543*E1543</f>
        <v>6050</v>
      </c>
      <c r="H1543" s="606"/>
    </row>
    <row r="1544" customFormat="false" ht="30" hidden="false" customHeight="false" outlineLevel="0" collapsed="false">
      <c r="A1544" s="571"/>
      <c r="B1544" s="483"/>
      <c r="C1544" s="433" t="s">
        <v>4419</v>
      </c>
      <c r="D1544" s="606" t="s">
        <v>4149</v>
      </c>
      <c r="E1544" s="602" t="n">
        <v>0.0554</v>
      </c>
      <c r="F1544" s="361" t="n">
        <v>25000</v>
      </c>
      <c r="G1544" s="615" t="n">
        <f aca="false">F1544*E1544</f>
        <v>1385</v>
      </c>
      <c r="H1544" s="606"/>
    </row>
    <row r="1545" customFormat="false" ht="15" hidden="false" customHeight="false" outlineLevel="0" collapsed="false">
      <c r="A1545" s="571"/>
      <c r="B1545" s="483"/>
      <c r="C1545" s="374" t="s">
        <v>4122</v>
      </c>
      <c r="D1545" s="602" t="s">
        <v>4123</v>
      </c>
      <c r="E1545" s="602" t="n">
        <v>0.1</v>
      </c>
      <c r="F1545" s="619" t="n">
        <v>800</v>
      </c>
      <c r="G1545" s="615" t="n">
        <f aca="false">F1545*E1545</f>
        <v>80</v>
      </c>
      <c r="H1545" s="606"/>
    </row>
    <row r="1546" customFormat="false" ht="15" hidden="false" customHeight="false" outlineLevel="0" collapsed="false">
      <c r="A1546" s="571"/>
      <c r="B1546" s="483"/>
      <c r="C1546" s="433" t="s">
        <v>4120</v>
      </c>
      <c r="D1546" s="602" t="s">
        <v>4121</v>
      </c>
      <c r="E1546" s="602" t="n">
        <v>0.02</v>
      </c>
      <c r="F1546" s="698" t="n">
        <v>1500</v>
      </c>
      <c r="G1546" s="615" t="n">
        <f aca="false">F1546*E1546</f>
        <v>30</v>
      </c>
      <c r="H1546" s="606"/>
    </row>
    <row r="1547" customFormat="false" ht="15" hidden="false" customHeight="false" outlineLevel="0" collapsed="false">
      <c r="A1547" s="571"/>
      <c r="B1547" s="483"/>
      <c r="C1547" s="603" t="s">
        <v>4124</v>
      </c>
      <c r="D1547" s="602" t="s">
        <v>4456</v>
      </c>
      <c r="E1547" s="602" t="n">
        <v>0.1</v>
      </c>
      <c r="F1547" s="619" t="n">
        <v>170</v>
      </c>
      <c r="G1547" s="615" t="n">
        <f aca="false">F1547*E1547</f>
        <v>17</v>
      </c>
      <c r="H1547" s="606"/>
    </row>
    <row r="1548" customFormat="false" ht="15" hidden="false" customHeight="false" outlineLevel="0" collapsed="false">
      <c r="A1548" s="571"/>
      <c r="B1548" s="483"/>
      <c r="C1548" s="603" t="s">
        <v>4347</v>
      </c>
      <c r="D1548" s="602" t="s">
        <v>4191</v>
      </c>
      <c r="E1548" s="602" t="n">
        <v>2</v>
      </c>
      <c r="F1548" s="619" t="n">
        <v>130</v>
      </c>
      <c r="G1548" s="615" t="n">
        <f aca="false">F1548*E1548</f>
        <v>260</v>
      </c>
      <c r="H1548" s="606"/>
    </row>
    <row r="1549" customFormat="false" ht="15" hidden="false" customHeight="false" outlineLevel="0" collapsed="false">
      <c r="A1549" s="571"/>
      <c r="B1549" s="483"/>
      <c r="C1549" s="603" t="s">
        <v>4457</v>
      </c>
      <c r="D1549" s="602" t="s">
        <v>4191</v>
      </c>
      <c r="E1549" s="602" t="n">
        <v>0.02</v>
      </c>
      <c r="F1549" s="619" t="n">
        <v>1500</v>
      </c>
      <c r="G1549" s="615" t="n">
        <f aca="false">F1549*E1549</f>
        <v>30</v>
      </c>
      <c r="H1549" s="606"/>
    </row>
    <row r="1550" customFormat="false" ht="15" hidden="false" customHeight="false" outlineLevel="0" collapsed="false">
      <c r="A1550" s="571"/>
      <c r="B1550" s="483"/>
      <c r="C1550" s="603" t="s">
        <v>4126</v>
      </c>
      <c r="D1550" s="606" t="s">
        <v>4149</v>
      </c>
      <c r="E1550" s="602" t="n">
        <v>0.02</v>
      </c>
      <c r="F1550" s="619" t="n">
        <v>2700</v>
      </c>
      <c r="G1550" s="615" t="n">
        <f aca="false">F1550*E1550</f>
        <v>54</v>
      </c>
      <c r="H1550" s="606"/>
    </row>
    <row r="1551" customFormat="false" ht="15" hidden="false" customHeight="false" outlineLevel="0" collapsed="false">
      <c r="A1551" s="571"/>
      <c r="B1551" s="608" t="s">
        <v>4128</v>
      </c>
      <c r="C1551" s="609"/>
      <c r="D1551" s="610"/>
      <c r="E1551" s="611"/>
      <c r="F1551" s="612"/>
      <c r="G1551" s="613" t="n">
        <f aca="false">SUM(G1541:G1550)</f>
        <v>22454.8</v>
      </c>
      <c r="H1551" s="391"/>
    </row>
    <row r="1552" customFormat="false" ht="30" hidden="false" customHeight="true" outlineLevel="0" collapsed="false">
      <c r="A1552" s="571" t="s">
        <v>4478</v>
      </c>
      <c r="B1552" s="483" t="s">
        <v>2994</v>
      </c>
      <c r="C1552" s="433" t="s">
        <v>4475</v>
      </c>
      <c r="D1552" s="606" t="s">
        <v>4131</v>
      </c>
      <c r="E1552" s="602" t="n">
        <v>0.81</v>
      </c>
      <c r="F1552" s="361" t="n">
        <v>14000</v>
      </c>
      <c r="G1552" s="615" t="n">
        <f aca="false">F1552*E1552</f>
        <v>11340</v>
      </c>
      <c r="H1552" s="606"/>
    </row>
    <row r="1553" customFormat="false" ht="15" hidden="false" customHeight="false" outlineLevel="0" collapsed="false">
      <c r="A1553" s="571"/>
      <c r="B1553" s="483"/>
      <c r="C1553" s="433" t="s">
        <v>4154</v>
      </c>
      <c r="D1553" s="606" t="s">
        <v>4149</v>
      </c>
      <c r="E1553" s="602" t="n">
        <v>0.09999</v>
      </c>
      <c r="F1553" s="361" t="n">
        <v>10976</v>
      </c>
      <c r="G1553" s="615" t="n">
        <f aca="false">F1553*E1553</f>
        <v>1097.49024</v>
      </c>
      <c r="H1553" s="606"/>
    </row>
    <row r="1554" customFormat="false" ht="15" hidden="false" customHeight="false" outlineLevel="0" collapsed="false">
      <c r="A1554" s="571"/>
      <c r="B1554" s="483"/>
      <c r="C1554" s="433" t="s">
        <v>4476</v>
      </c>
      <c r="D1554" s="606" t="s">
        <v>4149</v>
      </c>
      <c r="E1554" s="602" t="n">
        <v>0.0111</v>
      </c>
      <c r="F1554" s="361" t="n">
        <v>550000</v>
      </c>
      <c r="G1554" s="615" t="n">
        <f aca="false">F1554*E1554</f>
        <v>6105</v>
      </c>
      <c r="H1554" s="606"/>
    </row>
    <row r="1555" customFormat="false" ht="30" hidden="false" customHeight="false" outlineLevel="0" collapsed="false">
      <c r="A1555" s="571"/>
      <c r="B1555" s="483"/>
      <c r="C1555" s="433" t="s">
        <v>4419</v>
      </c>
      <c r="D1555" s="606" t="s">
        <v>4149</v>
      </c>
      <c r="E1555" s="602" t="n">
        <v>0.2</v>
      </c>
      <c r="F1555" s="361" t="n">
        <v>25000</v>
      </c>
      <c r="G1555" s="615" t="n">
        <f aca="false">F1555*E1555</f>
        <v>5000</v>
      </c>
      <c r="H1555" s="606"/>
    </row>
    <row r="1556" customFormat="false" ht="15" hidden="false" customHeight="false" outlineLevel="0" collapsed="false">
      <c r="A1556" s="571"/>
      <c r="B1556" s="483"/>
      <c r="C1556" s="374" t="s">
        <v>4122</v>
      </c>
      <c r="D1556" s="602" t="s">
        <v>4123</v>
      </c>
      <c r="E1556" s="602" t="n">
        <v>0.1</v>
      </c>
      <c r="F1556" s="619" t="n">
        <v>800</v>
      </c>
      <c r="G1556" s="615" t="n">
        <f aca="false">F1556*E1556</f>
        <v>80</v>
      </c>
      <c r="H1556" s="606"/>
    </row>
    <row r="1557" customFormat="false" ht="15" hidden="false" customHeight="false" outlineLevel="0" collapsed="false">
      <c r="A1557" s="571"/>
      <c r="B1557" s="483"/>
      <c r="C1557" s="433" t="s">
        <v>4120</v>
      </c>
      <c r="D1557" s="602" t="s">
        <v>4121</v>
      </c>
      <c r="E1557" s="602" t="n">
        <v>0.02</v>
      </c>
      <c r="F1557" s="698" t="n">
        <v>1500</v>
      </c>
      <c r="G1557" s="615" t="n">
        <f aca="false">F1557*E1557</f>
        <v>30</v>
      </c>
      <c r="H1557" s="606"/>
    </row>
    <row r="1558" customFormat="false" ht="15" hidden="false" customHeight="false" outlineLevel="0" collapsed="false">
      <c r="A1558" s="571"/>
      <c r="B1558" s="483"/>
      <c r="C1558" s="603" t="s">
        <v>4124</v>
      </c>
      <c r="D1558" s="602" t="s">
        <v>4456</v>
      </c>
      <c r="E1558" s="602" t="n">
        <v>0.1</v>
      </c>
      <c r="F1558" s="619" t="n">
        <v>170</v>
      </c>
      <c r="G1558" s="615" t="n">
        <f aca="false">F1558*E1558</f>
        <v>17</v>
      </c>
      <c r="H1558" s="606"/>
    </row>
    <row r="1559" customFormat="false" ht="15" hidden="false" customHeight="false" outlineLevel="0" collapsed="false">
      <c r="A1559" s="571"/>
      <c r="B1559" s="483"/>
      <c r="C1559" s="603" t="s">
        <v>4347</v>
      </c>
      <c r="D1559" s="602" t="s">
        <v>4191</v>
      </c>
      <c r="E1559" s="602" t="n">
        <v>2</v>
      </c>
      <c r="F1559" s="619" t="n">
        <v>130</v>
      </c>
      <c r="G1559" s="615" t="n">
        <f aca="false">F1559*E1559</f>
        <v>260</v>
      </c>
      <c r="H1559" s="606"/>
    </row>
    <row r="1560" customFormat="false" ht="15" hidden="false" customHeight="false" outlineLevel="0" collapsed="false">
      <c r="A1560" s="571"/>
      <c r="B1560" s="483"/>
      <c r="C1560" s="603" t="s">
        <v>4457</v>
      </c>
      <c r="D1560" s="602" t="s">
        <v>4191</v>
      </c>
      <c r="E1560" s="602" t="n">
        <v>0.02</v>
      </c>
      <c r="F1560" s="619" t="n">
        <v>1500</v>
      </c>
      <c r="G1560" s="615" t="n">
        <f aca="false">F1560*E1560</f>
        <v>30</v>
      </c>
      <c r="H1560" s="606"/>
    </row>
    <row r="1561" customFormat="false" ht="15" hidden="false" customHeight="false" outlineLevel="0" collapsed="false">
      <c r="A1561" s="571"/>
      <c r="B1561" s="483"/>
      <c r="C1561" s="603" t="s">
        <v>4126</v>
      </c>
      <c r="D1561" s="606" t="s">
        <v>4149</v>
      </c>
      <c r="E1561" s="602" t="n">
        <v>0.02</v>
      </c>
      <c r="F1561" s="619" t="n">
        <v>2700</v>
      </c>
      <c r="G1561" s="615" t="n">
        <f aca="false">F1561*E1561</f>
        <v>54</v>
      </c>
      <c r="H1561" s="606"/>
    </row>
    <row r="1562" customFormat="false" ht="15" hidden="false" customHeight="false" outlineLevel="0" collapsed="false">
      <c r="A1562" s="571"/>
      <c r="B1562" s="608" t="s">
        <v>4128</v>
      </c>
      <c r="C1562" s="609"/>
      <c r="D1562" s="610"/>
      <c r="E1562" s="611"/>
      <c r="F1562" s="612"/>
      <c r="G1562" s="613" t="n">
        <f aca="false">SUM(G1552:G1561)</f>
        <v>24013.49024</v>
      </c>
      <c r="H1562" s="391"/>
    </row>
    <row r="1563" customFormat="false" ht="15" hidden="false" customHeight="true" outlineLevel="0" collapsed="false">
      <c r="A1563" s="571" t="s">
        <v>4479</v>
      </c>
      <c r="B1563" s="483" t="s">
        <v>2995</v>
      </c>
      <c r="C1563" s="433" t="s">
        <v>4476</v>
      </c>
      <c r="D1563" s="606" t="s">
        <v>4149</v>
      </c>
      <c r="E1563" s="602" t="n">
        <v>0.011</v>
      </c>
      <c r="F1563" s="361" t="n">
        <v>640000</v>
      </c>
      <c r="G1563" s="615" t="n">
        <f aca="false">F1563*E1563</f>
        <v>7040</v>
      </c>
      <c r="H1563" s="606"/>
    </row>
    <row r="1564" customFormat="false" ht="15" hidden="false" customHeight="true" outlineLevel="0" collapsed="false">
      <c r="A1564" s="571"/>
      <c r="B1564" s="483"/>
      <c r="C1564" s="433" t="s">
        <v>4150</v>
      </c>
      <c r="D1564" s="606" t="s">
        <v>4149</v>
      </c>
      <c r="E1564" s="602" t="n">
        <v>0.001142</v>
      </c>
      <c r="F1564" s="361" t="n">
        <v>103040</v>
      </c>
      <c r="G1564" s="615" t="n">
        <f aca="false">F1564*E1564</f>
        <v>117.67168</v>
      </c>
      <c r="H1564" s="606"/>
    </row>
    <row r="1565" customFormat="false" ht="15" hidden="false" customHeight="false" outlineLevel="0" collapsed="false">
      <c r="A1565" s="571"/>
      <c r="B1565" s="483"/>
      <c r="C1565" s="433" t="s">
        <v>4264</v>
      </c>
      <c r="D1565" s="606" t="s">
        <v>4149</v>
      </c>
      <c r="E1565" s="602" t="n">
        <v>0.002</v>
      </c>
      <c r="F1565" s="361" t="n">
        <v>60000</v>
      </c>
      <c r="G1565" s="615" t="n">
        <f aca="false">F1565*E1565</f>
        <v>120</v>
      </c>
      <c r="H1565" s="606"/>
    </row>
    <row r="1566" customFormat="false" ht="15" hidden="false" customHeight="false" outlineLevel="0" collapsed="false">
      <c r="A1566" s="571"/>
      <c r="B1566" s="483"/>
      <c r="C1566" s="433" t="s">
        <v>4193</v>
      </c>
      <c r="D1566" s="606" t="s">
        <v>4149</v>
      </c>
      <c r="E1566" s="602" t="n">
        <v>0.002</v>
      </c>
      <c r="F1566" s="361" t="n">
        <v>280000</v>
      </c>
      <c r="G1566" s="615" t="n">
        <f aca="false">F1566*E1566</f>
        <v>560</v>
      </c>
      <c r="H1566" s="606"/>
    </row>
    <row r="1567" customFormat="false" ht="30" hidden="false" customHeight="false" outlineLevel="0" collapsed="false">
      <c r="A1567" s="571"/>
      <c r="B1567" s="483"/>
      <c r="C1567" s="433" t="s">
        <v>4480</v>
      </c>
      <c r="D1567" s="606" t="s">
        <v>4131</v>
      </c>
      <c r="E1567" s="602" t="n">
        <v>0.65</v>
      </c>
      <c r="F1567" s="361" t="n">
        <v>12000</v>
      </c>
      <c r="G1567" s="615" t="n">
        <f aca="false">F1567*E1567</f>
        <v>7800</v>
      </c>
      <c r="H1567" s="606"/>
    </row>
    <row r="1568" customFormat="false" ht="30" hidden="false" customHeight="false" outlineLevel="0" collapsed="false">
      <c r="A1568" s="571"/>
      <c r="B1568" s="483"/>
      <c r="C1568" s="433" t="s">
        <v>4475</v>
      </c>
      <c r="D1568" s="606" t="s">
        <v>4131</v>
      </c>
      <c r="E1568" s="602" t="n">
        <v>0.6</v>
      </c>
      <c r="F1568" s="361" t="n">
        <v>14000</v>
      </c>
      <c r="G1568" s="615" t="n">
        <f aca="false">F1568*E1568</f>
        <v>8400</v>
      </c>
      <c r="H1568" s="606"/>
    </row>
    <row r="1569" customFormat="false" ht="15" hidden="false" customHeight="false" outlineLevel="0" collapsed="false">
      <c r="A1569" s="571"/>
      <c r="B1569" s="483"/>
      <c r="C1569" s="374" t="s">
        <v>4122</v>
      </c>
      <c r="D1569" s="602" t="s">
        <v>4123</v>
      </c>
      <c r="E1569" s="602" t="n">
        <v>0.1</v>
      </c>
      <c r="F1569" s="619" t="n">
        <v>800</v>
      </c>
      <c r="G1569" s="615" t="n">
        <f aca="false">F1569*E1569</f>
        <v>80</v>
      </c>
      <c r="H1569" s="606"/>
    </row>
    <row r="1570" customFormat="false" ht="15" hidden="false" customHeight="false" outlineLevel="0" collapsed="false">
      <c r="A1570" s="571"/>
      <c r="B1570" s="483"/>
      <c r="C1570" s="433" t="s">
        <v>4120</v>
      </c>
      <c r="D1570" s="602" t="s">
        <v>4121</v>
      </c>
      <c r="E1570" s="602" t="n">
        <f aca="false">2/100</f>
        <v>0.02</v>
      </c>
      <c r="F1570" s="698" t="n">
        <v>1500</v>
      </c>
      <c r="G1570" s="615" t="n">
        <f aca="false">F1570*E1570</f>
        <v>30</v>
      </c>
      <c r="H1570" s="606"/>
    </row>
    <row r="1571" customFormat="false" ht="15" hidden="false" customHeight="false" outlineLevel="0" collapsed="false">
      <c r="A1571" s="571"/>
      <c r="B1571" s="483"/>
      <c r="C1571" s="603" t="s">
        <v>4124</v>
      </c>
      <c r="D1571" s="602" t="s">
        <v>4456</v>
      </c>
      <c r="E1571" s="602" t="n">
        <v>0.1</v>
      </c>
      <c r="F1571" s="619" t="n">
        <v>170</v>
      </c>
      <c r="G1571" s="615" t="n">
        <f aca="false">F1571*E1571</f>
        <v>17</v>
      </c>
      <c r="H1571" s="391"/>
    </row>
    <row r="1572" customFormat="false" ht="15" hidden="false" customHeight="false" outlineLevel="0" collapsed="false">
      <c r="A1572" s="571"/>
      <c r="B1572" s="483"/>
      <c r="C1572" s="603" t="s">
        <v>4347</v>
      </c>
      <c r="D1572" s="602" t="s">
        <v>4191</v>
      </c>
      <c r="E1572" s="602" t="n">
        <v>2</v>
      </c>
      <c r="F1572" s="619" t="n">
        <v>130</v>
      </c>
      <c r="G1572" s="615" t="n">
        <f aca="false">F1572*E1572</f>
        <v>260</v>
      </c>
      <c r="H1572" s="391"/>
    </row>
    <row r="1573" customFormat="false" ht="15" hidden="false" customHeight="false" outlineLevel="0" collapsed="false">
      <c r="A1573" s="571"/>
      <c r="B1573" s="483"/>
      <c r="C1573" s="603" t="s">
        <v>4457</v>
      </c>
      <c r="D1573" s="602" t="s">
        <v>4191</v>
      </c>
      <c r="E1573" s="602" t="n">
        <v>0.02</v>
      </c>
      <c r="F1573" s="619" t="n">
        <v>1500</v>
      </c>
      <c r="G1573" s="615" t="n">
        <f aca="false">F1573*E1573</f>
        <v>30</v>
      </c>
      <c r="H1573" s="391"/>
    </row>
    <row r="1574" customFormat="false" ht="15" hidden="false" customHeight="false" outlineLevel="0" collapsed="false">
      <c r="A1574" s="571"/>
      <c r="B1574" s="483"/>
      <c r="C1574" s="603" t="s">
        <v>4126</v>
      </c>
      <c r="D1574" s="606" t="s">
        <v>4149</v>
      </c>
      <c r="E1574" s="602" t="n">
        <v>0.02</v>
      </c>
      <c r="F1574" s="619" t="n">
        <v>2700</v>
      </c>
      <c r="G1574" s="615" t="n">
        <f aca="false">F1574*E1574</f>
        <v>54</v>
      </c>
      <c r="H1574" s="606"/>
    </row>
    <row r="1575" customFormat="false" ht="15" hidden="false" customHeight="false" outlineLevel="0" collapsed="false">
      <c r="A1575" s="571"/>
      <c r="B1575" s="608" t="s">
        <v>4128</v>
      </c>
      <c r="C1575" s="609"/>
      <c r="D1575" s="610"/>
      <c r="E1575" s="611"/>
      <c r="F1575" s="612"/>
      <c r="G1575" s="613" t="n">
        <f aca="false">SUM(G1563:G1574)</f>
        <v>24508.67168</v>
      </c>
      <c r="H1575" s="391"/>
    </row>
    <row r="1576" customFormat="false" ht="15" hidden="false" customHeight="true" outlineLevel="0" collapsed="false">
      <c r="A1576" s="571" t="s">
        <v>4481</v>
      </c>
      <c r="B1576" s="483" t="s">
        <v>2996</v>
      </c>
      <c r="C1576" s="433" t="s">
        <v>4482</v>
      </c>
      <c r="D1576" s="602" t="s">
        <v>4149</v>
      </c>
      <c r="E1576" s="602" t="n">
        <v>0.0595</v>
      </c>
      <c r="F1576" s="361" t="n">
        <v>54000</v>
      </c>
      <c r="G1576" s="615" t="n">
        <f aca="false">F1576*E1576</f>
        <v>3213</v>
      </c>
      <c r="H1576" s="606"/>
    </row>
    <row r="1577" customFormat="false" ht="15" hidden="false" customHeight="false" outlineLevel="0" collapsed="false">
      <c r="A1577" s="571"/>
      <c r="B1577" s="483"/>
      <c r="C1577" s="433" t="s">
        <v>4205</v>
      </c>
      <c r="D1577" s="602" t="s">
        <v>4149</v>
      </c>
      <c r="E1577" s="602" t="n">
        <v>0.011</v>
      </c>
      <c r="F1577" s="361" t="n">
        <v>10976</v>
      </c>
      <c r="G1577" s="615" t="n">
        <f aca="false">F1577*E1577</f>
        <v>120.736</v>
      </c>
      <c r="H1577" s="606"/>
    </row>
    <row r="1578" customFormat="false" ht="15" hidden="false" customHeight="false" outlineLevel="0" collapsed="false">
      <c r="A1578" s="571"/>
      <c r="B1578" s="483"/>
      <c r="C1578" s="433" t="s">
        <v>4483</v>
      </c>
      <c r="D1578" s="602" t="s">
        <v>4149</v>
      </c>
      <c r="E1578" s="602" t="n">
        <v>0.001</v>
      </c>
      <c r="F1578" s="361" t="n">
        <v>45600</v>
      </c>
      <c r="G1578" s="615" t="n">
        <f aca="false">F1578*E1578</f>
        <v>45.6</v>
      </c>
      <c r="H1578" s="391"/>
    </row>
    <row r="1579" customFormat="false" ht="15" hidden="false" customHeight="false" outlineLevel="0" collapsed="false">
      <c r="A1579" s="571"/>
      <c r="B1579" s="483"/>
      <c r="C1579" s="433" t="s">
        <v>4476</v>
      </c>
      <c r="D1579" s="606" t="s">
        <v>4149</v>
      </c>
      <c r="E1579" s="602" t="n">
        <v>0.001</v>
      </c>
      <c r="F1579" s="361" t="n">
        <v>640000</v>
      </c>
      <c r="G1579" s="615" t="n">
        <f aca="false">F1579*E1579</f>
        <v>640</v>
      </c>
      <c r="H1579" s="391"/>
    </row>
    <row r="1580" customFormat="false" ht="30" hidden="false" customHeight="false" outlineLevel="0" collapsed="false">
      <c r="A1580" s="571"/>
      <c r="B1580" s="483"/>
      <c r="C1580" s="433" t="s">
        <v>4484</v>
      </c>
      <c r="D1580" s="606" t="s">
        <v>4149</v>
      </c>
      <c r="E1580" s="602" t="n">
        <v>0.022</v>
      </c>
      <c r="F1580" s="703" t="n">
        <v>1240000</v>
      </c>
      <c r="G1580" s="615" t="n">
        <f aca="false">F1580*E1580</f>
        <v>27280</v>
      </c>
      <c r="H1580" s="391"/>
    </row>
    <row r="1581" customFormat="false" ht="15" hidden="false" customHeight="false" outlineLevel="0" collapsed="false">
      <c r="A1581" s="571"/>
      <c r="B1581" s="483"/>
      <c r="C1581" s="433" t="s">
        <v>4485</v>
      </c>
      <c r="D1581" s="602" t="s">
        <v>4149</v>
      </c>
      <c r="E1581" s="602" t="n">
        <v>0.1</v>
      </c>
      <c r="F1581" s="361" t="n">
        <v>17000</v>
      </c>
      <c r="G1581" s="615" t="n">
        <f aca="false">F1581*E1581</f>
        <v>1700</v>
      </c>
      <c r="H1581" s="606"/>
    </row>
    <row r="1582" customFormat="false" ht="15" hidden="false" customHeight="false" outlineLevel="0" collapsed="false">
      <c r="A1582" s="571"/>
      <c r="B1582" s="483"/>
      <c r="C1582" s="433" t="s">
        <v>4132</v>
      </c>
      <c r="D1582" s="602" t="s">
        <v>4149</v>
      </c>
      <c r="E1582" s="602" t="n">
        <v>0.1</v>
      </c>
      <c r="F1582" s="361" t="n">
        <v>14000</v>
      </c>
      <c r="G1582" s="615" t="n">
        <f aca="false">F1582*E1582</f>
        <v>1400</v>
      </c>
      <c r="H1582" s="606"/>
    </row>
    <row r="1583" customFormat="false" ht="15" hidden="false" customHeight="false" outlineLevel="0" collapsed="false">
      <c r="A1583" s="571"/>
      <c r="B1583" s="483"/>
      <c r="C1583" s="433" t="s">
        <v>4216</v>
      </c>
      <c r="D1583" s="602" t="s">
        <v>4149</v>
      </c>
      <c r="E1583" s="602" t="n">
        <v>0.021</v>
      </c>
      <c r="F1583" s="361" t="n">
        <v>18000</v>
      </c>
      <c r="G1583" s="615" t="n">
        <f aca="false">F1583*E1583</f>
        <v>378</v>
      </c>
      <c r="H1583" s="606"/>
    </row>
    <row r="1584" customFormat="false" ht="15" hidden="false" customHeight="false" outlineLevel="0" collapsed="false">
      <c r="A1584" s="571"/>
      <c r="B1584" s="483"/>
      <c r="C1584" s="433" t="s">
        <v>4486</v>
      </c>
      <c r="D1584" s="602" t="s">
        <v>4149</v>
      </c>
      <c r="E1584" s="602" t="n">
        <v>0.03</v>
      </c>
      <c r="F1584" s="361" t="n">
        <v>14039</v>
      </c>
      <c r="G1584" s="615" t="n">
        <f aca="false">F1584*E1584</f>
        <v>421.17</v>
      </c>
      <c r="H1584" s="606"/>
    </row>
    <row r="1585" customFormat="false" ht="15" hidden="false" customHeight="false" outlineLevel="0" collapsed="false">
      <c r="A1585" s="571"/>
      <c r="B1585" s="483"/>
      <c r="C1585" s="374" t="s">
        <v>4122</v>
      </c>
      <c r="D1585" s="602" t="s">
        <v>4123</v>
      </c>
      <c r="E1585" s="602" t="n">
        <v>0.02</v>
      </c>
      <c r="F1585" s="619" t="n">
        <v>800</v>
      </c>
      <c r="G1585" s="615" t="n">
        <f aca="false">F1585*E1585</f>
        <v>16</v>
      </c>
      <c r="H1585" s="391"/>
    </row>
    <row r="1586" customFormat="false" ht="30" hidden="false" customHeight="false" outlineLevel="0" collapsed="false">
      <c r="A1586" s="571"/>
      <c r="B1586" s="483"/>
      <c r="C1586" s="374" t="s">
        <v>4487</v>
      </c>
      <c r="D1586" s="602" t="s">
        <v>4121</v>
      </c>
      <c r="E1586" s="602" t="n">
        <f aca="false">(1/100)*2</f>
        <v>0.02</v>
      </c>
      <c r="F1586" s="619" t="n">
        <v>49500</v>
      </c>
      <c r="G1586" s="615" t="n">
        <f aca="false">F1586*E1586</f>
        <v>990</v>
      </c>
      <c r="H1586" s="391"/>
    </row>
    <row r="1587" customFormat="false" ht="15" hidden="false" customHeight="false" outlineLevel="0" collapsed="false">
      <c r="A1587" s="571"/>
      <c r="B1587" s="483"/>
      <c r="C1587" s="433" t="s">
        <v>4120</v>
      </c>
      <c r="D1587" s="602" t="s">
        <v>4121</v>
      </c>
      <c r="E1587" s="602" t="n">
        <f aca="false">2/100</f>
        <v>0.02</v>
      </c>
      <c r="F1587" s="698" t="n">
        <v>1500</v>
      </c>
      <c r="G1587" s="615" t="n">
        <f aca="false">F1587*E1587</f>
        <v>30</v>
      </c>
      <c r="H1587" s="391"/>
    </row>
    <row r="1588" customFormat="false" ht="15" hidden="false" customHeight="false" outlineLevel="0" collapsed="false">
      <c r="A1588" s="571"/>
      <c r="B1588" s="483"/>
      <c r="C1588" s="603" t="s">
        <v>4124</v>
      </c>
      <c r="D1588" s="602" t="s">
        <v>4456</v>
      </c>
      <c r="E1588" s="602" t="n">
        <v>0.1</v>
      </c>
      <c r="F1588" s="619" t="n">
        <v>170</v>
      </c>
      <c r="G1588" s="615" t="n">
        <f aca="false">F1588*E1588</f>
        <v>17</v>
      </c>
      <c r="H1588" s="391"/>
    </row>
    <row r="1589" customFormat="false" ht="15" hidden="false" customHeight="false" outlineLevel="0" collapsed="false">
      <c r="A1589" s="571"/>
      <c r="B1589" s="483"/>
      <c r="C1589" s="603" t="s">
        <v>4347</v>
      </c>
      <c r="D1589" s="602" t="s">
        <v>4191</v>
      </c>
      <c r="E1589" s="602" t="n">
        <v>2</v>
      </c>
      <c r="F1589" s="619" t="n">
        <v>130</v>
      </c>
      <c r="G1589" s="615" t="n">
        <f aca="false">F1589*E1589</f>
        <v>260</v>
      </c>
      <c r="H1589" s="606"/>
    </row>
    <row r="1590" customFormat="false" ht="15" hidden="false" customHeight="false" outlineLevel="0" collapsed="false">
      <c r="A1590" s="571"/>
      <c r="B1590" s="483"/>
      <c r="C1590" s="603" t="s">
        <v>4457</v>
      </c>
      <c r="D1590" s="602" t="s">
        <v>4191</v>
      </c>
      <c r="E1590" s="602" t="n">
        <f aca="false">1/50</f>
        <v>0.02</v>
      </c>
      <c r="F1590" s="619" t="n">
        <v>1500</v>
      </c>
      <c r="G1590" s="615" t="n">
        <f aca="false">F1590*E1590</f>
        <v>30</v>
      </c>
      <c r="H1590" s="606"/>
    </row>
    <row r="1591" customFormat="false" ht="14.25" hidden="false" customHeight="true" outlineLevel="0" collapsed="false">
      <c r="A1591" s="571"/>
      <c r="B1591" s="483"/>
      <c r="C1591" s="603" t="s">
        <v>4126</v>
      </c>
      <c r="D1591" s="602" t="s">
        <v>4149</v>
      </c>
      <c r="E1591" s="602" t="n">
        <v>0.02</v>
      </c>
      <c r="F1591" s="619" t="n">
        <v>2700</v>
      </c>
      <c r="G1591" s="615" t="n">
        <f aca="false">F1591*E1591</f>
        <v>54</v>
      </c>
      <c r="H1591" s="606"/>
    </row>
    <row r="1592" customFormat="false" ht="15" hidden="false" customHeight="false" outlineLevel="0" collapsed="false">
      <c r="A1592" s="571"/>
      <c r="B1592" s="608" t="s">
        <v>4128</v>
      </c>
      <c r="C1592" s="609"/>
      <c r="D1592" s="610"/>
      <c r="E1592" s="611"/>
      <c r="F1592" s="612"/>
      <c r="G1592" s="613" t="n">
        <f aca="false">SUM(G1576:G1591)</f>
        <v>36595.506</v>
      </c>
      <c r="H1592" s="391"/>
    </row>
    <row r="1593" customFormat="false" ht="15" hidden="false" customHeight="true" outlineLevel="0" collapsed="false">
      <c r="A1593" s="571" t="s">
        <v>4488</v>
      </c>
      <c r="B1593" s="483" t="s">
        <v>2997</v>
      </c>
      <c r="C1593" s="433" t="s">
        <v>4482</v>
      </c>
      <c r="D1593" s="602" t="s">
        <v>4149</v>
      </c>
      <c r="E1593" s="602" t="n">
        <v>0.0595</v>
      </c>
      <c r="F1593" s="361" t="n">
        <v>54000</v>
      </c>
      <c r="G1593" s="615" t="n">
        <f aca="false">F1593*E1593</f>
        <v>3213</v>
      </c>
      <c r="H1593" s="606"/>
    </row>
    <row r="1594" customFormat="false" ht="15" hidden="false" customHeight="false" outlineLevel="0" collapsed="false">
      <c r="A1594" s="571"/>
      <c r="B1594" s="483"/>
      <c r="C1594" s="433" t="s">
        <v>4205</v>
      </c>
      <c r="D1594" s="602" t="s">
        <v>4149</v>
      </c>
      <c r="E1594" s="602" t="n">
        <v>0.011</v>
      </c>
      <c r="F1594" s="361" t="n">
        <v>10976</v>
      </c>
      <c r="G1594" s="615" t="n">
        <f aca="false">F1594*E1594</f>
        <v>120.736</v>
      </c>
      <c r="H1594" s="606"/>
    </row>
    <row r="1595" customFormat="false" ht="15" hidden="false" customHeight="false" outlineLevel="0" collapsed="false">
      <c r="A1595" s="571"/>
      <c r="B1595" s="483"/>
      <c r="C1595" s="433" t="s">
        <v>4483</v>
      </c>
      <c r="D1595" s="602" t="s">
        <v>4149</v>
      </c>
      <c r="E1595" s="602" t="n">
        <v>0.001</v>
      </c>
      <c r="F1595" s="361" t="n">
        <v>45600</v>
      </c>
      <c r="G1595" s="615" t="n">
        <f aca="false">F1595*E1595</f>
        <v>45.6</v>
      </c>
      <c r="H1595" s="606"/>
    </row>
    <row r="1596" customFormat="false" ht="15" hidden="false" customHeight="false" outlineLevel="0" collapsed="false">
      <c r="A1596" s="571"/>
      <c r="B1596" s="483"/>
      <c r="C1596" s="433" t="s">
        <v>4476</v>
      </c>
      <c r="D1596" s="606" t="s">
        <v>4149</v>
      </c>
      <c r="E1596" s="602" t="n">
        <v>0.001</v>
      </c>
      <c r="F1596" s="361" t="n">
        <v>640000</v>
      </c>
      <c r="G1596" s="615" t="n">
        <f aca="false">F1596*E1596</f>
        <v>640</v>
      </c>
      <c r="H1596" s="606"/>
    </row>
    <row r="1597" customFormat="false" ht="30" hidden="false" customHeight="false" outlineLevel="0" collapsed="false">
      <c r="A1597" s="571"/>
      <c r="B1597" s="483"/>
      <c r="C1597" s="433" t="s">
        <v>4484</v>
      </c>
      <c r="D1597" s="606" t="s">
        <v>4149</v>
      </c>
      <c r="E1597" s="602" t="n">
        <v>0.022</v>
      </c>
      <c r="F1597" s="703" t="n">
        <v>1240000</v>
      </c>
      <c r="G1597" s="615" t="n">
        <f aca="false">F1597*E1597</f>
        <v>27280</v>
      </c>
      <c r="H1597" s="391"/>
    </row>
    <row r="1598" customFormat="false" ht="15" hidden="false" customHeight="false" outlineLevel="0" collapsed="false">
      <c r="A1598" s="571"/>
      <c r="B1598" s="483"/>
      <c r="C1598" s="433" t="s">
        <v>4485</v>
      </c>
      <c r="D1598" s="602" t="s">
        <v>4149</v>
      </c>
      <c r="E1598" s="602" t="n">
        <v>0.1</v>
      </c>
      <c r="F1598" s="361" t="n">
        <v>17000</v>
      </c>
      <c r="G1598" s="615" t="n">
        <f aca="false">F1598*E1598</f>
        <v>1700</v>
      </c>
      <c r="H1598" s="606"/>
    </row>
    <row r="1599" customFormat="false" ht="15" hidden="false" customHeight="false" outlineLevel="0" collapsed="false">
      <c r="A1599" s="571"/>
      <c r="B1599" s="483"/>
      <c r="C1599" s="433" t="s">
        <v>4132</v>
      </c>
      <c r="D1599" s="602" t="s">
        <v>4149</v>
      </c>
      <c r="E1599" s="602" t="n">
        <v>0.1</v>
      </c>
      <c r="F1599" s="361" t="n">
        <v>14000</v>
      </c>
      <c r="G1599" s="615" t="n">
        <f aca="false">F1599*E1599</f>
        <v>1400</v>
      </c>
      <c r="H1599" s="606"/>
    </row>
    <row r="1600" customFormat="false" ht="15" hidden="false" customHeight="false" outlineLevel="0" collapsed="false">
      <c r="A1600" s="571"/>
      <c r="B1600" s="483"/>
      <c r="C1600" s="433" t="s">
        <v>4216</v>
      </c>
      <c r="D1600" s="602" t="s">
        <v>4149</v>
      </c>
      <c r="E1600" s="602" t="n">
        <v>0.021</v>
      </c>
      <c r="F1600" s="361" t="n">
        <v>18000</v>
      </c>
      <c r="G1600" s="615" t="n">
        <f aca="false">F1600*E1600</f>
        <v>378</v>
      </c>
      <c r="H1600" s="606"/>
    </row>
    <row r="1601" customFormat="false" ht="15" hidden="false" customHeight="false" outlineLevel="0" collapsed="false">
      <c r="A1601" s="571"/>
      <c r="B1601" s="483"/>
      <c r="C1601" s="433" t="s">
        <v>4486</v>
      </c>
      <c r="D1601" s="602" t="s">
        <v>4149</v>
      </c>
      <c r="E1601" s="602" t="n">
        <v>0.03</v>
      </c>
      <c r="F1601" s="361" t="n">
        <v>14039</v>
      </c>
      <c r="G1601" s="615" t="n">
        <f aca="false">F1601*E1601</f>
        <v>421.17</v>
      </c>
      <c r="H1601" s="606"/>
    </row>
    <row r="1602" customFormat="false" ht="15" hidden="false" customHeight="false" outlineLevel="0" collapsed="false">
      <c r="A1602" s="571"/>
      <c r="B1602" s="483"/>
      <c r="C1602" s="374" t="s">
        <v>4122</v>
      </c>
      <c r="D1602" s="602" t="s">
        <v>4123</v>
      </c>
      <c r="E1602" s="602" t="n">
        <v>0.02</v>
      </c>
      <c r="F1602" s="619" t="n">
        <v>800</v>
      </c>
      <c r="G1602" s="615" t="n">
        <f aca="false">F1602*E1602</f>
        <v>16</v>
      </c>
      <c r="H1602" s="606"/>
    </row>
    <row r="1603" customFormat="false" ht="30" hidden="false" customHeight="false" outlineLevel="0" collapsed="false">
      <c r="A1603" s="571"/>
      <c r="B1603" s="483"/>
      <c r="C1603" s="374" t="s">
        <v>4487</v>
      </c>
      <c r="D1603" s="602" t="s">
        <v>4121</v>
      </c>
      <c r="E1603" s="602" t="n">
        <f aca="false">(1/100)*2</f>
        <v>0.02</v>
      </c>
      <c r="F1603" s="619" t="n">
        <v>49500</v>
      </c>
      <c r="G1603" s="615" t="n">
        <f aca="false">F1603*E1603</f>
        <v>990</v>
      </c>
      <c r="H1603" s="606"/>
    </row>
    <row r="1604" customFormat="false" ht="15" hidden="false" customHeight="false" outlineLevel="0" collapsed="false">
      <c r="A1604" s="571"/>
      <c r="B1604" s="483"/>
      <c r="C1604" s="433" t="s">
        <v>4120</v>
      </c>
      <c r="D1604" s="602" t="s">
        <v>4121</v>
      </c>
      <c r="E1604" s="602" t="n">
        <f aca="false">2/100</f>
        <v>0.02</v>
      </c>
      <c r="F1604" s="698" t="n">
        <v>1500</v>
      </c>
      <c r="G1604" s="615" t="n">
        <f aca="false">F1604*E1604</f>
        <v>30</v>
      </c>
      <c r="H1604" s="606"/>
    </row>
    <row r="1605" customFormat="false" ht="15" hidden="false" customHeight="false" outlineLevel="0" collapsed="false">
      <c r="A1605" s="571"/>
      <c r="B1605" s="483"/>
      <c r="C1605" s="603" t="s">
        <v>4124</v>
      </c>
      <c r="D1605" s="602" t="s">
        <v>4456</v>
      </c>
      <c r="E1605" s="602" t="n">
        <v>0.1</v>
      </c>
      <c r="F1605" s="619" t="n">
        <v>170</v>
      </c>
      <c r="G1605" s="615" t="n">
        <f aca="false">F1605*E1605</f>
        <v>17</v>
      </c>
      <c r="H1605" s="606"/>
    </row>
    <row r="1606" customFormat="false" ht="15" hidden="false" customHeight="false" outlineLevel="0" collapsed="false">
      <c r="A1606" s="571"/>
      <c r="B1606" s="483"/>
      <c r="C1606" s="603" t="s">
        <v>4347</v>
      </c>
      <c r="D1606" s="602" t="s">
        <v>4191</v>
      </c>
      <c r="E1606" s="602" t="n">
        <v>2</v>
      </c>
      <c r="F1606" s="619" t="n">
        <v>130</v>
      </c>
      <c r="G1606" s="615" t="n">
        <f aca="false">F1606*E1606</f>
        <v>260</v>
      </c>
      <c r="H1606" s="606"/>
    </row>
    <row r="1607" customFormat="false" ht="15" hidden="false" customHeight="false" outlineLevel="0" collapsed="false">
      <c r="A1607" s="571"/>
      <c r="B1607" s="483"/>
      <c r="C1607" s="603" t="s">
        <v>4457</v>
      </c>
      <c r="D1607" s="602" t="s">
        <v>4191</v>
      </c>
      <c r="E1607" s="602" t="n">
        <f aca="false">1/50</f>
        <v>0.02</v>
      </c>
      <c r="F1607" s="619" t="n">
        <v>1500</v>
      </c>
      <c r="G1607" s="615" t="n">
        <f aca="false">F1607*E1607</f>
        <v>30</v>
      </c>
      <c r="H1607" s="606"/>
    </row>
    <row r="1608" customFormat="false" ht="15" hidden="false" customHeight="false" outlineLevel="0" collapsed="false">
      <c r="A1608" s="571"/>
      <c r="B1608" s="483"/>
      <c r="C1608" s="603" t="s">
        <v>4126</v>
      </c>
      <c r="D1608" s="602" t="s">
        <v>4149</v>
      </c>
      <c r="E1608" s="602" t="n">
        <v>0.02</v>
      </c>
      <c r="F1608" s="619" t="n">
        <v>2700</v>
      </c>
      <c r="G1608" s="615" t="n">
        <f aca="false">F1608*E1608</f>
        <v>54</v>
      </c>
      <c r="H1608" s="606"/>
    </row>
    <row r="1609" customFormat="false" ht="15" hidden="false" customHeight="false" outlineLevel="0" collapsed="false">
      <c r="A1609" s="571"/>
      <c r="B1609" s="608" t="s">
        <v>4128</v>
      </c>
      <c r="C1609" s="609"/>
      <c r="D1609" s="610"/>
      <c r="E1609" s="611"/>
      <c r="F1609" s="612"/>
      <c r="G1609" s="613" t="n">
        <f aca="false">SUM(G1593:G1608)</f>
        <v>36595.506</v>
      </c>
      <c r="H1609" s="391"/>
    </row>
    <row r="1610" customFormat="false" ht="15" hidden="false" customHeight="true" outlineLevel="0" collapsed="false">
      <c r="A1610" s="571" t="s">
        <v>4489</v>
      </c>
      <c r="B1610" s="483" t="s">
        <v>2998</v>
      </c>
      <c r="C1610" s="433" t="s">
        <v>4482</v>
      </c>
      <c r="D1610" s="602" t="s">
        <v>4149</v>
      </c>
      <c r="E1610" s="602" t="n">
        <v>0.055</v>
      </c>
      <c r="F1610" s="361" t="n">
        <v>54000</v>
      </c>
      <c r="G1610" s="615" t="n">
        <f aca="false">F1610*E1610</f>
        <v>2970</v>
      </c>
      <c r="H1610" s="606"/>
    </row>
    <row r="1611" customFormat="false" ht="15" hidden="false" customHeight="false" outlineLevel="0" collapsed="false">
      <c r="A1611" s="571"/>
      <c r="B1611" s="483"/>
      <c r="C1611" s="433" t="s">
        <v>4490</v>
      </c>
      <c r="D1611" s="606" t="s">
        <v>4149</v>
      </c>
      <c r="E1611" s="602" t="n">
        <v>0.665</v>
      </c>
      <c r="F1611" s="361" t="n">
        <v>12500</v>
      </c>
      <c r="G1611" s="615" t="n">
        <f aca="false">F1611*E1611</f>
        <v>8312.5</v>
      </c>
      <c r="H1611" s="606"/>
    </row>
    <row r="1612" customFormat="false" ht="15" hidden="false" customHeight="false" outlineLevel="0" collapsed="false">
      <c r="A1612" s="571"/>
      <c r="B1612" s="483"/>
      <c r="C1612" s="433" t="s">
        <v>4158</v>
      </c>
      <c r="D1612" s="606" t="s">
        <v>4149</v>
      </c>
      <c r="E1612" s="602" t="n">
        <v>0.08</v>
      </c>
      <c r="F1612" s="361" t="n">
        <v>7000</v>
      </c>
      <c r="G1612" s="615" t="n">
        <f aca="false">F1612*E1612</f>
        <v>560</v>
      </c>
      <c r="H1612" s="606"/>
    </row>
    <row r="1613" customFormat="false" ht="15" hidden="false" customHeight="false" outlineLevel="0" collapsed="false">
      <c r="A1613" s="571"/>
      <c r="B1613" s="483"/>
      <c r="C1613" s="433" t="s">
        <v>4485</v>
      </c>
      <c r="D1613" s="602" t="s">
        <v>4149</v>
      </c>
      <c r="E1613" s="602" t="n">
        <v>0.08</v>
      </c>
      <c r="F1613" s="361" t="n">
        <v>17000</v>
      </c>
      <c r="G1613" s="615" t="n">
        <f aca="false">F1613*E1613</f>
        <v>1360</v>
      </c>
      <c r="H1613" s="606"/>
    </row>
    <row r="1614" customFormat="false" ht="15" hidden="false" customHeight="false" outlineLevel="0" collapsed="false">
      <c r="A1614" s="571"/>
      <c r="B1614" s="483"/>
      <c r="C1614" s="433" t="s">
        <v>4132</v>
      </c>
      <c r="D1614" s="602" t="s">
        <v>4149</v>
      </c>
      <c r="E1614" s="602" t="n">
        <v>0.0755</v>
      </c>
      <c r="F1614" s="361" t="n">
        <v>14000</v>
      </c>
      <c r="G1614" s="615" t="n">
        <f aca="false">F1614*E1614</f>
        <v>1057</v>
      </c>
      <c r="H1614" s="606"/>
    </row>
    <row r="1615" customFormat="false" ht="15" hidden="false" customHeight="false" outlineLevel="0" collapsed="false">
      <c r="A1615" s="571"/>
      <c r="B1615" s="483"/>
      <c r="C1615" s="433" t="s">
        <v>4491</v>
      </c>
      <c r="D1615" s="704" t="s">
        <v>4149</v>
      </c>
      <c r="E1615" s="602" t="n">
        <v>0.05</v>
      </c>
      <c r="F1615" s="361" t="n">
        <v>28000</v>
      </c>
      <c r="G1615" s="615" t="n">
        <f aca="false">F1615*E1615</f>
        <v>1400</v>
      </c>
      <c r="H1615" s="606"/>
    </row>
    <row r="1616" customFormat="false" ht="30" hidden="false" customHeight="false" outlineLevel="0" collapsed="false">
      <c r="A1616" s="571"/>
      <c r="B1616" s="483"/>
      <c r="C1616" s="433" t="s">
        <v>4480</v>
      </c>
      <c r="D1616" s="606" t="s">
        <v>4131</v>
      </c>
      <c r="E1616" s="602" t="n">
        <v>1</v>
      </c>
      <c r="F1616" s="361" t="n">
        <v>12000</v>
      </c>
      <c r="G1616" s="615" t="n">
        <f aca="false">F1616*E1616</f>
        <v>12000</v>
      </c>
      <c r="H1616" s="606"/>
    </row>
    <row r="1617" customFormat="false" ht="15" hidden="false" customHeight="false" outlineLevel="0" collapsed="false">
      <c r="A1617" s="571"/>
      <c r="B1617" s="483"/>
      <c r="C1617" s="374" t="s">
        <v>4122</v>
      </c>
      <c r="D1617" s="602" t="s">
        <v>4123</v>
      </c>
      <c r="E1617" s="602" t="n">
        <v>0.1</v>
      </c>
      <c r="F1617" s="619" t="n">
        <v>800</v>
      </c>
      <c r="G1617" s="615" t="n">
        <f aca="false">F1617*E1617</f>
        <v>80</v>
      </c>
      <c r="H1617" s="606"/>
    </row>
    <row r="1618" customFormat="false" ht="15" hidden="false" customHeight="false" outlineLevel="0" collapsed="false">
      <c r="A1618" s="571"/>
      <c r="B1618" s="483"/>
      <c r="C1618" s="433" t="s">
        <v>4120</v>
      </c>
      <c r="D1618" s="602" t="s">
        <v>4121</v>
      </c>
      <c r="E1618" s="602" t="n">
        <f aca="false">2/100</f>
        <v>0.02</v>
      </c>
      <c r="F1618" s="698" t="n">
        <v>1500</v>
      </c>
      <c r="G1618" s="615" t="n">
        <f aca="false">F1618*E1618</f>
        <v>30</v>
      </c>
      <c r="H1618" s="606"/>
    </row>
    <row r="1619" customFormat="false" ht="15" hidden="false" customHeight="false" outlineLevel="0" collapsed="false">
      <c r="A1619" s="571"/>
      <c r="B1619" s="483"/>
      <c r="C1619" s="603" t="s">
        <v>4124</v>
      </c>
      <c r="D1619" s="602" t="s">
        <v>4456</v>
      </c>
      <c r="E1619" s="602" t="n">
        <v>0.1</v>
      </c>
      <c r="F1619" s="619" t="n">
        <v>170</v>
      </c>
      <c r="G1619" s="615" t="n">
        <f aca="false">F1619*E1619</f>
        <v>17</v>
      </c>
      <c r="H1619" s="606"/>
    </row>
    <row r="1620" customFormat="false" ht="15" hidden="false" customHeight="false" outlineLevel="0" collapsed="false">
      <c r="A1620" s="571"/>
      <c r="B1620" s="483"/>
      <c r="C1620" s="603" t="s">
        <v>4347</v>
      </c>
      <c r="D1620" s="602" t="s">
        <v>4191</v>
      </c>
      <c r="E1620" s="602" t="n">
        <v>2</v>
      </c>
      <c r="F1620" s="619" t="n">
        <v>130</v>
      </c>
      <c r="G1620" s="615" t="n">
        <f aca="false">F1620*E1620</f>
        <v>260</v>
      </c>
      <c r="H1620" s="606"/>
    </row>
    <row r="1621" customFormat="false" ht="15" hidden="false" customHeight="false" outlineLevel="0" collapsed="false">
      <c r="A1621" s="571"/>
      <c r="B1621" s="483"/>
      <c r="C1621" s="603" t="s">
        <v>4457</v>
      </c>
      <c r="D1621" s="602" t="s">
        <v>4191</v>
      </c>
      <c r="E1621" s="602" t="n">
        <v>0.05</v>
      </c>
      <c r="F1621" s="619" t="n">
        <v>1500</v>
      </c>
      <c r="G1621" s="615" t="n">
        <f aca="false">F1621*E1621</f>
        <v>75</v>
      </c>
      <c r="H1621" s="606"/>
    </row>
    <row r="1622" customFormat="false" ht="15" hidden="false" customHeight="false" outlineLevel="0" collapsed="false">
      <c r="A1622" s="571"/>
      <c r="B1622" s="483"/>
      <c r="C1622" s="603" t="s">
        <v>4126</v>
      </c>
      <c r="D1622" s="606" t="s">
        <v>4149</v>
      </c>
      <c r="E1622" s="602" t="n">
        <v>0.02</v>
      </c>
      <c r="F1622" s="619" t="n">
        <v>2700</v>
      </c>
      <c r="G1622" s="615" t="n">
        <f aca="false">F1622*E1622</f>
        <v>54</v>
      </c>
      <c r="H1622" s="606"/>
    </row>
    <row r="1623" customFormat="false" ht="15" hidden="false" customHeight="false" outlineLevel="0" collapsed="false">
      <c r="A1623" s="571"/>
      <c r="B1623" s="608" t="s">
        <v>4128</v>
      </c>
      <c r="C1623" s="609"/>
      <c r="D1623" s="610"/>
      <c r="E1623" s="611"/>
      <c r="F1623" s="612"/>
      <c r="G1623" s="613" t="n">
        <f aca="false">SUM(G1610:G1622)</f>
        <v>28175.5</v>
      </c>
      <c r="H1623" s="391"/>
    </row>
    <row r="1624" customFormat="false" ht="15" hidden="false" customHeight="true" outlineLevel="0" collapsed="false">
      <c r="A1624" s="571" t="s">
        <v>4492</v>
      </c>
      <c r="B1624" s="483" t="s">
        <v>2999</v>
      </c>
      <c r="C1624" s="433" t="s">
        <v>4414</v>
      </c>
      <c r="D1624" s="606" t="s">
        <v>4149</v>
      </c>
      <c r="E1624" s="602" t="n">
        <v>0.0964</v>
      </c>
      <c r="F1624" s="361" t="n">
        <v>200000</v>
      </c>
      <c r="G1624" s="615" t="n">
        <f aca="false">F1624*E1624</f>
        <v>19280</v>
      </c>
      <c r="H1624" s="606"/>
    </row>
    <row r="1625" customFormat="false" ht="30" hidden="false" customHeight="false" outlineLevel="0" collapsed="false">
      <c r="A1625" s="571"/>
      <c r="B1625" s="483"/>
      <c r="C1625" s="433" t="s">
        <v>4480</v>
      </c>
      <c r="D1625" s="606" t="s">
        <v>4131</v>
      </c>
      <c r="E1625" s="602" t="n">
        <v>1</v>
      </c>
      <c r="F1625" s="361" t="n">
        <v>12000</v>
      </c>
      <c r="G1625" s="615" t="n">
        <f aca="false">F1625*E1625</f>
        <v>12000</v>
      </c>
      <c r="H1625" s="606"/>
    </row>
    <row r="1626" customFormat="false" ht="15" hidden="false" customHeight="false" outlineLevel="0" collapsed="false">
      <c r="A1626" s="571"/>
      <c r="B1626" s="483"/>
      <c r="C1626" s="374" t="s">
        <v>4122</v>
      </c>
      <c r="D1626" s="602" t="s">
        <v>4123</v>
      </c>
      <c r="E1626" s="602" t="n">
        <v>0.11</v>
      </c>
      <c r="F1626" s="619" t="n">
        <v>800</v>
      </c>
      <c r="G1626" s="615" t="n">
        <f aca="false">F1626*E1626</f>
        <v>88</v>
      </c>
      <c r="H1626" s="606"/>
    </row>
    <row r="1627" customFormat="false" ht="15" hidden="false" customHeight="false" outlineLevel="0" collapsed="false">
      <c r="A1627" s="571"/>
      <c r="B1627" s="483"/>
      <c r="C1627" s="433" t="s">
        <v>4120</v>
      </c>
      <c r="D1627" s="602" t="s">
        <v>4121</v>
      </c>
      <c r="E1627" s="602" t="n">
        <f aca="false">2/100</f>
        <v>0.02</v>
      </c>
      <c r="F1627" s="698" t="n">
        <v>1500</v>
      </c>
      <c r="G1627" s="615" t="n">
        <f aca="false">F1627*E1627</f>
        <v>30</v>
      </c>
      <c r="H1627" s="606"/>
    </row>
    <row r="1628" customFormat="false" ht="15" hidden="false" customHeight="false" outlineLevel="0" collapsed="false">
      <c r="A1628" s="571"/>
      <c r="B1628" s="483"/>
      <c r="C1628" s="603" t="s">
        <v>4124</v>
      </c>
      <c r="D1628" s="602" t="s">
        <v>4456</v>
      </c>
      <c r="E1628" s="602" t="n">
        <v>0.1</v>
      </c>
      <c r="F1628" s="619" t="n">
        <v>170</v>
      </c>
      <c r="G1628" s="615" t="n">
        <f aca="false">F1628*E1628</f>
        <v>17</v>
      </c>
      <c r="H1628" s="606"/>
    </row>
    <row r="1629" customFormat="false" ht="15" hidden="false" customHeight="false" outlineLevel="0" collapsed="false">
      <c r="A1629" s="571"/>
      <c r="B1629" s="483"/>
      <c r="C1629" s="603" t="s">
        <v>4347</v>
      </c>
      <c r="D1629" s="602" t="s">
        <v>4191</v>
      </c>
      <c r="E1629" s="602" t="n">
        <v>2</v>
      </c>
      <c r="F1629" s="619" t="n">
        <v>130</v>
      </c>
      <c r="G1629" s="615" t="n">
        <f aca="false">F1629*E1629</f>
        <v>260</v>
      </c>
      <c r="H1629" s="606"/>
    </row>
    <row r="1630" customFormat="false" ht="15" hidden="false" customHeight="false" outlineLevel="0" collapsed="false">
      <c r="A1630" s="571"/>
      <c r="B1630" s="483"/>
      <c r="C1630" s="603" t="s">
        <v>4457</v>
      </c>
      <c r="D1630" s="602" t="s">
        <v>4191</v>
      </c>
      <c r="E1630" s="602" t="n">
        <f aca="false">1/50</f>
        <v>0.02</v>
      </c>
      <c r="F1630" s="619" t="n">
        <v>1500</v>
      </c>
      <c r="G1630" s="615" t="n">
        <f aca="false">F1630*E1630</f>
        <v>30</v>
      </c>
      <c r="H1630" s="606"/>
    </row>
    <row r="1631" customFormat="false" ht="15" hidden="false" customHeight="false" outlineLevel="0" collapsed="false">
      <c r="A1631" s="571"/>
      <c r="B1631" s="483"/>
      <c r="C1631" s="603" t="s">
        <v>4126</v>
      </c>
      <c r="D1631" s="606" t="s">
        <v>4149</v>
      </c>
      <c r="E1631" s="602" t="n">
        <v>0.02</v>
      </c>
      <c r="F1631" s="619" t="n">
        <v>2700</v>
      </c>
      <c r="G1631" s="615" t="n">
        <f aca="false">F1631*E1631</f>
        <v>54</v>
      </c>
      <c r="H1631" s="606"/>
    </row>
    <row r="1632" customFormat="false" ht="15" hidden="false" customHeight="false" outlineLevel="0" collapsed="false">
      <c r="A1632" s="571"/>
      <c r="B1632" s="608" t="s">
        <v>4128</v>
      </c>
      <c r="C1632" s="609"/>
      <c r="D1632" s="610"/>
      <c r="E1632" s="611"/>
      <c r="F1632" s="612"/>
      <c r="G1632" s="613" t="n">
        <f aca="false">SUM(G1624:G1631)</f>
        <v>31759</v>
      </c>
      <c r="H1632" s="391"/>
    </row>
    <row r="1633" customFormat="false" ht="15" hidden="false" customHeight="true" outlineLevel="0" collapsed="false">
      <c r="A1633" s="571" t="s">
        <v>4493</v>
      </c>
      <c r="B1633" s="483" t="s">
        <v>3000</v>
      </c>
      <c r="C1633" s="433" t="s">
        <v>4494</v>
      </c>
      <c r="D1633" s="606" t="s">
        <v>4131</v>
      </c>
      <c r="E1633" s="602" t="n">
        <v>1</v>
      </c>
      <c r="F1633" s="361" t="n">
        <v>10000</v>
      </c>
      <c r="G1633" s="615" t="n">
        <f aca="false">F1633*E1633</f>
        <v>10000</v>
      </c>
      <c r="H1633" s="606"/>
    </row>
    <row r="1634" customFormat="false" ht="15" hidden="false" customHeight="false" outlineLevel="0" collapsed="false">
      <c r="A1634" s="571"/>
      <c r="B1634" s="483"/>
      <c r="C1634" s="433" t="s">
        <v>4495</v>
      </c>
      <c r="D1634" s="606" t="s">
        <v>4131</v>
      </c>
      <c r="E1634" s="602" t="n">
        <v>1</v>
      </c>
      <c r="F1634" s="361" t="n">
        <v>10000</v>
      </c>
      <c r="G1634" s="615" t="n">
        <f aca="false">F1634*E1634</f>
        <v>10000</v>
      </c>
      <c r="H1634" s="606"/>
    </row>
    <row r="1635" customFormat="false" ht="15" hidden="false" customHeight="false" outlineLevel="0" collapsed="false">
      <c r="A1635" s="571"/>
      <c r="B1635" s="483"/>
      <c r="C1635" s="433" t="s">
        <v>4496</v>
      </c>
      <c r="D1635" s="606" t="s">
        <v>4131</v>
      </c>
      <c r="E1635" s="602" t="n">
        <v>1</v>
      </c>
      <c r="F1635" s="361" t="n">
        <v>10000</v>
      </c>
      <c r="G1635" s="615" t="n">
        <f aca="false">F1635*E1635</f>
        <v>10000</v>
      </c>
      <c r="H1635" s="391"/>
    </row>
    <row r="1636" customFormat="false" ht="15" hidden="false" customHeight="false" outlineLevel="0" collapsed="false">
      <c r="A1636" s="571"/>
      <c r="B1636" s="483"/>
      <c r="C1636" s="433" t="s">
        <v>4251</v>
      </c>
      <c r="D1636" s="606" t="s">
        <v>4252</v>
      </c>
      <c r="E1636" s="602" t="n">
        <v>0.35</v>
      </c>
      <c r="F1636" s="361" t="n">
        <v>275000</v>
      </c>
      <c r="G1636" s="615" t="n">
        <f aca="false">F1636*E1636</f>
        <v>96250</v>
      </c>
      <c r="H1636" s="606"/>
    </row>
    <row r="1637" customFormat="false" ht="15" hidden="false" customHeight="false" outlineLevel="0" collapsed="false">
      <c r="A1637" s="571"/>
      <c r="B1637" s="483"/>
      <c r="C1637" s="433" t="s">
        <v>4287</v>
      </c>
      <c r="D1637" s="606" t="s">
        <v>4252</v>
      </c>
      <c r="E1637" s="602" t="n">
        <v>0.55</v>
      </c>
      <c r="F1637" s="361" t="n">
        <v>225000</v>
      </c>
      <c r="G1637" s="615" t="n">
        <f aca="false">F1637*E1637</f>
        <v>123750</v>
      </c>
      <c r="H1637" s="606"/>
    </row>
    <row r="1638" customFormat="false" ht="15" hidden="false" customHeight="false" outlineLevel="0" collapsed="false">
      <c r="A1638" s="571"/>
      <c r="B1638" s="483"/>
      <c r="C1638" s="476" t="s">
        <v>4250</v>
      </c>
      <c r="D1638" s="606" t="s">
        <v>4149</v>
      </c>
      <c r="E1638" s="602" t="n">
        <v>0.045</v>
      </c>
      <c r="F1638" s="361" t="n">
        <v>25000</v>
      </c>
      <c r="G1638" s="615" t="n">
        <f aca="false">F1638*E1638</f>
        <v>1125</v>
      </c>
      <c r="H1638" s="606"/>
    </row>
    <row r="1639" customFormat="false" ht="15" hidden="false" customHeight="false" outlineLevel="0" collapsed="false">
      <c r="A1639" s="571"/>
      <c r="B1639" s="483"/>
      <c r="C1639" s="374" t="s">
        <v>4497</v>
      </c>
      <c r="D1639" s="602" t="s">
        <v>4121</v>
      </c>
      <c r="E1639" s="602" t="n">
        <v>0.0501</v>
      </c>
      <c r="F1639" s="698" t="n">
        <v>550000</v>
      </c>
      <c r="G1639" s="615" t="n">
        <f aca="false">F1639*E1639</f>
        <v>27555</v>
      </c>
      <c r="H1639" s="606"/>
    </row>
    <row r="1640" customFormat="false" ht="15" hidden="false" customHeight="false" outlineLevel="0" collapsed="false">
      <c r="A1640" s="571"/>
      <c r="B1640" s="483"/>
      <c r="C1640" s="374" t="s">
        <v>4122</v>
      </c>
      <c r="D1640" s="602" t="s">
        <v>4123</v>
      </c>
      <c r="E1640" s="602" t="n">
        <v>0.8</v>
      </c>
      <c r="F1640" s="619" t="n">
        <v>800</v>
      </c>
      <c r="G1640" s="615" t="n">
        <f aca="false">F1640*E1640</f>
        <v>640</v>
      </c>
      <c r="H1640" s="606"/>
    </row>
    <row r="1641" customFormat="false" ht="15" hidden="false" customHeight="false" outlineLevel="0" collapsed="false">
      <c r="A1641" s="571"/>
      <c r="B1641" s="483"/>
      <c r="C1641" s="433" t="s">
        <v>4120</v>
      </c>
      <c r="D1641" s="602" t="s">
        <v>4121</v>
      </c>
      <c r="E1641" s="602" t="n">
        <v>0.8</v>
      </c>
      <c r="F1641" s="698" t="n">
        <v>1500</v>
      </c>
      <c r="G1641" s="615" t="n">
        <f aca="false">F1641*E1641</f>
        <v>1200</v>
      </c>
      <c r="H1641" s="606"/>
    </row>
    <row r="1642" customFormat="false" ht="15" hidden="false" customHeight="false" outlineLevel="0" collapsed="false">
      <c r="A1642" s="571"/>
      <c r="B1642" s="483"/>
      <c r="C1642" s="603" t="s">
        <v>4124</v>
      </c>
      <c r="D1642" s="602" t="s">
        <v>4456</v>
      </c>
      <c r="E1642" s="602" t="n">
        <v>0.1</v>
      </c>
      <c r="F1642" s="619" t="n">
        <v>170</v>
      </c>
      <c r="G1642" s="615" t="n">
        <f aca="false">F1642*E1642</f>
        <v>17</v>
      </c>
      <c r="H1642" s="606"/>
    </row>
    <row r="1643" customFormat="false" ht="15" hidden="false" customHeight="false" outlineLevel="0" collapsed="false">
      <c r="A1643" s="571"/>
      <c r="B1643" s="483"/>
      <c r="C1643" s="603" t="s">
        <v>4347</v>
      </c>
      <c r="D1643" s="602" t="s">
        <v>4191</v>
      </c>
      <c r="E1643" s="602" t="n">
        <v>3</v>
      </c>
      <c r="F1643" s="619" t="n">
        <v>130</v>
      </c>
      <c r="G1643" s="615" t="n">
        <f aca="false">F1643*E1643</f>
        <v>390</v>
      </c>
      <c r="H1643" s="606"/>
    </row>
    <row r="1644" customFormat="false" ht="15" hidden="false" customHeight="false" outlineLevel="0" collapsed="false">
      <c r="A1644" s="571"/>
      <c r="B1644" s="483"/>
      <c r="C1644" s="603" t="s">
        <v>4457</v>
      </c>
      <c r="D1644" s="602" t="s">
        <v>4191</v>
      </c>
      <c r="E1644" s="602" t="n">
        <f aca="false">1/50</f>
        <v>0.02</v>
      </c>
      <c r="F1644" s="619" t="n">
        <v>1500</v>
      </c>
      <c r="G1644" s="615" t="n">
        <f aca="false">F1644*E1644</f>
        <v>30</v>
      </c>
      <c r="H1644" s="606"/>
    </row>
    <row r="1645" customFormat="false" ht="15" hidden="false" customHeight="false" outlineLevel="0" collapsed="false">
      <c r="A1645" s="571"/>
      <c r="B1645" s="483"/>
      <c r="C1645" s="603" t="s">
        <v>4126</v>
      </c>
      <c r="D1645" s="602" t="s">
        <v>4149</v>
      </c>
      <c r="E1645" s="602" t="n">
        <v>0.02</v>
      </c>
      <c r="F1645" s="619" t="n">
        <v>2700</v>
      </c>
      <c r="G1645" s="615" t="n">
        <f aca="false">F1645*E1645</f>
        <v>54</v>
      </c>
      <c r="H1645" s="606"/>
    </row>
    <row r="1646" customFormat="false" ht="15" hidden="false" customHeight="false" outlineLevel="0" collapsed="false">
      <c r="A1646" s="571"/>
      <c r="B1646" s="608" t="s">
        <v>4128</v>
      </c>
      <c r="C1646" s="609"/>
      <c r="D1646" s="610"/>
      <c r="E1646" s="611"/>
      <c r="F1646" s="612"/>
      <c r="G1646" s="613" t="n">
        <f aca="false">SUM(G1633:G1645)</f>
        <v>281011</v>
      </c>
      <c r="H1646" s="391"/>
    </row>
    <row r="1647" customFormat="false" ht="15" hidden="false" customHeight="true" outlineLevel="0" collapsed="false">
      <c r="A1647" s="571" t="s">
        <v>4498</v>
      </c>
      <c r="B1647" s="483" t="s">
        <v>3001</v>
      </c>
      <c r="C1647" s="433" t="s">
        <v>4494</v>
      </c>
      <c r="D1647" s="606" t="s">
        <v>4131</v>
      </c>
      <c r="E1647" s="602" t="n">
        <v>1</v>
      </c>
      <c r="F1647" s="361" t="n">
        <v>10000</v>
      </c>
      <c r="G1647" s="615" t="n">
        <f aca="false">F1647*E1647</f>
        <v>10000</v>
      </c>
      <c r="H1647" s="606"/>
    </row>
    <row r="1648" customFormat="false" ht="15" hidden="false" customHeight="false" outlineLevel="0" collapsed="false">
      <c r="A1648" s="571"/>
      <c r="B1648" s="483"/>
      <c r="C1648" s="433" t="s">
        <v>4495</v>
      </c>
      <c r="D1648" s="606" t="s">
        <v>4131</v>
      </c>
      <c r="E1648" s="602" t="n">
        <v>1</v>
      </c>
      <c r="F1648" s="361" t="n">
        <v>10000</v>
      </c>
      <c r="G1648" s="615" t="n">
        <f aca="false">F1648*E1648</f>
        <v>10000</v>
      </c>
      <c r="H1648" s="606"/>
    </row>
    <row r="1649" customFormat="false" ht="15" hidden="false" customHeight="false" outlineLevel="0" collapsed="false">
      <c r="A1649" s="571"/>
      <c r="B1649" s="483"/>
      <c r="C1649" s="433" t="s">
        <v>4496</v>
      </c>
      <c r="D1649" s="606" t="s">
        <v>4131</v>
      </c>
      <c r="E1649" s="602" t="n">
        <v>1</v>
      </c>
      <c r="F1649" s="361" t="n">
        <v>10000</v>
      </c>
      <c r="G1649" s="615" t="n">
        <f aca="false">F1649*E1649</f>
        <v>10000</v>
      </c>
      <c r="H1649" s="606"/>
    </row>
    <row r="1650" customFormat="false" ht="15" hidden="false" customHeight="false" outlineLevel="0" collapsed="false">
      <c r="A1650" s="571"/>
      <c r="B1650" s="483"/>
      <c r="C1650" s="433" t="s">
        <v>4251</v>
      </c>
      <c r="D1650" s="606" t="s">
        <v>4252</v>
      </c>
      <c r="E1650" s="602" t="n">
        <v>0.35</v>
      </c>
      <c r="F1650" s="361" t="n">
        <v>275000</v>
      </c>
      <c r="G1650" s="615" t="n">
        <f aca="false">F1650*E1650</f>
        <v>96250</v>
      </c>
      <c r="H1650" s="606"/>
    </row>
    <row r="1651" customFormat="false" ht="15" hidden="false" customHeight="false" outlineLevel="0" collapsed="false">
      <c r="A1651" s="571"/>
      <c r="B1651" s="483"/>
      <c r="C1651" s="433" t="s">
        <v>4287</v>
      </c>
      <c r="D1651" s="606" t="s">
        <v>4252</v>
      </c>
      <c r="E1651" s="602" t="n">
        <v>0.55</v>
      </c>
      <c r="F1651" s="361" t="n">
        <v>225000</v>
      </c>
      <c r="G1651" s="615" t="n">
        <f aca="false">F1651*E1651</f>
        <v>123750</v>
      </c>
      <c r="H1651" s="606"/>
    </row>
    <row r="1652" customFormat="false" ht="15" hidden="false" customHeight="false" outlineLevel="0" collapsed="false">
      <c r="A1652" s="571"/>
      <c r="B1652" s="483"/>
      <c r="C1652" s="476" t="s">
        <v>4250</v>
      </c>
      <c r="D1652" s="606" t="s">
        <v>4149</v>
      </c>
      <c r="E1652" s="602" t="n">
        <v>0.25</v>
      </c>
      <c r="F1652" s="361" t="n">
        <v>25000</v>
      </c>
      <c r="G1652" s="615" t="n">
        <f aca="false">F1652*E1652</f>
        <v>6250</v>
      </c>
      <c r="H1652" s="606"/>
    </row>
    <row r="1653" customFormat="false" ht="15" hidden="false" customHeight="false" outlineLevel="0" collapsed="false">
      <c r="A1653" s="571"/>
      <c r="B1653" s="483"/>
      <c r="C1653" s="374" t="s">
        <v>4497</v>
      </c>
      <c r="D1653" s="602" t="s">
        <v>4121</v>
      </c>
      <c r="E1653" s="602" t="n">
        <v>0.0398</v>
      </c>
      <c r="F1653" s="698" t="n">
        <v>550000</v>
      </c>
      <c r="G1653" s="615" t="n">
        <f aca="false">F1653*E1653</f>
        <v>21890</v>
      </c>
      <c r="H1653" s="606"/>
    </row>
    <row r="1654" customFormat="false" ht="15" hidden="false" customHeight="false" outlineLevel="0" collapsed="false">
      <c r="A1654" s="571"/>
      <c r="B1654" s="483"/>
      <c r="C1654" s="374" t="s">
        <v>4122</v>
      </c>
      <c r="D1654" s="602" t="s">
        <v>4123</v>
      </c>
      <c r="E1654" s="602" t="n">
        <v>0.981</v>
      </c>
      <c r="F1654" s="619" t="n">
        <v>800</v>
      </c>
      <c r="G1654" s="615" t="n">
        <f aca="false">F1654*E1654</f>
        <v>784.8</v>
      </c>
      <c r="H1654" s="606"/>
    </row>
    <row r="1655" customFormat="false" ht="15" hidden="false" customHeight="false" outlineLevel="0" collapsed="false">
      <c r="A1655" s="571"/>
      <c r="B1655" s="483"/>
      <c r="C1655" s="433" t="s">
        <v>4120</v>
      </c>
      <c r="D1655" s="602" t="s">
        <v>4121</v>
      </c>
      <c r="E1655" s="602" t="n">
        <v>0.551</v>
      </c>
      <c r="F1655" s="698" t="n">
        <v>1500</v>
      </c>
      <c r="G1655" s="615" t="n">
        <f aca="false">F1655*E1655</f>
        <v>826.5</v>
      </c>
      <c r="H1655" s="606"/>
    </row>
    <row r="1656" customFormat="false" ht="15" hidden="false" customHeight="false" outlineLevel="0" collapsed="false">
      <c r="A1656" s="571"/>
      <c r="B1656" s="483"/>
      <c r="C1656" s="603" t="s">
        <v>4124</v>
      </c>
      <c r="D1656" s="602" t="s">
        <v>4456</v>
      </c>
      <c r="E1656" s="602" t="n">
        <v>0.1</v>
      </c>
      <c r="F1656" s="619" t="n">
        <v>170</v>
      </c>
      <c r="G1656" s="615" t="n">
        <f aca="false">F1656*E1656</f>
        <v>17</v>
      </c>
      <c r="H1656" s="606"/>
    </row>
    <row r="1657" customFormat="false" ht="15" hidden="false" customHeight="false" outlineLevel="0" collapsed="false">
      <c r="A1657" s="571"/>
      <c r="B1657" s="483"/>
      <c r="C1657" s="603" t="s">
        <v>4347</v>
      </c>
      <c r="D1657" s="602" t="s">
        <v>4191</v>
      </c>
      <c r="E1657" s="602" t="n">
        <v>3</v>
      </c>
      <c r="F1657" s="619" t="n">
        <v>130</v>
      </c>
      <c r="G1657" s="615" t="n">
        <f aca="false">F1657*E1657</f>
        <v>390</v>
      </c>
      <c r="H1657" s="606"/>
    </row>
    <row r="1658" customFormat="false" ht="15" hidden="false" customHeight="false" outlineLevel="0" collapsed="false">
      <c r="A1658" s="571"/>
      <c r="B1658" s="483"/>
      <c r="C1658" s="603" t="s">
        <v>4457</v>
      </c>
      <c r="D1658" s="602" t="s">
        <v>4191</v>
      </c>
      <c r="E1658" s="602" t="n">
        <f aca="false">1/50</f>
        <v>0.02</v>
      </c>
      <c r="F1658" s="619" t="n">
        <v>1500</v>
      </c>
      <c r="G1658" s="615" t="n">
        <f aca="false">F1658*E1658</f>
        <v>30</v>
      </c>
      <c r="H1658" s="606"/>
    </row>
    <row r="1659" customFormat="false" ht="15" hidden="false" customHeight="false" outlineLevel="0" collapsed="false">
      <c r="A1659" s="571"/>
      <c r="B1659" s="483"/>
      <c r="C1659" s="603" t="s">
        <v>4126</v>
      </c>
      <c r="D1659" s="602" t="s">
        <v>4149</v>
      </c>
      <c r="E1659" s="602" t="n">
        <v>0.02</v>
      </c>
      <c r="F1659" s="619" t="n">
        <v>2700</v>
      </c>
      <c r="G1659" s="615" t="n">
        <f aca="false">F1659*E1659</f>
        <v>54</v>
      </c>
      <c r="H1659" s="606"/>
    </row>
    <row r="1660" customFormat="false" ht="15" hidden="false" customHeight="false" outlineLevel="0" collapsed="false">
      <c r="A1660" s="571"/>
      <c r="B1660" s="608" t="s">
        <v>4128</v>
      </c>
      <c r="C1660" s="609"/>
      <c r="D1660" s="610"/>
      <c r="E1660" s="611"/>
      <c r="F1660" s="612"/>
      <c r="G1660" s="613" t="n">
        <f aca="false">SUM(G1647:G1659)</f>
        <v>280242.3</v>
      </c>
      <c r="H1660" s="606"/>
    </row>
    <row r="1661" customFormat="false" ht="15" hidden="false" customHeight="true" outlineLevel="0" collapsed="false">
      <c r="A1661" s="571" t="s">
        <v>4499</v>
      </c>
      <c r="B1661" s="483" t="s">
        <v>3002</v>
      </c>
      <c r="C1661" s="433" t="s">
        <v>4494</v>
      </c>
      <c r="D1661" s="606" t="s">
        <v>4131</v>
      </c>
      <c r="E1661" s="602" t="n">
        <v>1</v>
      </c>
      <c r="F1661" s="361" t="n">
        <v>10000</v>
      </c>
      <c r="G1661" s="615" t="n">
        <f aca="false">F1661*E1661</f>
        <v>10000</v>
      </c>
      <c r="H1661" s="606"/>
    </row>
    <row r="1662" customFormat="false" ht="15" hidden="false" customHeight="false" outlineLevel="0" collapsed="false">
      <c r="A1662" s="571"/>
      <c r="B1662" s="483"/>
      <c r="C1662" s="433" t="s">
        <v>4495</v>
      </c>
      <c r="D1662" s="606" t="s">
        <v>4131</v>
      </c>
      <c r="E1662" s="602" t="n">
        <v>1</v>
      </c>
      <c r="F1662" s="361" t="n">
        <v>10000</v>
      </c>
      <c r="G1662" s="615" t="n">
        <f aca="false">F1662*E1662</f>
        <v>10000</v>
      </c>
      <c r="H1662" s="606"/>
    </row>
    <row r="1663" customFormat="false" ht="15" hidden="false" customHeight="false" outlineLevel="0" collapsed="false">
      <c r="A1663" s="571"/>
      <c r="B1663" s="483"/>
      <c r="C1663" s="433" t="s">
        <v>4496</v>
      </c>
      <c r="D1663" s="606" t="s">
        <v>4131</v>
      </c>
      <c r="E1663" s="602" t="n">
        <v>1</v>
      </c>
      <c r="F1663" s="361" t="n">
        <v>10000</v>
      </c>
      <c r="G1663" s="615" t="n">
        <f aca="false">F1663*E1663</f>
        <v>10000</v>
      </c>
      <c r="H1663" s="606"/>
    </row>
    <row r="1664" customFormat="false" ht="15" hidden="false" customHeight="false" outlineLevel="0" collapsed="false">
      <c r="A1664" s="571"/>
      <c r="B1664" s="483"/>
      <c r="C1664" s="433" t="s">
        <v>4251</v>
      </c>
      <c r="D1664" s="606" t="s">
        <v>4252</v>
      </c>
      <c r="E1664" s="602" t="n">
        <v>0.35</v>
      </c>
      <c r="F1664" s="361" t="n">
        <v>275000</v>
      </c>
      <c r="G1664" s="615" t="n">
        <f aca="false">F1664*E1664</f>
        <v>96250</v>
      </c>
      <c r="H1664" s="606"/>
    </row>
    <row r="1665" customFormat="false" ht="15" hidden="false" customHeight="false" outlineLevel="0" collapsed="false">
      <c r="A1665" s="571"/>
      <c r="B1665" s="483"/>
      <c r="C1665" s="433" t="s">
        <v>4287</v>
      </c>
      <c r="D1665" s="606" t="s">
        <v>4252</v>
      </c>
      <c r="E1665" s="602" t="n">
        <v>0.55</v>
      </c>
      <c r="F1665" s="361" t="n">
        <v>225000</v>
      </c>
      <c r="G1665" s="615" t="n">
        <f aca="false">F1665*E1665</f>
        <v>123750</v>
      </c>
      <c r="H1665" s="606"/>
    </row>
    <row r="1666" customFormat="false" ht="15" hidden="false" customHeight="false" outlineLevel="0" collapsed="false">
      <c r="A1666" s="571"/>
      <c r="B1666" s="483"/>
      <c r="C1666" s="476" t="s">
        <v>4250</v>
      </c>
      <c r="D1666" s="606" t="s">
        <v>4149</v>
      </c>
      <c r="E1666" s="602" t="n">
        <v>0.25</v>
      </c>
      <c r="F1666" s="361" t="n">
        <v>25000</v>
      </c>
      <c r="G1666" s="615" t="n">
        <f aca="false">F1666*E1666</f>
        <v>6250</v>
      </c>
      <c r="H1666" s="606"/>
    </row>
    <row r="1667" customFormat="false" ht="15" hidden="false" customHeight="false" outlineLevel="0" collapsed="false">
      <c r="A1667" s="571"/>
      <c r="B1667" s="483"/>
      <c r="C1667" s="374" t="s">
        <v>4497</v>
      </c>
      <c r="D1667" s="602" t="s">
        <v>4121</v>
      </c>
      <c r="E1667" s="602" t="n">
        <v>0.0398</v>
      </c>
      <c r="F1667" s="698" t="n">
        <v>550000</v>
      </c>
      <c r="G1667" s="615" t="n">
        <f aca="false">F1667*E1667</f>
        <v>21890</v>
      </c>
      <c r="H1667" s="606"/>
    </row>
    <row r="1668" customFormat="false" ht="15" hidden="false" customHeight="false" outlineLevel="0" collapsed="false">
      <c r="A1668" s="571"/>
      <c r="B1668" s="483"/>
      <c r="C1668" s="374" t="s">
        <v>4122</v>
      </c>
      <c r="D1668" s="602" t="s">
        <v>4123</v>
      </c>
      <c r="E1668" s="602" t="n">
        <v>0.981</v>
      </c>
      <c r="F1668" s="619" t="n">
        <v>800</v>
      </c>
      <c r="G1668" s="615" t="n">
        <f aca="false">F1668*E1668</f>
        <v>784.8</v>
      </c>
      <c r="H1668" s="606"/>
    </row>
    <row r="1669" customFormat="false" ht="15" hidden="false" customHeight="false" outlineLevel="0" collapsed="false">
      <c r="A1669" s="571"/>
      <c r="B1669" s="483"/>
      <c r="C1669" s="433" t="s">
        <v>4120</v>
      </c>
      <c r="D1669" s="602" t="s">
        <v>4121</v>
      </c>
      <c r="E1669" s="602" t="n">
        <v>0.551</v>
      </c>
      <c r="F1669" s="698" t="n">
        <v>1500</v>
      </c>
      <c r="G1669" s="615" t="n">
        <f aca="false">F1669*E1669</f>
        <v>826.5</v>
      </c>
      <c r="H1669" s="606"/>
    </row>
    <row r="1670" customFormat="false" ht="15" hidden="false" customHeight="false" outlineLevel="0" collapsed="false">
      <c r="A1670" s="571"/>
      <c r="B1670" s="483"/>
      <c r="C1670" s="603" t="s">
        <v>4124</v>
      </c>
      <c r="D1670" s="602" t="s">
        <v>4456</v>
      </c>
      <c r="E1670" s="602" t="n">
        <v>0.1</v>
      </c>
      <c r="F1670" s="619" t="n">
        <v>170</v>
      </c>
      <c r="G1670" s="615" t="n">
        <f aca="false">F1670*E1670</f>
        <v>17</v>
      </c>
      <c r="H1670" s="606"/>
    </row>
    <row r="1671" customFormat="false" ht="15" hidden="false" customHeight="false" outlineLevel="0" collapsed="false">
      <c r="A1671" s="571"/>
      <c r="B1671" s="483"/>
      <c r="C1671" s="603" t="s">
        <v>4347</v>
      </c>
      <c r="D1671" s="602" t="s">
        <v>4191</v>
      </c>
      <c r="E1671" s="602" t="n">
        <v>3</v>
      </c>
      <c r="F1671" s="619" t="n">
        <v>130</v>
      </c>
      <c r="G1671" s="615" t="n">
        <f aca="false">F1671*E1671</f>
        <v>390</v>
      </c>
      <c r="H1671" s="606"/>
    </row>
    <row r="1672" customFormat="false" ht="15" hidden="false" customHeight="false" outlineLevel="0" collapsed="false">
      <c r="A1672" s="571"/>
      <c r="B1672" s="483"/>
      <c r="C1672" s="603" t="s">
        <v>4457</v>
      </c>
      <c r="D1672" s="602" t="s">
        <v>4191</v>
      </c>
      <c r="E1672" s="602" t="n">
        <f aca="false">1/50</f>
        <v>0.02</v>
      </c>
      <c r="F1672" s="619" t="n">
        <v>1500</v>
      </c>
      <c r="G1672" s="615" t="n">
        <f aca="false">F1672*E1672</f>
        <v>30</v>
      </c>
      <c r="H1672" s="606"/>
    </row>
    <row r="1673" customFormat="false" ht="15" hidden="false" customHeight="false" outlineLevel="0" collapsed="false">
      <c r="A1673" s="571"/>
      <c r="B1673" s="483"/>
      <c r="C1673" s="603" t="s">
        <v>4126</v>
      </c>
      <c r="D1673" s="602" t="s">
        <v>4149</v>
      </c>
      <c r="E1673" s="602" t="n">
        <v>0.02</v>
      </c>
      <c r="F1673" s="619" t="n">
        <v>2700</v>
      </c>
      <c r="G1673" s="615" t="n">
        <f aca="false">F1673*E1673</f>
        <v>54</v>
      </c>
      <c r="H1673" s="606"/>
    </row>
    <row r="1674" customFormat="false" ht="15" hidden="false" customHeight="false" outlineLevel="0" collapsed="false">
      <c r="A1674" s="571"/>
      <c r="B1674" s="608" t="s">
        <v>4128</v>
      </c>
      <c r="C1674" s="609"/>
      <c r="D1674" s="610"/>
      <c r="E1674" s="611"/>
      <c r="F1674" s="612"/>
      <c r="G1674" s="613" t="n">
        <f aca="false">SUM(G1661:G1673)</f>
        <v>280242.3</v>
      </c>
      <c r="H1674" s="391"/>
    </row>
    <row r="1675" customFormat="false" ht="15" hidden="false" customHeight="true" outlineLevel="0" collapsed="false">
      <c r="A1675" s="571" t="s">
        <v>4500</v>
      </c>
      <c r="B1675" s="483" t="s">
        <v>3003</v>
      </c>
      <c r="C1675" s="433" t="s">
        <v>4251</v>
      </c>
      <c r="D1675" s="606" t="s">
        <v>4252</v>
      </c>
      <c r="E1675" s="602" t="n">
        <v>0.351</v>
      </c>
      <c r="F1675" s="361" t="n">
        <v>275000</v>
      </c>
      <c r="G1675" s="615" t="n">
        <f aca="false">F1675*E1675</f>
        <v>96525</v>
      </c>
      <c r="H1675" s="606"/>
    </row>
    <row r="1676" customFormat="false" ht="15" hidden="false" customHeight="false" outlineLevel="0" collapsed="false">
      <c r="A1676" s="571"/>
      <c r="B1676" s="483"/>
      <c r="C1676" s="433" t="s">
        <v>4287</v>
      </c>
      <c r="D1676" s="606" t="s">
        <v>4252</v>
      </c>
      <c r="E1676" s="602" t="n">
        <v>0.55</v>
      </c>
      <c r="F1676" s="361" t="n">
        <v>225000</v>
      </c>
      <c r="G1676" s="615" t="n">
        <f aca="false">F1676*E1676</f>
        <v>123750</v>
      </c>
      <c r="H1676" s="606"/>
    </row>
    <row r="1677" customFormat="false" ht="15" hidden="false" customHeight="false" outlineLevel="0" collapsed="false">
      <c r="A1677" s="571"/>
      <c r="B1677" s="483"/>
      <c r="C1677" s="476" t="s">
        <v>4250</v>
      </c>
      <c r="D1677" s="606" t="s">
        <v>4149</v>
      </c>
      <c r="E1677" s="602" t="n">
        <v>0.995</v>
      </c>
      <c r="F1677" s="361" t="n">
        <v>25000</v>
      </c>
      <c r="G1677" s="615" t="n">
        <f aca="false">F1677*E1677</f>
        <v>24875</v>
      </c>
      <c r="H1677" s="606"/>
    </row>
    <row r="1678" customFormat="false" ht="15" hidden="false" customHeight="false" outlineLevel="0" collapsed="false">
      <c r="A1678" s="571"/>
      <c r="B1678" s="483"/>
      <c r="C1678" s="374" t="s">
        <v>4497</v>
      </c>
      <c r="D1678" s="602" t="s">
        <v>4191</v>
      </c>
      <c r="E1678" s="602" t="n">
        <v>0.052</v>
      </c>
      <c r="F1678" s="698" t="n">
        <v>550000</v>
      </c>
      <c r="G1678" s="615" t="n">
        <f aca="false">F1678*E1678</f>
        <v>28600</v>
      </c>
      <c r="H1678" s="606"/>
    </row>
    <row r="1679" customFormat="false" ht="15" hidden="false" customHeight="false" outlineLevel="0" collapsed="false">
      <c r="A1679" s="571"/>
      <c r="B1679" s="483"/>
      <c r="C1679" s="374" t="s">
        <v>4122</v>
      </c>
      <c r="D1679" s="602" t="s">
        <v>4123</v>
      </c>
      <c r="E1679" s="602" t="n">
        <v>0.999</v>
      </c>
      <c r="F1679" s="619" t="n">
        <v>800</v>
      </c>
      <c r="G1679" s="615" t="n">
        <f aca="false">F1679*E1679</f>
        <v>799.2</v>
      </c>
      <c r="H1679" s="606"/>
    </row>
    <row r="1680" customFormat="false" ht="15" hidden="false" customHeight="false" outlineLevel="0" collapsed="false">
      <c r="A1680" s="571"/>
      <c r="B1680" s="483"/>
      <c r="C1680" s="433" t="s">
        <v>4120</v>
      </c>
      <c r="D1680" s="602" t="s">
        <v>4121</v>
      </c>
      <c r="E1680" s="602" t="n">
        <v>0.551</v>
      </c>
      <c r="F1680" s="698" t="n">
        <v>1500</v>
      </c>
      <c r="G1680" s="615" t="n">
        <f aca="false">F1680*E1680</f>
        <v>826.5</v>
      </c>
      <c r="H1680" s="606"/>
    </row>
    <row r="1681" customFormat="false" ht="15" hidden="false" customHeight="false" outlineLevel="0" collapsed="false">
      <c r="A1681" s="571"/>
      <c r="B1681" s="483"/>
      <c r="C1681" s="603" t="s">
        <v>4124</v>
      </c>
      <c r="D1681" s="602" t="s">
        <v>4456</v>
      </c>
      <c r="E1681" s="602" t="n">
        <v>0.901</v>
      </c>
      <c r="F1681" s="619" t="n">
        <v>170</v>
      </c>
      <c r="G1681" s="615" t="n">
        <f aca="false">F1681*E1681</f>
        <v>153.17</v>
      </c>
      <c r="H1681" s="606"/>
    </row>
    <row r="1682" customFormat="false" ht="15" hidden="false" customHeight="false" outlineLevel="0" collapsed="false">
      <c r="A1682" s="571"/>
      <c r="B1682" s="483"/>
      <c r="C1682" s="603" t="s">
        <v>4347</v>
      </c>
      <c r="D1682" s="602" t="s">
        <v>4191</v>
      </c>
      <c r="E1682" s="602" t="n">
        <v>3.1</v>
      </c>
      <c r="F1682" s="619" t="n">
        <v>130</v>
      </c>
      <c r="G1682" s="615" t="n">
        <f aca="false">F1682*E1682</f>
        <v>403</v>
      </c>
      <c r="H1682" s="606"/>
    </row>
    <row r="1683" customFormat="false" ht="15" hidden="false" customHeight="false" outlineLevel="0" collapsed="false">
      <c r="A1683" s="571"/>
      <c r="B1683" s="483"/>
      <c r="C1683" s="603" t="s">
        <v>4457</v>
      </c>
      <c r="D1683" s="602" t="s">
        <v>4191</v>
      </c>
      <c r="E1683" s="602" t="n">
        <f aca="false">1/50</f>
        <v>0.02</v>
      </c>
      <c r="F1683" s="619" t="n">
        <v>1500</v>
      </c>
      <c r="G1683" s="615" t="n">
        <f aca="false">F1683*E1683</f>
        <v>30</v>
      </c>
      <c r="H1683" s="606"/>
    </row>
    <row r="1684" customFormat="false" ht="15" hidden="false" customHeight="false" outlineLevel="0" collapsed="false">
      <c r="A1684" s="571"/>
      <c r="B1684" s="483"/>
      <c r="C1684" s="603" t="s">
        <v>4126</v>
      </c>
      <c r="D1684" s="602" t="s">
        <v>4149</v>
      </c>
      <c r="E1684" s="602" t="n">
        <v>0.02</v>
      </c>
      <c r="F1684" s="619" t="n">
        <v>2700</v>
      </c>
      <c r="G1684" s="615" t="n">
        <f aca="false">F1684*E1684</f>
        <v>54</v>
      </c>
      <c r="H1684" s="606"/>
    </row>
    <row r="1685" customFormat="false" ht="15" hidden="false" customHeight="false" outlineLevel="0" collapsed="false">
      <c r="A1685" s="571"/>
      <c r="B1685" s="608" t="s">
        <v>4128</v>
      </c>
      <c r="C1685" s="609"/>
      <c r="D1685" s="610"/>
      <c r="E1685" s="611"/>
      <c r="F1685" s="612"/>
      <c r="G1685" s="613" t="n">
        <f aca="false">SUM(G1675:G1684)</f>
        <v>276015.87</v>
      </c>
      <c r="H1685" s="391"/>
    </row>
    <row r="1686" customFormat="false" ht="15" hidden="false" customHeight="true" outlineLevel="0" collapsed="false">
      <c r="A1686" s="571" t="s">
        <v>4501</v>
      </c>
      <c r="B1686" s="483" t="s">
        <v>3004</v>
      </c>
      <c r="C1686" s="433" t="s">
        <v>4251</v>
      </c>
      <c r="D1686" s="606" t="s">
        <v>4252</v>
      </c>
      <c r="E1686" s="602" t="n">
        <v>0.351</v>
      </c>
      <c r="F1686" s="361" t="n">
        <v>275000</v>
      </c>
      <c r="G1686" s="615" t="n">
        <f aca="false">F1686*E1686</f>
        <v>96525</v>
      </c>
      <c r="H1686" s="606"/>
    </row>
    <row r="1687" customFormat="false" ht="15" hidden="false" customHeight="false" outlineLevel="0" collapsed="false">
      <c r="A1687" s="571"/>
      <c r="B1687" s="483"/>
      <c r="C1687" s="433" t="s">
        <v>4287</v>
      </c>
      <c r="D1687" s="606" t="s">
        <v>4252</v>
      </c>
      <c r="E1687" s="602" t="n">
        <v>0.55</v>
      </c>
      <c r="F1687" s="361" t="n">
        <v>225000</v>
      </c>
      <c r="G1687" s="615" t="n">
        <f aca="false">F1687*E1687</f>
        <v>123750</v>
      </c>
      <c r="H1687" s="606"/>
    </row>
    <row r="1688" customFormat="false" ht="15" hidden="false" customHeight="false" outlineLevel="0" collapsed="false">
      <c r="A1688" s="571"/>
      <c r="B1688" s="483"/>
      <c r="C1688" s="476" t="s">
        <v>4250</v>
      </c>
      <c r="D1688" s="606" t="s">
        <v>4149</v>
      </c>
      <c r="E1688" s="602" t="n">
        <v>0.995</v>
      </c>
      <c r="F1688" s="361" t="n">
        <v>25000</v>
      </c>
      <c r="G1688" s="615" t="n">
        <f aca="false">F1688*E1688</f>
        <v>24875</v>
      </c>
      <c r="H1688" s="391"/>
    </row>
    <row r="1689" customFormat="false" ht="15" hidden="false" customHeight="false" outlineLevel="0" collapsed="false">
      <c r="A1689" s="571"/>
      <c r="B1689" s="483"/>
      <c r="C1689" s="374" t="s">
        <v>4497</v>
      </c>
      <c r="D1689" s="602" t="s">
        <v>4191</v>
      </c>
      <c r="E1689" s="602" t="n">
        <v>0.052</v>
      </c>
      <c r="F1689" s="698" t="n">
        <v>550000</v>
      </c>
      <c r="G1689" s="615" t="n">
        <f aca="false">F1689*E1689</f>
        <v>28600</v>
      </c>
      <c r="H1689" s="391"/>
    </row>
    <row r="1690" customFormat="false" ht="15" hidden="false" customHeight="false" outlineLevel="0" collapsed="false">
      <c r="A1690" s="571"/>
      <c r="B1690" s="483"/>
      <c r="C1690" s="374" t="s">
        <v>4122</v>
      </c>
      <c r="D1690" s="602" t="s">
        <v>4123</v>
      </c>
      <c r="E1690" s="602" t="n">
        <v>0.999</v>
      </c>
      <c r="F1690" s="619" t="n">
        <v>800</v>
      </c>
      <c r="G1690" s="615" t="n">
        <f aca="false">F1690*E1690</f>
        <v>799.2</v>
      </c>
      <c r="H1690" s="391"/>
    </row>
    <row r="1691" customFormat="false" ht="15" hidden="false" customHeight="false" outlineLevel="0" collapsed="false">
      <c r="A1691" s="571"/>
      <c r="B1691" s="483"/>
      <c r="C1691" s="433" t="s">
        <v>4120</v>
      </c>
      <c r="D1691" s="602" t="s">
        <v>4121</v>
      </c>
      <c r="E1691" s="602" t="n">
        <v>0.551</v>
      </c>
      <c r="F1691" s="698" t="n">
        <v>1500</v>
      </c>
      <c r="G1691" s="615" t="n">
        <f aca="false">F1691*E1691</f>
        <v>826.5</v>
      </c>
      <c r="H1691" s="606"/>
    </row>
    <row r="1692" customFormat="false" ht="15" hidden="false" customHeight="false" outlineLevel="0" collapsed="false">
      <c r="A1692" s="571"/>
      <c r="B1692" s="483"/>
      <c r="C1692" s="603" t="s">
        <v>4124</v>
      </c>
      <c r="D1692" s="602" t="s">
        <v>4456</v>
      </c>
      <c r="E1692" s="602" t="n">
        <v>0.901</v>
      </c>
      <c r="F1692" s="619" t="n">
        <v>170</v>
      </c>
      <c r="G1692" s="615" t="n">
        <f aca="false">F1692*E1692</f>
        <v>153.17</v>
      </c>
      <c r="H1692" s="606"/>
    </row>
    <row r="1693" customFormat="false" ht="15" hidden="false" customHeight="false" outlineLevel="0" collapsed="false">
      <c r="A1693" s="571"/>
      <c r="B1693" s="483"/>
      <c r="C1693" s="603" t="s">
        <v>4347</v>
      </c>
      <c r="D1693" s="602" t="s">
        <v>4191</v>
      </c>
      <c r="E1693" s="602" t="n">
        <v>3.1</v>
      </c>
      <c r="F1693" s="619" t="n">
        <v>130</v>
      </c>
      <c r="G1693" s="615" t="n">
        <f aca="false">F1693*E1693</f>
        <v>403</v>
      </c>
      <c r="H1693" s="606"/>
    </row>
    <row r="1694" customFormat="false" ht="15" hidden="false" customHeight="false" outlineLevel="0" collapsed="false">
      <c r="A1694" s="571"/>
      <c r="B1694" s="483"/>
      <c r="C1694" s="603" t="s">
        <v>4457</v>
      </c>
      <c r="D1694" s="602" t="s">
        <v>4191</v>
      </c>
      <c r="E1694" s="602" t="n">
        <f aca="false">1/50</f>
        <v>0.02</v>
      </c>
      <c r="F1694" s="619" t="n">
        <v>1500</v>
      </c>
      <c r="G1694" s="615" t="n">
        <f aca="false">F1694*E1694</f>
        <v>30</v>
      </c>
      <c r="H1694" s="606"/>
    </row>
    <row r="1695" customFormat="false" ht="15" hidden="false" customHeight="false" outlineLevel="0" collapsed="false">
      <c r="A1695" s="571"/>
      <c r="B1695" s="483"/>
      <c r="C1695" s="603" t="s">
        <v>4126</v>
      </c>
      <c r="D1695" s="602" t="s">
        <v>4149</v>
      </c>
      <c r="E1695" s="602" t="n">
        <v>0.02</v>
      </c>
      <c r="F1695" s="619" t="n">
        <v>2700</v>
      </c>
      <c r="G1695" s="615" t="n">
        <f aca="false">F1695*E1695</f>
        <v>54</v>
      </c>
      <c r="H1695" s="606"/>
    </row>
    <row r="1696" customFormat="false" ht="15" hidden="false" customHeight="true" outlineLevel="0" collapsed="false">
      <c r="A1696" s="571"/>
      <c r="B1696" s="608" t="s">
        <v>4128</v>
      </c>
      <c r="C1696" s="609"/>
      <c r="D1696" s="610"/>
      <c r="E1696" s="611"/>
      <c r="F1696" s="612"/>
      <c r="G1696" s="613" t="n">
        <f aca="false">SUM(G1686:G1695)</f>
        <v>276015.87</v>
      </c>
      <c r="H1696" s="391"/>
    </row>
    <row r="1697" customFormat="false" ht="30" hidden="false" customHeight="true" outlineLevel="0" collapsed="false">
      <c r="A1697" s="571" t="s">
        <v>4502</v>
      </c>
      <c r="B1697" s="483" t="s">
        <v>3005</v>
      </c>
      <c r="C1697" s="433" t="s">
        <v>4480</v>
      </c>
      <c r="D1697" s="606" t="s">
        <v>4131</v>
      </c>
      <c r="E1697" s="705" t="n">
        <v>0.61</v>
      </c>
      <c r="F1697" s="361" t="n">
        <v>12000</v>
      </c>
      <c r="G1697" s="615" t="n">
        <f aca="false">F1697*E1697</f>
        <v>7320</v>
      </c>
      <c r="H1697" s="606"/>
    </row>
    <row r="1698" customFormat="false" ht="30" hidden="false" customHeight="false" outlineLevel="0" collapsed="false">
      <c r="A1698" s="571"/>
      <c r="B1698" s="483"/>
      <c r="C1698" s="433" t="s">
        <v>4475</v>
      </c>
      <c r="D1698" s="606" t="s">
        <v>4131</v>
      </c>
      <c r="E1698" s="705" t="n">
        <v>0.5</v>
      </c>
      <c r="F1698" s="361" t="n">
        <v>14000</v>
      </c>
      <c r="G1698" s="615" t="n">
        <f aca="false">F1698*E1698</f>
        <v>7000</v>
      </c>
      <c r="H1698" s="606"/>
    </row>
    <row r="1699" customFormat="false" ht="30" hidden="false" customHeight="false" outlineLevel="0" collapsed="false">
      <c r="A1699" s="571"/>
      <c r="B1699" s="483"/>
      <c r="C1699" s="614" t="s">
        <v>4467</v>
      </c>
      <c r="D1699" s="606" t="s">
        <v>4131</v>
      </c>
      <c r="E1699" s="705" t="n">
        <v>0.51</v>
      </c>
      <c r="F1699" s="361" t="n">
        <v>10192</v>
      </c>
      <c r="G1699" s="615" t="n">
        <f aca="false">F1699*E1699</f>
        <v>5197.92</v>
      </c>
      <c r="H1699" s="606"/>
    </row>
    <row r="1700" customFormat="false" ht="30" hidden="false" customHeight="false" outlineLevel="0" collapsed="false">
      <c r="A1700" s="571"/>
      <c r="B1700" s="483"/>
      <c r="C1700" s="433" t="s">
        <v>4472</v>
      </c>
      <c r="D1700" s="606" t="s">
        <v>4131</v>
      </c>
      <c r="E1700" s="705" t="n">
        <v>0.5</v>
      </c>
      <c r="F1700" s="361" t="n">
        <v>12500</v>
      </c>
      <c r="G1700" s="615" t="n">
        <f aca="false">F1700*E1700</f>
        <v>6250</v>
      </c>
      <c r="H1700" s="606"/>
    </row>
    <row r="1701" customFormat="false" ht="15" hidden="false" customHeight="false" outlineLevel="0" collapsed="false">
      <c r="A1701" s="571"/>
      <c r="B1701" s="483"/>
      <c r="C1701" s="433" t="s">
        <v>4205</v>
      </c>
      <c r="D1701" s="606" t="s">
        <v>4149</v>
      </c>
      <c r="E1701" s="602" t="n">
        <v>0.0995</v>
      </c>
      <c r="F1701" s="361" t="n">
        <v>10976</v>
      </c>
      <c r="G1701" s="615" t="n">
        <f aca="false">F1701*E1701</f>
        <v>1092.112</v>
      </c>
      <c r="H1701" s="606"/>
    </row>
    <row r="1702" customFormat="false" ht="15" hidden="false" customHeight="false" outlineLevel="0" collapsed="false">
      <c r="A1702" s="571"/>
      <c r="B1702" s="483"/>
      <c r="C1702" s="433" t="s">
        <v>4482</v>
      </c>
      <c r="D1702" s="602" t="s">
        <v>4149</v>
      </c>
      <c r="E1702" s="602" t="n">
        <v>0.055</v>
      </c>
      <c r="F1702" s="361" t="n">
        <v>54000</v>
      </c>
      <c r="G1702" s="615" t="n">
        <f aca="false">F1702*E1702</f>
        <v>2970</v>
      </c>
      <c r="H1702" s="606"/>
    </row>
    <row r="1703" customFormat="false" ht="30" hidden="false" customHeight="false" outlineLevel="0" collapsed="false">
      <c r="A1703" s="571"/>
      <c r="B1703" s="483"/>
      <c r="C1703" s="433" t="s">
        <v>4484</v>
      </c>
      <c r="D1703" s="606" t="s">
        <v>4149</v>
      </c>
      <c r="E1703" s="602" t="n">
        <v>0.022</v>
      </c>
      <c r="F1703" s="703" t="n">
        <v>1240000</v>
      </c>
      <c r="G1703" s="615" t="n">
        <f aca="false">F1703*E1703</f>
        <v>27280</v>
      </c>
      <c r="H1703" s="606"/>
    </row>
    <row r="1704" customFormat="false" ht="15" hidden="false" customHeight="false" outlineLevel="0" collapsed="false">
      <c r="A1704" s="571"/>
      <c r="B1704" s="483"/>
      <c r="C1704" s="433" t="s">
        <v>4202</v>
      </c>
      <c r="D1704" s="606" t="s">
        <v>4149</v>
      </c>
      <c r="E1704" s="602" t="n">
        <v>0.02</v>
      </c>
      <c r="F1704" s="361" t="n">
        <v>12000</v>
      </c>
      <c r="G1704" s="615" t="n">
        <f aca="false">F1704*E1704</f>
        <v>240</v>
      </c>
      <c r="H1704" s="391"/>
    </row>
    <row r="1705" customFormat="false" ht="30" hidden="false" customHeight="false" outlineLevel="0" collapsed="false">
      <c r="A1705" s="571"/>
      <c r="B1705" s="483"/>
      <c r="C1705" s="433" t="s">
        <v>4419</v>
      </c>
      <c r="D1705" s="606" t="s">
        <v>4149</v>
      </c>
      <c r="E1705" s="602" t="n">
        <v>0.03</v>
      </c>
      <c r="F1705" s="361" t="n">
        <v>25000</v>
      </c>
      <c r="G1705" s="615" t="n">
        <f aca="false">F1705*E1705</f>
        <v>750</v>
      </c>
      <c r="H1705" s="606"/>
    </row>
    <row r="1706" customFormat="false" ht="15" hidden="false" customHeight="false" outlineLevel="0" collapsed="false">
      <c r="A1706" s="571"/>
      <c r="B1706" s="483"/>
      <c r="C1706" s="433" t="s">
        <v>4171</v>
      </c>
      <c r="D1706" s="606" t="s">
        <v>4149</v>
      </c>
      <c r="E1706" s="602" t="n">
        <v>0.002</v>
      </c>
      <c r="F1706" s="361" t="n">
        <v>18000</v>
      </c>
      <c r="G1706" s="615" t="n">
        <f aca="false">F1706*E1706</f>
        <v>36</v>
      </c>
      <c r="H1706" s="606"/>
    </row>
    <row r="1707" customFormat="false" ht="15" hidden="false" customHeight="false" outlineLevel="0" collapsed="false">
      <c r="A1707" s="571"/>
      <c r="B1707" s="483"/>
      <c r="C1707" s="433" t="s">
        <v>4270</v>
      </c>
      <c r="D1707" s="606" t="s">
        <v>4149</v>
      </c>
      <c r="E1707" s="602" t="n">
        <v>0.002</v>
      </c>
      <c r="F1707" s="361" t="n">
        <v>7560</v>
      </c>
      <c r="G1707" s="615" t="n">
        <f aca="false">F1707*E1707</f>
        <v>15.12</v>
      </c>
      <c r="H1707" s="606"/>
    </row>
    <row r="1708" customFormat="false" ht="30" hidden="false" customHeight="false" outlineLevel="0" collapsed="false">
      <c r="A1708" s="571"/>
      <c r="B1708" s="483"/>
      <c r="C1708" s="433" t="s">
        <v>4503</v>
      </c>
      <c r="D1708" s="606" t="s">
        <v>4149</v>
      </c>
      <c r="E1708" s="602" t="n">
        <v>0.01</v>
      </c>
      <c r="F1708" s="361" t="n">
        <v>420000</v>
      </c>
      <c r="G1708" s="615" t="n">
        <f aca="false">F1708*E1708</f>
        <v>4200</v>
      </c>
      <c r="H1708" s="606"/>
    </row>
    <row r="1709" customFormat="false" ht="15" hidden="false" customHeight="false" outlineLevel="0" collapsed="false">
      <c r="A1709" s="571"/>
      <c r="B1709" s="483"/>
      <c r="C1709" s="433" t="s">
        <v>4504</v>
      </c>
      <c r="D1709" s="606" t="s">
        <v>4149</v>
      </c>
      <c r="E1709" s="602" t="n">
        <v>0.01</v>
      </c>
      <c r="F1709" s="361" t="n">
        <v>518399.84</v>
      </c>
      <c r="G1709" s="615" t="n">
        <f aca="false">F1709*E1709</f>
        <v>5183.9984</v>
      </c>
      <c r="H1709" s="606"/>
    </row>
    <row r="1710" customFormat="false" ht="15" hidden="false" customHeight="false" outlineLevel="0" collapsed="false">
      <c r="A1710" s="571"/>
      <c r="B1710" s="483"/>
      <c r="C1710" s="433" t="s">
        <v>4505</v>
      </c>
      <c r="D1710" s="606" t="s">
        <v>4149</v>
      </c>
      <c r="E1710" s="602" t="n">
        <v>0.01</v>
      </c>
      <c r="F1710" s="361" t="n">
        <v>640000</v>
      </c>
      <c r="G1710" s="615" t="n">
        <f aca="false">F1710*E1710</f>
        <v>6400</v>
      </c>
      <c r="H1710" s="606"/>
    </row>
    <row r="1711" customFormat="false" ht="15" hidden="false" customHeight="false" outlineLevel="0" collapsed="false">
      <c r="A1711" s="571"/>
      <c r="B1711" s="483"/>
      <c r="C1711" s="433" t="s">
        <v>4264</v>
      </c>
      <c r="D1711" s="606" t="s">
        <v>4149</v>
      </c>
      <c r="E1711" s="602" t="n">
        <v>0.011</v>
      </c>
      <c r="F1711" s="361" t="n">
        <v>60000</v>
      </c>
      <c r="G1711" s="615" t="n">
        <f aca="false">F1711*E1711</f>
        <v>660</v>
      </c>
      <c r="H1711" s="606"/>
    </row>
    <row r="1712" customFormat="false" ht="15" hidden="false" customHeight="false" outlineLevel="0" collapsed="false">
      <c r="A1712" s="571"/>
      <c r="B1712" s="483"/>
      <c r="C1712" s="433" t="s">
        <v>4483</v>
      </c>
      <c r="D1712" s="606" t="s">
        <v>4149</v>
      </c>
      <c r="E1712" s="602" t="n">
        <v>0.011</v>
      </c>
      <c r="F1712" s="361" t="n">
        <v>221910</v>
      </c>
      <c r="G1712" s="615" t="n">
        <f aca="false">F1712*E1712</f>
        <v>2441.01</v>
      </c>
      <c r="H1712" s="391"/>
    </row>
    <row r="1713" customFormat="false" ht="15" hidden="false" customHeight="false" outlineLevel="0" collapsed="false">
      <c r="A1713" s="571"/>
      <c r="B1713" s="483"/>
      <c r="C1713" s="374" t="s">
        <v>4122</v>
      </c>
      <c r="D1713" s="602" t="s">
        <v>4123</v>
      </c>
      <c r="E1713" s="602" t="n">
        <v>0.091</v>
      </c>
      <c r="F1713" s="619" t="n">
        <v>800</v>
      </c>
      <c r="G1713" s="615" t="n">
        <f aca="false">F1713*E1713</f>
        <v>72.8</v>
      </c>
      <c r="H1713" s="391"/>
    </row>
    <row r="1714" customFormat="false" ht="15" hidden="false" customHeight="false" outlineLevel="0" collapsed="false">
      <c r="A1714" s="571"/>
      <c r="B1714" s="483"/>
      <c r="C1714" s="433" t="s">
        <v>4120</v>
      </c>
      <c r="D1714" s="602" t="s">
        <v>4121</v>
      </c>
      <c r="E1714" s="602" t="n">
        <f aca="false">2/100</f>
        <v>0.02</v>
      </c>
      <c r="F1714" s="698" t="n">
        <v>1500</v>
      </c>
      <c r="G1714" s="615" t="n">
        <f aca="false">F1714*E1714</f>
        <v>30</v>
      </c>
      <c r="H1714" s="606"/>
    </row>
    <row r="1715" customFormat="false" ht="15" hidden="false" customHeight="false" outlineLevel="0" collapsed="false">
      <c r="A1715" s="571"/>
      <c r="B1715" s="483"/>
      <c r="C1715" s="603" t="s">
        <v>4124</v>
      </c>
      <c r="D1715" s="602" t="s">
        <v>4456</v>
      </c>
      <c r="E1715" s="602" t="n">
        <v>0.1</v>
      </c>
      <c r="F1715" s="619" t="n">
        <v>170</v>
      </c>
      <c r="G1715" s="615" t="n">
        <f aca="false">F1715*E1715</f>
        <v>17</v>
      </c>
      <c r="H1715" s="606"/>
    </row>
    <row r="1716" customFormat="false" ht="15" hidden="false" customHeight="false" outlineLevel="0" collapsed="false">
      <c r="A1716" s="571"/>
      <c r="B1716" s="483"/>
      <c r="C1716" s="603" t="s">
        <v>4347</v>
      </c>
      <c r="D1716" s="602" t="s">
        <v>4191</v>
      </c>
      <c r="E1716" s="602" t="n">
        <v>1</v>
      </c>
      <c r="F1716" s="619" t="n">
        <v>130</v>
      </c>
      <c r="G1716" s="615" t="n">
        <f aca="false">F1716*E1716</f>
        <v>130</v>
      </c>
      <c r="H1716" s="606"/>
    </row>
    <row r="1717" customFormat="false" ht="15" hidden="false" customHeight="false" outlineLevel="0" collapsed="false">
      <c r="A1717" s="571"/>
      <c r="B1717" s="483"/>
      <c r="C1717" s="603" t="s">
        <v>4126</v>
      </c>
      <c r="D1717" s="602" t="s">
        <v>4149</v>
      </c>
      <c r="E1717" s="602" t="n">
        <v>0.02</v>
      </c>
      <c r="F1717" s="619" t="n">
        <v>2700</v>
      </c>
      <c r="G1717" s="615" t="n">
        <f aca="false">F1717*E1717</f>
        <v>54</v>
      </c>
      <c r="H1717" s="606"/>
    </row>
    <row r="1718" customFormat="false" ht="15" hidden="false" customHeight="false" outlineLevel="0" collapsed="false">
      <c r="A1718" s="571"/>
      <c r="B1718" s="608" t="s">
        <v>4128</v>
      </c>
      <c r="C1718" s="609"/>
      <c r="D1718" s="610"/>
      <c r="E1718" s="611"/>
      <c r="F1718" s="612"/>
      <c r="G1718" s="613" t="n">
        <f aca="false">SUM(G1697:G1717)</f>
        <v>77339.9604</v>
      </c>
      <c r="H1718" s="606"/>
    </row>
    <row r="1719" customFormat="false" ht="15" hidden="false" customHeight="true" outlineLevel="0" collapsed="false">
      <c r="A1719" s="571" t="s">
        <v>4506</v>
      </c>
      <c r="B1719" s="483" t="s">
        <v>3006</v>
      </c>
      <c r="C1719" s="476" t="s">
        <v>4250</v>
      </c>
      <c r="D1719" s="606" t="s">
        <v>4149</v>
      </c>
      <c r="E1719" s="702" t="n">
        <v>0.5</v>
      </c>
      <c r="F1719" s="361" t="n">
        <v>25000</v>
      </c>
      <c r="G1719" s="615" t="n">
        <f aca="false">F1719*E1719</f>
        <v>12500</v>
      </c>
      <c r="H1719" s="606"/>
    </row>
    <row r="1720" customFormat="false" ht="15" hidden="false" customHeight="false" outlineLevel="0" collapsed="false">
      <c r="A1720" s="571"/>
      <c r="B1720" s="483"/>
      <c r="C1720" s="433" t="s">
        <v>4507</v>
      </c>
      <c r="D1720" s="606" t="s">
        <v>4149</v>
      </c>
      <c r="E1720" s="702" t="n">
        <v>0.5</v>
      </c>
      <c r="F1720" s="361" t="n">
        <v>6048</v>
      </c>
      <c r="G1720" s="615" t="n">
        <f aca="false">F1720*E1720</f>
        <v>3024</v>
      </c>
      <c r="H1720" s="606"/>
    </row>
    <row r="1721" customFormat="false" ht="15" hidden="false" customHeight="false" outlineLevel="0" collapsed="false">
      <c r="A1721" s="571"/>
      <c r="B1721" s="483"/>
      <c r="C1721" s="433" t="s">
        <v>4251</v>
      </c>
      <c r="D1721" s="606" t="s">
        <v>4252</v>
      </c>
      <c r="E1721" s="602" t="n">
        <v>0.53</v>
      </c>
      <c r="F1721" s="361" t="n">
        <v>275000</v>
      </c>
      <c r="G1721" s="615" t="n">
        <f aca="false">F1721*E1721</f>
        <v>145750</v>
      </c>
      <c r="H1721" s="606"/>
    </row>
    <row r="1722" customFormat="false" ht="15" hidden="false" customHeight="false" outlineLevel="0" collapsed="false">
      <c r="A1722" s="571"/>
      <c r="B1722" s="483"/>
      <c r="C1722" s="433" t="s">
        <v>4287</v>
      </c>
      <c r="D1722" s="606" t="s">
        <v>4252</v>
      </c>
      <c r="E1722" s="602" t="n">
        <v>0.53</v>
      </c>
      <c r="F1722" s="361" t="n">
        <v>225000</v>
      </c>
      <c r="G1722" s="615" t="n">
        <f aca="false">F1722*E1722</f>
        <v>119250</v>
      </c>
      <c r="H1722" s="606"/>
    </row>
    <row r="1723" customFormat="false" ht="15" hidden="false" customHeight="false" outlineLevel="0" collapsed="false">
      <c r="A1723" s="571"/>
      <c r="B1723" s="483"/>
      <c r="C1723" s="374" t="s">
        <v>4497</v>
      </c>
      <c r="D1723" s="606" t="s">
        <v>4191</v>
      </c>
      <c r="E1723" s="602" t="n">
        <v>0.09</v>
      </c>
      <c r="F1723" s="698" t="n">
        <v>550000</v>
      </c>
      <c r="G1723" s="615" t="n">
        <f aca="false">F1723*E1723</f>
        <v>49500</v>
      </c>
      <c r="H1723" s="606"/>
    </row>
    <row r="1724" customFormat="false" ht="15" hidden="false" customHeight="false" outlineLevel="0" collapsed="false">
      <c r="A1724" s="571"/>
      <c r="B1724" s="483"/>
      <c r="C1724" s="374" t="s">
        <v>4122</v>
      </c>
      <c r="D1724" s="602" t="s">
        <v>4123</v>
      </c>
      <c r="E1724" s="602" t="n">
        <v>0.703</v>
      </c>
      <c r="F1724" s="619" t="n">
        <v>800</v>
      </c>
      <c r="G1724" s="615" t="n">
        <f aca="false">F1724*E1724</f>
        <v>562.4</v>
      </c>
      <c r="H1724" s="606"/>
    </row>
    <row r="1725" customFormat="false" ht="15" hidden="false" customHeight="false" outlineLevel="0" collapsed="false">
      <c r="A1725" s="571"/>
      <c r="B1725" s="483"/>
      <c r="C1725" s="433" t="s">
        <v>4120</v>
      </c>
      <c r="D1725" s="602" t="s">
        <v>4121</v>
      </c>
      <c r="E1725" s="602" t="n">
        <v>0.5</v>
      </c>
      <c r="F1725" s="698" t="n">
        <v>1500</v>
      </c>
      <c r="G1725" s="615" t="n">
        <f aca="false">F1725*E1725</f>
        <v>750</v>
      </c>
      <c r="H1725" s="606"/>
    </row>
    <row r="1726" customFormat="false" ht="15" hidden="false" customHeight="false" outlineLevel="0" collapsed="false">
      <c r="A1726" s="571"/>
      <c r="B1726" s="483"/>
      <c r="C1726" s="603" t="s">
        <v>4124</v>
      </c>
      <c r="D1726" s="602" t="s">
        <v>4456</v>
      </c>
      <c r="E1726" s="602" t="n">
        <v>0.1</v>
      </c>
      <c r="F1726" s="619" t="n">
        <v>170</v>
      </c>
      <c r="G1726" s="615" t="n">
        <f aca="false">F1726*E1726</f>
        <v>17</v>
      </c>
      <c r="H1726" s="606"/>
    </row>
    <row r="1727" customFormat="false" ht="15" hidden="false" customHeight="false" outlineLevel="0" collapsed="false">
      <c r="A1727" s="571"/>
      <c r="B1727" s="483"/>
      <c r="C1727" s="603" t="s">
        <v>4347</v>
      </c>
      <c r="D1727" s="606" t="s">
        <v>4191</v>
      </c>
      <c r="E1727" s="602" t="n">
        <v>3</v>
      </c>
      <c r="F1727" s="619" t="n">
        <v>130</v>
      </c>
      <c r="G1727" s="615" t="n">
        <f aca="false">F1727*E1727</f>
        <v>390</v>
      </c>
      <c r="H1727" s="606"/>
    </row>
    <row r="1728" customFormat="false" ht="15" hidden="false" customHeight="false" outlineLevel="0" collapsed="false">
      <c r="A1728" s="571"/>
      <c r="B1728" s="483"/>
      <c r="C1728" s="603" t="s">
        <v>4457</v>
      </c>
      <c r="D1728" s="602" t="s">
        <v>4191</v>
      </c>
      <c r="E1728" s="602" t="n">
        <f aca="false">1/50</f>
        <v>0.02</v>
      </c>
      <c r="F1728" s="619" t="n">
        <v>1500</v>
      </c>
      <c r="G1728" s="615" t="n">
        <f aca="false">F1728*E1728</f>
        <v>30</v>
      </c>
      <c r="H1728" s="606"/>
    </row>
    <row r="1729" customFormat="false" ht="15" hidden="false" customHeight="false" outlineLevel="0" collapsed="false">
      <c r="A1729" s="571"/>
      <c r="B1729" s="483"/>
      <c r="C1729" s="603" t="s">
        <v>4126</v>
      </c>
      <c r="D1729" s="606" t="s">
        <v>4149</v>
      </c>
      <c r="E1729" s="602" t="n">
        <v>0.02</v>
      </c>
      <c r="F1729" s="619" t="n">
        <v>2700</v>
      </c>
      <c r="G1729" s="615" t="n">
        <f aca="false">F1729*E1729</f>
        <v>54</v>
      </c>
      <c r="H1729" s="606"/>
    </row>
    <row r="1730" customFormat="false" ht="15" hidden="false" customHeight="false" outlineLevel="0" collapsed="false">
      <c r="A1730" s="571"/>
      <c r="B1730" s="608" t="s">
        <v>4128</v>
      </c>
      <c r="C1730" s="614"/>
      <c r="D1730" s="606"/>
      <c r="E1730" s="622"/>
      <c r="F1730" s="361"/>
      <c r="G1730" s="613" t="n">
        <f aca="false">SUM(G1719:G1729)</f>
        <v>331827.4</v>
      </c>
      <c r="H1730" s="606"/>
    </row>
    <row r="1731" customFormat="false" ht="30" hidden="false" customHeight="false" outlineLevel="0" collapsed="false">
      <c r="A1731" s="571" t="s">
        <v>4508</v>
      </c>
      <c r="B1731" s="706" t="s">
        <v>3007</v>
      </c>
      <c r="C1731" s="614" t="s">
        <v>4347</v>
      </c>
      <c r="D1731" s="606" t="s">
        <v>4191</v>
      </c>
      <c r="E1731" s="552" t="n">
        <v>1.1</v>
      </c>
      <c r="F1731" s="361" t="n">
        <v>130</v>
      </c>
      <c r="G1731" s="615" t="n">
        <f aca="false">F1731*E1731</f>
        <v>143</v>
      </c>
      <c r="H1731" s="606"/>
    </row>
    <row r="1732" s="531" customFormat="true" ht="15" hidden="false" customHeight="false" outlineLevel="0" collapsed="false">
      <c r="A1732" s="571"/>
      <c r="C1732" s="614" t="s">
        <v>4509</v>
      </c>
      <c r="D1732" s="606" t="s">
        <v>4191</v>
      </c>
      <c r="E1732" s="552" t="n">
        <v>1</v>
      </c>
      <c r="F1732" s="361" t="n">
        <v>200</v>
      </c>
      <c r="G1732" s="615" t="n">
        <f aca="false">F1732*E1732</f>
        <v>200</v>
      </c>
      <c r="H1732" s="606"/>
    </row>
    <row r="1733" customFormat="false" ht="15" hidden="false" customHeight="false" outlineLevel="0" collapsed="false">
      <c r="A1733" s="571"/>
      <c r="B1733" s="608" t="s">
        <v>4128</v>
      </c>
      <c r="C1733" s="614"/>
      <c r="D1733" s="606"/>
      <c r="E1733" s="622"/>
      <c r="F1733" s="361"/>
      <c r="G1733" s="613" t="n">
        <f aca="false">SUM(G1731:G1732)</f>
        <v>343</v>
      </c>
      <c r="H1733" s="606"/>
    </row>
    <row r="1734" customFormat="false" ht="45" hidden="false" customHeight="false" outlineLevel="0" collapsed="false">
      <c r="A1734" s="571" t="s">
        <v>4510</v>
      </c>
      <c r="B1734" s="706" t="s">
        <v>3008</v>
      </c>
      <c r="C1734" s="614"/>
      <c r="D1734" s="606"/>
      <c r="E1734" s="622"/>
      <c r="F1734" s="361"/>
      <c r="G1734" s="613" t="n">
        <v>0</v>
      </c>
      <c r="H1734" s="606"/>
    </row>
    <row r="1735" s="451" customFormat="true" ht="15" hidden="false" customHeight="false" outlineLevel="0" collapsed="false">
      <c r="A1735" s="707"/>
      <c r="B1735" s="708"/>
      <c r="C1735" s="709"/>
      <c r="D1735" s="679"/>
      <c r="E1735" s="710"/>
      <c r="F1735" s="369"/>
      <c r="G1735" s="711"/>
      <c r="H1735" s="679"/>
    </row>
    <row r="1736" s="451" customFormat="true" ht="42.75" hidden="false" customHeight="false" outlineLevel="0" collapsed="false">
      <c r="A1736" s="350" t="s">
        <v>4511</v>
      </c>
      <c r="B1736" s="467" t="s">
        <v>4512</v>
      </c>
      <c r="C1736" s="712"/>
      <c r="D1736" s="541"/>
      <c r="E1736" s="541"/>
      <c r="F1736" s="364"/>
      <c r="G1736" s="713"/>
      <c r="H1736" s="712"/>
    </row>
    <row r="1737" customFormat="false" ht="15" hidden="false" customHeight="false" outlineLevel="0" collapsed="false">
      <c r="A1737" s="571" t="s">
        <v>4513</v>
      </c>
      <c r="B1737" s="328" t="s">
        <v>3420</v>
      </c>
      <c r="C1737" s="714"/>
      <c r="D1737" s="391"/>
      <c r="E1737" s="391"/>
      <c r="F1737" s="612"/>
      <c r="G1737" s="613"/>
      <c r="H1737" s="714"/>
    </row>
    <row r="1738" customFormat="false" ht="15" hidden="false" customHeight="false" outlineLevel="0" collapsed="false">
      <c r="A1738" s="571"/>
      <c r="B1738" s="608" t="s">
        <v>4128</v>
      </c>
      <c r="C1738" s="714"/>
      <c r="D1738" s="391"/>
      <c r="E1738" s="391"/>
      <c r="F1738" s="612"/>
      <c r="G1738" s="613"/>
      <c r="H1738" s="714"/>
    </row>
    <row r="1739" customFormat="false" ht="15" hidden="false" customHeight="false" outlineLevel="0" collapsed="false">
      <c r="A1739" s="571" t="s">
        <v>4514</v>
      </c>
      <c r="B1739" s="328" t="s">
        <v>3011</v>
      </c>
      <c r="C1739" s="614" t="s">
        <v>4515</v>
      </c>
      <c r="D1739" s="606" t="s">
        <v>4133</v>
      </c>
      <c r="E1739" s="622" t="n">
        <v>0.006</v>
      </c>
      <c r="F1739" s="361" t="n">
        <v>2700</v>
      </c>
      <c r="G1739" s="615" t="n">
        <f aca="false">E1739*F1739</f>
        <v>16.2</v>
      </c>
      <c r="H1739" s="606"/>
    </row>
    <row r="1740" customFormat="false" ht="15" hidden="false" customHeight="false" outlineLevel="0" collapsed="false">
      <c r="A1740" s="571"/>
      <c r="B1740" s="500"/>
      <c r="C1740" s="614" t="s">
        <v>4124</v>
      </c>
      <c r="D1740" s="606" t="s">
        <v>4516</v>
      </c>
      <c r="E1740" s="552" t="n">
        <v>1.5</v>
      </c>
      <c r="F1740" s="361" t="n">
        <v>120</v>
      </c>
      <c r="G1740" s="615" t="n">
        <f aca="false">E1740*F1740</f>
        <v>180</v>
      </c>
      <c r="H1740" s="606"/>
    </row>
    <row r="1741" customFormat="false" ht="15" hidden="false" customHeight="false" outlineLevel="0" collapsed="false">
      <c r="A1741" s="571"/>
      <c r="B1741" s="608" t="s">
        <v>4128</v>
      </c>
      <c r="C1741" s="609"/>
      <c r="D1741" s="610"/>
      <c r="E1741" s="611"/>
      <c r="F1741" s="612"/>
      <c r="G1741" s="613" t="n">
        <f aca="false">SUM(G1739:G1740)</f>
        <v>196.2</v>
      </c>
      <c r="H1741" s="610"/>
    </row>
    <row r="1742" customFormat="false" ht="15" hidden="false" customHeight="false" outlineLevel="0" collapsed="false">
      <c r="A1742" s="571" t="s">
        <v>4517</v>
      </c>
      <c r="B1742" s="328" t="s">
        <v>3012</v>
      </c>
      <c r="C1742" s="614" t="s">
        <v>4515</v>
      </c>
      <c r="D1742" s="606" t="s">
        <v>4133</v>
      </c>
      <c r="E1742" s="622" t="n">
        <v>0.006</v>
      </c>
      <c r="F1742" s="361" t="n">
        <v>2700</v>
      </c>
      <c r="G1742" s="615" t="n">
        <f aca="false">E1742*F1742</f>
        <v>16.2</v>
      </c>
      <c r="H1742" s="606"/>
    </row>
    <row r="1743" customFormat="false" ht="15" hidden="false" customHeight="false" outlineLevel="0" collapsed="false">
      <c r="A1743" s="571"/>
      <c r="B1743" s="500"/>
      <c r="C1743" s="614" t="s">
        <v>4124</v>
      </c>
      <c r="D1743" s="606" t="s">
        <v>4516</v>
      </c>
      <c r="E1743" s="552" t="n">
        <v>1.5</v>
      </c>
      <c r="F1743" s="361" t="n">
        <v>120</v>
      </c>
      <c r="G1743" s="615" t="n">
        <f aca="false">E1743*F1743</f>
        <v>180</v>
      </c>
      <c r="H1743" s="606"/>
    </row>
    <row r="1744" customFormat="false" ht="15" hidden="false" customHeight="false" outlineLevel="0" collapsed="false">
      <c r="A1744" s="571"/>
      <c r="B1744" s="608" t="s">
        <v>4128</v>
      </c>
      <c r="C1744" s="609"/>
      <c r="D1744" s="610"/>
      <c r="E1744" s="611"/>
      <c r="F1744" s="612"/>
      <c r="G1744" s="613" t="n">
        <f aca="false">SUM(G1742:G1743)</f>
        <v>196.2</v>
      </c>
      <c r="H1744" s="610"/>
    </row>
    <row r="1745" s="451" customFormat="true" ht="15" hidden="false" customHeight="false" outlineLevel="0" collapsed="false">
      <c r="A1745" s="707" t="s">
        <v>4518</v>
      </c>
      <c r="B1745" s="487" t="s">
        <v>3013</v>
      </c>
      <c r="C1745" s="709" t="s">
        <v>4515</v>
      </c>
      <c r="D1745" s="679" t="s">
        <v>4133</v>
      </c>
      <c r="E1745" s="715" t="n">
        <v>0.01</v>
      </c>
      <c r="F1745" s="369" t="n">
        <v>2700</v>
      </c>
      <c r="G1745" s="716" t="n">
        <f aca="false">E1745*F1745</f>
        <v>27</v>
      </c>
      <c r="H1745" s="679"/>
    </row>
    <row r="1746" s="451" customFormat="true" ht="15" hidden="false" customHeight="false" outlineLevel="0" collapsed="false">
      <c r="A1746" s="707"/>
      <c r="B1746" s="522"/>
      <c r="C1746" s="709" t="s">
        <v>4124</v>
      </c>
      <c r="D1746" s="679" t="s">
        <v>4516</v>
      </c>
      <c r="E1746" s="715" t="n">
        <v>0.1</v>
      </c>
      <c r="F1746" s="369" t="n">
        <v>120</v>
      </c>
      <c r="G1746" s="716" t="n">
        <f aca="false">E1746*F1746</f>
        <v>12</v>
      </c>
      <c r="H1746" s="679"/>
    </row>
    <row r="1747" s="451" customFormat="true" ht="15" hidden="false" customHeight="false" outlineLevel="0" collapsed="false">
      <c r="A1747" s="707"/>
      <c r="B1747" s="522"/>
      <c r="C1747" s="709" t="s">
        <v>4122</v>
      </c>
      <c r="D1747" s="679" t="s">
        <v>4392</v>
      </c>
      <c r="E1747" s="715" t="n">
        <v>0.1</v>
      </c>
      <c r="F1747" s="717" t="n">
        <v>720</v>
      </c>
      <c r="G1747" s="716" t="n">
        <f aca="false">E1747*F1747</f>
        <v>72</v>
      </c>
      <c r="H1747" s="679"/>
    </row>
    <row r="1748" s="451" customFormat="true" ht="15" hidden="false" customHeight="false" outlineLevel="0" collapsed="false">
      <c r="A1748" s="707"/>
      <c r="B1748" s="708" t="s">
        <v>4128</v>
      </c>
      <c r="C1748" s="718"/>
      <c r="D1748" s="719"/>
      <c r="E1748" s="720"/>
      <c r="F1748" s="366"/>
      <c r="G1748" s="711" t="n">
        <f aca="false">SUM(G1745:G1747)</f>
        <v>111</v>
      </c>
      <c r="H1748" s="392"/>
    </row>
    <row r="1749" s="451" customFormat="true" ht="15" hidden="false" customHeight="false" outlineLevel="0" collapsed="false">
      <c r="A1749" s="707" t="s">
        <v>4519</v>
      </c>
      <c r="B1749" s="487" t="s">
        <v>3014</v>
      </c>
      <c r="C1749" s="709" t="s">
        <v>4159</v>
      </c>
      <c r="D1749" s="679" t="s">
        <v>4133</v>
      </c>
      <c r="E1749" s="715" t="n">
        <v>0.01</v>
      </c>
      <c r="F1749" s="717" t="n">
        <v>557.76</v>
      </c>
      <c r="G1749" s="716" t="n">
        <f aca="false">E1749*F1749</f>
        <v>5.5776</v>
      </c>
      <c r="H1749" s="679"/>
    </row>
    <row r="1750" s="451" customFormat="true" ht="15" hidden="false" customHeight="false" outlineLevel="0" collapsed="false">
      <c r="A1750" s="707"/>
      <c r="B1750" s="522"/>
      <c r="C1750" s="709" t="s">
        <v>4265</v>
      </c>
      <c r="D1750" s="679" t="s">
        <v>4133</v>
      </c>
      <c r="E1750" s="715" t="n">
        <v>0.05</v>
      </c>
      <c r="F1750" s="369" t="n">
        <v>16650</v>
      </c>
      <c r="G1750" s="716" t="n">
        <f aca="false">E1750*F1750</f>
        <v>832.5</v>
      </c>
      <c r="H1750" s="679"/>
    </row>
    <row r="1751" s="451" customFormat="true" ht="15" hidden="false" customHeight="false" outlineLevel="0" collapsed="false">
      <c r="A1751" s="707"/>
      <c r="B1751" s="522"/>
      <c r="C1751" s="709" t="s">
        <v>4122</v>
      </c>
      <c r="D1751" s="679" t="s">
        <v>4392</v>
      </c>
      <c r="E1751" s="715" t="n">
        <v>0.1</v>
      </c>
      <c r="F1751" s="717" t="n">
        <v>720</v>
      </c>
      <c r="G1751" s="716" t="n">
        <f aca="false">E1751*F1751</f>
        <v>72</v>
      </c>
      <c r="H1751" s="679"/>
    </row>
    <row r="1752" s="451" customFormat="true" ht="15" hidden="false" customHeight="false" outlineLevel="0" collapsed="false">
      <c r="A1752" s="707"/>
      <c r="B1752" s="522"/>
      <c r="C1752" s="709" t="s">
        <v>4515</v>
      </c>
      <c r="D1752" s="679" t="s">
        <v>4133</v>
      </c>
      <c r="E1752" s="715" t="n">
        <v>0.01</v>
      </c>
      <c r="F1752" s="369" t="n">
        <v>2700</v>
      </c>
      <c r="G1752" s="716" t="n">
        <f aca="false">E1752*F1752</f>
        <v>27</v>
      </c>
      <c r="H1752" s="679"/>
    </row>
    <row r="1753" s="451" customFormat="true" ht="15" hidden="false" customHeight="false" outlineLevel="0" collapsed="false">
      <c r="A1753" s="707"/>
      <c r="B1753" s="522"/>
      <c r="C1753" s="709" t="s">
        <v>4124</v>
      </c>
      <c r="D1753" s="679" t="s">
        <v>4516</v>
      </c>
      <c r="E1753" s="715" t="n">
        <v>1.5</v>
      </c>
      <c r="F1753" s="369" t="n">
        <v>120</v>
      </c>
      <c r="G1753" s="716" t="n">
        <f aca="false">E1753*F1753</f>
        <v>180</v>
      </c>
      <c r="H1753" s="679"/>
    </row>
    <row r="1754" s="451" customFormat="true" ht="15" hidden="false" customHeight="false" outlineLevel="0" collapsed="false">
      <c r="A1754" s="707"/>
      <c r="B1754" s="708" t="s">
        <v>4128</v>
      </c>
      <c r="C1754" s="718"/>
      <c r="D1754" s="719"/>
      <c r="E1754" s="720"/>
      <c r="F1754" s="366"/>
      <c r="G1754" s="711" t="n">
        <f aca="false">SUM(G1749:G1753)</f>
        <v>1117.0776</v>
      </c>
      <c r="H1754" s="392"/>
    </row>
    <row r="1755" s="451" customFormat="true" ht="30" hidden="false" customHeight="false" outlineLevel="0" collapsed="false">
      <c r="A1755" s="707" t="s">
        <v>4520</v>
      </c>
      <c r="B1755" s="487" t="s">
        <v>3015</v>
      </c>
      <c r="C1755" s="709" t="s">
        <v>4521</v>
      </c>
      <c r="D1755" s="679" t="s">
        <v>4133</v>
      </c>
      <c r="E1755" s="715" t="n">
        <v>0.02</v>
      </c>
      <c r="F1755" s="369" t="n">
        <v>21200</v>
      </c>
      <c r="G1755" s="716" t="n">
        <f aca="false">E1755*F1755</f>
        <v>424</v>
      </c>
      <c r="H1755" s="679"/>
    </row>
    <row r="1756" s="451" customFormat="true" ht="15" hidden="false" customHeight="false" outlineLevel="0" collapsed="false">
      <c r="A1756" s="707"/>
      <c r="B1756" s="522"/>
      <c r="C1756" s="709" t="s">
        <v>4522</v>
      </c>
      <c r="D1756" s="679" t="s">
        <v>4133</v>
      </c>
      <c r="E1756" s="710" t="n">
        <v>0.044</v>
      </c>
      <c r="F1756" s="369" t="n">
        <v>9000</v>
      </c>
      <c r="G1756" s="716" t="n">
        <f aca="false">E1756*F1756</f>
        <v>396</v>
      </c>
      <c r="H1756" s="679"/>
    </row>
    <row r="1757" s="451" customFormat="true" ht="15" hidden="false" customHeight="false" outlineLevel="0" collapsed="false">
      <c r="A1757" s="707"/>
      <c r="B1757" s="522"/>
      <c r="C1757" s="709" t="s">
        <v>4523</v>
      </c>
      <c r="D1757" s="679" t="s">
        <v>4133</v>
      </c>
      <c r="E1757" s="715" t="n">
        <v>0.06</v>
      </c>
      <c r="F1757" s="369" t="n">
        <v>1800</v>
      </c>
      <c r="G1757" s="716" t="n">
        <f aca="false">E1757*F1757</f>
        <v>108</v>
      </c>
      <c r="H1757" s="679"/>
    </row>
    <row r="1758" s="451" customFormat="true" ht="15" hidden="false" customHeight="false" outlineLevel="0" collapsed="false">
      <c r="A1758" s="707"/>
      <c r="B1758" s="522"/>
      <c r="C1758" s="709" t="s">
        <v>4524</v>
      </c>
      <c r="D1758" s="679" t="s">
        <v>4525</v>
      </c>
      <c r="E1758" s="715" t="n">
        <v>1</v>
      </c>
      <c r="F1758" s="369" t="n">
        <v>1950</v>
      </c>
      <c r="G1758" s="716" t="n">
        <f aca="false">E1758*F1758</f>
        <v>1950</v>
      </c>
      <c r="H1758" s="679"/>
    </row>
    <row r="1759" s="451" customFormat="true" ht="15" hidden="false" customHeight="false" outlineLevel="0" collapsed="false">
      <c r="A1759" s="707"/>
      <c r="B1759" s="522"/>
      <c r="C1759" s="709" t="s">
        <v>4526</v>
      </c>
      <c r="D1759" s="679" t="s">
        <v>4133</v>
      </c>
      <c r="E1759" s="715" t="n">
        <v>0.01</v>
      </c>
      <c r="F1759" s="369" t="n">
        <v>5500</v>
      </c>
      <c r="G1759" s="716" t="n">
        <f aca="false">E1759*F1759</f>
        <v>55</v>
      </c>
      <c r="H1759" s="679"/>
    </row>
    <row r="1760" s="451" customFormat="true" ht="15" hidden="false" customHeight="false" outlineLevel="0" collapsed="false">
      <c r="A1760" s="707"/>
      <c r="B1760" s="522"/>
      <c r="C1760" s="709" t="s">
        <v>4154</v>
      </c>
      <c r="D1760" s="679" t="s">
        <v>4392</v>
      </c>
      <c r="E1760" s="710" t="n">
        <v>0.005</v>
      </c>
      <c r="F1760" s="721" t="n">
        <v>3500</v>
      </c>
      <c r="G1760" s="716" t="n">
        <f aca="false">E1760*F1760</f>
        <v>17.5</v>
      </c>
      <c r="H1760" s="679"/>
    </row>
    <row r="1761" s="451" customFormat="true" ht="15" hidden="false" customHeight="false" outlineLevel="0" collapsed="false">
      <c r="A1761" s="707"/>
      <c r="B1761" s="522"/>
      <c r="C1761" s="709" t="s">
        <v>4515</v>
      </c>
      <c r="D1761" s="679" t="s">
        <v>4133</v>
      </c>
      <c r="E1761" s="710" t="n">
        <v>0.006</v>
      </c>
      <c r="F1761" s="369" t="n">
        <v>2700</v>
      </c>
      <c r="G1761" s="716" t="n">
        <f aca="false">E1761*F1761</f>
        <v>16.2</v>
      </c>
      <c r="H1761" s="679"/>
    </row>
    <row r="1762" s="451" customFormat="true" ht="15" hidden="false" customHeight="false" outlineLevel="0" collapsed="false">
      <c r="A1762" s="707"/>
      <c r="B1762" s="522"/>
      <c r="C1762" s="709" t="s">
        <v>4124</v>
      </c>
      <c r="D1762" s="679" t="s">
        <v>4516</v>
      </c>
      <c r="E1762" s="715" t="n">
        <v>1.5</v>
      </c>
      <c r="F1762" s="369" t="n">
        <v>120</v>
      </c>
      <c r="G1762" s="716" t="n">
        <f aca="false">E1762*F1762</f>
        <v>180</v>
      </c>
      <c r="H1762" s="679"/>
    </row>
    <row r="1763" s="451" customFormat="true" ht="15" hidden="false" customHeight="false" outlineLevel="0" collapsed="false">
      <c r="A1763" s="707"/>
      <c r="B1763" s="708" t="s">
        <v>4128</v>
      </c>
      <c r="C1763" s="718"/>
      <c r="D1763" s="719"/>
      <c r="E1763" s="722"/>
      <c r="F1763" s="366"/>
      <c r="G1763" s="711" t="n">
        <f aca="false">SUM(G1755:G1762)</f>
        <v>3146.7</v>
      </c>
      <c r="H1763" s="392"/>
    </row>
    <row r="1764" s="451" customFormat="true" ht="15" hidden="false" customHeight="false" outlineLevel="0" collapsed="false">
      <c r="A1764" s="707" t="s">
        <v>4527</v>
      </c>
      <c r="B1764" s="487" t="s">
        <v>3016</v>
      </c>
      <c r="C1764" s="709" t="s">
        <v>4147</v>
      </c>
      <c r="D1764" s="679" t="s">
        <v>4528</v>
      </c>
      <c r="E1764" s="715" t="n">
        <v>0.01</v>
      </c>
      <c r="F1764" s="723" t="n">
        <v>2700</v>
      </c>
      <c r="G1764" s="716" t="n">
        <f aca="false">E1764*F1764</f>
        <v>27</v>
      </c>
      <c r="H1764" s="679"/>
    </row>
    <row r="1765" s="451" customFormat="true" ht="15" hidden="false" customHeight="false" outlineLevel="0" collapsed="false">
      <c r="A1765" s="707"/>
      <c r="B1765" s="522"/>
      <c r="C1765" s="709" t="s">
        <v>4270</v>
      </c>
      <c r="D1765" s="679" t="s">
        <v>4392</v>
      </c>
      <c r="E1765" s="715" t="n">
        <v>0.2</v>
      </c>
      <c r="F1765" s="724" t="n">
        <v>1750</v>
      </c>
      <c r="G1765" s="716" t="n">
        <f aca="false">E1765*F1765</f>
        <v>350</v>
      </c>
      <c r="H1765" s="679"/>
    </row>
    <row r="1766" s="451" customFormat="true" ht="15" hidden="false" customHeight="false" outlineLevel="0" collapsed="false">
      <c r="A1766" s="707"/>
      <c r="B1766" s="522"/>
      <c r="C1766" s="709" t="s">
        <v>4529</v>
      </c>
      <c r="D1766" s="679" t="s">
        <v>4133</v>
      </c>
      <c r="E1766" s="715" t="n">
        <v>0.1</v>
      </c>
      <c r="F1766" s="369" t="n">
        <v>1200</v>
      </c>
      <c r="G1766" s="716" t="n">
        <f aca="false">E1766*F1766</f>
        <v>120</v>
      </c>
      <c r="H1766" s="679"/>
    </row>
    <row r="1767" s="451" customFormat="true" ht="15" hidden="false" customHeight="false" outlineLevel="0" collapsed="false">
      <c r="A1767" s="707"/>
      <c r="B1767" s="522"/>
      <c r="C1767" s="709" t="s">
        <v>4530</v>
      </c>
      <c r="D1767" s="679" t="s">
        <v>4133</v>
      </c>
      <c r="E1767" s="725" t="n">
        <v>0.006</v>
      </c>
      <c r="F1767" s="369" t="n">
        <v>361208</v>
      </c>
      <c r="G1767" s="716" t="n">
        <f aca="false">E1767*F1767</f>
        <v>2167.248</v>
      </c>
      <c r="H1767" s="679"/>
    </row>
    <row r="1768" s="451" customFormat="true" ht="15" hidden="false" customHeight="false" outlineLevel="0" collapsed="false">
      <c r="A1768" s="707"/>
      <c r="B1768" s="522"/>
      <c r="C1768" s="709" t="s">
        <v>4193</v>
      </c>
      <c r="D1768" s="679" t="s">
        <v>4133</v>
      </c>
      <c r="E1768" s="725" t="n">
        <v>0.006</v>
      </c>
      <c r="F1768" s="369" t="n">
        <v>361208</v>
      </c>
      <c r="G1768" s="716" t="n">
        <f aca="false">E1768*F1768</f>
        <v>2167.248</v>
      </c>
      <c r="H1768" s="679"/>
    </row>
    <row r="1769" s="451" customFormat="true" ht="15" hidden="false" customHeight="false" outlineLevel="0" collapsed="false">
      <c r="A1769" s="707"/>
      <c r="B1769" s="522"/>
      <c r="C1769" s="709" t="s">
        <v>4122</v>
      </c>
      <c r="D1769" s="679" t="s">
        <v>4392</v>
      </c>
      <c r="E1769" s="715" t="n">
        <v>0.1</v>
      </c>
      <c r="F1769" s="717" t="n">
        <v>720</v>
      </c>
      <c r="G1769" s="716" t="n">
        <f aca="false">E1769*F1769</f>
        <v>72</v>
      </c>
      <c r="H1769" s="679"/>
    </row>
    <row r="1770" s="451" customFormat="true" ht="15" hidden="false" customHeight="false" outlineLevel="0" collapsed="false">
      <c r="A1770" s="707"/>
      <c r="B1770" s="522"/>
      <c r="C1770" s="709" t="s">
        <v>4515</v>
      </c>
      <c r="D1770" s="679" t="s">
        <v>4133</v>
      </c>
      <c r="E1770" s="715" t="n">
        <v>0.01</v>
      </c>
      <c r="F1770" s="369" t="n">
        <v>2700</v>
      </c>
      <c r="G1770" s="716" t="n">
        <f aca="false">E1770*F1770</f>
        <v>27</v>
      </c>
      <c r="H1770" s="679"/>
    </row>
    <row r="1771" s="451" customFormat="true" ht="15" hidden="false" customHeight="false" outlineLevel="0" collapsed="false">
      <c r="A1771" s="707"/>
      <c r="B1771" s="522"/>
      <c r="C1771" s="709" t="s">
        <v>4124</v>
      </c>
      <c r="D1771" s="679" t="s">
        <v>4516</v>
      </c>
      <c r="E1771" s="715" t="n">
        <v>1.5</v>
      </c>
      <c r="F1771" s="369" t="n">
        <v>120</v>
      </c>
      <c r="G1771" s="716" t="n">
        <f aca="false">E1771*F1771</f>
        <v>180</v>
      </c>
      <c r="H1771" s="679"/>
    </row>
    <row r="1772" s="451" customFormat="true" ht="15" hidden="false" customHeight="false" outlineLevel="0" collapsed="false">
      <c r="A1772" s="707"/>
      <c r="B1772" s="708" t="s">
        <v>4128</v>
      </c>
      <c r="C1772" s="718"/>
      <c r="D1772" s="719"/>
      <c r="E1772" s="720"/>
      <c r="F1772" s="366"/>
      <c r="G1772" s="711" t="n">
        <f aca="false">SUM(G1764:G1771)</f>
        <v>5110.496</v>
      </c>
      <c r="H1772" s="392"/>
    </row>
    <row r="1773" s="451" customFormat="true" ht="15" hidden="false" customHeight="false" outlineLevel="0" collapsed="false">
      <c r="A1773" s="707" t="s">
        <v>4531</v>
      </c>
      <c r="B1773" s="487" t="s">
        <v>4532</v>
      </c>
      <c r="C1773" s="709" t="s">
        <v>4147</v>
      </c>
      <c r="D1773" s="679" t="s">
        <v>4528</v>
      </c>
      <c r="E1773" s="715" t="n">
        <v>0.02</v>
      </c>
      <c r="F1773" s="723" t="n">
        <v>980</v>
      </c>
      <c r="G1773" s="716" t="n">
        <f aca="false">E1773*F1773</f>
        <v>19.6</v>
      </c>
      <c r="H1773" s="679"/>
    </row>
    <row r="1774" s="451" customFormat="true" ht="15" hidden="false" customHeight="false" outlineLevel="0" collapsed="false">
      <c r="A1774" s="707"/>
      <c r="B1774" s="522"/>
      <c r="C1774" s="709" t="s">
        <v>4270</v>
      </c>
      <c r="D1774" s="679" t="s">
        <v>4392</v>
      </c>
      <c r="E1774" s="715" t="n">
        <v>0.2</v>
      </c>
      <c r="F1774" s="369" t="n">
        <v>1750</v>
      </c>
      <c r="G1774" s="716" t="n">
        <f aca="false">E1774*F1774</f>
        <v>350</v>
      </c>
      <c r="H1774" s="679"/>
    </row>
    <row r="1775" s="451" customFormat="true" ht="15" hidden="false" customHeight="false" outlineLevel="0" collapsed="false">
      <c r="A1775" s="707"/>
      <c r="B1775" s="522"/>
      <c r="C1775" s="709" t="s">
        <v>4529</v>
      </c>
      <c r="D1775" s="679" t="s">
        <v>4133</v>
      </c>
      <c r="E1775" s="715" t="n">
        <v>0.4</v>
      </c>
      <c r="F1775" s="369" t="n">
        <v>1200</v>
      </c>
      <c r="G1775" s="716" t="n">
        <f aca="false">E1775*F1775</f>
        <v>480</v>
      </c>
      <c r="H1775" s="679"/>
    </row>
    <row r="1776" s="451" customFormat="true" ht="15" hidden="false" customHeight="false" outlineLevel="0" collapsed="false">
      <c r="A1776" s="707"/>
      <c r="B1776" s="522"/>
      <c r="C1776" s="709" t="s">
        <v>4530</v>
      </c>
      <c r="D1776" s="679" t="s">
        <v>4133</v>
      </c>
      <c r="E1776" s="725" t="n">
        <v>0.006</v>
      </c>
      <c r="F1776" s="369" t="n">
        <v>361208</v>
      </c>
      <c r="G1776" s="716" t="n">
        <f aca="false">E1776*F1776</f>
        <v>2167.248</v>
      </c>
      <c r="H1776" s="679"/>
    </row>
    <row r="1777" s="451" customFormat="true" ht="15" hidden="false" customHeight="false" outlineLevel="0" collapsed="false">
      <c r="A1777" s="707"/>
      <c r="B1777" s="522"/>
      <c r="C1777" s="709" t="s">
        <v>4193</v>
      </c>
      <c r="D1777" s="679" t="s">
        <v>4133</v>
      </c>
      <c r="E1777" s="725" t="n">
        <v>0.006</v>
      </c>
      <c r="F1777" s="369" t="n">
        <v>361208</v>
      </c>
      <c r="G1777" s="716" t="n">
        <f aca="false">E1777*F1777</f>
        <v>2167.248</v>
      </c>
      <c r="H1777" s="679"/>
    </row>
    <row r="1778" s="451" customFormat="true" ht="15" hidden="false" customHeight="false" outlineLevel="0" collapsed="false">
      <c r="A1778" s="707"/>
      <c r="B1778" s="522"/>
      <c r="C1778" s="709" t="s">
        <v>4122</v>
      </c>
      <c r="D1778" s="679" t="s">
        <v>4392</v>
      </c>
      <c r="E1778" s="715" t="n">
        <v>0.005</v>
      </c>
      <c r="F1778" s="717" t="n">
        <v>720</v>
      </c>
      <c r="G1778" s="716" t="n">
        <f aca="false">E1778*F1778</f>
        <v>3.6</v>
      </c>
      <c r="H1778" s="679"/>
    </row>
    <row r="1779" s="451" customFormat="true" ht="15" hidden="false" customHeight="false" outlineLevel="0" collapsed="false">
      <c r="A1779" s="707"/>
      <c r="B1779" s="522"/>
      <c r="C1779" s="709" t="s">
        <v>4515</v>
      </c>
      <c r="D1779" s="679" t="s">
        <v>4133</v>
      </c>
      <c r="E1779" s="715" t="n">
        <v>0.01</v>
      </c>
      <c r="F1779" s="369" t="n">
        <v>2700</v>
      </c>
      <c r="G1779" s="716" t="n">
        <f aca="false">E1779*F1779</f>
        <v>27</v>
      </c>
      <c r="H1779" s="679"/>
    </row>
    <row r="1780" s="451" customFormat="true" ht="15" hidden="false" customHeight="false" outlineLevel="0" collapsed="false">
      <c r="A1780" s="707"/>
      <c r="B1780" s="522"/>
      <c r="C1780" s="709" t="s">
        <v>4124</v>
      </c>
      <c r="D1780" s="679" t="s">
        <v>4516</v>
      </c>
      <c r="E1780" s="715" t="n">
        <v>0.5</v>
      </c>
      <c r="F1780" s="369" t="n">
        <v>120</v>
      </c>
      <c r="G1780" s="716" t="n">
        <f aca="false">E1780*F1780</f>
        <v>60</v>
      </c>
      <c r="H1780" s="679"/>
    </row>
    <row r="1781" s="451" customFormat="true" ht="15" hidden="false" customHeight="false" outlineLevel="0" collapsed="false">
      <c r="A1781" s="707"/>
      <c r="B1781" s="708" t="s">
        <v>4128</v>
      </c>
      <c r="C1781" s="718"/>
      <c r="D1781" s="719"/>
      <c r="E1781" s="720"/>
      <c r="F1781" s="366"/>
      <c r="G1781" s="711" t="n">
        <f aca="false">SUM(G1773:G1780)</f>
        <v>5274.696</v>
      </c>
      <c r="H1781" s="392"/>
    </row>
    <row r="1782" s="451" customFormat="true" ht="15" hidden="false" customHeight="false" outlineLevel="0" collapsed="false">
      <c r="A1782" s="707" t="s">
        <v>4533</v>
      </c>
      <c r="B1782" s="487" t="s">
        <v>3018</v>
      </c>
      <c r="C1782" s="709" t="s">
        <v>4154</v>
      </c>
      <c r="D1782" s="679" t="s">
        <v>4392</v>
      </c>
      <c r="E1782" s="710" t="n">
        <v>0.08585</v>
      </c>
      <c r="F1782" s="721" t="n">
        <v>3500</v>
      </c>
      <c r="G1782" s="716" t="n">
        <f aca="false">E1782*F1782</f>
        <v>300.475</v>
      </c>
      <c r="H1782" s="679"/>
    </row>
    <row r="1783" s="451" customFormat="true" ht="15" hidden="false" customHeight="false" outlineLevel="0" collapsed="false">
      <c r="A1783" s="707"/>
      <c r="B1783" s="522"/>
      <c r="C1783" s="709" t="s">
        <v>4515</v>
      </c>
      <c r="D1783" s="679" t="s">
        <v>4133</v>
      </c>
      <c r="E1783" s="715" t="n">
        <v>0.06</v>
      </c>
      <c r="F1783" s="369" t="n">
        <v>2700</v>
      </c>
      <c r="G1783" s="716" t="n">
        <f aca="false">E1783*F1783</f>
        <v>162</v>
      </c>
      <c r="H1783" s="679"/>
    </row>
    <row r="1784" s="451" customFormat="true" ht="15" hidden="false" customHeight="false" outlineLevel="0" collapsed="false">
      <c r="A1784" s="707"/>
      <c r="B1784" s="522"/>
      <c r="C1784" s="709" t="s">
        <v>4124</v>
      </c>
      <c r="D1784" s="679" t="s">
        <v>4516</v>
      </c>
      <c r="E1784" s="715" t="n">
        <v>1.5</v>
      </c>
      <c r="F1784" s="369" t="n">
        <v>120</v>
      </c>
      <c r="G1784" s="716" t="n">
        <f aca="false">E1784*F1784</f>
        <v>180</v>
      </c>
      <c r="H1784" s="679"/>
    </row>
    <row r="1785" s="451" customFormat="true" ht="15" hidden="false" customHeight="false" outlineLevel="0" collapsed="false">
      <c r="A1785" s="707"/>
      <c r="B1785" s="708" t="s">
        <v>4128</v>
      </c>
      <c r="C1785" s="718"/>
      <c r="D1785" s="719"/>
      <c r="E1785" s="722"/>
      <c r="F1785" s="366"/>
      <c r="G1785" s="711" t="n">
        <f aca="false">SUM(G1782:G1784)</f>
        <v>642.475</v>
      </c>
      <c r="H1785" s="392"/>
    </row>
    <row r="1786" s="451" customFormat="true" ht="15" hidden="false" customHeight="false" outlineLevel="0" collapsed="false">
      <c r="A1786" s="707" t="s">
        <v>4534</v>
      </c>
      <c r="B1786" s="487" t="s">
        <v>3019</v>
      </c>
      <c r="C1786" s="709" t="s">
        <v>4147</v>
      </c>
      <c r="D1786" s="679" t="s">
        <v>4392</v>
      </c>
      <c r="E1786" s="715" t="n">
        <v>0.2</v>
      </c>
      <c r="F1786" s="723" t="n">
        <v>980</v>
      </c>
      <c r="G1786" s="716" t="n">
        <f aca="false">E1786*F1786</f>
        <v>196</v>
      </c>
      <c r="H1786" s="679"/>
    </row>
    <row r="1787" s="451" customFormat="true" ht="15" hidden="false" customHeight="false" outlineLevel="0" collapsed="false">
      <c r="A1787" s="707"/>
      <c r="B1787" s="522"/>
      <c r="C1787" s="709" t="s">
        <v>4515</v>
      </c>
      <c r="D1787" s="679" t="s">
        <v>4133</v>
      </c>
      <c r="E1787" s="715" t="n">
        <v>0.06</v>
      </c>
      <c r="F1787" s="369" t="n">
        <v>2700</v>
      </c>
      <c r="G1787" s="716" t="n">
        <f aca="false">E1787*F1787</f>
        <v>162</v>
      </c>
      <c r="H1787" s="679"/>
    </row>
    <row r="1788" s="451" customFormat="true" ht="15" hidden="false" customHeight="false" outlineLevel="0" collapsed="false">
      <c r="A1788" s="707"/>
      <c r="B1788" s="522"/>
      <c r="C1788" s="709" t="s">
        <v>4124</v>
      </c>
      <c r="D1788" s="679" t="s">
        <v>4516</v>
      </c>
      <c r="E1788" s="715" t="n">
        <v>1.5</v>
      </c>
      <c r="F1788" s="369" t="n">
        <v>120</v>
      </c>
      <c r="G1788" s="716" t="n">
        <f aca="false">E1788*F1788</f>
        <v>180</v>
      </c>
      <c r="H1788" s="679"/>
    </row>
    <row r="1789" s="451" customFormat="true" ht="15" hidden="false" customHeight="false" outlineLevel="0" collapsed="false">
      <c r="A1789" s="707"/>
      <c r="B1789" s="708" t="s">
        <v>4128</v>
      </c>
      <c r="C1789" s="718"/>
      <c r="D1789" s="719"/>
      <c r="E1789" s="722"/>
      <c r="F1789" s="366"/>
      <c r="G1789" s="711" t="n">
        <f aca="false">SUM(G1786:G1788)</f>
        <v>538</v>
      </c>
      <c r="H1789" s="392"/>
    </row>
    <row r="1790" s="451" customFormat="true" ht="15" hidden="false" customHeight="false" outlineLevel="0" collapsed="false">
      <c r="A1790" s="707" t="s">
        <v>345</v>
      </c>
      <c r="B1790" s="487" t="s">
        <v>3020</v>
      </c>
      <c r="C1790" s="709" t="s">
        <v>4154</v>
      </c>
      <c r="D1790" s="679" t="s">
        <v>4392</v>
      </c>
      <c r="E1790" s="710" t="n">
        <v>0.14308</v>
      </c>
      <c r="F1790" s="721" t="n">
        <v>3500</v>
      </c>
      <c r="G1790" s="716" t="n">
        <f aca="false">E1790*F1790</f>
        <v>500.78</v>
      </c>
      <c r="H1790" s="679"/>
    </row>
    <row r="1791" s="451" customFormat="true" ht="15" hidden="false" customHeight="false" outlineLevel="0" collapsed="false">
      <c r="A1791" s="707"/>
      <c r="B1791" s="522"/>
      <c r="C1791" s="709" t="s">
        <v>4147</v>
      </c>
      <c r="D1791" s="679" t="s">
        <v>4392</v>
      </c>
      <c r="E1791" s="715" t="n">
        <v>0.4</v>
      </c>
      <c r="F1791" s="723" t="n">
        <v>2700</v>
      </c>
      <c r="G1791" s="716" t="n">
        <f aca="false">E1791*F1791</f>
        <v>1080</v>
      </c>
      <c r="H1791" s="679"/>
    </row>
    <row r="1792" s="451" customFormat="true" ht="15" hidden="false" customHeight="false" outlineLevel="0" collapsed="false">
      <c r="A1792" s="707"/>
      <c r="B1792" s="522"/>
      <c r="C1792" s="709" t="s">
        <v>4535</v>
      </c>
      <c r="D1792" s="679" t="s">
        <v>4392</v>
      </c>
      <c r="E1792" s="715" t="n">
        <v>0.03</v>
      </c>
      <c r="F1792" s="369" t="n">
        <v>31200</v>
      </c>
      <c r="G1792" s="716" t="n">
        <f aca="false">E1792*F1792</f>
        <v>936</v>
      </c>
      <c r="H1792" s="679"/>
    </row>
    <row r="1793" s="451" customFormat="true" ht="15" hidden="false" customHeight="false" outlineLevel="0" collapsed="false">
      <c r="A1793" s="707"/>
      <c r="B1793" s="522"/>
      <c r="C1793" s="709" t="s">
        <v>4536</v>
      </c>
      <c r="D1793" s="679" t="s">
        <v>4392</v>
      </c>
      <c r="E1793" s="715" t="n">
        <v>0.08</v>
      </c>
      <c r="F1793" s="369" t="n">
        <v>546</v>
      </c>
      <c r="G1793" s="716" t="n">
        <f aca="false">E1793*F1793</f>
        <v>43.68</v>
      </c>
      <c r="H1793" s="679"/>
    </row>
    <row r="1794" s="451" customFormat="true" ht="15" hidden="false" customHeight="false" outlineLevel="0" collapsed="false">
      <c r="A1794" s="707"/>
      <c r="B1794" s="522"/>
      <c r="C1794" s="709" t="s">
        <v>4122</v>
      </c>
      <c r="D1794" s="679" t="s">
        <v>4392</v>
      </c>
      <c r="E1794" s="715" t="n">
        <v>0.1</v>
      </c>
      <c r="F1794" s="717" t="n">
        <v>720</v>
      </c>
      <c r="G1794" s="716" t="n">
        <f aca="false">E1794*F1794</f>
        <v>72</v>
      </c>
      <c r="H1794" s="679"/>
    </row>
    <row r="1795" s="451" customFormat="true" ht="15" hidden="false" customHeight="false" outlineLevel="0" collapsed="false">
      <c r="A1795" s="707"/>
      <c r="B1795" s="522"/>
      <c r="C1795" s="709" t="s">
        <v>4515</v>
      </c>
      <c r="D1795" s="679" t="s">
        <v>4133</v>
      </c>
      <c r="E1795" s="715" t="n">
        <v>0.05996</v>
      </c>
      <c r="F1795" s="369" t="n">
        <v>2700</v>
      </c>
      <c r="G1795" s="716" t="n">
        <f aca="false">E1795*F1795</f>
        <v>161.892</v>
      </c>
      <c r="H1795" s="679"/>
    </row>
    <row r="1796" s="451" customFormat="true" ht="15" hidden="false" customHeight="false" outlineLevel="0" collapsed="false">
      <c r="A1796" s="707"/>
      <c r="B1796" s="522"/>
      <c r="C1796" s="709" t="s">
        <v>4124</v>
      </c>
      <c r="D1796" s="679" t="s">
        <v>4516</v>
      </c>
      <c r="E1796" s="715" t="n">
        <v>0.5</v>
      </c>
      <c r="F1796" s="369" t="n">
        <v>120</v>
      </c>
      <c r="G1796" s="716" t="n">
        <f aca="false">E1796*F1796</f>
        <v>60</v>
      </c>
      <c r="H1796" s="679"/>
    </row>
    <row r="1797" s="451" customFormat="true" ht="15" hidden="false" customHeight="false" outlineLevel="0" collapsed="false">
      <c r="A1797" s="707"/>
      <c r="B1797" s="708" t="s">
        <v>4128</v>
      </c>
      <c r="C1797" s="718"/>
      <c r="D1797" s="719"/>
      <c r="E1797" s="722"/>
      <c r="F1797" s="366"/>
      <c r="G1797" s="711" t="n">
        <f aca="false">SUM(G1790:G1796)</f>
        <v>2854.352</v>
      </c>
      <c r="H1797" s="392"/>
    </row>
    <row r="1798" s="451" customFormat="true" ht="15" hidden="false" customHeight="false" outlineLevel="0" collapsed="false">
      <c r="A1798" s="707" t="s">
        <v>347</v>
      </c>
      <c r="B1798" s="487" t="s">
        <v>3021</v>
      </c>
      <c r="C1798" s="709"/>
      <c r="D1798" s="679"/>
      <c r="E1798" s="710"/>
      <c r="F1798" s="369"/>
      <c r="G1798" s="716"/>
      <c r="H1798" s="679"/>
    </row>
    <row r="1799" s="451" customFormat="true" ht="15" hidden="false" customHeight="false" outlineLevel="0" collapsed="false">
      <c r="A1799" s="707"/>
      <c r="B1799" s="522"/>
      <c r="C1799" s="709" t="s">
        <v>4537</v>
      </c>
      <c r="D1799" s="679" t="s">
        <v>4133</v>
      </c>
      <c r="E1799" s="715" t="n">
        <v>0.06</v>
      </c>
      <c r="F1799" s="723" t="n">
        <v>3612</v>
      </c>
      <c r="G1799" s="716" t="n">
        <f aca="false">E1799*F1799</f>
        <v>216.72</v>
      </c>
      <c r="H1799" s="679"/>
    </row>
    <row r="1800" s="451" customFormat="true" ht="30" hidden="false" customHeight="false" outlineLevel="0" collapsed="false">
      <c r="A1800" s="707"/>
      <c r="B1800" s="522"/>
      <c r="C1800" s="709" t="s">
        <v>4538</v>
      </c>
      <c r="D1800" s="679" t="s">
        <v>4133</v>
      </c>
      <c r="E1800" s="710" t="n">
        <v>0.028</v>
      </c>
      <c r="F1800" s="369" t="n">
        <v>28870</v>
      </c>
      <c r="G1800" s="716" t="n">
        <f aca="false">E1800*F1800</f>
        <v>808.36</v>
      </c>
      <c r="H1800" s="679"/>
    </row>
    <row r="1801" s="451" customFormat="true" ht="15" hidden="false" customHeight="false" outlineLevel="0" collapsed="false">
      <c r="A1801" s="707"/>
      <c r="B1801" s="522"/>
      <c r="C1801" s="709" t="s">
        <v>4539</v>
      </c>
      <c r="D1801" s="679" t="s">
        <v>4133</v>
      </c>
      <c r="E1801" s="710" t="n">
        <v>0.008</v>
      </c>
      <c r="F1801" s="369" t="n">
        <v>4480</v>
      </c>
      <c r="G1801" s="716" t="n">
        <f aca="false">E1801*F1801</f>
        <v>35.84</v>
      </c>
      <c r="H1801" s="679"/>
    </row>
    <row r="1802" s="451" customFormat="true" ht="15" hidden="false" customHeight="false" outlineLevel="0" collapsed="false">
      <c r="A1802" s="707"/>
      <c r="B1802" s="522"/>
      <c r="C1802" s="709" t="s">
        <v>4540</v>
      </c>
      <c r="D1802" s="679" t="s">
        <v>4359</v>
      </c>
      <c r="E1802" s="710" t="n">
        <v>0.0003</v>
      </c>
      <c r="F1802" s="369" t="n">
        <v>18130</v>
      </c>
      <c r="G1802" s="716" t="n">
        <f aca="false">E1802*F1802</f>
        <v>5.439</v>
      </c>
      <c r="H1802" s="679"/>
    </row>
    <row r="1803" s="451" customFormat="true" ht="15" hidden="false" customHeight="false" outlineLevel="0" collapsed="false">
      <c r="A1803" s="707"/>
      <c r="B1803" s="522"/>
      <c r="C1803" s="709" t="s">
        <v>4541</v>
      </c>
      <c r="D1803" s="679" t="s">
        <v>4359</v>
      </c>
      <c r="E1803" s="710" t="n">
        <v>0.002</v>
      </c>
      <c r="F1803" s="369" t="n">
        <v>8100</v>
      </c>
      <c r="G1803" s="716" t="n">
        <f aca="false">E1803*F1803</f>
        <v>16.2</v>
      </c>
      <c r="H1803" s="679"/>
    </row>
    <row r="1804" s="451" customFormat="true" ht="15" hidden="false" customHeight="false" outlineLevel="0" collapsed="false">
      <c r="A1804" s="707"/>
      <c r="B1804" s="522"/>
      <c r="C1804" s="709" t="s">
        <v>4542</v>
      </c>
      <c r="D1804" s="679" t="s">
        <v>4133</v>
      </c>
      <c r="E1804" s="710" t="n">
        <v>0.002</v>
      </c>
      <c r="F1804" s="369" t="n">
        <v>1400</v>
      </c>
      <c r="G1804" s="716" t="n">
        <f aca="false">E1804*F1804</f>
        <v>2.8</v>
      </c>
      <c r="H1804" s="679"/>
    </row>
    <row r="1805" s="451" customFormat="true" ht="15" hidden="false" customHeight="false" outlineLevel="0" collapsed="false">
      <c r="A1805" s="707"/>
      <c r="B1805" s="522"/>
      <c r="C1805" s="709" t="s">
        <v>4543</v>
      </c>
      <c r="D1805" s="679" t="s">
        <v>4359</v>
      </c>
      <c r="E1805" s="710" t="n">
        <v>0.011</v>
      </c>
      <c r="F1805" s="369" t="n">
        <v>2250</v>
      </c>
      <c r="G1805" s="716" t="n">
        <f aca="false">E1805*F1805</f>
        <v>24.75</v>
      </c>
      <c r="H1805" s="679"/>
    </row>
    <row r="1806" s="451" customFormat="true" ht="15" hidden="false" customHeight="false" outlineLevel="0" collapsed="false">
      <c r="A1806" s="707"/>
      <c r="B1806" s="708" t="s">
        <v>4128</v>
      </c>
      <c r="C1806" s="718"/>
      <c r="D1806" s="719"/>
      <c r="E1806" s="722"/>
      <c r="F1806" s="366"/>
      <c r="G1806" s="711" t="n">
        <f aca="false">SUM(G1799:G1805)</f>
        <v>1110.109</v>
      </c>
      <c r="H1806" s="392"/>
    </row>
    <row r="1807" s="451" customFormat="true" ht="30" hidden="false" customHeight="false" outlineLevel="0" collapsed="false">
      <c r="A1807" s="707" t="s">
        <v>349</v>
      </c>
      <c r="B1807" s="487" t="s">
        <v>3022</v>
      </c>
      <c r="C1807" s="709" t="s">
        <v>4544</v>
      </c>
      <c r="D1807" s="679" t="s">
        <v>4133</v>
      </c>
      <c r="E1807" s="710" t="n">
        <v>0.14</v>
      </c>
      <c r="F1807" s="369" t="n">
        <v>1964</v>
      </c>
      <c r="G1807" s="716" t="n">
        <f aca="false">E1807*F1807</f>
        <v>274.96</v>
      </c>
      <c r="H1807" s="679"/>
    </row>
    <row r="1808" s="451" customFormat="true" ht="15" hidden="false" customHeight="false" outlineLevel="0" collapsed="false">
      <c r="A1808" s="707"/>
      <c r="B1808" s="522"/>
      <c r="C1808" s="709" t="s">
        <v>4545</v>
      </c>
      <c r="D1808" s="679" t="s">
        <v>4133</v>
      </c>
      <c r="E1808" s="710" t="n">
        <v>0.006</v>
      </c>
      <c r="F1808" s="369" t="n">
        <v>1071</v>
      </c>
      <c r="G1808" s="716" t="n">
        <f aca="false">E1808*F1808</f>
        <v>6.426</v>
      </c>
      <c r="H1808" s="715"/>
    </row>
    <row r="1809" s="451" customFormat="true" ht="15" hidden="false" customHeight="false" outlineLevel="0" collapsed="false">
      <c r="A1809" s="707"/>
      <c r="B1809" s="522"/>
      <c r="C1809" s="709" t="s">
        <v>4546</v>
      </c>
      <c r="D1809" s="679" t="s">
        <v>4133</v>
      </c>
      <c r="E1809" s="715" t="n">
        <v>0.1</v>
      </c>
      <c r="F1809" s="369" t="n">
        <v>3640</v>
      </c>
      <c r="G1809" s="716" t="n">
        <f aca="false">E1809*F1809</f>
        <v>364</v>
      </c>
      <c r="H1809" s="679"/>
    </row>
    <row r="1810" s="451" customFormat="true" ht="15" hidden="false" customHeight="false" outlineLevel="0" collapsed="false">
      <c r="A1810" s="707"/>
      <c r="B1810" s="522"/>
      <c r="C1810" s="709" t="s">
        <v>4529</v>
      </c>
      <c r="D1810" s="679" t="s">
        <v>4133</v>
      </c>
      <c r="E1810" s="715" t="n">
        <v>0.1</v>
      </c>
      <c r="F1810" s="369" t="n">
        <v>8100</v>
      </c>
      <c r="G1810" s="716" t="n">
        <f aca="false">E1810*F1810</f>
        <v>810</v>
      </c>
      <c r="H1810" s="679"/>
    </row>
    <row r="1811" s="451" customFormat="true" ht="15" hidden="false" customHeight="false" outlineLevel="0" collapsed="false">
      <c r="A1811" s="707"/>
      <c r="B1811" s="522"/>
      <c r="C1811" s="709" t="s">
        <v>4547</v>
      </c>
      <c r="D1811" s="679" t="s">
        <v>4133</v>
      </c>
      <c r="E1811" s="715" t="n">
        <v>0.04</v>
      </c>
      <c r="F1811" s="369" t="n">
        <v>3265</v>
      </c>
      <c r="G1811" s="716" t="n">
        <f aca="false">E1811*F1811</f>
        <v>130.6</v>
      </c>
      <c r="H1811" s="679"/>
    </row>
    <row r="1812" s="451" customFormat="true" ht="15" hidden="false" customHeight="false" outlineLevel="0" collapsed="false">
      <c r="A1812" s="707"/>
      <c r="B1812" s="522"/>
      <c r="C1812" s="709" t="s">
        <v>4548</v>
      </c>
      <c r="D1812" s="679" t="s">
        <v>4392</v>
      </c>
      <c r="E1812" s="715" t="n">
        <v>0.08</v>
      </c>
      <c r="F1812" s="369" t="n">
        <v>892</v>
      </c>
      <c r="G1812" s="716" t="n">
        <f aca="false">E1812*F1812</f>
        <v>71.36</v>
      </c>
      <c r="H1812" s="679"/>
    </row>
    <row r="1813" s="451" customFormat="true" ht="15" hidden="false" customHeight="false" outlineLevel="0" collapsed="false">
      <c r="A1813" s="707"/>
      <c r="B1813" s="522"/>
      <c r="C1813" s="709" t="s">
        <v>4549</v>
      </c>
      <c r="D1813" s="679" t="s">
        <v>4392</v>
      </c>
      <c r="E1813" s="710" t="n">
        <v>0.22923</v>
      </c>
      <c r="F1813" s="721" t="n">
        <v>3500</v>
      </c>
      <c r="G1813" s="716" t="n">
        <f aca="false">E1813*F1813</f>
        <v>802.305</v>
      </c>
      <c r="H1813" s="679"/>
    </row>
    <row r="1814" s="451" customFormat="true" ht="15" hidden="false" customHeight="false" outlineLevel="0" collapsed="false">
      <c r="A1814" s="707"/>
      <c r="B1814" s="522"/>
      <c r="C1814" s="709" t="s">
        <v>4515</v>
      </c>
      <c r="D1814" s="679" t="s">
        <v>4133</v>
      </c>
      <c r="E1814" s="715" t="n">
        <v>0.06</v>
      </c>
      <c r="F1814" s="369" t="n">
        <v>2700</v>
      </c>
      <c r="G1814" s="716" t="n">
        <f aca="false">E1814*F1814</f>
        <v>162</v>
      </c>
      <c r="H1814" s="679"/>
    </row>
    <row r="1815" s="451" customFormat="true" ht="15" hidden="false" customHeight="false" outlineLevel="0" collapsed="false">
      <c r="A1815" s="707"/>
      <c r="B1815" s="522"/>
      <c r="C1815" s="709" t="s">
        <v>4124</v>
      </c>
      <c r="D1815" s="679" t="s">
        <v>4516</v>
      </c>
      <c r="E1815" s="715" t="n">
        <v>1.5</v>
      </c>
      <c r="F1815" s="369" t="n">
        <v>120</v>
      </c>
      <c r="G1815" s="716" t="n">
        <f aca="false">E1815*F1815</f>
        <v>180</v>
      </c>
      <c r="H1815" s="679"/>
    </row>
    <row r="1816" s="451" customFormat="true" ht="15" hidden="false" customHeight="false" outlineLevel="0" collapsed="false">
      <c r="A1816" s="707"/>
      <c r="B1816" s="708" t="s">
        <v>4128</v>
      </c>
      <c r="C1816" s="718"/>
      <c r="D1816" s="719"/>
      <c r="E1816" s="722"/>
      <c r="F1816" s="366"/>
      <c r="G1816" s="711" t="n">
        <f aca="false">SUM(G1807:G1815)</f>
        <v>2801.651</v>
      </c>
      <c r="H1816" s="392"/>
    </row>
    <row r="1817" s="451" customFormat="true" ht="15" hidden="false" customHeight="false" outlineLevel="0" collapsed="false">
      <c r="A1817" s="707" t="s">
        <v>351</v>
      </c>
      <c r="B1817" s="487" t="s">
        <v>3023</v>
      </c>
      <c r="C1817" s="709" t="s">
        <v>4550</v>
      </c>
      <c r="D1817" s="679" t="s">
        <v>4392</v>
      </c>
      <c r="E1817" s="710" t="n">
        <v>0.034</v>
      </c>
      <c r="F1817" s="369" t="n">
        <v>6500</v>
      </c>
      <c r="G1817" s="716" t="n">
        <f aca="false">E1817*F1817</f>
        <v>221</v>
      </c>
      <c r="H1817" s="679"/>
    </row>
    <row r="1818" s="451" customFormat="true" ht="15" hidden="false" customHeight="false" outlineLevel="0" collapsed="false">
      <c r="A1818" s="707"/>
      <c r="B1818" s="522"/>
      <c r="C1818" s="709" t="s">
        <v>4122</v>
      </c>
      <c r="D1818" s="679" t="s">
        <v>4392</v>
      </c>
      <c r="E1818" s="715" t="n">
        <v>0.17</v>
      </c>
      <c r="F1818" s="369" t="n">
        <v>720</v>
      </c>
      <c r="G1818" s="716" t="n">
        <f aca="false">E1818*F1818</f>
        <v>122.4</v>
      </c>
      <c r="H1818" s="679"/>
    </row>
    <row r="1819" s="451" customFormat="true" ht="15" hidden="false" customHeight="false" outlineLevel="0" collapsed="false">
      <c r="A1819" s="707"/>
      <c r="B1819" s="522"/>
      <c r="C1819" s="709" t="s">
        <v>4529</v>
      </c>
      <c r="D1819" s="679" t="s">
        <v>4133</v>
      </c>
      <c r="E1819" s="715" t="n">
        <v>0.12</v>
      </c>
      <c r="F1819" s="369" t="n">
        <v>1200</v>
      </c>
      <c r="G1819" s="716" t="n">
        <f aca="false">E1819*F1819</f>
        <v>144</v>
      </c>
      <c r="H1819" s="679"/>
    </row>
    <row r="1820" s="451" customFormat="true" ht="15" hidden="false" customHeight="false" outlineLevel="0" collapsed="false">
      <c r="A1820" s="707"/>
      <c r="B1820" s="522"/>
      <c r="C1820" s="709" t="s">
        <v>4264</v>
      </c>
      <c r="D1820" s="679" t="s">
        <v>4133</v>
      </c>
      <c r="E1820" s="715" t="n">
        <v>0.03</v>
      </c>
      <c r="F1820" s="369" t="n">
        <v>55000</v>
      </c>
      <c r="G1820" s="716" t="n">
        <f aca="false">E1820*F1820</f>
        <v>1650</v>
      </c>
      <c r="H1820" s="679"/>
    </row>
    <row r="1821" s="451" customFormat="true" ht="15" hidden="false" customHeight="false" outlineLevel="0" collapsed="false">
      <c r="A1821" s="707"/>
      <c r="B1821" s="522"/>
      <c r="C1821" s="709" t="s">
        <v>4515</v>
      </c>
      <c r="D1821" s="679" t="s">
        <v>4133</v>
      </c>
      <c r="E1821" s="715" t="n">
        <v>0.01</v>
      </c>
      <c r="F1821" s="369" t="n">
        <v>2700</v>
      </c>
      <c r="G1821" s="716" t="n">
        <f aca="false">E1821*F1821</f>
        <v>27</v>
      </c>
      <c r="H1821" s="679"/>
    </row>
    <row r="1822" s="451" customFormat="true" ht="15" hidden="false" customHeight="false" outlineLevel="0" collapsed="false">
      <c r="A1822" s="707"/>
      <c r="B1822" s="522"/>
      <c r="C1822" s="709" t="s">
        <v>4124</v>
      </c>
      <c r="D1822" s="679" t="s">
        <v>4516</v>
      </c>
      <c r="E1822" s="715" t="n">
        <v>0.5</v>
      </c>
      <c r="F1822" s="369" t="n">
        <v>120</v>
      </c>
      <c r="G1822" s="716" t="n">
        <f aca="false">E1822*F1822</f>
        <v>60</v>
      </c>
      <c r="H1822" s="679"/>
    </row>
    <row r="1823" s="451" customFormat="true" ht="15" hidden="false" customHeight="false" outlineLevel="0" collapsed="false">
      <c r="A1823" s="707"/>
      <c r="B1823" s="708" t="s">
        <v>4128</v>
      </c>
      <c r="C1823" s="718"/>
      <c r="D1823" s="719"/>
      <c r="E1823" s="722"/>
      <c r="F1823" s="366"/>
      <c r="G1823" s="711" t="n">
        <f aca="false">SUM(G1817:G1822)</f>
        <v>2224.4</v>
      </c>
      <c r="H1823" s="392"/>
    </row>
    <row r="1824" s="451" customFormat="true" ht="15" hidden="false" customHeight="false" outlineLevel="0" collapsed="false">
      <c r="A1824" s="707" t="s">
        <v>353</v>
      </c>
      <c r="B1824" s="487" t="s">
        <v>3024</v>
      </c>
      <c r="C1824" s="709" t="s">
        <v>4201</v>
      </c>
      <c r="D1824" s="679" t="s">
        <v>4133</v>
      </c>
      <c r="E1824" s="710" t="n">
        <v>0.002</v>
      </c>
      <c r="F1824" s="721" t="n">
        <v>27000</v>
      </c>
      <c r="G1824" s="716" t="n">
        <f aca="false">E1824*F1824</f>
        <v>54</v>
      </c>
      <c r="H1824" s="679"/>
    </row>
    <row r="1825" s="451" customFormat="true" ht="15" hidden="false" customHeight="false" outlineLevel="0" collapsed="false">
      <c r="A1825" s="707"/>
      <c r="B1825" s="522"/>
      <c r="C1825" s="709" t="s">
        <v>4205</v>
      </c>
      <c r="D1825" s="679" t="s">
        <v>4392</v>
      </c>
      <c r="E1825" s="715" t="n">
        <v>0.02</v>
      </c>
      <c r="F1825" s="717" t="n">
        <v>7875</v>
      </c>
      <c r="G1825" s="716" t="n">
        <f aca="false">E1825*F1825</f>
        <v>157.5</v>
      </c>
      <c r="H1825" s="679"/>
    </row>
    <row r="1826" s="451" customFormat="true" ht="15" hidden="false" customHeight="false" outlineLevel="0" collapsed="false">
      <c r="A1826" s="707"/>
      <c r="B1826" s="522"/>
      <c r="C1826" s="709" t="s">
        <v>4551</v>
      </c>
      <c r="D1826" s="679" t="s">
        <v>4392</v>
      </c>
      <c r="E1826" s="715" t="n">
        <v>0.3</v>
      </c>
      <c r="F1826" s="717" t="n">
        <v>2700</v>
      </c>
      <c r="G1826" s="716" t="n">
        <f aca="false">E1826*F1826</f>
        <v>810</v>
      </c>
      <c r="H1826" s="679"/>
    </row>
    <row r="1827" s="451" customFormat="true" ht="15" hidden="false" customHeight="false" outlineLevel="0" collapsed="false">
      <c r="A1827" s="707"/>
      <c r="B1827" s="522"/>
      <c r="C1827" s="709" t="s">
        <v>4552</v>
      </c>
      <c r="D1827" s="679" t="s">
        <v>4133</v>
      </c>
      <c r="E1827" s="710" t="n">
        <v>0.003</v>
      </c>
      <c r="F1827" s="369" t="n">
        <v>11200</v>
      </c>
      <c r="G1827" s="716" t="n">
        <f aca="false">E1827*F1827</f>
        <v>33.6</v>
      </c>
      <c r="H1827" s="679"/>
    </row>
    <row r="1828" s="451" customFormat="true" ht="15" hidden="false" customHeight="false" outlineLevel="0" collapsed="false">
      <c r="A1828" s="707"/>
      <c r="B1828" s="522"/>
      <c r="C1828" s="709" t="s">
        <v>4515</v>
      </c>
      <c r="D1828" s="679" t="s">
        <v>4133</v>
      </c>
      <c r="E1828" s="715" t="n">
        <v>0.06</v>
      </c>
      <c r="F1828" s="369" t="n">
        <v>2700</v>
      </c>
      <c r="G1828" s="716" t="n">
        <f aca="false">E1828*F1828</f>
        <v>162</v>
      </c>
      <c r="H1828" s="679"/>
    </row>
    <row r="1829" s="451" customFormat="true" ht="15" hidden="false" customHeight="false" outlineLevel="0" collapsed="false">
      <c r="A1829" s="707"/>
      <c r="B1829" s="522"/>
      <c r="C1829" s="709" t="s">
        <v>4124</v>
      </c>
      <c r="D1829" s="679" t="s">
        <v>4516</v>
      </c>
      <c r="E1829" s="715" t="n">
        <v>1.5</v>
      </c>
      <c r="F1829" s="369" t="n">
        <v>120</v>
      </c>
      <c r="G1829" s="716" t="n">
        <f aca="false">E1829*F1829</f>
        <v>180</v>
      </c>
      <c r="H1829" s="679"/>
    </row>
    <row r="1830" s="451" customFormat="true" ht="15" hidden="false" customHeight="false" outlineLevel="0" collapsed="false">
      <c r="A1830" s="707"/>
      <c r="B1830" s="708" t="s">
        <v>4128</v>
      </c>
      <c r="C1830" s="718"/>
      <c r="D1830" s="719"/>
      <c r="E1830" s="722"/>
      <c r="F1830" s="366"/>
      <c r="G1830" s="711" t="n">
        <f aca="false">SUM(G1824:G1829)</f>
        <v>1397.1</v>
      </c>
      <c r="H1830" s="392"/>
    </row>
    <row r="1831" s="451" customFormat="true" ht="15" hidden="false" customHeight="false" outlineLevel="0" collapsed="false">
      <c r="A1831" s="707" t="s">
        <v>355</v>
      </c>
      <c r="B1831" s="487" t="s">
        <v>4553</v>
      </c>
      <c r="C1831" s="532" t="s">
        <v>4554</v>
      </c>
      <c r="D1831" s="679" t="s">
        <v>4555</v>
      </c>
      <c r="E1831" s="726" t="n">
        <v>0.02</v>
      </c>
      <c r="F1831" s="721" t="n">
        <v>108100</v>
      </c>
      <c r="G1831" s="727" t="n">
        <f aca="false">E1831*F1831</f>
        <v>2162</v>
      </c>
      <c r="H1831" s="679"/>
    </row>
    <row r="1832" s="451" customFormat="true" ht="15" hidden="false" customHeight="false" outlineLevel="0" collapsed="false">
      <c r="A1832" s="707"/>
      <c r="B1832" s="522"/>
      <c r="C1832" s="471" t="s">
        <v>4189</v>
      </c>
      <c r="D1832" s="728" t="s">
        <v>4133</v>
      </c>
      <c r="E1832" s="726" t="n">
        <v>0.025</v>
      </c>
      <c r="F1832" s="729" t="n">
        <v>3500</v>
      </c>
      <c r="G1832" s="727" t="n">
        <f aca="false">E1832*F1832</f>
        <v>87.5</v>
      </c>
      <c r="H1832" s="679"/>
    </row>
    <row r="1833" s="451" customFormat="true" ht="15" hidden="false" customHeight="false" outlineLevel="0" collapsed="false">
      <c r="A1833" s="707"/>
      <c r="B1833" s="522"/>
      <c r="C1833" s="325" t="s">
        <v>4556</v>
      </c>
      <c r="D1833" s="728" t="s">
        <v>4133</v>
      </c>
      <c r="E1833" s="726" t="n">
        <v>0.01</v>
      </c>
      <c r="F1833" s="723" t="n">
        <v>3612</v>
      </c>
      <c r="G1833" s="727" t="n">
        <f aca="false">E1833*F1833</f>
        <v>36.12</v>
      </c>
      <c r="H1833" s="679"/>
    </row>
    <row r="1834" s="451" customFormat="true" ht="15" hidden="false" customHeight="false" outlineLevel="0" collapsed="false">
      <c r="A1834" s="707"/>
      <c r="B1834" s="522"/>
      <c r="C1834" s="532" t="s">
        <v>4557</v>
      </c>
      <c r="D1834" s="728" t="s">
        <v>4133</v>
      </c>
      <c r="E1834" s="726" t="n">
        <v>0.06</v>
      </c>
      <c r="F1834" s="369" t="n">
        <v>1750</v>
      </c>
      <c r="G1834" s="727" t="n">
        <f aca="false">E1834*F1834</f>
        <v>105</v>
      </c>
      <c r="H1834" s="679"/>
    </row>
    <row r="1835" s="451" customFormat="true" ht="15" hidden="false" customHeight="false" outlineLevel="0" collapsed="false">
      <c r="A1835" s="707"/>
      <c r="B1835" s="522"/>
      <c r="C1835" s="532" t="s">
        <v>4558</v>
      </c>
      <c r="D1835" s="679" t="s">
        <v>4559</v>
      </c>
      <c r="E1835" s="726" t="n">
        <v>0.008</v>
      </c>
      <c r="F1835" s="721" t="n">
        <v>178100</v>
      </c>
      <c r="G1835" s="727" t="n">
        <f aca="false">E1835*F1835</f>
        <v>1424.8</v>
      </c>
      <c r="H1835" s="679"/>
    </row>
    <row r="1836" s="451" customFormat="true" ht="30" hidden="false" customHeight="false" outlineLevel="0" collapsed="false">
      <c r="A1836" s="707"/>
      <c r="B1836" s="522"/>
      <c r="C1836" s="532" t="s">
        <v>4560</v>
      </c>
      <c r="D1836" s="728" t="s">
        <v>4348</v>
      </c>
      <c r="E1836" s="730" t="n">
        <v>5</v>
      </c>
      <c r="F1836" s="729" t="n">
        <v>5.1</v>
      </c>
      <c r="G1836" s="727" t="n">
        <f aca="false">E1836*F1836</f>
        <v>25.5</v>
      </c>
      <c r="H1836" s="679"/>
    </row>
    <row r="1837" s="451" customFormat="true" ht="15" hidden="false" customHeight="false" outlineLevel="0" collapsed="false">
      <c r="A1837" s="707"/>
      <c r="B1837" s="522"/>
      <c r="C1837" s="709" t="s">
        <v>4122</v>
      </c>
      <c r="D1837" s="679" t="s">
        <v>4392</v>
      </c>
      <c r="E1837" s="731" t="n">
        <v>0.3</v>
      </c>
      <c r="F1837" s="369" t="n">
        <v>720</v>
      </c>
      <c r="G1837" s="727" t="n">
        <f aca="false">E1837*F1837</f>
        <v>216</v>
      </c>
      <c r="H1837" s="679"/>
    </row>
    <row r="1838" s="451" customFormat="true" ht="15" hidden="false" customHeight="false" outlineLevel="0" collapsed="false">
      <c r="A1838" s="707"/>
      <c r="B1838" s="522"/>
      <c r="C1838" s="709" t="s">
        <v>4561</v>
      </c>
      <c r="D1838" s="679" t="s">
        <v>4138</v>
      </c>
      <c r="E1838" s="731" t="n">
        <v>1</v>
      </c>
      <c r="F1838" s="369" t="n">
        <v>490</v>
      </c>
      <c r="G1838" s="727" t="n">
        <f aca="false">E1838*F1838</f>
        <v>490</v>
      </c>
      <c r="H1838" s="679"/>
    </row>
    <row r="1839" s="451" customFormat="true" ht="15" hidden="false" customHeight="false" outlineLevel="0" collapsed="false">
      <c r="A1839" s="380"/>
      <c r="B1839" s="522"/>
      <c r="C1839" s="709" t="s">
        <v>4515</v>
      </c>
      <c r="D1839" s="679" t="s">
        <v>4133</v>
      </c>
      <c r="E1839" s="731" t="n">
        <v>0.06</v>
      </c>
      <c r="F1839" s="369" t="n">
        <v>2700</v>
      </c>
      <c r="G1839" s="727" t="n">
        <f aca="false">E1839*F1839</f>
        <v>162</v>
      </c>
      <c r="H1839" s="679"/>
    </row>
    <row r="1840" s="451" customFormat="true" ht="15" hidden="false" customHeight="false" outlineLevel="0" collapsed="false">
      <c r="A1840" s="380"/>
      <c r="B1840" s="708" t="s">
        <v>4562</v>
      </c>
      <c r="C1840" s="718"/>
      <c r="D1840" s="719"/>
      <c r="E1840" s="732"/>
      <c r="F1840" s="366"/>
      <c r="G1840" s="711" t="n">
        <f aca="false">SUM(G1831:G1839)</f>
        <v>4708.92</v>
      </c>
      <c r="H1840" s="679"/>
    </row>
    <row r="1841" s="451" customFormat="true" ht="15" hidden="false" customHeight="false" outlineLevel="0" collapsed="false">
      <c r="A1841" s="707" t="s">
        <v>357</v>
      </c>
      <c r="B1841" s="487" t="s">
        <v>3026</v>
      </c>
      <c r="C1841" s="532" t="s">
        <v>4268</v>
      </c>
      <c r="D1841" s="679" t="s">
        <v>4555</v>
      </c>
      <c r="E1841" s="726" t="n">
        <v>0.01</v>
      </c>
      <c r="F1841" s="721" t="n">
        <v>108100</v>
      </c>
      <c r="G1841" s="727" t="n">
        <f aca="false">E1841*F1841</f>
        <v>1081</v>
      </c>
      <c r="H1841" s="679"/>
    </row>
    <row r="1842" s="451" customFormat="true" ht="15" hidden="false" customHeight="false" outlineLevel="0" collapsed="false">
      <c r="A1842" s="380"/>
      <c r="B1842" s="522"/>
      <c r="C1842" s="471" t="s">
        <v>4189</v>
      </c>
      <c r="D1842" s="728" t="s">
        <v>4133</v>
      </c>
      <c r="E1842" s="726" t="n">
        <v>0.027</v>
      </c>
      <c r="F1842" s="729" t="n">
        <v>3500</v>
      </c>
      <c r="G1842" s="727" t="n">
        <f aca="false">E1842*F1842</f>
        <v>94.5</v>
      </c>
      <c r="H1842" s="679"/>
    </row>
    <row r="1843" s="451" customFormat="true" ht="15" hidden="false" customHeight="false" outlineLevel="0" collapsed="false">
      <c r="A1843" s="380"/>
      <c r="B1843" s="522"/>
      <c r="C1843" s="532" t="s">
        <v>4557</v>
      </c>
      <c r="D1843" s="728" t="s">
        <v>4133</v>
      </c>
      <c r="E1843" s="726" t="n">
        <v>0.05</v>
      </c>
      <c r="F1843" s="369" t="n">
        <v>1750</v>
      </c>
      <c r="G1843" s="727" t="n">
        <f aca="false">E1843*F1843</f>
        <v>87.5</v>
      </c>
      <c r="H1843" s="679"/>
    </row>
    <row r="1844" s="451" customFormat="true" ht="15" hidden="false" customHeight="false" outlineLevel="0" collapsed="false">
      <c r="A1844" s="380"/>
      <c r="B1844" s="522"/>
      <c r="C1844" s="532" t="s">
        <v>4563</v>
      </c>
      <c r="D1844" s="728" t="s">
        <v>4133</v>
      </c>
      <c r="E1844" s="733" t="n">
        <v>0.05</v>
      </c>
      <c r="F1844" s="717" t="n">
        <v>25200</v>
      </c>
      <c r="G1844" s="727" t="n">
        <f aca="false">E1844*F1844</f>
        <v>1260</v>
      </c>
      <c r="H1844" s="679"/>
    </row>
    <row r="1845" s="451" customFormat="true" ht="15" hidden="false" customHeight="false" outlineLevel="0" collapsed="false">
      <c r="A1845" s="380"/>
      <c r="B1845" s="522"/>
      <c r="C1845" s="532" t="s">
        <v>4564</v>
      </c>
      <c r="D1845" s="728" t="s">
        <v>4133</v>
      </c>
      <c r="E1845" s="726" t="n">
        <v>0.06</v>
      </c>
      <c r="F1845" s="721" t="n">
        <v>3500</v>
      </c>
      <c r="G1845" s="727" t="n">
        <f aca="false">E1845*F1845</f>
        <v>210</v>
      </c>
      <c r="H1845" s="679"/>
    </row>
    <row r="1846" s="451" customFormat="true" ht="15" hidden="false" customHeight="false" outlineLevel="0" collapsed="false">
      <c r="A1846" s="380"/>
      <c r="B1846" s="522"/>
      <c r="C1846" s="532" t="s">
        <v>4565</v>
      </c>
      <c r="D1846" s="728" t="s">
        <v>4133</v>
      </c>
      <c r="E1846" s="734" t="n">
        <v>0.1</v>
      </c>
      <c r="F1846" s="721" t="n">
        <v>870</v>
      </c>
      <c r="G1846" s="727" t="n">
        <f aca="false">E1846*F1846</f>
        <v>87</v>
      </c>
      <c r="H1846" s="679"/>
    </row>
    <row r="1847" s="451" customFormat="true" ht="15" hidden="false" customHeight="false" outlineLevel="0" collapsed="false">
      <c r="A1847" s="380"/>
      <c r="B1847" s="522"/>
      <c r="C1847" s="532" t="s">
        <v>4566</v>
      </c>
      <c r="D1847" s="728" t="s">
        <v>4133</v>
      </c>
      <c r="E1847" s="726" t="n">
        <v>0.05</v>
      </c>
      <c r="F1847" s="721" t="n">
        <v>300</v>
      </c>
      <c r="G1847" s="727" t="n">
        <f aca="false">E1847*F1847</f>
        <v>15</v>
      </c>
      <c r="H1847" s="679"/>
    </row>
    <row r="1848" s="451" customFormat="true" ht="15" hidden="false" customHeight="false" outlineLevel="0" collapsed="false">
      <c r="A1848" s="380"/>
      <c r="B1848" s="522"/>
      <c r="C1848" s="325" t="s">
        <v>4556</v>
      </c>
      <c r="D1848" s="728" t="s">
        <v>4133</v>
      </c>
      <c r="E1848" s="726" t="n">
        <v>0.05</v>
      </c>
      <c r="F1848" s="723" t="n">
        <v>3612</v>
      </c>
      <c r="G1848" s="727" t="n">
        <f aca="false">E1848*F1848</f>
        <v>180.6</v>
      </c>
      <c r="H1848" s="679"/>
    </row>
    <row r="1849" s="451" customFormat="true" ht="30" hidden="false" customHeight="false" outlineLevel="0" collapsed="false">
      <c r="A1849" s="380"/>
      <c r="B1849" s="522"/>
      <c r="C1849" s="532" t="s">
        <v>4560</v>
      </c>
      <c r="D1849" s="728" t="s">
        <v>4348</v>
      </c>
      <c r="E1849" s="679" t="n">
        <v>5</v>
      </c>
      <c r="F1849" s="729" t="n">
        <v>5.1</v>
      </c>
      <c r="G1849" s="727" t="n">
        <f aca="false">E1849*F1849</f>
        <v>25.5</v>
      </c>
      <c r="H1849" s="679"/>
    </row>
    <row r="1850" s="451" customFormat="true" ht="15" hidden="false" customHeight="false" outlineLevel="0" collapsed="false">
      <c r="A1850" s="380"/>
      <c r="B1850" s="708" t="s">
        <v>4128</v>
      </c>
      <c r="C1850" s="709"/>
      <c r="D1850" s="679"/>
      <c r="E1850" s="710"/>
      <c r="F1850" s="369"/>
      <c r="G1850" s="711" t="n">
        <f aca="false">SUM(G1841:G1849)</f>
        <v>3041.1</v>
      </c>
      <c r="H1850" s="392"/>
    </row>
    <row r="1851" s="451" customFormat="true" ht="15" hidden="false" customHeight="false" outlineLevel="0" collapsed="false">
      <c r="A1851" s="707" t="s">
        <v>359</v>
      </c>
      <c r="B1851" s="487" t="s">
        <v>3102</v>
      </c>
      <c r="C1851" s="532" t="s">
        <v>4567</v>
      </c>
      <c r="D1851" s="679" t="s">
        <v>4555</v>
      </c>
      <c r="E1851" s="726" t="n">
        <v>0.01</v>
      </c>
      <c r="F1851" s="721" t="n">
        <v>98000</v>
      </c>
      <c r="G1851" s="727" t="n">
        <f aca="false">E1851*F1851</f>
        <v>980</v>
      </c>
      <c r="H1851" s="679"/>
    </row>
    <row r="1852" s="451" customFormat="true" ht="15" hidden="false" customHeight="false" outlineLevel="0" collapsed="false">
      <c r="A1852" s="707"/>
      <c r="B1852" s="522" t="s">
        <v>4568</v>
      </c>
      <c r="C1852" s="471" t="s">
        <v>4189</v>
      </c>
      <c r="D1852" s="728" t="s">
        <v>4133</v>
      </c>
      <c r="E1852" s="726" t="n">
        <v>0.025</v>
      </c>
      <c r="F1852" s="729" t="n">
        <v>3500</v>
      </c>
      <c r="G1852" s="727" t="n">
        <f aca="false">E1852*F1852</f>
        <v>87.5</v>
      </c>
      <c r="H1852" s="679"/>
    </row>
    <row r="1853" s="451" customFormat="true" ht="15" hidden="false" customHeight="false" outlineLevel="0" collapsed="false">
      <c r="A1853" s="707"/>
      <c r="B1853" s="522"/>
      <c r="C1853" s="325" t="s">
        <v>4556</v>
      </c>
      <c r="D1853" s="728" t="s">
        <v>4133</v>
      </c>
      <c r="E1853" s="726" t="n">
        <v>0.02</v>
      </c>
      <c r="F1853" s="723" t="n">
        <v>3612</v>
      </c>
      <c r="G1853" s="727" t="n">
        <f aca="false">E1853*F1853</f>
        <v>72.24</v>
      </c>
      <c r="H1853" s="679"/>
    </row>
    <row r="1854" s="451" customFormat="true" ht="15" hidden="false" customHeight="false" outlineLevel="0" collapsed="false">
      <c r="A1854" s="707"/>
      <c r="B1854" s="522"/>
      <c r="C1854" s="532" t="s">
        <v>4557</v>
      </c>
      <c r="D1854" s="728" t="s">
        <v>4133</v>
      </c>
      <c r="E1854" s="726" t="n">
        <v>0.06</v>
      </c>
      <c r="F1854" s="369" t="n">
        <v>1750</v>
      </c>
      <c r="G1854" s="727" t="n">
        <f aca="false">E1854*F1854</f>
        <v>105</v>
      </c>
      <c r="H1854" s="679"/>
    </row>
    <row r="1855" s="451" customFormat="true" ht="15" hidden="false" customHeight="false" outlineLevel="0" collapsed="false">
      <c r="A1855" s="707"/>
      <c r="B1855" s="522"/>
      <c r="C1855" s="532" t="s">
        <v>4569</v>
      </c>
      <c r="D1855" s="679" t="s">
        <v>4559</v>
      </c>
      <c r="E1855" s="726" t="n">
        <v>0.005</v>
      </c>
      <c r="F1855" s="721" t="n">
        <v>178100</v>
      </c>
      <c r="G1855" s="727" t="n">
        <f aca="false">E1855*F1855</f>
        <v>890.5</v>
      </c>
      <c r="H1855" s="679"/>
    </row>
    <row r="1856" s="451" customFormat="true" ht="30" hidden="false" customHeight="false" outlineLevel="0" collapsed="false">
      <c r="A1856" s="707"/>
      <c r="B1856" s="522"/>
      <c r="C1856" s="532" t="s">
        <v>4560</v>
      </c>
      <c r="D1856" s="728" t="s">
        <v>4348</v>
      </c>
      <c r="E1856" s="369" t="n">
        <v>5</v>
      </c>
      <c r="F1856" s="729" t="n">
        <v>5.1</v>
      </c>
      <c r="G1856" s="727" t="n">
        <f aca="false">E1856*F1856</f>
        <v>25.5</v>
      </c>
      <c r="H1856" s="679"/>
    </row>
    <row r="1857" s="451" customFormat="true" ht="15" hidden="false" customHeight="false" outlineLevel="0" collapsed="false">
      <c r="A1857" s="707"/>
      <c r="B1857" s="522"/>
      <c r="C1857" s="709" t="s">
        <v>4122</v>
      </c>
      <c r="D1857" s="679" t="s">
        <v>4392</v>
      </c>
      <c r="E1857" s="731" t="n">
        <v>0.3</v>
      </c>
      <c r="F1857" s="369" t="n">
        <v>720</v>
      </c>
      <c r="G1857" s="727" t="n">
        <f aca="false">E1857*F1857</f>
        <v>216</v>
      </c>
      <c r="H1857" s="679"/>
    </row>
    <row r="1858" s="451" customFormat="true" ht="15" hidden="false" customHeight="false" outlineLevel="0" collapsed="false">
      <c r="A1858" s="707"/>
      <c r="B1858" s="522"/>
      <c r="C1858" s="709" t="s">
        <v>4515</v>
      </c>
      <c r="D1858" s="679" t="s">
        <v>4133</v>
      </c>
      <c r="E1858" s="731" t="n">
        <v>0.05996</v>
      </c>
      <c r="F1858" s="369" t="n">
        <v>2700</v>
      </c>
      <c r="G1858" s="727" t="n">
        <f aca="false">E1858*F1858</f>
        <v>161.892</v>
      </c>
      <c r="H1858" s="679"/>
    </row>
    <row r="1859" s="451" customFormat="true" ht="15" hidden="false" customHeight="false" outlineLevel="0" collapsed="false">
      <c r="A1859" s="707"/>
      <c r="B1859" s="708" t="s">
        <v>4128</v>
      </c>
      <c r="C1859" s="709"/>
      <c r="D1859" s="679"/>
      <c r="E1859" s="731"/>
      <c r="F1859" s="369"/>
      <c r="G1859" s="711" t="n">
        <f aca="false">SUM(G1851:G1858)</f>
        <v>2538.632</v>
      </c>
      <c r="H1859" s="392"/>
    </row>
    <row r="1860" s="451" customFormat="true" ht="15" hidden="false" customHeight="false" outlineLevel="0" collapsed="false">
      <c r="A1860" s="707" t="s">
        <v>361</v>
      </c>
      <c r="B1860" s="487" t="s">
        <v>3028</v>
      </c>
      <c r="C1860" s="532" t="s">
        <v>4567</v>
      </c>
      <c r="D1860" s="679" t="s">
        <v>4555</v>
      </c>
      <c r="E1860" s="726" t="n">
        <v>0.01</v>
      </c>
      <c r="F1860" s="721" t="n">
        <v>98000</v>
      </c>
      <c r="G1860" s="727" t="n">
        <f aca="false">E1860*F1860</f>
        <v>980</v>
      </c>
      <c r="H1860" s="709"/>
    </row>
    <row r="1861" s="451" customFormat="true" ht="15" hidden="false" customHeight="false" outlineLevel="0" collapsed="false">
      <c r="A1861" s="707"/>
      <c r="B1861" s="522"/>
      <c r="C1861" s="471" t="s">
        <v>4189</v>
      </c>
      <c r="D1861" s="728" t="s">
        <v>4133</v>
      </c>
      <c r="E1861" s="726" t="n">
        <v>0.027</v>
      </c>
      <c r="F1861" s="729" t="n">
        <v>3500</v>
      </c>
      <c r="G1861" s="727" t="n">
        <f aca="false">E1861*F1861</f>
        <v>94.5</v>
      </c>
      <c r="H1861" s="709"/>
    </row>
    <row r="1862" s="451" customFormat="true" ht="15" hidden="false" customHeight="false" outlineLevel="0" collapsed="false">
      <c r="A1862" s="707"/>
      <c r="B1862" s="708"/>
      <c r="C1862" s="532" t="s">
        <v>4557</v>
      </c>
      <c r="D1862" s="728" t="s">
        <v>4133</v>
      </c>
      <c r="E1862" s="726" t="n">
        <v>0.09</v>
      </c>
      <c r="F1862" s="369" t="n">
        <v>1750</v>
      </c>
      <c r="G1862" s="727" t="n">
        <f aca="false">E1862*F1862</f>
        <v>157.5</v>
      </c>
      <c r="H1862" s="709"/>
    </row>
    <row r="1863" s="451" customFormat="true" ht="15" hidden="false" customHeight="false" outlineLevel="0" collapsed="false">
      <c r="A1863" s="707"/>
      <c r="B1863" s="708"/>
      <c r="C1863" s="532" t="s">
        <v>4563</v>
      </c>
      <c r="D1863" s="728" t="s">
        <v>4133</v>
      </c>
      <c r="E1863" s="733" t="n">
        <v>0.08</v>
      </c>
      <c r="F1863" s="717" t="n">
        <v>25200</v>
      </c>
      <c r="G1863" s="727" t="n">
        <f aca="false">E1863*F1863</f>
        <v>2016</v>
      </c>
      <c r="H1863" s="709"/>
    </row>
    <row r="1864" s="451" customFormat="true" ht="15" hidden="false" customHeight="false" outlineLevel="0" collapsed="false">
      <c r="A1864" s="707"/>
      <c r="B1864" s="708"/>
      <c r="C1864" s="532" t="s">
        <v>4564</v>
      </c>
      <c r="D1864" s="728" t="s">
        <v>4133</v>
      </c>
      <c r="E1864" s="726" t="n">
        <v>0.06</v>
      </c>
      <c r="F1864" s="721" t="n">
        <v>3500</v>
      </c>
      <c r="G1864" s="727" t="n">
        <f aca="false">E1864*F1864</f>
        <v>210</v>
      </c>
      <c r="H1864" s="709"/>
    </row>
    <row r="1865" s="451" customFormat="true" ht="15" hidden="false" customHeight="false" outlineLevel="0" collapsed="false">
      <c r="A1865" s="707"/>
      <c r="B1865" s="708"/>
      <c r="C1865" s="532" t="s">
        <v>4565</v>
      </c>
      <c r="D1865" s="728" t="s">
        <v>4133</v>
      </c>
      <c r="E1865" s="734" t="n">
        <v>0.1</v>
      </c>
      <c r="F1865" s="721" t="n">
        <v>870</v>
      </c>
      <c r="G1865" s="727" t="n">
        <f aca="false">E1865*F1865</f>
        <v>87</v>
      </c>
      <c r="H1865" s="709"/>
    </row>
    <row r="1866" s="451" customFormat="true" ht="15" hidden="false" customHeight="false" outlineLevel="0" collapsed="false">
      <c r="A1866" s="707"/>
      <c r="B1866" s="708"/>
      <c r="C1866" s="532" t="s">
        <v>4566</v>
      </c>
      <c r="D1866" s="728" t="s">
        <v>4133</v>
      </c>
      <c r="E1866" s="726" t="n">
        <v>0.05</v>
      </c>
      <c r="F1866" s="721" t="n">
        <v>300</v>
      </c>
      <c r="G1866" s="727" t="n">
        <f aca="false">E1866*F1866</f>
        <v>15</v>
      </c>
      <c r="H1866" s="709"/>
    </row>
    <row r="1867" s="451" customFormat="true" ht="15" hidden="false" customHeight="false" outlineLevel="0" collapsed="false">
      <c r="A1867" s="707"/>
      <c r="B1867" s="708"/>
      <c r="C1867" s="325" t="s">
        <v>4556</v>
      </c>
      <c r="D1867" s="728" t="s">
        <v>4133</v>
      </c>
      <c r="E1867" s="726" t="n">
        <v>0.05</v>
      </c>
      <c r="F1867" s="723" t="n">
        <v>3612</v>
      </c>
      <c r="G1867" s="727" t="n">
        <f aca="false">E1867*F1867</f>
        <v>180.6</v>
      </c>
      <c r="H1867" s="709"/>
    </row>
    <row r="1868" s="451" customFormat="true" ht="30" hidden="false" customHeight="false" outlineLevel="0" collapsed="false">
      <c r="A1868" s="707"/>
      <c r="B1868" s="708"/>
      <c r="C1868" s="532" t="s">
        <v>4560</v>
      </c>
      <c r="D1868" s="728" t="s">
        <v>4348</v>
      </c>
      <c r="E1868" s="679" t="n">
        <v>5</v>
      </c>
      <c r="F1868" s="729" t="n">
        <v>5.1</v>
      </c>
      <c r="G1868" s="727" t="n">
        <f aca="false">E1868*F1868</f>
        <v>25.5</v>
      </c>
      <c r="H1868" s="709"/>
    </row>
    <row r="1869" s="451" customFormat="true" ht="15" hidden="false" customHeight="false" outlineLevel="0" collapsed="false">
      <c r="A1869" s="707"/>
      <c r="B1869" s="708" t="s">
        <v>4128</v>
      </c>
      <c r="C1869" s="532"/>
      <c r="D1869" s="728"/>
      <c r="E1869" s="679"/>
      <c r="F1869" s="729"/>
      <c r="G1869" s="735" t="n">
        <f aca="false">SUM(G1860:G1868)</f>
        <v>3766.1</v>
      </c>
      <c r="H1869" s="709"/>
    </row>
    <row r="1870" s="451" customFormat="true" ht="15" hidden="false" customHeight="false" outlineLevel="0" collapsed="false">
      <c r="A1870" s="707" t="s">
        <v>363</v>
      </c>
      <c r="B1870" s="487" t="s">
        <v>4570</v>
      </c>
      <c r="C1870" s="532" t="s">
        <v>4571</v>
      </c>
      <c r="D1870" s="679" t="s">
        <v>4555</v>
      </c>
      <c r="E1870" s="726" t="n">
        <v>0.01</v>
      </c>
      <c r="F1870" s="721" t="n">
        <v>108100</v>
      </c>
      <c r="G1870" s="727" t="n">
        <f aca="false">E1870*F1870</f>
        <v>1081</v>
      </c>
      <c r="H1870" s="679"/>
    </row>
    <row r="1871" s="451" customFormat="true" ht="15" hidden="false" customHeight="false" outlineLevel="0" collapsed="false">
      <c r="A1871" s="707"/>
      <c r="B1871" s="522" t="s">
        <v>4568</v>
      </c>
      <c r="C1871" s="471" t="s">
        <v>4189</v>
      </c>
      <c r="D1871" s="728" t="s">
        <v>4133</v>
      </c>
      <c r="E1871" s="734" t="n">
        <v>0.1</v>
      </c>
      <c r="F1871" s="729" t="n">
        <v>3500</v>
      </c>
      <c r="G1871" s="727" t="n">
        <f aca="false">E1871*F1871</f>
        <v>350</v>
      </c>
      <c r="H1871" s="679"/>
    </row>
    <row r="1872" s="451" customFormat="true" ht="15" hidden="false" customHeight="false" outlineLevel="0" collapsed="false">
      <c r="A1872" s="380"/>
      <c r="B1872" s="522"/>
      <c r="C1872" s="325" t="s">
        <v>4556</v>
      </c>
      <c r="D1872" s="728" t="s">
        <v>4133</v>
      </c>
      <c r="E1872" s="734" t="n">
        <v>0.1</v>
      </c>
      <c r="F1872" s="723" t="n">
        <v>3612</v>
      </c>
      <c r="G1872" s="727" t="n">
        <f aca="false">E1872*F1872</f>
        <v>361.2</v>
      </c>
      <c r="H1872" s="679"/>
    </row>
    <row r="1873" s="451" customFormat="true" ht="15" hidden="false" customHeight="false" outlineLevel="0" collapsed="false">
      <c r="A1873" s="380"/>
      <c r="B1873" s="522"/>
      <c r="C1873" s="532" t="s">
        <v>4557</v>
      </c>
      <c r="D1873" s="728" t="s">
        <v>4133</v>
      </c>
      <c r="E1873" s="726" t="n">
        <v>0.06</v>
      </c>
      <c r="F1873" s="369" t="n">
        <v>1750</v>
      </c>
      <c r="G1873" s="727" t="n">
        <f aca="false">E1873*F1873</f>
        <v>105</v>
      </c>
      <c r="H1873" s="679"/>
    </row>
    <row r="1874" s="451" customFormat="true" ht="15" hidden="false" customHeight="false" outlineLevel="0" collapsed="false">
      <c r="A1874" s="380"/>
      <c r="B1874" s="522"/>
      <c r="C1874" s="532" t="s">
        <v>4564</v>
      </c>
      <c r="D1874" s="728" t="s">
        <v>4133</v>
      </c>
      <c r="E1874" s="726" t="n">
        <v>0.05</v>
      </c>
      <c r="F1874" s="721" t="n">
        <v>3500</v>
      </c>
      <c r="G1874" s="727" t="n">
        <f aca="false">E1874*F1874</f>
        <v>175</v>
      </c>
      <c r="H1874" s="679"/>
    </row>
    <row r="1875" s="451" customFormat="true" ht="15" hidden="false" customHeight="false" outlineLevel="0" collapsed="false">
      <c r="A1875" s="380"/>
      <c r="B1875" s="522"/>
      <c r="C1875" s="532" t="s">
        <v>4558</v>
      </c>
      <c r="D1875" s="679" t="s">
        <v>4559</v>
      </c>
      <c r="E1875" s="726" t="n">
        <v>0.01</v>
      </c>
      <c r="F1875" s="721" t="n">
        <v>178100</v>
      </c>
      <c r="G1875" s="727" t="n">
        <f aca="false">E1875*F1875</f>
        <v>1781</v>
      </c>
      <c r="H1875" s="679"/>
    </row>
    <row r="1876" s="451" customFormat="true" ht="30" hidden="false" customHeight="false" outlineLevel="0" collapsed="false">
      <c r="A1876" s="380"/>
      <c r="B1876" s="522"/>
      <c r="C1876" s="532" t="s">
        <v>4560</v>
      </c>
      <c r="D1876" s="728" t="s">
        <v>4348</v>
      </c>
      <c r="E1876" s="679" t="n">
        <v>5</v>
      </c>
      <c r="F1876" s="729" t="n">
        <v>5.1</v>
      </c>
      <c r="G1876" s="727" t="n">
        <f aca="false">E1876*F1876</f>
        <v>25.5</v>
      </c>
      <c r="H1876" s="679"/>
    </row>
    <row r="1877" s="451" customFormat="true" ht="15" hidden="false" customHeight="false" outlineLevel="0" collapsed="false">
      <c r="A1877" s="380"/>
      <c r="B1877" s="522"/>
      <c r="C1877" s="709" t="s">
        <v>4572</v>
      </c>
      <c r="D1877" s="679" t="s">
        <v>4138</v>
      </c>
      <c r="E1877" s="542" t="n">
        <v>1</v>
      </c>
      <c r="F1877" s="369" t="n">
        <v>490</v>
      </c>
      <c r="G1877" s="727" t="n">
        <f aca="false">E1877*F1877</f>
        <v>490</v>
      </c>
      <c r="H1877" s="679"/>
    </row>
    <row r="1878" s="451" customFormat="true" ht="15" hidden="false" customHeight="false" outlineLevel="0" collapsed="false">
      <c r="A1878" s="380"/>
      <c r="B1878" s="708" t="s">
        <v>4128</v>
      </c>
      <c r="C1878" s="709"/>
      <c r="D1878" s="679"/>
      <c r="E1878" s="715"/>
      <c r="F1878" s="369"/>
      <c r="G1878" s="711" t="n">
        <f aca="false">SUM(G1870:G1877)</f>
        <v>4368.7</v>
      </c>
      <c r="H1878" s="392"/>
    </row>
    <row r="1879" s="451" customFormat="true" ht="15" hidden="false" customHeight="false" outlineLevel="0" collapsed="false">
      <c r="A1879" s="707" t="s">
        <v>365</v>
      </c>
      <c r="B1879" s="487" t="s">
        <v>3030</v>
      </c>
      <c r="C1879" s="532" t="s">
        <v>4278</v>
      </c>
      <c r="D1879" s="679" t="s">
        <v>4555</v>
      </c>
      <c r="E1879" s="736" t="n">
        <v>0.01</v>
      </c>
      <c r="F1879" s="721" t="n">
        <v>98000</v>
      </c>
      <c r="G1879" s="727" t="n">
        <f aca="false">E1879*F1879</f>
        <v>980</v>
      </c>
      <c r="H1879" s="392"/>
    </row>
    <row r="1880" s="451" customFormat="true" ht="15" hidden="false" customHeight="false" outlineLevel="0" collapsed="false">
      <c r="A1880" s="707"/>
      <c r="B1880" s="522"/>
      <c r="C1880" s="471" t="s">
        <v>4189</v>
      </c>
      <c r="D1880" s="728" t="s">
        <v>4133</v>
      </c>
      <c r="E1880" s="736" t="n">
        <v>0.027</v>
      </c>
      <c r="F1880" s="729" t="n">
        <v>3500</v>
      </c>
      <c r="G1880" s="727" t="n">
        <f aca="false">E1880*F1880</f>
        <v>94.5</v>
      </c>
      <c r="H1880" s="392"/>
    </row>
    <row r="1881" s="451" customFormat="true" ht="15" hidden="false" customHeight="false" outlineLevel="0" collapsed="false">
      <c r="A1881" s="707"/>
      <c r="B1881" s="708"/>
      <c r="C1881" s="532" t="s">
        <v>4557</v>
      </c>
      <c r="D1881" s="728" t="s">
        <v>4133</v>
      </c>
      <c r="E1881" s="736" t="n">
        <v>0.09</v>
      </c>
      <c r="F1881" s="369" t="n">
        <v>1750</v>
      </c>
      <c r="G1881" s="727" t="n">
        <f aca="false">E1881*F1881</f>
        <v>157.5</v>
      </c>
      <c r="H1881" s="392"/>
    </row>
    <row r="1882" s="451" customFormat="true" ht="15" hidden="false" customHeight="false" outlineLevel="0" collapsed="false">
      <c r="A1882" s="707"/>
      <c r="B1882" s="708"/>
      <c r="C1882" s="532" t="s">
        <v>4563</v>
      </c>
      <c r="D1882" s="728" t="s">
        <v>4133</v>
      </c>
      <c r="E1882" s="736" t="n">
        <v>0.05</v>
      </c>
      <c r="F1882" s="717" t="n">
        <v>25200</v>
      </c>
      <c r="G1882" s="727" t="n">
        <f aca="false">E1882*F1882</f>
        <v>1260</v>
      </c>
      <c r="H1882" s="392"/>
    </row>
    <row r="1883" s="451" customFormat="true" ht="15" hidden="false" customHeight="false" outlineLevel="0" collapsed="false">
      <c r="A1883" s="707"/>
      <c r="B1883" s="708"/>
      <c r="C1883" s="532" t="s">
        <v>4564</v>
      </c>
      <c r="D1883" s="728" t="s">
        <v>4133</v>
      </c>
      <c r="E1883" s="736" t="n">
        <v>0.06</v>
      </c>
      <c r="F1883" s="721" t="n">
        <v>3500</v>
      </c>
      <c r="G1883" s="727" t="n">
        <f aca="false">E1883*F1883</f>
        <v>210</v>
      </c>
      <c r="H1883" s="392"/>
    </row>
    <row r="1884" s="451" customFormat="true" ht="15" hidden="false" customHeight="false" outlineLevel="0" collapsed="false">
      <c r="A1884" s="707"/>
      <c r="B1884" s="708"/>
      <c r="C1884" s="532" t="s">
        <v>4565</v>
      </c>
      <c r="D1884" s="728" t="s">
        <v>4133</v>
      </c>
      <c r="E1884" s="736" t="n">
        <v>0.1</v>
      </c>
      <c r="F1884" s="721" t="n">
        <v>870</v>
      </c>
      <c r="G1884" s="727" t="n">
        <f aca="false">E1884*F1884</f>
        <v>87</v>
      </c>
      <c r="H1884" s="392"/>
    </row>
    <row r="1885" s="451" customFormat="true" ht="15" hidden="false" customHeight="false" outlineLevel="0" collapsed="false">
      <c r="A1885" s="707"/>
      <c r="B1885" s="708"/>
      <c r="C1885" s="532" t="s">
        <v>4566</v>
      </c>
      <c r="D1885" s="728" t="s">
        <v>4133</v>
      </c>
      <c r="E1885" s="736" t="n">
        <v>0.05</v>
      </c>
      <c r="F1885" s="721" t="n">
        <v>300</v>
      </c>
      <c r="G1885" s="727" t="n">
        <f aca="false">E1885*F1885</f>
        <v>15</v>
      </c>
      <c r="H1885" s="392"/>
    </row>
    <row r="1886" s="451" customFormat="true" ht="15" hidden="false" customHeight="false" outlineLevel="0" collapsed="false">
      <c r="A1886" s="707"/>
      <c r="B1886" s="708"/>
      <c r="C1886" s="325" t="s">
        <v>4556</v>
      </c>
      <c r="D1886" s="728" t="s">
        <v>4133</v>
      </c>
      <c r="E1886" s="736" t="n">
        <v>0.05</v>
      </c>
      <c r="F1886" s="723" t="n">
        <v>3612</v>
      </c>
      <c r="G1886" s="727" t="n">
        <f aca="false">E1886*F1886</f>
        <v>180.6</v>
      </c>
      <c r="H1886" s="392"/>
    </row>
    <row r="1887" s="451" customFormat="true" ht="15" hidden="false" customHeight="false" outlineLevel="0" collapsed="false">
      <c r="A1887" s="707"/>
      <c r="B1887" s="708"/>
      <c r="C1887" s="532" t="s">
        <v>4544</v>
      </c>
      <c r="D1887" s="728" t="s">
        <v>4133</v>
      </c>
      <c r="E1887" s="679" t="n">
        <v>5</v>
      </c>
      <c r="F1887" s="729" t="n">
        <v>5.1</v>
      </c>
      <c r="G1887" s="727" t="n">
        <f aca="false">E1887*F1887</f>
        <v>25.5</v>
      </c>
      <c r="H1887" s="392"/>
    </row>
    <row r="1888" s="451" customFormat="true" ht="30" hidden="false" customHeight="false" outlineLevel="0" collapsed="false">
      <c r="A1888" s="707"/>
      <c r="B1888" s="708"/>
      <c r="C1888" s="532" t="s">
        <v>4573</v>
      </c>
      <c r="D1888" s="728" t="s">
        <v>4348</v>
      </c>
      <c r="E1888" s="679" t="n">
        <v>5</v>
      </c>
      <c r="F1888" s="729" t="n">
        <v>5.1</v>
      </c>
      <c r="G1888" s="727" t="n">
        <f aca="false">E1888*F1888</f>
        <v>25.5</v>
      </c>
      <c r="H1888" s="392"/>
    </row>
    <row r="1889" s="451" customFormat="true" ht="15" hidden="false" customHeight="false" outlineLevel="0" collapsed="false">
      <c r="A1889" s="707"/>
      <c r="B1889" s="708" t="s">
        <v>4128</v>
      </c>
      <c r="C1889" s="709"/>
      <c r="D1889" s="679"/>
      <c r="E1889" s="710"/>
      <c r="F1889" s="369"/>
      <c r="G1889" s="711" t="n">
        <f aca="false">SUM(G1879:G1888)</f>
        <v>3035.6</v>
      </c>
      <c r="H1889" s="392"/>
    </row>
    <row r="1890" s="451" customFormat="true" ht="15" hidden="false" customHeight="false" outlineLevel="0" collapsed="false">
      <c r="A1890" s="707" t="s">
        <v>367</v>
      </c>
      <c r="B1890" s="487" t="s">
        <v>4574</v>
      </c>
      <c r="C1890" s="709" t="s">
        <v>4189</v>
      </c>
      <c r="D1890" s="679" t="s">
        <v>4392</v>
      </c>
      <c r="E1890" s="715" t="n">
        <v>0.5</v>
      </c>
      <c r="F1890" s="729" t="n">
        <v>3500</v>
      </c>
      <c r="G1890" s="727" t="n">
        <f aca="false">E1890*F1890</f>
        <v>1750</v>
      </c>
      <c r="H1890" s="679"/>
    </row>
    <row r="1891" s="451" customFormat="true" ht="15" hidden="false" customHeight="false" outlineLevel="0" collapsed="false">
      <c r="A1891" s="707"/>
      <c r="B1891" s="522" t="s">
        <v>4568</v>
      </c>
      <c r="C1891" s="709" t="s">
        <v>4147</v>
      </c>
      <c r="D1891" s="679" t="s">
        <v>4392</v>
      </c>
      <c r="E1891" s="715" t="n">
        <v>0.1</v>
      </c>
      <c r="F1891" s="723" t="n">
        <v>3612</v>
      </c>
      <c r="G1891" s="727" t="n">
        <f aca="false">E1891*F1891</f>
        <v>361.2</v>
      </c>
      <c r="H1891" s="679"/>
    </row>
    <row r="1892" s="451" customFormat="true" ht="15" hidden="false" customHeight="false" outlineLevel="0" collapsed="false">
      <c r="A1892" s="707"/>
      <c r="B1892" s="522"/>
      <c r="C1892" s="709" t="s">
        <v>4277</v>
      </c>
      <c r="D1892" s="679" t="s">
        <v>4133</v>
      </c>
      <c r="E1892" s="715" t="n">
        <v>0.1</v>
      </c>
      <c r="F1892" s="369" t="n">
        <v>1116</v>
      </c>
      <c r="G1892" s="727" t="n">
        <f aca="false">E1892*F1892</f>
        <v>111.6</v>
      </c>
      <c r="H1892" s="679"/>
    </row>
    <row r="1893" s="451" customFormat="true" ht="15" hidden="false" customHeight="false" outlineLevel="0" collapsed="false">
      <c r="A1893" s="707"/>
      <c r="B1893" s="522"/>
      <c r="C1893" s="709" t="s">
        <v>4575</v>
      </c>
      <c r="D1893" s="679" t="s">
        <v>4133</v>
      </c>
      <c r="E1893" s="715" t="n">
        <v>0.1</v>
      </c>
      <c r="F1893" s="369" t="n">
        <v>1323</v>
      </c>
      <c r="G1893" s="727" t="n">
        <f aca="false">E1893*F1893</f>
        <v>132.3</v>
      </c>
      <c r="H1893" s="679"/>
    </row>
    <row r="1894" s="451" customFormat="true" ht="15" hidden="false" customHeight="false" outlineLevel="0" collapsed="false">
      <c r="A1894" s="380"/>
      <c r="B1894" s="522"/>
      <c r="C1894" s="709" t="s">
        <v>4165</v>
      </c>
      <c r="D1894" s="679" t="s">
        <v>4133</v>
      </c>
      <c r="E1894" s="715" t="n">
        <v>0.1</v>
      </c>
      <c r="F1894" s="369" t="n">
        <v>1500</v>
      </c>
      <c r="G1894" s="727" t="n">
        <f aca="false">E1894*F1894</f>
        <v>150</v>
      </c>
      <c r="H1894" s="679"/>
    </row>
    <row r="1895" s="451" customFormat="true" ht="15" hidden="false" customHeight="false" outlineLevel="0" collapsed="false">
      <c r="A1895" s="380"/>
      <c r="B1895" s="522"/>
      <c r="C1895" s="709" t="s">
        <v>4270</v>
      </c>
      <c r="D1895" s="679" t="s">
        <v>4392</v>
      </c>
      <c r="E1895" s="715" t="n">
        <v>0.1</v>
      </c>
      <c r="F1895" s="369" t="n">
        <v>1750</v>
      </c>
      <c r="G1895" s="727" t="n">
        <f aca="false">E1895*F1895</f>
        <v>175</v>
      </c>
      <c r="H1895" s="679"/>
    </row>
    <row r="1896" s="451" customFormat="true" ht="15" hidden="false" customHeight="false" outlineLevel="0" collapsed="false">
      <c r="A1896" s="380"/>
      <c r="B1896" s="522"/>
      <c r="C1896" s="709" t="s">
        <v>4122</v>
      </c>
      <c r="D1896" s="679" t="s">
        <v>4392</v>
      </c>
      <c r="E1896" s="715" t="n">
        <v>0.03</v>
      </c>
      <c r="F1896" s="717" t="n">
        <v>720</v>
      </c>
      <c r="G1896" s="727" t="n">
        <f aca="false">E1896*F1896</f>
        <v>21.6</v>
      </c>
      <c r="H1896" s="679"/>
    </row>
    <row r="1897" s="451" customFormat="true" ht="15" hidden="false" customHeight="false" outlineLevel="0" collapsed="false">
      <c r="A1897" s="380"/>
      <c r="B1897" s="522"/>
      <c r="C1897" s="709" t="s">
        <v>4576</v>
      </c>
      <c r="D1897" s="679" t="s">
        <v>4138</v>
      </c>
      <c r="E1897" s="715" t="n">
        <v>0.5</v>
      </c>
      <c r="F1897" s="369" t="n">
        <v>2500</v>
      </c>
      <c r="G1897" s="727" t="n">
        <f aca="false">E1897*F1897</f>
        <v>1250</v>
      </c>
      <c r="H1897" s="679"/>
    </row>
    <row r="1898" s="451" customFormat="true" ht="15" hidden="false" customHeight="false" outlineLevel="0" collapsed="false">
      <c r="A1898" s="380"/>
      <c r="B1898" s="522"/>
      <c r="C1898" s="709" t="s">
        <v>4515</v>
      </c>
      <c r="D1898" s="679" t="s">
        <v>4133</v>
      </c>
      <c r="E1898" s="715" t="n">
        <v>0.006</v>
      </c>
      <c r="F1898" s="369" t="n">
        <v>2700</v>
      </c>
      <c r="G1898" s="727" t="n">
        <f aca="false">E1898*F1898</f>
        <v>16.2</v>
      </c>
      <c r="H1898" s="679"/>
    </row>
    <row r="1899" s="451" customFormat="true" ht="15" hidden="false" customHeight="false" outlineLevel="0" collapsed="false">
      <c r="A1899" s="380"/>
      <c r="B1899" s="522"/>
      <c r="C1899" s="709" t="s">
        <v>4124</v>
      </c>
      <c r="D1899" s="679" t="s">
        <v>4516</v>
      </c>
      <c r="E1899" s="715" t="n">
        <v>1.5</v>
      </c>
      <c r="F1899" s="369" t="n">
        <v>120</v>
      </c>
      <c r="G1899" s="727" t="n">
        <f aca="false">E1899*F1899</f>
        <v>180</v>
      </c>
      <c r="H1899" s="679"/>
    </row>
    <row r="1900" s="451" customFormat="true" ht="15" hidden="false" customHeight="false" outlineLevel="0" collapsed="false">
      <c r="A1900" s="380"/>
      <c r="B1900" s="522"/>
      <c r="C1900" s="709" t="s">
        <v>4577</v>
      </c>
      <c r="D1900" s="679" t="s">
        <v>4578</v>
      </c>
      <c r="E1900" s="715" t="n">
        <v>0.01</v>
      </c>
      <c r="F1900" s="369" t="n">
        <v>27000</v>
      </c>
      <c r="G1900" s="727" t="n">
        <f aca="false">E1900*F1900</f>
        <v>270</v>
      </c>
      <c r="H1900" s="679"/>
    </row>
    <row r="1901" s="451" customFormat="true" ht="15" hidden="false" customHeight="false" outlineLevel="0" collapsed="false">
      <c r="A1901" s="380"/>
      <c r="B1901" s="708" t="s">
        <v>4128</v>
      </c>
      <c r="C1901" s="709"/>
      <c r="D1901" s="679"/>
      <c r="E1901" s="710"/>
      <c r="F1901" s="369"/>
      <c r="G1901" s="711" t="n">
        <f aca="false">SUM(G1890:G1900)</f>
        <v>4417.9</v>
      </c>
      <c r="H1901" s="392"/>
    </row>
    <row r="1902" s="451" customFormat="true" ht="15" hidden="false" customHeight="false" outlineLevel="0" collapsed="false">
      <c r="A1902" s="707" t="s">
        <v>369</v>
      </c>
      <c r="B1902" s="487" t="s">
        <v>3032</v>
      </c>
      <c r="C1902" s="532" t="s">
        <v>4579</v>
      </c>
      <c r="D1902" s="679" t="s">
        <v>4555</v>
      </c>
      <c r="E1902" s="733" t="n">
        <v>0.01</v>
      </c>
      <c r="F1902" s="721" t="n">
        <v>98000</v>
      </c>
      <c r="G1902" s="727" t="n">
        <f aca="false">E1902*F1902</f>
        <v>980</v>
      </c>
      <c r="H1902" s="392"/>
    </row>
    <row r="1903" s="451" customFormat="true" ht="15" hidden="false" customHeight="false" outlineLevel="0" collapsed="false">
      <c r="A1903" s="707"/>
      <c r="B1903" s="522"/>
      <c r="C1903" s="471" t="s">
        <v>4189</v>
      </c>
      <c r="D1903" s="728" t="s">
        <v>4133</v>
      </c>
      <c r="E1903" s="733" t="n">
        <v>0.1</v>
      </c>
      <c r="F1903" s="729" t="n">
        <v>3500</v>
      </c>
      <c r="G1903" s="727" t="n">
        <f aca="false">E1903*F1903</f>
        <v>350</v>
      </c>
      <c r="H1903" s="392"/>
    </row>
    <row r="1904" s="451" customFormat="true" ht="15" hidden="false" customHeight="false" outlineLevel="0" collapsed="false">
      <c r="A1904" s="707"/>
      <c r="B1904" s="708"/>
      <c r="C1904" s="532" t="s">
        <v>4557</v>
      </c>
      <c r="D1904" s="728" t="s">
        <v>4133</v>
      </c>
      <c r="E1904" s="733" t="n">
        <v>0.1</v>
      </c>
      <c r="F1904" s="369" t="n">
        <v>1750</v>
      </c>
      <c r="G1904" s="727" t="n">
        <f aca="false">E1904*F1904</f>
        <v>175</v>
      </c>
      <c r="H1904" s="392"/>
    </row>
    <row r="1905" s="451" customFormat="true" ht="15" hidden="false" customHeight="false" outlineLevel="0" collapsed="false">
      <c r="A1905" s="707"/>
      <c r="B1905" s="708"/>
      <c r="C1905" s="532" t="s">
        <v>4563</v>
      </c>
      <c r="D1905" s="728" t="s">
        <v>4133</v>
      </c>
      <c r="E1905" s="733" t="n">
        <v>0.02</v>
      </c>
      <c r="F1905" s="717" t="n">
        <v>25200</v>
      </c>
      <c r="G1905" s="727" t="n">
        <f aca="false">E1905*F1905</f>
        <v>504</v>
      </c>
      <c r="H1905" s="392"/>
    </row>
    <row r="1906" s="451" customFormat="true" ht="15" hidden="false" customHeight="false" outlineLevel="0" collapsed="false">
      <c r="A1906" s="707"/>
      <c r="B1906" s="708"/>
      <c r="C1906" s="532" t="s">
        <v>4564</v>
      </c>
      <c r="D1906" s="728" t="s">
        <v>4133</v>
      </c>
      <c r="E1906" s="733" t="n">
        <v>0.1</v>
      </c>
      <c r="F1906" s="721" t="n">
        <v>3500</v>
      </c>
      <c r="G1906" s="727" t="n">
        <f aca="false">E1906*F1906</f>
        <v>350</v>
      </c>
      <c r="H1906" s="392"/>
    </row>
    <row r="1907" s="451" customFormat="true" ht="15" hidden="false" customHeight="false" outlineLevel="0" collapsed="false">
      <c r="A1907" s="707"/>
      <c r="B1907" s="708"/>
      <c r="C1907" s="532" t="s">
        <v>4565</v>
      </c>
      <c r="D1907" s="728" t="s">
        <v>4133</v>
      </c>
      <c r="E1907" s="733" t="n">
        <v>0.1</v>
      </c>
      <c r="F1907" s="721" t="n">
        <v>870</v>
      </c>
      <c r="G1907" s="727" t="n">
        <f aca="false">E1907*F1907</f>
        <v>87</v>
      </c>
      <c r="H1907" s="392"/>
    </row>
    <row r="1908" s="451" customFormat="true" ht="15" hidden="false" customHeight="false" outlineLevel="0" collapsed="false">
      <c r="A1908" s="707"/>
      <c r="B1908" s="708"/>
      <c r="C1908" s="532" t="s">
        <v>4566</v>
      </c>
      <c r="D1908" s="728" t="s">
        <v>4133</v>
      </c>
      <c r="E1908" s="733" t="n">
        <v>0.1</v>
      </c>
      <c r="F1908" s="721" t="n">
        <v>300</v>
      </c>
      <c r="G1908" s="727" t="n">
        <f aca="false">E1908*F1908</f>
        <v>30</v>
      </c>
      <c r="H1908" s="392"/>
    </row>
    <row r="1909" s="451" customFormat="true" ht="15" hidden="false" customHeight="false" outlineLevel="0" collapsed="false">
      <c r="A1909" s="707"/>
      <c r="B1909" s="708"/>
      <c r="C1909" s="325" t="s">
        <v>4556</v>
      </c>
      <c r="D1909" s="728" t="s">
        <v>4133</v>
      </c>
      <c r="E1909" s="733" t="n">
        <v>0.1</v>
      </c>
      <c r="F1909" s="723" t="n">
        <v>3612</v>
      </c>
      <c r="G1909" s="727" t="n">
        <f aca="false">E1909*F1909</f>
        <v>361.2</v>
      </c>
      <c r="H1909" s="392"/>
    </row>
    <row r="1910" s="451" customFormat="true" ht="30" hidden="false" customHeight="false" outlineLevel="0" collapsed="false">
      <c r="A1910" s="707"/>
      <c r="B1910" s="708"/>
      <c r="C1910" s="532" t="s">
        <v>4560</v>
      </c>
      <c r="D1910" s="728" t="s">
        <v>4348</v>
      </c>
      <c r="E1910" s="679" t="n">
        <v>5</v>
      </c>
      <c r="F1910" s="729" t="n">
        <v>5.1</v>
      </c>
      <c r="G1910" s="727" t="n">
        <f aca="false">E1910*F1910</f>
        <v>25.5</v>
      </c>
      <c r="H1910" s="392"/>
    </row>
    <row r="1911" s="451" customFormat="true" ht="15" hidden="false" customHeight="false" outlineLevel="0" collapsed="false">
      <c r="A1911" s="707"/>
      <c r="B1911" s="708" t="s">
        <v>4128</v>
      </c>
      <c r="C1911" s="471"/>
      <c r="D1911" s="737"/>
      <c r="E1911" s="738"/>
      <c r="F1911" s="729"/>
      <c r="G1911" s="739" t="n">
        <f aca="false">SUM(G1902:G1910)</f>
        <v>2862.7</v>
      </c>
      <c r="H1911" s="392"/>
    </row>
    <row r="1912" s="451" customFormat="true" ht="15" hidden="false" customHeight="false" outlineLevel="0" collapsed="false">
      <c r="A1912" s="707" t="s">
        <v>371</v>
      </c>
      <c r="B1912" s="487" t="s">
        <v>3104</v>
      </c>
      <c r="C1912" s="709" t="s">
        <v>4580</v>
      </c>
      <c r="D1912" s="679" t="s">
        <v>4133</v>
      </c>
      <c r="E1912" s="715" t="n">
        <v>0.15</v>
      </c>
      <c r="F1912" s="369" t="n">
        <v>1690</v>
      </c>
      <c r="G1912" s="727" t="n">
        <f aca="false">E1912*F1912</f>
        <v>253.5</v>
      </c>
      <c r="H1912" s="679"/>
    </row>
    <row r="1913" s="451" customFormat="true" ht="15" hidden="false" customHeight="false" outlineLevel="0" collapsed="false">
      <c r="A1913" s="707"/>
      <c r="B1913" s="522" t="s">
        <v>4568</v>
      </c>
      <c r="C1913" s="709" t="s">
        <v>4159</v>
      </c>
      <c r="D1913" s="679" t="s">
        <v>4133</v>
      </c>
      <c r="E1913" s="715" t="n">
        <v>0.01</v>
      </c>
      <c r="F1913" s="717" t="n">
        <v>557.76</v>
      </c>
      <c r="G1913" s="727" t="n">
        <f aca="false">E1913*F1913</f>
        <v>5.5776</v>
      </c>
      <c r="H1913" s="679"/>
    </row>
    <row r="1914" s="451" customFormat="true" ht="30" hidden="false" customHeight="false" outlineLevel="0" collapsed="false">
      <c r="A1914" s="707"/>
      <c r="B1914" s="522"/>
      <c r="C1914" s="709" t="s">
        <v>4581</v>
      </c>
      <c r="D1914" s="679" t="s">
        <v>4133</v>
      </c>
      <c r="E1914" s="715" t="n">
        <v>0.005</v>
      </c>
      <c r="F1914" s="369" t="n">
        <v>118100</v>
      </c>
      <c r="G1914" s="727" t="n">
        <f aca="false">E1914*F1914</f>
        <v>590.5</v>
      </c>
      <c r="H1914" s="679"/>
    </row>
    <row r="1915" s="451" customFormat="true" ht="15" hidden="false" customHeight="false" outlineLevel="0" collapsed="false">
      <c r="A1915" s="707"/>
      <c r="B1915" s="522"/>
      <c r="C1915" s="709" t="s">
        <v>4582</v>
      </c>
      <c r="D1915" s="679" t="s">
        <v>4133</v>
      </c>
      <c r="E1915" s="715" t="n">
        <v>0.1</v>
      </c>
      <c r="F1915" s="369" t="n">
        <v>2100</v>
      </c>
      <c r="G1915" s="727" t="n">
        <f aca="false">E1915*F1915</f>
        <v>210</v>
      </c>
      <c r="H1915" s="679"/>
    </row>
    <row r="1916" s="451" customFormat="true" ht="15" hidden="false" customHeight="false" outlineLevel="0" collapsed="false">
      <c r="A1916" s="380"/>
      <c r="B1916" s="522"/>
      <c r="C1916" s="709" t="s">
        <v>4583</v>
      </c>
      <c r="D1916" s="679" t="s">
        <v>4138</v>
      </c>
      <c r="E1916" s="715" t="n">
        <v>1</v>
      </c>
      <c r="F1916" s="369" t="n">
        <v>490</v>
      </c>
      <c r="G1916" s="727" t="n">
        <f aca="false">E1916*F1916</f>
        <v>490</v>
      </c>
      <c r="H1916" s="679"/>
    </row>
    <row r="1917" s="451" customFormat="true" ht="15" hidden="false" customHeight="false" outlineLevel="0" collapsed="false">
      <c r="A1917" s="380"/>
      <c r="B1917" s="522"/>
      <c r="C1917" s="709" t="s">
        <v>4584</v>
      </c>
      <c r="D1917" s="679" t="s">
        <v>4133</v>
      </c>
      <c r="E1917" s="715" t="n">
        <v>0.05</v>
      </c>
      <c r="F1917" s="369" t="n">
        <v>1901</v>
      </c>
      <c r="G1917" s="727" t="n">
        <f aca="false">E1917*F1917</f>
        <v>95.05</v>
      </c>
      <c r="H1917" s="679"/>
    </row>
    <row r="1918" s="451" customFormat="true" ht="15" hidden="false" customHeight="false" outlineLevel="0" collapsed="false">
      <c r="A1918" s="380"/>
      <c r="B1918" s="522"/>
      <c r="C1918" s="709" t="s">
        <v>4585</v>
      </c>
      <c r="D1918" s="679" t="s">
        <v>4133</v>
      </c>
      <c r="E1918" s="715" t="n">
        <v>0.03</v>
      </c>
      <c r="F1918" s="369" t="n">
        <v>8900</v>
      </c>
      <c r="G1918" s="727" t="n">
        <f aca="false">E1918*F1918</f>
        <v>267</v>
      </c>
      <c r="H1918" s="679"/>
    </row>
    <row r="1919" s="451" customFormat="true" ht="15" hidden="false" customHeight="false" outlineLevel="0" collapsed="false">
      <c r="A1919" s="380"/>
      <c r="B1919" s="522"/>
      <c r="C1919" s="709" t="s">
        <v>4201</v>
      </c>
      <c r="D1919" s="679" t="s">
        <v>4133</v>
      </c>
      <c r="E1919" s="715" t="n">
        <v>0.01</v>
      </c>
      <c r="F1919" s="721" t="n">
        <v>27000</v>
      </c>
      <c r="G1919" s="727" t="n">
        <f aca="false">E1919*F1919</f>
        <v>270</v>
      </c>
      <c r="H1919" s="679"/>
    </row>
    <row r="1920" s="451" customFormat="true" ht="15" hidden="false" customHeight="false" outlineLevel="0" collapsed="false">
      <c r="A1920" s="380"/>
      <c r="B1920" s="522"/>
      <c r="C1920" s="709" t="s">
        <v>4122</v>
      </c>
      <c r="D1920" s="679" t="s">
        <v>4392</v>
      </c>
      <c r="E1920" s="715" t="n">
        <v>0.15</v>
      </c>
      <c r="F1920" s="717" t="n">
        <v>720</v>
      </c>
      <c r="G1920" s="727" t="n">
        <f aca="false">E1920*F1920</f>
        <v>108</v>
      </c>
      <c r="H1920" s="679"/>
    </row>
    <row r="1921" s="451" customFormat="true" ht="15" hidden="false" customHeight="false" outlineLevel="0" collapsed="false">
      <c r="A1921" s="380"/>
      <c r="B1921" s="522"/>
      <c r="C1921" s="709" t="s">
        <v>4154</v>
      </c>
      <c r="D1921" s="679" t="s">
        <v>4392</v>
      </c>
      <c r="E1921" s="715" t="n">
        <v>0.03</v>
      </c>
      <c r="F1921" s="721" t="n">
        <v>3500</v>
      </c>
      <c r="G1921" s="727" t="n">
        <f aca="false">E1921*F1921</f>
        <v>105</v>
      </c>
      <c r="H1921" s="679"/>
    </row>
    <row r="1922" s="451" customFormat="true" ht="15" hidden="false" customHeight="false" outlineLevel="0" collapsed="false">
      <c r="A1922" s="380"/>
      <c r="B1922" s="522"/>
      <c r="C1922" s="709" t="s">
        <v>4515</v>
      </c>
      <c r="D1922" s="679" t="s">
        <v>4133</v>
      </c>
      <c r="E1922" s="715" t="n">
        <v>0.06</v>
      </c>
      <c r="F1922" s="369" t="n">
        <v>2700</v>
      </c>
      <c r="G1922" s="727" t="n">
        <f aca="false">E1922*F1922</f>
        <v>162</v>
      </c>
      <c r="H1922" s="679"/>
    </row>
    <row r="1923" s="451" customFormat="true" ht="15" hidden="false" customHeight="false" outlineLevel="0" collapsed="false">
      <c r="A1923" s="380"/>
      <c r="B1923" s="522"/>
      <c r="C1923" s="709" t="s">
        <v>4124</v>
      </c>
      <c r="D1923" s="679" t="s">
        <v>4516</v>
      </c>
      <c r="E1923" s="715" t="n">
        <v>0.15</v>
      </c>
      <c r="F1923" s="369" t="n">
        <v>120</v>
      </c>
      <c r="G1923" s="727" t="n">
        <f aca="false">E1923*F1923</f>
        <v>18</v>
      </c>
      <c r="H1923" s="679"/>
    </row>
    <row r="1924" s="451" customFormat="true" ht="15" hidden="false" customHeight="false" outlineLevel="0" collapsed="false">
      <c r="A1924" s="380"/>
      <c r="B1924" s="522"/>
      <c r="C1924" s="709" t="s">
        <v>4586</v>
      </c>
      <c r="D1924" s="679" t="s">
        <v>4578</v>
      </c>
      <c r="E1924" s="715" t="n">
        <v>0.01</v>
      </c>
      <c r="F1924" s="369" t="n">
        <v>27000</v>
      </c>
      <c r="G1924" s="727" t="n">
        <f aca="false">E1924*F1924</f>
        <v>270</v>
      </c>
      <c r="H1924" s="679"/>
    </row>
    <row r="1925" s="451" customFormat="true" ht="15" hidden="false" customHeight="false" outlineLevel="0" collapsed="false">
      <c r="A1925" s="380"/>
      <c r="B1925" s="708" t="s">
        <v>4128</v>
      </c>
      <c r="C1925" s="709"/>
      <c r="D1925" s="679"/>
      <c r="E1925" s="715"/>
      <c r="F1925" s="369"/>
      <c r="G1925" s="711" t="n">
        <f aca="false">SUM(G1912:G1924)</f>
        <v>2844.6276</v>
      </c>
      <c r="H1925" s="392"/>
    </row>
    <row r="1926" s="451" customFormat="true" ht="15" hidden="false" customHeight="false" outlineLevel="0" collapsed="false">
      <c r="A1926" s="707" t="s">
        <v>373</v>
      </c>
      <c r="B1926" s="487" t="s">
        <v>3034</v>
      </c>
      <c r="C1926" s="532" t="s">
        <v>4587</v>
      </c>
      <c r="D1926" s="679" t="s">
        <v>4555</v>
      </c>
      <c r="E1926" s="740" t="n">
        <v>0.008</v>
      </c>
      <c r="F1926" s="721" t="n">
        <v>114000</v>
      </c>
      <c r="G1926" s="727" t="n">
        <f aca="false">E1926*F1926</f>
        <v>912</v>
      </c>
      <c r="H1926" s="471"/>
    </row>
    <row r="1927" s="451" customFormat="true" ht="15" hidden="false" customHeight="false" outlineLevel="0" collapsed="false">
      <c r="A1927" s="707"/>
      <c r="B1927" s="522"/>
      <c r="C1927" s="471" t="s">
        <v>4189</v>
      </c>
      <c r="D1927" s="728" t="s">
        <v>4133</v>
      </c>
      <c r="E1927" s="736" t="n">
        <v>0.1</v>
      </c>
      <c r="F1927" s="729" t="n">
        <v>3500</v>
      </c>
      <c r="G1927" s="727" t="n">
        <f aca="false">E1927*F1927</f>
        <v>350</v>
      </c>
      <c r="H1927" s="471"/>
    </row>
    <row r="1928" s="451" customFormat="true" ht="15" hidden="false" customHeight="false" outlineLevel="0" collapsed="false">
      <c r="A1928" s="707"/>
      <c r="B1928" s="708"/>
      <c r="C1928" s="532" t="s">
        <v>4557</v>
      </c>
      <c r="D1928" s="728" t="s">
        <v>4133</v>
      </c>
      <c r="E1928" s="736" t="n">
        <v>0.1</v>
      </c>
      <c r="F1928" s="369" t="n">
        <v>1750</v>
      </c>
      <c r="G1928" s="727" t="n">
        <f aca="false">E1928*F1928</f>
        <v>175</v>
      </c>
      <c r="H1928" s="471"/>
    </row>
    <row r="1929" s="451" customFormat="true" ht="15" hidden="false" customHeight="false" outlineLevel="0" collapsed="false">
      <c r="A1929" s="707"/>
      <c r="B1929" s="708"/>
      <c r="C1929" s="325" t="s">
        <v>4556</v>
      </c>
      <c r="D1929" s="728" t="s">
        <v>4133</v>
      </c>
      <c r="E1929" s="736" t="n">
        <v>0.05</v>
      </c>
      <c r="F1929" s="723" t="n">
        <v>3612</v>
      </c>
      <c r="G1929" s="727" t="n">
        <f aca="false">E1929*F1929</f>
        <v>180.6</v>
      </c>
      <c r="H1929" s="471"/>
    </row>
    <row r="1930" s="451" customFormat="true" ht="15" hidden="false" customHeight="false" outlineLevel="0" collapsed="false">
      <c r="A1930" s="707"/>
      <c r="B1930" s="708"/>
      <c r="C1930" s="532" t="s">
        <v>4588</v>
      </c>
      <c r="D1930" s="728" t="s">
        <v>4133</v>
      </c>
      <c r="E1930" s="736" t="n">
        <v>0.05</v>
      </c>
      <c r="F1930" s="721" t="n">
        <v>4000</v>
      </c>
      <c r="G1930" s="727" t="n">
        <f aca="false">E1930*F1930</f>
        <v>200</v>
      </c>
      <c r="H1930" s="471"/>
    </row>
    <row r="1931" s="451" customFormat="true" ht="30" hidden="false" customHeight="false" outlineLevel="0" collapsed="false">
      <c r="A1931" s="707"/>
      <c r="B1931" s="708"/>
      <c r="C1931" s="532" t="s">
        <v>4589</v>
      </c>
      <c r="D1931" s="728" t="s">
        <v>4348</v>
      </c>
      <c r="E1931" s="736" t="n">
        <v>0.005</v>
      </c>
      <c r="F1931" s="721" t="n">
        <v>77000</v>
      </c>
      <c r="G1931" s="727" t="n">
        <f aca="false">E1931*F1931</f>
        <v>385</v>
      </c>
      <c r="H1931" s="471"/>
    </row>
    <row r="1932" s="451" customFormat="true" ht="15" hidden="false" customHeight="false" outlineLevel="0" collapsed="false">
      <c r="A1932" s="707"/>
      <c r="B1932" s="708"/>
      <c r="C1932" s="532" t="s">
        <v>4565</v>
      </c>
      <c r="D1932" s="728" t="s">
        <v>4133</v>
      </c>
      <c r="E1932" s="736" t="n">
        <v>0.1</v>
      </c>
      <c r="F1932" s="721" t="n">
        <v>870</v>
      </c>
      <c r="G1932" s="727" t="n">
        <f aca="false">E1932*F1932</f>
        <v>87</v>
      </c>
      <c r="H1932" s="471"/>
    </row>
    <row r="1933" s="451" customFormat="true" ht="15" hidden="false" customHeight="false" outlineLevel="0" collapsed="false">
      <c r="A1933" s="707"/>
      <c r="B1933" s="708"/>
      <c r="C1933" s="532" t="s">
        <v>4566</v>
      </c>
      <c r="D1933" s="728" t="s">
        <v>4133</v>
      </c>
      <c r="E1933" s="736" t="n">
        <v>0.1</v>
      </c>
      <c r="F1933" s="721" t="n">
        <v>300</v>
      </c>
      <c r="G1933" s="727" t="n">
        <f aca="false">E1933*F1933</f>
        <v>30</v>
      </c>
      <c r="H1933" s="471"/>
    </row>
    <row r="1934" s="451" customFormat="true" ht="15" hidden="false" customHeight="false" outlineLevel="0" collapsed="false">
      <c r="A1934" s="707"/>
      <c r="B1934" s="708"/>
      <c r="C1934" s="532" t="s">
        <v>4281</v>
      </c>
      <c r="D1934" s="728" t="s">
        <v>4138</v>
      </c>
      <c r="E1934" s="736" t="n">
        <v>1</v>
      </c>
      <c r="F1934" s="721" t="n">
        <v>940</v>
      </c>
      <c r="G1934" s="727" t="n">
        <f aca="false">E1934*F1934</f>
        <v>940</v>
      </c>
      <c r="H1934" s="471"/>
    </row>
    <row r="1935" s="451" customFormat="true" ht="15" hidden="false" customHeight="false" outlineLevel="0" collapsed="false">
      <c r="A1935" s="707"/>
      <c r="B1935" s="708"/>
      <c r="C1935" s="532" t="s">
        <v>4563</v>
      </c>
      <c r="D1935" s="728" t="s">
        <v>4133</v>
      </c>
      <c r="E1935" s="736" t="n">
        <v>0.05</v>
      </c>
      <c r="F1935" s="717" t="n">
        <v>25200</v>
      </c>
      <c r="G1935" s="727" t="n">
        <f aca="false">E1935*F1935</f>
        <v>1260</v>
      </c>
      <c r="H1935" s="471"/>
    </row>
    <row r="1936" s="451" customFormat="true" ht="30" hidden="false" customHeight="false" outlineLevel="0" collapsed="false">
      <c r="A1936" s="707"/>
      <c r="B1936" s="708"/>
      <c r="C1936" s="532" t="s">
        <v>4590</v>
      </c>
      <c r="D1936" s="728" t="s">
        <v>4559</v>
      </c>
      <c r="E1936" s="736" t="n">
        <v>0.02</v>
      </c>
      <c r="F1936" s="721" t="n">
        <v>3250</v>
      </c>
      <c r="G1936" s="727" t="n">
        <f aca="false">E1936*F1936</f>
        <v>65</v>
      </c>
      <c r="H1936" s="471"/>
    </row>
    <row r="1937" s="451" customFormat="true" ht="45" hidden="false" customHeight="false" outlineLevel="0" collapsed="false">
      <c r="A1937" s="707"/>
      <c r="B1937" s="708"/>
      <c r="C1937" s="532" t="s">
        <v>4591</v>
      </c>
      <c r="D1937" s="728" t="s">
        <v>4348</v>
      </c>
      <c r="E1937" s="679" t="n">
        <v>5</v>
      </c>
      <c r="F1937" s="729" t="n">
        <v>5.1</v>
      </c>
      <c r="G1937" s="727" t="n">
        <f aca="false">E1937*F1937</f>
        <v>25.5</v>
      </c>
      <c r="H1937" s="471"/>
    </row>
    <row r="1938" s="451" customFormat="true" ht="15" hidden="false" customHeight="false" outlineLevel="0" collapsed="false">
      <c r="A1938" s="707"/>
      <c r="B1938" s="708" t="s">
        <v>4128</v>
      </c>
      <c r="C1938" s="471"/>
      <c r="D1938" s="737"/>
      <c r="E1938" s="738"/>
      <c r="F1938" s="729"/>
      <c r="G1938" s="739" t="n">
        <f aca="false">SUM(G1926:G1937)</f>
        <v>4610.1</v>
      </c>
      <c r="H1938" s="737"/>
    </row>
    <row r="1939" s="451" customFormat="true" ht="15" hidden="false" customHeight="false" outlineLevel="0" collapsed="false">
      <c r="A1939" s="707" t="s">
        <v>375</v>
      </c>
      <c r="B1939" s="487" t="s">
        <v>4592</v>
      </c>
      <c r="C1939" s="709" t="s">
        <v>4189</v>
      </c>
      <c r="D1939" s="679" t="s">
        <v>4392</v>
      </c>
      <c r="E1939" s="715" t="n">
        <v>0.22</v>
      </c>
      <c r="F1939" s="729" t="n">
        <v>3500</v>
      </c>
      <c r="G1939" s="727" t="n">
        <f aca="false">E1939*F1939</f>
        <v>770</v>
      </c>
      <c r="H1939" s="737" t="s">
        <v>4593</v>
      </c>
    </row>
    <row r="1940" s="451" customFormat="true" ht="15" hidden="false" customHeight="false" outlineLevel="0" collapsed="false">
      <c r="A1940" s="707"/>
      <c r="B1940" s="522" t="s">
        <v>4568</v>
      </c>
      <c r="C1940" s="709" t="s">
        <v>4147</v>
      </c>
      <c r="D1940" s="679" t="s">
        <v>4392</v>
      </c>
      <c r="E1940" s="715" t="n">
        <v>0.1</v>
      </c>
      <c r="F1940" s="723" t="n">
        <v>3612</v>
      </c>
      <c r="G1940" s="727" t="n">
        <f aca="false">E1940*F1940</f>
        <v>361.2</v>
      </c>
      <c r="H1940" s="679"/>
    </row>
    <row r="1941" s="451" customFormat="true" ht="15" hidden="false" customHeight="false" outlineLevel="0" collapsed="false">
      <c r="A1941" s="707"/>
      <c r="B1941" s="522"/>
      <c r="C1941" s="709" t="s">
        <v>4277</v>
      </c>
      <c r="D1941" s="679" t="s">
        <v>4133</v>
      </c>
      <c r="E1941" s="715" t="n">
        <v>0.1</v>
      </c>
      <c r="F1941" s="369" t="n">
        <v>1116</v>
      </c>
      <c r="G1941" s="727" t="n">
        <f aca="false">E1941*F1941</f>
        <v>111.6</v>
      </c>
      <c r="H1941" s="679"/>
    </row>
    <row r="1942" s="451" customFormat="true" ht="15" hidden="false" customHeight="false" outlineLevel="0" collapsed="false">
      <c r="A1942" s="380"/>
      <c r="B1942" s="522"/>
      <c r="C1942" s="709" t="s">
        <v>4575</v>
      </c>
      <c r="D1942" s="679" t="s">
        <v>4133</v>
      </c>
      <c r="E1942" s="715" t="n">
        <v>0.01</v>
      </c>
      <c r="F1942" s="369" t="n">
        <v>1323</v>
      </c>
      <c r="G1942" s="727" t="n">
        <f aca="false">E1942*F1942</f>
        <v>13.23</v>
      </c>
      <c r="H1942" s="679"/>
    </row>
    <row r="1943" s="451" customFormat="true" ht="15" hidden="false" customHeight="false" outlineLevel="0" collapsed="false">
      <c r="A1943" s="380"/>
      <c r="B1943" s="522"/>
      <c r="C1943" s="709" t="s">
        <v>4165</v>
      </c>
      <c r="D1943" s="679" t="s">
        <v>4133</v>
      </c>
      <c r="E1943" s="715" t="n">
        <v>0.3</v>
      </c>
      <c r="F1943" s="369" t="n">
        <v>1323</v>
      </c>
      <c r="G1943" s="727" t="n">
        <f aca="false">E1943*F1943</f>
        <v>396.9</v>
      </c>
      <c r="H1943" s="679"/>
    </row>
    <row r="1944" s="451" customFormat="true" ht="15" hidden="false" customHeight="false" outlineLevel="0" collapsed="false">
      <c r="A1944" s="380"/>
      <c r="B1944" s="522"/>
      <c r="C1944" s="709" t="s">
        <v>4270</v>
      </c>
      <c r="D1944" s="679" t="s">
        <v>4392</v>
      </c>
      <c r="E1944" s="715" t="n">
        <v>0.1</v>
      </c>
      <c r="F1944" s="369" t="n">
        <v>1750</v>
      </c>
      <c r="G1944" s="727" t="n">
        <f aca="false">E1944*F1944</f>
        <v>175</v>
      </c>
      <c r="H1944" s="679"/>
    </row>
    <row r="1945" s="451" customFormat="true" ht="15" hidden="false" customHeight="false" outlineLevel="0" collapsed="false">
      <c r="A1945" s="380"/>
      <c r="B1945" s="522"/>
      <c r="C1945" s="709" t="s">
        <v>4122</v>
      </c>
      <c r="D1945" s="679" t="s">
        <v>4392</v>
      </c>
      <c r="E1945" s="715" t="n">
        <v>0.3</v>
      </c>
      <c r="F1945" s="369" t="n">
        <v>720</v>
      </c>
      <c r="G1945" s="727" t="n">
        <f aca="false">E1945*F1945</f>
        <v>216</v>
      </c>
      <c r="H1945" s="679"/>
    </row>
    <row r="1946" s="451" customFormat="true" ht="30" hidden="false" customHeight="false" outlineLevel="0" collapsed="false">
      <c r="A1946" s="380"/>
      <c r="B1946" s="522"/>
      <c r="C1946" s="709" t="s">
        <v>4594</v>
      </c>
      <c r="D1946" s="679" t="s">
        <v>4138</v>
      </c>
      <c r="E1946" s="715" t="n">
        <v>0.1</v>
      </c>
      <c r="F1946" s="369" t="n">
        <v>2500</v>
      </c>
      <c r="G1946" s="727" t="n">
        <f aca="false">E1946*F1946</f>
        <v>250</v>
      </c>
      <c r="H1946" s="679"/>
    </row>
    <row r="1947" s="451" customFormat="true" ht="15" hidden="false" customHeight="false" outlineLevel="0" collapsed="false">
      <c r="A1947" s="380"/>
      <c r="B1947" s="522"/>
      <c r="C1947" s="709" t="s">
        <v>4515</v>
      </c>
      <c r="D1947" s="679" t="s">
        <v>4133</v>
      </c>
      <c r="E1947" s="715" t="n">
        <v>0.06</v>
      </c>
      <c r="F1947" s="369" t="n">
        <v>2700</v>
      </c>
      <c r="G1947" s="727" t="n">
        <f aca="false">E1947*F1947</f>
        <v>162</v>
      </c>
      <c r="H1947" s="679"/>
    </row>
    <row r="1948" s="451" customFormat="true" ht="15" hidden="false" customHeight="false" outlineLevel="0" collapsed="false">
      <c r="A1948" s="380"/>
      <c r="B1948" s="522"/>
      <c r="C1948" s="709" t="s">
        <v>4124</v>
      </c>
      <c r="D1948" s="679" t="s">
        <v>4516</v>
      </c>
      <c r="E1948" s="710" t="n">
        <v>0.1565</v>
      </c>
      <c r="F1948" s="369" t="n">
        <v>120</v>
      </c>
      <c r="G1948" s="727" t="n">
        <f aca="false">E1948*F1948</f>
        <v>18.78</v>
      </c>
      <c r="H1948" s="679"/>
    </row>
    <row r="1949" s="451" customFormat="true" ht="15" hidden="false" customHeight="false" outlineLevel="0" collapsed="false">
      <c r="A1949" s="380"/>
      <c r="B1949" s="522"/>
      <c r="C1949" s="709" t="s">
        <v>4586</v>
      </c>
      <c r="D1949" s="679" t="s">
        <v>4578</v>
      </c>
      <c r="E1949" s="715" t="n">
        <v>0.01</v>
      </c>
      <c r="F1949" s="369" t="n">
        <v>27000</v>
      </c>
      <c r="G1949" s="727" t="n">
        <f aca="false">E1949*F1949</f>
        <v>270</v>
      </c>
      <c r="H1949" s="679"/>
    </row>
    <row r="1950" s="451" customFormat="true" ht="15" hidden="false" customHeight="false" outlineLevel="0" collapsed="false">
      <c r="A1950" s="380"/>
      <c r="B1950" s="708" t="s">
        <v>4128</v>
      </c>
      <c r="C1950" s="709"/>
      <c r="D1950" s="679"/>
      <c r="E1950" s="710"/>
      <c r="F1950" s="369"/>
      <c r="G1950" s="711" t="n">
        <f aca="false">SUM(G1939:G1949)</f>
        <v>2744.71</v>
      </c>
      <c r="H1950" s="392"/>
    </row>
    <row r="1951" s="451" customFormat="true" ht="30" hidden="false" customHeight="false" outlineLevel="0" collapsed="false">
      <c r="A1951" s="707" t="s">
        <v>377</v>
      </c>
      <c r="B1951" s="487" t="s">
        <v>4595</v>
      </c>
      <c r="C1951" s="532" t="s">
        <v>4596</v>
      </c>
      <c r="D1951" s="679" t="s">
        <v>4555</v>
      </c>
      <c r="E1951" s="733" t="n">
        <v>0.01</v>
      </c>
      <c r="F1951" s="721" t="n">
        <v>108000</v>
      </c>
      <c r="G1951" s="727" t="n">
        <f aca="false">E1951*F1951</f>
        <v>1080</v>
      </c>
      <c r="H1951" s="471"/>
    </row>
    <row r="1952" s="451" customFormat="true" ht="15" hidden="false" customHeight="false" outlineLevel="0" collapsed="false">
      <c r="A1952" s="707"/>
      <c r="B1952" s="522"/>
      <c r="C1952" s="471" t="s">
        <v>4189</v>
      </c>
      <c r="D1952" s="728" t="s">
        <v>4133</v>
      </c>
      <c r="E1952" s="733" t="n">
        <v>0.02</v>
      </c>
      <c r="F1952" s="729" t="n">
        <v>3500</v>
      </c>
      <c r="G1952" s="727" t="n">
        <f aca="false">E1952*F1952</f>
        <v>70</v>
      </c>
      <c r="H1952" s="471"/>
    </row>
    <row r="1953" s="451" customFormat="true" ht="15" hidden="false" customHeight="false" outlineLevel="0" collapsed="false">
      <c r="A1953" s="707"/>
      <c r="B1953" s="708"/>
      <c r="C1953" s="532" t="s">
        <v>4557</v>
      </c>
      <c r="D1953" s="728" t="s">
        <v>4133</v>
      </c>
      <c r="E1953" s="733" t="n">
        <v>0.06</v>
      </c>
      <c r="F1953" s="369" t="n">
        <v>1750</v>
      </c>
      <c r="G1953" s="727" t="n">
        <f aca="false">E1953*F1953</f>
        <v>105</v>
      </c>
      <c r="H1953" s="471"/>
    </row>
    <row r="1954" s="451" customFormat="true" ht="15" hidden="false" customHeight="false" outlineLevel="0" collapsed="false">
      <c r="A1954" s="707"/>
      <c r="B1954" s="708"/>
      <c r="C1954" s="325" t="s">
        <v>4556</v>
      </c>
      <c r="D1954" s="728" t="s">
        <v>4133</v>
      </c>
      <c r="E1954" s="733" t="n">
        <v>0.05</v>
      </c>
      <c r="F1954" s="723" t="n">
        <v>3612</v>
      </c>
      <c r="G1954" s="727" t="n">
        <f aca="false">E1954*F1954</f>
        <v>180.6</v>
      </c>
      <c r="H1954" s="471"/>
    </row>
    <row r="1955" s="451" customFormat="true" ht="15" hidden="false" customHeight="false" outlineLevel="0" collapsed="false">
      <c r="A1955" s="707"/>
      <c r="B1955" s="708"/>
      <c r="C1955" s="532" t="s">
        <v>4588</v>
      </c>
      <c r="D1955" s="728" t="s">
        <v>4133</v>
      </c>
      <c r="E1955" s="733" t="n">
        <v>0.01</v>
      </c>
      <c r="F1955" s="721" t="n">
        <v>4000</v>
      </c>
      <c r="G1955" s="727" t="n">
        <f aca="false">E1955*F1955</f>
        <v>40</v>
      </c>
      <c r="H1955" s="471"/>
    </row>
    <row r="1956" s="451" customFormat="true" ht="30" hidden="false" customHeight="false" outlineLevel="0" collapsed="false">
      <c r="A1956" s="707"/>
      <c r="B1956" s="708"/>
      <c r="C1956" s="532" t="s">
        <v>4589</v>
      </c>
      <c r="D1956" s="728" t="s">
        <v>4348</v>
      </c>
      <c r="E1956" s="741" t="n">
        <v>0.0005</v>
      </c>
      <c r="F1956" s="721" t="n">
        <v>77000</v>
      </c>
      <c r="G1956" s="727" t="n">
        <f aca="false">E1956*F1956</f>
        <v>38.5</v>
      </c>
      <c r="H1956" s="471"/>
    </row>
    <row r="1957" s="451" customFormat="true" ht="15" hidden="false" customHeight="false" outlineLevel="0" collapsed="false">
      <c r="A1957" s="707"/>
      <c r="B1957" s="708"/>
      <c r="C1957" s="532" t="s">
        <v>4565</v>
      </c>
      <c r="D1957" s="728" t="s">
        <v>4133</v>
      </c>
      <c r="E1957" s="733" t="n">
        <v>0.01</v>
      </c>
      <c r="F1957" s="721" t="n">
        <v>870</v>
      </c>
      <c r="G1957" s="727" t="n">
        <f aca="false">E1957*F1957</f>
        <v>8.7</v>
      </c>
      <c r="H1957" s="471"/>
    </row>
    <row r="1958" s="451" customFormat="true" ht="15" hidden="false" customHeight="false" outlineLevel="0" collapsed="false">
      <c r="A1958" s="707"/>
      <c r="B1958" s="708"/>
      <c r="C1958" s="532" t="s">
        <v>4566</v>
      </c>
      <c r="D1958" s="728" t="s">
        <v>4133</v>
      </c>
      <c r="E1958" s="733" t="n">
        <v>0.05</v>
      </c>
      <c r="F1958" s="721" t="n">
        <v>300</v>
      </c>
      <c r="G1958" s="727" t="n">
        <f aca="false">E1958*F1958</f>
        <v>15</v>
      </c>
      <c r="H1958" s="471"/>
    </row>
    <row r="1959" s="451" customFormat="true" ht="15" hidden="false" customHeight="false" outlineLevel="0" collapsed="false">
      <c r="A1959" s="707"/>
      <c r="B1959" s="708"/>
      <c r="C1959" s="532" t="s">
        <v>4281</v>
      </c>
      <c r="D1959" s="679" t="s">
        <v>4555</v>
      </c>
      <c r="E1959" s="733" t="n">
        <v>0.005</v>
      </c>
      <c r="F1959" s="721" t="n">
        <v>108000</v>
      </c>
      <c r="G1959" s="727" t="n">
        <f aca="false">E1959*F1959</f>
        <v>540</v>
      </c>
      <c r="H1959" s="471"/>
    </row>
    <row r="1960" s="451" customFormat="true" ht="15" hidden="false" customHeight="false" outlineLevel="0" collapsed="false">
      <c r="A1960" s="707"/>
      <c r="B1960" s="708"/>
      <c r="C1960" s="532" t="s">
        <v>4563</v>
      </c>
      <c r="D1960" s="728" t="s">
        <v>4133</v>
      </c>
      <c r="E1960" s="733" t="n">
        <v>0.05</v>
      </c>
      <c r="F1960" s="717" t="n">
        <v>25200</v>
      </c>
      <c r="G1960" s="727" t="n">
        <f aca="false">E1960*F1960</f>
        <v>1260</v>
      </c>
      <c r="H1960" s="471"/>
    </row>
    <row r="1961" s="451" customFormat="true" ht="30" hidden="false" customHeight="false" outlineLevel="0" collapsed="false">
      <c r="A1961" s="707"/>
      <c r="B1961" s="708"/>
      <c r="C1961" s="532" t="s">
        <v>4590</v>
      </c>
      <c r="D1961" s="728" t="s">
        <v>4559</v>
      </c>
      <c r="E1961" s="733" t="n">
        <v>0.02</v>
      </c>
      <c r="F1961" s="721" t="n">
        <v>3250</v>
      </c>
      <c r="G1961" s="727" t="n">
        <f aca="false">E1961*F1961</f>
        <v>65</v>
      </c>
      <c r="H1961" s="471"/>
    </row>
    <row r="1962" s="451" customFormat="true" ht="45" hidden="false" customHeight="false" outlineLevel="0" collapsed="false">
      <c r="A1962" s="742"/>
      <c r="B1962" s="487"/>
      <c r="C1962" s="532" t="s">
        <v>4591</v>
      </c>
      <c r="D1962" s="728" t="s">
        <v>4348</v>
      </c>
      <c r="E1962" s="679" t="n">
        <v>5</v>
      </c>
      <c r="F1962" s="729" t="n">
        <v>5.1</v>
      </c>
      <c r="G1962" s="727" t="n">
        <f aca="false">E1962*F1962</f>
        <v>25.5</v>
      </c>
      <c r="H1962" s="471"/>
    </row>
    <row r="1963" s="451" customFormat="true" ht="15" hidden="false" customHeight="false" outlineLevel="0" collapsed="false">
      <c r="A1963" s="707"/>
      <c r="B1963" s="708" t="s">
        <v>4128</v>
      </c>
      <c r="C1963" s="471"/>
      <c r="D1963" s="737"/>
      <c r="E1963" s="738"/>
      <c r="F1963" s="729"/>
      <c r="G1963" s="739" t="n">
        <f aca="false">SUM(G1951:G1962)</f>
        <v>3428.3</v>
      </c>
      <c r="H1963" s="737"/>
    </row>
    <row r="1964" s="451" customFormat="true" ht="15" hidden="false" customHeight="false" outlineLevel="0" collapsed="false">
      <c r="A1964" s="707" t="s">
        <v>379</v>
      </c>
      <c r="B1964" s="532" t="s">
        <v>4597</v>
      </c>
      <c r="C1964" s="709" t="s">
        <v>4147</v>
      </c>
      <c r="D1964" s="679" t="s">
        <v>4392</v>
      </c>
      <c r="E1964" s="715" t="n">
        <v>0.25</v>
      </c>
      <c r="F1964" s="723" t="n">
        <v>3612</v>
      </c>
      <c r="G1964" s="727" t="n">
        <f aca="false">E1964*F1964</f>
        <v>903</v>
      </c>
      <c r="H1964" s="737" t="s">
        <v>4598</v>
      </c>
    </row>
    <row r="1965" s="451" customFormat="true" ht="15" hidden="false" customHeight="false" outlineLevel="0" collapsed="false">
      <c r="A1965" s="707"/>
      <c r="B1965" s="522"/>
      <c r="C1965" s="709" t="s">
        <v>4333</v>
      </c>
      <c r="D1965" s="679" t="s">
        <v>4392</v>
      </c>
      <c r="E1965" s="715" t="n">
        <v>0.38999</v>
      </c>
      <c r="F1965" s="369" t="n">
        <v>300</v>
      </c>
      <c r="G1965" s="727" t="n">
        <f aca="false">E1965*F1965</f>
        <v>116.997</v>
      </c>
      <c r="H1965" s="679"/>
    </row>
    <row r="1966" s="451" customFormat="true" ht="15" hidden="false" customHeight="false" outlineLevel="0" collapsed="false">
      <c r="A1966" s="707"/>
      <c r="B1966" s="522"/>
      <c r="C1966" s="709" t="s">
        <v>4599</v>
      </c>
      <c r="D1966" s="679" t="s">
        <v>4133</v>
      </c>
      <c r="E1966" s="715" t="n">
        <v>0.01</v>
      </c>
      <c r="F1966" s="369" t="n">
        <v>18200</v>
      </c>
      <c r="G1966" s="727" t="n">
        <f aca="false">E1966*F1966</f>
        <v>182</v>
      </c>
      <c r="H1966" s="679"/>
    </row>
    <row r="1967" s="451" customFormat="true" ht="15" hidden="false" customHeight="false" outlineLevel="0" collapsed="false">
      <c r="A1967" s="380"/>
      <c r="B1967" s="522"/>
      <c r="C1967" s="709" t="s">
        <v>4600</v>
      </c>
      <c r="D1967" s="679" t="s">
        <v>4392</v>
      </c>
      <c r="E1967" s="715" t="n">
        <v>0.1</v>
      </c>
      <c r="F1967" s="369" t="n">
        <v>490</v>
      </c>
      <c r="G1967" s="727" t="n">
        <f aca="false">E1967*F1967</f>
        <v>49</v>
      </c>
      <c r="H1967" s="679"/>
    </row>
    <row r="1968" s="451" customFormat="true" ht="15" hidden="false" customHeight="false" outlineLevel="0" collapsed="false">
      <c r="A1968" s="380"/>
      <c r="B1968" s="522"/>
      <c r="C1968" s="709" t="s">
        <v>4601</v>
      </c>
      <c r="D1968" s="679" t="s">
        <v>4133</v>
      </c>
      <c r="E1968" s="715" t="n">
        <v>0.05</v>
      </c>
      <c r="F1968" s="369" t="n">
        <v>15500</v>
      </c>
      <c r="G1968" s="727" t="n">
        <f aca="false">E1968*F1968</f>
        <v>775</v>
      </c>
      <c r="H1968" s="679"/>
    </row>
    <row r="1969" s="451" customFormat="true" ht="15" hidden="false" customHeight="false" outlineLevel="0" collapsed="false">
      <c r="A1969" s="380"/>
      <c r="B1969" s="522"/>
      <c r="C1969" s="709" t="s">
        <v>4122</v>
      </c>
      <c r="D1969" s="679" t="s">
        <v>4392</v>
      </c>
      <c r="E1969" s="715" t="n">
        <v>0.16</v>
      </c>
      <c r="F1969" s="369" t="n">
        <v>720</v>
      </c>
      <c r="G1969" s="727" t="n">
        <f aca="false">E1969*F1969</f>
        <v>115.2</v>
      </c>
      <c r="H1969" s="679"/>
    </row>
    <row r="1970" s="451" customFormat="true" ht="15" hidden="false" customHeight="false" outlineLevel="0" collapsed="false">
      <c r="A1970" s="380"/>
      <c r="B1970" s="522"/>
      <c r="C1970" s="709" t="s">
        <v>4124</v>
      </c>
      <c r="D1970" s="679" t="s">
        <v>4516</v>
      </c>
      <c r="E1970" s="715" t="n">
        <v>0.06</v>
      </c>
      <c r="F1970" s="369" t="n">
        <v>120</v>
      </c>
      <c r="G1970" s="727" t="n">
        <f aca="false">E1970*F1970</f>
        <v>7.2</v>
      </c>
      <c r="H1970" s="679"/>
    </row>
    <row r="1971" s="451" customFormat="true" ht="15" hidden="false" customHeight="false" outlineLevel="0" collapsed="false">
      <c r="A1971" s="380"/>
      <c r="B1971" s="522"/>
      <c r="C1971" s="709" t="s">
        <v>4515</v>
      </c>
      <c r="D1971" s="679" t="s">
        <v>4133</v>
      </c>
      <c r="E1971" s="715" t="n">
        <v>0.15</v>
      </c>
      <c r="F1971" s="369" t="n">
        <v>2700</v>
      </c>
      <c r="G1971" s="727" t="n">
        <f aca="false">E1971*F1971</f>
        <v>405</v>
      </c>
      <c r="H1971" s="679"/>
    </row>
    <row r="1972" s="451" customFormat="true" ht="15" hidden="false" customHeight="false" outlineLevel="0" collapsed="false">
      <c r="A1972" s="380"/>
      <c r="B1972" s="708" t="s">
        <v>4128</v>
      </c>
      <c r="C1972" s="718"/>
      <c r="D1972" s="719"/>
      <c r="E1972" s="722"/>
      <c r="F1972" s="366"/>
      <c r="G1972" s="711" t="n">
        <f aca="false">SUM(G1964:G1971)</f>
        <v>2553.397</v>
      </c>
      <c r="H1972" s="392"/>
    </row>
    <row r="1973" s="451" customFormat="true" ht="30" hidden="false" customHeight="false" outlineLevel="0" collapsed="false">
      <c r="A1973" s="707" t="s">
        <v>381</v>
      </c>
      <c r="B1973" s="487" t="s">
        <v>3038</v>
      </c>
      <c r="C1973" s="709" t="s">
        <v>4602</v>
      </c>
      <c r="D1973" s="679" t="s">
        <v>4138</v>
      </c>
      <c r="E1973" s="542" t="n">
        <v>0.1</v>
      </c>
      <c r="F1973" s="369" t="n">
        <v>1116</v>
      </c>
      <c r="G1973" s="727" t="n">
        <f aca="false">E1973*F1973</f>
        <v>111.6</v>
      </c>
      <c r="H1973" s="679"/>
    </row>
    <row r="1974" s="451" customFormat="true" ht="15" hidden="false" customHeight="false" outlineLevel="0" collapsed="false">
      <c r="A1974" s="380"/>
      <c r="B1974" s="522" t="s">
        <v>4568</v>
      </c>
      <c r="C1974" s="471" t="s">
        <v>4189</v>
      </c>
      <c r="D1974" s="728" t="s">
        <v>4133</v>
      </c>
      <c r="E1974" s="726" t="n">
        <v>0.02</v>
      </c>
      <c r="F1974" s="729" t="n">
        <v>3500</v>
      </c>
      <c r="G1974" s="727" t="n">
        <f aca="false">E1974*F1974</f>
        <v>70</v>
      </c>
      <c r="H1974" s="679"/>
    </row>
    <row r="1975" s="451" customFormat="true" ht="15" hidden="false" customHeight="false" outlineLevel="0" collapsed="false">
      <c r="A1975" s="380"/>
      <c r="B1975" s="522"/>
      <c r="C1975" s="325" t="s">
        <v>4556</v>
      </c>
      <c r="D1975" s="728" t="s">
        <v>4133</v>
      </c>
      <c r="E1975" s="726" t="n">
        <v>0.01</v>
      </c>
      <c r="F1975" s="723" t="n">
        <v>3612</v>
      </c>
      <c r="G1975" s="727" t="n">
        <f aca="false">E1975*F1975</f>
        <v>36.12</v>
      </c>
      <c r="H1975" s="679"/>
    </row>
    <row r="1976" s="451" customFormat="true" ht="15" hidden="false" customHeight="false" outlineLevel="0" collapsed="false">
      <c r="A1976" s="380"/>
      <c r="B1976" s="522"/>
      <c r="C1976" s="532" t="s">
        <v>4557</v>
      </c>
      <c r="D1976" s="728" t="s">
        <v>4133</v>
      </c>
      <c r="E1976" s="726" t="n">
        <v>0.06</v>
      </c>
      <c r="F1976" s="369" t="n">
        <v>1750</v>
      </c>
      <c r="G1976" s="727" t="n">
        <f aca="false">E1976*F1976</f>
        <v>105</v>
      </c>
      <c r="H1976" s="679"/>
    </row>
    <row r="1977" s="451" customFormat="true" ht="15" hidden="false" customHeight="false" outlineLevel="0" collapsed="false">
      <c r="A1977" s="380"/>
      <c r="B1977" s="522"/>
      <c r="C1977" s="532" t="s">
        <v>4564</v>
      </c>
      <c r="D1977" s="728" t="s">
        <v>4133</v>
      </c>
      <c r="E1977" s="726" t="n">
        <v>0.01</v>
      </c>
      <c r="F1977" s="721" t="n">
        <v>3500</v>
      </c>
      <c r="G1977" s="727" t="n">
        <f aca="false">E1977*F1977</f>
        <v>35</v>
      </c>
      <c r="H1977" s="679"/>
    </row>
    <row r="1978" s="451" customFormat="true" ht="60" hidden="false" customHeight="false" outlineLevel="0" collapsed="false">
      <c r="A1978" s="380"/>
      <c r="B1978" s="522"/>
      <c r="C1978" s="532" t="s">
        <v>4603</v>
      </c>
      <c r="D1978" s="679" t="s">
        <v>4559</v>
      </c>
      <c r="E1978" s="726" t="n">
        <v>0.02</v>
      </c>
      <c r="F1978" s="721" t="n">
        <v>7500</v>
      </c>
      <c r="G1978" s="727" t="n">
        <f aca="false">E1978*F1978</f>
        <v>150</v>
      </c>
      <c r="H1978" s="679"/>
    </row>
    <row r="1979" s="451" customFormat="true" ht="30" hidden="false" customHeight="false" outlineLevel="0" collapsed="false">
      <c r="A1979" s="380"/>
      <c r="B1979" s="522"/>
      <c r="C1979" s="532" t="s">
        <v>4560</v>
      </c>
      <c r="D1979" s="728" t="s">
        <v>4348</v>
      </c>
      <c r="E1979" s="679" t="n">
        <v>5</v>
      </c>
      <c r="F1979" s="729" t="n">
        <v>5.1</v>
      </c>
      <c r="G1979" s="727" t="n">
        <f aca="false">E1979*F1979</f>
        <v>25.5</v>
      </c>
      <c r="H1979" s="679"/>
    </row>
    <row r="1980" s="451" customFormat="true" ht="15" hidden="false" customHeight="false" outlineLevel="0" collapsed="false">
      <c r="A1980" s="380"/>
      <c r="B1980" s="522"/>
      <c r="C1980" s="709" t="s">
        <v>4604</v>
      </c>
      <c r="D1980" s="679" t="s">
        <v>4392</v>
      </c>
      <c r="E1980" s="715" t="n">
        <v>0.1</v>
      </c>
      <c r="F1980" s="369" t="n">
        <v>18000</v>
      </c>
      <c r="G1980" s="727" t="n">
        <f aca="false">E1980*F1980</f>
        <v>1800</v>
      </c>
      <c r="H1980" s="679"/>
    </row>
    <row r="1981" s="451" customFormat="true" ht="15" hidden="false" customHeight="false" outlineLevel="0" collapsed="false">
      <c r="A1981" s="380"/>
      <c r="B1981" s="522"/>
      <c r="C1981" s="709" t="s">
        <v>4124</v>
      </c>
      <c r="D1981" s="679" t="s">
        <v>4516</v>
      </c>
      <c r="E1981" s="715" t="n">
        <v>1.5</v>
      </c>
      <c r="F1981" s="369" t="n">
        <v>120</v>
      </c>
      <c r="G1981" s="727" t="n">
        <f aca="false">E1981*F1981</f>
        <v>180</v>
      </c>
      <c r="H1981" s="679"/>
    </row>
    <row r="1982" s="451" customFormat="true" ht="15" hidden="false" customHeight="false" outlineLevel="0" collapsed="false">
      <c r="A1982" s="380"/>
      <c r="B1982" s="708" t="s">
        <v>4128</v>
      </c>
      <c r="C1982" s="718"/>
      <c r="D1982" s="719"/>
      <c r="E1982" s="722"/>
      <c r="F1982" s="366"/>
      <c r="G1982" s="711" t="n">
        <f aca="false">SUM(G1973:G1981)</f>
        <v>2513.22</v>
      </c>
      <c r="H1982" s="392"/>
    </row>
    <row r="1983" s="451" customFormat="true" ht="45" hidden="false" customHeight="false" outlineLevel="0" collapsed="false">
      <c r="A1983" s="707" t="s">
        <v>383</v>
      </c>
      <c r="B1983" s="487" t="s">
        <v>3039</v>
      </c>
      <c r="C1983" s="532" t="s">
        <v>4605</v>
      </c>
      <c r="D1983" s="679" t="s">
        <v>4555</v>
      </c>
      <c r="E1983" s="733" t="n">
        <v>0.0705</v>
      </c>
      <c r="F1983" s="721" t="n">
        <v>108000</v>
      </c>
      <c r="G1983" s="727" t="n">
        <f aca="false">E1983*F1983</f>
        <v>7614</v>
      </c>
      <c r="H1983" s="679"/>
    </row>
    <row r="1984" s="451" customFormat="true" ht="15" hidden="false" customHeight="false" outlineLevel="0" collapsed="false">
      <c r="A1984" s="380"/>
      <c r="B1984" s="522"/>
      <c r="C1984" s="532" t="s">
        <v>3082</v>
      </c>
      <c r="D1984" s="728" t="s">
        <v>4133</v>
      </c>
      <c r="E1984" s="726" t="n">
        <v>0.02</v>
      </c>
      <c r="F1984" s="724" t="n">
        <v>1500</v>
      </c>
      <c r="G1984" s="727" t="n">
        <f aca="false">E1984*F1984</f>
        <v>30</v>
      </c>
      <c r="H1984" s="679"/>
    </row>
    <row r="1985" s="451" customFormat="true" ht="15" hidden="false" customHeight="false" outlineLevel="0" collapsed="false">
      <c r="A1985" s="380"/>
      <c r="B1985" s="522"/>
      <c r="C1985" s="532" t="s">
        <v>4377</v>
      </c>
      <c r="D1985" s="728" t="s">
        <v>4133</v>
      </c>
      <c r="E1985" s="726" t="n">
        <v>0.02</v>
      </c>
      <c r="F1985" s="369" t="n">
        <v>3500</v>
      </c>
      <c r="G1985" s="727" t="n">
        <f aca="false">E1985*F1985</f>
        <v>70</v>
      </c>
      <c r="H1985" s="679"/>
    </row>
    <row r="1986" s="451" customFormat="true" ht="15" hidden="false" customHeight="false" outlineLevel="0" collapsed="false">
      <c r="A1986" s="380"/>
      <c r="B1986" s="522"/>
      <c r="C1986" s="532" t="s">
        <v>4541</v>
      </c>
      <c r="D1986" s="728" t="s">
        <v>4133</v>
      </c>
      <c r="E1986" s="726" t="n">
        <v>0.02</v>
      </c>
      <c r="F1986" s="721" t="n">
        <v>710</v>
      </c>
      <c r="G1986" s="727" t="n">
        <f aca="false">E1986*F1986</f>
        <v>14.2</v>
      </c>
      <c r="H1986" s="679"/>
    </row>
    <row r="1987" s="451" customFormat="true" ht="15" hidden="false" customHeight="false" outlineLevel="0" collapsed="false">
      <c r="A1987" s="380"/>
      <c r="B1987" s="522"/>
      <c r="C1987" s="325" t="s">
        <v>4556</v>
      </c>
      <c r="D1987" s="728" t="s">
        <v>4133</v>
      </c>
      <c r="E1987" s="726" t="n">
        <v>0.05</v>
      </c>
      <c r="F1987" s="723" t="n">
        <v>3612</v>
      </c>
      <c r="G1987" s="727" t="n">
        <f aca="false">E1987*F1987</f>
        <v>180.6</v>
      </c>
      <c r="H1987" s="679"/>
    </row>
    <row r="1988" s="451" customFormat="true" ht="15" hidden="false" customHeight="false" outlineLevel="0" collapsed="false">
      <c r="A1988" s="380"/>
      <c r="B1988" s="522"/>
      <c r="C1988" s="532" t="s">
        <v>4606</v>
      </c>
      <c r="D1988" s="728" t="s">
        <v>4133</v>
      </c>
      <c r="E1988" s="726" t="n">
        <v>0.09</v>
      </c>
      <c r="F1988" s="721" t="n">
        <v>2695</v>
      </c>
      <c r="G1988" s="727" t="n">
        <f aca="false">E1988*F1988</f>
        <v>242.55</v>
      </c>
      <c r="H1988" s="679"/>
    </row>
    <row r="1989" s="451" customFormat="true" ht="15" hidden="false" customHeight="false" outlineLevel="0" collapsed="false">
      <c r="A1989" s="380"/>
      <c r="B1989" s="522"/>
      <c r="C1989" s="532" t="s">
        <v>4607</v>
      </c>
      <c r="D1989" s="728" t="s">
        <v>4133</v>
      </c>
      <c r="E1989" s="726" t="n">
        <v>0.1</v>
      </c>
      <c r="F1989" s="721" t="n">
        <v>1200</v>
      </c>
      <c r="G1989" s="727" t="n">
        <f aca="false">E1989*F1989</f>
        <v>120</v>
      </c>
      <c r="H1989" s="679"/>
    </row>
    <row r="1990" s="451" customFormat="true" ht="30" hidden="false" customHeight="false" outlineLevel="0" collapsed="false">
      <c r="A1990" s="380"/>
      <c r="B1990" s="522"/>
      <c r="C1990" s="532" t="s">
        <v>4608</v>
      </c>
      <c r="D1990" s="728" t="s">
        <v>4133</v>
      </c>
      <c r="E1990" s="726" t="n">
        <v>0.01</v>
      </c>
      <c r="F1990" s="721" t="n">
        <v>2500</v>
      </c>
      <c r="G1990" s="727" t="n">
        <f aca="false">E1990*F1990</f>
        <v>25</v>
      </c>
      <c r="H1990" s="679"/>
    </row>
    <row r="1991" s="451" customFormat="true" ht="15" hidden="false" customHeight="false" outlineLevel="0" collapsed="false">
      <c r="A1991" s="380"/>
      <c r="B1991" s="522"/>
      <c r="C1991" s="532" t="s">
        <v>4609</v>
      </c>
      <c r="D1991" s="728" t="s">
        <v>4133</v>
      </c>
      <c r="E1991" s="726" t="n">
        <v>0.0065</v>
      </c>
      <c r="F1991" s="721" t="n">
        <v>1500</v>
      </c>
      <c r="G1991" s="727" t="n">
        <f aca="false">E1991*F1991</f>
        <v>9.75</v>
      </c>
      <c r="H1991" s="679"/>
    </row>
    <row r="1992" s="451" customFormat="true" ht="15" hidden="false" customHeight="false" outlineLevel="0" collapsed="false">
      <c r="A1992" s="380"/>
      <c r="B1992" s="522"/>
      <c r="C1992" s="532" t="s">
        <v>4610</v>
      </c>
      <c r="D1992" s="728" t="s">
        <v>4133</v>
      </c>
      <c r="E1992" s="726" t="n">
        <v>0.05</v>
      </c>
      <c r="F1992" s="721" t="n">
        <v>3600</v>
      </c>
      <c r="G1992" s="727" t="n">
        <f aca="false">E1992*F1992</f>
        <v>180</v>
      </c>
      <c r="H1992" s="679"/>
    </row>
    <row r="1993" s="451" customFormat="true" ht="15" hidden="false" customHeight="false" outlineLevel="0" collapsed="false">
      <c r="A1993" s="380"/>
      <c r="B1993" s="522"/>
      <c r="C1993" s="743" t="s">
        <v>4611</v>
      </c>
      <c r="D1993" s="679" t="s">
        <v>4392</v>
      </c>
      <c r="E1993" s="744" t="n">
        <v>0.05</v>
      </c>
      <c r="F1993" s="369" t="n">
        <v>720</v>
      </c>
      <c r="G1993" s="727" t="n">
        <f aca="false">E1993*F1993</f>
        <v>36</v>
      </c>
      <c r="H1993" s="679"/>
    </row>
    <row r="1994" s="451" customFormat="true" ht="15" hidden="false" customHeight="false" outlineLevel="0" collapsed="false">
      <c r="A1994" s="380"/>
      <c r="B1994" s="522"/>
      <c r="C1994" s="532" t="s">
        <v>4612</v>
      </c>
      <c r="D1994" s="728" t="s">
        <v>4133</v>
      </c>
      <c r="E1994" s="726" t="n">
        <v>0.005</v>
      </c>
      <c r="F1994" s="721" t="n">
        <v>3000</v>
      </c>
      <c r="G1994" s="727" t="n">
        <f aca="false">E1994*F1994</f>
        <v>15</v>
      </c>
      <c r="H1994" s="679"/>
    </row>
    <row r="1995" s="451" customFormat="true" ht="15" hidden="false" customHeight="false" outlineLevel="0" collapsed="false">
      <c r="A1995" s="380"/>
      <c r="B1995" s="522"/>
      <c r="C1995" s="532" t="s">
        <v>4613</v>
      </c>
      <c r="D1995" s="728" t="s">
        <v>4133</v>
      </c>
      <c r="E1995" s="726" t="n">
        <v>0.025</v>
      </c>
      <c r="F1995" s="721" t="n">
        <v>2700</v>
      </c>
      <c r="G1995" s="727" t="n">
        <f aca="false">E1995*F1995</f>
        <v>67.5</v>
      </c>
      <c r="H1995" s="679"/>
    </row>
    <row r="1996" s="451" customFormat="true" ht="15" hidden="false" customHeight="false" outlineLevel="0" collapsed="false">
      <c r="A1996" s="380"/>
      <c r="B1996" s="522"/>
      <c r="C1996" s="471" t="s">
        <v>4250</v>
      </c>
      <c r="D1996" s="728" t="s">
        <v>4133</v>
      </c>
      <c r="E1996" s="726" t="n">
        <v>0.0045</v>
      </c>
      <c r="F1996" s="729" t="n">
        <v>25000</v>
      </c>
      <c r="G1996" s="727" t="n">
        <f aca="false">E1996*F1996</f>
        <v>112.5</v>
      </c>
      <c r="H1996" s="679"/>
    </row>
    <row r="1997" s="451" customFormat="true" ht="15" hidden="false" customHeight="false" outlineLevel="0" collapsed="false">
      <c r="A1997" s="380"/>
      <c r="B1997" s="522"/>
      <c r="C1997" s="532" t="s">
        <v>4614</v>
      </c>
      <c r="D1997" s="679" t="s">
        <v>4392</v>
      </c>
      <c r="E1997" s="726" t="n">
        <v>0.01</v>
      </c>
      <c r="F1997" s="724" t="n">
        <v>16500</v>
      </c>
      <c r="G1997" s="727" t="n">
        <f aca="false">E1997*F1997</f>
        <v>165</v>
      </c>
      <c r="H1997" s="679"/>
    </row>
    <row r="1998" s="451" customFormat="true" ht="15" hidden="false" customHeight="false" outlineLevel="0" collapsed="false">
      <c r="A1998" s="380"/>
      <c r="B1998" s="522"/>
      <c r="C1998" s="532" t="s">
        <v>4615</v>
      </c>
      <c r="D1998" s="728" t="s">
        <v>4133</v>
      </c>
      <c r="E1998" s="726" t="n">
        <v>0.05</v>
      </c>
      <c r="F1998" s="721" t="n">
        <v>500</v>
      </c>
      <c r="G1998" s="727" t="n">
        <f aca="false">E1998*F1998</f>
        <v>25</v>
      </c>
      <c r="H1998" s="679"/>
    </row>
    <row r="1999" s="451" customFormat="true" ht="15" hidden="false" customHeight="false" outlineLevel="0" collapsed="false">
      <c r="A1999" s="380"/>
      <c r="B1999" s="522"/>
      <c r="C1999" s="532" t="s">
        <v>4616</v>
      </c>
      <c r="D1999" s="679" t="s">
        <v>4559</v>
      </c>
      <c r="E1999" s="726" t="n">
        <v>0.02</v>
      </c>
      <c r="F1999" s="724" t="n">
        <v>275000</v>
      </c>
      <c r="G1999" s="727" t="n">
        <f aca="false">E1999*F1999</f>
        <v>5500</v>
      </c>
      <c r="H1999" s="679"/>
    </row>
    <row r="2000" s="451" customFormat="true" ht="15" hidden="false" customHeight="false" outlineLevel="0" collapsed="false">
      <c r="A2000" s="380"/>
      <c r="B2000" s="522"/>
      <c r="C2000" s="709" t="s">
        <v>4515</v>
      </c>
      <c r="D2000" s="679" t="s">
        <v>4133</v>
      </c>
      <c r="E2000" s="710" t="n">
        <v>0.006</v>
      </c>
      <c r="F2000" s="369" t="n">
        <v>2700</v>
      </c>
      <c r="G2000" s="727" t="n">
        <f aca="false">E2000*F2000</f>
        <v>16.2</v>
      </c>
      <c r="H2000" s="679"/>
    </row>
    <row r="2001" s="451" customFormat="true" ht="15" hidden="false" customHeight="false" outlineLevel="0" collapsed="false">
      <c r="A2001" s="380"/>
      <c r="B2001" s="522"/>
      <c r="C2001" s="709" t="s">
        <v>4124</v>
      </c>
      <c r="D2001" s="679" t="s">
        <v>4516</v>
      </c>
      <c r="E2001" s="710" t="n">
        <v>1.5</v>
      </c>
      <c r="F2001" s="369" t="n">
        <v>120</v>
      </c>
      <c r="G2001" s="727" t="n">
        <f aca="false">E2001*F2001</f>
        <v>180</v>
      </c>
      <c r="H2001" s="679"/>
    </row>
    <row r="2002" s="451" customFormat="true" ht="15" hidden="false" customHeight="false" outlineLevel="0" collapsed="false">
      <c r="A2002" s="380"/>
      <c r="B2002" s="708" t="s">
        <v>4128</v>
      </c>
      <c r="C2002" s="718"/>
      <c r="D2002" s="719"/>
      <c r="E2002" s="722"/>
      <c r="F2002" s="366"/>
      <c r="G2002" s="711" t="n">
        <f aca="false">SUM(G1983:G2001)</f>
        <v>14603.3</v>
      </c>
      <c r="H2002" s="392"/>
    </row>
    <row r="2003" s="451" customFormat="true" ht="30" hidden="false" customHeight="false" outlineLevel="0" collapsed="false">
      <c r="A2003" s="707" t="s">
        <v>385</v>
      </c>
      <c r="B2003" s="487" t="s">
        <v>3040</v>
      </c>
      <c r="C2003" s="476" t="s">
        <v>4617</v>
      </c>
      <c r="D2003" s="679" t="s">
        <v>4555</v>
      </c>
      <c r="E2003" s="745" t="n">
        <v>0.24</v>
      </c>
      <c r="F2003" s="729" t="n">
        <v>81000</v>
      </c>
      <c r="G2003" s="727" t="n">
        <f aca="false">E2003*F2003</f>
        <v>19440</v>
      </c>
      <c r="H2003" s="679"/>
    </row>
    <row r="2004" s="451" customFormat="true" ht="15" hidden="false" customHeight="false" outlineLevel="0" collapsed="false">
      <c r="A2004" s="380"/>
      <c r="B2004" s="522"/>
      <c r="C2004" s="471" t="s">
        <v>4317</v>
      </c>
      <c r="D2004" s="679" t="s">
        <v>4392</v>
      </c>
      <c r="E2004" s="745" t="n">
        <v>0.036</v>
      </c>
      <c r="F2004" s="724" t="n">
        <v>16500</v>
      </c>
      <c r="G2004" s="727" t="n">
        <f aca="false">E2004*F2004</f>
        <v>594</v>
      </c>
      <c r="H2004" s="679"/>
    </row>
    <row r="2005" s="451" customFormat="true" ht="15" hidden="false" customHeight="false" outlineLevel="0" collapsed="false">
      <c r="A2005" s="380"/>
      <c r="B2005" s="522"/>
      <c r="C2005" s="471" t="s">
        <v>4250</v>
      </c>
      <c r="D2005" s="737" t="s">
        <v>4133</v>
      </c>
      <c r="E2005" s="745" t="n">
        <v>0.01</v>
      </c>
      <c r="F2005" s="729" t="n">
        <v>27000</v>
      </c>
      <c r="G2005" s="727" t="n">
        <f aca="false">E2005*F2005</f>
        <v>270</v>
      </c>
      <c r="H2005" s="679"/>
    </row>
    <row r="2006" s="451" customFormat="true" ht="15" hidden="false" customHeight="false" outlineLevel="0" collapsed="false">
      <c r="A2006" s="380"/>
      <c r="B2006" s="522"/>
      <c r="C2006" s="471" t="s">
        <v>4618</v>
      </c>
      <c r="D2006" s="737" t="s">
        <v>4133</v>
      </c>
      <c r="E2006" s="745" t="n">
        <v>0.045</v>
      </c>
      <c r="F2006" s="729" t="n">
        <v>12300</v>
      </c>
      <c r="G2006" s="727" t="n">
        <f aca="false">E2006*F2006</f>
        <v>553.5</v>
      </c>
      <c r="H2006" s="679"/>
    </row>
    <row r="2007" s="451" customFormat="true" ht="15" hidden="false" customHeight="false" outlineLevel="0" collapsed="false">
      <c r="A2007" s="380"/>
      <c r="B2007" s="522"/>
      <c r="C2007" s="743" t="s">
        <v>4611</v>
      </c>
      <c r="D2007" s="679" t="s">
        <v>4392</v>
      </c>
      <c r="E2007" s="744" t="n">
        <v>0.05</v>
      </c>
      <c r="F2007" s="369" t="n">
        <v>720</v>
      </c>
      <c r="G2007" s="727" t="n">
        <f aca="false">E2007*F2007</f>
        <v>36</v>
      </c>
      <c r="H2007" s="679"/>
    </row>
    <row r="2008" s="451" customFormat="true" ht="15" hidden="false" customHeight="false" outlineLevel="0" collapsed="false">
      <c r="A2008" s="380"/>
      <c r="B2008" s="522"/>
      <c r="C2008" s="532" t="s">
        <v>4377</v>
      </c>
      <c r="D2008" s="737" t="s">
        <v>4133</v>
      </c>
      <c r="E2008" s="745" t="n">
        <v>0.01</v>
      </c>
      <c r="F2008" s="369" t="n">
        <v>3500</v>
      </c>
      <c r="G2008" s="727" t="n">
        <f aca="false">E2008*F2008</f>
        <v>35</v>
      </c>
      <c r="H2008" s="679"/>
    </row>
    <row r="2009" s="451" customFormat="true" ht="15" hidden="false" customHeight="false" outlineLevel="0" collapsed="false">
      <c r="A2009" s="380"/>
      <c r="B2009" s="522"/>
      <c r="C2009" s="471" t="s">
        <v>4619</v>
      </c>
      <c r="D2009" s="737" t="s">
        <v>4133</v>
      </c>
      <c r="E2009" s="745" t="n">
        <v>0.02</v>
      </c>
      <c r="F2009" s="729" t="n">
        <v>920</v>
      </c>
      <c r="G2009" s="727" t="n">
        <f aca="false">E2009*F2009</f>
        <v>18.4</v>
      </c>
      <c r="H2009" s="679"/>
    </row>
    <row r="2010" s="451" customFormat="true" ht="30" hidden="false" customHeight="false" outlineLevel="0" collapsed="false">
      <c r="A2010" s="380"/>
      <c r="B2010" s="522"/>
      <c r="C2010" s="471" t="s">
        <v>4620</v>
      </c>
      <c r="D2010" s="737" t="s">
        <v>4348</v>
      </c>
      <c r="E2010" s="745" t="n">
        <v>0.1</v>
      </c>
      <c r="F2010" s="729" t="n">
        <v>1000</v>
      </c>
      <c r="G2010" s="727" t="n">
        <f aca="false">E2010*F2010</f>
        <v>100</v>
      </c>
      <c r="H2010" s="679"/>
    </row>
    <row r="2011" s="451" customFormat="true" ht="15" hidden="false" customHeight="false" outlineLevel="0" collapsed="false">
      <c r="A2011" s="380"/>
      <c r="B2011" s="522"/>
      <c r="C2011" s="471" t="s">
        <v>4621</v>
      </c>
      <c r="D2011" s="737" t="s">
        <v>4133</v>
      </c>
      <c r="E2011" s="746" t="n">
        <v>0.0025</v>
      </c>
      <c r="F2011" s="729"/>
      <c r="G2011" s="727" t="n">
        <f aca="false">E2011*F2011</f>
        <v>0</v>
      </c>
      <c r="H2011" s="679"/>
    </row>
    <row r="2012" s="451" customFormat="true" ht="15" hidden="false" customHeight="false" outlineLevel="0" collapsed="false">
      <c r="A2012" s="380"/>
      <c r="B2012" s="522"/>
      <c r="C2012" s="709" t="s">
        <v>4622</v>
      </c>
      <c r="D2012" s="679" t="s">
        <v>4133</v>
      </c>
      <c r="E2012" s="710" t="n">
        <v>0.025</v>
      </c>
      <c r="F2012" s="369" t="n">
        <v>3000</v>
      </c>
      <c r="G2012" s="727" t="n">
        <f aca="false">E2012*F2012</f>
        <v>75</v>
      </c>
      <c r="H2012" s="679"/>
    </row>
    <row r="2013" s="451" customFormat="true" ht="15" hidden="false" customHeight="false" outlineLevel="0" collapsed="false">
      <c r="A2013" s="380"/>
      <c r="B2013" s="522"/>
      <c r="C2013" s="709" t="s">
        <v>4623</v>
      </c>
      <c r="D2013" s="679" t="s">
        <v>4392</v>
      </c>
      <c r="E2013" s="710" t="n">
        <v>0.0035</v>
      </c>
      <c r="F2013" s="369" t="n">
        <v>24000</v>
      </c>
      <c r="G2013" s="727" t="n">
        <f aca="false">E2013*F2013</f>
        <v>84</v>
      </c>
      <c r="H2013" s="679"/>
    </row>
    <row r="2014" s="451" customFormat="true" ht="30" hidden="false" customHeight="false" outlineLevel="0" collapsed="false">
      <c r="A2014" s="380"/>
      <c r="B2014" s="522"/>
      <c r="C2014" s="709" t="s">
        <v>4624</v>
      </c>
      <c r="D2014" s="679" t="s">
        <v>4133</v>
      </c>
      <c r="E2014" s="710" t="n">
        <v>0.005</v>
      </c>
      <c r="F2014" s="369" t="n">
        <v>39400</v>
      </c>
      <c r="G2014" s="727" t="n">
        <f aca="false">E2014*F2014</f>
        <v>197</v>
      </c>
      <c r="H2014" s="679"/>
    </row>
    <row r="2015" s="451" customFormat="true" ht="15" hidden="false" customHeight="false" outlineLevel="0" collapsed="false">
      <c r="A2015" s="380"/>
      <c r="B2015" s="708" t="s">
        <v>4128</v>
      </c>
      <c r="C2015" s="718"/>
      <c r="D2015" s="719"/>
      <c r="E2015" s="722"/>
      <c r="F2015" s="366"/>
      <c r="G2015" s="711" t="n">
        <f aca="false">SUM(G2003:G2014)</f>
        <v>21402.9</v>
      </c>
      <c r="H2015" s="392"/>
    </row>
    <row r="2016" s="451" customFormat="true" ht="15" hidden="false" customHeight="false" outlineLevel="0" collapsed="false">
      <c r="A2016" s="707" t="s">
        <v>387</v>
      </c>
      <c r="B2016" s="532" t="s">
        <v>3041</v>
      </c>
      <c r="C2016" s="747" t="s">
        <v>4625</v>
      </c>
      <c r="D2016" s="679" t="s">
        <v>4138</v>
      </c>
      <c r="E2016" s="734" t="n">
        <v>0.3</v>
      </c>
      <c r="F2016" s="721" t="n">
        <v>27000</v>
      </c>
      <c r="G2016" s="727" t="n">
        <f aca="false">E2016*F2016</f>
        <v>8100</v>
      </c>
      <c r="H2016" s="392"/>
    </row>
    <row r="2017" s="451" customFormat="true" ht="15" hidden="false" customHeight="false" outlineLevel="0" collapsed="false">
      <c r="A2017" s="380"/>
      <c r="B2017" s="708"/>
      <c r="C2017" s="747" t="s">
        <v>4626</v>
      </c>
      <c r="D2017" s="679" t="s">
        <v>4133</v>
      </c>
      <c r="E2017" s="745" t="n">
        <v>0.001</v>
      </c>
      <c r="F2017" s="729" t="n">
        <v>810000</v>
      </c>
      <c r="G2017" s="727" t="n">
        <f aca="false">E2017*F2017</f>
        <v>810</v>
      </c>
      <c r="H2017" s="392"/>
    </row>
    <row r="2018" s="451" customFormat="true" ht="15" hidden="false" customHeight="false" outlineLevel="0" collapsed="false">
      <c r="A2018" s="380"/>
      <c r="B2018" s="708"/>
      <c r="C2018" s="532" t="s">
        <v>4377</v>
      </c>
      <c r="D2018" s="679" t="s">
        <v>4133</v>
      </c>
      <c r="E2018" s="745" t="n">
        <v>0.01</v>
      </c>
      <c r="F2018" s="369" t="n">
        <v>3500</v>
      </c>
      <c r="G2018" s="727" t="n">
        <f aca="false">E2018*F2018</f>
        <v>35</v>
      </c>
      <c r="H2018" s="392"/>
    </row>
    <row r="2019" s="451" customFormat="true" ht="15" hidden="false" customHeight="false" outlineLevel="0" collapsed="false">
      <c r="A2019" s="380"/>
      <c r="B2019" s="708"/>
      <c r="C2019" s="747" t="s">
        <v>4627</v>
      </c>
      <c r="D2019" s="679" t="s">
        <v>4133</v>
      </c>
      <c r="E2019" s="679" t="n">
        <v>0.2</v>
      </c>
      <c r="F2019" s="748" t="n">
        <v>1200</v>
      </c>
      <c r="G2019" s="727" t="n">
        <f aca="false">E2019*F2019</f>
        <v>240</v>
      </c>
      <c r="H2019" s="392"/>
    </row>
    <row r="2020" s="451" customFormat="true" ht="15" hidden="false" customHeight="false" outlineLevel="0" collapsed="false">
      <c r="A2020" s="380"/>
      <c r="B2020" s="708"/>
      <c r="C2020" s="747" t="s">
        <v>4628</v>
      </c>
      <c r="D2020" s="679" t="s">
        <v>4133</v>
      </c>
      <c r="E2020" s="679" t="n">
        <v>0.06</v>
      </c>
      <c r="F2020" s="721" t="n">
        <v>710</v>
      </c>
      <c r="G2020" s="727" t="n">
        <f aca="false">E2020*F2020</f>
        <v>42.6</v>
      </c>
      <c r="H2020" s="392"/>
    </row>
    <row r="2021" s="451" customFormat="true" ht="15" hidden="false" customHeight="false" outlineLevel="0" collapsed="false">
      <c r="A2021" s="380"/>
      <c r="B2021" s="708"/>
      <c r="C2021" s="532" t="s">
        <v>4609</v>
      </c>
      <c r="D2021" s="679" t="s">
        <v>4133</v>
      </c>
      <c r="E2021" s="679" t="n">
        <v>0.06</v>
      </c>
      <c r="F2021" s="721" t="n">
        <v>1500</v>
      </c>
      <c r="G2021" s="727" t="n">
        <f aca="false">E2021*F2021</f>
        <v>90</v>
      </c>
      <c r="H2021" s="392"/>
    </row>
    <row r="2022" s="451" customFormat="true" ht="15" hidden="false" customHeight="false" outlineLevel="0" collapsed="false">
      <c r="A2022" s="380"/>
      <c r="B2022" s="708"/>
      <c r="C2022" s="471" t="s">
        <v>4250</v>
      </c>
      <c r="D2022" s="679" t="s">
        <v>4133</v>
      </c>
      <c r="E2022" s="679" t="n">
        <v>0.03</v>
      </c>
      <c r="F2022" s="729" t="n">
        <v>27000</v>
      </c>
      <c r="G2022" s="727" t="n">
        <f aca="false">E2022*F2022</f>
        <v>810</v>
      </c>
      <c r="H2022" s="392"/>
    </row>
    <row r="2023" s="451" customFormat="true" ht="15" hidden="false" customHeight="false" outlineLevel="0" collapsed="false">
      <c r="A2023" s="380"/>
      <c r="B2023" s="708"/>
      <c r="C2023" s="747" t="s">
        <v>4629</v>
      </c>
      <c r="D2023" s="679" t="s">
        <v>4133</v>
      </c>
      <c r="E2023" s="679" t="n">
        <v>0.05</v>
      </c>
      <c r="F2023" s="729" t="n">
        <v>3000</v>
      </c>
      <c r="G2023" s="727" t="n">
        <f aca="false">E2023*F2023</f>
        <v>150</v>
      </c>
      <c r="H2023" s="392"/>
    </row>
    <row r="2024" s="451" customFormat="true" ht="30" hidden="false" customHeight="false" outlineLevel="0" collapsed="false">
      <c r="A2024" s="380"/>
      <c r="B2024" s="708"/>
      <c r="C2024" s="747" t="s">
        <v>4630</v>
      </c>
      <c r="D2024" s="679" t="s">
        <v>4133</v>
      </c>
      <c r="E2024" s="679" t="n">
        <v>0.008</v>
      </c>
      <c r="F2024" s="369" t="n">
        <v>2200</v>
      </c>
      <c r="G2024" s="727" t="n">
        <f aca="false">E2024*F2024</f>
        <v>17.6</v>
      </c>
      <c r="H2024" s="392"/>
    </row>
    <row r="2025" s="451" customFormat="true" ht="15" hidden="false" customHeight="false" outlineLevel="0" collapsed="false">
      <c r="A2025" s="380"/>
      <c r="B2025" s="708"/>
      <c r="C2025" s="747" t="s">
        <v>4631</v>
      </c>
      <c r="D2025" s="679" t="s">
        <v>4133</v>
      </c>
      <c r="E2025" s="679" t="n">
        <v>0.008</v>
      </c>
      <c r="F2025" s="729" t="n">
        <v>1400</v>
      </c>
      <c r="G2025" s="727" t="n">
        <f aca="false">E2025*F2025</f>
        <v>11.2</v>
      </c>
      <c r="H2025" s="392"/>
    </row>
    <row r="2026" s="451" customFormat="true" ht="15" hidden="false" customHeight="false" outlineLevel="0" collapsed="false">
      <c r="A2026" s="380"/>
      <c r="B2026" s="708"/>
      <c r="C2026" s="532" t="s">
        <v>4377</v>
      </c>
      <c r="D2026" s="679" t="s">
        <v>4133</v>
      </c>
      <c r="E2026" s="749" t="n">
        <v>0.01</v>
      </c>
      <c r="F2026" s="369" t="n">
        <v>3500</v>
      </c>
      <c r="G2026" s="727" t="n">
        <f aca="false">E2026*F2026</f>
        <v>35</v>
      </c>
      <c r="H2026" s="392"/>
    </row>
    <row r="2027" s="451" customFormat="true" ht="15" hidden="false" customHeight="false" outlineLevel="0" collapsed="false">
      <c r="A2027" s="380"/>
      <c r="B2027" s="708"/>
      <c r="C2027" s="747" t="s">
        <v>4132</v>
      </c>
      <c r="D2027" s="679" t="s">
        <v>4133</v>
      </c>
      <c r="E2027" s="679" t="n">
        <v>0.05</v>
      </c>
      <c r="F2027" s="369" t="n">
        <v>3600</v>
      </c>
      <c r="G2027" s="727" t="n">
        <f aca="false">E2027*F2027</f>
        <v>180</v>
      </c>
      <c r="H2027" s="392"/>
    </row>
    <row r="2028" s="451" customFormat="true" ht="15" hidden="false" customHeight="false" outlineLevel="0" collapsed="false">
      <c r="A2028" s="380"/>
      <c r="B2028" s="708"/>
      <c r="C2028" s="747" t="s">
        <v>4619</v>
      </c>
      <c r="D2028" s="679" t="s">
        <v>4133</v>
      </c>
      <c r="E2028" s="679" t="n">
        <v>0.01</v>
      </c>
      <c r="F2028" s="729" t="n">
        <v>920</v>
      </c>
      <c r="G2028" s="727" t="n">
        <f aca="false">E2028*F2028</f>
        <v>9.2</v>
      </c>
      <c r="H2028" s="392"/>
    </row>
    <row r="2029" s="451" customFormat="true" ht="15" hidden="false" customHeight="false" outlineLevel="0" collapsed="false">
      <c r="A2029" s="380"/>
      <c r="B2029" s="708"/>
      <c r="C2029" s="532" t="s">
        <v>4632</v>
      </c>
      <c r="D2029" s="679" t="s">
        <v>4559</v>
      </c>
      <c r="E2029" s="733" t="n">
        <v>0.02</v>
      </c>
      <c r="F2029" s="724" t="n">
        <v>275000</v>
      </c>
      <c r="G2029" s="727" t="n">
        <f aca="false">E2029*F2029</f>
        <v>5500</v>
      </c>
      <c r="H2029" s="392"/>
    </row>
    <row r="2030" s="451" customFormat="true" ht="15" hidden="false" customHeight="false" outlineLevel="0" collapsed="false">
      <c r="A2030" s="380"/>
      <c r="B2030" s="708"/>
      <c r="C2030" s="709" t="s">
        <v>4515</v>
      </c>
      <c r="D2030" s="679" t="s">
        <v>4133</v>
      </c>
      <c r="E2030" s="710" t="n">
        <v>0.006</v>
      </c>
      <c r="F2030" s="369" t="n">
        <v>2700</v>
      </c>
      <c r="G2030" s="727" t="n">
        <f aca="false">E2030*F2030</f>
        <v>16.2</v>
      </c>
      <c r="H2030" s="392"/>
    </row>
    <row r="2031" s="451" customFormat="true" ht="15" hidden="false" customHeight="false" outlineLevel="0" collapsed="false">
      <c r="A2031" s="380"/>
      <c r="B2031" s="708"/>
      <c r="C2031" s="709" t="s">
        <v>4124</v>
      </c>
      <c r="D2031" s="679" t="s">
        <v>4516</v>
      </c>
      <c r="E2031" s="710" t="n">
        <v>1.4933</v>
      </c>
      <c r="F2031" s="369" t="n">
        <v>120</v>
      </c>
      <c r="G2031" s="727" t="n">
        <f aca="false">E2031*F2031</f>
        <v>179.196</v>
      </c>
      <c r="H2031" s="392"/>
    </row>
    <row r="2032" s="451" customFormat="true" ht="15" hidden="false" customHeight="false" outlineLevel="0" collapsed="false">
      <c r="A2032" s="380"/>
      <c r="B2032" s="708" t="s">
        <v>4128</v>
      </c>
      <c r="C2032" s="718"/>
      <c r="D2032" s="719"/>
      <c r="E2032" s="722"/>
      <c r="F2032" s="366"/>
      <c r="G2032" s="711" t="n">
        <f aca="false">SUM(G2016:G2031)</f>
        <v>16225.996</v>
      </c>
      <c r="H2032" s="392"/>
    </row>
    <row r="2033" s="451" customFormat="true" ht="15" hidden="false" customHeight="false" outlineLevel="0" collapsed="false">
      <c r="A2033" s="707" t="s">
        <v>389</v>
      </c>
      <c r="B2033" s="532" t="s">
        <v>3042</v>
      </c>
      <c r="C2033" s="747" t="s">
        <v>4633</v>
      </c>
      <c r="D2033" s="679" t="s">
        <v>4138</v>
      </c>
      <c r="E2033" s="726" t="n">
        <v>0.3</v>
      </c>
      <c r="F2033" s="721" t="n">
        <v>27000</v>
      </c>
      <c r="G2033" s="727" t="n">
        <f aca="false">E2033*F2033</f>
        <v>8100</v>
      </c>
      <c r="H2033" s="392"/>
    </row>
    <row r="2034" s="451" customFormat="true" ht="15" hidden="false" customHeight="false" outlineLevel="0" collapsed="false">
      <c r="A2034" s="380"/>
      <c r="B2034" s="708"/>
      <c r="C2034" s="747" t="s">
        <v>4626</v>
      </c>
      <c r="D2034" s="679" t="s">
        <v>4133</v>
      </c>
      <c r="E2034" s="745" t="n">
        <v>0.001</v>
      </c>
      <c r="F2034" s="729" t="n">
        <v>810000</v>
      </c>
      <c r="G2034" s="727" t="n">
        <f aca="false">E2034*F2034</f>
        <v>810</v>
      </c>
      <c r="H2034" s="392"/>
    </row>
    <row r="2035" s="451" customFormat="true" ht="15" hidden="false" customHeight="false" outlineLevel="0" collapsed="false">
      <c r="A2035" s="380"/>
      <c r="B2035" s="708"/>
      <c r="C2035" s="532" t="s">
        <v>4377</v>
      </c>
      <c r="D2035" s="679" t="s">
        <v>4133</v>
      </c>
      <c r="E2035" s="745" t="n">
        <v>0.01</v>
      </c>
      <c r="F2035" s="369" t="n">
        <v>3500</v>
      </c>
      <c r="G2035" s="727" t="n">
        <f aca="false">E2035*F2035</f>
        <v>35</v>
      </c>
      <c r="H2035" s="392"/>
    </row>
    <row r="2036" s="451" customFormat="true" ht="15" hidden="false" customHeight="false" outlineLevel="0" collapsed="false">
      <c r="A2036" s="380"/>
      <c r="B2036" s="708"/>
      <c r="C2036" s="747" t="s">
        <v>4627</v>
      </c>
      <c r="D2036" s="679" t="s">
        <v>4133</v>
      </c>
      <c r="E2036" s="679" t="n">
        <v>0.2</v>
      </c>
      <c r="F2036" s="748" t="n">
        <v>1200</v>
      </c>
      <c r="G2036" s="727" t="n">
        <f aca="false">E2036*F2036</f>
        <v>240</v>
      </c>
      <c r="H2036" s="392"/>
    </row>
    <row r="2037" s="451" customFormat="true" ht="15" hidden="false" customHeight="false" outlineLevel="0" collapsed="false">
      <c r="A2037" s="380"/>
      <c r="B2037" s="708"/>
      <c r="C2037" s="747" t="s">
        <v>4628</v>
      </c>
      <c r="D2037" s="679" t="s">
        <v>4133</v>
      </c>
      <c r="E2037" s="679" t="n">
        <v>0.06</v>
      </c>
      <c r="F2037" s="721" t="n">
        <v>710</v>
      </c>
      <c r="G2037" s="727" t="n">
        <f aca="false">E2037*F2037</f>
        <v>42.6</v>
      </c>
      <c r="H2037" s="392"/>
    </row>
    <row r="2038" s="451" customFormat="true" ht="15" hidden="false" customHeight="false" outlineLevel="0" collapsed="false">
      <c r="A2038" s="380"/>
      <c r="B2038" s="708"/>
      <c r="C2038" s="532" t="s">
        <v>4609</v>
      </c>
      <c r="D2038" s="679" t="s">
        <v>4133</v>
      </c>
      <c r="E2038" s="679" t="n">
        <v>0.06</v>
      </c>
      <c r="F2038" s="721" t="n">
        <v>1500</v>
      </c>
      <c r="G2038" s="727" t="n">
        <f aca="false">E2038*F2038</f>
        <v>90</v>
      </c>
      <c r="H2038" s="392"/>
    </row>
    <row r="2039" s="451" customFormat="true" ht="15" hidden="false" customHeight="false" outlineLevel="0" collapsed="false">
      <c r="A2039" s="380"/>
      <c r="B2039" s="708"/>
      <c r="C2039" s="471" t="s">
        <v>4250</v>
      </c>
      <c r="D2039" s="679" t="s">
        <v>4133</v>
      </c>
      <c r="E2039" s="679" t="n">
        <v>0.03</v>
      </c>
      <c r="F2039" s="729" t="n">
        <v>27000</v>
      </c>
      <c r="G2039" s="727" t="n">
        <f aca="false">E2039*F2039</f>
        <v>810</v>
      </c>
      <c r="H2039" s="392"/>
    </row>
    <row r="2040" s="451" customFormat="true" ht="15" hidden="false" customHeight="false" outlineLevel="0" collapsed="false">
      <c r="A2040" s="380"/>
      <c r="B2040" s="708"/>
      <c r="C2040" s="747" t="s">
        <v>4629</v>
      </c>
      <c r="D2040" s="679" t="s">
        <v>4133</v>
      </c>
      <c r="E2040" s="679" t="n">
        <v>0.05</v>
      </c>
      <c r="F2040" s="729" t="n">
        <v>3000</v>
      </c>
      <c r="G2040" s="727" t="n">
        <f aca="false">E2040*F2040</f>
        <v>150</v>
      </c>
      <c r="H2040" s="392"/>
    </row>
    <row r="2041" s="451" customFormat="true" ht="30" hidden="false" customHeight="false" outlineLevel="0" collapsed="false">
      <c r="A2041" s="380"/>
      <c r="B2041" s="708"/>
      <c r="C2041" s="747" t="s">
        <v>4630</v>
      </c>
      <c r="D2041" s="679" t="s">
        <v>4133</v>
      </c>
      <c r="E2041" s="679" t="n">
        <v>0.008</v>
      </c>
      <c r="F2041" s="369" t="n">
        <v>2200</v>
      </c>
      <c r="G2041" s="727" t="n">
        <f aca="false">E2041*F2041</f>
        <v>17.6</v>
      </c>
      <c r="H2041" s="392"/>
    </row>
    <row r="2042" s="451" customFormat="true" ht="15" hidden="false" customHeight="false" outlineLevel="0" collapsed="false">
      <c r="A2042" s="380"/>
      <c r="B2042" s="708"/>
      <c r="C2042" s="747" t="s">
        <v>4631</v>
      </c>
      <c r="D2042" s="679" t="s">
        <v>4133</v>
      </c>
      <c r="E2042" s="679" t="n">
        <v>0.008</v>
      </c>
      <c r="F2042" s="729" t="n">
        <v>1400</v>
      </c>
      <c r="G2042" s="727" t="n">
        <f aca="false">E2042*F2042</f>
        <v>11.2</v>
      </c>
      <c r="H2042" s="392"/>
    </row>
    <row r="2043" s="451" customFormat="true" ht="15" hidden="false" customHeight="false" outlineLevel="0" collapsed="false">
      <c r="A2043" s="380"/>
      <c r="B2043" s="708"/>
      <c r="C2043" s="532" t="s">
        <v>4377</v>
      </c>
      <c r="D2043" s="679" t="s">
        <v>4133</v>
      </c>
      <c r="E2043" s="749" t="n">
        <v>0.01</v>
      </c>
      <c r="F2043" s="369" t="n">
        <v>3500</v>
      </c>
      <c r="G2043" s="727" t="n">
        <f aca="false">E2043*F2043</f>
        <v>35</v>
      </c>
      <c r="H2043" s="392"/>
    </row>
    <row r="2044" s="451" customFormat="true" ht="15" hidden="false" customHeight="false" outlineLevel="0" collapsed="false">
      <c r="A2044" s="380"/>
      <c r="B2044" s="708"/>
      <c r="C2044" s="747" t="s">
        <v>4132</v>
      </c>
      <c r="D2044" s="679" t="s">
        <v>4133</v>
      </c>
      <c r="E2044" s="679" t="n">
        <v>0.05</v>
      </c>
      <c r="F2044" s="369" t="n">
        <v>1900</v>
      </c>
      <c r="G2044" s="727" t="n">
        <f aca="false">E2044*F2044</f>
        <v>95</v>
      </c>
      <c r="H2044" s="392"/>
    </row>
    <row r="2045" s="451" customFormat="true" ht="15" hidden="false" customHeight="false" outlineLevel="0" collapsed="false">
      <c r="A2045" s="380"/>
      <c r="B2045" s="708"/>
      <c r="C2045" s="747" t="s">
        <v>4619</v>
      </c>
      <c r="D2045" s="679" t="s">
        <v>4133</v>
      </c>
      <c r="E2045" s="679" t="n">
        <v>0.01</v>
      </c>
      <c r="F2045" s="729" t="n">
        <v>920</v>
      </c>
      <c r="G2045" s="727" t="n">
        <f aca="false">E2045*F2045</f>
        <v>9.2</v>
      </c>
      <c r="H2045" s="392"/>
    </row>
    <row r="2046" s="451" customFormat="true" ht="15" hidden="false" customHeight="false" outlineLevel="0" collapsed="false">
      <c r="A2046" s="380"/>
      <c r="B2046" s="708"/>
      <c r="C2046" s="532" t="s">
        <v>4632</v>
      </c>
      <c r="D2046" s="679" t="s">
        <v>4559</v>
      </c>
      <c r="E2046" s="733" t="n">
        <v>0.02</v>
      </c>
      <c r="F2046" s="724" t="n">
        <v>275000</v>
      </c>
      <c r="G2046" s="727" t="n">
        <f aca="false">E2046*F2046</f>
        <v>5500</v>
      </c>
      <c r="H2046" s="392"/>
    </row>
    <row r="2047" s="451" customFormat="true" ht="15" hidden="false" customHeight="false" outlineLevel="0" collapsed="false">
      <c r="A2047" s="380"/>
      <c r="B2047" s="708"/>
      <c r="C2047" s="709" t="s">
        <v>4515</v>
      </c>
      <c r="D2047" s="679" t="s">
        <v>4133</v>
      </c>
      <c r="E2047" s="710" t="n">
        <v>0.06</v>
      </c>
      <c r="F2047" s="369" t="n">
        <v>2700</v>
      </c>
      <c r="G2047" s="727" t="n">
        <f aca="false">E2047*F2047</f>
        <v>162</v>
      </c>
      <c r="H2047" s="392"/>
    </row>
    <row r="2048" s="451" customFormat="true" ht="15" hidden="false" customHeight="false" outlineLevel="0" collapsed="false">
      <c r="A2048" s="380"/>
      <c r="B2048" s="708"/>
      <c r="C2048" s="709" t="s">
        <v>4124</v>
      </c>
      <c r="D2048" s="679" t="s">
        <v>4516</v>
      </c>
      <c r="E2048" s="710" t="n">
        <v>1.4933</v>
      </c>
      <c r="F2048" s="369" t="n">
        <v>120</v>
      </c>
      <c r="G2048" s="727" t="n">
        <f aca="false">E2048*F2048</f>
        <v>179.196</v>
      </c>
      <c r="H2048" s="392"/>
    </row>
    <row r="2049" s="451" customFormat="true" ht="15" hidden="false" customHeight="false" outlineLevel="0" collapsed="false">
      <c r="A2049" s="380"/>
      <c r="B2049" s="708" t="s">
        <v>4128</v>
      </c>
      <c r="C2049" s="718"/>
      <c r="D2049" s="719"/>
      <c r="E2049" s="722"/>
      <c r="F2049" s="366"/>
      <c r="G2049" s="711" t="n">
        <f aca="false">SUM(G2033:G2048)</f>
        <v>16286.796</v>
      </c>
      <c r="H2049" s="392"/>
    </row>
    <row r="2050" s="451" customFormat="true" ht="15" hidden="false" customHeight="false" outlineLevel="0" collapsed="false">
      <c r="A2050" s="707" t="s">
        <v>391</v>
      </c>
      <c r="B2050" s="708" t="s">
        <v>4634</v>
      </c>
      <c r="C2050" s="743" t="s">
        <v>4611</v>
      </c>
      <c r="D2050" s="679" t="s">
        <v>4392</v>
      </c>
      <c r="E2050" s="750" t="n">
        <v>0.05</v>
      </c>
      <c r="F2050" s="369" t="n">
        <v>720</v>
      </c>
      <c r="G2050" s="727" t="n">
        <f aca="false">E2050*F2050</f>
        <v>36</v>
      </c>
      <c r="H2050" s="392"/>
    </row>
    <row r="2051" s="451" customFormat="true" ht="15" hidden="false" customHeight="false" outlineLevel="0" collapsed="false">
      <c r="A2051" s="380"/>
      <c r="B2051" s="708" t="s">
        <v>4635</v>
      </c>
      <c r="C2051" s="325" t="s">
        <v>4556</v>
      </c>
      <c r="D2051" s="679" t="s">
        <v>4133</v>
      </c>
      <c r="E2051" s="679" t="n">
        <v>0.024</v>
      </c>
      <c r="F2051" s="723" t="n">
        <v>3612</v>
      </c>
      <c r="G2051" s="727" t="n">
        <f aca="false">E2051*F2051</f>
        <v>86.688</v>
      </c>
      <c r="H2051" s="392"/>
    </row>
    <row r="2052" s="451" customFormat="true" ht="30" hidden="false" customHeight="false" outlineLevel="0" collapsed="false">
      <c r="A2052" s="380"/>
      <c r="B2052" s="708"/>
      <c r="C2052" s="747" t="s">
        <v>4636</v>
      </c>
      <c r="D2052" s="679" t="s">
        <v>4133</v>
      </c>
      <c r="E2052" s="679" t="n">
        <v>0.02</v>
      </c>
      <c r="F2052" s="369" t="n">
        <v>3500</v>
      </c>
      <c r="G2052" s="727" t="n">
        <f aca="false">E2052*F2052</f>
        <v>70</v>
      </c>
      <c r="H2052" s="392"/>
    </row>
    <row r="2053" s="451" customFormat="true" ht="15" hidden="false" customHeight="false" outlineLevel="0" collapsed="false">
      <c r="A2053" s="380"/>
      <c r="B2053" s="708"/>
      <c r="C2053" s="747" t="s">
        <v>4637</v>
      </c>
      <c r="D2053" s="679" t="s">
        <v>4133</v>
      </c>
      <c r="E2053" s="679" t="n">
        <v>0.01</v>
      </c>
      <c r="F2053" s="724" t="n">
        <v>6600</v>
      </c>
      <c r="G2053" s="727" t="n">
        <f aca="false">E2053*F2053</f>
        <v>66</v>
      </c>
      <c r="H2053" s="392"/>
    </row>
    <row r="2054" s="451" customFormat="true" ht="15" hidden="false" customHeight="false" outlineLevel="0" collapsed="false">
      <c r="A2054" s="380"/>
      <c r="B2054" s="708"/>
      <c r="C2054" s="532" t="s">
        <v>4564</v>
      </c>
      <c r="D2054" s="679" t="s">
        <v>4133</v>
      </c>
      <c r="E2054" s="679" t="n">
        <v>0.04354</v>
      </c>
      <c r="F2054" s="721" t="n">
        <v>3500</v>
      </c>
      <c r="G2054" s="727" t="n">
        <f aca="false">E2054*F2054</f>
        <v>152.39</v>
      </c>
      <c r="H2054" s="392"/>
    </row>
    <row r="2055" s="451" customFormat="true" ht="15" hidden="false" customHeight="false" outlineLevel="0" collapsed="false">
      <c r="A2055" s="380"/>
      <c r="B2055" s="708"/>
      <c r="C2055" s="747" t="s">
        <v>4638</v>
      </c>
      <c r="D2055" s="679" t="s">
        <v>4133</v>
      </c>
      <c r="E2055" s="679" t="n">
        <v>0.001</v>
      </c>
      <c r="F2055" s="369" t="n">
        <v>55000</v>
      </c>
      <c r="G2055" s="727" t="n">
        <f aca="false">E2055*F2055</f>
        <v>55</v>
      </c>
      <c r="H2055" s="392"/>
    </row>
    <row r="2056" s="451" customFormat="true" ht="15" hidden="false" customHeight="false" outlineLevel="0" collapsed="false">
      <c r="A2056" s="380"/>
      <c r="B2056" s="708"/>
      <c r="C2056" s="747" t="s">
        <v>4639</v>
      </c>
      <c r="D2056" s="728" t="s">
        <v>4348</v>
      </c>
      <c r="E2056" s="679" t="n">
        <v>5</v>
      </c>
      <c r="F2056" s="729" t="n">
        <v>5.1</v>
      </c>
      <c r="G2056" s="727" t="n">
        <f aca="false">E2056*F2056</f>
        <v>25.5</v>
      </c>
      <c r="H2056" s="392"/>
    </row>
    <row r="2057" s="451" customFormat="true" ht="15" hidden="false" customHeight="false" outlineLevel="0" collapsed="false">
      <c r="A2057" s="380"/>
      <c r="B2057" s="708"/>
      <c r="C2057" s="747" t="s">
        <v>4640</v>
      </c>
      <c r="D2057" s="679" t="s">
        <v>4133</v>
      </c>
      <c r="E2057" s="679" t="n">
        <v>0.012013</v>
      </c>
      <c r="F2057" s="721" t="n">
        <v>710</v>
      </c>
      <c r="G2057" s="727" t="n">
        <f aca="false">E2057*F2057</f>
        <v>8.52923</v>
      </c>
      <c r="H2057" s="392"/>
    </row>
    <row r="2058" s="451" customFormat="true" ht="30" hidden="false" customHeight="false" outlineLevel="0" collapsed="false">
      <c r="A2058" s="380"/>
      <c r="B2058" s="708"/>
      <c r="C2058" s="747" t="s">
        <v>4641</v>
      </c>
      <c r="D2058" s="679" t="s">
        <v>4133</v>
      </c>
      <c r="E2058" s="679" t="n">
        <v>0.03</v>
      </c>
      <c r="F2058" s="369" t="n">
        <v>2800</v>
      </c>
      <c r="G2058" s="727" t="n">
        <f aca="false">E2058*F2058</f>
        <v>84</v>
      </c>
      <c r="H2058" s="392"/>
    </row>
    <row r="2059" s="451" customFormat="true" ht="15" hidden="false" customHeight="false" outlineLevel="0" collapsed="false">
      <c r="A2059" s="380"/>
      <c r="B2059" s="708"/>
      <c r="C2059" s="747" t="s">
        <v>4642</v>
      </c>
      <c r="D2059" s="679" t="s">
        <v>4133</v>
      </c>
      <c r="E2059" s="679" t="n">
        <v>0.0129</v>
      </c>
      <c r="F2059" s="721" t="n">
        <v>2500</v>
      </c>
      <c r="G2059" s="727" t="n">
        <f aca="false">E2059*F2059</f>
        <v>32.25</v>
      </c>
      <c r="H2059" s="392"/>
    </row>
    <row r="2060" s="451" customFormat="true" ht="15" hidden="false" customHeight="false" outlineLevel="0" collapsed="false">
      <c r="A2060" s="380"/>
      <c r="B2060" s="708"/>
      <c r="C2060" s="747" t="s">
        <v>4643</v>
      </c>
      <c r="D2060" s="679" t="s">
        <v>4133</v>
      </c>
      <c r="E2060" s="679" t="n">
        <v>0.016</v>
      </c>
      <c r="F2060" s="369" t="n">
        <v>5400</v>
      </c>
      <c r="G2060" s="727" t="n">
        <f aca="false">E2060*F2060</f>
        <v>86.4</v>
      </c>
      <c r="H2060" s="392"/>
    </row>
    <row r="2061" s="451" customFormat="true" ht="15" hidden="false" customHeight="false" outlineLevel="0" collapsed="false">
      <c r="A2061" s="380"/>
      <c r="B2061" s="708"/>
      <c r="C2061" s="532" t="s">
        <v>4644</v>
      </c>
      <c r="D2061" s="679" t="s">
        <v>4133</v>
      </c>
      <c r="E2061" s="679" t="n">
        <v>0.008</v>
      </c>
      <c r="F2061" s="369" t="n">
        <v>3700</v>
      </c>
      <c r="G2061" s="727" t="n">
        <f aca="false">E2061*F2061</f>
        <v>29.6</v>
      </c>
      <c r="H2061" s="392"/>
    </row>
    <row r="2062" s="451" customFormat="true" ht="15" hidden="false" customHeight="false" outlineLevel="0" collapsed="false">
      <c r="A2062" s="380"/>
      <c r="B2062" s="708"/>
      <c r="C2062" s="709" t="s">
        <v>4645</v>
      </c>
      <c r="D2062" s="679" t="s">
        <v>4133</v>
      </c>
      <c r="E2062" s="710" t="n">
        <v>0.002</v>
      </c>
      <c r="F2062" s="369" t="n">
        <v>780</v>
      </c>
      <c r="G2062" s="727" t="n">
        <f aca="false">E2062*F2062</f>
        <v>1.56</v>
      </c>
      <c r="H2062" s="392"/>
    </row>
    <row r="2063" s="451" customFormat="true" ht="15" hidden="false" customHeight="false" outlineLevel="0" collapsed="false">
      <c r="A2063" s="380"/>
      <c r="B2063" s="708" t="s">
        <v>4128</v>
      </c>
      <c r="C2063" s="718"/>
      <c r="D2063" s="719"/>
      <c r="E2063" s="722"/>
      <c r="F2063" s="366"/>
      <c r="G2063" s="711" t="n">
        <f aca="false">SUM(G2050:G2062)</f>
        <v>733.91723</v>
      </c>
      <c r="H2063" s="392"/>
    </row>
    <row r="2064" customFormat="false" ht="28.5" hidden="false" customHeight="false" outlineLevel="0" collapsed="false">
      <c r="A2064" s="350" t="s">
        <v>4646</v>
      </c>
      <c r="B2064" s="467" t="s">
        <v>3044</v>
      </c>
      <c r="C2064" s="751"/>
      <c r="D2064" s="339"/>
      <c r="E2064" s="752"/>
      <c r="F2064" s="519"/>
      <c r="G2064" s="753"/>
      <c r="H2064" s="339"/>
    </row>
    <row r="2065" customFormat="false" ht="15" hidden="false" customHeight="false" outlineLevel="0" collapsed="false">
      <c r="A2065" s="707" t="s">
        <v>395</v>
      </c>
      <c r="B2065" s="487" t="s">
        <v>3010</v>
      </c>
      <c r="C2065" s="754"/>
      <c r="D2065" s="392"/>
      <c r="E2065" s="722"/>
      <c r="F2065" s="366"/>
      <c r="G2065" s="711"/>
      <c r="H2065" s="392"/>
    </row>
    <row r="2066" customFormat="false" ht="15" hidden="false" customHeight="false" outlineLevel="0" collapsed="false">
      <c r="A2066" s="707"/>
      <c r="B2066" s="708" t="s">
        <v>4128</v>
      </c>
      <c r="C2066" s="754"/>
      <c r="D2066" s="392"/>
      <c r="E2066" s="722"/>
      <c r="F2066" s="366"/>
      <c r="G2066" s="711"/>
      <c r="H2066" s="392"/>
    </row>
    <row r="2067" customFormat="false" ht="15" hidden="false" customHeight="false" outlineLevel="0" collapsed="false">
      <c r="A2067" s="707" t="s">
        <v>4647</v>
      </c>
      <c r="B2067" s="487" t="s">
        <v>3045</v>
      </c>
      <c r="C2067" s="709" t="s">
        <v>4648</v>
      </c>
      <c r="D2067" s="679" t="s">
        <v>4133</v>
      </c>
      <c r="E2067" s="710" t="n">
        <v>0.7199</v>
      </c>
      <c r="F2067" s="369" t="n">
        <v>142.6</v>
      </c>
      <c r="G2067" s="727" t="n">
        <f aca="false">E2067*F2067</f>
        <v>102.65774</v>
      </c>
      <c r="H2067" s="679"/>
    </row>
    <row r="2068" customFormat="false" ht="15" hidden="false" customHeight="false" outlineLevel="0" collapsed="false">
      <c r="A2068" s="707"/>
      <c r="B2068" s="522"/>
      <c r="C2068" s="709" t="s">
        <v>4649</v>
      </c>
      <c r="D2068" s="679" t="s">
        <v>4133</v>
      </c>
      <c r="E2068" s="715" t="n">
        <v>0.15</v>
      </c>
      <c r="F2068" s="369" t="n">
        <v>2400</v>
      </c>
      <c r="G2068" s="727" t="n">
        <f aca="false">E2068*F2068</f>
        <v>360</v>
      </c>
      <c r="H2068" s="679"/>
    </row>
    <row r="2069" customFormat="false" ht="15" hidden="false" customHeight="false" outlineLevel="0" collapsed="false">
      <c r="A2069" s="707"/>
      <c r="B2069" s="522"/>
      <c r="C2069" s="709" t="s">
        <v>4582</v>
      </c>
      <c r="D2069" s="679" t="s">
        <v>4133</v>
      </c>
      <c r="E2069" s="715" t="n">
        <v>0.03</v>
      </c>
      <c r="F2069" s="369" t="n">
        <v>2100</v>
      </c>
      <c r="G2069" s="727" t="n">
        <f aca="false">E2069*F2069</f>
        <v>63</v>
      </c>
      <c r="H2069" s="679"/>
    </row>
    <row r="2070" customFormat="false" ht="15" hidden="false" customHeight="false" outlineLevel="0" collapsed="false">
      <c r="A2070" s="707"/>
      <c r="B2070" s="522"/>
      <c r="C2070" s="709" t="s">
        <v>4515</v>
      </c>
      <c r="D2070" s="679" t="s">
        <v>4133</v>
      </c>
      <c r="E2070" s="715" t="n">
        <v>0.006</v>
      </c>
      <c r="F2070" s="369" t="n">
        <v>2700</v>
      </c>
      <c r="G2070" s="727" t="n">
        <f aca="false">E2070*F2070</f>
        <v>16.2</v>
      </c>
      <c r="H2070" s="679"/>
    </row>
    <row r="2071" customFormat="false" ht="15" hidden="false" customHeight="false" outlineLevel="0" collapsed="false">
      <c r="A2071" s="707"/>
      <c r="B2071" s="522"/>
      <c r="C2071" s="709" t="s">
        <v>4124</v>
      </c>
      <c r="D2071" s="679" t="s">
        <v>4516</v>
      </c>
      <c r="E2071" s="715" t="n">
        <v>1.5</v>
      </c>
      <c r="F2071" s="369" t="n">
        <v>120</v>
      </c>
      <c r="G2071" s="727" t="n">
        <f aca="false">E2071*F2071</f>
        <v>180</v>
      </c>
      <c r="H2071" s="679"/>
    </row>
    <row r="2072" customFormat="false" ht="15" hidden="false" customHeight="false" outlineLevel="0" collapsed="false">
      <c r="A2072" s="707"/>
      <c r="B2072" s="708" t="s">
        <v>4128</v>
      </c>
      <c r="C2072" s="718"/>
      <c r="D2072" s="719"/>
      <c r="E2072" s="720"/>
      <c r="F2072" s="366"/>
      <c r="G2072" s="711" t="n">
        <f aca="false">SUM(G2067:G2071)</f>
        <v>721.85774</v>
      </c>
      <c r="H2072" s="392"/>
    </row>
    <row r="2073" customFormat="false" ht="15" hidden="false" customHeight="false" outlineLevel="0" collapsed="false">
      <c r="A2073" s="707" t="s">
        <v>4650</v>
      </c>
      <c r="B2073" s="487" t="s">
        <v>3046</v>
      </c>
      <c r="C2073" s="709" t="s">
        <v>4541</v>
      </c>
      <c r="D2073" s="679" t="s">
        <v>4133</v>
      </c>
      <c r="E2073" s="715" t="n">
        <v>0.01</v>
      </c>
      <c r="F2073" s="369" t="n">
        <v>1200</v>
      </c>
      <c r="G2073" s="727" t="n">
        <f aca="false">E2073*F2073</f>
        <v>12</v>
      </c>
      <c r="H2073" s="679"/>
    </row>
    <row r="2074" customFormat="false" ht="15" hidden="false" customHeight="false" outlineLevel="0" collapsed="false">
      <c r="A2074" s="707"/>
      <c r="B2074" s="522"/>
      <c r="C2074" s="709" t="s">
        <v>4122</v>
      </c>
      <c r="D2074" s="679" t="s">
        <v>4392</v>
      </c>
      <c r="E2074" s="715" t="n">
        <v>0.1</v>
      </c>
      <c r="F2074" s="369" t="n">
        <v>720</v>
      </c>
      <c r="G2074" s="727" t="n">
        <f aca="false">E2074*F2074</f>
        <v>72</v>
      </c>
      <c r="H2074" s="679"/>
    </row>
    <row r="2075" customFormat="false" ht="15" hidden="false" customHeight="false" outlineLevel="0" collapsed="false">
      <c r="A2075" s="707"/>
      <c r="B2075" s="522"/>
      <c r="C2075" s="614" t="s">
        <v>4638</v>
      </c>
      <c r="D2075" s="679" t="s">
        <v>4133</v>
      </c>
      <c r="E2075" s="715" t="n">
        <v>0.02</v>
      </c>
      <c r="F2075" s="369" t="n">
        <v>55000</v>
      </c>
      <c r="G2075" s="727" t="n">
        <f aca="false">E2075*F2075</f>
        <v>1100</v>
      </c>
      <c r="H2075" s="679"/>
    </row>
    <row r="2076" customFormat="false" ht="15" hidden="false" customHeight="false" outlineLevel="0" collapsed="false">
      <c r="A2076" s="707"/>
      <c r="B2076" s="522"/>
      <c r="C2076" s="709" t="s">
        <v>4515</v>
      </c>
      <c r="D2076" s="679" t="s">
        <v>4133</v>
      </c>
      <c r="E2076" s="715" t="n">
        <v>0.01</v>
      </c>
      <c r="F2076" s="369" t="n">
        <v>2700</v>
      </c>
      <c r="G2076" s="727" t="n">
        <f aca="false">E2076*F2076</f>
        <v>27</v>
      </c>
      <c r="H2076" s="679"/>
    </row>
    <row r="2077" customFormat="false" ht="15" hidden="false" customHeight="false" outlineLevel="0" collapsed="false">
      <c r="A2077" s="707"/>
      <c r="B2077" s="522"/>
      <c r="C2077" s="709" t="s">
        <v>4124</v>
      </c>
      <c r="D2077" s="679" t="s">
        <v>4516</v>
      </c>
      <c r="E2077" s="715" t="n">
        <v>0.1</v>
      </c>
      <c r="F2077" s="369" t="n">
        <v>120</v>
      </c>
      <c r="G2077" s="727" t="n">
        <f aca="false">E2077*F2077</f>
        <v>12</v>
      </c>
      <c r="H2077" s="679"/>
    </row>
    <row r="2078" customFormat="false" ht="15" hidden="false" customHeight="false" outlineLevel="0" collapsed="false">
      <c r="A2078" s="707"/>
      <c r="B2078" s="708" t="s">
        <v>4128</v>
      </c>
      <c r="C2078" s="718"/>
      <c r="D2078" s="719"/>
      <c r="E2078" s="720"/>
      <c r="F2078" s="366"/>
      <c r="G2078" s="711" t="n">
        <f aca="false">SUM(G2073:G2077)</f>
        <v>1223</v>
      </c>
      <c r="H2078" s="392"/>
    </row>
    <row r="2079" customFormat="false" ht="15" hidden="false" customHeight="false" outlineLevel="0" collapsed="false">
      <c r="A2079" s="707" t="s">
        <v>4651</v>
      </c>
      <c r="B2079" s="487" t="s">
        <v>3047</v>
      </c>
      <c r="C2079" s="709" t="s">
        <v>4515</v>
      </c>
      <c r="D2079" s="679" t="s">
        <v>4133</v>
      </c>
      <c r="E2079" s="710" t="n">
        <v>0.006</v>
      </c>
      <c r="F2079" s="369" t="n">
        <v>2700</v>
      </c>
      <c r="G2079" s="727" t="n">
        <f aca="false">E2079*F2079</f>
        <v>16.2</v>
      </c>
      <c r="H2079" s="679"/>
    </row>
    <row r="2080" customFormat="false" ht="15" hidden="false" customHeight="false" outlineLevel="0" collapsed="false">
      <c r="A2080" s="707"/>
      <c r="B2080" s="522"/>
      <c r="C2080" s="709" t="s">
        <v>4124</v>
      </c>
      <c r="D2080" s="679" t="s">
        <v>4125</v>
      </c>
      <c r="E2080" s="710" t="n">
        <v>1.5</v>
      </c>
      <c r="F2080" s="369" t="n">
        <v>120</v>
      </c>
      <c r="G2080" s="727" t="n">
        <f aca="false">E2080*F2080</f>
        <v>180</v>
      </c>
      <c r="H2080" s="679"/>
    </row>
    <row r="2081" customFormat="false" ht="15" hidden="false" customHeight="false" outlineLevel="0" collapsed="false">
      <c r="A2081" s="707"/>
      <c r="B2081" s="708"/>
      <c r="C2081" s="718"/>
      <c r="D2081" s="719"/>
      <c r="E2081" s="722"/>
      <c r="F2081" s="366"/>
      <c r="G2081" s="711" t="n">
        <f aca="false">SUM(G2079:G2080)</f>
        <v>196.2</v>
      </c>
      <c r="H2081" s="392"/>
    </row>
    <row r="2082" customFormat="false" ht="15" hidden="false" customHeight="false" outlineLevel="0" collapsed="false">
      <c r="A2082" s="707" t="s">
        <v>402</v>
      </c>
      <c r="B2082" s="487" t="s">
        <v>3048</v>
      </c>
      <c r="C2082" s="709" t="s">
        <v>4515</v>
      </c>
      <c r="D2082" s="679" t="s">
        <v>4133</v>
      </c>
      <c r="E2082" s="710" t="n">
        <v>0.006</v>
      </c>
      <c r="F2082" s="369" t="n">
        <v>2700</v>
      </c>
      <c r="G2082" s="727" t="n">
        <f aca="false">E2082*F2082</f>
        <v>16.2</v>
      </c>
      <c r="H2082" s="679"/>
    </row>
    <row r="2083" customFormat="false" ht="15" hidden="false" customHeight="false" outlineLevel="0" collapsed="false">
      <c r="A2083" s="707"/>
      <c r="B2083" s="522"/>
      <c r="C2083" s="709" t="s">
        <v>4124</v>
      </c>
      <c r="D2083" s="679" t="s">
        <v>4125</v>
      </c>
      <c r="E2083" s="710" t="n">
        <v>1.5</v>
      </c>
      <c r="F2083" s="369" t="n">
        <v>120</v>
      </c>
      <c r="G2083" s="727" t="n">
        <f aca="false">E2083*F2083</f>
        <v>180</v>
      </c>
      <c r="H2083" s="679"/>
    </row>
    <row r="2084" customFormat="false" ht="15" hidden="false" customHeight="false" outlineLevel="0" collapsed="false">
      <c r="A2084" s="707"/>
      <c r="B2084" s="708" t="s">
        <v>4128</v>
      </c>
      <c r="C2084" s="718"/>
      <c r="D2084" s="719"/>
      <c r="E2084" s="722"/>
      <c r="F2084" s="366"/>
      <c r="G2084" s="711" t="n">
        <f aca="false">SUM(G2082:G2083)</f>
        <v>196.2</v>
      </c>
      <c r="H2084" s="392"/>
    </row>
    <row r="2085" customFormat="false" ht="15" hidden="false" customHeight="false" outlineLevel="0" collapsed="false">
      <c r="A2085" s="707" t="s">
        <v>404</v>
      </c>
      <c r="B2085" s="487" t="s">
        <v>3049</v>
      </c>
      <c r="C2085" s="709" t="s">
        <v>4582</v>
      </c>
      <c r="D2085" s="679" t="s">
        <v>4133</v>
      </c>
      <c r="E2085" s="710" t="n">
        <v>0.0173</v>
      </c>
      <c r="F2085" s="369" t="n">
        <v>2321</v>
      </c>
      <c r="G2085" s="727" t="n">
        <f aca="false">E2085*F2085</f>
        <v>40.1533</v>
      </c>
      <c r="H2085" s="679"/>
    </row>
    <row r="2086" customFormat="false" ht="15" hidden="false" customHeight="false" outlineLevel="0" collapsed="false">
      <c r="A2086" s="707"/>
      <c r="B2086" s="522"/>
      <c r="C2086" s="709" t="s">
        <v>4652</v>
      </c>
      <c r="D2086" s="679" t="s">
        <v>4133</v>
      </c>
      <c r="E2086" s="710" t="n">
        <v>0.091</v>
      </c>
      <c r="F2086" s="369" t="n">
        <v>3400</v>
      </c>
      <c r="G2086" s="727" t="n">
        <f aca="false">E2086*F2086</f>
        <v>309.4</v>
      </c>
      <c r="H2086" s="679"/>
    </row>
    <row r="2087" customFormat="false" ht="15" hidden="false" customHeight="false" outlineLevel="0" collapsed="false">
      <c r="A2087" s="707"/>
      <c r="B2087" s="522"/>
      <c r="C2087" s="709" t="s">
        <v>4529</v>
      </c>
      <c r="D2087" s="679" t="s">
        <v>4133</v>
      </c>
      <c r="E2087" s="710" t="n">
        <v>0.03</v>
      </c>
      <c r="F2087" s="369" t="n">
        <v>8100</v>
      </c>
      <c r="G2087" s="727" t="n">
        <f aca="false">E2087*F2087</f>
        <v>243</v>
      </c>
      <c r="H2087" s="679"/>
    </row>
    <row r="2088" customFormat="false" ht="15" hidden="false" customHeight="false" outlineLevel="0" collapsed="false">
      <c r="A2088" s="707"/>
      <c r="B2088" s="522"/>
      <c r="C2088" s="709" t="s">
        <v>4147</v>
      </c>
      <c r="D2088" s="679" t="s">
        <v>4392</v>
      </c>
      <c r="E2088" s="710" t="n">
        <v>0.1</v>
      </c>
      <c r="F2088" s="723" t="n">
        <v>3612</v>
      </c>
      <c r="G2088" s="727" t="n">
        <f aca="false">E2088*F2088</f>
        <v>361.2</v>
      </c>
      <c r="H2088" s="679"/>
    </row>
    <row r="2089" customFormat="false" ht="15" hidden="false" customHeight="false" outlineLevel="0" collapsed="false">
      <c r="A2089" s="707"/>
      <c r="B2089" s="522"/>
      <c r="C2089" s="709" t="s">
        <v>4653</v>
      </c>
      <c r="D2089" s="679" t="s">
        <v>4133</v>
      </c>
      <c r="E2089" s="710" t="n">
        <v>0.045</v>
      </c>
      <c r="F2089" s="369" t="n">
        <v>2700</v>
      </c>
      <c r="G2089" s="727" t="n">
        <f aca="false">E2089*F2089</f>
        <v>121.5</v>
      </c>
      <c r="H2089" s="679"/>
    </row>
    <row r="2090" customFormat="false" ht="15" hidden="false" customHeight="false" outlineLevel="0" collapsed="false">
      <c r="A2090" s="707"/>
      <c r="B2090" s="522"/>
      <c r="C2090" s="709" t="s">
        <v>4154</v>
      </c>
      <c r="D2090" s="679" t="s">
        <v>4392</v>
      </c>
      <c r="E2090" s="710" t="n">
        <v>0.2</v>
      </c>
      <c r="F2090" s="721" t="n">
        <v>3500</v>
      </c>
      <c r="G2090" s="727" t="n">
        <f aca="false">E2090*F2090</f>
        <v>700</v>
      </c>
      <c r="H2090" s="679"/>
    </row>
    <row r="2091" customFormat="false" ht="15" hidden="false" customHeight="false" outlineLevel="0" collapsed="false">
      <c r="A2091" s="707"/>
      <c r="B2091" s="522"/>
      <c r="C2091" s="709" t="s">
        <v>4654</v>
      </c>
      <c r="D2091" s="679" t="s">
        <v>4133</v>
      </c>
      <c r="E2091" s="725" t="n">
        <v>0.15</v>
      </c>
      <c r="F2091" s="369" t="n">
        <v>2232</v>
      </c>
      <c r="G2091" s="727" t="n">
        <f aca="false">E2091*F2091</f>
        <v>334.8</v>
      </c>
      <c r="H2091" s="679"/>
    </row>
    <row r="2092" customFormat="false" ht="15" hidden="false" customHeight="false" outlineLevel="0" collapsed="false">
      <c r="A2092" s="707"/>
      <c r="B2092" s="522"/>
      <c r="C2092" s="709" t="s">
        <v>4122</v>
      </c>
      <c r="D2092" s="679" t="s">
        <v>4392</v>
      </c>
      <c r="E2092" s="725" t="n">
        <v>0.3</v>
      </c>
      <c r="F2092" s="369" t="n">
        <v>720</v>
      </c>
      <c r="G2092" s="727" t="n">
        <f aca="false">E2092*F2092</f>
        <v>216</v>
      </c>
      <c r="H2092" s="679"/>
    </row>
    <row r="2093" customFormat="false" ht="15" hidden="false" customHeight="false" outlineLevel="0" collapsed="false">
      <c r="A2093" s="707"/>
      <c r="B2093" s="522"/>
      <c r="C2093" s="709" t="s">
        <v>4515</v>
      </c>
      <c r="D2093" s="679" t="s">
        <v>4133</v>
      </c>
      <c r="E2093" s="725" t="n">
        <v>0.006</v>
      </c>
      <c r="F2093" s="369" t="n">
        <v>2700</v>
      </c>
      <c r="G2093" s="727" t="n">
        <f aca="false">E2093*F2093</f>
        <v>16.2</v>
      </c>
      <c r="H2093" s="679"/>
    </row>
    <row r="2094" customFormat="false" ht="15" hidden="false" customHeight="false" outlineLevel="0" collapsed="false">
      <c r="A2094" s="707"/>
      <c r="B2094" s="522"/>
      <c r="C2094" s="709" t="s">
        <v>4124</v>
      </c>
      <c r="D2094" s="679" t="s">
        <v>4516</v>
      </c>
      <c r="E2094" s="725" t="n">
        <v>1.5</v>
      </c>
      <c r="F2094" s="369" t="n">
        <v>120</v>
      </c>
      <c r="G2094" s="727" t="n">
        <f aca="false">E2094*F2094</f>
        <v>180</v>
      </c>
      <c r="H2094" s="679"/>
    </row>
    <row r="2095" customFormat="false" ht="15" hidden="false" customHeight="false" outlineLevel="0" collapsed="false">
      <c r="A2095" s="707"/>
      <c r="B2095" s="708" t="s">
        <v>4128</v>
      </c>
      <c r="C2095" s="718"/>
      <c r="D2095" s="719"/>
      <c r="E2095" s="755"/>
      <c r="F2095" s="366"/>
      <c r="G2095" s="711" t="n">
        <f aca="false">SUM(G2085:G2094)</f>
        <v>2522.2533</v>
      </c>
      <c r="H2095" s="392"/>
    </row>
    <row r="2096" customFormat="false" ht="15" hidden="false" customHeight="false" outlineLevel="0" collapsed="false">
      <c r="A2096" s="707" t="s">
        <v>406</v>
      </c>
      <c r="B2096" s="487" t="s">
        <v>3050</v>
      </c>
      <c r="C2096" s="709" t="s">
        <v>4159</v>
      </c>
      <c r="D2096" s="679" t="s">
        <v>4133</v>
      </c>
      <c r="E2096" s="725" t="n">
        <v>0.01</v>
      </c>
      <c r="F2096" s="717" t="n">
        <v>557.76</v>
      </c>
      <c r="G2096" s="727" t="n">
        <f aca="false">E2096*F2096</f>
        <v>5.5776</v>
      </c>
      <c r="H2096" s="679"/>
    </row>
    <row r="2097" customFormat="false" ht="15" hidden="false" customHeight="false" outlineLevel="0" collapsed="false">
      <c r="A2097" s="707"/>
      <c r="B2097" s="522"/>
      <c r="C2097" s="709" t="s">
        <v>4265</v>
      </c>
      <c r="D2097" s="679" t="s">
        <v>4133</v>
      </c>
      <c r="E2097" s="725" t="n">
        <v>0.03</v>
      </c>
      <c r="F2097" s="369" t="n">
        <v>16650</v>
      </c>
      <c r="G2097" s="727" t="n">
        <f aca="false">E2097*F2097</f>
        <v>499.5</v>
      </c>
      <c r="H2097" s="679"/>
    </row>
    <row r="2098" customFormat="false" ht="15" hidden="false" customHeight="false" outlineLevel="0" collapsed="false">
      <c r="A2098" s="707"/>
      <c r="B2098" s="522"/>
      <c r="C2098" s="709" t="s">
        <v>4122</v>
      </c>
      <c r="D2098" s="679" t="s">
        <v>4392</v>
      </c>
      <c r="E2098" s="725" t="n">
        <v>0.07</v>
      </c>
      <c r="F2098" s="369" t="n">
        <v>720</v>
      </c>
      <c r="G2098" s="727" t="n">
        <f aca="false">E2098*F2098</f>
        <v>50.4</v>
      </c>
      <c r="H2098" s="679"/>
    </row>
    <row r="2099" customFormat="false" ht="15" hidden="false" customHeight="false" outlineLevel="0" collapsed="false">
      <c r="A2099" s="707"/>
      <c r="B2099" s="522"/>
      <c r="C2099" s="709" t="s">
        <v>4515</v>
      </c>
      <c r="D2099" s="679" t="s">
        <v>4133</v>
      </c>
      <c r="E2099" s="725" t="n">
        <v>0.006</v>
      </c>
      <c r="F2099" s="369" t="n">
        <v>2700</v>
      </c>
      <c r="G2099" s="727" t="n">
        <f aca="false">E2099*F2099</f>
        <v>16.2</v>
      </c>
      <c r="H2099" s="679"/>
    </row>
    <row r="2100" customFormat="false" ht="15" hidden="false" customHeight="false" outlineLevel="0" collapsed="false">
      <c r="A2100" s="707"/>
      <c r="B2100" s="522"/>
      <c r="C2100" s="709" t="s">
        <v>4124</v>
      </c>
      <c r="D2100" s="679" t="s">
        <v>4125</v>
      </c>
      <c r="E2100" s="725" t="n">
        <v>1.5</v>
      </c>
      <c r="F2100" s="369" t="n">
        <v>120</v>
      </c>
      <c r="G2100" s="727" t="n">
        <f aca="false">E2100*F2100</f>
        <v>180</v>
      </c>
      <c r="H2100" s="679"/>
    </row>
    <row r="2101" customFormat="false" ht="15" hidden="false" customHeight="false" outlineLevel="0" collapsed="false">
      <c r="A2101" s="707"/>
      <c r="B2101" s="708" t="s">
        <v>4128</v>
      </c>
      <c r="C2101" s="718"/>
      <c r="D2101" s="719"/>
      <c r="E2101" s="722"/>
      <c r="F2101" s="366"/>
      <c r="G2101" s="711" t="n">
        <f aca="false">SUM(G2096:G2100)</f>
        <v>751.6776</v>
      </c>
      <c r="H2101" s="392"/>
    </row>
    <row r="2102" customFormat="false" ht="15" hidden="false" customHeight="false" outlineLevel="0" collapsed="false">
      <c r="A2102" s="707" t="s">
        <v>408</v>
      </c>
      <c r="B2102" s="487" t="s">
        <v>3051</v>
      </c>
      <c r="C2102" s="709" t="s">
        <v>4655</v>
      </c>
      <c r="D2102" s="679" t="s">
        <v>4392</v>
      </c>
      <c r="E2102" s="710" t="n">
        <v>0.034</v>
      </c>
      <c r="F2102" s="369" t="n">
        <v>6500</v>
      </c>
      <c r="G2102" s="727" t="n">
        <f aca="false">E2102*F2102</f>
        <v>221</v>
      </c>
      <c r="H2102" s="679"/>
    </row>
    <row r="2103" customFormat="false" ht="15" hidden="false" customHeight="false" outlineLevel="0" collapsed="false">
      <c r="A2103" s="707"/>
      <c r="B2103" s="522"/>
      <c r="C2103" s="709" t="s">
        <v>4122</v>
      </c>
      <c r="D2103" s="679" t="s">
        <v>4392</v>
      </c>
      <c r="E2103" s="725" t="n">
        <v>0.17</v>
      </c>
      <c r="F2103" s="369" t="n">
        <v>720</v>
      </c>
      <c r="G2103" s="727" t="n">
        <f aca="false">E2103*F2103</f>
        <v>122.4</v>
      </c>
      <c r="H2103" s="679"/>
    </row>
    <row r="2104" customFormat="false" ht="15" hidden="false" customHeight="false" outlineLevel="0" collapsed="false">
      <c r="A2104" s="707"/>
      <c r="B2104" s="522"/>
      <c r="C2104" s="709" t="s">
        <v>4529</v>
      </c>
      <c r="D2104" s="679" t="s">
        <v>4133</v>
      </c>
      <c r="E2104" s="725" t="n">
        <v>0.12</v>
      </c>
      <c r="F2104" s="369" t="n">
        <v>1200</v>
      </c>
      <c r="G2104" s="727" t="n">
        <f aca="false">E2104*F2104</f>
        <v>144</v>
      </c>
      <c r="H2104" s="679"/>
    </row>
    <row r="2105" customFormat="false" ht="15" hidden="false" customHeight="false" outlineLevel="0" collapsed="false">
      <c r="A2105" s="707"/>
      <c r="B2105" s="522"/>
      <c r="C2105" s="709" t="s">
        <v>4264</v>
      </c>
      <c r="D2105" s="679" t="s">
        <v>4133</v>
      </c>
      <c r="E2105" s="725" t="n">
        <v>0.02</v>
      </c>
      <c r="F2105" s="369" t="n">
        <v>55000</v>
      </c>
      <c r="G2105" s="727" t="n">
        <f aca="false">E2105*F2105</f>
        <v>1100</v>
      </c>
      <c r="H2105" s="679"/>
    </row>
    <row r="2106" customFormat="false" ht="15" hidden="false" customHeight="false" outlineLevel="0" collapsed="false">
      <c r="A2106" s="707"/>
      <c r="B2106" s="522"/>
      <c r="C2106" s="709" t="s">
        <v>4515</v>
      </c>
      <c r="D2106" s="679" t="s">
        <v>4133</v>
      </c>
      <c r="E2106" s="725" t="n">
        <v>0.01</v>
      </c>
      <c r="F2106" s="369" t="n">
        <v>2700</v>
      </c>
      <c r="G2106" s="727" t="n">
        <f aca="false">E2106*F2106</f>
        <v>27</v>
      </c>
      <c r="H2106" s="679"/>
    </row>
    <row r="2107" customFormat="false" ht="15" hidden="false" customHeight="false" outlineLevel="0" collapsed="false">
      <c r="A2107" s="707"/>
      <c r="B2107" s="522"/>
      <c r="C2107" s="709" t="s">
        <v>4124</v>
      </c>
      <c r="D2107" s="679" t="s">
        <v>4516</v>
      </c>
      <c r="E2107" s="725" t="n">
        <v>0.5</v>
      </c>
      <c r="F2107" s="369" t="n">
        <v>120</v>
      </c>
      <c r="G2107" s="727" t="n">
        <f aca="false">E2107*F2107</f>
        <v>60</v>
      </c>
      <c r="H2107" s="679"/>
    </row>
    <row r="2108" customFormat="false" ht="15" hidden="false" customHeight="false" outlineLevel="0" collapsed="false">
      <c r="A2108" s="707"/>
      <c r="B2108" s="708" t="s">
        <v>4128</v>
      </c>
      <c r="C2108" s="718"/>
      <c r="D2108" s="719"/>
      <c r="E2108" s="722"/>
      <c r="F2108" s="366"/>
      <c r="G2108" s="711" t="n">
        <f aca="false">SUM(G2102:G2107)</f>
        <v>1674.4</v>
      </c>
      <c r="H2108" s="392"/>
    </row>
    <row r="2109" customFormat="false" ht="30" hidden="false" customHeight="false" outlineLevel="0" collapsed="false">
      <c r="A2109" s="707" t="s">
        <v>4656</v>
      </c>
      <c r="B2109" s="487" t="s">
        <v>3052</v>
      </c>
      <c r="C2109" s="709" t="s">
        <v>4521</v>
      </c>
      <c r="D2109" s="679" t="s">
        <v>4133</v>
      </c>
      <c r="E2109" s="710" t="n">
        <v>0.02</v>
      </c>
      <c r="F2109" s="369" t="n">
        <v>21200</v>
      </c>
      <c r="G2109" s="727" t="n">
        <f aca="false">E2109*F2109</f>
        <v>424</v>
      </c>
      <c r="H2109" s="679"/>
    </row>
    <row r="2110" customFormat="false" ht="15" hidden="false" customHeight="false" outlineLevel="0" collapsed="false">
      <c r="A2110" s="707"/>
      <c r="B2110" s="522"/>
      <c r="C2110" s="709" t="s">
        <v>4522</v>
      </c>
      <c r="D2110" s="679" t="s">
        <v>4133</v>
      </c>
      <c r="E2110" s="710" t="n">
        <v>0.044</v>
      </c>
      <c r="F2110" s="369" t="n">
        <v>9000</v>
      </c>
      <c r="G2110" s="727" t="n">
        <f aca="false">E2110*F2110</f>
        <v>396</v>
      </c>
      <c r="H2110" s="679"/>
    </row>
    <row r="2111" customFormat="false" ht="15" hidden="false" customHeight="false" outlineLevel="0" collapsed="false">
      <c r="A2111" s="707"/>
      <c r="B2111" s="522"/>
      <c r="C2111" s="709" t="s">
        <v>4523</v>
      </c>
      <c r="D2111" s="679" t="s">
        <v>4133</v>
      </c>
      <c r="E2111" s="710" t="n">
        <v>0.06</v>
      </c>
      <c r="F2111" s="369" t="n">
        <v>1800</v>
      </c>
      <c r="G2111" s="727" t="n">
        <f aca="false">E2111*F2111</f>
        <v>108</v>
      </c>
      <c r="H2111" s="679"/>
    </row>
    <row r="2112" customFormat="false" ht="15" hidden="false" customHeight="false" outlineLevel="0" collapsed="false">
      <c r="A2112" s="707"/>
      <c r="B2112" s="522"/>
      <c r="C2112" s="709" t="s">
        <v>4524</v>
      </c>
      <c r="D2112" s="679" t="s">
        <v>4133</v>
      </c>
      <c r="E2112" s="710" t="n">
        <v>0.5</v>
      </c>
      <c r="F2112" s="369" t="n">
        <v>848</v>
      </c>
      <c r="G2112" s="727" t="n">
        <f aca="false">E2112*F2112</f>
        <v>424</v>
      </c>
      <c r="H2112" s="679"/>
    </row>
    <row r="2113" customFormat="false" ht="15" hidden="false" customHeight="false" outlineLevel="0" collapsed="false">
      <c r="A2113" s="707"/>
      <c r="B2113" s="522"/>
      <c r="C2113" s="709" t="s">
        <v>4526</v>
      </c>
      <c r="D2113" s="679" t="s">
        <v>4133</v>
      </c>
      <c r="E2113" s="710" t="n">
        <v>0.002</v>
      </c>
      <c r="F2113" s="369" t="n">
        <v>5500</v>
      </c>
      <c r="G2113" s="727" t="n">
        <f aca="false">E2113*F2113</f>
        <v>11</v>
      </c>
      <c r="H2113" s="679"/>
    </row>
    <row r="2114" customFormat="false" ht="15" hidden="false" customHeight="false" outlineLevel="0" collapsed="false">
      <c r="A2114" s="707"/>
      <c r="B2114" s="522"/>
      <c r="C2114" s="709" t="s">
        <v>4154</v>
      </c>
      <c r="D2114" s="679" t="s">
        <v>4392</v>
      </c>
      <c r="E2114" s="710" t="n">
        <v>0.11446</v>
      </c>
      <c r="F2114" s="721" t="n">
        <v>3500</v>
      </c>
      <c r="G2114" s="727" t="n">
        <f aca="false">E2114*F2114</f>
        <v>400.61</v>
      </c>
      <c r="H2114" s="679"/>
    </row>
    <row r="2115" customFormat="false" ht="15" hidden="false" customHeight="false" outlineLevel="0" collapsed="false">
      <c r="A2115" s="707"/>
      <c r="B2115" s="522"/>
      <c r="C2115" s="709" t="s">
        <v>4515</v>
      </c>
      <c r="D2115" s="679" t="s">
        <v>4133</v>
      </c>
      <c r="E2115" s="710" t="n">
        <v>0.006</v>
      </c>
      <c r="F2115" s="369" t="n">
        <v>2700</v>
      </c>
      <c r="G2115" s="727" t="n">
        <f aca="false">E2115*F2115</f>
        <v>16.2</v>
      </c>
      <c r="H2115" s="679"/>
    </row>
    <row r="2116" customFormat="false" ht="15" hidden="false" customHeight="false" outlineLevel="0" collapsed="false">
      <c r="A2116" s="707"/>
      <c r="B2116" s="522"/>
      <c r="C2116" s="709" t="s">
        <v>4124</v>
      </c>
      <c r="D2116" s="679" t="s">
        <v>4516</v>
      </c>
      <c r="E2116" s="715" t="n">
        <v>1.5</v>
      </c>
      <c r="F2116" s="369" t="n">
        <v>120</v>
      </c>
      <c r="G2116" s="727" t="n">
        <f aca="false">E2116*F2116</f>
        <v>180</v>
      </c>
      <c r="H2116" s="679"/>
    </row>
    <row r="2117" customFormat="false" ht="15" hidden="false" customHeight="false" outlineLevel="0" collapsed="false">
      <c r="A2117" s="707"/>
      <c r="B2117" s="708" t="s">
        <v>4128</v>
      </c>
      <c r="C2117" s="718"/>
      <c r="D2117" s="719"/>
      <c r="E2117" s="722"/>
      <c r="F2117" s="366"/>
      <c r="G2117" s="711" t="n">
        <f aca="false">SUM(G2109:G2116)</f>
        <v>1959.81</v>
      </c>
      <c r="H2117" s="392"/>
    </row>
    <row r="2118" customFormat="false" ht="15" hidden="false" customHeight="false" outlineLevel="0" collapsed="false">
      <c r="A2118" s="707" t="s">
        <v>412</v>
      </c>
      <c r="B2118" s="487" t="s">
        <v>3053</v>
      </c>
      <c r="C2118" s="709" t="s">
        <v>4515</v>
      </c>
      <c r="D2118" s="679" t="s">
        <v>4133</v>
      </c>
      <c r="E2118" s="715" t="n">
        <v>0.06</v>
      </c>
      <c r="F2118" s="369" t="n">
        <v>2700</v>
      </c>
      <c r="G2118" s="727" t="n">
        <f aca="false">E2118*F2118</f>
        <v>162</v>
      </c>
      <c r="H2118" s="679"/>
    </row>
    <row r="2119" customFormat="false" ht="15" hidden="false" customHeight="false" outlineLevel="0" collapsed="false">
      <c r="A2119" s="707"/>
      <c r="B2119" s="522"/>
      <c r="C2119" s="709" t="s">
        <v>4124</v>
      </c>
      <c r="D2119" s="679" t="s">
        <v>4516</v>
      </c>
      <c r="E2119" s="715" t="n">
        <v>1.5</v>
      </c>
      <c r="F2119" s="369" t="n">
        <v>120</v>
      </c>
      <c r="G2119" s="727" t="n">
        <f aca="false">E2119*F2119</f>
        <v>180</v>
      </c>
      <c r="H2119" s="679"/>
    </row>
    <row r="2120" customFormat="false" ht="15" hidden="false" customHeight="false" outlineLevel="0" collapsed="false">
      <c r="A2120" s="707"/>
      <c r="B2120" s="708"/>
      <c r="C2120" s="718"/>
      <c r="D2120" s="719"/>
      <c r="E2120" s="722"/>
      <c r="F2120" s="366"/>
      <c r="G2120" s="711" t="n">
        <f aca="false">SUM(G2118:G2119)</f>
        <v>342</v>
      </c>
      <c r="H2120" s="392"/>
    </row>
    <row r="2121" customFormat="false" ht="15" hidden="false" customHeight="false" outlineLevel="0" collapsed="false">
      <c r="A2121" s="707" t="s">
        <v>414</v>
      </c>
      <c r="B2121" s="487" t="s">
        <v>4657</v>
      </c>
      <c r="C2121" s="709" t="s">
        <v>4515</v>
      </c>
      <c r="D2121" s="679" t="s">
        <v>4133</v>
      </c>
      <c r="E2121" s="710" t="n">
        <v>0.08566</v>
      </c>
      <c r="F2121" s="369" t="n">
        <v>2700</v>
      </c>
      <c r="G2121" s="727" t="n">
        <f aca="false">E2121*F2121</f>
        <v>231.282</v>
      </c>
      <c r="H2121" s="679"/>
    </row>
    <row r="2122" customFormat="false" ht="15" hidden="false" customHeight="false" outlineLevel="0" collapsed="false">
      <c r="A2122" s="707"/>
      <c r="B2122" s="522"/>
      <c r="C2122" s="709" t="s">
        <v>4124</v>
      </c>
      <c r="D2122" s="679" t="s">
        <v>4516</v>
      </c>
      <c r="E2122" s="710" t="n">
        <v>0.995</v>
      </c>
      <c r="F2122" s="369" t="n">
        <v>120</v>
      </c>
      <c r="G2122" s="727" t="n">
        <f aca="false">E2122*F2122</f>
        <v>119.4</v>
      </c>
      <c r="H2122" s="679"/>
    </row>
    <row r="2123" customFormat="false" ht="15" hidden="false" customHeight="false" outlineLevel="0" collapsed="false">
      <c r="A2123" s="707"/>
      <c r="B2123" s="522"/>
      <c r="C2123" s="709" t="s">
        <v>4122</v>
      </c>
      <c r="D2123" s="679" t="s">
        <v>4392</v>
      </c>
      <c r="E2123" s="710" t="n">
        <v>0.16882</v>
      </c>
      <c r="F2123" s="369" t="n">
        <v>720</v>
      </c>
      <c r="G2123" s="727" t="n">
        <f aca="false">E2123*F2123</f>
        <v>121.5504</v>
      </c>
      <c r="H2123" s="679"/>
    </row>
    <row r="2124" customFormat="false" ht="15" hidden="false" customHeight="false" outlineLevel="0" collapsed="false">
      <c r="A2124" s="707"/>
      <c r="B2124" s="708" t="s">
        <v>4128</v>
      </c>
      <c r="C2124" s="718"/>
      <c r="D2124" s="719"/>
      <c r="E2124" s="722"/>
      <c r="F2124" s="366"/>
      <c r="G2124" s="711" t="n">
        <f aca="false">SUM(G2121:G2123)</f>
        <v>472.2324</v>
      </c>
      <c r="H2124" s="392"/>
    </row>
    <row r="2125" customFormat="false" ht="30" hidden="false" customHeight="false" outlineLevel="0" collapsed="false">
      <c r="A2125" s="707" t="s">
        <v>416</v>
      </c>
      <c r="B2125" s="487" t="s">
        <v>3055</v>
      </c>
      <c r="C2125" s="709" t="s">
        <v>4658</v>
      </c>
      <c r="D2125" s="679" t="s">
        <v>4133</v>
      </c>
      <c r="E2125" s="710" t="n">
        <v>0.002</v>
      </c>
      <c r="F2125" s="369" t="n">
        <v>21200</v>
      </c>
      <c r="G2125" s="727" t="n">
        <f aca="false">E2125*F2125</f>
        <v>42.4</v>
      </c>
      <c r="H2125" s="679"/>
    </row>
    <row r="2126" customFormat="false" ht="15" hidden="false" customHeight="false" outlineLevel="0" collapsed="false">
      <c r="A2126" s="707"/>
      <c r="B2126" s="522"/>
      <c r="C2126" s="709" t="s">
        <v>4529</v>
      </c>
      <c r="D2126" s="679" t="s">
        <v>4133</v>
      </c>
      <c r="E2126" s="710" t="n">
        <v>0.0075</v>
      </c>
      <c r="F2126" s="369" t="n">
        <v>1200</v>
      </c>
      <c r="G2126" s="727" t="n">
        <f aca="false">E2126*F2126</f>
        <v>9</v>
      </c>
      <c r="H2126" s="679"/>
    </row>
    <row r="2127" customFormat="false" ht="15" hidden="false" customHeight="false" outlineLevel="0" collapsed="false">
      <c r="A2127" s="707"/>
      <c r="B2127" s="522"/>
      <c r="C2127" s="709" t="s">
        <v>4659</v>
      </c>
      <c r="D2127" s="679" t="s">
        <v>4133</v>
      </c>
      <c r="E2127" s="710" t="n">
        <v>0.0038</v>
      </c>
      <c r="F2127" s="369" t="n">
        <v>41200</v>
      </c>
      <c r="G2127" s="727" t="n">
        <f aca="false">E2127*F2127</f>
        <v>156.56</v>
      </c>
      <c r="H2127" s="679"/>
    </row>
    <row r="2128" customFormat="false" ht="15" hidden="false" customHeight="false" outlineLevel="0" collapsed="false">
      <c r="A2128" s="707"/>
      <c r="B2128" s="522"/>
      <c r="C2128" s="709" t="s">
        <v>4154</v>
      </c>
      <c r="D2128" s="679" t="s">
        <v>4392</v>
      </c>
      <c r="E2128" s="710" t="n">
        <v>0.05</v>
      </c>
      <c r="F2128" s="721" t="n">
        <v>3500</v>
      </c>
      <c r="G2128" s="727" t="n">
        <f aca="false">E2128*F2128</f>
        <v>175</v>
      </c>
      <c r="H2128" s="679"/>
    </row>
    <row r="2129" customFormat="false" ht="15" hidden="false" customHeight="false" outlineLevel="0" collapsed="false">
      <c r="A2129" s="707"/>
      <c r="B2129" s="522"/>
      <c r="C2129" s="709" t="s">
        <v>4122</v>
      </c>
      <c r="D2129" s="679" t="s">
        <v>4392</v>
      </c>
      <c r="E2129" s="710" t="n">
        <v>0.03</v>
      </c>
      <c r="F2129" s="369" t="n">
        <v>720</v>
      </c>
      <c r="G2129" s="727" t="n">
        <f aca="false">E2129*F2129</f>
        <v>21.6</v>
      </c>
      <c r="H2129" s="679"/>
    </row>
    <row r="2130" customFormat="false" ht="15" hidden="false" customHeight="false" outlineLevel="0" collapsed="false">
      <c r="A2130" s="707"/>
      <c r="B2130" s="522"/>
      <c r="C2130" s="709" t="s">
        <v>4515</v>
      </c>
      <c r="D2130" s="679" t="s">
        <v>4133</v>
      </c>
      <c r="E2130" s="710" t="n">
        <v>0.006</v>
      </c>
      <c r="F2130" s="369" t="n">
        <v>2700</v>
      </c>
      <c r="G2130" s="727" t="n">
        <f aca="false">E2130*F2130</f>
        <v>16.2</v>
      </c>
      <c r="H2130" s="679"/>
    </row>
    <row r="2131" customFormat="false" ht="15" hidden="false" customHeight="false" outlineLevel="0" collapsed="false">
      <c r="A2131" s="707"/>
      <c r="B2131" s="522"/>
      <c r="C2131" s="709" t="s">
        <v>4124</v>
      </c>
      <c r="D2131" s="679" t="s">
        <v>4516</v>
      </c>
      <c r="E2131" s="710" t="n">
        <v>1.5</v>
      </c>
      <c r="F2131" s="369" t="n">
        <v>120</v>
      </c>
      <c r="G2131" s="727" t="n">
        <f aca="false">E2131*F2131</f>
        <v>180</v>
      </c>
      <c r="H2131" s="679"/>
    </row>
    <row r="2132" customFormat="false" ht="15" hidden="false" customHeight="false" outlineLevel="0" collapsed="false">
      <c r="A2132" s="707"/>
      <c r="B2132" s="708" t="s">
        <v>4128</v>
      </c>
      <c r="C2132" s="718"/>
      <c r="D2132" s="719"/>
      <c r="E2132" s="722"/>
      <c r="F2132" s="366"/>
      <c r="G2132" s="711" t="n">
        <f aca="false">SUM(G2125:G2131)</f>
        <v>600.76</v>
      </c>
      <c r="H2132" s="392"/>
    </row>
    <row r="2133" customFormat="false" ht="30" hidden="false" customHeight="false" outlineLevel="0" collapsed="false">
      <c r="A2133" s="707" t="s">
        <v>418</v>
      </c>
      <c r="B2133" s="487" t="s">
        <v>3056</v>
      </c>
      <c r="C2133" s="709" t="s">
        <v>4582</v>
      </c>
      <c r="D2133" s="679" t="s">
        <v>4133</v>
      </c>
      <c r="E2133" s="710" t="n">
        <v>0.0173</v>
      </c>
      <c r="F2133" s="369" t="n">
        <v>2321</v>
      </c>
      <c r="G2133" s="727" t="n">
        <f aca="false">E2133*F2133</f>
        <v>40.1533</v>
      </c>
      <c r="H2133" s="679"/>
    </row>
    <row r="2134" customFormat="false" ht="15" hidden="false" customHeight="false" outlineLevel="0" collapsed="false">
      <c r="A2134" s="707"/>
      <c r="B2134" s="522"/>
      <c r="C2134" s="709" t="s">
        <v>4652</v>
      </c>
      <c r="D2134" s="679" t="s">
        <v>4133</v>
      </c>
      <c r="E2134" s="715" t="n">
        <v>0.01</v>
      </c>
      <c r="F2134" s="369" t="n">
        <v>3400</v>
      </c>
      <c r="G2134" s="727" t="n">
        <f aca="false">E2134*F2134</f>
        <v>34</v>
      </c>
      <c r="H2134" s="679"/>
    </row>
    <row r="2135" customFormat="false" ht="15" hidden="false" customHeight="false" outlineLevel="0" collapsed="false">
      <c r="A2135" s="707"/>
      <c r="B2135" s="522"/>
      <c r="C2135" s="709" t="s">
        <v>4529</v>
      </c>
      <c r="D2135" s="679" t="s">
        <v>4133</v>
      </c>
      <c r="E2135" s="715" t="n">
        <v>0.03</v>
      </c>
      <c r="F2135" s="369" t="n">
        <v>1200</v>
      </c>
      <c r="G2135" s="727" t="n">
        <f aca="false">E2135*F2135</f>
        <v>36</v>
      </c>
      <c r="H2135" s="679"/>
    </row>
    <row r="2136" customFormat="false" ht="15" hidden="false" customHeight="false" outlineLevel="0" collapsed="false">
      <c r="A2136" s="707"/>
      <c r="B2136" s="522"/>
      <c r="C2136" s="709" t="s">
        <v>4147</v>
      </c>
      <c r="D2136" s="679" t="s">
        <v>4392</v>
      </c>
      <c r="E2136" s="715" t="n">
        <v>0.08</v>
      </c>
      <c r="F2136" s="723" t="n">
        <v>3612</v>
      </c>
      <c r="G2136" s="727" t="n">
        <f aca="false">E2136*F2136</f>
        <v>288.96</v>
      </c>
      <c r="H2136" s="679"/>
    </row>
    <row r="2137" customFormat="false" ht="15" hidden="false" customHeight="false" outlineLevel="0" collapsed="false">
      <c r="A2137" s="707"/>
      <c r="B2137" s="522"/>
      <c r="C2137" s="709" t="s">
        <v>4660</v>
      </c>
      <c r="D2137" s="679" t="s">
        <v>4133</v>
      </c>
      <c r="E2137" s="715" t="n">
        <v>0.045</v>
      </c>
      <c r="F2137" s="369" t="n">
        <v>2700</v>
      </c>
      <c r="G2137" s="727" t="n">
        <f aca="false">E2137*F2137</f>
        <v>121.5</v>
      </c>
      <c r="H2137" s="679"/>
    </row>
    <row r="2138" customFormat="false" ht="15" hidden="false" customHeight="false" outlineLevel="0" collapsed="false">
      <c r="A2138" s="707"/>
      <c r="B2138" s="522"/>
      <c r="C2138" s="709" t="s">
        <v>4154</v>
      </c>
      <c r="D2138" s="679" t="s">
        <v>4392</v>
      </c>
      <c r="E2138" s="715" t="n">
        <v>0.02</v>
      </c>
      <c r="F2138" s="721" t="n">
        <v>3500</v>
      </c>
      <c r="G2138" s="727" t="n">
        <f aca="false">E2138*F2138</f>
        <v>70</v>
      </c>
      <c r="H2138" s="679"/>
    </row>
    <row r="2139" customFormat="false" ht="15" hidden="false" customHeight="false" outlineLevel="0" collapsed="false">
      <c r="A2139" s="707"/>
      <c r="B2139" s="522"/>
      <c r="C2139" s="709" t="s">
        <v>4654</v>
      </c>
      <c r="D2139" s="679" t="s">
        <v>4133</v>
      </c>
      <c r="E2139" s="715" t="n">
        <v>0.02</v>
      </c>
      <c r="F2139" s="369" t="n">
        <v>2232</v>
      </c>
      <c r="G2139" s="727" t="n">
        <f aca="false">E2139*F2139</f>
        <v>44.64</v>
      </c>
      <c r="H2139" s="679"/>
    </row>
    <row r="2140" customFormat="false" ht="15" hidden="false" customHeight="false" outlineLevel="0" collapsed="false">
      <c r="A2140" s="707"/>
      <c r="B2140" s="522"/>
      <c r="C2140" s="709" t="s">
        <v>4122</v>
      </c>
      <c r="D2140" s="679" t="s">
        <v>4392</v>
      </c>
      <c r="E2140" s="715" t="n">
        <v>0.03</v>
      </c>
      <c r="F2140" s="369" t="n">
        <v>720</v>
      </c>
      <c r="G2140" s="727" t="n">
        <f aca="false">E2140*F2140</f>
        <v>21.6</v>
      </c>
      <c r="H2140" s="679"/>
    </row>
    <row r="2141" customFormat="false" ht="15" hidden="false" customHeight="false" outlineLevel="0" collapsed="false">
      <c r="A2141" s="707"/>
      <c r="B2141" s="522"/>
      <c r="C2141" s="709" t="s">
        <v>4515</v>
      </c>
      <c r="D2141" s="679" t="s">
        <v>4133</v>
      </c>
      <c r="E2141" s="710" t="n">
        <v>0.006</v>
      </c>
      <c r="F2141" s="369" t="n">
        <v>2700</v>
      </c>
      <c r="G2141" s="727" t="n">
        <f aca="false">E2141*F2141</f>
        <v>16.2</v>
      </c>
      <c r="H2141" s="679"/>
    </row>
    <row r="2142" customFormat="false" ht="15" hidden="false" customHeight="false" outlineLevel="0" collapsed="false">
      <c r="A2142" s="707"/>
      <c r="B2142" s="522"/>
      <c r="C2142" s="709" t="s">
        <v>4124</v>
      </c>
      <c r="D2142" s="679" t="s">
        <v>4516</v>
      </c>
      <c r="E2142" s="715" t="n">
        <v>1.5</v>
      </c>
      <c r="F2142" s="369" t="n">
        <v>120</v>
      </c>
      <c r="G2142" s="727" t="n">
        <f aca="false">E2142*F2142</f>
        <v>180</v>
      </c>
      <c r="H2142" s="679"/>
    </row>
    <row r="2143" customFormat="false" ht="15" hidden="false" customHeight="false" outlineLevel="0" collapsed="false">
      <c r="A2143" s="707"/>
      <c r="B2143" s="708" t="s">
        <v>4128</v>
      </c>
      <c r="C2143" s="718"/>
      <c r="D2143" s="719"/>
      <c r="E2143" s="722"/>
      <c r="F2143" s="366"/>
      <c r="G2143" s="711" t="n">
        <f aca="false">SUM(G2133:G2142)</f>
        <v>853.0533</v>
      </c>
      <c r="H2143" s="392"/>
    </row>
    <row r="2144" customFormat="false" ht="15" hidden="false" customHeight="false" outlineLevel="0" collapsed="false">
      <c r="A2144" s="707" t="s">
        <v>420</v>
      </c>
      <c r="B2144" s="487" t="s">
        <v>3057</v>
      </c>
      <c r="C2144" s="709" t="s">
        <v>4661</v>
      </c>
      <c r="D2144" s="679" t="s">
        <v>4392</v>
      </c>
      <c r="E2144" s="710" t="n">
        <v>0.003</v>
      </c>
      <c r="F2144" s="369" t="n">
        <v>1800</v>
      </c>
      <c r="G2144" s="727" t="n">
        <f aca="false">E2144*F2144</f>
        <v>5.4</v>
      </c>
      <c r="H2144" s="679"/>
    </row>
    <row r="2145" customFormat="false" ht="15" hidden="false" customHeight="false" outlineLevel="0" collapsed="false">
      <c r="A2145" s="707"/>
      <c r="B2145" s="522"/>
      <c r="C2145" s="709" t="s">
        <v>4205</v>
      </c>
      <c r="D2145" s="679" t="s">
        <v>4392</v>
      </c>
      <c r="E2145" s="710" t="n">
        <v>0.01</v>
      </c>
      <c r="F2145" s="717" t="n">
        <v>7875</v>
      </c>
      <c r="G2145" s="727" t="n">
        <f aca="false">E2145*F2145</f>
        <v>78.75</v>
      </c>
      <c r="H2145" s="679"/>
    </row>
    <row r="2146" customFormat="false" ht="15" hidden="false" customHeight="false" outlineLevel="0" collapsed="false">
      <c r="A2146" s="707"/>
      <c r="B2146" s="522"/>
      <c r="C2146" s="709" t="s">
        <v>4201</v>
      </c>
      <c r="D2146" s="679" t="s">
        <v>4133</v>
      </c>
      <c r="E2146" s="710" t="n">
        <v>0.002</v>
      </c>
      <c r="F2146" s="721" t="n">
        <v>27000</v>
      </c>
      <c r="G2146" s="727" t="n">
        <f aca="false">E2146*F2146</f>
        <v>54</v>
      </c>
      <c r="H2146" s="679"/>
    </row>
    <row r="2147" customFormat="false" ht="15" hidden="false" customHeight="false" outlineLevel="0" collapsed="false">
      <c r="A2147" s="707"/>
      <c r="B2147" s="522"/>
      <c r="C2147" s="709" t="s">
        <v>4202</v>
      </c>
      <c r="D2147" s="679" t="s">
        <v>4133</v>
      </c>
      <c r="E2147" s="710" t="n">
        <v>0.01</v>
      </c>
      <c r="F2147" s="724" t="n">
        <v>6600</v>
      </c>
      <c r="G2147" s="727" t="n">
        <f aca="false">E2147*F2147</f>
        <v>66</v>
      </c>
      <c r="H2147" s="679"/>
    </row>
    <row r="2148" customFormat="false" ht="15" hidden="false" customHeight="false" outlineLevel="0" collapsed="false">
      <c r="A2148" s="707"/>
      <c r="B2148" s="522"/>
      <c r="C2148" s="709" t="s">
        <v>4552</v>
      </c>
      <c r="D2148" s="679" t="s">
        <v>4133</v>
      </c>
      <c r="E2148" s="710" t="n">
        <v>0.02</v>
      </c>
      <c r="F2148" s="369" t="n">
        <v>11200</v>
      </c>
      <c r="G2148" s="727" t="n">
        <f aca="false">E2148*F2148</f>
        <v>224</v>
      </c>
      <c r="H2148" s="679"/>
    </row>
    <row r="2149" customFormat="false" ht="15" hidden="false" customHeight="false" outlineLevel="0" collapsed="false">
      <c r="A2149" s="707"/>
      <c r="B2149" s="522"/>
      <c r="C2149" s="709" t="s">
        <v>4515</v>
      </c>
      <c r="D2149" s="679" t="s">
        <v>4133</v>
      </c>
      <c r="E2149" s="710" t="n">
        <v>0.006</v>
      </c>
      <c r="F2149" s="369" t="n">
        <v>2700</v>
      </c>
      <c r="G2149" s="727" t="n">
        <f aca="false">E2149*F2149</f>
        <v>16.2</v>
      </c>
      <c r="H2149" s="679"/>
    </row>
    <row r="2150" customFormat="false" ht="15" hidden="false" customHeight="false" outlineLevel="0" collapsed="false">
      <c r="A2150" s="707"/>
      <c r="B2150" s="522"/>
      <c r="C2150" s="709" t="s">
        <v>4124</v>
      </c>
      <c r="D2150" s="679" t="s">
        <v>4516</v>
      </c>
      <c r="E2150" s="542" t="n">
        <v>1.5</v>
      </c>
      <c r="F2150" s="369" t="n">
        <v>120</v>
      </c>
      <c r="G2150" s="727" t="n">
        <f aca="false">E2150*F2150</f>
        <v>180</v>
      </c>
      <c r="H2150" s="679"/>
    </row>
    <row r="2151" customFormat="false" ht="15" hidden="false" customHeight="false" outlineLevel="0" collapsed="false">
      <c r="A2151" s="707"/>
      <c r="B2151" s="708" t="s">
        <v>4128</v>
      </c>
      <c r="C2151" s="718"/>
      <c r="D2151" s="719"/>
      <c r="E2151" s="722"/>
      <c r="F2151" s="366"/>
      <c r="G2151" s="711" t="n">
        <f aca="false">SUM(G2144:G2150)</f>
        <v>624.35</v>
      </c>
      <c r="H2151" s="392"/>
    </row>
    <row r="2152" customFormat="false" ht="15" hidden="false" customHeight="false" outlineLevel="0" collapsed="false">
      <c r="A2152" s="707" t="s">
        <v>422</v>
      </c>
      <c r="B2152" s="487" t="s">
        <v>3058</v>
      </c>
      <c r="C2152" s="709" t="s">
        <v>4147</v>
      </c>
      <c r="D2152" s="679" t="s">
        <v>4392</v>
      </c>
      <c r="E2152" s="710" t="n">
        <v>0.2</v>
      </c>
      <c r="F2152" s="723" t="n">
        <v>3612</v>
      </c>
      <c r="G2152" s="727" t="n">
        <f aca="false">E2152*F2152</f>
        <v>722.4</v>
      </c>
      <c r="H2152" s="679"/>
    </row>
    <row r="2153" customFormat="false" ht="15" hidden="false" customHeight="false" outlineLevel="0" collapsed="false">
      <c r="A2153" s="707"/>
      <c r="B2153" s="522"/>
      <c r="C2153" s="709" t="s">
        <v>4515</v>
      </c>
      <c r="D2153" s="679" t="s">
        <v>4133</v>
      </c>
      <c r="E2153" s="710" t="n">
        <v>0.006</v>
      </c>
      <c r="F2153" s="369" t="n">
        <v>2700</v>
      </c>
      <c r="G2153" s="727" t="n">
        <f aca="false">E2153*F2153</f>
        <v>16.2</v>
      </c>
      <c r="H2153" s="679"/>
    </row>
    <row r="2154" customFormat="false" ht="15" hidden="false" customHeight="false" outlineLevel="0" collapsed="false">
      <c r="A2154" s="707"/>
      <c r="B2154" s="522"/>
      <c r="C2154" s="709" t="s">
        <v>4124</v>
      </c>
      <c r="D2154" s="679" t="s">
        <v>4516</v>
      </c>
      <c r="E2154" s="542" t="n">
        <v>1.5</v>
      </c>
      <c r="F2154" s="369" t="n">
        <v>120</v>
      </c>
      <c r="G2154" s="727" t="n">
        <f aca="false">E2154*F2154</f>
        <v>180</v>
      </c>
      <c r="H2154" s="679"/>
    </row>
    <row r="2155" customFormat="false" ht="15" hidden="false" customHeight="false" outlineLevel="0" collapsed="false">
      <c r="A2155" s="707"/>
      <c r="B2155" s="708" t="s">
        <v>4128</v>
      </c>
      <c r="C2155" s="718"/>
      <c r="D2155" s="719"/>
      <c r="E2155" s="722"/>
      <c r="F2155" s="366"/>
      <c r="G2155" s="711" t="n">
        <f aca="false">SUM(G2152:G2154)</f>
        <v>918.6</v>
      </c>
      <c r="H2155" s="392"/>
    </row>
    <row r="2156" customFormat="false" ht="15" hidden="false" customHeight="false" outlineLevel="0" collapsed="false">
      <c r="A2156" s="707" t="s">
        <v>424</v>
      </c>
      <c r="B2156" s="487" t="s">
        <v>3059</v>
      </c>
      <c r="C2156" s="709" t="s">
        <v>4154</v>
      </c>
      <c r="D2156" s="679" t="s">
        <v>4392</v>
      </c>
      <c r="E2156" s="710" t="n">
        <v>0.14308</v>
      </c>
      <c r="F2156" s="721" t="n">
        <v>3500</v>
      </c>
      <c r="G2156" s="727" t="n">
        <f aca="false">E2156*F2156</f>
        <v>500.78</v>
      </c>
      <c r="H2156" s="679"/>
    </row>
    <row r="2157" customFormat="false" ht="15" hidden="false" customHeight="false" outlineLevel="0" collapsed="false">
      <c r="A2157" s="707"/>
      <c r="B2157" s="522"/>
      <c r="C2157" s="709" t="s">
        <v>4147</v>
      </c>
      <c r="D2157" s="679" t="s">
        <v>4392</v>
      </c>
      <c r="E2157" s="715" t="n">
        <v>0.3</v>
      </c>
      <c r="F2157" s="723" t="n">
        <v>3612</v>
      </c>
      <c r="G2157" s="727" t="n">
        <f aca="false">E2157*F2157</f>
        <v>1083.6</v>
      </c>
      <c r="H2157" s="679"/>
    </row>
    <row r="2158" customFormat="false" ht="15" hidden="false" customHeight="false" outlineLevel="0" collapsed="false">
      <c r="A2158" s="707"/>
      <c r="B2158" s="522"/>
      <c r="C2158" s="709" t="s">
        <v>4205</v>
      </c>
      <c r="D2158" s="679" t="s">
        <v>4392</v>
      </c>
      <c r="E2158" s="715" t="n">
        <v>0.05</v>
      </c>
      <c r="F2158" s="717" t="n">
        <v>7875</v>
      </c>
      <c r="G2158" s="727" t="n">
        <f aca="false">E2158*F2158</f>
        <v>393.75</v>
      </c>
      <c r="H2158" s="679"/>
    </row>
    <row r="2159" customFormat="false" ht="15" hidden="false" customHeight="false" outlineLevel="0" collapsed="false">
      <c r="A2159" s="707"/>
      <c r="B2159" s="522"/>
      <c r="C2159" s="709" t="s">
        <v>4536</v>
      </c>
      <c r="D2159" s="679" t="s">
        <v>4392</v>
      </c>
      <c r="E2159" s="715" t="n">
        <v>0.08</v>
      </c>
      <c r="F2159" s="369" t="n">
        <v>546</v>
      </c>
      <c r="G2159" s="727" t="n">
        <f aca="false">E2159*F2159</f>
        <v>43.68</v>
      </c>
      <c r="H2159" s="679"/>
    </row>
    <row r="2160" customFormat="false" ht="15" hidden="false" customHeight="false" outlineLevel="0" collapsed="false">
      <c r="A2160" s="707"/>
      <c r="B2160" s="522"/>
      <c r="C2160" s="709" t="s">
        <v>4122</v>
      </c>
      <c r="D2160" s="679" t="s">
        <v>4392</v>
      </c>
      <c r="E2160" s="715" t="n">
        <v>0.03</v>
      </c>
      <c r="F2160" s="369" t="n">
        <v>720</v>
      </c>
      <c r="G2160" s="727" t="n">
        <f aca="false">E2160*F2160</f>
        <v>21.6</v>
      </c>
      <c r="H2160" s="679"/>
    </row>
    <row r="2161" customFormat="false" ht="15" hidden="false" customHeight="false" outlineLevel="0" collapsed="false">
      <c r="A2161" s="707"/>
      <c r="B2161" s="522"/>
      <c r="C2161" s="709" t="s">
        <v>4515</v>
      </c>
      <c r="D2161" s="679" t="s">
        <v>4133</v>
      </c>
      <c r="E2161" s="710" t="n">
        <v>0.006</v>
      </c>
      <c r="F2161" s="369" t="n">
        <v>2700</v>
      </c>
      <c r="G2161" s="727" t="n">
        <f aca="false">E2161*F2161</f>
        <v>16.2</v>
      </c>
      <c r="H2161" s="679"/>
    </row>
    <row r="2162" customFormat="false" ht="15" hidden="false" customHeight="false" outlineLevel="0" collapsed="false">
      <c r="A2162" s="707"/>
      <c r="B2162" s="522"/>
      <c r="C2162" s="709" t="s">
        <v>4124</v>
      </c>
      <c r="D2162" s="679" t="s">
        <v>4516</v>
      </c>
      <c r="E2162" s="542" t="n">
        <v>1.5</v>
      </c>
      <c r="F2162" s="369" t="n">
        <v>120</v>
      </c>
      <c r="G2162" s="727" t="n">
        <f aca="false">E2162*F2162</f>
        <v>180</v>
      </c>
      <c r="H2162" s="679"/>
    </row>
    <row r="2163" customFormat="false" ht="15" hidden="false" customHeight="false" outlineLevel="0" collapsed="false">
      <c r="A2163" s="707"/>
      <c r="B2163" s="708" t="s">
        <v>4128</v>
      </c>
      <c r="C2163" s="718"/>
      <c r="D2163" s="719"/>
      <c r="E2163" s="722"/>
      <c r="F2163" s="366"/>
      <c r="G2163" s="711" t="n">
        <f aca="false">SUM(G2156:G2162)</f>
        <v>2239.61</v>
      </c>
      <c r="H2163" s="392"/>
    </row>
    <row r="2164" customFormat="false" ht="15" hidden="false" customHeight="false" outlineLevel="0" collapsed="false">
      <c r="A2164" s="707" t="s">
        <v>426</v>
      </c>
      <c r="B2164" s="487" t="s">
        <v>3060</v>
      </c>
      <c r="C2164" s="709" t="s">
        <v>4550</v>
      </c>
      <c r="D2164" s="679" t="s">
        <v>4392</v>
      </c>
      <c r="E2164" s="710" t="n">
        <v>0.034</v>
      </c>
      <c r="F2164" s="369" t="n">
        <v>6500</v>
      </c>
      <c r="G2164" s="727" t="n">
        <f aca="false">E2164*F2164</f>
        <v>221</v>
      </c>
      <c r="H2164" s="679"/>
    </row>
    <row r="2165" customFormat="false" ht="15" hidden="false" customHeight="false" outlineLevel="0" collapsed="false">
      <c r="A2165" s="707"/>
      <c r="B2165" s="522"/>
      <c r="C2165" s="709" t="s">
        <v>4122</v>
      </c>
      <c r="D2165" s="679" t="s">
        <v>4392</v>
      </c>
      <c r="E2165" s="710" t="n">
        <v>0.17</v>
      </c>
      <c r="F2165" s="369" t="n">
        <v>720</v>
      </c>
      <c r="G2165" s="727" t="n">
        <f aca="false">E2165*F2165</f>
        <v>122.4</v>
      </c>
      <c r="H2165" s="679"/>
    </row>
    <row r="2166" customFormat="false" ht="15" hidden="false" customHeight="false" outlineLevel="0" collapsed="false">
      <c r="A2166" s="707"/>
      <c r="B2166" s="522"/>
      <c r="C2166" s="709" t="s">
        <v>4529</v>
      </c>
      <c r="D2166" s="679" t="s">
        <v>4133</v>
      </c>
      <c r="E2166" s="710" t="n">
        <v>0.12</v>
      </c>
      <c r="F2166" s="369" t="n">
        <v>1200</v>
      </c>
      <c r="G2166" s="727" t="n">
        <f aca="false">E2166*F2166</f>
        <v>144</v>
      </c>
      <c r="H2166" s="679"/>
    </row>
    <row r="2167" customFormat="false" ht="15" hidden="false" customHeight="false" outlineLevel="0" collapsed="false">
      <c r="A2167" s="707"/>
      <c r="B2167" s="522"/>
      <c r="C2167" s="709" t="s">
        <v>4264</v>
      </c>
      <c r="D2167" s="679" t="s">
        <v>4133</v>
      </c>
      <c r="E2167" s="710" t="n">
        <v>0.03</v>
      </c>
      <c r="F2167" s="369" t="n">
        <v>55000</v>
      </c>
      <c r="G2167" s="727" t="n">
        <f aca="false">E2167*F2167</f>
        <v>1650</v>
      </c>
      <c r="H2167" s="679"/>
    </row>
    <row r="2168" customFormat="false" ht="15" hidden="false" customHeight="false" outlineLevel="0" collapsed="false">
      <c r="A2168" s="707"/>
      <c r="B2168" s="522"/>
      <c r="C2168" s="709" t="s">
        <v>4515</v>
      </c>
      <c r="D2168" s="679" t="s">
        <v>4133</v>
      </c>
      <c r="E2168" s="710" t="n">
        <v>0.01</v>
      </c>
      <c r="F2168" s="369" t="n">
        <v>2700</v>
      </c>
      <c r="G2168" s="727" t="n">
        <f aca="false">E2168*F2168</f>
        <v>27</v>
      </c>
      <c r="H2168" s="679"/>
    </row>
    <row r="2169" customFormat="false" ht="15" hidden="false" customHeight="false" outlineLevel="0" collapsed="false">
      <c r="A2169" s="707"/>
      <c r="B2169" s="522"/>
      <c r="C2169" s="709" t="s">
        <v>4124</v>
      </c>
      <c r="D2169" s="679" t="s">
        <v>4516</v>
      </c>
      <c r="E2169" s="542" t="n">
        <v>0.5</v>
      </c>
      <c r="F2169" s="369" t="n">
        <v>120</v>
      </c>
      <c r="G2169" s="727" t="n">
        <f aca="false">E2169*F2169</f>
        <v>60</v>
      </c>
      <c r="H2169" s="679"/>
    </row>
    <row r="2170" customFormat="false" ht="15" hidden="false" customHeight="false" outlineLevel="0" collapsed="false">
      <c r="A2170" s="707"/>
      <c r="B2170" s="708" t="s">
        <v>4128</v>
      </c>
      <c r="C2170" s="718"/>
      <c r="D2170" s="719"/>
      <c r="E2170" s="722"/>
      <c r="F2170" s="366"/>
      <c r="G2170" s="711" t="n">
        <f aca="false">SUM(G2164:G2169)</f>
        <v>2224.4</v>
      </c>
      <c r="H2170" s="392"/>
    </row>
    <row r="2171" customFormat="false" ht="15" hidden="false" customHeight="false" outlineLevel="0" collapsed="false">
      <c r="A2171" s="707" t="s">
        <v>428</v>
      </c>
      <c r="B2171" s="487" t="s">
        <v>3061</v>
      </c>
      <c r="C2171" s="709" t="s">
        <v>4544</v>
      </c>
      <c r="D2171" s="679" t="s">
        <v>4133</v>
      </c>
      <c r="E2171" s="710" t="n">
        <v>0.14</v>
      </c>
      <c r="F2171" s="369" t="n">
        <v>1964</v>
      </c>
      <c r="G2171" s="727" t="n">
        <f aca="false">E2171*F2171</f>
        <v>274.96</v>
      </c>
      <c r="H2171" s="679"/>
    </row>
    <row r="2172" customFormat="false" ht="15" hidden="false" customHeight="false" outlineLevel="0" collapsed="false">
      <c r="A2172" s="707"/>
      <c r="B2172" s="522"/>
      <c r="C2172" s="709" t="s">
        <v>4545</v>
      </c>
      <c r="D2172" s="679" t="s">
        <v>4133</v>
      </c>
      <c r="E2172" s="710" t="n">
        <v>0.006</v>
      </c>
      <c r="F2172" s="369" t="n">
        <v>1071</v>
      </c>
      <c r="G2172" s="727" t="n">
        <f aca="false">E2172*F2172</f>
        <v>6.426</v>
      </c>
      <c r="H2172" s="679"/>
    </row>
    <row r="2173" customFormat="false" ht="15" hidden="false" customHeight="false" outlineLevel="0" collapsed="false">
      <c r="A2173" s="707"/>
      <c r="B2173" s="522"/>
      <c r="C2173" s="709" t="s">
        <v>4546</v>
      </c>
      <c r="D2173" s="679" t="s">
        <v>4133</v>
      </c>
      <c r="E2173" s="542" t="n">
        <v>0.1</v>
      </c>
      <c r="F2173" s="369" t="n">
        <v>3640</v>
      </c>
      <c r="G2173" s="727" t="n">
        <f aca="false">E2173*F2173</f>
        <v>364</v>
      </c>
      <c r="H2173" s="679"/>
    </row>
    <row r="2174" customFormat="false" ht="15" hidden="false" customHeight="false" outlineLevel="0" collapsed="false">
      <c r="A2174" s="707"/>
      <c r="B2174" s="522"/>
      <c r="C2174" s="709" t="s">
        <v>4529</v>
      </c>
      <c r="D2174" s="679" t="s">
        <v>4133</v>
      </c>
      <c r="E2174" s="542" t="n">
        <v>0.1</v>
      </c>
      <c r="F2174" s="369" t="n">
        <v>1200</v>
      </c>
      <c r="G2174" s="727" t="n">
        <f aca="false">E2174*F2174</f>
        <v>120</v>
      </c>
      <c r="H2174" s="679"/>
    </row>
    <row r="2175" customFormat="false" ht="15" hidden="false" customHeight="false" outlineLevel="0" collapsed="false">
      <c r="A2175" s="707"/>
      <c r="B2175" s="522"/>
      <c r="C2175" s="709" t="s">
        <v>4547</v>
      </c>
      <c r="D2175" s="679" t="s">
        <v>4133</v>
      </c>
      <c r="E2175" s="710" t="n">
        <v>0.004</v>
      </c>
      <c r="F2175" s="369" t="n">
        <v>32650</v>
      </c>
      <c r="G2175" s="727" t="n">
        <f aca="false">E2175*F2175</f>
        <v>130.6</v>
      </c>
      <c r="H2175" s="679"/>
    </row>
    <row r="2176" customFormat="false" ht="15" hidden="false" customHeight="false" outlineLevel="0" collapsed="false">
      <c r="A2176" s="707"/>
      <c r="B2176" s="522"/>
      <c r="C2176" s="709" t="s">
        <v>4548</v>
      </c>
      <c r="D2176" s="679" t="s">
        <v>4392</v>
      </c>
      <c r="E2176" s="710" t="n">
        <v>0.08</v>
      </c>
      <c r="F2176" s="369" t="n">
        <v>892</v>
      </c>
      <c r="G2176" s="727" t="n">
        <f aca="false">E2176*F2176</f>
        <v>71.36</v>
      </c>
      <c r="H2176" s="679"/>
    </row>
    <row r="2177" customFormat="false" ht="15" hidden="false" customHeight="false" outlineLevel="0" collapsed="false">
      <c r="A2177" s="707"/>
      <c r="B2177" s="522"/>
      <c r="C2177" s="709" t="s">
        <v>4549</v>
      </c>
      <c r="D2177" s="679" t="s">
        <v>4392</v>
      </c>
      <c r="E2177" s="710" t="n">
        <v>0.42923</v>
      </c>
      <c r="F2177" s="721" t="n">
        <v>3500</v>
      </c>
      <c r="G2177" s="727" t="n">
        <f aca="false">E2177*F2177</f>
        <v>1502.305</v>
      </c>
      <c r="H2177" s="679"/>
    </row>
    <row r="2178" customFormat="false" ht="15" hidden="false" customHeight="false" outlineLevel="0" collapsed="false">
      <c r="A2178" s="707"/>
      <c r="B2178" s="522"/>
      <c r="C2178" s="709" t="s">
        <v>4515</v>
      </c>
      <c r="D2178" s="679" t="s">
        <v>4133</v>
      </c>
      <c r="E2178" s="710" t="n">
        <v>0.006</v>
      </c>
      <c r="F2178" s="369" t="n">
        <v>2700</v>
      </c>
      <c r="G2178" s="727" t="n">
        <f aca="false">E2178*F2178</f>
        <v>16.2</v>
      </c>
      <c r="H2178" s="679"/>
    </row>
    <row r="2179" customFormat="false" ht="15" hidden="false" customHeight="false" outlineLevel="0" collapsed="false">
      <c r="A2179" s="707"/>
      <c r="B2179" s="522"/>
      <c r="C2179" s="709" t="s">
        <v>4124</v>
      </c>
      <c r="D2179" s="679" t="s">
        <v>4516</v>
      </c>
      <c r="E2179" s="542" t="n">
        <v>1.5</v>
      </c>
      <c r="F2179" s="369" t="n">
        <v>120</v>
      </c>
      <c r="G2179" s="727" t="n">
        <f aca="false">E2179*F2179</f>
        <v>180</v>
      </c>
      <c r="H2179" s="679"/>
    </row>
    <row r="2180" customFormat="false" ht="15" hidden="false" customHeight="false" outlineLevel="0" collapsed="false">
      <c r="A2180" s="707"/>
      <c r="B2180" s="708" t="s">
        <v>4128</v>
      </c>
      <c r="C2180" s="718"/>
      <c r="D2180" s="719"/>
      <c r="E2180" s="722"/>
      <c r="F2180" s="366"/>
      <c r="G2180" s="711" t="n">
        <f aca="false">SUM(G2171:G2179)</f>
        <v>2665.851</v>
      </c>
      <c r="H2180" s="392"/>
    </row>
    <row r="2181" customFormat="false" ht="15" hidden="false" customHeight="false" outlineLevel="0" collapsed="false">
      <c r="A2181" s="707" t="s">
        <v>430</v>
      </c>
      <c r="B2181" s="487" t="s">
        <v>3062</v>
      </c>
      <c r="C2181" s="709" t="s">
        <v>4544</v>
      </c>
      <c r="D2181" s="679" t="s">
        <v>4133</v>
      </c>
      <c r="E2181" s="715" t="n">
        <v>0.14</v>
      </c>
      <c r="F2181" s="369" t="n">
        <v>1964</v>
      </c>
      <c r="G2181" s="727" t="n">
        <f aca="false">E2181*F2181</f>
        <v>274.96</v>
      </c>
      <c r="H2181" s="679"/>
    </row>
    <row r="2182" customFormat="false" ht="15" hidden="false" customHeight="false" outlineLevel="0" collapsed="false">
      <c r="A2182" s="707"/>
      <c r="B2182" s="522"/>
      <c r="C2182" s="709" t="s">
        <v>4545</v>
      </c>
      <c r="D2182" s="679" t="s">
        <v>4133</v>
      </c>
      <c r="E2182" s="710" t="n">
        <v>0.006</v>
      </c>
      <c r="F2182" s="369" t="n">
        <v>1071</v>
      </c>
      <c r="G2182" s="727" t="n">
        <f aca="false">E2182*F2182</f>
        <v>6.426</v>
      </c>
      <c r="H2182" s="679"/>
    </row>
    <row r="2183" customFormat="false" ht="15" hidden="false" customHeight="false" outlineLevel="0" collapsed="false">
      <c r="A2183" s="707"/>
      <c r="B2183" s="522"/>
      <c r="C2183" s="709" t="s">
        <v>4546</v>
      </c>
      <c r="D2183" s="679" t="s">
        <v>4133</v>
      </c>
      <c r="E2183" s="542" t="n">
        <v>0.1</v>
      </c>
      <c r="F2183" s="369" t="n">
        <v>3640</v>
      </c>
      <c r="G2183" s="727" t="n">
        <f aca="false">E2183*F2183</f>
        <v>364</v>
      </c>
      <c r="H2183" s="679"/>
    </row>
    <row r="2184" customFormat="false" ht="15" hidden="false" customHeight="false" outlineLevel="0" collapsed="false">
      <c r="A2184" s="707"/>
      <c r="B2184" s="522"/>
      <c r="C2184" s="709" t="s">
        <v>4529</v>
      </c>
      <c r="D2184" s="679" t="s">
        <v>4133</v>
      </c>
      <c r="E2184" s="542" t="n">
        <v>0.1</v>
      </c>
      <c r="F2184" s="369" t="n">
        <v>1200</v>
      </c>
      <c r="G2184" s="727" t="n">
        <f aca="false">E2184*F2184</f>
        <v>120</v>
      </c>
      <c r="H2184" s="679"/>
    </row>
    <row r="2185" customFormat="false" ht="15" hidden="false" customHeight="false" outlineLevel="0" collapsed="false">
      <c r="A2185" s="707"/>
      <c r="B2185" s="522"/>
      <c r="C2185" s="709" t="s">
        <v>4547</v>
      </c>
      <c r="D2185" s="679" t="s">
        <v>4133</v>
      </c>
      <c r="E2185" s="710" t="n">
        <v>0.004</v>
      </c>
      <c r="F2185" s="369" t="n">
        <v>32650</v>
      </c>
      <c r="G2185" s="727" t="n">
        <f aca="false">E2185*F2185</f>
        <v>130.6</v>
      </c>
      <c r="H2185" s="679"/>
    </row>
    <row r="2186" customFormat="false" ht="15" hidden="false" customHeight="false" outlineLevel="0" collapsed="false">
      <c r="A2186" s="707"/>
      <c r="B2186" s="522"/>
      <c r="C2186" s="709" t="s">
        <v>4548</v>
      </c>
      <c r="D2186" s="679" t="s">
        <v>4392</v>
      </c>
      <c r="E2186" s="710" t="n">
        <v>0.08</v>
      </c>
      <c r="F2186" s="369" t="n">
        <v>892</v>
      </c>
      <c r="G2186" s="727" t="n">
        <f aca="false">E2186*F2186</f>
        <v>71.36</v>
      </c>
      <c r="H2186" s="679"/>
    </row>
    <row r="2187" customFormat="false" ht="15" hidden="false" customHeight="false" outlineLevel="0" collapsed="false">
      <c r="A2187" s="707"/>
      <c r="B2187" s="522"/>
      <c r="C2187" s="709" t="s">
        <v>4549</v>
      </c>
      <c r="D2187" s="679" t="s">
        <v>4392</v>
      </c>
      <c r="E2187" s="710" t="n">
        <v>0.42923</v>
      </c>
      <c r="F2187" s="721" t="n">
        <v>3500</v>
      </c>
      <c r="G2187" s="727" t="n">
        <f aca="false">E2187*F2187</f>
        <v>1502.305</v>
      </c>
      <c r="H2187" s="679"/>
    </row>
    <row r="2188" customFormat="false" ht="15" hidden="false" customHeight="false" outlineLevel="0" collapsed="false">
      <c r="A2188" s="707"/>
      <c r="B2188" s="522"/>
      <c r="C2188" s="709" t="s">
        <v>4515</v>
      </c>
      <c r="D2188" s="679" t="s">
        <v>4133</v>
      </c>
      <c r="E2188" s="710" t="n">
        <v>0.006</v>
      </c>
      <c r="F2188" s="369" t="n">
        <v>2700</v>
      </c>
      <c r="G2188" s="727" t="n">
        <f aca="false">E2188*F2188</f>
        <v>16.2</v>
      </c>
      <c r="H2188" s="679"/>
    </row>
    <row r="2189" customFormat="false" ht="15" hidden="false" customHeight="false" outlineLevel="0" collapsed="false">
      <c r="A2189" s="707"/>
      <c r="B2189" s="522"/>
      <c r="C2189" s="709" t="s">
        <v>4124</v>
      </c>
      <c r="D2189" s="679" t="s">
        <v>4516</v>
      </c>
      <c r="E2189" s="542" t="n">
        <v>1.5</v>
      </c>
      <c r="F2189" s="369" t="n">
        <v>120</v>
      </c>
      <c r="G2189" s="727" t="n">
        <f aca="false">E2189*F2189</f>
        <v>180</v>
      </c>
      <c r="H2189" s="679"/>
    </row>
    <row r="2190" customFormat="false" ht="15" hidden="false" customHeight="false" outlineLevel="0" collapsed="false">
      <c r="A2190" s="707"/>
      <c r="B2190" s="708" t="s">
        <v>4128</v>
      </c>
      <c r="C2190" s="718"/>
      <c r="D2190" s="719"/>
      <c r="E2190" s="722"/>
      <c r="F2190" s="366"/>
      <c r="G2190" s="711" t="n">
        <f aca="false">SUM(G2181:G2189)</f>
        <v>2665.851</v>
      </c>
      <c r="H2190" s="392"/>
    </row>
    <row r="2191" customFormat="false" ht="15" hidden="false" customHeight="false" outlineLevel="0" collapsed="false">
      <c r="A2191" s="707" t="s">
        <v>432</v>
      </c>
      <c r="B2191" s="487" t="s">
        <v>3063</v>
      </c>
      <c r="C2191" s="709" t="s">
        <v>4122</v>
      </c>
      <c r="D2191" s="679" t="s">
        <v>4392</v>
      </c>
      <c r="E2191" s="542" t="n">
        <v>0.3</v>
      </c>
      <c r="F2191" s="369" t="n">
        <v>720</v>
      </c>
      <c r="G2191" s="727" t="n">
        <f aca="false">E2191*F2191</f>
        <v>216</v>
      </c>
      <c r="H2191" s="679"/>
    </row>
    <row r="2192" customFormat="false" ht="15" hidden="false" customHeight="false" outlineLevel="0" collapsed="false">
      <c r="A2192" s="707"/>
      <c r="B2192" s="522"/>
      <c r="C2192" s="709" t="s">
        <v>4515</v>
      </c>
      <c r="D2192" s="679" t="s">
        <v>4133</v>
      </c>
      <c r="E2192" s="710" t="n">
        <v>0.006</v>
      </c>
      <c r="F2192" s="369" t="n">
        <v>2700</v>
      </c>
      <c r="G2192" s="727" t="n">
        <f aca="false">E2192*F2192</f>
        <v>16.2</v>
      </c>
      <c r="H2192" s="679"/>
    </row>
    <row r="2193" customFormat="false" ht="15" hidden="false" customHeight="false" outlineLevel="0" collapsed="false">
      <c r="A2193" s="707"/>
      <c r="B2193" s="522"/>
      <c r="C2193" s="709" t="s">
        <v>4124</v>
      </c>
      <c r="D2193" s="679" t="s">
        <v>4516</v>
      </c>
      <c r="E2193" s="542" t="n">
        <v>1.5</v>
      </c>
      <c r="F2193" s="369" t="n">
        <v>120</v>
      </c>
      <c r="G2193" s="727" t="n">
        <f aca="false">E2193*F2193</f>
        <v>180</v>
      </c>
      <c r="H2193" s="679"/>
    </row>
    <row r="2194" customFormat="false" ht="15" hidden="false" customHeight="false" outlineLevel="0" collapsed="false">
      <c r="A2194" s="707"/>
      <c r="B2194" s="708" t="s">
        <v>4128</v>
      </c>
      <c r="C2194" s="718"/>
      <c r="D2194" s="719"/>
      <c r="E2194" s="722"/>
      <c r="F2194" s="366"/>
      <c r="G2194" s="711" t="n">
        <f aca="false">SUM(G2191:G2193)</f>
        <v>412.2</v>
      </c>
      <c r="H2194" s="392"/>
    </row>
    <row r="2195" customFormat="false" ht="15" hidden="false" customHeight="false" outlineLevel="0" collapsed="false">
      <c r="A2195" s="707" t="s">
        <v>434</v>
      </c>
      <c r="B2195" s="487" t="s">
        <v>3064</v>
      </c>
      <c r="C2195" s="532" t="s">
        <v>4567</v>
      </c>
      <c r="D2195" s="679" t="s">
        <v>4555</v>
      </c>
      <c r="E2195" s="726" t="n">
        <v>0.01</v>
      </c>
      <c r="F2195" s="721" t="n">
        <v>108000</v>
      </c>
      <c r="G2195" s="727" t="n">
        <f aca="false">E2195*F2195</f>
        <v>1080</v>
      </c>
      <c r="H2195" s="679"/>
    </row>
    <row r="2196" customFormat="false" ht="15" hidden="false" customHeight="false" outlineLevel="0" collapsed="false">
      <c r="A2196" s="380"/>
      <c r="B2196" s="522"/>
      <c r="C2196" s="471" t="s">
        <v>4189</v>
      </c>
      <c r="D2196" s="728" t="s">
        <v>4133</v>
      </c>
      <c r="E2196" s="726" t="n">
        <v>0.02</v>
      </c>
      <c r="F2196" s="729" t="n">
        <v>3500</v>
      </c>
      <c r="G2196" s="727" t="n">
        <f aca="false">E2196*F2196</f>
        <v>70</v>
      </c>
      <c r="H2196" s="679"/>
    </row>
    <row r="2197" customFormat="false" ht="15" hidden="false" customHeight="false" outlineLevel="0" collapsed="false">
      <c r="A2197" s="380"/>
      <c r="B2197" s="522"/>
      <c r="C2197" s="532" t="s">
        <v>4557</v>
      </c>
      <c r="D2197" s="728" t="s">
        <v>4133</v>
      </c>
      <c r="E2197" s="726" t="n">
        <v>0.06</v>
      </c>
      <c r="F2197" s="369" t="n">
        <v>1750</v>
      </c>
      <c r="G2197" s="727" t="n">
        <f aca="false">E2197*F2197</f>
        <v>105</v>
      </c>
      <c r="H2197" s="679"/>
    </row>
    <row r="2198" customFormat="false" ht="15" hidden="false" customHeight="false" outlineLevel="0" collapsed="false">
      <c r="A2198" s="380"/>
      <c r="B2198" s="522"/>
      <c r="C2198" s="532" t="s">
        <v>4563</v>
      </c>
      <c r="D2198" s="728" t="s">
        <v>4133</v>
      </c>
      <c r="E2198" s="733" t="n">
        <v>0.08</v>
      </c>
      <c r="F2198" s="717" t="n">
        <v>25200</v>
      </c>
      <c r="G2198" s="727" t="n">
        <f aca="false">E2198*F2198</f>
        <v>2016</v>
      </c>
      <c r="H2198" s="679"/>
    </row>
    <row r="2199" customFormat="false" ht="15" hidden="false" customHeight="false" outlineLevel="0" collapsed="false">
      <c r="A2199" s="380"/>
      <c r="B2199" s="522"/>
      <c r="C2199" s="532" t="s">
        <v>4564</v>
      </c>
      <c r="D2199" s="728" t="s">
        <v>4133</v>
      </c>
      <c r="E2199" s="726" t="n">
        <v>0.06</v>
      </c>
      <c r="F2199" s="721" t="n">
        <v>3500</v>
      </c>
      <c r="G2199" s="727" t="n">
        <f aca="false">E2199*F2199</f>
        <v>210</v>
      </c>
      <c r="H2199" s="679"/>
    </row>
    <row r="2200" customFormat="false" ht="15" hidden="false" customHeight="false" outlineLevel="0" collapsed="false">
      <c r="A2200" s="380"/>
      <c r="B2200" s="522"/>
      <c r="C2200" s="532" t="s">
        <v>4565</v>
      </c>
      <c r="D2200" s="728" t="s">
        <v>4133</v>
      </c>
      <c r="E2200" s="726" t="n">
        <v>0.01</v>
      </c>
      <c r="F2200" s="721" t="n">
        <v>870</v>
      </c>
      <c r="G2200" s="727" t="n">
        <f aca="false">E2200*F2200</f>
        <v>8.7</v>
      </c>
      <c r="H2200" s="679"/>
    </row>
    <row r="2201" customFormat="false" ht="15" hidden="false" customHeight="false" outlineLevel="0" collapsed="false">
      <c r="A2201" s="380"/>
      <c r="B2201" s="522"/>
      <c r="C2201" s="532" t="s">
        <v>4566</v>
      </c>
      <c r="D2201" s="728" t="s">
        <v>4133</v>
      </c>
      <c r="E2201" s="726" t="n">
        <v>0.05</v>
      </c>
      <c r="F2201" s="721" t="n">
        <v>300</v>
      </c>
      <c r="G2201" s="727" t="n">
        <f aca="false">E2201*F2201</f>
        <v>15</v>
      </c>
      <c r="H2201" s="679"/>
    </row>
    <row r="2202" customFormat="false" ht="15" hidden="false" customHeight="false" outlineLevel="0" collapsed="false">
      <c r="A2202" s="380"/>
      <c r="B2202" s="522"/>
      <c r="C2202" s="325" t="s">
        <v>4556</v>
      </c>
      <c r="D2202" s="728" t="s">
        <v>4133</v>
      </c>
      <c r="E2202" s="726" t="n">
        <v>0.05</v>
      </c>
      <c r="F2202" s="723" t="n">
        <v>3612</v>
      </c>
      <c r="G2202" s="727" t="n">
        <f aca="false">E2202*F2202</f>
        <v>180.6</v>
      </c>
      <c r="H2202" s="679"/>
    </row>
    <row r="2203" customFormat="false" ht="30" hidden="false" customHeight="false" outlineLevel="0" collapsed="false">
      <c r="A2203" s="380"/>
      <c r="B2203" s="522"/>
      <c r="C2203" s="532" t="s">
        <v>4560</v>
      </c>
      <c r="D2203" s="728" t="s">
        <v>4348</v>
      </c>
      <c r="E2203" s="679" t="n">
        <v>5</v>
      </c>
      <c r="F2203" s="729" t="n">
        <v>5.1</v>
      </c>
      <c r="G2203" s="727" t="n">
        <f aca="false">E2203*F2203</f>
        <v>25.5</v>
      </c>
      <c r="H2203" s="679"/>
    </row>
    <row r="2204" customFormat="false" ht="15" hidden="false" customHeight="false" outlineLevel="0" collapsed="false">
      <c r="A2204" s="380"/>
      <c r="B2204" s="522"/>
      <c r="C2204" s="709" t="s">
        <v>4515</v>
      </c>
      <c r="D2204" s="679" t="s">
        <v>4133</v>
      </c>
      <c r="E2204" s="710" t="n">
        <v>0.006</v>
      </c>
      <c r="F2204" s="369" t="n">
        <v>2700</v>
      </c>
      <c r="G2204" s="727" t="n">
        <f aca="false">E2204*F2204</f>
        <v>16.2</v>
      </c>
      <c r="H2204" s="679"/>
    </row>
    <row r="2205" customFormat="false" ht="15" hidden="false" customHeight="false" outlineLevel="0" collapsed="false">
      <c r="A2205" s="380"/>
      <c r="B2205" s="522"/>
      <c r="C2205" s="709" t="s">
        <v>4124</v>
      </c>
      <c r="D2205" s="679" t="s">
        <v>4516</v>
      </c>
      <c r="E2205" s="715" t="n">
        <v>1.5</v>
      </c>
      <c r="F2205" s="369" t="n">
        <v>120</v>
      </c>
      <c r="G2205" s="727" t="n">
        <f aca="false">E2205*F2205</f>
        <v>180</v>
      </c>
      <c r="H2205" s="679"/>
    </row>
    <row r="2206" customFormat="false" ht="15" hidden="false" customHeight="false" outlineLevel="0" collapsed="false">
      <c r="A2206" s="380"/>
      <c r="B2206" s="708" t="s">
        <v>4128</v>
      </c>
      <c r="C2206" s="709"/>
      <c r="D2206" s="679"/>
      <c r="E2206" s="710"/>
      <c r="F2206" s="369"/>
      <c r="G2206" s="711" t="n">
        <f aca="false">SUM(G2195:G2205)</f>
        <v>3907</v>
      </c>
      <c r="H2206" s="392"/>
    </row>
    <row r="2207" customFormat="false" ht="15" hidden="false" customHeight="false" outlineLevel="0" collapsed="false">
      <c r="A2207" s="707" t="s">
        <v>436</v>
      </c>
      <c r="B2207" s="487" t="s">
        <v>3065</v>
      </c>
      <c r="C2207" s="532" t="s">
        <v>4567</v>
      </c>
      <c r="D2207" s="679" t="s">
        <v>4555</v>
      </c>
      <c r="E2207" s="726" t="n">
        <v>0.02</v>
      </c>
      <c r="F2207" s="721" t="n">
        <v>108000</v>
      </c>
      <c r="G2207" s="727" t="n">
        <f aca="false">E2207*F2207</f>
        <v>2160</v>
      </c>
      <c r="H2207" s="392"/>
    </row>
    <row r="2208" customFormat="false" ht="15" hidden="false" customHeight="false" outlineLevel="0" collapsed="false">
      <c r="A2208" s="707"/>
      <c r="B2208" s="708"/>
      <c r="C2208" s="471" t="s">
        <v>4189</v>
      </c>
      <c r="D2208" s="728" t="s">
        <v>4133</v>
      </c>
      <c r="E2208" s="726" t="n">
        <v>0.02</v>
      </c>
      <c r="F2208" s="729" t="n">
        <v>3500</v>
      </c>
      <c r="G2208" s="727" t="n">
        <f aca="false">E2208*F2208</f>
        <v>70</v>
      </c>
      <c r="H2208" s="392"/>
    </row>
    <row r="2209" customFormat="false" ht="15" hidden="false" customHeight="false" outlineLevel="0" collapsed="false">
      <c r="A2209" s="707"/>
      <c r="B2209" s="708"/>
      <c r="C2209" s="325" t="s">
        <v>4556</v>
      </c>
      <c r="D2209" s="728" t="s">
        <v>4133</v>
      </c>
      <c r="E2209" s="726" t="n">
        <v>0.01</v>
      </c>
      <c r="F2209" s="723" t="n">
        <v>3612</v>
      </c>
      <c r="G2209" s="727" t="n">
        <f aca="false">E2209*F2209</f>
        <v>36.12</v>
      </c>
      <c r="H2209" s="392"/>
    </row>
    <row r="2210" customFormat="false" ht="15" hidden="false" customHeight="false" outlineLevel="0" collapsed="false">
      <c r="A2210" s="707"/>
      <c r="B2210" s="708"/>
      <c r="C2210" s="532" t="s">
        <v>4557</v>
      </c>
      <c r="D2210" s="728" t="s">
        <v>4133</v>
      </c>
      <c r="E2210" s="726" t="n">
        <v>0.06</v>
      </c>
      <c r="F2210" s="369" t="n">
        <v>1750</v>
      </c>
      <c r="G2210" s="727" t="n">
        <f aca="false">E2210*F2210</f>
        <v>105</v>
      </c>
      <c r="H2210" s="392"/>
    </row>
    <row r="2211" customFormat="false" ht="15" hidden="false" customHeight="false" outlineLevel="0" collapsed="false">
      <c r="A2211" s="707"/>
      <c r="B2211" s="708"/>
      <c r="C2211" s="532" t="s">
        <v>4558</v>
      </c>
      <c r="D2211" s="679" t="s">
        <v>4559</v>
      </c>
      <c r="E2211" s="726" t="n">
        <v>0.01</v>
      </c>
      <c r="F2211" s="721" t="n">
        <v>178100</v>
      </c>
      <c r="G2211" s="727" t="n">
        <f aca="false">E2211*F2211</f>
        <v>1781</v>
      </c>
      <c r="H2211" s="392"/>
    </row>
    <row r="2212" customFormat="false" ht="30" hidden="false" customHeight="false" outlineLevel="0" collapsed="false">
      <c r="A2212" s="707"/>
      <c r="B2212" s="708"/>
      <c r="C2212" s="532" t="s">
        <v>4560</v>
      </c>
      <c r="D2212" s="728" t="s">
        <v>4348</v>
      </c>
      <c r="E2212" s="679" t="n">
        <v>5</v>
      </c>
      <c r="F2212" s="729" t="n">
        <v>5.1</v>
      </c>
      <c r="G2212" s="727" t="n">
        <f aca="false">E2212*F2212</f>
        <v>25.5</v>
      </c>
      <c r="H2212" s="392"/>
    </row>
    <row r="2213" customFormat="false" ht="15" hidden="false" customHeight="false" outlineLevel="0" collapsed="false">
      <c r="A2213" s="707"/>
      <c r="B2213" s="708"/>
      <c r="C2213" s="709" t="s">
        <v>4515</v>
      </c>
      <c r="D2213" s="679" t="s">
        <v>4133</v>
      </c>
      <c r="E2213" s="710" t="n">
        <v>0.006</v>
      </c>
      <c r="F2213" s="369" t="n">
        <v>2700</v>
      </c>
      <c r="G2213" s="727" t="n">
        <f aca="false">E2213*F2213</f>
        <v>16.2</v>
      </c>
      <c r="H2213" s="392"/>
    </row>
    <row r="2214" customFormat="false" ht="15" hidden="false" customHeight="false" outlineLevel="0" collapsed="false">
      <c r="A2214" s="707"/>
      <c r="B2214" s="708"/>
      <c r="C2214" s="709" t="s">
        <v>4124</v>
      </c>
      <c r="D2214" s="679" t="s">
        <v>4516</v>
      </c>
      <c r="E2214" s="710" t="n">
        <v>0.142</v>
      </c>
      <c r="F2214" s="369" t="n">
        <v>120</v>
      </c>
      <c r="G2214" s="727" t="n">
        <f aca="false">E2214*F2214</f>
        <v>17.04</v>
      </c>
      <c r="H2214" s="392"/>
    </row>
    <row r="2215" customFormat="false" ht="15" hidden="false" customHeight="false" outlineLevel="0" collapsed="false">
      <c r="A2215" s="707"/>
      <c r="B2215" s="708" t="s">
        <v>4128</v>
      </c>
      <c r="C2215" s="709"/>
      <c r="D2215" s="679"/>
      <c r="E2215" s="710"/>
      <c r="F2215" s="369"/>
      <c r="G2215" s="711" t="n">
        <f aca="false">SUM(G2207:G2214)</f>
        <v>4210.86</v>
      </c>
      <c r="H2215" s="392"/>
    </row>
    <row r="2216" customFormat="false" ht="15" hidden="false" customHeight="false" outlineLevel="0" collapsed="false">
      <c r="A2216" s="707" t="s">
        <v>438</v>
      </c>
      <c r="B2216" s="487" t="s">
        <v>3066</v>
      </c>
      <c r="C2216" s="532" t="s">
        <v>4554</v>
      </c>
      <c r="D2216" s="679" t="s">
        <v>4555</v>
      </c>
      <c r="E2216" s="756" t="n">
        <v>0.0125</v>
      </c>
      <c r="F2216" s="721" t="n">
        <v>108000</v>
      </c>
      <c r="G2216" s="727" t="n">
        <f aca="false">E2216*F2216</f>
        <v>1350</v>
      </c>
      <c r="H2216" s="679"/>
    </row>
    <row r="2217" customFormat="false" ht="15" hidden="false" customHeight="false" outlineLevel="0" collapsed="false">
      <c r="A2217" s="707"/>
      <c r="B2217" s="522"/>
      <c r="C2217" s="471" t="s">
        <v>4189</v>
      </c>
      <c r="D2217" s="728" t="s">
        <v>4133</v>
      </c>
      <c r="E2217" s="726" t="n">
        <v>0.1</v>
      </c>
      <c r="F2217" s="729" t="n">
        <v>3500</v>
      </c>
      <c r="G2217" s="727" t="n">
        <f aca="false">E2217*F2217</f>
        <v>350</v>
      </c>
      <c r="H2217" s="679"/>
    </row>
    <row r="2218" customFormat="false" ht="15" hidden="false" customHeight="false" outlineLevel="0" collapsed="false">
      <c r="A2218" s="707"/>
      <c r="B2218" s="522"/>
      <c r="C2218" s="325" t="s">
        <v>4556</v>
      </c>
      <c r="D2218" s="728" t="s">
        <v>4133</v>
      </c>
      <c r="E2218" s="726" t="n">
        <v>0.1</v>
      </c>
      <c r="F2218" s="723" t="n">
        <v>3612</v>
      </c>
      <c r="G2218" s="727" t="n">
        <f aca="false">E2218*F2218</f>
        <v>361.2</v>
      </c>
      <c r="H2218" s="679"/>
    </row>
    <row r="2219" customFormat="false" ht="15" hidden="false" customHeight="false" outlineLevel="0" collapsed="false">
      <c r="A2219" s="707"/>
      <c r="B2219" s="522"/>
      <c r="C2219" s="532" t="s">
        <v>4557</v>
      </c>
      <c r="D2219" s="728" t="s">
        <v>4133</v>
      </c>
      <c r="E2219" s="726" t="n">
        <v>0.06</v>
      </c>
      <c r="F2219" s="369" t="n">
        <v>1750</v>
      </c>
      <c r="G2219" s="727" t="n">
        <f aca="false">E2219*F2219</f>
        <v>105</v>
      </c>
      <c r="H2219" s="679"/>
    </row>
    <row r="2220" customFormat="false" ht="60" hidden="false" customHeight="false" outlineLevel="0" collapsed="false">
      <c r="A2220" s="380"/>
      <c r="B2220" s="522"/>
      <c r="C2220" s="532" t="s">
        <v>4603</v>
      </c>
      <c r="D2220" s="679" t="s">
        <v>4559</v>
      </c>
      <c r="E2220" s="726" t="n">
        <v>0.02</v>
      </c>
      <c r="F2220" s="721" t="n">
        <v>7500</v>
      </c>
      <c r="G2220" s="727" t="n">
        <f aca="false">E2220*F2220</f>
        <v>150</v>
      </c>
      <c r="H2220" s="679"/>
    </row>
    <row r="2221" customFormat="false" ht="30" hidden="false" customHeight="false" outlineLevel="0" collapsed="false">
      <c r="A2221" s="380"/>
      <c r="B2221" s="522"/>
      <c r="C2221" s="532" t="s">
        <v>4560</v>
      </c>
      <c r="D2221" s="728" t="s">
        <v>4348</v>
      </c>
      <c r="E2221" s="731" t="n">
        <v>5</v>
      </c>
      <c r="F2221" s="729" t="n">
        <v>5.1</v>
      </c>
      <c r="G2221" s="727" t="n">
        <f aca="false">E2221*F2221</f>
        <v>25.5</v>
      </c>
      <c r="H2221" s="679"/>
    </row>
    <row r="2222" customFormat="false" ht="15" hidden="false" customHeight="false" outlineLevel="0" collapsed="false">
      <c r="A2222" s="380"/>
      <c r="B2222" s="522"/>
      <c r="C2222" s="532" t="s">
        <v>4554</v>
      </c>
      <c r="D2222" s="679" t="s">
        <v>4555</v>
      </c>
      <c r="E2222" s="726" t="n">
        <v>0.01</v>
      </c>
      <c r="F2222" s="721" t="n">
        <v>108000</v>
      </c>
      <c r="G2222" s="727" t="n">
        <f aca="false">E2222*F2222</f>
        <v>1080</v>
      </c>
      <c r="H2222" s="679"/>
    </row>
    <row r="2223" customFormat="false" ht="15" hidden="false" customHeight="false" outlineLevel="0" collapsed="false">
      <c r="A2223" s="380"/>
      <c r="B2223" s="522"/>
      <c r="C2223" s="471" t="s">
        <v>4189</v>
      </c>
      <c r="D2223" s="728" t="s">
        <v>4133</v>
      </c>
      <c r="E2223" s="726" t="n">
        <v>0.1</v>
      </c>
      <c r="F2223" s="729" t="n">
        <v>3500</v>
      </c>
      <c r="G2223" s="727" t="n">
        <f aca="false">E2223*F2223</f>
        <v>350</v>
      </c>
      <c r="H2223" s="679"/>
    </row>
    <row r="2224" customFormat="false" ht="15" hidden="false" customHeight="false" outlineLevel="0" collapsed="false">
      <c r="A2224" s="380"/>
      <c r="B2224" s="522"/>
      <c r="C2224" s="325" t="s">
        <v>4556</v>
      </c>
      <c r="D2224" s="728" t="s">
        <v>4133</v>
      </c>
      <c r="E2224" s="726" t="n">
        <v>0.1</v>
      </c>
      <c r="F2224" s="723" t="n">
        <v>3612</v>
      </c>
      <c r="G2224" s="727" t="n">
        <f aca="false">E2224*F2224</f>
        <v>361.2</v>
      </c>
      <c r="H2224" s="679"/>
    </row>
    <row r="2225" customFormat="false" ht="15" hidden="false" customHeight="false" outlineLevel="0" collapsed="false">
      <c r="A2225" s="380"/>
      <c r="B2225" s="522"/>
      <c r="C2225" s="532" t="s">
        <v>4557</v>
      </c>
      <c r="D2225" s="728" t="s">
        <v>4133</v>
      </c>
      <c r="E2225" s="726" t="n">
        <v>0.06</v>
      </c>
      <c r="F2225" s="369" t="n">
        <v>1750</v>
      </c>
      <c r="G2225" s="727" t="n">
        <f aca="false">E2225*F2225</f>
        <v>105</v>
      </c>
      <c r="H2225" s="679"/>
    </row>
    <row r="2226" customFormat="false" ht="15" hidden="false" customHeight="false" outlineLevel="0" collapsed="false">
      <c r="A2226" s="380"/>
      <c r="B2226" s="522"/>
      <c r="C2226" s="532" t="s">
        <v>4558</v>
      </c>
      <c r="D2226" s="679" t="s">
        <v>4559</v>
      </c>
      <c r="E2226" s="726" t="n">
        <v>0.007</v>
      </c>
      <c r="F2226" s="721" t="n">
        <v>178100</v>
      </c>
      <c r="G2226" s="727" t="n">
        <f aca="false">E2226*F2226</f>
        <v>1246.7</v>
      </c>
      <c r="H2226" s="679"/>
    </row>
    <row r="2227" customFormat="false" ht="30" hidden="false" customHeight="false" outlineLevel="0" collapsed="false">
      <c r="A2227" s="380"/>
      <c r="B2227" s="679"/>
      <c r="C2227" s="532" t="s">
        <v>4560</v>
      </c>
      <c r="D2227" s="728" t="s">
        <v>4348</v>
      </c>
      <c r="E2227" s="679" t="n">
        <v>5</v>
      </c>
      <c r="F2227" s="729" t="n">
        <v>5.1</v>
      </c>
      <c r="G2227" s="727" t="n">
        <f aca="false">E2227*F2227</f>
        <v>25.5</v>
      </c>
      <c r="H2227" s="392"/>
    </row>
    <row r="2228" customFormat="false" ht="15" hidden="false" customHeight="false" outlineLevel="0" collapsed="false">
      <c r="A2228" s="380"/>
      <c r="B2228" s="679"/>
      <c r="C2228" s="709" t="s">
        <v>4515</v>
      </c>
      <c r="D2228" s="679" t="s">
        <v>4133</v>
      </c>
      <c r="E2228" s="710" t="n">
        <v>0.006</v>
      </c>
      <c r="F2228" s="369" t="n">
        <v>2700</v>
      </c>
      <c r="G2228" s="727" t="n">
        <f aca="false">E2228*F2228</f>
        <v>16.2</v>
      </c>
      <c r="H2228" s="392"/>
    </row>
    <row r="2229" customFormat="false" ht="15" hidden="false" customHeight="false" outlineLevel="0" collapsed="false">
      <c r="A2229" s="380"/>
      <c r="B2229" s="679"/>
      <c r="C2229" s="709" t="s">
        <v>4124</v>
      </c>
      <c r="D2229" s="679" t="s">
        <v>4516</v>
      </c>
      <c r="E2229" s="710" t="n">
        <v>0.142</v>
      </c>
      <c r="F2229" s="369" t="n">
        <v>120</v>
      </c>
      <c r="G2229" s="727" t="n">
        <f aca="false">E2229*F2229</f>
        <v>17.04</v>
      </c>
      <c r="H2229" s="392"/>
    </row>
    <row r="2230" customFormat="false" ht="15" hidden="false" customHeight="false" outlineLevel="0" collapsed="false">
      <c r="A2230" s="380"/>
      <c r="B2230" s="708" t="s">
        <v>4128</v>
      </c>
      <c r="C2230" s="532"/>
      <c r="D2230" s="728"/>
      <c r="E2230" s="679"/>
      <c r="F2230" s="729"/>
      <c r="G2230" s="735" t="n">
        <f aca="false">SUM(G2216:G2229)</f>
        <v>5543.34</v>
      </c>
      <c r="H2230" s="392"/>
    </row>
    <row r="2231" customFormat="false" ht="15" hidden="false" customHeight="false" outlineLevel="0" collapsed="false">
      <c r="A2231" s="707" t="s">
        <v>440</v>
      </c>
      <c r="B2231" s="487" t="s">
        <v>3067</v>
      </c>
      <c r="C2231" s="532" t="s">
        <v>4554</v>
      </c>
      <c r="D2231" s="679" t="s">
        <v>4555</v>
      </c>
      <c r="E2231" s="726" t="n">
        <v>0.02</v>
      </c>
      <c r="F2231" s="721" t="n">
        <v>108000</v>
      </c>
      <c r="G2231" s="727" t="n">
        <f aca="false">E2231*F2231</f>
        <v>2160</v>
      </c>
      <c r="H2231" s="392"/>
    </row>
    <row r="2232" customFormat="false" ht="15" hidden="false" customHeight="false" outlineLevel="0" collapsed="false">
      <c r="A2232" s="380"/>
      <c r="B2232" s="708"/>
      <c r="C2232" s="471" t="s">
        <v>4189</v>
      </c>
      <c r="D2232" s="728" t="s">
        <v>4133</v>
      </c>
      <c r="E2232" s="726" t="n">
        <v>0.02</v>
      </c>
      <c r="F2232" s="729" t="n">
        <v>3500</v>
      </c>
      <c r="G2232" s="727" t="n">
        <f aca="false">E2232*F2232</f>
        <v>70</v>
      </c>
      <c r="H2232" s="392"/>
    </row>
    <row r="2233" customFormat="false" ht="15" hidden="false" customHeight="false" outlineLevel="0" collapsed="false">
      <c r="A2233" s="380"/>
      <c r="B2233" s="708"/>
      <c r="C2233" s="532" t="s">
        <v>4557</v>
      </c>
      <c r="D2233" s="728" t="s">
        <v>4133</v>
      </c>
      <c r="E2233" s="726" t="n">
        <v>0.06</v>
      </c>
      <c r="F2233" s="369" t="n">
        <v>1750</v>
      </c>
      <c r="G2233" s="727" t="n">
        <f aca="false">E2233*F2233</f>
        <v>105</v>
      </c>
      <c r="H2233" s="392"/>
    </row>
    <row r="2234" customFormat="false" ht="15" hidden="false" customHeight="false" outlineLevel="0" collapsed="false">
      <c r="A2234" s="380"/>
      <c r="B2234" s="708"/>
      <c r="C2234" s="532" t="s">
        <v>4563</v>
      </c>
      <c r="D2234" s="728" t="s">
        <v>4133</v>
      </c>
      <c r="E2234" s="726" t="n">
        <v>0.03</v>
      </c>
      <c r="F2234" s="717" t="n">
        <v>25200</v>
      </c>
      <c r="G2234" s="727" t="n">
        <f aca="false">E2234*F2234</f>
        <v>756</v>
      </c>
      <c r="H2234" s="392"/>
    </row>
    <row r="2235" customFormat="false" ht="15" hidden="false" customHeight="false" outlineLevel="0" collapsed="false">
      <c r="A2235" s="380"/>
      <c r="B2235" s="708"/>
      <c r="C2235" s="532" t="s">
        <v>4564</v>
      </c>
      <c r="D2235" s="728" t="s">
        <v>4133</v>
      </c>
      <c r="E2235" s="726" t="n">
        <v>0.06</v>
      </c>
      <c r="F2235" s="721" t="n">
        <v>3500</v>
      </c>
      <c r="G2235" s="727" t="n">
        <f aca="false">E2235*F2235</f>
        <v>210</v>
      </c>
      <c r="H2235" s="392"/>
    </row>
    <row r="2236" customFormat="false" ht="15" hidden="false" customHeight="false" outlineLevel="0" collapsed="false">
      <c r="A2236" s="380"/>
      <c r="B2236" s="708"/>
      <c r="C2236" s="532" t="s">
        <v>4565</v>
      </c>
      <c r="D2236" s="728" t="s">
        <v>4133</v>
      </c>
      <c r="E2236" s="726" t="n">
        <v>0.01</v>
      </c>
      <c r="F2236" s="721" t="n">
        <v>870</v>
      </c>
      <c r="G2236" s="727" t="n">
        <f aca="false">E2236*F2236</f>
        <v>8.7</v>
      </c>
      <c r="H2236" s="392"/>
    </row>
    <row r="2237" customFormat="false" ht="15" hidden="false" customHeight="false" outlineLevel="0" collapsed="false">
      <c r="A2237" s="380"/>
      <c r="B2237" s="708"/>
      <c r="C2237" s="532" t="s">
        <v>4566</v>
      </c>
      <c r="D2237" s="728" t="s">
        <v>4133</v>
      </c>
      <c r="E2237" s="726" t="n">
        <v>0.05</v>
      </c>
      <c r="F2237" s="721" t="n">
        <v>300</v>
      </c>
      <c r="G2237" s="727" t="n">
        <f aca="false">E2237*F2237</f>
        <v>15</v>
      </c>
      <c r="H2237" s="392"/>
    </row>
    <row r="2238" customFormat="false" ht="15" hidden="false" customHeight="false" outlineLevel="0" collapsed="false">
      <c r="A2238" s="380"/>
      <c r="B2238" s="708"/>
      <c r="C2238" s="325" t="s">
        <v>4556</v>
      </c>
      <c r="D2238" s="728" t="s">
        <v>4133</v>
      </c>
      <c r="E2238" s="726" t="n">
        <v>0.05</v>
      </c>
      <c r="F2238" s="723" t="n">
        <v>3612</v>
      </c>
      <c r="G2238" s="727" t="n">
        <f aca="false">E2238*F2238</f>
        <v>180.6</v>
      </c>
      <c r="H2238" s="392"/>
    </row>
    <row r="2239" customFormat="false" ht="30" hidden="false" customHeight="false" outlineLevel="0" collapsed="false">
      <c r="A2239" s="380"/>
      <c r="B2239" s="708"/>
      <c r="C2239" s="532" t="s">
        <v>4560</v>
      </c>
      <c r="D2239" s="728" t="s">
        <v>4348</v>
      </c>
      <c r="E2239" s="679" t="n">
        <v>5</v>
      </c>
      <c r="F2239" s="729" t="n">
        <v>5.1</v>
      </c>
      <c r="G2239" s="727" t="n">
        <f aca="false">E2239*F2239</f>
        <v>25.5</v>
      </c>
      <c r="H2239" s="392"/>
    </row>
    <row r="2240" customFormat="false" ht="15" hidden="false" customHeight="false" outlineLevel="0" collapsed="false">
      <c r="A2240" s="380"/>
      <c r="B2240" s="708"/>
      <c r="C2240" s="709" t="s">
        <v>4515</v>
      </c>
      <c r="D2240" s="679" t="s">
        <v>4133</v>
      </c>
      <c r="E2240" s="710" t="n">
        <v>0.001</v>
      </c>
      <c r="F2240" s="369" t="n">
        <v>2700</v>
      </c>
      <c r="G2240" s="727" t="n">
        <f aca="false">E2240*F2240</f>
        <v>2.7</v>
      </c>
      <c r="H2240" s="392"/>
    </row>
    <row r="2241" customFormat="false" ht="15" hidden="false" customHeight="false" outlineLevel="0" collapsed="false">
      <c r="A2241" s="380"/>
      <c r="B2241" s="708"/>
      <c r="C2241" s="709" t="s">
        <v>4124</v>
      </c>
      <c r="D2241" s="679" t="s">
        <v>4516</v>
      </c>
      <c r="E2241" s="710" t="n">
        <v>0.05</v>
      </c>
      <c r="F2241" s="369" t="n">
        <v>120</v>
      </c>
      <c r="G2241" s="727" t="n">
        <f aca="false">E2241*F2241</f>
        <v>6</v>
      </c>
      <c r="H2241" s="392"/>
    </row>
    <row r="2242" customFormat="false" ht="15" hidden="false" customHeight="false" outlineLevel="0" collapsed="false">
      <c r="A2242" s="380"/>
      <c r="B2242" s="708" t="s">
        <v>4128</v>
      </c>
      <c r="C2242" s="532"/>
      <c r="D2242" s="728"/>
      <c r="E2242" s="679"/>
      <c r="F2242" s="729"/>
      <c r="G2242" s="735" t="n">
        <f aca="false">SUM(G2231:G2241)</f>
        <v>3539.5</v>
      </c>
      <c r="H2242" s="392"/>
    </row>
    <row r="2243" customFormat="false" ht="30" hidden="false" customHeight="false" outlineLevel="0" collapsed="false">
      <c r="A2243" s="707" t="s">
        <v>442</v>
      </c>
      <c r="B2243" s="487" t="s">
        <v>3068</v>
      </c>
      <c r="C2243" s="532" t="s">
        <v>4662</v>
      </c>
      <c r="D2243" s="679" t="s">
        <v>4555</v>
      </c>
      <c r="E2243" s="726" t="n">
        <v>0.02</v>
      </c>
      <c r="F2243" s="721" t="n">
        <v>108000</v>
      </c>
      <c r="G2243" s="727" t="n">
        <f aca="false">E2243*F2243</f>
        <v>2160</v>
      </c>
      <c r="H2243" s="679"/>
    </row>
    <row r="2244" customFormat="false" ht="15" hidden="false" customHeight="false" outlineLevel="0" collapsed="false">
      <c r="A2244" s="707"/>
      <c r="B2244" s="522"/>
      <c r="C2244" s="471" t="s">
        <v>4189</v>
      </c>
      <c r="D2244" s="757" t="s">
        <v>4133</v>
      </c>
      <c r="E2244" s="726" t="n">
        <v>0.02</v>
      </c>
      <c r="F2244" s="729" t="n">
        <v>3500</v>
      </c>
      <c r="G2244" s="727" t="n">
        <f aca="false">E2244*F2244</f>
        <v>70</v>
      </c>
      <c r="H2244" s="679"/>
    </row>
    <row r="2245" customFormat="false" ht="15" hidden="false" customHeight="false" outlineLevel="0" collapsed="false">
      <c r="A2245" s="707"/>
      <c r="B2245" s="522"/>
      <c r="C2245" s="532" t="s">
        <v>4557</v>
      </c>
      <c r="D2245" s="728" t="s">
        <v>4133</v>
      </c>
      <c r="E2245" s="726" t="n">
        <v>0.06</v>
      </c>
      <c r="F2245" s="369" t="n">
        <v>1750</v>
      </c>
      <c r="G2245" s="727" t="n">
        <f aca="false">E2245*F2245</f>
        <v>105</v>
      </c>
      <c r="H2245" s="679"/>
    </row>
    <row r="2246" customFormat="false" ht="15" hidden="false" customHeight="false" outlineLevel="0" collapsed="false">
      <c r="A2246" s="707"/>
      <c r="B2246" s="522"/>
      <c r="C2246" s="532" t="s">
        <v>4627</v>
      </c>
      <c r="D2246" s="757" t="s">
        <v>4133</v>
      </c>
      <c r="E2246" s="758" t="n">
        <v>0.01</v>
      </c>
      <c r="F2246" s="748" t="n">
        <v>1200</v>
      </c>
      <c r="G2246" s="727" t="n">
        <f aca="false">E2246*F2246</f>
        <v>12</v>
      </c>
      <c r="H2246" s="679"/>
    </row>
    <row r="2247" customFormat="false" ht="15" hidden="false" customHeight="false" outlineLevel="0" collapsed="false">
      <c r="A2247" s="707"/>
      <c r="B2247" s="522"/>
      <c r="C2247" s="532" t="s">
        <v>4564</v>
      </c>
      <c r="D2247" s="757" t="s">
        <v>4133</v>
      </c>
      <c r="E2247" s="758" t="n">
        <v>0.03</v>
      </c>
      <c r="F2247" s="721" t="n">
        <v>3500</v>
      </c>
      <c r="G2247" s="727" t="n">
        <f aca="false">E2247*F2247</f>
        <v>105</v>
      </c>
      <c r="H2247" s="679"/>
    </row>
    <row r="2248" customFormat="false" ht="15" hidden="false" customHeight="false" outlineLevel="0" collapsed="false">
      <c r="A2248" s="707"/>
      <c r="B2248" s="522"/>
      <c r="C2248" s="532" t="s">
        <v>4663</v>
      </c>
      <c r="D2248" s="757" t="s">
        <v>4133</v>
      </c>
      <c r="E2248" s="758" t="n">
        <v>0.006</v>
      </c>
      <c r="F2248" s="748" t="n">
        <v>3875</v>
      </c>
      <c r="G2248" s="727" t="n">
        <f aca="false">E2248*F2248</f>
        <v>23.25</v>
      </c>
      <c r="H2248" s="679"/>
    </row>
    <row r="2249" customFormat="false" ht="15" hidden="false" customHeight="false" outlineLevel="0" collapsed="false">
      <c r="A2249" s="707"/>
      <c r="B2249" s="522"/>
      <c r="C2249" s="532" t="s">
        <v>4664</v>
      </c>
      <c r="D2249" s="757" t="s">
        <v>4133</v>
      </c>
      <c r="E2249" s="758" t="n">
        <v>0.0001</v>
      </c>
      <c r="F2249" s="748" t="n">
        <v>109120</v>
      </c>
      <c r="G2249" s="727" t="n">
        <f aca="false">E2249*F2249</f>
        <v>10.912</v>
      </c>
      <c r="H2249" s="679"/>
    </row>
    <row r="2250" customFormat="false" ht="15" hidden="false" customHeight="false" outlineLevel="0" collapsed="false">
      <c r="A2250" s="707"/>
      <c r="B2250" s="522"/>
      <c r="C2250" s="743" t="s">
        <v>4611</v>
      </c>
      <c r="D2250" s="679" t="s">
        <v>4392</v>
      </c>
      <c r="E2250" s="744" t="n">
        <v>0.05</v>
      </c>
      <c r="F2250" s="369" t="n">
        <v>720</v>
      </c>
      <c r="G2250" s="727" t="n">
        <f aca="false">E2250*F2250</f>
        <v>36</v>
      </c>
      <c r="H2250" s="679"/>
    </row>
    <row r="2251" customFormat="false" ht="15" hidden="false" customHeight="false" outlineLevel="0" collapsed="false">
      <c r="A2251" s="707"/>
      <c r="B2251" s="522"/>
      <c r="C2251" s="532" t="s">
        <v>4640</v>
      </c>
      <c r="D2251" s="757" t="s">
        <v>4133</v>
      </c>
      <c r="E2251" s="758" t="n">
        <v>0.04</v>
      </c>
      <c r="F2251" s="721" t="n">
        <v>710</v>
      </c>
      <c r="G2251" s="727" t="n">
        <f aca="false">E2251*F2251</f>
        <v>28.4</v>
      </c>
      <c r="H2251" s="679"/>
    </row>
    <row r="2252" customFormat="false" ht="15" hidden="false" customHeight="false" outlineLevel="0" collapsed="false">
      <c r="A2252" s="707"/>
      <c r="B2252" s="522"/>
      <c r="C2252" s="709" t="s">
        <v>4515</v>
      </c>
      <c r="D2252" s="679" t="s">
        <v>4133</v>
      </c>
      <c r="E2252" s="710" t="n">
        <v>0.015</v>
      </c>
      <c r="F2252" s="369" t="n">
        <v>2700</v>
      </c>
      <c r="G2252" s="727" t="n">
        <f aca="false">E2252*F2252</f>
        <v>40.5</v>
      </c>
      <c r="H2252" s="679"/>
    </row>
    <row r="2253" customFormat="false" ht="15" hidden="false" customHeight="false" outlineLevel="0" collapsed="false">
      <c r="A2253" s="707"/>
      <c r="B2253" s="522"/>
      <c r="C2253" s="709" t="s">
        <v>4124</v>
      </c>
      <c r="D2253" s="679" t="s">
        <v>4516</v>
      </c>
      <c r="E2253" s="710" t="n">
        <v>0.142</v>
      </c>
      <c r="F2253" s="369" t="n">
        <v>120</v>
      </c>
      <c r="G2253" s="727" t="n">
        <f aca="false">E2253*F2253</f>
        <v>17.04</v>
      </c>
      <c r="H2253" s="679"/>
    </row>
    <row r="2254" customFormat="false" ht="15" hidden="false" customHeight="false" outlineLevel="0" collapsed="false">
      <c r="A2254" s="707"/>
      <c r="B2254" s="708" t="s">
        <v>4128</v>
      </c>
      <c r="C2254" s="709"/>
      <c r="D2254" s="679"/>
      <c r="E2254" s="710"/>
      <c r="F2254" s="369"/>
      <c r="G2254" s="711" t="n">
        <f aca="false">SUM(G2243:G2253)</f>
        <v>2608.102</v>
      </c>
      <c r="H2254" s="392"/>
    </row>
    <row r="2255" customFormat="false" ht="30" hidden="false" customHeight="false" outlineLevel="0" collapsed="false">
      <c r="A2255" s="707" t="s">
        <v>444</v>
      </c>
      <c r="B2255" s="487" t="s">
        <v>3069</v>
      </c>
      <c r="C2255" s="532" t="s">
        <v>4665</v>
      </c>
      <c r="D2255" s="679" t="s">
        <v>4555</v>
      </c>
      <c r="E2255" s="726" t="n">
        <v>0.01</v>
      </c>
      <c r="F2255" s="721" t="n">
        <v>108000</v>
      </c>
      <c r="G2255" s="727" t="n">
        <f aca="false">E2255*F2255</f>
        <v>1080</v>
      </c>
      <c r="H2255" s="679"/>
    </row>
    <row r="2256" customFormat="false" ht="15" hidden="false" customHeight="false" outlineLevel="0" collapsed="false">
      <c r="A2256" s="707"/>
      <c r="B2256" s="522"/>
      <c r="C2256" s="471" t="s">
        <v>4189</v>
      </c>
      <c r="D2256" s="728" t="s">
        <v>4133</v>
      </c>
      <c r="E2256" s="726" t="n">
        <v>0.02</v>
      </c>
      <c r="F2256" s="729" t="n">
        <v>3500</v>
      </c>
      <c r="G2256" s="727" t="n">
        <f aca="false">E2256*F2256</f>
        <v>70</v>
      </c>
      <c r="H2256" s="679"/>
    </row>
    <row r="2257" customFormat="false" ht="15" hidden="false" customHeight="false" outlineLevel="0" collapsed="false">
      <c r="A2257" s="707"/>
      <c r="B2257" s="522"/>
      <c r="C2257" s="325" t="s">
        <v>4556</v>
      </c>
      <c r="D2257" s="728" t="s">
        <v>4133</v>
      </c>
      <c r="E2257" s="726" t="n">
        <v>0.05</v>
      </c>
      <c r="F2257" s="723" t="n">
        <v>3612</v>
      </c>
      <c r="G2257" s="727" t="n">
        <f aca="false">E2257*F2257</f>
        <v>180.6</v>
      </c>
      <c r="H2257" s="679"/>
    </row>
    <row r="2258" customFormat="false" ht="15" hidden="false" customHeight="false" outlineLevel="0" collapsed="false">
      <c r="A2258" s="707"/>
      <c r="B2258" s="522"/>
      <c r="C2258" s="532" t="s">
        <v>4557</v>
      </c>
      <c r="D2258" s="728" t="s">
        <v>4133</v>
      </c>
      <c r="E2258" s="726" t="n">
        <v>0.06</v>
      </c>
      <c r="F2258" s="369" t="n">
        <v>1750</v>
      </c>
      <c r="G2258" s="727" t="n">
        <f aca="false">E2258*F2258</f>
        <v>105</v>
      </c>
      <c r="H2258" s="679"/>
    </row>
    <row r="2259" customFormat="false" ht="15" hidden="false" customHeight="false" outlineLevel="0" collapsed="false">
      <c r="A2259" s="707"/>
      <c r="B2259" s="522"/>
      <c r="C2259" s="532" t="s">
        <v>4564</v>
      </c>
      <c r="D2259" s="728" t="s">
        <v>4133</v>
      </c>
      <c r="E2259" s="726" t="n">
        <v>0.01</v>
      </c>
      <c r="F2259" s="721" t="n">
        <v>3500</v>
      </c>
      <c r="G2259" s="727" t="n">
        <f aca="false">E2259*F2259</f>
        <v>35</v>
      </c>
      <c r="H2259" s="679"/>
    </row>
    <row r="2260" customFormat="false" ht="60" hidden="false" customHeight="false" outlineLevel="0" collapsed="false">
      <c r="A2260" s="707"/>
      <c r="B2260" s="522"/>
      <c r="C2260" s="532" t="s">
        <v>4603</v>
      </c>
      <c r="D2260" s="679" t="s">
        <v>4559</v>
      </c>
      <c r="E2260" s="726" t="n">
        <v>0.02</v>
      </c>
      <c r="F2260" s="721" t="n">
        <v>7500</v>
      </c>
      <c r="G2260" s="727" t="n">
        <f aca="false">E2260*F2260</f>
        <v>150</v>
      </c>
      <c r="H2260" s="679"/>
    </row>
    <row r="2261" customFormat="false" ht="30" hidden="false" customHeight="false" outlineLevel="0" collapsed="false">
      <c r="A2261" s="707"/>
      <c r="B2261" s="522"/>
      <c r="C2261" s="532" t="s">
        <v>4560</v>
      </c>
      <c r="D2261" s="728" t="s">
        <v>4348</v>
      </c>
      <c r="E2261" s="679" t="n">
        <v>5</v>
      </c>
      <c r="F2261" s="729" t="n">
        <v>5.1</v>
      </c>
      <c r="G2261" s="727" t="n">
        <f aca="false">E2261*F2261</f>
        <v>25.5</v>
      </c>
      <c r="H2261" s="679"/>
    </row>
    <row r="2262" customFormat="false" ht="15" hidden="false" customHeight="false" outlineLevel="0" collapsed="false">
      <c r="A2262" s="707"/>
      <c r="B2262" s="522"/>
      <c r="C2262" s="709" t="s">
        <v>4604</v>
      </c>
      <c r="D2262" s="679" t="s">
        <v>4392</v>
      </c>
      <c r="E2262" s="710" t="n">
        <v>0.01</v>
      </c>
      <c r="F2262" s="369" t="n">
        <v>18000</v>
      </c>
      <c r="G2262" s="727" t="n">
        <f aca="false">E2262*F2262</f>
        <v>180</v>
      </c>
      <c r="H2262" s="679"/>
    </row>
    <row r="2263" customFormat="false" ht="15" hidden="false" customHeight="false" outlineLevel="0" collapsed="false">
      <c r="A2263" s="707"/>
      <c r="B2263" s="522"/>
      <c r="C2263" s="709" t="s">
        <v>4270</v>
      </c>
      <c r="D2263" s="679" t="s">
        <v>4392</v>
      </c>
      <c r="E2263" s="710" t="n">
        <v>0.05</v>
      </c>
      <c r="F2263" s="369" t="n">
        <v>1750</v>
      </c>
      <c r="G2263" s="727" t="n">
        <f aca="false">E2263*F2263</f>
        <v>87.5</v>
      </c>
      <c r="H2263" s="679"/>
    </row>
    <row r="2264" customFormat="false" ht="15" hidden="false" customHeight="false" outlineLevel="0" collapsed="false">
      <c r="A2264" s="707"/>
      <c r="B2264" s="522"/>
      <c r="C2264" s="709" t="s">
        <v>4515</v>
      </c>
      <c r="D2264" s="679" t="s">
        <v>4133</v>
      </c>
      <c r="E2264" s="710" t="n">
        <v>0.015</v>
      </c>
      <c r="F2264" s="369" t="n">
        <v>2700</v>
      </c>
      <c r="G2264" s="727" t="n">
        <f aca="false">E2264*F2264</f>
        <v>40.5</v>
      </c>
      <c r="H2264" s="679"/>
    </row>
    <row r="2265" customFormat="false" ht="15" hidden="false" customHeight="false" outlineLevel="0" collapsed="false">
      <c r="A2265" s="707"/>
      <c r="B2265" s="522"/>
      <c r="C2265" s="709" t="s">
        <v>4124</v>
      </c>
      <c r="D2265" s="679" t="s">
        <v>4516</v>
      </c>
      <c r="E2265" s="710" t="n">
        <v>1.5</v>
      </c>
      <c r="F2265" s="369" t="n">
        <v>120</v>
      </c>
      <c r="G2265" s="727" t="n">
        <f aca="false">E2265*F2265</f>
        <v>180</v>
      </c>
      <c r="H2265" s="679"/>
    </row>
    <row r="2266" customFormat="false" ht="15" hidden="false" customHeight="false" outlineLevel="0" collapsed="false">
      <c r="A2266" s="707"/>
      <c r="B2266" s="708" t="s">
        <v>4128</v>
      </c>
      <c r="C2266" s="709"/>
      <c r="D2266" s="679"/>
      <c r="E2266" s="710"/>
      <c r="F2266" s="369"/>
      <c r="G2266" s="711" t="n">
        <f aca="false">SUM(G2255:G2265)</f>
        <v>2134.1</v>
      </c>
      <c r="H2266" s="392"/>
    </row>
    <row r="2267" customFormat="false" ht="15" hidden="false" customHeight="false" outlineLevel="0" collapsed="false">
      <c r="A2267" s="707" t="s">
        <v>446</v>
      </c>
      <c r="B2267" s="487" t="s">
        <v>3070</v>
      </c>
      <c r="C2267" s="532" t="s">
        <v>4666</v>
      </c>
      <c r="D2267" s="679" t="s">
        <v>4555</v>
      </c>
      <c r="E2267" s="726" t="n">
        <v>0.02</v>
      </c>
      <c r="F2267" s="721" t="n">
        <v>114000</v>
      </c>
      <c r="G2267" s="727" t="n">
        <f aca="false">E2267*F2267</f>
        <v>2280</v>
      </c>
      <c r="H2267" s="679"/>
    </row>
    <row r="2268" customFormat="false" ht="15" hidden="false" customHeight="false" outlineLevel="0" collapsed="false">
      <c r="A2268" s="380"/>
      <c r="B2268" s="522"/>
      <c r="C2268" s="471" t="s">
        <v>4189</v>
      </c>
      <c r="D2268" s="728" t="s">
        <v>4133</v>
      </c>
      <c r="E2268" s="726" t="n">
        <v>0.02</v>
      </c>
      <c r="F2268" s="729" t="n">
        <v>3500</v>
      </c>
      <c r="G2268" s="727" t="n">
        <f aca="false">E2268*F2268</f>
        <v>70</v>
      </c>
      <c r="H2268" s="679"/>
    </row>
    <row r="2269" customFormat="false" ht="15" hidden="false" customHeight="false" outlineLevel="0" collapsed="false">
      <c r="A2269" s="380"/>
      <c r="B2269" s="522"/>
      <c r="C2269" s="532" t="s">
        <v>4557</v>
      </c>
      <c r="D2269" s="728" t="s">
        <v>4133</v>
      </c>
      <c r="E2269" s="726" t="n">
        <v>0.06</v>
      </c>
      <c r="F2269" s="369" t="n">
        <v>1750</v>
      </c>
      <c r="G2269" s="727" t="n">
        <f aca="false">E2269*F2269</f>
        <v>105</v>
      </c>
      <c r="H2269" s="679"/>
    </row>
    <row r="2270" customFormat="false" ht="15" hidden="false" customHeight="false" outlineLevel="0" collapsed="false">
      <c r="A2270" s="380"/>
      <c r="B2270" s="522"/>
      <c r="C2270" s="325" t="s">
        <v>4556</v>
      </c>
      <c r="D2270" s="728" t="s">
        <v>4133</v>
      </c>
      <c r="E2270" s="726" t="n">
        <v>0.05</v>
      </c>
      <c r="F2270" s="723" t="n">
        <v>3612</v>
      </c>
      <c r="G2270" s="727" t="n">
        <f aca="false">E2270*F2270</f>
        <v>180.6</v>
      </c>
      <c r="H2270" s="679"/>
    </row>
    <row r="2271" customFormat="false" ht="15" hidden="false" customHeight="false" outlineLevel="0" collapsed="false">
      <c r="A2271" s="380"/>
      <c r="B2271" s="522"/>
      <c r="C2271" s="532" t="s">
        <v>4564</v>
      </c>
      <c r="D2271" s="728" t="s">
        <v>4133</v>
      </c>
      <c r="E2271" s="726" t="n">
        <v>0.01</v>
      </c>
      <c r="F2271" s="721" t="n">
        <v>3500</v>
      </c>
      <c r="G2271" s="727" t="n">
        <f aca="false">E2271*F2271</f>
        <v>35</v>
      </c>
      <c r="H2271" s="679"/>
    </row>
    <row r="2272" customFormat="false" ht="15" hidden="false" customHeight="false" outlineLevel="0" collapsed="false">
      <c r="A2272" s="380"/>
      <c r="B2272" s="522"/>
      <c r="C2272" s="532" t="s">
        <v>4667</v>
      </c>
      <c r="D2272" s="728" t="s">
        <v>4133</v>
      </c>
      <c r="E2272" s="726" t="n">
        <v>0.001</v>
      </c>
      <c r="F2272" s="721" t="n">
        <v>134200</v>
      </c>
      <c r="G2272" s="727" t="n">
        <f aca="false">E2272*F2272</f>
        <v>134.2</v>
      </c>
      <c r="H2272" s="679"/>
    </row>
    <row r="2273" customFormat="false" ht="15" hidden="false" customHeight="false" outlineLevel="0" collapsed="false">
      <c r="A2273" s="380"/>
      <c r="B2273" s="522"/>
      <c r="C2273" s="532" t="s">
        <v>4668</v>
      </c>
      <c r="D2273" s="728" t="s">
        <v>4133</v>
      </c>
      <c r="E2273" s="726" t="n">
        <v>0.01</v>
      </c>
      <c r="F2273" s="721" t="n">
        <v>710</v>
      </c>
      <c r="G2273" s="727" t="n">
        <f aca="false">E2273*F2273</f>
        <v>7.1</v>
      </c>
      <c r="H2273" s="679"/>
    </row>
    <row r="2274" customFormat="false" ht="15" hidden="false" customHeight="false" outlineLevel="0" collapsed="false">
      <c r="A2274" s="380"/>
      <c r="B2274" s="522"/>
      <c r="C2274" s="532" t="s">
        <v>4669</v>
      </c>
      <c r="D2274" s="679" t="s">
        <v>4559</v>
      </c>
      <c r="E2274" s="726" t="n">
        <v>0.02</v>
      </c>
      <c r="F2274" s="721" t="n">
        <v>6440</v>
      </c>
      <c r="G2274" s="727" t="n">
        <f aca="false">E2274*F2274</f>
        <v>128.8</v>
      </c>
      <c r="H2274" s="679"/>
    </row>
    <row r="2275" customFormat="false" ht="60" hidden="false" customHeight="false" outlineLevel="0" collapsed="false">
      <c r="A2275" s="380"/>
      <c r="B2275" s="522"/>
      <c r="C2275" s="532" t="s">
        <v>4603</v>
      </c>
      <c r="D2275" s="679" t="s">
        <v>4559</v>
      </c>
      <c r="E2275" s="733" t="n">
        <v>0.02</v>
      </c>
      <c r="F2275" s="721" t="n">
        <v>7500</v>
      </c>
      <c r="G2275" s="727" t="n">
        <f aca="false">E2275*F2275</f>
        <v>150</v>
      </c>
      <c r="H2275" s="679"/>
    </row>
    <row r="2276" customFormat="false" ht="15" hidden="false" customHeight="false" outlineLevel="0" collapsed="false">
      <c r="A2276" s="380"/>
      <c r="B2276" s="522"/>
      <c r="C2276" s="709" t="s">
        <v>4515</v>
      </c>
      <c r="D2276" s="679" t="s">
        <v>4133</v>
      </c>
      <c r="E2276" s="710" t="n">
        <v>0.006</v>
      </c>
      <c r="F2276" s="369" t="n">
        <v>2700</v>
      </c>
      <c r="G2276" s="727" t="n">
        <f aca="false">E2276*F2276</f>
        <v>16.2</v>
      </c>
      <c r="H2276" s="679"/>
    </row>
    <row r="2277" customFormat="false" ht="15" hidden="false" customHeight="false" outlineLevel="0" collapsed="false">
      <c r="A2277" s="380"/>
      <c r="B2277" s="522"/>
      <c r="C2277" s="709" t="s">
        <v>4124</v>
      </c>
      <c r="D2277" s="679" t="s">
        <v>4516</v>
      </c>
      <c r="E2277" s="710" t="n">
        <v>0.016</v>
      </c>
      <c r="F2277" s="369" t="n">
        <v>120</v>
      </c>
      <c r="G2277" s="727" t="n">
        <f aca="false">E2277*F2277</f>
        <v>1.92</v>
      </c>
      <c r="H2277" s="679"/>
    </row>
    <row r="2278" customFormat="false" ht="15" hidden="false" customHeight="false" outlineLevel="0" collapsed="false">
      <c r="A2278" s="380"/>
      <c r="B2278" s="708" t="s">
        <v>4128</v>
      </c>
      <c r="C2278" s="709"/>
      <c r="D2278" s="679"/>
      <c r="E2278" s="710"/>
      <c r="F2278" s="369"/>
      <c r="G2278" s="711" t="n">
        <f aca="false">SUM(G2267:G2277)</f>
        <v>3108.82</v>
      </c>
      <c r="H2278" s="679"/>
    </row>
    <row r="2279" customFormat="false" ht="15" hidden="false" customHeight="false" outlineLevel="0" collapsed="false">
      <c r="A2279" s="707" t="s">
        <v>448</v>
      </c>
      <c r="B2279" s="487" t="s">
        <v>3071</v>
      </c>
      <c r="C2279" s="532" t="s">
        <v>4587</v>
      </c>
      <c r="D2279" s="679" t="s">
        <v>4555</v>
      </c>
      <c r="E2279" s="733" t="n">
        <v>0.008</v>
      </c>
      <c r="F2279" s="721" t="n">
        <v>114000</v>
      </c>
      <c r="G2279" s="727" t="n">
        <f aca="false">E2279*F2279</f>
        <v>912</v>
      </c>
      <c r="H2279" s="679"/>
    </row>
    <row r="2280" customFormat="false" ht="15" hidden="false" customHeight="false" outlineLevel="0" collapsed="false">
      <c r="A2280" s="380"/>
      <c r="B2280" s="522"/>
      <c r="C2280" s="471" t="s">
        <v>4189</v>
      </c>
      <c r="D2280" s="728" t="s">
        <v>4133</v>
      </c>
      <c r="E2280" s="733" t="n">
        <v>0.02</v>
      </c>
      <c r="F2280" s="729" t="n">
        <v>3500</v>
      </c>
      <c r="G2280" s="727" t="n">
        <f aca="false">E2280*F2280</f>
        <v>70</v>
      </c>
      <c r="H2280" s="679"/>
    </row>
    <row r="2281" customFormat="false" ht="15" hidden="false" customHeight="false" outlineLevel="0" collapsed="false">
      <c r="A2281" s="380"/>
      <c r="B2281" s="522"/>
      <c r="C2281" s="532" t="s">
        <v>4557</v>
      </c>
      <c r="D2281" s="728" t="s">
        <v>4133</v>
      </c>
      <c r="E2281" s="733" t="n">
        <v>0.06</v>
      </c>
      <c r="F2281" s="369" t="n">
        <v>1750</v>
      </c>
      <c r="G2281" s="727" t="n">
        <f aca="false">E2281*F2281</f>
        <v>105</v>
      </c>
      <c r="H2281" s="679"/>
    </row>
    <row r="2282" customFormat="false" ht="15" hidden="false" customHeight="false" outlineLevel="0" collapsed="false">
      <c r="A2282" s="380"/>
      <c r="B2282" s="522"/>
      <c r="C2282" s="325" t="s">
        <v>4556</v>
      </c>
      <c r="D2282" s="728" t="s">
        <v>4133</v>
      </c>
      <c r="E2282" s="733" t="n">
        <v>0.05</v>
      </c>
      <c r="F2282" s="723" t="n">
        <v>3612</v>
      </c>
      <c r="G2282" s="727" t="n">
        <f aca="false">E2282*F2282</f>
        <v>180.6</v>
      </c>
      <c r="H2282" s="679"/>
    </row>
    <row r="2283" customFormat="false" ht="15" hidden="false" customHeight="false" outlineLevel="0" collapsed="false">
      <c r="A2283" s="380"/>
      <c r="B2283" s="522"/>
      <c r="C2283" s="532" t="s">
        <v>4588</v>
      </c>
      <c r="D2283" s="728" t="s">
        <v>4133</v>
      </c>
      <c r="E2283" s="733" t="n">
        <v>0.01</v>
      </c>
      <c r="F2283" s="721" t="n">
        <v>4000</v>
      </c>
      <c r="G2283" s="727" t="n">
        <f aca="false">E2283*F2283</f>
        <v>40</v>
      </c>
      <c r="H2283" s="679"/>
    </row>
    <row r="2284" customFormat="false" ht="30" hidden="false" customHeight="false" outlineLevel="0" collapsed="false">
      <c r="A2284" s="380"/>
      <c r="B2284" s="522"/>
      <c r="C2284" s="532" t="s">
        <v>4589</v>
      </c>
      <c r="D2284" s="728" t="s">
        <v>4348</v>
      </c>
      <c r="E2284" s="741" t="n">
        <v>0.0005</v>
      </c>
      <c r="F2284" s="721" t="n">
        <v>77000</v>
      </c>
      <c r="G2284" s="727" t="n">
        <f aca="false">E2284*F2284</f>
        <v>38.5</v>
      </c>
      <c r="H2284" s="679"/>
    </row>
    <row r="2285" customFormat="false" ht="15" hidden="false" customHeight="false" outlineLevel="0" collapsed="false">
      <c r="A2285" s="380"/>
      <c r="B2285" s="522"/>
      <c r="C2285" s="532" t="s">
        <v>4565</v>
      </c>
      <c r="D2285" s="728" t="s">
        <v>4133</v>
      </c>
      <c r="E2285" s="741" t="n">
        <v>0.01</v>
      </c>
      <c r="F2285" s="721" t="n">
        <v>870</v>
      </c>
      <c r="G2285" s="727" t="n">
        <f aca="false">E2285*F2285</f>
        <v>8.7</v>
      </c>
      <c r="H2285" s="679"/>
    </row>
    <row r="2286" customFormat="false" ht="15" hidden="false" customHeight="false" outlineLevel="0" collapsed="false">
      <c r="A2286" s="380"/>
      <c r="B2286" s="522"/>
      <c r="C2286" s="532" t="s">
        <v>4566</v>
      </c>
      <c r="D2286" s="728" t="s">
        <v>4133</v>
      </c>
      <c r="E2286" s="741" t="n">
        <v>0.05</v>
      </c>
      <c r="F2286" s="721" t="n">
        <v>300</v>
      </c>
      <c r="G2286" s="727" t="n">
        <f aca="false">E2286*F2286</f>
        <v>15</v>
      </c>
      <c r="H2286" s="679"/>
    </row>
    <row r="2287" customFormat="false" ht="15" hidden="false" customHeight="false" outlineLevel="0" collapsed="false">
      <c r="A2287" s="380"/>
      <c r="B2287" s="522"/>
      <c r="C2287" s="532" t="s">
        <v>4281</v>
      </c>
      <c r="D2287" s="679" t="s">
        <v>4555</v>
      </c>
      <c r="E2287" s="741" t="n">
        <v>0.0045</v>
      </c>
      <c r="F2287" s="721" t="n">
        <v>108000</v>
      </c>
      <c r="G2287" s="727" t="n">
        <f aca="false">E2287*F2287</f>
        <v>486</v>
      </c>
      <c r="H2287" s="679"/>
    </row>
    <row r="2288" customFormat="false" ht="15" hidden="false" customHeight="false" outlineLevel="0" collapsed="false">
      <c r="A2288" s="380"/>
      <c r="B2288" s="522"/>
      <c r="C2288" s="532" t="s">
        <v>4563</v>
      </c>
      <c r="D2288" s="728" t="s">
        <v>4133</v>
      </c>
      <c r="E2288" s="741" t="n">
        <v>0.05</v>
      </c>
      <c r="F2288" s="717" t="n">
        <v>25200</v>
      </c>
      <c r="G2288" s="727" t="n">
        <f aca="false">E2288*F2288</f>
        <v>1260</v>
      </c>
      <c r="H2288" s="679"/>
    </row>
    <row r="2289" customFormat="false" ht="30" hidden="false" customHeight="false" outlineLevel="0" collapsed="false">
      <c r="A2289" s="380"/>
      <c r="B2289" s="522"/>
      <c r="C2289" s="532" t="s">
        <v>4590</v>
      </c>
      <c r="D2289" s="728" t="s">
        <v>4559</v>
      </c>
      <c r="E2289" s="741" t="n">
        <v>0.02</v>
      </c>
      <c r="F2289" s="721" t="n">
        <v>3250</v>
      </c>
      <c r="G2289" s="727" t="n">
        <f aca="false">E2289*F2289</f>
        <v>65</v>
      </c>
      <c r="H2289" s="679"/>
    </row>
    <row r="2290" customFormat="false" ht="45" hidden="false" customHeight="false" outlineLevel="0" collapsed="false">
      <c r="A2290" s="380"/>
      <c r="B2290" s="522"/>
      <c r="C2290" s="532" t="s">
        <v>4591</v>
      </c>
      <c r="D2290" s="728" t="s">
        <v>4348</v>
      </c>
      <c r="E2290" s="679" t="n">
        <v>5</v>
      </c>
      <c r="F2290" s="729" t="n">
        <v>5.1</v>
      </c>
      <c r="G2290" s="727" t="n">
        <f aca="false">E2290*F2290</f>
        <v>25.5</v>
      </c>
      <c r="H2290" s="679"/>
    </row>
    <row r="2291" customFormat="false" ht="15" hidden="false" customHeight="false" outlineLevel="0" collapsed="false">
      <c r="A2291" s="380"/>
      <c r="B2291" s="522"/>
      <c r="C2291" s="709" t="s">
        <v>4515</v>
      </c>
      <c r="D2291" s="679" t="s">
        <v>4133</v>
      </c>
      <c r="E2291" s="710" t="n">
        <v>0.006</v>
      </c>
      <c r="F2291" s="369" t="n">
        <v>2700</v>
      </c>
      <c r="G2291" s="727" t="n">
        <f aca="false">E2291*F2291</f>
        <v>16.2</v>
      </c>
      <c r="H2291" s="679"/>
    </row>
    <row r="2292" customFormat="false" ht="15" hidden="false" customHeight="false" outlineLevel="0" collapsed="false">
      <c r="A2292" s="380"/>
      <c r="B2292" s="522"/>
      <c r="C2292" s="709" t="s">
        <v>4124</v>
      </c>
      <c r="D2292" s="679" t="s">
        <v>4516</v>
      </c>
      <c r="E2292" s="710" t="n">
        <v>0.016</v>
      </c>
      <c r="F2292" s="369" t="n">
        <v>120</v>
      </c>
      <c r="G2292" s="727" t="n">
        <f aca="false">E2292*F2292</f>
        <v>1.92</v>
      </c>
      <c r="H2292" s="679"/>
    </row>
    <row r="2293" customFormat="false" ht="15" hidden="false" customHeight="false" outlineLevel="0" collapsed="false">
      <c r="A2293" s="380"/>
      <c r="B2293" s="708" t="s">
        <v>4128</v>
      </c>
      <c r="C2293" s="709"/>
      <c r="D2293" s="679"/>
      <c r="E2293" s="710"/>
      <c r="F2293" s="369"/>
      <c r="G2293" s="711" t="n">
        <f aca="false">SUM(G2279:G2292)</f>
        <v>3224.42</v>
      </c>
      <c r="H2293" s="392"/>
    </row>
    <row r="2294" customFormat="false" ht="15" hidden="false" customHeight="false" outlineLevel="0" collapsed="false">
      <c r="A2294" s="707" t="s">
        <v>450</v>
      </c>
      <c r="B2294" s="487" t="s">
        <v>3072</v>
      </c>
      <c r="C2294" s="532" t="s">
        <v>4670</v>
      </c>
      <c r="D2294" s="679" t="s">
        <v>4555</v>
      </c>
      <c r="E2294" s="726" t="n">
        <v>0.02</v>
      </c>
      <c r="F2294" s="721" t="n">
        <v>108000</v>
      </c>
      <c r="G2294" s="727" t="n">
        <f aca="false">E2294*F2294</f>
        <v>2160</v>
      </c>
      <c r="H2294" s="679"/>
    </row>
    <row r="2295" customFormat="false" ht="15" hidden="false" customHeight="false" outlineLevel="0" collapsed="false">
      <c r="A2295" s="380"/>
      <c r="B2295" s="522"/>
      <c r="C2295" s="471" t="s">
        <v>4189</v>
      </c>
      <c r="D2295" s="728" t="s">
        <v>4133</v>
      </c>
      <c r="E2295" s="726" t="n">
        <v>0.02</v>
      </c>
      <c r="F2295" s="729" t="n">
        <v>3500</v>
      </c>
      <c r="G2295" s="727" t="n">
        <f aca="false">E2295*F2295</f>
        <v>70</v>
      </c>
      <c r="H2295" s="679"/>
    </row>
    <row r="2296" customFormat="false" ht="15" hidden="false" customHeight="false" outlineLevel="0" collapsed="false">
      <c r="A2296" s="380"/>
      <c r="B2296" s="522"/>
      <c r="C2296" s="532" t="s">
        <v>4557</v>
      </c>
      <c r="D2296" s="728" t="s">
        <v>4133</v>
      </c>
      <c r="E2296" s="726" t="n">
        <v>0.06</v>
      </c>
      <c r="F2296" s="369" t="n">
        <v>1750</v>
      </c>
      <c r="G2296" s="727" t="n">
        <f aca="false">E2296*F2296</f>
        <v>105</v>
      </c>
      <c r="H2296" s="679"/>
    </row>
    <row r="2297" customFormat="false" ht="15" hidden="false" customHeight="false" outlineLevel="0" collapsed="false">
      <c r="A2297" s="380"/>
      <c r="B2297" s="522"/>
      <c r="C2297" s="325" t="s">
        <v>4556</v>
      </c>
      <c r="D2297" s="728" t="s">
        <v>4133</v>
      </c>
      <c r="E2297" s="726" t="n">
        <v>0.05</v>
      </c>
      <c r="F2297" s="723" t="n">
        <v>3612</v>
      </c>
      <c r="G2297" s="727" t="n">
        <f aca="false">E2297*F2297</f>
        <v>180.6</v>
      </c>
      <c r="H2297" s="679"/>
    </row>
    <row r="2298" customFormat="false" ht="15" hidden="false" customHeight="false" outlineLevel="0" collapsed="false">
      <c r="A2298" s="380"/>
      <c r="B2298" s="522"/>
      <c r="C2298" s="532" t="s">
        <v>4564</v>
      </c>
      <c r="D2298" s="728" t="s">
        <v>4133</v>
      </c>
      <c r="E2298" s="726" t="n">
        <v>0.01</v>
      </c>
      <c r="F2298" s="721" t="n">
        <v>3500</v>
      </c>
      <c r="G2298" s="727" t="n">
        <f aca="false">E2298*F2298</f>
        <v>35</v>
      </c>
      <c r="H2298" s="679"/>
    </row>
    <row r="2299" customFormat="false" ht="15" hidden="false" customHeight="false" outlineLevel="0" collapsed="false">
      <c r="A2299" s="380"/>
      <c r="B2299" s="522"/>
      <c r="C2299" s="532" t="s">
        <v>4667</v>
      </c>
      <c r="D2299" s="728" t="s">
        <v>4133</v>
      </c>
      <c r="E2299" s="726" t="n">
        <v>0.001</v>
      </c>
      <c r="F2299" s="721" t="n">
        <v>134200</v>
      </c>
      <c r="G2299" s="727" t="n">
        <f aca="false">E2299*F2299</f>
        <v>134.2</v>
      </c>
      <c r="H2299" s="679"/>
    </row>
    <row r="2300" customFormat="false" ht="15" hidden="false" customHeight="false" outlineLevel="0" collapsed="false">
      <c r="A2300" s="380"/>
      <c r="B2300" s="522"/>
      <c r="C2300" s="532" t="s">
        <v>4668</v>
      </c>
      <c r="D2300" s="728" t="s">
        <v>4133</v>
      </c>
      <c r="E2300" s="726" t="n">
        <v>0.01</v>
      </c>
      <c r="F2300" s="721" t="n">
        <v>710</v>
      </c>
      <c r="G2300" s="727" t="n">
        <f aca="false">E2300*F2300</f>
        <v>7.1</v>
      </c>
      <c r="H2300" s="679"/>
    </row>
    <row r="2301" customFormat="false" ht="15" hidden="false" customHeight="false" outlineLevel="0" collapsed="false">
      <c r="A2301" s="380"/>
      <c r="B2301" s="522"/>
      <c r="C2301" s="532" t="s">
        <v>4669</v>
      </c>
      <c r="D2301" s="679" t="s">
        <v>4559</v>
      </c>
      <c r="E2301" s="726" t="n">
        <v>0.02</v>
      </c>
      <c r="F2301" s="721" t="n">
        <v>6440</v>
      </c>
      <c r="G2301" s="727" t="n">
        <f aca="false">E2301*F2301</f>
        <v>128.8</v>
      </c>
      <c r="H2301" s="679"/>
    </row>
    <row r="2302" customFormat="false" ht="60" hidden="false" customHeight="false" outlineLevel="0" collapsed="false">
      <c r="A2302" s="380"/>
      <c r="B2302" s="522"/>
      <c r="C2302" s="532" t="s">
        <v>4603</v>
      </c>
      <c r="D2302" s="679" t="s">
        <v>4559</v>
      </c>
      <c r="E2302" s="726" t="n">
        <v>0.02</v>
      </c>
      <c r="F2302" s="721" t="n">
        <v>7500</v>
      </c>
      <c r="G2302" s="727" t="n">
        <f aca="false">E2302*F2302</f>
        <v>150</v>
      </c>
      <c r="H2302" s="679"/>
    </row>
    <row r="2303" customFormat="false" ht="15" hidden="false" customHeight="false" outlineLevel="0" collapsed="false">
      <c r="A2303" s="380"/>
      <c r="B2303" s="522"/>
      <c r="C2303" s="709" t="s">
        <v>4515</v>
      </c>
      <c r="D2303" s="679" t="s">
        <v>4133</v>
      </c>
      <c r="E2303" s="710" t="n">
        <v>0.006</v>
      </c>
      <c r="F2303" s="369" t="n">
        <v>2700</v>
      </c>
      <c r="G2303" s="727" t="n">
        <f aca="false">E2303*F2303</f>
        <v>16.2</v>
      </c>
      <c r="H2303" s="679"/>
    </row>
    <row r="2304" customFormat="false" ht="15" hidden="false" customHeight="false" outlineLevel="0" collapsed="false">
      <c r="A2304" s="380"/>
      <c r="B2304" s="522"/>
      <c r="C2304" s="709" t="s">
        <v>4124</v>
      </c>
      <c r="D2304" s="679" t="s">
        <v>4516</v>
      </c>
      <c r="E2304" s="710" t="n">
        <v>0.015</v>
      </c>
      <c r="F2304" s="369" t="n">
        <v>120</v>
      </c>
      <c r="G2304" s="727" t="n">
        <f aca="false">E2304*F2304</f>
        <v>1.8</v>
      </c>
      <c r="H2304" s="679"/>
    </row>
    <row r="2305" customFormat="false" ht="15" hidden="false" customHeight="false" outlineLevel="0" collapsed="false">
      <c r="A2305" s="380"/>
      <c r="B2305" s="708" t="s">
        <v>4128</v>
      </c>
      <c r="C2305" s="709"/>
      <c r="D2305" s="679"/>
      <c r="E2305" s="710"/>
      <c r="F2305" s="369"/>
      <c r="G2305" s="711" t="n">
        <f aca="false">SUM(G2294:G2304)</f>
        <v>2988.7</v>
      </c>
      <c r="H2305" s="392"/>
    </row>
    <row r="2306" customFormat="false" ht="15" hidden="false" customHeight="false" outlineLevel="0" collapsed="false">
      <c r="A2306" s="707" t="s">
        <v>452</v>
      </c>
      <c r="B2306" s="487" t="s">
        <v>3073</v>
      </c>
      <c r="C2306" s="532" t="s">
        <v>4596</v>
      </c>
      <c r="D2306" s="679" t="s">
        <v>4555</v>
      </c>
      <c r="E2306" s="726" t="n">
        <v>0.008</v>
      </c>
      <c r="F2306" s="721" t="n">
        <v>108000</v>
      </c>
      <c r="G2306" s="727" t="n">
        <f aca="false">E2306*F2306</f>
        <v>864</v>
      </c>
      <c r="H2306" s="392"/>
    </row>
    <row r="2307" customFormat="false" ht="15" hidden="false" customHeight="false" outlineLevel="0" collapsed="false">
      <c r="A2307" s="380"/>
      <c r="B2307" s="708"/>
      <c r="C2307" s="471" t="s">
        <v>4189</v>
      </c>
      <c r="D2307" s="728" t="s">
        <v>4133</v>
      </c>
      <c r="E2307" s="733" t="n">
        <v>0.02</v>
      </c>
      <c r="F2307" s="729" t="n">
        <v>3500</v>
      </c>
      <c r="G2307" s="727" t="n">
        <f aca="false">E2307*F2307</f>
        <v>70</v>
      </c>
      <c r="H2307" s="392"/>
    </row>
    <row r="2308" customFormat="false" ht="15" hidden="false" customHeight="false" outlineLevel="0" collapsed="false">
      <c r="A2308" s="380"/>
      <c r="B2308" s="708"/>
      <c r="C2308" s="532" t="s">
        <v>4557</v>
      </c>
      <c r="D2308" s="728" t="s">
        <v>4133</v>
      </c>
      <c r="E2308" s="733" t="n">
        <v>0.06</v>
      </c>
      <c r="F2308" s="369" t="n">
        <v>1750</v>
      </c>
      <c r="G2308" s="727" t="n">
        <f aca="false">E2308*F2308</f>
        <v>105</v>
      </c>
      <c r="H2308" s="392"/>
    </row>
    <row r="2309" customFormat="false" ht="15" hidden="false" customHeight="false" outlineLevel="0" collapsed="false">
      <c r="A2309" s="380"/>
      <c r="B2309" s="708"/>
      <c r="C2309" s="325" t="s">
        <v>4556</v>
      </c>
      <c r="D2309" s="728" t="s">
        <v>4133</v>
      </c>
      <c r="E2309" s="733" t="n">
        <v>0.05</v>
      </c>
      <c r="F2309" s="723" t="n">
        <v>3612</v>
      </c>
      <c r="G2309" s="727" t="n">
        <f aca="false">E2309*F2309</f>
        <v>180.6</v>
      </c>
      <c r="H2309" s="392"/>
    </row>
    <row r="2310" customFormat="false" ht="15" hidden="false" customHeight="false" outlineLevel="0" collapsed="false">
      <c r="A2310" s="380"/>
      <c r="B2310" s="708"/>
      <c r="C2310" s="532" t="s">
        <v>4588</v>
      </c>
      <c r="D2310" s="728" t="s">
        <v>4133</v>
      </c>
      <c r="E2310" s="733" t="n">
        <v>0.01</v>
      </c>
      <c r="F2310" s="721" t="n">
        <v>4000</v>
      </c>
      <c r="G2310" s="727" t="n">
        <f aca="false">E2310*F2310</f>
        <v>40</v>
      </c>
      <c r="H2310" s="392"/>
    </row>
    <row r="2311" customFormat="false" ht="30" hidden="false" customHeight="false" outlineLevel="0" collapsed="false">
      <c r="A2311" s="380"/>
      <c r="B2311" s="708"/>
      <c r="C2311" s="532" t="s">
        <v>4589</v>
      </c>
      <c r="D2311" s="728" t="s">
        <v>4348</v>
      </c>
      <c r="E2311" s="741" t="n">
        <v>0.0005</v>
      </c>
      <c r="F2311" s="721" t="n">
        <v>77000</v>
      </c>
      <c r="G2311" s="727" t="n">
        <f aca="false">E2311*F2311</f>
        <v>38.5</v>
      </c>
      <c r="H2311" s="392"/>
    </row>
    <row r="2312" customFormat="false" ht="15" hidden="false" customHeight="false" outlineLevel="0" collapsed="false">
      <c r="A2312" s="380"/>
      <c r="B2312" s="708"/>
      <c r="C2312" s="532" t="s">
        <v>4565</v>
      </c>
      <c r="D2312" s="728" t="s">
        <v>4133</v>
      </c>
      <c r="E2312" s="733" t="n">
        <v>0.01</v>
      </c>
      <c r="F2312" s="721" t="n">
        <v>870</v>
      </c>
      <c r="G2312" s="727" t="n">
        <f aca="false">E2312*F2312</f>
        <v>8.7</v>
      </c>
      <c r="H2312" s="392"/>
    </row>
    <row r="2313" customFormat="false" ht="15" hidden="false" customHeight="false" outlineLevel="0" collapsed="false">
      <c r="A2313" s="380"/>
      <c r="B2313" s="708"/>
      <c r="C2313" s="532" t="s">
        <v>4566</v>
      </c>
      <c r="D2313" s="728" t="s">
        <v>4133</v>
      </c>
      <c r="E2313" s="733" t="n">
        <v>0.05</v>
      </c>
      <c r="F2313" s="721" t="n">
        <v>300</v>
      </c>
      <c r="G2313" s="727" t="n">
        <f aca="false">E2313*F2313</f>
        <v>15</v>
      </c>
      <c r="H2313" s="392"/>
    </row>
    <row r="2314" customFormat="false" ht="15" hidden="false" customHeight="false" outlineLevel="0" collapsed="false">
      <c r="A2314" s="380"/>
      <c r="B2314" s="708"/>
      <c r="C2314" s="532" t="s">
        <v>4281</v>
      </c>
      <c r="D2314" s="679" t="s">
        <v>4555</v>
      </c>
      <c r="E2314" s="733" t="n">
        <v>0.01</v>
      </c>
      <c r="F2314" s="721" t="n">
        <v>108000</v>
      </c>
      <c r="G2314" s="727" t="n">
        <f aca="false">E2314*F2314</f>
        <v>1080</v>
      </c>
      <c r="H2314" s="392"/>
    </row>
    <row r="2315" customFormat="false" ht="15" hidden="false" customHeight="false" outlineLevel="0" collapsed="false">
      <c r="A2315" s="380"/>
      <c r="B2315" s="708"/>
      <c r="C2315" s="532" t="s">
        <v>4563</v>
      </c>
      <c r="D2315" s="728" t="s">
        <v>4133</v>
      </c>
      <c r="E2315" s="733" t="n">
        <v>0.05</v>
      </c>
      <c r="F2315" s="717" t="n">
        <v>25200</v>
      </c>
      <c r="G2315" s="727" t="n">
        <f aca="false">E2315*F2315</f>
        <v>1260</v>
      </c>
      <c r="H2315" s="392"/>
    </row>
    <row r="2316" customFormat="false" ht="30" hidden="false" customHeight="false" outlineLevel="0" collapsed="false">
      <c r="A2316" s="380"/>
      <c r="B2316" s="708"/>
      <c r="C2316" s="532" t="s">
        <v>4590</v>
      </c>
      <c r="D2316" s="728" t="s">
        <v>4559</v>
      </c>
      <c r="E2316" s="733" t="n">
        <v>0.02</v>
      </c>
      <c r="F2316" s="721" t="n">
        <v>3250</v>
      </c>
      <c r="G2316" s="727" t="n">
        <f aca="false">E2316*F2316</f>
        <v>65</v>
      </c>
      <c r="H2316" s="392"/>
    </row>
    <row r="2317" customFormat="false" ht="45" hidden="false" customHeight="false" outlineLevel="0" collapsed="false">
      <c r="A2317" s="380"/>
      <c r="B2317" s="708"/>
      <c r="C2317" s="532" t="s">
        <v>4591</v>
      </c>
      <c r="D2317" s="728" t="s">
        <v>4348</v>
      </c>
      <c r="E2317" s="679" t="n">
        <v>5</v>
      </c>
      <c r="F2317" s="729" t="n">
        <v>5.1</v>
      </c>
      <c r="G2317" s="727" t="n">
        <f aca="false">E2317*F2317</f>
        <v>25.5</v>
      </c>
      <c r="H2317" s="392"/>
    </row>
    <row r="2318" customFormat="false" ht="15" hidden="false" customHeight="false" outlineLevel="0" collapsed="false">
      <c r="A2318" s="380"/>
      <c r="B2318" s="708"/>
      <c r="C2318" s="709" t="s">
        <v>4515</v>
      </c>
      <c r="D2318" s="679" t="s">
        <v>4133</v>
      </c>
      <c r="E2318" s="710" t="n">
        <v>0.006</v>
      </c>
      <c r="F2318" s="369" t="n">
        <v>2700</v>
      </c>
      <c r="G2318" s="727" t="n">
        <f aca="false">E2318*F2318</f>
        <v>16.2</v>
      </c>
      <c r="H2318" s="392"/>
    </row>
    <row r="2319" customFormat="false" ht="15" hidden="false" customHeight="false" outlineLevel="0" collapsed="false">
      <c r="A2319" s="380"/>
      <c r="B2319" s="708"/>
      <c r="C2319" s="709" t="s">
        <v>4124</v>
      </c>
      <c r="D2319" s="679" t="s">
        <v>4516</v>
      </c>
      <c r="E2319" s="710" t="n">
        <v>0.015</v>
      </c>
      <c r="F2319" s="369" t="n">
        <v>120</v>
      </c>
      <c r="G2319" s="727" t="n">
        <f aca="false">E2319*F2319</f>
        <v>1.8</v>
      </c>
      <c r="H2319" s="392"/>
    </row>
    <row r="2320" customFormat="false" ht="15" hidden="false" customHeight="false" outlineLevel="0" collapsed="false">
      <c r="A2320" s="380"/>
      <c r="B2320" s="708" t="s">
        <v>4128</v>
      </c>
      <c r="C2320" s="709"/>
      <c r="D2320" s="679"/>
      <c r="E2320" s="710"/>
      <c r="F2320" s="369"/>
      <c r="G2320" s="711" t="n">
        <f aca="false">SUM(G2306:G2319)</f>
        <v>3770.3</v>
      </c>
      <c r="H2320" s="392"/>
    </row>
    <row r="2321" customFormat="false" ht="15" hidden="false" customHeight="false" outlineLevel="0" collapsed="false">
      <c r="A2321" s="707" t="s">
        <v>454</v>
      </c>
      <c r="B2321" s="487" t="s">
        <v>3074</v>
      </c>
      <c r="C2321" s="709" t="s">
        <v>4671</v>
      </c>
      <c r="D2321" s="679" t="s">
        <v>4133</v>
      </c>
      <c r="E2321" s="710" t="n">
        <v>0.14</v>
      </c>
      <c r="F2321" s="369" t="n">
        <v>845</v>
      </c>
      <c r="G2321" s="727" t="n">
        <f aca="false">E2321*F2321</f>
        <v>118.3</v>
      </c>
      <c r="H2321" s="679"/>
    </row>
    <row r="2322" customFormat="false" ht="15" hidden="false" customHeight="false" outlineLevel="0" collapsed="false">
      <c r="A2322" s="380"/>
      <c r="B2322" s="522"/>
      <c r="C2322" s="709" t="s">
        <v>4672</v>
      </c>
      <c r="D2322" s="679" t="s">
        <v>4392</v>
      </c>
      <c r="E2322" s="710" t="n">
        <v>0.0126</v>
      </c>
      <c r="F2322" s="369" t="n">
        <v>25500</v>
      </c>
      <c r="G2322" s="727" t="n">
        <f aca="false">E2322*F2322</f>
        <v>321.3</v>
      </c>
      <c r="H2322" s="679"/>
    </row>
    <row r="2323" customFormat="false" ht="15" hidden="false" customHeight="false" outlineLevel="0" collapsed="false">
      <c r="A2323" s="380"/>
      <c r="B2323" s="522"/>
      <c r="C2323" s="709" t="s">
        <v>4250</v>
      </c>
      <c r="D2323" s="679" t="s">
        <v>4392</v>
      </c>
      <c r="E2323" s="710" t="n">
        <v>0.013</v>
      </c>
      <c r="F2323" s="369" t="n">
        <v>27000</v>
      </c>
      <c r="G2323" s="727" t="n">
        <f aca="false">E2323*F2323</f>
        <v>351</v>
      </c>
      <c r="H2323" s="679"/>
    </row>
    <row r="2324" customFormat="false" ht="15" hidden="false" customHeight="false" outlineLevel="0" collapsed="false">
      <c r="A2324" s="380"/>
      <c r="B2324" s="522"/>
      <c r="C2324" s="709" t="s">
        <v>4205</v>
      </c>
      <c r="D2324" s="679" t="s">
        <v>4392</v>
      </c>
      <c r="E2324" s="710" t="n">
        <v>0.07</v>
      </c>
      <c r="F2324" s="717" t="n">
        <v>7875</v>
      </c>
      <c r="G2324" s="727" t="n">
        <f aca="false">E2324*F2324</f>
        <v>551.25</v>
      </c>
      <c r="H2324" s="679"/>
    </row>
    <row r="2325" customFormat="false" ht="15" hidden="false" customHeight="false" outlineLevel="0" collapsed="false">
      <c r="A2325" s="380"/>
      <c r="B2325" s="522"/>
      <c r="C2325" s="709" t="s">
        <v>4171</v>
      </c>
      <c r="D2325" s="679" t="s">
        <v>4392</v>
      </c>
      <c r="E2325" s="710" t="n">
        <v>0.1</v>
      </c>
      <c r="F2325" s="717" t="n">
        <v>2700</v>
      </c>
      <c r="G2325" s="727" t="n">
        <f aca="false">E2325*F2325</f>
        <v>270</v>
      </c>
      <c r="H2325" s="679"/>
    </row>
    <row r="2326" customFormat="false" ht="15" hidden="false" customHeight="false" outlineLevel="0" collapsed="false">
      <c r="A2326" s="380"/>
      <c r="B2326" s="522"/>
      <c r="C2326" s="709" t="s">
        <v>4545</v>
      </c>
      <c r="D2326" s="679" t="s">
        <v>4133</v>
      </c>
      <c r="E2326" s="710" t="n">
        <v>0.12</v>
      </c>
      <c r="F2326" s="369" t="n">
        <v>1071</v>
      </c>
      <c r="G2326" s="727" t="n">
        <f aca="false">E2326*F2326</f>
        <v>128.52</v>
      </c>
      <c r="H2326" s="679"/>
    </row>
    <row r="2327" customFormat="false" ht="15" hidden="false" customHeight="false" outlineLevel="0" collapsed="false">
      <c r="A2327" s="380"/>
      <c r="B2327" s="522"/>
      <c r="C2327" s="709" t="s">
        <v>4604</v>
      </c>
      <c r="D2327" s="679" t="s">
        <v>4392</v>
      </c>
      <c r="E2327" s="710" t="n">
        <v>0.0063945</v>
      </c>
      <c r="F2327" s="369" t="n">
        <v>115000</v>
      </c>
      <c r="G2327" s="727" t="n">
        <f aca="false">E2327*F2327</f>
        <v>735.3675</v>
      </c>
      <c r="H2327" s="679"/>
    </row>
    <row r="2328" customFormat="false" ht="15" hidden="false" customHeight="false" outlineLevel="0" collapsed="false">
      <c r="A2328" s="380"/>
      <c r="B2328" s="522"/>
      <c r="C2328" s="709" t="s">
        <v>4580</v>
      </c>
      <c r="D2328" s="679" t="s">
        <v>4133</v>
      </c>
      <c r="E2328" s="710" t="n">
        <v>0.015</v>
      </c>
      <c r="F2328" s="369" t="n">
        <v>1690</v>
      </c>
      <c r="G2328" s="727" t="n">
        <f aca="false">E2328*F2328</f>
        <v>25.35</v>
      </c>
      <c r="H2328" s="679"/>
    </row>
    <row r="2329" customFormat="false" ht="15" hidden="false" customHeight="false" outlineLevel="0" collapsed="false">
      <c r="A2329" s="380"/>
      <c r="B2329" s="522"/>
      <c r="C2329" s="709" t="s">
        <v>4317</v>
      </c>
      <c r="D2329" s="679" t="s">
        <v>4392</v>
      </c>
      <c r="E2329" s="710" t="n">
        <v>0.05</v>
      </c>
      <c r="F2329" s="724" t="n">
        <v>16500</v>
      </c>
      <c r="G2329" s="727" t="n">
        <f aca="false">E2329*F2329</f>
        <v>825</v>
      </c>
      <c r="H2329" s="679"/>
    </row>
    <row r="2330" customFormat="false" ht="15" hidden="false" customHeight="false" outlineLevel="0" collapsed="false">
      <c r="A2330" s="380"/>
      <c r="B2330" s="522"/>
      <c r="C2330" s="709" t="s">
        <v>4485</v>
      </c>
      <c r="D2330" s="679" t="s">
        <v>4133</v>
      </c>
      <c r="E2330" s="710" t="n">
        <v>0.02</v>
      </c>
      <c r="F2330" s="369" t="n">
        <v>3500</v>
      </c>
      <c r="G2330" s="727" t="n">
        <f aca="false">E2330*F2330</f>
        <v>70</v>
      </c>
      <c r="H2330" s="679"/>
    </row>
    <row r="2331" customFormat="false" ht="15" hidden="false" customHeight="false" outlineLevel="0" collapsed="false">
      <c r="A2331" s="380"/>
      <c r="B2331" s="522"/>
      <c r="C2331" s="709" t="s">
        <v>4673</v>
      </c>
      <c r="D2331" s="679" t="s">
        <v>4133</v>
      </c>
      <c r="E2331" s="710" t="n">
        <v>0.0016</v>
      </c>
      <c r="F2331" s="369" t="n">
        <v>7321.43</v>
      </c>
      <c r="G2331" s="727" t="n">
        <f aca="false">E2331*F2331</f>
        <v>11.714288</v>
      </c>
      <c r="H2331" s="679"/>
    </row>
    <row r="2332" customFormat="false" ht="15" hidden="false" customHeight="false" outlineLevel="0" collapsed="false">
      <c r="A2332" s="380"/>
      <c r="B2332" s="522"/>
      <c r="C2332" s="709" t="s">
        <v>4655</v>
      </c>
      <c r="D2332" s="679" t="s">
        <v>4392</v>
      </c>
      <c r="E2332" s="710" t="n">
        <v>0.005684</v>
      </c>
      <c r="F2332" s="369" t="n">
        <v>9500</v>
      </c>
      <c r="G2332" s="727" t="n">
        <f aca="false">E2332*F2332</f>
        <v>53.998</v>
      </c>
      <c r="H2332" s="679"/>
    </row>
    <row r="2333" customFormat="false" ht="15" hidden="false" customHeight="false" outlineLevel="0" collapsed="false">
      <c r="A2333" s="380"/>
      <c r="B2333" s="522"/>
      <c r="C2333" s="709" t="s">
        <v>4674</v>
      </c>
      <c r="D2333" s="679" t="s">
        <v>4138</v>
      </c>
      <c r="E2333" s="710" t="n">
        <v>0.06</v>
      </c>
      <c r="F2333" s="369" t="n">
        <v>81000</v>
      </c>
      <c r="G2333" s="727" t="n">
        <f aca="false">E2333*F2333</f>
        <v>4860</v>
      </c>
      <c r="H2333" s="679"/>
    </row>
    <row r="2334" customFormat="false" ht="15" hidden="false" customHeight="false" outlineLevel="0" collapsed="false">
      <c r="A2334" s="380"/>
      <c r="B2334" s="522"/>
      <c r="C2334" s="709" t="s">
        <v>4675</v>
      </c>
      <c r="D2334" s="679" t="s">
        <v>4138</v>
      </c>
      <c r="E2334" s="710" t="n">
        <v>0.07</v>
      </c>
      <c r="F2334" s="369" t="n">
        <v>81000</v>
      </c>
      <c r="G2334" s="727" t="n">
        <f aca="false">E2334*F2334</f>
        <v>5670</v>
      </c>
      <c r="H2334" s="679"/>
    </row>
    <row r="2335" customFormat="false" ht="15" hidden="false" customHeight="false" outlineLevel="0" collapsed="false">
      <c r="A2335" s="380"/>
      <c r="B2335" s="522"/>
      <c r="C2335" s="532" t="s">
        <v>4676</v>
      </c>
      <c r="D2335" s="679" t="s">
        <v>4559</v>
      </c>
      <c r="E2335" s="733" t="n">
        <v>0.01</v>
      </c>
      <c r="F2335" s="724" t="n">
        <v>275000</v>
      </c>
      <c r="G2335" s="727" t="n">
        <f aca="false">E2335*F2335</f>
        <v>2750</v>
      </c>
      <c r="H2335" s="679"/>
    </row>
    <row r="2336" customFormat="false" ht="15" hidden="false" customHeight="false" outlineLevel="0" collapsed="false">
      <c r="A2336" s="380"/>
      <c r="B2336" s="522"/>
      <c r="C2336" s="709" t="s">
        <v>4515</v>
      </c>
      <c r="D2336" s="679" t="s">
        <v>4133</v>
      </c>
      <c r="E2336" s="710" t="n">
        <v>0.006</v>
      </c>
      <c r="F2336" s="369" t="n">
        <v>2700</v>
      </c>
      <c r="G2336" s="727" t="n">
        <f aca="false">E2336*F2336</f>
        <v>16.2</v>
      </c>
      <c r="H2336" s="679"/>
    </row>
    <row r="2337" customFormat="false" ht="15" hidden="false" customHeight="false" outlineLevel="0" collapsed="false">
      <c r="A2337" s="380"/>
      <c r="B2337" s="522"/>
      <c r="C2337" s="709" t="s">
        <v>4124</v>
      </c>
      <c r="D2337" s="679" t="s">
        <v>4516</v>
      </c>
      <c r="E2337" s="710" t="n">
        <v>1.4933</v>
      </c>
      <c r="F2337" s="369" t="n">
        <v>120</v>
      </c>
      <c r="G2337" s="727" t="n">
        <f aca="false">E2337*F2337</f>
        <v>179.196</v>
      </c>
      <c r="H2337" s="679"/>
    </row>
    <row r="2338" customFormat="false" ht="15" hidden="false" customHeight="false" outlineLevel="0" collapsed="false">
      <c r="A2338" s="380"/>
      <c r="B2338" s="708" t="s">
        <v>4128</v>
      </c>
      <c r="C2338" s="718"/>
      <c r="D2338" s="719"/>
      <c r="E2338" s="722"/>
      <c r="F2338" s="366"/>
      <c r="G2338" s="711" t="n">
        <f aca="false">SUM(G2321:G2337)</f>
        <v>16937.195788</v>
      </c>
      <c r="H2338" s="392"/>
    </row>
    <row r="2339" customFormat="false" ht="30" hidden="false" customHeight="false" outlineLevel="0" collapsed="false">
      <c r="A2339" s="707" t="s">
        <v>456</v>
      </c>
      <c r="B2339" s="532" t="s">
        <v>3075</v>
      </c>
      <c r="C2339" s="747" t="s">
        <v>4625</v>
      </c>
      <c r="D2339" s="679" t="s">
        <v>4191</v>
      </c>
      <c r="E2339" s="726" t="n">
        <v>0.2</v>
      </c>
      <c r="F2339" s="721" t="n">
        <v>27000</v>
      </c>
      <c r="G2339" s="727" t="n">
        <f aca="false">E2339*F2339</f>
        <v>5400</v>
      </c>
      <c r="H2339" s="392"/>
    </row>
    <row r="2340" customFormat="false" ht="15" hidden="false" customHeight="false" outlineLevel="0" collapsed="false">
      <c r="A2340" s="380"/>
      <c r="B2340" s="708"/>
      <c r="C2340" s="747" t="s">
        <v>4626</v>
      </c>
      <c r="D2340" s="679" t="s">
        <v>4133</v>
      </c>
      <c r="E2340" s="745" t="n">
        <v>0.001</v>
      </c>
      <c r="F2340" s="729" t="n">
        <v>810000</v>
      </c>
      <c r="G2340" s="727" t="n">
        <f aca="false">E2340*F2340</f>
        <v>810</v>
      </c>
      <c r="H2340" s="392"/>
    </row>
    <row r="2341" customFormat="false" ht="15" hidden="false" customHeight="false" outlineLevel="0" collapsed="false">
      <c r="A2341" s="380"/>
      <c r="B2341" s="708"/>
      <c r="C2341" s="532" t="s">
        <v>4377</v>
      </c>
      <c r="D2341" s="679" t="s">
        <v>4133</v>
      </c>
      <c r="E2341" s="745" t="n">
        <v>0.1</v>
      </c>
      <c r="F2341" s="369" t="n">
        <v>3500</v>
      </c>
      <c r="G2341" s="727" t="n">
        <f aca="false">E2341*F2341</f>
        <v>350</v>
      </c>
      <c r="H2341" s="392"/>
    </row>
    <row r="2342" customFormat="false" ht="15" hidden="false" customHeight="false" outlineLevel="0" collapsed="false">
      <c r="A2342" s="380"/>
      <c r="B2342" s="708"/>
      <c r="C2342" s="747" t="s">
        <v>4627</v>
      </c>
      <c r="D2342" s="679" t="s">
        <v>4133</v>
      </c>
      <c r="E2342" s="679" t="n">
        <v>0.2</v>
      </c>
      <c r="F2342" s="748" t="n">
        <v>1200</v>
      </c>
      <c r="G2342" s="727" t="n">
        <f aca="false">E2342*F2342</f>
        <v>240</v>
      </c>
      <c r="H2342" s="392"/>
    </row>
    <row r="2343" customFormat="false" ht="15" hidden="false" customHeight="false" outlineLevel="0" collapsed="false">
      <c r="A2343" s="380"/>
      <c r="B2343" s="708"/>
      <c r="C2343" s="747" t="s">
        <v>4628</v>
      </c>
      <c r="D2343" s="679" t="s">
        <v>4133</v>
      </c>
      <c r="E2343" s="679" t="n">
        <v>0.1</v>
      </c>
      <c r="F2343" s="721" t="n">
        <v>710</v>
      </c>
      <c r="G2343" s="727" t="n">
        <f aca="false">E2343*F2343</f>
        <v>71</v>
      </c>
      <c r="H2343" s="392"/>
    </row>
    <row r="2344" customFormat="false" ht="15" hidden="false" customHeight="false" outlineLevel="0" collapsed="false">
      <c r="A2344" s="380"/>
      <c r="B2344" s="708"/>
      <c r="C2344" s="532" t="s">
        <v>4609</v>
      </c>
      <c r="D2344" s="679" t="s">
        <v>4133</v>
      </c>
      <c r="E2344" s="679" t="n">
        <v>0.1</v>
      </c>
      <c r="F2344" s="721" t="n">
        <v>1500</v>
      </c>
      <c r="G2344" s="727" t="n">
        <f aca="false">E2344*F2344</f>
        <v>150</v>
      </c>
      <c r="H2344" s="392"/>
    </row>
    <row r="2345" customFormat="false" ht="15" hidden="false" customHeight="false" outlineLevel="0" collapsed="false">
      <c r="A2345" s="380"/>
      <c r="B2345" s="708"/>
      <c r="C2345" s="471" t="s">
        <v>4250</v>
      </c>
      <c r="D2345" s="679" t="s">
        <v>4133</v>
      </c>
      <c r="E2345" s="679" t="n">
        <v>0.05</v>
      </c>
      <c r="F2345" s="729" t="n">
        <v>27000</v>
      </c>
      <c r="G2345" s="727" t="n">
        <f aca="false">E2345*F2345</f>
        <v>1350</v>
      </c>
      <c r="H2345" s="392"/>
    </row>
    <row r="2346" customFormat="false" ht="15" hidden="false" customHeight="false" outlineLevel="0" collapsed="false">
      <c r="A2346" s="380"/>
      <c r="B2346" s="708"/>
      <c r="C2346" s="747" t="s">
        <v>4629</v>
      </c>
      <c r="D2346" s="679" t="s">
        <v>4133</v>
      </c>
      <c r="E2346" s="679" t="n">
        <v>0.05</v>
      </c>
      <c r="F2346" s="729" t="n">
        <v>3000</v>
      </c>
      <c r="G2346" s="727" t="n">
        <f aca="false">E2346*F2346</f>
        <v>150</v>
      </c>
      <c r="H2346" s="392"/>
    </row>
    <row r="2347" customFormat="false" ht="30" hidden="false" customHeight="false" outlineLevel="0" collapsed="false">
      <c r="A2347" s="380"/>
      <c r="B2347" s="708"/>
      <c r="C2347" s="747" t="s">
        <v>4630</v>
      </c>
      <c r="D2347" s="679" t="s">
        <v>4133</v>
      </c>
      <c r="E2347" s="679" t="n">
        <v>0.05</v>
      </c>
      <c r="F2347" s="369" t="n">
        <v>2200</v>
      </c>
      <c r="G2347" s="727" t="n">
        <f aca="false">E2347*F2347</f>
        <v>110</v>
      </c>
      <c r="H2347" s="392"/>
    </row>
    <row r="2348" customFormat="false" ht="15" hidden="false" customHeight="false" outlineLevel="0" collapsed="false">
      <c r="A2348" s="380"/>
      <c r="B2348" s="708"/>
      <c r="C2348" s="747" t="s">
        <v>4631</v>
      </c>
      <c r="D2348" s="679" t="s">
        <v>4133</v>
      </c>
      <c r="E2348" s="679" t="n">
        <v>0.01</v>
      </c>
      <c r="F2348" s="729" t="n">
        <v>1400</v>
      </c>
      <c r="G2348" s="727" t="n">
        <f aca="false">E2348*F2348</f>
        <v>14</v>
      </c>
      <c r="H2348" s="392"/>
    </row>
    <row r="2349" customFormat="false" ht="15" hidden="false" customHeight="false" outlineLevel="0" collapsed="false">
      <c r="A2349" s="380"/>
      <c r="B2349" s="708"/>
      <c r="C2349" s="532" t="s">
        <v>4377</v>
      </c>
      <c r="D2349" s="679" t="s">
        <v>4133</v>
      </c>
      <c r="E2349" s="749" t="n">
        <v>0.05</v>
      </c>
      <c r="F2349" s="369" t="n">
        <v>3500</v>
      </c>
      <c r="G2349" s="727" t="n">
        <f aca="false">E2349*F2349</f>
        <v>175</v>
      </c>
      <c r="H2349" s="392"/>
    </row>
    <row r="2350" customFormat="false" ht="15" hidden="false" customHeight="false" outlineLevel="0" collapsed="false">
      <c r="A2350" s="380"/>
      <c r="B2350" s="708"/>
      <c r="C2350" s="747" t="s">
        <v>4132</v>
      </c>
      <c r="D2350" s="679" t="s">
        <v>4133</v>
      </c>
      <c r="E2350" s="679" t="n">
        <v>0.05</v>
      </c>
      <c r="F2350" s="369" t="n">
        <v>1900</v>
      </c>
      <c r="G2350" s="727" t="n">
        <f aca="false">E2350*F2350</f>
        <v>95</v>
      </c>
      <c r="H2350" s="392"/>
    </row>
    <row r="2351" customFormat="false" ht="15" hidden="false" customHeight="false" outlineLevel="0" collapsed="false">
      <c r="A2351" s="380"/>
      <c r="B2351" s="708"/>
      <c r="C2351" s="747" t="s">
        <v>4619</v>
      </c>
      <c r="D2351" s="679" t="s">
        <v>4133</v>
      </c>
      <c r="E2351" s="679" t="n">
        <v>0.05</v>
      </c>
      <c r="F2351" s="729" t="n">
        <v>920</v>
      </c>
      <c r="G2351" s="727" t="n">
        <f aca="false">E2351*F2351</f>
        <v>46</v>
      </c>
      <c r="H2351" s="392"/>
    </row>
    <row r="2352" customFormat="false" ht="15" hidden="false" customHeight="false" outlineLevel="0" collapsed="false">
      <c r="A2352" s="380"/>
      <c r="B2352" s="708"/>
      <c r="C2352" s="532" t="s">
        <v>4676</v>
      </c>
      <c r="D2352" s="679" t="s">
        <v>4559</v>
      </c>
      <c r="E2352" s="733" t="n">
        <v>0.045</v>
      </c>
      <c r="F2352" s="724" t="n">
        <v>275000</v>
      </c>
      <c r="G2352" s="727" t="n">
        <f aca="false">E2352*F2352</f>
        <v>12375</v>
      </c>
      <c r="H2352" s="392"/>
    </row>
    <row r="2353" customFormat="false" ht="15" hidden="false" customHeight="false" outlineLevel="0" collapsed="false">
      <c r="A2353" s="380"/>
      <c r="B2353" s="708"/>
      <c r="C2353" s="709" t="s">
        <v>4515</v>
      </c>
      <c r="D2353" s="679" t="s">
        <v>4133</v>
      </c>
      <c r="E2353" s="710" t="n">
        <v>0.006</v>
      </c>
      <c r="F2353" s="369" t="n">
        <v>2700</v>
      </c>
      <c r="G2353" s="727" t="n">
        <f aca="false">E2353*F2353</f>
        <v>16.2</v>
      </c>
      <c r="H2353" s="392"/>
    </row>
    <row r="2354" customFormat="false" ht="15" hidden="false" customHeight="false" outlineLevel="0" collapsed="false">
      <c r="A2354" s="380"/>
      <c r="B2354" s="708"/>
      <c r="C2354" s="709" t="s">
        <v>4124</v>
      </c>
      <c r="D2354" s="679" t="s">
        <v>4516</v>
      </c>
      <c r="E2354" s="710" t="n">
        <v>1.4933</v>
      </c>
      <c r="F2354" s="369" t="n">
        <v>120</v>
      </c>
      <c r="G2354" s="727" t="n">
        <f aca="false">E2354*F2354</f>
        <v>179.196</v>
      </c>
      <c r="H2354" s="392"/>
    </row>
    <row r="2355" customFormat="false" ht="15" hidden="false" customHeight="false" outlineLevel="0" collapsed="false">
      <c r="A2355" s="380"/>
      <c r="B2355" s="708" t="s">
        <v>4128</v>
      </c>
      <c r="C2355" s="532"/>
      <c r="D2355" s="679"/>
      <c r="E2355" s="759"/>
      <c r="F2355" s="721"/>
      <c r="G2355" s="760" t="n">
        <f aca="false">SUM(G2339:G2354)</f>
        <v>21531.396</v>
      </c>
      <c r="H2355" s="392"/>
    </row>
    <row r="2356" customFormat="false" ht="15" hidden="false" customHeight="false" outlineLevel="0" collapsed="false">
      <c r="A2356" s="707" t="s">
        <v>458</v>
      </c>
      <c r="B2356" s="532" t="s">
        <v>459</v>
      </c>
      <c r="C2356" s="532" t="s">
        <v>4609</v>
      </c>
      <c r="D2356" s="679" t="s">
        <v>4149</v>
      </c>
      <c r="E2356" s="726" t="n">
        <v>0.004</v>
      </c>
      <c r="F2356" s="721" t="n">
        <v>1500</v>
      </c>
      <c r="G2356" s="727" t="n">
        <f aca="false">E2356*F2356</f>
        <v>6</v>
      </c>
      <c r="H2356" s="392"/>
    </row>
    <row r="2357" customFormat="false" ht="15" hidden="false" customHeight="false" outlineLevel="0" collapsed="false">
      <c r="A2357" s="380"/>
      <c r="B2357" s="708"/>
      <c r="C2357" s="532" t="s">
        <v>4466</v>
      </c>
      <c r="D2357" s="679" t="s">
        <v>4149</v>
      </c>
      <c r="E2357" s="726" t="n">
        <v>0.05</v>
      </c>
      <c r="F2357" s="723" t="n">
        <v>980</v>
      </c>
      <c r="G2357" s="727" t="n">
        <f aca="false">E2357*F2357</f>
        <v>49</v>
      </c>
      <c r="H2357" s="392"/>
    </row>
    <row r="2358" customFormat="false" ht="15" hidden="false" customHeight="false" outlineLevel="0" collapsed="false">
      <c r="A2358" s="380"/>
      <c r="B2358" s="708"/>
      <c r="C2358" s="532" t="s">
        <v>4677</v>
      </c>
      <c r="D2358" s="679" t="s">
        <v>4149</v>
      </c>
      <c r="E2358" s="726" t="n">
        <v>0.05</v>
      </c>
      <c r="F2358" s="721" t="n">
        <v>500</v>
      </c>
      <c r="G2358" s="727" t="n">
        <f aca="false">E2358*F2358</f>
        <v>25</v>
      </c>
      <c r="H2358" s="392"/>
    </row>
    <row r="2359" customFormat="false" ht="15" hidden="false" customHeight="false" outlineLevel="0" collapsed="false">
      <c r="A2359" s="380"/>
      <c r="B2359" s="708"/>
      <c r="C2359" s="532" t="s">
        <v>4678</v>
      </c>
      <c r="D2359" s="679" t="s">
        <v>4149</v>
      </c>
      <c r="E2359" s="726" t="n">
        <v>0.01</v>
      </c>
      <c r="F2359" s="721" t="n">
        <v>18000</v>
      </c>
      <c r="G2359" s="727" t="n">
        <f aca="false">E2359*F2359</f>
        <v>180</v>
      </c>
      <c r="H2359" s="392"/>
    </row>
    <row r="2360" customFormat="false" ht="45" hidden="false" customHeight="false" outlineLevel="0" collapsed="false">
      <c r="A2360" s="380"/>
      <c r="B2360" s="708"/>
      <c r="C2360" s="532" t="s">
        <v>4591</v>
      </c>
      <c r="D2360" s="728" t="s">
        <v>4348</v>
      </c>
      <c r="E2360" s="679" t="n">
        <v>5</v>
      </c>
      <c r="F2360" s="729" t="n">
        <v>5.1</v>
      </c>
      <c r="G2360" s="761" t="n">
        <f aca="false">E2360*F2360</f>
        <v>25.5</v>
      </c>
      <c r="H2360" s="392"/>
    </row>
    <row r="2361" customFormat="false" ht="15" hidden="false" customHeight="false" outlineLevel="0" collapsed="false">
      <c r="A2361" s="380"/>
      <c r="B2361" s="708"/>
      <c r="C2361" s="709" t="s">
        <v>4515</v>
      </c>
      <c r="D2361" s="679" t="s">
        <v>4133</v>
      </c>
      <c r="E2361" s="710" t="n">
        <v>0.006</v>
      </c>
      <c r="F2361" s="369" t="n">
        <v>2700</v>
      </c>
      <c r="G2361" s="716" t="n">
        <f aca="false">E2361*F2361</f>
        <v>16.2</v>
      </c>
      <c r="H2361" s="392"/>
    </row>
    <row r="2362" customFormat="false" ht="15" hidden="false" customHeight="false" outlineLevel="0" collapsed="false">
      <c r="A2362" s="380"/>
      <c r="B2362" s="708"/>
      <c r="C2362" s="709" t="s">
        <v>4124</v>
      </c>
      <c r="D2362" s="679" t="s">
        <v>4516</v>
      </c>
      <c r="E2362" s="710" t="n">
        <v>1.4933</v>
      </c>
      <c r="F2362" s="369" t="n">
        <v>120</v>
      </c>
      <c r="G2362" s="716" t="n">
        <f aca="false">E2362*F2362</f>
        <v>179.196</v>
      </c>
      <c r="H2362" s="392"/>
    </row>
    <row r="2363" customFormat="false" ht="15" hidden="false" customHeight="false" outlineLevel="0" collapsed="false">
      <c r="A2363" s="380"/>
      <c r="B2363" s="708" t="s">
        <v>4128</v>
      </c>
      <c r="C2363" s="532"/>
      <c r="D2363" s="679"/>
      <c r="E2363" s="759"/>
      <c r="F2363" s="721"/>
      <c r="G2363" s="760" t="n">
        <f aca="false">SUM(G2356:G2362)</f>
        <v>480.896</v>
      </c>
      <c r="H2363" s="392"/>
    </row>
    <row r="2364" customFormat="false" ht="15" hidden="false" customHeight="false" outlineLevel="0" collapsed="false">
      <c r="A2364" s="707" t="s">
        <v>460</v>
      </c>
      <c r="B2364" s="532" t="s">
        <v>461</v>
      </c>
      <c r="C2364" s="532" t="s">
        <v>4189</v>
      </c>
      <c r="D2364" s="679" t="s">
        <v>4133</v>
      </c>
      <c r="E2364" s="733" t="n">
        <v>0.02</v>
      </c>
      <c r="F2364" s="729" t="n">
        <v>3500</v>
      </c>
      <c r="G2364" s="761" t="n">
        <f aca="false">E2364*F2364</f>
        <v>70</v>
      </c>
      <c r="H2364" s="392"/>
    </row>
    <row r="2365" customFormat="false" ht="15" hidden="false" customHeight="false" outlineLevel="0" collapsed="false">
      <c r="A2365" s="380"/>
      <c r="B2365" s="708"/>
      <c r="C2365" s="532" t="s">
        <v>4679</v>
      </c>
      <c r="D2365" s="679" t="s">
        <v>4133</v>
      </c>
      <c r="E2365" s="733" t="n">
        <v>0.01</v>
      </c>
      <c r="F2365" s="721" t="n">
        <v>95000</v>
      </c>
      <c r="G2365" s="761" t="n">
        <f aca="false">E2365*F2365</f>
        <v>950</v>
      </c>
      <c r="H2365" s="392"/>
    </row>
    <row r="2366" customFormat="false" ht="15" hidden="false" customHeight="false" outlineLevel="0" collapsed="false">
      <c r="A2366" s="380"/>
      <c r="B2366" s="708"/>
      <c r="C2366" s="532" t="s">
        <v>4680</v>
      </c>
      <c r="D2366" s="679" t="s">
        <v>4191</v>
      </c>
      <c r="E2366" s="733" t="n">
        <v>1</v>
      </c>
      <c r="F2366" s="721" t="n">
        <v>350</v>
      </c>
      <c r="G2366" s="761" t="n">
        <f aca="false">E2366*F2366</f>
        <v>350</v>
      </c>
      <c r="H2366" s="392"/>
    </row>
    <row r="2367" customFormat="false" ht="15" hidden="false" customHeight="false" outlineLevel="0" collapsed="false">
      <c r="A2367" s="380"/>
      <c r="B2367" s="708"/>
      <c r="C2367" s="532" t="s">
        <v>4629</v>
      </c>
      <c r="D2367" s="679" t="s">
        <v>4133</v>
      </c>
      <c r="E2367" s="733" t="n">
        <v>0.1</v>
      </c>
      <c r="F2367" s="729" t="n">
        <v>3000</v>
      </c>
      <c r="G2367" s="761" t="n">
        <f aca="false">E2367*F2367</f>
        <v>300</v>
      </c>
      <c r="H2367" s="392"/>
    </row>
    <row r="2368" customFormat="false" ht="15" hidden="false" customHeight="false" outlineLevel="0" collapsed="false">
      <c r="A2368" s="380"/>
      <c r="B2368" s="708"/>
      <c r="C2368" s="532" t="s">
        <v>4681</v>
      </c>
      <c r="D2368" s="679" t="s">
        <v>4133</v>
      </c>
      <c r="E2368" s="733" t="n">
        <v>0.06</v>
      </c>
      <c r="F2368" s="721" t="n">
        <v>400</v>
      </c>
      <c r="G2368" s="761" t="n">
        <f aca="false">E2368*F2368</f>
        <v>24</v>
      </c>
      <c r="H2368" s="392"/>
    </row>
    <row r="2369" customFormat="false" ht="45" hidden="false" customHeight="false" outlineLevel="0" collapsed="false">
      <c r="A2369" s="380"/>
      <c r="B2369" s="708"/>
      <c r="C2369" s="532" t="s">
        <v>4591</v>
      </c>
      <c r="D2369" s="728" t="s">
        <v>4348</v>
      </c>
      <c r="E2369" s="679" t="n">
        <v>5</v>
      </c>
      <c r="F2369" s="729" t="n">
        <v>5.1</v>
      </c>
      <c r="G2369" s="761" t="n">
        <f aca="false">E2369*F2369</f>
        <v>25.5</v>
      </c>
      <c r="H2369" s="392"/>
    </row>
    <row r="2370" customFormat="false" ht="15" hidden="false" customHeight="false" outlineLevel="0" collapsed="false">
      <c r="A2370" s="380"/>
      <c r="B2370" s="708"/>
      <c r="C2370" s="532" t="s">
        <v>4189</v>
      </c>
      <c r="D2370" s="679" t="s">
        <v>4133</v>
      </c>
      <c r="E2370" s="733" t="n">
        <v>0.02</v>
      </c>
      <c r="F2370" s="729" t="n">
        <v>3500</v>
      </c>
      <c r="G2370" s="761" t="n">
        <f aca="false">E2370*F2370</f>
        <v>70</v>
      </c>
      <c r="H2370" s="392"/>
    </row>
    <row r="2371" customFormat="false" ht="15" hidden="false" customHeight="false" outlineLevel="0" collapsed="false">
      <c r="A2371" s="380"/>
      <c r="B2371" s="708"/>
      <c r="C2371" s="709" t="s">
        <v>4515</v>
      </c>
      <c r="D2371" s="679" t="s">
        <v>4133</v>
      </c>
      <c r="E2371" s="710" t="n">
        <v>0.006</v>
      </c>
      <c r="F2371" s="369" t="n">
        <v>2700</v>
      </c>
      <c r="G2371" s="716" t="n">
        <f aca="false">E2371*F2371</f>
        <v>16.2</v>
      </c>
      <c r="H2371" s="392"/>
    </row>
    <row r="2372" customFormat="false" ht="15" hidden="false" customHeight="false" outlineLevel="0" collapsed="false">
      <c r="A2372" s="380"/>
      <c r="B2372" s="708"/>
      <c r="C2372" s="709" t="s">
        <v>4124</v>
      </c>
      <c r="D2372" s="679" t="s">
        <v>4516</v>
      </c>
      <c r="E2372" s="710" t="n">
        <v>1.4933</v>
      </c>
      <c r="F2372" s="369" t="n">
        <v>120</v>
      </c>
      <c r="G2372" s="716" t="n">
        <f aca="false">E2372*F2372</f>
        <v>179.196</v>
      </c>
      <c r="H2372" s="392"/>
    </row>
    <row r="2373" customFormat="false" ht="15" hidden="false" customHeight="false" outlineLevel="0" collapsed="false">
      <c r="A2373" s="380"/>
      <c r="B2373" s="708" t="s">
        <v>4128</v>
      </c>
      <c r="C2373" s="532"/>
      <c r="D2373" s="679"/>
      <c r="E2373" s="759"/>
      <c r="F2373" s="721"/>
      <c r="G2373" s="760" t="n">
        <f aca="false">SUM(G2364:G2372)</f>
        <v>1984.896</v>
      </c>
      <c r="H2373" s="392"/>
    </row>
    <row r="2374" customFormat="false" ht="15" hidden="false" customHeight="false" outlineLevel="0" collapsed="false">
      <c r="A2374" s="707" t="s">
        <v>462</v>
      </c>
      <c r="B2374" s="532" t="s">
        <v>463</v>
      </c>
      <c r="C2374" s="532" t="s">
        <v>4189</v>
      </c>
      <c r="D2374" s="679" t="s">
        <v>4133</v>
      </c>
      <c r="E2374" s="726" t="n">
        <v>0.02</v>
      </c>
      <c r="F2374" s="729" t="n">
        <v>3500</v>
      </c>
      <c r="G2374" s="761" t="n">
        <f aca="false">E2374*F2374</f>
        <v>70</v>
      </c>
      <c r="H2374" s="392"/>
    </row>
    <row r="2375" customFormat="false" ht="15" hidden="false" customHeight="false" outlineLevel="0" collapsed="false">
      <c r="A2375" s="380"/>
      <c r="B2375" s="708"/>
      <c r="C2375" s="532" t="s">
        <v>4679</v>
      </c>
      <c r="D2375" s="679" t="s">
        <v>4133</v>
      </c>
      <c r="E2375" s="726" t="n">
        <v>0.002</v>
      </c>
      <c r="F2375" s="721" t="n">
        <v>95000</v>
      </c>
      <c r="G2375" s="761" t="n">
        <f aca="false">E2375*F2375</f>
        <v>190</v>
      </c>
      <c r="H2375" s="392"/>
    </row>
    <row r="2376" customFormat="false" ht="15" hidden="false" customHeight="false" outlineLevel="0" collapsed="false">
      <c r="A2376" s="380"/>
      <c r="B2376" s="708"/>
      <c r="C2376" s="532" t="s">
        <v>4682</v>
      </c>
      <c r="D2376" s="679" t="s">
        <v>4133</v>
      </c>
      <c r="E2376" s="726" t="n">
        <v>1</v>
      </c>
      <c r="F2376" s="721" t="n">
        <v>350</v>
      </c>
      <c r="G2376" s="761" t="n">
        <f aca="false">E2376*F2376</f>
        <v>350</v>
      </c>
      <c r="H2376" s="392"/>
    </row>
    <row r="2377" customFormat="false" ht="15" hidden="false" customHeight="false" outlineLevel="0" collapsed="false">
      <c r="A2377" s="380"/>
      <c r="B2377" s="708"/>
      <c r="C2377" s="532" t="s">
        <v>4629</v>
      </c>
      <c r="D2377" s="679" t="s">
        <v>4133</v>
      </c>
      <c r="E2377" s="726" t="n">
        <v>0.1</v>
      </c>
      <c r="F2377" s="729" t="n">
        <v>3000</v>
      </c>
      <c r="G2377" s="761" t="n">
        <f aca="false">E2377*F2377</f>
        <v>300</v>
      </c>
      <c r="H2377" s="392"/>
    </row>
    <row r="2378" customFormat="false" ht="15" hidden="false" customHeight="false" outlineLevel="0" collapsed="false">
      <c r="A2378" s="380"/>
      <c r="B2378" s="708"/>
      <c r="C2378" s="532" t="s">
        <v>4681</v>
      </c>
      <c r="D2378" s="679" t="s">
        <v>4133</v>
      </c>
      <c r="E2378" s="726" t="n">
        <v>0.06</v>
      </c>
      <c r="F2378" s="721" t="n">
        <v>400</v>
      </c>
      <c r="G2378" s="761" t="n">
        <f aca="false">E2378*F2378</f>
        <v>24</v>
      </c>
      <c r="H2378" s="392"/>
    </row>
    <row r="2379" customFormat="false" ht="45" hidden="false" customHeight="false" outlineLevel="0" collapsed="false">
      <c r="A2379" s="380"/>
      <c r="B2379" s="708"/>
      <c r="C2379" s="532" t="s">
        <v>4591</v>
      </c>
      <c r="D2379" s="728" t="s">
        <v>4348</v>
      </c>
      <c r="E2379" s="679" t="n">
        <v>5</v>
      </c>
      <c r="F2379" s="729" t="n">
        <v>5.1</v>
      </c>
      <c r="G2379" s="761" t="n">
        <f aca="false">E2379*F2379</f>
        <v>25.5</v>
      </c>
      <c r="H2379" s="392"/>
    </row>
    <row r="2380" customFormat="false" ht="15" hidden="false" customHeight="false" outlineLevel="0" collapsed="false">
      <c r="A2380" s="380"/>
      <c r="B2380" s="708"/>
      <c r="C2380" s="532" t="s">
        <v>4189</v>
      </c>
      <c r="D2380" s="679" t="s">
        <v>4133</v>
      </c>
      <c r="E2380" s="759" t="n">
        <v>0.02</v>
      </c>
      <c r="F2380" s="729" t="n">
        <v>3500</v>
      </c>
      <c r="G2380" s="761" t="n">
        <f aca="false">E2380*F2380</f>
        <v>70</v>
      </c>
      <c r="H2380" s="392"/>
    </row>
    <row r="2381" customFormat="false" ht="15" hidden="false" customHeight="false" outlineLevel="0" collapsed="false">
      <c r="A2381" s="380"/>
      <c r="B2381" s="708"/>
      <c r="C2381" s="709" t="s">
        <v>4515</v>
      </c>
      <c r="D2381" s="679" t="s">
        <v>4133</v>
      </c>
      <c r="E2381" s="710" t="n">
        <v>0.006</v>
      </c>
      <c r="F2381" s="369" t="n">
        <v>2700</v>
      </c>
      <c r="G2381" s="761" t="n">
        <f aca="false">E2381*F2381</f>
        <v>16.2</v>
      </c>
      <c r="H2381" s="392"/>
    </row>
    <row r="2382" customFormat="false" ht="15" hidden="false" customHeight="false" outlineLevel="0" collapsed="false">
      <c r="A2382" s="380"/>
      <c r="B2382" s="708"/>
      <c r="C2382" s="709" t="s">
        <v>4124</v>
      </c>
      <c r="D2382" s="679" t="s">
        <v>4516</v>
      </c>
      <c r="E2382" s="710" t="n">
        <v>1.4933</v>
      </c>
      <c r="F2382" s="369" t="n">
        <v>120</v>
      </c>
      <c r="G2382" s="761" t="n">
        <f aca="false">E2382*F2382</f>
        <v>179.196</v>
      </c>
      <c r="H2382" s="392"/>
    </row>
    <row r="2383" customFormat="false" ht="15" hidden="false" customHeight="false" outlineLevel="0" collapsed="false">
      <c r="A2383" s="380"/>
      <c r="B2383" s="708" t="s">
        <v>4128</v>
      </c>
      <c r="C2383" s="532"/>
      <c r="D2383" s="679"/>
      <c r="E2383" s="759"/>
      <c r="F2383" s="729"/>
      <c r="G2383" s="735" t="n">
        <f aca="false">SUM(G2374:G2382)</f>
        <v>1224.896</v>
      </c>
      <c r="H2383" s="392"/>
    </row>
    <row r="2384" customFormat="false" ht="60" hidden="false" customHeight="false" outlineLevel="0" collapsed="false">
      <c r="A2384" s="707" t="s">
        <v>464</v>
      </c>
      <c r="B2384" s="532" t="s">
        <v>465</v>
      </c>
      <c r="C2384" s="762" t="s">
        <v>4683</v>
      </c>
      <c r="D2384" s="763" t="s">
        <v>4133</v>
      </c>
      <c r="E2384" s="726" t="n">
        <v>0.0004</v>
      </c>
      <c r="F2384" s="721" t="n">
        <v>20812</v>
      </c>
      <c r="G2384" s="727" t="n">
        <f aca="false">E2384*F2384</f>
        <v>8.3248</v>
      </c>
      <c r="H2384" s="392"/>
    </row>
    <row r="2385" customFormat="false" ht="15" hidden="false" customHeight="false" outlineLevel="0" collapsed="false">
      <c r="A2385" s="380"/>
      <c r="B2385" s="708"/>
      <c r="C2385" s="471" t="s">
        <v>4250</v>
      </c>
      <c r="D2385" s="763" t="s">
        <v>4133</v>
      </c>
      <c r="E2385" s="726" t="n">
        <v>0.02</v>
      </c>
      <c r="F2385" s="729" t="n">
        <v>27000</v>
      </c>
      <c r="G2385" s="727" t="n">
        <f aca="false">E2385*F2385</f>
        <v>540</v>
      </c>
      <c r="H2385" s="392"/>
    </row>
    <row r="2386" customFormat="false" ht="15" hidden="false" customHeight="false" outlineLevel="0" collapsed="false">
      <c r="A2386" s="380"/>
      <c r="B2386" s="708"/>
      <c r="C2386" s="762" t="s">
        <v>4684</v>
      </c>
      <c r="D2386" s="763" t="s">
        <v>4133</v>
      </c>
      <c r="E2386" s="726" t="n">
        <v>0.5</v>
      </c>
      <c r="F2386" s="721" t="n">
        <v>18000</v>
      </c>
      <c r="G2386" s="727" t="n">
        <f aca="false">E2386*F2386</f>
        <v>9000</v>
      </c>
      <c r="H2386" s="392"/>
    </row>
    <row r="2387" customFormat="false" ht="30" hidden="false" customHeight="false" outlineLevel="0" collapsed="false">
      <c r="A2387" s="380"/>
      <c r="B2387" s="708"/>
      <c r="C2387" s="762" t="s">
        <v>4685</v>
      </c>
      <c r="D2387" s="763" t="s">
        <v>4133</v>
      </c>
      <c r="E2387" s="726" t="n">
        <v>0.03</v>
      </c>
      <c r="F2387" s="724" t="n">
        <v>3000</v>
      </c>
      <c r="G2387" s="727" t="n">
        <f aca="false">E2387*F2387</f>
        <v>90</v>
      </c>
      <c r="H2387" s="392"/>
    </row>
    <row r="2388" customFormat="false" ht="15" hidden="false" customHeight="false" outlineLevel="0" collapsed="false">
      <c r="A2388" s="380"/>
      <c r="B2388" s="708"/>
      <c r="C2388" s="532" t="s">
        <v>4609</v>
      </c>
      <c r="D2388" s="763" t="s">
        <v>4133</v>
      </c>
      <c r="E2388" s="726" t="n">
        <v>0.01</v>
      </c>
      <c r="F2388" s="721" t="n">
        <v>1500</v>
      </c>
      <c r="G2388" s="727" t="n">
        <f aca="false">E2388*F2388</f>
        <v>15</v>
      </c>
      <c r="H2388" s="392"/>
    </row>
    <row r="2389" customFormat="false" ht="30" hidden="false" customHeight="false" outlineLevel="0" collapsed="false">
      <c r="A2389" s="380"/>
      <c r="B2389" s="708"/>
      <c r="C2389" s="471" t="s">
        <v>4620</v>
      </c>
      <c r="D2389" s="728" t="s">
        <v>4348</v>
      </c>
      <c r="E2389" s="726" t="n">
        <v>1</v>
      </c>
      <c r="F2389" s="721" t="n">
        <v>1000</v>
      </c>
      <c r="G2389" s="727" t="n">
        <f aca="false">E2389*F2389</f>
        <v>1000</v>
      </c>
      <c r="H2389" s="392"/>
    </row>
    <row r="2390" customFormat="false" ht="15" hidden="false" customHeight="false" outlineLevel="0" collapsed="false">
      <c r="A2390" s="380"/>
      <c r="B2390" s="708"/>
      <c r="C2390" s="532" t="s">
        <v>4676</v>
      </c>
      <c r="D2390" s="679" t="s">
        <v>4559</v>
      </c>
      <c r="E2390" s="726" t="n">
        <v>0.02</v>
      </c>
      <c r="F2390" s="724" t="n">
        <v>275000</v>
      </c>
      <c r="G2390" s="727" t="n">
        <f aca="false">E2390*F2390</f>
        <v>5500</v>
      </c>
      <c r="H2390" s="392"/>
    </row>
    <row r="2391" customFormat="false" ht="15" hidden="false" customHeight="false" outlineLevel="0" collapsed="false">
      <c r="A2391" s="380"/>
      <c r="B2391" s="708"/>
      <c r="C2391" s="709" t="s">
        <v>4515</v>
      </c>
      <c r="D2391" s="679" t="s">
        <v>4133</v>
      </c>
      <c r="E2391" s="710" t="n">
        <v>0.006</v>
      </c>
      <c r="F2391" s="369" t="n">
        <v>2700</v>
      </c>
      <c r="G2391" s="727" t="n">
        <f aca="false">E2391*F2391</f>
        <v>16.2</v>
      </c>
      <c r="H2391" s="392"/>
    </row>
    <row r="2392" customFormat="false" ht="15" hidden="false" customHeight="false" outlineLevel="0" collapsed="false">
      <c r="A2392" s="380"/>
      <c r="B2392" s="708"/>
      <c r="C2392" s="709" t="s">
        <v>4124</v>
      </c>
      <c r="D2392" s="679" t="s">
        <v>4516</v>
      </c>
      <c r="E2392" s="710" t="n">
        <v>1.4933</v>
      </c>
      <c r="F2392" s="369" t="n">
        <v>120</v>
      </c>
      <c r="G2392" s="727" t="n">
        <f aca="false">E2392*F2392</f>
        <v>179.196</v>
      </c>
      <c r="H2392" s="392"/>
    </row>
    <row r="2393" customFormat="false" ht="15" hidden="false" customHeight="false" outlineLevel="0" collapsed="false">
      <c r="A2393" s="380"/>
      <c r="B2393" s="708" t="s">
        <v>4128</v>
      </c>
      <c r="C2393" s="532"/>
      <c r="D2393" s="679"/>
      <c r="E2393" s="759"/>
      <c r="F2393" s="721"/>
      <c r="G2393" s="764" t="n">
        <f aca="false">SUM(G2384:G2392)</f>
        <v>16348.7208</v>
      </c>
      <c r="H2393" s="392"/>
    </row>
    <row r="2394" customFormat="false" ht="30" hidden="false" customHeight="false" outlineLevel="0" collapsed="false">
      <c r="A2394" s="707" t="s">
        <v>466</v>
      </c>
      <c r="B2394" s="532" t="s">
        <v>3076</v>
      </c>
      <c r="C2394" s="471" t="s">
        <v>4626</v>
      </c>
      <c r="D2394" s="728" t="s">
        <v>4133</v>
      </c>
      <c r="E2394" s="745" t="n">
        <v>0.001</v>
      </c>
      <c r="F2394" s="729" t="n">
        <v>810000</v>
      </c>
      <c r="G2394" s="727" t="n">
        <f aca="false">E2394*F2394</f>
        <v>810</v>
      </c>
      <c r="H2394" s="392"/>
    </row>
    <row r="2395" customFormat="false" ht="15" hidden="false" customHeight="false" outlineLevel="0" collapsed="false">
      <c r="A2395" s="380"/>
      <c r="B2395" s="708"/>
      <c r="C2395" s="743" t="s">
        <v>4611</v>
      </c>
      <c r="D2395" s="679" t="s">
        <v>4392</v>
      </c>
      <c r="E2395" s="744" t="n">
        <v>0.1</v>
      </c>
      <c r="F2395" s="369" t="n">
        <v>720</v>
      </c>
      <c r="G2395" s="727" t="n">
        <f aca="false">E2395*F2395</f>
        <v>72</v>
      </c>
      <c r="H2395" s="392"/>
    </row>
    <row r="2396" customFormat="false" ht="15" hidden="false" customHeight="false" outlineLevel="0" collapsed="false">
      <c r="A2396" s="380"/>
      <c r="B2396" s="708"/>
      <c r="C2396" s="532" t="s">
        <v>4676</v>
      </c>
      <c r="D2396" s="679" t="s">
        <v>4559</v>
      </c>
      <c r="E2396" s="726" t="n">
        <v>0.01</v>
      </c>
      <c r="F2396" s="724" t="n">
        <v>275000</v>
      </c>
      <c r="G2396" s="727" t="n">
        <f aca="false">E2396*F2396</f>
        <v>2750</v>
      </c>
      <c r="H2396" s="392"/>
    </row>
    <row r="2397" customFormat="false" ht="15" hidden="false" customHeight="false" outlineLevel="0" collapsed="false">
      <c r="A2397" s="380"/>
      <c r="B2397" s="708"/>
      <c r="C2397" s="532" t="s">
        <v>4377</v>
      </c>
      <c r="D2397" s="728" t="s">
        <v>4133</v>
      </c>
      <c r="E2397" s="745" t="n">
        <v>0.1</v>
      </c>
      <c r="F2397" s="369" t="n">
        <v>3500</v>
      </c>
      <c r="G2397" s="727" t="n">
        <f aca="false">E2397*F2397</f>
        <v>350</v>
      </c>
      <c r="H2397" s="392"/>
    </row>
    <row r="2398" customFormat="false" ht="15" hidden="false" customHeight="false" outlineLevel="0" collapsed="false">
      <c r="A2398" s="380"/>
      <c r="B2398" s="708"/>
      <c r="C2398" s="471" t="s">
        <v>4216</v>
      </c>
      <c r="D2398" s="728" t="s">
        <v>4133</v>
      </c>
      <c r="E2398" s="745" t="n">
        <v>0.1</v>
      </c>
      <c r="F2398" s="717" t="n">
        <v>3900</v>
      </c>
      <c r="G2398" s="727" t="n">
        <f aca="false">E2398*F2398</f>
        <v>390</v>
      </c>
      <c r="H2398" s="392"/>
    </row>
    <row r="2399" customFormat="false" ht="15" hidden="false" customHeight="false" outlineLevel="0" collapsed="false">
      <c r="A2399" s="380"/>
      <c r="B2399" s="708"/>
      <c r="C2399" s="532" t="s">
        <v>4686</v>
      </c>
      <c r="D2399" s="737" t="s">
        <v>4191</v>
      </c>
      <c r="E2399" s="745" t="n">
        <v>0.04</v>
      </c>
      <c r="F2399" s="729" t="n">
        <v>70000</v>
      </c>
      <c r="G2399" s="727" t="n">
        <f aca="false">E2399*F2399</f>
        <v>2800</v>
      </c>
      <c r="H2399" s="392"/>
    </row>
    <row r="2400" customFormat="false" ht="15" hidden="false" customHeight="false" outlineLevel="0" collapsed="false">
      <c r="A2400" s="380"/>
      <c r="B2400" s="708"/>
      <c r="C2400" s="471" t="s">
        <v>4687</v>
      </c>
      <c r="D2400" s="728" t="s">
        <v>4133</v>
      </c>
      <c r="E2400" s="745" t="n">
        <v>0.3</v>
      </c>
      <c r="F2400" s="721" t="n">
        <v>8100</v>
      </c>
      <c r="G2400" s="727" t="n">
        <f aca="false">E2400*F2400</f>
        <v>2430</v>
      </c>
      <c r="H2400" s="392"/>
    </row>
    <row r="2401" customFormat="false" ht="15" hidden="false" customHeight="false" outlineLevel="0" collapsed="false">
      <c r="A2401" s="380"/>
      <c r="B2401" s="708"/>
      <c r="C2401" s="471" t="s">
        <v>4688</v>
      </c>
      <c r="D2401" s="728" t="s">
        <v>4133</v>
      </c>
      <c r="E2401" s="745" t="n">
        <v>0.025</v>
      </c>
      <c r="F2401" s="729" t="n">
        <v>2100</v>
      </c>
      <c r="G2401" s="727" t="n">
        <f aca="false">E2401*F2401</f>
        <v>52.5</v>
      </c>
      <c r="H2401" s="392"/>
    </row>
    <row r="2402" customFormat="false" ht="15" hidden="false" customHeight="false" outlineLevel="0" collapsed="false">
      <c r="A2402" s="380"/>
      <c r="B2402" s="708"/>
      <c r="C2402" s="471" t="s">
        <v>4689</v>
      </c>
      <c r="D2402" s="728" t="s">
        <v>4133</v>
      </c>
      <c r="E2402" s="745" t="n">
        <v>0.1</v>
      </c>
      <c r="F2402" s="729" t="n">
        <v>700</v>
      </c>
      <c r="G2402" s="727" t="n">
        <f aca="false">E2402*F2402</f>
        <v>70</v>
      </c>
      <c r="H2402" s="392"/>
    </row>
    <row r="2403" customFormat="false" ht="15" hidden="false" customHeight="false" outlineLevel="0" collapsed="false">
      <c r="A2403" s="380"/>
      <c r="B2403" s="708"/>
      <c r="C2403" s="471" t="s">
        <v>4690</v>
      </c>
      <c r="D2403" s="728" t="s">
        <v>4133</v>
      </c>
      <c r="E2403" s="745" t="n">
        <v>0.05</v>
      </c>
      <c r="F2403" s="729" t="n">
        <v>2800</v>
      </c>
      <c r="G2403" s="727" t="n">
        <f aca="false">E2403*F2403</f>
        <v>140</v>
      </c>
      <c r="H2403" s="392"/>
    </row>
    <row r="2404" customFormat="false" ht="15" hidden="false" customHeight="false" outlineLevel="0" collapsed="false">
      <c r="A2404" s="380"/>
      <c r="B2404" s="708"/>
      <c r="C2404" s="532" t="s">
        <v>4564</v>
      </c>
      <c r="D2404" s="728" t="s">
        <v>4133</v>
      </c>
      <c r="E2404" s="745" t="n">
        <v>0.083</v>
      </c>
      <c r="F2404" s="721" t="n">
        <v>3500</v>
      </c>
      <c r="G2404" s="727" t="n">
        <f aca="false">E2404*F2404</f>
        <v>290.5</v>
      </c>
      <c r="H2404" s="392"/>
    </row>
    <row r="2405" customFormat="false" ht="15" hidden="false" customHeight="false" outlineLevel="0" collapsed="false">
      <c r="A2405" s="380"/>
      <c r="B2405" s="708"/>
      <c r="C2405" s="325" t="s">
        <v>4556</v>
      </c>
      <c r="D2405" s="728" t="s">
        <v>4133</v>
      </c>
      <c r="E2405" s="726" t="n">
        <v>0.1</v>
      </c>
      <c r="F2405" s="723" t="n">
        <v>3612</v>
      </c>
      <c r="G2405" s="727" t="n">
        <f aca="false">E2405*F2405</f>
        <v>361.2</v>
      </c>
      <c r="H2405" s="392"/>
    </row>
    <row r="2406" customFormat="false" ht="30" hidden="false" customHeight="false" outlineLevel="0" collapsed="false">
      <c r="A2406" s="380"/>
      <c r="B2406" s="708"/>
      <c r="C2406" s="471" t="s">
        <v>4685</v>
      </c>
      <c r="D2406" s="728" t="s">
        <v>4133</v>
      </c>
      <c r="E2406" s="745" t="n">
        <v>0.1</v>
      </c>
      <c r="F2406" s="724" t="n">
        <v>3000</v>
      </c>
      <c r="G2406" s="727" t="n">
        <f aca="false">E2406*F2406</f>
        <v>300</v>
      </c>
      <c r="H2406" s="392"/>
    </row>
    <row r="2407" customFormat="false" ht="15" hidden="false" customHeight="false" outlineLevel="0" collapsed="false">
      <c r="A2407" s="380"/>
      <c r="B2407" s="708"/>
      <c r="C2407" s="743" t="s">
        <v>4611</v>
      </c>
      <c r="D2407" s="679" t="s">
        <v>4392</v>
      </c>
      <c r="E2407" s="744" t="n">
        <v>0.1</v>
      </c>
      <c r="F2407" s="721" t="n">
        <v>720</v>
      </c>
      <c r="G2407" s="727" t="n">
        <f aca="false">E2407*F2407</f>
        <v>72</v>
      </c>
      <c r="H2407" s="392"/>
    </row>
    <row r="2408" customFormat="false" ht="15" hidden="false" customHeight="false" outlineLevel="0" collapsed="false">
      <c r="A2408" s="380"/>
      <c r="B2408" s="708"/>
      <c r="C2408" s="471" t="s">
        <v>4691</v>
      </c>
      <c r="D2408" s="728" t="s">
        <v>4133</v>
      </c>
      <c r="E2408" s="679" t="n">
        <v>0.02</v>
      </c>
      <c r="F2408" s="369" t="n">
        <v>3520</v>
      </c>
      <c r="G2408" s="727" t="n">
        <f aca="false">E2408*F2408</f>
        <v>70.4</v>
      </c>
      <c r="H2408" s="392"/>
    </row>
    <row r="2409" customFormat="false" ht="15" hidden="false" customHeight="false" outlineLevel="0" collapsed="false">
      <c r="A2409" s="380"/>
      <c r="B2409" s="708"/>
      <c r="C2409" s="709" t="s">
        <v>4515</v>
      </c>
      <c r="D2409" s="679" t="s">
        <v>4133</v>
      </c>
      <c r="E2409" s="710" t="n">
        <v>0.006</v>
      </c>
      <c r="F2409" s="369" t="n">
        <v>2700</v>
      </c>
      <c r="G2409" s="727" t="n">
        <f aca="false">E2409*F2409</f>
        <v>16.2</v>
      </c>
      <c r="H2409" s="392"/>
    </row>
    <row r="2410" customFormat="false" ht="15" hidden="false" customHeight="false" outlineLevel="0" collapsed="false">
      <c r="A2410" s="380"/>
      <c r="B2410" s="708"/>
      <c r="C2410" s="709" t="s">
        <v>4124</v>
      </c>
      <c r="D2410" s="679" t="s">
        <v>4516</v>
      </c>
      <c r="E2410" s="710" t="n">
        <v>1.4933</v>
      </c>
      <c r="F2410" s="369" t="n">
        <v>120</v>
      </c>
      <c r="G2410" s="727" t="n">
        <f aca="false">E2410*F2410</f>
        <v>179.196</v>
      </c>
      <c r="H2410" s="392"/>
    </row>
    <row r="2411" customFormat="false" ht="15" hidden="false" customHeight="false" outlineLevel="0" collapsed="false">
      <c r="A2411" s="380"/>
      <c r="B2411" s="708" t="s">
        <v>4128</v>
      </c>
      <c r="C2411" s="532"/>
      <c r="D2411" s="679"/>
      <c r="E2411" s="759"/>
      <c r="F2411" s="729"/>
      <c r="G2411" s="735" t="n">
        <f aca="false">SUM(G2394:G2410)</f>
        <v>11153.996</v>
      </c>
      <c r="H2411" s="392"/>
    </row>
    <row r="2412" customFormat="false" ht="30" hidden="false" customHeight="false" outlineLevel="0" collapsed="false">
      <c r="A2412" s="707" t="s">
        <v>468</v>
      </c>
      <c r="B2412" s="532" t="s">
        <v>3077</v>
      </c>
      <c r="C2412" s="532"/>
      <c r="D2412" s="737"/>
      <c r="E2412" s="738"/>
      <c r="F2412" s="729"/>
      <c r="G2412" s="765"/>
      <c r="H2412" s="392"/>
    </row>
    <row r="2413" customFormat="false" ht="15" hidden="false" customHeight="false" outlineLevel="0" collapsed="false">
      <c r="A2413" s="380"/>
      <c r="B2413" s="708"/>
      <c r="C2413" s="532" t="s">
        <v>4609</v>
      </c>
      <c r="D2413" s="728" t="s">
        <v>4133</v>
      </c>
      <c r="E2413" s="745" t="n">
        <v>0.004</v>
      </c>
      <c r="F2413" s="721" t="n">
        <v>1500</v>
      </c>
      <c r="G2413" s="727" t="n">
        <f aca="false">E2413*F2413</f>
        <v>6</v>
      </c>
      <c r="H2413" s="392"/>
    </row>
    <row r="2414" customFormat="false" ht="30" hidden="false" customHeight="false" outlineLevel="0" collapsed="false">
      <c r="A2414" s="380"/>
      <c r="B2414" s="708"/>
      <c r="C2414" s="471" t="s">
        <v>4685</v>
      </c>
      <c r="D2414" s="728" t="s">
        <v>4133</v>
      </c>
      <c r="E2414" s="745" t="n">
        <v>0.1</v>
      </c>
      <c r="F2414" s="724" t="n">
        <v>3000</v>
      </c>
      <c r="G2414" s="727" t="n">
        <f aca="false">E2414*F2414</f>
        <v>300</v>
      </c>
      <c r="H2414" s="392"/>
    </row>
    <row r="2415" customFormat="false" ht="15" hidden="false" customHeight="false" outlineLevel="0" collapsed="false">
      <c r="A2415" s="380"/>
      <c r="B2415" s="708"/>
      <c r="C2415" s="532" t="s">
        <v>4564</v>
      </c>
      <c r="D2415" s="728" t="s">
        <v>4133</v>
      </c>
      <c r="E2415" s="745" t="n">
        <v>0.1</v>
      </c>
      <c r="F2415" s="721" t="n">
        <v>3500</v>
      </c>
      <c r="G2415" s="727" t="n">
        <f aca="false">E2415*F2415</f>
        <v>350</v>
      </c>
      <c r="H2415" s="392"/>
    </row>
    <row r="2416" customFormat="false" ht="30" hidden="false" customHeight="false" outlineLevel="0" collapsed="false">
      <c r="A2416" s="380"/>
      <c r="B2416" s="708"/>
      <c r="C2416" s="471" t="s">
        <v>4589</v>
      </c>
      <c r="D2416" s="728" t="s">
        <v>4348</v>
      </c>
      <c r="E2416" s="745" t="n">
        <v>0.1</v>
      </c>
      <c r="F2416" s="729" t="n">
        <v>1000</v>
      </c>
      <c r="G2416" s="727" t="n">
        <f aca="false">E2416*F2416</f>
        <v>100</v>
      </c>
      <c r="H2416" s="392"/>
    </row>
    <row r="2417" customFormat="false" ht="15" hidden="false" customHeight="false" outlineLevel="0" collapsed="false">
      <c r="A2417" s="380"/>
      <c r="B2417" s="708"/>
      <c r="C2417" s="709" t="s">
        <v>4515</v>
      </c>
      <c r="D2417" s="679" t="s">
        <v>4133</v>
      </c>
      <c r="E2417" s="710" t="n">
        <v>0.06</v>
      </c>
      <c r="F2417" s="369" t="n">
        <v>2700</v>
      </c>
      <c r="G2417" s="727" t="n">
        <f aca="false">E2417*F2417</f>
        <v>162</v>
      </c>
      <c r="H2417" s="392"/>
    </row>
    <row r="2418" customFormat="false" ht="15" hidden="false" customHeight="false" outlineLevel="0" collapsed="false">
      <c r="A2418" s="380"/>
      <c r="B2418" s="708"/>
      <c r="C2418" s="709" t="s">
        <v>4124</v>
      </c>
      <c r="D2418" s="679" t="s">
        <v>4516</v>
      </c>
      <c r="E2418" s="710" t="n">
        <v>1.4933</v>
      </c>
      <c r="F2418" s="369" t="n">
        <v>120</v>
      </c>
      <c r="G2418" s="727" t="n">
        <f aca="false">E2418*F2418</f>
        <v>179.196</v>
      </c>
      <c r="H2418" s="392"/>
    </row>
    <row r="2419" customFormat="false" ht="15" hidden="false" customHeight="false" outlineLevel="0" collapsed="false">
      <c r="A2419" s="380"/>
      <c r="B2419" s="708" t="s">
        <v>4128</v>
      </c>
      <c r="C2419" s="709"/>
      <c r="D2419" s="679"/>
      <c r="E2419" s="710"/>
      <c r="F2419" s="369"/>
      <c r="G2419" s="711" t="n">
        <f aca="false">SUM(G2413:G2418)</f>
        <v>1097.196</v>
      </c>
      <c r="H2419" s="392"/>
    </row>
    <row r="2420" customFormat="false" ht="15" hidden="false" customHeight="false" outlineLevel="0" collapsed="false">
      <c r="A2420" s="707" t="s">
        <v>470</v>
      </c>
      <c r="B2420" s="532" t="s">
        <v>4692</v>
      </c>
      <c r="C2420" s="471" t="s">
        <v>4154</v>
      </c>
      <c r="D2420" s="728" t="s">
        <v>4133</v>
      </c>
      <c r="E2420" s="746" t="n">
        <v>0.02</v>
      </c>
      <c r="F2420" s="721" t="n">
        <v>3500</v>
      </c>
      <c r="G2420" s="727" t="n">
        <f aca="false">E2420*F2420</f>
        <v>70</v>
      </c>
      <c r="H2420" s="392"/>
    </row>
    <row r="2421" customFormat="false" ht="15" hidden="false" customHeight="false" outlineLevel="0" collapsed="false">
      <c r="A2421" s="380"/>
      <c r="B2421" s="708"/>
      <c r="C2421" s="532" t="s">
        <v>4377</v>
      </c>
      <c r="D2421" s="728" t="s">
        <v>4133</v>
      </c>
      <c r="E2421" s="746" t="n">
        <v>0.01</v>
      </c>
      <c r="F2421" s="369" t="n">
        <v>3500</v>
      </c>
      <c r="G2421" s="727" t="n">
        <f aca="false">E2421*F2421</f>
        <v>35</v>
      </c>
      <c r="H2421" s="392"/>
    </row>
    <row r="2422" customFormat="false" ht="15" hidden="false" customHeight="false" outlineLevel="0" collapsed="false">
      <c r="A2422" s="380"/>
      <c r="B2422" s="708"/>
      <c r="C2422" s="471" t="s">
        <v>4556</v>
      </c>
      <c r="D2422" s="728" t="s">
        <v>4133</v>
      </c>
      <c r="E2422" s="741" t="n">
        <v>0.05</v>
      </c>
      <c r="F2422" s="723" t="n">
        <v>3612</v>
      </c>
      <c r="G2422" s="727" t="n">
        <f aca="false">E2422*F2422</f>
        <v>180.6</v>
      </c>
      <c r="H2422" s="392"/>
    </row>
    <row r="2423" customFormat="false" ht="15" hidden="false" customHeight="false" outlineLevel="0" collapsed="false">
      <c r="A2423" s="380"/>
      <c r="B2423" s="708"/>
      <c r="C2423" s="471" t="s">
        <v>4158</v>
      </c>
      <c r="D2423" s="728" t="s">
        <v>4133</v>
      </c>
      <c r="E2423" s="746" t="n">
        <v>0.05</v>
      </c>
      <c r="F2423" s="724" t="n">
        <v>1500</v>
      </c>
      <c r="G2423" s="727" t="n">
        <f aca="false">E2423*F2423</f>
        <v>75</v>
      </c>
      <c r="H2423" s="392"/>
    </row>
    <row r="2424" customFormat="false" ht="15" hidden="false" customHeight="false" outlineLevel="0" collapsed="false">
      <c r="A2424" s="380"/>
      <c r="B2424" s="708"/>
      <c r="C2424" s="471" t="s">
        <v>4626</v>
      </c>
      <c r="D2424" s="728" t="s">
        <v>4133</v>
      </c>
      <c r="E2424" s="746" t="n">
        <v>0.0025</v>
      </c>
      <c r="F2424" s="729" t="n">
        <v>810000</v>
      </c>
      <c r="G2424" s="727" t="n">
        <f aca="false">E2424*F2424</f>
        <v>2025</v>
      </c>
      <c r="H2424" s="392"/>
    </row>
    <row r="2425" customFormat="false" ht="15" hidden="false" customHeight="false" outlineLevel="0" collapsed="false">
      <c r="A2425" s="380"/>
      <c r="B2425" s="708"/>
      <c r="C2425" s="471" t="s">
        <v>4693</v>
      </c>
      <c r="D2425" s="728" t="s">
        <v>4133</v>
      </c>
      <c r="E2425" s="746" t="n">
        <v>0.03</v>
      </c>
      <c r="F2425" s="729" t="n">
        <v>1720</v>
      </c>
      <c r="G2425" s="727" t="n">
        <f aca="false">E2425*F2425</f>
        <v>51.6</v>
      </c>
      <c r="H2425" s="392"/>
    </row>
    <row r="2426" customFormat="false" ht="15" hidden="false" customHeight="false" outlineLevel="0" collapsed="false">
      <c r="A2426" s="380"/>
      <c r="B2426" s="708"/>
      <c r="C2426" s="471" t="s">
        <v>4569</v>
      </c>
      <c r="D2426" s="728" t="s">
        <v>4133</v>
      </c>
      <c r="E2426" s="746" t="n">
        <v>0.02</v>
      </c>
      <c r="F2426" s="729" t="n">
        <v>178100</v>
      </c>
      <c r="G2426" s="727" t="n">
        <f aca="false">E2426*F2426</f>
        <v>3562</v>
      </c>
      <c r="H2426" s="392"/>
    </row>
    <row r="2427" customFormat="false" ht="30" hidden="false" customHeight="false" outlineLevel="0" collapsed="false">
      <c r="A2427" s="380"/>
      <c r="B2427" s="708"/>
      <c r="C2427" s="471" t="s">
        <v>4694</v>
      </c>
      <c r="D2427" s="728" t="s">
        <v>4191</v>
      </c>
      <c r="E2427" s="746" t="n">
        <v>5</v>
      </c>
      <c r="F2427" s="729" t="n">
        <v>5.1</v>
      </c>
      <c r="G2427" s="727" t="n">
        <f aca="false">E2427*F2427</f>
        <v>25.5</v>
      </c>
      <c r="H2427" s="392"/>
    </row>
    <row r="2428" customFormat="false" ht="15" hidden="false" customHeight="false" outlineLevel="0" collapsed="false">
      <c r="A2428" s="380"/>
      <c r="B2428" s="708"/>
      <c r="C2428" s="743" t="s">
        <v>4611</v>
      </c>
      <c r="D2428" s="679" t="s">
        <v>4392</v>
      </c>
      <c r="E2428" s="766" t="n">
        <v>0.05</v>
      </c>
      <c r="F2428" s="721" t="n">
        <v>720</v>
      </c>
      <c r="G2428" s="727" t="n">
        <f aca="false">E2428*F2428</f>
        <v>36</v>
      </c>
      <c r="H2428" s="392"/>
    </row>
    <row r="2429" customFormat="false" ht="15" hidden="false" customHeight="false" outlineLevel="0" collapsed="false">
      <c r="A2429" s="380"/>
      <c r="B2429" s="708"/>
      <c r="C2429" s="471" t="s">
        <v>4216</v>
      </c>
      <c r="D2429" s="728" t="s">
        <v>4133</v>
      </c>
      <c r="E2429" s="746" t="n">
        <v>0.0112</v>
      </c>
      <c r="F2429" s="717" t="n">
        <v>3900</v>
      </c>
      <c r="G2429" s="727" t="n">
        <f aca="false">E2429*F2429</f>
        <v>43.68</v>
      </c>
      <c r="H2429" s="392"/>
    </row>
    <row r="2430" customFormat="false" ht="15" hidden="false" customHeight="false" outlineLevel="0" collapsed="false">
      <c r="A2430" s="380"/>
      <c r="B2430" s="708"/>
      <c r="C2430" s="471" t="s">
        <v>4317</v>
      </c>
      <c r="D2430" s="728" t="s">
        <v>4133</v>
      </c>
      <c r="E2430" s="737" t="n">
        <v>0.6</v>
      </c>
      <c r="F2430" s="724" t="n">
        <v>16500</v>
      </c>
      <c r="G2430" s="727" t="n">
        <f aca="false">E2430*F2430</f>
        <v>9900</v>
      </c>
      <c r="H2430" s="392"/>
    </row>
    <row r="2431" customFormat="false" ht="15" hidden="false" customHeight="false" outlineLevel="0" collapsed="false">
      <c r="A2431" s="380"/>
      <c r="B2431" s="708"/>
      <c r="C2431" s="709" t="s">
        <v>4515</v>
      </c>
      <c r="D2431" s="679" t="s">
        <v>4133</v>
      </c>
      <c r="E2431" s="710" t="n">
        <v>0.006</v>
      </c>
      <c r="F2431" s="369" t="n">
        <v>2700</v>
      </c>
      <c r="G2431" s="727" t="n">
        <f aca="false">E2431*F2431</f>
        <v>16.2</v>
      </c>
      <c r="H2431" s="392"/>
    </row>
    <row r="2432" customFormat="false" ht="15" hidden="false" customHeight="false" outlineLevel="0" collapsed="false">
      <c r="A2432" s="380"/>
      <c r="B2432" s="708"/>
      <c r="C2432" s="709" t="s">
        <v>4124</v>
      </c>
      <c r="D2432" s="679" t="s">
        <v>4516</v>
      </c>
      <c r="E2432" s="710" t="n">
        <v>1.4933</v>
      </c>
      <c r="F2432" s="369" t="n">
        <v>120</v>
      </c>
      <c r="G2432" s="727" t="n">
        <f aca="false">E2432*F2432</f>
        <v>179.196</v>
      </c>
      <c r="H2432" s="392"/>
    </row>
    <row r="2433" customFormat="false" ht="15" hidden="false" customHeight="false" outlineLevel="0" collapsed="false">
      <c r="A2433" s="380"/>
      <c r="B2433" s="708" t="s">
        <v>4128</v>
      </c>
      <c r="C2433" s="471"/>
      <c r="D2433" s="679"/>
      <c r="E2433" s="738"/>
      <c r="F2433" s="729"/>
      <c r="G2433" s="767" t="n">
        <f aca="false">SUM(G2420:G2432)</f>
        <v>16199.776</v>
      </c>
      <c r="H2433" s="392"/>
    </row>
    <row r="2434" customFormat="false" ht="15" hidden="false" customHeight="false" outlineLevel="0" collapsed="false">
      <c r="A2434" s="707" t="s">
        <v>472</v>
      </c>
      <c r="B2434" s="708" t="s">
        <v>3079</v>
      </c>
      <c r="C2434" s="471"/>
      <c r="D2434" s="728"/>
      <c r="E2434" s="679"/>
      <c r="F2434" s="369"/>
      <c r="G2434" s="768" t="n">
        <v>0</v>
      </c>
      <c r="H2434" s="392"/>
    </row>
    <row r="2435" customFormat="false" ht="15" hidden="false" customHeight="false" outlineLevel="0" collapsed="false">
      <c r="A2435" s="707"/>
      <c r="B2435" s="708" t="s">
        <v>4128</v>
      </c>
      <c r="C2435" s="471"/>
      <c r="D2435" s="728"/>
      <c r="E2435" s="679"/>
      <c r="F2435" s="369"/>
      <c r="G2435" s="768"/>
      <c r="H2435" s="392"/>
    </row>
    <row r="2436" customFormat="false" ht="15" hidden="false" customHeight="false" outlineLevel="0" collapsed="false">
      <c r="A2436" s="707" t="s">
        <v>474</v>
      </c>
      <c r="B2436" s="532" t="s">
        <v>3080</v>
      </c>
      <c r="C2436" s="743" t="s">
        <v>4611</v>
      </c>
      <c r="D2436" s="679" t="s">
        <v>4392</v>
      </c>
      <c r="E2436" s="744" t="n">
        <v>0.07</v>
      </c>
      <c r="F2436" s="721" t="n">
        <v>720</v>
      </c>
      <c r="G2436" s="727" t="n">
        <f aca="false">E2436*F2436</f>
        <v>50.4</v>
      </c>
      <c r="H2436" s="392"/>
    </row>
    <row r="2437" customFormat="false" ht="15" hidden="false" customHeight="false" outlineLevel="0" collapsed="false">
      <c r="A2437" s="380"/>
      <c r="B2437" s="708"/>
      <c r="C2437" s="471" t="s">
        <v>4695</v>
      </c>
      <c r="D2437" s="737" t="s">
        <v>4133</v>
      </c>
      <c r="E2437" s="745" t="n">
        <v>0.001</v>
      </c>
      <c r="F2437" s="729" t="n">
        <v>55220</v>
      </c>
      <c r="G2437" s="727" t="n">
        <f aca="false">E2437*F2437</f>
        <v>55.22</v>
      </c>
      <c r="H2437" s="392"/>
    </row>
    <row r="2438" customFormat="false" ht="15" hidden="false" customHeight="false" outlineLevel="0" collapsed="false">
      <c r="A2438" s="380"/>
      <c r="B2438" s="708"/>
      <c r="C2438" s="471" t="s">
        <v>4696</v>
      </c>
      <c r="D2438" s="737" t="s">
        <v>4133</v>
      </c>
      <c r="E2438" s="745" t="n">
        <v>0.01</v>
      </c>
      <c r="F2438" s="729" t="n">
        <v>4400</v>
      </c>
      <c r="G2438" s="727" t="n">
        <f aca="false">E2438*F2438</f>
        <v>44</v>
      </c>
      <c r="H2438" s="392"/>
    </row>
    <row r="2439" customFormat="false" ht="15" hidden="false" customHeight="false" outlineLevel="0" collapsed="false">
      <c r="A2439" s="380"/>
      <c r="B2439" s="708"/>
      <c r="C2439" s="471" t="s">
        <v>4697</v>
      </c>
      <c r="D2439" s="737" t="s">
        <v>4133</v>
      </c>
      <c r="E2439" s="745" t="n">
        <v>0.001</v>
      </c>
      <c r="F2439" s="729" t="n">
        <v>62150</v>
      </c>
      <c r="G2439" s="727" t="n">
        <f aca="false">E2439*F2439</f>
        <v>62.15</v>
      </c>
      <c r="H2439" s="392"/>
    </row>
    <row r="2440" customFormat="false" ht="15" hidden="false" customHeight="false" outlineLevel="0" collapsed="false">
      <c r="A2440" s="380"/>
      <c r="B2440" s="708"/>
      <c r="C2440" s="532" t="s">
        <v>4377</v>
      </c>
      <c r="D2440" s="737" t="s">
        <v>4133</v>
      </c>
      <c r="E2440" s="745" t="n">
        <v>0.01</v>
      </c>
      <c r="F2440" s="369" t="n">
        <v>3500</v>
      </c>
      <c r="G2440" s="727" t="n">
        <f aca="false">E2440*F2440</f>
        <v>35</v>
      </c>
      <c r="H2440" s="392"/>
    </row>
    <row r="2441" customFormat="false" ht="15" hidden="false" customHeight="false" outlineLevel="0" collapsed="false">
      <c r="A2441" s="380"/>
      <c r="B2441" s="708"/>
      <c r="C2441" s="743" t="s">
        <v>4611</v>
      </c>
      <c r="D2441" s="679" t="s">
        <v>4392</v>
      </c>
      <c r="E2441" s="744" t="n">
        <v>0.05</v>
      </c>
      <c r="F2441" s="721" t="n">
        <v>720</v>
      </c>
      <c r="G2441" s="727" t="n">
        <f aca="false">E2441*F2441</f>
        <v>36</v>
      </c>
      <c r="H2441" s="392"/>
    </row>
    <row r="2442" customFormat="false" ht="15" hidden="false" customHeight="false" outlineLevel="0" collapsed="false">
      <c r="A2442" s="380"/>
      <c r="B2442" s="708"/>
      <c r="C2442" s="747" t="s">
        <v>4643</v>
      </c>
      <c r="D2442" s="737" t="s">
        <v>4133</v>
      </c>
      <c r="E2442" s="745" t="n">
        <v>0.02</v>
      </c>
      <c r="F2442" s="369" t="n">
        <v>990</v>
      </c>
      <c r="G2442" s="727" t="n">
        <f aca="false">E2442*F2442</f>
        <v>19.8</v>
      </c>
      <c r="H2442" s="392"/>
    </row>
    <row r="2443" customFormat="false" ht="15" hidden="false" customHeight="false" outlineLevel="0" collapsed="false">
      <c r="A2443" s="380"/>
      <c r="B2443" s="708"/>
      <c r="C2443" s="471" t="s">
        <v>4698</v>
      </c>
      <c r="D2443" s="737" t="s">
        <v>4348</v>
      </c>
      <c r="E2443" s="679" t="n">
        <v>5</v>
      </c>
      <c r="F2443" s="729" t="n">
        <v>5.1</v>
      </c>
      <c r="G2443" s="727" t="n">
        <f aca="false">E2443*F2443</f>
        <v>25.5</v>
      </c>
      <c r="H2443" s="392"/>
    </row>
    <row r="2444" customFormat="false" ht="15" hidden="false" customHeight="false" outlineLevel="0" collapsed="false">
      <c r="A2444" s="380"/>
      <c r="B2444" s="708"/>
      <c r="C2444" s="709" t="s">
        <v>4515</v>
      </c>
      <c r="D2444" s="679" t="s">
        <v>4133</v>
      </c>
      <c r="E2444" s="710" t="n">
        <v>0.06</v>
      </c>
      <c r="F2444" s="369" t="n">
        <v>2700</v>
      </c>
      <c r="G2444" s="727" t="n">
        <f aca="false">E2444*F2444</f>
        <v>162</v>
      </c>
      <c r="H2444" s="392"/>
    </row>
    <row r="2445" customFormat="false" ht="15" hidden="false" customHeight="false" outlineLevel="0" collapsed="false">
      <c r="A2445" s="380"/>
      <c r="B2445" s="708"/>
      <c r="C2445" s="709" t="s">
        <v>4124</v>
      </c>
      <c r="D2445" s="679" t="s">
        <v>4516</v>
      </c>
      <c r="E2445" s="710" t="n">
        <v>1.5</v>
      </c>
      <c r="F2445" s="369" t="n">
        <v>120</v>
      </c>
      <c r="G2445" s="727" t="n">
        <f aca="false">E2445*F2445</f>
        <v>180</v>
      </c>
      <c r="H2445" s="392"/>
    </row>
    <row r="2446" customFormat="false" ht="15" hidden="false" customHeight="false" outlineLevel="0" collapsed="false">
      <c r="A2446" s="380"/>
      <c r="B2446" s="708" t="s">
        <v>4128</v>
      </c>
      <c r="C2446" s="471"/>
      <c r="D2446" s="728"/>
      <c r="E2446" s="679"/>
      <c r="F2446" s="369"/>
      <c r="G2446" s="767" t="n">
        <f aca="false">SUM(G2436:G2445)</f>
        <v>670.07</v>
      </c>
      <c r="H2446" s="392"/>
    </row>
    <row r="2447" customFormat="false" ht="15" hidden="false" customHeight="false" outlineLevel="0" collapsed="false">
      <c r="A2447" s="707" t="s">
        <v>476</v>
      </c>
      <c r="B2447" s="532" t="s">
        <v>3081</v>
      </c>
      <c r="C2447" s="532" t="s">
        <v>4699</v>
      </c>
      <c r="D2447" s="679" t="s">
        <v>4133</v>
      </c>
      <c r="E2447" s="679" t="n">
        <v>0.03</v>
      </c>
      <c r="F2447" s="769" t="n">
        <v>980</v>
      </c>
      <c r="G2447" s="770" t="n">
        <f aca="false">F2447*E2447</f>
        <v>29.4</v>
      </c>
      <c r="H2447" s="392"/>
    </row>
    <row r="2448" customFormat="false" ht="15" hidden="false" customHeight="false" outlineLevel="0" collapsed="false">
      <c r="A2448" s="707"/>
      <c r="B2448" s="708"/>
      <c r="C2448" s="762" t="s">
        <v>4700</v>
      </c>
      <c r="D2448" s="679" t="s">
        <v>4133</v>
      </c>
      <c r="E2448" s="679" t="n">
        <v>0.00909</v>
      </c>
      <c r="F2448" s="721" t="n">
        <v>2100</v>
      </c>
      <c r="G2448" s="770" t="n">
        <f aca="false">F2448*E2448</f>
        <v>19.089</v>
      </c>
      <c r="H2448" s="392"/>
    </row>
    <row r="2449" customFormat="false" ht="15" hidden="false" customHeight="false" outlineLevel="0" collapsed="false">
      <c r="A2449" s="707"/>
      <c r="B2449" s="708"/>
      <c r="C2449" s="325" t="s">
        <v>4556</v>
      </c>
      <c r="D2449" s="679" t="s">
        <v>4133</v>
      </c>
      <c r="E2449" s="679" t="n">
        <v>0.008</v>
      </c>
      <c r="F2449" s="723" t="n">
        <v>3612</v>
      </c>
      <c r="G2449" s="770" t="n">
        <f aca="false">F2449*E2449</f>
        <v>28.896</v>
      </c>
      <c r="H2449" s="392"/>
    </row>
    <row r="2450" customFormat="false" ht="15" hidden="false" customHeight="false" outlineLevel="0" collapsed="false">
      <c r="A2450" s="707"/>
      <c r="B2450" s="708"/>
      <c r="C2450" s="532" t="s">
        <v>4701</v>
      </c>
      <c r="D2450" s="679" t="s">
        <v>4555</v>
      </c>
      <c r="E2450" s="733" t="n">
        <v>0.01</v>
      </c>
      <c r="F2450" s="721" t="n">
        <v>108000</v>
      </c>
      <c r="G2450" s="770" t="n">
        <f aca="false">F2450*E2450</f>
        <v>1080</v>
      </c>
      <c r="H2450" s="392"/>
    </row>
    <row r="2451" customFormat="false" ht="15" hidden="false" customHeight="false" outlineLevel="0" collapsed="false">
      <c r="A2451" s="707"/>
      <c r="B2451" s="708"/>
      <c r="C2451" s="709" t="s">
        <v>4515</v>
      </c>
      <c r="D2451" s="679" t="s">
        <v>4133</v>
      </c>
      <c r="E2451" s="710" t="n">
        <v>0.006</v>
      </c>
      <c r="F2451" s="369" t="n">
        <v>2700</v>
      </c>
      <c r="G2451" s="770" t="n">
        <f aca="false">F2451*E2451</f>
        <v>16.2</v>
      </c>
      <c r="H2451" s="392"/>
    </row>
    <row r="2452" customFormat="false" ht="15" hidden="false" customHeight="false" outlineLevel="0" collapsed="false">
      <c r="A2452" s="707"/>
      <c r="B2452" s="708"/>
      <c r="C2452" s="709" t="s">
        <v>4124</v>
      </c>
      <c r="D2452" s="679" t="s">
        <v>4516</v>
      </c>
      <c r="E2452" s="710" t="n">
        <v>1.4933</v>
      </c>
      <c r="F2452" s="369" t="n">
        <v>120</v>
      </c>
      <c r="G2452" s="770" t="n">
        <f aca="false">F2452*E2452</f>
        <v>179.196</v>
      </c>
      <c r="H2452" s="392"/>
    </row>
    <row r="2453" customFormat="false" ht="15" hidden="false" customHeight="false" outlineLevel="0" collapsed="false">
      <c r="A2453" s="707"/>
      <c r="B2453" s="708" t="s">
        <v>4128</v>
      </c>
      <c r="C2453" s="471"/>
      <c r="D2453" s="728"/>
      <c r="E2453" s="679"/>
      <c r="F2453" s="369"/>
      <c r="G2453" s="767" t="n">
        <f aca="false">SUM(G2447:G2452)</f>
        <v>1352.781</v>
      </c>
      <c r="H2453" s="392"/>
    </row>
    <row r="2454" customFormat="false" ht="15" hidden="false" customHeight="false" outlineLevel="0" collapsed="false">
      <c r="A2454" s="707" t="s">
        <v>478</v>
      </c>
      <c r="B2454" s="532" t="s">
        <v>3082</v>
      </c>
      <c r="C2454" s="747" t="s">
        <v>4702</v>
      </c>
      <c r="D2454" s="679" t="s">
        <v>4133</v>
      </c>
      <c r="E2454" s="679" t="n">
        <v>0.005</v>
      </c>
      <c r="F2454" s="721" t="n">
        <v>199400</v>
      </c>
      <c r="G2454" s="727" t="n">
        <f aca="false">E2454*F2454</f>
        <v>997</v>
      </c>
      <c r="H2454" s="392"/>
    </row>
    <row r="2455" customFormat="false" ht="15" hidden="false" customHeight="false" outlineLevel="0" collapsed="false">
      <c r="A2455" s="707"/>
      <c r="B2455" s="708"/>
      <c r="C2455" s="471" t="s">
        <v>4189</v>
      </c>
      <c r="D2455" s="679" t="s">
        <v>4133</v>
      </c>
      <c r="E2455" s="733" t="n">
        <v>0.02</v>
      </c>
      <c r="F2455" s="729" t="n">
        <v>3500</v>
      </c>
      <c r="G2455" s="727" t="n">
        <f aca="false">E2455*F2455</f>
        <v>70</v>
      </c>
      <c r="H2455" s="392"/>
    </row>
    <row r="2456" customFormat="false" ht="15" hidden="false" customHeight="false" outlineLevel="0" collapsed="false">
      <c r="A2456" s="380"/>
      <c r="B2456" s="708"/>
      <c r="C2456" s="747" t="s">
        <v>4703</v>
      </c>
      <c r="D2456" s="679" t="s">
        <v>4133</v>
      </c>
      <c r="E2456" s="679" t="n">
        <v>0.0034</v>
      </c>
      <c r="F2456" s="721" t="n">
        <v>11500</v>
      </c>
      <c r="G2456" s="727" t="n">
        <f aca="false">E2456*F2456</f>
        <v>39.1</v>
      </c>
      <c r="H2456" s="392"/>
    </row>
    <row r="2457" customFormat="false" ht="15" hidden="false" customHeight="false" outlineLevel="0" collapsed="false">
      <c r="A2457" s="380"/>
      <c r="B2457" s="708"/>
      <c r="C2457" s="747" t="s">
        <v>4704</v>
      </c>
      <c r="D2457" s="679" t="s">
        <v>4133</v>
      </c>
      <c r="E2457" s="679" t="n">
        <v>0.1</v>
      </c>
      <c r="F2457" s="729" t="n">
        <v>3500</v>
      </c>
      <c r="G2457" s="727" t="n">
        <f aca="false">E2457*F2457</f>
        <v>350</v>
      </c>
      <c r="H2457" s="392"/>
    </row>
    <row r="2458" customFormat="false" ht="30" hidden="false" customHeight="false" outlineLevel="0" collapsed="false">
      <c r="A2458" s="380"/>
      <c r="B2458" s="708"/>
      <c r="C2458" s="747" t="s">
        <v>4705</v>
      </c>
      <c r="D2458" s="679" t="s">
        <v>4133</v>
      </c>
      <c r="E2458" s="679" t="n">
        <v>0.004</v>
      </c>
      <c r="F2458" s="369" t="n">
        <v>5900</v>
      </c>
      <c r="G2458" s="727" t="n">
        <f aca="false">E2458*F2458</f>
        <v>23.6</v>
      </c>
      <c r="H2458" s="392"/>
    </row>
    <row r="2459" customFormat="false" ht="15" hidden="false" customHeight="false" outlineLevel="0" collapsed="false">
      <c r="A2459" s="380"/>
      <c r="B2459" s="708"/>
      <c r="C2459" s="747" t="s">
        <v>4706</v>
      </c>
      <c r="D2459" s="679" t="s">
        <v>4133</v>
      </c>
      <c r="E2459" s="679" t="n">
        <v>0.003</v>
      </c>
      <c r="F2459" s="369" t="n">
        <v>4940</v>
      </c>
      <c r="G2459" s="727" t="n">
        <f aca="false">E2459*F2459</f>
        <v>14.82</v>
      </c>
      <c r="H2459" s="392"/>
    </row>
    <row r="2460" customFormat="false" ht="15" hidden="false" customHeight="false" outlineLevel="0" collapsed="false">
      <c r="A2460" s="380"/>
      <c r="B2460" s="708" t="s">
        <v>4128</v>
      </c>
      <c r="C2460" s="471"/>
      <c r="D2460" s="728"/>
      <c r="E2460" s="679"/>
      <c r="F2460" s="369"/>
      <c r="G2460" s="767" t="n">
        <f aca="false">SUM(G2454:G2459)</f>
        <v>1494.52</v>
      </c>
      <c r="H2460" s="392"/>
    </row>
    <row r="2461" customFormat="false" ht="42.75" hidden="false" customHeight="false" outlineLevel="0" collapsed="false">
      <c r="A2461" s="350" t="s">
        <v>4707</v>
      </c>
      <c r="B2461" s="467" t="s">
        <v>4708</v>
      </c>
      <c r="C2461" s="751"/>
      <c r="D2461" s="339"/>
      <c r="E2461" s="752"/>
      <c r="F2461" s="519"/>
      <c r="G2461" s="753"/>
      <c r="H2461" s="339"/>
    </row>
    <row r="2462" customFormat="false" ht="15" hidden="false" customHeight="false" outlineLevel="0" collapsed="false">
      <c r="A2462" s="707" t="s">
        <v>4709</v>
      </c>
      <c r="B2462" s="532" t="s">
        <v>4710</v>
      </c>
      <c r="C2462" s="754"/>
      <c r="D2462" s="392"/>
      <c r="E2462" s="722"/>
      <c r="F2462" s="366"/>
      <c r="G2462" s="711"/>
      <c r="H2462" s="392"/>
    </row>
    <row r="2463" customFormat="false" ht="15" hidden="false" customHeight="false" outlineLevel="0" collapsed="false">
      <c r="A2463" s="707"/>
      <c r="B2463" s="771"/>
      <c r="C2463" s="754"/>
      <c r="D2463" s="392"/>
      <c r="E2463" s="722"/>
      <c r="F2463" s="366"/>
      <c r="G2463" s="711"/>
      <c r="H2463" s="392"/>
    </row>
    <row r="2464" customFormat="false" ht="15" hidden="false" customHeight="false" outlineLevel="0" collapsed="false">
      <c r="A2464" s="707" t="s">
        <v>4711</v>
      </c>
      <c r="B2464" s="487" t="s">
        <v>3014</v>
      </c>
      <c r="C2464" s="762" t="s">
        <v>4712</v>
      </c>
      <c r="D2464" s="728" t="s">
        <v>4133</v>
      </c>
      <c r="E2464" s="726" t="n">
        <v>0.01</v>
      </c>
      <c r="F2464" s="721" t="n">
        <v>6100</v>
      </c>
      <c r="G2464" s="727" t="n">
        <f aca="false">E2464*F2464</f>
        <v>61</v>
      </c>
      <c r="H2464" s="392"/>
    </row>
    <row r="2465" customFormat="false" ht="15" hidden="false" customHeight="false" outlineLevel="0" collapsed="false">
      <c r="A2465" s="707"/>
      <c r="B2465" s="522"/>
      <c r="C2465" s="762" t="s">
        <v>4713</v>
      </c>
      <c r="D2465" s="728" t="s">
        <v>4133</v>
      </c>
      <c r="E2465" s="726" t="n">
        <v>0.001</v>
      </c>
      <c r="F2465" s="721" t="n">
        <v>199400</v>
      </c>
      <c r="G2465" s="727" t="n">
        <f aca="false">E2465*F2465</f>
        <v>199.4</v>
      </c>
      <c r="H2465" s="392"/>
    </row>
    <row r="2466" customFormat="false" ht="15" hidden="false" customHeight="false" outlineLevel="0" collapsed="false">
      <c r="A2466" s="707"/>
      <c r="B2466" s="522"/>
      <c r="C2466" s="709" t="s">
        <v>4122</v>
      </c>
      <c r="D2466" s="679" t="s">
        <v>4392</v>
      </c>
      <c r="E2466" s="715" t="n">
        <v>0.7</v>
      </c>
      <c r="F2466" s="369" t="n">
        <v>720</v>
      </c>
      <c r="G2466" s="727" t="n">
        <f aca="false">E2466*F2466</f>
        <v>504</v>
      </c>
      <c r="H2466" s="392"/>
    </row>
    <row r="2467" customFormat="false" ht="15" hidden="false" customHeight="false" outlineLevel="0" collapsed="false">
      <c r="A2467" s="707"/>
      <c r="B2467" s="522"/>
      <c r="C2467" s="709" t="s">
        <v>4515</v>
      </c>
      <c r="D2467" s="679" t="s">
        <v>4133</v>
      </c>
      <c r="E2467" s="715" t="n">
        <v>0.01</v>
      </c>
      <c r="F2467" s="369" t="n">
        <v>2700</v>
      </c>
      <c r="G2467" s="727" t="n">
        <f aca="false">E2467*F2467</f>
        <v>27</v>
      </c>
      <c r="H2467" s="392"/>
    </row>
    <row r="2468" customFormat="false" ht="15" hidden="false" customHeight="false" outlineLevel="0" collapsed="false">
      <c r="A2468" s="707"/>
      <c r="B2468" s="522"/>
      <c r="C2468" s="709" t="s">
        <v>4124</v>
      </c>
      <c r="D2468" s="679" t="s">
        <v>4125</v>
      </c>
      <c r="E2468" s="715" t="n">
        <v>1.5</v>
      </c>
      <c r="F2468" s="369" t="n">
        <v>120</v>
      </c>
      <c r="G2468" s="727" t="n">
        <f aca="false">E2468*F2468</f>
        <v>180</v>
      </c>
      <c r="H2468" s="392"/>
    </row>
    <row r="2469" customFormat="false" ht="15" hidden="false" customHeight="false" outlineLevel="0" collapsed="false">
      <c r="A2469" s="707"/>
      <c r="B2469" s="708" t="s">
        <v>4128</v>
      </c>
      <c r="C2469" s="718"/>
      <c r="D2469" s="719"/>
      <c r="E2469" s="722"/>
      <c r="F2469" s="366"/>
      <c r="G2469" s="711" t="n">
        <f aca="false">SUM(G2464:G2468)</f>
        <v>971.4</v>
      </c>
      <c r="H2469" s="392"/>
    </row>
    <row r="2470" customFormat="false" ht="15" hidden="false" customHeight="false" outlineLevel="0" collapsed="false">
      <c r="A2470" s="707" t="s">
        <v>4714</v>
      </c>
      <c r="B2470" s="487" t="s">
        <v>3084</v>
      </c>
      <c r="C2470" s="709" t="s">
        <v>4515</v>
      </c>
      <c r="D2470" s="679" t="s">
        <v>4133</v>
      </c>
      <c r="E2470" s="710" t="n">
        <v>0.06</v>
      </c>
      <c r="F2470" s="369" t="n">
        <v>2700</v>
      </c>
      <c r="G2470" s="727" t="n">
        <f aca="false">E2470*F2470</f>
        <v>162</v>
      </c>
      <c r="H2470" s="392"/>
    </row>
    <row r="2471" customFormat="false" ht="15" hidden="false" customHeight="false" outlineLevel="0" collapsed="false">
      <c r="A2471" s="707"/>
      <c r="B2471" s="522"/>
      <c r="C2471" s="709" t="s">
        <v>4124</v>
      </c>
      <c r="D2471" s="679" t="s">
        <v>4516</v>
      </c>
      <c r="E2471" s="710" t="n">
        <v>1.5</v>
      </c>
      <c r="F2471" s="369" t="n">
        <v>120</v>
      </c>
      <c r="G2471" s="727" t="n">
        <f aca="false">E2471*F2471</f>
        <v>180</v>
      </c>
      <c r="H2471" s="392"/>
    </row>
    <row r="2472" customFormat="false" ht="15" hidden="false" customHeight="false" outlineLevel="0" collapsed="false">
      <c r="A2472" s="707"/>
      <c r="B2472" s="708" t="s">
        <v>4128</v>
      </c>
      <c r="C2472" s="718"/>
      <c r="D2472" s="719"/>
      <c r="E2472" s="722"/>
      <c r="F2472" s="366"/>
      <c r="G2472" s="711" t="n">
        <f aca="false">SUM(G2470:G2471)</f>
        <v>342</v>
      </c>
      <c r="H2472" s="392"/>
    </row>
    <row r="2473" customFormat="false" ht="15" hidden="false" customHeight="false" outlineLevel="0" collapsed="false">
      <c r="A2473" s="707" t="s">
        <v>486</v>
      </c>
      <c r="B2473" s="487" t="s">
        <v>3085</v>
      </c>
      <c r="C2473" s="709" t="s">
        <v>4515</v>
      </c>
      <c r="D2473" s="679" t="s">
        <v>4133</v>
      </c>
      <c r="E2473" s="710" t="n">
        <v>0.08565</v>
      </c>
      <c r="F2473" s="369" t="n">
        <v>2700</v>
      </c>
      <c r="G2473" s="727" t="n">
        <f aca="false">E2473*F2473</f>
        <v>231.255</v>
      </c>
      <c r="H2473" s="392"/>
    </row>
    <row r="2474" customFormat="false" ht="15" hidden="false" customHeight="false" outlineLevel="0" collapsed="false">
      <c r="A2474" s="707"/>
      <c r="B2474" s="522"/>
      <c r="C2474" s="709" t="s">
        <v>4124</v>
      </c>
      <c r="D2474" s="679" t="s">
        <v>4516</v>
      </c>
      <c r="E2474" s="715" t="n">
        <v>1</v>
      </c>
      <c r="F2474" s="369" t="n">
        <v>120</v>
      </c>
      <c r="G2474" s="727" t="n">
        <f aca="false">E2474*F2474</f>
        <v>120</v>
      </c>
      <c r="H2474" s="392"/>
    </row>
    <row r="2475" customFormat="false" ht="15" hidden="false" customHeight="false" outlineLevel="0" collapsed="false">
      <c r="A2475" s="707"/>
      <c r="B2475" s="522"/>
      <c r="C2475" s="709" t="s">
        <v>4122</v>
      </c>
      <c r="D2475" s="679" t="s">
        <v>4392</v>
      </c>
      <c r="E2475" s="715" t="n">
        <v>0.2</v>
      </c>
      <c r="F2475" s="369" t="n">
        <v>720</v>
      </c>
      <c r="G2475" s="727" t="n">
        <f aca="false">E2475*F2475</f>
        <v>144</v>
      </c>
      <c r="H2475" s="392"/>
    </row>
    <row r="2476" customFormat="false" ht="15" hidden="false" customHeight="false" outlineLevel="0" collapsed="false">
      <c r="A2476" s="707"/>
      <c r="B2476" s="708" t="s">
        <v>4128</v>
      </c>
      <c r="C2476" s="718"/>
      <c r="D2476" s="719"/>
      <c r="E2476" s="722"/>
      <c r="F2476" s="366"/>
      <c r="G2476" s="711" t="n">
        <f aca="false">SUM(G2473:G2475)</f>
        <v>495.255</v>
      </c>
      <c r="H2476" s="392"/>
    </row>
    <row r="2477" customFormat="false" ht="15" hidden="false" customHeight="false" outlineLevel="0" collapsed="false">
      <c r="A2477" s="707" t="s">
        <v>487</v>
      </c>
      <c r="B2477" s="487" t="s">
        <v>3058</v>
      </c>
      <c r="C2477" s="709" t="s">
        <v>4147</v>
      </c>
      <c r="D2477" s="679" t="s">
        <v>4392</v>
      </c>
      <c r="E2477" s="542" t="n">
        <v>0.2</v>
      </c>
      <c r="F2477" s="723" t="n">
        <v>3612</v>
      </c>
      <c r="G2477" s="727" t="n">
        <f aca="false">E2477*F2477</f>
        <v>722.4</v>
      </c>
      <c r="H2477" s="392"/>
    </row>
    <row r="2478" customFormat="false" ht="15" hidden="false" customHeight="false" outlineLevel="0" collapsed="false">
      <c r="A2478" s="707"/>
      <c r="B2478" s="522"/>
      <c r="C2478" s="709" t="s">
        <v>4515</v>
      </c>
      <c r="D2478" s="679" t="s">
        <v>4133</v>
      </c>
      <c r="E2478" s="710" t="n">
        <v>0.006</v>
      </c>
      <c r="F2478" s="369" t="n">
        <v>2700</v>
      </c>
      <c r="G2478" s="727" t="n">
        <f aca="false">E2478*F2478</f>
        <v>16.2</v>
      </c>
      <c r="H2478" s="392"/>
    </row>
    <row r="2479" customFormat="false" ht="15" hidden="false" customHeight="false" outlineLevel="0" collapsed="false">
      <c r="A2479" s="707"/>
      <c r="B2479" s="522"/>
      <c r="C2479" s="709" t="s">
        <v>4124</v>
      </c>
      <c r="D2479" s="679" t="s">
        <v>4516</v>
      </c>
      <c r="E2479" s="715" t="n">
        <v>1.5</v>
      </c>
      <c r="F2479" s="369" t="n">
        <v>120</v>
      </c>
      <c r="G2479" s="727" t="n">
        <f aca="false">E2479*F2479</f>
        <v>180</v>
      </c>
      <c r="H2479" s="392"/>
    </row>
    <row r="2480" customFormat="false" ht="15" hidden="false" customHeight="false" outlineLevel="0" collapsed="false">
      <c r="A2480" s="707"/>
      <c r="B2480" s="708" t="s">
        <v>4128</v>
      </c>
      <c r="C2480" s="718"/>
      <c r="D2480" s="719"/>
      <c r="E2480" s="722"/>
      <c r="F2480" s="366"/>
      <c r="G2480" s="711" t="n">
        <f aca="false">SUM(G2477:G2479)</f>
        <v>918.6</v>
      </c>
      <c r="H2480" s="392"/>
    </row>
    <row r="2481" customFormat="false" ht="15" hidden="false" customHeight="false" outlineLevel="0" collapsed="false">
      <c r="A2481" s="707" t="s">
        <v>488</v>
      </c>
      <c r="B2481" s="487" t="s">
        <v>3059</v>
      </c>
      <c r="C2481" s="709" t="s">
        <v>4154</v>
      </c>
      <c r="D2481" s="679" t="s">
        <v>4392</v>
      </c>
      <c r="E2481" s="715" t="n">
        <v>0.4</v>
      </c>
      <c r="F2481" s="721" t="n">
        <v>3500</v>
      </c>
      <c r="G2481" s="727" t="n">
        <f aca="false">E2481*F2481</f>
        <v>1400</v>
      </c>
      <c r="H2481" s="392"/>
    </row>
    <row r="2482" customFormat="false" ht="15" hidden="false" customHeight="false" outlineLevel="0" collapsed="false">
      <c r="A2482" s="707"/>
      <c r="B2482" s="522"/>
      <c r="C2482" s="709" t="s">
        <v>4147</v>
      </c>
      <c r="D2482" s="679" t="s">
        <v>4392</v>
      </c>
      <c r="E2482" s="715" t="n">
        <v>0.3</v>
      </c>
      <c r="F2482" s="723" t="n">
        <v>3612</v>
      </c>
      <c r="G2482" s="727" t="n">
        <f aca="false">E2482*F2482</f>
        <v>1083.6</v>
      </c>
      <c r="H2482" s="392"/>
    </row>
    <row r="2483" customFormat="false" ht="15" hidden="false" customHeight="false" outlineLevel="0" collapsed="false">
      <c r="A2483" s="707"/>
      <c r="B2483" s="522"/>
      <c r="C2483" s="709" t="s">
        <v>4205</v>
      </c>
      <c r="D2483" s="679" t="s">
        <v>4392</v>
      </c>
      <c r="E2483" s="715" t="n">
        <v>0.05</v>
      </c>
      <c r="F2483" s="717" t="n">
        <v>7875</v>
      </c>
      <c r="G2483" s="727" t="n">
        <f aca="false">E2483*F2483</f>
        <v>393.75</v>
      </c>
      <c r="H2483" s="392"/>
    </row>
    <row r="2484" customFormat="false" ht="15" hidden="false" customHeight="false" outlineLevel="0" collapsed="false">
      <c r="A2484" s="707"/>
      <c r="B2484" s="522"/>
      <c r="C2484" s="709" t="s">
        <v>4536</v>
      </c>
      <c r="D2484" s="679" t="s">
        <v>4392</v>
      </c>
      <c r="E2484" s="715" t="n">
        <v>0.08</v>
      </c>
      <c r="F2484" s="369" t="n">
        <v>999</v>
      </c>
      <c r="G2484" s="727" t="n">
        <f aca="false">E2484*F2484</f>
        <v>79.92</v>
      </c>
      <c r="H2484" s="392"/>
    </row>
    <row r="2485" customFormat="false" ht="15" hidden="false" customHeight="false" outlineLevel="0" collapsed="false">
      <c r="A2485" s="707"/>
      <c r="B2485" s="522"/>
      <c r="C2485" s="709" t="s">
        <v>4122</v>
      </c>
      <c r="D2485" s="679" t="s">
        <v>4392</v>
      </c>
      <c r="E2485" s="715" t="n">
        <v>0.3</v>
      </c>
      <c r="F2485" s="369" t="n">
        <v>720</v>
      </c>
      <c r="G2485" s="727" t="n">
        <f aca="false">E2485*F2485</f>
        <v>216</v>
      </c>
      <c r="H2485" s="392"/>
    </row>
    <row r="2486" customFormat="false" ht="15" hidden="false" customHeight="false" outlineLevel="0" collapsed="false">
      <c r="A2486" s="707"/>
      <c r="B2486" s="522"/>
      <c r="C2486" s="709" t="s">
        <v>4515</v>
      </c>
      <c r="D2486" s="679" t="s">
        <v>4133</v>
      </c>
      <c r="E2486" s="715" t="n">
        <v>0.059965</v>
      </c>
      <c r="F2486" s="369" t="n">
        <v>2700</v>
      </c>
      <c r="G2486" s="727" t="n">
        <f aca="false">E2486*F2486</f>
        <v>161.9055</v>
      </c>
      <c r="H2486" s="392"/>
    </row>
    <row r="2487" customFormat="false" ht="15" hidden="false" customHeight="false" outlineLevel="0" collapsed="false">
      <c r="A2487" s="707"/>
      <c r="B2487" s="522"/>
      <c r="C2487" s="709" t="s">
        <v>4124</v>
      </c>
      <c r="D2487" s="679" t="s">
        <v>4516</v>
      </c>
      <c r="E2487" s="715" t="n">
        <v>1.5</v>
      </c>
      <c r="F2487" s="369" t="n">
        <v>120</v>
      </c>
      <c r="G2487" s="727" t="n">
        <f aca="false">E2487*F2487</f>
        <v>180</v>
      </c>
      <c r="H2487" s="392"/>
    </row>
    <row r="2488" customFormat="false" ht="15" hidden="false" customHeight="false" outlineLevel="0" collapsed="false">
      <c r="A2488" s="707"/>
      <c r="B2488" s="708" t="s">
        <v>4128</v>
      </c>
      <c r="C2488" s="718"/>
      <c r="D2488" s="719"/>
      <c r="E2488" s="722"/>
      <c r="F2488" s="366"/>
      <c r="G2488" s="711" t="n">
        <f aca="false">SUM(G2481:G2487)</f>
        <v>3515.1755</v>
      </c>
      <c r="H2488" s="392"/>
    </row>
    <row r="2489" customFormat="false" ht="30" hidden="false" customHeight="false" outlineLevel="0" collapsed="false">
      <c r="A2489" s="707" t="s">
        <v>489</v>
      </c>
      <c r="B2489" s="487" t="s">
        <v>3086</v>
      </c>
      <c r="C2489" s="743" t="s">
        <v>4611</v>
      </c>
      <c r="D2489" s="679" t="s">
        <v>4133</v>
      </c>
      <c r="E2489" s="750" t="n">
        <v>0.05</v>
      </c>
      <c r="F2489" s="369" t="n">
        <v>720</v>
      </c>
      <c r="G2489" s="727" t="n">
        <f aca="false">E2489*F2489</f>
        <v>36</v>
      </c>
      <c r="H2489" s="392"/>
    </row>
    <row r="2490" customFormat="false" ht="15" hidden="false" customHeight="false" outlineLevel="0" collapsed="false">
      <c r="A2490" s="707"/>
      <c r="B2490" s="522"/>
      <c r="C2490" s="747" t="s">
        <v>4715</v>
      </c>
      <c r="D2490" s="679" t="s">
        <v>4348</v>
      </c>
      <c r="E2490" s="679" t="n">
        <v>5</v>
      </c>
      <c r="F2490" s="729" t="n">
        <v>5.1</v>
      </c>
      <c r="G2490" s="727" t="n">
        <f aca="false">E2490*F2490</f>
        <v>25.5</v>
      </c>
      <c r="H2490" s="392"/>
    </row>
    <row r="2491" customFormat="false" ht="15" hidden="false" customHeight="false" outlineLevel="0" collapsed="false">
      <c r="A2491" s="707"/>
      <c r="B2491" s="522"/>
      <c r="C2491" s="747" t="s">
        <v>4541</v>
      </c>
      <c r="D2491" s="679" t="s">
        <v>4133</v>
      </c>
      <c r="E2491" s="679" t="n">
        <v>0.02</v>
      </c>
      <c r="F2491" s="721" t="n">
        <v>710</v>
      </c>
      <c r="G2491" s="727" t="n">
        <f aca="false">E2491*F2491</f>
        <v>14.2</v>
      </c>
      <c r="H2491" s="392"/>
    </row>
    <row r="2492" customFormat="false" ht="15" hidden="false" customHeight="false" outlineLevel="0" collapsed="false">
      <c r="A2492" s="707"/>
      <c r="B2492" s="522"/>
      <c r="C2492" s="747" t="s">
        <v>4638</v>
      </c>
      <c r="D2492" s="679" t="s">
        <v>4133</v>
      </c>
      <c r="E2492" s="679" t="n">
        <v>0.001</v>
      </c>
      <c r="F2492" s="369" t="n">
        <v>55000</v>
      </c>
      <c r="G2492" s="727" t="n">
        <f aca="false">E2492*F2492</f>
        <v>55</v>
      </c>
      <c r="H2492" s="392"/>
    </row>
    <row r="2493" customFormat="false" ht="15" hidden="false" customHeight="false" outlineLevel="0" collapsed="false">
      <c r="A2493" s="707"/>
      <c r="B2493" s="522"/>
      <c r="C2493" s="709" t="s">
        <v>4515</v>
      </c>
      <c r="D2493" s="679" t="s">
        <v>4133</v>
      </c>
      <c r="E2493" s="710" t="n">
        <v>0.006</v>
      </c>
      <c r="F2493" s="369" t="n">
        <v>2700</v>
      </c>
      <c r="G2493" s="727" t="n">
        <f aca="false">E2493*F2493</f>
        <v>16.2</v>
      </c>
      <c r="H2493" s="392"/>
    </row>
    <row r="2494" customFormat="false" ht="15" hidden="false" customHeight="false" outlineLevel="0" collapsed="false">
      <c r="A2494" s="707"/>
      <c r="B2494" s="522"/>
      <c r="C2494" s="709" t="s">
        <v>4124</v>
      </c>
      <c r="D2494" s="679" t="s">
        <v>4516</v>
      </c>
      <c r="E2494" s="715" t="n">
        <v>1.5</v>
      </c>
      <c r="F2494" s="369" t="n">
        <v>120</v>
      </c>
      <c r="G2494" s="727" t="n">
        <f aca="false">E2494*F2494</f>
        <v>180</v>
      </c>
      <c r="H2494" s="392"/>
    </row>
    <row r="2495" customFormat="false" ht="15" hidden="false" customHeight="false" outlineLevel="0" collapsed="false">
      <c r="A2495" s="707"/>
      <c r="B2495" s="708" t="s">
        <v>4128</v>
      </c>
      <c r="C2495" s="718"/>
      <c r="D2495" s="719"/>
      <c r="E2495" s="722"/>
      <c r="F2495" s="366"/>
      <c r="G2495" s="711" t="n">
        <f aca="false">SUM(G2489:G2494)</f>
        <v>326.9</v>
      </c>
      <c r="H2495" s="392"/>
    </row>
    <row r="2496" customFormat="false" ht="15" hidden="false" customHeight="false" outlineLevel="0" collapsed="false">
      <c r="A2496" s="707" t="s">
        <v>491</v>
      </c>
      <c r="B2496" s="487" t="s">
        <v>4716</v>
      </c>
      <c r="C2496" s="532" t="s">
        <v>4554</v>
      </c>
      <c r="D2496" s="679" t="s">
        <v>4555</v>
      </c>
      <c r="E2496" s="726" t="n">
        <v>0.01</v>
      </c>
      <c r="F2496" s="721" t="n">
        <v>108000</v>
      </c>
      <c r="G2496" s="727" t="n">
        <f aca="false">E2496*F2496</f>
        <v>1080</v>
      </c>
      <c r="H2496" s="392"/>
    </row>
    <row r="2497" customFormat="false" ht="15" hidden="false" customHeight="false" outlineLevel="0" collapsed="false">
      <c r="A2497" s="707"/>
      <c r="B2497" s="522"/>
      <c r="C2497" s="471" t="s">
        <v>4189</v>
      </c>
      <c r="D2497" s="728" t="s">
        <v>4133</v>
      </c>
      <c r="E2497" s="726" t="n">
        <v>0.02</v>
      </c>
      <c r="F2497" s="729" t="n">
        <v>3500</v>
      </c>
      <c r="G2497" s="727" t="n">
        <f aca="false">E2497*F2497</f>
        <v>70</v>
      </c>
      <c r="H2497" s="392"/>
    </row>
    <row r="2498" customFormat="false" ht="15" hidden="false" customHeight="false" outlineLevel="0" collapsed="false">
      <c r="A2498" s="707"/>
      <c r="B2498" s="522"/>
      <c r="C2498" s="325" t="s">
        <v>4556</v>
      </c>
      <c r="D2498" s="728" t="s">
        <v>4133</v>
      </c>
      <c r="E2498" s="726" t="n">
        <v>0.05</v>
      </c>
      <c r="F2498" s="723" t="n">
        <v>3612</v>
      </c>
      <c r="G2498" s="727" t="n">
        <f aca="false">E2498*F2498</f>
        <v>180.6</v>
      </c>
      <c r="H2498" s="392"/>
    </row>
    <row r="2499" customFormat="false" ht="15" hidden="false" customHeight="false" outlineLevel="0" collapsed="false">
      <c r="A2499" s="707"/>
      <c r="B2499" s="522"/>
      <c r="C2499" s="532" t="s">
        <v>4557</v>
      </c>
      <c r="D2499" s="728" t="s">
        <v>4133</v>
      </c>
      <c r="E2499" s="726" t="n">
        <v>0.06</v>
      </c>
      <c r="F2499" s="369" t="n">
        <v>1750</v>
      </c>
      <c r="G2499" s="727" t="n">
        <f aca="false">E2499*F2499</f>
        <v>105</v>
      </c>
      <c r="H2499" s="392"/>
    </row>
    <row r="2500" customFormat="false" ht="15" hidden="false" customHeight="false" outlineLevel="0" collapsed="false">
      <c r="A2500" s="707"/>
      <c r="B2500" s="522"/>
      <c r="C2500" s="532" t="s">
        <v>4558</v>
      </c>
      <c r="D2500" s="679" t="s">
        <v>4559</v>
      </c>
      <c r="E2500" s="726" t="n">
        <v>0.008</v>
      </c>
      <c r="F2500" s="721" t="n">
        <v>178100</v>
      </c>
      <c r="G2500" s="727" t="n">
        <f aca="false">E2500*F2500</f>
        <v>1424.8</v>
      </c>
      <c r="H2500" s="392"/>
    </row>
    <row r="2501" customFormat="false" ht="30" hidden="false" customHeight="false" outlineLevel="0" collapsed="false">
      <c r="A2501" s="707"/>
      <c r="B2501" s="522"/>
      <c r="C2501" s="532" t="s">
        <v>4560</v>
      </c>
      <c r="D2501" s="728" t="s">
        <v>4348</v>
      </c>
      <c r="E2501" s="679" t="n">
        <v>5</v>
      </c>
      <c r="F2501" s="729" t="n">
        <v>5.1</v>
      </c>
      <c r="G2501" s="727" t="n">
        <f aca="false">E2501*F2501</f>
        <v>25.5</v>
      </c>
      <c r="H2501" s="392"/>
    </row>
    <row r="2502" customFormat="false" ht="15" hidden="false" customHeight="false" outlineLevel="0" collapsed="false">
      <c r="A2502" s="707"/>
      <c r="B2502" s="522"/>
      <c r="C2502" s="709" t="s">
        <v>4515</v>
      </c>
      <c r="D2502" s="679" t="s">
        <v>4133</v>
      </c>
      <c r="E2502" s="710" t="n">
        <v>0.01</v>
      </c>
      <c r="F2502" s="369" t="n">
        <v>2700</v>
      </c>
      <c r="G2502" s="727" t="n">
        <f aca="false">E2502*F2502</f>
        <v>27</v>
      </c>
      <c r="H2502" s="392"/>
    </row>
    <row r="2503" customFormat="false" ht="15" hidden="false" customHeight="false" outlineLevel="0" collapsed="false">
      <c r="A2503" s="707"/>
      <c r="B2503" s="522"/>
      <c r="C2503" s="709" t="s">
        <v>4124</v>
      </c>
      <c r="D2503" s="679" t="s">
        <v>4516</v>
      </c>
      <c r="E2503" s="710" t="n">
        <v>0.142</v>
      </c>
      <c r="F2503" s="369" t="n">
        <v>120</v>
      </c>
      <c r="G2503" s="727" t="n">
        <f aca="false">E2503*F2503</f>
        <v>17.04</v>
      </c>
      <c r="H2503" s="392"/>
    </row>
    <row r="2504" customFormat="false" ht="15" hidden="false" customHeight="false" outlineLevel="0" collapsed="false">
      <c r="A2504" s="707"/>
      <c r="B2504" s="522"/>
      <c r="C2504" s="709" t="s">
        <v>4577</v>
      </c>
      <c r="D2504" s="679" t="s">
        <v>4578</v>
      </c>
      <c r="E2504" s="710" t="n">
        <v>0.01</v>
      </c>
      <c r="F2504" s="369" t="n">
        <v>27000</v>
      </c>
      <c r="G2504" s="727" t="n">
        <f aca="false">E2504*F2504</f>
        <v>270</v>
      </c>
      <c r="H2504" s="392"/>
    </row>
    <row r="2505" customFormat="false" ht="15" hidden="false" customHeight="false" outlineLevel="0" collapsed="false">
      <c r="A2505" s="707"/>
      <c r="B2505" s="708" t="s">
        <v>4128</v>
      </c>
      <c r="C2505" s="718"/>
      <c r="D2505" s="719"/>
      <c r="E2505" s="722"/>
      <c r="F2505" s="366"/>
      <c r="G2505" s="711" t="n">
        <f aca="false">SUM(G2496:G2504)</f>
        <v>3199.94</v>
      </c>
      <c r="H2505" s="392"/>
    </row>
    <row r="2506" customFormat="false" ht="15" hidden="false" customHeight="false" outlineLevel="0" collapsed="false">
      <c r="A2506" s="707" t="s">
        <v>492</v>
      </c>
      <c r="B2506" s="708" t="s">
        <v>4717</v>
      </c>
      <c r="C2506" s="532" t="s">
        <v>4554</v>
      </c>
      <c r="D2506" s="679" t="s">
        <v>4555</v>
      </c>
      <c r="E2506" s="726" t="n">
        <v>0.01</v>
      </c>
      <c r="F2506" s="721" t="n">
        <v>108000</v>
      </c>
      <c r="G2506" s="727" t="n">
        <f aca="false">E2506*F2506</f>
        <v>1080</v>
      </c>
      <c r="H2506" s="392"/>
    </row>
    <row r="2507" customFormat="false" ht="15" hidden="false" customHeight="false" outlineLevel="0" collapsed="false">
      <c r="A2507" s="707"/>
      <c r="B2507" s="708"/>
      <c r="C2507" s="471" t="s">
        <v>4189</v>
      </c>
      <c r="D2507" s="728" t="s">
        <v>4133</v>
      </c>
      <c r="E2507" s="726" t="n">
        <v>0.1</v>
      </c>
      <c r="F2507" s="729" t="n">
        <v>3500</v>
      </c>
      <c r="G2507" s="727" t="n">
        <f aca="false">E2507*F2507</f>
        <v>350</v>
      </c>
      <c r="H2507" s="392"/>
    </row>
    <row r="2508" customFormat="false" ht="15" hidden="false" customHeight="false" outlineLevel="0" collapsed="false">
      <c r="A2508" s="707"/>
      <c r="B2508" s="708"/>
      <c r="C2508" s="532" t="s">
        <v>4557</v>
      </c>
      <c r="D2508" s="728" t="s">
        <v>4133</v>
      </c>
      <c r="E2508" s="726" t="n">
        <v>0.1</v>
      </c>
      <c r="F2508" s="369" t="n">
        <v>1750</v>
      </c>
      <c r="G2508" s="727" t="n">
        <f aca="false">E2508*F2508</f>
        <v>175</v>
      </c>
      <c r="H2508" s="392"/>
    </row>
    <row r="2509" customFormat="false" ht="15" hidden="false" customHeight="false" outlineLevel="0" collapsed="false">
      <c r="A2509" s="707"/>
      <c r="B2509" s="708"/>
      <c r="C2509" s="532" t="s">
        <v>4563</v>
      </c>
      <c r="D2509" s="728" t="s">
        <v>4133</v>
      </c>
      <c r="E2509" s="726" t="n">
        <v>0.06</v>
      </c>
      <c r="F2509" s="717" t="n">
        <v>25200</v>
      </c>
      <c r="G2509" s="727" t="n">
        <f aca="false">E2509*F2509</f>
        <v>1512</v>
      </c>
      <c r="H2509" s="392"/>
    </row>
    <row r="2510" customFormat="false" ht="15" hidden="false" customHeight="false" outlineLevel="0" collapsed="false">
      <c r="A2510" s="707"/>
      <c r="B2510" s="708"/>
      <c r="C2510" s="532" t="s">
        <v>4564</v>
      </c>
      <c r="D2510" s="728" t="s">
        <v>4133</v>
      </c>
      <c r="E2510" s="726" t="n">
        <v>0.1</v>
      </c>
      <c r="F2510" s="721" t="n">
        <v>3500</v>
      </c>
      <c r="G2510" s="727" t="n">
        <f aca="false">E2510*F2510</f>
        <v>350</v>
      </c>
      <c r="H2510" s="392"/>
    </row>
    <row r="2511" customFormat="false" ht="15" hidden="false" customHeight="false" outlineLevel="0" collapsed="false">
      <c r="A2511" s="707"/>
      <c r="B2511" s="708"/>
      <c r="C2511" s="532" t="s">
        <v>4565</v>
      </c>
      <c r="D2511" s="728" t="s">
        <v>4133</v>
      </c>
      <c r="E2511" s="726" t="n">
        <v>0.1</v>
      </c>
      <c r="F2511" s="721" t="n">
        <v>870</v>
      </c>
      <c r="G2511" s="727" t="n">
        <f aca="false">E2511*F2511</f>
        <v>87</v>
      </c>
      <c r="H2511" s="392"/>
    </row>
    <row r="2512" customFormat="false" ht="15" hidden="false" customHeight="false" outlineLevel="0" collapsed="false">
      <c r="A2512" s="707"/>
      <c r="B2512" s="708"/>
      <c r="C2512" s="532" t="s">
        <v>4566</v>
      </c>
      <c r="D2512" s="728" t="s">
        <v>4133</v>
      </c>
      <c r="E2512" s="726" t="n">
        <v>0.1</v>
      </c>
      <c r="F2512" s="721" t="n">
        <v>300</v>
      </c>
      <c r="G2512" s="727" t="n">
        <f aca="false">E2512*F2512</f>
        <v>30</v>
      </c>
      <c r="H2512" s="392"/>
    </row>
    <row r="2513" customFormat="false" ht="15" hidden="false" customHeight="false" outlineLevel="0" collapsed="false">
      <c r="A2513" s="707"/>
      <c r="B2513" s="708"/>
      <c r="C2513" s="325" t="s">
        <v>4556</v>
      </c>
      <c r="D2513" s="728" t="s">
        <v>4133</v>
      </c>
      <c r="E2513" s="726" t="n">
        <v>0.1</v>
      </c>
      <c r="F2513" s="723" t="n">
        <v>3612</v>
      </c>
      <c r="G2513" s="727" t="n">
        <f aca="false">E2513*F2513</f>
        <v>361.2</v>
      </c>
      <c r="H2513" s="392"/>
    </row>
    <row r="2514" customFormat="false" ht="30" hidden="false" customHeight="false" outlineLevel="0" collapsed="false">
      <c r="A2514" s="707"/>
      <c r="B2514" s="708"/>
      <c r="C2514" s="532" t="s">
        <v>4560</v>
      </c>
      <c r="D2514" s="728" t="s">
        <v>4348</v>
      </c>
      <c r="E2514" s="679" t="n">
        <v>5</v>
      </c>
      <c r="F2514" s="729" t="n">
        <v>5.1</v>
      </c>
      <c r="G2514" s="727" t="n">
        <f aca="false">E2514*F2514</f>
        <v>25.5</v>
      </c>
      <c r="H2514" s="392"/>
    </row>
    <row r="2515" customFormat="false" ht="15" hidden="false" customHeight="false" outlineLevel="0" collapsed="false">
      <c r="A2515" s="707"/>
      <c r="B2515" s="708"/>
      <c r="C2515" s="709" t="s">
        <v>4515</v>
      </c>
      <c r="D2515" s="679" t="s">
        <v>4133</v>
      </c>
      <c r="E2515" s="710" t="n">
        <v>0.06</v>
      </c>
      <c r="F2515" s="369" t="n">
        <v>2700</v>
      </c>
      <c r="G2515" s="727" t="n">
        <f aca="false">E2515*F2515</f>
        <v>162</v>
      </c>
      <c r="H2515" s="392"/>
    </row>
    <row r="2516" customFormat="false" ht="15" hidden="false" customHeight="false" outlineLevel="0" collapsed="false">
      <c r="A2516" s="707"/>
      <c r="B2516" s="708"/>
      <c r="C2516" s="709" t="s">
        <v>4124</v>
      </c>
      <c r="D2516" s="679" t="s">
        <v>4516</v>
      </c>
      <c r="E2516" s="710" t="n">
        <v>0.142</v>
      </c>
      <c r="F2516" s="369" t="n">
        <v>120</v>
      </c>
      <c r="G2516" s="727" t="n">
        <f aca="false">E2516*F2516</f>
        <v>17.04</v>
      </c>
      <c r="H2516" s="392"/>
    </row>
    <row r="2517" customFormat="false" ht="15" hidden="false" customHeight="false" outlineLevel="0" collapsed="false">
      <c r="A2517" s="707"/>
      <c r="B2517" s="708" t="s">
        <v>4128</v>
      </c>
      <c r="C2517" s="709"/>
      <c r="D2517" s="679"/>
      <c r="E2517" s="710"/>
      <c r="F2517" s="369"/>
      <c r="G2517" s="711" t="n">
        <f aca="false">SUM(G2506:G2516)</f>
        <v>4149.74</v>
      </c>
      <c r="H2517" s="392"/>
    </row>
    <row r="2518" customFormat="false" ht="15" hidden="false" customHeight="false" outlineLevel="0" collapsed="false">
      <c r="A2518" s="707" t="s">
        <v>4718</v>
      </c>
      <c r="B2518" s="487" t="s">
        <v>4719</v>
      </c>
      <c r="C2518" s="532" t="s">
        <v>4567</v>
      </c>
      <c r="D2518" s="679" t="s">
        <v>4555</v>
      </c>
      <c r="E2518" s="726" t="n">
        <v>0.007</v>
      </c>
      <c r="F2518" s="721" t="n">
        <v>108000</v>
      </c>
      <c r="G2518" s="727" t="n">
        <f aca="false">E2518*F2518</f>
        <v>756</v>
      </c>
      <c r="H2518" s="392"/>
    </row>
    <row r="2519" customFormat="false" ht="15" hidden="false" customHeight="false" outlineLevel="0" collapsed="false">
      <c r="A2519" s="707"/>
      <c r="B2519" s="522"/>
      <c r="C2519" s="471" t="s">
        <v>4189</v>
      </c>
      <c r="D2519" s="728" t="s">
        <v>4133</v>
      </c>
      <c r="E2519" s="726" t="n">
        <v>0.025</v>
      </c>
      <c r="F2519" s="729" t="n">
        <v>3500</v>
      </c>
      <c r="G2519" s="727" t="n">
        <f aca="false">E2519*F2519</f>
        <v>87.5</v>
      </c>
      <c r="H2519" s="392"/>
    </row>
    <row r="2520" customFormat="false" ht="15" hidden="false" customHeight="false" outlineLevel="0" collapsed="false">
      <c r="A2520" s="707"/>
      <c r="B2520" s="522"/>
      <c r="C2520" s="325" t="s">
        <v>4556</v>
      </c>
      <c r="D2520" s="728" t="s">
        <v>4133</v>
      </c>
      <c r="E2520" s="726" t="n">
        <v>0.05</v>
      </c>
      <c r="F2520" s="723" t="n">
        <v>3612</v>
      </c>
      <c r="G2520" s="727" t="n">
        <f aca="false">E2520*F2520</f>
        <v>180.6</v>
      </c>
      <c r="H2520" s="392"/>
    </row>
    <row r="2521" customFormat="false" ht="15" hidden="false" customHeight="false" outlineLevel="0" collapsed="false">
      <c r="A2521" s="707"/>
      <c r="B2521" s="522"/>
      <c r="C2521" s="532" t="s">
        <v>4557</v>
      </c>
      <c r="D2521" s="728" t="s">
        <v>4133</v>
      </c>
      <c r="E2521" s="726" t="n">
        <v>0.06</v>
      </c>
      <c r="F2521" s="369" t="n">
        <v>1750</v>
      </c>
      <c r="G2521" s="727" t="n">
        <f aca="false">E2521*F2521</f>
        <v>105</v>
      </c>
      <c r="H2521" s="392"/>
    </row>
    <row r="2522" customFormat="false" ht="15" hidden="false" customHeight="false" outlineLevel="0" collapsed="false">
      <c r="A2522" s="707"/>
      <c r="B2522" s="522"/>
      <c r="C2522" s="532" t="s">
        <v>4558</v>
      </c>
      <c r="D2522" s="679" t="s">
        <v>4559</v>
      </c>
      <c r="E2522" s="726" t="n">
        <v>0.01</v>
      </c>
      <c r="F2522" s="721" t="n">
        <v>178100</v>
      </c>
      <c r="G2522" s="727" t="n">
        <f aca="false">E2522*F2522</f>
        <v>1781</v>
      </c>
      <c r="H2522" s="392"/>
    </row>
    <row r="2523" customFormat="false" ht="30" hidden="false" customHeight="false" outlineLevel="0" collapsed="false">
      <c r="A2523" s="707"/>
      <c r="B2523" s="522"/>
      <c r="C2523" s="532" t="s">
        <v>4560</v>
      </c>
      <c r="D2523" s="728" t="s">
        <v>4348</v>
      </c>
      <c r="E2523" s="679" t="n">
        <v>5</v>
      </c>
      <c r="F2523" s="729" t="n">
        <v>5.1</v>
      </c>
      <c r="G2523" s="727" t="n">
        <f aca="false">E2523*F2523</f>
        <v>25.5</v>
      </c>
      <c r="H2523" s="392"/>
    </row>
    <row r="2524" customFormat="false" ht="15" hidden="false" customHeight="false" outlineLevel="0" collapsed="false">
      <c r="A2524" s="707"/>
      <c r="B2524" s="522"/>
      <c r="C2524" s="709" t="s">
        <v>4515</v>
      </c>
      <c r="D2524" s="679" t="s">
        <v>4133</v>
      </c>
      <c r="E2524" s="710" t="n">
        <v>0.06</v>
      </c>
      <c r="F2524" s="369" t="n">
        <v>2700</v>
      </c>
      <c r="G2524" s="727" t="n">
        <f aca="false">E2524*F2524</f>
        <v>162</v>
      </c>
      <c r="H2524" s="392"/>
    </row>
    <row r="2525" customFormat="false" ht="15" hidden="false" customHeight="false" outlineLevel="0" collapsed="false">
      <c r="A2525" s="707"/>
      <c r="B2525" s="522"/>
      <c r="C2525" s="709" t="s">
        <v>4124</v>
      </c>
      <c r="D2525" s="679" t="s">
        <v>4516</v>
      </c>
      <c r="E2525" s="710" t="n">
        <v>0.142</v>
      </c>
      <c r="F2525" s="369" t="n">
        <v>120</v>
      </c>
      <c r="G2525" s="727" t="n">
        <f aca="false">E2525*F2525</f>
        <v>17.04</v>
      </c>
      <c r="H2525" s="392"/>
    </row>
    <row r="2526" customFormat="false" ht="15" hidden="false" customHeight="false" outlineLevel="0" collapsed="false">
      <c r="A2526" s="707"/>
      <c r="B2526" s="522"/>
      <c r="C2526" s="709" t="s">
        <v>4577</v>
      </c>
      <c r="D2526" s="679" t="s">
        <v>4578</v>
      </c>
      <c r="E2526" s="710" t="n">
        <v>0.01</v>
      </c>
      <c r="F2526" s="369" t="n">
        <v>27000</v>
      </c>
      <c r="G2526" s="727" t="n">
        <f aca="false">E2526*F2526</f>
        <v>270</v>
      </c>
      <c r="H2526" s="392"/>
    </row>
    <row r="2527" customFormat="false" ht="15" hidden="false" customHeight="false" outlineLevel="0" collapsed="false">
      <c r="A2527" s="707"/>
      <c r="B2527" s="708" t="s">
        <v>4128</v>
      </c>
      <c r="C2527" s="718"/>
      <c r="D2527" s="719"/>
      <c r="E2527" s="722"/>
      <c r="F2527" s="366"/>
      <c r="G2527" s="711" t="n">
        <f aca="false">SUM(G2518:G2526)</f>
        <v>3384.64</v>
      </c>
      <c r="H2527" s="392"/>
    </row>
    <row r="2528" customFormat="false" ht="15" hidden="false" customHeight="false" outlineLevel="0" collapsed="false">
      <c r="A2528" s="707" t="s">
        <v>496</v>
      </c>
      <c r="B2528" s="487" t="s">
        <v>4720</v>
      </c>
      <c r="C2528" s="532" t="s">
        <v>4554</v>
      </c>
      <c r="D2528" s="679" t="s">
        <v>4555</v>
      </c>
      <c r="E2528" s="733" t="n">
        <v>0.02</v>
      </c>
      <c r="F2528" s="721" t="n">
        <v>108000</v>
      </c>
      <c r="G2528" s="727" t="n">
        <f aca="false">E2528*F2528</f>
        <v>2160</v>
      </c>
      <c r="H2528" s="392"/>
    </row>
    <row r="2529" customFormat="false" ht="15" hidden="false" customHeight="false" outlineLevel="0" collapsed="false">
      <c r="A2529" s="707"/>
      <c r="B2529" s="708"/>
      <c r="C2529" s="471" t="s">
        <v>4189</v>
      </c>
      <c r="D2529" s="728" t="s">
        <v>4133</v>
      </c>
      <c r="E2529" s="733" t="n">
        <v>0.1</v>
      </c>
      <c r="F2529" s="729" t="n">
        <v>3500</v>
      </c>
      <c r="G2529" s="727" t="n">
        <f aca="false">E2529*F2529</f>
        <v>350</v>
      </c>
      <c r="H2529" s="392"/>
    </row>
    <row r="2530" customFormat="false" ht="15" hidden="false" customHeight="false" outlineLevel="0" collapsed="false">
      <c r="A2530" s="707"/>
      <c r="B2530" s="708"/>
      <c r="C2530" s="532" t="s">
        <v>4557</v>
      </c>
      <c r="D2530" s="728" t="s">
        <v>4133</v>
      </c>
      <c r="E2530" s="733" t="n">
        <v>0.1</v>
      </c>
      <c r="F2530" s="369" t="n">
        <v>1750</v>
      </c>
      <c r="G2530" s="727" t="n">
        <f aca="false">E2530*F2530</f>
        <v>175</v>
      </c>
      <c r="H2530" s="392"/>
    </row>
    <row r="2531" customFormat="false" ht="15" hidden="false" customHeight="false" outlineLevel="0" collapsed="false">
      <c r="A2531" s="707"/>
      <c r="B2531" s="708"/>
      <c r="C2531" s="532" t="s">
        <v>4563</v>
      </c>
      <c r="D2531" s="728" t="s">
        <v>4133</v>
      </c>
      <c r="E2531" s="733" t="n">
        <v>0.03</v>
      </c>
      <c r="F2531" s="717" t="n">
        <v>25200</v>
      </c>
      <c r="G2531" s="727" t="n">
        <f aca="false">E2531*F2531</f>
        <v>756</v>
      </c>
      <c r="H2531" s="392"/>
    </row>
    <row r="2532" customFormat="false" ht="15" hidden="false" customHeight="false" outlineLevel="0" collapsed="false">
      <c r="A2532" s="707"/>
      <c r="B2532" s="708"/>
      <c r="C2532" s="532" t="s">
        <v>4564</v>
      </c>
      <c r="D2532" s="728" t="s">
        <v>4133</v>
      </c>
      <c r="E2532" s="733" t="n">
        <v>0.1</v>
      </c>
      <c r="F2532" s="721" t="n">
        <v>3500</v>
      </c>
      <c r="G2532" s="727" t="n">
        <f aca="false">E2532*F2532</f>
        <v>350</v>
      </c>
      <c r="H2532" s="392"/>
    </row>
    <row r="2533" customFormat="false" ht="15" hidden="false" customHeight="false" outlineLevel="0" collapsed="false">
      <c r="A2533" s="707"/>
      <c r="B2533" s="708"/>
      <c r="C2533" s="532" t="s">
        <v>4565</v>
      </c>
      <c r="D2533" s="728" t="s">
        <v>4133</v>
      </c>
      <c r="E2533" s="733" t="n">
        <v>0.1</v>
      </c>
      <c r="F2533" s="721" t="n">
        <v>870</v>
      </c>
      <c r="G2533" s="727" t="n">
        <f aca="false">E2533*F2533</f>
        <v>87</v>
      </c>
      <c r="H2533" s="392"/>
    </row>
    <row r="2534" customFormat="false" ht="15" hidden="false" customHeight="false" outlineLevel="0" collapsed="false">
      <c r="A2534" s="707"/>
      <c r="B2534" s="708"/>
      <c r="C2534" s="532" t="s">
        <v>4566</v>
      </c>
      <c r="D2534" s="728" t="s">
        <v>4133</v>
      </c>
      <c r="E2534" s="733" t="n">
        <v>0.1</v>
      </c>
      <c r="F2534" s="721" t="n">
        <v>300</v>
      </c>
      <c r="G2534" s="727" t="n">
        <f aca="false">E2534*F2534</f>
        <v>30</v>
      </c>
      <c r="H2534" s="392"/>
    </row>
    <row r="2535" customFormat="false" ht="15" hidden="false" customHeight="false" outlineLevel="0" collapsed="false">
      <c r="A2535" s="707"/>
      <c r="B2535" s="708"/>
      <c r="C2535" s="325" t="s">
        <v>4556</v>
      </c>
      <c r="D2535" s="728" t="s">
        <v>4133</v>
      </c>
      <c r="E2535" s="733" t="n">
        <v>0.1</v>
      </c>
      <c r="F2535" s="723" t="n">
        <v>3612</v>
      </c>
      <c r="G2535" s="727" t="n">
        <f aca="false">E2535*F2535</f>
        <v>361.2</v>
      </c>
      <c r="H2535" s="392"/>
    </row>
    <row r="2536" customFormat="false" ht="30" hidden="false" customHeight="false" outlineLevel="0" collapsed="false">
      <c r="A2536" s="707"/>
      <c r="B2536" s="708"/>
      <c r="C2536" s="532" t="s">
        <v>4560</v>
      </c>
      <c r="D2536" s="728" t="s">
        <v>4348</v>
      </c>
      <c r="E2536" s="679" t="n">
        <v>5</v>
      </c>
      <c r="F2536" s="729" t="n">
        <v>5.1</v>
      </c>
      <c r="G2536" s="727" t="n">
        <f aca="false">E2536*F2536</f>
        <v>25.5</v>
      </c>
      <c r="H2536" s="392"/>
    </row>
    <row r="2537" customFormat="false" ht="15" hidden="false" customHeight="false" outlineLevel="0" collapsed="false">
      <c r="A2537" s="707"/>
      <c r="B2537" s="708"/>
      <c r="C2537" s="709" t="s">
        <v>4515</v>
      </c>
      <c r="D2537" s="679" t="s">
        <v>4133</v>
      </c>
      <c r="E2537" s="715" t="n">
        <v>0.06</v>
      </c>
      <c r="F2537" s="369" t="n">
        <v>2700</v>
      </c>
      <c r="G2537" s="727" t="n">
        <f aca="false">E2537*F2537</f>
        <v>162</v>
      </c>
      <c r="H2537" s="392"/>
    </row>
    <row r="2538" customFormat="false" ht="15" hidden="false" customHeight="false" outlineLevel="0" collapsed="false">
      <c r="A2538" s="707"/>
      <c r="B2538" s="451"/>
      <c r="C2538" s="709" t="s">
        <v>4124</v>
      </c>
      <c r="D2538" s="679" t="s">
        <v>4516</v>
      </c>
      <c r="E2538" s="710" t="n">
        <v>0.142</v>
      </c>
      <c r="F2538" s="369" t="n">
        <v>120</v>
      </c>
      <c r="G2538" s="727" t="n">
        <f aca="false">E2538*F2538</f>
        <v>17.04</v>
      </c>
      <c r="H2538" s="392"/>
    </row>
    <row r="2539" customFormat="false" ht="15" hidden="false" customHeight="false" outlineLevel="0" collapsed="false">
      <c r="A2539" s="707"/>
      <c r="B2539" s="708" t="s">
        <v>4128</v>
      </c>
      <c r="C2539" s="709"/>
      <c r="D2539" s="679"/>
      <c r="E2539" s="710"/>
      <c r="F2539" s="369"/>
      <c r="G2539" s="711" t="n">
        <f aca="false">SUM(G2528:G2538)</f>
        <v>4473.74</v>
      </c>
      <c r="H2539" s="392"/>
    </row>
    <row r="2540" customFormat="false" ht="15" hidden="false" customHeight="false" outlineLevel="0" collapsed="false">
      <c r="A2540" s="707" t="s">
        <v>498</v>
      </c>
      <c r="B2540" s="487" t="s">
        <v>3063</v>
      </c>
      <c r="C2540" s="709" t="s">
        <v>4122</v>
      </c>
      <c r="D2540" s="679" t="s">
        <v>4133</v>
      </c>
      <c r="E2540" s="715" t="n">
        <v>0.3</v>
      </c>
      <c r="F2540" s="369" t="n">
        <v>720</v>
      </c>
      <c r="G2540" s="727" t="n">
        <f aca="false">E2540*F2540</f>
        <v>216</v>
      </c>
      <c r="H2540" s="392"/>
    </row>
    <row r="2541" customFormat="false" ht="15" hidden="false" customHeight="false" outlineLevel="0" collapsed="false">
      <c r="A2541" s="707"/>
      <c r="B2541" s="522"/>
      <c r="C2541" s="709" t="s">
        <v>4515</v>
      </c>
      <c r="D2541" s="679" t="s">
        <v>4133</v>
      </c>
      <c r="E2541" s="715" t="n">
        <v>0.01</v>
      </c>
      <c r="F2541" s="369" t="n">
        <v>2700</v>
      </c>
      <c r="G2541" s="727" t="n">
        <f aca="false">E2541*F2541</f>
        <v>27</v>
      </c>
      <c r="H2541" s="392"/>
    </row>
    <row r="2542" customFormat="false" ht="15" hidden="false" customHeight="false" outlineLevel="0" collapsed="false">
      <c r="A2542" s="707"/>
      <c r="B2542" s="522"/>
      <c r="C2542" s="709" t="s">
        <v>4124</v>
      </c>
      <c r="D2542" s="679" t="s">
        <v>4516</v>
      </c>
      <c r="E2542" s="715" t="n">
        <v>1.5</v>
      </c>
      <c r="F2542" s="369" t="n">
        <v>120</v>
      </c>
      <c r="G2542" s="727" t="n">
        <f aca="false">E2542*F2542</f>
        <v>180</v>
      </c>
      <c r="H2542" s="392"/>
    </row>
    <row r="2543" customFormat="false" ht="15" hidden="false" customHeight="false" outlineLevel="0" collapsed="false">
      <c r="A2543" s="707"/>
      <c r="B2543" s="708" t="s">
        <v>4128</v>
      </c>
      <c r="C2543" s="718"/>
      <c r="D2543" s="719"/>
      <c r="E2543" s="722"/>
      <c r="F2543" s="366"/>
      <c r="G2543" s="711" t="n">
        <f aca="false">SUM(G2540:G2542)</f>
        <v>423</v>
      </c>
      <c r="H2543" s="392"/>
    </row>
    <row r="2544" customFormat="false" ht="30" hidden="false" customHeight="false" outlineLevel="0" collapsed="false">
      <c r="A2544" s="707" t="s">
        <v>500</v>
      </c>
      <c r="B2544" s="487" t="s">
        <v>3087</v>
      </c>
      <c r="C2544" s="532" t="s">
        <v>4662</v>
      </c>
      <c r="D2544" s="679" t="s">
        <v>4555</v>
      </c>
      <c r="E2544" s="726" t="n">
        <v>0.01</v>
      </c>
      <c r="F2544" s="721" t="n">
        <v>108000</v>
      </c>
      <c r="G2544" s="727" t="n">
        <f aca="false">E2544*F2544</f>
        <v>1080</v>
      </c>
      <c r="H2544" s="392"/>
    </row>
    <row r="2545" customFormat="false" ht="15" hidden="false" customHeight="false" outlineLevel="0" collapsed="false">
      <c r="A2545" s="707"/>
      <c r="B2545" s="522"/>
      <c r="C2545" s="471" t="s">
        <v>4189</v>
      </c>
      <c r="D2545" s="757" t="s">
        <v>4133</v>
      </c>
      <c r="E2545" s="726" t="n">
        <v>0.025</v>
      </c>
      <c r="F2545" s="729" t="n">
        <v>3500</v>
      </c>
      <c r="G2545" s="727" t="n">
        <f aca="false">E2545*F2545</f>
        <v>87.5</v>
      </c>
      <c r="H2545" s="392"/>
    </row>
    <row r="2546" customFormat="false" ht="15" hidden="false" customHeight="false" outlineLevel="0" collapsed="false">
      <c r="A2546" s="707"/>
      <c r="B2546" s="522"/>
      <c r="C2546" s="532" t="s">
        <v>4557</v>
      </c>
      <c r="D2546" s="728" t="s">
        <v>4133</v>
      </c>
      <c r="E2546" s="726" t="n">
        <v>0.06</v>
      </c>
      <c r="F2546" s="369" t="n">
        <v>1750</v>
      </c>
      <c r="G2546" s="727" t="n">
        <f aca="false">E2546*F2546</f>
        <v>105</v>
      </c>
      <c r="H2546" s="392"/>
    </row>
    <row r="2547" customFormat="false" ht="15" hidden="false" customHeight="false" outlineLevel="0" collapsed="false">
      <c r="A2547" s="707"/>
      <c r="B2547" s="522"/>
      <c r="C2547" s="532" t="s">
        <v>4627</v>
      </c>
      <c r="D2547" s="757" t="s">
        <v>4133</v>
      </c>
      <c r="E2547" s="758" t="n">
        <v>0.01</v>
      </c>
      <c r="F2547" s="748" t="n">
        <v>1200</v>
      </c>
      <c r="G2547" s="727" t="n">
        <f aca="false">E2547*F2547</f>
        <v>12</v>
      </c>
      <c r="H2547" s="392"/>
    </row>
    <row r="2548" customFormat="false" ht="15" hidden="false" customHeight="false" outlineLevel="0" collapsed="false">
      <c r="A2548" s="707"/>
      <c r="B2548" s="522"/>
      <c r="C2548" s="532" t="s">
        <v>4564</v>
      </c>
      <c r="D2548" s="757" t="s">
        <v>4133</v>
      </c>
      <c r="E2548" s="758" t="n">
        <v>0.03</v>
      </c>
      <c r="F2548" s="721" t="n">
        <v>3500</v>
      </c>
      <c r="G2548" s="727" t="n">
        <f aca="false">E2548*F2548</f>
        <v>105</v>
      </c>
      <c r="H2548" s="392"/>
    </row>
    <row r="2549" customFormat="false" ht="15" hidden="false" customHeight="false" outlineLevel="0" collapsed="false">
      <c r="A2549" s="707"/>
      <c r="B2549" s="522"/>
      <c r="C2549" s="532" t="s">
        <v>4663</v>
      </c>
      <c r="D2549" s="757" t="s">
        <v>4133</v>
      </c>
      <c r="E2549" s="758" t="n">
        <v>0.006</v>
      </c>
      <c r="F2549" s="748" t="n">
        <v>3875</v>
      </c>
      <c r="G2549" s="727" t="n">
        <f aca="false">E2549*F2549</f>
        <v>23.25</v>
      </c>
      <c r="H2549" s="392"/>
    </row>
    <row r="2550" customFormat="false" ht="15" hidden="false" customHeight="false" outlineLevel="0" collapsed="false">
      <c r="A2550" s="707"/>
      <c r="B2550" s="522"/>
      <c r="C2550" s="532" t="s">
        <v>4664</v>
      </c>
      <c r="D2550" s="757" t="s">
        <v>4133</v>
      </c>
      <c r="E2550" s="758" t="n">
        <v>0.0001</v>
      </c>
      <c r="F2550" s="748" t="n">
        <v>109120</v>
      </c>
      <c r="G2550" s="727" t="n">
        <f aca="false">E2550*F2550</f>
        <v>10.912</v>
      </c>
      <c r="H2550" s="392"/>
    </row>
    <row r="2551" customFormat="false" ht="15" hidden="false" customHeight="false" outlineLevel="0" collapsed="false">
      <c r="A2551" s="707"/>
      <c r="B2551" s="522"/>
      <c r="C2551" s="743" t="s">
        <v>4611</v>
      </c>
      <c r="D2551" s="757" t="s">
        <v>4133</v>
      </c>
      <c r="E2551" s="744" t="n">
        <v>0.05</v>
      </c>
      <c r="F2551" s="721" t="n">
        <v>720</v>
      </c>
      <c r="G2551" s="727" t="n">
        <f aca="false">E2551*F2551</f>
        <v>36</v>
      </c>
      <c r="H2551" s="392"/>
    </row>
    <row r="2552" customFormat="false" ht="15" hidden="false" customHeight="false" outlineLevel="0" collapsed="false">
      <c r="A2552" s="707"/>
      <c r="B2552" s="522"/>
      <c r="C2552" s="532" t="s">
        <v>4640</v>
      </c>
      <c r="D2552" s="757" t="s">
        <v>4133</v>
      </c>
      <c r="E2552" s="758" t="n">
        <v>0.04</v>
      </c>
      <c r="F2552" s="721" t="n">
        <v>710</v>
      </c>
      <c r="G2552" s="727" t="n">
        <f aca="false">E2552*F2552</f>
        <v>28.4</v>
      </c>
      <c r="H2552" s="392"/>
    </row>
    <row r="2553" customFormat="false" ht="15" hidden="false" customHeight="false" outlineLevel="0" collapsed="false">
      <c r="A2553" s="707"/>
      <c r="B2553" s="522"/>
      <c r="C2553" s="709" t="s">
        <v>4124</v>
      </c>
      <c r="D2553" s="679" t="s">
        <v>4516</v>
      </c>
      <c r="E2553" s="715" t="n">
        <v>0.06</v>
      </c>
      <c r="F2553" s="369" t="n">
        <v>120</v>
      </c>
      <c r="G2553" s="727" t="n">
        <f aca="false">E2553*F2553</f>
        <v>7.2</v>
      </c>
      <c r="H2553" s="392"/>
    </row>
    <row r="2554" customFormat="false" ht="15" hidden="false" customHeight="false" outlineLevel="0" collapsed="false">
      <c r="A2554" s="707"/>
      <c r="B2554" s="522"/>
      <c r="C2554" s="709" t="s">
        <v>4515</v>
      </c>
      <c r="D2554" s="679" t="s">
        <v>4133</v>
      </c>
      <c r="E2554" s="710" t="n">
        <v>0.015</v>
      </c>
      <c r="F2554" s="369" t="n">
        <v>2700</v>
      </c>
      <c r="G2554" s="727" t="n">
        <f aca="false">E2554*F2554</f>
        <v>40.5</v>
      </c>
      <c r="H2554" s="392"/>
    </row>
    <row r="2555" customFormat="false" ht="15" hidden="false" customHeight="false" outlineLevel="0" collapsed="false">
      <c r="A2555" s="707"/>
      <c r="B2555" s="708" t="s">
        <v>4128</v>
      </c>
      <c r="C2555" s="718"/>
      <c r="D2555" s="719"/>
      <c r="E2555" s="722"/>
      <c r="F2555" s="366"/>
      <c r="G2555" s="711" t="n">
        <f aca="false">SUM(G2544:G2554)</f>
        <v>1535.762</v>
      </c>
      <c r="H2555" s="392"/>
    </row>
    <row r="2556" customFormat="false" ht="30" hidden="false" customHeight="false" outlineLevel="0" collapsed="false">
      <c r="A2556" s="707" t="s">
        <v>4721</v>
      </c>
      <c r="B2556" s="487" t="s">
        <v>3069</v>
      </c>
      <c r="C2556" s="532" t="s">
        <v>4665</v>
      </c>
      <c r="D2556" s="679" t="s">
        <v>4555</v>
      </c>
      <c r="E2556" s="726" t="n">
        <v>0.01</v>
      </c>
      <c r="F2556" s="721" t="n">
        <v>108000</v>
      </c>
      <c r="G2556" s="727" t="n">
        <f aca="false">E2556*F2556</f>
        <v>1080</v>
      </c>
      <c r="H2556" s="392"/>
    </row>
    <row r="2557" customFormat="false" ht="15" hidden="false" customHeight="false" outlineLevel="0" collapsed="false">
      <c r="A2557" s="707"/>
      <c r="B2557" s="522"/>
      <c r="C2557" s="471" t="s">
        <v>4189</v>
      </c>
      <c r="D2557" s="728" t="s">
        <v>4133</v>
      </c>
      <c r="E2557" s="726" t="n">
        <v>0.025</v>
      </c>
      <c r="F2557" s="729" t="n">
        <v>3500</v>
      </c>
      <c r="G2557" s="727" t="n">
        <f aca="false">E2557*F2557</f>
        <v>87.5</v>
      </c>
      <c r="H2557" s="392"/>
    </row>
    <row r="2558" customFormat="false" ht="15" hidden="false" customHeight="false" outlineLevel="0" collapsed="false">
      <c r="A2558" s="707"/>
      <c r="B2558" s="522"/>
      <c r="C2558" s="325" t="s">
        <v>4556</v>
      </c>
      <c r="D2558" s="728" t="s">
        <v>4133</v>
      </c>
      <c r="E2558" s="726" t="n">
        <v>0.05</v>
      </c>
      <c r="F2558" s="723" t="n">
        <v>3612</v>
      </c>
      <c r="G2558" s="727" t="n">
        <f aca="false">E2558*F2558</f>
        <v>180.6</v>
      </c>
      <c r="H2558" s="392"/>
    </row>
    <row r="2559" customFormat="false" ht="15" hidden="false" customHeight="false" outlineLevel="0" collapsed="false">
      <c r="A2559" s="707"/>
      <c r="B2559" s="522"/>
      <c r="C2559" s="532" t="s">
        <v>4557</v>
      </c>
      <c r="D2559" s="728" t="s">
        <v>4133</v>
      </c>
      <c r="E2559" s="726" t="n">
        <v>0.06</v>
      </c>
      <c r="F2559" s="369" t="n">
        <v>1750</v>
      </c>
      <c r="G2559" s="727" t="n">
        <f aca="false">E2559*F2559</f>
        <v>105</v>
      </c>
      <c r="H2559" s="392"/>
    </row>
    <row r="2560" customFormat="false" ht="15" hidden="false" customHeight="false" outlineLevel="0" collapsed="false">
      <c r="A2560" s="707"/>
      <c r="B2560" s="522"/>
      <c r="C2560" s="532" t="s">
        <v>4564</v>
      </c>
      <c r="D2560" s="728" t="s">
        <v>4133</v>
      </c>
      <c r="E2560" s="726" t="n">
        <v>0.01</v>
      </c>
      <c r="F2560" s="721" t="n">
        <v>3500</v>
      </c>
      <c r="G2560" s="727" t="n">
        <f aca="false">E2560*F2560</f>
        <v>35</v>
      </c>
      <c r="H2560" s="392"/>
    </row>
    <row r="2561" customFormat="false" ht="60" hidden="false" customHeight="false" outlineLevel="0" collapsed="false">
      <c r="A2561" s="707"/>
      <c r="B2561" s="522"/>
      <c r="C2561" s="532" t="s">
        <v>4603</v>
      </c>
      <c r="D2561" s="679" t="s">
        <v>4559</v>
      </c>
      <c r="E2561" s="733" t="n">
        <v>0.02</v>
      </c>
      <c r="F2561" s="721" t="n">
        <v>7500</v>
      </c>
      <c r="G2561" s="727" t="n">
        <f aca="false">E2561*F2561</f>
        <v>150</v>
      </c>
      <c r="H2561" s="392"/>
    </row>
    <row r="2562" customFormat="false" ht="30" hidden="false" customHeight="false" outlineLevel="0" collapsed="false">
      <c r="A2562" s="707"/>
      <c r="B2562" s="522"/>
      <c r="C2562" s="532" t="s">
        <v>4560</v>
      </c>
      <c r="D2562" s="728" t="s">
        <v>4348</v>
      </c>
      <c r="E2562" s="679" t="n">
        <v>5</v>
      </c>
      <c r="F2562" s="729" t="n">
        <v>5.1</v>
      </c>
      <c r="G2562" s="727" t="n">
        <f aca="false">E2562*F2562</f>
        <v>25.5</v>
      </c>
      <c r="H2562" s="392"/>
    </row>
    <row r="2563" customFormat="false" ht="15" hidden="false" customHeight="false" outlineLevel="0" collapsed="false">
      <c r="A2563" s="707"/>
      <c r="B2563" s="522"/>
      <c r="C2563" s="709" t="s">
        <v>4124</v>
      </c>
      <c r="D2563" s="679" t="s">
        <v>4516</v>
      </c>
      <c r="E2563" s="542" t="n">
        <v>1.5</v>
      </c>
      <c r="F2563" s="369" t="n">
        <v>120</v>
      </c>
      <c r="G2563" s="727" t="n">
        <f aca="false">E2563*F2563</f>
        <v>180</v>
      </c>
      <c r="H2563" s="392"/>
    </row>
    <row r="2564" customFormat="false" ht="15" hidden="false" customHeight="false" outlineLevel="0" collapsed="false">
      <c r="A2564" s="707"/>
      <c r="B2564" s="708" t="s">
        <v>4128</v>
      </c>
      <c r="C2564" s="709"/>
      <c r="D2564" s="679"/>
      <c r="E2564" s="710"/>
      <c r="F2564" s="369"/>
      <c r="G2564" s="711" t="n">
        <f aca="false">SUM(G2556:G2563)</f>
        <v>1843.6</v>
      </c>
      <c r="H2564" s="392"/>
    </row>
    <row r="2565" customFormat="false" ht="15" hidden="false" customHeight="false" outlineLevel="0" collapsed="false">
      <c r="A2565" s="707" t="s">
        <v>4722</v>
      </c>
      <c r="B2565" s="487" t="s">
        <v>4723</v>
      </c>
      <c r="C2565" s="532" t="s">
        <v>4666</v>
      </c>
      <c r="D2565" s="679" t="s">
        <v>4555</v>
      </c>
      <c r="E2565" s="733" t="n">
        <v>0.01</v>
      </c>
      <c r="F2565" s="721" t="n">
        <v>114000</v>
      </c>
      <c r="G2565" s="727" t="n">
        <f aca="false">E2565*F2565</f>
        <v>1140</v>
      </c>
      <c r="H2565" s="392"/>
    </row>
    <row r="2566" customFormat="false" ht="15" hidden="false" customHeight="false" outlineLevel="0" collapsed="false">
      <c r="A2566" s="707"/>
      <c r="B2566" s="522"/>
      <c r="C2566" s="471" t="s">
        <v>4189</v>
      </c>
      <c r="D2566" s="728" t="s">
        <v>4133</v>
      </c>
      <c r="E2566" s="733" t="n">
        <v>0.1</v>
      </c>
      <c r="F2566" s="729" t="n">
        <v>3500</v>
      </c>
      <c r="G2566" s="727" t="n">
        <f aca="false">E2566*F2566</f>
        <v>350</v>
      </c>
      <c r="H2566" s="679"/>
    </row>
    <row r="2567" customFormat="false" ht="15" hidden="false" customHeight="false" outlineLevel="0" collapsed="false">
      <c r="A2567" s="707"/>
      <c r="B2567" s="522"/>
      <c r="C2567" s="532" t="s">
        <v>4557</v>
      </c>
      <c r="D2567" s="728" t="s">
        <v>4133</v>
      </c>
      <c r="E2567" s="733" t="n">
        <v>0.1</v>
      </c>
      <c r="F2567" s="369" t="n">
        <v>1750</v>
      </c>
      <c r="G2567" s="727" t="n">
        <f aca="false">E2567*F2567</f>
        <v>175</v>
      </c>
      <c r="H2567" s="679"/>
    </row>
    <row r="2568" customFormat="false" ht="15" hidden="false" customHeight="false" outlineLevel="0" collapsed="false">
      <c r="A2568" s="707"/>
      <c r="B2568" s="522"/>
      <c r="C2568" s="325" t="s">
        <v>4556</v>
      </c>
      <c r="D2568" s="728" t="s">
        <v>4133</v>
      </c>
      <c r="E2568" s="733" t="n">
        <v>0.1</v>
      </c>
      <c r="F2568" s="723" t="n">
        <v>3612</v>
      </c>
      <c r="G2568" s="727" t="n">
        <f aca="false">E2568*F2568</f>
        <v>361.2</v>
      </c>
      <c r="H2568" s="679"/>
    </row>
    <row r="2569" customFormat="false" ht="15" hidden="false" customHeight="false" outlineLevel="0" collapsed="false">
      <c r="A2569" s="707"/>
      <c r="B2569" s="522"/>
      <c r="C2569" s="532" t="s">
        <v>4564</v>
      </c>
      <c r="D2569" s="728" t="s">
        <v>4133</v>
      </c>
      <c r="E2569" s="733" t="n">
        <v>0.01</v>
      </c>
      <c r="F2569" s="721" t="n">
        <v>3500</v>
      </c>
      <c r="G2569" s="727" t="n">
        <f aca="false">E2569*F2569</f>
        <v>35</v>
      </c>
      <c r="H2569" s="679"/>
    </row>
    <row r="2570" customFormat="false" ht="15" hidden="false" customHeight="false" outlineLevel="0" collapsed="false">
      <c r="A2570" s="707"/>
      <c r="B2570" s="522"/>
      <c r="C2570" s="532" t="s">
        <v>4667</v>
      </c>
      <c r="D2570" s="728" t="s">
        <v>4133</v>
      </c>
      <c r="E2570" s="726" t="n">
        <v>0.008</v>
      </c>
      <c r="F2570" s="721" t="n">
        <v>134200</v>
      </c>
      <c r="G2570" s="727" t="n">
        <f aca="false">E2570*F2570</f>
        <v>1073.6</v>
      </c>
      <c r="H2570" s="679"/>
    </row>
    <row r="2571" customFormat="false" ht="15" hidden="false" customHeight="false" outlineLevel="0" collapsed="false">
      <c r="A2571" s="707"/>
      <c r="B2571" s="522"/>
      <c r="C2571" s="532" t="s">
        <v>4668</v>
      </c>
      <c r="D2571" s="728" t="s">
        <v>4133</v>
      </c>
      <c r="E2571" s="733" t="n">
        <v>0.01</v>
      </c>
      <c r="F2571" s="721" t="n">
        <v>710</v>
      </c>
      <c r="G2571" s="727" t="n">
        <f aca="false">E2571*F2571</f>
        <v>7.1</v>
      </c>
      <c r="H2571" s="679"/>
    </row>
    <row r="2572" customFormat="false" ht="15" hidden="false" customHeight="false" outlineLevel="0" collapsed="false">
      <c r="A2572" s="707"/>
      <c r="B2572" s="522"/>
      <c r="C2572" s="709" t="s">
        <v>4515</v>
      </c>
      <c r="D2572" s="679" t="s">
        <v>4133</v>
      </c>
      <c r="E2572" s="730" t="n">
        <v>0.06</v>
      </c>
      <c r="F2572" s="369" t="n">
        <v>2700</v>
      </c>
      <c r="G2572" s="727" t="n">
        <f aca="false">E2572*F2572</f>
        <v>162</v>
      </c>
      <c r="H2572" s="679"/>
    </row>
    <row r="2573" customFormat="false" ht="15" hidden="false" customHeight="false" outlineLevel="0" collapsed="false">
      <c r="A2573" s="707"/>
      <c r="B2573" s="522"/>
      <c r="C2573" s="709" t="s">
        <v>4124</v>
      </c>
      <c r="D2573" s="679" t="s">
        <v>4516</v>
      </c>
      <c r="E2573" s="730" t="n">
        <v>1</v>
      </c>
      <c r="F2573" s="369" t="n">
        <v>120</v>
      </c>
      <c r="G2573" s="727" t="n">
        <f aca="false">E2573*F2573</f>
        <v>120</v>
      </c>
      <c r="H2573" s="679"/>
    </row>
    <row r="2574" customFormat="false" ht="15" hidden="false" customHeight="false" outlineLevel="0" collapsed="false">
      <c r="A2574" s="707"/>
      <c r="B2574" s="522"/>
      <c r="C2574" s="709" t="s">
        <v>4586</v>
      </c>
      <c r="D2574" s="679" t="s">
        <v>4578</v>
      </c>
      <c r="E2574" s="730" t="n">
        <v>0.01</v>
      </c>
      <c r="F2574" s="369" t="n">
        <v>27000</v>
      </c>
      <c r="G2574" s="727" t="n">
        <f aca="false">E2574*F2574</f>
        <v>270</v>
      </c>
      <c r="H2574" s="679"/>
    </row>
    <row r="2575" customFormat="false" ht="15" hidden="false" customHeight="false" outlineLevel="0" collapsed="false">
      <c r="A2575" s="707"/>
      <c r="B2575" s="708" t="s">
        <v>4128</v>
      </c>
      <c r="C2575" s="709"/>
      <c r="D2575" s="679"/>
      <c r="E2575" s="710"/>
      <c r="F2575" s="369"/>
      <c r="G2575" s="711" t="n">
        <f aca="false">SUM(G2565:G2574)</f>
        <v>3693.9</v>
      </c>
      <c r="H2575" s="679"/>
    </row>
    <row r="2576" customFormat="false" ht="15" hidden="false" customHeight="false" outlineLevel="0" collapsed="false">
      <c r="A2576" s="707" t="s">
        <v>503</v>
      </c>
      <c r="B2576" s="487" t="s">
        <v>4724</v>
      </c>
      <c r="C2576" s="532" t="s">
        <v>4587</v>
      </c>
      <c r="D2576" s="679" t="s">
        <v>4555</v>
      </c>
      <c r="E2576" s="726" t="n">
        <v>0.01</v>
      </c>
      <c r="F2576" s="721" t="n">
        <v>114000</v>
      </c>
      <c r="G2576" s="727" t="n">
        <f aca="false">E2576*F2576</f>
        <v>1140</v>
      </c>
      <c r="H2576" s="679"/>
    </row>
    <row r="2577" customFormat="false" ht="15" hidden="false" customHeight="false" outlineLevel="0" collapsed="false">
      <c r="A2577" s="707"/>
      <c r="B2577" s="708"/>
      <c r="C2577" s="471" t="s">
        <v>4189</v>
      </c>
      <c r="D2577" s="728" t="s">
        <v>4133</v>
      </c>
      <c r="E2577" s="726" t="n">
        <v>0.025</v>
      </c>
      <c r="F2577" s="729" t="n">
        <v>3500</v>
      </c>
      <c r="G2577" s="727" t="n">
        <f aca="false">E2577*F2577</f>
        <v>87.5</v>
      </c>
      <c r="H2577" s="679"/>
    </row>
    <row r="2578" customFormat="false" ht="15" hidden="false" customHeight="false" outlineLevel="0" collapsed="false">
      <c r="A2578" s="707"/>
      <c r="B2578" s="708"/>
      <c r="C2578" s="532" t="s">
        <v>4557</v>
      </c>
      <c r="D2578" s="728" t="s">
        <v>4133</v>
      </c>
      <c r="E2578" s="726" t="n">
        <v>0.06</v>
      </c>
      <c r="F2578" s="369" t="n">
        <v>1750</v>
      </c>
      <c r="G2578" s="727" t="n">
        <f aca="false">E2578*F2578</f>
        <v>105</v>
      </c>
      <c r="H2578" s="679"/>
    </row>
    <row r="2579" customFormat="false" ht="15" hidden="false" customHeight="false" outlineLevel="0" collapsed="false">
      <c r="A2579" s="707"/>
      <c r="B2579" s="708"/>
      <c r="C2579" s="325" t="s">
        <v>4556</v>
      </c>
      <c r="D2579" s="728" t="s">
        <v>4133</v>
      </c>
      <c r="E2579" s="726" t="n">
        <v>0.008</v>
      </c>
      <c r="F2579" s="723" t="n">
        <v>3612</v>
      </c>
      <c r="G2579" s="727" t="n">
        <f aca="false">E2579*F2579</f>
        <v>28.896</v>
      </c>
      <c r="H2579" s="679"/>
    </row>
    <row r="2580" customFormat="false" ht="15" hidden="false" customHeight="false" outlineLevel="0" collapsed="false">
      <c r="A2580" s="707"/>
      <c r="B2580" s="708"/>
      <c r="C2580" s="532" t="s">
        <v>4588</v>
      </c>
      <c r="D2580" s="728" t="s">
        <v>4133</v>
      </c>
      <c r="E2580" s="726" t="n">
        <v>0.001</v>
      </c>
      <c r="F2580" s="721" t="n">
        <v>15000</v>
      </c>
      <c r="G2580" s="727" t="n">
        <f aca="false">E2580*F2580</f>
        <v>15</v>
      </c>
      <c r="H2580" s="679"/>
    </row>
    <row r="2581" customFormat="false" ht="30" hidden="false" customHeight="false" outlineLevel="0" collapsed="false">
      <c r="A2581" s="707"/>
      <c r="B2581" s="708"/>
      <c r="C2581" s="532" t="s">
        <v>4589</v>
      </c>
      <c r="D2581" s="728" t="s">
        <v>4348</v>
      </c>
      <c r="E2581" s="726" t="n">
        <v>0.0005</v>
      </c>
      <c r="F2581" s="721" t="n">
        <v>77000</v>
      </c>
      <c r="G2581" s="727" t="n">
        <f aca="false">E2581*F2581</f>
        <v>38.5</v>
      </c>
      <c r="H2581" s="679"/>
    </row>
    <row r="2582" customFormat="false" ht="15" hidden="false" customHeight="false" outlineLevel="0" collapsed="false">
      <c r="A2582" s="707"/>
      <c r="B2582" s="708"/>
      <c r="C2582" s="532" t="s">
        <v>4565</v>
      </c>
      <c r="D2582" s="728" t="s">
        <v>4133</v>
      </c>
      <c r="E2582" s="726" t="n">
        <v>0.01</v>
      </c>
      <c r="F2582" s="721" t="n">
        <v>870</v>
      </c>
      <c r="G2582" s="727" t="n">
        <f aca="false">E2582*F2582</f>
        <v>8.7</v>
      </c>
      <c r="H2582" s="679"/>
    </row>
    <row r="2583" customFormat="false" ht="15" hidden="false" customHeight="false" outlineLevel="0" collapsed="false">
      <c r="A2583" s="707"/>
      <c r="B2583" s="708"/>
      <c r="C2583" s="532" t="s">
        <v>4566</v>
      </c>
      <c r="D2583" s="728" t="s">
        <v>4133</v>
      </c>
      <c r="E2583" s="726" t="n">
        <v>0.05</v>
      </c>
      <c r="F2583" s="721" t="n">
        <v>300</v>
      </c>
      <c r="G2583" s="727" t="n">
        <f aca="false">E2583*F2583</f>
        <v>15</v>
      </c>
      <c r="H2583" s="679"/>
    </row>
    <row r="2584" customFormat="false" ht="15" hidden="false" customHeight="false" outlineLevel="0" collapsed="false">
      <c r="A2584" s="707"/>
      <c r="B2584" s="708"/>
      <c r="C2584" s="532" t="s">
        <v>4281</v>
      </c>
      <c r="D2584" s="679" t="s">
        <v>4555</v>
      </c>
      <c r="E2584" s="726" t="n">
        <v>0.008</v>
      </c>
      <c r="F2584" s="721" t="n">
        <v>108000</v>
      </c>
      <c r="G2584" s="727" t="n">
        <f aca="false">E2584*F2584</f>
        <v>864</v>
      </c>
      <c r="H2584" s="679"/>
    </row>
    <row r="2585" customFormat="false" ht="15" hidden="false" customHeight="false" outlineLevel="0" collapsed="false">
      <c r="A2585" s="707"/>
      <c r="B2585" s="708"/>
      <c r="C2585" s="532" t="s">
        <v>4563</v>
      </c>
      <c r="D2585" s="728" t="s">
        <v>4133</v>
      </c>
      <c r="E2585" s="726" t="n">
        <v>0.05</v>
      </c>
      <c r="F2585" s="717" t="n">
        <v>25200</v>
      </c>
      <c r="G2585" s="727" t="n">
        <f aca="false">E2585*F2585</f>
        <v>1260</v>
      </c>
      <c r="H2585" s="679"/>
    </row>
    <row r="2586" customFormat="false" ht="15" hidden="false" customHeight="false" outlineLevel="0" collapsed="false">
      <c r="A2586" s="707"/>
      <c r="B2586" s="708" t="s">
        <v>4128</v>
      </c>
      <c r="C2586" s="709"/>
      <c r="D2586" s="679"/>
      <c r="E2586" s="710"/>
      <c r="F2586" s="369"/>
      <c r="G2586" s="711" t="n">
        <f aca="false">SUM(G2576:G2585)</f>
        <v>3562.596</v>
      </c>
      <c r="H2586" s="679"/>
    </row>
    <row r="2587" customFormat="false" ht="15" hidden="false" customHeight="false" outlineLevel="0" collapsed="false">
      <c r="A2587" s="707" t="s">
        <v>4725</v>
      </c>
      <c r="B2587" s="487" t="s">
        <v>4726</v>
      </c>
      <c r="C2587" s="532" t="s">
        <v>4670</v>
      </c>
      <c r="D2587" s="679" t="s">
        <v>4555</v>
      </c>
      <c r="E2587" s="726" t="n">
        <v>0.01</v>
      </c>
      <c r="F2587" s="721" t="n">
        <v>108000</v>
      </c>
      <c r="G2587" s="727" t="n">
        <f aca="false">E2587*F2587</f>
        <v>1080</v>
      </c>
      <c r="H2587" s="679"/>
    </row>
    <row r="2588" customFormat="false" ht="15" hidden="false" customHeight="false" outlineLevel="0" collapsed="false">
      <c r="A2588" s="707"/>
      <c r="B2588" s="522"/>
      <c r="C2588" s="471" t="s">
        <v>4189</v>
      </c>
      <c r="D2588" s="728" t="s">
        <v>4133</v>
      </c>
      <c r="E2588" s="726" t="n">
        <v>0.1</v>
      </c>
      <c r="F2588" s="729" t="n">
        <v>3500</v>
      </c>
      <c r="G2588" s="727" t="n">
        <f aca="false">E2588*F2588</f>
        <v>350</v>
      </c>
      <c r="H2588" s="679"/>
    </row>
    <row r="2589" customFormat="false" ht="15" hidden="false" customHeight="false" outlineLevel="0" collapsed="false">
      <c r="A2589" s="707"/>
      <c r="B2589" s="522"/>
      <c r="C2589" s="532" t="s">
        <v>4557</v>
      </c>
      <c r="D2589" s="728" t="s">
        <v>4133</v>
      </c>
      <c r="E2589" s="726" t="n">
        <v>0.1</v>
      </c>
      <c r="F2589" s="369" t="n">
        <v>1750</v>
      </c>
      <c r="G2589" s="727" t="n">
        <f aca="false">E2589*F2589</f>
        <v>175</v>
      </c>
      <c r="H2589" s="679"/>
    </row>
    <row r="2590" customFormat="false" ht="15" hidden="false" customHeight="false" outlineLevel="0" collapsed="false">
      <c r="A2590" s="707"/>
      <c r="B2590" s="522"/>
      <c r="C2590" s="325" t="s">
        <v>4556</v>
      </c>
      <c r="D2590" s="728" t="s">
        <v>4133</v>
      </c>
      <c r="E2590" s="726" t="n">
        <v>0.1</v>
      </c>
      <c r="F2590" s="723" t="n">
        <v>3612</v>
      </c>
      <c r="G2590" s="727" t="n">
        <f aca="false">E2590*F2590</f>
        <v>361.2</v>
      </c>
      <c r="H2590" s="679"/>
    </row>
    <row r="2591" customFormat="false" ht="15" hidden="false" customHeight="false" outlineLevel="0" collapsed="false">
      <c r="A2591" s="707"/>
      <c r="B2591" s="522"/>
      <c r="C2591" s="532" t="s">
        <v>4564</v>
      </c>
      <c r="D2591" s="728" t="s">
        <v>4133</v>
      </c>
      <c r="E2591" s="726" t="n">
        <v>0.1</v>
      </c>
      <c r="F2591" s="721" t="n">
        <v>3500</v>
      </c>
      <c r="G2591" s="727" t="n">
        <f aca="false">E2591*F2591</f>
        <v>350</v>
      </c>
      <c r="H2591" s="679"/>
    </row>
    <row r="2592" customFormat="false" ht="15" hidden="false" customHeight="false" outlineLevel="0" collapsed="false">
      <c r="A2592" s="707"/>
      <c r="B2592" s="522"/>
      <c r="C2592" s="532" t="s">
        <v>4667</v>
      </c>
      <c r="D2592" s="728" t="s">
        <v>4133</v>
      </c>
      <c r="E2592" s="726" t="n">
        <v>0.001</v>
      </c>
      <c r="F2592" s="721" t="n">
        <v>134200</v>
      </c>
      <c r="G2592" s="727" t="n">
        <f aca="false">E2592*F2592</f>
        <v>134.2</v>
      </c>
      <c r="H2592" s="679"/>
    </row>
    <row r="2593" customFormat="false" ht="15" hidden="false" customHeight="false" outlineLevel="0" collapsed="false">
      <c r="A2593" s="707"/>
      <c r="B2593" s="522"/>
      <c r="C2593" s="532" t="s">
        <v>4668</v>
      </c>
      <c r="D2593" s="728" t="s">
        <v>4133</v>
      </c>
      <c r="E2593" s="726" t="n">
        <v>0.1</v>
      </c>
      <c r="F2593" s="721" t="n">
        <v>710</v>
      </c>
      <c r="G2593" s="727" t="n">
        <f aca="false">E2593*F2593</f>
        <v>71</v>
      </c>
      <c r="H2593" s="679"/>
    </row>
    <row r="2594" customFormat="false" ht="15" hidden="false" customHeight="false" outlineLevel="0" collapsed="false">
      <c r="A2594" s="707"/>
      <c r="B2594" s="522"/>
      <c r="C2594" s="532" t="s">
        <v>4669</v>
      </c>
      <c r="D2594" s="679" t="s">
        <v>4559</v>
      </c>
      <c r="E2594" s="726" t="n">
        <v>0.02</v>
      </c>
      <c r="F2594" s="721" t="n">
        <v>6440</v>
      </c>
      <c r="G2594" s="727" t="n">
        <f aca="false">E2594*F2594</f>
        <v>128.8</v>
      </c>
      <c r="H2594" s="679"/>
    </row>
    <row r="2595" customFormat="false" ht="15" hidden="false" customHeight="false" outlineLevel="0" collapsed="false">
      <c r="A2595" s="707"/>
      <c r="B2595" s="522"/>
      <c r="C2595" s="709" t="s">
        <v>4515</v>
      </c>
      <c r="D2595" s="679" t="s">
        <v>4133</v>
      </c>
      <c r="E2595" s="710" t="n">
        <v>0.006</v>
      </c>
      <c r="F2595" s="369" t="n">
        <v>2700</v>
      </c>
      <c r="G2595" s="727" t="n">
        <f aca="false">E2595*F2595</f>
        <v>16.2</v>
      </c>
      <c r="H2595" s="679"/>
    </row>
    <row r="2596" customFormat="false" ht="15" hidden="false" customHeight="false" outlineLevel="0" collapsed="false">
      <c r="A2596" s="707"/>
      <c r="B2596" s="522"/>
      <c r="C2596" s="709" t="s">
        <v>4124</v>
      </c>
      <c r="D2596" s="679" t="s">
        <v>4516</v>
      </c>
      <c r="E2596" s="710" t="n">
        <v>0.015</v>
      </c>
      <c r="F2596" s="369" t="n">
        <v>120</v>
      </c>
      <c r="G2596" s="727" t="n">
        <f aca="false">E2596*F2596</f>
        <v>1.8</v>
      </c>
      <c r="H2596" s="679"/>
    </row>
    <row r="2597" customFormat="false" ht="15" hidden="false" customHeight="false" outlineLevel="0" collapsed="false">
      <c r="A2597" s="707"/>
      <c r="B2597" s="522"/>
      <c r="C2597" s="709" t="s">
        <v>4586</v>
      </c>
      <c r="D2597" s="679" t="s">
        <v>4578</v>
      </c>
      <c r="E2597" s="710" t="n">
        <v>0.001</v>
      </c>
      <c r="F2597" s="369" t="n">
        <v>27000</v>
      </c>
      <c r="G2597" s="727" t="n">
        <f aca="false">E2597*F2597</f>
        <v>27</v>
      </c>
      <c r="H2597" s="679"/>
    </row>
    <row r="2598" customFormat="false" ht="15" hidden="false" customHeight="false" outlineLevel="0" collapsed="false">
      <c r="A2598" s="707"/>
      <c r="B2598" s="708" t="s">
        <v>4128</v>
      </c>
      <c r="C2598" s="709"/>
      <c r="D2598" s="679"/>
      <c r="E2598" s="710"/>
      <c r="F2598" s="369"/>
      <c r="G2598" s="711" t="n">
        <f aca="false">SUM(G2587:G2597)</f>
        <v>2695.2</v>
      </c>
      <c r="H2598" s="679"/>
    </row>
    <row r="2599" customFormat="false" ht="15" hidden="false" customHeight="false" outlineLevel="0" collapsed="false">
      <c r="A2599" s="707" t="s">
        <v>507</v>
      </c>
      <c r="B2599" s="487" t="s">
        <v>4727</v>
      </c>
      <c r="C2599" s="532" t="s">
        <v>4596</v>
      </c>
      <c r="D2599" s="679" t="s">
        <v>4555</v>
      </c>
      <c r="E2599" s="726" t="n">
        <v>0.01</v>
      </c>
      <c r="F2599" s="721" t="n">
        <v>108000</v>
      </c>
      <c r="G2599" s="727" t="n">
        <f aca="false">E2599*F2599</f>
        <v>1080</v>
      </c>
      <c r="H2599" s="679"/>
    </row>
    <row r="2600" customFormat="false" ht="15" hidden="false" customHeight="false" outlineLevel="0" collapsed="false">
      <c r="A2600" s="707"/>
      <c r="B2600" s="708"/>
      <c r="C2600" s="471" t="s">
        <v>4189</v>
      </c>
      <c r="D2600" s="728" t="s">
        <v>4133</v>
      </c>
      <c r="E2600" s="726" t="n">
        <v>0.025</v>
      </c>
      <c r="F2600" s="729" t="n">
        <v>3500</v>
      </c>
      <c r="G2600" s="727" t="n">
        <f aca="false">E2600*F2600</f>
        <v>87.5</v>
      </c>
      <c r="H2600" s="679"/>
    </row>
    <row r="2601" customFormat="false" ht="15" hidden="false" customHeight="false" outlineLevel="0" collapsed="false">
      <c r="A2601" s="707"/>
      <c r="B2601" s="708"/>
      <c r="C2601" s="532" t="s">
        <v>4557</v>
      </c>
      <c r="D2601" s="728" t="s">
        <v>4133</v>
      </c>
      <c r="E2601" s="726" t="n">
        <v>0.06</v>
      </c>
      <c r="F2601" s="369" t="n">
        <v>1750</v>
      </c>
      <c r="G2601" s="727" t="n">
        <f aca="false">E2601*F2601</f>
        <v>105</v>
      </c>
      <c r="H2601" s="679"/>
    </row>
    <row r="2602" customFormat="false" ht="15" hidden="false" customHeight="false" outlineLevel="0" collapsed="false">
      <c r="A2602" s="707"/>
      <c r="B2602" s="708"/>
      <c r="C2602" s="325" t="s">
        <v>4556</v>
      </c>
      <c r="D2602" s="728" t="s">
        <v>4133</v>
      </c>
      <c r="E2602" s="726" t="n">
        <v>0.008</v>
      </c>
      <c r="F2602" s="723" t="n">
        <v>3612</v>
      </c>
      <c r="G2602" s="727" t="n">
        <f aca="false">E2602*F2602</f>
        <v>28.896</v>
      </c>
      <c r="H2602" s="679"/>
    </row>
    <row r="2603" customFormat="false" ht="15" hidden="false" customHeight="false" outlineLevel="0" collapsed="false">
      <c r="A2603" s="707"/>
      <c r="B2603" s="708"/>
      <c r="C2603" s="532" t="s">
        <v>4588</v>
      </c>
      <c r="D2603" s="728" t="s">
        <v>4133</v>
      </c>
      <c r="E2603" s="726" t="n">
        <v>0.001</v>
      </c>
      <c r="F2603" s="721" t="n">
        <v>15000</v>
      </c>
      <c r="G2603" s="727" t="n">
        <f aca="false">E2603*F2603</f>
        <v>15</v>
      </c>
      <c r="H2603" s="679"/>
    </row>
    <row r="2604" customFormat="false" ht="30" hidden="false" customHeight="false" outlineLevel="0" collapsed="false">
      <c r="A2604" s="707"/>
      <c r="B2604" s="708"/>
      <c r="C2604" s="532" t="s">
        <v>4589</v>
      </c>
      <c r="D2604" s="728" t="s">
        <v>4348</v>
      </c>
      <c r="E2604" s="726" t="n">
        <v>0.01</v>
      </c>
      <c r="F2604" s="721" t="n">
        <v>3900</v>
      </c>
      <c r="G2604" s="727" t="n">
        <f aca="false">E2604*F2604</f>
        <v>39</v>
      </c>
      <c r="H2604" s="679"/>
    </row>
    <row r="2605" customFormat="false" ht="15" hidden="false" customHeight="false" outlineLevel="0" collapsed="false">
      <c r="A2605" s="707"/>
      <c r="B2605" s="708"/>
      <c r="C2605" s="532" t="s">
        <v>4565</v>
      </c>
      <c r="D2605" s="728" t="s">
        <v>4133</v>
      </c>
      <c r="E2605" s="726" t="n">
        <v>0.01</v>
      </c>
      <c r="F2605" s="721" t="n">
        <v>870</v>
      </c>
      <c r="G2605" s="727" t="n">
        <f aca="false">E2605*F2605</f>
        <v>8.7</v>
      </c>
      <c r="H2605" s="679"/>
    </row>
    <row r="2606" customFormat="false" ht="15" hidden="false" customHeight="false" outlineLevel="0" collapsed="false">
      <c r="A2606" s="707"/>
      <c r="B2606" s="708"/>
      <c r="C2606" s="532" t="s">
        <v>4566</v>
      </c>
      <c r="D2606" s="728" t="s">
        <v>4133</v>
      </c>
      <c r="E2606" s="726" t="n">
        <v>0.05</v>
      </c>
      <c r="F2606" s="721" t="n">
        <v>300</v>
      </c>
      <c r="G2606" s="727" t="n">
        <f aca="false">E2606*F2606</f>
        <v>15</v>
      </c>
      <c r="H2606" s="679"/>
    </row>
    <row r="2607" customFormat="false" ht="15" hidden="false" customHeight="false" outlineLevel="0" collapsed="false">
      <c r="A2607" s="707"/>
      <c r="B2607" s="708"/>
      <c r="C2607" s="532" t="s">
        <v>4281</v>
      </c>
      <c r="D2607" s="679" t="s">
        <v>4555</v>
      </c>
      <c r="E2607" s="726" t="n">
        <v>0.01</v>
      </c>
      <c r="F2607" s="721" t="n">
        <v>108000</v>
      </c>
      <c r="G2607" s="727" t="n">
        <f aca="false">E2607*F2607</f>
        <v>1080</v>
      </c>
      <c r="H2607" s="679"/>
    </row>
    <row r="2608" customFormat="false" ht="15" hidden="false" customHeight="false" outlineLevel="0" collapsed="false">
      <c r="A2608" s="707"/>
      <c r="B2608" s="708"/>
      <c r="C2608" s="532" t="s">
        <v>4563</v>
      </c>
      <c r="D2608" s="728" t="s">
        <v>4133</v>
      </c>
      <c r="E2608" s="726" t="n">
        <v>0.04</v>
      </c>
      <c r="F2608" s="717" t="n">
        <v>25200</v>
      </c>
      <c r="G2608" s="727" t="n">
        <f aca="false">E2608*F2608</f>
        <v>1008</v>
      </c>
      <c r="H2608" s="679"/>
    </row>
    <row r="2609" customFormat="false" ht="30" hidden="false" customHeight="false" outlineLevel="0" collapsed="false">
      <c r="A2609" s="707"/>
      <c r="B2609" s="708"/>
      <c r="C2609" s="532" t="s">
        <v>4590</v>
      </c>
      <c r="D2609" s="728" t="s">
        <v>4559</v>
      </c>
      <c r="E2609" s="726" t="n">
        <v>0.02</v>
      </c>
      <c r="F2609" s="721" t="n">
        <v>3250</v>
      </c>
      <c r="G2609" s="727" t="n">
        <f aca="false">E2609*F2609</f>
        <v>65</v>
      </c>
      <c r="H2609" s="679"/>
    </row>
    <row r="2610" customFormat="false" ht="45" hidden="false" customHeight="false" outlineLevel="0" collapsed="false">
      <c r="A2610" s="707"/>
      <c r="B2610" s="708"/>
      <c r="C2610" s="532" t="s">
        <v>4591</v>
      </c>
      <c r="D2610" s="728" t="s">
        <v>4348</v>
      </c>
      <c r="E2610" s="679" t="n">
        <v>5</v>
      </c>
      <c r="F2610" s="729" t="n">
        <v>5.1</v>
      </c>
      <c r="G2610" s="727" t="n">
        <f aca="false">E2610*F2610</f>
        <v>25.5</v>
      </c>
      <c r="H2610" s="679"/>
    </row>
    <row r="2611" customFormat="false" ht="15" hidden="false" customHeight="false" outlineLevel="0" collapsed="false">
      <c r="A2611" s="707"/>
      <c r="B2611" s="708" t="s">
        <v>4128</v>
      </c>
      <c r="C2611" s="532"/>
      <c r="D2611" s="728"/>
      <c r="E2611" s="679"/>
      <c r="F2611" s="729"/>
      <c r="G2611" s="735" t="n">
        <f aca="false">SUM(G2599:G2610)</f>
        <v>3557.596</v>
      </c>
      <c r="H2611" s="679"/>
    </row>
    <row r="2612" customFormat="false" ht="30" hidden="false" customHeight="false" outlineLevel="0" collapsed="false">
      <c r="A2612" s="707" t="s">
        <v>509</v>
      </c>
      <c r="B2612" s="487" t="s">
        <v>3088</v>
      </c>
      <c r="C2612" s="532" t="s">
        <v>4564</v>
      </c>
      <c r="D2612" s="728" t="s">
        <v>4133</v>
      </c>
      <c r="E2612" s="726" t="n">
        <v>0.1</v>
      </c>
      <c r="F2612" s="721" t="n">
        <v>3500</v>
      </c>
      <c r="G2612" s="727" t="n">
        <f aca="false">E2612*F2612</f>
        <v>350</v>
      </c>
      <c r="H2612" s="679"/>
    </row>
    <row r="2613" customFormat="false" ht="15" hidden="false" customHeight="false" outlineLevel="0" collapsed="false">
      <c r="A2613" s="707"/>
      <c r="B2613" s="522"/>
      <c r="C2613" s="762" t="s">
        <v>4728</v>
      </c>
      <c r="D2613" s="728" t="s">
        <v>4133</v>
      </c>
      <c r="E2613" s="726" t="n">
        <v>0.01</v>
      </c>
      <c r="F2613" s="369" t="n">
        <v>34100</v>
      </c>
      <c r="G2613" s="727" t="n">
        <f aca="false">E2613*F2613</f>
        <v>341</v>
      </c>
      <c r="H2613" s="679"/>
    </row>
    <row r="2614" customFormat="false" ht="15" hidden="false" customHeight="false" outlineLevel="0" collapsed="false">
      <c r="A2614" s="707"/>
      <c r="B2614" s="522"/>
      <c r="C2614" s="762" t="s">
        <v>4729</v>
      </c>
      <c r="D2614" s="728" t="s">
        <v>4133</v>
      </c>
      <c r="E2614" s="726" t="n">
        <v>0.01</v>
      </c>
      <c r="F2614" s="721" t="n">
        <v>900</v>
      </c>
      <c r="G2614" s="727" t="n">
        <f aca="false">E2614*F2614</f>
        <v>9</v>
      </c>
      <c r="H2614" s="679"/>
    </row>
    <row r="2615" customFormat="false" ht="15" hidden="false" customHeight="false" outlineLevel="0" collapsed="false">
      <c r="A2615" s="707"/>
      <c r="B2615" s="522"/>
      <c r="C2615" s="762" t="s">
        <v>4541</v>
      </c>
      <c r="D2615" s="728" t="s">
        <v>4133</v>
      </c>
      <c r="E2615" s="726" t="n">
        <v>0.01</v>
      </c>
      <c r="F2615" s="721" t="n">
        <v>710</v>
      </c>
      <c r="G2615" s="727" t="n">
        <f aca="false">E2615*F2615</f>
        <v>7.1</v>
      </c>
      <c r="H2615" s="679"/>
    </row>
    <row r="2616" customFormat="false" ht="15" hidden="false" customHeight="false" outlineLevel="0" collapsed="false">
      <c r="A2616" s="707"/>
      <c r="B2616" s="522"/>
      <c r="C2616" s="532" t="s">
        <v>4377</v>
      </c>
      <c r="D2616" s="728" t="s">
        <v>4133</v>
      </c>
      <c r="E2616" s="745" t="n">
        <v>0.01</v>
      </c>
      <c r="F2616" s="369" t="n">
        <v>3500</v>
      </c>
      <c r="G2616" s="727" t="n">
        <f aca="false">E2616*F2616</f>
        <v>35</v>
      </c>
      <c r="H2616" s="679"/>
    </row>
    <row r="2617" customFormat="false" ht="15" hidden="false" customHeight="false" outlineLevel="0" collapsed="false">
      <c r="A2617" s="707"/>
      <c r="B2617" s="522"/>
      <c r="C2617" s="762" t="s">
        <v>4730</v>
      </c>
      <c r="D2617" s="728" t="s">
        <v>4133</v>
      </c>
      <c r="E2617" s="726" t="n">
        <v>0.001</v>
      </c>
      <c r="F2617" s="721" t="n">
        <v>22429</v>
      </c>
      <c r="G2617" s="727" t="n">
        <f aca="false">E2617*F2617</f>
        <v>22.429</v>
      </c>
      <c r="H2617" s="679"/>
    </row>
    <row r="2618" customFormat="false" ht="15" hidden="false" customHeight="false" outlineLevel="0" collapsed="false">
      <c r="A2618" s="707"/>
      <c r="B2618" s="522"/>
      <c r="C2618" s="762" t="s">
        <v>4613</v>
      </c>
      <c r="D2618" s="728" t="s">
        <v>4133</v>
      </c>
      <c r="E2618" s="726" t="n">
        <v>0.02</v>
      </c>
      <c r="F2618" s="721" t="n">
        <v>1900</v>
      </c>
      <c r="G2618" s="727" t="n">
        <f aca="false">E2618*F2618</f>
        <v>38</v>
      </c>
      <c r="H2618" s="679"/>
    </row>
    <row r="2619" customFormat="false" ht="15" hidden="false" customHeight="false" outlineLevel="0" collapsed="false">
      <c r="A2619" s="707"/>
      <c r="B2619" s="522"/>
      <c r="C2619" s="762" t="s">
        <v>4731</v>
      </c>
      <c r="D2619" s="728" t="s">
        <v>4133</v>
      </c>
      <c r="E2619" s="726" t="n">
        <v>0.04</v>
      </c>
      <c r="F2619" s="721" t="n">
        <v>2090</v>
      </c>
      <c r="G2619" s="727" t="n">
        <f aca="false">E2619*F2619</f>
        <v>83.6</v>
      </c>
      <c r="H2619" s="679"/>
    </row>
    <row r="2620" customFormat="false" ht="15" hidden="false" customHeight="false" outlineLevel="0" collapsed="false">
      <c r="A2620" s="707"/>
      <c r="B2620" s="522"/>
      <c r="C2620" s="762" t="s">
        <v>4732</v>
      </c>
      <c r="D2620" s="728" t="s">
        <v>4133</v>
      </c>
      <c r="E2620" s="726" t="n">
        <v>0.045</v>
      </c>
      <c r="F2620" s="369" t="n">
        <v>1900</v>
      </c>
      <c r="G2620" s="727" t="n">
        <f aca="false">E2620*F2620</f>
        <v>85.5</v>
      </c>
      <c r="H2620" s="679"/>
    </row>
    <row r="2621" customFormat="false" ht="30" hidden="false" customHeight="false" outlineLevel="0" collapsed="false">
      <c r="A2621" s="707"/>
      <c r="B2621" s="522"/>
      <c r="C2621" s="762" t="s">
        <v>4733</v>
      </c>
      <c r="D2621" s="728" t="s">
        <v>4133</v>
      </c>
      <c r="E2621" s="726" t="n">
        <v>0.004</v>
      </c>
      <c r="F2621" s="721" t="n">
        <v>54120</v>
      </c>
      <c r="G2621" s="727" t="n">
        <f aca="false">E2621*F2621</f>
        <v>216.48</v>
      </c>
      <c r="H2621" s="679"/>
    </row>
    <row r="2622" customFormat="false" ht="15" hidden="false" customHeight="false" outlineLevel="0" collapsed="false">
      <c r="A2622" s="707"/>
      <c r="B2622" s="522"/>
      <c r="C2622" s="762" t="s">
        <v>4734</v>
      </c>
      <c r="D2622" s="728" t="s">
        <v>4133</v>
      </c>
      <c r="E2622" s="679" t="n">
        <v>5</v>
      </c>
      <c r="F2622" s="729" t="n">
        <v>5.1</v>
      </c>
      <c r="G2622" s="727" t="n">
        <f aca="false">E2622*F2622</f>
        <v>25.5</v>
      </c>
      <c r="H2622" s="679"/>
    </row>
    <row r="2623" customFormat="false" ht="15" hidden="false" customHeight="false" outlineLevel="0" collapsed="false">
      <c r="A2623" s="707"/>
      <c r="B2623" s="522"/>
      <c r="C2623" s="709" t="s">
        <v>4515</v>
      </c>
      <c r="D2623" s="679" t="s">
        <v>4133</v>
      </c>
      <c r="E2623" s="710" t="n">
        <v>0.06</v>
      </c>
      <c r="F2623" s="369" t="n">
        <v>2700</v>
      </c>
      <c r="G2623" s="727" t="n">
        <f aca="false">E2623*F2623</f>
        <v>162</v>
      </c>
      <c r="H2623" s="679"/>
    </row>
    <row r="2624" customFormat="false" ht="15" hidden="false" customHeight="false" outlineLevel="0" collapsed="false">
      <c r="A2624" s="707"/>
      <c r="B2624" s="522"/>
      <c r="C2624" s="709" t="s">
        <v>4124</v>
      </c>
      <c r="D2624" s="679" t="s">
        <v>4516</v>
      </c>
      <c r="E2624" s="710" t="n">
        <v>1.5</v>
      </c>
      <c r="F2624" s="369" t="n">
        <v>120</v>
      </c>
      <c r="G2624" s="727" t="n">
        <f aca="false">E2624*F2624</f>
        <v>180</v>
      </c>
      <c r="H2624" s="679"/>
    </row>
    <row r="2625" customFormat="false" ht="15" hidden="false" customHeight="false" outlineLevel="0" collapsed="false">
      <c r="A2625" s="707"/>
      <c r="B2625" s="708" t="s">
        <v>4128</v>
      </c>
      <c r="C2625" s="718"/>
      <c r="D2625" s="719"/>
      <c r="E2625" s="722"/>
      <c r="F2625" s="366"/>
      <c r="G2625" s="711" t="n">
        <f aca="false">SUM(G2612:G2624)</f>
        <v>1555.609</v>
      </c>
      <c r="H2625" s="679"/>
    </row>
    <row r="2626" customFormat="false" ht="15" hidden="false" customHeight="false" outlineLevel="0" collapsed="false">
      <c r="A2626" s="707" t="s">
        <v>511</v>
      </c>
      <c r="B2626" s="487" t="s">
        <v>3089</v>
      </c>
      <c r="C2626" s="532"/>
      <c r="D2626" s="728"/>
      <c r="E2626" s="759"/>
      <c r="F2626" s="721"/>
      <c r="G2626" s="727"/>
      <c r="H2626" s="679"/>
    </row>
    <row r="2627" customFormat="false" ht="15" hidden="false" customHeight="false" outlineLevel="0" collapsed="false">
      <c r="A2627" s="707"/>
      <c r="B2627" s="522"/>
      <c r="C2627" s="532" t="s">
        <v>4735</v>
      </c>
      <c r="D2627" s="679" t="s">
        <v>4555</v>
      </c>
      <c r="E2627" s="741" t="n">
        <v>1</v>
      </c>
      <c r="F2627" s="721" t="n">
        <v>18000</v>
      </c>
      <c r="G2627" s="727" t="n">
        <f aca="false">E2627*F2627</f>
        <v>18000</v>
      </c>
      <c r="H2627" s="679"/>
    </row>
    <row r="2628" customFormat="false" ht="15" hidden="false" customHeight="false" outlineLevel="0" collapsed="false">
      <c r="A2628" s="707"/>
      <c r="B2628" s="522"/>
      <c r="C2628" s="532" t="s">
        <v>3082</v>
      </c>
      <c r="D2628" s="728" t="s">
        <v>4133</v>
      </c>
      <c r="E2628" s="741" t="n">
        <v>0.02</v>
      </c>
      <c r="F2628" s="724" t="n">
        <v>1500</v>
      </c>
      <c r="G2628" s="727" t="n">
        <f aca="false">E2628*F2628</f>
        <v>30</v>
      </c>
      <c r="H2628" s="679"/>
    </row>
    <row r="2629" customFormat="false" ht="15" hidden="false" customHeight="false" outlineLevel="0" collapsed="false">
      <c r="A2629" s="707"/>
      <c r="B2629" s="522"/>
      <c r="C2629" s="532" t="s">
        <v>4377</v>
      </c>
      <c r="D2629" s="728" t="s">
        <v>4133</v>
      </c>
      <c r="E2629" s="746" t="n">
        <v>0.01</v>
      </c>
      <c r="F2629" s="369" t="n">
        <v>3500</v>
      </c>
      <c r="G2629" s="727" t="n">
        <f aca="false">E2629*F2629</f>
        <v>35</v>
      </c>
      <c r="H2629" s="679"/>
    </row>
    <row r="2630" customFormat="false" ht="15" hidden="false" customHeight="false" outlineLevel="0" collapsed="false">
      <c r="A2630" s="707"/>
      <c r="B2630" s="522"/>
      <c r="C2630" s="532" t="s">
        <v>4541</v>
      </c>
      <c r="D2630" s="728" t="s">
        <v>4133</v>
      </c>
      <c r="E2630" s="741" t="n">
        <v>0.02</v>
      </c>
      <c r="F2630" s="721" t="n">
        <v>710</v>
      </c>
      <c r="G2630" s="727" t="n">
        <f aca="false">E2630*F2630</f>
        <v>14.2</v>
      </c>
      <c r="H2630" s="679"/>
    </row>
    <row r="2631" customFormat="false" ht="15" hidden="false" customHeight="false" outlineLevel="0" collapsed="false">
      <c r="A2631" s="707"/>
      <c r="B2631" s="522"/>
      <c r="C2631" s="325" t="s">
        <v>4556</v>
      </c>
      <c r="D2631" s="728" t="s">
        <v>4133</v>
      </c>
      <c r="E2631" s="741" t="n">
        <v>0.008</v>
      </c>
      <c r="F2631" s="723" t="n">
        <v>3612</v>
      </c>
      <c r="G2631" s="727" t="n">
        <f aca="false">E2631*F2631</f>
        <v>28.896</v>
      </c>
      <c r="H2631" s="679"/>
    </row>
    <row r="2632" customFormat="false" ht="15" hidden="false" customHeight="false" outlineLevel="0" collapsed="false">
      <c r="A2632" s="707"/>
      <c r="B2632" s="522"/>
      <c r="C2632" s="532" t="s">
        <v>4606</v>
      </c>
      <c r="D2632" s="728" t="s">
        <v>4133</v>
      </c>
      <c r="E2632" s="741" t="n">
        <v>0.09</v>
      </c>
      <c r="F2632" s="721" t="n">
        <v>2695</v>
      </c>
      <c r="G2632" s="727" t="n">
        <f aca="false">E2632*F2632</f>
        <v>242.55</v>
      </c>
      <c r="H2632" s="679"/>
    </row>
    <row r="2633" customFormat="false" ht="15" hidden="false" customHeight="false" outlineLevel="0" collapsed="false">
      <c r="A2633" s="707"/>
      <c r="B2633" s="522"/>
      <c r="C2633" s="532" t="s">
        <v>4607</v>
      </c>
      <c r="D2633" s="728" t="s">
        <v>4133</v>
      </c>
      <c r="E2633" s="741" t="n">
        <v>0.01</v>
      </c>
      <c r="F2633" s="721" t="n">
        <v>1200</v>
      </c>
      <c r="G2633" s="727" t="n">
        <f aca="false">E2633*F2633</f>
        <v>12</v>
      </c>
      <c r="H2633" s="679"/>
    </row>
    <row r="2634" customFormat="false" ht="30" hidden="false" customHeight="false" outlineLevel="0" collapsed="false">
      <c r="A2634" s="707"/>
      <c r="B2634" s="522"/>
      <c r="C2634" s="532" t="s">
        <v>4608</v>
      </c>
      <c r="D2634" s="728" t="s">
        <v>4133</v>
      </c>
      <c r="E2634" s="741" t="n">
        <v>0.01</v>
      </c>
      <c r="F2634" s="721" t="n">
        <v>2500</v>
      </c>
      <c r="G2634" s="727" t="n">
        <f aca="false">E2634*F2634</f>
        <v>25</v>
      </c>
      <c r="H2634" s="679"/>
    </row>
    <row r="2635" customFormat="false" ht="15" hidden="false" customHeight="false" outlineLevel="0" collapsed="false">
      <c r="A2635" s="707"/>
      <c r="B2635" s="522"/>
      <c r="C2635" s="532" t="s">
        <v>4609</v>
      </c>
      <c r="D2635" s="728" t="s">
        <v>4133</v>
      </c>
      <c r="E2635" s="741" t="n">
        <v>0.0065</v>
      </c>
      <c r="F2635" s="721" t="n">
        <v>1500</v>
      </c>
      <c r="G2635" s="727" t="n">
        <f aca="false">E2635*F2635</f>
        <v>9.75</v>
      </c>
      <c r="H2635" s="679"/>
    </row>
    <row r="2636" customFormat="false" ht="15" hidden="false" customHeight="false" outlineLevel="0" collapsed="false">
      <c r="A2636" s="707"/>
      <c r="B2636" s="522"/>
      <c r="C2636" s="532" t="s">
        <v>4610</v>
      </c>
      <c r="D2636" s="728" t="s">
        <v>4133</v>
      </c>
      <c r="E2636" s="741" t="n">
        <v>0.05</v>
      </c>
      <c r="F2636" s="721" t="n">
        <v>3600</v>
      </c>
      <c r="G2636" s="727" t="n">
        <f aca="false">E2636*F2636</f>
        <v>180</v>
      </c>
      <c r="H2636" s="679"/>
    </row>
    <row r="2637" customFormat="false" ht="15" hidden="false" customHeight="false" outlineLevel="0" collapsed="false">
      <c r="A2637" s="707"/>
      <c r="B2637" s="522"/>
      <c r="C2637" s="743" t="s">
        <v>4611</v>
      </c>
      <c r="D2637" s="728" t="s">
        <v>4133</v>
      </c>
      <c r="E2637" s="766" t="n">
        <v>0.05</v>
      </c>
      <c r="F2637" s="721" t="n">
        <v>720</v>
      </c>
      <c r="G2637" s="727" t="n">
        <f aca="false">E2637*F2637</f>
        <v>36</v>
      </c>
      <c r="H2637" s="679"/>
    </row>
    <row r="2638" customFormat="false" ht="15" hidden="false" customHeight="false" outlineLevel="0" collapsed="false">
      <c r="A2638" s="707"/>
      <c r="B2638" s="522"/>
      <c r="C2638" s="532" t="s">
        <v>4612</v>
      </c>
      <c r="D2638" s="728" t="s">
        <v>4133</v>
      </c>
      <c r="E2638" s="741" t="n">
        <v>0.005</v>
      </c>
      <c r="F2638" s="721" t="n">
        <v>3000</v>
      </c>
      <c r="G2638" s="727" t="n">
        <f aca="false">E2638*F2638</f>
        <v>15</v>
      </c>
      <c r="H2638" s="679"/>
    </row>
    <row r="2639" customFormat="false" ht="15" hidden="false" customHeight="false" outlineLevel="0" collapsed="false">
      <c r="A2639" s="707"/>
      <c r="B2639" s="522"/>
      <c r="C2639" s="532" t="s">
        <v>4613</v>
      </c>
      <c r="D2639" s="728" t="s">
        <v>4133</v>
      </c>
      <c r="E2639" s="741" t="n">
        <v>0.025</v>
      </c>
      <c r="F2639" s="721" t="n">
        <v>3000</v>
      </c>
      <c r="G2639" s="727" t="n">
        <f aca="false">E2639*F2639</f>
        <v>75</v>
      </c>
      <c r="H2639" s="679"/>
    </row>
    <row r="2640" customFormat="false" ht="15" hidden="false" customHeight="false" outlineLevel="0" collapsed="false">
      <c r="A2640" s="707"/>
      <c r="B2640" s="522"/>
      <c r="C2640" s="471" t="s">
        <v>4250</v>
      </c>
      <c r="D2640" s="728" t="s">
        <v>4133</v>
      </c>
      <c r="E2640" s="741" t="n">
        <v>0.0045</v>
      </c>
      <c r="F2640" s="729" t="n">
        <v>27000</v>
      </c>
      <c r="G2640" s="727" t="n">
        <f aca="false">E2640*F2640</f>
        <v>121.5</v>
      </c>
      <c r="H2640" s="679"/>
    </row>
    <row r="2641" customFormat="false" ht="15" hidden="false" customHeight="false" outlineLevel="0" collapsed="false">
      <c r="A2641" s="707"/>
      <c r="B2641" s="522"/>
      <c r="C2641" s="532" t="s">
        <v>4614</v>
      </c>
      <c r="D2641" s="728" t="s">
        <v>4133</v>
      </c>
      <c r="E2641" s="741" t="n">
        <v>0.08</v>
      </c>
      <c r="F2641" s="724" t="n">
        <v>16500</v>
      </c>
      <c r="G2641" s="727" t="n">
        <f aca="false">E2641*F2641</f>
        <v>1320</v>
      </c>
      <c r="H2641" s="679"/>
    </row>
    <row r="2642" customFormat="false" ht="15" hidden="false" customHeight="false" outlineLevel="0" collapsed="false">
      <c r="A2642" s="707"/>
      <c r="B2642" s="451"/>
      <c r="C2642" s="532" t="s">
        <v>4615</v>
      </c>
      <c r="D2642" s="728" t="s">
        <v>4133</v>
      </c>
      <c r="E2642" s="741" t="n">
        <v>0.05</v>
      </c>
      <c r="F2642" s="721" t="n">
        <v>500</v>
      </c>
      <c r="G2642" s="727" t="n">
        <f aca="false">E2642*F2642</f>
        <v>25</v>
      </c>
      <c r="H2642" s="679"/>
    </row>
    <row r="2643" customFormat="false" ht="15" hidden="false" customHeight="false" outlineLevel="0" collapsed="false">
      <c r="A2643" s="707"/>
      <c r="B2643" s="708" t="s">
        <v>4128</v>
      </c>
      <c r="C2643" s="532"/>
      <c r="D2643" s="728"/>
      <c r="E2643" s="741"/>
      <c r="F2643" s="721"/>
      <c r="G2643" s="760" t="n">
        <f aca="false">SUM(G2627:G2642)</f>
        <v>20169.896</v>
      </c>
      <c r="H2643" s="679"/>
    </row>
    <row r="2644" customFormat="false" ht="30" hidden="false" customHeight="false" outlineLevel="0" collapsed="false">
      <c r="A2644" s="707" t="s">
        <v>513</v>
      </c>
      <c r="B2644" s="487" t="s">
        <v>3090</v>
      </c>
      <c r="C2644" s="471" t="s">
        <v>4617</v>
      </c>
      <c r="D2644" s="679" t="s">
        <v>4555</v>
      </c>
      <c r="E2644" s="746" t="n">
        <v>0.24</v>
      </c>
      <c r="F2644" s="729" t="n">
        <v>81000</v>
      </c>
      <c r="G2644" s="727" t="n">
        <f aca="false">E2644*F2644</f>
        <v>19440</v>
      </c>
      <c r="H2644" s="679"/>
    </row>
    <row r="2645" customFormat="false" ht="15" hidden="false" customHeight="false" outlineLevel="0" collapsed="false">
      <c r="A2645" s="707"/>
      <c r="B2645" s="487"/>
      <c r="C2645" s="471" t="s">
        <v>4317</v>
      </c>
      <c r="D2645" s="679" t="s">
        <v>4392</v>
      </c>
      <c r="E2645" s="746" t="n">
        <v>0.036</v>
      </c>
      <c r="F2645" s="724" t="n">
        <v>16500</v>
      </c>
      <c r="G2645" s="727" t="n">
        <f aca="false">E2645*F2645</f>
        <v>594</v>
      </c>
      <c r="H2645" s="679"/>
    </row>
    <row r="2646" customFormat="false" ht="15" hidden="false" customHeight="false" outlineLevel="0" collapsed="false">
      <c r="A2646" s="707"/>
      <c r="B2646" s="487"/>
      <c r="C2646" s="471" t="s">
        <v>4250</v>
      </c>
      <c r="D2646" s="737" t="s">
        <v>4133</v>
      </c>
      <c r="E2646" s="746" t="n">
        <v>0.01</v>
      </c>
      <c r="F2646" s="729" t="n">
        <v>27000</v>
      </c>
      <c r="G2646" s="727" t="n">
        <f aca="false">E2646*F2646</f>
        <v>270</v>
      </c>
      <c r="H2646" s="679"/>
    </row>
    <row r="2647" customFormat="false" ht="15" hidden="false" customHeight="false" outlineLevel="0" collapsed="false">
      <c r="A2647" s="707"/>
      <c r="B2647" s="487"/>
      <c r="C2647" s="471" t="s">
        <v>4618</v>
      </c>
      <c r="D2647" s="737" t="s">
        <v>4133</v>
      </c>
      <c r="E2647" s="746" t="n">
        <v>0.045</v>
      </c>
      <c r="F2647" s="729" t="n">
        <v>12300</v>
      </c>
      <c r="G2647" s="727" t="n">
        <f aca="false">E2647*F2647</f>
        <v>553.5</v>
      </c>
      <c r="H2647" s="679"/>
    </row>
    <row r="2648" customFormat="false" ht="15" hidden="false" customHeight="false" outlineLevel="0" collapsed="false">
      <c r="A2648" s="707"/>
      <c r="B2648" s="487"/>
      <c r="C2648" s="743" t="s">
        <v>4611</v>
      </c>
      <c r="D2648" s="679" t="s">
        <v>4392</v>
      </c>
      <c r="E2648" s="766" t="n">
        <v>0.05</v>
      </c>
      <c r="F2648" s="369" t="n">
        <v>720</v>
      </c>
      <c r="G2648" s="727" t="n">
        <f aca="false">E2648*F2648</f>
        <v>36</v>
      </c>
      <c r="H2648" s="679"/>
    </row>
    <row r="2649" customFormat="false" ht="15" hidden="false" customHeight="false" outlineLevel="0" collapsed="false">
      <c r="A2649" s="707"/>
      <c r="B2649" s="487"/>
      <c r="C2649" s="532" t="s">
        <v>4377</v>
      </c>
      <c r="D2649" s="737" t="s">
        <v>4133</v>
      </c>
      <c r="E2649" s="746" t="n">
        <v>0.01</v>
      </c>
      <c r="F2649" s="369" t="n">
        <v>3500</v>
      </c>
      <c r="G2649" s="727" t="n">
        <f aca="false">E2649*F2649</f>
        <v>35</v>
      </c>
      <c r="H2649" s="679"/>
    </row>
    <row r="2650" customFormat="false" ht="15" hidden="false" customHeight="false" outlineLevel="0" collapsed="false">
      <c r="A2650" s="707"/>
      <c r="B2650" s="487"/>
      <c r="C2650" s="471" t="s">
        <v>4619</v>
      </c>
      <c r="D2650" s="737" t="s">
        <v>4133</v>
      </c>
      <c r="E2650" s="746" t="n">
        <v>0.02</v>
      </c>
      <c r="F2650" s="729" t="n">
        <v>920</v>
      </c>
      <c r="G2650" s="727" t="n">
        <f aca="false">E2650*F2650</f>
        <v>18.4</v>
      </c>
      <c r="H2650" s="679"/>
    </row>
    <row r="2651" customFormat="false" ht="30" hidden="false" customHeight="false" outlineLevel="0" collapsed="false">
      <c r="A2651" s="707"/>
      <c r="B2651" s="522"/>
      <c r="C2651" s="471" t="s">
        <v>4620</v>
      </c>
      <c r="D2651" s="737" t="s">
        <v>4348</v>
      </c>
      <c r="E2651" s="746" t="n">
        <v>0.1</v>
      </c>
      <c r="F2651" s="729" t="n">
        <v>1000</v>
      </c>
      <c r="G2651" s="727" t="n">
        <f aca="false">E2651*F2651</f>
        <v>100</v>
      </c>
      <c r="H2651" s="679"/>
    </row>
    <row r="2652" customFormat="false" ht="15" hidden="false" customHeight="false" outlineLevel="0" collapsed="false">
      <c r="A2652" s="707"/>
      <c r="B2652" s="522"/>
      <c r="C2652" s="471" t="s">
        <v>4621</v>
      </c>
      <c r="D2652" s="737" t="s">
        <v>4133</v>
      </c>
      <c r="E2652" s="746" t="n">
        <v>0.0025</v>
      </c>
      <c r="F2652" s="729"/>
      <c r="G2652" s="727" t="n">
        <f aca="false">E2652*F2652</f>
        <v>0</v>
      </c>
      <c r="H2652" s="679"/>
    </row>
    <row r="2653" customFormat="false" ht="15" hidden="false" customHeight="false" outlineLevel="0" collapsed="false">
      <c r="A2653" s="707"/>
      <c r="B2653" s="522"/>
      <c r="C2653" s="709" t="s">
        <v>4622</v>
      </c>
      <c r="D2653" s="679" t="s">
        <v>4133</v>
      </c>
      <c r="E2653" s="710" t="n">
        <v>0.025</v>
      </c>
      <c r="F2653" s="369" t="n">
        <v>3000</v>
      </c>
      <c r="G2653" s="727" t="n">
        <f aca="false">E2653*F2653</f>
        <v>75</v>
      </c>
      <c r="H2653" s="679"/>
    </row>
    <row r="2654" customFormat="false" ht="15" hidden="false" customHeight="false" outlineLevel="0" collapsed="false">
      <c r="A2654" s="707"/>
      <c r="B2654" s="522"/>
      <c r="C2654" s="709" t="s">
        <v>4623</v>
      </c>
      <c r="D2654" s="679" t="s">
        <v>4392</v>
      </c>
      <c r="E2654" s="710" t="n">
        <v>0.0035</v>
      </c>
      <c r="F2654" s="369" t="n">
        <v>24000</v>
      </c>
      <c r="G2654" s="727" t="n">
        <f aca="false">E2654*F2654</f>
        <v>84</v>
      </c>
      <c r="H2654" s="679"/>
    </row>
    <row r="2655" customFormat="false" ht="30" hidden="false" customHeight="false" outlineLevel="0" collapsed="false">
      <c r="A2655" s="707"/>
      <c r="B2655" s="522"/>
      <c r="C2655" s="709" t="s">
        <v>4624</v>
      </c>
      <c r="D2655" s="679" t="s">
        <v>4133</v>
      </c>
      <c r="E2655" s="710" t="n">
        <v>0.005</v>
      </c>
      <c r="F2655" s="369" t="n">
        <v>39400</v>
      </c>
      <c r="G2655" s="727" t="n">
        <f aca="false">E2655*F2655</f>
        <v>197</v>
      </c>
      <c r="H2655" s="679"/>
    </row>
    <row r="2656" customFormat="false" ht="15" hidden="false" customHeight="false" outlineLevel="0" collapsed="false">
      <c r="A2656" s="707"/>
      <c r="B2656" s="708" t="s">
        <v>4128</v>
      </c>
      <c r="C2656" s="718"/>
      <c r="D2656" s="719"/>
      <c r="E2656" s="722"/>
      <c r="F2656" s="366"/>
      <c r="G2656" s="711" t="n">
        <f aca="false">SUM(G2644:G2655)</f>
        <v>21402.9</v>
      </c>
      <c r="H2656" s="679"/>
    </row>
    <row r="2657" customFormat="false" ht="30" hidden="false" customHeight="false" outlineLevel="0" collapsed="false">
      <c r="A2657" s="707" t="s">
        <v>514</v>
      </c>
      <c r="B2657" s="522" t="s">
        <v>4736</v>
      </c>
      <c r="C2657" s="747" t="s">
        <v>4541</v>
      </c>
      <c r="D2657" s="679" t="s">
        <v>4133</v>
      </c>
      <c r="E2657" s="679" t="n">
        <v>0.01</v>
      </c>
      <c r="F2657" s="721" t="n">
        <v>710</v>
      </c>
      <c r="G2657" s="727" t="n">
        <f aca="false">E2657*F2657</f>
        <v>7.1</v>
      </c>
      <c r="H2657" s="679"/>
    </row>
    <row r="2658" customFormat="false" ht="30" hidden="false" customHeight="false" outlineLevel="0" collapsed="false">
      <c r="A2658" s="707"/>
      <c r="B2658" s="708"/>
      <c r="C2658" s="747" t="s">
        <v>4641</v>
      </c>
      <c r="D2658" s="679" t="s">
        <v>4133</v>
      </c>
      <c r="E2658" s="679" t="n">
        <v>0.006</v>
      </c>
      <c r="F2658" s="369" t="n">
        <v>2800</v>
      </c>
      <c r="G2658" s="727" t="n">
        <f aca="false">E2658*F2658</f>
        <v>16.8</v>
      </c>
      <c r="H2658" s="679"/>
    </row>
    <row r="2659" customFormat="false" ht="15" hidden="false" customHeight="false" outlineLevel="0" collapsed="false">
      <c r="A2659" s="707"/>
      <c r="B2659" s="708"/>
      <c r="C2659" s="747" t="s">
        <v>4642</v>
      </c>
      <c r="D2659" s="679" t="s">
        <v>4133</v>
      </c>
      <c r="E2659" s="679" t="n">
        <v>0.012</v>
      </c>
      <c r="F2659" s="721" t="n">
        <v>2500</v>
      </c>
      <c r="G2659" s="727" t="n">
        <f aca="false">E2659*F2659</f>
        <v>30</v>
      </c>
      <c r="H2659" s="679"/>
    </row>
    <row r="2660" customFormat="false" ht="15" hidden="false" customHeight="false" outlineLevel="0" collapsed="false">
      <c r="A2660" s="707"/>
      <c r="B2660" s="708"/>
      <c r="C2660" s="747" t="s">
        <v>4734</v>
      </c>
      <c r="D2660" s="679" t="s">
        <v>4133</v>
      </c>
      <c r="E2660" s="679" t="n">
        <v>5</v>
      </c>
      <c r="F2660" s="729" t="n">
        <v>5.1</v>
      </c>
      <c r="G2660" s="727" t="n">
        <f aca="false">E2660*F2660</f>
        <v>25.5</v>
      </c>
      <c r="H2660" s="679"/>
    </row>
    <row r="2661" customFormat="false" ht="15" hidden="false" customHeight="false" outlineLevel="0" collapsed="false">
      <c r="A2661" s="707"/>
      <c r="B2661" s="708"/>
      <c r="C2661" s="747" t="s">
        <v>4737</v>
      </c>
      <c r="D2661" s="679" t="s">
        <v>4133</v>
      </c>
      <c r="E2661" s="679" t="n">
        <v>0.183</v>
      </c>
      <c r="F2661" s="717" t="n">
        <v>7875</v>
      </c>
      <c r="G2661" s="727" t="n">
        <f aca="false">E2661*F2661</f>
        <v>1441.125</v>
      </c>
      <c r="H2661" s="679"/>
    </row>
    <row r="2662" customFormat="false" ht="15" hidden="false" customHeight="false" outlineLevel="0" collapsed="false">
      <c r="A2662" s="707"/>
      <c r="B2662" s="708"/>
      <c r="C2662" s="743" t="s">
        <v>4611</v>
      </c>
      <c r="D2662" s="679" t="s">
        <v>4133</v>
      </c>
      <c r="E2662" s="750" t="n">
        <v>0.05</v>
      </c>
      <c r="F2662" s="721" t="n">
        <v>720</v>
      </c>
      <c r="G2662" s="727" t="n">
        <f aca="false">E2662*F2662</f>
        <v>36</v>
      </c>
      <c r="H2662" s="679"/>
    </row>
    <row r="2663" customFormat="false" ht="15" hidden="false" customHeight="false" outlineLevel="0" collapsed="false">
      <c r="A2663" s="707"/>
      <c r="B2663" s="708"/>
      <c r="C2663" s="747" t="s">
        <v>4638</v>
      </c>
      <c r="D2663" s="679" t="s">
        <v>4133</v>
      </c>
      <c r="E2663" s="679" t="n">
        <v>0.001</v>
      </c>
      <c r="F2663" s="369" t="n">
        <v>55000</v>
      </c>
      <c r="G2663" s="727" t="n">
        <f aca="false">E2663*F2663</f>
        <v>55</v>
      </c>
      <c r="H2663" s="679"/>
    </row>
    <row r="2664" customFormat="false" ht="15" hidden="false" customHeight="false" outlineLevel="0" collapsed="false">
      <c r="A2664" s="707"/>
      <c r="B2664" s="708" t="s">
        <v>4128</v>
      </c>
      <c r="C2664" s="718"/>
      <c r="D2664" s="719"/>
      <c r="E2664" s="722"/>
      <c r="F2664" s="366"/>
      <c r="G2664" s="711" t="n">
        <f aca="false">SUM(G2657:G2663)</f>
        <v>1611.525</v>
      </c>
      <c r="H2664" s="679"/>
    </row>
    <row r="2665" customFormat="false" ht="15" hidden="false" customHeight="false" outlineLevel="0" collapsed="false">
      <c r="A2665" s="707" t="s">
        <v>516</v>
      </c>
      <c r="B2665" s="532" t="s">
        <v>3092</v>
      </c>
      <c r="C2665" s="471" t="s">
        <v>4626</v>
      </c>
      <c r="D2665" s="737" t="s">
        <v>4133</v>
      </c>
      <c r="E2665" s="746" t="n">
        <v>0.001</v>
      </c>
      <c r="F2665" s="729" t="n">
        <v>810000</v>
      </c>
      <c r="G2665" s="727" t="n">
        <f aca="false">E2665*F2665</f>
        <v>810</v>
      </c>
      <c r="H2665" s="679"/>
    </row>
    <row r="2666" customFormat="false" ht="15" hidden="false" customHeight="false" outlineLevel="0" collapsed="false">
      <c r="A2666" s="380"/>
      <c r="B2666" s="532"/>
      <c r="C2666" s="471" t="s">
        <v>4738</v>
      </c>
      <c r="D2666" s="737" t="s">
        <v>4133</v>
      </c>
      <c r="E2666" s="746" t="n">
        <v>0.002</v>
      </c>
      <c r="F2666" s="729" t="n">
        <v>20812</v>
      </c>
      <c r="G2666" s="727" t="n">
        <f aca="false">E2666*F2666</f>
        <v>41.624</v>
      </c>
      <c r="H2666" s="392"/>
    </row>
    <row r="2667" customFormat="false" ht="15" hidden="false" customHeight="false" outlineLevel="0" collapsed="false">
      <c r="A2667" s="380"/>
      <c r="B2667" s="532"/>
      <c r="C2667" s="471" t="s">
        <v>4739</v>
      </c>
      <c r="D2667" s="737" t="s">
        <v>4133</v>
      </c>
      <c r="E2667" s="746" t="n">
        <v>0.007</v>
      </c>
      <c r="F2667" s="729" t="n">
        <v>2500</v>
      </c>
      <c r="G2667" s="727" t="n">
        <f aca="false">E2667*F2667</f>
        <v>17.5</v>
      </c>
      <c r="H2667" s="679"/>
    </row>
    <row r="2668" customFormat="false" ht="30" hidden="false" customHeight="false" outlineLevel="0" collapsed="false">
      <c r="A2668" s="380"/>
      <c r="B2668" s="532"/>
      <c r="C2668" s="471" t="s">
        <v>4740</v>
      </c>
      <c r="D2668" s="737" t="s">
        <v>4133</v>
      </c>
      <c r="E2668" s="746" t="n">
        <v>0.0055</v>
      </c>
      <c r="F2668" s="369" t="n">
        <v>2500</v>
      </c>
      <c r="G2668" s="727" t="n">
        <f aca="false">E2668*F2668</f>
        <v>13.75</v>
      </c>
      <c r="H2668" s="679"/>
    </row>
    <row r="2669" customFormat="false" ht="15" hidden="false" customHeight="false" outlineLevel="0" collapsed="false">
      <c r="A2669" s="380"/>
      <c r="B2669" s="532"/>
      <c r="C2669" s="471" t="s">
        <v>4741</v>
      </c>
      <c r="D2669" s="737" t="s">
        <v>4138</v>
      </c>
      <c r="E2669" s="746" t="n">
        <v>0.065</v>
      </c>
      <c r="F2669" s="721" t="n">
        <v>181000</v>
      </c>
      <c r="G2669" s="727" t="n">
        <f aca="false">E2669*F2669</f>
        <v>11765</v>
      </c>
      <c r="H2669" s="679"/>
    </row>
    <row r="2670" customFormat="false" ht="15" hidden="false" customHeight="false" outlineLevel="0" collapsed="false">
      <c r="A2670" s="380"/>
      <c r="B2670" s="532"/>
      <c r="C2670" s="471" t="s">
        <v>4250</v>
      </c>
      <c r="D2670" s="737" t="s">
        <v>4133</v>
      </c>
      <c r="E2670" s="746" t="n">
        <v>0.01</v>
      </c>
      <c r="F2670" s="729" t="n">
        <v>27000</v>
      </c>
      <c r="G2670" s="727" t="n">
        <f aca="false">E2670*F2670</f>
        <v>270</v>
      </c>
      <c r="H2670" s="679"/>
    </row>
    <row r="2671" customFormat="false" ht="15" hidden="false" customHeight="false" outlineLevel="0" collapsed="false">
      <c r="A2671" s="380"/>
      <c r="B2671" s="532"/>
      <c r="C2671" s="762" t="s">
        <v>4734</v>
      </c>
      <c r="D2671" s="728" t="s">
        <v>4133</v>
      </c>
      <c r="E2671" s="679" t="n">
        <v>1</v>
      </c>
      <c r="F2671" s="729" t="n">
        <v>5.1</v>
      </c>
      <c r="G2671" s="727" t="n">
        <f aca="false">E2671*F2671</f>
        <v>5.1</v>
      </c>
      <c r="H2671" s="679"/>
    </row>
    <row r="2672" customFormat="false" ht="15" hidden="false" customHeight="false" outlineLevel="0" collapsed="false">
      <c r="A2672" s="380"/>
      <c r="B2672" s="532"/>
      <c r="C2672" s="709" t="s">
        <v>4515</v>
      </c>
      <c r="D2672" s="679" t="s">
        <v>4133</v>
      </c>
      <c r="E2672" s="710" t="n">
        <v>0.01</v>
      </c>
      <c r="F2672" s="369" t="n">
        <v>2700</v>
      </c>
      <c r="G2672" s="727" t="n">
        <f aca="false">E2672*F2672</f>
        <v>27</v>
      </c>
      <c r="H2672" s="679"/>
    </row>
    <row r="2673" customFormat="false" ht="15" hidden="false" customHeight="false" outlineLevel="0" collapsed="false">
      <c r="A2673" s="380"/>
      <c r="B2673" s="532"/>
      <c r="C2673" s="709" t="s">
        <v>4124</v>
      </c>
      <c r="D2673" s="679" t="s">
        <v>4516</v>
      </c>
      <c r="E2673" s="710" t="n">
        <v>0.5</v>
      </c>
      <c r="F2673" s="369" t="n">
        <v>120</v>
      </c>
      <c r="G2673" s="727" t="n">
        <f aca="false">E2673*F2673</f>
        <v>60</v>
      </c>
      <c r="H2673" s="679"/>
    </row>
    <row r="2674" customFormat="false" ht="15" hidden="false" customHeight="false" outlineLevel="0" collapsed="false">
      <c r="A2674" s="380"/>
      <c r="B2674" s="708" t="s">
        <v>4128</v>
      </c>
      <c r="C2674" s="718"/>
      <c r="D2674" s="719"/>
      <c r="E2674" s="722"/>
      <c r="F2674" s="366"/>
      <c r="G2674" s="711" t="n">
        <f aca="false">SUM(G2665:G2673)</f>
        <v>13009.974</v>
      </c>
      <c r="H2674" s="679"/>
    </row>
    <row r="2675" customFormat="false" ht="15" hidden="false" customHeight="false" outlineLevel="0" collapsed="false">
      <c r="A2675" s="707" t="s">
        <v>518</v>
      </c>
      <c r="B2675" s="532" t="s">
        <v>3011</v>
      </c>
      <c r="C2675" s="718"/>
      <c r="D2675" s="719"/>
      <c r="E2675" s="722"/>
      <c r="F2675" s="366"/>
      <c r="G2675" s="711"/>
      <c r="H2675" s="679"/>
    </row>
    <row r="2676" customFormat="false" ht="15" hidden="false" customHeight="false" outlineLevel="0" collapsed="false">
      <c r="A2676" s="707" t="s">
        <v>519</v>
      </c>
      <c r="B2676" s="532" t="s">
        <v>3093</v>
      </c>
      <c r="C2676" s="718"/>
      <c r="D2676" s="719"/>
      <c r="E2676" s="722"/>
      <c r="F2676" s="366"/>
      <c r="G2676" s="711"/>
      <c r="H2676" s="679"/>
    </row>
    <row r="2677" customFormat="false" ht="15" hidden="false" customHeight="false" outlineLevel="0" collapsed="false">
      <c r="A2677" s="707" t="s">
        <v>521</v>
      </c>
      <c r="B2677" s="532" t="s">
        <v>3094</v>
      </c>
      <c r="C2677" s="718"/>
      <c r="D2677" s="719"/>
      <c r="E2677" s="722"/>
      <c r="F2677" s="366"/>
      <c r="G2677" s="711"/>
      <c r="H2677" s="679"/>
    </row>
    <row r="2678" customFormat="false" ht="30" hidden="false" customHeight="false" outlineLevel="0" collapsed="false">
      <c r="A2678" s="707" t="s">
        <v>523</v>
      </c>
      <c r="B2678" s="532" t="s">
        <v>3095</v>
      </c>
      <c r="C2678" s="471" t="s">
        <v>4466</v>
      </c>
      <c r="D2678" s="737" t="s">
        <v>4133</v>
      </c>
      <c r="E2678" s="733" t="n">
        <v>0.1</v>
      </c>
      <c r="F2678" s="723" t="n">
        <v>980</v>
      </c>
      <c r="G2678" s="727" t="n">
        <f aca="false">E2678*F2678</f>
        <v>98</v>
      </c>
      <c r="H2678" s="679"/>
    </row>
    <row r="2679" customFormat="false" ht="15" hidden="false" customHeight="false" outlineLevel="0" collapsed="false">
      <c r="A2679" s="707"/>
      <c r="B2679" s="708"/>
      <c r="C2679" s="471" t="s">
        <v>4286</v>
      </c>
      <c r="D2679" s="737" t="s">
        <v>4133</v>
      </c>
      <c r="E2679" s="749" t="n">
        <v>0.1</v>
      </c>
      <c r="F2679" s="729" t="n">
        <v>1500</v>
      </c>
      <c r="G2679" s="727" t="n">
        <f aca="false">E2679*F2679</f>
        <v>150</v>
      </c>
      <c r="H2679" s="679"/>
    </row>
    <row r="2680" customFormat="false" ht="15" hidden="false" customHeight="false" outlineLevel="0" collapsed="false">
      <c r="A2680" s="707"/>
      <c r="B2680" s="708"/>
      <c r="C2680" s="471" t="s">
        <v>4582</v>
      </c>
      <c r="D2680" s="737" t="s">
        <v>4133</v>
      </c>
      <c r="E2680" s="749" t="n">
        <v>0.1</v>
      </c>
      <c r="F2680" s="729" t="n">
        <v>2700</v>
      </c>
      <c r="G2680" s="727" t="n">
        <f aca="false">E2680*F2680</f>
        <v>270</v>
      </c>
      <c r="H2680" s="679"/>
    </row>
    <row r="2681" customFormat="false" ht="15" hidden="false" customHeight="false" outlineLevel="0" collapsed="false">
      <c r="A2681" s="707"/>
      <c r="B2681" s="708"/>
      <c r="C2681" s="471" t="s">
        <v>4193</v>
      </c>
      <c r="D2681" s="737" t="s">
        <v>4133</v>
      </c>
      <c r="E2681" s="749" t="n">
        <v>0.01</v>
      </c>
      <c r="F2681" s="729" t="n">
        <v>27000</v>
      </c>
      <c r="G2681" s="727" t="n">
        <f aca="false">E2681*F2681</f>
        <v>270</v>
      </c>
      <c r="H2681" s="679"/>
    </row>
    <row r="2682" customFormat="false" ht="15" hidden="false" customHeight="false" outlineLevel="0" collapsed="false">
      <c r="A2682" s="707"/>
      <c r="B2682" s="708"/>
      <c r="C2682" s="471" t="s">
        <v>4742</v>
      </c>
      <c r="D2682" s="737" t="s">
        <v>4133</v>
      </c>
      <c r="E2682" s="749" t="n">
        <v>0.05</v>
      </c>
      <c r="F2682" s="729" t="n">
        <v>2700</v>
      </c>
      <c r="G2682" s="727" t="n">
        <f aca="false">E2682*F2682</f>
        <v>135</v>
      </c>
      <c r="H2682" s="679"/>
    </row>
    <row r="2683" customFormat="false" ht="15" hidden="false" customHeight="false" outlineLevel="0" collapsed="false">
      <c r="A2683" s="707"/>
      <c r="B2683" s="708"/>
      <c r="C2683" s="762" t="s">
        <v>4734</v>
      </c>
      <c r="D2683" s="728" t="s">
        <v>4133</v>
      </c>
      <c r="E2683" s="679" t="n">
        <v>5</v>
      </c>
      <c r="F2683" s="729" t="n">
        <v>5.1</v>
      </c>
      <c r="G2683" s="727" t="n">
        <f aca="false">E2683*F2683</f>
        <v>25.5</v>
      </c>
      <c r="H2683" s="679"/>
    </row>
    <row r="2684" customFormat="false" ht="15" hidden="false" customHeight="false" outlineLevel="0" collapsed="false">
      <c r="A2684" s="707"/>
      <c r="B2684" s="708"/>
      <c r="C2684" s="709" t="s">
        <v>4515</v>
      </c>
      <c r="D2684" s="679" t="s">
        <v>4133</v>
      </c>
      <c r="E2684" s="710" t="n">
        <v>0.06</v>
      </c>
      <c r="F2684" s="369" t="n">
        <v>2700</v>
      </c>
      <c r="G2684" s="727" t="n">
        <f aca="false">E2684*F2684</f>
        <v>162</v>
      </c>
      <c r="H2684" s="679"/>
    </row>
    <row r="2685" customFormat="false" ht="15" hidden="false" customHeight="false" outlineLevel="0" collapsed="false">
      <c r="A2685" s="707"/>
      <c r="B2685" s="708"/>
      <c r="C2685" s="709" t="s">
        <v>4124</v>
      </c>
      <c r="D2685" s="679" t="s">
        <v>4516</v>
      </c>
      <c r="E2685" s="710" t="n">
        <v>1.5</v>
      </c>
      <c r="F2685" s="369" t="n">
        <v>120</v>
      </c>
      <c r="G2685" s="727" t="n">
        <f aca="false">E2685*F2685</f>
        <v>180</v>
      </c>
      <c r="H2685" s="679"/>
    </row>
    <row r="2686" customFormat="false" ht="15" hidden="false" customHeight="false" outlineLevel="0" collapsed="false">
      <c r="A2686" s="707"/>
      <c r="B2686" s="708" t="s">
        <v>4128</v>
      </c>
      <c r="C2686" s="679"/>
      <c r="D2686" s="679"/>
      <c r="E2686" s="679"/>
      <c r="F2686" s="369"/>
      <c r="G2686" s="711" t="n">
        <f aca="false">SUM(G2678:G2685)</f>
        <v>1290.5</v>
      </c>
      <c r="H2686" s="679"/>
    </row>
    <row r="2687" customFormat="false" ht="28.5" hidden="false" customHeight="false" outlineLevel="0" collapsed="false">
      <c r="A2687" s="350" t="s">
        <v>4743</v>
      </c>
      <c r="B2687" s="467" t="s">
        <v>3096</v>
      </c>
      <c r="C2687" s="751"/>
      <c r="D2687" s="339"/>
      <c r="E2687" s="752"/>
      <c r="F2687" s="519"/>
      <c r="G2687" s="753"/>
      <c r="H2687" s="339"/>
    </row>
    <row r="2688" s="451" customFormat="true" ht="15" hidden="false" customHeight="false" outlineLevel="0" collapsed="false">
      <c r="A2688" s="707" t="s">
        <v>527</v>
      </c>
      <c r="B2688" s="487" t="s">
        <v>3420</v>
      </c>
      <c r="C2688" s="754"/>
      <c r="D2688" s="392"/>
      <c r="E2688" s="722"/>
      <c r="F2688" s="366"/>
      <c r="G2688" s="711"/>
      <c r="H2688" s="392"/>
    </row>
    <row r="2689" s="451" customFormat="true" ht="30" hidden="false" customHeight="false" outlineLevel="0" collapsed="false">
      <c r="A2689" s="707" t="s">
        <v>4744</v>
      </c>
      <c r="B2689" s="487" t="s">
        <v>3097</v>
      </c>
      <c r="C2689" s="709" t="s">
        <v>4515</v>
      </c>
      <c r="D2689" s="679" t="s">
        <v>4133</v>
      </c>
      <c r="E2689" s="710" t="n">
        <v>0.006</v>
      </c>
      <c r="F2689" s="369" t="n">
        <v>2700</v>
      </c>
      <c r="G2689" s="716" t="n">
        <f aca="false">E2689*F2689</f>
        <v>16.2</v>
      </c>
      <c r="H2689" s="679"/>
    </row>
    <row r="2690" s="451" customFormat="true" ht="15" hidden="false" customHeight="false" outlineLevel="0" collapsed="false">
      <c r="A2690" s="707"/>
      <c r="B2690" s="522"/>
      <c r="C2690" s="709" t="s">
        <v>4124</v>
      </c>
      <c r="D2690" s="679" t="s">
        <v>4516</v>
      </c>
      <c r="E2690" s="710" t="n">
        <v>1.5</v>
      </c>
      <c r="F2690" s="369" t="n">
        <v>120</v>
      </c>
      <c r="G2690" s="716" t="n">
        <f aca="false">E2690*F2690</f>
        <v>180</v>
      </c>
      <c r="H2690" s="679"/>
    </row>
    <row r="2691" s="451" customFormat="true" ht="15" hidden="false" customHeight="false" outlineLevel="0" collapsed="false">
      <c r="A2691" s="707"/>
      <c r="B2691" s="708" t="s">
        <v>4128</v>
      </c>
      <c r="C2691" s="718"/>
      <c r="D2691" s="719"/>
      <c r="E2691" s="722"/>
      <c r="F2691" s="366"/>
      <c r="G2691" s="711" t="n">
        <f aca="false">SUM(G2689:G2690)</f>
        <v>196.2</v>
      </c>
      <c r="H2691" s="392"/>
    </row>
    <row r="2692" s="451" customFormat="true" ht="15" hidden="false" customHeight="false" outlineLevel="0" collapsed="false">
      <c r="A2692" s="707" t="s">
        <v>4745</v>
      </c>
      <c r="B2692" s="487" t="s">
        <v>3084</v>
      </c>
      <c r="C2692" s="709" t="s">
        <v>4515</v>
      </c>
      <c r="D2692" s="679" t="s">
        <v>4133</v>
      </c>
      <c r="E2692" s="710" t="n">
        <v>0.006</v>
      </c>
      <c r="F2692" s="369" t="n">
        <v>2700</v>
      </c>
      <c r="G2692" s="716" t="n">
        <f aca="false">E2692*F2692</f>
        <v>16.2</v>
      </c>
      <c r="H2692" s="679"/>
    </row>
    <row r="2693" s="451" customFormat="true" ht="15" hidden="false" customHeight="false" outlineLevel="0" collapsed="false">
      <c r="A2693" s="707"/>
      <c r="B2693" s="522"/>
      <c r="C2693" s="709" t="s">
        <v>4124</v>
      </c>
      <c r="D2693" s="679" t="s">
        <v>4516</v>
      </c>
      <c r="E2693" s="710" t="n">
        <v>1.5</v>
      </c>
      <c r="F2693" s="369" t="n">
        <v>120</v>
      </c>
      <c r="G2693" s="716" t="n">
        <f aca="false">E2693*F2693</f>
        <v>180</v>
      </c>
      <c r="H2693" s="679"/>
    </row>
    <row r="2694" s="451" customFormat="true" ht="15" hidden="false" customHeight="false" outlineLevel="0" collapsed="false">
      <c r="A2694" s="707"/>
      <c r="B2694" s="708" t="s">
        <v>4128</v>
      </c>
      <c r="C2694" s="718"/>
      <c r="D2694" s="719"/>
      <c r="E2694" s="722"/>
      <c r="F2694" s="366"/>
      <c r="G2694" s="711" t="n">
        <f aca="false">SUM(G2692:G2693)</f>
        <v>196.2</v>
      </c>
      <c r="H2694" s="392"/>
    </row>
    <row r="2695" s="451" customFormat="true" ht="15" hidden="false" customHeight="false" outlineLevel="0" collapsed="false">
      <c r="A2695" s="707" t="s">
        <v>531</v>
      </c>
      <c r="B2695" s="487" t="s">
        <v>3085</v>
      </c>
      <c r="C2695" s="709" t="s">
        <v>4515</v>
      </c>
      <c r="D2695" s="679" t="s">
        <v>4133</v>
      </c>
      <c r="E2695" s="710" t="n">
        <v>0.08565</v>
      </c>
      <c r="F2695" s="369" t="n">
        <v>2700</v>
      </c>
      <c r="G2695" s="716" t="n">
        <f aca="false">E2695*F2695</f>
        <v>231.255</v>
      </c>
      <c r="H2695" s="679"/>
    </row>
    <row r="2696" s="451" customFormat="true" ht="15" hidden="false" customHeight="false" outlineLevel="0" collapsed="false">
      <c r="A2696" s="707"/>
      <c r="B2696" s="522"/>
      <c r="C2696" s="709" t="s">
        <v>4124</v>
      </c>
      <c r="D2696" s="679" t="s">
        <v>4516</v>
      </c>
      <c r="E2696" s="710" t="n">
        <v>0.995</v>
      </c>
      <c r="F2696" s="369" t="n">
        <v>120</v>
      </c>
      <c r="G2696" s="716" t="n">
        <f aca="false">E2696*F2696</f>
        <v>119.4</v>
      </c>
      <c r="H2696" s="679"/>
    </row>
    <row r="2697" s="451" customFormat="true" ht="15" hidden="false" customHeight="false" outlineLevel="0" collapsed="false">
      <c r="A2697" s="707"/>
      <c r="B2697" s="522"/>
      <c r="C2697" s="709" t="s">
        <v>4122</v>
      </c>
      <c r="D2697" s="679" t="s">
        <v>4392</v>
      </c>
      <c r="E2697" s="710" t="n">
        <v>0.1868</v>
      </c>
      <c r="F2697" s="721" t="n">
        <v>720</v>
      </c>
      <c r="G2697" s="716" t="n">
        <f aca="false">E2697*F2697</f>
        <v>134.496</v>
      </c>
      <c r="H2697" s="679"/>
    </row>
    <row r="2698" s="451" customFormat="true" ht="15" hidden="false" customHeight="false" outlineLevel="0" collapsed="false">
      <c r="A2698" s="707"/>
      <c r="B2698" s="708" t="s">
        <v>4128</v>
      </c>
      <c r="C2698" s="718"/>
      <c r="D2698" s="719"/>
      <c r="E2698" s="722"/>
      <c r="F2698" s="366"/>
      <c r="G2698" s="711" t="n">
        <f aca="false">SUM(G2695:G2697)</f>
        <v>485.151</v>
      </c>
      <c r="H2698" s="392"/>
    </row>
    <row r="2699" s="451" customFormat="true" ht="15" hidden="false" customHeight="false" outlineLevel="0" collapsed="false">
      <c r="A2699" s="707" t="s">
        <v>532</v>
      </c>
      <c r="B2699" s="487" t="s">
        <v>3098</v>
      </c>
      <c r="C2699" s="709" t="s">
        <v>4550</v>
      </c>
      <c r="D2699" s="679" t="s">
        <v>4392</v>
      </c>
      <c r="E2699" s="710" t="n">
        <v>0.034</v>
      </c>
      <c r="F2699" s="369" t="n">
        <v>6500</v>
      </c>
      <c r="G2699" s="716" t="n">
        <f aca="false">E2699*F2699</f>
        <v>221</v>
      </c>
      <c r="H2699" s="679"/>
    </row>
    <row r="2700" s="451" customFormat="true" ht="15" hidden="false" customHeight="false" outlineLevel="0" collapsed="false">
      <c r="A2700" s="707"/>
      <c r="B2700" s="522"/>
      <c r="C2700" s="709" t="s">
        <v>4122</v>
      </c>
      <c r="D2700" s="679" t="s">
        <v>4392</v>
      </c>
      <c r="E2700" s="710" t="n">
        <v>0.1868</v>
      </c>
      <c r="F2700" s="721" t="n">
        <v>720</v>
      </c>
      <c r="G2700" s="716" t="n">
        <f aca="false">E2700*F2700</f>
        <v>134.496</v>
      </c>
      <c r="H2700" s="679"/>
    </row>
    <row r="2701" s="451" customFormat="true" ht="15" hidden="false" customHeight="false" outlineLevel="0" collapsed="false">
      <c r="A2701" s="707"/>
      <c r="B2701" s="522"/>
      <c r="C2701" s="709" t="s">
        <v>4529</v>
      </c>
      <c r="D2701" s="679" t="s">
        <v>4133</v>
      </c>
      <c r="E2701" s="710" t="n">
        <v>0.12</v>
      </c>
      <c r="F2701" s="369" t="n">
        <v>1200</v>
      </c>
      <c r="G2701" s="716" t="n">
        <f aca="false">E2701*F2701</f>
        <v>144</v>
      </c>
      <c r="H2701" s="679"/>
    </row>
    <row r="2702" s="451" customFormat="true" ht="15" hidden="false" customHeight="false" outlineLevel="0" collapsed="false">
      <c r="A2702" s="707"/>
      <c r="B2702" s="522"/>
      <c r="C2702" s="709" t="s">
        <v>4264</v>
      </c>
      <c r="D2702" s="679" t="s">
        <v>4133</v>
      </c>
      <c r="E2702" s="710" t="n">
        <v>0.02</v>
      </c>
      <c r="F2702" s="369" t="n">
        <v>55000</v>
      </c>
      <c r="G2702" s="716" t="n">
        <f aca="false">E2702*F2702</f>
        <v>1100</v>
      </c>
      <c r="H2702" s="679"/>
    </row>
    <row r="2703" s="451" customFormat="true" ht="15" hidden="false" customHeight="false" outlineLevel="0" collapsed="false">
      <c r="A2703" s="707"/>
      <c r="B2703" s="522"/>
      <c r="C2703" s="709" t="s">
        <v>4515</v>
      </c>
      <c r="D2703" s="679" t="s">
        <v>4133</v>
      </c>
      <c r="E2703" s="710" t="n">
        <v>0.001</v>
      </c>
      <c r="F2703" s="369" t="n">
        <v>2700</v>
      </c>
      <c r="G2703" s="716" t="n">
        <f aca="false">E2703*F2703</f>
        <v>2.7</v>
      </c>
      <c r="H2703" s="679"/>
    </row>
    <row r="2704" s="451" customFormat="true" ht="15" hidden="false" customHeight="false" outlineLevel="0" collapsed="false">
      <c r="A2704" s="707"/>
      <c r="B2704" s="522"/>
      <c r="C2704" s="709" t="s">
        <v>4124</v>
      </c>
      <c r="D2704" s="679" t="s">
        <v>4516</v>
      </c>
      <c r="E2704" s="710" t="n">
        <v>0.5</v>
      </c>
      <c r="F2704" s="369" t="n">
        <v>120</v>
      </c>
      <c r="G2704" s="716" t="n">
        <f aca="false">E2704*F2704</f>
        <v>60</v>
      </c>
      <c r="H2704" s="679"/>
    </row>
    <row r="2705" s="451" customFormat="true" ht="15" hidden="false" customHeight="false" outlineLevel="0" collapsed="false">
      <c r="A2705" s="707"/>
      <c r="B2705" s="708" t="s">
        <v>4128</v>
      </c>
      <c r="C2705" s="718"/>
      <c r="D2705" s="719"/>
      <c r="E2705" s="722"/>
      <c r="F2705" s="366"/>
      <c r="G2705" s="711" t="n">
        <f aca="false">SUM(G2699:G2704)</f>
        <v>1662.196</v>
      </c>
      <c r="H2705" s="392"/>
    </row>
    <row r="2706" s="451" customFormat="true" ht="15" hidden="false" customHeight="false" outlineLevel="0" collapsed="false">
      <c r="A2706" s="707" t="s">
        <v>533</v>
      </c>
      <c r="B2706" s="487" t="s">
        <v>3099</v>
      </c>
      <c r="C2706" s="709" t="s">
        <v>4124</v>
      </c>
      <c r="D2706" s="679" t="s">
        <v>4516</v>
      </c>
      <c r="E2706" s="710" t="n">
        <v>1.5</v>
      </c>
      <c r="F2706" s="369" t="n">
        <v>120</v>
      </c>
      <c r="G2706" s="711" t="n">
        <f aca="false">E2706*F2706</f>
        <v>180</v>
      </c>
      <c r="H2706" s="679"/>
    </row>
    <row r="2707" s="451" customFormat="true" ht="15" hidden="false" customHeight="false" outlineLevel="0" collapsed="false">
      <c r="A2707" s="707" t="s">
        <v>535</v>
      </c>
      <c r="B2707" s="487" t="s">
        <v>3058</v>
      </c>
      <c r="C2707" s="709" t="s">
        <v>4147</v>
      </c>
      <c r="D2707" s="679" t="s">
        <v>4392</v>
      </c>
      <c r="E2707" s="710" t="n">
        <v>0.1</v>
      </c>
      <c r="F2707" s="723" t="n">
        <v>3612</v>
      </c>
      <c r="G2707" s="716" t="n">
        <f aca="false">E2707*F2707</f>
        <v>361.2</v>
      </c>
      <c r="H2707" s="679"/>
    </row>
    <row r="2708" s="451" customFormat="true" ht="15" hidden="false" customHeight="false" outlineLevel="0" collapsed="false">
      <c r="A2708" s="707"/>
      <c r="B2708" s="522"/>
      <c r="C2708" s="709" t="s">
        <v>4515</v>
      </c>
      <c r="D2708" s="679" t="s">
        <v>4133</v>
      </c>
      <c r="E2708" s="710" t="n">
        <v>0.05995</v>
      </c>
      <c r="F2708" s="369" t="n">
        <v>2700</v>
      </c>
      <c r="G2708" s="716" t="n">
        <f aca="false">E2708*F2708</f>
        <v>161.865</v>
      </c>
      <c r="H2708" s="679"/>
    </row>
    <row r="2709" s="451" customFormat="true" ht="15" hidden="false" customHeight="false" outlineLevel="0" collapsed="false">
      <c r="A2709" s="707"/>
      <c r="B2709" s="522"/>
      <c r="C2709" s="709" t="s">
        <v>4124</v>
      </c>
      <c r="D2709" s="679" t="s">
        <v>4516</v>
      </c>
      <c r="E2709" s="710" t="n">
        <v>1.5</v>
      </c>
      <c r="F2709" s="369" t="n">
        <v>120</v>
      </c>
      <c r="G2709" s="716" t="n">
        <f aca="false">E2709*F2709</f>
        <v>180</v>
      </c>
      <c r="H2709" s="679"/>
    </row>
    <row r="2710" s="451" customFormat="true" ht="15" hidden="false" customHeight="false" outlineLevel="0" collapsed="false">
      <c r="A2710" s="707"/>
      <c r="B2710" s="708"/>
      <c r="C2710" s="718"/>
      <c r="D2710" s="719"/>
      <c r="E2710" s="722"/>
      <c r="F2710" s="366"/>
      <c r="G2710" s="711" t="n">
        <f aca="false">SUM(G2707:G2709)</f>
        <v>703.065</v>
      </c>
      <c r="H2710" s="392"/>
    </row>
    <row r="2711" s="451" customFormat="true" ht="15" hidden="false" customHeight="false" outlineLevel="0" collapsed="false">
      <c r="A2711" s="707" t="s">
        <v>536</v>
      </c>
      <c r="B2711" s="487" t="s">
        <v>3059</v>
      </c>
      <c r="C2711" s="709" t="s">
        <v>4154</v>
      </c>
      <c r="D2711" s="679" t="s">
        <v>4392</v>
      </c>
      <c r="E2711" s="710" t="n">
        <v>0.14308</v>
      </c>
      <c r="F2711" s="721" t="n">
        <v>3500</v>
      </c>
      <c r="G2711" s="716" t="n">
        <f aca="false">E2711*F2711</f>
        <v>500.78</v>
      </c>
      <c r="H2711" s="679"/>
    </row>
    <row r="2712" s="451" customFormat="true" ht="15" hidden="false" customHeight="false" outlineLevel="0" collapsed="false">
      <c r="A2712" s="707"/>
      <c r="B2712" s="522"/>
      <c r="C2712" s="709" t="s">
        <v>4147</v>
      </c>
      <c r="D2712" s="679" t="s">
        <v>4392</v>
      </c>
      <c r="E2712" s="710" t="n">
        <v>0.2</v>
      </c>
      <c r="F2712" s="723" t="n">
        <v>3612</v>
      </c>
      <c r="G2712" s="716" t="n">
        <f aca="false">E2712*F2712</f>
        <v>722.4</v>
      </c>
      <c r="H2712" s="679"/>
    </row>
    <row r="2713" s="451" customFormat="true" ht="15" hidden="false" customHeight="false" outlineLevel="0" collapsed="false">
      <c r="A2713" s="707"/>
      <c r="B2713" s="522"/>
      <c r="C2713" s="709" t="s">
        <v>4535</v>
      </c>
      <c r="D2713" s="679" t="s">
        <v>4392</v>
      </c>
      <c r="E2713" s="710" t="n">
        <v>0.03</v>
      </c>
      <c r="F2713" s="369" t="n">
        <v>31200</v>
      </c>
      <c r="G2713" s="716" t="n">
        <f aca="false">E2713*F2713</f>
        <v>936</v>
      </c>
      <c r="H2713" s="679"/>
    </row>
    <row r="2714" s="451" customFormat="true" ht="15" hidden="false" customHeight="false" outlineLevel="0" collapsed="false">
      <c r="A2714" s="707"/>
      <c r="B2714" s="522"/>
      <c r="C2714" s="709" t="s">
        <v>4536</v>
      </c>
      <c r="D2714" s="679" t="s">
        <v>4392</v>
      </c>
      <c r="E2714" s="710" t="n">
        <v>0.08</v>
      </c>
      <c r="F2714" s="369" t="n">
        <v>999</v>
      </c>
      <c r="G2714" s="716" t="n">
        <f aca="false">E2714*F2714</f>
        <v>79.92</v>
      </c>
      <c r="H2714" s="679"/>
    </row>
    <row r="2715" s="451" customFormat="true" ht="15" hidden="false" customHeight="false" outlineLevel="0" collapsed="false">
      <c r="A2715" s="707"/>
      <c r="B2715" s="522"/>
      <c r="C2715" s="709" t="s">
        <v>4122</v>
      </c>
      <c r="D2715" s="679" t="s">
        <v>4392</v>
      </c>
      <c r="E2715" s="710" t="n">
        <v>0.09</v>
      </c>
      <c r="F2715" s="721" t="n">
        <v>720</v>
      </c>
      <c r="G2715" s="716" t="n">
        <f aca="false">E2715*F2715</f>
        <v>64.8</v>
      </c>
      <c r="H2715" s="679"/>
    </row>
    <row r="2716" s="451" customFormat="true" ht="15" hidden="false" customHeight="false" outlineLevel="0" collapsed="false">
      <c r="A2716" s="707"/>
      <c r="B2716" s="522"/>
      <c r="C2716" s="709" t="s">
        <v>4515</v>
      </c>
      <c r="D2716" s="679" t="s">
        <v>4133</v>
      </c>
      <c r="E2716" s="710" t="n">
        <v>0.001</v>
      </c>
      <c r="F2716" s="369" t="n">
        <v>2700</v>
      </c>
      <c r="G2716" s="716" t="n">
        <f aca="false">E2716*F2716</f>
        <v>2.7</v>
      </c>
      <c r="H2716" s="679"/>
    </row>
    <row r="2717" s="451" customFormat="true" ht="15" hidden="false" customHeight="false" outlineLevel="0" collapsed="false">
      <c r="A2717" s="707"/>
      <c r="B2717" s="522"/>
      <c r="C2717" s="709" t="s">
        <v>4124</v>
      </c>
      <c r="D2717" s="679" t="s">
        <v>4516</v>
      </c>
      <c r="E2717" s="710" t="n">
        <v>0.5</v>
      </c>
      <c r="F2717" s="369" t="n">
        <v>120</v>
      </c>
      <c r="G2717" s="716" t="n">
        <f aca="false">E2717*F2717</f>
        <v>60</v>
      </c>
      <c r="H2717" s="679"/>
    </row>
    <row r="2718" s="451" customFormat="true" ht="15" hidden="false" customHeight="false" outlineLevel="0" collapsed="false">
      <c r="A2718" s="707"/>
      <c r="B2718" s="708" t="s">
        <v>4128</v>
      </c>
      <c r="C2718" s="718"/>
      <c r="D2718" s="719"/>
      <c r="E2718" s="722"/>
      <c r="F2718" s="366"/>
      <c r="G2718" s="711" t="n">
        <f aca="false">SUM(G2711:G2717)</f>
        <v>2366.6</v>
      </c>
      <c r="H2718" s="392"/>
    </row>
    <row r="2719" s="451" customFormat="true" ht="30" hidden="false" customHeight="false" outlineLevel="0" collapsed="false">
      <c r="A2719" s="707" t="s">
        <v>537</v>
      </c>
      <c r="B2719" s="487" t="s">
        <v>3100</v>
      </c>
      <c r="C2719" s="709" t="s">
        <v>4658</v>
      </c>
      <c r="D2719" s="679" t="s">
        <v>4133</v>
      </c>
      <c r="E2719" s="710" t="n">
        <v>0.01</v>
      </c>
      <c r="F2719" s="369" t="n">
        <v>21200</v>
      </c>
      <c r="G2719" s="716" t="n">
        <f aca="false">E2719*F2719</f>
        <v>212</v>
      </c>
      <c r="H2719" s="679"/>
    </row>
    <row r="2720" s="451" customFormat="true" ht="15" hidden="false" customHeight="false" outlineLevel="0" collapsed="false">
      <c r="A2720" s="707"/>
      <c r="B2720" s="522"/>
      <c r="C2720" s="709" t="s">
        <v>4529</v>
      </c>
      <c r="D2720" s="679" t="s">
        <v>4133</v>
      </c>
      <c r="E2720" s="710" t="n">
        <v>0.01</v>
      </c>
      <c r="F2720" s="369" t="n">
        <v>1200</v>
      </c>
      <c r="G2720" s="716" t="n">
        <f aca="false">E2720*F2720</f>
        <v>12</v>
      </c>
      <c r="H2720" s="679"/>
    </row>
    <row r="2721" s="451" customFormat="true" ht="15" hidden="false" customHeight="false" outlineLevel="0" collapsed="false">
      <c r="A2721" s="707"/>
      <c r="B2721" s="522"/>
      <c r="C2721" s="709" t="s">
        <v>4659</v>
      </c>
      <c r="D2721" s="679" t="s">
        <v>4133</v>
      </c>
      <c r="E2721" s="710" t="n">
        <v>0.005</v>
      </c>
      <c r="F2721" s="369" t="n">
        <v>41200</v>
      </c>
      <c r="G2721" s="716" t="n">
        <f aca="false">E2721*F2721</f>
        <v>206</v>
      </c>
      <c r="H2721" s="679"/>
    </row>
    <row r="2722" s="451" customFormat="true" ht="15" hidden="false" customHeight="false" outlineLevel="0" collapsed="false">
      <c r="A2722" s="707"/>
      <c r="B2722" s="522"/>
      <c r="C2722" s="709" t="s">
        <v>4154</v>
      </c>
      <c r="D2722" s="679" t="s">
        <v>4392</v>
      </c>
      <c r="E2722" s="710" t="n">
        <v>0.07</v>
      </c>
      <c r="F2722" s="721" t="n">
        <v>3500</v>
      </c>
      <c r="G2722" s="716" t="n">
        <f aca="false">E2722*F2722</f>
        <v>245</v>
      </c>
      <c r="H2722" s="679"/>
    </row>
    <row r="2723" s="451" customFormat="true" ht="15" hidden="false" customHeight="false" outlineLevel="0" collapsed="false">
      <c r="A2723" s="707"/>
      <c r="B2723" s="522"/>
      <c r="C2723" s="709" t="s">
        <v>4122</v>
      </c>
      <c r="D2723" s="679" t="s">
        <v>4392</v>
      </c>
      <c r="E2723" s="710" t="n">
        <v>0.15</v>
      </c>
      <c r="F2723" s="721" t="n">
        <v>720</v>
      </c>
      <c r="G2723" s="716" t="n">
        <f aca="false">E2723*F2723</f>
        <v>108</v>
      </c>
      <c r="H2723" s="679"/>
    </row>
    <row r="2724" s="451" customFormat="true" ht="15" hidden="false" customHeight="false" outlineLevel="0" collapsed="false">
      <c r="A2724" s="707"/>
      <c r="B2724" s="522"/>
      <c r="C2724" s="709" t="s">
        <v>4515</v>
      </c>
      <c r="D2724" s="679" t="s">
        <v>4133</v>
      </c>
      <c r="E2724" s="710" t="n">
        <v>0.006</v>
      </c>
      <c r="F2724" s="369" t="n">
        <v>2700</v>
      </c>
      <c r="G2724" s="716" t="n">
        <f aca="false">E2724*F2724</f>
        <v>16.2</v>
      </c>
      <c r="H2724" s="679"/>
    </row>
    <row r="2725" s="451" customFormat="true" ht="15" hidden="false" customHeight="false" outlineLevel="0" collapsed="false">
      <c r="A2725" s="707"/>
      <c r="B2725" s="522"/>
      <c r="C2725" s="709" t="s">
        <v>4124</v>
      </c>
      <c r="D2725" s="679" t="s">
        <v>4516</v>
      </c>
      <c r="E2725" s="710" t="n">
        <v>1.5</v>
      </c>
      <c r="F2725" s="369" t="n">
        <v>120</v>
      </c>
      <c r="G2725" s="716" t="n">
        <f aca="false">E2725*F2725</f>
        <v>180</v>
      </c>
      <c r="H2725" s="679"/>
    </row>
    <row r="2726" s="451" customFormat="true" ht="15" hidden="false" customHeight="false" outlineLevel="0" collapsed="false">
      <c r="A2726" s="707"/>
      <c r="B2726" s="708" t="s">
        <v>4128</v>
      </c>
      <c r="C2726" s="718"/>
      <c r="D2726" s="719"/>
      <c r="E2726" s="722"/>
      <c r="F2726" s="366"/>
      <c r="G2726" s="711" t="n">
        <f aca="false">SUM(G2719:G2725)</f>
        <v>979.2</v>
      </c>
      <c r="H2726" s="392"/>
    </row>
    <row r="2727" s="451" customFormat="true" ht="30" hidden="false" customHeight="false" outlineLevel="0" collapsed="false">
      <c r="A2727" s="707" t="s">
        <v>539</v>
      </c>
      <c r="B2727" s="487" t="s">
        <v>3101</v>
      </c>
      <c r="C2727" s="709" t="s">
        <v>4582</v>
      </c>
      <c r="D2727" s="679" t="s">
        <v>4133</v>
      </c>
      <c r="E2727" s="710" t="n">
        <v>0.0173</v>
      </c>
      <c r="F2727" s="369" t="n">
        <v>2321</v>
      </c>
      <c r="G2727" s="716" t="n">
        <f aca="false">E2727*F2727</f>
        <v>40.1533</v>
      </c>
      <c r="H2727" s="679"/>
    </row>
    <row r="2728" s="451" customFormat="true" ht="15" hidden="false" customHeight="false" outlineLevel="0" collapsed="false">
      <c r="A2728" s="707"/>
      <c r="B2728" s="522"/>
      <c r="C2728" s="709" t="s">
        <v>4652</v>
      </c>
      <c r="D2728" s="679" t="s">
        <v>4133</v>
      </c>
      <c r="E2728" s="710" t="n">
        <v>0.01</v>
      </c>
      <c r="F2728" s="369" t="n">
        <v>3400</v>
      </c>
      <c r="G2728" s="716" t="n">
        <f aca="false">E2728*F2728</f>
        <v>34</v>
      </c>
      <c r="H2728" s="679"/>
    </row>
    <row r="2729" s="451" customFormat="true" ht="15" hidden="false" customHeight="false" outlineLevel="0" collapsed="false">
      <c r="A2729" s="707"/>
      <c r="B2729" s="522"/>
      <c r="C2729" s="709" t="s">
        <v>4529</v>
      </c>
      <c r="D2729" s="679" t="s">
        <v>4133</v>
      </c>
      <c r="E2729" s="710" t="n">
        <v>0.03</v>
      </c>
      <c r="F2729" s="369" t="n">
        <v>1200</v>
      </c>
      <c r="G2729" s="716" t="n">
        <f aca="false">E2729*F2729</f>
        <v>36</v>
      </c>
      <c r="H2729" s="679"/>
    </row>
    <row r="2730" s="451" customFormat="true" ht="15" hidden="false" customHeight="false" outlineLevel="0" collapsed="false">
      <c r="A2730" s="707"/>
      <c r="B2730" s="522"/>
      <c r="C2730" s="709" t="s">
        <v>4147</v>
      </c>
      <c r="D2730" s="679" t="s">
        <v>4392</v>
      </c>
      <c r="E2730" s="710" t="n">
        <v>0.08</v>
      </c>
      <c r="F2730" s="723" t="n">
        <v>3612</v>
      </c>
      <c r="G2730" s="716" t="n">
        <f aca="false">E2730*F2730</f>
        <v>288.96</v>
      </c>
      <c r="H2730" s="679"/>
    </row>
    <row r="2731" s="451" customFormat="true" ht="15" hidden="false" customHeight="false" outlineLevel="0" collapsed="false">
      <c r="A2731" s="707"/>
      <c r="B2731" s="522"/>
      <c r="C2731" s="709" t="s">
        <v>4653</v>
      </c>
      <c r="D2731" s="679" t="s">
        <v>4133</v>
      </c>
      <c r="E2731" s="710" t="n">
        <v>0.045</v>
      </c>
      <c r="F2731" s="369" t="n">
        <v>2700</v>
      </c>
      <c r="G2731" s="716" t="n">
        <f aca="false">E2731*F2731</f>
        <v>121.5</v>
      </c>
      <c r="H2731" s="679"/>
    </row>
    <row r="2732" s="451" customFormat="true" ht="15" hidden="false" customHeight="false" outlineLevel="0" collapsed="false">
      <c r="A2732" s="707"/>
      <c r="B2732" s="522"/>
      <c r="C2732" s="709" t="s">
        <v>4154</v>
      </c>
      <c r="D2732" s="679" t="s">
        <v>4392</v>
      </c>
      <c r="E2732" s="710" t="n">
        <v>0.02</v>
      </c>
      <c r="F2732" s="721" t="n">
        <v>3500</v>
      </c>
      <c r="G2732" s="716" t="n">
        <f aca="false">E2732*F2732</f>
        <v>70</v>
      </c>
      <c r="H2732" s="679"/>
    </row>
    <row r="2733" s="451" customFormat="true" ht="15" hidden="false" customHeight="false" outlineLevel="0" collapsed="false">
      <c r="A2733" s="707"/>
      <c r="B2733" s="522"/>
      <c r="C2733" s="709" t="s">
        <v>4654</v>
      </c>
      <c r="D2733" s="679" t="s">
        <v>4133</v>
      </c>
      <c r="E2733" s="710" t="n">
        <v>0.02</v>
      </c>
      <c r="F2733" s="721" t="n">
        <v>3500</v>
      </c>
      <c r="G2733" s="716" t="n">
        <f aca="false">E2733*F2733</f>
        <v>70</v>
      </c>
      <c r="H2733" s="679"/>
    </row>
    <row r="2734" s="451" customFormat="true" ht="15" hidden="false" customHeight="false" outlineLevel="0" collapsed="false">
      <c r="A2734" s="707"/>
      <c r="B2734" s="522"/>
      <c r="C2734" s="709" t="s">
        <v>4122</v>
      </c>
      <c r="D2734" s="679" t="s">
        <v>4392</v>
      </c>
      <c r="E2734" s="710" t="n">
        <v>0.3</v>
      </c>
      <c r="F2734" s="721" t="n">
        <v>720</v>
      </c>
      <c r="G2734" s="716" t="n">
        <f aca="false">E2734*F2734</f>
        <v>216</v>
      </c>
      <c r="H2734" s="679"/>
    </row>
    <row r="2735" s="451" customFormat="true" ht="15" hidden="false" customHeight="false" outlineLevel="0" collapsed="false">
      <c r="A2735" s="707"/>
      <c r="B2735" s="522"/>
      <c r="C2735" s="709" t="s">
        <v>4515</v>
      </c>
      <c r="D2735" s="679" t="s">
        <v>4133</v>
      </c>
      <c r="E2735" s="710" t="n">
        <v>0.006</v>
      </c>
      <c r="F2735" s="369" t="n">
        <v>2700</v>
      </c>
      <c r="G2735" s="716" t="n">
        <f aca="false">E2735*F2735</f>
        <v>16.2</v>
      </c>
      <c r="H2735" s="679"/>
    </row>
    <row r="2736" s="451" customFormat="true" ht="15" hidden="false" customHeight="false" outlineLevel="0" collapsed="false">
      <c r="A2736" s="707"/>
      <c r="B2736" s="522"/>
      <c r="C2736" s="709" t="s">
        <v>4124</v>
      </c>
      <c r="D2736" s="679" t="s">
        <v>4516</v>
      </c>
      <c r="E2736" s="710" t="n">
        <v>1.5</v>
      </c>
      <c r="F2736" s="369" t="n">
        <v>120</v>
      </c>
      <c r="G2736" s="716" t="n">
        <f aca="false">E2736*F2736</f>
        <v>180</v>
      </c>
      <c r="H2736" s="679"/>
    </row>
    <row r="2737" s="451" customFormat="true" ht="15" hidden="false" customHeight="false" outlineLevel="0" collapsed="false">
      <c r="A2737" s="707"/>
      <c r="B2737" s="708" t="s">
        <v>4128</v>
      </c>
      <c r="C2737" s="718"/>
      <c r="D2737" s="719"/>
      <c r="E2737" s="722"/>
      <c r="F2737" s="366"/>
      <c r="G2737" s="711" t="n">
        <f aca="false">SUM(G2727:G2736)</f>
        <v>1072.8133</v>
      </c>
      <c r="H2737" s="392"/>
    </row>
    <row r="2738" s="451" customFormat="true" ht="15" hidden="false" customHeight="false" outlineLevel="0" collapsed="false">
      <c r="A2738" s="707" t="s">
        <v>4746</v>
      </c>
      <c r="B2738" s="487" t="s">
        <v>3014</v>
      </c>
      <c r="C2738" s="709" t="s">
        <v>4159</v>
      </c>
      <c r="D2738" s="679" t="s">
        <v>4133</v>
      </c>
      <c r="E2738" s="710" t="n">
        <v>0.01</v>
      </c>
      <c r="F2738" s="717" t="n">
        <v>557.76</v>
      </c>
      <c r="G2738" s="716" t="n">
        <f aca="false">E2738*F2738</f>
        <v>5.5776</v>
      </c>
      <c r="H2738" s="679"/>
    </row>
    <row r="2739" s="451" customFormat="true" ht="15" hidden="false" customHeight="false" outlineLevel="0" collapsed="false">
      <c r="A2739" s="707"/>
      <c r="B2739" s="522"/>
      <c r="C2739" s="709" t="s">
        <v>4265</v>
      </c>
      <c r="D2739" s="679" t="s">
        <v>4133</v>
      </c>
      <c r="E2739" s="710" t="n">
        <v>0.05</v>
      </c>
      <c r="F2739" s="369" t="n">
        <v>16650</v>
      </c>
      <c r="G2739" s="716" t="n">
        <f aca="false">E2739*F2739</f>
        <v>832.5</v>
      </c>
      <c r="H2739" s="679"/>
    </row>
    <row r="2740" s="451" customFormat="true" ht="15" hidden="false" customHeight="false" outlineLevel="0" collapsed="false">
      <c r="A2740" s="707"/>
      <c r="B2740" s="522"/>
      <c r="C2740" s="709" t="s">
        <v>4122</v>
      </c>
      <c r="D2740" s="679" t="s">
        <v>4392</v>
      </c>
      <c r="E2740" s="710" t="n">
        <v>0.7</v>
      </c>
      <c r="F2740" s="721" t="n">
        <v>720</v>
      </c>
      <c r="G2740" s="716" t="n">
        <f aca="false">E2740*F2740</f>
        <v>504</v>
      </c>
      <c r="H2740" s="679"/>
    </row>
    <row r="2741" s="451" customFormat="true" ht="15" hidden="false" customHeight="false" outlineLevel="0" collapsed="false">
      <c r="A2741" s="707"/>
      <c r="B2741" s="522"/>
      <c r="C2741" s="709" t="s">
        <v>4515</v>
      </c>
      <c r="D2741" s="679" t="s">
        <v>4133</v>
      </c>
      <c r="E2741" s="710" t="n">
        <v>0.006</v>
      </c>
      <c r="F2741" s="369" t="n">
        <v>2700</v>
      </c>
      <c r="G2741" s="716" t="n">
        <f aca="false">E2741*F2741</f>
        <v>16.2</v>
      </c>
      <c r="H2741" s="679"/>
    </row>
    <row r="2742" s="451" customFormat="true" ht="15" hidden="false" customHeight="false" outlineLevel="0" collapsed="false">
      <c r="A2742" s="707"/>
      <c r="B2742" s="522"/>
      <c r="C2742" s="709" t="s">
        <v>4124</v>
      </c>
      <c r="D2742" s="679" t="s">
        <v>4516</v>
      </c>
      <c r="E2742" s="710" t="n">
        <v>1.5</v>
      </c>
      <c r="F2742" s="369" t="n">
        <v>120</v>
      </c>
      <c r="G2742" s="716" t="n">
        <f aca="false">E2742*F2742</f>
        <v>180</v>
      </c>
      <c r="H2742" s="679"/>
    </row>
    <row r="2743" s="451" customFormat="true" ht="15" hidden="false" customHeight="false" outlineLevel="0" collapsed="false">
      <c r="A2743" s="707"/>
      <c r="B2743" s="708" t="s">
        <v>4128</v>
      </c>
      <c r="C2743" s="718"/>
      <c r="D2743" s="719"/>
      <c r="E2743" s="722"/>
      <c r="F2743" s="366"/>
      <c r="G2743" s="711" t="n">
        <f aca="false">SUM(G2738:G2742)</f>
        <v>1538.2776</v>
      </c>
      <c r="H2743" s="392"/>
    </row>
    <row r="2744" s="451" customFormat="true" ht="15" hidden="false" customHeight="false" outlineLevel="0" collapsed="false">
      <c r="A2744" s="707" t="s">
        <v>4747</v>
      </c>
      <c r="B2744" s="487" t="s">
        <v>3102</v>
      </c>
      <c r="C2744" s="709" t="s">
        <v>4189</v>
      </c>
      <c r="D2744" s="679" t="s">
        <v>4392</v>
      </c>
      <c r="E2744" s="710" t="n">
        <v>0.25</v>
      </c>
      <c r="F2744" s="729" t="n">
        <v>3500</v>
      </c>
      <c r="G2744" s="716" t="n">
        <f aca="false">E2744*F2744</f>
        <v>875</v>
      </c>
      <c r="H2744" s="679"/>
    </row>
    <row r="2745" s="451" customFormat="true" ht="15" hidden="false" customHeight="false" outlineLevel="0" collapsed="false">
      <c r="A2745" s="707"/>
      <c r="B2745" s="522"/>
      <c r="C2745" s="709" t="s">
        <v>4147</v>
      </c>
      <c r="D2745" s="679" t="s">
        <v>4392</v>
      </c>
      <c r="E2745" s="710" t="n">
        <v>0.25</v>
      </c>
      <c r="F2745" s="723" t="n">
        <v>3612</v>
      </c>
      <c r="G2745" s="716" t="n">
        <f aca="false">E2745*F2745</f>
        <v>903</v>
      </c>
      <c r="H2745" s="679"/>
    </row>
    <row r="2746" s="451" customFormat="true" ht="15" hidden="false" customHeight="false" outlineLevel="0" collapsed="false">
      <c r="A2746" s="707"/>
      <c r="B2746" s="522"/>
      <c r="C2746" s="709" t="s">
        <v>4277</v>
      </c>
      <c r="D2746" s="679" t="s">
        <v>4133</v>
      </c>
      <c r="E2746" s="710" t="n">
        <v>0.1</v>
      </c>
      <c r="F2746" s="369" t="n">
        <v>1116</v>
      </c>
      <c r="G2746" s="716" t="n">
        <f aca="false">E2746*F2746</f>
        <v>111.6</v>
      </c>
      <c r="H2746" s="679"/>
    </row>
    <row r="2747" s="451" customFormat="true" ht="15" hidden="false" customHeight="false" outlineLevel="0" collapsed="false">
      <c r="A2747" s="707"/>
      <c r="B2747" s="522"/>
      <c r="C2747" s="709" t="s">
        <v>4575</v>
      </c>
      <c r="D2747" s="679" t="s">
        <v>4133</v>
      </c>
      <c r="E2747" s="710" t="n">
        <v>0.01</v>
      </c>
      <c r="F2747" s="369" t="n">
        <v>24000</v>
      </c>
      <c r="G2747" s="716" t="n">
        <f aca="false">E2747*F2747</f>
        <v>240</v>
      </c>
      <c r="H2747" s="679"/>
    </row>
    <row r="2748" s="451" customFormat="true" ht="15" hidden="false" customHeight="false" outlineLevel="0" collapsed="false">
      <c r="A2748" s="707"/>
      <c r="B2748" s="522"/>
      <c r="C2748" s="709" t="s">
        <v>4165</v>
      </c>
      <c r="D2748" s="679" t="s">
        <v>4133</v>
      </c>
      <c r="E2748" s="710" t="n">
        <v>0.022675</v>
      </c>
      <c r="F2748" s="369" t="n">
        <v>1323</v>
      </c>
      <c r="G2748" s="716" t="n">
        <f aca="false">E2748*F2748</f>
        <v>29.999025</v>
      </c>
      <c r="H2748" s="679"/>
    </row>
    <row r="2749" s="451" customFormat="true" ht="15" hidden="false" customHeight="false" outlineLevel="0" collapsed="false">
      <c r="A2749" s="707"/>
      <c r="B2749" s="522"/>
      <c r="C2749" s="709" t="s">
        <v>4270</v>
      </c>
      <c r="D2749" s="679" t="s">
        <v>4392</v>
      </c>
      <c r="E2749" s="710" t="n">
        <v>0.01</v>
      </c>
      <c r="F2749" s="369" t="n">
        <v>1750</v>
      </c>
      <c r="G2749" s="716" t="n">
        <f aca="false">E2749*F2749</f>
        <v>17.5</v>
      </c>
      <c r="H2749" s="679"/>
    </row>
    <row r="2750" s="451" customFormat="true" ht="15" hidden="false" customHeight="false" outlineLevel="0" collapsed="false">
      <c r="A2750" s="707"/>
      <c r="B2750" s="522"/>
      <c r="C2750" s="709" t="s">
        <v>4122</v>
      </c>
      <c r="D2750" s="679" t="s">
        <v>4392</v>
      </c>
      <c r="E2750" s="710" t="n">
        <v>0.15</v>
      </c>
      <c r="F2750" s="721" t="n">
        <v>720</v>
      </c>
      <c r="G2750" s="716" t="n">
        <f aca="false">E2750*F2750</f>
        <v>108</v>
      </c>
      <c r="H2750" s="679"/>
    </row>
    <row r="2751" s="451" customFormat="true" ht="30" hidden="false" customHeight="false" outlineLevel="0" collapsed="false">
      <c r="A2751" s="707"/>
      <c r="B2751" s="522"/>
      <c r="C2751" s="709" t="s">
        <v>4748</v>
      </c>
      <c r="D2751" s="679" t="s">
        <v>4138</v>
      </c>
      <c r="E2751" s="710" t="n">
        <v>1</v>
      </c>
      <c r="F2751" s="369" t="n">
        <v>490</v>
      </c>
      <c r="G2751" s="716" t="n">
        <f aca="false">E2751*F2751</f>
        <v>490</v>
      </c>
      <c r="H2751" s="679"/>
    </row>
    <row r="2752" s="451" customFormat="true" ht="15" hidden="false" customHeight="false" outlineLevel="0" collapsed="false">
      <c r="A2752" s="707"/>
      <c r="B2752" s="522"/>
      <c r="C2752" s="709" t="s">
        <v>4515</v>
      </c>
      <c r="D2752" s="679" t="s">
        <v>4133</v>
      </c>
      <c r="E2752" s="725" t="n">
        <v>0.1</v>
      </c>
      <c r="F2752" s="369" t="n">
        <v>2700</v>
      </c>
      <c r="G2752" s="716" t="n">
        <f aca="false">E2752*F2752</f>
        <v>270</v>
      </c>
      <c r="H2752" s="679"/>
    </row>
    <row r="2753" s="451" customFormat="true" ht="15" hidden="false" customHeight="false" outlineLevel="0" collapsed="false">
      <c r="A2753" s="707"/>
      <c r="B2753" s="522"/>
      <c r="C2753" s="709" t="s">
        <v>4124</v>
      </c>
      <c r="D2753" s="679" t="s">
        <v>4516</v>
      </c>
      <c r="E2753" s="725" t="n">
        <v>1</v>
      </c>
      <c r="F2753" s="369" t="n">
        <v>120</v>
      </c>
      <c r="G2753" s="716" t="n">
        <f aca="false">E2753*F2753</f>
        <v>120</v>
      </c>
      <c r="H2753" s="679"/>
    </row>
    <row r="2754" s="451" customFormat="true" ht="15" hidden="false" customHeight="false" outlineLevel="0" collapsed="false">
      <c r="A2754" s="707"/>
      <c r="B2754" s="522"/>
      <c r="C2754" s="709" t="s">
        <v>4577</v>
      </c>
      <c r="D2754" s="679" t="s">
        <v>4578</v>
      </c>
      <c r="E2754" s="725" t="n">
        <v>0.01</v>
      </c>
      <c r="F2754" s="369" t="n">
        <v>27000</v>
      </c>
      <c r="G2754" s="716" t="n">
        <f aca="false">E2754*F2754</f>
        <v>270</v>
      </c>
      <c r="H2754" s="679"/>
    </row>
    <row r="2755" s="451" customFormat="true" ht="15" hidden="false" customHeight="false" outlineLevel="0" collapsed="false">
      <c r="A2755" s="707"/>
      <c r="B2755" s="708" t="s">
        <v>4128</v>
      </c>
      <c r="C2755" s="709"/>
      <c r="D2755" s="679"/>
      <c r="E2755" s="725"/>
      <c r="F2755" s="369"/>
      <c r="G2755" s="711" t="n">
        <f aca="false">SUM(G2744:G2754)</f>
        <v>3435.099025</v>
      </c>
      <c r="H2755" s="392"/>
    </row>
    <row r="2756" s="451" customFormat="true" ht="15" hidden="false" customHeight="false" outlineLevel="0" collapsed="false">
      <c r="A2756" s="707" t="s">
        <v>4749</v>
      </c>
      <c r="B2756" s="487" t="s">
        <v>3103</v>
      </c>
      <c r="C2756" s="709" t="s">
        <v>4189</v>
      </c>
      <c r="D2756" s="679" t="s">
        <v>4392</v>
      </c>
      <c r="E2756" s="725" t="n">
        <v>0.2</v>
      </c>
      <c r="F2756" s="729" t="n">
        <v>3500</v>
      </c>
      <c r="G2756" s="716" t="n">
        <f aca="false">E2756*F2756</f>
        <v>700</v>
      </c>
      <c r="H2756" s="679"/>
    </row>
    <row r="2757" s="451" customFormat="true" ht="15" hidden="false" customHeight="false" outlineLevel="0" collapsed="false">
      <c r="A2757" s="707"/>
      <c r="B2757" s="522"/>
      <c r="C2757" s="709" t="s">
        <v>4147</v>
      </c>
      <c r="D2757" s="679" t="s">
        <v>4392</v>
      </c>
      <c r="E2757" s="725" t="n">
        <v>0.2</v>
      </c>
      <c r="F2757" s="723" t="n">
        <v>3612</v>
      </c>
      <c r="G2757" s="716" t="n">
        <f aca="false">E2757*F2757</f>
        <v>722.4</v>
      </c>
      <c r="H2757" s="679"/>
    </row>
    <row r="2758" s="451" customFormat="true" ht="15" hidden="false" customHeight="false" outlineLevel="0" collapsed="false">
      <c r="A2758" s="707"/>
      <c r="B2758" s="522"/>
      <c r="C2758" s="709" t="s">
        <v>4277</v>
      </c>
      <c r="D2758" s="679" t="s">
        <v>4133</v>
      </c>
      <c r="E2758" s="725" t="n">
        <v>0.1</v>
      </c>
      <c r="F2758" s="369" t="n">
        <v>1116</v>
      </c>
      <c r="G2758" s="716" t="n">
        <f aca="false">E2758*F2758</f>
        <v>111.6</v>
      </c>
      <c r="H2758" s="679"/>
    </row>
    <row r="2759" s="451" customFormat="true" ht="15" hidden="false" customHeight="false" outlineLevel="0" collapsed="false">
      <c r="A2759" s="707"/>
      <c r="B2759" s="522"/>
      <c r="C2759" s="709" t="s">
        <v>4575</v>
      </c>
      <c r="D2759" s="679" t="s">
        <v>4133</v>
      </c>
      <c r="E2759" s="725" t="n">
        <v>0.01</v>
      </c>
      <c r="F2759" s="369" t="n">
        <v>24000</v>
      </c>
      <c r="G2759" s="716" t="n">
        <f aca="false">E2759*F2759</f>
        <v>240</v>
      </c>
      <c r="H2759" s="679"/>
    </row>
    <row r="2760" s="451" customFormat="true" ht="15" hidden="false" customHeight="false" outlineLevel="0" collapsed="false">
      <c r="A2760" s="707"/>
      <c r="B2760" s="522"/>
      <c r="C2760" s="709" t="s">
        <v>4165</v>
      </c>
      <c r="D2760" s="679" t="s">
        <v>4133</v>
      </c>
      <c r="E2760" s="710" t="n">
        <v>0.022673</v>
      </c>
      <c r="F2760" s="369" t="n">
        <v>1750</v>
      </c>
      <c r="G2760" s="716" t="n">
        <f aca="false">E2760*F2760</f>
        <v>39.67775</v>
      </c>
      <c r="H2760" s="679"/>
    </row>
    <row r="2761" s="451" customFormat="true" ht="15" hidden="false" customHeight="false" outlineLevel="0" collapsed="false">
      <c r="A2761" s="707"/>
      <c r="B2761" s="522"/>
      <c r="C2761" s="709" t="s">
        <v>4270</v>
      </c>
      <c r="D2761" s="679" t="s">
        <v>4392</v>
      </c>
      <c r="E2761" s="710" t="n">
        <v>0.1</v>
      </c>
      <c r="F2761" s="369" t="n">
        <v>1750</v>
      </c>
      <c r="G2761" s="716" t="n">
        <f aca="false">E2761*F2761</f>
        <v>175</v>
      </c>
      <c r="H2761" s="679"/>
    </row>
    <row r="2762" s="451" customFormat="true" ht="15" hidden="false" customHeight="false" outlineLevel="0" collapsed="false">
      <c r="A2762" s="707"/>
      <c r="B2762" s="522"/>
      <c r="C2762" s="709" t="s">
        <v>4122</v>
      </c>
      <c r="D2762" s="679" t="s">
        <v>4392</v>
      </c>
      <c r="E2762" s="725" t="n">
        <v>0.15</v>
      </c>
      <c r="F2762" s="721" t="n">
        <v>720</v>
      </c>
      <c r="G2762" s="716" t="n">
        <f aca="false">E2762*F2762</f>
        <v>108</v>
      </c>
      <c r="H2762" s="679"/>
    </row>
    <row r="2763" s="451" customFormat="true" ht="21" hidden="false" customHeight="true" outlineLevel="0" collapsed="false">
      <c r="A2763" s="707"/>
      <c r="B2763" s="522"/>
      <c r="C2763" s="709" t="s">
        <v>4561</v>
      </c>
      <c r="D2763" s="679" t="s">
        <v>4138</v>
      </c>
      <c r="E2763" s="725" t="n">
        <v>1</v>
      </c>
      <c r="F2763" s="369" t="n">
        <v>490</v>
      </c>
      <c r="G2763" s="716" t="n">
        <f aca="false">E2763*F2763</f>
        <v>490</v>
      </c>
      <c r="H2763" s="679"/>
    </row>
    <row r="2764" s="451" customFormat="true" ht="15" hidden="false" customHeight="false" outlineLevel="0" collapsed="false">
      <c r="A2764" s="707"/>
      <c r="B2764" s="522"/>
      <c r="C2764" s="709" t="s">
        <v>4515</v>
      </c>
      <c r="D2764" s="679" t="s">
        <v>4133</v>
      </c>
      <c r="E2764" s="725" t="n">
        <v>0.1</v>
      </c>
      <c r="F2764" s="369" t="n">
        <v>2700</v>
      </c>
      <c r="G2764" s="716" t="n">
        <f aca="false">E2764*F2764</f>
        <v>270</v>
      </c>
      <c r="H2764" s="679"/>
    </row>
    <row r="2765" s="451" customFormat="true" ht="15" hidden="false" customHeight="false" outlineLevel="0" collapsed="false">
      <c r="A2765" s="707"/>
      <c r="B2765" s="522"/>
      <c r="C2765" s="709" t="s">
        <v>4124</v>
      </c>
      <c r="D2765" s="679" t="s">
        <v>4516</v>
      </c>
      <c r="E2765" s="725" t="n">
        <v>1</v>
      </c>
      <c r="F2765" s="369" t="n">
        <v>120</v>
      </c>
      <c r="G2765" s="716" t="n">
        <f aca="false">E2765*F2765</f>
        <v>120</v>
      </c>
      <c r="H2765" s="679"/>
    </row>
    <row r="2766" s="451" customFormat="true" ht="15" hidden="false" customHeight="false" outlineLevel="0" collapsed="false">
      <c r="A2766" s="707"/>
      <c r="B2766" s="522"/>
      <c r="C2766" s="709" t="s">
        <v>4577</v>
      </c>
      <c r="D2766" s="679" t="s">
        <v>4578</v>
      </c>
      <c r="E2766" s="725" t="n">
        <v>0.01</v>
      </c>
      <c r="F2766" s="369" t="n">
        <v>27000</v>
      </c>
      <c r="G2766" s="716" t="n">
        <f aca="false">E2766*F2766</f>
        <v>270</v>
      </c>
      <c r="H2766" s="679"/>
    </row>
    <row r="2767" s="451" customFormat="true" ht="15" hidden="false" customHeight="false" outlineLevel="0" collapsed="false">
      <c r="A2767" s="707"/>
      <c r="B2767" s="708" t="s">
        <v>4128</v>
      </c>
      <c r="C2767" s="709"/>
      <c r="D2767" s="679"/>
      <c r="E2767" s="725"/>
      <c r="F2767" s="369"/>
      <c r="G2767" s="711" t="n">
        <f aca="false">SUM(G2756:G2766)</f>
        <v>3246.67775</v>
      </c>
      <c r="H2767" s="392"/>
    </row>
    <row r="2768" s="451" customFormat="true" ht="15" hidden="false" customHeight="false" outlineLevel="0" collapsed="false">
      <c r="A2768" s="707" t="s">
        <v>546</v>
      </c>
      <c r="B2768" s="487" t="s">
        <v>3104</v>
      </c>
      <c r="C2768" s="709" t="s">
        <v>4580</v>
      </c>
      <c r="D2768" s="679" t="s">
        <v>4133</v>
      </c>
      <c r="E2768" s="725" t="n">
        <v>0.15</v>
      </c>
      <c r="F2768" s="369" t="n">
        <v>1690</v>
      </c>
      <c r="G2768" s="716" t="n">
        <f aca="false">E2768*F2768</f>
        <v>253.5</v>
      </c>
      <c r="H2768" s="679"/>
    </row>
    <row r="2769" s="451" customFormat="true" ht="15" hidden="false" customHeight="false" outlineLevel="0" collapsed="false">
      <c r="A2769" s="707"/>
      <c r="B2769" s="522"/>
      <c r="C2769" s="709" t="s">
        <v>4750</v>
      </c>
      <c r="D2769" s="679" t="s">
        <v>4133</v>
      </c>
      <c r="E2769" s="725" t="n">
        <v>0.01</v>
      </c>
      <c r="F2769" s="369" t="n">
        <v>21000</v>
      </c>
      <c r="G2769" s="716" t="n">
        <f aca="false">E2769*F2769</f>
        <v>210</v>
      </c>
      <c r="H2769" s="679"/>
    </row>
    <row r="2770" s="451" customFormat="true" ht="30" hidden="false" customHeight="false" outlineLevel="0" collapsed="false">
      <c r="A2770" s="707"/>
      <c r="B2770" s="522"/>
      <c r="C2770" s="709" t="s">
        <v>4581</v>
      </c>
      <c r="D2770" s="679" t="s">
        <v>4133</v>
      </c>
      <c r="E2770" s="725" t="n">
        <v>0.01</v>
      </c>
      <c r="F2770" s="369" t="n">
        <v>118100</v>
      </c>
      <c r="G2770" s="716" t="n">
        <f aca="false">E2770*F2770</f>
        <v>1181</v>
      </c>
      <c r="H2770" s="679"/>
    </row>
    <row r="2771" s="451" customFormat="true" ht="15" hidden="false" customHeight="false" outlineLevel="0" collapsed="false">
      <c r="A2771" s="707"/>
      <c r="B2771" s="522"/>
      <c r="C2771" s="709" t="s">
        <v>4582</v>
      </c>
      <c r="D2771" s="679" t="s">
        <v>4133</v>
      </c>
      <c r="E2771" s="710" t="n">
        <v>0.1</v>
      </c>
      <c r="F2771" s="369" t="n">
        <v>2100</v>
      </c>
      <c r="G2771" s="716" t="n">
        <f aca="false">E2771*F2771</f>
        <v>210</v>
      </c>
      <c r="H2771" s="679"/>
    </row>
    <row r="2772" s="451" customFormat="true" ht="15" hidden="false" customHeight="false" outlineLevel="0" collapsed="false">
      <c r="A2772" s="707"/>
      <c r="B2772" s="522"/>
      <c r="C2772" s="709" t="s">
        <v>4583</v>
      </c>
      <c r="D2772" s="679" t="s">
        <v>4138</v>
      </c>
      <c r="E2772" s="710" t="n">
        <v>1</v>
      </c>
      <c r="F2772" s="369" t="n">
        <v>490</v>
      </c>
      <c r="G2772" s="716" t="n">
        <f aca="false">E2772*F2772</f>
        <v>490</v>
      </c>
      <c r="H2772" s="679"/>
    </row>
    <row r="2773" s="451" customFormat="true" ht="15" hidden="false" customHeight="false" outlineLevel="0" collapsed="false">
      <c r="A2773" s="707"/>
      <c r="B2773" s="522"/>
      <c r="C2773" s="709" t="s">
        <v>4584</v>
      </c>
      <c r="D2773" s="679" t="s">
        <v>4133</v>
      </c>
      <c r="E2773" s="710" t="n">
        <v>0.05</v>
      </c>
      <c r="F2773" s="369" t="n">
        <v>1901</v>
      </c>
      <c r="G2773" s="716" t="n">
        <f aca="false">E2773*F2773</f>
        <v>95.05</v>
      </c>
      <c r="H2773" s="679"/>
    </row>
    <row r="2774" s="451" customFormat="true" ht="15" hidden="false" customHeight="false" outlineLevel="0" collapsed="false">
      <c r="A2774" s="707"/>
      <c r="B2774" s="522"/>
      <c r="C2774" s="709" t="s">
        <v>4585</v>
      </c>
      <c r="D2774" s="679" t="s">
        <v>4133</v>
      </c>
      <c r="E2774" s="710" t="n">
        <v>0.03</v>
      </c>
      <c r="F2774" s="369" t="n">
        <v>8900</v>
      </c>
      <c r="G2774" s="716" t="n">
        <f aca="false">E2774*F2774</f>
        <v>267</v>
      </c>
      <c r="H2774" s="679"/>
    </row>
    <row r="2775" s="451" customFormat="true" ht="15" hidden="false" customHeight="false" outlineLevel="0" collapsed="false">
      <c r="A2775" s="707"/>
      <c r="B2775" s="522"/>
      <c r="C2775" s="709" t="s">
        <v>4201</v>
      </c>
      <c r="D2775" s="679" t="s">
        <v>4133</v>
      </c>
      <c r="E2775" s="710" t="n">
        <v>0.04</v>
      </c>
      <c r="F2775" s="721" t="n">
        <v>27000</v>
      </c>
      <c r="G2775" s="716" t="n">
        <f aca="false">E2775*F2775</f>
        <v>1080</v>
      </c>
      <c r="H2775" s="679"/>
    </row>
    <row r="2776" s="451" customFormat="true" ht="15" hidden="false" customHeight="false" outlineLevel="0" collapsed="false">
      <c r="A2776" s="707"/>
      <c r="B2776" s="522"/>
      <c r="C2776" s="709" t="s">
        <v>4122</v>
      </c>
      <c r="D2776" s="679" t="s">
        <v>4392</v>
      </c>
      <c r="E2776" s="710" t="n">
        <v>0.25</v>
      </c>
      <c r="F2776" s="721" t="n">
        <v>720</v>
      </c>
      <c r="G2776" s="716" t="n">
        <f aca="false">E2776*F2776</f>
        <v>180</v>
      </c>
      <c r="H2776" s="679"/>
    </row>
    <row r="2777" s="451" customFormat="true" ht="15" hidden="false" customHeight="false" outlineLevel="0" collapsed="false">
      <c r="A2777" s="707"/>
      <c r="B2777" s="522"/>
      <c r="C2777" s="709" t="s">
        <v>4154</v>
      </c>
      <c r="D2777" s="679" t="s">
        <v>4392</v>
      </c>
      <c r="E2777" s="710" t="n">
        <v>0.04</v>
      </c>
      <c r="F2777" s="721" t="n">
        <v>3500</v>
      </c>
      <c r="G2777" s="716" t="n">
        <f aca="false">E2777*F2777</f>
        <v>140</v>
      </c>
      <c r="H2777" s="679"/>
    </row>
    <row r="2778" s="451" customFormat="true" ht="15" hidden="false" customHeight="false" outlineLevel="0" collapsed="false">
      <c r="A2778" s="707"/>
      <c r="B2778" s="522"/>
      <c r="C2778" s="709" t="s">
        <v>4515</v>
      </c>
      <c r="D2778" s="679" t="s">
        <v>4133</v>
      </c>
      <c r="E2778" s="710" t="n">
        <v>0.006</v>
      </c>
      <c r="F2778" s="369" t="n">
        <v>2700</v>
      </c>
      <c r="G2778" s="716" t="n">
        <f aca="false">E2778*F2778</f>
        <v>16.2</v>
      </c>
      <c r="H2778" s="679"/>
    </row>
    <row r="2779" s="451" customFormat="true" ht="15" hidden="false" customHeight="false" outlineLevel="0" collapsed="false">
      <c r="A2779" s="707"/>
      <c r="B2779" s="522"/>
      <c r="C2779" s="709" t="s">
        <v>4124</v>
      </c>
      <c r="D2779" s="679" t="s">
        <v>4516</v>
      </c>
      <c r="E2779" s="710" t="n">
        <v>0.1429</v>
      </c>
      <c r="F2779" s="369" t="n">
        <v>120</v>
      </c>
      <c r="G2779" s="716" t="n">
        <f aca="false">E2779*F2779</f>
        <v>17.148</v>
      </c>
      <c r="H2779" s="679"/>
    </row>
    <row r="2780" s="451" customFormat="true" ht="15" hidden="false" customHeight="false" outlineLevel="0" collapsed="false">
      <c r="A2780" s="707"/>
      <c r="B2780" s="522"/>
      <c r="C2780" s="709" t="s">
        <v>4586</v>
      </c>
      <c r="D2780" s="679" t="s">
        <v>4578</v>
      </c>
      <c r="E2780" s="710" t="n">
        <v>0.01</v>
      </c>
      <c r="F2780" s="369" t="n">
        <v>27000</v>
      </c>
      <c r="G2780" s="716" t="n">
        <f aca="false">E2780*F2780</f>
        <v>270</v>
      </c>
      <c r="H2780" s="679"/>
    </row>
    <row r="2781" s="451" customFormat="true" ht="15" hidden="false" customHeight="false" outlineLevel="0" collapsed="false">
      <c r="A2781" s="707"/>
      <c r="B2781" s="708" t="s">
        <v>4128</v>
      </c>
      <c r="C2781" s="709"/>
      <c r="D2781" s="679"/>
      <c r="E2781" s="710"/>
      <c r="F2781" s="369"/>
      <c r="G2781" s="711" t="n">
        <f aca="false">SUM(G2768:G2780)</f>
        <v>4409.898</v>
      </c>
      <c r="H2781" s="392"/>
    </row>
    <row r="2782" s="451" customFormat="true" ht="15" hidden="false" customHeight="false" outlineLevel="0" collapsed="false">
      <c r="A2782" s="707" t="s">
        <v>4751</v>
      </c>
      <c r="B2782" s="487" t="s">
        <v>3105</v>
      </c>
      <c r="C2782" s="709" t="s">
        <v>4189</v>
      </c>
      <c r="D2782" s="679" t="s">
        <v>4392</v>
      </c>
      <c r="E2782" s="710" t="n">
        <v>0.2</v>
      </c>
      <c r="F2782" s="729" t="n">
        <v>3500</v>
      </c>
      <c r="G2782" s="716" t="n">
        <f aca="false">E2782*F2782</f>
        <v>700</v>
      </c>
      <c r="H2782" s="679"/>
    </row>
    <row r="2783" s="451" customFormat="true" ht="15" hidden="false" customHeight="false" outlineLevel="0" collapsed="false">
      <c r="A2783" s="707"/>
      <c r="B2783" s="522"/>
      <c r="C2783" s="709" t="s">
        <v>4147</v>
      </c>
      <c r="D2783" s="679" t="s">
        <v>4392</v>
      </c>
      <c r="E2783" s="710" t="n">
        <v>0.2</v>
      </c>
      <c r="F2783" s="723" t="n">
        <v>3612</v>
      </c>
      <c r="G2783" s="716" t="n">
        <f aca="false">E2783*F2783</f>
        <v>722.4</v>
      </c>
      <c r="H2783" s="679"/>
    </row>
    <row r="2784" s="451" customFormat="true" ht="15" hidden="false" customHeight="false" outlineLevel="0" collapsed="false">
      <c r="A2784" s="707"/>
      <c r="B2784" s="522"/>
      <c r="C2784" s="709" t="s">
        <v>4277</v>
      </c>
      <c r="D2784" s="679" t="s">
        <v>4133</v>
      </c>
      <c r="E2784" s="710" t="n">
        <v>0.1</v>
      </c>
      <c r="F2784" s="369" t="n">
        <v>1116</v>
      </c>
      <c r="G2784" s="716" t="n">
        <f aca="false">E2784*F2784</f>
        <v>111.6</v>
      </c>
      <c r="H2784" s="679"/>
    </row>
    <row r="2785" s="451" customFormat="true" ht="15" hidden="false" customHeight="false" outlineLevel="0" collapsed="false">
      <c r="A2785" s="707"/>
      <c r="B2785" s="522"/>
      <c r="C2785" s="709" t="s">
        <v>4575</v>
      </c>
      <c r="D2785" s="679" t="s">
        <v>4133</v>
      </c>
      <c r="E2785" s="710" t="n">
        <v>0.01</v>
      </c>
      <c r="F2785" s="369" t="n">
        <v>1323</v>
      </c>
      <c r="G2785" s="716" t="n">
        <f aca="false">E2785*F2785</f>
        <v>13.23</v>
      </c>
      <c r="H2785" s="679"/>
    </row>
    <row r="2786" s="451" customFormat="true" ht="15" hidden="false" customHeight="false" outlineLevel="0" collapsed="false">
      <c r="A2786" s="707"/>
      <c r="B2786" s="522"/>
      <c r="C2786" s="709" t="s">
        <v>4165</v>
      </c>
      <c r="D2786" s="679" t="s">
        <v>4133</v>
      </c>
      <c r="E2786" s="710" t="n">
        <v>0.3</v>
      </c>
      <c r="F2786" s="369" t="n">
        <v>1323</v>
      </c>
      <c r="G2786" s="716" t="n">
        <f aca="false">E2786*F2786</f>
        <v>396.9</v>
      </c>
      <c r="H2786" s="679"/>
    </row>
    <row r="2787" s="451" customFormat="true" ht="15" hidden="false" customHeight="false" outlineLevel="0" collapsed="false">
      <c r="A2787" s="707"/>
      <c r="B2787" s="522"/>
      <c r="C2787" s="709" t="s">
        <v>4270</v>
      </c>
      <c r="D2787" s="679" t="s">
        <v>4392</v>
      </c>
      <c r="E2787" s="710" t="n">
        <v>1</v>
      </c>
      <c r="F2787" s="369" t="n">
        <v>1750</v>
      </c>
      <c r="G2787" s="716" t="n">
        <f aca="false">E2787*F2787</f>
        <v>1750</v>
      </c>
      <c r="H2787" s="679"/>
    </row>
    <row r="2788" s="451" customFormat="true" ht="15" hidden="false" customHeight="false" outlineLevel="0" collapsed="false">
      <c r="A2788" s="707"/>
      <c r="B2788" s="522"/>
      <c r="C2788" s="709" t="s">
        <v>4122</v>
      </c>
      <c r="D2788" s="679" t="s">
        <v>4392</v>
      </c>
      <c r="E2788" s="710" t="n">
        <v>0.3</v>
      </c>
      <c r="F2788" s="721" t="n">
        <v>720</v>
      </c>
      <c r="G2788" s="716" t="n">
        <f aca="false">E2788*F2788</f>
        <v>216</v>
      </c>
      <c r="H2788" s="679"/>
    </row>
    <row r="2789" s="451" customFormat="true" ht="21" hidden="false" customHeight="true" outlineLevel="0" collapsed="false">
      <c r="A2789" s="707"/>
      <c r="B2789" s="522"/>
      <c r="C2789" s="709" t="s">
        <v>4594</v>
      </c>
      <c r="D2789" s="679" t="s">
        <v>4138</v>
      </c>
      <c r="E2789" s="710" t="n">
        <v>0.1</v>
      </c>
      <c r="F2789" s="369" t="n">
        <v>2500</v>
      </c>
      <c r="G2789" s="716" t="n">
        <f aca="false">E2789*F2789</f>
        <v>250</v>
      </c>
      <c r="H2789" s="679"/>
    </row>
    <row r="2790" s="451" customFormat="true" ht="15" hidden="false" customHeight="false" outlineLevel="0" collapsed="false">
      <c r="A2790" s="707"/>
      <c r="B2790" s="522"/>
      <c r="C2790" s="709" t="s">
        <v>4515</v>
      </c>
      <c r="D2790" s="679" t="s">
        <v>4133</v>
      </c>
      <c r="E2790" s="710" t="n">
        <v>0.006</v>
      </c>
      <c r="F2790" s="369" t="n">
        <v>2700</v>
      </c>
      <c r="G2790" s="716" t="n">
        <f aca="false">E2790*F2790</f>
        <v>16.2</v>
      </c>
      <c r="H2790" s="679"/>
    </row>
    <row r="2791" s="451" customFormat="true" ht="15" hidden="false" customHeight="false" outlineLevel="0" collapsed="false">
      <c r="A2791" s="707"/>
      <c r="B2791" s="522"/>
      <c r="C2791" s="709" t="s">
        <v>4124</v>
      </c>
      <c r="D2791" s="679" t="s">
        <v>4516</v>
      </c>
      <c r="E2791" s="710" t="n">
        <v>0.1579</v>
      </c>
      <c r="F2791" s="369" t="n">
        <v>120</v>
      </c>
      <c r="G2791" s="716" t="n">
        <f aca="false">E2791*F2791</f>
        <v>18.948</v>
      </c>
      <c r="H2791" s="679"/>
    </row>
    <row r="2792" s="451" customFormat="true" ht="15" hidden="false" customHeight="false" outlineLevel="0" collapsed="false">
      <c r="A2792" s="707"/>
      <c r="B2792" s="522"/>
      <c r="C2792" s="709" t="s">
        <v>4586</v>
      </c>
      <c r="D2792" s="679" t="s">
        <v>4578</v>
      </c>
      <c r="E2792" s="710" t="n">
        <v>0.01</v>
      </c>
      <c r="F2792" s="369" t="n">
        <v>27000</v>
      </c>
      <c r="G2792" s="716" t="n">
        <f aca="false">E2792*F2792</f>
        <v>270</v>
      </c>
      <c r="H2792" s="679"/>
    </row>
    <row r="2793" s="451" customFormat="true" ht="15" hidden="false" customHeight="false" outlineLevel="0" collapsed="false">
      <c r="A2793" s="707"/>
      <c r="B2793" s="708" t="s">
        <v>4128</v>
      </c>
      <c r="C2793" s="709"/>
      <c r="D2793" s="679"/>
      <c r="E2793" s="710"/>
      <c r="F2793" s="369"/>
      <c r="G2793" s="711" t="n">
        <f aca="false">SUM(G2782:G2792)</f>
        <v>4465.278</v>
      </c>
      <c r="H2793" s="392"/>
    </row>
    <row r="2794" s="451" customFormat="true" ht="15" hidden="false" customHeight="false" outlineLevel="0" collapsed="false">
      <c r="A2794" s="707" t="s">
        <v>4752</v>
      </c>
      <c r="B2794" s="487" t="s">
        <v>3106</v>
      </c>
      <c r="C2794" s="709" t="s">
        <v>4671</v>
      </c>
      <c r="D2794" s="679" t="s">
        <v>4133</v>
      </c>
      <c r="E2794" s="710" t="n">
        <v>0.14</v>
      </c>
      <c r="F2794" s="369" t="n">
        <v>845</v>
      </c>
      <c r="G2794" s="716" t="n">
        <f aca="false">E2794*F2794</f>
        <v>118.3</v>
      </c>
      <c r="H2794" s="679"/>
    </row>
    <row r="2795" s="451" customFormat="true" ht="15" hidden="false" customHeight="false" outlineLevel="0" collapsed="false">
      <c r="A2795" s="707"/>
      <c r="B2795" s="487"/>
      <c r="C2795" s="709" t="s">
        <v>4672</v>
      </c>
      <c r="D2795" s="679" t="s">
        <v>4392</v>
      </c>
      <c r="E2795" s="710" t="n">
        <v>0.0126</v>
      </c>
      <c r="F2795" s="369" t="n">
        <v>25500</v>
      </c>
      <c r="G2795" s="716" t="n">
        <f aca="false">E2795*F2795</f>
        <v>321.3</v>
      </c>
      <c r="H2795" s="679"/>
    </row>
    <row r="2796" s="451" customFormat="true" ht="15" hidden="false" customHeight="false" outlineLevel="0" collapsed="false">
      <c r="A2796" s="707"/>
      <c r="B2796" s="487"/>
      <c r="C2796" s="709" t="s">
        <v>4250</v>
      </c>
      <c r="D2796" s="679" t="s">
        <v>4392</v>
      </c>
      <c r="E2796" s="710" t="n">
        <v>0.013</v>
      </c>
      <c r="F2796" s="369" t="n">
        <v>27000</v>
      </c>
      <c r="G2796" s="716" t="n">
        <f aca="false">E2796*F2796</f>
        <v>351</v>
      </c>
      <c r="H2796" s="679"/>
    </row>
    <row r="2797" s="451" customFormat="true" ht="15" hidden="false" customHeight="false" outlineLevel="0" collapsed="false">
      <c r="A2797" s="707"/>
      <c r="B2797" s="487"/>
      <c r="C2797" s="709" t="s">
        <v>4205</v>
      </c>
      <c r="D2797" s="679" t="s">
        <v>4392</v>
      </c>
      <c r="E2797" s="710" t="n">
        <v>0.07</v>
      </c>
      <c r="F2797" s="717" t="n">
        <v>7875</v>
      </c>
      <c r="G2797" s="716" t="n">
        <f aca="false">E2797*F2797</f>
        <v>551.25</v>
      </c>
      <c r="H2797" s="679"/>
    </row>
    <row r="2798" s="451" customFormat="true" ht="15" hidden="false" customHeight="false" outlineLevel="0" collapsed="false">
      <c r="A2798" s="707"/>
      <c r="B2798" s="487"/>
      <c r="C2798" s="709" t="s">
        <v>4171</v>
      </c>
      <c r="D2798" s="679" t="s">
        <v>4392</v>
      </c>
      <c r="E2798" s="710" t="n">
        <v>0.1</v>
      </c>
      <c r="F2798" s="717" t="n">
        <v>2700</v>
      </c>
      <c r="G2798" s="716" t="n">
        <f aca="false">E2798*F2798</f>
        <v>270</v>
      </c>
      <c r="H2798" s="679"/>
    </row>
    <row r="2799" s="451" customFormat="true" ht="15" hidden="false" customHeight="false" outlineLevel="0" collapsed="false">
      <c r="A2799" s="707"/>
      <c r="B2799" s="487"/>
      <c r="C2799" s="709" t="s">
        <v>4545</v>
      </c>
      <c r="D2799" s="679" t="s">
        <v>4133</v>
      </c>
      <c r="E2799" s="710" t="n">
        <v>0.12</v>
      </c>
      <c r="F2799" s="369" t="n">
        <v>1071</v>
      </c>
      <c r="G2799" s="716" t="n">
        <f aca="false">E2799*F2799</f>
        <v>128.52</v>
      </c>
      <c r="H2799" s="679"/>
    </row>
    <row r="2800" s="451" customFormat="true" ht="15" hidden="false" customHeight="false" outlineLevel="0" collapsed="false">
      <c r="A2800" s="707"/>
      <c r="B2800" s="487"/>
      <c r="C2800" s="709" t="s">
        <v>4604</v>
      </c>
      <c r="D2800" s="679" t="s">
        <v>4392</v>
      </c>
      <c r="E2800" s="710" t="n">
        <v>0.0063945</v>
      </c>
      <c r="F2800" s="369" t="n">
        <v>115000</v>
      </c>
      <c r="G2800" s="716" t="n">
        <f aca="false">E2800*F2800</f>
        <v>735.3675</v>
      </c>
      <c r="H2800" s="679"/>
    </row>
    <row r="2801" s="451" customFormat="true" ht="15" hidden="false" customHeight="false" outlineLevel="0" collapsed="false">
      <c r="A2801" s="707"/>
      <c r="B2801" s="487"/>
      <c r="C2801" s="709" t="s">
        <v>4580</v>
      </c>
      <c r="D2801" s="679" t="s">
        <v>4133</v>
      </c>
      <c r="E2801" s="710" t="n">
        <v>0.015</v>
      </c>
      <c r="F2801" s="369" t="n">
        <v>1690</v>
      </c>
      <c r="G2801" s="716" t="n">
        <f aca="false">E2801*F2801</f>
        <v>25.35</v>
      </c>
      <c r="H2801" s="679"/>
    </row>
    <row r="2802" s="451" customFormat="true" ht="15" hidden="false" customHeight="false" outlineLevel="0" collapsed="false">
      <c r="A2802" s="707"/>
      <c r="B2802" s="487"/>
      <c r="C2802" s="709" t="s">
        <v>4317</v>
      </c>
      <c r="D2802" s="679" t="s">
        <v>4392</v>
      </c>
      <c r="E2802" s="710" t="n">
        <v>0.1</v>
      </c>
      <c r="F2802" s="724" t="n">
        <v>16500</v>
      </c>
      <c r="G2802" s="716" t="n">
        <f aca="false">E2802*F2802</f>
        <v>1650</v>
      </c>
      <c r="H2802" s="679"/>
    </row>
    <row r="2803" s="451" customFormat="true" ht="15" hidden="false" customHeight="false" outlineLevel="0" collapsed="false">
      <c r="A2803" s="707"/>
      <c r="B2803" s="522"/>
      <c r="C2803" s="709" t="s">
        <v>4485</v>
      </c>
      <c r="D2803" s="679" t="s">
        <v>4133</v>
      </c>
      <c r="E2803" s="710" t="n">
        <v>0.02</v>
      </c>
      <c r="F2803" s="369" t="n">
        <v>3500</v>
      </c>
      <c r="G2803" s="716" t="n">
        <f aca="false">E2803*F2803</f>
        <v>70</v>
      </c>
      <c r="H2803" s="679"/>
    </row>
    <row r="2804" s="451" customFormat="true" ht="15" hidden="false" customHeight="false" outlineLevel="0" collapsed="false">
      <c r="A2804" s="707"/>
      <c r="B2804" s="522"/>
      <c r="C2804" s="709" t="s">
        <v>4673</v>
      </c>
      <c r="D2804" s="679" t="s">
        <v>4133</v>
      </c>
      <c r="E2804" s="710" t="n">
        <v>0.0016</v>
      </c>
      <c r="F2804" s="369" t="n">
        <v>7321.43</v>
      </c>
      <c r="G2804" s="716" t="n">
        <f aca="false">E2804*F2804</f>
        <v>11.714288</v>
      </c>
      <c r="H2804" s="679"/>
    </row>
    <row r="2805" s="451" customFormat="true" ht="15" hidden="false" customHeight="false" outlineLevel="0" collapsed="false">
      <c r="A2805" s="707"/>
      <c r="B2805" s="522"/>
      <c r="C2805" s="709" t="s">
        <v>4655</v>
      </c>
      <c r="D2805" s="679" t="s">
        <v>4392</v>
      </c>
      <c r="E2805" s="710" t="n">
        <v>0.005684</v>
      </c>
      <c r="F2805" s="369" t="n">
        <v>9500</v>
      </c>
      <c r="G2805" s="716" t="n">
        <f aca="false">E2805*F2805</f>
        <v>53.998</v>
      </c>
      <c r="H2805" s="679"/>
    </row>
    <row r="2806" s="451" customFormat="true" ht="15" hidden="false" customHeight="false" outlineLevel="0" collapsed="false">
      <c r="A2806" s="707"/>
      <c r="B2806" s="522"/>
      <c r="C2806" s="709" t="s">
        <v>4674</v>
      </c>
      <c r="D2806" s="679" t="s">
        <v>4138</v>
      </c>
      <c r="E2806" s="710" t="n">
        <v>0.05</v>
      </c>
      <c r="F2806" s="369" t="n">
        <v>81000</v>
      </c>
      <c r="G2806" s="716" t="n">
        <f aca="false">E2806*F2806</f>
        <v>4050</v>
      </c>
      <c r="H2806" s="679"/>
    </row>
    <row r="2807" s="451" customFormat="true" ht="15" hidden="false" customHeight="false" outlineLevel="0" collapsed="false">
      <c r="A2807" s="707"/>
      <c r="B2807" s="522"/>
      <c r="C2807" s="709" t="s">
        <v>4675</v>
      </c>
      <c r="D2807" s="679" t="s">
        <v>4138</v>
      </c>
      <c r="E2807" s="710" t="n">
        <v>0.05</v>
      </c>
      <c r="F2807" s="369" t="n">
        <v>81000</v>
      </c>
      <c r="G2807" s="716" t="n">
        <f aca="false">E2807*F2807</f>
        <v>4050</v>
      </c>
      <c r="H2807" s="679"/>
    </row>
    <row r="2808" s="451" customFormat="true" ht="15" hidden="false" customHeight="false" outlineLevel="0" collapsed="false">
      <c r="A2808" s="707"/>
      <c r="B2808" s="522"/>
      <c r="C2808" s="709" t="s">
        <v>4676</v>
      </c>
      <c r="D2808" s="679" t="s">
        <v>4559</v>
      </c>
      <c r="E2808" s="726" t="n">
        <v>0.012</v>
      </c>
      <c r="F2808" s="724" t="n">
        <v>275000</v>
      </c>
      <c r="G2808" s="716" t="n">
        <f aca="false">E2808*F2808</f>
        <v>3300</v>
      </c>
      <c r="H2808" s="679"/>
    </row>
    <row r="2809" s="451" customFormat="true" ht="15" hidden="false" customHeight="false" outlineLevel="0" collapsed="false">
      <c r="A2809" s="707"/>
      <c r="B2809" s="522"/>
      <c r="C2809" s="709" t="s">
        <v>4515</v>
      </c>
      <c r="D2809" s="679" t="s">
        <v>4133</v>
      </c>
      <c r="E2809" s="710" t="n">
        <v>0.006</v>
      </c>
      <c r="F2809" s="369" t="n">
        <v>2700</v>
      </c>
      <c r="G2809" s="716" t="n">
        <f aca="false">E2809*F2809</f>
        <v>16.2</v>
      </c>
      <c r="H2809" s="679"/>
    </row>
    <row r="2810" s="451" customFormat="true" ht="15" hidden="false" customHeight="false" outlineLevel="0" collapsed="false">
      <c r="A2810" s="707"/>
      <c r="B2810" s="522"/>
      <c r="C2810" s="709" t="s">
        <v>4124</v>
      </c>
      <c r="D2810" s="679" t="s">
        <v>4516</v>
      </c>
      <c r="E2810" s="710" t="n">
        <v>1.4933</v>
      </c>
      <c r="F2810" s="369" t="n">
        <v>120</v>
      </c>
      <c r="G2810" s="716" t="n">
        <f aca="false">E2810*F2810</f>
        <v>179.196</v>
      </c>
      <c r="H2810" s="679"/>
    </row>
    <row r="2811" s="451" customFormat="true" ht="15" hidden="false" customHeight="false" outlineLevel="0" collapsed="false">
      <c r="A2811" s="707"/>
      <c r="B2811" s="708" t="s">
        <v>4128</v>
      </c>
      <c r="C2811" s="709"/>
      <c r="D2811" s="719"/>
      <c r="E2811" s="722"/>
      <c r="F2811" s="366"/>
      <c r="G2811" s="711" t="n">
        <f aca="false">SUM(G2794:G2810)</f>
        <v>15882.195788</v>
      </c>
      <c r="H2811" s="392"/>
    </row>
    <row r="2812" s="451" customFormat="true" ht="15" hidden="false" customHeight="false" outlineLevel="0" collapsed="false">
      <c r="A2812" s="707" t="s">
        <v>552</v>
      </c>
      <c r="B2812" s="487" t="s">
        <v>3107</v>
      </c>
      <c r="C2812" s="709" t="s">
        <v>4250</v>
      </c>
      <c r="D2812" s="679" t="s">
        <v>4392</v>
      </c>
      <c r="E2812" s="710" t="n">
        <v>0.0113</v>
      </c>
      <c r="F2812" s="369" t="n">
        <v>27000</v>
      </c>
      <c r="G2812" s="716" t="n">
        <f aca="false">E2812*F2812</f>
        <v>305.1</v>
      </c>
      <c r="H2812" s="679"/>
    </row>
    <row r="2813" s="451" customFormat="true" ht="15" hidden="false" customHeight="false" outlineLevel="0" collapsed="false">
      <c r="A2813" s="707"/>
      <c r="B2813" s="522"/>
      <c r="C2813" s="709" t="s">
        <v>4753</v>
      </c>
      <c r="D2813" s="679" t="s">
        <v>4133</v>
      </c>
      <c r="E2813" s="710" t="n">
        <v>0.000748</v>
      </c>
      <c r="F2813" s="369" t="n">
        <v>4055</v>
      </c>
      <c r="G2813" s="716" t="n">
        <f aca="false">E2813*F2813</f>
        <v>3.03314</v>
      </c>
      <c r="H2813" s="679"/>
    </row>
    <row r="2814" s="451" customFormat="true" ht="15" hidden="false" customHeight="false" outlineLevel="0" collapsed="false">
      <c r="A2814" s="707"/>
      <c r="B2814" s="522"/>
      <c r="C2814" s="709" t="s">
        <v>4378</v>
      </c>
      <c r="D2814" s="679" t="s">
        <v>4133</v>
      </c>
      <c r="E2814" s="710" t="n">
        <v>0.0075</v>
      </c>
      <c r="F2814" s="369" t="n">
        <v>580</v>
      </c>
      <c r="G2814" s="716" t="n">
        <f aca="false">E2814*F2814</f>
        <v>4.35</v>
      </c>
      <c r="H2814" s="679"/>
    </row>
    <row r="2815" s="451" customFormat="true" ht="15" hidden="false" customHeight="false" outlineLevel="0" collapsed="false">
      <c r="A2815" s="707"/>
      <c r="B2815" s="522"/>
      <c r="C2815" s="709" t="s">
        <v>4317</v>
      </c>
      <c r="D2815" s="679" t="s">
        <v>4392</v>
      </c>
      <c r="E2815" s="710" t="n">
        <v>0.078</v>
      </c>
      <c r="F2815" s="724" t="n">
        <v>16500</v>
      </c>
      <c r="G2815" s="716" t="n">
        <f aca="false">E2815*F2815</f>
        <v>1287</v>
      </c>
      <c r="H2815" s="679"/>
    </row>
    <row r="2816" s="451" customFormat="true" ht="15" hidden="false" customHeight="false" outlineLevel="0" collapsed="false">
      <c r="A2816" s="707"/>
      <c r="B2816" s="522"/>
      <c r="C2816" s="709" t="s">
        <v>4612</v>
      </c>
      <c r="D2816" s="679" t="s">
        <v>4392</v>
      </c>
      <c r="E2816" s="710" t="n">
        <v>0.03</v>
      </c>
      <c r="F2816" s="369" t="n">
        <v>250</v>
      </c>
      <c r="G2816" s="716" t="n">
        <f aca="false">E2816*F2816</f>
        <v>7.5</v>
      </c>
      <c r="H2816" s="679"/>
    </row>
    <row r="2817" s="451" customFormat="true" ht="15" hidden="false" customHeight="false" outlineLevel="0" collapsed="false">
      <c r="A2817" s="707"/>
      <c r="B2817" s="522"/>
      <c r="C2817" s="709" t="s">
        <v>4158</v>
      </c>
      <c r="D2817" s="679" t="s">
        <v>4133</v>
      </c>
      <c r="E2817" s="710" t="n">
        <v>0.01</v>
      </c>
      <c r="F2817" s="724" t="n">
        <v>1500</v>
      </c>
      <c r="G2817" s="716" t="n">
        <f aca="false">E2817*F2817</f>
        <v>15</v>
      </c>
      <c r="H2817" s="679"/>
    </row>
    <row r="2818" s="451" customFormat="true" ht="30" hidden="false" customHeight="false" outlineLevel="0" collapsed="false">
      <c r="A2818" s="707"/>
      <c r="B2818" s="522"/>
      <c r="C2818" s="709" t="s">
        <v>4754</v>
      </c>
      <c r="D2818" s="679" t="s">
        <v>4138</v>
      </c>
      <c r="E2818" s="710" t="n">
        <v>0.265</v>
      </c>
      <c r="F2818" s="369" t="n">
        <v>81000</v>
      </c>
      <c r="G2818" s="716" t="n">
        <f aca="false">E2818*F2818</f>
        <v>21465</v>
      </c>
      <c r="H2818" s="679"/>
    </row>
    <row r="2819" s="451" customFormat="true" ht="15" hidden="false" customHeight="false" outlineLevel="0" collapsed="false">
      <c r="A2819" s="707"/>
      <c r="B2819" s="522"/>
      <c r="C2819" s="709" t="s">
        <v>4515</v>
      </c>
      <c r="D2819" s="679" t="s">
        <v>4133</v>
      </c>
      <c r="E2819" s="710" t="n">
        <v>0.006</v>
      </c>
      <c r="F2819" s="369" t="n">
        <v>2700</v>
      </c>
      <c r="G2819" s="716" t="n">
        <f aca="false">E2819*F2819</f>
        <v>16.2</v>
      </c>
      <c r="H2819" s="679"/>
    </row>
    <row r="2820" s="451" customFormat="true" ht="15" hidden="false" customHeight="false" outlineLevel="0" collapsed="false">
      <c r="A2820" s="707"/>
      <c r="B2820" s="522"/>
      <c r="C2820" s="709" t="s">
        <v>4124</v>
      </c>
      <c r="D2820" s="679" t="s">
        <v>4516</v>
      </c>
      <c r="E2820" s="710" t="n">
        <v>0.15</v>
      </c>
      <c r="F2820" s="369" t="n">
        <v>120</v>
      </c>
      <c r="G2820" s="716" t="n">
        <f aca="false">E2820*F2820</f>
        <v>18</v>
      </c>
      <c r="H2820" s="679"/>
    </row>
    <row r="2821" s="451" customFormat="true" ht="15" hidden="false" customHeight="false" outlineLevel="0" collapsed="false">
      <c r="A2821" s="707"/>
      <c r="B2821" s="708" t="s">
        <v>4128</v>
      </c>
      <c r="C2821" s="718"/>
      <c r="D2821" s="719"/>
      <c r="E2821" s="722"/>
      <c r="F2821" s="366"/>
      <c r="G2821" s="711" t="n">
        <f aca="false">SUM(G2812:G2820)</f>
        <v>23121.18314</v>
      </c>
      <c r="H2821" s="392"/>
    </row>
    <row r="2822" s="451" customFormat="true" ht="30" hidden="false" customHeight="false" outlineLevel="0" collapsed="false">
      <c r="A2822" s="707" t="s">
        <v>554</v>
      </c>
      <c r="B2822" s="487" t="s">
        <v>3108</v>
      </c>
      <c r="C2822" s="709" t="s">
        <v>4755</v>
      </c>
      <c r="D2822" s="679" t="s">
        <v>4392</v>
      </c>
      <c r="E2822" s="710" t="n">
        <v>0.035</v>
      </c>
      <c r="F2822" s="369" t="n">
        <v>2232</v>
      </c>
      <c r="G2822" s="716" t="n">
        <f aca="false">E2822*F2822</f>
        <v>78.12</v>
      </c>
      <c r="H2822" s="679"/>
    </row>
    <row r="2823" s="451" customFormat="true" ht="15" hidden="false" customHeight="false" outlineLevel="0" collapsed="false">
      <c r="A2823" s="707"/>
      <c r="B2823" s="522"/>
      <c r="C2823" s="709" t="s">
        <v>4756</v>
      </c>
      <c r="D2823" s="679" t="s">
        <v>4138</v>
      </c>
      <c r="E2823" s="710" t="n">
        <v>0.5</v>
      </c>
      <c r="F2823" s="369" t="n">
        <v>25000</v>
      </c>
      <c r="G2823" s="716" t="n">
        <f aca="false">E2823*F2823</f>
        <v>12500</v>
      </c>
      <c r="H2823" s="679"/>
    </row>
    <row r="2824" s="451" customFormat="true" ht="15" hidden="false" customHeight="false" outlineLevel="0" collapsed="false">
      <c r="A2824" s="707"/>
      <c r="B2824" s="522"/>
      <c r="C2824" s="709" t="s">
        <v>4757</v>
      </c>
      <c r="D2824" s="679" t="s">
        <v>4392</v>
      </c>
      <c r="E2824" s="710" t="n">
        <v>0.02</v>
      </c>
      <c r="F2824" s="369" t="n">
        <v>1800</v>
      </c>
      <c r="G2824" s="716" t="n">
        <f aca="false">E2824*F2824</f>
        <v>36</v>
      </c>
      <c r="H2824" s="679"/>
    </row>
    <row r="2825" s="451" customFormat="true" ht="15" hidden="false" customHeight="false" outlineLevel="0" collapsed="false">
      <c r="A2825" s="707"/>
      <c r="B2825" s="522"/>
      <c r="C2825" s="709" t="s">
        <v>4758</v>
      </c>
      <c r="D2825" s="679" t="s">
        <v>4392</v>
      </c>
      <c r="E2825" s="710" t="n">
        <v>0.005</v>
      </c>
      <c r="F2825" s="369" t="n">
        <v>23000</v>
      </c>
      <c r="G2825" s="716" t="n">
        <f aca="false">E2825*F2825</f>
        <v>115</v>
      </c>
      <c r="H2825" s="679"/>
    </row>
    <row r="2826" s="451" customFormat="true" ht="15" hidden="false" customHeight="false" outlineLevel="0" collapsed="false">
      <c r="A2826" s="707"/>
      <c r="B2826" s="522"/>
      <c r="C2826" s="709" t="s">
        <v>4759</v>
      </c>
      <c r="D2826" s="679" t="s">
        <v>4392</v>
      </c>
      <c r="E2826" s="710" t="n">
        <v>0.01</v>
      </c>
      <c r="F2826" s="369" t="n">
        <v>1200</v>
      </c>
      <c r="G2826" s="716" t="n">
        <f aca="false">E2826*F2826</f>
        <v>12</v>
      </c>
      <c r="H2826" s="679"/>
    </row>
    <row r="2827" s="451" customFormat="true" ht="15" hidden="false" customHeight="false" outlineLevel="0" collapsed="false">
      <c r="A2827" s="707"/>
      <c r="B2827" s="522"/>
      <c r="C2827" s="709" t="s">
        <v>4760</v>
      </c>
      <c r="D2827" s="679" t="s">
        <v>4392</v>
      </c>
      <c r="E2827" s="710" t="n">
        <v>0.09</v>
      </c>
      <c r="F2827" s="369" t="n">
        <v>21500</v>
      </c>
      <c r="G2827" s="716" t="n">
        <f aca="false">E2827*F2827</f>
        <v>1935</v>
      </c>
      <c r="H2827" s="679"/>
    </row>
    <row r="2828" s="451" customFormat="true" ht="15" hidden="false" customHeight="false" outlineLevel="0" collapsed="false">
      <c r="A2828" s="707"/>
      <c r="B2828" s="522"/>
      <c r="C2828" s="709" t="s">
        <v>4250</v>
      </c>
      <c r="D2828" s="679" t="s">
        <v>4392</v>
      </c>
      <c r="E2828" s="710" t="n">
        <v>0.09</v>
      </c>
      <c r="F2828" s="369" t="n">
        <v>27000</v>
      </c>
      <c r="G2828" s="716" t="n">
        <f aca="false">E2828*F2828</f>
        <v>2430</v>
      </c>
      <c r="H2828" s="679"/>
    </row>
    <row r="2829" s="451" customFormat="true" ht="15" hidden="false" customHeight="false" outlineLevel="0" collapsed="false">
      <c r="A2829" s="707"/>
      <c r="B2829" s="522"/>
      <c r="C2829" s="709" t="s">
        <v>4761</v>
      </c>
      <c r="D2829" s="679" t="s">
        <v>4133</v>
      </c>
      <c r="E2829" s="710" t="n">
        <v>0.02</v>
      </c>
      <c r="F2829" s="369" t="n">
        <v>1200</v>
      </c>
      <c r="G2829" s="716" t="n">
        <f aca="false">E2829*F2829</f>
        <v>24</v>
      </c>
      <c r="H2829" s="679"/>
    </row>
    <row r="2830" s="451" customFormat="true" ht="15" hidden="false" customHeight="false" outlineLevel="0" collapsed="false">
      <c r="A2830" s="707"/>
      <c r="B2830" s="522"/>
      <c r="C2830" s="709" t="s">
        <v>4225</v>
      </c>
      <c r="D2830" s="679" t="s">
        <v>4133</v>
      </c>
      <c r="E2830" s="710" t="n">
        <v>0.08</v>
      </c>
      <c r="F2830" s="721" t="n">
        <v>8100</v>
      </c>
      <c r="G2830" s="716" t="n">
        <f aca="false">E2830*F2830</f>
        <v>648</v>
      </c>
      <c r="H2830" s="679"/>
    </row>
    <row r="2831" s="451" customFormat="true" ht="15" hidden="false" customHeight="false" outlineLevel="0" collapsed="false">
      <c r="A2831" s="707"/>
      <c r="B2831" s="522"/>
      <c r="C2831" s="709" t="s">
        <v>4147</v>
      </c>
      <c r="D2831" s="679" t="s">
        <v>4392</v>
      </c>
      <c r="E2831" s="710" t="n">
        <v>0.015</v>
      </c>
      <c r="F2831" s="723" t="n">
        <v>3612</v>
      </c>
      <c r="G2831" s="716" t="n">
        <f aca="false">E2831*F2831</f>
        <v>54.18</v>
      </c>
      <c r="H2831" s="679"/>
    </row>
    <row r="2832" s="451" customFormat="true" ht="15" hidden="false" customHeight="false" outlineLevel="0" collapsed="false">
      <c r="A2832" s="707"/>
      <c r="B2832" s="522"/>
      <c r="C2832" s="709" t="s">
        <v>4762</v>
      </c>
      <c r="D2832" s="679" t="s">
        <v>4763</v>
      </c>
      <c r="E2832" s="710" t="n">
        <v>0.0052</v>
      </c>
      <c r="F2832" s="369" t="n">
        <v>27000</v>
      </c>
      <c r="G2832" s="716" t="n">
        <f aca="false">E2832*F2832</f>
        <v>140.4</v>
      </c>
      <c r="H2832" s="679"/>
    </row>
    <row r="2833" s="451" customFormat="true" ht="15" hidden="false" customHeight="false" outlineLevel="0" collapsed="false">
      <c r="A2833" s="707"/>
      <c r="B2833" s="522"/>
      <c r="C2833" s="709" t="s">
        <v>4764</v>
      </c>
      <c r="D2833" s="679" t="s">
        <v>4763</v>
      </c>
      <c r="E2833" s="710" t="n">
        <v>0.000535</v>
      </c>
      <c r="F2833" s="369" t="n">
        <v>15400</v>
      </c>
      <c r="G2833" s="716" t="n">
        <f aca="false">E2833*F2833</f>
        <v>8.239</v>
      </c>
      <c r="H2833" s="679"/>
    </row>
    <row r="2834" s="451" customFormat="true" ht="15" hidden="false" customHeight="false" outlineLevel="0" collapsed="false">
      <c r="A2834" s="707"/>
      <c r="B2834" s="522"/>
      <c r="C2834" s="709" t="s">
        <v>4765</v>
      </c>
      <c r="D2834" s="679" t="s">
        <v>4763</v>
      </c>
      <c r="E2834" s="710" t="n">
        <v>0.00043</v>
      </c>
      <c r="F2834" s="369" t="n">
        <v>19200</v>
      </c>
      <c r="G2834" s="716" t="n">
        <f aca="false">E2834*F2834</f>
        <v>8.256</v>
      </c>
      <c r="H2834" s="679"/>
    </row>
    <row r="2835" s="451" customFormat="true" ht="15" hidden="false" customHeight="false" outlineLevel="0" collapsed="false">
      <c r="A2835" s="707"/>
      <c r="B2835" s="522"/>
      <c r="C2835" s="709" t="s">
        <v>4766</v>
      </c>
      <c r="D2835" s="679" t="s">
        <v>4763</v>
      </c>
      <c r="E2835" s="710" t="n">
        <v>0.00415</v>
      </c>
      <c r="F2835" s="369" t="n">
        <v>19200</v>
      </c>
      <c r="G2835" s="716" t="n">
        <f aca="false">E2835*F2835</f>
        <v>79.68</v>
      </c>
      <c r="H2835" s="679"/>
    </row>
    <row r="2836" s="451" customFormat="true" ht="30" hidden="false" customHeight="false" outlineLevel="0" collapsed="false">
      <c r="A2836" s="707"/>
      <c r="B2836" s="522"/>
      <c r="C2836" s="709" t="s">
        <v>4767</v>
      </c>
      <c r="D2836" s="679" t="s">
        <v>4768</v>
      </c>
      <c r="E2836" s="710" t="n">
        <v>0.0001</v>
      </c>
      <c r="F2836" s="369" t="n">
        <v>178100</v>
      </c>
      <c r="G2836" s="716" t="n">
        <f aca="false">E2836*F2836</f>
        <v>17.81</v>
      </c>
      <c r="H2836" s="679"/>
    </row>
    <row r="2837" s="451" customFormat="true" ht="30" hidden="false" customHeight="false" outlineLevel="0" collapsed="false">
      <c r="A2837" s="707"/>
      <c r="B2837" s="522"/>
      <c r="C2837" s="709" t="s">
        <v>4769</v>
      </c>
      <c r="D2837" s="679" t="s">
        <v>4133</v>
      </c>
      <c r="E2837" s="710" t="n">
        <v>0.008</v>
      </c>
      <c r="F2837" s="369" t="n">
        <v>2500</v>
      </c>
      <c r="G2837" s="716" t="n">
        <f aca="false">E2837*F2837</f>
        <v>20</v>
      </c>
      <c r="H2837" s="679"/>
    </row>
    <row r="2838" s="451" customFormat="true" ht="15" hidden="false" customHeight="false" outlineLevel="0" collapsed="false">
      <c r="A2838" s="707"/>
      <c r="B2838" s="522"/>
      <c r="C2838" s="709" t="s">
        <v>4122</v>
      </c>
      <c r="D2838" s="679" t="s">
        <v>4392</v>
      </c>
      <c r="E2838" s="710" t="n">
        <v>0.1868</v>
      </c>
      <c r="F2838" s="721" t="n">
        <v>720</v>
      </c>
      <c r="G2838" s="716" t="n">
        <f aca="false">E2838*F2838</f>
        <v>134.496</v>
      </c>
      <c r="H2838" s="679"/>
    </row>
    <row r="2839" s="451" customFormat="true" ht="15" hidden="false" customHeight="false" outlineLevel="0" collapsed="false">
      <c r="A2839" s="707"/>
      <c r="B2839" s="522"/>
      <c r="C2839" s="709" t="s">
        <v>4515</v>
      </c>
      <c r="D2839" s="679" t="s">
        <v>4133</v>
      </c>
      <c r="E2839" s="710" t="n">
        <v>0.006</v>
      </c>
      <c r="F2839" s="369" t="n">
        <v>2700</v>
      </c>
      <c r="G2839" s="716" t="n">
        <f aca="false">E2839*F2839</f>
        <v>16.2</v>
      </c>
      <c r="H2839" s="679"/>
    </row>
    <row r="2840" s="451" customFormat="true" ht="15" hidden="false" customHeight="false" outlineLevel="0" collapsed="false">
      <c r="A2840" s="707"/>
      <c r="B2840" s="522"/>
      <c r="C2840" s="709" t="s">
        <v>4124</v>
      </c>
      <c r="D2840" s="679" t="s">
        <v>4516</v>
      </c>
      <c r="E2840" s="710" t="n">
        <v>1.5</v>
      </c>
      <c r="F2840" s="369" t="n">
        <v>120</v>
      </c>
      <c r="G2840" s="716" t="n">
        <f aca="false">E2840*F2840</f>
        <v>180</v>
      </c>
      <c r="H2840" s="679"/>
    </row>
    <row r="2841" s="451" customFormat="true" ht="15" hidden="false" customHeight="false" outlineLevel="0" collapsed="false">
      <c r="A2841" s="707"/>
      <c r="B2841" s="708" t="s">
        <v>4128</v>
      </c>
      <c r="C2841" s="718"/>
      <c r="D2841" s="719"/>
      <c r="E2841" s="722"/>
      <c r="F2841" s="366"/>
      <c r="G2841" s="711" t="n">
        <f aca="false">SUM(G2822:G2840)</f>
        <v>18437.381</v>
      </c>
      <c r="H2841" s="392"/>
    </row>
    <row r="2842" s="451" customFormat="true" ht="15" hidden="false" customHeight="false" outlineLevel="0" collapsed="false">
      <c r="A2842" s="707" t="s">
        <v>4770</v>
      </c>
      <c r="B2842" s="487" t="s">
        <v>4771</v>
      </c>
      <c r="C2842" s="709" t="s">
        <v>4772</v>
      </c>
      <c r="D2842" s="679" t="s">
        <v>4392</v>
      </c>
      <c r="E2842" s="710" t="n">
        <v>0.0105</v>
      </c>
      <c r="F2842" s="369" t="n">
        <v>27000</v>
      </c>
      <c r="G2842" s="716" t="n">
        <f aca="false">E2842*F2842</f>
        <v>283.5</v>
      </c>
      <c r="H2842" s="679"/>
    </row>
    <row r="2843" s="451" customFormat="true" ht="15" hidden="false" customHeight="false" outlineLevel="0" collapsed="false">
      <c r="A2843" s="707"/>
      <c r="B2843" s="522"/>
      <c r="C2843" s="709" t="s">
        <v>4317</v>
      </c>
      <c r="D2843" s="679" t="s">
        <v>4392</v>
      </c>
      <c r="E2843" s="710" t="n">
        <v>0.18</v>
      </c>
      <c r="F2843" s="724" t="n">
        <v>16500</v>
      </c>
      <c r="G2843" s="716" t="n">
        <f aca="false">E2843*F2843</f>
        <v>2970</v>
      </c>
      <c r="H2843" s="679"/>
    </row>
    <row r="2844" s="451" customFormat="true" ht="15" hidden="false" customHeight="false" outlineLevel="0" collapsed="false">
      <c r="A2844" s="707"/>
      <c r="B2844" s="522"/>
      <c r="C2844" s="709" t="s">
        <v>4672</v>
      </c>
      <c r="D2844" s="679" t="s">
        <v>4392</v>
      </c>
      <c r="E2844" s="710" t="n">
        <v>0.1</v>
      </c>
      <c r="F2844" s="369" t="n">
        <v>250</v>
      </c>
      <c r="G2844" s="716" t="n">
        <f aca="false">E2844*F2844</f>
        <v>25</v>
      </c>
      <c r="H2844" s="679"/>
    </row>
    <row r="2845" s="451" customFormat="true" ht="15" hidden="false" customHeight="false" outlineLevel="0" collapsed="false">
      <c r="A2845" s="707"/>
      <c r="B2845" s="522"/>
      <c r="C2845" s="709" t="s">
        <v>4158</v>
      </c>
      <c r="D2845" s="679" t="s">
        <v>4133</v>
      </c>
      <c r="E2845" s="710" t="n">
        <v>0.1</v>
      </c>
      <c r="F2845" s="724" t="n">
        <v>1500</v>
      </c>
      <c r="G2845" s="716" t="n">
        <f aca="false">E2845*F2845</f>
        <v>150</v>
      </c>
      <c r="H2845" s="679"/>
    </row>
    <row r="2846" s="451" customFormat="true" ht="15" hidden="false" customHeight="false" outlineLevel="0" collapsed="false">
      <c r="A2846" s="707"/>
      <c r="B2846" s="522"/>
      <c r="C2846" s="709" t="s">
        <v>4485</v>
      </c>
      <c r="D2846" s="679" t="s">
        <v>4133</v>
      </c>
      <c r="E2846" s="710" t="n">
        <v>0.1</v>
      </c>
      <c r="F2846" s="729" t="n">
        <v>3500</v>
      </c>
      <c r="G2846" s="716" t="n">
        <f aca="false">E2846*F2846</f>
        <v>350</v>
      </c>
      <c r="H2846" s="679"/>
    </row>
    <row r="2847" s="451" customFormat="true" ht="15" hidden="false" customHeight="false" outlineLevel="0" collapsed="false">
      <c r="A2847" s="707"/>
      <c r="B2847" s="522"/>
      <c r="C2847" s="709" t="s">
        <v>4604</v>
      </c>
      <c r="D2847" s="679" t="s">
        <v>4392</v>
      </c>
      <c r="E2847" s="710" t="n">
        <v>0.03</v>
      </c>
      <c r="F2847" s="369" t="n">
        <v>2900</v>
      </c>
      <c r="G2847" s="716" t="n">
        <f aca="false">E2847*F2847</f>
        <v>87</v>
      </c>
      <c r="H2847" s="679"/>
    </row>
    <row r="2848" s="451" customFormat="true" ht="15" hidden="false" customHeight="false" outlineLevel="0" collapsed="false">
      <c r="A2848" s="707"/>
      <c r="B2848" s="522"/>
      <c r="C2848" s="709" t="s">
        <v>4773</v>
      </c>
      <c r="D2848" s="679" t="s">
        <v>4133</v>
      </c>
      <c r="E2848" s="710" t="n">
        <v>0.1318</v>
      </c>
      <c r="F2848" s="369" t="n">
        <v>1720</v>
      </c>
      <c r="G2848" s="716" t="n">
        <f aca="false">E2848*F2848</f>
        <v>226.696</v>
      </c>
      <c r="H2848" s="679"/>
    </row>
    <row r="2849" s="451" customFormat="true" ht="15" hidden="false" customHeight="false" outlineLevel="0" collapsed="false">
      <c r="A2849" s="707"/>
      <c r="B2849" s="522"/>
      <c r="C2849" s="709" t="s">
        <v>4122</v>
      </c>
      <c r="D2849" s="679" t="s">
        <v>4392</v>
      </c>
      <c r="E2849" s="710" t="n">
        <v>0.1868</v>
      </c>
      <c r="F2849" s="721" t="n">
        <v>720</v>
      </c>
      <c r="G2849" s="716" t="n">
        <f aca="false">E2849*F2849</f>
        <v>134.496</v>
      </c>
      <c r="H2849" s="679"/>
    </row>
    <row r="2850" s="451" customFormat="true" ht="15" hidden="false" customHeight="false" outlineLevel="0" collapsed="false">
      <c r="A2850" s="707"/>
      <c r="B2850" s="522"/>
      <c r="C2850" s="709" t="s">
        <v>4205</v>
      </c>
      <c r="D2850" s="679" t="s">
        <v>4133</v>
      </c>
      <c r="E2850" s="710" t="n">
        <v>0.025</v>
      </c>
      <c r="F2850" s="717" t="n">
        <v>7875</v>
      </c>
      <c r="G2850" s="716" t="n">
        <f aca="false">E2850*F2850</f>
        <v>196.875</v>
      </c>
      <c r="H2850" s="679"/>
    </row>
    <row r="2851" s="451" customFormat="true" ht="15" hidden="false" customHeight="false" outlineLevel="0" collapsed="false">
      <c r="A2851" s="707"/>
      <c r="B2851" s="522"/>
      <c r="C2851" s="709" t="s">
        <v>4774</v>
      </c>
      <c r="D2851" s="679" t="s">
        <v>4138</v>
      </c>
      <c r="E2851" s="710" t="n">
        <v>0.5</v>
      </c>
      <c r="F2851" s="369" t="n">
        <v>25000</v>
      </c>
      <c r="G2851" s="716" t="n">
        <f aca="false">E2851*F2851</f>
        <v>12500</v>
      </c>
      <c r="H2851" s="679"/>
    </row>
    <row r="2852" s="451" customFormat="true" ht="15" hidden="false" customHeight="false" outlineLevel="0" collapsed="false">
      <c r="A2852" s="707"/>
      <c r="B2852" s="522"/>
      <c r="C2852" s="709" t="s">
        <v>4515</v>
      </c>
      <c r="D2852" s="679" t="s">
        <v>4133</v>
      </c>
      <c r="E2852" s="710" t="n">
        <v>0.006</v>
      </c>
      <c r="F2852" s="369" t="n">
        <v>2700</v>
      </c>
      <c r="G2852" s="716" t="n">
        <f aca="false">E2852*F2852</f>
        <v>16.2</v>
      </c>
      <c r="H2852" s="679"/>
    </row>
    <row r="2853" s="451" customFormat="true" ht="15" hidden="false" customHeight="false" outlineLevel="0" collapsed="false">
      <c r="A2853" s="707"/>
      <c r="B2853" s="522"/>
      <c r="C2853" s="709" t="s">
        <v>4124</v>
      </c>
      <c r="D2853" s="679" t="s">
        <v>4516</v>
      </c>
      <c r="E2853" s="710" t="n">
        <v>0.15</v>
      </c>
      <c r="F2853" s="369" t="n">
        <v>120</v>
      </c>
      <c r="G2853" s="716" t="n">
        <f aca="false">E2853*F2853</f>
        <v>18</v>
      </c>
      <c r="H2853" s="679"/>
    </row>
    <row r="2854" s="451" customFormat="true" ht="15" hidden="false" customHeight="false" outlineLevel="0" collapsed="false">
      <c r="A2854" s="707"/>
      <c r="B2854" s="708" t="s">
        <v>4128</v>
      </c>
      <c r="C2854" s="718"/>
      <c r="D2854" s="719"/>
      <c r="E2854" s="722"/>
      <c r="F2854" s="366"/>
      <c r="G2854" s="711" t="n">
        <f aca="false">SUM(G2842:G2853)</f>
        <v>16957.767</v>
      </c>
      <c r="H2854" s="392"/>
    </row>
    <row r="2855" s="451" customFormat="true" ht="30" hidden="false" customHeight="false" outlineLevel="0" collapsed="false">
      <c r="A2855" s="707" t="s">
        <v>558</v>
      </c>
      <c r="B2855" s="487" t="s">
        <v>3110</v>
      </c>
      <c r="C2855" s="709" t="s">
        <v>4755</v>
      </c>
      <c r="D2855" s="679" t="s">
        <v>4392</v>
      </c>
      <c r="E2855" s="710" t="n">
        <v>0.035</v>
      </c>
      <c r="F2855" s="369" t="n">
        <v>2232</v>
      </c>
      <c r="G2855" s="716" t="n">
        <f aca="false">E2855*F2855</f>
        <v>78.12</v>
      </c>
      <c r="H2855" s="679"/>
    </row>
    <row r="2856" s="451" customFormat="true" ht="15" hidden="false" customHeight="false" outlineLevel="0" collapsed="false">
      <c r="A2856" s="707"/>
      <c r="B2856" s="522"/>
      <c r="C2856" s="709" t="s">
        <v>4154</v>
      </c>
      <c r="D2856" s="679" t="s">
        <v>4392</v>
      </c>
      <c r="E2856" s="710" t="n">
        <v>0.029</v>
      </c>
      <c r="F2856" s="721" t="n">
        <v>3500</v>
      </c>
      <c r="G2856" s="716" t="n">
        <f aca="false">E2856*F2856</f>
        <v>101.5</v>
      </c>
      <c r="H2856" s="679"/>
    </row>
    <row r="2857" s="451" customFormat="true" ht="15" hidden="false" customHeight="false" outlineLevel="0" collapsed="false">
      <c r="A2857" s="707"/>
      <c r="B2857" s="522"/>
      <c r="C2857" s="709" t="s">
        <v>4757</v>
      </c>
      <c r="D2857" s="679" t="s">
        <v>4392</v>
      </c>
      <c r="E2857" s="710" t="n">
        <v>0.02</v>
      </c>
      <c r="F2857" s="369" t="n">
        <v>1800</v>
      </c>
      <c r="G2857" s="716" t="n">
        <f aca="false">E2857*F2857</f>
        <v>36</v>
      </c>
      <c r="H2857" s="679"/>
    </row>
    <row r="2858" s="451" customFormat="true" ht="15" hidden="false" customHeight="false" outlineLevel="0" collapsed="false">
      <c r="A2858" s="707"/>
      <c r="B2858" s="522"/>
      <c r="C2858" s="709" t="s">
        <v>4758</v>
      </c>
      <c r="D2858" s="679" t="s">
        <v>4392</v>
      </c>
      <c r="E2858" s="710" t="n">
        <v>0.005</v>
      </c>
      <c r="F2858" s="369" t="n">
        <v>23000</v>
      </c>
      <c r="G2858" s="716" t="n">
        <f aca="false">E2858*F2858</f>
        <v>115</v>
      </c>
      <c r="H2858" s="679"/>
    </row>
    <row r="2859" s="451" customFormat="true" ht="15" hidden="false" customHeight="false" outlineLevel="0" collapsed="false">
      <c r="A2859" s="707"/>
      <c r="B2859" s="522"/>
      <c r="C2859" s="709" t="s">
        <v>4759</v>
      </c>
      <c r="D2859" s="679" t="s">
        <v>4392</v>
      </c>
      <c r="E2859" s="710" t="n">
        <v>0.01</v>
      </c>
      <c r="F2859" s="369" t="n">
        <v>1200</v>
      </c>
      <c r="G2859" s="716" t="n">
        <f aca="false">E2859*F2859</f>
        <v>12</v>
      </c>
      <c r="H2859" s="679"/>
    </row>
    <row r="2860" s="451" customFormat="true" ht="15" hidden="false" customHeight="false" outlineLevel="0" collapsed="false">
      <c r="A2860" s="707"/>
      <c r="B2860" s="522"/>
      <c r="C2860" s="709" t="s">
        <v>4760</v>
      </c>
      <c r="D2860" s="679" t="s">
        <v>4392</v>
      </c>
      <c r="E2860" s="710" t="n">
        <v>0.09</v>
      </c>
      <c r="F2860" s="369" t="n">
        <v>21500</v>
      </c>
      <c r="G2860" s="716" t="n">
        <f aca="false">E2860*F2860</f>
        <v>1935</v>
      </c>
      <c r="H2860" s="679"/>
    </row>
    <row r="2861" s="451" customFormat="true" ht="15" hidden="false" customHeight="false" outlineLevel="0" collapsed="false">
      <c r="A2861" s="707"/>
      <c r="B2861" s="522"/>
      <c r="C2861" s="709" t="s">
        <v>4250</v>
      </c>
      <c r="D2861" s="679" t="s">
        <v>4392</v>
      </c>
      <c r="E2861" s="710" t="n">
        <v>0.1</v>
      </c>
      <c r="F2861" s="369" t="n">
        <v>27000</v>
      </c>
      <c r="G2861" s="716" t="n">
        <f aca="false">E2861*F2861</f>
        <v>2700</v>
      </c>
      <c r="H2861" s="679"/>
    </row>
    <row r="2862" s="451" customFormat="true" ht="15" hidden="false" customHeight="false" outlineLevel="0" collapsed="false">
      <c r="A2862" s="707"/>
      <c r="B2862" s="522"/>
      <c r="C2862" s="709" t="s">
        <v>4775</v>
      </c>
      <c r="D2862" s="679" t="s">
        <v>4138</v>
      </c>
      <c r="E2862" s="710" t="n">
        <v>0.5</v>
      </c>
      <c r="F2862" s="369" t="n">
        <v>18000</v>
      </c>
      <c r="G2862" s="716" t="n">
        <f aca="false">E2862*F2862</f>
        <v>9000</v>
      </c>
      <c r="H2862" s="679"/>
    </row>
    <row r="2863" s="451" customFormat="true" ht="15" hidden="false" customHeight="false" outlineLevel="0" collapsed="false">
      <c r="A2863" s="707"/>
      <c r="B2863" s="522"/>
      <c r="C2863" s="709" t="s">
        <v>4225</v>
      </c>
      <c r="D2863" s="679" t="s">
        <v>4133</v>
      </c>
      <c r="E2863" s="710" t="n">
        <v>0.08</v>
      </c>
      <c r="F2863" s="721" t="n">
        <v>8100</v>
      </c>
      <c r="G2863" s="716" t="n">
        <f aca="false">E2863*F2863</f>
        <v>648</v>
      </c>
      <c r="H2863" s="679"/>
    </row>
    <row r="2864" s="451" customFormat="true" ht="15" hidden="false" customHeight="false" outlineLevel="0" collapsed="false">
      <c r="A2864" s="707"/>
      <c r="B2864" s="522"/>
      <c r="C2864" s="709" t="s">
        <v>4147</v>
      </c>
      <c r="D2864" s="679" t="s">
        <v>4392</v>
      </c>
      <c r="E2864" s="710" t="n">
        <v>0.01</v>
      </c>
      <c r="F2864" s="723" t="n">
        <v>3612</v>
      </c>
      <c r="G2864" s="716" t="n">
        <f aca="false">E2864*F2864</f>
        <v>36.12</v>
      </c>
      <c r="H2864" s="679"/>
    </row>
    <row r="2865" s="451" customFormat="true" ht="15" hidden="false" customHeight="false" outlineLevel="0" collapsed="false">
      <c r="A2865" s="707"/>
      <c r="B2865" s="522"/>
      <c r="C2865" s="709" t="s">
        <v>4762</v>
      </c>
      <c r="D2865" s="679" t="s">
        <v>4763</v>
      </c>
      <c r="E2865" s="710" t="n">
        <v>0.0052</v>
      </c>
      <c r="F2865" s="369" t="n">
        <v>27000</v>
      </c>
      <c r="G2865" s="716" t="n">
        <f aca="false">E2865*F2865</f>
        <v>140.4</v>
      </c>
      <c r="H2865" s="679"/>
    </row>
    <row r="2866" s="451" customFormat="true" ht="15" hidden="false" customHeight="false" outlineLevel="0" collapsed="false">
      <c r="A2866" s="707"/>
      <c r="B2866" s="522"/>
      <c r="C2866" s="709" t="s">
        <v>4764</v>
      </c>
      <c r="D2866" s="679" t="s">
        <v>4763</v>
      </c>
      <c r="E2866" s="710" t="n">
        <v>0.000535</v>
      </c>
      <c r="F2866" s="369" t="n">
        <v>15400</v>
      </c>
      <c r="G2866" s="716" t="n">
        <f aca="false">E2866*F2866</f>
        <v>8.239</v>
      </c>
      <c r="H2866" s="679"/>
    </row>
    <row r="2867" s="451" customFormat="true" ht="15" hidden="false" customHeight="false" outlineLevel="0" collapsed="false">
      <c r="A2867" s="707"/>
      <c r="B2867" s="522"/>
      <c r="C2867" s="709" t="s">
        <v>4765</v>
      </c>
      <c r="D2867" s="679" t="s">
        <v>4763</v>
      </c>
      <c r="E2867" s="710" t="n">
        <v>0.00043</v>
      </c>
      <c r="F2867" s="369" t="n">
        <v>19200</v>
      </c>
      <c r="G2867" s="716" t="n">
        <f aca="false">E2867*F2867</f>
        <v>8.256</v>
      </c>
      <c r="H2867" s="679"/>
    </row>
    <row r="2868" s="451" customFormat="true" ht="15" hidden="false" customHeight="false" outlineLevel="0" collapsed="false">
      <c r="A2868" s="707"/>
      <c r="B2868" s="522"/>
      <c r="C2868" s="709" t="s">
        <v>4766</v>
      </c>
      <c r="D2868" s="679" t="s">
        <v>4763</v>
      </c>
      <c r="E2868" s="710" t="n">
        <v>0.00415</v>
      </c>
      <c r="F2868" s="369" t="n">
        <v>19200</v>
      </c>
      <c r="G2868" s="716" t="n">
        <f aca="false">E2868*F2868</f>
        <v>79.68</v>
      </c>
      <c r="H2868" s="679"/>
    </row>
    <row r="2869" s="451" customFormat="true" ht="30" hidden="false" customHeight="false" outlineLevel="0" collapsed="false">
      <c r="A2869" s="707"/>
      <c r="B2869" s="522"/>
      <c r="C2869" s="709" t="s">
        <v>4767</v>
      </c>
      <c r="D2869" s="679" t="s">
        <v>4768</v>
      </c>
      <c r="E2869" s="710" t="n">
        <v>0.0001</v>
      </c>
      <c r="F2869" s="369" t="n">
        <v>178100</v>
      </c>
      <c r="G2869" s="716" t="n">
        <f aca="false">E2869*F2869</f>
        <v>17.81</v>
      </c>
      <c r="H2869" s="679"/>
    </row>
    <row r="2870" s="451" customFormat="true" ht="30" hidden="false" customHeight="false" outlineLevel="0" collapsed="false">
      <c r="A2870" s="707"/>
      <c r="B2870" s="522"/>
      <c r="C2870" s="709" t="s">
        <v>4769</v>
      </c>
      <c r="D2870" s="679" t="s">
        <v>4133</v>
      </c>
      <c r="E2870" s="710" t="n">
        <v>0.008</v>
      </c>
      <c r="F2870" s="369" t="n">
        <v>2500</v>
      </c>
      <c r="G2870" s="716" t="n">
        <f aca="false">E2870*F2870</f>
        <v>20</v>
      </c>
      <c r="H2870" s="679"/>
    </row>
    <row r="2871" s="451" customFormat="true" ht="15" hidden="false" customHeight="false" outlineLevel="0" collapsed="false">
      <c r="A2871" s="707"/>
      <c r="B2871" s="522"/>
      <c r="C2871" s="709" t="s">
        <v>4776</v>
      </c>
      <c r="D2871" s="679" t="s">
        <v>4392</v>
      </c>
      <c r="E2871" s="710" t="n">
        <v>0.1868</v>
      </c>
      <c r="F2871" s="369" t="n">
        <v>250</v>
      </c>
      <c r="G2871" s="716" t="n">
        <f aca="false">E2871*F2871</f>
        <v>46.7</v>
      </c>
      <c r="H2871" s="679"/>
    </row>
    <row r="2872" s="451" customFormat="true" ht="15" hidden="false" customHeight="false" outlineLevel="0" collapsed="false">
      <c r="A2872" s="707"/>
      <c r="B2872" s="522"/>
      <c r="C2872" s="709" t="s">
        <v>4515</v>
      </c>
      <c r="D2872" s="679" t="s">
        <v>4133</v>
      </c>
      <c r="E2872" s="710" t="n">
        <v>0.05996</v>
      </c>
      <c r="F2872" s="369" t="n">
        <v>2700</v>
      </c>
      <c r="G2872" s="716" t="n">
        <f aca="false">E2872*F2872</f>
        <v>161.892</v>
      </c>
      <c r="H2872" s="679"/>
    </row>
    <row r="2873" s="451" customFormat="true" ht="15" hidden="false" customHeight="false" outlineLevel="0" collapsed="false">
      <c r="A2873" s="707"/>
      <c r="B2873" s="522"/>
      <c r="C2873" s="709" t="s">
        <v>4124</v>
      </c>
      <c r="D2873" s="679" t="s">
        <v>4516</v>
      </c>
      <c r="E2873" s="710" t="n">
        <v>1.5</v>
      </c>
      <c r="F2873" s="369" t="n">
        <v>120</v>
      </c>
      <c r="G2873" s="716" t="n">
        <f aca="false">E2873*F2873</f>
        <v>180</v>
      </c>
      <c r="H2873" s="679"/>
    </row>
    <row r="2874" s="451" customFormat="true" ht="15" hidden="false" customHeight="false" outlineLevel="0" collapsed="false">
      <c r="A2874" s="707"/>
      <c r="B2874" s="708" t="s">
        <v>4128</v>
      </c>
      <c r="C2874" s="718"/>
      <c r="D2874" s="719"/>
      <c r="E2874" s="722"/>
      <c r="F2874" s="366"/>
      <c r="G2874" s="711" t="n">
        <f aca="false">SUM(G2855:G2873)</f>
        <v>15324.717</v>
      </c>
      <c r="H2874" s="392"/>
    </row>
    <row r="2875" s="451" customFormat="true" ht="15" hidden="false" customHeight="false" outlineLevel="0" collapsed="false">
      <c r="A2875" s="707" t="s">
        <v>560</v>
      </c>
      <c r="B2875" s="532" t="s">
        <v>3111</v>
      </c>
      <c r="C2875" s="532" t="s">
        <v>4777</v>
      </c>
      <c r="D2875" s="719"/>
      <c r="E2875" s="749" t="n">
        <v>0</v>
      </c>
      <c r="F2875" s="729" t="n">
        <v>0</v>
      </c>
      <c r="G2875" s="765" t="n">
        <v>0</v>
      </c>
      <c r="H2875" s="392"/>
    </row>
    <row r="2876" s="451" customFormat="true" ht="15" hidden="false" customHeight="false" outlineLevel="0" collapsed="false">
      <c r="A2876" s="707" t="s">
        <v>562</v>
      </c>
      <c r="B2876" s="532" t="s">
        <v>3112</v>
      </c>
      <c r="C2876" s="743" t="s">
        <v>4611</v>
      </c>
      <c r="D2876" s="728" t="s">
        <v>4133</v>
      </c>
      <c r="E2876" s="750" t="n">
        <v>0.05</v>
      </c>
      <c r="F2876" s="721" t="n">
        <v>720</v>
      </c>
      <c r="G2876" s="770" t="n">
        <f aca="false">E2876*F2876</f>
        <v>36</v>
      </c>
      <c r="H2876" s="392"/>
    </row>
    <row r="2877" s="451" customFormat="true" ht="15" hidden="false" customHeight="false" outlineLevel="0" collapsed="false">
      <c r="A2877" s="707"/>
      <c r="B2877" s="532"/>
      <c r="C2877" s="709" t="s">
        <v>4515</v>
      </c>
      <c r="D2877" s="679" t="s">
        <v>4133</v>
      </c>
      <c r="E2877" s="710" t="n">
        <v>0.06</v>
      </c>
      <c r="F2877" s="369" t="n">
        <v>2700</v>
      </c>
      <c r="G2877" s="716" t="n">
        <f aca="false">E2877*F2877</f>
        <v>162</v>
      </c>
      <c r="H2877" s="392"/>
    </row>
    <row r="2878" s="451" customFormat="true" ht="15" hidden="false" customHeight="false" outlineLevel="0" collapsed="false">
      <c r="A2878" s="707"/>
      <c r="B2878" s="708" t="s">
        <v>4128</v>
      </c>
      <c r="C2878" s="718"/>
      <c r="D2878" s="719"/>
      <c r="E2878" s="722"/>
      <c r="F2878" s="366"/>
      <c r="G2878" s="711" t="n">
        <f aca="false">SUM(G2875:G2877)</f>
        <v>198</v>
      </c>
      <c r="H2878" s="392"/>
    </row>
    <row r="2879" s="451" customFormat="true" ht="15" hidden="false" customHeight="false" outlineLevel="0" collapsed="false">
      <c r="A2879" s="707" t="s">
        <v>564</v>
      </c>
      <c r="B2879" s="532" t="s">
        <v>3113</v>
      </c>
      <c r="C2879" s="471" t="s">
        <v>4250</v>
      </c>
      <c r="D2879" s="772" t="s">
        <v>4133</v>
      </c>
      <c r="E2879" s="773" t="n">
        <v>0.03</v>
      </c>
      <c r="F2879" s="729" t="n">
        <v>25000</v>
      </c>
      <c r="G2879" s="765" t="n">
        <f aca="false">E2879*F2879</f>
        <v>750</v>
      </c>
      <c r="H2879" s="392"/>
    </row>
    <row r="2880" s="451" customFormat="true" ht="15" hidden="false" customHeight="false" outlineLevel="0" collapsed="false">
      <c r="A2880" s="707"/>
      <c r="B2880" s="708"/>
      <c r="C2880" s="532" t="s">
        <v>4778</v>
      </c>
      <c r="D2880" s="772" t="s">
        <v>4133</v>
      </c>
      <c r="E2880" s="746" t="n">
        <v>0.001</v>
      </c>
      <c r="F2880" s="729" t="n">
        <v>810000</v>
      </c>
      <c r="G2880" s="765" t="n">
        <f aca="false">E2880*F2880</f>
        <v>810</v>
      </c>
      <c r="H2880" s="392"/>
    </row>
    <row r="2881" s="451" customFormat="true" ht="15" hidden="false" customHeight="false" outlineLevel="0" collapsed="false">
      <c r="A2881" s="707"/>
      <c r="B2881" s="708"/>
      <c r="C2881" s="532" t="s">
        <v>4779</v>
      </c>
      <c r="D2881" s="679" t="s">
        <v>4555</v>
      </c>
      <c r="E2881" s="741" t="n">
        <v>1</v>
      </c>
      <c r="F2881" s="721" t="n">
        <v>25000</v>
      </c>
      <c r="G2881" s="765" t="n">
        <f aca="false">E2881*F2881</f>
        <v>25000</v>
      </c>
      <c r="H2881" s="392"/>
    </row>
    <row r="2882" s="451" customFormat="true" ht="30" hidden="false" customHeight="false" outlineLevel="0" collapsed="false">
      <c r="A2882" s="774"/>
      <c r="B2882" s="522"/>
      <c r="C2882" s="532" t="s">
        <v>4780</v>
      </c>
      <c r="D2882" s="772" t="s">
        <v>4133</v>
      </c>
      <c r="E2882" s="773" t="n">
        <v>0.02</v>
      </c>
      <c r="F2882" s="729" t="n">
        <v>1400</v>
      </c>
      <c r="G2882" s="765" t="n">
        <f aca="false">E2882*F2882</f>
        <v>28</v>
      </c>
      <c r="H2882" s="392"/>
    </row>
    <row r="2883" s="451" customFormat="true" ht="30" hidden="false" customHeight="false" outlineLevel="0" collapsed="false">
      <c r="A2883" s="774"/>
      <c r="B2883" s="522"/>
      <c r="C2883" s="532" t="s">
        <v>4781</v>
      </c>
      <c r="D2883" s="772" t="s">
        <v>4133</v>
      </c>
      <c r="E2883" s="773" t="n">
        <v>0.02</v>
      </c>
      <c r="F2883" s="729" t="n">
        <v>1400</v>
      </c>
      <c r="G2883" s="765" t="n">
        <f aca="false">E2883*F2883</f>
        <v>28</v>
      </c>
      <c r="H2883" s="392"/>
    </row>
    <row r="2884" s="451" customFormat="true" ht="15" hidden="false" customHeight="false" outlineLevel="0" collapsed="false">
      <c r="A2884" s="774"/>
      <c r="B2884" s="522"/>
      <c r="C2884" s="532" t="s">
        <v>4782</v>
      </c>
      <c r="D2884" s="772" t="s">
        <v>4133</v>
      </c>
      <c r="E2884" s="773" t="n">
        <v>0.03</v>
      </c>
      <c r="F2884" s="748" t="n">
        <v>1200</v>
      </c>
      <c r="G2884" s="765" t="n">
        <f aca="false">E2884*F2884</f>
        <v>36</v>
      </c>
      <c r="H2884" s="392"/>
    </row>
    <row r="2885" s="451" customFormat="true" ht="15" hidden="false" customHeight="false" outlineLevel="0" collapsed="false">
      <c r="A2885" s="774"/>
      <c r="B2885" s="522"/>
      <c r="C2885" s="532" t="s">
        <v>4783</v>
      </c>
      <c r="D2885" s="772" t="s">
        <v>4133</v>
      </c>
      <c r="E2885" s="773" t="n">
        <v>0.0005</v>
      </c>
      <c r="F2885" s="369" t="n">
        <v>41910</v>
      </c>
      <c r="G2885" s="765" t="n">
        <f aca="false">E2885*F2885</f>
        <v>20.955</v>
      </c>
      <c r="H2885" s="392"/>
    </row>
    <row r="2886" s="451" customFormat="true" ht="15" hidden="false" customHeight="false" outlineLevel="0" collapsed="false">
      <c r="A2886" s="774"/>
      <c r="B2886" s="522"/>
      <c r="C2886" s="532" t="s">
        <v>4784</v>
      </c>
      <c r="D2886" s="772" t="s">
        <v>4133</v>
      </c>
      <c r="E2886" s="746" t="n">
        <v>0.05</v>
      </c>
      <c r="F2886" s="729" t="n">
        <v>10000</v>
      </c>
      <c r="G2886" s="765" t="n">
        <f aca="false">E2886*F2886</f>
        <v>500</v>
      </c>
      <c r="H2886" s="392"/>
    </row>
    <row r="2887" s="451" customFormat="true" ht="15" hidden="false" customHeight="false" outlineLevel="0" collapsed="false">
      <c r="A2887" s="774"/>
      <c r="B2887" s="522"/>
      <c r="C2887" s="532" t="s">
        <v>4698</v>
      </c>
      <c r="D2887" s="772" t="s">
        <v>4348</v>
      </c>
      <c r="E2887" s="679" t="n">
        <v>5</v>
      </c>
      <c r="F2887" s="729" t="n">
        <v>5.1</v>
      </c>
      <c r="G2887" s="765" t="n">
        <f aca="false">E2887*F2887</f>
        <v>25.5</v>
      </c>
      <c r="H2887" s="392"/>
    </row>
    <row r="2888" s="451" customFormat="true" ht="15" hidden="false" customHeight="false" outlineLevel="0" collapsed="false">
      <c r="A2888" s="774"/>
      <c r="B2888" s="708" t="s">
        <v>4785</v>
      </c>
      <c r="C2888" s="718"/>
      <c r="D2888" s="719"/>
      <c r="E2888" s="722"/>
      <c r="F2888" s="366"/>
      <c r="G2888" s="711" t="n">
        <f aca="false">SUM(G2879:G2887)</f>
        <v>27198.455</v>
      </c>
      <c r="H2888" s="392"/>
    </row>
    <row r="2889" s="451" customFormat="true" ht="15" hidden="false" customHeight="false" outlineLevel="0" collapsed="false">
      <c r="A2889" s="707" t="s">
        <v>566</v>
      </c>
      <c r="B2889" s="532" t="s">
        <v>4786</v>
      </c>
      <c r="C2889" s="471"/>
      <c r="D2889" s="737"/>
      <c r="E2889" s="738"/>
      <c r="F2889" s="729"/>
      <c r="G2889" s="739"/>
      <c r="H2889" s="392"/>
    </row>
    <row r="2890" s="451" customFormat="true" ht="15" hidden="false" customHeight="false" outlineLevel="0" collapsed="false">
      <c r="A2890" s="707"/>
      <c r="B2890" s="532"/>
      <c r="C2890" s="775" t="s">
        <v>4787</v>
      </c>
      <c r="D2890" s="772" t="s">
        <v>4138</v>
      </c>
      <c r="E2890" s="776" t="n">
        <v>1</v>
      </c>
      <c r="F2890" s="777" t="n">
        <v>25000</v>
      </c>
      <c r="G2890" s="778" t="n">
        <f aca="false">E2890*F2890</f>
        <v>25000</v>
      </c>
      <c r="H2890" s="392"/>
    </row>
    <row r="2891" s="451" customFormat="true" ht="15" hidden="false" customHeight="false" outlineLevel="0" collapsed="false">
      <c r="A2891" s="707"/>
      <c r="B2891" s="532"/>
      <c r="C2891" s="532" t="s">
        <v>4609</v>
      </c>
      <c r="D2891" s="772" t="s">
        <v>4133</v>
      </c>
      <c r="E2891" s="773" t="n">
        <v>0.013</v>
      </c>
      <c r="F2891" s="721" t="n">
        <v>1500</v>
      </c>
      <c r="G2891" s="770" t="n">
        <f aca="false">E2891*F2891</f>
        <v>19.5</v>
      </c>
      <c r="H2891" s="392"/>
    </row>
    <row r="2892" s="451" customFormat="true" ht="15" hidden="false" customHeight="false" outlineLevel="0" collapsed="false">
      <c r="A2892" s="707"/>
      <c r="B2892" s="532"/>
      <c r="C2892" s="471" t="s">
        <v>4250</v>
      </c>
      <c r="D2892" s="772" t="s">
        <v>4133</v>
      </c>
      <c r="E2892" s="773" t="n">
        <v>0.03</v>
      </c>
      <c r="F2892" s="729" t="n">
        <v>27000</v>
      </c>
      <c r="G2892" s="765" t="n">
        <f aca="false">E2892*F2892</f>
        <v>810</v>
      </c>
      <c r="H2892" s="392"/>
    </row>
    <row r="2893" s="451" customFormat="true" ht="15" hidden="false" customHeight="false" outlineLevel="0" collapsed="false">
      <c r="A2893" s="707"/>
      <c r="B2893" s="532"/>
      <c r="C2893" s="532" t="s">
        <v>4737</v>
      </c>
      <c r="D2893" s="772" t="s">
        <v>4133</v>
      </c>
      <c r="E2893" s="773" t="n">
        <v>0.2</v>
      </c>
      <c r="F2893" s="717" t="n">
        <v>7875</v>
      </c>
      <c r="G2893" s="770" t="n">
        <f aca="false">E2893*F2893</f>
        <v>1575</v>
      </c>
      <c r="H2893" s="392"/>
    </row>
    <row r="2894" s="451" customFormat="true" ht="30" hidden="false" customHeight="false" outlineLevel="0" collapsed="false">
      <c r="A2894" s="707"/>
      <c r="B2894" s="532"/>
      <c r="C2894" s="532" t="s">
        <v>4788</v>
      </c>
      <c r="D2894" s="772" t="s">
        <v>4133</v>
      </c>
      <c r="E2894" s="741" t="n">
        <v>0.1</v>
      </c>
      <c r="F2894" s="721" t="n">
        <v>300</v>
      </c>
      <c r="G2894" s="727" t="n">
        <f aca="false">E2894*F2894</f>
        <v>30</v>
      </c>
      <c r="H2894" s="392"/>
    </row>
    <row r="2895" s="451" customFormat="true" ht="15" hidden="false" customHeight="false" outlineLevel="0" collapsed="false">
      <c r="A2895" s="707"/>
      <c r="B2895" s="532"/>
      <c r="C2895" s="532" t="s">
        <v>4778</v>
      </c>
      <c r="D2895" s="772" t="s">
        <v>4133</v>
      </c>
      <c r="E2895" s="746" t="n">
        <v>0.001</v>
      </c>
      <c r="F2895" s="729" t="n">
        <v>810000</v>
      </c>
      <c r="G2895" s="727" t="n">
        <f aca="false">E2895*F2895</f>
        <v>810</v>
      </c>
      <c r="H2895" s="392"/>
    </row>
    <row r="2896" s="451" customFormat="true" ht="15" hidden="false" customHeight="false" outlineLevel="0" collapsed="false">
      <c r="A2896" s="707"/>
      <c r="B2896" s="532"/>
      <c r="C2896" s="325" t="s">
        <v>4556</v>
      </c>
      <c r="D2896" s="772" t="s">
        <v>4133</v>
      </c>
      <c r="E2896" s="741" t="n">
        <v>0.1</v>
      </c>
      <c r="F2896" s="723" t="n">
        <v>3612</v>
      </c>
      <c r="G2896" s="770" t="n">
        <f aca="false">E2896*F2896</f>
        <v>361.2</v>
      </c>
      <c r="H2896" s="392"/>
    </row>
    <row r="2897" s="451" customFormat="true" ht="15" hidden="false" customHeight="false" outlineLevel="0" collapsed="false">
      <c r="A2897" s="707"/>
      <c r="B2897" s="532"/>
      <c r="C2897" s="532" t="s">
        <v>4377</v>
      </c>
      <c r="D2897" s="772" t="s">
        <v>4133</v>
      </c>
      <c r="E2897" s="746" t="n">
        <v>0.01</v>
      </c>
      <c r="F2897" s="729" t="n">
        <v>3500</v>
      </c>
      <c r="G2897" s="727" t="n">
        <f aca="false">E2897*F2897</f>
        <v>35</v>
      </c>
      <c r="H2897" s="392"/>
    </row>
    <row r="2898" s="451" customFormat="true" ht="15" hidden="false" customHeight="false" outlineLevel="0" collapsed="false">
      <c r="A2898" s="707"/>
      <c r="B2898" s="532"/>
      <c r="C2898" s="532" t="s">
        <v>4612</v>
      </c>
      <c r="D2898" s="772" t="s">
        <v>4133</v>
      </c>
      <c r="E2898" s="773" t="n">
        <v>0.09</v>
      </c>
      <c r="F2898" s="721" t="n">
        <v>3000</v>
      </c>
      <c r="G2898" s="727" t="n">
        <f aca="false">E2898*F2898</f>
        <v>270</v>
      </c>
      <c r="H2898" s="392"/>
    </row>
    <row r="2899" s="451" customFormat="true" ht="30" hidden="false" customHeight="false" outlineLevel="0" collapsed="false">
      <c r="A2899" s="707"/>
      <c r="B2899" s="532"/>
      <c r="C2899" s="779" t="s">
        <v>4620</v>
      </c>
      <c r="D2899" s="772" t="s">
        <v>4348</v>
      </c>
      <c r="E2899" s="780" t="n">
        <v>1</v>
      </c>
      <c r="F2899" s="781" t="n">
        <v>1000</v>
      </c>
      <c r="G2899" s="782" t="n">
        <f aca="false">E2899*F2899</f>
        <v>1000</v>
      </c>
      <c r="H2899" s="392"/>
    </row>
    <row r="2900" s="451" customFormat="true" ht="15" hidden="false" customHeight="false" outlineLevel="0" collapsed="false">
      <c r="A2900" s="707"/>
      <c r="B2900" s="708" t="s">
        <v>4785</v>
      </c>
      <c r="C2900" s="718"/>
      <c r="D2900" s="719"/>
      <c r="E2900" s="722"/>
      <c r="F2900" s="366"/>
      <c r="G2900" s="711" t="n">
        <f aca="false">SUM(G2890:G2899)</f>
        <v>29910.7</v>
      </c>
      <c r="H2900" s="392"/>
    </row>
    <row r="2901" s="451" customFormat="true" ht="15" hidden="false" customHeight="false" outlineLevel="0" collapsed="false">
      <c r="A2901" s="707" t="s">
        <v>568</v>
      </c>
      <c r="B2901" s="532" t="s">
        <v>3114</v>
      </c>
      <c r="C2901" s="718"/>
      <c r="D2901" s="719"/>
      <c r="E2901" s="722"/>
      <c r="F2901" s="366"/>
      <c r="G2901" s="711"/>
      <c r="H2901" s="392"/>
    </row>
    <row r="2902" s="451" customFormat="true" ht="15" hidden="false" customHeight="false" outlineLevel="0" collapsed="false">
      <c r="A2902" s="707"/>
      <c r="B2902" s="532" t="s">
        <v>4789</v>
      </c>
      <c r="C2902" s="762" t="s">
        <v>4790</v>
      </c>
      <c r="D2902" s="728" t="s">
        <v>4133</v>
      </c>
      <c r="E2902" s="733" t="n">
        <v>0.02</v>
      </c>
      <c r="F2902" s="721" t="n">
        <v>27000</v>
      </c>
      <c r="G2902" s="727" t="n">
        <f aca="false">E2902*F2902</f>
        <v>540</v>
      </c>
      <c r="H2902" s="392"/>
    </row>
    <row r="2903" s="451" customFormat="true" ht="15" hidden="false" customHeight="false" outlineLevel="0" collapsed="false">
      <c r="A2903" s="707"/>
      <c r="B2903" s="532"/>
      <c r="C2903" s="471" t="s">
        <v>4216</v>
      </c>
      <c r="D2903" s="728" t="s">
        <v>4133</v>
      </c>
      <c r="E2903" s="733" t="n">
        <v>0.02</v>
      </c>
      <c r="F2903" s="717" t="n">
        <v>3900</v>
      </c>
      <c r="G2903" s="727" t="n">
        <f aca="false">E2903*F2903</f>
        <v>78</v>
      </c>
      <c r="H2903" s="392"/>
    </row>
    <row r="2904" s="451" customFormat="true" ht="15" hidden="false" customHeight="false" outlineLevel="0" collapsed="false">
      <c r="A2904" s="707"/>
      <c r="B2904" s="532"/>
      <c r="C2904" s="325" t="s">
        <v>4556</v>
      </c>
      <c r="D2904" s="728" t="s">
        <v>4133</v>
      </c>
      <c r="E2904" s="733" t="n">
        <v>0.08</v>
      </c>
      <c r="F2904" s="723" t="n">
        <v>3612</v>
      </c>
      <c r="G2904" s="727" t="n">
        <f aca="false">E2904*F2904</f>
        <v>288.96</v>
      </c>
      <c r="H2904" s="392"/>
    </row>
    <row r="2905" s="451" customFormat="true" ht="15" hidden="false" customHeight="false" outlineLevel="0" collapsed="false">
      <c r="A2905" s="707"/>
      <c r="B2905" s="532"/>
      <c r="C2905" s="762" t="s">
        <v>4791</v>
      </c>
      <c r="D2905" s="728" t="s">
        <v>4133</v>
      </c>
      <c r="E2905" s="679" t="n">
        <v>0.001</v>
      </c>
      <c r="F2905" s="369" t="n">
        <v>24900</v>
      </c>
      <c r="G2905" s="727" t="n">
        <f aca="false">E2905*F2905</f>
        <v>24.9</v>
      </c>
      <c r="H2905" s="392"/>
    </row>
    <row r="2906" s="451" customFormat="true" ht="15" hidden="false" customHeight="false" outlineLevel="0" collapsed="false">
      <c r="A2906" s="707"/>
      <c r="B2906" s="532"/>
      <c r="C2906" s="762" t="s">
        <v>4792</v>
      </c>
      <c r="D2906" s="728" t="s">
        <v>4133</v>
      </c>
      <c r="E2906" s="733" t="n">
        <v>0.02</v>
      </c>
      <c r="F2906" s="369" t="n">
        <v>11110</v>
      </c>
      <c r="G2906" s="727" t="n">
        <f aca="false">E2906*F2906</f>
        <v>222.2</v>
      </c>
      <c r="H2906" s="392"/>
    </row>
    <row r="2907" s="451" customFormat="true" ht="15" hidden="false" customHeight="false" outlineLevel="0" collapsed="false">
      <c r="A2907" s="707"/>
      <c r="B2907" s="532"/>
      <c r="C2907" s="762" t="s">
        <v>4793</v>
      </c>
      <c r="D2907" s="728" t="s">
        <v>4133</v>
      </c>
      <c r="E2907" s="679" t="n">
        <v>0.01</v>
      </c>
      <c r="F2907" s="724" t="n">
        <v>6600</v>
      </c>
      <c r="G2907" s="727" t="n">
        <f aca="false">E2907*F2907</f>
        <v>66</v>
      </c>
      <c r="H2907" s="392"/>
    </row>
    <row r="2908" s="451" customFormat="true" ht="30" hidden="false" customHeight="false" outlineLevel="0" collapsed="false">
      <c r="A2908" s="707"/>
      <c r="B2908" s="532"/>
      <c r="C2908" s="747" t="s">
        <v>4636</v>
      </c>
      <c r="D2908" s="728" t="s">
        <v>4133</v>
      </c>
      <c r="E2908" s="679" t="n">
        <v>0.05</v>
      </c>
      <c r="F2908" s="729" t="n">
        <v>3500</v>
      </c>
      <c r="G2908" s="727" t="n">
        <f aca="false">E2908*F2908</f>
        <v>175</v>
      </c>
      <c r="H2908" s="392"/>
    </row>
    <row r="2909" s="451" customFormat="true" ht="15" hidden="false" customHeight="false" outlineLevel="0" collapsed="false">
      <c r="A2909" s="707"/>
      <c r="B2909" s="532"/>
      <c r="C2909" s="743" t="s">
        <v>4611</v>
      </c>
      <c r="D2909" s="728" t="s">
        <v>4133</v>
      </c>
      <c r="E2909" s="750" t="n">
        <v>0.05</v>
      </c>
      <c r="F2909" s="721" t="n">
        <v>720</v>
      </c>
      <c r="G2909" s="727" t="n">
        <f aca="false">E2909*F2909</f>
        <v>36</v>
      </c>
      <c r="H2909" s="392"/>
    </row>
    <row r="2910" s="451" customFormat="true" ht="15" hidden="false" customHeight="false" outlineLevel="0" collapsed="false">
      <c r="A2910" s="707"/>
      <c r="B2910" s="532"/>
      <c r="C2910" s="762" t="s">
        <v>4794</v>
      </c>
      <c r="D2910" s="728" t="s">
        <v>4348</v>
      </c>
      <c r="E2910" s="679" t="n">
        <v>5</v>
      </c>
      <c r="F2910" s="729" t="n">
        <v>15</v>
      </c>
      <c r="G2910" s="727" t="n">
        <f aca="false">E2910*F2910</f>
        <v>75</v>
      </c>
      <c r="H2910" s="392"/>
    </row>
    <row r="2911" s="451" customFormat="true" ht="15" hidden="false" customHeight="false" outlineLevel="0" collapsed="false">
      <c r="A2911" s="707"/>
      <c r="B2911" s="532"/>
      <c r="C2911" s="762" t="s">
        <v>4795</v>
      </c>
      <c r="D2911" s="728" t="s">
        <v>4348</v>
      </c>
      <c r="E2911" s="734" t="n">
        <v>2</v>
      </c>
      <c r="F2911" s="721" t="n">
        <v>45</v>
      </c>
      <c r="G2911" s="727" t="n">
        <f aca="false">E2911*F2911</f>
        <v>90</v>
      </c>
      <c r="H2911" s="392"/>
    </row>
    <row r="2912" s="451" customFormat="true" ht="15" hidden="false" customHeight="false" outlineLevel="0" collapsed="false">
      <c r="A2912" s="707"/>
      <c r="B2912" s="708" t="s">
        <v>4785</v>
      </c>
      <c r="C2912" s="718"/>
      <c r="D2912" s="719"/>
      <c r="E2912" s="783"/>
      <c r="F2912" s="366"/>
      <c r="G2912" s="711" t="n">
        <f aca="false">SUM(G2902:G2911)</f>
        <v>1596.06</v>
      </c>
      <c r="H2912" s="392"/>
    </row>
    <row r="2913" s="451" customFormat="true" ht="15" hidden="false" customHeight="false" outlineLevel="0" collapsed="false">
      <c r="A2913" s="707" t="s">
        <v>570</v>
      </c>
      <c r="B2913" s="532" t="s">
        <v>3115</v>
      </c>
      <c r="C2913" s="718" t="s">
        <v>4796</v>
      </c>
      <c r="D2913" s="719"/>
      <c r="E2913" s="783"/>
      <c r="F2913" s="366"/>
      <c r="G2913" s="711"/>
      <c r="H2913" s="392"/>
    </row>
    <row r="2914" s="451" customFormat="true" ht="15" hidden="false" customHeight="false" outlineLevel="0" collapsed="false">
      <c r="A2914" s="707"/>
      <c r="B2914" s="532"/>
      <c r="C2914" s="743" t="s">
        <v>4611</v>
      </c>
      <c r="D2914" s="728" t="s">
        <v>4133</v>
      </c>
      <c r="E2914" s="784" t="n">
        <v>0.05</v>
      </c>
      <c r="F2914" s="721" t="n">
        <v>720</v>
      </c>
      <c r="G2914" s="727" t="n">
        <f aca="false">E2914*F2914</f>
        <v>36</v>
      </c>
      <c r="H2914" s="392"/>
    </row>
    <row r="2915" s="451" customFormat="true" ht="15" hidden="false" customHeight="false" outlineLevel="0" collapsed="false">
      <c r="A2915" s="707"/>
      <c r="B2915" s="532"/>
      <c r="C2915" s="762" t="s">
        <v>4794</v>
      </c>
      <c r="D2915" s="728" t="s">
        <v>4348</v>
      </c>
      <c r="E2915" s="679" t="n">
        <v>5</v>
      </c>
      <c r="F2915" s="729" t="n">
        <v>5.1</v>
      </c>
      <c r="G2915" s="727" t="n">
        <f aca="false">E2915*F2915</f>
        <v>25.5</v>
      </c>
      <c r="H2915" s="392"/>
    </row>
    <row r="2916" s="451" customFormat="true" ht="15" hidden="false" customHeight="false" outlineLevel="0" collapsed="false">
      <c r="A2916" s="707"/>
      <c r="B2916" s="708" t="s">
        <v>4785</v>
      </c>
      <c r="C2916" s="718"/>
      <c r="D2916" s="719"/>
      <c r="E2916" s="722"/>
      <c r="F2916" s="366"/>
      <c r="G2916" s="711" t="n">
        <f aca="false">SUM(G2914:G2915)</f>
        <v>61.5</v>
      </c>
      <c r="H2916" s="392"/>
    </row>
    <row r="2917" s="451" customFormat="true" ht="15" hidden="false" customHeight="false" outlineLevel="0" collapsed="false">
      <c r="A2917" s="707" t="s">
        <v>4797</v>
      </c>
      <c r="B2917" s="532" t="s">
        <v>3116</v>
      </c>
      <c r="C2917" s="532" t="s">
        <v>4798</v>
      </c>
      <c r="D2917" s="719"/>
      <c r="E2917" s="722" t="n">
        <v>0</v>
      </c>
      <c r="F2917" s="366" t="n">
        <v>0</v>
      </c>
      <c r="G2917" s="711" t="n">
        <v>0</v>
      </c>
      <c r="H2917" s="392"/>
    </row>
    <row r="2918" s="451" customFormat="true" ht="15" hidden="false" customHeight="false" outlineLevel="0" collapsed="false">
      <c r="A2918" s="707" t="s">
        <v>574</v>
      </c>
      <c r="B2918" s="532" t="s">
        <v>3117</v>
      </c>
      <c r="C2918" s="718"/>
      <c r="D2918" s="719"/>
      <c r="E2918" s="722"/>
      <c r="F2918" s="366"/>
      <c r="G2918" s="711"/>
      <c r="H2918" s="392"/>
    </row>
    <row r="2919" s="451" customFormat="true" ht="15" hidden="false" customHeight="false" outlineLevel="0" collapsed="false">
      <c r="A2919" s="707"/>
      <c r="B2919" s="532" t="s">
        <v>4799</v>
      </c>
      <c r="C2919" s="532" t="s">
        <v>4617</v>
      </c>
      <c r="D2919" s="679" t="s">
        <v>4555</v>
      </c>
      <c r="E2919" s="746" t="n">
        <v>0.22</v>
      </c>
      <c r="F2919" s="729" t="n">
        <v>81000</v>
      </c>
      <c r="G2919" s="727" t="n">
        <f aca="false">E2919*F2919</f>
        <v>17820</v>
      </c>
      <c r="H2919" s="392"/>
    </row>
    <row r="2920" s="451" customFormat="true" ht="15" hidden="false" customHeight="false" outlineLevel="0" collapsed="false">
      <c r="A2920" s="707"/>
      <c r="B2920" s="532"/>
      <c r="C2920" s="471" t="s">
        <v>4317</v>
      </c>
      <c r="D2920" s="679" t="s">
        <v>4392</v>
      </c>
      <c r="E2920" s="746" t="n">
        <v>0.025</v>
      </c>
      <c r="F2920" s="724" t="n">
        <v>16500</v>
      </c>
      <c r="G2920" s="727" t="n">
        <f aca="false">E2920*F2920</f>
        <v>412.5</v>
      </c>
      <c r="H2920" s="392"/>
    </row>
    <row r="2921" s="451" customFormat="true" ht="15" hidden="false" customHeight="false" outlineLevel="0" collapsed="false">
      <c r="A2921" s="707"/>
      <c r="B2921" s="532"/>
      <c r="C2921" s="471" t="s">
        <v>4250</v>
      </c>
      <c r="D2921" s="737" t="s">
        <v>4133</v>
      </c>
      <c r="E2921" s="746" t="n">
        <v>0.01</v>
      </c>
      <c r="F2921" s="729" t="n">
        <v>27000</v>
      </c>
      <c r="G2921" s="727" t="n">
        <f aca="false">E2921*F2921</f>
        <v>270</v>
      </c>
      <c r="H2921" s="392"/>
    </row>
    <row r="2922" s="451" customFormat="true" ht="15" hidden="false" customHeight="false" outlineLevel="0" collapsed="false">
      <c r="A2922" s="707"/>
      <c r="B2922" s="532"/>
      <c r="C2922" s="471" t="s">
        <v>4618</v>
      </c>
      <c r="D2922" s="737" t="s">
        <v>4133</v>
      </c>
      <c r="E2922" s="746" t="n">
        <v>0.045</v>
      </c>
      <c r="F2922" s="729" t="n">
        <v>12300</v>
      </c>
      <c r="G2922" s="727" t="n">
        <f aca="false">E2922*F2922</f>
        <v>553.5</v>
      </c>
      <c r="H2922" s="392"/>
    </row>
    <row r="2923" s="451" customFormat="true" ht="15" hidden="false" customHeight="false" outlineLevel="0" collapsed="false">
      <c r="A2923" s="707"/>
      <c r="B2923" s="532"/>
      <c r="C2923" s="743" t="s">
        <v>4611</v>
      </c>
      <c r="D2923" s="679" t="s">
        <v>4392</v>
      </c>
      <c r="E2923" s="766" t="n">
        <v>0.05</v>
      </c>
      <c r="F2923" s="369" t="n">
        <v>720</v>
      </c>
      <c r="G2923" s="727" t="n">
        <f aca="false">E2923*F2923</f>
        <v>36</v>
      </c>
      <c r="H2923" s="392"/>
    </row>
    <row r="2924" s="451" customFormat="true" ht="15" hidden="false" customHeight="false" outlineLevel="0" collapsed="false">
      <c r="A2924" s="707"/>
      <c r="B2924" s="532"/>
      <c r="C2924" s="532" t="s">
        <v>4377</v>
      </c>
      <c r="D2924" s="737" t="s">
        <v>4133</v>
      </c>
      <c r="E2924" s="746" t="n">
        <v>0.01</v>
      </c>
      <c r="F2924" s="729" t="n">
        <v>3500</v>
      </c>
      <c r="G2924" s="727" t="n">
        <f aca="false">E2924*F2924</f>
        <v>35</v>
      </c>
      <c r="H2924" s="392"/>
    </row>
    <row r="2925" s="451" customFormat="true" ht="15" hidden="false" customHeight="false" outlineLevel="0" collapsed="false">
      <c r="A2925" s="707"/>
      <c r="B2925" s="532"/>
      <c r="C2925" s="471" t="s">
        <v>4619</v>
      </c>
      <c r="D2925" s="737" t="s">
        <v>4133</v>
      </c>
      <c r="E2925" s="746" t="n">
        <v>0.02</v>
      </c>
      <c r="F2925" s="729" t="n">
        <v>920</v>
      </c>
      <c r="G2925" s="727" t="n">
        <f aca="false">E2925*F2925</f>
        <v>18.4</v>
      </c>
      <c r="H2925" s="392"/>
    </row>
    <row r="2926" s="451" customFormat="true" ht="30" hidden="false" customHeight="false" outlineLevel="0" collapsed="false">
      <c r="A2926" s="707"/>
      <c r="B2926" s="532"/>
      <c r="C2926" s="471" t="s">
        <v>4620</v>
      </c>
      <c r="D2926" s="737" t="s">
        <v>4348</v>
      </c>
      <c r="E2926" s="746" t="n">
        <v>0.1</v>
      </c>
      <c r="F2926" s="729" t="n">
        <v>1000</v>
      </c>
      <c r="G2926" s="727" t="n">
        <f aca="false">E2926*F2926</f>
        <v>100</v>
      </c>
      <c r="H2926" s="392"/>
    </row>
    <row r="2927" s="451" customFormat="true" ht="15" hidden="false" customHeight="false" outlineLevel="0" collapsed="false">
      <c r="A2927" s="707"/>
      <c r="B2927" s="532"/>
      <c r="C2927" s="471" t="s">
        <v>4621</v>
      </c>
      <c r="D2927" s="737" t="s">
        <v>4133</v>
      </c>
      <c r="E2927" s="746" t="n">
        <v>0.0025</v>
      </c>
      <c r="F2927" s="729"/>
      <c r="G2927" s="727" t="n">
        <f aca="false">E2927*F2927</f>
        <v>0</v>
      </c>
      <c r="H2927" s="392"/>
    </row>
    <row r="2928" s="451" customFormat="true" ht="15" hidden="false" customHeight="false" outlineLevel="0" collapsed="false">
      <c r="A2928" s="707"/>
      <c r="B2928" s="532"/>
      <c r="C2928" s="709" t="s">
        <v>4622</v>
      </c>
      <c r="D2928" s="679" t="s">
        <v>4133</v>
      </c>
      <c r="E2928" s="710" t="n">
        <v>0.025</v>
      </c>
      <c r="F2928" s="369" t="n">
        <v>3000</v>
      </c>
      <c r="G2928" s="727" t="n">
        <f aca="false">E2928*F2928</f>
        <v>75</v>
      </c>
      <c r="H2928" s="392"/>
    </row>
    <row r="2929" s="451" customFormat="true" ht="15" hidden="false" customHeight="false" outlineLevel="0" collapsed="false">
      <c r="A2929" s="707"/>
      <c r="B2929" s="532"/>
      <c r="C2929" s="709" t="s">
        <v>4623</v>
      </c>
      <c r="D2929" s="679" t="s">
        <v>4392</v>
      </c>
      <c r="E2929" s="710" t="n">
        <v>0.0035</v>
      </c>
      <c r="F2929" s="369" t="n">
        <v>24000</v>
      </c>
      <c r="G2929" s="727" t="n">
        <f aca="false">E2929*F2929</f>
        <v>84</v>
      </c>
      <c r="H2929" s="392"/>
    </row>
    <row r="2930" s="451" customFormat="true" ht="30" hidden="false" customHeight="false" outlineLevel="0" collapsed="false">
      <c r="A2930" s="707"/>
      <c r="B2930" s="532"/>
      <c r="C2930" s="709" t="s">
        <v>4624</v>
      </c>
      <c r="D2930" s="679" t="s">
        <v>4133</v>
      </c>
      <c r="E2930" s="710" t="n">
        <v>0.005</v>
      </c>
      <c r="F2930" s="369" t="n">
        <v>39400</v>
      </c>
      <c r="G2930" s="727" t="n">
        <f aca="false">E2930*F2930</f>
        <v>197</v>
      </c>
      <c r="H2930" s="392"/>
    </row>
    <row r="2931" s="451" customFormat="true" ht="15" hidden="false" customHeight="false" outlineLevel="0" collapsed="false">
      <c r="A2931" s="707"/>
      <c r="B2931" s="785" t="s">
        <v>4785</v>
      </c>
      <c r="C2931" s="754"/>
      <c r="D2931" s="392"/>
      <c r="E2931" s="722"/>
      <c r="F2931" s="366"/>
      <c r="G2931" s="711" t="n">
        <f aca="false">SUM(G2919:G2930)</f>
        <v>19601.4</v>
      </c>
      <c r="H2931" s="392"/>
    </row>
    <row r="2932" s="451" customFormat="true" ht="15" hidden="false" customHeight="false" outlineLevel="0" collapsed="false">
      <c r="A2932" s="707" t="s">
        <v>4800</v>
      </c>
      <c r="B2932" s="786" t="s">
        <v>3118</v>
      </c>
      <c r="C2932" s="709"/>
      <c r="D2932" s="679"/>
      <c r="E2932" s="679"/>
      <c r="F2932" s="369"/>
      <c r="G2932" s="716"/>
      <c r="H2932" s="679"/>
    </row>
    <row r="2933" s="451" customFormat="true" ht="15" hidden="false" customHeight="false" outlineLevel="0" collapsed="false">
      <c r="A2933" s="707"/>
      <c r="B2933" s="532" t="s">
        <v>4799</v>
      </c>
      <c r="C2933" s="743" t="s">
        <v>4611</v>
      </c>
      <c r="D2933" s="737" t="s">
        <v>4133</v>
      </c>
      <c r="E2933" s="749" t="n">
        <v>0.05</v>
      </c>
      <c r="F2933" s="721" t="n">
        <v>720</v>
      </c>
      <c r="G2933" s="770" t="n">
        <f aca="false">E2933*F2933</f>
        <v>36</v>
      </c>
      <c r="H2933" s="679"/>
    </row>
    <row r="2934" s="451" customFormat="true" ht="15" hidden="false" customHeight="false" outlineLevel="0" collapsed="false">
      <c r="A2934" s="707"/>
      <c r="B2934" s="532"/>
      <c r="C2934" s="471" t="s">
        <v>4250</v>
      </c>
      <c r="D2934" s="737" t="s">
        <v>4133</v>
      </c>
      <c r="E2934" s="749" t="n">
        <v>0.09</v>
      </c>
      <c r="F2934" s="729" t="n">
        <v>25000</v>
      </c>
      <c r="G2934" s="765" t="n">
        <f aca="false">E2934*F2934</f>
        <v>2250</v>
      </c>
      <c r="H2934" s="679"/>
    </row>
    <row r="2935" s="451" customFormat="true" ht="15" hidden="false" customHeight="false" outlineLevel="0" collapsed="false">
      <c r="A2935" s="707"/>
      <c r="B2935" s="532"/>
      <c r="C2935" s="471" t="s">
        <v>4801</v>
      </c>
      <c r="D2935" s="737" t="s">
        <v>4133</v>
      </c>
      <c r="E2935" s="749" t="n">
        <v>0.106</v>
      </c>
      <c r="F2935" s="729" t="n">
        <v>2800</v>
      </c>
      <c r="G2935" s="765" t="n">
        <f aca="false">E2935*F2935</f>
        <v>296.8</v>
      </c>
      <c r="H2935" s="679"/>
    </row>
    <row r="2936" s="451" customFormat="true" ht="15" hidden="false" customHeight="false" outlineLevel="0" collapsed="false">
      <c r="A2936" s="707"/>
      <c r="B2936" s="532"/>
      <c r="C2936" s="471" t="s">
        <v>4522</v>
      </c>
      <c r="D2936" s="737" t="s">
        <v>4133</v>
      </c>
      <c r="E2936" s="749" t="n">
        <v>0.02</v>
      </c>
      <c r="F2936" s="729" t="n">
        <v>2700</v>
      </c>
      <c r="G2936" s="787" t="n">
        <f aca="false">E2936*F2936</f>
        <v>54</v>
      </c>
      <c r="H2936" s="679"/>
    </row>
    <row r="2937" s="451" customFormat="true" ht="15" hidden="false" customHeight="false" outlineLevel="0" collapsed="false">
      <c r="A2937" s="707"/>
      <c r="B2937" s="786"/>
      <c r="C2937" s="532" t="s">
        <v>4609</v>
      </c>
      <c r="D2937" s="737" t="s">
        <v>4133</v>
      </c>
      <c r="E2937" s="749" t="n">
        <v>0.06</v>
      </c>
      <c r="F2937" s="721" t="n">
        <v>1500</v>
      </c>
      <c r="G2937" s="770" t="n">
        <f aca="false">E2937*F2937</f>
        <v>90</v>
      </c>
      <c r="H2937" s="679"/>
    </row>
    <row r="2938" s="451" customFormat="true" ht="15" hidden="false" customHeight="false" outlineLevel="0" collapsed="false">
      <c r="A2938" s="707"/>
      <c r="B2938" s="788" t="s">
        <v>4785</v>
      </c>
      <c r="C2938" s="709"/>
      <c r="D2938" s="679"/>
      <c r="E2938" s="679"/>
      <c r="F2938" s="369"/>
      <c r="G2938" s="711" t="n">
        <f aca="false">SUM(G2933:G2937)</f>
        <v>2726.8</v>
      </c>
      <c r="H2938" s="679"/>
    </row>
    <row r="2939" s="451" customFormat="true" ht="15" hidden="false" customHeight="false" outlineLevel="0" collapsed="false">
      <c r="A2939" s="707" t="s">
        <v>578</v>
      </c>
      <c r="B2939" s="532" t="s">
        <v>3119</v>
      </c>
      <c r="C2939" s="709"/>
      <c r="D2939" s="679"/>
      <c r="E2939" s="679"/>
      <c r="F2939" s="369"/>
      <c r="G2939" s="716"/>
      <c r="H2939" s="392"/>
    </row>
    <row r="2940" s="451" customFormat="true" ht="15" hidden="false" customHeight="false" outlineLevel="0" collapsed="false">
      <c r="A2940" s="707"/>
      <c r="B2940" s="532" t="s">
        <v>4802</v>
      </c>
      <c r="C2940" s="709" t="s">
        <v>4515</v>
      </c>
      <c r="D2940" s="679" t="s">
        <v>4133</v>
      </c>
      <c r="E2940" s="710" t="n">
        <v>0.06</v>
      </c>
      <c r="F2940" s="369" t="n">
        <v>2700</v>
      </c>
      <c r="G2940" s="770" t="n">
        <f aca="false">E2940*F2940</f>
        <v>162</v>
      </c>
      <c r="H2940" s="679"/>
    </row>
    <row r="2941" s="451" customFormat="true" ht="15" hidden="false" customHeight="false" outlineLevel="0" collapsed="false">
      <c r="A2941" s="707"/>
      <c r="B2941" s="532"/>
      <c r="C2941" s="709" t="s">
        <v>4124</v>
      </c>
      <c r="D2941" s="679" t="s">
        <v>4516</v>
      </c>
      <c r="E2941" s="710" t="n">
        <v>1.5</v>
      </c>
      <c r="F2941" s="369" t="n">
        <v>120</v>
      </c>
      <c r="G2941" s="770" t="n">
        <f aca="false">E2941*F2941</f>
        <v>180</v>
      </c>
      <c r="H2941" s="679"/>
    </row>
    <row r="2942" s="451" customFormat="true" ht="15" hidden="false" customHeight="false" outlineLevel="0" collapsed="false">
      <c r="A2942" s="707"/>
      <c r="B2942" s="708" t="s">
        <v>4128</v>
      </c>
      <c r="C2942" s="718"/>
      <c r="D2942" s="719"/>
      <c r="E2942" s="722"/>
      <c r="F2942" s="366"/>
      <c r="G2942" s="711" t="n">
        <f aca="false">SUM(G2940:G2941)</f>
        <v>342</v>
      </c>
      <c r="H2942" s="679"/>
    </row>
    <row r="2943" customFormat="false" ht="15" hidden="false" customHeight="false" outlineLevel="0" collapsed="false">
      <c r="A2943" s="350" t="s">
        <v>4803</v>
      </c>
      <c r="B2943" s="467" t="s">
        <v>4804</v>
      </c>
      <c r="C2943" s="789"/>
      <c r="D2943" s="790"/>
      <c r="E2943" s="791"/>
      <c r="F2943" s="792"/>
      <c r="G2943" s="793"/>
      <c r="H2943" s="339"/>
    </row>
    <row r="2944" s="451" customFormat="true" ht="15" hidden="false" customHeight="false" outlineLevel="0" collapsed="false">
      <c r="A2944" s="707" t="s">
        <v>582</v>
      </c>
      <c r="B2944" s="487" t="s">
        <v>3010</v>
      </c>
      <c r="C2944" s="709"/>
      <c r="D2944" s="719"/>
      <c r="E2944" s="738"/>
      <c r="F2944" s="729"/>
      <c r="G2944" s="765"/>
      <c r="H2944" s="392"/>
    </row>
    <row r="2945" s="451" customFormat="true" ht="15" hidden="false" customHeight="false" outlineLevel="0" collapsed="false">
      <c r="A2945" s="707"/>
      <c r="B2945" s="771"/>
      <c r="C2945" s="794"/>
      <c r="D2945" s="719"/>
      <c r="E2945" s="738"/>
      <c r="F2945" s="729"/>
      <c r="G2945" s="765"/>
      <c r="H2945" s="392"/>
    </row>
    <row r="2946" s="451" customFormat="true" ht="15" hidden="false" customHeight="false" outlineLevel="0" collapsed="false">
      <c r="A2946" s="707" t="s">
        <v>4805</v>
      </c>
      <c r="B2946" s="487" t="s">
        <v>3084</v>
      </c>
      <c r="C2946" s="709" t="s">
        <v>4515</v>
      </c>
      <c r="D2946" s="679" t="s">
        <v>4133</v>
      </c>
      <c r="E2946" s="710" t="n">
        <v>0.02</v>
      </c>
      <c r="F2946" s="369" t="n">
        <v>2700</v>
      </c>
      <c r="G2946" s="770" t="n">
        <f aca="false">E2946*F2946</f>
        <v>54</v>
      </c>
      <c r="H2946" s="679"/>
    </row>
    <row r="2947" s="451" customFormat="true" ht="15" hidden="false" customHeight="false" outlineLevel="0" collapsed="false">
      <c r="A2947" s="707"/>
      <c r="B2947" s="522"/>
      <c r="C2947" s="709" t="s">
        <v>4124</v>
      </c>
      <c r="D2947" s="679" t="s">
        <v>4516</v>
      </c>
      <c r="E2947" s="710" t="n">
        <v>1.5</v>
      </c>
      <c r="F2947" s="369" t="n">
        <v>120</v>
      </c>
      <c r="G2947" s="770" t="n">
        <f aca="false">E2947*F2947</f>
        <v>180</v>
      </c>
      <c r="H2947" s="679"/>
    </row>
    <row r="2948" s="451" customFormat="true" ht="15" hidden="false" customHeight="false" outlineLevel="0" collapsed="false">
      <c r="A2948" s="707"/>
      <c r="B2948" s="708"/>
      <c r="C2948" s="718"/>
      <c r="D2948" s="719"/>
      <c r="E2948" s="722"/>
      <c r="F2948" s="366"/>
      <c r="G2948" s="711" t="n">
        <f aca="false">SUM(G2946:G2947)</f>
        <v>234</v>
      </c>
      <c r="H2948" s="679"/>
    </row>
    <row r="2949" s="451" customFormat="true" ht="15" hidden="false" customHeight="false" outlineLevel="0" collapsed="false">
      <c r="A2949" s="707" t="s">
        <v>584</v>
      </c>
      <c r="B2949" s="487" t="s">
        <v>3085</v>
      </c>
      <c r="C2949" s="709" t="s">
        <v>4515</v>
      </c>
      <c r="D2949" s="679" t="s">
        <v>4133</v>
      </c>
      <c r="E2949" s="710" t="n">
        <v>0.08565</v>
      </c>
      <c r="F2949" s="369" t="n">
        <v>2700</v>
      </c>
      <c r="G2949" s="770" t="n">
        <f aca="false">E2949*F2949</f>
        <v>231.255</v>
      </c>
      <c r="H2949" s="679"/>
    </row>
    <row r="2950" s="451" customFormat="true" ht="15" hidden="false" customHeight="false" outlineLevel="0" collapsed="false">
      <c r="A2950" s="707"/>
      <c r="B2950" s="522"/>
      <c r="C2950" s="709" t="s">
        <v>4124</v>
      </c>
      <c r="D2950" s="679" t="s">
        <v>4516</v>
      </c>
      <c r="E2950" s="710" t="n">
        <v>0.995</v>
      </c>
      <c r="F2950" s="369" t="n">
        <v>120</v>
      </c>
      <c r="G2950" s="770" t="n">
        <f aca="false">E2950*F2950</f>
        <v>119.4</v>
      </c>
      <c r="H2950" s="392"/>
    </row>
    <row r="2951" s="451" customFormat="true" ht="15" hidden="false" customHeight="false" outlineLevel="0" collapsed="false">
      <c r="A2951" s="707"/>
      <c r="B2951" s="522"/>
      <c r="C2951" s="709" t="s">
        <v>4122</v>
      </c>
      <c r="D2951" s="679" t="s">
        <v>4392</v>
      </c>
      <c r="E2951" s="710" t="n">
        <v>0.1868</v>
      </c>
      <c r="F2951" s="721" t="n">
        <v>720</v>
      </c>
      <c r="G2951" s="770" t="n">
        <f aca="false">E2951*F2951</f>
        <v>134.496</v>
      </c>
      <c r="H2951" s="679"/>
    </row>
    <row r="2952" s="451" customFormat="true" ht="15" hidden="false" customHeight="false" outlineLevel="0" collapsed="false">
      <c r="A2952" s="707"/>
      <c r="B2952" s="708" t="s">
        <v>4128</v>
      </c>
      <c r="C2952" s="718"/>
      <c r="D2952" s="719"/>
      <c r="E2952" s="722"/>
      <c r="F2952" s="366"/>
      <c r="G2952" s="711" t="n">
        <f aca="false">SUM(G2949:G2951)</f>
        <v>485.151</v>
      </c>
      <c r="H2952" s="679"/>
    </row>
    <row r="2953" s="451" customFormat="true" ht="30" hidden="false" customHeight="false" outlineLevel="0" collapsed="false">
      <c r="A2953" s="707" t="s">
        <v>585</v>
      </c>
      <c r="B2953" s="487" t="s">
        <v>3121</v>
      </c>
      <c r="C2953" s="709" t="s">
        <v>4541</v>
      </c>
      <c r="D2953" s="679" t="s">
        <v>4133</v>
      </c>
      <c r="E2953" s="710" t="n">
        <v>0.4</v>
      </c>
      <c r="F2953" s="369" t="n">
        <v>1200</v>
      </c>
      <c r="G2953" s="770" t="n">
        <f aca="false">E2953*F2953</f>
        <v>480</v>
      </c>
      <c r="H2953" s="679"/>
    </row>
    <row r="2954" s="451" customFormat="true" ht="15" hidden="false" customHeight="false" outlineLevel="0" collapsed="false">
      <c r="A2954" s="707"/>
      <c r="B2954" s="522"/>
      <c r="C2954" s="709" t="s">
        <v>4122</v>
      </c>
      <c r="D2954" s="679" t="s">
        <v>4392</v>
      </c>
      <c r="E2954" s="710" t="n">
        <v>0.04</v>
      </c>
      <c r="F2954" s="721" t="n">
        <v>720</v>
      </c>
      <c r="G2954" s="770" t="n">
        <f aca="false">E2954*F2954</f>
        <v>28.8</v>
      </c>
      <c r="H2954" s="392"/>
    </row>
    <row r="2955" s="451" customFormat="true" ht="15" hidden="false" customHeight="false" outlineLevel="0" collapsed="false">
      <c r="A2955" s="707"/>
      <c r="B2955" s="522"/>
      <c r="C2955" s="709" t="s">
        <v>4638</v>
      </c>
      <c r="D2955" s="679" t="s">
        <v>4133</v>
      </c>
      <c r="E2955" s="710" t="n">
        <v>0.003</v>
      </c>
      <c r="F2955" s="369" t="n">
        <v>55000</v>
      </c>
      <c r="G2955" s="770" t="n">
        <f aca="false">E2955*F2955</f>
        <v>165</v>
      </c>
      <c r="H2955" s="679"/>
    </row>
    <row r="2956" s="451" customFormat="true" ht="15" hidden="false" customHeight="false" outlineLevel="0" collapsed="false">
      <c r="A2956" s="707"/>
      <c r="B2956" s="522"/>
      <c r="C2956" s="709" t="s">
        <v>4515</v>
      </c>
      <c r="D2956" s="679" t="s">
        <v>4133</v>
      </c>
      <c r="E2956" s="710" t="n">
        <v>0.0225</v>
      </c>
      <c r="F2956" s="369" t="n">
        <v>2700</v>
      </c>
      <c r="G2956" s="770" t="n">
        <f aca="false">E2956*F2956</f>
        <v>60.75</v>
      </c>
      <c r="H2956" s="679"/>
    </row>
    <row r="2957" s="451" customFormat="true" ht="15" hidden="false" customHeight="false" outlineLevel="0" collapsed="false">
      <c r="A2957" s="707"/>
      <c r="B2957" s="708" t="s">
        <v>4128</v>
      </c>
      <c r="C2957" s="718"/>
      <c r="D2957" s="719"/>
      <c r="E2957" s="722"/>
      <c r="F2957" s="366"/>
      <c r="G2957" s="711" t="n">
        <f aca="false">SUM(G2953:G2956)</f>
        <v>734.55</v>
      </c>
      <c r="H2957" s="679"/>
    </row>
    <row r="2958" s="451" customFormat="true" ht="15" hidden="false" customHeight="false" outlineLevel="0" collapsed="false">
      <c r="A2958" s="707" t="s">
        <v>587</v>
      </c>
      <c r="B2958" s="487" t="s">
        <v>3058</v>
      </c>
      <c r="C2958" s="709" t="s">
        <v>4147</v>
      </c>
      <c r="D2958" s="679" t="s">
        <v>4392</v>
      </c>
      <c r="E2958" s="710" t="n">
        <v>0.2</v>
      </c>
      <c r="F2958" s="723" t="n">
        <v>3612</v>
      </c>
      <c r="G2958" s="770" t="n">
        <f aca="false">E2958*F2958</f>
        <v>722.4</v>
      </c>
      <c r="H2958" s="679"/>
    </row>
    <row r="2959" s="451" customFormat="true" ht="15" hidden="false" customHeight="false" outlineLevel="0" collapsed="false">
      <c r="A2959" s="707"/>
      <c r="B2959" s="522"/>
      <c r="C2959" s="709" t="s">
        <v>4515</v>
      </c>
      <c r="D2959" s="679" t="s">
        <v>4133</v>
      </c>
      <c r="E2959" s="710" t="n">
        <v>0.06</v>
      </c>
      <c r="F2959" s="369" t="n">
        <v>2700</v>
      </c>
      <c r="G2959" s="770" t="n">
        <f aca="false">E2959*F2959</f>
        <v>162</v>
      </c>
      <c r="H2959" s="679"/>
    </row>
    <row r="2960" s="451" customFormat="true" ht="15" hidden="false" customHeight="false" outlineLevel="0" collapsed="false">
      <c r="A2960" s="707"/>
      <c r="B2960" s="522"/>
      <c r="C2960" s="709" t="s">
        <v>4124</v>
      </c>
      <c r="D2960" s="679" t="s">
        <v>4516</v>
      </c>
      <c r="E2960" s="710" t="n">
        <v>1.5</v>
      </c>
      <c r="F2960" s="369" t="n">
        <v>120</v>
      </c>
      <c r="G2960" s="770" t="n">
        <f aca="false">E2960*F2960</f>
        <v>180</v>
      </c>
      <c r="H2960" s="679"/>
    </row>
    <row r="2961" s="451" customFormat="true" ht="15" hidden="false" customHeight="false" outlineLevel="0" collapsed="false">
      <c r="A2961" s="707"/>
      <c r="B2961" s="708" t="s">
        <v>4128</v>
      </c>
      <c r="C2961" s="718"/>
      <c r="D2961" s="719"/>
      <c r="E2961" s="722"/>
      <c r="F2961" s="366"/>
      <c r="G2961" s="711" t="n">
        <f aca="false">SUM(G2958:G2960)</f>
        <v>1064.4</v>
      </c>
      <c r="H2961" s="679"/>
    </row>
    <row r="2962" s="451" customFormat="true" ht="15" hidden="false" customHeight="false" outlineLevel="0" collapsed="false">
      <c r="A2962" s="707" t="s">
        <v>588</v>
      </c>
      <c r="B2962" s="487" t="s">
        <v>3059</v>
      </c>
      <c r="C2962" s="709" t="s">
        <v>4154</v>
      </c>
      <c r="D2962" s="679" t="s">
        <v>4392</v>
      </c>
      <c r="E2962" s="710" t="n">
        <v>0.14308</v>
      </c>
      <c r="F2962" s="721" t="n">
        <v>3500</v>
      </c>
      <c r="G2962" s="770" t="n">
        <f aca="false">E2962*F2962</f>
        <v>500.78</v>
      </c>
      <c r="H2962" s="392"/>
    </row>
    <row r="2963" s="451" customFormat="true" ht="15" hidden="false" customHeight="false" outlineLevel="0" collapsed="false">
      <c r="A2963" s="707"/>
      <c r="B2963" s="522"/>
      <c r="C2963" s="709" t="s">
        <v>4147</v>
      </c>
      <c r="D2963" s="679" t="s">
        <v>4392</v>
      </c>
      <c r="E2963" s="710" t="n">
        <v>0.1</v>
      </c>
      <c r="F2963" s="723" t="n">
        <v>3612</v>
      </c>
      <c r="G2963" s="770" t="n">
        <f aca="false">E2963*F2963</f>
        <v>361.2</v>
      </c>
      <c r="H2963" s="679"/>
    </row>
    <row r="2964" s="451" customFormat="true" ht="15" hidden="false" customHeight="false" outlineLevel="0" collapsed="false">
      <c r="A2964" s="707"/>
      <c r="B2964" s="522"/>
      <c r="C2964" s="709" t="s">
        <v>4205</v>
      </c>
      <c r="D2964" s="679" t="s">
        <v>4392</v>
      </c>
      <c r="E2964" s="710" t="n">
        <v>0.05</v>
      </c>
      <c r="F2964" s="717" t="n">
        <v>7875</v>
      </c>
      <c r="G2964" s="770" t="n">
        <f aca="false">E2964*F2964</f>
        <v>393.75</v>
      </c>
      <c r="H2964" s="679"/>
    </row>
    <row r="2965" s="451" customFormat="true" ht="15" hidden="false" customHeight="false" outlineLevel="0" collapsed="false">
      <c r="A2965" s="707"/>
      <c r="B2965" s="522"/>
      <c r="C2965" s="709" t="s">
        <v>4536</v>
      </c>
      <c r="D2965" s="679" t="s">
        <v>4392</v>
      </c>
      <c r="E2965" s="710" t="n">
        <v>0.08</v>
      </c>
      <c r="F2965" s="369" t="n">
        <v>546</v>
      </c>
      <c r="G2965" s="770" t="n">
        <f aca="false">E2965*F2965</f>
        <v>43.68</v>
      </c>
      <c r="H2965" s="679"/>
    </row>
    <row r="2966" s="451" customFormat="true" ht="15" hidden="false" customHeight="false" outlineLevel="0" collapsed="false">
      <c r="A2966" s="707"/>
      <c r="B2966" s="522"/>
      <c r="C2966" s="709" t="s">
        <v>4122</v>
      </c>
      <c r="D2966" s="679" t="s">
        <v>4392</v>
      </c>
      <c r="E2966" s="710" t="n">
        <v>0.3</v>
      </c>
      <c r="F2966" s="721" t="n">
        <v>720</v>
      </c>
      <c r="G2966" s="770" t="n">
        <f aca="false">E2966*F2966</f>
        <v>216</v>
      </c>
      <c r="H2966" s="392"/>
    </row>
    <row r="2967" s="451" customFormat="true" ht="15" hidden="false" customHeight="false" outlineLevel="0" collapsed="false">
      <c r="A2967" s="707"/>
      <c r="B2967" s="522"/>
      <c r="C2967" s="709" t="s">
        <v>4515</v>
      </c>
      <c r="D2967" s="679" t="s">
        <v>4133</v>
      </c>
      <c r="E2967" s="710" t="n">
        <v>0.05995</v>
      </c>
      <c r="F2967" s="369" t="n">
        <v>2700</v>
      </c>
      <c r="G2967" s="770" t="n">
        <f aca="false">E2967*F2967</f>
        <v>161.865</v>
      </c>
      <c r="H2967" s="679"/>
    </row>
    <row r="2968" s="451" customFormat="true" ht="15" hidden="false" customHeight="false" outlineLevel="0" collapsed="false">
      <c r="A2968" s="707"/>
      <c r="B2968" s="522"/>
      <c r="C2968" s="709" t="s">
        <v>4124</v>
      </c>
      <c r="D2968" s="679" t="s">
        <v>4516</v>
      </c>
      <c r="E2968" s="710" t="n">
        <v>1.5</v>
      </c>
      <c r="F2968" s="369" t="n">
        <v>120</v>
      </c>
      <c r="G2968" s="770" t="n">
        <f aca="false">E2968*F2968</f>
        <v>180</v>
      </c>
      <c r="H2968" s="679"/>
    </row>
    <row r="2969" s="451" customFormat="true" ht="15" hidden="false" customHeight="false" outlineLevel="0" collapsed="false">
      <c r="A2969" s="707"/>
      <c r="B2969" s="708" t="s">
        <v>4128</v>
      </c>
      <c r="C2969" s="718"/>
      <c r="D2969" s="719"/>
      <c r="E2969" s="722"/>
      <c r="F2969" s="366"/>
      <c r="G2969" s="711" t="n">
        <f aca="false">SUM(G2962:G2968)</f>
        <v>1857.275</v>
      </c>
      <c r="H2969" s="679"/>
    </row>
    <row r="2970" s="451" customFormat="true" ht="15" hidden="false" customHeight="false" outlineLevel="0" collapsed="false">
      <c r="A2970" s="707" t="s">
        <v>589</v>
      </c>
      <c r="B2970" s="487" t="s">
        <v>3122</v>
      </c>
      <c r="C2970" s="709" t="s">
        <v>4122</v>
      </c>
      <c r="D2970" s="679" t="s">
        <v>4392</v>
      </c>
      <c r="E2970" s="710" t="n">
        <v>0.3</v>
      </c>
      <c r="F2970" s="721" t="n">
        <v>720</v>
      </c>
      <c r="G2970" s="770" t="n">
        <f aca="false">E2970*F2970</f>
        <v>216</v>
      </c>
      <c r="H2970" s="679"/>
    </row>
    <row r="2971" s="451" customFormat="true" ht="15" hidden="false" customHeight="false" outlineLevel="0" collapsed="false">
      <c r="A2971" s="707"/>
      <c r="B2971" s="522"/>
      <c r="C2971" s="709" t="s">
        <v>4515</v>
      </c>
      <c r="D2971" s="679" t="s">
        <v>4133</v>
      </c>
      <c r="E2971" s="710" t="n">
        <v>0.006</v>
      </c>
      <c r="F2971" s="369" t="n">
        <v>2700</v>
      </c>
      <c r="G2971" s="770" t="n">
        <f aca="false">E2971*F2971</f>
        <v>16.2</v>
      </c>
      <c r="H2971" s="679"/>
    </row>
    <row r="2972" s="451" customFormat="true" ht="15" hidden="false" customHeight="false" outlineLevel="0" collapsed="false">
      <c r="A2972" s="707"/>
      <c r="B2972" s="522"/>
      <c r="C2972" s="709" t="s">
        <v>4124</v>
      </c>
      <c r="D2972" s="679" t="s">
        <v>4516</v>
      </c>
      <c r="E2972" s="710" t="n">
        <v>1.5</v>
      </c>
      <c r="F2972" s="369" t="n">
        <v>120</v>
      </c>
      <c r="G2972" s="770" t="n">
        <f aca="false">E2972*F2972</f>
        <v>180</v>
      </c>
      <c r="H2972" s="392"/>
    </row>
    <row r="2973" s="451" customFormat="true" ht="15" hidden="false" customHeight="false" outlineLevel="0" collapsed="false">
      <c r="A2973" s="707"/>
      <c r="B2973" s="708" t="s">
        <v>4128</v>
      </c>
      <c r="C2973" s="718"/>
      <c r="D2973" s="719"/>
      <c r="E2973" s="722"/>
      <c r="F2973" s="366"/>
      <c r="G2973" s="711" t="n">
        <f aca="false">SUM(G2970:G2972)</f>
        <v>412.2</v>
      </c>
      <c r="H2973" s="679"/>
    </row>
    <row r="2974" s="451" customFormat="true" ht="15" hidden="false" customHeight="false" outlineLevel="0" collapsed="false">
      <c r="A2974" s="707" t="s">
        <v>590</v>
      </c>
      <c r="B2974" s="487" t="s">
        <v>2883</v>
      </c>
      <c r="C2974" s="709" t="s">
        <v>791</v>
      </c>
      <c r="D2974" s="679" t="s">
        <v>4133</v>
      </c>
      <c r="E2974" s="710" t="n">
        <v>0.00027</v>
      </c>
      <c r="F2974" s="369" t="n">
        <v>7705</v>
      </c>
      <c r="G2974" s="770" t="n">
        <f aca="false">E2974*F2974</f>
        <v>2.08035</v>
      </c>
      <c r="H2974" s="679"/>
    </row>
    <row r="2975" s="451" customFormat="true" ht="15" hidden="false" customHeight="false" outlineLevel="0" collapsed="false">
      <c r="A2975" s="707"/>
      <c r="B2975" s="522"/>
      <c r="C2975" s="709" t="s">
        <v>4806</v>
      </c>
      <c r="D2975" s="679" t="s">
        <v>4133</v>
      </c>
      <c r="E2975" s="710" t="n">
        <v>0.001</v>
      </c>
      <c r="F2975" s="729" t="n">
        <v>3500</v>
      </c>
      <c r="G2975" s="770" t="n">
        <f aca="false">E2975*F2975</f>
        <v>3.5</v>
      </c>
      <c r="H2975" s="679"/>
    </row>
    <row r="2976" s="451" customFormat="true" ht="15" hidden="false" customHeight="false" outlineLevel="0" collapsed="false">
      <c r="A2976" s="707"/>
      <c r="B2976" s="522"/>
      <c r="C2976" s="709" t="s">
        <v>4201</v>
      </c>
      <c r="D2976" s="679" t="s">
        <v>4133</v>
      </c>
      <c r="E2976" s="710" t="n">
        <v>0.00054</v>
      </c>
      <c r="F2976" s="721" t="n">
        <v>27000</v>
      </c>
      <c r="G2976" s="770" t="n">
        <f aca="false">E2976*F2976</f>
        <v>14.58</v>
      </c>
      <c r="H2976" s="679"/>
    </row>
    <row r="2977" s="451" customFormat="true" ht="15" hidden="false" customHeight="false" outlineLevel="0" collapsed="false">
      <c r="A2977" s="707"/>
      <c r="B2977" s="522"/>
      <c r="C2977" s="709" t="s">
        <v>4154</v>
      </c>
      <c r="D2977" s="679" t="s">
        <v>4133</v>
      </c>
      <c r="E2977" s="710" t="n">
        <v>0.01</v>
      </c>
      <c r="F2977" s="721" t="n">
        <v>3500</v>
      </c>
      <c r="G2977" s="770" t="n">
        <f aca="false">E2977*F2977</f>
        <v>35</v>
      </c>
      <c r="H2977" s="679"/>
    </row>
    <row r="2978" s="451" customFormat="true" ht="15" hidden="false" customHeight="false" outlineLevel="0" collapsed="false">
      <c r="A2978" s="707"/>
      <c r="B2978" s="522"/>
      <c r="C2978" s="709" t="s">
        <v>4202</v>
      </c>
      <c r="D2978" s="679" t="s">
        <v>4133</v>
      </c>
      <c r="E2978" s="710" t="n">
        <v>0.001</v>
      </c>
      <c r="F2978" s="724" t="n">
        <v>6600</v>
      </c>
      <c r="G2978" s="770" t="n">
        <f aca="false">E2978*F2978</f>
        <v>6.6</v>
      </c>
      <c r="H2978" s="679"/>
    </row>
    <row r="2979" s="451" customFormat="true" ht="15" hidden="false" customHeight="false" outlineLevel="0" collapsed="false">
      <c r="A2979" s="707"/>
      <c r="B2979" s="708" t="s">
        <v>4128</v>
      </c>
      <c r="C2979" s="718"/>
      <c r="D2979" s="719"/>
      <c r="E2979" s="722"/>
      <c r="F2979" s="366"/>
      <c r="G2979" s="711" t="n">
        <f aca="false">SUM(G2974:G2978)</f>
        <v>61.76035</v>
      </c>
      <c r="H2979" s="679"/>
    </row>
    <row r="2980" s="451" customFormat="true" ht="15" hidden="false" customHeight="false" outlineLevel="0" collapsed="false">
      <c r="A2980" s="707" t="s">
        <v>591</v>
      </c>
      <c r="B2980" s="487" t="s">
        <v>3123</v>
      </c>
      <c r="C2980" s="709" t="s">
        <v>4529</v>
      </c>
      <c r="D2980" s="679" t="s">
        <v>4133</v>
      </c>
      <c r="E2980" s="710" t="n">
        <v>0.0075</v>
      </c>
      <c r="F2980" s="369" t="n">
        <v>1200</v>
      </c>
      <c r="G2980" s="770" t="n">
        <f aca="false">E2980*F2980</f>
        <v>9</v>
      </c>
      <c r="H2980" s="679"/>
    </row>
    <row r="2981" s="451" customFormat="true" ht="15" hidden="false" customHeight="false" outlineLevel="0" collapsed="false">
      <c r="A2981" s="707"/>
      <c r="B2981" s="522"/>
      <c r="C2981" s="709" t="s">
        <v>4582</v>
      </c>
      <c r="D2981" s="679" t="s">
        <v>4133</v>
      </c>
      <c r="E2981" s="710" t="n">
        <v>0.01</v>
      </c>
      <c r="F2981" s="369" t="n">
        <v>31200</v>
      </c>
      <c r="G2981" s="770" t="n">
        <f aca="false">E2981*F2981</f>
        <v>312</v>
      </c>
      <c r="H2981" s="679"/>
    </row>
    <row r="2982" s="451" customFormat="true" ht="15" hidden="false" customHeight="false" outlineLevel="0" collapsed="false">
      <c r="A2982" s="707"/>
      <c r="B2982" s="522"/>
      <c r="C2982" s="709" t="s">
        <v>4201</v>
      </c>
      <c r="D2982" s="679" t="s">
        <v>4133</v>
      </c>
      <c r="E2982" s="710" t="n">
        <v>0.00054</v>
      </c>
      <c r="F2982" s="721" t="n">
        <v>27000</v>
      </c>
      <c r="G2982" s="770" t="n">
        <f aca="false">E2982*F2982</f>
        <v>14.58</v>
      </c>
      <c r="H2982" s="679"/>
    </row>
    <row r="2983" s="451" customFormat="true" ht="15" hidden="false" customHeight="false" outlineLevel="0" collapsed="false">
      <c r="A2983" s="707"/>
      <c r="B2983" s="522"/>
      <c r="C2983" s="709" t="s">
        <v>4154</v>
      </c>
      <c r="D2983" s="679" t="s">
        <v>4392</v>
      </c>
      <c r="E2983" s="710" t="n">
        <v>0.07</v>
      </c>
      <c r="F2983" s="721" t="n">
        <v>3500</v>
      </c>
      <c r="G2983" s="770" t="n">
        <f aca="false">E2983*F2983</f>
        <v>245</v>
      </c>
      <c r="H2983" s="679"/>
    </row>
    <row r="2984" s="451" customFormat="true" ht="15" hidden="false" customHeight="false" outlineLevel="0" collapsed="false">
      <c r="A2984" s="707"/>
      <c r="B2984" s="522"/>
      <c r="C2984" s="709" t="s">
        <v>4807</v>
      </c>
      <c r="D2984" s="679" t="s">
        <v>4133</v>
      </c>
      <c r="E2984" s="710" t="n">
        <v>0.05</v>
      </c>
      <c r="F2984" s="369" t="n">
        <v>1050</v>
      </c>
      <c r="G2984" s="770" t="n">
        <f aca="false">E2984*F2984</f>
        <v>52.5</v>
      </c>
      <c r="H2984" s="392"/>
    </row>
    <row r="2985" s="451" customFormat="true" ht="15" hidden="false" customHeight="false" outlineLevel="0" collapsed="false">
      <c r="A2985" s="707"/>
      <c r="B2985" s="522"/>
      <c r="C2985" s="709" t="s">
        <v>4150</v>
      </c>
      <c r="D2985" s="679" t="s">
        <v>4133</v>
      </c>
      <c r="E2985" s="710" t="n">
        <v>0.01</v>
      </c>
      <c r="F2985" s="369" t="n">
        <v>15000</v>
      </c>
      <c r="G2985" s="770" t="n">
        <f aca="false">E2985*F2985</f>
        <v>150</v>
      </c>
      <c r="H2985" s="679"/>
    </row>
    <row r="2986" s="451" customFormat="true" ht="15" hidden="false" customHeight="false" outlineLevel="0" collapsed="false">
      <c r="A2986" s="707"/>
      <c r="B2986" s="522"/>
      <c r="C2986" s="709" t="s">
        <v>4659</v>
      </c>
      <c r="D2986" s="679" t="s">
        <v>4133</v>
      </c>
      <c r="E2986" s="710" t="n">
        <v>0.0038</v>
      </c>
      <c r="F2986" s="369" t="n">
        <v>41200</v>
      </c>
      <c r="G2986" s="770" t="n">
        <f aca="false">E2986*F2986</f>
        <v>156.56</v>
      </c>
      <c r="H2986" s="679"/>
    </row>
    <row r="2987" s="451" customFormat="true" ht="15" hidden="false" customHeight="false" outlineLevel="0" collapsed="false">
      <c r="A2987" s="707"/>
      <c r="B2987" s="522"/>
      <c r="C2987" s="709" t="s">
        <v>4132</v>
      </c>
      <c r="D2987" s="679" t="s">
        <v>4133</v>
      </c>
      <c r="E2987" s="710" t="n">
        <v>0.01</v>
      </c>
      <c r="F2987" s="369" t="n">
        <v>1200</v>
      </c>
      <c r="G2987" s="770" t="n">
        <f aca="false">E2987*F2987</f>
        <v>12</v>
      </c>
      <c r="H2987" s="679"/>
    </row>
    <row r="2988" s="451" customFormat="true" ht="15" hidden="false" customHeight="false" outlineLevel="0" collapsed="false">
      <c r="A2988" s="707"/>
      <c r="B2988" s="522"/>
      <c r="C2988" s="709" t="s">
        <v>4202</v>
      </c>
      <c r="D2988" s="679" t="s">
        <v>4133</v>
      </c>
      <c r="E2988" s="710" t="n">
        <v>0.001</v>
      </c>
      <c r="F2988" s="724" t="n">
        <v>6600</v>
      </c>
      <c r="G2988" s="770" t="n">
        <f aca="false">E2988*F2988</f>
        <v>6.6</v>
      </c>
      <c r="H2988" s="679"/>
    </row>
    <row r="2989" s="451" customFormat="true" ht="15" hidden="false" customHeight="false" outlineLevel="0" collapsed="false">
      <c r="A2989" s="707"/>
      <c r="B2989" s="522"/>
      <c r="C2989" s="709" t="s">
        <v>4808</v>
      </c>
      <c r="D2989" s="679" t="s">
        <v>4133</v>
      </c>
      <c r="E2989" s="710" t="n">
        <v>0.1</v>
      </c>
      <c r="F2989" s="369" t="n">
        <v>1500</v>
      </c>
      <c r="G2989" s="770" t="n">
        <f aca="false">E2989*F2989</f>
        <v>150</v>
      </c>
      <c r="H2989" s="679"/>
    </row>
    <row r="2990" s="451" customFormat="true" ht="15" hidden="false" customHeight="false" outlineLevel="0" collapsed="false">
      <c r="A2990" s="707"/>
      <c r="B2990" s="522"/>
      <c r="C2990" s="709" t="s">
        <v>791</v>
      </c>
      <c r="D2990" s="679" t="s">
        <v>4133</v>
      </c>
      <c r="E2990" s="710" t="n">
        <v>0.00027</v>
      </c>
      <c r="F2990" s="369" t="n">
        <v>7705</v>
      </c>
      <c r="G2990" s="770" t="n">
        <f aca="false">E2990*F2990</f>
        <v>2.08035</v>
      </c>
      <c r="H2990" s="679"/>
    </row>
    <row r="2991" s="451" customFormat="true" ht="15" hidden="false" customHeight="false" outlineLevel="0" collapsed="false">
      <c r="A2991" s="707"/>
      <c r="B2991" s="708" t="s">
        <v>4128</v>
      </c>
      <c r="C2991" s="718"/>
      <c r="D2991" s="719"/>
      <c r="E2991" s="722"/>
      <c r="F2991" s="366"/>
      <c r="G2991" s="711" t="n">
        <f aca="false">SUM(G2980:G2990)</f>
        <v>1110.32035</v>
      </c>
      <c r="H2991" s="679"/>
    </row>
    <row r="2992" s="451" customFormat="true" ht="30" hidden="false" customHeight="false" outlineLevel="0" collapsed="false">
      <c r="A2992" s="707" t="s">
        <v>593</v>
      </c>
      <c r="B2992" s="487" t="s">
        <v>3124</v>
      </c>
      <c r="C2992" s="709" t="s">
        <v>4658</v>
      </c>
      <c r="D2992" s="679" t="s">
        <v>4133</v>
      </c>
      <c r="E2992" s="710" t="n">
        <v>0.002</v>
      </c>
      <c r="F2992" s="369" t="n">
        <v>21200</v>
      </c>
      <c r="G2992" s="770" t="n">
        <f aca="false">E2992*F2992</f>
        <v>42.4</v>
      </c>
      <c r="H2992" s="679"/>
    </row>
    <row r="2993" s="451" customFormat="true" ht="15" hidden="false" customHeight="false" outlineLevel="0" collapsed="false">
      <c r="A2993" s="707"/>
      <c r="B2993" s="522"/>
      <c r="C2993" s="709" t="s">
        <v>4529</v>
      </c>
      <c r="D2993" s="679" t="s">
        <v>4133</v>
      </c>
      <c r="E2993" s="710" t="n">
        <v>0.0075</v>
      </c>
      <c r="F2993" s="369" t="n">
        <v>1200</v>
      </c>
      <c r="G2993" s="770" t="n">
        <f aca="false">E2993*F2993</f>
        <v>9</v>
      </c>
      <c r="H2993" s="679"/>
    </row>
    <row r="2994" s="451" customFormat="true" ht="15" hidden="false" customHeight="false" outlineLevel="0" collapsed="false">
      <c r="A2994" s="707"/>
      <c r="B2994" s="522"/>
      <c r="C2994" s="709" t="s">
        <v>4659</v>
      </c>
      <c r="D2994" s="679" t="s">
        <v>4133</v>
      </c>
      <c r="E2994" s="710" t="n">
        <v>0.0038</v>
      </c>
      <c r="F2994" s="369" t="n">
        <v>41200</v>
      </c>
      <c r="G2994" s="770" t="n">
        <f aca="false">E2994*F2994</f>
        <v>156.56</v>
      </c>
      <c r="H2994" s="679"/>
    </row>
    <row r="2995" s="451" customFormat="true" ht="15" hidden="false" customHeight="false" outlineLevel="0" collapsed="false">
      <c r="A2995" s="707"/>
      <c r="B2995" s="522"/>
      <c r="C2995" s="709" t="s">
        <v>4154</v>
      </c>
      <c r="D2995" s="679" t="s">
        <v>4392</v>
      </c>
      <c r="E2995" s="710" t="n">
        <v>0.07</v>
      </c>
      <c r="F2995" s="721" t="n">
        <v>3500</v>
      </c>
      <c r="G2995" s="770" t="n">
        <f aca="false">E2995*F2995</f>
        <v>245</v>
      </c>
      <c r="H2995" s="679"/>
    </row>
    <row r="2996" s="451" customFormat="true" ht="15" hidden="false" customHeight="false" outlineLevel="0" collapsed="false">
      <c r="A2996" s="707"/>
      <c r="B2996" s="522"/>
      <c r="C2996" s="709" t="s">
        <v>4122</v>
      </c>
      <c r="D2996" s="679" t="s">
        <v>4392</v>
      </c>
      <c r="E2996" s="710" t="n">
        <v>0.3</v>
      </c>
      <c r="F2996" s="721" t="n">
        <v>720</v>
      </c>
      <c r="G2996" s="770" t="n">
        <f aca="false">E2996*F2996</f>
        <v>216</v>
      </c>
      <c r="H2996" s="679"/>
    </row>
    <row r="2997" s="451" customFormat="true" ht="15" hidden="false" customHeight="false" outlineLevel="0" collapsed="false">
      <c r="A2997" s="707"/>
      <c r="B2997" s="522"/>
      <c r="C2997" s="709" t="s">
        <v>4515</v>
      </c>
      <c r="D2997" s="679" t="s">
        <v>4133</v>
      </c>
      <c r="E2997" s="710" t="n">
        <v>0.05996</v>
      </c>
      <c r="F2997" s="369" t="n">
        <v>2700</v>
      </c>
      <c r="G2997" s="770" t="n">
        <f aca="false">E2997*F2997</f>
        <v>161.892</v>
      </c>
      <c r="H2997" s="679"/>
    </row>
    <row r="2998" s="451" customFormat="true" ht="15" hidden="false" customHeight="false" outlineLevel="0" collapsed="false">
      <c r="A2998" s="707"/>
      <c r="B2998" s="522"/>
      <c r="C2998" s="709" t="s">
        <v>4124</v>
      </c>
      <c r="D2998" s="679" t="s">
        <v>4516</v>
      </c>
      <c r="E2998" s="710" t="n">
        <v>1.5</v>
      </c>
      <c r="F2998" s="369" t="n">
        <v>120</v>
      </c>
      <c r="G2998" s="770" t="n">
        <f aca="false">E2998*F2998</f>
        <v>180</v>
      </c>
      <c r="H2998" s="679"/>
    </row>
    <row r="2999" s="451" customFormat="true" ht="15" hidden="false" customHeight="false" outlineLevel="0" collapsed="false">
      <c r="A2999" s="707"/>
      <c r="B2999" s="708" t="s">
        <v>4128</v>
      </c>
      <c r="C2999" s="718"/>
      <c r="D2999" s="719"/>
      <c r="E2999" s="722"/>
      <c r="F2999" s="366"/>
      <c r="G2999" s="711" t="n">
        <f aca="false">SUM(G2992:G2998)</f>
        <v>1010.852</v>
      </c>
      <c r="H2999" s="679"/>
    </row>
    <row r="3000" s="451" customFormat="true" ht="30" hidden="false" customHeight="false" outlineLevel="0" collapsed="false">
      <c r="A3000" s="707" t="s">
        <v>594</v>
      </c>
      <c r="B3000" s="487" t="s">
        <v>3125</v>
      </c>
      <c r="C3000" s="709" t="s">
        <v>4582</v>
      </c>
      <c r="D3000" s="679" t="s">
        <v>4133</v>
      </c>
      <c r="E3000" s="710" t="n">
        <v>0.0173</v>
      </c>
      <c r="F3000" s="369" t="n">
        <v>2321</v>
      </c>
      <c r="G3000" s="770" t="n">
        <f aca="false">E3000*F3000</f>
        <v>40.1533</v>
      </c>
      <c r="H3000" s="679"/>
    </row>
    <row r="3001" s="451" customFormat="true" ht="15.75" hidden="false" customHeight="true" outlineLevel="0" collapsed="false">
      <c r="A3001" s="707"/>
      <c r="B3001" s="522"/>
      <c r="C3001" s="709" t="s">
        <v>4652</v>
      </c>
      <c r="D3001" s="679" t="s">
        <v>4133</v>
      </c>
      <c r="E3001" s="710" t="n">
        <v>0.01</v>
      </c>
      <c r="F3001" s="369" t="n">
        <v>3400</v>
      </c>
      <c r="G3001" s="770" t="n">
        <f aca="false">E3001*F3001</f>
        <v>34</v>
      </c>
      <c r="H3001" s="679"/>
    </row>
    <row r="3002" s="451" customFormat="true" ht="13.5" hidden="false" customHeight="true" outlineLevel="0" collapsed="false">
      <c r="A3002" s="707"/>
      <c r="B3002" s="522"/>
      <c r="C3002" s="709" t="s">
        <v>4529</v>
      </c>
      <c r="D3002" s="679" t="s">
        <v>4133</v>
      </c>
      <c r="E3002" s="710" t="n">
        <v>0.03</v>
      </c>
      <c r="F3002" s="369" t="n">
        <v>1200</v>
      </c>
      <c r="G3002" s="770" t="n">
        <f aca="false">E3002*F3002</f>
        <v>36</v>
      </c>
      <c r="H3002" s="679"/>
    </row>
    <row r="3003" s="451" customFormat="true" ht="15" hidden="false" customHeight="false" outlineLevel="0" collapsed="false">
      <c r="A3003" s="707"/>
      <c r="B3003" s="522"/>
      <c r="C3003" s="709" t="s">
        <v>4147</v>
      </c>
      <c r="D3003" s="679" t="s">
        <v>4392</v>
      </c>
      <c r="E3003" s="710" t="n">
        <v>0.08</v>
      </c>
      <c r="F3003" s="723" t="n">
        <v>3612</v>
      </c>
      <c r="G3003" s="770" t="n">
        <f aca="false">E3003*F3003</f>
        <v>288.96</v>
      </c>
      <c r="H3003" s="679"/>
    </row>
    <row r="3004" s="451" customFormat="true" ht="15" hidden="false" customHeight="false" outlineLevel="0" collapsed="false">
      <c r="A3004" s="707"/>
      <c r="B3004" s="522"/>
      <c r="C3004" s="709" t="s">
        <v>4660</v>
      </c>
      <c r="D3004" s="679" t="s">
        <v>4133</v>
      </c>
      <c r="E3004" s="710" t="n">
        <v>0.045</v>
      </c>
      <c r="F3004" s="369" t="n">
        <v>2700</v>
      </c>
      <c r="G3004" s="770" t="n">
        <f aca="false">E3004*F3004</f>
        <v>121.5</v>
      </c>
      <c r="H3004" s="679"/>
    </row>
    <row r="3005" s="451" customFormat="true" ht="15" hidden="false" customHeight="false" outlineLevel="0" collapsed="false">
      <c r="A3005" s="707"/>
      <c r="B3005" s="522"/>
      <c r="C3005" s="709" t="s">
        <v>4154</v>
      </c>
      <c r="D3005" s="679" t="s">
        <v>4392</v>
      </c>
      <c r="E3005" s="710" t="n">
        <v>0.02</v>
      </c>
      <c r="F3005" s="721" t="n">
        <v>3500</v>
      </c>
      <c r="G3005" s="770" t="n">
        <f aca="false">E3005*F3005</f>
        <v>70</v>
      </c>
      <c r="H3005" s="392"/>
    </row>
    <row r="3006" s="451" customFormat="true" ht="15" hidden="false" customHeight="false" outlineLevel="0" collapsed="false">
      <c r="A3006" s="707"/>
      <c r="B3006" s="522"/>
      <c r="C3006" s="709" t="s">
        <v>4654</v>
      </c>
      <c r="D3006" s="679" t="s">
        <v>4133</v>
      </c>
      <c r="E3006" s="710" t="n">
        <v>0.02</v>
      </c>
      <c r="F3006" s="721" t="n">
        <v>3500</v>
      </c>
      <c r="G3006" s="770" t="n">
        <f aca="false">E3006*F3006</f>
        <v>70</v>
      </c>
      <c r="H3006" s="679"/>
    </row>
    <row r="3007" s="451" customFormat="true" ht="15" hidden="false" customHeight="false" outlineLevel="0" collapsed="false">
      <c r="A3007" s="707"/>
      <c r="B3007" s="522"/>
      <c r="C3007" s="709" t="s">
        <v>4122</v>
      </c>
      <c r="D3007" s="679" t="s">
        <v>4392</v>
      </c>
      <c r="E3007" s="710" t="n">
        <v>0.3</v>
      </c>
      <c r="F3007" s="721" t="n">
        <v>720</v>
      </c>
      <c r="G3007" s="770" t="n">
        <f aca="false">E3007*F3007</f>
        <v>216</v>
      </c>
      <c r="H3007" s="679"/>
    </row>
    <row r="3008" s="451" customFormat="true" ht="15" hidden="false" customHeight="false" outlineLevel="0" collapsed="false">
      <c r="A3008" s="707"/>
      <c r="B3008" s="522"/>
      <c r="C3008" s="709" t="s">
        <v>4515</v>
      </c>
      <c r="D3008" s="679" t="s">
        <v>4133</v>
      </c>
      <c r="E3008" s="710" t="n">
        <v>0.006</v>
      </c>
      <c r="F3008" s="369" t="n">
        <v>2700</v>
      </c>
      <c r="G3008" s="770" t="n">
        <f aca="false">E3008*F3008</f>
        <v>16.2</v>
      </c>
      <c r="H3008" s="679"/>
    </row>
    <row r="3009" s="451" customFormat="true" ht="15" hidden="false" customHeight="false" outlineLevel="0" collapsed="false">
      <c r="A3009" s="707"/>
      <c r="B3009" s="522"/>
      <c r="C3009" s="709" t="s">
        <v>4124</v>
      </c>
      <c r="D3009" s="679" t="s">
        <v>4516</v>
      </c>
      <c r="E3009" s="710" t="n">
        <v>1.5</v>
      </c>
      <c r="F3009" s="369" t="n">
        <v>120</v>
      </c>
      <c r="G3009" s="770" t="n">
        <f aca="false">E3009*F3009</f>
        <v>180</v>
      </c>
      <c r="H3009" s="679"/>
    </row>
    <row r="3010" s="451" customFormat="true" ht="15" hidden="false" customHeight="false" outlineLevel="0" collapsed="false">
      <c r="A3010" s="707"/>
      <c r="B3010" s="708" t="s">
        <v>4128</v>
      </c>
      <c r="C3010" s="718"/>
      <c r="D3010" s="719"/>
      <c r="E3010" s="722"/>
      <c r="F3010" s="366"/>
      <c r="G3010" s="711" t="n">
        <f aca="false">SUM(G3000:G3009)</f>
        <v>1072.8133</v>
      </c>
      <c r="H3010" s="679"/>
    </row>
    <row r="3011" s="451" customFormat="true" ht="15" hidden="false" customHeight="false" outlineLevel="0" collapsed="false">
      <c r="A3011" s="707" t="s">
        <v>595</v>
      </c>
      <c r="B3011" s="487" t="s">
        <v>3126</v>
      </c>
      <c r="C3011" s="709" t="s">
        <v>4154</v>
      </c>
      <c r="D3011" s="679" t="s">
        <v>4392</v>
      </c>
      <c r="E3011" s="710" t="n">
        <v>0.08584</v>
      </c>
      <c r="F3011" s="721" t="n">
        <v>3500</v>
      </c>
      <c r="G3011" s="770" t="n">
        <f aca="false">E3011*F3011</f>
        <v>300.44</v>
      </c>
      <c r="H3011" s="679"/>
    </row>
    <row r="3012" s="451" customFormat="true" ht="15" hidden="false" customHeight="false" outlineLevel="0" collapsed="false">
      <c r="A3012" s="707"/>
      <c r="B3012" s="522"/>
      <c r="C3012" s="709" t="s">
        <v>4515</v>
      </c>
      <c r="D3012" s="679" t="s">
        <v>4133</v>
      </c>
      <c r="E3012" s="710" t="n">
        <v>0.04</v>
      </c>
      <c r="F3012" s="369" t="n">
        <v>2700</v>
      </c>
      <c r="G3012" s="770" t="n">
        <f aca="false">E3012*F3012</f>
        <v>108</v>
      </c>
      <c r="H3012" s="679"/>
    </row>
    <row r="3013" s="451" customFormat="true" ht="15" hidden="false" customHeight="false" outlineLevel="0" collapsed="false">
      <c r="A3013" s="707"/>
      <c r="B3013" s="522"/>
      <c r="C3013" s="709" t="s">
        <v>4124</v>
      </c>
      <c r="D3013" s="679" t="s">
        <v>4516</v>
      </c>
      <c r="E3013" s="710" t="n">
        <v>1.5</v>
      </c>
      <c r="F3013" s="369" t="n">
        <v>120</v>
      </c>
      <c r="G3013" s="770" t="n">
        <f aca="false">E3013*F3013</f>
        <v>180</v>
      </c>
      <c r="H3013" s="679"/>
    </row>
    <row r="3014" s="451" customFormat="true" ht="15" hidden="false" customHeight="false" outlineLevel="0" collapsed="false">
      <c r="A3014" s="707"/>
      <c r="B3014" s="708" t="s">
        <v>4128</v>
      </c>
      <c r="C3014" s="718"/>
      <c r="D3014" s="719"/>
      <c r="E3014" s="722"/>
      <c r="F3014" s="366"/>
      <c r="G3014" s="711" t="n">
        <f aca="false">SUM(G3011:G3013)</f>
        <v>588.44</v>
      </c>
      <c r="H3014" s="679"/>
    </row>
    <row r="3015" s="451" customFormat="true" ht="15" hidden="false" customHeight="false" outlineLevel="0" collapsed="false">
      <c r="A3015" s="707" t="s">
        <v>597</v>
      </c>
      <c r="B3015" s="487" t="s">
        <v>3127</v>
      </c>
      <c r="C3015" s="709" t="s">
        <v>4582</v>
      </c>
      <c r="D3015" s="679" t="s">
        <v>4133</v>
      </c>
      <c r="E3015" s="710" t="n">
        <v>0.0173</v>
      </c>
      <c r="F3015" s="369" t="n">
        <v>2321</v>
      </c>
      <c r="G3015" s="770" t="n">
        <f aca="false">E3015*F3015</f>
        <v>40.1533</v>
      </c>
      <c r="H3015" s="679"/>
    </row>
    <row r="3016" s="451" customFormat="true" ht="15" hidden="false" customHeight="false" outlineLevel="0" collapsed="false">
      <c r="A3016" s="707"/>
      <c r="B3016" s="522"/>
      <c r="C3016" s="709" t="s">
        <v>4652</v>
      </c>
      <c r="D3016" s="679" t="s">
        <v>4133</v>
      </c>
      <c r="E3016" s="710" t="n">
        <v>0.05</v>
      </c>
      <c r="F3016" s="369" t="n">
        <v>3400</v>
      </c>
      <c r="G3016" s="770" t="n">
        <f aca="false">E3016*F3016</f>
        <v>170</v>
      </c>
      <c r="H3016" s="392"/>
    </row>
    <row r="3017" s="451" customFormat="true" ht="15" hidden="false" customHeight="false" outlineLevel="0" collapsed="false">
      <c r="A3017" s="707"/>
      <c r="B3017" s="522"/>
      <c r="C3017" s="709" t="s">
        <v>4529</v>
      </c>
      <c r="D3017" s="679" t="s">
        <v>4133</v>
      </c>
      <c r="E3017" s="710" t="n">
        <v>0.05</v>
      </c>
      <c r="F3017" s="369" t="n">
        <v>1200</v>
      </c>
      <c r="G3017" s="770" t="n">
        <f aca="false">E3017*F3017</f>
        <v>60</v>
      </c>
      <c r="H3017" s="679"/>
    </row>
    <row r="3018" s="451" customFormat="true" ht="15" hidden="false" customHeight="false" outlineLevel="0" collapsed="false">
      <c r="A3018" s="707"/>
      <c r="B3018" s="522"/>
      <c r="C3018" s="709" t="s">
        <v>4147</v>
      </c>
      <c r="D3018" s="679" t="s">
        <v>4392</v>
      </c>
      <c r="E3018" s="710" t="n">
        <v>0.4</v>
      </c>
      <c r="F3018" s="723" t="n">
        <v>3612</v>
      </c>
      <c r="G3018" s="770" t="n">
        <f aca="false">E3018*F3018</f>
        <v>1444.8</v>
      </c>
      <c r="H3018" s="679"/>
    </row>
    <row r="3019" s="451" customFormat="true" ht="15" hidden="false" customHeight="false" outlineLevel="0" collapsed="false">
      <c r="A3019" s="707"/>
      <c r="B3019" s="522"/>
      <c r="C3019" s="709" t="s">
        <v>4660</v>
      </c>
      <c r="D3019" s="679" t="s">
        <v>4133</v>
      </c>
      <c r="E3019" s="710" t="n">
        <v>0.045</v>
      </c>
      <c r="F3019" s="369" t="n">
        <v>2700</v>
      </c>
      <c r="G3019" s="770" t="n">
        <f aca="false">E3019*F3019</f>
        <v>121.5</v>
      </c>
      <c r="H3019" s="679"/>
    </row>
    <row r="3020" s="451" customFormat="true" ht="15" hidden="false" customHeight="false" outlineLevel="0" collapsed="false">
      <c r="A3020" s="707"/>
      <c r="B3020" s="522"/>
      <c r="C3020" s="709" t="s">
        <v>4154</v>
      </c>
      <c r="D3020" s="679" t="s">
        <v>4392</v>
      </c>
      <c r="E3020" s="710" t="n">
        <v>0.05</v>
      </c>
      <c r="F3020" s="721" t="n">
        <v>3500</v>
      </c>
      <c r="G3020" s="770" t="n">
        <f aca="false">E3020*F3020</f>
        <v>175</v>
      </c>
      <c r="H3020" s="392"/>
    </row>
    <row r="3021" s="451" customFormat="true" ht="15" hidden="false" customHeight="false" outlineLevel="0" collapsed="false">
      <c r="A3021" s="707"/>
      <c r="B3021" s="522"/>
      <c r="C3021" s="709" t="s">
        <v>4654</v>
      </c>
      <c r="D3021" s="679" t="s">
        <v>4133</v>
      </c>
      <c r="E3021" s="710" t="n">
        <v>0.15</v>
      </c>
      <c r="F3021" s="721" t="n">
        <v>3500</v>
      </c>
      <c r="G3021" s="770" t="n">
        <f aca="false">E3021*F3021</f>
        <v>525</v>
      </c>
      <c r="H3021" s="679"/>
    </row>
    <row r="3022" s="451" customFormat="true" ht="15" hidden="false" customHeight="false" outlineLevel="0" collapsed="false">
      <c r="A3022" s="707"/>
      <c r="B3022" s="522"/>
      <c r="C3022" s="709" t="s">
        <v>4122</v>
      </c>
      <c r="D3022" s="679" t="s">
        <v>4392</v>
      </c>
      <c r="E3022" s="710" t="n">
        <v>0.3</v>
      </c>
      <c r="F3022" s="721" t="n">
        <v>720</v>
      </c>
      <c r="G3022" s="770" t="n">
        <f aca="false">E3022*F3022</f>
        <v>216</v>
      </c>
      <c r="H3022" s="679"/>
    </row>
    <row r="3023" s="451" customFormat="true" ht="15" hidden="false" customHeight="false" outlineLevel="0" collapsed="false">
      <c r="A3023" s="707"/>
      <c r="B3023" s="522"/>
      <c r="C3023" s="709" t="s">
        <v>4515</v>
      </c>
      <c r="D3023" s="679" t="s">
        <v>4133</v>
      </c>
      <c r="E3023" s="710" t="n">
        <v>0.006</v>
      </c>
      <c r="F3023" s="369" t="n">
        <v>2700</v>
      </c>
      <c r="G3023" s="770" t="n">
        <f aca="false">E3023*F3023</f>
        <v>16.2</v>
      </c>
      <c r="H3023" s="679"/>
    </row>
    <row r="3024" s="451" customFormat="true" ht="15" hidden="false" customHeight="false" outlineLevel="0" collapsed="false">
      <c r="A3024" s="707"/>
      <c r="B3024" s="522"/>
      <c r="C3024" s="709" t="s">
        <v>4124</v>
      </c>
      <c r="D3024" s="679" t="s">
        <v>4516</v>
      </c>
      <c r="E3024" s="710" t="n">
        <v>1.5</v>
      </c>
      <c r="F3024" s="369" t="n">
        <v>120</v>
      </c>
      <c r="G3024" s="770" t="n">
        <f aca="false">E3024*F3024</f>
        <v>180</v>
      </c>
      <c r="H3024" s="679"/>
    </row>
    <row r="3025" s="451" customFormat="true" ht="15" hidden="false" customHeight="false" outlineLevel="0" collapsed="false">
      <c r="A3025" s="707"/>
      <c r="B3025" s="708" t="s">
        <v>4128</v>
      </c>
      <c r="C3025" s="718"/>
      <c r="D3025" s="719"/>
      <c r="E3025" s="722"/>
      <c r="F3025" s="366"/>
      <c r="G3025" s="711" t="n">
        <f aca="false">SUM(G3015:G3024)</f>
        <v>2948.6533</v>
      </c>
      <c r="H3025" s="679"/>
    </row>
    <row r="3026" s="451" customFormat="true" ht="15" hidden="false" customHeight="false" outlineLevel="0" collapsed="false">
      <c r="A3026" s="707" t="s">
        <v>599</v>
      </c>
      <c r="B3026" s="487" t="s">
        <v>3128</v>
      </c>
      <c r="C3026" s="709" t="s">
        <v>4154</v>
      </c>
      <c r="D3026" s="679" t="s">
        <v>4392</v>
      </c>
      <c r="E3026" s="710" t="n">
        <v>0.14308</v>
      </c>
      <c r="F3026" s="721" t="n">
        <v>3500</v>
      </c>
      <c r="G3026" s="770" t="n">
        <f aca="false">E3026*F3026</f>
        <v>500.78</v>
      </c>
      <c r="H3026" s="679"/>
    </row>
    <row r="3027" s="451" customFormat="true" ht="15" hidden="false" customHeight="false" outlineLevel="0" collapsed="false">
      <c r="A3027" s="707"/>
      <c r="B3027" s="522"/>
      <c r="C3027" s="709" t="s">
        <v>4147</v>
      </c>
      <c r="D3027" s="679" t="s">
        <v>4392</v>
      </c>
      <c r="E3027" s="710" t="n">
        <v>0.18</v>
      </c>
      <c r="F3027" s="723" t="n">
        <v>3612</v>
      </c>
      <c r="G3027" s="770" t="n">
        <f aca="false">E3027*F3027</f>
        <v>650.16</v>
      </c>
      <c r="H3027" s="679"/>
    </row>
    <row r="3028" s="451" customFormat="true" ht="15" hidden="false" customHeight="false" outlineLevel="0" collapsed="false">
      <c r="A3028" s="707"/>
      <c r="B3028" s="522"/>
      <c r="C3028" s="709" t="s">
        <v>905</v>
      </c>
      <c r="D3028" s="679" t="s">
        <v>4133</v>
      </c>
      <c r="E3028" s="710" t="n">
        <v>0.00027</v>
      </c>
      <c r="F3028" s="369" t="n">
        <v>7705</v>
      </c>
      <c r="G3028" s="770" t="n">
        <f aca="false">E3028*F3028</f>
        <v>2.08035</v>
      </c>
      <c r="H3028" s="679"/>
    </row>
    <row r="3029" s="451" customFormat="true" ht="15" hidden="false" customHeight="false" outlineLevel="0" collapsed="false">
      <c r="A3029" s="707"/>
      <c r="B3029" s="522"/>
      <c r="C3029" s="709" t="s">
        <v>4809</v>
      </c>
      <c r="D3029" s="679" t="s">
        <v>4133</v>
      </c>
      <c r="E3029" s="710" t="n">
        <v>0.00054</v>
      </c>
      <c r="F3029" s="721" t="n">
        <v>27000</v>
      </c>
      <c r="G3029" s="770" t="n">
        <f aca="false">E3029*F3029</f>
        <v>14.58</v>
      </c>
      <c r="H3029" s="679"/>
    </row>
    <row r="3030" s="451" customFormat="true" ht="15" hidden="false" customHeight="false" outlineLevel="0" collapsed="false">
      <c r="A3030" s="707"/>
      <c r="B3030" s="522"/>
      <c r="C3030" s="709" t="s">
        <v>4202</v>
      </c>
      <c r="D3030" s="679" t="s">
        <v>4133</v>
      </c>
      <c r="E3030" s="710" t="n">
        <v>0.001</v>
      </c>
      <c r="F3030" s="724" t="n">
        <v>6600</v>
      </c>
      <c r="G3030" s="770" t="n">
        <f aca="false">E3030*F3030</f>
        <v>6.6</v>
      </c>
      <c r="H3030" s="679"/>
    </row>
    <row r="3031" s="451" customFormat="true" ht="15" hidden="false" customHeight="false" outlineLevel="0" collapsed="false">
      <c r="A3031" s="707"/>
      <c r="B3031" s="522"/>
      <c r="C3031" s="709" t="s">
        <v>4552</v>
      </c>
      <c r="D3031" s="679" t="s">
        <v>4133</v>
      </c>
      <c r="E3031" s="710" t="n">
        <v>0.1</v>
      </c>
      <c r="F3031" s="369" t="n">
        <v>1500</v>
      </c>
      <c r="G3031" s="770" t="n">
        <f aca="false">E3031*F3031</f>
        <v>150</v>
      </c>
      <c r="H3031" s="392"/>
    </row>
    <row r="3032" s="451" customFormat="true" ht="15" hidden="false" customHeight="false" outlineLevel="0" collapsed="false">
      <c r="A3032" s="707"/>
      <c r="B3032" s="522"/>
      <c r="C3032" s="709" t="s">
        <v>4212</v>
      </c>
      <c r="D3032" s="679" t="s">
        <v>4133</v>
      </c>
      <c r="E3032" s="710" t="n">
        <v>0.05</v>
      </c>
      <c r="F3032" s="369" t="n">
        <v>1050</v>
      </c>
      <c r="G3032" s="770" t="n">
        <f aca="false">E3032*F3032</f>
        <v>52.5</v>
      </c>
      <c r="H3032" s="679"/>
    </row>
    <row r="3033" s="451" customFormat="true" ht="15" hidden="false" customHeight="false" outlineLevel="0" collapsed="false">
      <c r="A3033" s="707"/>
      <c r="B3033" s="522"/>
      <c r="C3033" s="709" t="s">
        <v>4529</v>
      </c>
      <c r="D3033" s="679" t="s">
        <v>4133</v>
      </c>
      <c r="E3033" s="710" t="n">
        <v>0.12</v>
      </c>
      <c r="F3033" s="369" t="n">
        <v>1200</v>
      </c>
      <c r="G3033" s="770" t="n">
        <f aca="false">E3033*F3033</f>
        <v>144</v>
      </c>
      <c r="H3033" s="679"/>
    </row>
    <row r="3034" s="451" customFormat="true" ht="15" hidden="false" customHeight="false" outlineLevel="0" collapsed="false">
      <c r="A3034" s="707"/>
      <c r="B3034" s="708" t="s">
        <v>4128</v>
      </c>
      <c r="C3034" s="718"/>
      <c r="D3034" s="719"/>
      <c r="E3034" s="722"/>
      <c r="F3034" s="366"/>
      <c r="G3034" s="711" t="n">
        <f aca="false">SUM(G3026:G3033)</f>
        <v>1520.70035</v>
      </c>
      <c r="H3034" s="679"/>
    </row>
    <row r="3035" s="451" customFormat="true" ht="15" hidden="false" customHeight="false" outlineLevel="0" collapsed="false">
      <c r="A3035" s="707" t="s">
        <v>601</v>
      </c>
      <c r="B3035" s="487" t="s">
        <v>3103</v>
      </c>
      <c r="C3035" s="709" t="s">
        <v>4189</v>
      </c>
      <c r="D3035" s="679" t="s">
        <v>4392</v>
      </c>
      <c r="E3035" s="710" t="n">
        <v>0.5</v>
      </c>
      <c r="F3035" s="729" t="n">
        <v>3500</v>
      </c>
      <c r="G3035" s="770" t="n">
        <f aca="false">E3035*F3035</f>
        <v>1750</v>
      </c>
      <c r="H3035" s="679"/>
    </row>
    <row r="3036" s="451" customFormat="true" ht="15" hidden="false" customHeight="false" outlineLevel="0" collapsed="false">
      <c r="A3036" s="707"/>
      <c r="B3036" s="522"/>
      <c r="C3036" s="709" t="s">
        <v>4147</v>
      </c>
      <c r="D3036" s="679" t="s">
        <v>4392</v>
      </c>
      <c r="E3036" s="710" t="n">
        <v>0.2</v>
      </c>
      <c r="F3036" s="723" t="n">
        <v>3612</v>
      </c>
      <c r="G3036" s="770" t="n">
        <f aca="false">E3036*F3036</f>
        <v>722.4</v>
      </c>
      <c r="H3036" s="679"/>
    </row>
    <row r="3037" s="451" customFormat="true" ht="15" hidden="false" customHeight="false" outlineLevel="0" collapsed="false">
      <c r="A3037" s="707"/>
      <c r="B3037" s="522"/>
      <c r="C3037" s="709" t="s">
        <v>4277</v>
      </c>
      <c r="D3037" s="679" t="s">
        <v>4133</v>
      </c>
      <c r="E3037" s="710" t="n">
        <v>0.01</v>
      </c>
      <c r="F3037" s="369" t="n">
        <v>1116</v>
      </c>
      <c r="G3037" s="770" t="n">
        <f aca="false">E3037*F3037</f>
        <v>11.16</v>
      </c>
      <c r="H3037" s="679"/>
    </row>
    <row r="3038" s="451" customFormat="true" ht="15" hidden="false" customHeight="false" outlineLevel="0" collapsed="false">
      <c r="A3038" s="707"/>
      <c r="B3038" s="522"/>
      <c r="C3038" s="709" t="s">
        <v>4575</v>
      </c>
      <c r="D3038" s="679" t="s">
        <v>4133</v>
      </c>
      <c r="E3038" s="710" t="n">
        <v>0.001</v>
      </c>
      <c r="F3038" s="369" t="n">
        <v>24000</v>
      </c>
      <c r="G3038" s="770" t="n">
        <f aca="false">E3038*F3038</f>
        <v>24</v>
      </c>
      <c r="H3038" s="679"/>
    </row>
    <row r="3039" s="451" customFormat="true" ht="15" hidden="false" customHeight="false" outlineLevel="0" collapsed="false">
      <c r="A3039" s="707"/>
      <c r="B3039" s="522"/>
      <c r="C3039" s="709" t="s">
        <v>4165</v>
      </c>
      <c r="D3039" s="679" t="s">
        <v>4133</v>
      </c>
      <c r="E3039" s="710" t="n">
        <v>0.03</v>
      </c>
      <c r="F3039" s="369" t="n">
        <v>1323</v>
      </c>
      <c r="G3039" s="770" t="n">
        <f aca="false">E3039*F3039</f>
        <v>39.69</v>
      </c>
      <c r="H3039" s="679"/>
    </row>
    <row r="3040" s="451" customFormat="true" ht="15" hidden="false" customHeight="false" outlineLevel="0" collapsed="false">
      <c r="A3040" s="707"/>
      <c r="B3040" s="522"/>
      <c r="C3040" s="709" t="s">
        <v>4270</v>
      </c>
      <c r="D3040" s="679" t="s">
        <v>4392</v>
      </c>
      <c r="E3040" s="710" t="n">
        <v>0.1</v>
      </c>
      <c r="F3040" s="369" t="n">
        <v>1750</v>
      </c>
      <c r="G3040" s="770" t="n">
        <f aca="false">E3040*F3040</f>
        <v>175</v>
      </c>
      <c r="H3040" s="392"/>
    </row>
    <row r="3041" s="451" customFormat="true" ht="15" hidden="false" customHeight="false" outlineLevel="0" collapsed="false">
      <c r="A3041" s="707"/>
      <c r="B3041" s="522"/>
      <c r="C3041" s="709" t="s">
        <v>4122</v>
      </c>
      <c r="D3041" s="679" t="s">
        <v>4392</v>
      </c>
      <c r="E3041" s="710" t="n">
        <v>0.1</v>
      </c>
      <c r="F3041" s="721" t="n">
        <v>720</v>
      </c>
      <c r="G3041" s="770" t="n">
        <f aca="false">E3041*F3041</f>
        <v>72</v>
      </c>
      <c r="H3041" s="679"/>
    </row>
    <row r="3042" s="451" customFormat="true" ht="15" hidden="false" customHeight="false" outlineLevel="0" collapsed="false">
      <c r="A3042" s="707"/>
      <c r="B3042" s="522"/>
      <c r="C3042" s="709" t="s">
        <v>4561</v>
      </c>
      <c r="D3042" s="679" t="s">
        <v>4138</v>
      </c>
      <c r="E3042" s="710" t="n">
        <v>1</v>
      </c>
      <c r="F3042" s="369" t="n">
        <v>490</v>
      </c>
      <c r="G3042" s="770" t="n">
        <f aca="false">E3042*F3042</f>
        <v>490</v>
      </c>
      <c r="H3042" s="679"/>
    </row>
    <row r="3043" s="451" customFormat="true" ht="15" hidden="false" customHeight="false" outlineLevel="0" collapsed="false">
      <c r="A3043" s="707"/>
      <c r="B3043" s="522"/>
      <c r="C3043" s="709" t="s">
        <v>4515</v>
      </c>
      <c r="D3043" s="679" t="s">
        <v>4133</v>
      </c>
      <c r="E3043" s="710" t="n">
        <v>0.01</v>
      </c>
      <c r="F3043" s="369" t="n">
        <v>2700</v>
      </c>
      <c r="G3043" s="770" t="n">
        <f aca="false">E3043*F3043</f>
        <v>27</v>
      </c>
      <c r="H3043" s="679"/>
    </row>
    <row r="3044" s="451" customFormat="true" ht="15" hidden="false" customHeight="false" outlineLevel="0" collapsed="false">
      <c r="A3044" s="707"/>
      <c r="B3044" s="522"/>
      <c r="C3044" s="709" t="s">
        <v>4124</v>
      </c>
      <c r="D3044" s="679" t="s">
        <v>4516</v>
      </c>
      <c r="E3044" s="710" t="n">
        <v>1</v>
      </c>
      <c r="F3044" s="369" t="n">
        <v>120</v>
      </c>
      <c r="G3044" s="770" t="n">
        <f aca="false">E3044*F3044</f>
        <v>120</v>
      </c>
      <c r="H3044" s="679"/>
    </row>
    <row r="3045" s="451" customFormat="true" ht="15" hidden="false" customHeight="false" outlineLevel="0" collapsed="false">
      <c r="A3045" s="707"/>
      <c r="B3045" s="522"/>
      <c r="C3045" s="709" t="s">
        <v>4577</v>
      </c>
      <c r="D3045" s="679" t="s">
        <v>4578</v>
      </c>
      <c r="E3045" s="710" t="n">
        <v>0.006</v>
      </c>
      <c r="F3045" s="369" t="n">
        <v>27000</v>
      </c>
      <c r="G3045" s="770" t="n">
        <f aca="false">E3045*F3045</f>
        <v>162</v>
      </c>
      <c r="H3045" s="679"/>
    </row>
    <row r="3046" s="451" customFormat="true" ht="15" hidden="false" customHeight="false" outlineLevel="0" collapsed="false">
      <c r="A3046" s="707"/>
      <c r="B3046" s="708" t="s">
        <v>4128</v>
      </c>
      <c r="C3046" s="718"/>
      <c r="D3046" s="719"/>
      <c r="E3046" s="722"/>
      <c r="F3046" s="366"/>
      <c r="G3046" s="711" t="n">
        <f aca="false">SUM(G3035:G3045)</f>
        <v>3593.25</v>
      </c>
      <c r="H3046" s="679"/>
    </row>
    <row r="3047" s="451" customFormat="true" ht="15" hidden="false" customHeight="false" outlineLevel="0" collapsed="false">
      <c r="A3047" s="707" t="s">
        <v>602</v>
      </c>
      <c r="B3047" s="487" t="s">
        <v>3102</v>
      </c>
      <c r="C3047" s="709" t="s">
        <v>4189</v>
      </c>
      <c r="D3047" s="679" t="s">
        <v>4392</v>
      </c>
      <c r="E3047" s="710" t="n">
        <v>0.5</v>
      </c>
      <c r="F3047" s="729" t="n">
        <v>3500</v>
      </c>
      <c r="G3047" s="770" t="n">
        <f aca="false">E3047*F3047</f>
        <v>1750</v>
      </c>
      <c r="H3047" s="679"/>
    </row>
    <row r="3048" s="451" customFormat="true" ht="15" hidden="false" customHeight="false" outlineLevel="0" collapsed="false">
      <c r="A3048" s="707"/>
      <c r="B3048" s="522"/>
      <c r="C3048" s="709" t="s">
        <v>4147</v>
      </c>
      <c r="D3048" s="679" t="s">
        <v>4392</v>
      </c>
      <c r="E3048" s="710" t="n">
        <v>0.2</v>
      </c>
      <c r="F3048" s="723" t="n">
        <v>3612</v>
      </c>
      <c r="G3048" s="770" t="n">
        <f aca="false">E3048*F3048</f>
        <v>722.4</v>
      </c>
      <c r="H3048" s="679"/>
    </row>
    <row r="3049" s="451" customFormat="true" ht="15" hidden="false" customHeight="false" outlineLevel="0" collapsed="false">
      <c r="A3049" s="707"/>
      <c r="B3049" s="522"/>
      <c r="C3049" s="709" t="s">
        <v>4277</v>
      </c>
      <c r="D3049" s="679" t="s">
        <v>4133</v>
      </c>
      <c r="E3049" s="710" t="n">
        <v>0.01</v>
      </c>
      <c r="F3049" s="369" t="n">
        <v>1116</v>
      </c>
      <c r="G3049" s="770" t="n">
        <f aca="false">E3049*F3049</f>
        <v>11.16</v>
      </c>
      <c r="H3049" s="679"/>
    </row>
    <row r="3050" s="451" customFormat="true" ht="15" hidden="false" customHeight="false" outlineLevel="0" collapsed="false">
      <c r="A3050" s="707"/>
      <c r="B3050" s="522"/>
      <c r="C3050" s="709" t="s">
        <v>4575</v>
      </c>
      <c r="D3050" s="679" t="s">
        <v>4133</v>
      </c>
      <c r="E3050" s="710" t="n">
        <v>0.001</v>
      </c>
      <c r="F3050" s="369" t="n">
        <v>24000</v>
      </c>
      <c r="G3050" s="770" t="n">
        <f aca="false">E3050*F3050</f>
        <v>24</v>
      </c>
      <c r="H3050" s="679"/>
    </row>
    <row r="3051" s="451" customFormat="true" ht="15" hidden="false" customHeight="false" outlineLevel="0" collapsed="false">
      <c r="A3051" s="707"/>
      <c r="B3051" s="522"/>
      <c r="C3051" s="709" t="s">
        <v>4165</v>
      </c>
      <c r="D3051" s="679" t="s">
        <v>4133</v>
      </c>
      <c r="E3051" s="710" t="n">
        <v>0.03</v>
      </c>
      <c r="F3051" s="369" t="n">
        <v>1323</v>
      </c>
      <c r="G3051" s="770" t="n">
        <f aca="false">E3051*F3051</f>
        <v>39.69</v>
      </c>
      <c r="H3051" s="679"/>
    </row>
    <row r="3052" s="451" customFormat="true" ht="15" hidden="false" customHeight="false" outlineLevel="0" collapsed="false">
      <c r="A3052" s="707"/>
      <c r="B3052" s="522"/>
      <c r="C3052" s="709" t="s">
        <v>4270</v>
      </c>
      <c r="D3052" s="679" t="s">
        <v>4392</v>
      </c>
      <c r="E3052" s="710" t="n">
        <v>0.1</v>
      </c>
      <c r="F3052" s="369" t="n">
        <v>1750</v>
      </c>
      <c r="G3052" s="770" t="n">
        <f aca="false">E3052*F3052</f>
        <v>175</v>
      </c>
      <c r="H3052" s="392"/>
    </row>
    <row r="3053" s="451" customFormat="true" ht="15" hidden="false" customHeight="false" outlineLevel="0" collapsed="false">
      <c r="A3053" s="707"/>
      <c r="B3053" s="522"/>
      <c r="C3053" s="709" t="s">
        <v>4122</v>
      </c>
      <c r="D3053" s="679" t="s">
        <v>4392</v>
      </c>
      <c r="E3053" s="710" t="n">
        <v>0.1</v>
      </c>
      <c r="F3053" s="721" t="n">
        <v>720</v>
      </c>
      <c r="G3053" s="770" t="n">
        <f aca="false">E3053*F3053</f>
        <v>72</v>
      </c>
      <c r="H3053" s="679"/>
    </row>
    <row r="3054" s="451" customFormat="true" ht="30" hidden="false" customHeight="false" outlineLevel="0" collapsed="false">
      <c r="A3054" s="707"/>
      <c r="B3054" s="522"/>
      <c r="C3054" s="709" t="s">
        <v>4810</v>
      </c>
      <c r="D3054" s="679" t="s">
        <v>4138</v>
      </c>
      <c r="E3054" s="710" t="n">
        <v>1</v>
      </c>
      <c r="F3054" s="369" t="n">
        <v>490</v>
      </c>
      <c r="G3054" s="770" t="n">
        <f aca="false">E3054*F3054</f>
        <v>490</v>
      </c>
      <c r="H3054" s="679"/>
    </row>
    <row r="3055" s="451" customFormat="true" ht="15" hidden="false" customHeight="false" outlineLevel="0" collapsed="false">
      <c r="A3055" s="707"/>
      <c r="B3055" s="522"/>
      <c r="C3055" s="709" t="s">
        <v>4515</v>
      </c>
      <c r="D3055" s="679" t="s">
        <v>4133</v>
      </c>
      <c r="E3055" s="710" t="n">
        <v>0.01</v>
      </c>
      <c r="F3055" s="369" t="n">
        <v>2700</v>
      </c>
      <c r="G3055" s="770" t="n">
        <f aca="false">E3055*F3055</f>
        <v>27</v>
      </c>
      <c r="H3055" s="679"/>
    </row>
    <row r="3056" s="451" customFormat="true" ht="15" hidden="false" customHeight="false" outlineLevel="0" collapsed="false">
      <c r="A3056" s="707"/>
      <c r="B3056" s="522"/>
      <c r="C3056" s="709" t="s">
        <v>4124</v>
      </c>
      <c r="D3056" s="679" t="s">
        <v>4516</v>
      </c>
      <c r="E3056" s="710" t="n">
        <v>1</v>
      </c>
      <c r="F3056" s="369" t="n">
        <v>120</v>
      </c>
      <c r="G3056" s="770" t="n">
        <f aca="false">E3056*F3056</f>
        <v>120</v>
      </c>
      <c r="H3056" s="679"/>
    </row>
    <row r="3057" s="451" customFormat="true" ht="15" hidden="false" customHeight="false" outlineLevel="0" collapsed="false">
      <c r="A3057" s="707"/>
      <c r="B3057" s="522"/>
      <c r="C3057" s="709" t="s">
        <v>4577</v>
      </c>
      <c r="D3057" s="679" t="s">
        <v>4578</v>
      </c>
      <c r="E3057" s="710" t="n">
        <v>0.006</v>
      </c>
      <c r="F3057" s="369" t="n">
        <v>27000</v>
      </c>
      <c r="G3057" s="770" t="n">
        <f aca="false">E3057*F3057</f>
        <v>162</v>
      </c>
      <c r="H3057" s="679"/>
    </row>
    <row r="3058" s="451" customFormat="true" ht="15" hidden="false" customHeight="false" outlineLevel="0" collapsed="false">
      <c r="A3058" s="707"/>
      <c r="B3058" s="708" t="s">
        <v>4128</v>
      </c>
      <c r="C3058" s="709"/>
      <c r="D3058" s="679"/>
      <c r="E3058" s="710"/>
      <c r="F3058" s="369"/>
      <c r="G3058" s="711" t="n">
        <f aca="false">SUM(G3047:G3057)</f>
        <v>3593.25</v>
      </c>
      <c r="H3058" s="679"/>
    </row>
    <row r="3059" s="451" customFormat="true" ht="15" hidden="false" customHeight="false" outlineLevel="0" collapsed="false">
      <c r="A3059" s="707" t="s">
        <v>603</v>
      </c>
      <c r="B3059" s="487" t="s">
        <v>3129</v>
      </c>
      <c r="C3059" s="709" t="s">
        <v>4580</v>
      </c>
      <c r="D3059" s="679" t="s">
        <v>4133</v>
      </c>
      <c r="E3059" s="710" t="n">
        <v>0.1</v>
      </c>
      <c r="F3059" s="369" t="n">
        <v>1690</v>
      </c>
      <c r="G3059" s="770" t="n">
        <f aca="false">E3059*F3059</f>
        <v>169</v>
      </c>
      <c r="H3059" s="679"/>
    </row>
    <row r="3060" s="451" customFormat="true" ht="15" hidden="false" customHeight="false" outlineLevel="0" collapsed="false">
      <c r="A3060" s="707"/>
      <c r="B3060" s="522"/>
      <c r="C3060" s="709" t="s">
        <v>4750</v>
      </c>
      <c r="D3060" s="679" t="s">
        <v>4133</v>
      </c>
      <c r="E3060" s="710" t="n">
        <v>0.0009</v>
      </c>
      <c r="F3060" s="369" t="n">
        <v>21000</v>
      </c>
      <c r="G3060" s="770" t="n">
        <f aca="false">E3060*F3060</f>
        <v>18.9</v>
      </c>
      <c r="H3060" s="679"/>
    </row>
    <row r="3061" s="451" customFormat="true" ht="30" hidden="false" customHeight="false" outlineLevel="0" collapsed="false">
      <c r="A3061" s="707"/>
      <c r="B3061" s="522"/>
      <c r="C3061" s="709" t="s">
        <v>4581</v>
      </c>
      <c r="D3061" s="679" t="s">
        <v>4133</v>
      </c>
      <c r="E3061" s="710" t="n">
        <v>0.002</v>
      </c>
      <c r="F3061" s="369" t="n">
        <v>118100</v>
      </c>
      <c r="G3061" s="770" t="n">
        <f aca="false">E3061*F3061</f>
        <v>236.2</v>
      </c>
      <c r="H3061" s="679"/>
    </row>
    <row r="3062" s="451" customFormat="true" ht="15" hidden="false" customHeight="false" outlineLevel="0" collapsed="false">
      <c r="A3062" s="707"/>
      <c r="B3062" s="522"/>
      <c r="C3062" s="709" t="s">
        <v>4582</v>
      </c>
      <c r="D3062" s="679" t="s">
        <v>4133</v>
      </c>
      <c r="E3062" s="710" t="n">
        <v>0.01</v>
      </c>
      <c r="F3062" s="369" t="n">
        <v>2100</v>
      </c>
      <c r="G3062" s="770" t="n">
        <f aca="false">E3062*F3062</f>
        <v>21</v>
      </c>
      <c r="H3062" s="679"/>
    </row>
    <row r="3063" s="451" customFormat="true" ht="15" hidden="false" customHeight="false" outlineLevel="0" collapsed="false">
      <c r="A3063" s="707"/>
      <c r="B3063" s="522"/>
      <c r="C3063" s="709" t="s">
        <v>4583</v>
      </c>
      <c r="D3063" s="679" t="s">
        <v>4138</v>
      </c>
      <c r="E3063" s="710" t="n">
        <v>0.12</v>
      </c>
      <c r="F3063" s="369" t="n">
        <v>490</v>
      </c>
      <c r="G3063" s="770" t="n">
        <f aca="false">E3063*F3063</f>
        <v>58.8</v>
      </c>
      <c r="H3063" s="679"/>
    </row>
    <row r="3064" s="451" customFormat="true" ht="15" hidden="false" customHeight="false" outlineLevel="0" collapsed="false">
      <c r="A3064" s="707"/>
      <c r="B3064" s="522"/>
      <c r="C3064" s="709" t="s">
        <v>4584</v>
      </c>
      <c r="D3064" s="679" t="s">
        <v>4133</v>
      </c>
      <c r="E3064" s="710" t="n">
        <v>0.012</v>
      </c>
      <c r="F3064" s="369" t="n">
        <v>1901</v>
      </c>
      <c r="G3064" s="770" t="n">
        <f aca="false">E3064*F3064</f>
        <v>22.812</v>
      </c>
      <c r="H3064" s="392"/>
    </row>
    <row r="3065" s="451" customFormat="true" ht="15" hidden="false" customHeight="false" outlineLevel="0" collapsed="false">
      <c r="A3065" s="707"/>
      <c r="B3065" s="522"/>
      <c r="C3065" s="709" t="s">
        <v>4585</v>
      </c>
      <c r="D3065" s="679" t="s">
        <v>4133</v>
      </c>
      <c r="E3065" s="710" t="n">
        <v>0.003</v>
      </c>
      <c r="F3065" s="369" t="n">
        <v>8900</v>
      </c>
      <c r="G3065" s="770" t="n">
        <f aca="false">E3065*F3065</f>
        <v>26.7</v>
      </c>
      <c r="H3065" s="679"/>
    </row>
    <row r="3066" s="451" customFormat="true" ht="15" hidden="false" customHeight="false" outlineLevel="0" collapsed="false">
      <c r="A3066" s="707"/>
      <c r="B3066" s="522"/>
      <c r="C3066" s="709" t="s">
        <v>4201</v>
      </c>
      <c r="D3066" s="679" t="s">
        <v>4133</v>
      </c>
      <c r="E3066" s="710" t="n">
        <v>0.04</v>
      </c>
      <c r="F3066" s="721" t="n">
        <v>27000</v>
      </c>
      <c r="G3066" s="770" t="n">
        <f aca="false">E3066*F3066</f>
        <v>1080</v>
      </c>
      <c r="H3066" s="679"/>
    </row>
    <row r="3067" s="451" customFormat="true" ht="15" hidden="false" customHeight="false" outlineLevel="0" collapsed="false">
      <c r="A3067" s="707"/>
      <c r="B3067" s="522"/>
      <c r="C3067" s="709" t="s">
        <v>4122</v>
      </c>
      <c r="D3067" s="679" t="s">
        <v>4392</v>
      </c>
      <c r="E3067" s="710" t="n">
        <v>0.25</v>
      </c>
      <c r="F3067" s="721" t="n">
        <v>720</v>
      </c>
      <c r="G3067" s="770" t="n">
        <f aca="false">E3067*F3067</f>
        <v>180</v>
      </c>
      <c r="H3067" s="679"/>
    </row>
    <row r="3068" s="451" customFormat="true" ht="15" hidden="false" customHeight="false" outlineLevel="0" collapsed="false">
      <c r="A3068" s="707"/>
      <c r="B3068" s="522"/>
      <c r="C3068" s="709" t="s">
        <v>4154</v>
      </c>
      <c r="D3068" s="679" t="s">
        <v>4392</v>
      </c>
      <c r="E3068" s="710" t="n">
        <v>0.0375</v>
      </c>
      <c r="F3068" s="721" t="n">
        <v>3500</v>
      </c>
      <c r="G3068" s="770" t="n">
        <f aca="false">E3068*F3068</f>
        <v>131.25</v>
      </c>
      <c r="H3068" s="679"/>
    </row>
    <row r="3069" s="451" customFormat="true" ht="15" hidden="false" customHeight="false" outlineLevel="0" collapsed="false">
      <c r="A3069" s="707"/>
      <c r="B3069" s="522"/>
      <c r="C3069" s="709" t="s">
        <v>4515</v>
      </c>
      <c r="D3069" s="679" t="s">
        <v>4133</v>
      </c>
      <c r="E3069" s="710" t="n">
        <v>0.006</v>
      </c>
      <c r="F3069" s="369" t="n">
        <v>2700</v>
      </c>
      <c r="G3069" s="770" t="n">
        <f aca="false">E3069*F3069</f>
        <v>16.2</v>
      </c>
      <c r="H3069" s="679"/>
    </row>
    <row r="3070" s="451" customFormat="true" ht="15" hidden="false" customHeight="false" outlineLevel="0" collapsed="false">
      <c r="A3070" s="707"/>
      <c r="B3070" s="522"/>
      <c r="C3070" s="709" t="s">
        <v>4124</v>
      </c>
      <c r="D3070" s="679" t="s">
        <v>4516</v>
      </c>
      <c r="E3070" s="710" t="n">
        <v>0.016</v>
      </c>
      <c r="F3070" s="369" t="n">
        <v>120</v>
      </c>
      <c r="G3070" s="770" t="n">
        <f aca="false">E3070*F3070</f>
        <v>1.92</v>
      </c>
      <c r="H3070" s="679"/>
    </row>
    <row r="3071" s="451" customFormat="true" ht="15" hidden="false" customHeight="false" outlineLevel="0" collapsed="false">
      <c r="A3071" s="707"/>
      <c r="B3071" s="522"/>
      <c r="C3071" s="709" t="s">
        <v>4586</v>
      </c>
      <c r="D3071" s="679" t="s">
        <v>4578</v>
      </c>
      <c r="E3071" s="710" t="n">
        <v>0.001</v>
      </c>
      <c r="F3071" s="369" t="n">
        <v>27000</v>
      </c>
      <c r="G3071" s="770" t="n">
        <f aca="false">E3071*F3071</f>
        <v>27</v>
      </c>
      <c r="H3071" s="679"/>
    </row>
    <row r="3072" s="451" customFormat="true" ht="15" hidden="false" customHeight="false" outlineLevel="0" collapsed="false">
      <c r="A3072" s="707"/>
      <c r="B3072" s="708" t="s">
        <v>4128</v>
      </c>
      <c r="C3072" s="709"/>
      <c r="D3072" s="679"/>
      <c r="E3072" s="710"/>
      <c r="F3072" s="369"/>
      <c r="G3072" s="711" t="n">
        <f aca="false">SUM(G3059:G3071)</f>
        <v>1989.782</v>
      </c>
      <c r="H3072" s="679"/>
    </row>
    <row r="3073" s="451" customFormat="true" ht="15" hidden="false" customHeight="false" outlineLevel="0" collapsed="false">
      <c r="A3073" s="707" t="s">
        <v>4811</v>
      </c>
      <c r="B3073" s="487" t="s">
        <v>3105</v>
      </c>
      <c r="C3073" s="709" t="s">
        <v>4189</v>
      </c>
      <c r="D3073" s="679" t="s">
        <v>4392</v>
      </c>
      <c r="E3073" s="710" t="n">
        <v>0.0333</v>
      </c>
      <c r="F3073" s="729" t="n">
        <v>3500</v>
      </c>
      <c r="G3073" s="770" t="n">
        <f aca="false">E3073*F3073</f>
        <v>116.55</v>
      </c>
      <c r="H3073" s="679"/>
    </row>
    <row r="3074" s="451" customFormat="true" ht="15" hidden="false" customHeight="false" outlineLevel="0" collapsed="false">
      <c r="A3074" s="707"/>
      <c r="B3074" s="522"/>
      <c r="C3074" s="709" t="s">
        <v>4147</v>
      </c>
      <c r="D3074" s="679" t="s">
        <v>4392</v>
      </c>
      <c r="E3074" s="710" t="n">
        <v>0.2</v>
      </c>
      <c r="F3074" s="723" t="n">
        <v>3612</v>
      </c>
      <c r="G3074" s="770" t="n">
        <f aca="false">E3074*F3074</f>
        <v>722.4</v>
      </c>
      <c r="H3074" s="679"/>
    </row>
    <row r="3075" s="451" customFormat="true" ht="15" hidden="false" customHeight="false" outlineLevel="0" collapsed="false">
      <c r="A3075" s="707"/>
      <c r="B3075" s="522"/>
      <c r="C3075" s="709" t="s">
        <v>4277</v>
      </c>
      <c r="D3075" s="679" t="s">
        <v>4133</v>
      </c>
      <c r="E3075" s="710" t="n">
        <v>0.01</v>
      </c>
      <c r="F3075" s="369" t="n">
        <v>1116</v>
      </c>
      <c r="G3075" s="770" t="n">
        <f aca="false">E3075*F3075</f>
        <v>11.16</v>
      </c>
      <c r="H3075" s="679"/>
    </row>
    <row r="3076" s="451" customFormat="true" ht="15" hidden="false" customHeight="false" outlineLevel="0" collapsed="false">
      <c r="A3076" s="707"/>
      <c r="B3076" s="522"/>
      <c r="C3076" s="709" t="s">
        <v>4575</v>
      </c>
      <c r="D3076" s="679" t="s">
        <v>4133</v>
      </c>
      <c r="E3076" s="710" t="n">
        <v>0.01</v>
      </c>
      <c r="F3076" s="369" t="n">
        <v>1323</v>
      </c>
      <c r="G3076" s="770" t="n">
        <f aca="false">E3076*F3076</f>
        <v>13.23</v>
      </c>
      <c r="H3076" s="679"/>
    </row>
    <row r="3077" s="451" customFormat="true" ht="15" hidden="false" customHeight="false" outlineLevel="0" collapsed="false">
      <c r="A3077" s="707"/>
      <c r="B3077" s="522"/>
      <c r="C3077" s="709" t="s">
        <v>4165</v>
      </c>
      <c r="D3077" s="679" t="s">
        <v>4133</v>
      </c>
      <c r="E3077" s="710" t="n">
        <v>0.03</v>
      </c>
      <c r="F3077" s="369" t="n">
        <v>1323</v>
      </c>
      <c r="G3077" s="770" t="n">
        <f aca="false">E3077*F3077</f>
        <v>39.69</v>
      </c>
      <c r="H3077" s="679"/>
    </row>
    <row r="3078" s="451" customFormat="true" ht="15" hidden="false" customHeight="false" outlineLevel="0" collapsed="false">
      <c r="A3078" s="707"/>
      <c r="B3078" s="522"/>
      <c r="C3078" s="709" t="s">
        <v>4270</v>
      </c>
      <c r="D3078" s="679" t="s">
        <v>4392</v>
      </c>
      <c r="E3078" s="710" t="n">
        <v>0.1</v>
      </c>
      <c r="F3078" s="369" t="n">
        <v>1750</v>
      </c>
      <c r="G3078" s="770" t="n">
        <f aca="false">E3078*F3078</f>
        <v>175</v>
      </c>
      <c r="H3078" s="392"/>
    </row>
    <row r="3079" s="451" customFormat="true" ht="15" hidden="false" customHeight="false" outlineLevel="0" collapsed="false">
      <c r="A3079" s="707"/>
      <c r="B3079" s="522"/>
      <c r="C3079" s="709" t="s">
        <v>4122</v>
      </c>
      <c r="D3079" s="679" t="s">
        <v>4392</v>
      </c>
      <c r="E3079" s="710" t="n">
        <v>0.3</v>
      </c>
      <c r="F3079" s="721" t="n">
        <v>720</v>
      </c>
      <c r="G3079" s="770" t="n">
        <f aca="false">E3079*F3079</f>
        <v>216</v>
      </c>
      <c r="H3079" s="679"/>
    </row>
    <row r="3080" s="451" customFormat="true" ht="17.25" hidden="false" customHeight="true" outlineLevel="0" collapsed="false">
      <c r="A3080" s="707"/>
      <c r="B3080" s="522"/>
      <c r="C3080" s="709" t="s">
        <v>4594</v>
      </c>
      <c r="D3080" s="679" t="s">
        <v>4138</v>
      </c>
      <c r="E3080" s="710" t="n">
        <v>0.1</v>
      </c>
      <c r="F3080" s="369" t="n">
        <v>2500</v>
      </c>
      <c r="G3080" s="770" t="n">
        <f aca="false">E3080*F3080</f>
        <v>250</v>
      </c>
      <c r="H3080" s="679"/>
    </row>
    <row r="3081" s="451" customFormat="true" ht="15" hidden="false" customHeight="false" outlineLevel="0" collapsed="false">
      <c r="A3081" s="707"/>
      <c r="B3081" s="522"/>
      <c r="C3081" s="709" t="s">
        <v>4515</v>
      </c>
      <c r="D3081" s="679" t="s">
        <v>4133</v>
      </c>
      <c r="E3081" s="710" t="n">
        <v>0.006</v>
      </c>
      <c r="F3081" s="369" t="n">
        <v>2700</v>
      </c>
      <c r="G3081" s="770" t="n">
        <f aca="false">E3081*F3081</f>
        <v>16.2</v>
      </c>
      <c r="H3081" s="679"/>
    </row>
    <row r="3082" s="451" customFormat="true" ht="15" hidden="false" customHeight="false" outlineLevel="0" collapsed="false">
      <c r="A3082" s="707"/>
      <c r="B3082" s="522"/>
      <c r="C3082" s="709" t="s">
        <v>4124</v>
      </c>
      <c r="D3082" s="679" t="s">
        <v>4516</v>
      </c>
      <c r="E3082" s="710" t="n">
        <v>0.015</v>
      </c>
      <c r="F3082" s="369" t="n">
        <v>120</v>
      </c>
      <c r="G3082" s="770" t="n">
        <f aca="false">E3082*F3082</f>
        <v>1.8</v>
      </c>
      <c r="H3082" s="679"/>
    </row>
    <row r="3083" s="451" customFormat="true" ht="15" hidden="false" customHeight="false" outlineLevel="0" collapsed="false">
      <c r="A3083" s="707"/>
      <c r="B3083" s="522"/>
      <c r="C3083" s="709" t="s">
        <v>4586</v>
      </c>
      <c r="D3083" s="679" t="s">
        <v>4578</v>
      </c>
      <c r="E3083" s="710" t="n">
        <v>0.001</v>
      </c>
      <c r="F3083" s="369" t="n">
        <v>27000</v>
      </c>
      <c r="G3083" s="770" t="n">
        <f aca="false">E3083*F3083</f>
        <v>27</v>
      </c>
      <c r="H3083" s="679"/>
    </row>
    <row r="3084" s="451" customFormat="true" ht="15" hidden="false" customHeight="false" outlineLevel="0" collapsed="false">
      <c r="A3084" s="707"/>
      <c r="B3084" s="708" t="s">
        <v>4128</v>
      </c>
      <c r="C3084" s="709"/>
      <c r="D3084" s="679"/>
      <c r="E3084" s="710"/>
      <c r="F3084" s="369"/>
      <c r="G3084" s="711" t="n">
        <f aca="false">SUM(G3073:G3083)</f>
        <v>1589.03</v>
      </c>
      <c r="H3084" s="679"/>
    </row>
    <row r="3085" s="451" customFormat="true" ht="30" hidden="false" customHeight="false" outlineLevel="0" collapsed="false">
      <c r="A3085" s="707" t="s">
        <v>605</v>
      </c>
      <c r="B3085" s="487" t="s">
        <v>3130</v>
      </c>
      <c r="C3085" s="709" t="s">
        <v>4671</v>
      </c>
      <c r="D3085" s="679" t="s">
        <v>4133</v>
      </c>
      <c r="E3085" s="710" t="n">
        <v>0.14</v>
      </c>
      <c r="F3085" s="369" t="n">
        <v>845</v>
      </c>
      <c r="G3085" s="770" t="n">
        <f aca="false">E3085*F3085</f>
        <v>118.3</v>
      </c>
      <c r="H3085" s="679"/>
    </row>
    <row r="3086" s="451" customFormat="true" ht="15" hidden="false" customHeight="false" outlineLevel="0" collapsed="false">
      <c r="A3086" s="707"/>
      <c r="B3086" s="487"/>
      <c r="C3086" s="709" t="s">
        <v>4672</v>
      </c>
      <c r="D3086" s="679" t="s">
        <v>4392</v>
      </c>
      <c r="E3086" s="710" t="n">
        <v>0.0126</v>
      </c>
      <c r="F3086" s="369" t="n">
        <v>25500</v>
      </c>
      <c r="G3086" s="770" t="n">
        <f aca="false">E3086*F3086</f>
        <v>321.3</v>
      </c>
      <c r="H3086" s="679"/>
    </row>
    <row r="3087" s="451" customFormat="true" ht="15" hidden="false" customHeight="false" outlineLevel="0" collapsed="false">
      <c r="A3087" s="707"/>
      <c r="B3087" s="487"/>
      <c r="C3087" s="709" t="s">
        <v>4250</v>
      </c>
      <c r="D3087" s="679" t="s">
        <v>4392</v>
      </c>
      <c r="E3087" s="710" t="n">
        <v>0.013</v>
      </c>
      <c r="F3087" s="369" t="n">
        <v>27000</v>
      </c>
      <c r="G3087" s="770" t="n">
        <f aca="false">E3087*F3087</f>
        <v>351</v>
      </c>
      <c r="H3087" s="679"/>
    </row>
    <row r="3088" s="451" customFormat="true" ht="15" hidden="false" customHeight="false" outlineLevel="0" collapsed="false">
      <c r="A3088" s="707"/>
      <c r="B3088" s="487"/>
      <c r="C3088" s="709" t="s">
        <v>4205</v>
      </c>
      <c r="D3088" s="679" t="s">
        <v>4392</v>
      </c>
      <c r="E3088" s="710" t="n">
        <v>0.07</v>
      </c>
      <c r="F3088" s="717" t="n">
        <v>7875</v>
      </c>
      <c r="G3088" s="770" t="n">
        <f aca="false">E3088*F3088</f>
        <v>551.25</v>
      </c>
      <c r="H3088" s="679"/>
    </row>
    <row r="3089" s="451" customFormat="true" ht="15" hidden="false" customHeight="false" outlineLevel="0" collapsed="false">
      <c r="A3089" s="707"/>
      <c r="B3089" s="487"/>
      <c r="C3089" s="709" t="s">
        <v>4171</v>
      </c>
      <c r="D3089" s="679" t="s">
        <v>4392</v>
      </c>
      <c r="E3089" s="710" t="n">
        <v>0.1</v>
      </c>
      <c r="F3089" s="717" t="n">
        <v>2700</v>
      </c>
      <c r="G3089" s="770" t="n">
        <f aca="false">E3089*F3089</f>
        <v>270</v>
      </c>
      <c r="H3089" s="679"/>
    </row>
    <row r="3090" s="451" customFormat="true" ht="15" hidden="false" customHeight="false" outlineLevel="0" collapsed="false">
      <c r="A3090" s="707"/>
      <c r="B3090" s="487"/>
      <c r="C3090" s="709" t="s">
        <v>4545</v>
      </c>
      <c r="D3090" s="679" t="s">
        <v>4133</v>
      </c>
      <c r="E3090" s="710" t="n">
        <v>0.12</v>
      </c>
      <c r="F3090" s="369" t="n">
        <v>1071</v>
      </c>
      <c r="G3090" s="770" t="n">
        <f aca="false">E3090*F3090</f>
        <v>128.52</v>
      </c>
      <c r="H3090" s="679"/>
    </row>
    <row r="3091" s="451" customFormat="true" ht="15" hidden="false" customHeight="false" outlineLevel="0" collapsed="false">
      <c r="A3091" s="707"/>
      <c r="B3091" s="522"/>
      <c r="C3091" s="709" t="s">
        <v>4604</v>
      </c>
      <c r="D3091" s="679" t="s">
        <v>4392</v>
      </c>
      <c r="E3091" s="710" t="n">
        <v>0.0063945</v>
      </c>
      <c r="F3091" s="369" t="n">
        <v>115000</v>
      </c>
      <c r="G3091" s="770" t="n">
        <f aca="false">E3091*F3091</f>
        <v>735.3675</v>
      </c>
      <c r="H3091" s="679"/>
    </row>
    <row r="3092" s="451" customFormat="true" ht="15" hidden="false" customHeight="false" outlineLevel="0" collapsed="false">
      <c r="A3092" s="707"/>
      <c r="B3092" s="522"/>
      <c r="C3092" s="709" t="s">
        <v>4580</v>
      </c>
      <c r="D3092" s="679" t="s">
        <v>4133</v>
      </c>
      <c r="E3092" s="710" t="n">
        <v>0.015</v>
      </c>
      <c r="F3092" s="369" t="n">
        <v>1690</v>
      </c>
      <c r="G3092" s="770" t="n">
        <f aca="false">E3092*F3092</f>
        <v>25.35</v>
      </c>
      <c r="H3092" s="679"/>
    </row>
    <row r="3093" s="451" customFormat="true" ht="15" hidden="false" customHeight="false" outlineLevel="0" collapsed="false">
      <c r="A3093" s="707"/>
      <c r="B3093" s="522"/>
      <c r="C3093" s="709" t="s">
        <v>4317</v>
      </c>
      <c r="D3093" s="679" t="s">
        <v>4392</v>
      </c>
      <c r="E3093" s="710" t="n">
        <v>0.05</v>
      </c>
      <c r="F3093" s="724" t="n">
        <v>16500</v>
      </c>
      <c r="G3093" s="770" t="n">
        <f aca="false">E3093*F3093</f>
        <v>825</v>
      </c>
      <c r="H3093" s="679"/>
    </row>
    <row r="3094" s="451" customFormat="true" ht="15" hidden="false" customHeight="false" outlineLevel="0" collapsed="false">
      <c r="A3094" s="707"/>
      <c r="B3094" s="522"/>
      <c r="C3094" s="709" t="s">
        <v>4485</v>
      </c>
      <c r="D3094" s="679" t="s">
        <v>4133</v>
      </c>
      <c r="E3094" s="710" t="n">
        <v>0.02</v>
      </c>
      <c r="F3094" s="729" t="n">
        <v>3500</v>
      </c>
      <c r="G3094" s="770" t="n">
        <f aca="false">E3094*F3094</f>
        <v>70</v>
      </c>
      <c r="H3094" s="679"/>
    </row>
    <row r="3095" s="451" customFormat="true" ht="15" hidden="false" customHeight="false" outlineLevel="0" collapsed="false">
      <c r="A3095" s="707"/>
      <c r="B3095" s="522"/>
      <c r="C3095" s="709" t="s">
        <v>4673</v>
      </c>
      <c r="D3095" s="679" t="s">
        <v>4133</v>
      </c>
      <c r="E3095" s="710" t="n">
        <v>0.0016</v>
      </c>
      <c r="F3095" s="369" t="n">
        <v>7321.43</v>
      </c>
      <c r="G3095" s="770" t="n">
        <f aca="false">E3095*F3095</f>
        <v>11.714288</v>
      </c>
      <c r="H3095" s="392"/>
    </row>
    <row r="3096" s="451" customFormat="true" ht="15" hidden="false" customHeight="false" outlineLevel="0" collapsed="false">
      <c r="A3096" s="707"/>
      <c r="B3096" s="522"/>
      <c r="C3096" s="709" t="s">
        <v>4655</v>
      </c>
      <c r="D3096" s="679" t="s">
        <v>4392</v>
      </c>
      <c r="E3096" s="710" t="n">
        <v>0.005684</v>
      </c>
      <c r="F3096" s="369" t="n">
        <v>9500</v>
      </c>
      <c r="G3096" s="770" t="n">
        <f aca="false">E3096*F3096</f>
        <v>53.998</v>
      </c>
      <c r="H3096" s="679"/>
    </row>
    <row r="3097" s="451" customFormat="true" ht="15" hidden="false" customHeight="false" outlineLevel="0" collapsed="false">
      <c r="A3097" s="707"/>
      <c r="B3097" s="522"/>
      <c r="C3097" s="709" t="s">
        <v>4674</v>
      </c>
      <c r="D3097" s="679" t="s">
        <v>4138</v>
      </c>
      <c r="E3097" s="710" t="n">
        <v>0.07</v>
      </c>
      <c r="F3097" s="369" t="n">
        <v>81000</v>
      </c>
      <c r="G3097" s="770" t="n">
        <f aca="false">E3097*F3097</f>
        <v>5670</v>
      </c>
      <c r="H3097" s="679"/>
    </row>
    <row r="3098" s="451" customFormat="true" ht="15" hidden="false" customHeight="false" outlineLevel="0" collapsed="false">
      <c r="A3098" s="707"/>
      <c r="B3098" s="522"/>
      <c r="C3098" s="709" t="s">
        <v>4675</v>
      </c>
      <c r="D3098" s="679" t="s">
        <v>4138</v>
      </c>
      <c r="E3098" s="710" t="n">
        <v>0.07</v>
      </c>
      <c r="F3098" s="369" t="n">
        <v>81000</v>
      </c>
      <c r="G3098" s="770" t="n">
        <f aca="false">E3098*F3098</f>
        <v>5670</v>
      </c>
      <c r="H3098" s="679"/>
    </row>
    <row r="3099" s="451" customFormat="true" ht="15" hidden="false" customHeight="false" outlineLevel="0" collapsed="false">
      <c r="A3099" s="707"/>
      <c r="B3099" s="522"/>
      <c r="C3099" s="532" t="s">
        <v>4676</v>
      </c>
      <c r="D3099" s="679" t="s">
        <v>4559</v>
      </c>
      <c r="E3099" s="733" t="n">
        <v>0.005</v>
      </c>
      <c r="F3099" s="724" t="n">
        <v>275000</v>
      </c>
      <c r="G3099" s="770" t="n">
        <f aca="false">E3099*F3099</f>
        <v>1375</v>
      </c>
      <c r="H3099" s="679"/>
    </row>
    <row r="3100" s="451" customFormat="true" ht="15" hidden="false" customHeight="false" outlineLevel="0" collapsed="false">
      <c r="A3100" s="707"/>
      <c r="B3100" s="522"/>
      <c r="C3100" s="709" t="s">
        <v>4515</v>
      </c>
      <c r="D3100" s="679" t="s">
        <v>4133</v>
      </c>
      <c r="E3100" s="710" t="n">
        <v>0.006</v>
      </c>
      <c r="F3100" s="369" t="n">
        <v>2700</v>
      </c>
      <c r="G3100" s="770" t="n">
        <f aca="false">E3100*F3100</f>
        <v>16.2</v>
      </c>
      <c r="H3100" s="679"/>
    </row>
    <row r="3101" s="451" customFormat="true" ht="15" hidden="false" customHeight="false" outlineLevel="0" collapsed="false">
      <c r="A3101" s="707"/>
      <c r="B3101" s="522"/>
      <c r="C3101" s="709" t="s">
        <v>4124</v>
      </c>
      <c r="D3101" s="679" t="s">
        <v>4516</v>
      </c>
      <c r="E3101" s="710" t="n">
        <v>1.4933</v>
      </c>
      <c r="F3101" s="369" t="n">
        <v>120</v>
      </c>
      <c r="G3101" s="770" t="n">
        <f aca="false">E3101*F3101</f>
        <v>179.196</v>
      </c>
      <c r="H3101" s="679"/>
    </row>
    <row r="3102" s="451" customFormat="true" ht="15" hidden="false" customHeight="false" outlineLevel="0" collapsed="false">
      <c r="A3102" s="707"/>
      <c r="B3102" s="708" t="s">
        <v>4128</v>
      </c>
      <c r="C3102" s="718"/>
      <c r="D3102" s="719"/>
      <c r="E3102" s="722"/>
      <c r="F3102" s="366"/>
      <c r="G3102" s="711" t="n">
        <f aca="false">SUM(G3085:G3101)</f>
        <v>16372.195788</v>
      </c>
      <c r="H3102" s="679"/>
    </row>
    <row r="3103" s="451" customFormat="true" ht="15" hidden="false" customHeight="false" outlineLevel="0" collapsed="false">
      <c r="A3103" s="707" t="s">
        <v>607</v>
      </c>
      <c r="B3103" s="487" t="s">
        <v>3107</v>
      </c>
      <c r="C3103" s="709" t="s">
        <v>4250</v>
      </c>
      <c r="D3103" s="679" t="s">
        <v>4392</v>
      </c>
      <c r="E3103" s="710" t="n">
        <v>0.02</v>
      </c>
      <c r="F3103" s="369" t="n">
        <v>27000</v>
      </c>
      <c r="G3103" s="770" t="n">
        <f aca="false">E3103*F3103</f>
        <v>540</v>
      </c>
      <c r="H3103" s="679"/>
    </row>
    <row r="3104" s="451" customFormat="true" ht="15" hidden="false" customHeight="false" outlineLevel="0" collapsed="false">
      <c r="A3104" s="707"/>
      <c r="B3104" s="522"/>
      <c r="C3104" s="709" t="s">
        <v>4753</v>
      </c>
      <c r="D3104" s="679" t="s">
        <v>4133</v>
      </c>
      <c r="E3104" s="710" t="n">
        <v>0.05</v>
      </c>
      <c r="F3104" s="369" t="n">
        <v>4055</v>
      </c>
      <c r="G3104" s="770" t="n">
        <f aca="false">E3104*F3104</f>
        <v>202.75</v>
      </c>
      <c r="H3104" s="679"/>
    </row>
    <row r="3105" s="451" customFormat="true" ht="15" hidden="false" customHeight="false" outlineLevel="0" collapsed="false">
      <c r="A3105" s="707"/>
      <c r="B3105" s="522"/>
      <c r="C3105" s="709" t="s">
        <v>4378</v>
      </c>
      <c r="D3105" s="679" t="s">
        <v>4133</v>
      </c>
      <c r="E3105" s="710" t="n">
        <v>0.0075</v>
      </c>
      <c r="F3105" s="369" t="n">
        <v>5800</v>
      </c>
      <c r="G3105" s="770" t="n">
        <f aca="false">E3105*F3105</f>
        <v>43.5</v>
      </c>
      <c r="H3105" s="679"/>
    </row>
    <row r="3106" s="451" customFormat="true" ht="15" hidden="false" customHeight="false" outlineLevel="0" collapsed="false">
      <c r="A3106" s="707"/>
      <c r="B3106" s="522"/>
      <c r="C3106" s="709" t="s">
        <v>4317</v>
      </c>
      <c r="D3106" s="679" t="s">
        <v>4392</v>
      </c>
      <c r="E3106" s="710" t="n">
        <v>0.1</v>
      </c>
      <c r="F3106" s="724" t="n">
        <v>16500</v>
      </c>
      <c r="G3106" s="770" t="n">
        <f aca="false">E3106*F3106</f>
        <v>1650</v>
      </c>
      <c r="H3106" s="679"/>
    </row>
    <row r="3107" s="451" customFormat="true" ht="15" hidden="false" customHeight="false" outlineLevel="0" collapsed="false">
      <c r="A3107" s="707"/>
      <c r="B3107" s="522"/>
      <c r="C3107" s="709" t="s">
        <v>4612</v>
      </c>
      <c r="D3107" s="679" t="s">
        <v>4392</v>
      </c>
      <c r="E3107" s="710" t="n">
        <v>0.03</v>
      </c>
      <c r="F3107" s="369" t="n">
        <v>2700</v>
      </c>
      <c r="G3107" s="770" t="n">
        <f aca="false">E3107*F3107</f>
        <v>81</v>
      </c>
      <c r="H3107" s="679"/>
    </row>
    <row r="3108" s="451" customFormat="true" ht="15" hidden="false" customHeight="false" outlineLevel="0" collapsed="false">
      <c r="A3108" s="707"/>
      <c r="B3108" s="522"/>
      <c r="C3108" s="709" t="s">
        <v>4158</v>
      </c>
      <c r="D3108" s="679" t="s">
        <v>4133</v>
      </c>
      <c r="E3108" s="710" t="n">
        <v>0.1</v>
      </c>
      <c r="F3108" s="724" t="n">
        <v>1500</v>
      </c>
      <c r="G3108" s="770" t="n">
        <f aca="false">E3108*F3108</f>
        <v>150</v>
      </c>
      <c r="H3108" s="392"/>
    </row>
    <row r="3109" s="451" customFormat="true" ht="19.5" hidden="false" customHeight="true" outlineLevel="0" collapsed="false">
      <c r="A3109" s="707"/>
      <c r="B3109" s="522"/>
      <c r="C3109" s="709" t="s">
        <v>4754</v>
      </c>
      <c r="D3109" s="679" t="s">
        <v>4138</v>
      </c>
      <c r="E3109" s="710" t="n">
        <v>0.6</v>
      </c>
      <c r="F3109" s="369" t="n">
        <v>25000</v>
      </c>
      <c r="G3109" s="770" t="n">
        <f aca="false">E3109*F3109</f>
        <v>15000</v>
      </c>
      <c r="H3109" s="679"/>
    </row>
    <row r="3110" s="451" customFormat="true" ht="15" hidden="false" customHeight="false" outlineLevel="0" collapsed="false">
      <c r="A3110" s="707"/>
      <c r="B3110" s="522"/>
      <c r="C3110" s="532" t="s">
        <v>4676</v>
      </c>
      <c r="D3110" s="679" t="s">
        <v>4559</v>
      </c>
      <c r="E3110" s="733" t="n">
        <v>0.02</v>
      </c>
      <c r="F3110" s="724" t="n">
        <v>275000</v>
      </c>
      <c r="G3110" s="770" t="n">
        <f aca="false">E3110*F3110</f>
        <v>5500</v>
      </c>
      <c r="H3110" s="679"/>
    </row>
    <row r="3111" s="451" customFormat="true" ht="15" hidden="false" customHeight="false" outlineLevel="0" collapsed="false">
      <c r="A3111" s="707"/>
      <c r="B3111" s="522"/>
      <c r="C3111" s="709" t="s">
        <v>4515</v>
      </c>
      <c r="D3111" s="679" t="s">
        <v>4133</v>
      </c>
      <c r="E3111" s="710" t="n">
        <v>0.06</v>
      </c>
      <c r="F3111" s="369" t="n">
        <v>2700</v>
      </c>
      <c r="G3111" s="770" t="n">
        <f aca="false">E3111*F3111</f>
        <v>162</v>
      </c>
      <c r="H3111" s="679"/>
    </row>
    <row r="3112" s="451" customFormat="true" ht="15" hidden="false" customHeight="false" outlineLevel="0" collapsed="false">
      <c r="A3112" s="707"/>
      <c r="B3112" s="522"/>
      <c r="C3112" s="709" t="s">
        <v>4124</v>
      </c>
      <c r="D3112" s="679" t="s">
        <v>4516</v>
      </c>
      <c r="E3112" s="710" t="n">
        <v>0.15</v>
      </c>
      <c r="F3112" s="369" t="n">
        <v>120</v>
      </c>
      <c r="G3112" s="770" t="n">
        <f aca="false">E3112*F3112</f>
        <v>18</v>
      </c>
      <c r="H3112" s="679"/>
    </row>
    <row r="3113" s="451" customFormat="true" ht="15" hidden="false" customHeight="false" outlineLevel="0" collapsed="false">
      <c r="A3113" s="707"/>
      <c r="B3113" s="708" t="s">
        <v>4128</v>
      </c>
      <c r="C3113" s="718"/>
      <c r="D3113" s="719"/>
      <c r="E3113" s="722"/>
      <c r="F3113" s="366"/>
      <c r="G3113" s="711" t="n">
        <f aca="false">SUM(G3103:G3112)</f>
        <v>23347.25</v>
      </c>
      <c r="H3113" s="679"/>
    </row>
    <row r="3114" s="451" customFormat="true" ht="15" hidden="false" customHeight="false" outlineLevel="0" collapsed="false">
      <c r="A3114" s="707" t="s">
        <v>608</v>
      </c>
      <c r="B3114" s="532" t="s">
        <v>3131</v>
      </c>
      <c r="C3114" s="762" t="s">
        <v>4610</v>
      </c>
      <c r="D3114" s="728" t="s">
        <v>4133</v>
      </c>
      <c r="E3114" s="733" t="n">
        <v>0.05</v>
      </c>
      <c r="F3114" s="721" t="n">
        <v>300</v>
      </c>
      <c r="G3114" s="727" t="n">
        <f aca="false">E3114*F3114</f>
        <v>15</v>
      </c>
      <c r="H3114" s="679"/>
    </row>
    <row r="3115" s="451" customFormat="true" ht="15" hidden="false" customHeight="false" outlineLevel="0" collapsed="false">
      <c r="A3115" s="707"/>
      <c r="B3115" s="708"/>
      <c r="C3115" s="747" t="s">
        <v>4643</v>
      </c>
      <c r="D3115" s="728" t="s">
        <v>4133</v>
      </c>
      <c r="E3115" s="733" t="n">
        <v>0.02</v>
      </c>
      <c r="F3115" s="369" t="n">
        <v>990</v>
      </c>
      <c r="G3115" s="727" t="n">
        <f aca="false">E3115*F3115</f>
        <v>19.8</v>
      </c>
      <c r="H3115" s="679"/>
    </row>
    <row r="3116" s="451" customFormat="true" ht="15" hidden="false" customHeight="false" outlineLevel="0" collapsed="false">
      <c r="A3116" s="707"/>
      <c r="B3116" s="708"/>
      <c r="C3116" s="762" t="s">
        <v>4812</v>
      </c>
      <c r="D3116" s="679" t="s">
        <v>4555</v>
      </c>
      <c r="E3116" s="733" t="n">
        <v>0.1</v>
      </c>
      <c r="F3116" s="721" t="n">
        <v>108000</v>
      </c>
      <c r="G3116" s="727" t="n">
        <f aca="false">E3116*F3116</f>
        <v>10800</v>
      </c>
      <c r="H3116" s="679"/>
    </row>
    <row r="3117" s="451" customFormat="true" ht="15" hidden="false" customHeight="false" outlineLevel="0" collapsed="false">
      <c r="A3117" s="707"/>
      <c r="B3117" s="708"/>
      <c r="C3117" s="325" t="s">
        <v>4556</v>
      </c>
      <c r="D3117" s="728" t="s">
        <v>4133</v>
      </c>
      <c r="E3117" s="679" t="n">
        <v>0.04</v>
      </c>
      <c r="F3117" s="723" t="n">
        <v>3612</v>
      </c>
      <c r="G3117" s="727" t="n">
        <f aca="false">E3117*F3117</f>
        <v>144.48</v>
      </c>
      <c r="H3117" s="679"/>
    </row>
    <row r="3118" s="451" customFormat="true" ht="30" hidden="false" customHeight="false" outlineLevel="0" collapsed="false">
      <c r="A3118" s="707"/>
      <c r="B3118" s="708"/>
      <c r="C3118" s="762" t="s">
        <v>4813</v>
      </c>
      <c r="D3118" s="728" t="s">
        <v>4133</v>
      </c>
      <c r="E3118" s="733" t="n">
        <v>0.02</v>
      </c>
      <c r="F3118" s="721" t="n">
        <v>1200</v>
      </c>
      <c r="G3118" s="727" t="n">
        <f aca="false">E3118*F3118</f>
        <v>24</v>
      </c>
      <c r="H3118" s="679"/>
    </row>
    <row r="3119" s="451" customFormat="true" ht="15" hidden="false" customHeight="false" outlineLevel="0" collapsed="false">
      <c r="A3119" s="707"/>
      <c r="B3119" s="522"/>
      <c r="C3119" s="532" t="s">
        <v>4676</v>
      </c>
      <c r="D3119" s="679" t="s">
        <v>4559</v>
      </c>
      <c r="E3119" s="733" t="n">
        <v>0.02</v>
      </c>
      <c r="F3119" s="724" t="n">
        <v>275000</v>
      </c>
      <c r="G3119" s="727" t="n">
        <f aca="false">E3119*F3119</f>
        <v>5500</v>
      </c>
      <c r="H3119" s="679"/>
    </row>
    <row r="3120" s="451" customFormat="true" ht="15" hidden="false" customHeight="false" outlineLevel="0" collapsed="false">
      <c r="A3120" s="707"/>
      <c r="B3120" s="708"/>
      <c r="C3120" s="762" t="s">
        <v>3082</v>
      </c>
      <c r="D3120" s="728" t="s">
        <v>4133</v>
      </c>
      <c r="E3120" s="733" t="n">
        <v>0.015</v>
      </c>
      <c r="F3120" s="724" t="n">
        <v>1500</v>
      </c>
      <c r="G3120" s="727" t="n">
        <f aca="false">E3120*F3120</f>
        <v>22.5</v>
      </c>
      <c r="H3120" s="679"/>
    </row>
    <row r="3121" s="451" customFormat="true" ht="15" hidden="false" customHeight="false" outlineLevel="0" collapsed="false">
      <c r="A3121" s="707"/>
      <c r="B3121" s="708" t="s">
        <v>4128</v>
      </c>
      <c r="C3121" s="718"/>
      <c r="D3121" s="719"/>
      <c r="E3121" s="722"/>
      <c r="F3121" s="366"/>
      <c r="G3121" s="711" t="n">
        <f aca="false">SUM(G3114:G3120)</f>
        <v>16525.78</v>
      </c>
      <c r="H3121" s="679"/>
    </row>
    <row r="3122" s="451" customFormat="true" ht="15" hidden="false" customHeight="false" outlineLevel="0" collapsed="false">
      <c r="A3122" s="707" t="s">
        <v>610</v>
      </c>
      <c r="B3122" s="532" t="s">
        <v>3132</v>
      </c>
      <c r="C3122" s="718"/>
      <c r="D3122" s="719"/>
      <c r="E3122" s="722"/>
      <c r="F3122" s="366"/>
      <c r="G3122" s="711" t="n">
        <v>0</v>
      </c>
      <c r="H3122" s="679"/>
    </row>
    <row r="3123" customFormat="false" ht="15" hidden="false" customHeight="false" outlineLevel="0" collapsed="false">
      <c r="A3123" s="571"/>
      <c r="B3123" s="433"/>
      <c r="C3123" s="609"/>
      <c r="D3123" s="610"/>
      <c r="E3123" s="611"/>
      <c r="F3123" s="612"/>
      <c r="G3123" s="613"/>
      <c r="H3123" s="606"/>
    </row>
    <row r="3124" customFormat="false" ht="15" hidden="false" customHeight="false" outlineLevel="0" collapsed="false">
      <c r="A3124" s="350" t="s">
        <v>4814</v>
      </c>
      <c r="B3124" s="467" t="s">
        <v>4815</v>
      </c>
      <c r="C3124" s="751"/>
      <c r="D3124" s="339"/>
      <c r="E3124" s="752"/>
      <c r="F3124" s="519"/>
      <c r="G3124" s="753"/>
      <c r="H3124" s="790"/>
    </row>
    <row r="3125" customFormat="false" ht="15" hidden="false" customHeight="false" outlineLevel="0" collapsed="false">
      <c r="A3125" s="571" t="s">
        <v>4816</v>
      </c>
      <c r="B3125" s="328" t="s">
        <v>3084</v>
      </c>
      <c r="C3125" s="614" t="s">
        <v>4515</v>
      </c>
      <c r="D3125" s="606" t="s">
        <v>4133</v>
      </c>
      <c r="E3125" s="622" t="n">
        <v>0.06</v>
      </c>
      <c r="F3125" s="361" t="n">
        <v>2700</v>
      </c>
      <c r="G3125" s="615" t="n">
        <f aca="false">E3125*F3125</f>
        <v>162</v>
      </c>
      <c r="H3125" s="606"/>
    </row>
    <row r="3126" s="451" customFormat="true" ht="15" hidden="false" customHeight="false" outlineLevel="0" collapsed="false">
      <c r="A3126" s="707"/>
      <c r="B3126" s="522"/>
      <c r="C3126" s="709" t="s">
        <v>4124</v>
      </c>
      <c r="D3126" s="679" t="s">
        <v>4516</v>
      </c>
      <c r="E3126" s="710" t="n">
        <v>1.5</v>
      </c>
      <c r="F3126" s="369" t="n">
        <v>120</v>
      </c>
      <c r="G3126" s="716" t="n">
        <f aca="false">E3126*F3126</f>
        <v>180</v>
      </c>
      <c r="H3126" s="679"/>
    </row>
    <row r="3127" s="451" customFormat="true" ht="15" hidden="false" customHeight="false" outlineLevel="0" collapsed="false">
      <c r="A3127" s="707"/>
      <c r="B3127" s="708" t="s">
        <v>4128</v>
      </c>
      <c r="C3127" s="718"/>
      <c r="D3127" s="719"/>
      <c r="E3127" s="722"/>
      <c r="F3127" s="366"/>
      <c r="G3127" s="711" t="n">
        <f aca="false">SUM(G3125:G3126)</f>
        <v>342</v>
      </c>
      <c r="H3127" s="679"/>
    </row>
    <row r="3128" s="451" customFormat="true" ht="15" hidden="false" customHeight="false" outlineLevel="0" collapsed="false">
      <c r="A3128" s="707" t="s">
        <v>615</v>
      </c>
      <c r="B3128" s="487" t="s">
        <v>3085</v>
      </c>
      <c r="C3128" s="709" t="s">
        <v>4515</v>
      </c>
      <c r="D3128" s="679" t="s">
        <v>4133</v>
      </c>
      <c r="E3128" s="710" t="n">
        <v>0.0857</v>
      </c>
      <c r="F3128" s="369" t="n">
        <v>2700</v>
      </c>
      <c r="G3128" s="716" t="n">
        <f aca="false">E3128*F3128</f>
        <v>231.39</v>
      </c>
      <c r="H3128" s="679"/>
    </row>
    <row r="3129" s="451" customFormat="true" ht="15" hidden="false" customHeight="false" outlineLevel="0" collapsed="false">
      <c r="A3129" s="707"/>
      <c r="B3129" s="522"/>
      <c r="C3129" s="709" t="s">
        <v>4124</v>
      </c>
      <c r="D3129" s="679" t="s">
        <v>4516</v>
      </c>
      <c r="E3129" s="710" t="n">
        <v>0.995</v>
      </c>
      <c r="F3129" s="369" t="n">
        <v>120</v>
      </c>
      <c r="G3129" s="716" t="n">
        <f aca="false">E3129*F3129</f>
        <v>119.4</v>
      </c>
      <c r="H3129" s="392"/>
    </row>
    <row r="3130" s="451" customFormat="true" ht="15" hidden="false" customHeight="false" outlineLevel="0" collapsed="false">
      <c r="A3130" s="707"/>
      <c r="B3130" s="522"/>
      <c r="C3130" s="709" t="s">
        <v>4122</v>
      </c>
      <c r="D3130" s="679" t="s">
        <v>4392</v>
      </c>
      <c r="E3130" s="710" t="n">
        <v>0.1868</v>
      </c>
      <c r="F3130" s="721" t="n">
        <v>720</v>
      </c>
      <c r="G3130" s="716" t="n">
        <f aca="false">E3130*F3130</f>
        <v>134.496</v>
      </c>
      <c r="H3130" s="392"/>
    </row>
    <row r="3131" s="451" customFormat="true" ht="15" hidden="false" customHeight="false" outlineLevel="0" collapsed="false">
      <c r="A3131" s="707"/>
      <c r="B3131" s="708" t="s">
        <v>4128</v>
      </c>
      <c r="C3131" s="718"/>
      <c r="D3131" s="719"/>
      <c r="E3131" s="722"/>
      <c r="F3131" s="366"/>
      <c r="G3131" s="711" t="n">
        <f aca="false">SUM(G3128:G3130)</f>
        <v>485.286</v>
      </c>
      <c r="H3131" s="679"/>
    </row>
    <row r="3132" s="451" customFormat="true" ht="30" hidden="false" customHeight="false" outlineLevel="0" collapsed="false">
      <c r="A3132" s="707" t="s">
        <v>616</v>
      </c>
      <c r="B3132" s="795" t="s">
        <v>3134</v>
      </c>
      <c r="C3132" s="709" t="s">
        <v>4582</v>
      </c>
      <c r="D3132" s="679" t="s">
        <v>4133</v>
      </c>
      <c r="E3132" s="710" t="n">
        <v>0.5</v>
      </c>
      <c r="F3132" s="369" t="n">
        <v>2321</v>
      </c>
      <c r="G3132" s="716" t="n">
        <f aca="false">E3132*F3132</f>
        <v>1160.5</v>
      </c>
      <c r="H3132" s="679"/>
    </row>
    <row r="3133" s="451" customFormat="true" ht="15" hidden="false" customHeight="false" outlineLevel="0" collapsed="false">
      <c r="A3133" s="707"/>
      <c r="B3133" s="522"/>
      <c r="C3133" s="709" t="s">
        <v>4652</v>
      </c>
      <c r="D3133" s="679" t="s">
        <v>4133</v>
      </c>
      <c r="E3133" s="710" t="n">
        <v>0.5</v>
      </c>
      <c r="F3133" s="369" t="n">
        <v>3400</v>
      </c>
      <c r="G3133" s="716" t="n">
        <f aca="false">E3133*F3133</f>
        <v>1700</v>
      </c>
      <c r="H3133" s="392"/>
    </row>
    <row r="3134" s="451" customFormat="true" ht="15" hidden="false" customHeight="false" outlineLevel="0" collapsed="false">
      <c r="A3134" s="707"/>
      <c r="B3134" s="708" t="s">
        <v>4128</v>
      </c>
      <c r="C3134" s="709"/>
      <c r="D3134" s="679"/>
      <c r="E3134" s="710"/>
      <c r="F3134" s="369"/>
      <c r="G3134" s="711" t="n">
        <f aca="false">SUM(G3132:G3133)</f>
        <v>2860.5</v>
      </c>
      <c r="H3134" s="392"/>
    </row>
    <row r="3135" s="451" customFormat="true" ht="15" hidden="false" customHeight="false" outlineLevel="0" collapsed="false">
      <c r="A3135" s="707" t="s">
        <v>618</v>
      </c>
      <c r="B3135" s="488" t="s">
        <v>3135</v>
      </c>
      <c r="C3135" s="709" t="s">
        <v>4529</v>
      </c>
      <c r="D3135" s="679" t="s">
        <v>4133</v>
      </c>
      <c r="E3135" s="710" t="n">
        <v>0.05</v>
      </c>
      <c r="F3135" s="369" t="n">
        <v>1200</v>
      </c>
      <c r="G3135" s="716" t="n">
        <f aca="false">E3135*F3135</f>
        <v>60</v>
      </c>
      <c r="H3135" s="679"/>
    </row>
    <row r="3136" s="451" customFormat="true" ht="15" hidden="false" customHeight="false" outlineLevel="0" collapsed="false">
      <c r="A3136" s="707"/>
      <c r="B3136" s="522"/>
      <c r="C3136" s="709" t="s">
        <v>4147</v>
      </c>
      <c r="D3136" s="679" t="s">
        <v>4392</v>
      </c>
      <c r="E3136" s="710" t="n">
        <v>0.1</v>
      </c>
      <c r="F3136" s="723" t="n">
        <v>3612</v>
      </c>
      <c r="G3136" s="716" t="n">
        <f aca="false">E3136*F3136</f>
        <v>361.2</v>
      </c>
      <c r="H3136" s="679"/>
    </row>
    <row r="3137" s="451" customFormat="true" ht="15" hidden="false" customHeight="false" outlineLevel="0" collapsed="false">
      <c r="A3137" s="707"/>
      <c r="B3137" s="522"/>
      <c r="C3137" s="709" t="s">
        <v>4653</v>
      </c>
      <c r="D3137" s="679" t="s">
        <v>4133</v>
      </c>
      <c r="E3137" s="710" t="n">
        <v>0.045</v>
      </c>
      <c r="F3137" s="369" t="n">
        <v>2700</v>
      </c>
      <c r="G3137" s="716" t="n">
        <f aca="false">E3137*F3137</f>
        <v>121.5</v>
      </c>
      <c r="H3137" s="679"/>
    </row>
    <row r="3138" s="451" customFormat="true" ht="15" hidden="false" customHeight="false" outlineLevel="0" collapsed="false">
      <c r="A3138" s="707"/>
      <c r="B3138" s="522"/>
      <c r="C3138" s="709" t="s">
        <v>4154</v>
      </c>
      <c r="D3138" s="679" t="s">
        <v>4392</v>
      </c>
      <c r="E3138" s="710" t="n">
        <v>0.2</v>
      </c>
      <c r="F3138" s="721" t="n">
        <v>3500</v>
      </c>
      <c r="G3138" s="716" t="n">
        <f aca="false">E3138*F3138</f>
        <v>700</v>
      </c>
      <c r="H3138" s="392"/>
    </row>
    <row r="3139" s="451" customFormat="true" ht="15" hidden="false" customHeight="false" outlineLevel="0" collapsed="false">
      <c r="A3139" s="707"/>
      <c r="B3139" s="522"/>
      <c r="C3139" s="709" t="s">
        <v>4654</v>
      </c>
      <c r="D3139" s="679" t="s">
        <v>4133</v>
      </c>
      <c r="E3139" s="710" t="n">
        <v>0.15</v>
      </c>
      <c r="F3139" s="721" t="n">
        <v>3500</v>
      </c>
      <c r="G3139" s="716" t="n">
        <f aca="false">E3139*F3139</f>
        <v>525</v>
      </c>
      <c r="H3139" s="392"/>
    </row>
    <row r="3140" s="451" customFormat="true" ht="15" hidden="false" customHeight="false" outlineLevel="0" collapsed="false">
      <c r="A3140" s="707"/>
      <c r="B3140" s="522"/>
      <c r="C3140" s="709" t="s">
        <v>4122</v>
      </c>
      <c r="D3140" s="679" t="s">
        <v>4392</v>
      </c>
      <c r="E3140" s="710" t="n">
        <v>0.3</v>
      </c>
      <c r="F3140" s="721" t="n">
        <v>720</v>
      </c>
      <c r="G3140" s="716" t="n">
        <f aca="false">E3140*F3140</f>
        <v>216</v>
      </c>
      <c r="H3140" s="392"/>
    </row>
    <row r="3141" s="451" customFormat="true" ht="15" hidden="false" customHeight="false" outlineLevel="0" collapsed="false">
      <c r="A3141" s="707"/>
      <c r="B3141" s="522"/>
      <c r="C3141" s="709" t="s">
        <v>4515</v>
      </c>
      <c r="D3141" s="679" t="s">
        <v>4133</v>
      </c>
      <c r="E3141" s="710" t="n">
        <v>0.006</v>
      </c>
      <c r="F3141" s="369" t="n">
        <v>2700</v>
      </c>
      <c r="G3141" s="716" t="n">
        <f aca="false">E3141*F3141</f>
        <v>16.2</v>
      </c>
      <c r="H3141" s="392"/>
    </row>
    <row r="3142" s="451" customFormat="true" ht="15" hidden="false" customHeight="false" outlineLevel="0" collapsed="false">
      <c r="A3142" s="707"/>
      <c r="B3142" s="522"/>
      <c r="C3142" s="709" t="s">
        <v>4124</v>
      </c>
      <c r="D3142" s="679" t="s">
        <v>4516</v>
      </c>
      <c r="E3142" s="710" t="n">
        <v>1.5</v>
      </c>
      <c r="F3142" s="369" t="n">
        <v>120</v>
      </c>
      <c r="G3142" s="716" t="n">
        <f aca="false">E3142*F3142</f>
        <v>180</v>
      </c>
      <c r="H3142" s="392"/>
    </row>
    <row r="3143" s="451" customFormat="true" ht="15" hidden="false" customHeight="false" outlineLevel="0" collapsed="false">
      <c r="A3143" s="707"/>
      <c r="B3143" s="708" t="s">
        <v>4128</v>
      </c>
      <c r="C3143" s="718"/>
      <c r="D3143" s="719"/>
      <c r="E3143" s="722"/>
      <c r="F3143" s="366"/>
      <c r="G3143" s="711" t="n">
        <f aca="false">SUM(G3135:G3142)</f>
        <v>2179.9</v>
      </c>
      <c r="H3143" s="392"/>
    </row>
    <row r="3144" s="451" customFormat="true" ht="15" hidden="false" customHeight="false" outlineLevel="0" collapsed="false">
      <c r="A3144" s="707" t="s">
        <v>620</v>
      </c>
      <c r="B3144" s="795" t="s">
        <v>3136</v>
      </c>
      <c r="C3144" s="709" t="s">
        <v>4171</v>
      </c>
      <c r="D3144" s="679" t="s">
        <v>4392</v>
      </c>
      <c r="E3144" s="710" t="n">
        <v>0.015</v>
      </c>
      <c r="F3144" s="717" t="n">
        <v>2700</v>
      </c>
      <c r="G3144" s="716" t="n">
        <f aca="false">E3144*F3144</f>
        <v>40.5</v>
      </c>
      <c r="H3144" s="392"/>
    </row>
    <row r="3145" s="451" customFormat="true" ht="15" hidden="false" customHeight="false" outlineLevel="0" collapsed="false">
      <c r="A3145" s="707"/>
      <c r="B3145" s="522"/>
      <c r="C3145" s="709" t="s">
        <v>4204</v>
      </c>
      <c r="D3145" s="679" t="s">
        <v>4133</v>
      </c>
      <c r="E3145" s="710" t="n">
        <v>0.03</v>
      </c>
      <c r="F3145" s="724" t="n">
        <v>3000</v>
      </c>
      <c r="G3145" s="716" t="n">
        <f aca="false">E3145*F3145</f>
        <v>90</v>
      </c>
      <c r="H3145" s="392"/>
    </row>
    <row r="3146" s="451" customFormat="true" ht="15" hidden="false" customHeight="false" outlineLevel="0" collapsed="false">
      <c r="A3146" s="707"/>
      <c r="B3146" s="522"/>
      <c r="C3146" s="709" t="s">
        <v>4202</v>
      </c>
      <c r="D3146" s="679" t="s">
        <v>4133</v>
      </c>
      <c r="E3146" s="710" t="n">
        <v>0.008</v>
      </c>
      <c r="F3146" s="724" t="n">
        <v>6600</v>
      </c>
      <c r="G3146" s="716" t="n">
        <f aca="false">E3146*F3146</f>
        <v>52.8</v>
      </c>
      <c r="H3146" s="392"/>
    </row>
    <row r="3147" s="451" customFormat="true" ht="15" hidden="false" customHeight="false" outlineLevel="0" collapsed="false">
      <c r="A3147" s="707"/>
      <c r="B3147" s="522"/>
      <c r="C3147" s="709" t="s">
        <v>4158</v>
      </c>
      <c r="D3147" s="679" t="s">
        <v>4133</v>
      </c>
      <c r="E3147" s="710" t="n">
        <v>0.2</v>
      </c>
      <c r="F3147" s="724" t="n">
        <v>1500</v>
      </c>
      <c r="G3147" s="716" t="n">
        <f aca="false">E3147*F3147</f>
        <v>300</v>
      </c>
      <c r="H3147" s="392"/>
    </row>
    <row r="3148" s="451" customFormat="true" ht="15" hidden="false" customHeight="false" outlineLevel="0" collapsed="false">
      <c r="A3148" s="707"/>
      <c r="B3148" s="522"/>
      <c r="C3148" s="709" t="s">
        <v>791</v>
      </c>
      <c r="D3148" s="679" t="s">
        <v>4133</v>
      </c>
      <c r="E3148" s="710" t="n">
        <v>0.001</v>
      </c>
      <c r="F3148" s="369" t="n">
        <v>17001</v>
      </c>
      <c r="G3148" s="716" t="n">
        <f aca="false">E3148*F3148</f>
        <v>17.001</v>
      </c>
      <c r="H3148" s="392"/>
    </row>
    <row r="3149" s="451" customFormat="true" ht="15" hidden="false" customHeight="false" outlineLevel="0" collapsed="false">
      <c r="A3149" s="707"/>
      <c r="B3149" s="522"/>
      <c r="C3149" s="709" t="s">
        <v>4515</v>
      </c>
      <c r="D3149" s="679" t="s">
        <v>4133</v>
      </c>
      <c r="E3149" s="710" t="n">
        <v>0.01</v>
      </c>
      <c r="F3149" s="369" t="n">
        <v>2700</v>
      </c>
      <c r="G3149" s="716" t="n">
        <f aca="false">E3149*F3149</f>
        <v>27</v>
      </c>
      <c r="H3149" s="392"/>
    </row>
    <row r="3150" s="451" customFormat="true" ht="15" hidden="false" customHeight="false" outlineLevel="0" collapsed="false">
      <c r="A3150" s="707"/>
      <c r="B3150" s="522"/>
      <c r="C3150" s="709" t="s">
        <v>4124</v>
      </c>
      <c r="D3150" s="679" t="s">
        <v>4516</v>
      </c>
      <c r="E3150" s="710" t="n">
        <v>1</v>
      </c>
      <c r="F3150" s="369" t="n">
        <v>120</v>
      </c>
      <c r="G3150" s="716" t="n">
        <f aca="false">E3150*F3150</f>
        <v>120</v>
      </c>
      <c r="H3150" s="392"/>
    </row>
    <row r="3151" s="451" customFormat="true" ht="15" hidden="false" customHeight="false" outlineLevel="0" collapsed="false">
      <c r="A3151" s="707"/>
      <c r="B3151" s="708" t="s">
        <v>4128</v>
      </c>
      <c r="C3151" s="718"/>
      <c r="D3151" s="719"/>
      <c r="E3151" s="722"/>
      <c r="F3151" s="366"/>
      <c r="G3151" s="711" t="n">
        <f aca="false">SUM(G3144:G3150)</f>
        <v>647.301</v>
      </c>
      <c r="H3151" s="392"/>
    </row>
    <row r="3152" s="451" customFormat="true" ht="15" hidden="false" customHeight="false" outlineLevel="0" collapsed="false">
      <c r="A3152" s="707" t="s">
        <v>622</v>
      </c>
      <c r="B3152" s="795" t="s">
        <v>3137</v>
      </c>
      <c r="C3152" s="709" t="s">
        <v>4550</v>
      </c>
      <c r="D3152" s="679" t="s">
        <v>4392</v>
      </c>
      <c r="E3152" s="710" t="n">
        <v>0.0034</v>
      </c>
      <c r="F3152" s="369" t="n">
        <v>6500</v>
      </c>
      <c r="G3152" s="716" t="n">
        <f aca="false">E3152*F3152</f>
        <v>22.1</v>
      </c>
      <c r="H3152" s="392"/>
    </row>
    <row r="3153" s="451" customFormat="true" ht="15" hidden="false" customHeight="false" outlineLevel="0" collapsed="false">
      <c r="A3153" s="707"/>
      <c r="B3153" s="522"/>
      <c r="C3153" s="709" t="s">
        <v>4122</v>
      </c>
      <c r="D3153" s="679" t="s">
        <v>4392</v>
      </c>
      <c r="E3153" s="710" t="n">
        <v>0.17</v>
      </c>
      <c r="F3153" s="721" t="n">
        <v>720</v>
      </c>
      <c r="G3153" s="716" t="n">
        <f aca="false">E3153*F3153</f>
        <v>122.4</v>
      </c>
      <c r="H3153" s="392"/>
    </row>
    <row r="3154" s="451" customFormat="true" ht="15" hidden="false" customHeight="false" outlineLevel="0" collapsed="false">
      <c r="A3154" s="707"/>
      <c r="B3154" s="522"/>
      <c r="C3154" s="709" t="s">
        <v>4529</v>
      </c>
      <c r="D3154" s="679" t="s">
        <v>4133</v>
      </c>
      <c r="E3154" s="710" t="n">
        <v>0.12</v>
      </c>
      <c r="F3154" s="369" t="n">
        <v>1200</v>
      </c>
      <c r="G3154" s="716" t="n">
        <f aca="false">E3154*F3154</f>
        <v>144</v>
      </c>
      <c r="H3154" s="392"/>
    </row>
    <row r="3155" s="451" customFormat="true" ht="15" hidden="false" customHeight="false" outlineLevel="0" collapsed="false">
      <c r="A3155" s="707"/>
      <c r="B3155" s="522"/>
      <c r="C3155" s="709" t="s">
        <v>4264</v>
      </c>
      <c r="D3155" s="679" t="s">
        <v>4133</v>
      </c>
      <c r="E3155" s="710" t="n">
        <v>0.02</v>
      </c>
      <c r="F3155" s="369" t="n">
        <v>55000</v>
      </c>
      <c r="G3155" s="716" t="n">
        <f aca="false">E3155*F3155</f>
        <v>1100</v>
      </c>
      <c r="H3155" s="392"/>
    </row>
    <row r="3156" s="451" customFormat="true" ht="15" hidden="false" customHeight="false" outlineLevel="0" collapsed="false">
      <c r="A3156" s="707"/>
      <c r="B3156" s="522"/>
      <c r="C3156" s="709" t="s">
        <v>4515</v>
      </c>
      <c r="D3156" s="679" t="s">
        <v>4133</v>
      </c>
      <c r="E3156" s="710" t="n">
        <v>0.001</v>
      </c>
      <c r="F3156" s="369" t="n">
        <v>2700</v>
      </c>
      <c r="G3156" s="716" t="n">
        <f aca="false">E3156*F3156</f>
        <v>2.7</v>
      </c>
      <c r="H3156" s="392"/>
    </row>
    <row r="3157" s="451" customFormat="true" ht="15" hidden="false" customHeight="false" outlineLevel="0" collapsed="false">
      <c r="A3157" s="707"/>
      <c r="B3157" s="522"/>
      <c r="C3157" s="709" t="s">
        <v>4124</v>
      </c>
      <c r="D3157" s="679" t="s">
        <v>4516</v>
      </c>
      <c r="E3157" s="710" t="n">
        <v>0.5</v>
      </c>
      <c r="F3157" s="369" t="n">
        <v>120</v>
      </c>
      <c r="G3157" s="716" t="n">
        <f aca="false">E3157*F3157</f>
        <v>60</v>
      </c>
      <c r="H3157" s="392"/>
    </row>
    <row r="3158" s="451" customFormat="true" ht="15" hidden="false" customHeight="false" outlineLevel="0" collapsed="false">
      <c r="A3158" s="707"/>
      <c r="B3158" s="708" t="s">
        <v>4128</v>
      </c>
      <c r="C3158" s="718"/>
      <c r="D3158" s="719"/>
      <c r="E3158" s="722"/>
      <c r="F3158" s="366"/>
      <c r="G3158" s="711" t="n">
        <f aca="false">SUM(G3152:G3157)</f>
        <v>1451.2</v>
      </c>
      <c r="H3158" s="392"/>
    </row>
    <row r="3159" s="451" customFormat="true" ht="15" hidden="false" customHeight="false" outlineLevel="0" collapsed="false">
      <c r="A3159" s="707" t="s">
        <v>624</v>
      </c>
      <c r="B3159" s="795" t="s">
        <v>3138</v>
      </c>
      <c r="C3159" s="762" t="s">
        <v>4610</v>
      </c>
      <c r="D3159" s="728" t="s">
        <v>4133</v>
      </c>
      <c r="E3159" s="733" t="n">
        <v>0.05</v>
      </c>
      <c r="F3159" s="721" t="n">
        <v>300</v>
      </c>
      <c r="G3159" s="716" t="n">
        <f aca="false">E3159*F3159</f>
        <v>15</v>
      </c>
      <c r="H3159" s="392"/>
    </row>
    <row r="3160" s="451" customFormat="true" ht="15" hidden="false" customHeight="false" outlineLevel="0" collapsed="false">
      <c r="A3160" s="707"/>
      <c r="B3160" s="522"/>
      <c r="C3160" s="747" t="s">
        <v>4643</v>
      </c>
      <c r="D3160" s="728" t="s">
        <v>4133</v>
      </c>
      <c r="E3160" s="733" t="n">
        <v>0.02</v>
      </c>
      <c r="F3160" s="369" t="n">
        <v>990</v>
      </c>
      <c r="G3160" s="716" t="n">
        <f aca="false">E3160*F3160</f>
        <v>19.8</v>
      </c>
      <c r="H3160" s="392"/>
    </row>
    <row r="3161" s="451" customFormat="true" ht="15" hidden="false" customHeight="false" outlineLevel="0" collapsed="false">
      <c r="A3161" s="707"/>
      <c r="B3161" s="522"/>
      <c r="C3161" s="795" t="s">
        <v>4817</v>
      </c>
      <c r="D3161" s="679" t="s">
        <v>4555</v>
      </c>
      <c r="E3161" s="733" t="n">
        <v>0.2</v>
      </c>
      <c r="F3161" s="721" t="n">
        <v>108000</v>
      </c>
      <c r="G3161" s="716" t="n">
        <f aca="false">E3161*F3161</f>
        <v>21600</v>
      </c>
      <c r="H3161" s="392"/>
    </row>
    <row r="3162" s="451" customFormat="true" ht="15" hidden="false" customHeight="false" outlineLevel="0" collapsed="false">
      <c r="A3162" s="707"/>
      <c r="B3162" s="522"/>
      <c r="C3162" s="325" t="s">
        <v>4556</v>
      </c>
      <c r="D3162" s="728" t="s">
        <v>4133</v>
      </c>
      <c r="E3162" s="679" t="n">
        <v>0.04</v>
      </c>
      <c r="F3162" s="723" t="n">
        <v>3612</v>
      </c>
      <c r="G3162" s="716" t="n">
        <f aca="false">E3162*F3162</f>
        <v>144.48</v>
      </c>
      <c r="H3162" s="392"/>
    </row>
    <row r="3163" s="451" customFormat="true" ht="30" hidden="false" customHeight="false" outlineLevel="0" collapsed="false">
      <c r="A3163" s="707"/>
      <c r="B3163" s="522"/>
      <c r="C3163" s="762" t="s">
        <v>4813</v>
      </c>
      <c r="D3163" s="728" t="s">
        <v>4133</v>
      </c>
      <c r="E3163" s="733" t="n">
        <v>0.02</v>
      </c>
      <c r="F3163" s="721" t="n">
        <v>1200</v>
      </c>
      <c r="G3163" s="716" t="n">
        <f aca="false">E3163*F3163</f>
        <v>24</v>
      </c>
      <c r="H3163" s="392"/>
    </row>
    <row r="3164" s="451" customFormat="true" ht="15" hidden="false" customHeight="false" outlineLevel="0" collapsed="false">
      <c r="A3164" s="707"/>
      <c r="B3164" s="522"/>
      <c r="C3164" s="532" t="s">
        <v>4676</v>
      </c>
      <c r="D3164" s="679" t="s">
        <v>4559</v>
      </c>
      <c r="E3164" s="726" t="n">
        <v>0.013</v>
      </c>
      <c r="F3164" s="724" t="n">
        <v>275000</v>
      </c>
      <c r="G3164" s="716" t="n">
        <f aca="false">E3164*F3164</f>
        <v>3575</v>
      </c>
      <c r="H3164" s="392"/>
    </row>
    <row r="3165" s="451" customFormat="true" ht="15" hidden="false" customHeight="false" outlineLevel="0" collapsed="false">
      <c r="A3165" s="707"/>
      <c r="B3165" s="522"/>
      <c r="C3165" s="762" t="s">
        <v>3082</v>
      </c>
      <c r="D3165" s="728" t="s">
        <v>4133</v>
      </c>
      <c r="E3165" s="733" t="n">
        <v>0.015</v>
      </c>
      <c r="F3165" s="724" t="n">
        <v>1500</v>
      </c>
      <c r="G3165" s="716" t="n">
        <f aca="false">E3165*F3165</f>
        <v>22.5</v>
      </c>
      <c r="H3165" s="392"/>
    </row>
    <row r="3166" s="451" customFormat="true" ht="15" hidden="false" customHeight="false" outlineLevel="0" collapsed="false">
      <c r="A3166" s="707"/>
      <c r="B3166" s="708" t="s">
        <v>4128</v>
      </c>
      <c r="C3166" s="718"/>
      <c r="D3166" s="719"/>
      <c r="E3166" s="722"/>
      <c r="F3166" s="366"/>
      <c r="G3166" s="711" t="n">
        <f aca="false">SUM(G3159:G3165)</f>
        <v>25400.78</v>
      </c>
      <c r="H3166" s="679"/>
    </row>
    <row r="3167" s="451" customFormat="true" ht="15" hidden="false" customHeight="false" outlineLevel="0" collapsed="false">
      <c r="A3167" s="707" t="s">
        <v>626</v>
      </c>
      <c r="B3167" s="487" t="s">
        <v>3103</v>
      </c>
      <c r="C3167" s="709" t="s">
        <v>4189</v>
      </c>
      <c r="D3167" s="679" t="s">
        <v>4392</v>
      </c>
      <c r="E3167" s="710" t="n">
        <v>0.033</v>
      </c>
      <c r="F3167" s="729" t="n">
        <v>3500</v>
      </c>
      <c r="G3167" s="716" t="n">
        <f aca="false">E3167*F3167</f>
        <v>115.5</v>
      </c>
      <c r="H3167" s="679"/>
    </row>
    <row r="3168" s="451" customFormat="true" ht="15" hidden="false" customHeight="false" outlineLevel="0" collapsed="false">
      <c r="A3168" s="707"/>
      <c r="B3168" s="522"/>
      <c r="C3168" s="709" t="s">
        <v>4147</v>
      </c>
      <c r="D3168" s="679" t="s">
        <v>4392</v>
      </c>
      <c r="E3168" s="710" t="n">
        <v>0.02</v>
      </c>
      <c r="F3168" s="723" t="n">
        <v>3612</v>
      </c>
      <c r="G3168" s="716" t="n">
        <f aca="false">E3168*F3168</f>
        <v>72.24</v>
      </c>
      <c r="H3168" s="679"/>
    </row>
    <row r="3169" s="451" customFormat="true" ht="15" hidden="false" customHeight="false" outlineLevel="0" collapsed="false">
      <c r="A3169" s="707"/>
      <c r="B3169" s="522"/>
      <c r="C3169" s="709" t="s">
        <v>4277</v>
      </c>
      <c r="D3169" s="679" t="s">
        <v>4133</v>
      </c>
      <c r="E3169" s="710" t="n">
        <v>0.01</v>
      </c>
      <c r="F3169" s="369" t="n">
        <v>1116</v>
      </c>
      <c r="G3169" s="716" t="n">
        <f aca="false">E3169*F3169</f>
        <v>11.16</v>
      </c>
      <c r="H3169" s="679"/>
    </row>
    <row r="3170" s="451" customFormat="true" ht="15" hidden="false" customHeight="false" outlineLevel="0" collapsed="false">
      <c r="A3170" s="707"/>
      <c r="B3170" s="522"/>
      <c r="C3170" s="709" t="s">
        <v>4575</v>
      </c>
      <c r="D3170" s="679" t="s">
        <v>4133</v>
      </c>
      <c r="E3170" s="710" t="n">
        <v>0.001</v>
      </c>
      <c r="F3170" s="369" t="n">
        <v>24000</v>
      </c>
      <c r="G3170" s="716" t="n">
        <f aca="false">E3170*F3170</f>
        <v>24</v>
      </c>
      <c r="H3170" s="679"/>
    </row>
    <row r="3171" s="451" customFormat="true" ht="15" hidden="false" customHeight="false" outlineLevel="0" collapsed="false">
      <c r="A3171" s="707"/>
      <c r="B3171" s="522"/>
      <c r="C3171" s="709" t="s">
        <v>4165</v>
      </c>
      <c r="D3171" s="679" t="s">
        <v>4133</v>
      </c>
      <c r="E3171" s="710" t="n">
        <v>0.03</v>
      </c>
      <c r="F3171" s="369" t="n">
        <v>1323</v>
      </c>
      <c r="G3171" s="716" t="n">
        <f aca="false">E3171*F3171</f>
        <v>39.69</v>
      </c>
      <c r="H3171" s="679"/>
    </row>
    <row r="3172" s="451" customFormat="true" ht="15" hidden="false" customHeight="false" outlineLevel="0" collapsed="false">
      <c r="A3172" s="707"/>
      <c r="B3172" s="522"/>
      <c r="C3172" s="709" t="s">
        <v>4270</v>
      </c>
      <c r="D3172" s="679" t="s">
        <v>4392</v>
      </c>
      <c r="E3172" s="710" t="n">
        <v>0.1</v>
      </c>
      <c r="F3172" s="369" t="n">
        <v>1750</v>
      </c>
      <c r="G3172" s="716" t="n">
        <f aca="false">E3172*F3172</f>
        <v>175</v>
      </c>
      <c r="H3172" s="679"/>
    </row>
    <row r="3173" s="451" customFormat="true" ht="15" hidden="false" customHeight="false" outlineLevel="0" collapsed="false">
      <c r="A3173" s="707"/>
      <c r="B3173" s="522"/>
      <c r="C3173" s="709" t="s">
        <v>4122</v>
      </c>
      <c r="D3173" s="679" t="s">
        <v>4392</v>
      </c>
      <c r="E3173" s="710" t="n">
        <v>0.03</v>
      </c>
      <c r="F3173" s="721" t="n">
        <v>720</v>
      </c>
      <c r="G3173" s="716" t="n">
        <f aca="false">E3173*F3173</f>
        <v>21.6</v>
      </c>
      <c r="H3173" s="679"/>
    </row>
    <row r="3174" s="451" customFormat="true" ht="15" hidden="false" customHeight="false" outlineLevel="0" collapsed="false">
      <c r="A3174" s="707"/>
      <c r="B3174" s="522"/>
      <c r="C3174" s="709" t="s">
        <v>4561</v>
      </c>
      <c r="D3174" s="679" t="s">
        <v>4138</v>
      </c>
      <c r="E3174" s="710" t="n">
        <v>1</v>
      </c>
      <c r="F3174" s="369" t="n">
        <v>490</v>
      </c>
      <c r="G3174" s="716" t="n">
        <f aca="false">E3174*F3174</f>
        <v>490</v>
      </c>
      <c r="H3174" s="679"/>
    </row>
    <row r="3175" s="451" customFormat="true" ht="15" hidden="false" customHeight="false" outlineLevel="0" collapsed="false">
      <c r="A3175" s="707"/>
      <c r="B3175" s="522"/>
      <c r="C3175" s="709" t="s">
        <v>4515</v>
      </c>
      <c r="D3175" s="679" t="s">
        <v>4133</v>
      </c>
      <c r="E3175" s="710" t="n">
        <v>0.006</v>
      </c>
      <c r="F3175" s="369" t="n">
        <v>2700</v>
      </c>
      <c r="G3175" s="716" t="n">
        <f aca="false">E3175*F3175</f>
        <v>16.2</v>
      </c>
      <c r="H3175" s="679"/>
    </row>
    <row r="3176" s="451" customFormat="true" ht="15" hidden="false" customHeight="false" outlineLevel="0" collapsed="false">
      <c r="A3176" s="707"/>
      <c r="B3176" s="522"/>
      <c r="C3176" s="709" t="s">
        <v>4124</v>
      </c>
      <c r="D3176" s="679" t="s">
        <v>4516</v>
      </c>
      <c r="E3176" s="710" t="n">
        <v>0.08</v>
      </c>
      <c r="F3176" s="369" t="n">
        <v>120</v>
      </c>
      <c r="G3176" s="716" t="n">
        <f aca="false">E3176*F3176</f>
        <v>9.6</v>
      </c>
      <c r="H3176" s="392"/>
    </row>
    <row r="3177" s="451" customFormat="true" ht="15" hidden="false" customHeight="false" outlineLevel="0" collapsed="false">
      <c r="A3177" s="707"/>
      <c r="B3177" s="522"/>
      <c r="C3177" s="709" t="s">
        <v>4577</v>
      </c>
      <c r="D3177" s="679" t="s">
        <v>4578</v>
      </c>
      <c r="E3177" s="710" t="n">
        <v>0.006</v>
      </c>
      <c r="F3177" s="369" t="n">
        <v>27000</v>
      </c>
      <c r="G3177" s="716" t="n">
        <f aca="false">E3177*F3177</f>
        <v>162</v>
      </c>
      <c r="H3177" s="679"/>
    </row>
    <row r="3178" s="451" customFormat="true" ht="15" hidden="false" customHeight="false" outlineLevel="0" collapsed="false">
      <c r="A3178" s="707"/>
      <c r="B3178" s="708" t="s">
        <v>4128</v>
      </c>
      <c r="C3178" s="718"/>
      <c r="D3178" s="719"/>
      <c r="E3178" s="722"/>
      <c r="F3178" s="366"/>
      <c r="G3178" s="711" t="n">
        <f aca="false">SUM(G3167:G3177)</f>
        <v>1136.99</v>
      </c>
      <c r="H3178" s="679"/>
    </row>
    <row r="3179" s="451" customFormat="true" ht="15" hidden="false" customHeight="false" outlineLevel="0" collapsed="false">
      <c r="A3179" s="707" t="s">
        <v>627</v>
      </c>
      <c r="B3179" s="487" t="s">
        <v>3102</v>
      </c>
      <c r="C3179" s="709" t="s">
        <v>4189</v>
      </c>
      <c r="D3179" s="679" t="s">
        <v>4392</v>
      </c>
      <c r="E3179" s="710" t="n">
        <v>0.033</v>
      </c>
      <c r="F3179" s="729" t="n">
        <v>3500</v>
      </c>
      <c r="G3179" s="716" t="n">
        <f aca="false">E3179*F3179</f>
        <v>115.5</v>
      </c>
      <c r="H3179" s="679"/>
    </row>
    <row r="3180" s="451" customFormat="true" ht="15" hidden="false" customHeight="false" outlineLevel="0" collapsed="false">
      <c r="A3180" s="707"/>
      <c r="B3180" s="522"/>
      <c r="C3180" s="709" t="s">
        <v>4147</v>
      </c>
      <c r="D3180" s="679" t="s">
        <v>4392</v>
      </c>
      <c r="E3180" s="710" t="n">
        <v>0.02</v>
      </c>
      <c r="F3180" s="723" t="n">
        <v>3612</v>
      </c>
      <c r="G3180" s="716" t="n">
        <f aca="false">E3180*F3180</f>
        <v>72.24</v>
      </c>
      <c r="H3180" s="679"/>
    </row>
    <row r="3181" s="451" customFormat="true" ht="15" hidden="false" customHeight="false" outlineLevel="0" collapsed="false">
      <c r="A3181" s="707"/>
      <c r="B3181" s="522"/>
      <c r="C3181" s="709" t="s">
        <v>4277</v>
      </c>
      <c r="D3181" s="679" t="s">
        <v>4133</v>
      </c>
      <c r="E3181" s="710" t="n">
        <v>0.01</v>
      </c>
      <c r="F3181" s="369" t="n">
        <v>1116</v>
      </c>
      <c r="G3181" s="716" t="n">
        <f aca="false">E3181*F3181</f>
        <v>11.16</v>
      </c>
      <c r="H3181" s="679"/>
    </row>
    <row r="3182" s="451" customFormat="true" ht="15" hidden="false" customHeight="false" outlineLevel="0" collapsed="false">
      <c r="A3182" s="707"/>
      <c r="B3182" s="522"/>
      <c r="C3182" s="709" t="s">
        <v>4575</v>
      </c>
      <c r="D3182" s="679" t="s">
        <v>4133</v>
      </c>
      <c r="E3182" s="710" t="n">
        <v>0.001</v>
      </c>
      <c r="F3182" s="369" t="n">
        <v>24000</v>
      </c>
      <c r="G3182" s="716" t="n">
        <f aca="false">E3182*F3182</f>
        <v>24</v>
      </c>
      <c r="H3182" s="679"/>
    </row>
    <row r="3183" s="451" customFormat="true" ht="15" hidden="false" customHeight="false" outlineLevel="0" collapsed="false">
      <c r="A3183" s="707"/>
      <c r="B3183" s="522"/>
      <c r="C3183" s="709" t="s">
        <v>4165</v>
      </c>
      <c r="D3183" s="679" t="s">
        <v>4133</v>
      </c>
      <c r="E3183" s="710" t="n">
        <v>0.03</v>
      </c>
      <c r="F3183" s="369" t="n">
        <v>1323</v>
      </c>
      <c r="G3183" s="716" t="n">
        <f aca="false">E3183*F3183</f>
        <v>39.69</v>
      </c>
      <c r="H3183" s="679"/>
    </row>
    <row r="3184" s="451" customFormat="true" ht="15" hidden="false" customHeight="false" outlineLevel="0" collapsed="false">
      <c r="A3184" s="707"/>
      <c r="B3184" s="522"/>
      <c r="C3184" s="709" t="s">
        <v>4270</v>
      </c>
      <c r="D3184" s="679" t="s">
        <v>4392</v>
      </c>
      <c r="E3184" s="710" t="n">
        <v>0.1</v>
      </c>
      <c r="F3184" s="369" t="n">
        <v>1750</v>
      </c>
      <c r="G3184" s="716" t="n">
        <f aca="false">E3184*F3184</f>
        <v>175</v>
      </c>
      <c r="H3184" s="392"/>
    </row>
    <row r="3185" s="451" customFormat="true" ht="15" hidden="false" customHeight="false" outlineLevel="0" collapsed="false">
      <c r="A3185" s="707"/>
      <c r="B3185" s="522"/>
      <c r="C3185" s="709" t="s">
        <v>4122</v>
      </c>
      <c r="D3185" s="679" t="s">
        <v>4392</v>
      </c>
      <c r="E3185" s="710" t="n">
        <v>0.03</v>
      </c>
      <c r="F3185" s="721" t="n">
        <v>720</v>
      </c>
      <c r="G3185" s="716" t="n">
        <f aca="false">E3185*F3185</f>
        <v>21.6</v>
      </c>
      <c r="H3185" s="679"/>
    </row>
    <row r="3186" s="451" customFormat="true" ht="15" hidden="false" customHeight="false" outlineLevel="0" collapsed="false">
      <c r="A3186" s="707"/>
      <c r="B3186" s="522"/>
      <c r="C3186" s="709" t="s">
        <v>4561</v>
      </c>
      <c r="D3186" s="679" t="s">
        <v>4138</v>
      </c>
      <c r="E3186" s="710" t="n">
        <v>1</v>
      </c>
      <c r="F3186" s="369" t="n">
        <v>490</v>
      </c>
      <c r="G3186" s="716" t="n">
        <f aca="false">E3186*F3186</f>
        <v>490</v>
      </c>
      <c r="H3186" s="679"/>
    </row>
    <row r="3187" s="451" customFormat="true" ht="15" hidden="false" customHeight="false" outlineLevel="0" collapsed="false">
      <c r="A3187" s="707"/>
      <c r="B3187" s="522"/>
      <c r="C3187" s="709" t="s">
        <v>4515</v>
      </c>
      <c r="D3187" s="679" t="s">
        <v>4133</v>
      </c>
      <c r="E3187" s="710" t="n">
        <v>0.006</v>
      </c>
      <c r="F3187" s="369" t="n">
        <v>2700</v>
      </c>
      <c r="G3187" s="716" t="n">
        <f aca="false">E3187*F3187</f>
        <v>16.2</v>
      </c>
      <c r="H3187" s="392"/>
    </row>
    <row r="3188" s="451" customFormat="true" ht="15" hidden="false" customHeight="false" outlineLevel="0" collapsed="false">
      <c r="A3188" s="707"/>
      <c r="B3188" s="522"/>
      <c r="C3188" s="709" t="s">
        <v>4124</v>
      </c>
      <c r="D3188" s="679" t="s">
        <v>4516</v>
      </c>
      <c r="E3188" s="710" t="n">
        <v>0.08</v>
      </c>
      <c r="F3188" s="369" t="n">
        <v>120</v>
      </c>
      <c r="G3188" s="716" t="n">
        <f aca="false">E3188*F3188</f>
        <v>9.6</v>
      </c>
      <c r="H3188" s="679"/>
    </row>
    <row r="3189" s="451" customFormat="true" ht="15" hidden="false" customHeight="false" outlineLevel="0" collapsed="false">
      <c r="A3189" s="707"/>
      <c r="B3189" s="522"/>
      <c r="C3189" s="709" t="s">
        <v>4577</v>
      </c>
      <c r="D3189" s="679" t="s">
        <v>4578</v>
      </c>
      <c r="E3189" s="710" t="n">
        <v>0.006</v>
      </c>
      <c r="F3189" s="369" t="n">
        <v>27000</v>
      </c>
      <c r="G3189" s="716" t="n">
        <f aca="false">E3189*F3189</f>
        <v>162</v>
      </c>
      <c r="H3189" s="679"/>
    </row>
    <row r="3190" s="451" customFormat="true" ht="15" hidden="false" customHeight="false" outlineLevel="0" collapsed="false">
      <c r="A3190" s="707"/>
      <c r="B3190" s="708" t="s">
        <v>4128</v>
      </c>
      <c r="C3190" s="718"/>
      <c r="D3190" s="719"/>
      <c r="E3190" s="722"/>
      <c r="F3190" s="366"/>
      <c r="G3190" s="711" t="n">
        <f aca="false">SUM(G3179:G3189)</f>
        <v>1136.99</v>
      </c>
      <c r="H3190" s="679"/>
    </row>
    <row r="3191" s="451" customFormat="true" ht="15" hidden="false" customHeight="false" outlineLevel="0" collapsed="false">
      <c r="A3191" s="707" t="s">
        <v>628</v>
      </c>
      <c r="B3191" s="487" t="s">
        <v>3129</v>
      </c>
      <c r="C3191" s="709" t="s">
        <v>4580</v>
      </c>
      <c r="D3191" s="679" t="s">
        <v>4133</v>
      </c>
      <c r="E3191" s="710" t="n">
        <v>0.1</v>
      </c>
      <c r="F3191" s="369" t="n">
        <v>1690</v>
      </c>
      <c r="G3191" s="716" t="n">
        <f aca="false">E3191*F3191</f>
        <v>169</v>
      </c>
      <c r="H3191" s="679"/>
    </row>
    <row r="3192" s="451" customFormat="true" ht="15" hidden="false" customHeight="false" outlineLevel="0" collapsed="false">
      <c r="A3192" s="707"/>
      <c r="B3192" s="522"/>
      <c r="C3192" s="709" t="s">
        <v>4750</v>
      </c>
      <c r="D3192" s="679" t="s">
        <v>4133</v>
      </c>
      <c r="E3192" s="710" t="n">
        <v>0.0009</v>
      </c>
      <c r="F3192" s="369" t="n">
        <v>21000</v>
      </c>
      <c r="G3192" s="716" t="n">
        <f aca="false">E3192*F3192</f>
        <v>18.9</v>
      </c>
      <c r="H3192" s="679"/>
    </row>
    <row r="3193" s="451" customFormat="true" ht="30" hidden="false" customHeight="false" outlineLevel="0" collapsed="false">
      <c r="A3193" s="707"/>
      <c r="B3193" s="522"/>
      <c r="C3193" s="709" t="s">
        <v>4581</v>
      </c>
      <c r="D3193" s="679" t="s">
        <v>4133</v>
      </c>
      <c r="E3193" s="710" t="n">
        <v>0.002</v>
      </c>
      <c r="F3193" s="369" t="n">
        <v>118100</v>
      </c>
      <c r="G3193" s="716" t="n">
        <f aca="false">E3193*F3193</f>
        <v>236.2</v>
      </c>
      <c r="H3193" s="679"/>
    </row>
    <row r="3194" s="451" customFormat="true" ht="15" hidden="false" customHeight="false" outlineLevel="0" collapsed="false">
      <c r="A3194" s="707"/>
      <c r="B3194" s="522"/>
      <c r="C3194" s="709" t="s">
        <v>4582</v>
      </c>
      <c r="D3194" s="679" t="s">
        <v>4133</v>
      </c>
      <c r="E3194" s="710" t="n">
        <v>0.01</v>
      </c>
      <c r="F3194" s="369" t="n">
        <v>2100</v>
      </c>
      <c r="G3194" s="716" t="n">
        <f aca="false">E3194*F3194</f>
        <v>21</v>
      </c>
      <c r="H3194" s="392"/>
    </row>
    <row r="3195" s="451" customFormat="true" ht="15" hidden="false" customHeight="false" outlineLevel="0" collapsed="false">
      <c r="A3195" s="707"/>
      <c r="B3195" s="522"/>
      <c r="C3195" s="709" t="s">
        <v>4583</v>
      </c>
      <c r="D3195" s="679" t="s">
        <v>4138</v>
      </c>
      <c r="E3195" s="710" t="n">
        <v>0.12</v>
      </c>
      <c r="F3195" s="369" t="n">
        <v>490</v>
      </c>
      <c r="G3195" s="716" t="n">
        <f aca="false">E3195*F3195</f>
        <v>58.8</v>
      </c>
      <c r="H3195" s="679"/>
    </row>
    <row r="3196" s="451" customFormat="true" ht="15" hidden="false" customHeight="false" outlineLevel="0" collapsed="false">
      <c r="A3196" s="707"/>
      <c r="B3196" s="522"/>
      <c r="C3196" s="709" t="s">
        <v>4584</v>
      </c>
      <c r="D3196" s="679" t="s">
        <v>4133</v>
      </c>
      <c r="E3196" s="710" t="n">
        <v>0.012</v>
      </c>
      <c r="F3196" s="369" t="n">
        <v>1901</v>
      </c>
      <c r="G3196" s="716" t="n">
        <f aca="false">E3196*F3196</f>
        <v>22.812</v>
      </c>
      <c r="H3196" s="679"/>
    </row>
    <row r="3197" s="451" customFormat="true" ht="15" hidden="false" customHeight="false" outlineLevel="0" collapsed="false">
      <c r="A3197" s="707"/>
      <c r="B3197" s="522"/>
      <c r="C3197" s="709" t="s">
        <v>4585</v>
      </c>
      <c r="D3197" s="679" t="s">
        <v>4133</v>
      </c>
      <c r="E3197" s="710" t="n">
        <v>0.003</v>
      </c>
      <c r="F3197" s="369" t="n">
        <v>8900</v>
      </c>
      <c r="G3197" s="716" t="n">
        <f aca="false">E3197*F3197</f>
        <v>26.7</v>
      </c>
      <c r="H3197" s="392"/>
    </row>
    <row r="3198" s="451" customFormat="true" ht="15" hidden="false" customHeight="false" outlineLevel="0" collapsed="false">
      <c r="A3198" s="707"/>
      <c r="B3198" s="522"/>
      <c r="C3198" s="709" t="s">
        <v>4201</v>
      </c>
      <c r="D3198" s="679" t="s">
        <v>4133</v>
      </c>
      <c r="E3198" s="710" t="n">
        <v>0.04</v>
      </c>
      <c r="F3198" s="721" t="n">
        <v>27000</v>
      </c>
      <c r="G3198" s="716" t="n">
        <f aca="false">E3198*F3198</f>
        <v>1080</v>
      </c>
      <c r="H3198" s="679"/>
    </row>
    <row r="3199" s="451" customFormat="true" ht="15" hidden="false" customHeight="false" outlineLevel="0" collapsed="false">
      <c r="A3199" s="707"/>
      <c r="B3199" s="522"/>
      <c r="C3199" s="709" t="s">
        <v>4122</v>
      </c>
      <c r="D3199" s="679" t="s">
        <v>4392</v>
      </c>
      <c r="E3199" s="710" t="n">
        <v>0.25</v>
      </c>
      <c r="F3199" s="721" t="n">
        <v>720</v>
      </c>
      <c r="G3199" s="716" t="n">
        <f aca="false">E3199*F3199</f>
        <v>180</v>
      </c>
      <c r="H3199" s="679"/>
    </row>
    <row r="3200" s="451" customFormat="true" ht="15" hidden="false" customHeight="false" outlineLevel="0" collapsed="false">
      <c r="A3200" s="707"/>
      <c r="B3200" s="522"/>
      <c r="C3200" s="709" t="s">
        <v>4154</v>
      </c>
      <c r="D3200" s="679" t="s">
        <v>4392</v>
      </c>
      <c r="E3200" s="710" t="n">
        <v>0.0375</v>
      </c>
      <c r="F3200" s="721" t="n">
        <v>3500</v>
      </c>
      <c r="G3200" s="716" t="n">
        <f aca="false">E3200*F3200</f>
        <v>131.25</v>
      </c>
      <c r="H3200" s="679"/>
    </row>
    <row r="3201" s="451" customFormat="true" ht="15" hidden="false" customHeight="false" outlineLevel="0" collapsed="false">
      <c r="A3201" s="707"/>
      <c r="B3201" s="522"/>
      <c r="C3201" s="709" t="s">
        <v>4515</v>
      </c>
      <c r="D3201" s="679" t="s">
        <v>4133</v>
      </c>
      <c r="E3201" s="710" t="n">
        <v>0.01</v>
      </c>
      <c r="F3201" s="369" t="n">
        <v>2700</v>
      </c>
      <c r="G3201" s="716" t="n">
        <f aca="false">E3201*F3201</f>
        <v>27</v>
      </c>
      <c r="H3201" s="679"/>
    </row>
    <row r="3202" s="451" customFormat="true" ht="15" hidden="false" customHeight="false" outlineLevel="0" collapsed="false">
      <c r="A3202" s="707"/>
      <c r="B3202" s="522"/>
      <c r="C3202" s="709" t="s">
        <v>4124</v>
      </c>
      <c r="D3202" s="679" t="s">
        <v>4516</v>
      </c>
      <c r="E3202" s="710" t="n">
        <v>1</v>
      </c>
      <c r="F3202" s="369" t="n">
        <v>120</v>
      </c>
      <c r="G3202" s="716" t="n">
        <f aca="false">E3202*F3202</f>
        <v>120</v>
      </c>
      <c r="H3202" s="679"/>
    </row>
    <row r="3203" s="451" customFormat="true" ht="15" hidden="false" customHeight="false" outlineLevel="0" collapsed="false">
      <c r="A3203" s="707"/>
      <c r="B3203" s="708" t="s">
        <v>4785</v>
      </c>
      <c r="C3203" s="709"/>
      <c r="D3203" s="679"/>
      <c r="E3203" s="710"/>
      <c r="F3203" s="369"/>
      <c r="G3203" s="711" t="n">
        <f aca="false">SUM(G3191:G3202)</f>
        <v>2091.662</v>
      </c>
      <c r="H3203" s="679"/>
    </row>
    <row r="3204" s="451" customFormat="true" ht="15" hidden="false" customHeight="false" outlineLevel="0" collapsed="false">
      <c r="A3204" s="707" t="s">
        <v>629</v>
      </c>
      <c r="B3204" s="796" t="s">
        <v>3139</v>
      </c>
      <c r="C3204" s="532" t="s">
        <v>4818</v>
      </c>
      <c r="D3204" s="719"/>
      <c r="E3204" s="722"/>
      <c r="F3204" s="366"/>
      <c r="G3204" s="711"/>
      <c r="H3204" s="679"/>
    </row>
    <row r="3205" s="451" customFormat="true" ht="15" hidden="false" customHeight="false" outlineLevel="0" collapsed="false">
      <c r="A3205" s="707" t="s">
        <v>631</v>
      </c>
      <c r="B3205" s="796" t="s">
        <v>3140</v>
      </c>
      <c r="C3205" s="532" t="s">
        <v>4819</v>
      </c>
      <c r="D3205" s="719"/>
      <c r="E3205" s="722"/>
      <c r="F3205" s="366"/>
      <c r="G3205" s="711"/>
      <c r="H3205" s="679"/>
    </row>
    <row r="3206" s="451" customFormat="true" ht="15" hidden="false" customHeight="false" outlineLevel="0" collapsed="false">
      <c r="A3206" s="707" t="s">
        <v>633</v>
      </c>
      <c r="B3206" s="796" t="s">
        <v>3141</v>
      </c>
      <c r="C3206" s="532" t="s">
        <v>4819</v>
      </c>
      <c r="D3206" s="719"/>
      <c r="E3206" s="722"/>
      <c r="F3206" s="366"/>
      <c r="G3206" s="711"/>
      <c r="H3206" s="679"/>
    </row>
    <row r="3207" s="451" customFormat="true" ht="15" hidden="false" customHeight="false" outlineLevel="0" collapsed="false">
      <c r="A3207" s="707" t="s">
        <v>4820</v>
      </c>
      <c r="B3207" s="796" t="s">
        <v>4821</v>
      </c>
      <c r="C3207" s="718"/>
      <c r="D3207" s="719"/>
      <c r="E3207" s="722"/>
      <c r="F3207" s="366"/>
      <c r="G3207" s="711"/>
      <c r="H3207" s="679"/>
    </row>
    <row r="3208" customFormat="false" ht="28.5" hidden="false" customHeight="false" outlineLevel="0" collapsed="false">
      <c r="A3208" s="350" t="s">
        <v>4822</v>
      </c>
      <c r="B3208" s="467" t="s">
        <v>3143</v>
      </c>
      <c r="C3208" s="751"/>
      <c r="D3208" s="339"/>
      <c r="E3208" s="752"/>
      <c r="F3208" s="519"/>
      <c r="G3208" s="753"/>
      <c r="H3208" s="600"/>
    </row>
    <row r="3209" customFormat="false" ht="15" hidden="false" customHeight="false" outlineLevel="0" collapsed="false">
      <c r="A3209" s="571" t="s">
        <v>4823</v>
      </c>
      <c r="B3209" s="328" t="s">
        <v>3010</v>
      </c>
      <c r="C3209" s="614"/>
      <c r="D3209" s="606"/>
      <c r="E3209" s="622"/>
      <c r="F3209" s="361"/>
      <c r="G3209" s="615"/>
      <c r="H3209" s="606"/>
    </row>
    <row r="3210" customFormat="false" ht="15" hidden="false" customHeight="false" outlineLevel="0" collapsed="false">
      <c r="A3210" s="571" t="s">
        <v>4824</v>
      </c>
      <c r="B3210" s="328" t="s">
        <v>3084</v>
      </c>
      <c r="C3210" s="614" t="s">
        <v>4515</v>
      </c>
      <c r="D3210" s="606" t="s">
        <v>4133</v>
      </c>
      <c r="E3210" s="622" t="n">
        <v>0.06</v>
      </c>
      <c r="F3210" s="361" t="n">
        <v>2700</v>
      </c>
      <c r="G3210" s="615" t="n">
        <f aca="false">E3210*F3210</f>
        <v>162</v>
      </c>
      <c r="H3210" s="606"/>
    </row>
    <row r="3211" customFormat="false" ht="15" hidden="false" customHeight="false" outlineLevel="0" collapsed="false">
      <c r="A3211" s="571"/>
      <c r="B3211" s="500"/>
      <c r="C3211" s="614" t="s">
        <v>4124</v>
      </c>
      <c r="D3211" s="606" t="s">
        <v>4516</v>
      </c>
      <c r="E3211" s="622" t="n">
        <v>0.15</v>
      </c>
      <c r="F3211" s="361" t="n">
        <v>120</v>
      </c>
      <c r="G3211" s="615" t="n">
        <f aca="false">E3211*F3211</f>
        <v>18</v>
      </c>
      <c r="H3211" s="391"/>
    </row>
    <row r="3212" customFormat="false" ht="15" hidden="false" customHeight="false" outlineLevel="0" collapsed="false">
      <c r="A3212" s="571"/>
      <c r="B3212" s="608" t="s">
        <v>4128</v>
      </c>
      <c r="C3212" s="609"/>
      <c r="D3212" s="610"/>
      <c r="E3212" s="611"/>
      <c r="F3212" s="612"/>
      <c r="G3212" s="613" t="n">
        <f aca="false">SUM(G3210:G3211)</f>
        <v>180</v>
      </c>
      <c r="H3212" s="606"/>
    </row>
    <row r="3213" customFormat="false" ht="15" hidden="false" customHeight="false" outlineLevel="0" collapsed="false">
      <c r="A3213" s="571" t="s">
        <v>641</v>
      </c>
      <c r="B3213" s="328" t="s">
        <v>3085</v>
      </c>
      <c r="C3213" s="614" t="s">
        <v>4515</v>
      </c>
      <c r="D3213" s="606" t="s">
        <v>4133</v>
      </c>
      <c r="E3213" s="622" t="n">
        <v>0.16</v>
      </c>
      <c r="F3213" s="361" t="n">
        <v>2700</v>
      </c>
      <c r="G3213" s="615" t="n">
        <f aca="false">E3213*F3213</f>
        <v>432</v>
      </c>
      <c r="H3213" s="606"/>
    </row>
    <row r="3214" customFormat="false" ht="15" hidden="false" customHeight="false" outlineLevel="0" collapsed="false">
      <c r="A3214" s="571"/>
      <c r="B3214" s="500"/>
      <c r="C3214" s="614" t="s">
        <v>4124</v>
      </c>
      <c r="D3214" s="606" t="s">
        <v>4516</v>
      </c>
      <c r="E3214" s="622" t="n">
        <v>0.6</v>
      </c>
      <c r="F3214" s="361" t="n">
        <v>120</v>
      </c>
      <c r="G3214" s="615" t="n">
        <f aca="false">E3214*F3214</f>
        <v>72</v>
      </c>
      <c r="H3214" s="606"/>
    </row>
    <row r="3215" customFormat="false" ht="15" hidden="false" customHeight="false" outlineLevel="0" collapsed="false">
      <c r="A3215" s="571"/>
      <c r="B3215" s="500"/>
      <c r="C3215" s="614" t="s">
        <v>4122</v>
      </c>
      <c r="D3215" s="606" t="s">
        <v>4133</v>
      </c>
      <c r="E3215" s="622" t="n">
        <v>0.01</v>
      </c>
      <c r="F3215" s="797" t="n">
        <v>720</v>
      </c>
      <c r="G3215" s="615" t="n">
        <f aca="false">E3215*F3215</f>
        <v>7.2</v>
      </c>
      <c r="H3215" s="606"/>
    </row>
    <row r="3216" customFormat="false" ht="15" hidden="false" customHeight="false" outlineLevel="0" collapsed="false">
      <c r="A3216" s="571"/>
      <c r="B3216" s="608" t="s">
        <v>4128</v>
      </c>
      <c r="C3216" s="609"/>
      <c r="D3216" s="606"/>
      <c r="E3216" s="611"/>
      <c r="F3216" s="612"/>
      <c r="G3216" s="613" t="n">
        <f aca="false">SUM(G3213:G3215)</f>
        <v>511.2</v>
      </c>
      <c r="H3216" s="606"/>
    </row>
    <row r="3217" customFormat="false" ht="15" hidden="false" customHeight="false" outlineLevel="0" collapsed="false">
      <c r="A3217" s="571" t="s">
        <v>642</v>
      </c>
      <c r="B3217" s="328" t="s">
        <v>3144</v>
      </c>
      <c r="C3217" s="614" t="s">
        <v>4550</v>
      </c>
      <c r="D3217" s="606" t="s">
        <v>4133</v>
      </c>
      <c r="E3217" s="622" t="n">
        <v>0.025</v>
      </c>
      <c r="F3217" s="361" t="n">
        <v>6500</v>
      </c>
      <c r="G3217" s="615" t="n">
        <f aca="false">E3217*F3217</f>
        <v>162.5</v>
      </c>
      <c r="H3217" s="606"/>
    </row>
    <row r="3218" customFormat="false" ht="15" hidden="false" customHeight="false" outlineLevel="0" collapsed="false">
      <c r="A3218" s="571"/>
      <c r="B3218" s="500"/>
      <c r="C3218" s="614" t="s">
        <v>4122</v>
      </c>
      <c r="D3218" s="606" t="s">
        <v>4133</v>
      </c>
      <c r="E3218" s="622" t="n">
        <v>0.017</v>
      </c>
      <c r="F3218" s="797" t="n">
        <v>720</v>
      </c>
      <c r="G3218" s="615" t="n">
        <f aca="false">E3218*F3218</f>
        <v>12.24</v>
      </c>
      <c r="H3218" s="606"/>
    </row>
    <row r="3219" s="451" customFormat="true" ht="15" hidden="false" customHeight="false" outlineLevel="0" collapsed="false">
      <c r="A3219" s="707"/>
      <c r="B3219" s="522"/>
      <c r="C3219" s="709" t="s">
        <v>4529</v>
      </c>
      <c r="D3219" s="679" t="s">
        <v>4133</v>
      </c>
      <c r="E3219" s="710" t="n">
        <v>0.12</v>
      </c>
      <c r="F3219" s="369" t="n">
        <v>1200</v>
      </c>
      <c r="G3219" s="716" t="n">
        <f aca="false">E3219*F3219</f>
        <v>144</v>
      </c>
      <c r="H3219" s="679"/>
    </row>
    <row r="3220" s="451" customFormat="true" ht="15" hidden="false" customHeight="false" outlineLevel="0" collapsed="false">
      <c r="A3220" s="707"/>
      <c r="B3220" s="522"/>
      <c r="C3220" s="709" t="s">
        <v>4264</v>
      </c>
      <c r="D3220" s="679" t="s">
        <v>4133</v>
      </c>
      <c r="E3220" s="710" t="n">
        <v>0.015</v>
      </c>
      <c r="F3220" s="369" t="n">
        <v>55000</v>
      </c>
      <c r="G3220" s="716" t="n">
        <f aca="false">E3220*F3220</f>
        <v>825</v>
      </c>
      <c r="H3220" s="679"/>
    </row>
    <row r="3221" s="451" customFormat="true" ht="15" hidden="false" customHeight="false" outlineLevel="0" collapsed="false">
      <c r="A3221" s="707"/>
      <c r="B3221" s="522"/>
      <c r="C3221" s="709" t="s">
        <v>4515</v>
      </c>
      <c r="D3221" s="679" t="s">
        <v>4133</v>
      </c>
      <c r="E3221" s="710" t="n">
        <v>0.001</v>
      </c>
      <c r="F3221" s="369" t="n">
        <v>2700</v>
      </c>
      <c r="G3221" s="716" t="n">
        <f aca="false">E3221*F3221</f>
        <v>2.7</v>
      </c>
      <c r="H3221" s="679"/>
    </row>
    <row r="3222" s="451" customFormat="true" ht="15" hidden="false" customHeight="false" outlineLevel="0" collapsed="false">
      <c r="A3222" s="707"/>
      <c r="B3222" s="522"/>
      <c r="C3222" s="709" t="s">
        <v>4124</v>
      </c>
      <c r="D3222" s="679" t="s">
        <v>4516</v>
      </c>
      <c r="E3222" s="710" t="n">
        <v>0.5</v>
      </c>
      <c r="F3222" s="369" t="n">
        <v>120</v>
      </c>
      <c r="G3222" s="716" t="n">
        <f aca="false">E3222*F3222</f>
        <v>60</v>
      </c>
      <c r="H3222" s="679"/>
    </row>
    <row r="3223" s="451" customFormat="true" ht="15" hidden="false" customHeight="false" outlineLevel="0" collapsed="false">
      <c r="A3223" s="707"/>
      <c r="B3223" s="708" t="s">
        <v>4128</v>
      </c>
      <c r="C3223" s="718"/>
      <c r="D3223" s="719"/>
      <c r="E3223" s="722"/>
      <c r="F3223" s="366"/>
      <c r="G3223" s="711" t="n">
        <f aca="false">SUM(G3217:G3222)</f>
        <v>1206.44</v>
      </c>
      <c r="H3223" s="392"/>
    </row>
    <row r="3224" s="451" customFormat="true" ht="15" hidden="false" customHeight="false" outlineLevel="0" collapsed="false">
      <c r="A3224" s="707" t="s">
        <v>644</v>
      </c>
      <c r="B3224" s="487" t="s">
        <v>3058</v>
      </c>
      <c r="C3224" s="709" t="s">
        <v>4147</v>
      </c>
      <c r="D3224" s="679" t="s">
        <v>4133</v>
      </c>
      <c r="E3224" s="710" t="n">
        <v>0.2</v>
      </c>
      <c r="F3224" s="723" t="n">
        <v>3612</v>
      </c>
      <c r="G3224" s="716" t="n">
        <f aca="false">E3224*F3224</f>
        <v>722.4</v>
      </c>
      <c r="H3224" s="679"/>
    </row>
    <row r="3225" s="451" customFormat="true" ht="15" hidden="false" customHeight="false" outlineLevel="0" collapsed="false">
      <c r="A3225" s="707"/>
      <c r="B3225" s="522"/>
      <c r="C3225" s="709" t="s">
        <v>4515</v>
      </c>
      <c r="D3225" s="679" t="s">
        <v>4133</v>
      </c>
      <c r="E3225" s="710" t="n">
        <v>0.006</v>
      </c>
      <c r="F3225" s="369" t="n">
        <v>2700</v>
      </c>
      <c r="G3225" s="716" t="n">
        <f aca="false">E3225*F3225</f>
        <v>16.2</v>
      </c>
      <c r="H3225" s="679"/>
    </row>
    <row r="3226" s="451" customFormat="true" ht="15" hidden="false" customHeight="false" outlineLevel="0" collapsed="false">
      <c r="A3226" s="707"/>
      <c r="B3226" s="522"/>
      <c r="C3226" s="709" t="s">
        <v>4124</v>
      </c>
      <c r="D3226" s="679" t="s">
        <v>4516</v>
      </c>
      <c r="E3226" s="710" t="n">
        <v>1.5</v>
      </c>
      <c r="F3226" s="369" t="n">
        <v>120</v>
      </c>
      <c r="G3226" s="716" t="n">
        <f aca="false">E3226*F3226</f>
        <v>180</v>
      </c>
      <c r="H3226" s="679"/>
    </row>
    <row r="3227" s="451" customFormat="true" ht="15" hidden="false" customHeight="false" outlineLevel="0" collapsed="false">
      <c r="A3227" s="707"/>
      <c r="B3227" s="708" t="s">
        <v>4128</v>
      </c>
      <c r="C3227" s="718"/>
      <c r="D3227" s="719"/>
      <c r="E3227" s="722"/>
      <c r="F3227" s="366"/>
      <c r="G3227" s="711" t="n">
        <f aca="false">SUM(G3224:G3226)</f>
        <v>918.6</v>
      </c>
      <c r="H3227" s="679"/>
    </row>
    <row r="3228" s="451" customFormat="true" ht="15" hidden="false" customHeight="false" outlineLevel="0" collapsed="false">
      <c r="A3228" s="774" t="s">
        <v>645</v>
      </c>
      <c r="B3228" s="487" t="s">
        <v>3059</v>
      </c>
      <c r="C3228" s="709" t="s">
        <v>4154</v>
      </c>
      <c r="D3228" s="679" t="s">
        <v>4133</v>
      </c>
      <c r="E3228" s="710" t="n">
        <v>0.143079</v>
      </c>
      <c r="F3228" s="721" t="n">
        <v>3500</v>
      </c>
      <c r="G3228" s="716" t="n">
        <f aca="false">E3228*F3228</f>
        <v>500.7765</v>
      </c>
      <c r="H3228" s="679"/>
    </row>
    <row r="3229" s="451" customFormat="true" ht="15" hidden="false" customHeight="false" outlineLevel="0" collapsed="false">
      <c r="A3229" s="798"/>
      <c r="B3229" s="522"/>
      <c r="C3229" s="709" t="s">
        <v>4147</v>
      </c>
      <c r="D3229" s="679" t="s">
        <v>4133</v>
      </c>
      <c r="E3229" s="710" t="n">
        <v>0.1</v>
      </c>
      <c r="F3229" s="723" t="n">
        <v>3612</v>
      </c>
      <c r="G3229" s="716" t="n">
        <f aca="false">E3229*F3229</f>
        <v>361.2</v>
      </c>
      <c r="H3229" s="679"/>
    </row>
    <row r="3230" s="451" customFormat="true" ht="15" hidden="false" customHeight="false" outlineLevel="0" collapsed="false">
      <c r="A3230" s="707"/>
      <c r="B3230" s="522"/>
      <c r="C3230" s="709" t="s">
        <v>4535</v>
      </c>
      <c r="D3230" s="679" t="s">
        <v>4133</v>
      </c>
      <c r="E3230" s="710" t="n">
        <v>0.04</v>
      </c>
      <c r="F3230" s="369" t="n">
        <v>31200</v>
      </c>
      <c r="G3230" s="716" t="n">
        <f aca="false">E3230*F3230</f>
        <v>1248</v>
      </c>
      <c r="H3230" s="679"/>
    </row>
    <row r="3231" s="451" customFormat="true" ht="15" hidden="false" customHeight="false" outlineLevel="0" collapsed="false">
      <c r="A3231" s="707"/>
      <c r="B3231" s="522"/>
      <c r="C3231" s="709" t="s">
        <v>4536</v>
      </c>
      <c r="D3231" s="679" t="s">
        <v>4133</v>
      </c>
      <c r="E3231" s="710" t="n">
        <v>0.08</v>
      </c>
      <c r="F3231" s="369" t="n">
        <v>999</v>
      </c>
      <c r="G3231" s="716" t="n">
        <f aca="false">E3231*F3231</f>
        <v>79.92</v>
      </c>
      <c r="H3231" s="679"/>
    </row>
    <row r="3232" s="451" customFormat="true" ht="15" hidden="false" customHeight="false" outlineLevel="0" collapsed="false">
      <c r="A3232" s="707"/>
      <c r="B3232" s="522"/>
      <c r="C3232" s="709" t="s">
        <v>4122</v>
      </c>
      <c r="D3232" s="679" t="s">
        <v>4133</v>
      </c>
      <c r="E3232" s="710" t="n">
        <v>0.3</v>
      </c>
      <c r="F3232" s="721" t="n">
        <v>720</v>
      </c>
      <c r="G3232" s="716" t="n">
        <f aca="false">E3232*F3232</f>
        <v>216</v>
      </c>
      <c r="H3232" s="679"/>
    </row>
    <row r="3233" s="451" customFormat="true" ht="15" hidden="false" customHeight="false" outlineLevel="0" collapsed="false">
      <c r="A3233" s="707"/>
      <c r="B3233" s="522"/>
      <c r="C3233" s="709" t="s">
        <v>4515</v>
      </c>
      <c r="D3233" s="679" t="s">
        <v>4133</v>
      </c>
      <c r="E3233" s="710" t="n">
        <v>0.01</v>
      </c>
      <c r="F3233" s="369" t="n">
        <v>2700</v>
      </c>
      <c r="G3233" s="716" t="n">
        <f aca="false">E3233*F3233</f>
        <v>27</v>
      </c>
      <c r="H3233" s="679"/>
    </row>
    <row r="3234" s="451" customFormat="true" ht="15" hidden="false" customHeight="false" outlineLevel="0" collapsed="false">
      <c r="A3234" s="707"/>
      <c r="B3234" s="522"/>
      <c r="C3234" s="709" t="s">
        <v>4124</v>
      </c>
      <c r="D3234" s="679" t="s">
        <v>4516</v>
      </c>
      <c r="E3234" s="710" t="n">
        <v>0.5</v>
      </c>
      <c r="F3234" s="369" t="n">
        <v>120</v>
      </c>
      <c r="G3234" s="716" t="n">
        <f aca="false">E3234*F3234</f>
        <v>60</v>
      </c>
      <c r="H3234" s="679"/>
    </row>
    <row r="3235" s="451" customFormat="true" ht="15" hidden="false" customHeight="false" outlineLevel="0" collapsed="false">
      <c r="A3235" s="707"/>
      <c r="B3235" s="708" t="s">
        <v>4128</v>
      </c>
      <c r="C3235" s="718"/>
      <c r="D3235" s="719"/>
      <c r="E3235" s="722"/>
      <c r="F3235" s="366"/>
      <c r="G3235" s="711" t="n">
        <f aca="false">SUM(G3228:G3234)</f>
        <v>2492.8965</v>
      </c>
      <c r="H3235" s="679"/>
    </row>
    <row r="3236" s="451" customFormat="true" ht="15" hidden="false" customHeight="false" outlineLevel="0" collapsed="false">
      <c r="A3236" s="707" t="s">
        <v>646</v>
      </c>
      <c r="B3236" s="487" t="s">
        <v>3122</v>
      </c>
      <c r="C3236" s="709" t="s">
        <v>4122</v>
      </c>
      <c r="D3236" s="679" t="s">
        <v>4133</v>
      </c>
      <c r="E3236" s="710" t="n">
        <v>0.3</v>
      </c>
      <c r="F3236" s="721" t="n">
        <v>720</v>
      </c>
      <c r="G3236" s="716" t="n">
        <f aca="false">E3236*F3236</f>
        <v>216</v>
      </c>
      <c r="H3236" s="679"/>
    </row>
    <row r="3237" s="451" customFormat="true" ht="15" hidden="false" customHeight="false" outlineLevel="0" collapsed="false">
      <c r="A3237" s="707"/>
      <c r="B3237" s="522"/>
      <c r="C3237" s="709" t="s">
        <v>4515</v>
      </c>
      <c r="D3237" s="679" t="s">
        <v>4133</v>
      </c>
      <c r="E3237" s="710" t="n">
        <v>0.006</v>
      </c>
      <c r="F3237" s="369" t="n">
        <v>2700</v>
      </c>
      <c r="G3237" s="716" t="n">
        <f aca="false">E3237*F3237</f>
        <v>16.2</v>
      </c>
      <c r="H3237" s="392"/>
    </row>
    <row r="3238" s="451" customFormat="true" ht="15" hidden="false" customHeight="false" outlineLevel="0" collapsed="false">
      <c r="A3238" s="707"/>
      <c r="B3238" s="522"/>
      <c r="C3238" s="709" t="s">
        <v>4124</v>
      </c>
      <c r="D3238" s="679" t="s">
        <v>4516</v>
      </c>
      <c r="E3238" s="710" t="n">
        <v>1.5</v>
      </c>
      <c r="F3238" s="369" t="n">
        <v>120</v>
      </c>
      <c r="G3238" s="716" t="n">
        <f aca="false">E3238*F3238</f>
        <v>180</v>
      </c>
      <c r="H3238" s="392"/>
    </row>
    <row r="3239" s="451" customFormat="true" ht="15" hidden="false" customHeight="false" outlineLevel="0" collapsed="false">
      <c r="A3239" s="707"/>
      <c r="B3239" s="708" t="s">
        <v>4128</v>
      </c>
      <c r="C3239" s="718"/>
      <c r="D3239" s="719"/>
      <c r="E3239" s="722"/>
      <c r="F3239" s="366"/>
      <c r="G3239" s="711" t="n">
        <f aca="false">SUM(G3236:G3238)</f>
        <v>412.2</v>
      </c>
      <c r="H3239" s="679"/>
    </row>
    <row r="3240" s="451" customFormat="true" ht="15" hidden="false" customHeight="false" outlineLevel="0" collapsed="false">
      <c r="A3240" s="707" t="s">
        <v>647</v>
      </c>
      <c r="B3240" s="487" t="s">
        <v>3145</v>
      </c>
      <c r="C3240" s="709" t="s">
        <v>4825</v>
      </c>
      <c r="D3240" s="679" t="s">
        <v>4133</v>
      </c>
      <c r="E3240" s="710" t="n">
        <v>0.0007</v>
      </c>
      <c r="F3240" s="369" t="n">
        <v>18700</v>
      </c>
      <c r="G3240" s="716" t="n">
        <f aca="false">E3240*F3240</f>
        <v>13.09</v>
      </c>
      <c r="H3240" s="679"/>
    </row>
    <row r="3241" s="451" customFormat="true" ht="15" hidden="false" customHeight="false" outlineLevel="0" collapsed="false">
      <c r="A3241" s="707"/>
      <c r="B3241" s="522"/>
      <c r="C3241" s="709" t="s">
        <v>4826</v>
      </c>
      <c r="D3241" s="679" t="s">
        <v>4133</v>
      </c>
      <c r="E3241" s="710" t="n">
        <v>0.05</v>
      </c>
      <c r="F3241" s="369" t="n">
        <v>1116</v>
      </c>
      <c r="G3241" s="716" t="n">
        <f aca="false">E3241*F3241</f>
        <v>55.8</v>
      </c>
      <c r="H3241" s="679"/>
    </row>
    <row r="3242" s="451" customFormat="true" ht="15" hidden="false" customHeight="false" outlineLevel="0" collapsed="false">
      <c r="A3242" s="707"/>
      <c r="B3242" s="522"/>
      <c r="C3242" s="709" t="s">
        <v>4827</v>
      </c>
      <c r="D3242" s="679" t="s">
        <v>4133</v>
      </c>
      <c r="E3242" s="710" t="n">
        <v>0.045</v>
      </c>
      <c r="F3242" s="369" t="n">
        <v>2700</v>
      </c>
      <c r="G3242" s="716" t="n">
        <f aca="false">E3242*F3242</f>
        <v>121.5</v>
      </c>
      <c r="H3242" s="679"/>
    </row>
    <row r="3243" s="451" customFormat="true" ht="15" hidden="false" customHeight="false" outlineLevel="0" collapsed="false">
      <c r="A3243" s="707"/>
      <c r="B3243" s="522"/>
      <c r="C3243" s="709" t="s">
        <v>4189</v>
      </c>
      <c r="D3243" s="679" t="s">
        <v>4133</v>
      </c>
      <c r="E3243" s="710" t="n">
        <v>0.1</v>
      </c>
      <c r="F3243" s="729" t="n">
        <v>3500</v>
      </c>
      <c r="G3243" s="716" t="n">
        <f aca="false">E3243*F3243</f>
        <v>350</v>
      </c>
      <c r="H3243" s="392"/>
    </row>
    <row r="3244" s="451" customFormat="true" ht="15" hidden="false" customHeight="false" outlineLevel="0" collapsed="false">
      <c r="A3244" s="707"/>
      <c r="B3244" s="522"/>
      <c r="C3244" s="709" t="s">
        <v>4654</v>
      </c>
      <c r="D3244" s="679" t="s">
        <v>4133</v>
      </c>
      <c r="E3244" s="710" t="n">
        <v>0.15</v>
      </c>
      <c r="F3244" s="721" t="n">
        <v>3500</v>
      </c>
      <c r="G3244" s="716" t="n">
        <f aca="false">E3244*F3244</f>
        <v>525</v>
      </c>
      <c r="H3244" s="679"/>
    </row>
    <row r="3245" s="451" customFormat="true" ht="15" hidden="false" customHeight="false" outlineLevel="0" collapsed="false">
      <c r="A3245" s="707"/>
      <c r="B3245" s="522"/>
      <c r="C3245" s="709" t="s">
        <v>4171</v>
      </c>
      <c r="D3245" s="679" t="s">
        <v>4133</v>
      </c>
      <c r="E3245" s="710" t="n">
        <v>0.033333</v>
      </c>
      <c r="F3245" s="717" t="n">
        <v>2700</v>
      </c>
      <c r="G3245" s="716" t="n">
        <f aca="false">E3245*F3245</f>
        <v>89.9991</v>
      </c>
      <c r="H3245" s="679"/>
    </row>
    <row r="3246" s="451" customFormat="true" ht="15" hidden="false" customHeight="false" outlineLevel="0" collapsed="false">
      <c r="A3246" s="707"/>
      <c r="B3246" s="522"/>
      <c r="C3246" s="709" t="s">
        <v>4522</v>
      </c>
      <c r="D3246" s="679" t="s">
        <v>4133</v>
      </c>
      <c r="E3246" s="710" t="n">
        <v>0.5</v>
      </c>
      <c r="F3246" s="369" t="n">
        <v>1690</v>
      </c>
      <c r="G3246" s="716" t="n">
        <f aca="false">E3246*F3246</f>
        <v>845</v>
      </c>
      <c r="H3246" s="679"/>
    </row>
    <row r="3247" s="451" customFormat="true" ht="15" hidden="false" customHeight="false" outlineLevel="0" collapsed="false">
      <c r="A3247" s="707"/>
      <c r="B3247" s="708" t="s">
        <v>4128</v>
      </c>
      <c r="C3247" s="718"/>
      <c r="D3247" s="719"/>
      <c r="E3247" s="722"/>
      <c r="F3247" s="366"/>
      <c r="G3247" s="711" t="n">
        <f aca="false">SUM(G3240:G3246)</f>
        <v>2000.3891</v>
      </c>
      <c r="H3247" s="392"/>
    </row>
    <row r="3248" s="451" customFormat="true" ht="30" hidden="false" customHeight="false" outlineLevel="0" collapsed="false">
      <c r="A3248" s="707" t="s">
        <v>649</v>
      </c>
      <c r="B3248" s="487" t="s">
        <v>3100</v>
      </c>
      <c r="C3248" s="709" t="s">
        <v>4658</v>
      </c>
      <c r="D3248" s="679" t="s">
        <v>4133</v>
      </c>
      <c r="E3248" s="710" t="n">
        <v>0.002</v>
      </c>
      <c r="F3248" s="369" t="n">
        <v>21200</v>
      </c>
      <c r="G3248" s="716" t="n">
        <f aca="false">E3248*F3248</f>
        <v>42.4</v>
      </c>
      <c r="H3248" s="679"/>
    </row>
    <row r="3249" s="451" customFormat="true" ht="15" hidden="false" customHeight="false" outlineLevel="0" collapsed="false">
      <c r="A3249" s="707"/>
      <c r="B3249" s="522"/>
      <c r="C3249" s="709" t="s">
        <v>4529</v>
      </c>
      <c r="D3249" s="679" t="s">
        <v>4133</v>
      </c>
      <c r="E3249" s="710" t="n">
        <v>0.0075</v>
      </c>
      <c r="F3249" s="369" t="n">
        <v>1200</v>
      </c>
      <c r="G3249" s="716" t="n">
        <f aca="false">E3249*F3249</f>
        <v>9</v>
      </c>
      <c r="H3249" s="679"/>
    </row>
    <row r="3250" s="451" customFormat="true" ht="15" hidden="false" customHeight="false" outlineLevel="0" collapsed="false">
      <c r="A3250" s="707"/>
      <c r="B3250" s="522"/>
      <c r="C3250" s="709" t="s">
        <v>4659</v>
      </c>
      <c r="D3250" s="679" t="s">
        <v>4133</v>
      </c>
      <c r="E3250" s="710" t="n">
        <v>0.0038</v>
      </c>
      <c r="F3250" s="369" t="n">
        <v>41200</v>
      </c>
      <c r="G3250" s="716" t="n">
        <f aca="false">E3250*F3250</f>
        <v>156.56</v>
      </c>
      <c r="H3250" s="679"/>
    </row>
    <row r="3251" s="451" customFormat="true" ht="15" hidden="false" customHeight="false" outlineLevel="0" collapsed="false">
      <c r="A3251" s="707"/>
      <c r="B3251" s="522"/>
      <c r="C3251" s="709" t="s">
        <v>4154</v>
      </c>
      <c r="D3251" s="679" t="s">
        <v>4133</v>
      </c>
      <c r="E3251" s="710" t="n">
        <v>0.07</v>
      </c>
      <c r="F3251" s="721" t="n">
        <v>3500</v>
      </c>
      <c r="G3251" s="716" t="n">
        <f aca="false">E3251*F3251</f>
        <v>245</v>
      </c>
      <c r="H3251" s="679"/>
    </row>
    <row r="3252" s="451" customFormat="true" ht="15" hidden="false" customHeight="false" outlineLevel="0" collapsed="false">
      <c r="A3252" s="707"/>
      <c r="B3252" s="522"/>
      <c r="C3252" s="709" t="s">
        <v>4122</v>
      </c>
      <c r="D3252" s="679" t="s">
        <v>4133</v>
      </c>
      <c r="E3252" s="710" t="n">
        <v>0.2</v>
      </c>
      <c r="F3252" s="721" t="n">
        <v>720</v>
      </c>
      <c r="G3252" s="716" t="n">
        <f aca="false">E3252*F3252</f>
        <v>144</v>
      </c>
      <c r="H3252" s="679"/>
    </row>
    <row r="3253" s="451" customFormat="true" ht="15" hidden="false" customHeight="false" outlineLevel="0" collapsed="false">
      <c r="A3253" s="707"/>
      <c r="B3253" s="522"/>
      <c r="C3253" s="709" t="s">
        <v>4515</v>
      </c>
      <c r="D3253" s="679" t="s">
        <v>4133</v>
      </c>
      <c r="E3253" s="710" t="n">
        <v>0.006</v>
      </c>
      <c r="F3253" s="369" t="n">
        <v>2700</v>
      </c>
      <c r="G3253" s="716" t="n">
        <f aca="false">E3253*F3253</f>
        <v>16.2</v>
      </c>
      <c r="H3253" s="679"/>
    </row>
    <row r="3254" s="451" customFormat="true" ht="15" hidden="false" customHeight="false" outlineLevel="0" collapsed="false">
      <c r="A3254" s="707"/>
      <c r="B3254" s="522"/>
      <c r="C3254" s="709" t="s">
        <v>4124</v>
      </c>
      <c r="D3254" s="679" t="s">
        <v>4516</v>
      </c>
      <c r="E3254" s="710" t="n">
        <v>1.5</v>
      </c>
      <c r="F3254" s="369" t="n">
        <v>120</v>
      </c>
      <c r="G3254" s="716" t="n">
        <f aca="false">E3254*F3254</f>
        <v>180</v>
      </c>
      <c r="H3254" s="392"/>
    </row>
    <row r="3255" s="451" customFormat="true" ht="15" hidden="false" customHeight="false" outlineLevel="0" collapsed="false">
      <c r="A3255" s="707"/>
      <c r="B3255" s="708" t="s">
        <v>4128</v>
      </c>
      <c r="C3255" s="718"/>
      <c r="D3255" s="719"/>
      <c r="E3255" s="722"/>
      <c r="F3255" s="366"/>
      <c r="G3255" s="711" t="n">
        <f aca="false">SUM(G3248:G3254)</f>
        <v>793.16</v>
      </c>
      <c r="H3255" s="679"/>
    </row>
    <row r="3256" s="451" customFormat="true" ht="30" hidden="false" customHeight="false" outlineLevel="0" collapsed="false">
      <c r="A3256" s="707" t="s">
        <v>650</v>
      </c>
      <c r="B3256" s="487" t="s">
        <v>3146</v>
      </c>
      <c r="C3256" s="709" t="s">
        <v>4582</v>
      </c>
      <c r="D3256" s="679" t="s">
        <v>4133</v>
      </c>
      <c r="E3256" s="710" t="n">
        <v>0.0173</v>
      </c>
      <c r="F3256" s="369" t="n">
        <v>2321</v>
      </c>
      <c r="G3256" s="716" t="n">
        <f aca="false">E3256*F3256</f>
        <v>40.1533</v>
      </c>
      <c r="H3256" s="679"/>
    </row>
    <row r="3257" s="451" customFormat="true" ht="15" hidden="false" customHeight="false" outlineLevel="0" collapsed="false">
      <c r="A3257" s="707"/>
      <c r="B3257" s="522"/>
      <c r="C3257" s="709" t="s">
        <v>4652</v>
      </c>
      <c r="D3257" s="679" t="s">
        <v>4133</v>
      </c>
      <c r="E3257" s="710" t="n">
        <v>0.01</v>
      </c>
      <c r="F3257" s="369" t="n">
        <v>3400</v>
      </c>
      <c r="G3257" s="716" t="n">
        <f aca="false">E3257*F3257</f>
        <v>34</v>
      </c>
      <c r="H3257" s="679"/>
    </row>
    <row r="3258" s="451" customFormat="true" ht="15" hidden="false" customHeight="false" outlineLevel="0" collapsed="false">
      <c r="A3258" s="707"/>
      <c r="B3258" s="522"/>
      <c r="C3258" s="709" t="s">
        <v>4529</v>
      </c>
      <c r="D3258" s="679" t="s">
        <v>4133</v>
      </c>
      <c r="E3258" s="710" t="n">
        <v>0.03</v>
      </c>
      <c r="F3258" s="369" t="n">
        <v>1200</v>
      </c>
      <c r="G3258" s="716" t="n">
        <f aca="false">E3258*F3258</f>
        <v>36</v>
      </c>
      <c r="H3258" s="392"/>
    </row>
    <row r="3259" s="451" customFormat="true" ht="15" hidden="false" customHeight="false" outlineLevel="0" collapsed="false">
      <c r="A3259" s="707"/>
      <c r="B3259" s="522"/>
      <c r="C3259" s="709" t="s">
        <v>4147</v>
      </c>
      <c r="D3259" s="679" t="s">
        <v>4392</v>
      </c>
      <c r="E3259" s="710" t="n">
        <v>0.08</v>
      </c>
      <c r="F3259" s="723" t="n">
        <v>3612</v>
      </c>
      <c r="G3259" s="716" t="n">
        <f aca="false">E3259*F3259</f>
        <v>288.96</v>
      </c>
      <c r="H3259" s="679"/>
    </row>
    <row r="3260" s="451" customFormat="true" ht="15" hidden="false" customHeight="false" outlineLevel="0" collapsed="false">
      <c r="A3260" s="707"/>
      <c r="B3260" s="522"/>
      <c r="C3260" s="709" t="s">
        <v>4660</v>
      </c>
      <c r="D3260" s="679" t="s">
        <v>4133</v>
      </c>
      <c r="E3260" s="710" t="n">
        <v>0.045</v>
      </c>
      <c r="F3260" s="369" t="n">
        <v>2700</v>
      </c>
      <c r="G3260" s="716" t="n">
        <f aca="false">E3260*F3260</f>
        <v>121.5</v>
      </c>
      <c r="H3260" s="679"/>
    </row>
    <row r="3261" s="451" customFormat="true" ht="15" hidden="false" customHeight="false" outlineLevel="0" collapsed="false">
      <c r="A3261" s="707"/>
      <c r="B3261" s="522"/>
      <c r="C3261" s="709" t="s">
        <v>4154</v>
      </c>
      <c r="D3261" s="679" t="s">
        <v>4133</v>
      </c>
      <c r="E3261" s="710" t="n">
        <v>0.02</v>
      </c>
      <c r="F3261" s="721" t="n">
        <v>3500</v>
      </c>
      <c r="G3261" s="716" t="n">
        <f aca="false">E3261*F3261</f>
        <v>70</v>
      </c>
      <c r="H3261" s="679"/>
    </row>
    <row r="3262" s="451" customFormat="true" ht="15" hidden="false" customHeight="false" outlineLevel="0" collapsed="false">
      <c r="A3262" s="707"/>
      <c r="B3262" s="522"/>
      <c r="C3262" s="709" t="s">
        <v>4654</v>
      </c>
      <c r="D3262" s="679" t="s">
        <v>4133</v>
      </c>
      <c r="E3262" s="710" t="n">
        <v>0.02</v>
      </c>
      <c r="F3262" s="721" t="n">
        <v>3500</v>
      </c>
      <c r="G3262" s="716" t="n">
        <f aca="false">E3262*F3262</f>
        <v>70</v>
      </c>
      <c r="H3262" s="679"/>
    </row>
    <row r="3263" s="451" customFormat="true" ht="15" hidden="false" customHeight="false" outlineLevel="0" collapsed="false">
      <c r="A3263" s="707"/>
      <c r="B3263" s="522"/>
      <c r="C3263" s="709" t="s">
        <v>4122</v>
      </c>
      <c r="D3263" s="679" t="s">
        <v>4133</v>
      </c>
      <c r="E3263" s="710" t="n">
        <v>0.3</v>
      </c>
      <c r="F3263" s="721" t="n">
        <v>720</v>
      </c>
      <c r="G3263" s="716" t="n">
        <f aca="false">E3263*F3263</f>
        <v>216</v>
      </c>
      <c r="H3263" s="679"/>
    </row>
    <row r="3264" s="451" customFormat="true" ht="15" hidden="false" customHeight="false" outlineLevel="0" collapsed="false">
      <c r="A3264" s="707"/>
      <c r="B3264" s="522"/>
      <c r="C3264" s="709" t="s">
        <v>4515</v>
      </c>
      <c r="D3264" s="679" t="s">
        <v>4133</v>
      </c>
      <c r="E3264" s="710" t="n">
        <v>0.006</v>
      </c>
      <c r="F3264" s="369" t="n">
        <v>2700</v>
      </c>
      <c r="G3264" s="716" t="n">
        <f aca="false">E3264*F3264</f>
        <v>16.2</v>
      </c>
      <c r="H3264" s="679"/>
    </row>
    <row r="3265" s="451" customFormat="true" ht="15" hidden="false" customHeight="false" outlineLevel="0" collapsed="false">
      <c r="A3265" s="707"/>
      <c r="B3265" s="522"/>
      <c r="C3265" s="709" t="s">
        <v>4124</v>
      </c>
      <c r="D3265" s="679" t="s">
        <v>4516</v>
      </c>
      <c r="E3265" s="710" t="n">
        <v>1.5</v>
      </c>
      <c r="F3265" s="369" t="n">
        <v>120</v>
      </c>
      <c r="G3265" s="716" t="n">
        <f aca="false">E3265*F3265</f>
        <v>180</v>
      </c>
      <c r="H3265" s="679"/>
    </row>
    <row r="3266" s="451" customFormat="true" ht="15" hidden="false" customHeight="false" outlineLevel="0" collapsed="false">
      <c r="A3266" s="707"/>
      <c r="B3266" s="708" t="s">
        <v>4128</v>
      </c>
      <c r="C3266" s="718"/>
      <c r="D3266" s="719"/>
      <c r="E3266" s="722"/>
      <c r="F3266" s="366"/>
      <c r="G3266" s="711" t="n">
        <f aca="false">SUM(G3256:G3265)</f>
        <v>1072.8133</v>
      </c>
      <c r="H3266" s="392"/>
    </row>
    <row r="3267" s="451" customFormat="true" ht="15" hidden="false" customHeight="false" outlineLevel="0" collapsed="false">
      <c r="A3267" s="707" t="s">
        <v>4828</v>
      </c>
      <c r="B3267" s="487" t="s">
        <v>3147</v>
      </c>
      <c r="C3267" s="709" t="s">
        <v>4189</v>
      </c>
      <c r="D3267" s="679" t="s">
        <v>4133</v>
      </c>
      <c r="E3267" s="710" t="n">
        <v>0.033</v>
      </c>
      <c r="F3267" s="729" t="n">
        <v>3500</v>
      </c>
      <c r="G3267" s="716" t="n">
        <f aca="false">E3267*F3267</f>
        <v>115.5</v>
      </c>
      <c r="H3267" s="679"/>
    </row>
    <row r="3268" s="451" customFormat="true" ht="15" hidden="false" customHeight="false" outlineLevel="0" collapsed="false">
      <c r="A3268" s="707"/>
      <c r="B3268" s="522"/>
      <c r="C3268" s="709" t="s">
        <v>4147</v>
      </c>
      <c r="D3268" s="679" t="s">
        <v>4133</v>
      </c>
      <c r="E3268" s="710" t="n">
        <v>0.02</v>
      </c>
      <c r="F3268" s="723" t="n">
        <v>3612</v>
      </c>
      <c r="G3268" s="716" t="n">
        <f aca="false">E3268*F3268</f>
        <v>72.24</v>
      </c>
      <c r="H3268" s="679"/>
    </row>
    <row r="3269" s="451" customFormat="true" ht="15" hidden="false" customHeight="false" outlineLevel="0" collapsed="false">
      <c r="A3269" s="707"/>
      <c r="B3269" s="522"/>
      <c r="C3269" s="709" t="s">
        <v>4277</v>
      </c>
      <c r="D3269" s="679" t="s">
        <v>4133</v>
      </c>
      <c r="E3269" s="710" t="n">
        <v>0.01</v>
      </c>
      <c r="F3269" s="369" t="n">
        <v>1116</v>
      </c>
      <c r="G3269" s="716" t="n">
        <f aca="false">E3269*F3269</f>
        <v>11.16</v>
      </c>
      <c r="H3269" s="679"/>
    </row>
    <row r="3270" s="451" customFormat="true" ht="15" hidden="false" customHeight="false" outlineLevel="0" collapsed="false">
      <c r="A3270" s="707"/>
      <c r="B3270" s="522"/>
      <c r="C3270" s="709" t="s">
        <v>4575</v>
      </c>
      <c r="D3270" s="679" t="s">
        <v>4133</v>
      </c>
      <c r="E3270" s="710" t="n">
        <v>0.001</v>
      </c>
      <c r="F3270" s="369" t="n">
        <v>24000</v>
      </c>
      <c r="G3270" s="716" t="n">
        <f aca="false">E3270*F3270</f>
        <v>24</v>
      </c>
      <c r="H3270" s="392"/>
    </row>
    <row r="3271" s="451" customFormat="true" ht="15" hidden="false" customHeight="false" outlineLevel="0" collapsed="false">
      <c r="A3271" s="707"/>
      <c r="B3271" s="522"/>
      <c r="C3271" s="709" t="s">
        <v>4165</v>
      </c>
      <c r="D3271" s="679" t="s">
        <v>4133</v>
      </c>
      <c r="E3271" s="710" t="n">
        <v>0.03</v>
      </c>
      <c r="F3271" s="369" t="n">
        <v>1323</v>
      </c>
      <c r="G3271" s="716" t="n">
        <f aca="false">E3271*F3271</f>
        <v>39.69</v>
      </c>
      <c r="H3271" s="679"/>
    </row>
    <row r="3272" s="451" customFormat="true" ht="15" hidden="false" customHeight="false" outlineLevel="0" collapsed="false">
      <c r="A3272" s="707"/>
      <c r="B3272" s="522"/>
      <c r="C3272" s="709" t="s">
        <v>4270</v>
      </c>
      <c r="D3272" s="679" t="s">
        <v>4133</v>
      </c>
      <c r="E3272" s="710" t="n">
        <v>0.1</v>
      </c>
      <c r="F3272" s="369" t="n">
        <v>1750</v>
      </c>
      <c r="G3272" s="716" t="n">
        <f aca="false">E3272*F3272</f>
        <v>175</v>
      </c>
      <c r="H3272" s="679"/>
    </row>
    <row r="3273" s="451" customFormat="true" ht="15" hidden="false" customHeight="false" outlineLevel="0" collapsed="false">
      <c r="A3273" s="707"/>
      <c r="B3273" s="522"/>
      <c r="C3273" s="709" t="s">
        <v>4122</v>
      </c>
      <c r="D3273" s="679" t="s">
        <v>4133</v>
      </c>
      <c r="E3273" s="710" t="n">
        <v>0.03</v>
      </c>
      <c r="F3273" s="721" t="n">
        <v>720</v>
      </c>
      <c r="G3273" s="716" t="n">
        <f aca="false">E3273*F3273</f>
        <v>21.6</v>
      </c>
      <c r="H3273" s="679"/>
    </row>
    <row r="3274" s="451" customFormat="true" ht="15" hidden="false" customHeight="false" outlineLevel="0" collapsed="false">
      <c r="A3274" s="707"/>
      <c r="B3274" s="522"/>
      <c r="C3274" s="709" t="s">
        <v>4561</v>
      </c>
      <c r="D3274" s="679" t="s">
        <v>4138</v>
      </c>
      <c r="E3274" s="710" t="n">
        <v>1</v>
      </c>
      <c r="F3274" s="369" t="n">
        <v>490</v>
      </c>
      <c r="G3274" s="716" t="n">
        <f aca="false">E3274*F3274</f>
        <v>490</v>
      </c>
      <c r="H3274" s="679"/>
    </row>
    <row r="3275" s="451" customFormat="true" ht="15" hidden="false" customHeight="false" outlineLevel="0" collapsed="false">
      <c r="A3275" s="707"/>
      <c r="B3275" s="522"/>
      <c r="C3275" s="709" t="s">
        <v>4515</v>
      </c>
      <c r="D3275" s="679" t="s">
        <v>4133</v>
      </c>
      <c r="E3275" s="710" t="n">
        <v>0.01</v>
      </c>
      <c r="F3275" s="369" t="n">
        <v>2700</v>
      </c>
      <c r="G3275" s="716" t="n">
        <f aca="false">E3275*F3275</f>
        <v>27</v>
      </c>
      <c r="H3275" s="679"/>
    </row>
    <row r="3276" s="451" customFormat="true" ht="15" hidden="false" customHeight="false" outlineLevel="0" collapsed="false">
      <c r="A3276" s="707"/>
      <c r="B3276" s="522"/>
      <c r="C3276" s="709" t="s">
        <v>4124</v>
      </c>
      <c r="D3276" s="679" t="s">
        <v>4516</v>
      </c>
      <c r="E3276" s="710" t="n">
        <v>1</v>
      </c>
      <c r="F3276" s="369" t="n">
        <v>120</v>
      </c>
      <c r="G3276" s="716" t="n">
        <f aca="false">E3276*F3276</f>
        <v>120</v>
      </c>
      <c r="H3276" s="679"/>
    </row>
    <row r="3277" s="451" customFormat="true" ht="15" hidden="false" customHeight="false" outlineLevel="0" collapsed="false">
      <c r="A3277" s="707"/>
      <c r="B3277" s="522"/>
      <c r="C3277" s="709" t="s">
        <v>4577</v>
      </c>
      <c r="D3277" s="679" t="s">
        <v>4578</v>
      </c>
      <c r="E3277" s="710" t="n">
        <v>0.006</v>
      </c>
      <c r="F3277" s="369" t="n">
        <v>27000</v>
      </c>
      <c r="G3277" s="716" t="n">
        <f aca="false">E3277*F3277</f>
        <v>162</v>
      </c>
      <c r="H3277" s="679"/>
    </row>
    <row r="3278" s="451" customFormat="true" ht="15" hidden="false" customHeight="false" outlineLevel="0" collapsed="false">
      <c r="A3278" s="707"/>
      <c r="B3278" s="708" t="s">
        <v>4128</v>
      </c>
      <c r="C3278" s="718"/>
      <c r="D3278" s="719"/>
      <c r="E3278" s="722"/>
      <c r="F3278" s="366"/>
      <c r="G3278" s="711" t="n">
        <f aca="false">SUM(G3267:G3277)</f>
        <v>1258.19</v>
      </c>
      <c r="H3278" s="392"/>
    </row>
    <row r="3279" s="451" customFormat="true" ht="15" hidden="false" customHeight="false" outlineLevel="0" collapsed="false">
      <c r="A3279" s="707" t="s">
        <v>652</v>
      </c>
      <c r="B3279" s="487" t="s">
        <v>3102</v>
      </c>
      <c r="C3279" s="709" t="s">
        <v>4189</v>
      </c>
      <c r="D3279" s="679" t="s">
        <v>4133</v>
      </c>
      <c r="E3279" s="710" t="n">
        <v>0.033</v>
      </c>
      <c r="F3279" s="729" t="n">
        <v>3500</v>
      </c>
      <c r="G3279" s="716" t="n">
        <f aca="false">E3279*F3279</f>
        <v>115.5</v>
      </c>
      <c r="H3279" s="679"/>
    </row>
    <row r="3280" s="451" customFormat="true" ht="15" hidden="false" customHeight="false" outlineLevel="0" collapsed="false">
      <c r="A3280" s="707"/>
      <c r="B3280" s="522"/>
      <c r="C3280" s="709" t="s">
        <v>4147</v>
      </c>
      <c r="D3280" s="679" t="s">
        <v>4133</v>
      </c>
      <c r="E3280" s="710" t="n">
        <v>0.02</v>
      </c>
      <c r="F3280" s="723" t="n">
        <v>3612</v>
      </c>
      <c r="G3280" s="716" t="n">
        <f aca="false">E3280*F3280</f>
        <v>72.24</v>
      </c>
      <c r="H3280" s="679"/>
    </row>
    <row r="3281" s="451" customFormat="true" ht="15" hidden="false" customHeight="false" outlineLevel="0" collapsed="false">
      <c r="A3281" s="707"/>
      <c r="B3281" s="522"/>
      <c r="C3281" s="709" t="s">
        <v>4277</v>
      </c>
      <c r="D3281" s="679" t="s">
        <v>4133</v>
      </c>
      <c r="E3281" s="710" t="n">
        <v>0.01</v>
      </c>
      <c r="F3281" s="369" t="n">
        <v>1116</v>
      </c>
      <c r="G3281" s="716" t="n">
        <f aca="false">E3281*F3281</f>
        <v>11.16</v>
      </c>
      <c r="H3281" s="679"/>
    </row>
    <row r="3282" s="451" customFormat="true" ht="15" hidden="false" customHeight="false" outlineLevel="0" collapsed="false">
      <c r="A3282" s="707"/>
      <c r="B3282" s="522"/>
      <c r="C3282" s="709" t="s">
        <v>4575</v>
      </c>
      <c r="D3282" s="679" t="s">
        <v>4133</v>
      </c>
      <c r="E3282" s="710" t="n">
        <v>0.001</v>
      </c>
      <c r="F3282" s="369" t="n">
        <v>24000</v>
      </c>
      <c r="G3282" s="716" t="n">
        <f aca="false">E3282*F3282</f>
        <v>24</v>
      </c>
      <c r="H3282" s="679"/>
    </row>
    <row r="3283" s="451" customFormat="true" ht="15" hidden="false" customHeight="false" outlineLevel="0" collapsed="false">
      <c r="A3283" s="707"/>
      <c r="B3283" s="522"/>
      <c r="C3283" s="709" t="s">
        <v>4165</v>
      </c>
      <c r="D3283" s="679" t="s">
        <v>4133</v>
      </c>
      <c r="E3283" s="710" t="n">
        <v>0.03</v>
      </c>
      <c r="F3283" s="369" t="n">
        <v>1323</v>
      </c>
      <c r="G3283" s="716" t="n">
        <f aca="false">E3283*F3283</f>
        <v>39.69</v>
      </c>
      <c r="H3283" s="679"/>
    </row>
    <row r="3284" s="451" customFormat="true" ht="15" hidden="false" customHeight="false" outlineLevel="0" collapsed="false">
      <c r="A3284" s="707"/>
      <c r="B3284" s="522"/>
      <c r="C3284" s="709" t="s">
        <v>4270</v>
      </c>
      <c r="D3284" s="679" t="s">
        <v>4133</v>
      </c>
      <c r="E3284" s="710" t="n">
        <v>0.1</v>
      </c>
      <c r="F3284" s="369" t="n">
        <v>1750</v>
      </c>
      <c r="G3284" s="716" t="n">
        <f aca="false">E3284*F3284</f>
        <v>175</v>
      </c>
      <c r="H3284" s="679"/>
    </row>
    <row r="3285" s="451" customFormat="true" ht="15" hidden="false" customHeight="false" outlineLevel="0" collapsed="false">
      <c r="A3285" s="707"/>
      <c r="B3285" s="522"/>
      <c r="C3285" s="709" t="s">
        <v>4122</v>
      </c>
      <c r="D3285" s="679" t="s">
        <v>4133</v>
      </c>
      <c r="E3285" s="710" t="n">
        <v>0.03</v>
      </c>
      <c r="F3285" s="721" t="n">
        <v>720</v>
      </c>
      <c r="G3285" s="716" t="n">
        <f aca="false">E3285*F3285</f>
        <v>21.6</v>
      </c>
      <c r="H3285" s="679"/>
    </row>
    <row r="3286" s="451" customFormat="true" ht="15" hidden="false" customHeight="false" outlineLevel="0" collapsed="false">
      <c r="A3286" s="707"/>
      <c r="B3286" s="522"/>
      <c r="C3286" s="709" t="s">
        <v>4561</v>
      </c>
      <c r="D3286" s="679" t="s">
        <v>4138</v>
      </c>
      <c r="E3286" s="710" t="n">
        <v>1</v>
      </c>
      <c r="F3286" s="369" t="n">
        <v>490</v>
      </c>
      <c r="G3286" s="716" t="n">
        <f aca="false">E3286*F3286</f>
        <v>490</v>
      </c>
      <c r="H3286" s="392"/>
    </row>
    <row r="3287" s="451" customFormat="true" ht="15" hidden="false" customHeight="false" outlineLevel="0" collapsed="false">
      <c r="A3287" s="707"/>
      <c r="B3287" s="522"/>
      <c r="C3287" s="709" t="s">
        <v>4515</v>
      </c>
      <c r="D3287" s="679" t="s">
        <v>4133</v>
      </c>
      <c r="E3287" s="710" t="n">
        <v>0.006</v>
      </c>
      <c r="F3287" s="369" t="n">
        <v>2700</v>
      </c>
      <c r="G3287" s="716" t="n">
        <f aca="false">E3287*F3287</f>
        <v>16.2</v>
      </c>
      <c r="H3287" s="679"/>
    </row>
    <row r="3288" s="451" customFormat="true" ht="15" hidden="false" customHeight="false" outlineLevel="0" collapsed="false">
      <c r="A3288" s="707"/>
      <c r="B3288" s="522"/>
      <c r="C3288" s="709" t="s">
        <v>4124</v>
      </c>
      <c r="D3288" s="679" t="s">
        <v>4516</v>
      </c>
      <c r="E3288" s="710" t="n">
        <v>0.08</v>
      </c>
      <c r="F3288" s="369" t="n">
        <v>120</v>
      </c>
      <c r="G3288" s="716" t="n">
        <f aca="false">E3288*F3288</f>
        <v>9.6</v>
      </c>
      <c r="H3288" s="679"/>
    </row>
    <row r="3289" s="451" customFormat="true" ht="15" hidden="false" customHeight="false" outlineLevel="0" collapsed="false">
      <c r="A3289" s="707"/>
      <c r="B3289" s="522"/>
      <c r="C3289" s="709" t="s">
        <v>4577</v>
      </c>
      <c r="D3289" s="679" t="s">
        <v>4578</v>
      </c>
      <c r="E3289" s="710" t="n">
        <v>0.006</v>
      </c>
      <c r="F3289" s="369" t="n">
        <v>27000</v>
      </c>
      <c r="G3289" s="716" t="n">
        <f aca="false">E3289*F3289</f>
        <v>162</v>
      </c>
      <c r="H3289" s="679"/>
    </row>
    <row r="3290" s="451" customFormat="true" ht="15" hidden="false" customHeight="false" outlineLevel="0" collapsed="false">
      <c r="A3290" s="707"/>
      <c r="B3290" s="708" t="s">
        <v>4128</v>
      </c>
      <c r="C3290" s="718"/>
      <c r="D3290" s="719"/>
      <c r="E3290" s="722"/>
      <c r="F3290" s="366"/>
      <c r="G3290" s="711" t="n">
        <f aca="false">SUM(G3279:G3289)</f>
        <v>1136.99</v>
      </c>
      <c r="H3290" s="679"/>
    </row>
    <row r="3291" s="451" customFormat="true" ht="15" hidden="false" customHeight="false" outlineLevel="0" collapsed="false">
      <c r="A3291" s="707" t="s">
        <v>653</v>
      </c>
      <c r="B3291" s="487" t="s">
        <v>3148</v>
      </c>
      <c r="C3291" s="709" t="s">
        <v>4580</v>
      </c>
      <c r="D3291" s="679" t="s">
        <v>4133</v>
      </c>
      <c r="E3291" s="710" t="n">
        <v>0.1</v>
      </c>
      <c r="F3291" s="369" t="n">
        <v>1690</v>
      </c>
      <c r="G3291" s="716" t="n">
        <f aca="false">E3291*F3291</f>
        <v>169</v>
      </c>
      <c r="H3291" s="679"/>
    </row>
    <row r="3292" s="451" customFormat="true" ht="15" hidden="false" customHeight="false" outlineLevel="0" collapsed="false">
      <c r="A3292" s="707"/>
      <c r="B3292" s="522"/>
      <c r="C3292" s="709" t="s">
        <v>4750</v>
      </c>
      <c r="D3292" s="679" t="s">
        <v>4133</v>
      </c>
      <c r="E3292" s="710" t="n">
        <v>0.0009</v>
      </c>
      <c r="F3292" s="369" t="n">
        <v>21000</v>
      </c>
      <c r="G3292" s="716" t="n">
        <f aca="false">E3292*F3292</f>
        <v>18.9</v>
      </c>
      <c r="H3292" s="679"/>
    </row>
    <row r="3293" s="451" customFormat="true" ht="30" hidden="false" customHeight="false" outlineLevel="0" collapsed="false">
      <c r="A3293" s="707"/>
      <c r="B3293" s="522"/>
      <c r="C3293" s="709" t="s">
        <v>4581</v>
      </c>
      <c r="D3293" s="679" t="s">
        <v>4133</v>
      </c>
      <c r="E3293" s="710" t="n">
        <v>0.002</v>
      </c>
      <c r="F3293" s="369" t="n">
        <v>118100</v>
      </c>
      <c r="G3293" s="716" t="n">
        <f aca="false">E3293*F3293</f>
        <v>236.2</v>
      </c>
      <c r="H3293" s="679"/>
    </row>
    <row r="3294" s="451" customFormat="true" ht="15" hidden="false" customHeight="false" outlineLevel="0" collapsed="false">
      <c r="A3294" s="707"/>
      <c r="B3294" s="522"/>
      <c r="C3294" s="709" t="s">
        <v>4582</v>
      </c>
      <c r="D3294" s="679" t="s">
        <v>4133</v>
      </c>
      <c r="E3294" s="710" t="n">
        <v>0.01</v>
      </c>
      <c r="F3294" s="369" t="n">
        <v>2100</v>
      </c>
      <c r="G3294" s="716" t="n">
        <f aca="false">E3294*F3294</f>
        <v>21</v>
      </c>
      <c r="H3294" s="679"/>
    </row>
    <row r="3295" s="451" customFormat="true" ht="15" hidden="false" customHeight="false" outlineLevel="0" collapsed="false">
      <c r="A3295" s="707"/>
      <c r="B3295" s="522"/>
      <c r="C3295" s="709" t="s">
        <v>4583</v>
      </c>
      <c r="D3295" s="679" t="s">
        <v>4138</v>
      </c>
      <c r="E3295" s="710" t="n">
        <v>0.12</v>
      </c>
      <c r="F3295" s="369" t="n">
        <v>490</v>
      </c>
      <c r="G3295" s="716" t="n">
        <f aca="false">E3295*F3295</f>
        <v>58.8</v>
      </c>
      <c r="H3295" s="679"/>
    </row>
    <row r="3296" s="451" customFormat="true" ht="15" hidden="false" customHeight="false" outlineLevel="0" collapsed="false">
      <c r="A3296" s="707"/>
      <c r="B3296" s="522"/>
      <c r="C3296" s="709" t="s">
        <v>4584</v>
      </c>
      <c r="D3296" s="679" t="s">
        <v>4133</v>
      </c>
      <c r="E3296" s="710" t="n">
        <v>0.012</v>
      </c>
      <c r="F3296" s="369" t="n">
        <v>1901</v>
      </c>
      <c r="G3296" s="716" t="n">
        <f aca="false">E3296*F3296</f>
        <v>22.812</v>
      </c>
      <c r="H3296" s="679"/>
    </row>
    <row r="3297" s="451" customFormat="true" ht="15" hidden="false" customHeight="false" outlineLevel="0" collapsed="false">
      <c r="A3297" s="707"/>
      <c r="B3297" s="522"/>
      <c r="C3297" s="709" t="s">
        <v>4585</v>
      </c>
      <c r="D3297" s="679" t="s">
        <v>4133</v>
      </c>
      <c r="E3297" s="710" t="n">
        <v>0.003</v>
      </c>
      <c r="F3297" s="369" t="n">
        <v>8900</v>
      </c>
      <c r="G3297" s="716" t="n">
        <f aca="false">E3297*F3297</f>
        <v>26.7</v>
      </c>
      <c r="H3297" s="392"/>
    </row>
    <row r="3298" s="451" customFormat="true" ht="15" hidden="false" customHeight="false" outlineLevel="0" collapsed="false">
      <c r="A3298" s="707"/>
      <c r="B3298" s="522"/>
      <c r="C3298" s="709" t="s">
        <v>4201</v>
      </c>
      <c r="D3298" s="679" t="s">
        <v>4133</v>
      </c>
      <c r="E3298" s="710" t="n">
        <v>0.04</v>
      </c>
      <c r="F3298" s="721" t="n">
        <v>27000</v>
      </c>
      <c r="G3298" s="716" t="n">
        <f aca="false">E3298*F3298</f>
        <v>1080</v>
      </c>
      <c r="H3298" s="679"/>
    </row>
    <row r="3299" s="451" customFormat="true" ht="15" hidden="false" customHeight="false" outlineLevel="0" collapsed="false">
      <c r="A3299" s="707"/>
      <c r="B3299" s="522"/>
      <c r="C3299" s="709" t="s">
        <v>4122</v>
      </c>
      <c r="D3299" s="679" t="s">
        <v>4133</v>
      </c>
      <c r="E3299" s="710" t="n">
        <v>0.25</v>
      </c>
      <c r="F3299" s="721" t="n">
        <v>720</v>
      </c>
      <c r="G3299" s="716" t="n">
        <f aca="false">E3299*F3299</f>
        <v>180</v>
      </c>
      <c r="H3299" s="679"/>
    </row>
    <row r="3300" s="451" customFormat="true" ht="15" hidden="false" customHeight="false" outlineLevel="0" collapsed="false">
      <c r="A3300" s="707"/>
      <c r="B3300" s="522"/>
      <c r="C3300" s="709" t="s">
        <v>4154</v>
      </c>
      <c r="D3300" s="679" t="s">
        <v>4133</v>
      </c>
      <c r="E3300" s="710" t="n">
        <v>0.0375</v>
      </c>
      <c r="F3300" s="721" t="n">
        <v>3500</v>
      </c>
      <c r="G3300" s="716" t="n">
        <f aca="false">E3300*F3300</f>
        <v>131.25</v>
      </c>
      <c r="H3300" s="679"/>
    </row>
    <row r="3301" s="451" customFormat="true" ht="15" hidden="false" customHeight="false" outlineLevel="0" collapsed="false">
      <c r="A3301" s="707"/>
      <c r="B3301" s="522"/>
      <c r="C3301" s="709" t="s">
        <v>4515</v>
      </c>
      <c r="D3301" s="679" t="s">
        <v>4133</v>
      </c>
      <c r="E3301" s="710" t="n">
        <v>0.006</v>
      </c>
      <c r="F3301" s="369" t="n">
        <v>2700</v>
      </c>
      <c r="G3301" s="716" t="n">
        <f aca="false">E3301*F3301</f>
        <v>16.2</v>
      </c>
      <c r="H3301" s="679"/>
    </row>
    <row r="3302" s="451" customFormat="true" ht="15" hidden="false" customHeight="false" outlineLevel="0" collapsed="false">
      <c r="A3302" s="707"/>
      <c r="B3302" s="522"/>
      <c r="C3302" s="709" t="s">
        <v>4124</v>
      </c>
      <c r="D3302" s="679" t="s">
        <v>4516</v>
      </c>
      <c r="E3302" s="710" t="n">
        <v>0.016</v>
      </c>
      <c r="F3302" s="369" t="n">
        <v>120</v>
      </c>
      <c r="G3302" s="716" t="n">
        <f aca="false">E3302*F3302</f>
        <v>1.92</v>
      </c>
      <c r="H3302" s="679"/>
    </row>
    <row r="3303" s="451" customFormat="true" ht="15" hidden="false" customHeight="false" outlineLevel="0" collapsed="false">
      <c r="A3303" s="707"/>
      <c r="B3303" s="522"/>
      <c r="C3303" s="709" t="s">
        <v>4586</v>
      </c>
      <c r="D3303" s="679" t="s">
        <v>4578</v>
      </c>
      <c r="E3303" s="710" t="n">
        <v>0.001</v>
      </c>
      <c r="F3303" s="369" t="n">
        <v>27000</v>
      </c>
      <c r="G3303" s="716" t="n">
        <f aca="false">E3303*F3303</f>
        <v>27</v>
      </c>
      <c r="H3303" s="679"/>
    </row>
    <row r="3304" s="451" customFormat="true" ht="15" hidden="false" customHeight="false" outlineLevel="0" collapsed="false">
      <c r="A3304" s="707"/>
      <c r="B3304" s="708" t="s">
        <v>4128</v>
      </c>
      <c r="C3304" s="718"/>
      <c r="D3304" s="719"/>
      <c r="E3304" s="722"/>
      <c r="F3304" s="366"/>
      <c r="G3304" s="711" t="n">
        <f aca="false">SUM(G3291:G3303)</f>
        <v>1989.782</v>
      </c>
      <c r="H3304" s="679"/>
    </row>
    <row r="3305" s="451" customFormat="true" ht="15" hidden="false" customHeight="false" outlineLevel="0" collapsed="false">
      <c r="A3305" s="707" t="s">
        <v>4829</v>
      </c>
      <c r="B3305" s="487" t="s">
        <v>3149</v>
      </c>
      <c r="C3305" s="709" t="s">
        <v>4189</v>
      </c>
      <c r="D3305" s="679" t="s">
        <v>4133</v>
      </c>
      <c r="E3305" s="710" t="n">
        <v>0.0333</v>
      </c>
      <c r="F3305" s="729" t="n">
        <v>3500</v>
      </c>
      <c r="G3305" s="716" t="n">
        <f aca="false">E3305*F3305</f>
        <v>116.55</v>
      </c>
      <c r="H3305" s="679"/>
    </row>
    <row r="3306" s="451" customFormat="true" ht="15" hidden="false" customHeight="false" outlineLevel="0" collapsed="false">
      <c r="A3306" s="707"/>
      <c r="B3306" s="522"/>
      <c r="C3306" s="709" t="s">
        <v>4147</v>
      </c>
      <c r="D3306" s="679" t="s">
        <v>4133</v>
      </c>
      <c r="E3306" s="710" t="n">
        <v>0.2</v>
      </c>
      <c r="F3306" s="723" t="n">
        <v>3612</v>
      </c>
      <c r="G3306" s="716" t="n">
        <f aca="false">E3306*F3306</f>
        <v>722.4</v>
      </c>
      <c r="H3306" s="679"/>
    </row>
    <row r="3307" s="451" customFormat="true" ht="15" hidden="false" customHeight="false" outlineLevel="0" collapsed="false">
      <c r="A3307" s="707"/>
      <c r="B3307" s="522"/>
      <c r="C3307" s="709" t="s">
        <v>4277</v>
      </c>
      <c r="D3307" s="679" t="s">
        <v>4133</v>
      </c>
      <c r="E3307" s="710" t="n">
        <v>0.01</v>
      </c>
      <c r="F3307" s="369" t="n">
        <v>1116</v>
      </c>
      <c r="G3307" s="716" t="n">
        <f aca="false">E3307*F3307</f>
        <v>11.16</v>
      </c>
      <c r="H3307" s="679"/>
    </row>
    <row r="3308" s="451" customFormat="true" ht="15" hidden="false" customHeight="false" outlineLevel="0" collapsed="false">
      <c r="A3308" s="707"/>
      <c r="B3308" s="522"/>
      <c r="C3308" s="709" t="s">
        <v>4575</v>
      </c>
      <c r="D3308" s="679" t="s">
        <v>4133</v>
      </c>
      <c r="E3308" s="710" t="n">
        <v>0.01</v>
      </c>
      <c r="F3308" s="369" t="n">
        <v>1323</v>
      </c>
      <c r="G3308" s="716" t="n">
        <f aca="false">E3308*F3308</f>
        <v>13.23</v>
      </c>
      <c r="H3308" s="679"/>
    </row>
    <row r="3309" s="451" customFormat="true" ht="15" hidden="false" customHeight="false" outlineLevel="0" collapsed="false">
      <c r="A3309" s="707"/>
      <c r="B3309" s="522"/>
      <c r="C3309" s="709" t="s">
        <v>4165</v>
      </c>
      <c r="D3309" s="679" t="s">
        <v>4133</v>
      </c>
      <c r="E3309" s="710" t="n">
        <v>0.03</v>
      </c>
      <c r="F3309" s="369" t="n">
        <v>1323</v>
      </c>
      <c r="G3309" s="716" t="n">
        <f aca="false">E3309*F3309</f>
        <v>39.69</v>
      </c>
      <c r="H3309" s="392"/>
    </row>
    <row r="3310" s="451" customFormat="true" ht="15" hidden="false" customHeight="false" outlineLevel="0" collapsed="false">
      <c r="A3310" s="707"/>
      <c r="B3310" s="522"/>
      <c r="C3310" s="709" t="s">
        <v>4270</v>
      </c>
      <c r="D3310" s="679" t="s">
        <v>4133</v>
      </c>
      <c r="E3310" s="710" t="n">
        <v>0.1</v>
      </c>
      <c r="F3310" s="369" t="n">
        <v>1750</v>
      </c>
      <c r="G3310" s="716" t="n">
        <f aca="false">E3310*F3310</f>
        <v>175</v>
      </c>
      <c r="H3310" s="679"/>
    </row>
    <row r="3311" s="451" customFormat="true" ht="15" hidden="false" customHeight="false" outlineLevel="0" collapsed="false">
      <c r="A3311" s="707"/>
      <c r="B3311" s="522"/>
      <c r="C3311" s="709" t="s">
        <v>4122</v>
      </c>
      <c r="D3311" s="679" t="s">
        <v>4133</v>
      </c>
      <c r="E3311" s="710" t="n">
        <v>0.3</v>
      </c>
      <c r="F3311" s="721" t="n">
        <v>720</v>
      </c>
      <c r="G3311" s="716" t="n">
        <f aca="false">E3311*F3311</f>
        <v>216</v>
      </c>
      <c r="H3311" s="679"/>
    </row>
    <row r="3312" s="451" customFormat="true" ht="30" hidden="false" customHeight="false" outlineLevel="0" collapsed="false">
      <c r="A3312" s="707"/>
      <c r="B3312" s="522"/>
      <c r="C3312" s="709" t="s">
        <v>4594</v>
      </c>
      <c r="D3312" s="679" t="s">
        <v>4138</v>
      </c>
      <c r="E3312" s="710" t="n">
        <v>0.1</v>
      </c>
      <c r="F3312" s="369" t="n">
        <v>2500</v>
      </c>
      <c r="G3312" s="716" t="n">
        <f aca="false">E3312*F3312</f>
        <v>250</v>
      </c>
      <c r="H3312" s="679"/>
    </row>
    <row r="3313" s="451" customFormat="true" ht="15" hidden="false" customHeight="false" outlineLevel="0" collapsed="false">
      <c r="A3313" s="707"/>
      <c r="B3313" s="522"/>
      <c r="C3313" s="709" t="s">
        <v>4515</v>
      </c>
      <c r="D3313" s="679" t="s">
        <v>4133</v>
      </c>
      <c r="E3313" s="710" t="n">
        <v>0.006</v>
      </c>
      <c r="F3313" s="369" t="n">
        <v>2700</v>
      </c>
      <c r="G3313" s="716" t="n">
        <f aca="false">E3313*F3313</f>
        <v>16.2</v>
      </c>
      <c r="H3313" s="679"/>
    </row>
    <row r="3314" s="451" customFormat="true" ht="15" hidden="false" customHeight="false" outlineLevel="0" collapsed="false">
      <c r="A3314" s="707"/>
      <c r="B3314" s="522"/>
      <c r="C3314" s="709" t="s">
        <v>4124</v>
      </c>
      <c r="D3314" s="679" t="s">
        <v>4516</v>
      </c>
      <c r="E3314" s="710" t="n">
        <v>0.015</v>
      </c>
      <c r="F3314" s="369" t="n">
        <v>120</v>
      </c>
      <c r="G3314" s="716" t="n">
        <f aca="false">E3314*F3314</f>
        <v>1.8</v>
      </c>
      <c r="H3314" s="679"/>
    </row>
    <row r="3315" s="451" customFormat="true" ht="15" hidden="false" customHeight="false" outlineLevel="0" collapsed="false">
      <c r="A3315" s="707"/>
      <c r="B3315" s="522"/>
      <c r="C3315" s="709" t="s">
        <v>4586</v>
      </c>
      <c r="D3315" s="679" t="s">
        <v>4578</v>
      </c>
      <c r="E3315" s="710" t="n">
        <v>0.001</v>
      </c>
      <c r="F3315" s="369" t="n">
        <v>27000</v>
      </c>
      <c r="G3315" s="716" t="n">
        <f aca="false">E3315*F3315</f>
        <v>27</v>
      </c>
      <c r="H3315" s="679"/>
    </row>
    <row r="3316" s="451" customFormat="true" ht="15" hidden="false" customHeight="false" outlineLevel="0" collapsed="false">
      <c r="A3316" s="707"/>
      <c r="B3316" s="708" t="s">
        <v>4128</v>
      </c>
      <c r="C3316" s="718"/>
      <c r="D3316" s="719"/>
      <c r="E3316" s="722"/>
      <c r="F3316" s="366"/>
      <c r="G3316" s="711" t="n">
        <f aca="false">SUM(G3305:G3315)</f>
        <v>1589.03</v>
      </c>
      <c r="H3316" s="679"/>
    </row>
    <row r="3317" s="451" customFormat="true" ht="15" hidden="false" customHeight="false" outlineLevel="0" collapsed="false">
      <c r="A3317" s="707" t="s">
        <v>4830</v>
      </c>
      <c r="B3317" s="487" t="s">
        <v>3150</v>
      </c>
      <c r="C3317" s="709" t="s">
        <v>4522</v>
      </c>
      <c r="D3317" s="679" t="s">
        <v>4133</v>
      </c>
      <c r="E3317" s="710" t="n">
        <v>0.0045</v>
      </c>
      <c r="F3317" s="369" t="n">
        <v>31200</v>
      </c>
      <c r="G3317" s="716" t="n">
        <f aca="false">E3317*F3317</f>
        <v>140.4</v>
      </c>
      <c r="H3317" s="679"/>
    </row>
    <row r="3318" s="451" customFormat="true" ht="30" hidden="false" customHeight="false" outlineLevel="0" collapsed="false">
      <c r="A3318" s="707"/>
      <c r="B3318" s="522"/>
      <c r="C3318" s="709" t="s">
        <v>4658</v>
      </c>
      <c r="D3318" s="679" t="s">
        <v>4133</v>
      </c>
      <c r="E3318" s="710" t="n">
        <v>0.0225</v>
      </c>
      <c r="F3318" s="369" t="n">
        <v>21200</v>
      </c>
      <c r="G3318" s="716" t="n">
        <f aca="false">E3318*F3318</f>
        <v>477</v>
      </c>
      <c r="H3318" s="679"/>
    </row>
    <row r="3319" s="451" customFormat="true" ht="15" hidden="false" customHeight="false" outlineLevel="0" collapsed="false">
      <c r="A3319" s="707"/>
      <c r="B3319" s="522"/>
      <c r="C3319" s="709" t="s">
        <v>4758</v>
      </c>
      <c r="D3319" s="679" t="s">
        <v>4133</v>
      </c>
      <c r="E3319" s="710" t="n">
        <v>0.015</v>
      </c>
      <c r="F3319" s="369" t="n">
        <v>23000</v>
      </c>
      <c r="G3319" s="716" t="n">
        <f aca="false">E3319*F3319</f>
        <v>345</v>
      </c>
      <c r="H3319" s="679"/>
    </row>
    <row r="3320" s="451" customFormat="true" ht="15" hidden="false" customHeight="false" outlineLevel="0" collapsed="false">
      <c r="A3320" s="707"/>
      <c r="B3320" s="522"/>
      <c r="C3320" s="709" t="s">
        <v>4485</v>
      </c>
      <c r="D3320" s="679" t="s">
        <v>4133</v>
      </c>
      <c r="E3320" s="710" t="n">
        <v>0.024</v>
      </c>
      <c r="F3320" s="729" t="n">
        <v>3500</v>
      </c>
      <c r="G3320" s="716" t="n">
        <f aca="false">E3320*F3320</f>
        <v>84</v>
      </c>
      <c r="H3320" s="679"/>
    </row>
    <row r="3321" s="451" customFormat="true" ht="15" hidden="false" customHeight="false" outlineLevel="0" collapsed="false">
      <c r="A3321" s="707"/>
      <c r="B3321" s="522"/>
      <c r="C3321" s="709" t="s">
        <v>4205</v>
      </c>
      <c r="D3321" s="679" t="s">
        <v>4133</v>
      </c>
      <c r="E3321" s="710" t="n">
        <v>0.08</v>
      </c>
      <c r="F3321" s="717" t="n">
        <v>7875</v>
      </c>
      <c r="G3321" s="716" t="n">
        <f aca="false">E3321*F3321</f>
        <v>630</v>
      </c>
      <c r="H3321" s="392"/>
    </row>
    <row r="3322" s="451" customFormat="true" ht="15" hidden="false" customHeight="false" outlineLevel="0" collapsed="false">
      <c r="A3322" s="707"/>
      <c r="B3322" s="522"/>
      <c r="C3322" s="709" t="s">
        <v>4673</v>
      </c>
      <c r="D3322" s="679" t="s">
        <v>4133</v>
      </c>
      <c r="E3322" s="710" t="n">
        <v>0.0018</v>
      </c>
      <c r="F3322" s="369" t="n">
        <v>580</v>
      </c>
      <c r="G3322" s="716" t="n">
        <f aca="false">E3322*F3322</f>
        <v>1.044</v>
      </c>
      <c r="H3322" s="679"/>
    </row>
    <row r="3323" s="451" customFormat="true" ht="15" hidden="false" customHeight="false" outlineLevel="0" collapsed="false">
      <c r="A3323" s="707"/>
      <c r="B3323" s="522"/>
      <c r="C3323" s="709" t="s">
        <v>4604</v>
      </c>
      <c r="D3323" s="679" t="s">
        <v>4133</v>
      </c>
      <c r="E3323" s="710" t="n">
        <v>0.02</v>
      </c>
      <c r="F3323" s="369" t="n">
        <v>11200</v>
      </c>
      <c r="G3323" s="716" t="n">
        <f aca="false">E3323*F3323</f>
        <v>224</v>
      </c>
      <c r="H3323" s="679"/>
    </row>
    <row r="3324" s="451" customFormat="true" ht="15" hidden="false" customHeight="false" outlineLevel="0" collapsed="false">
      <c r="A3324" s="707"/>
      <c r="B3324" s="522"/>
      <c r="C3324" s="709" t="s">
        <v>4691</v>
      </c>
      <c r="D3324" s="679" t="s">
        <v>4133</v>
      </c>
      <c r="E3324" s="710" t="n">
        <v>0.05</v>
      </c>
      <c r="F3324" s="369" t="n">
        <v>1116</v>
      </c>
      <c r="G3324" s="716" t="n">
        <f aca="false">E3324*F3324</f>
        <v>55.8</v>
      </c>
      <c r="H3324" s="679"/>
    </row>
    <row r="3325" s="451" customFormat="true" ht="15" hidden="false" customHeight="false" outlineLevel="0" collapsed="false">
      <c r="A3325" s="707"/>
      <c r="B3325" s="522"/>
      <c r="C3325" s="709" t="s">
        <v>4676</v>
      </c>
      <c r="D3325" s="679" t="s">
        <v>4133</v>
      </c>
      <c r="E3325" s="710" t="n">
        <v>0.01</v>
      </c>
      <c r="F3325" s="724" t="n">
        <v>275000</v>
      </c>
      <c r="G3325" s="716" t="n">
        <f aca="false">E3325*F3325</f>
        <v>2750</v>
      </c>
      <c r="H3325" s="679"/>
    </row>
    <row r="3326" s="451" customFormat="true" ht="15" hidden="false" customHeight="false" outlineLevel="0" collapsed="false">
      <c r="A3326" s="707"/>
      <c r="B3326" s="522"/>
      <c r="C3326" s="709" t="s">
        <v>4831</v>
      </c>
      <c r="D3326" s="679" t="s">
        <v>4138</v>
      </c>
      <c r="E3326" s="710" t="n">
        <v>0.175</v>
      </c>
      <c r="F3326" s="369" t="n">
        <v>81000</v>
      </c>
      <c r="G3326" s="716" t="n">
        <f aca="false">E3326*F3326</f>
        <v>14175</v>
      </c>
      <c r="H3326" s="679"/>
    </row>
    <row r="3327" s="451" customFormat="true" ht="15" hidden="false" customHeight="false" outlineLevel="0" collapsed="false">
      <c r="A3327" s="707"/>
      <c r="B3327" s="522"/>
      <c r="C3327" s="709" t="s">
        <v>4515</v>
      </c>
      <c r="D3327" s="679" t="s">
        <v>4133</v>
      </c>
      <c r="E3327" s="710" t="n">
        <v>0.06</v>
      </c>
      <c r="F3327" s="369" t="n">
        <v>2700</v>
      </c>
      <c r="G3327" s="716" t="n">
        <f aca="false">E3327*F3327</f>
        <v>162</v>
      </c>
      <c r="H3327" s="679"/>
    </row>
    <row r="3328" s="451" customFormat="true" ht="15" hidden="false" customHeight="false" outlineLevel="0" collapsed="false">
      <c r="A3328" s="707"/>
      <c r="B3328" s="522"/>
      <c r="C3328" s="709" t="s">
        <v>4124</v>
      </c>
      <c r="D3328" s="679" t="s">
        <v>4516</v>
      </c>
      <c r="E3328" s="710" t="n">
        <v>1.5</v>
      </c>
      <c r="F3328" s="369" t="n">
        <v>120</v>
      </c>
      <c r="G3328" s="716" t="n">
        <f aca="false">E3328*F3328</f>
        <v>180</v>
      </c>
      <c r="H3328" s="679"/>
    </row>
    <row r="3329" s="451" customFormat="true" ht="15" hidden="false" customHeight="false" outlineLevel="0" collapsed="false">
      <c r="A3329" s="707"/>
      <c r="B3329" s="708" t="s">
        <v>4128</v>
      </c>
      <c r="C3329" s="718"/>
      <c r="D3329" s="719"/>
      <c r="E3329" s="722"/>
      <c r="F3329" s="366"/>
      <c r="G3329" s="711" t="n">
        <f aca="false">SUM(G3317:G3328)</f>
        <v>19224.244</v>
      </c>
      <c r="H3329" s="679"/>
    </row>
    <row r="3330" s="451" customFormat="true" ht="30" hidden="false" customHeight="false" outlineLevel="0" collapsed="false">
      <c r="A3330" s="707" t="s">
        <v>4832</v>
      </c>
      <c r="B3330" s="487" t="s">
        <v>3151</v>
      </c>
      <c r="C3330" s="709" t="s">
        <v>4154</v>
      </c>
      <c r="D3330" s="679" t="s">
        <v>4133</v>
      </c>
      <c r="E3330" s="710" t="n">
        <v>0.15</v>
      </c>
      <c r="F3330" s="721" t="n">
        <v>3500</v>
      </c>
      <c r="G3330" s="716" t="n">
        <f aca="false">E3330*F3330</f>
        <v>525</v>
      </c>
      <c r="H3330" s="679"/>
    </row>
    <row r="3331" s="451" customFormat="true" ht="15" hidden="false" customHeight="false" outlineLevel="0" collapsed="false">
      <c r="A3331" s="707"/>
      <c r="B3331" s="522"/>
      <c r="C3331" s="709" t="s">
        <v>4189</v>
      </c>
      <c r="D3331" s="679" t="s">
        <v>4133</v>
      </c>
      <c r="E3331" s="710" t="n">
        <v>0.3</v>
      </c>
      <c r="F3331" s="729" t="n">
        <v>3500</v>
      </c>
      <c r="G3331" s="716" t="n">
        <f aca="false">E3331*F3331</f>
        <v>1050</v>
      </c>
      <c r="H3331" s="679"/>
    </row>
    <row r="3332" s="451" customFormat="true" ht="15" hidden="false" customHeight="false" outlineLevel="0" collapsed="false">
      <c r="A3332" s="707"/>
      <c r="B3332" s="522"/>
      <c r="C3332" s="709" t="s">
        <v>4147</v>
      </c>
      <c r="D3332" s="679" t="s">
        <v>4133</v>
      </c>
      <c r="E3332" s="710" t="n">
        <v>0.3</v>
      </c>
      <c r="F3332" s="723" t="n">
        <v>3612</v>
      </c>
      <c r="G3332" s="716" t="n">
        <f aca="false">E3332*F3332</f>
        <v>1083.6</v>
      </c>
      <c r="H3332" s="679"/>
    </row>
    <row r="3333" s="451" customFormat="true" ht="15" hidden="false" customHeight="false" outlineLevel="0" collapsed="false">
      <c r="A3333" s="707"/>
      <c r="B3333" s="522"/>
      <c r="C3333" s="709" t="s">
        <v>4333</v>
      </c>
      <c r="D3333" s="679" t="s">
        <v>4133</v>
      </c>
      <c r="E3333" s="710" t="n">
        <v>0.39</v>
      </c>
      <c r="F3333" s="369" t="n">
        <v>300</v>
      </c>
      <c r="G3333" s="716" t="n">
        <f aca="false">E3333*F3333</f>
        <v>117</v>
      </c>
      <c r="H3333" s="679"/>
    </row>
    <row r="3334" s="451" customFormat="true" ht="15" hidden="false" customHeight="false" outlineLevel="0" collapsed="false">
      <c r="A3334" s="707"/>
      <c r="B3334" s="522"/>
      <c r="C3334" s="709" t="s">
        <v>4599</v>
      </c>
      <c r="D3334" s="679" t="s">
        <v>4133</v>
      </c>
      <c r="E3334" s="710" t="n">
        <v>0.01</v>
      </c>
      <c r="F3334" s="369" t="n">
        <v>18200</v>
      </c>
      <c r="G3334" s="716" t="n">
        <f aca="false">E3334*F3334</f>
        <v>182</v>
      </c>
      <c r="H3334" s="679"/>
    </row>
    <row r="3335" s="451" customFormat="true" ht="15" hidden="false" customHeight="false" outlineLevel="0" collapsed="false">
      <c r="A3335" s="707"/>
      <c r="B3335" s="522"/>
      <c r="C3335" s="709" t="s">
        <v>4600</v>
      </c>
      <c r="D3335" s="679" t="s">
        <v>4138</v>
      </c>
      <c r="E3335" s="710" t="n">
        <v>1</v>
      </c>
      <c r="F3335" s="369" t="n">
        <v>490</v>
      </c>
      <c r="G3335" s="716" t="n">
        <f aca="false">E3335*F3335</f>
        <v>490</v>
      </c>
      <c r="H3335" s="392"/>
    </row>
    <row r="3336" s="451" customFormat="true" ht="15" hidden="false" customHeight="false" outlineLevel="0" collapsed="false">
      <c r="A3336" s="707"/>
      <c r="B3336" s="522"/>
      <c r="C3336" s="709" t="s">
        <v>4601</v>
      </c>
      <c r="D3336" s="679" t="s">
        <v>4133</v>
      </c>
      <c r="E3336" s="710" t="n">
        <v>0.03</v>
      </c>
      <c r="F3336" s="369" t="n">
        <v>15500</v>
      </c>
      <c r="G3336" s="716" t="n">
        <f aca="false">E3336*F3336</f>
        <v>465</v>
      </c>
      <c r="H3336" s="679"/>
    </row>
    <row r="3337" s="451" customFormat="true" ht="15" hidden="false" customHeight="false" outlineLevel="0" collapsed="false">
      <c r="A3337" s="707"/>
      <c r="B3337" s="522"/>
      <c r="C3337" s="709" t="s">
        <v>4122</v>
      </c>
      <c r="D3337" s="679" t="s">
        <v>4392</v>
      </c>
      <c r="E3337" s="710" t="n">
        <v>0.16</v>
      </c>
      <c r="F3337" s="721" t="n">
        <v>720</v>
      </c>
      <c r="G3337" s="716" t="n">
        <f aca="false">E3337*F3337</f>
        <v>115.2</v>
      </c>
      <c r="H3337" s="679"/>
    </row>
    <row r="3338" s="451" customFormat="true" ht="15" hidden="false" customHeight="false" outlineLevel="0" collapsed="false">
      <c r="A3338" s="707"/>
      <c r="B3338" s="522"/>
      <c r="C3338" s="709" t="s">
        <v>4124</v>
      </c>
      <c r="D3338" s="679" t="s">
        <v>4516</v>
      </c>
      <c r="E3338" s="710" t="n">
        <v>0.06</v>
      </c>
      <c r="F3338" s="369" t="n">
        <v>120</v>
      </c>
      <c r="G3338" s="716" t="n">
        <f aca="false">E3338*F3338</f>
        <v>7.2</v>
      </c>
      <c r="H3338" s="679"/>
    </row>
    <row r="3339" s="451" customFormat="true" ht="15" hidden="false" customHeight="false" outlineLevel="0" collapsed="false">
      <c r="A3339" s="707"/>
      <c r="B3339" s="522"/>
      <c r="C3339" s="709" t="s">
        <v>4515</v>
      </c>
      <c r="D3339" s="679" t="s">
        <v>4133</v>
      </c>
      <c r="E3339" s="710" t="n">
        <v>0.15</v>
      </c>
      <c r="F3339" s="369" t="n">
        <v>2700</v>
      </c>
      <c r="G3339" s="716" t="n">
        <f aca="false">E3339*F3339</f>
        <v>405</v>
      </c>
      <c r="H3339" s="679"/>
    </row>
    <row r="3340" s="451" customFormat="true" ht="15" hidden="false" customHeight="false" outlineLevel="0" collapsed="false">
      <c r="A3340" s="707"/>
      <c r="B3340" s="708" t="s">
        <v>4128</v>
      </c>
      <c r="C3340" s="718"/>
      <c r="D3340" s="719"/>
      <c r="E3340" s="722"/>
      <c r="F3340" s="366"/>
      <c r="G3340" s="711" t="n">
        <f aca="false">SUM(G3330:G3339)</f>
        <v>4440</v>
      </c>
      <c r="H3340" s="679"/>
    </row>
    <row r="3341" s="451" customFormat="true" ht="30" hidden="false" customHeight="false" outlineLevel="0" collapsed="false">
      <c r="A3341" s="707" t="s">
        <v>658</v>
      </c>
      <c r="B3341" s="487" t="s">
        <v>3152</v>
      </c>
      <c r="C3341" s="709" t="s">
        <v>4189</v>
      </c>
      <c r="D3341" s="679" t="s">
        <v>4133</v>
      </c>
      <c r="E3341" s="710" t="n">
        <v>0.035</v>
      </c>
      <c r="F3341" s="729" t="n">
        <v>3500</v>
      </c>
      <c r="G3341" s="716" t="n">
        <f aca="false">E3341*F3341</f>
        <v>122.5</v>
      </c>
      <c r="H3341" s="679"/>
    </row>
    <row r="3342" s="451" customFormat="true" ht="15" hidden="false" customHeight="false" outlineLevel="0" collapsed="false">
      <c r="A3342" s="707"/>
      <c r="B3342" s="522"/>
      <c r="C3342" s="709" t="s">
        <v>4529</v>
      </c>
      <c r="D3342" s="679" t="s">
        <v>4133</v>
      </c>
      <c r="E3342" s="710" t="n">
        <v>0.06</v>
      </c>
      <c r="F3342" s="369" t="n">
        <v>8100</v>
      </c>
      <c r="G3342" s="716" t="n">
        <f aca="false">E3342*F3342</f>
        <v>486</v>
      </c>
      <c r="H3342" s="679"/>
    </row>
    <row r="3343" s="451" customFormat="true" ht="15" hidden="false" customHeight="false" outlineLevel="0" collapsed="false">
      <c r="A3343" s="707"/>
      <c r="B3343" s="522"/>
      <c r="C3343" s="709" t="s">
        <v>4147</v>
      </c>
      <c r="D3343" s="679" t="s">
        <v>4133</v>
      </c>
      <c r="E3343" s="710" t="n">
        <v>0.05</v>
      </c>
      <c r="F3343" s="723" t="n">
        <v>3612</v>
      </c>
      <c r="G3343" s="716" t="n">
        <f aca="false">E3343*F3343</f>
        <v>180.6</v>
      </c>
      <c r="H3343" s="679"/>
    </row>
    <row r="3344" s="451" customFormat="true" ht="15" hidden="false" customHeight="false" outlineLevel="0" collapsed="false">
      <c r="A3344" s="707"/>
      <c r="B3344" s="522"/>
      <c r="C3344" s="709" t="s">
        <v>4833</v>
      </c>
      <c r="D3344" s="679" t="s">
        <v>4133</v>
      </c>
      <c r="E3344" s="710" t="n">
        <v>0.01</v>
      </c>
      <c r="F3344" s="369" t="n">
        <v>4000</v>
      </c>
      <c r="G3344" s="716" t="n">
        <f aca="false">E3344*F3344</f>
        <v>40</v>
      </c>
      <c r="H3344" s="679"/>
    </row>
    <row r="3345" s="451" customFormat="true" ht="15" hidden="false" customHeight="false" outlineLevel="0" collapsed="false">
      <c r="A3345" s="707"/>
      <c r="B3345" s="522"/>
      <c r="C3345" s="709" t="s">
        <v>4834</v>
      </c>
      <c r="D3345" s="679" t="s">
        <v>4133</v>
      </c>
      <c r="E3345" s="710" t="n">
        <v>0.0005</v>
      </c>
      <c r="F3345" s="369" t="n">
        <v>38100</v>
      </c>
      <c r="G3345" s="716" t="n">
        <f aca="false">E3345*F3345</f>
        <v>19.05</v>
      </c>
      <c r="H3345" s="679"/>
    </row>
    <row r="3346" s="451" customFormat="true" ht="15" hidden="false" customHeight="false" outlineLevel="0" collapsed="false">
      <c r="A3346" s="707"/>
      <c r="B3346" s="522"/>
      <c r="C3346" s="709" t="s">
        <v>4653</v>
      </c>
      <c r="D3346" s="679" t="s">
        <v>4133</v>
      </c>
      <c r="E3346" s="710" t="n">
        <v>0.009</v>
      </c>
      <c r="F3346" s="369" t="n">
        <v>2700</v>
      </c>
      <c r="G3346" s="716" t="n">
        <f aca="false">E3346*F3346</f>
        <v>24.3</v>
      </c>
      <c r="H3346" s="679"/>
    </row>
    <row r="3347" s="451" customFormat="true" ht="15" hidden="false" customHeight="false" outlineLevel="0" collapsed="false">
      <c r="A3347" s="707"/>
      <c r="B3347" s="522"/>
      <c r="C3347" s="709" t="s">
        <v>4154</v>
      </c>
      <c r="D3347" s="679" t="s">
        <v>4133</v>
      </c>
      <c r="E3347" s="710" t="n">
        <v>0.00595</v>
      </c>
      <c r="F3347" s="721" t="n">
        <v>3500</v>
      </c>
      <c r="G3347" s="716" t="n">
        <f aca="false">E3347*F3347</f>
        <v>20.825</v>
      </c>
      <c r="H3347" s="392"/>
    </row>
    <row r="3348" s="451" customFormat="true" ht="15" hidden="false" customHeight="false" outlineLevel="0" collapsed="false">
      <c r="A3348" s="707"/>
      <c r="B3348" s="522"/>
      <c r="C3348" s="709" t="s">
        <v>4602</v>
      </c>
      <c r="D3348" s="679" t="s">
        <v>4133</v>
      </c>
      <c r="E3348" s="710" t="n">
        <v>0.1</v>
      </c>
      <c r="F3348" s="369" t="n">
        <v>1116</v>
      </c>
      <c r="G3348" s="716" t="n">
        <f aca="false">E3348*F3348</f>
        <v>111.6</v>
      </c>
      <c r="H3348" s="679"/>
    </row>
    <row r="3349" s="451" customFormat="true" ht="15" hidden="false" customHeight="false" outlineLevel="0" collapsed="false">
      <c r="A3349" s="707"/>
      <c r="B3349" s="522"/>
      <c r="C3349" s="709" t="s">
        <v>4604</v>
      </c>
      <c r="D3349" s="679" t="s">
        <v>4133</v>
      </c>
      <c r="E3349" s="710" t="n">
        <v>0.1</v>
      </c>
      <c r="F3349" s="369" t="n">
        <v>18000</v>
      </c>
      <c r="G3349" s="716" t="n">
        <f aca="false">E3349*F3349</f>
        <v>1800</v>
      </c>
      <c r="H3349" s="679"/>
    </row>
    <row r="3350" s="451" customFormat="true" ht="15" hidden="false" customHeight="false" outlineLevel="0" collapsed="false">
      <c r="A3350" s="707"/>
      <c r="B3350" s="522"/>
      <c r="C3350" s="709" t="s">
        <v>4270</v>
      </c>
      <c r="D3350" s="679" t="s">
        <v>4133</v>
      </c>
      <c r="E3350" s="710" t="n">
        <v>0.05</v>
      </c>
      <c r="F3350" s="369" t="n">
        <v>1750</v>
      </c>
      <c r="G3350" s="716" t="n">
        <f aca="false">E3350*F3350</f>
        <v>87.5</v>
      </c>
      <c r="H3350" s="679"/>
    </row>
    <row r="3351" s="451" customFormat="true" ht="15" hidden="false" customHeight="false" outlineLevel="0" collapsed="false">
      <c r="A3351" s="707"/>
      <c r="B3351" s="522"/>
      <c r="C3351" s="709" t="s">
        <v>4124</v>
      </c>
      <c r="D3351" s="679" t="s">
        <v>4516</v>
      </c>
      <c r="E3351" s="710" t="n">
        <v>1.5</v>
      </c>
      <c r="F3351" s="369" t="n">
        <v>120</v>
      </c>
      <c r="G3351" s="716" t="n">
        <f aca="false">E3351*F3351</f>
        <v>180</v>
      </c>
      <c r="H3351" s="679"/>
    </row>
    <row r="3352" s="451" customFormat="true" ht="15" hidden="false" customHeight="false" outlineLevel="0" collapsed="false">
      <c r="A3352" s="707"/>
      <c r="B3352" s="708" t="s">
        <v>4128</v>
      </c>
      <c r="C3352" s="718"/>
      <c r="D3352" s="719"/>
      <c r="E3352" s="722"/>
      <c r="F3352" s="366"/>
      <c r="G3352" s="711" t="n">
        <f aca="false">SUM(G3341:G3351)</f>
        <v>3072.375</v>
      </c>
      <c r="H3352" s="679"/>
    </row>
    <row r="3353" s="451" customFormat="true" ht="15" hidden="false" customHeight="false" outlineLevel="0" collapsed="false">
      <c r="A3353" s="707" t="s">
        <v>659</v>
      </c>
      <c r="B3353" s="532" t="s">
        <v>3153</v>
      </c>
      <c r="C3353" s="762" t="s">
        <v>4610</v>
      </c>
      <c r="D3353" s="728" t="s">
        <v>4133</v>
      </c>
      <c r="E3353" s="726" t="n">
        <v>0.05</v>
      </c>
      <c r="F3353" s="369" t="n">
        <v>1200</v>
      </c>
      <c r="G3353" s="716" t="n">
        <f aca="false">E3353*F3353</f>
        <v>60</v>
      </c>
      <c r="H3353" s="679"/>
    </row>
    <row r="3354" s="451" customFormat="true" ht="15" hidden="false" customHeight="false" outlineLevel="0" collapsed="false">
      <c r="A3354" s="707"/>
      <c r="B3354" s="532" t="s">
        <v>4799</v>
      </c>
      <c r="C3354" s="747" t="s">
        <v>4643</v>
      </c>
      <c r="D3354" s="728" t="s">
        <v>4133</v>
      </c>
      <c r="E3354" s="726" t="n">
        <v>0.02</v>
      </c>
      <c r="F3354" s="369" t="n">
        <v>990</v>
      </c>
      <c r="G3354" s="716" t="n">
        <f aca="false">E3354*F3354</f>
        <v>19.8</v>
      </c>
      <c r="H3354" s="679"/>
    </row>
    <row r="3355" s="451" customFormat="true" ht="15" hidden="false" customHeight="false" outlineLevel="0" collapsed="false">
      <c r="A3355" s="707"/>
      <c r="B3355" s="708"/>
      <c r="C3355" s="762" t="s">
        <v>4812</v>
      </c>
      <c r="D3355" s="679" t="s">
        <v>4555</v>
      </c>
      <c r="E3355" s="726" t="n">
        <v>0.09</v>
      </c>
      <c r="F3355" s="721" t="n">
        <v>108000</v>
      </c>
      <c r="G3355" s="716" t="n">
        <f aca="false">E3355*F3355</f>
        <v>9720</v>
      </c>
      <c r="H3355" s="679"/>
    </row>
    <row r="3356" s="451" customFormat="true" ht="15" hidden="false" customHeight="false" outlineLevel="0" collapsed="false">
      <c r="A3356" s="707"/>
      <c r="B3356" s="708"/>
      <c r="C3356" s="325" t="s">
        <v>4556</v>
      </c>
      <c r="D3356" s="728" t="s">
        <v>4133</v>
      </c>
      <c r="E3356" s="679" t="n">
        <v>0.05</v>
      </c>
      <c r="F3356" s="723" t="n">
        <v>3612</v>
      </c>
      <c r="G3356" s="716" t="n">
        <f aca="false">E3356*F3356</f>
        <v>180.6</v>
      </c>
      <c r="H3356" s="679"/>
    </row>
    <row r="3357" s="451" customFormat="true" ht="30" hidden="false" customHeight="false" outlineLevel="0" collapsed="false">
      <c r="A3357" s="707"/>
      <c r="B3357" s="708"/>
      <c r="C3357" s="762" t="s">
        <v>4813</v>
      </c>
      <c r="D3357" s="728" t="s">
        <v>4133</v>
      </c>
      <c r="E3357" s="726" t="n">
        <v>0.02</v>
      </c>
      <c r="F3357" s="721" t="n">
        <v>1200</v>
      </c>
      <c r="G3357" s="716" t="n">
        <f aca="false">E3357*F3357</f>
        <v>24</v>
      </c>
      <c r="H3357" s="679"/>
    </row>
    <row r="3358" s="451" customFormat="true" ht="15" hidden="false" customHeight="false" outlineLevel="0" collapsed="false">
      <c r="A3358" s="707"/>
      <c r="B3358" s="708"/>
      <c r="C3358" s="762" t="s">
        <v>4676</v>
      </c>
      <c r="D3358" s="728" t="s">
        <v>4127</v>
      </c>
      <c r="E3358" s="726" t="n">
        <v>0.02</v>
      </c>
      <c r="F3358" s="724" t="n">
        <v>275000</v>
      </c>
      <c r="G3358" s="716" t="n">
        <f aca="false">E3358*F3358</f>
        <v>5500</v>
      </c>
      <c r="H3358" s="679"/>
    </row>
    <row r="3359" s="451" customFormat="true" ht="15" hidden="false" customHeight="false" outlineLevel="0" collapsed="false">
      <c r="A3359" s="707"/>
      <c r="B3359" s="708"/>
      <c r="C3359" s="762" t="s">
        <v>3082</v>
      </c>
      <c r="D3359" s="728" t="s">
        <v>4133</v>
      </c>
      <c r="E3359" s="726" t="n">
        <v>0.015</v>
      </c>
      <c r="F3359" s="724" t="n">
        <v>1500</v>
      </c>
      <c r="G3359" s="716" t="n">
        <f aca="false">E3359*F3359</f>
        <v>22.5</v>
      </c>
      <c r="H3359" s="679"/>
    </row>
    <row r="3360" s="451" customFormat="true" ht="15" hidden="false" customHeight="false" outlineLevel="0" collapsed="false">
      <c r="A3360" s="707"/>
      <c r="B3360" s="708" t="s">
        <v>4128</v>
      </c>
      <c r="C3360" s="718"/>
      <c r="D3360" s="719"/>
      <c r="E3360" s="722"/>
      <c r="F3360" s="366"/>
      <c r="G3360" s="711" t="n">
        <f aca="false">SUM(G3353:G3359)</f>
        <v>15526.9</v>
      </c>
      <c r="H3360" s="679"/>
    </row>
    <row r="3361" s="451" customFormat="true" ht="15" hidden="false" customHeight="false" outlineLevel="0" collapsed="false">
      <c r="A3361" s="707" t="s">
        <v>661</v>
      </c>
      <c r="B3361" s="532" t="s">
        <v>3154</v>
      </c>
      <c r="C3361" s="471" t="s">
        <v>4225</v>
      </c>
      <c r="D3361" s="737" t="s">
        <v>4149</v>
      </c>
      <c r="E3361" s="749" t="n">
        <v>0.2</v>
      </c>
      <c r="F3361" s="721" t="n">
        <v>8100</v>
      </c>
      <c r="G3361" s="716" t="n">
        <f aca="false">E3361*F3361</f>
        <v>1620</v>
      </c>
      <c r="H3361" s="679"/>
    </row>
    <row r="3362" s="451" customFormat="true" ht="15" hidden="false" customHeight="false" outlineLevel="0" collapsed="false">
      <c r="A3362" s="707"/>
      <c r="B3362" s="522" t="s">
        <v>4789</v>
      </c>
      <c r="C3362" s="471" t="s">
        <v>4466</v>
      </c>
      <c r="D3362" s="737" t="s">
        <v>4149</v>
      </c>
      <c r="E3362" s="679" t="n">
        <v>0.05</v>
      </c>
      <c r="F3362" s="723" t="n">
        <v>980</v>
      </c>
      <c r="G3362" s="716" t="n">
        <f aca="false">E3362*F3362</f>
        <v>49</v>
      </c>
      <c r="H3362" s="679"/>
    </row>
    <row r="3363" s="451" customFormat="true" ht="15" hidden="false" customHeight="false" outlineLevel="0" collapsed="false">
      <c r="A3363" s="707"/>
      <c r="B3363" s="708"/>
      <c r="C3363" s="471" t="s">
        <v>4835</v>
      </c>
      <c r="D3363" s="737" t="s">
        <v>4191</v>
      </c>
      <c r="E3363" s="745" t="n">
        <v>1</v>
      </c>
      <c r="F3363" s="729" t="n">
        <v>1500</v>
      </c>
      <c r="G3363" s="716" t="n">
        <f aca="false">E3363*F3363</f>
        <v>1500</v>
      </c>
      <c r="H3363" s="679"/>
    </row>
    <row r="3364" s="451" customFormat="true" ht="15" hidden="false" customHeight="false" outlineLevel="0" collapsed="false">
      <c r="A3364" s="707"/>
      <c r="B3364" s="708"/>
      <c r="C3364" s="471" t="s">
        <v>4202</v>
      </c>
      <c r="D3364" s="737" t="s">
        <v>4149</v>
      </c>
      <c r="E3364" s="745" t="n">
        <v>0.02</v>
      </c>
      <c r="F3364" s="724" t="n">
        <v>6600</v>
      </c>
      <c r="G3364" s="716" t="n">
        <f aca="false">E3364*F3364</f>
        <v>132</v>
      </c>
      <c r="H3364" s="679"/>
    </row>
    <row r="3365" s="451" customFormat="true" ht="15" hidden="false" customHeight="false" outlineLevel="0" collapsed="false">
      <c r="A3365" s="707"/>
      <c r="B3365" s="708"/>
      <c r="C3365" s="471" t="s">
        <v>4158</v>
      </c>
      <c r="D3365" s="737" t="s">
        <v>4149</v>
      </c>
      <c r="E3365" s="745" t="n">
        <v>0.1</v>
      </c>
      <c r="F3365" s="724" t="n">
        <v>1500</v>
      </c>
      <c r="G3365" s="716" t="n">
        <f aca="false">E3365*F3365</f>
        <v>150</v>
      </c>
      <c r="H3365" s="679"/>
    </row>
    <row r="3366" customFormat="false" ht="15" hidden="false" customHeight="false" outlineLevel="0" collapsed="false">
      <c r="A3366" s="571"/>
      <c r="B3366" s="608"/>
      <c r="C3366" s="609"/>
      <c r="D3366" s="610"/>
      <c r="E3366" s="611"/>
      <c r="F3366" s="612"/>
      <c r="G3366" s="613" t="n">
        <f aca="false">SUM(G3361:G3365)</f>
        <v>3451</v>
      </c>
      <c r="H3366" s="606"/>
    </row>
    <row r="3367" customFormat="false" ht="28.5" hidden="false" customHeight="false" outlineLevel="0" collapsed="false">
      <c r="A3367" s="350" t="s">
        <v>4836</v>
      </c>
      <c r="B3367" s="467" t="s">
        <v>4837</v>
      </c>
      <c r="C3367" s="751"/>
      <c r="D3367" s="339"/>
      <c r="E3367" s="752"/>
      <c r="F3367" s="519"/>
      <c r="G3367" s="753"/>
      <c r="H3367" s="600"/>
    </row>
    <row r="3368" customFormat="false" ht="15" hidden="false" customHeight="false" outlineLevel="0" collapsed="false">
      <c r="A3368" s="571" t="s">
        <v>4838</v>
      </c>
      <c r="B3368" s="328" t="s">
        <v>3010</v>
      </c>
      <c r="C3368" s="714"/>
      <c r="D3368" s="391"/>
      <c r="E3368" s="611"/>
      <c r="F3368" s="612"/>
      <c r="G3368" s="613"/>
      <c r="H3368" s="606"/>
    </row>
    <row r="3369" s="451" customFormat="true" ht="30" hidden="false" customHeight="false" outlineLevel="0" collapsed="false">
      <c r="A3369" s="707" t="s">
        <v>4839</v>
      </c>
      <c r="B3369" s="487" t="s">
        <v>3156</v>
      </c>
      <c r="C3369" s="709" t="s">
        <v>4840</v>
      </c>
      <c r="D3369" s="679" t="s">
        <v>4133</v>
      </c>
      <c r="E3369" s="710" t="n">
        <v>0.15</v>
      </c>
      <c r="F3369" s="369" t="n">
        <v>2232</v>
      </c>
      <c r="G3369" s="716" t="n">
        <f aca="false">E3369*F3369</f>
        <v>334.8</v>
      </c>
      <c r="H3369" s="679"/>
    </row>
    <row r="3370" s="451" customFormat="true" ht="15" hidden="false" customHeight="false" outlineLevel="0" collapsed="false">
      <c r="A3370" s="707"/>
      <c r="B3370" s="522"/>
      <c r="C3370" s="709" t="s">
        <v>4189</v>
      </c>
      <c r="D3370" s="679" t="s">
        <v>4392</v>
      </c>
      <c r="E3370" s="710" t="n">
        <v>0.035</v>
      </c>
      <c r="F3370" s="729" t="n">
        <v>3500</v>
      </c>
      <c r="G3370" s="716" t="n">
        <f aca="false">E3370*F3370</f>
        <v>122.5</v>
      </c>
      <c r="H3370" s="679"/>
    </row>
    <row r="3371" s="451" customFormat="true" ht="15" hidden="false" customHeight="false" outlineLevel="0" collapsed="false">
      <c r="A3371" s="707"/>
      <c r="B3371" s="522"/>
      <c r="C3371" s="709" t="s">
        <v>4147</v>
      </c>
      <c r="D3371" s="679" t="s">
        <v>4392</v>
      </c>
      <c r="E3371" s="710" t="n">
        <v>0.2</v>
      </c>
      <c r="F3371" s="723" t="n">
        <v>3612</v>
      </c>
      <c r="G3371" s="716" t="n">
        <f aca="false">E3371*F3371</f>
        <v>722.4</v>
      </c>
      <c r="H3371" s="679"/>
    </row>
    <row r="3372" s="451" customFormat="true" ht="15" hidden="false" customHeight="false" outlineLevel="0" collapsed="false">
      <c r="A3372" s="707"/>
      <c r="B3372" s="522"/>
      <c r="C3372" s="709" t="s">
        <v>4232</v>
      </c>
      <c r="D3372" s="679" t="s">
        <v>4133</v>
      </c>
      <c r="E3372" s="710" t="n">
        <v>0.1</v>
      </c>
      <c r="F3372" s="369" t="n">
        <v>1425</v>
      </c>
      <c r="G3372" s="716" t="n">
        <f aca="false">E3372*F3372</f>
        <v>142.5</v>
      </c>
      <c r="H3372" s="679"/>
    </row>
    <row r="3373" s="451" customFormat="true" ht="30" hidden="false" customHeight="false" outlineLevel="0" collapsed="false">
      <c r="A3373" s="707"/>
      <c r="B3373" s="522"/>
      <c r="C3373" s="709" t="s">
        <v>4841</v>
      </c>
      <c r="D3373" s="679" t="s">
        <v>4133</v>
      </c>
      <c r="E3373" s="710" t="n">
        <v>0.1</v>
      </c>
      <c r="F3373" s="369" t="n">
        <v>1050</v>
      </c>
      <c r="G3373" s="716" t="n">
        <f aca="false">E3373*F3373</f>
        <v>105</v>
      </c>
      <c r="H3373" s="679"/>
    </row>
    <row r="3374" s="451" customFormat="true" ht="15" hidden="false" customHeight="false" outlineLevel="0" collapsed="false">
      <c r="A3374" s="707"/>
      <c r="B3374" s="522"/>
      <c r="C3374" s="709" t="s">
        <v>4122</v>
      </c>
      <c r="D3374" s="679" t="s">
        <v>4392</v>
      </c>
      <c r="E3374" s="710" t="n">
        <v>0.16</v>
      </c>
      <c r="F3374" s="721" t="n">
        <v>720</v>
      </c>
      <c r="G3374" s="716" t="n">
        <f aca="false">E3374*F3374</f>
        <v>115.2</v>
      </c>
      <c r="H3374" s="679"/>
    </row>
    <row r="3375" s="451" customFormat="true" ht="15" hidden="false" customHeight="false" outlineLevel="0" collapsed="false">
      <c r="A3375" s="707"/>
      <c r="B3375" s="522"/>
      <c r="C3375" s="709" t="s">
        <v>4842</v>
      </c>
      <c r="D3375" s="679" t="s">
        <v>4133</v>
      </c>
      <c r="E3375" s="710" t="n">
        <v>0.33</v>
      </c>
      <c r="F3375" s="369" t="n">
        <v>1500</v>
      </c>
      <c r="G3375" s="716" t="n">
        <f aca="false">E3375*F3375</f>
        <v>495</v>
      </c>
      <c r="H3375" s="392"/>
    </row>
    <row r="3376" s="451" customFormat="true" ht="15" hidden="false" customHeight="false" outlineLevel="0" collapsed="false">
      <c r="A3376" s="707"/>
      <c r="B3376" s="708" t="s">
        <v>4128</v>
      </c>
      <c r="C3376" s="718"/>
      <c r="D3376" s="719"/>
      <c r="E3376" s="722"/>
      <c r="F3376" s="366"/>
      <c r="G3376" s="711" t="n">
        <f aca="false">SUM(G3369:G3375)</f>
        <v>2037.4</v>
      </c>
      <c r="H3376" s="679"/>
    </row>
    <row r="3377" s="451" customFormat="true" ht="15" hidden="false" customHeight="false" outlineLevel="0" collapsed="false">
      <c r="A3377" s="707" t="s">
        <v>4843</v>
      </c>
      <c r="B3377" s="487" t="s">
        <v>3157</v>
      </c>
      <c r="C3377" s="709" t="s">
        <v>4655</v>
      </c>
      <c r="D3377" s="679" t="s">
        <v>4392</v>
      </c>
      <c r="E3377" s="710" t="n">
        <v>0.019</v>
      </c>
      <c r="F3377" s="369" t="n">
        <v>6500</v>
      </c>
      <c r="G3377" s="716" t="n">
        <f aca="false">E3377*F3377</f>
        <v>123.5</v>
      </c>
      <c r="H3377" s="679"/>
    </row>
    <row r="3378" s="451" customFormat="true" ht="15" hidden="false" customHeight="false" outlineLevel="0" collapsed="false">
      <c r="A3378" s="707"/>
      <c r="B3378" s="522"/>
      <c r="C3378" s="709" t="s">
        <v>4122</v>
      </c>
      <c r="D3378" s="679" t="s">
        <v>4392</v>
      </c>
      <c r="E3378" s="710" t="n">
        <v>0.09</v>
      </c>
      <c r="F3378" s="721" t="n">
        <v>720</v>
      </c>
      <c r="G3378" s="716" t="n">
        <f aca="false">E3378*F3378</f>
        <v>64.8</v>
      </c>
      <c r="H3378" s="679"/>
    </row>
    <row r="3379" s="451" customFormat="true" ht="15" hidden="false" customHeight="false" outlineLevel="0" collapsed="false">
      <c r="A3379" s="707"/>
      <c r="B3379" s="522"/>
      <c r="C3379" s="709" t="s">
        <v>4529</v>
      </c>
      <c r="D3379" s="679" t="s">
        <v>4133</v>
      </c>
      <c r="E3379" s="710" t="n">
        <v>0.05</v>
      </c>
      <c r="F3379" s="369" t="n">
        <v>1200</v>
      </c>
      <c r="G3379" s="716" t="n">
        <f aca="false">E3379*F3379</f>
        <v>60</v>
      </c>
      <c r="H3379" s="679"/>
    </row>
    <row r="3380" s="451" customFormat="true" ht="15" hidden="false" customHeight="false" outlineLevel="0" collapsed="false">
      <c r="A3380" s="707"/>
      <c r="B3380" s="522"/>
      <c r="C3380" s="709" t="s">
        <v>4264</v>
      </c>
      <c r="D3380" s="679" t="s">
        <v>4133</v>
      </c>
      <c r="E3380" s="710" t="n">
        <v>0.02</v>
      </c>
      <c r="F3380" s="369" t="n">
        <v>55000</v>
      </c>
      <c r="G3380" s="716" t="n">
        <f aca="false">E3380*F3380</f>
        <v>1100</v>
      </c>
      <c r="H3380" s="679"/>
    </row>
    <row r="3381" s="451" customFormat="true" ht="15" hidden="false" customHeight="false" outlineLevel="0" collapsed="false">
      <c r="A3381" s="707"/>
      <c r="B3381" s="522"/>
      <c r="C3381" s="709" t="s">
        <v>4515</v>
      </c>
      <c r="D3381" s="679" t="s">
        <v>4133</v>
      </c>
      <c r="E3381" s="710" t="n">
        <v>0.001</v>
      </c>
      <c r="F3381" s="369" t="n">
        <v>2700</v>
      </c>
      <c r="G3381" s="716" t="n">
        <f aca="false">E3381*F3381</f>
        <v>2.7</v>
      </c>
      <c r="H3381" s="679"/>
    </row>
    <row r="3382" s="451" customFormat="true" ht="15" hidden="false" customHeight="false" outlineLevel="0" collapsed="false">
      <c r="A3382" s="707"/>
      <c r="B3382" s="522"/>
      <c r="C3382" s="709" t="s">
        <v>4124</v>
      </c>
      <c r="D3382" s="679" t="s">
        <v>4516</v>
      </c>
      <c r="E3382" s="710" t="n">
        <v>0.5</v>
      </c>
      <c r="F3382" s="369" t="n">
        <v>120</v>
      </c>
      <c r="G3382" s="716" t="n">
        <f aca="false">E3382*F3382</f>
        <v>60</v>
      </c>
      <c r="H3382" s="679"/>
    </row>
    <row r="3383" s="451" customFormat="true" ht="15" hidden="false" customHeight="false" outlineLevel="0" collapsed="false">
      <c r="A3383" s="707"/>
      <c r="B3383" s="708" t="s">
        <v>4128</v>
      </c>
      <c r="C3383" s="718"/>
      <c r="D3383" s="719"/>
      <c r="E3383" s="722"/>
      <c r="F3383" s="366"/>
      <c r="G3383" s="711" t="n">
        <f aca="false">SUM(G3377:G3382)</f>
        <v>1411</v>
      </c>
      <c r="H3383" s="679"/>
    </row>
    <row r="3384" s="451" customFormat="true" ht="15" hidden="false" customHeight="false" outlineLevel="0" collapsed="false">
      <c r="A3384" s="707" t="s">
        <v>4844</v>
      </c>
      <c r="B3384" s="487" t="s">
        <v>3158</v>
      </c>
      <c r="C3384" s="709" t="s">
        <v>4655</v>
      </c>
      <c r="D3384" s="679" t="s">
        <v>4392</v>
      </c>
      <c r="E3384" s="710" t="n">
        <v>0.034</v>
      </c>
      <c r="F3384" s="369" t="n">
        <v>6500</v>
      </c>
      <c r="G3384" s="716" t="n">
        <f aca="false">E3384*F3384</f>
        <v>221</v>
      </c>
      <c r="H3384" s="679"/>
    </row>
    <row r="3385" s="451" customFormat="true" ht="15" hidden="false" customHeight="false" outlineLevel="0" collapsed="false">
      <c r="A3385" s="707"/>
      <c r="B3385" s="522"/>
      <c r="C3385" s="709" t="s">
        <v>4122</v>
      </c>
      <c r="D3385" s="679" t="s">
        <v>4392</v>
      </c>
      <c r="E3385" s="710" t="n">
        <v>0.17</v>
      </c>
      <c r="F3385" s="721" t="n">
        <v>720</v>
      </c>
      <c r="G3385" s="716" t="n">
        <f aca="false">E3385*F3385</f>
        <v>122.4</v>
      </c>
      <c r="H3385" s="679"/>
    </row>
    <row r="3386" s="451" customFormat="true" ht="15" hidden="false" customHeight="false" outlineLevel="0" collapsed="false">
      <c r="A3386" s="707"/>
      <c r="B3386" s="522"/>
      <c r="C3386" s="709" t="s">
        <v>4529</v>
      </c>
      <c r="D3386" s="679" t="s">
        <v>4133</v>
      </c>
      <c r="E3386" s="710" t="n">
        <v>0.12</v>
      </c>
      <c r="F3386" s="369" t="n">
        <v>1200</v>
      </c>
      <c r="G3386" s="716" t="n">
        <f aca="false">E3386*F3386</f>
        <v>144</v>
      </c>
      <c r="H3386" s="392"/>
    </row>
    <row r="3387" s="451" customFormat="true" ht="15" hidden="false" customHeight="false" outlineLevel="0" collapsed="false">
      <c r="A3387" s="707"/>
      <c r="B3387" s="522"/>
      <c r="C3387" s="709" t="s">
        <v>4264</v>
      </c>
      <c r="D3387" s="679" t="s">
        <v>4133</v>
      </c>
      <c r="E3387" s="710" t="n">
        <v>0.02</v>
      </c>
      <c r="F3387" s="369" t="n">
        <v>55000</v>
      </c>
      <c r="G3387" s="716" t="n">
        <f aca="false">E3387*F3387</f>
        <v>1100</v>
      </c>
      <c r="H3387" s="679"/>
    </row>
    <row r="3388" s="451" customFormat="true" ht="15" hidden="false" customHeight="false" outlineLevel="0" collapsed="false">
      <c r="A3388" s="707"/>
      <c r="B3388" s="522"/>
      <c r="C3388" s="709" t="s">
        <v>4515</v>
      </c>
      <c r="D3388" s="679" t="s">
        <v>4133</v>
      </c>
      <c r="E3388" s="710" t="n">
        <v>0.01</v>
      </c>
      <c r="F3388" s="369" t="n">
        <v>2700</v>
      </c>
      <c r="G3388" s="716" t="n">
        <f aca="false">E3388*F3388</f>
        <v>27</v>
      </c>
      <c r="H3388" s="679"/>
    </row>
    <row r="3389" s="451" customFormat="true" ht="15" hidden="false" customHeight="false" outlineLevel="0" collapsed="false">
      <c r="A3389" s="707"/>
      <c r="B3389" s="522"/>
      <c r="C3389" s="709" t="s">
        <v>4124</v>
      </c>
      <c r="D3389" s="679" t="s">
        <v>4516</v>
      </c>
      <c r="E3389" s="710" t="n">
        <v>0.5</v>
      </c>
      <c r="F3389" s="369" t="n">
        <v>120</v>
      </c>
      <c r="G3389" s="716" t="n">
        <f aca="false">E3389*F3389</f>
        <v>60</v>
      </c>
      <c r="H3389" s="679"/>
    </row>
    <row r="3390" s="451" customFormat="true" ht="15" hidden="false" customHeight="false" outlineLevel="0" collapsed="false">
      <c r="A3390" s="707"/>
      <c r="B3390" s="708" t="s">
        <v>4128</v>
      </c>
      <c r="C3390" s="718"/>
      <c r="D3390" s="719"/>
      <c r="E3390" s="722"/>
      <c r="F3390" s="366"/>
      <c r="G3390" s="711" t="n">
        <f aca="false">SUM(G3384:G3389)</f>
        <v>1674.4</v>
      </c>
      <c r="H3390" s="679"/>
    </row>
    <row r="3391" s="451" customFormat="true" ht="15" hidden="false" customHeight="false" outlineLevel="0" collapsed="false">
      <c r="A3391" s="707" t="s">
        <v>4845</v>
      </c>
      <c r="B3391" s="487" t="s">
        <v>3159</v>
      </c>
      <c r="C3391" s="709" t="s">
        <v>4846</v>
      </c>
      <c r="D3391" s="679" t="s">
        <v>4133</v>
      </c>
      <c r="E3391" s="710" t="n">
        <v>0.6</v>
      </c>
      <c r="F3391" s="369" t="n">
        <v>199</v>
      </c>
      <c r="G3391" s="716" t="n">
        <f aca="false">E3391*F3391</f>
        <v>119.4</v>
      </c>
      <c r="H3391" s="679"/>
    </row>
    <row r="3392" s="451" customFormat="true" ht="15" hidden="false" customHeight="false" outlineLevel="0" collapsed="false">
      <c r="A3392" s="707"/>
      <c r="B3392" s="522"/>
      <c r="C3392" s="709" t="s">
        <v>4201</v>
      </c>
      <c r="D3392" s="679" t="s">
        <v>4133</v>
      </c>
      <c r="E3392" s="710" t="n">
        <v>0.002</v>
      </c>
      <c r="F3392" s="721" t="n">
        <v>27000</v>
      </c>
      <c r="G3392" s="716" t="n">
        <f aca="false">E3392*F3392</f>
        <v>54</v>
      </c>
      <c r="H3392" s="679"/>
    </row>
    <row r="3393" s="451" customFormat="true" ht="15" hidden="false" customHeight="false" outlineLevel="0" collapsed="false">
      <c r="A3393" s="707"/>
      <c r="B3393" s="522"/>
      <c r="C3393" s="709" t="s">
        <v>4202</v>
      </c>
      <c r="D3393" s="679" t="s">
        <v>4133</v>
      </c>
      <c r="E3393" s="710" t="n">
        <v>0.01</v>
      </c>
      <c r="F3393" s="724" t="n">
        <v>6600</v>
      </c>
      <c r="G3393" s="716" t="n">
        <f aca="false">E3393*F3393</f>
        <v>66</v>
      </c>
      <c r="H3393" s="679"/>
    </row>
    <row r="3394" s="451" customFormat="true" ht="30" hidden="false" customHeight="false" outlineLevel="0" collapsed="false">
      <c r="A3394" s="707"/>
      <c r="B3394" s="522"/>
      <c r="C3394" s="709" t="s">
        <v>4847</v>
      </c>
      <c r="D3394" s="679" t="s">
        <v>4133</v>
      </c>
      <c r="E3394" s="710" t="n">
        <v>0.003</v>
      </c>
      <c r="F3394" s="369" t="n">
        <v>11200</v>
      </c>
      <c r="G3394" s="716" t="n">
        <f aca="false">E3394*F3394</f>
        <v>33.6</v>
      </c>
      <c r="H3394" s="679"/>
    </row>
    <row r="3395" s="451" customFormat="true" ht="15" hidden="false" customHeight="false" outlineLevel="0" collapsed="false">
      <c r="A3395" s="707"/>
      <c r="B3395" s="522"/>
      <c r="C3395" s="709" t="s">
        <v>4154</v>
      </c>
      <c r="D3395" s="679" t="s">
        <v>4392</v>
      </c>
      <c r="E3395" s="710" t="n">
        <v>0.1431</v>
      </c>
      <c r="F3395" s="721" t="n">
        <v>3500</v>
      </c>
      <c r="G3395" s="716" t="n">
        <f aca="false">E3395*F3395</f>
        <v>500.85</v>
      </c>
      <c r="H3395" s="679"/>
    </row>
    <row r="3396" s="451" customFormat="true" ht="15" hidden="false" customHeight="false" outlineLevel="0" collapsed="false">
      <c r="A3396" s="707"/>
      <c r="B3396" s="708" t="s">
        <v>4128</v>
      </c>
      <c r="C3396" s="718"/>
      <c r="D3396" s="719"/>
      <c r="E3396" s="722"/>
      <c r="F3396" s="366"/>
      <c r="G3396" s="711" t="n">
        <f aca="false">SUM(G3391:G3395)</f>
        <v>773.85</v>
      </c>
      <c r="H3396" s="679"/>
    </row>
    <row r="3397" s="451" customFormat="true" ht="15" hidden="false" customHeight="false" outlineLevel="0" collapsed="false">
      <c r="A3397" s="707" t="s">
        <v>4848</v>
      </c>
      <c r="B3397" s="487" t="s">
        <v>3084</v>
      </c>
      <c r="C3397" s="709" t="s">
        <v>4515</v>
      </c>
      <c r="D3397" s="679" t="s">
        <v>4133</v>
      </c>
      <c r="E3397" s="710" t="n">
        <v>0.006</v>
      </c>
      <c r="F3397" s="369" t="n">
        <v>2700</v>
      </c>
      <c r="G3397" s="716" t="n">
        <f aca="false">E3397*F3397</f>
        <v>16.2</v>
      </c>
      <c r="H3397" s="679"/>
    </row>
    <row r="3398" s="451" customFormat="true" ht="15" hidden="false" customHeight="false" outlineLevel="0" collapsed="false">
      <c r="A3398" s="707"/>
      <c r="B3398" s="522"/>
      <c r="C3398" s="709" t="s">
        <v>4124</v>
      </c>
      <c r="D3398" s="679" t="s">
        <v>4516</v>
      </c>
      <c r="E3398" s="710" t="n">
        <v>1.5</v>
      </c>
      <c r="F3398" s="369" t="n">
        <v>120</v>
      </c>
      <c r="G3398" s="716" t="n">
        <f aca="false">E3398*F3398</f>
        <v>180</v>
      </c>
      <c r="H3398" s="392"/>
    </row>
    <row r="3399" s="451" customFormat="true" ht="15" hidden="false" customHeight="false" outlineLevel="0" collapsed="false">
      <c r="A3399" s="707"/>
      <c r="B3399" s="708" t="s">
        <v>4128</v>
      </c>
      <c r="C3399" s="718"/>
      <c r="D3399" s="719"/>
      <c r="E3399" s="722"/>
      <c r="F3399" s="366"/>
      <c r="G3399" s="711" t="n">
        <f aca="false">SUM(G3397:G3398)</f>
        <v>196.2</v>
      </c>
      <c r="H3399" s="392"/>
    </row>
    <row r="3400" s="451" customFormat="true" ht="15" hidden="false" customHeight="false" outlineLevel="0" collapsed="false">
      <c r="A3400" s="707" t="s">
        <v>674</v>
      </c>
      <c r="B3400" s="487" t="s">
        <v>3085</v>
      </c>
      <c r="C3400" s="709" t="s">
        <v>4515</v>
      </c>
      <c r="D3400" s="679" t="s">
        <v>4133</v>
      </c>
      <c r="E3400" s="710" t="n">
        <v>0.08566</v>
      </c>
      <c r="F3400" s="369" t="n">
        <v>2700</v>
      </c>
      <c r="G3400" s="716" t="n">
        <f aca="false">E3400*F3400</f>
        <v>231.282</v>
      </c>
      <c r="H3400" s="679"/>
    </row>
    <row r="3401" s="451" customFormat="true" ht="15" hidden="false" customHeight="false" outlineLevel="0" collapsed="false">
      <c r="A3401" s="707"/>
      <c r="B3401" s="522"/>
      <c r="C3401" s="709" t="s">
        <v>4124</v>
      </c>
      <c r="D3401" s="679" t="s">
        <v>4516</v>
      </c>
      <c r="E3401" s="710" t="n">
        <v>0.995</v>
      </c>
      <c r="F3401" s="369" t="n">
        <v>120</v>
      </c>
      <c r="G3401" s="716" t="n">
        <f aca="false">E3401*F3401</f>
        <v>119.4</v>
      </c>
      <c r="H3401" s="679"/>
    </row>
    <row r="3402" s="451" customFormat="true" ht="15" hidden="false" customHeight="false" outlineLevel="0" collapsed="false">
      <c r="A3402" s="707"/>
      <c r="B3402" s="522"/>
      <c r="C3402" s="709" t="s">
        <v>4122</v>
      </c>
      <c r="D3402" s="679" t="s">
        <v>4392</v>
      </c>
      <c r="E3402" s="710" t="n">
        <v>0.1868</v>
      </c>
      <c r="F3402" s="721" t="n">
        <v>720</v>
      </c>
      <c r="G3402" s="716" t="n">
        <f aca="false">E3402*F3402</f>
        <v>134.496</v>
      </c>
      <c r="H3402" s="679"/>
    </row>
    <row r="3403" s="451" customFormat="true" ht="15" hidden="false" customHeight="false" outlineLevel="0" collapsed="false">
      <c r="A3403" s="707"/>
      <c r="B3403" s="708" t="s">
        <v>4128</v>
      </c>
      <c r="C3403" s="718"/>
      <c r="D3403" s="719"/>
      <c r="E3403" s="722"/>
      <c r="F3403" s="366"/>
      <c r="G3403" s="711" t="n">
        <f aca="false">SUM(G3400:G3402)</f>
        <v>485.178</v>
      </c>
      <c r="H3403" s="679"/>
    </row>
    <row r="3404" s="451" customFormat="true" ht="15" hidden="false" customHeight="false" outlineLevel="0" collapsed="false">
      <c r="A3404" s="707" t="s">
        <v>675</v>
      </c>
      <c r="B3404" s="487" t="s">
        <v>3160</v>
      </c>
      <c r="C3404" s="709" t="s">
        <v>4159</v>
      </c>
      <c r="D3404" s="679" t="s">
        <v>4133</v>
      </c>
      <c r="E3404" s="710" t="n">
        <v>0.009</v>
      </c>
      <c r="F3404" s="717" t="n">
        <v>557.76</v>
      </c>
      <c r="G3404" s="716" t="n">
        <f aca="false">E3404*F3404</f>
        <v>5.01984</v>
      </c>
      <c r="H3404" s="679"/>
    </row>
    <row r="3405" s="451" customFormat="true" ht="15" hidden="false" customHeight="false" outlineLevel="0" collapsed="false">
      <c r="A3405" s="707"/>
      <c r="B3405" s="522"/>
      <c r="C3405" s="709" t="s">
        <v>4265</v>
      </c>
      <c r="D3405" s="679" t="s">
        <v>4133</v>
      </c>
      <c r="E3405" s="710" t="n">
        <v>0.06</v>
      </c>
      <c r="F3405" s="369" t="n">
        <v>16650</v>
      </c>
      <c r="G3405" s="716" t="n">
        <f aca="false">E3405*F3405</f>
        <v>999</v>
      </c>
      <c r="H3405" s="679"/>
    </row>
    <row r="3406" s="451" customFormat="true" ht="15" hidden="false" customHeight="false" outlineLevel="0" collapsed="false">
      <c r="A3406" s="707"/>
      <c r="B3406" s="522"/>
      <c r="C3406" s="709" t="s">
        <v>4122</v>
      </c>
      <c r="D3406" s="679" t="s">
        <v>4392</v>
      </c>
      <c r="E3406" s="710" t="n">
        <v>0.09</v>
      </c>
      <c r="F3406" s="721" t="n">
        <v>720</v>
      </c>
      <c r="G3406" s="716" t="n">
        <f aca="false">E3406*F3406</f>
        <v>64.8</v>
      </c>
      <c r="H3406" s="679"/>
    </row>
    <row r="3407" s="451" customFormat="true" ht="15" hidden="false" customHeight="false" outlineLevel="0" collapsed="false">
      <c r="A3407" s="707"/>
      <c r="B3407" s="522"/>
      <c r="C3407" s="709" t="s">
        <v>4515</v>
      </c>
      <c r="D3407" s="679" t="s">
        <v>4133</v>
      </c>
      <c r="E3407" s="710" t="n">
        <v>0.09</v>
      </c>
      <c r="F3407" s="369" t="n">
        <v>2700</v>
      </c>
      <c r="G3407" s="716" t="n">
        <f aca="false">E3407*F3407</f>
        <v>243</v>
      </c>
      <c r="H3407" s="392"/>
    </row>
    <row r="3408" s="451" customFormat="true" ht="15" hidden="false" customHeight="false" outlineLevel="0" collapsed="false">
      <c r="A3408" s="707"/>
      <c r="B3408" s="522"/>
      <c r="C3408" s="709" t="s">
        <v>4124</v>
      </c>
      <c r="D3408" s="679" t="s">
        <v>4516</v>
      </c>
      <c r="E3408" s="710" t="n">
        <v>0.15</v>
      </c>
      <c r="F3408" s="369" t="n">
        <v>120</v>
      </c>
      <c r="G3408" s="716" t="n">
        <f aca="false">E3408*F3408</f>
        <v>18</v>
      </c>
      <c r="H3408" s="679"/>
    </row>
    <row r="3409" s="451" customFormat="true" ht="15" hidden="false" customHeight="false" outlineLevel="0" collapsed="false">
      <c r="A3409" s="707"/>
      <c r="B3409" s="708" t="s">
        <v>4128</v>
      </c>
      <c r="C3409" s="718"/>
      <c r="D3409" s="719"/>
      <c r="E3409" s="722"/>
      <c r="F3409" s="366"/>
      <c r="G3409" s="711" t="n">
        <f aca="false">SUM(G3404:G3408)</f>
        <v>1329.81984</v>
      </c>
      <c r="H3409" s="679"/>
    </row>
    <row r="3410" s="451" customFormat="true" ht="15" hidden="false" customHeight="false" outlineLevel="0" collapsed="false">
      <c r="A3410" s="707" t="s">
        <v>4849</v>
      </c>
      <c r="B3410" s="487" t="s">
        <v>3161</v>
      </c>
      <c r="C3410" s="709" t="s">
        <v>4147</v>
      </c>
      <c r="D3410" s="679" t="s">
        <v>4392</v>
      </c>
      <c r="E3410" s="710" t="n">
        <v>0.2</v>
      </c>
      <c r="F3410" s="723" t="n">
        <v>3612</v>
      </c>
      <c r="G3410" s="716" t="n">
        <f aca="false">E3410*F3410</f>
        <v>722.4</v>
      </c>
      <c r="H3410" s="679"/>
    </row>
    <row r="3411" s="451" customFormat="true" ht="15" hidden="false" customHeight="false" outlineLevel="0" collapsed="false">
      <c r="A3411" s="707"/>
      <c r="B3411" s="522"/>
      <c r="C3411" s="709" t="s">
        <v>4515</v>
      </c>
      <c r="D3411" s="679" t="s">
        <v>4133</v>
      </c>
      <c r="E3411" s="710" t="n">
        <v>0.06</v>
      </c>
      <c r="F3411" s="369" t="n">
        <v>2700</v>
      </c>
      <c r="G3411" s="716" t="n">
        <f aca="false">E3411*F3411</f>
        <v>162</v>
      </c>
      <c r="H3411" s="679"/>
    </row>
    <row r="3412" s="451" customFormat="true" ht="15" hidden="false" customHeight="false" outlineLevel="0" collapsed="false">
      <c r="A3412" s="707"/>
      <c r="B3412" s="522"/>
      <c r="C3412" s="709" t="s">
        <v>4124</v>
      </c>
      <c r="D3412" s="679" t="s">
        <v>4516</v>
      </c>
      <c r="E3412" s="710" t="n">
        <v>1.5</v>
      </c>
      <c r="F3412" s="369" t="n">
        <v>120</v>
      </c>
      <c r="G3412" s="716" t="n">
        <f aca="false">E3412*F3412</f>
        <v>180</v>
      </c>
      <c r="H3412" s="679"/>
    </row>
    <row r="3413" s="451" customFormat="true" ht="15" hidden="false" customHeight="false" outlineLevel="0" collapsed="false">
      <c r="A3413" s="707"/>
      <c r="B3413" s="708" t="s">
        <v>4128</v>
      </c>
      <c r="C3413" s="718"/>
      <c r="D3413" s="719"/>
      <c r="E3413" s="722"/>
      <c r="F3413" s="366"/>
      <c r="G3413" s="711" t="n">
        <f aca="false">SUM(G3410:G3412)</f>
        <v>1064.4</v>
      </c>
      <c r="H3413" s="679"/>
    </row>
    <row r="3414" s="451" customFormat="true" ht="15" hidden="false" customHeight="false" outlineLevel="0" collapsed="false">
      <c r="A3414" s="707" t="s">
        <v>678</v>
      </c>
      <c r="B3414" s="487" t="s">
        <v>3059</v>
      </c>
      <c r="C3414" s="709" t="s">
        <v>4154</v>
      </c>
      <c r="D3414" s="679" t="s">
        <v>4392</v>
      </c>
      <c r="E3414" s="710" t="n">
        <v>0.07</v>
      </c>
      <c r="F3414" s="721" t="n">
        <v>3500</v>
      </c>
      <c r="G3414" s="716" t="n">
        <f aca="false">E3414*F3414</f>
        <v>245</v>
      </c>
      <c r="H3414" s="392"/>
    </row>
    <row r="3415" s="451" customFormat="true" ht="15" hidden="false" customHeight="false" outlineLevel="0" collapsed="false">
      <c r="A3415" s="707"/>
      <c r="B3415" s="522"/>
      <c r="C3415" s="709" t="s">
        <v>4147</v>
      </c>
      <c r="D3415" s="679" t="s">
        <v>4392</v>
      </c>
      <c r="E3415" s="710" t="n">
        <v>0.1</v>
      </c>
      <c r="F3415" s="723" t="n">
        <v>3612</v>
      </c>
      <c r="G3415" s="716" t="n">
        <f aca="false">E3415*F3415</f>
        <v>361.2</v>
      </c>
      <c r="H3415" s="679"/>
    </row>
    <row r="3416" s="451" customFormat="true" ht="15" hidden="false" customHeight="false" outlineLevel="0" collapsed="false">
      <c r="A3416" s="707"/>
      <c r="B3416" s="522"/>
      <c r="C3416" s="709" t="s">
        <v>4535</v>
      </c>
      <c r="D3416" s="679" t="s">
        <v>4392</v>
      </c>
      <c r="E3416" s="710" t="n">
        <v>0.01</v>
      </c>
      <c r="F3416" s="369" t="n">
        <v>31200</v>
      </c>
      <c r="G3416" s="716" t="n">
        <f aca="false">E3416*F3416</f>
        <v>312</v>
      </c>
      <c r="H3416" s="679"/>
    </row>
    <row r="3417" s="451" customFormat="true" ht="15" hidden="false" customHeight="false" outlineLevel="0" collapsed="false">
      <c r="A3417" s="707"/>
      <c r="B3417" s="522"/>
      <c r="C3417" s="709" t="s">
        <v>4536</v>
      </c>
      <c r="D3417" s="679" t="s">
        <v>4392</v>
      </c>
      <c r="E3417" s="710" t="n">
        <v>0.08</v>
      </c>
      <c r="F3417" s="369" t="n">
        <v>999</v>
      </c>
      <c r="G3417" s="716" t="n">
        <f aca="false">E3417*F3417</f>
        <v>79.92</v>
      </c>
      <c r="H3417" s="679"/>
    </row>
    <row r="3418" s="451" customFormat="true" ht="15" hidden="false" customHeight="false" outlineLevel="0" collapsed="false">
      <c r="A3418" s="707"/>
      <c r="B3418" s="522"/>
      <c r="C3418" s="709" t="s">
        <v>4122</v>
      </c>
      <c r="D3418" s="679" t="s">
        <v>4392</v>
      </c>
      <c r="E3418" s="710" t="n">
        <v>0.2</v>
      </c>
      <c r="F3418" s="721" t="n">
        <v>720</v>
      </c>
      <c r="G3418" s="716" t="n">
        <f aca="false">E3418*F3418</f>
        <v>144</v>
      </c>
      <c r="H3418" s="679"/>
    </row>
    <row r="3419" s="451" customFormat="true" ht="15" hidden="false" customHeight="false" outlineLevel="0" collapsed="false">
      <c r="A3419" s="707"/>
      <c r="B3419" s="522"/>
      <c r="C3419" s="709" t="s">
        <v>4515</v>
      </c>
      <c r="D3419" s="679" t="s">
        <v>4133</v>
      </c>
      <c r="E3419" s="710" t="n">
        <v>0.05996</v>
      </c>
      <c r="F3419" s="369" t="n">
        <v>2700</v>
      </c>
      <c r="G3419" s="716" t="n">
        <f aca="false">E3419*F3419</f>
        <v>161.892</v>
      </c>
      <c r="H3419" s="679"/>
    </row>
    <row r="3420" s="451" customFormat="true" ht="15" hidden="false" customHeight="false" outlineLevel="0" collapsed="false">
      <c r="A3420" s="707"/>
      <c r="B3420" s="522"/>
      <c r="C3420" s="709" t="s">
        <v>4124</v>
      </c>
      <c r="D3420" s="679" t="s">
        <v>4516</v>
      </c>
      <c r="E3420" s="710" t="n">
        <v>1.5</v>
      </c>
      <c r="F3420" s="369" t="n">
        <v>120</v>
      </c>
      <c r="G3420" s="716" t="n">
        <f aca="false">E3420*F3420</f>
        <v>180</v>
      </c>
      <c r="H3420" s="679"/>
    </row>
    <row r="3421" s="451" customFormat="true" ht="15" hidden="false" customHeight="false" outlineLevel="0" collapsed="false">
      <c r="A3421" s="707"/>
      <c r="B3421" s="708" t="s">
        <v>4128</v>
      </c>
      <c r="C3421" s="718"/>
      <c r="D3421" s="719"/>
      <c r="E3421" s="722"/>
      <c r="F3421" s="366"/>
      <c r="G3421" s="711" t="n">
        <f aca="false">SUM(G3414:G3420)</f>
        <v>1484.012</v>
      </c>
      <c r="H3421" s="392"/>
    </row>
    <row r="3422" s="451" customFormat="true" ht="15" hidden="false" customHeight="false" outlineLevel="0" collapsed="false">
      <c r="A3422" s="707" t="s">
        <v>679</v>
      </c>
      <c r="B3422" s="487" t="s">
        <v>3162</v>
      </c>
      <c r="C3422" s="709" t="s">
        <v>4122</v>
      </c>
      <c r="D3422" s="679" t="s">
        <v>4392</v>
      </c>
      <c r="E3422" s="710" t="n">
        <v>0.3</v>
      </c>
      <c r="F3422" s="721" t="n">
        <v>720</v>
      </c>
      <c r="G3422" s="716" t="n">
        <f aca="false">E3422*F3422</f>
        <v>216</v>
      </c>
      <c r="H3422" s="679"/>
    </row>
    <row r="3423" s="451" customFormat="true" ht="15" hidden="false" customHeight="false" outlineLevel="0" collapsed="false">
      <c r="A3423" s="707"/>
      <c r="B3423" s="522"/>
      <c r="C3423" s="709" t="s">
        <v>4201</v>
      </c>
      <c r="D3423" s="679" t="s">
        <v>4133</v>
      </c>
      <c r="E3423" s="710" t="n">
        <v>0.002</v>
      </c>
      <c r="F3423" s="721" t="n">
        <v>27000</v>
      </c>
      <c r="G3423" s="716" t="n">
        <f aca="false">E3423*F3423</f>
        <v>54</v>
      </c>
      <c r="H3423" s="679"/>
    </row>
    <row r="3424" s="451" customFormat="true" ht="30" hidden="false" customHeight="false" outlineLevel="0" collapsed="false">
      <c r="A3424" s="707"/>
      <c r="B3424" s="522"/>
      <c r="C3424" s="709" t="s">
        <v>4636</v>
      </c>
      <c r="D3424" s="679" t="s">
        <v>4133</v>
      </c>
      <c r="E3424" s="710" t="n">
        <v>0.003</v>
      </c>
      <c r="F3424" s="729" t="n">
        <v>3500</v>
      </c>
      <c r="G3424" s="716" t="n">
        <f aca="false">E3424*F3424</f>
        <v>10.5</v>
      </c>
      <c r="H3424" s="679"/>
    </row>
    <row r="3425" s="451" customFormat="true" ht="15" hidden="false" customHeight="false" outlineLevel="0" collapsed="false">
      <c r="A3425" s="707"/>
      <c r="B3425" s="522"/>
      <c r="C3425" s="709" t="s">
        <v>4132</v>
      </c>
      <c r="D3425" s="679" t="s">
        <v>4392</v>
      </c>
      <c r="E3425" s="710" t="n">
        <v>0.01</v>
      </c>
      <c r="F3425" s="369" t="n">
        <v>1200</v>
      </c>
      <c r="G3425" s="716" t="n">
        <f aca="false">E3425*F3425</f>
        <v>12</v>
      </c>
      <c r="H3425" s="679"/>
    </row>
    <row r="3426" s="451" customFormat="true" ht="15" hidden="false" customHeight="false" outlineLevel="0" collapsed="false">
      <c r="A3426" s="707"/>
      <c r="B3426" s="522"/>
      <c r="C3426" s="709" t="s">
        <v>791</v>
      </c>
      <c r="D3426" s="679" t="s">
        <v>4133</v>
      </c>
      <c r="E3426" s="710" t="n">
        <v>0.6</v>
      </c>
      <c r="F3426" s="369" t="n">
        <v>199</v>
      </c>
      <c r="G3426" s="716" t="n">
        <f aca="false">E3426*F3426</f>
        <v>119.4</v>
      </c>
      <c r="H3426" s="679"/>
    </row>
    <row r="3427" s="451" customFormat="true" ht="15" hidden="false" customHeight="false" outlineLevel="0" collapsed="false">
      <c r="A3427" s="707"/>
      <c r="B3427" s="522"/>
      <c r="C3427" s="709" t="s">
        <v>4205</v>
      </c>
      <c r="D3427" s="679" t="s">
        <v>4392</v>
      </c>
      <c r="E3427" s="710" t="n">
        <v>0.05</v>
      </c>
      <c r="F3427" s="717" t="n">
        <v>7875</v>
      </c>
      <c r="G3427" s="716" t="n">
        <f aca="false">E3427*F3427</f>
        <v>393.75</v>
      </c>
      <c r="H3427" s="392"/>
    </row>
    <row r="3428" s="451" customFormat="true" ht="15" hidden="false" customHeight="false" outlineLevel="0" collapsed="false">
      <c r="A3428" s="707"/>
      <c r="B3428" s="522"/>
      <c r="C3428" s="709" t="s">
        <v>4202</v>
      </c>
      <c r="D3428" s="679" t="s">
        <v>4133</v>
      </c>
      <c r="E3428" s="710" t="n">
        <v>0.01</v>
      </c>
      <c r="F3428" s="724" t="n">
        <v>6600</v>
      </c>
      <c r="G3428" s="716" t="n">
        <f aca="false">E3428*F3428</f>
        <v>66</v>
      </c>
      <c r="H3428" s="679"/>
    </row>
    <row r="3429" s="451" customFormat="true" ht="15" hidden="false" customHeight="false" outlineLevel="0" collapsed="false">
      <c r="A3429" s="707"/>
      <c r="B3429" s="522"/>
      <c r="C3429" s="709" t="s">
        <v>4850</v>
      </c>
      <c r="D3429" s="679" t="s">
        <v>4392</v>
      </c>
      <c r="E3429" s="710" t="n">
        <v>0.33</v>
      </c>
      <c r="F3429" s="369" t="n">
        <v>1500</v>
      </c>
      <c r="G3429" s="716" t="n">
        <f aca="false">E3429*F3429</f>
        <v>495</v>
      </c>
      <c r="H3429" s="679"/>
    </row>
    <row r="3430" s="451" customFormat="true" ht="15" hidden="false" customHeight="false" outlineLevel="0" collapsed="false">
      <c r="A3430" s="707"/>
      <c r="B3430" s="522"/>
      <c r="C3430" s="709" t="s">
        <v>4851</v>
      </c>
      <c r="D3430" s="679" t="s">
        <v>4133</v>
      </c>
      <c r="E3430" s="710" t="n">
        <v>0.1</v>
      </c>
      <c r="F3430" s="369" t="n">
        <v>1116</v>
      </c>
      <c r="G3430" s="716" t="n">
        <f aca="false">E3430*F3430</f>
        <v>111.6</v>
      </c>
      <c r="H3430" s="392"/>
    </row>
    <row r="3431" s="451" customFormat="true" ht="15" hidden="false" customHeight="false" outlineLevel="0" collapsed="false">
      <c r="A3431" s="707"/>
      <c r="B3431" s="522"/>
      <c r="C3431" s="709" t="s">
        <v>4126</v>
      </c>
      <c r="D3431" s="679" t="s">
        <v>4133</v>
      </c>
      <c r="E3431" s="710" t="n">
        <v>0.005</v>
      </c>
      <c r="F3431" s="369" t="n">
        <v>2700</v>
      </c>
      <c r="G3431" s="716" t="n">
        <f aca="false">E3431*F3431</f>
        <v>13.5</v>
      </c>
      <c r="H3431" s="679"/>
    </row>
    <row r="3432" s="451" customFormat="true" ht="15" hidden="false" customHeight="false" outlineLevel="0" collapsed="false">
      <c r="A3432" s="707"/>
      <c r="B3432" s="522"/>
      <c r="C3432" s="709" t="s">
        <v>4124</v>
      </c>
      <c r="D3432" s="679" t="s">
        <v>4516</v>
      </c>
      <c r="E3432" s="710" t="n">
        <v>1.5</v>
      </c>
      <c r="F3432" s="369" t="n">
        <v>120</v>
      </c>
      <c r="G3432" s="716" t="n">
        <f aca="false">E3432*F3432</f>
        <v>180</v>
      </c>
      <c r="H3432" s="679"/>
    </row>
    <row r="3433" s="451" customFormat="true" ht="15" hidden="false" customHeight="false" outlineLevel="0" collapsed="false">
      <c r="A3433" s="707"/>
      <c r="B3433" s="708" t="s">
        <v>4128</v>
      </c>
      <c r="C3433" s="718"/>
      <c r="D3433" s="719"/>
      <c r="E3433" s="722"/>
      <c r="F3433" s="366"/>
      <c r="G3433" s="711" t="n">
        <f aca="false">SUM(G3422:G3432)</f>
        <v>1671.75</v>
      </c>
      <c r="H3433" s="679"/>
    </row>
    <row r="3434" s="451" customFormat="true" ht="15" hidden="false" customHeight="false" outlineLevel="0" collapsed="false">
      <c r="A3434" s="707" t="s">
        <v>4852</v>
      </c>
      <c r="B3434" s="487" t="s">
        <v>3163</v>
      </c>
      <c r="C3434" s="709" t="s">
        <v>4201</v>
      </c>
      <c r="D3434" s="679" t="s">
        <v>4133</v>
      </c>
      <c r="E3434" s="710" t="n">
        <v>0.002</v>
      </c>
      <c r="F3434" s="721" t="n">
        <v>27000</v>
      </c>
      <c r="G3434" s="716" t="n">
        <f aca="false">E3434*F3434</f>
        <v>54</v>
      </c>
      <c r="H3434" s="392"/>
    </row>
    <row r="3435" s="451" customFormat="true" ht="15" hidden="false" customHeight="false" outlineLevel="0" collapsed="false">
      <c r="A3435" s="707"/>
      <c r="B3435" s="522"/>
      <c r="C3435" s="709" t="s">
        <v>4205</v>
      </c>
      <c r="D3435" s="679" t="s">
        <v>4392</v>
      </c>
      <c r="E3435" s="710" t="n">
        <v>0.02</v>
      </c>
      <c r="F3435" s="717" t="n">
        <v>7875</v>
      </c>
      <c r="G3435" s="716" t="n">
        <f aca="false">E3435*F3435</f>
        <v>157.5</v>
      </c>
      <c r="H3435" s="679"/>
    </row>
    <row r="3436" s="451" customFormat="true" ht="15" hidden="false" customHeight="false" outlineLevel="0" collapsed="false">
      <c r="A3436" s="707"/>
      <c r="B3436" s="522"/>
      <c r="C3436" s="709" t="s">
        <v>4551</v>
      </c>
      <c r="D3436" s="679" t="s">
        <v>4392</v>
      </c>
      <c r="E3436" s="710" t="n">
        <v>0.3</v>
      </c>
      <c r="F3436" s="369" t="n">
        <v>2700</v>
      </c>
      <c r="G3436" s="716" t="n">
        <f aca="false">E3436*F3436</f>
        <v>810</v>
      </c>
      <c r="H3436" s="679"/>
    </row>
    <row r="3437" s="451" customFormat="true" ht="15" hidden="false" customHeight="false" outlineLevel="0" collapsed="false">
      <c r="A3437" s="707"/>
      <c r="B3437" s="522"/>
      <c r="C3437" s="709" t="s">
        <v>4552</v>
      </c>
      <c r="D3437" s="679" t="s">
        <v>4133</v>
      </c>
      <c r="E3437" s="710" t="n">
        <v>0.003</v>
      </c>
      <c r="F3437" s="369" t="n">
        <v>11200</v>
      </c>
      <c r="G3437" s="716" t="n">
        <f aca="false">E3437*F3437</f>
        <v>33.6</v>
      </c>
      <c r="H3437" s="679"/>
    </row>
    <row r="3438" s="451" customFormat="true" ht="15" hidden="false" customHeight="false" outlineLevel="0" collapsed="false">
      <c r="A3438" s="707"/>
      <c r="B3438" s="522"/>
      <c r="C3438" s="709" t="s">
        <v>4515</v>
      </c>
      <c r="D3438" s="679" t="s">
        <v>4133</v>
      </c>
      <c r="E3438" s="710" t="n">
        <v>0.006</v>
      </c>
      <c r="F3438" s="369" t="n">
        <v>2700</v>
      </c>
      <c r="G3438" s="716" t="n">
        <f aca="false">E3438*F3438</f>
        <v>16.2</v>
      </c>
      <c r="H3438" s="679"/>
    </row>
    <row r="3439" s="451" customFormat="true" ht="15" hidden="false" customHeight="false" outlineLevel="0" collapsed="false">
      <c r="A3439" s="707"/>
      <c r="B3439" s="522"/>
      <c r="C3439" s="709" t="s">
        <v>4124</v>
      </c>
      <c r="D3439" s="679" t="s">
        <v>4516</v>
      </c>
      <c r="E3439" s="710" t="n">
        <v>1.5</v>
      </c>
      <c r="F3439" s="369" t="n">
        <v>120</v>
      </c>
      <c r="G3439" s="716" t="n">
        <f aca="false">E3439*F3439</f>
        <v>180</v>
      </c>
      <c r="H3439" s="679"/>
    </row>
    <row r="3440" s="451" customFormat="true" ht="15" hidden="false" customHeight="false" outlineLevel="0" collapsed="false">
      <c r="A3440" s="707"/>
      <c r="B3440" s="708" t="s">
        <v>4128</v>
      </c>
      <c r="C3440" s="718"/>
      <c r="D3440" s="719"/>
      <c r="E3440" s="722"/>
      <c r="F3440" s="366"/>
      <c r="G3440" s="711" t="n">
        <f aca="false">SUM(G3434:G3439)</f>
        <v>1251.3</v>
      </c>
      <c r="H3440" s="392"/>
    </row>
    <row r="3441" s="451" customFormat="true" ht="15" hidden="false" customHeight="false" outlineLevel="0" collapsed="false">
      <c r="A3441" s="707" t="s">
        <v>4853</v>
      </c>
      <c r="B3441" s="487" t="s">
        <v>3147</v>
      </c>
      <c r="C3441" s="709" t="s">
        <v>4189</v>
      </c>
      <c r="D3441" s="679" t="s">
        <v>4392</v>
      </c>
      <c r="E3441" s="710" t="n">
        <v>0.033</v>
      </c>
      <c r="F3441" s="729" t="n">
        <v>3500</v>
      </c>
      <c r="G3441" s="716" t="n">
        <f aca="false">E3441*F3441</f>
        <v>115.5</v>
      </c>
      <c r="H3441" s="679"/>
    </row>
    <row r="3442" s="451" customFormat="true" ht="15" hidden="false" customHeight="false" outlineLevel="0" collapsed="false">
      <c r="A3442" s="707"/>
      <c r="B3442" s="522"/>
      <c r="C3442" s="709" t="s">
        <v>4147</v>
      </c>
      <c r="D3442" s="679" t="s">
        <v>4392</v>
      </c>
      <c r="E3442" s="710" t="n">
        <v>0.02</v>
      </c>
      <c r="F3442" s="723" t="n">
        <v>3612</v>
      </c>
      <c r="G3442" s="716" t="n">
        <f aca="false">E3442*F3442</f>
        <v>72.24</v>
      </c>
      <c r="H3442" s="679"/>
    </row>
    <row r="3443" s="451" customFormat="true" ht="15" hidden="false" customHeight="false" outlineLevel="0" collapsed="false">
      <c r="A3443" s="707"/>
      <c r="B3443" s="522"/>
      <c r="C3443" s="709" t="s">
        <v>4277</v>
      </c>
      <c r="D3443" s="679" t="s">
        <v>4133</v>
      </c>
      <c r="E3443" s="710" t="n">
        <v>0.01</v>
      </c>
      <c r="F3443" s="369" t="n">
        <v>1116</v>
      </c>
      <c r="G3443" s="716" t="n">
        <f aca="false">E3443*F3443</f>
        <v>11.16</v>
      </c>
      <c r="H3443" s="679"/>
    </row>
    <row r="3444" s="451" customFormat="true" ht="15" hidden="false" customHeight="false" outlineLevel="0" collapsed="false">
      <c r="A3444" s="707"/>
      <c r="B3444" s="522"/>
      <c r="C3444" s="709" t="s">
        <v>4575</v>
      </c>
      <c r="D3444" s="679" t="s">
        <v>4133</v>
      </c>
      <c r="E3444" s="710" t="n">
        <v>0.001</v>
      </c>
      <c r="F3444" s="369" t="n">
        <v>24000</v>
      </c>
      <c r="G3444" s="716" t="n">
        <f aca="false">E3444*F3444</f>
        <v>24</v>
      </c>
      <c r="H3444" s="392"/>
    </row>
    <row r="3445" s="451" customFormat="true" ht="15" hidden="false" customHeight="false" outlineLevel="0" collapsed="false">
      <c r="A3445" s="707"/>
      <c r="B3445" s="522"/>
      <c r="C3445" s="709" t="s">
        <v>4165</v>
      </c>
      <c r="D3445" s="679" t="s">
        <v>4133</v>
      </c>
      <c r="E3445" s="710" t="n">
        <v>0.03</v>
      </c>
      <c r="F3445" s="369" t="n">
        <v>1323</v>
      </c>
      <c r="G3445" s="716" t="n">
        <f aca="false">E3445*F3445</f>
        <v>39.69</v>
      </c>
      <c r="H3445" s="679"/>
    </row>
    <row r="3446" s="451" customFormat="true" ht="15" hidden="false" customHeight="false" outlineLevel="0" collapsed="false">
      <c r="A3446" s="707"/>
      <c r="B3446" s="522"/>
      <c r="C3446" s="709" t="s">
        <v>4270</v>
      </c>
      <c r="D3446" s="679" t="s">
        <v>4392</v>
      </c>
      <c r="E3446" s="710" t="n">
        <v>0.1</v>
      </c>
      <c r="F3446" s="369" t="n">
        <v>1750</v>
      </c>
      <c r="G3446" s="716" t="n">
        <f aca="false">E3446*F3446</f>
        <v>175</v>
      </c>
      <c r="H3446" s="679"/>
    </row>
    <row r="3447" s="451" customFormat="true" ht="15" hidden="false" customHeight="false" outlineLevel="0" collapsed="false">
      <c r="A3447" s="707"/>
      <c r="B3447" s="522"/>
      <c r="C3447" s="709" t="s">
        <v>4122</v>
      </c>
      <c r="D3447" s="679" t="s">
        <v>4392</v>
      </c>
      <c r="E3447" s="710" t="n">
        <v>0.03</v>
      </c>
      <c r="F3447" s="721" t="n">
        <v>720</v>
      </c>
      <c r="G3447" s="716" t="n">
        <f aca="false">E3447*F3447</f>
        <v>21.6</v>
      </c>
      <c r="H3447" s="679"/>
    </row>
    <row r="3448" s="451" customFormat="true" ht="15" hidden="false" customHeight="false" outlineLevel="0" collapsed="false">
      <c r="A3448" s="707"/>
      <c r="B3448" s="522"/>
      <c r="C3448" s="709" t="s">
        <v>4561</v>
      </c>
      <c r="D3448" s="679" t="s">
        <v>4138</v>
      </c>
      <c r="E3448" s="710" t="n">
        <v>1</v>
      </c>
      <c r="F3448" s="369" t="n">
        <v>490</v>
      </c>
      <c r="G3448" s="716" t="n">
        <f aca="false">E3448*F3448</f>
        <v>490</v>
      </c>
      <c r="H3448" s="679"/>
    </row>
    <row r="3449" s="451" customFormat="true" ht="15" hidden="false" customHeight="false" outlineLevel="0" collapsed="false">
      <c r="A3449" s="707"/>
      <c r="B3449" s="522"/>
      <c r="C3449" s="709" t="s">
        <v>4515</v>
      </c>
      <c r="D3449" s="679" t="s">
        <v>4133</v>
      </c>
      <c r="E3449" s="710" t="n">
        <v>0.01</v>
      </c>
      <c r="F3449" s="369" t="n">
        <v>2700</v>
      </c>
      <c r="G3449" s="716" t="n">
        <f aca="false">E3449*F3449</f>
        <v>27</v>
      </c>
      <c r="H3449" s="679"/>
    </row>
    <row r="3450" s="451" customFormat="true" ht="15" hidden="false" customHeight="false" outlineLevel="0" collapsed="false">
      <c r="A3450" s="707"/>
      <c r="B3450" s="522"/>
      <c r="C3450" s="709" t="s">
        <v>4124</v>
      </c>
      <c r="D3450" s="679" t="s">
        <v>4516</v>
      </c>
      <c r="E3450" s="710" t="n">
        <v>1</v>
      </c>
      <c r="F3450" s="369" t="n">
        <v>120</v>
      </c>
      <c r="G3450" s="716" t="n">
        <f aca="false">E3450*F3450</f>
        <v>120</v>
      </c>
      <c r="H3450" s="679"/>
    </row>
    <row r="3451" s="451" customFormat="true" ht="15" hidden="false" customHeight="false" outlineLevel="0" collapsed="false">
      <c r="A3451" s="707"/>
      <c r="B3451" s="522"/>
      <c r="C3451" s="709" t="s">
        <v>4577</v>
      </c>
      <c r="D3451" s="679" t="s">
        <v>4578</v>
      </c>
      <c r="E3451" s="710" t="n">
        <v>0.006</v>
      </c>
      <c r="F3451" s="369" t="n">
        <v>27000</v>
      </c>
      <c r="G3451" s="716" t="n">
        <f aca="false">E3451*F3451</f>
        <v>162</v>
      </c>
      <c r="H3451" s="679"/>
    </row>
    <row r="3452" s="451" customFormat="true" ht="15" hidden="false" customHeight="false" outlineLevel="0" collapsed="false">
      <c r="A3452" s="707"/>
      <c r="B3452" s="708" t="s">
        <v>4128</v>
      </c>
      <c r="C3452" s="718"/>
      <c r="D3452" s="719"/>
      <c r="E3452" s="722"/>
      <c r="F3452" s="366"/>
      <c r="G3452" s="711" t="n">
        <f aca="false">SUM(G3441:G3451)</f>
        <v>1258.19</v>
      </c>
      <c r="H3452" s="392"/>
    </row>
    <row r="3453" s="451" customFormat="true" ht="15" hidden="false" customHeight="false" outlineLevel="0" collapsed="false">
      <c r="A3453" s="707" t="s">
        <v>4854</v>
      </c>
      <c r="B3453" s="487" t="s">
        <v>3102</v>
      </c>
      <c r="C3453" s="709" t="s">
        <v>4189</v>
      </c>
      <c r="D3453" s="679" t="s">
        <v>4392</v>
      </c>
      <c r="E3453" s="710" t="n">
        <v>0.033</v>
      </c>
      <c r="F3453" s="729" t="n">
        <v>3500</v>
      </c>
      <c r="G3453" s="716" t="n">
        <f aca="false">E3453*F3453</f>
        <v>115.5</v>
      </c>
      <c r="H3453" s="679"/>
    </row>
    <row r="3454" s="451" customFormat="true" ht="15" hidden="false" customHeight="false" outlineLevel="0" collapsed="false">
      <c r="A3454" s="707"/>
      <c r="B3454" s="522"/>
      <c r="C3454" s="709" t="s">
        <v>4147</v>
      </c>
      <c r="D3454" s="679" t="s">
        <v>4392</v>
      </c>
      <c r="E3454" s="710" t="n">
        <v>0.02</v>
      </c>
      <c r="F3454" s="723" t="n">
        <v>3612</v>
      </c>
      <c r="G3454" s="716" t="n">
        <f aca="false">E3454*F3454</f>
        <v>72.24</v>
      </c>
      <c r="H3454" s="679"/>
    </row>
    <row r="3455" s="451" customFormat="true" ht="15" hidden="false" customHeight="false" outlineLevel="0" collapsed="false">
      <c r="A3455" s="707"/>
      <c r="B3455" s="522"/>
      <c r="C3455" s="709" t="s">
        <v>4277</v>
      </c>
      <c r="D3455" s="679" t="s">
        <v>4133</v>
      </c>
      <c r="E3455" s="710" t="n">
        <v>0.01</v>
      </c>
      <c r="F3455" s="369" t="n">
        <v>1116</v>
      </c>
      <c r="G3455" s="716" t="n">
        <f aca="false">E3455*F3455</f>
        <v>11.16</v>
      </c>
      <c r="H3455" s="679"/>
    </row>
    <row r="3456" s="451" customFormat="true" ht="15" hidden="false" customHeight="false" outlineLevel="0" collapsed="false">
      <c r="A3456" s="707"/>
      <c r="B3456" s="522"/>
      <c r="C3456" s="709" t="s">
        <v>4575</v>
      </c>
      <c r="D3456" s="679" t="s">
        <v>4133</v>
      </c>
      <c r="E3456" s="710" t="n">
        <v>0.001</v>
      </c>
      <c r="F3456" s="369" t="n">
        <v>24000</v>
      </c>
      <c r="G3456" s="716" t="n">
        <f aca="false">E3456*F3456</f>
        <v>24</v>
      </c>
      <c r="H3456" s="679"/>
    </row>
    <row r="3457" s="451" customFormat="true" ht="15" hidden="false" customHeight="false" outlineLevel="0" collapsed="false">
      <c r="A3457" s="707"/>
      <c r="B3457" s="522"/>
      <c r="C3457" s="709" t="s">
        <v>4165</v>
      </c>
      <c r="D3457" s="679" t="s">
        <v>4133</v>
      </c>
      <c r="E3457" s="710" t="n">
        <v>0.03</v>
      </c>
      <c r="F3457" s="369" t="n">
        <v>1323</v>
      </c>
      <c r="G3457" s="716" t="n">
        <f aca="false">E3457*F3457</f>
        <v>39.69</v>
      </c>
      <c r="H3457" s="679"/>
    </row>
    <row r="3458" s="451" customFormat="true" ht="15" hidden="false" customHeight="false" outlineLevel="0" collapsed="false">
      <c r="A3458" s="707"/>
      <c r="B3458" s="522"/>
      <c r="C3458" s="709" t="s">
        <v>4270</v>
      </c>
      <c r="D3458" s="679" t="s">
        <v>4392</v>
      </c>
      <c r="E3458" s="710" t="n">
        <v>0.1</v>
      </c>
      <c r="F3458" s="369" t="n">
        <v>1750</v>
      </c>
      <c r="G3458" s="716" t="n">
        <f aca="false">E3458*F3458</f>
        <v>175</v>
      </c>
      <c r="H3458" s="679"/>
    </row>
    <row r="3459" s="451" customFormat="true" ht="15" hidden="false" customHeight="false" outlineLevel="0" collapsed="false">
      <c r="A3459" s="707"/>
      <c r="B3459" s="522"/>
      <c r="C3459" s="709" t="s">
        <v>4122</v>
      </c>
      <c r="D3459" s="679" t="s">
        <v>4392</v>
      </c>
      <c r="E3459" s="710" t="n">
        <v>0.03</v>
      </c>
      <c r="F3459" s="721" t="n">
        <v>720</v>
      </c>
      <c r="G3459" s="716" t="n">
        <f aca="false">E3459*F3459</f>
        <v>21.6</v>
      </c>
      <c r="H3459" s="679"/>
    </row>
    <row r="3460" s="451" customFormat="true" ht="15" hidden="false" customHeight="false" outlineLevel="0" collapsed="false">
      <c r="A3460" s="707"/>
      <c r="B3460" s="522"/>
      <c r="C3460" s="709" t="s">
        <v>4561</v>
      </c>
      <c r="D3460" s="679" t="s">
        <v>4138</v>
      </c>
      <c r="E3460" s="710" t="n">
        <v>1</v>
      </c>
      <c r="F3460" s="369" t="n">
        <v>490</v>
      </c>
      <c r="G3460" s="716" t="n">
        <f aca="false">E3460*F3460</f>
        <v>490</v>
      </c>
      <c r="H3460" s="679"/>
    </row>
    <row r="3461" s="451" customFormat="true" ht="15" hidden="false" customHeight="false" outlineLevel="0" collapsed="false">
      <c r="A3461" s="707"/>
      <c r="B3461" s="522"/>
      <c r="C3461" s="709" t="s">
        <v>4515</v>
      </c>
      <c r="D3461" s="679" t="s">
        <v>4133</v>
      </c>
      <c r="E3461" s="710" t="n">
        <v>0.01</v>
      </c>
      <c r="F3461" s="369" t="n">
        <v>2700</v>
      </c>
      <c r="G3461" s="716" t="n">
        <f aca="false">E3461*F3461</f>
        <v>27</v>
      </c>
      <c r="H3461" s="679"/>
    </row>
    <row r="3462" s="451" customFormat="true" ht="15" hidden="false" customHeight="false" outlineLevel="0" collapsed="false">
      <c r="A3462" s="707"/>
      <c r="B3462" s="522"/>
      <c r="C3462" s="709" t="s">
        <v>4124</v>
      </c>
      <c r="D3462" s="679" t="s">
        <v>4516</v>
      </c>
      <c r="E3462" s="710" t="n">
        <v>1</v>
      </c>
      <c r="F3462" s="369" t="n">
        <v>120</v>
      </c>
      <c r="G3462" s="716" t="n">
        <f aca="false">E3462*F3462</f>
        <v>120</v>
      </c>
      <c r="H3462" s="679"/>
    </row>
    <row r="3463" s="451" customFormat="true" ht="15" hidden="false" customHeight="false" outlineLevel="0" collapsed="false">
      <c r="A3463" s="707"/>
      <c r="B3463" s="522"/>
      <c r="C3463" s="709" t="s">
        <v>4577</v>
      </c>
      <c r="D3463" s="679" t="s">
        <v>4578</v>
      </c>
      <c r="E3463" s="710" t="n">
        <v>0.006</v>
      </c>
      <c r="F3463" s="369" t="n">
        <v>27000</v>
      </c>
      <c r="G3463" s="716" t="n">
        <f aca="false">E3463*F3463</f>
        <v>162</v>
      </c>
      <c r="H3463" s="679"/>
    </row>
    <row r="3464" s="451" customFormat="true" ht="15" hidden="false" customHeight="false" outlineLevel="0" collapsed="false">
      <c r="A3464" s="707"/>
      <c r="B3464" s="708" t="s">
        <v>4128</v>
      </c>
      <c r="C3464" s="718"/>
      <c r="D3464" s="719"/>
      <c r="E3464" s="722"/>
      <c r="F3464" s="366"/>
      <c r="G3464" s="711" t="n">
        <f aca="false">SUM(G3453:G3463)</f>
        <v>1258.19</v>
      </c>
      <c r="H3464" s="392"/>
    </row>
    <row r="3465" s="451" customFormat="true" ht="15" hidden="false" customHeight="false" outlineLevel="0" collapsed="false">
      <c r="A3465" s="707" t="s">
        <v>685</v>
      </c>
      <c r="B3465" s="487" t="s">
        <v>3148</v>
      </c>
      <c r="C3465" s="709" t="s">
        <v>4580</v>
      </c>
      <c r="D3465" s="679" t="s">
        <v>4133</v>
      </c>
      <c r="E3465" s="710" t="n">
        <v>0.1</v>
      </c>
      <c r="F3465" s="369" t="n">
        <v>1690</v>
      </c>
      <c r="G3465" s="716" t="n">
        <f aca="false">E3465*F3465</f>
        <v>169</v>
      </c>
      <c r="H3465" s="679"/>
    </row>
    <row r="3466" s="451" customFormat="true" ht="15" hidden="false" customHeight="false" outlineLevel="0" collapsed="false">
      <c r="A3466" s="707"/>
      <c r="B3466" s="522"/>
      <c r="C3466" s="709" t="s">
        <v>4750</v>
      </c>
      <c r="D3466" s="679" t="s">
        <v>4133</v>
      </c>
      <c r="E3466" s="710" t="n">
        <v>0.0009</v>
      </c>
      <c r="F3466" s="369" t="n">
        <v>21000</v>
      </c>
      <c r="G3466" s="716" t="n">
        <f aca="false">E3466*F3466</f>
        <v>18.9</v>
      </c>
      <c r="H3466" s="679"/>
    </row>
    <row r="3467" s="451" customFormat="true" ht="30" hidden="false" customHeight="false" outlineLevel="0" collapsed="false">
      <c r="A3467" s="707"/>
      <c r="B3467" s="522"/>
      <c r="C3467" s="709" t="s">
        <v>4581</v>
      </c>
      <c r="D3467" s="679" t="s">
        <v>4133</v>
      </c>
      <c r="E3467" s="710" t="n">
        <v>0.002</v>
      </c>
      <c r="F3467" s="369" t="n">
        <v>118100</v>
      </c>
      <c r="G3467" s="716" t="n">
        <f aca="false">E3467*F3467</f>
        <v>236.2</v>
      </c>
      <c r="H3467" s="679"/>
    </row>
    <row r="3468" s="451" customFormat="true" ht="15" hidden="false" customHeight="false" outlineLevel="0" collapsed="false">
      <c r="A3468" s="707"/>
      <c r="B3468" s="522"/>
      <c r="C3468" s="709" t="s">
        <v>4582</v>
      </c>
      <c r="D3468" s="679" t="s">
        <v>4133</v>
      </c>
      <c r="E3468" s="710" t="n">
        <v>0.01</v>
      </c>
      <c r="F3468" s="369" t="n">
        <v>2100</v>
      </c>
      <c r="G3468" s="716" t="n">
        <f aca="false">E3468*F3468</f>
        <v>21</v>
      </c>
      <c r="H3468" s="679"/>
    </row>
    <row r="3469" s="451" customFormat="true" ht="15" hidden="false" customHeight="false" outlineLevel="0" collapsed="false">
      <c r="A3469" s="707"/>
      <c r="B3469" s="522"/>
      <c r="C3469" s="709" t="s">
        <v>4583</v>
      </c>
      <c r="D3469" s="679" t="s">
        <v>4138</v>
      </c>
      <c r="E3469" s="710" t="n">
        <v>0.12</v>
      </c>
      <c r="F3469" s="369" t="n">
        <v>490</v>
      </c>
      <c r="G3469" s="716" t="n">
        <f aca="false">E3469*F3469</f>
        <v>58.8</v>
      </c>
      <c r="H3469" s="679"/>
    </row>
    <row r="3470" s="451" customFormat="true" ht="15" hidden="false" customHeight="false" outlineLevel="0" collapsed="false">
      <c r="A3470" s="707"/>
      <c r="B3470" s="522"/>
      <c r="C3470" s="709" t="s">
        <v>4584</v>
      </c>
      <c r="D3470" s="679" t="s">
        <v>4133</v>
      </c>
      <c r="E3470" s="710" t="n">
        <v>0.012</v>
      </c>
      <c r="F3470" s="369" t="n">
        <v>1901</v>
      </c>
      <c r="G3470" s="716" t="n">
        <f aca="false">E3470*F3470</f>
        <v>22.812</v>
      </c>
      <c r="H3470" s="679"/>
    </row>
    <row r="3471" s="451" customFormat="true" ht="15" hidden="false" customHeight="false" outlineLevel="0" collapsed="false">
      <c r="A3471" s="707"/>
      <c r="B3471" s="522"/>
      <c r="C3471" s="709" t="s">
        <v>4585</v>
      </c>
      <c r="D3471" s="679" t="s">
        <v>4133</v>
      </c>
      <c r="E3471" s="710" t="n">
        <v>0.003</v>
      </c>
      <c r="F3471" s="369" t="n">
        <v>8900</v>
      </c>
      <c r="G3471" s="716" t="n">
        <f aca="false">E3471*F3471</f>
        <v>26.7</v>
      </c>
      <c r="H3471" s="392"/>
    </row>
    <row r="3472" s="451" customFormat="true" ht="15" hidden="false" customHeight="false" outlineLevel="0" collapsed="false">
      <c r="A3472" s="707"/>
      <c r="B3472" s="522"/>
      <c r="C3472" s="709" t="s">
        <v>4201</v>
      </c>
      <c r="D3472" s="679" t="s">
        <v>4133</v>
      </c>
      <c r="E3472" s="710" t="n">
        <v>0.04</v>
      </c>
      <c r="F3472" s="721" t="n">
        <v>27000</v>
      </c>
      <c r="G3472" s="716" t="n">
        <f aca="false">E3472*F3472</f>
        <v>1080</v>
      </c>
      <c r="H3472" s="679"/>
    </row>
    <row r="3473" s="451" customFormat="true" ht="15" hidden="false" customHeight="false" outlineLevel="0" collapsed="false">
      <c r="A3473" s="707"/>
      <c r="B3473" s="522"/>
      <c r="C3473" s="709" t="s">
        <v>4122</v>
      </c>
      <c r="D3473" s="679" t="s">
        <v>4392</v>
      </c>
      <c r="E3473" s="710" t="n">
        <v>0.25</v>
      </c>
      <c r="F3473" s="721" t="n">
        <v>720</v>
      </c>
      <c r="G3473" s="716" t="n">
        <f aca="false">E3473*F3473</f>
        <v>180</v>
      </c>
      <c r="H3473" s="679"/>
    </row>
    <row r="3474" s="451" customFormat="true" ht="15" hidden="false" customHeight="false" outlineLevel="0" collapsed="false">
      <c r="A3474" s="707"/>
      <c r="B3474" s="522"/>
      <c r="C3474" s="709" t="s">
        <v>4154</v>
      </c>
      <c r="D3474" s="679" t="s">
        <v>4392</v>
      </c>
      <c r="E3474" s="710" t="n">
        <v>0.0375</v>
      </c>
      <c r="F3474" s="721" t="n">
        <v>3500</v>
      </c>
      <c r="G3474" s="716" t="n">
        <f aca="false">E3474*F3474</f>
        <v>131.25</v>
      </c>
      <c r="H3474" s="679"/>
    </row>
    <row r="3475" s="451" customFormat="true" ht="15" hidden="false" customHeight="false" outlineLevel="0" collapsed="false">
      <c r="A3475" s="707"/>
      <c r="B3475" s="522"/>
      <c r="C3475" s="709" t="s">
        <v>4515</v>
      </c>
      <c r="D3475" s="679" t="s">
        <v>4133</v>
      </c>
      <c r="E3475" s="710" t="n">
        <v>0.006</v>
      </c>
      <c r="F3475" s="369" t="n">
        <v>2700</v>
      </c>
      <c r="G3475" s="716" t="n">
        <f aca="false">E3475*F3475</f>
        <v>16.2</v>
      </c>
      <c r="H3475" s="679"/>
    </row>
    <row r="3476" s="451" customFormat="true" ht="15" hidden="false" customHeight="false" outlineLevel="0" collapsed="false">
      <c r="A3476" s="707"/>
      <c r="B3476" s="522"/>
      <c r="C3476" s="709" t="s">
        <v>4124</v>
      </c>
      <c r="D3476" s="679" t="s">
        <v>4516</v>
      </c>
      <c r="E3476" s="710" t="n">
        <v>0.016</v>
      </c>
      <c r="F3476" s="369" t="n">
        <v>120</v>
      </c>
      <c r="G3476" s="716" t="n">
        <f aca="false">E3476*F3476</f>
        <v>1.92</v>
      </c>
      <c r="H3476" s="679"/>
    </row>
    <row r="3477" s="451" customFormat="true" ht="15" hidden="false" customHeight="false" outlineLevel="0" collapsed="false">
      <c r="A3477" s="707"/>
      <c r="B3477" s="522"/>
      <c r="C3477" s="709" t="s">
        <v>4586</v>
      </c>
      <c r="D3477" s="679" t="s">
        <v>4578</v>
      </c>
      <c r="E3477" s="710" t="n">
        <v>0.001</v>
      </c>
      <c r="F3477" s="369" t="n">
        <v>27000</v>
      </c>
      <c r="G3477" s="716" t="n">
        <f aca="false">E3477*F3477</f>
        <v>27</v>
      </c>
      <c r="H3477" s="679"/>
    </row>
    <row r="3478" s="451" customFormat="true" ht="15" hidden="false" customHeight="false" outlineLevel="0" collapsed="false">
      <c r="A3478" s="707"/>
      <c r="B3478" s="708" t="s">
        <v>4128</v>
      </c>
      <c r="C3478" s="718"/>
      <c r="D3478" s="719"/>
      <c r="E3478" s="722"/>
      <c r="F3478" s="366"/>
      <c r="G3478" s="711" t="n">
        <f aca="false">SUM(G3465:G3477)</f>
        <v>1989.782</v>
      </c>
      <c r="H3478" s="679"/>
    </row>
    <row r="3479" s="451" customFormat="true" ht="15" hidden="false" customHeight="false" outlineLevel="0" collapsed="false">
      <c r="A3479" s="707" t="s">
        <v>4855</v>
      </c>
      <c r="B3479" s="487" t="s">
        <v>3149</v>
      </c>
      <c r="C3479" s="709" t="s">
        <v>4189</v>
      </c>
      <c r="D3479" s="679" t="s">
        <v>4392</v>
      </c>
      <c r="E3479" s="710" t="n">
        <v>0.0333</v>
      </c>
      <c r="F3479" s="729" t="n">
        <v>3500</v>
      </c>
      <c r="G3479" s="716" t="n">
        <f aca="false">E3479*F3479</f>
        <v>116.55</v>
      </c>
      <c r="H3479" s="679"/>
    </row>
    <row r="3480" s="451" customFormat="true" ht="15" hidden="false" customHeight="false" outlineLevel="0" collapsed="false">
      <c r="A3480" s="707"/>
      <c r="B3480" s="522"/>
      <c r="C3480" s="709" t="s">
        <v>4147</v>
      </c>
      <c r="D3480" s="679" t="s">
        <v>4392</v>
      </c>
      <c r="E3480" s="710" t="n">
        <v>0.2</v>
      </c>
      <c r="F3480" s="723" t="n">
        <v>3612</v>
      </c>
      <c r="G3480" s="716" t="n">
        <f aca="false">E3480*F3480</f>
        <v>722.4</v>
      </c>
      <c r="H3480" s="679"/>
    </row>
    <row r="3481" s="451" customFormat="true" ht="15" hidden="false" customHeight="false" outlineLevel="0" collapsed="false">
      <c r="A3481" s="707"/>
      <c r="B3481" s="522"/>
      <c r="C3481" s="709" t="s">
        <v>4277</v>
      </c>
      <c r="D3481" s="679" t="s">
        <v>4133</v>
      </c>
      <c r="E3481" s="710" t="n">
        <v>0.01</v>
      </c>
      <c r="F3481" s="369" t="n">
        <v>1116</v>
      </c>
      <c r="G3481" s="716" t="n">
        <f aca="false">E3481*F3481</f>
        <v>11.16</v>
      </c>
      <c r="H3481" s="679"/>
    </row>
    <row r="3482" s="451" customFormat="true" ht="15" hidden="false" customHeight="false" outlineLevel="0" collapsed="false">
      <c r="A3482" s="707"/>
      <c r="B3482" s="522"/>
      <c r="C3482" s="709" t="s">
        <v>4575</v>
      </c>
      <c r="D3482" s="679" t="s">
        <v>4133</v>
      </c>
      <c r="E3482" s="710" t="n">
        <v>0.01</v>
      </c>
      <c r="F3482" s="369" t="n">
        <v>1323</v>
      </c>
      <c r="G3482" s="716" t="n">
        <f aca="false">E3482*F3482</f>
        <v>13.23</v>
      </c>
      <c r="H3482" s="679"/>
    </row>
    <row r="3483" s="451" customFormat="true" ht="15" hidden="false" customHeight="false" outlineLevel="0" collapsed="false">
      <c r="A3483" s="707"/>
      <c r="B3483" s="522"/>
      <c r="C3483" s="709" t="s">
        <v>4165</v>
      </c>
      <c r="D3483" s="679" t="s">
        <v>4133</v>
      </c>
      <c r="E3483" s="710" t="n">
        <v>0.03</v>
      </c>
      <c r="F3483" s="369" t="n">
        <v>1323</v>
      </c>
      <c r="G3483" s="716" t="n">
        <f aca="false">E3483*F3483</f>
        <v>39.69</v>
      </c>
      <c r="H3483" s="392"/>
    </row>
    <row r="3484" s="451" customFormat="true" ht="15" hidden="false" customHeight="false" outlineLevel="0" collapsed="false">
      <c r="A3484" s="707"/>
      <c r="B3484" s="522"/>
      <c r="C3484" s="709" t="s">
        <v>4270</v>
      </c>
      <c r="D3484" s="679" t="s">
        <v>4392</v>
      </c>
      <c r="E3484" s="710" t="n">
        <v>0.1</v>
      </c>
      <c r="F3484" s="369" t="n">
        <v>1750</v>
      </c>
      <c r="G3484" s="716" t="n">
        <f aca="false">E3484*F3484</f>
        <v>175</v>
      </c>
      <c r="H3484" s="679"/>
    </row>
    <row r="3485" s="451" customFormat="true" ht="15" hidden="false" customHeight="false" outlineLevel="0" collapsed="false">
      <c r="A3485" s="707"/>
      <c r="B3485" s="522"/>
      <c r="C3485" s="709" t="s">
        <v>4122</v>
      </c>
      <c r="D3485" s="679" t="s">
        <v>4392</v>
      </c>
      <c r="E3485" s="710" t="n">
        <v>0.3</v>
      </c>
      <c r="F3485" s="721" t="n">
        <v>720</v>
      </c>
      <c r="G3485" s="716" t="n">
        <f aca="false">E3485*F3485</f>
        <v>216</v>
      </c>
      <c r="H3485" s="679"/>
    </row>
    <row r="3486" s="451" customFormat="true" ht="30" hidden="false" customHeight="false" outlineLevel="0" collapsed="false">
      <c r="A3486" s="707"/>
      <c r="B3486" s="522"/>
      <c r="C3486" s="709" t="s">
        <v>4594</v>
      </c>
      <c r="D3486" s="679" t="s">
        <v>4138</v>
      </c>
      <c r="E3486" s="710" t="n">
        <v>0.1</v>
      </c>
      <c r="F3486" s="369" t="n">
        <v>2500</v>
      </c>
      <c r="G3486" s="716" t="n">
        <f aca="false">E3486*F3486</f>
        <v>250</v>
      </c>
      <c r="H3486" s="679"/>
    </row>
    <row r="3487" s="451" customFormat="true" ht="15" hidden="false" customHeight="false" outlineLevel="0" collapsed="false">
      <c r="A3487" s="707"/>
      <c r="B3487" s="522"/>
      <c r="C3487" s="709" t="s">
        <v>4515</v>
      </c>
      <c r="D3487" s="679" t="s">
        <v>4133</v>
      </c>
      <c r="E3487" s="710" t="n">
        <v>0.006</v>
      </c>
      <c r="F3487" s="369" t="n">
        <v>2700</v>
      </c>
      <c r="G3487" s="716" t="n">
        <f aca="false">E3487*F3487</f>
        <v>16.2</v>
      </c>
      <c r="H3487" s="679"/>
    </row>
    <row r="3488" s="451" customFormat="true" ht="15" hidden="false" customHeight="false" outlineLevel="0" collapsed="false">
      <c r="A3488" s="707"/>
      <c r="B3488" s="522"/>
      <c r="C3488" s="709" t="s">
        <v>4124</v>
      </c>
      <c r="D3488" s="679" t="s">
        <v>4516</v>
      </c>
      <c r="E3488" s="710" t="n">
        <v>0.015</v>
      </c>
      <c r="F3488" s="369" t="n">
        <v>120</v>
      </c>
      <c r="G3488" s="716" t="n">
        <f aca="false">E3488*F3488</f>
        <v>1.8</v>
      </c>
      <c r="H3488" s="679"/>
    </row>
    <row r="3489" s="451" customFormat="true" ht="15" hidden="false" customHeight="false" outlineLevel="0" collapsed="false">
      <c r="A3489" s="707"/>
      <c r="B3489" s="522"/>
      <c r="C3489" s="709" t="s">
        <v>4586</v>
      </c>
      <c r="D3489" s="679" t="s">
        <v>4578</v>
      </c>
      <c r="E3489" s="710" t="n">
        <v>0.001</v>
      </c>
      <c r="F3489" s="369" t="n">
        <v>27000</v>
      </c>
      <c r="G3489" s="716" t="n">
        <f aca="false">E3489*F3489</f>
        <v>27</v>
      </c>
      <c r="H3489" s="679"/>
    </row>
    <row r="3490" s="451" customFormat="true" ht="15" hidden="false" customHeight="false" outlineLevel="0" collapsed="false">
      <c r="A3490" s="707"/>
      <c r="B3490" s="708" t="s">
        <v>4128</v>
      </c>
      <c r="C3490" s="718"/>
      <c r="D3490" s="719"/>
      <c r="E3490" s="722"/>
      <c r="F3490" s="366"/>
      <c r="G3490" s="711" t="n">
        <f aca="false">SUM(G3479:G3489)</f>
        <v>1589.03</v>
      </c>
      <c r="H3490" s="679"/>
    </row>
    <row r="3491" s="451" customFormat="true" ht="15" hidden="false" customHeight="false" outlineLevel="0" collapsed="false">
      <c r="A3491" s="707" t="s">
        <v>4856</v>
      </c>
      <c r="B3491" s="487" t="s">
        <v>4857</v>
      </c>
      <c r="C3491" s="709" t="s">
        <v>4189</v>
      </c>
      <c r="D3491" s="679" t="s">
        <v>4392</v>
      </c>
      <c r="E3491" s="710" t="n">
        <v>0.33</v>
      </c>
      <c r="F3491" s="729" t="n">
        <v>3500</v>
      </c>
      <c r="G3491" s="716" t="n">
        <f aca="false">E3491*F3491</f>
        <v>1155</v>
      </c>
      <c r="H3491" s="679"/>
    </row>
    <row r="3492" s="451" customFormat="true" ht="15" hidden="false" customHeight="false" outlineLevel="0" collapsed="false">
      <c r="A3492" s="707"/>
      <c r="B3492" s="522"/>
      <c r="C3492" s="709" t="s">
        <v>4147</v>
      </c>
      <c r="D3492" s="679" t="s">
        <v>4392</v>
      </c>
      <c r="E3492" s="710" t="n">
        <v>0.2</v>
      </c>
      <c r="F3492" s="723" t="n">
        <v>3612</v>
      </c>
      <c r="G3492" s="716" t="n">
        <f aca="false">E3492*F3492</f>
        <v>722.4</v>
      </c>
      <c r="H3492" s="679"/>
    </row>
    <row r="3493" s="451" customFormat="true" ht="15" hidden="false" customHeight="false" outlineLevel="0" collapsed="false">
      <c r="A3493" s="707"/>
      <c r="B3493" s="522"/>
      <c r="C3493" s="709" t="s">
        <v>4277</v>
      </c>
      <c r="D3493" s="679" t="s">
        <v>4133</v>
      </c>
      <c r="E3493" s="710" t="n">
        <v>0.1</v>
      </c>
      <c r="F3493" s="369" t="n">
        <v>1116</v>
      </c>
      <c r="G3493" s="716" t="n">
        <f aca="false">E3493*F3493</f>
        <v>111.6</v>
      </c>
      <c r="H3493" s="679"/>
    </row>
    <row r="3494" s="451" customFormat="true" ht="15" hidden="false" customHeight="false" outlineLevel="0" collapsed="false">
      <c r="A3494" s="707"/>
      <c r="B3494" s="522"/>
      <c r="C3494" s="709" t="s">
        <v>4575</v>
      </c>
      <c r="D3494" s="679" t="s">
        <v>4133</v>
      </c>
      <c r="E3494" s="710" t="n">
        <v>0.01</v>
      </c>
      <c r="F3494" s="369" t="n">
        <v>24000</v>
      </c>
      <c r="G3494" s="716" t="n">
        <f aca="false">E3494*F3494</f>
        <v>240</v>
      </c>
      <c r="H3494" s="679"/>
    </row>
    <row r="3495" s="451" customFormat="true" ht="15" hidden="false" customHeight="false" outlineLevel="0" collapsed="false">
      <c r="A3495" s="707"/>
      <c r="B3495" s="522"/>
      <c r="C3495" s="709" t="s">
        <v>4165</v>
      </c>
      <c r="D3495" s="679" t="s">
        <v>4133</v>
      </c>
      <c r="E3495" s="710" t="n">
        <v>0.022675</v>
      </c>
      <c r="F3495" s="369" t="n">
        <v>1323</v>
      </c>
      <c r="G3495" s="716" t="n">
        <f aca="false">E3495*F3495</f>
        <v>29.999025</v>
      </c>
      <c r="H3495" s="392"/>
    </row>
    <row r="3496" s="451" customFormat="true" ht="15" hidden="false" customHeight="false" outlineLevel="0" collapsed="false">
      <c r="A3496" s="707"/>
      <c r="B3496" s="522"/>
      <c r="C3496" s="709" t="s">
        <v>4270</v>
      </c>
      <c r="D3496" s="679" t="s">
        <v>4392</v>
      </c>
      <c r="E3496" s="710" t="n">
        <v>0.01</v>
      </c>
      <c r="F3496" s="369" t="n">
        <v>1750</v>
      </c>
      <c r="G3496" s="716" t="n">
        <f aca="false">E3496*F3496</f>
        <v>17.5</v>
      </c>
      <c r="H3496" s="679"/>
    </row>
    <row r="3497" s="451" customFormat="true" ht="15" hidden="false" customHeight="false" outlineLevel="0" collapsed="false">
      <c r="A3497" s="707"/>
      <c r="B3497" s="522"/>
      <c r="C3497" s="709" t="s">
        <v>4122</v>
      </c>
      <c r="D3497" s="679" t="s">
        <v>4392</v>
      </c>
      <c r="E3497" s="710" t="n">
        <v>0.3</v>
      </c>
      <c r="F3497" s="721" t="n">
        <v>720</v>
      </c>
      <c r="G3497" s="716" t="n">
        <f aca="false">E3497*F3497</f>
        <v>216</v>
      </c>
      <c r="H3497" s="679"/>
    </row>
    <row r="3498" s="451" customFormat="true" ht="15" hidden="false" customHeight="false" outlineLevel="0" collapsed="false">
      <c r="A3498" s="707"/>
      <c r="B3498" s="522"/>
      <c r="C3498" s="709" t="s">
        <v>4572</v>
      </c>
      <c r="D3498" s="679" t="s">
        <v>4138</v>
      </c>
      <c r="E3498" s="710" t="n">
        <v>1</v>
      </c>
      <c r="F3498" s="369" t="n">
        <v>490</v>
      </c>
      <c r="G3498" s="716" t="n">
        <f aca="false">E3498*F3498</f>
        <v>490</v>
      </c>
      <c r="H3498" s="679"/>
    </row>
    <row r="3499" s="451" customFormat="true" ht="15" hidden="false" customHeight="false" outlineLevel="0" collapsed="false">
      <c r="A3499" s="707"/>
      <c r="B3499" s="522"/>
      <c r="C3499" s="709" t="s">
        <v>4515</v>
      </c>
      <c r="D3499" s="679" t="s">
        <v>4133</v>
      </c>
      <c r="E3499" s="710" t="n">
        <v>0.006</v>
      </c>
      <c r="F3499" s="369" t="n">
        <v>2700</v>
      </c>
      <c r="G3499" s="716" t="n">
        <f aca="false">E3499*F3499</f>
        <v>16.2</v>
      </c>
      <c r="H3499" s="679"/>
    </row>
    <row r="3500" s="451" customFormat="true" ht="15" hidden="false" customHeight="false" outlineLevel="0" collapsed="false">
      <c r="A3500" s="707"/>
      <c r="B3500" s="522"/>
      <c r="C3500" s="709" t="s">
        <v>4124</v>
      </c>
      <c r="D3500" s="679" t="s">
        <v>4516</v>
      </c>
      <c r="E3500" s="710" t="n">
        <v>0.142</v>
      </c>
      <c r="F3500" s="369" t="n">
        <v>120</v>
      </c>
      <c r="G3500" s="716" t="n">
        <f aca="false">E3500*F3500</f>
        <v>17.04</v>
      </c>
      <c r="H3500" s="679"/>
    </row>
    <row r="3501" s="451" customFormat="true" ht="15" hidden="false" customHeight="false" outlineLevel="0" collapsed="false">
      <c r="A3501" s="707"/>
      <c r="B3501" s="522"/>
      <c r="C3501" s="709" t="s">
        <v>4577</v>
      </c>
      <c r="D3501" s="679" t="s">
        <v>4578</v>
      </c>
      <c r="E3501" s="710" t="n">
        <v>0.01</v>
      </c>
      <c r="F3501" s="369" t="n">
        <v>27000</v>
      </c>
      <c r="G3501" s="716" t="n">
        <f aca="false">E3501*F3501</f>
        <v>270</v>
      </c>
      <c r="H3501" s="679"/>
    </row>
    <row r="3502" s="451" customFormat="true" ht="15" hidden="false" customHeight="false" outlineLevel="0" collapsed="false">
      <c r="A3502" s="707"/>
      <c r="B3502" s="708" t="s">
        <v>4128</v>
      </c>
      <c r="C3502" s="718"/>
      <c r="D3502" s="719"/>
      <c r="E3502" s="722"/>
      <c r="F3502" s="366"/>
      <c r="G3502" s="711" t="n">
        <f aca="false">SUM(G3491:G3501)</f>
        <v>3285.739025</v>
      </c>
      <c r="H3502" s="679"/>
    </row>
    <row r="3503" s="451" customFormat="true" ht="15" hidden="false" customHeight="false" outlineLevel="0" collapsed="false">
      <c r="A3503" s="707" t="s">
        <v>4858</v>
      </c>
      <c r="B3503" s="487" t="s">
        <v>4859</v>
      </c>
      <c r="C3503" s="709" t="s">
        <v>4671</v>
      </c>
      <c r="D3503" s="679" t="s">
        <v>4133</v>
      </c>
      <c r="E3503" s="710" t="n">
        <v>0.14</v>
      </c>
      <c r="F3503" s="369" t="n">
        <v>845</v>
      </c>
      <c r="G3503" s="716" t="n">
        <f aca="false">E3503*F3503</f>
        <v>118.3</v>
      </c>
      <c r="H3503" s="679"/>
    </row>
    <row r="3504" s="451" customFormat="true" ht="15" hidden="false" customHeight="false" outlineLevel="0" collapsed="false">
      <c r="A3504" s="707"/>
      <c r="B3504" s="522"/>
      <c r="C3504" s="709" t="s">
        <v>4672</v>
      </c>
      <c r="D3504" s="679" t="s">
        <v>4392</v>
      </c>
      <c r="E3504" s="710" t="n">
        <v>0.0126</v>
      </c>
      <c r="F3504" s="369" t="n">
        <v>25500</v>
      </c>
      <c r="G3504" s="716" t="n">
        <f aca="false">E3504*F3504</f>
        <v>321.3</v>
      </c>
      <c r="H3504" s="679"/>
    </row>
    <row r="3505" s="451" customFormat="true" ht="15" hidden="false" customHeight="false" outlineLevel="0" collapsed="false">
      <c r="A3505" s="707"/>
      <c r="B3505" s="522"/>
      <c r="C3505" s="709" t="s">
        <v>4250</v>
      </c>
      <c r="D3505" s="679" t="s">
        <v>4392</v>
      </c>
      <c r="E3505" s="710" t="n">
        <v>0.013</v>
      </c>
      <c r="F3505" s="369" t="n">
        <v>27000</v>
      </c>
      <c r="G3505" s="716" t="n">
        <f aca="false">E3505*F3505</f>
        <v>351</v>
      </c>
      <c r="H3505" s="679"/>
    </row>
    <row r="3506" s="451" customFormat="true" ht="15" hidden="false" customHeight="false" outlineLevel="0" collapsed="false">
      <c r="A3506" s="707"/>
      <c r="B3506" s="522"/>
      <c r="C3506" s="709" t="s">
        <v>4205</v>
      </c>
      <c r="D3506" s="679" t="s">
        <v>4392</v>
      </c>
      <c r="E3506" s="710" t="n">
        <v>0.07</v>
      </c>
      <c r="F3506" s="717" t="n">
        <v>7875</v>
      </c>
      <c r="G3506" s="716" t="n">
        <f aca="false">E3506*F3506</f>
        <v>551.25</v>
      </c>
      <c r="H3506" s="679"/>
    </row>
    <row r="3507" s="451" customFormat="true" ht="15" hidden="false" customHeight="false" outlineLevel="0" collapsed="false">
      <c r="A3507" s="707"/>
      <c r="B3507" s="522"/>
      <c r="C3507" s="709" t="s">
        <v>4171</v>
      </c>
      <c r="D3507" s="679" t="s">
        <v>4392</v>
      </c>
      <c r="E3507" s="710" t="n">
        <v>0.1</v>
      </c>
      <c r="F3507" s="369" t="n">
        <v>2700</v>
      </c>
      <c r="G3507" s="716" t="n">
        <f aca="false">E3507*F3507</f>
        <v>270</v>
      </c>
      <c r="H3507" s="679"/>
    </row>
    <row r="3508" s="451" customFormat="true" ht="15" hidden="false" customHeight="false" outlineLevel="0" collapsed="false">
      <c r="A3508" s="707"/>
      <c r="B3508" s="522"/>
      <c r="C3508" s="709" t="s">
        <v>4545</v>
      </c>
      <c r="D3508" s="679" t="s">
        <v>4133</v>
      </c>
      <c r="E3508" s="710" t="n">
        <v>0.12</v>
      </c>
      <c r="F3508" s="369" t="n">
        <v>1071</v>
      </c>
      <c r="G3508" s="716" t="n">
        <f aca="false">E3508*F3508</f>
        <v>128.52</v>
      </c>
      <c r="H3508" s="679"/>
    </row>
    <row r="3509" s="451" customFormat="true" ht="15" hidden="false" customHeight="false" outlineLevel="0" collapsed="false">
      <c r="A3509" s="707"/>
      <c r="B3509" s="522"/>
      <c r="C3509" s="709" t="s">
        <v>4604</v>
      </c>
      <c r="D3509" s="679" t="s">
        <v>4392</v>
      </c>
      <c r="E3509" s="710" t="n">
        <v>0.0063945</v>
      </c>
      <c r="F3509" s="369" t="n">
        <v>115000</v>
      </c>
      <c r="G3509" s="716" t="n">
        <f aca="false">E3509*F3509</f>
        <v>735.3675</v>
      </c>
      <c r="H3509" s="679"/>
    </row>
    <row r="3510" s="451" customFormat="true" ht="15" hidden="false" customHeight="false" outlineLevel="0" collapsed="false">
      <c r="A3510" s="707"/>
      <c r="B3510" s="522"/>
      <c r="C3510" s="709" t="s">
        <v>4580</v>
      </c>
      <c r="D3510" s="679" t="s">
        <v>4133</v>
      </c>
      <c r="E3510" s="710" t="n">
        <v>0.015</v>
      </c>
      <c r="F3510" s="369" t="n">
        <v>1690</v>
      </c>
      <c r="G3510" s="716" t="n">
        <f aca="false">E3510*F3510</f>
        <v>25.35</v>
      </c>
      <c r="H3510" s="679"/>
    </row>
    <row r="3511" s="451" customFormat="true" ht="15" hidden="false" customHeight="false" outlineLevel="0" collapsed="false">
      <c r="A3511" s="707"/>
      <c r="B3511" s="522"/>
      <c r="C3511" s="709" t="s">
        <v>4317</v>
      </c>
      <c r="D3511" s="679" t="s">
        <v>4392</v>
      </c>
      <c r="E3511" s="710" t="n">
        <v>0.05</v>
      </c>
      <c r="F3511" s="724" t="n">
        <v>16500</v>
      </c>
      <c r="G3511" s="716" t="n">
        <f aca="false">E3511*F3511</f>
        <v>825</v>
      </c>
      <c r="H3511" s="679"/>
    </row>
    <row r="3512" s="451" customFormat="true" ht="15" hidden="false" customHeight="false" outlineLevel="0" collapsed="false">
      <c r="A3512" s="707"/>
      <c r="B3512" s="522"/>
      <c r="C3512" s="709" t="s">
        <v>4485</v>
      </c>
      <c r="D3512" s="679" t="s">
        <v>4133</v>
      </c>
      <c r="E3512" s="710" t="n">
        <v>0.02</v>
      </c>
      <c r="F3512" s="729" t="n">
        <v>3500</v>
      </c>
      <c r="G3512" s="716" t="n">
        <f aca="false">E3512*F3512</f>
        <v>70</v>
      </c>
      <c r="H3512" s="679"/>
    </row>
    <row r="3513" s="451" customFormat="true" ht="15" hidden="false" customHeight="false" outlineLevel="0" collapsed="false">
      <c r="A3513" s="707"/>
      <c r="B3513" s="522"/>
      <c r="C3513" s="709" t="s">
        <v>4673</v>
      </c>
      <c r="D3513" s="679" t="s">
        <v>4133</v>
      </c>
      <c r="E3513" s="710" t="n">
        <v>0.0016</v>
      </c>
      <c r="F3513" s="369" t="n">
        <v>7321.43</v>
      </c>
      <c r="G3513" s="716" t="n">
        <f aca="false">E3513*F3513</f>
        <v>11.714288</v>
      </c>
      <c r="H3513" s="679"/>
    </row>
    <row r="3514" s="451" customFormat="true" ht="15" hidden="false" customHeight="false" outlineLevel="0" collapsed="false">
      <c r="A3514" s="707"/>
      <c r="B3514" s="522"/>
      <c r="C3514" s="709" t="s">
        <v>4655</v>
      </c>
      <c r="D3514" s="679" t="s">
        <v>4392</v>
      </c>
      <c r="E3514" s="710" t="n">
        <v>0.005684</v>
      </c>
      <c r="F3514" s="369" t="n">
        <v>9500</v>
      </c>
      <c r="G3514" s="716" t="n">
        <f aca="false">E3514*F3514</f>
        <v>53.998</v>
      </c>
      <c r="H3514" s="679"/>
    </row>
    <row r="3515" s="451" customFormat="true" ht="15" hidden="false" customHeight="false" outlineLevel="0" collapsed="false">
      <c r="A3515" s="707"/>
      <c r="B3515" s="522"/>
      <c r="C3515" s="709" t="s">
        <v>4674</v>
      </c>
      <c r="D3515" s="679" t="s">
        <v>4138</v>
      </c>
      <c r="E3515" s="710" t="n">
        <v>0.05</v>
      </c>
      <c r="F3515" s="369" t="n">
        <v>81000</v>
      </c>
      <c r="G3515" s="716" t="n">
        <f aca="false">E3515*F3515</f>
        <v>4050</v>
      </c>
      <c r="H3515" s="679"/>
    </row>
    <row r="3516" s="451" customFormat="true" ht="15" hidden="false" customHeight="false" outlineLevel="0" collapsed="false">
      <c r="A3516" s="707"/>
      <c r="B3516" s="522"/>
      <c r="C3516" s="709" t="s">
        <v>4675</v>
      </c>
      <c r="D3516" s="679" t="s">
        <v>4138</v>
      </c>
      <c r="E3516" s="710" t="n">
        <v>0.05</v>
      </c>
      <c r="F3516" s="369" t="n">
        <v>81000</v>
      </c>
      <c r="G3516" s="716" t="n">
        <f aca="false">E3516*F3516</f>
        <v>4050</v>
      </c>
      <c r="H3516" s="679"/>
    </row>
    <row r="3517" s="451" customFormat="true" ht="15" hidden="false" customHeight="false" outlineLevel="0" collapsed="false">
      <c r="A3517" s="707"/>
      <c r="B3517" s="522"/>
      <c r="C3517" s="532" t="s">
        <v>4676</v>
      </c>
      <c r="D3517" s="679" t="s">
        <v>4559</v>
      </c>
      <c r="E3517" s="733" t="n">
        <v>0.015</v>
      </c>
      <c r="F3517" s="724" t="n">
        <v>275000</v>
      </c>
      <c r="G3517" s="716" t="n">
        <f aca="false">E3517*F3517</f>
        <v>4125</v>
      </c>
      <c r="H3517" s="392"/>
    </row>
    <row r="3518" s="451" customFormat="true" ht="15" hidden="false" customHeight="false" outlineLevel="0" collapsed="false">
      <c r="A3518" s="707"/>
      <c r="B3518" s="522"/>
      <c r="C3518" s="709" t="s">
        <v>4515</v>
      </c>
      <c r="D3518" s="679" t="s">
        <v>4133</v>
      </c>
      <c r="E3518" s="710" t="n">
        <v>0.006</v>
      </c>
      <c r="F3518" s="369" t="n">
        <v>2700</v>
      </c>
      <c r="G3518" s="716" t="n">
        <f aca="false">E3518*F3518</f>
        <v>16.2</v>
      </c>
      <c r="H3518" s="679"/>
    </row>
    <row r="3519" s="451" customFormat="true" ht="15" hidden="false" customHeight="false" outlineLevel="0" collapsed="false">
      <c r="A3519" s="707"/>
      <c r="B3519" s="522"/>
      <c r="C3519" s="709" t="s">
        <v>4124</v>
      </c>
      <c r="D3519" s="679" t="s">
        <v>4516</v>
      </c>
      <c r="E3519" s="710" t="n">
        <v>1.4933</v>
      </c>
      <c r="F3519" s="369" t="n">
        <v>120</v>
      </c>
      <c r="G3519" s="716" t="n">
        <f aca="false">E3519*F3519</f>
        <v>179.196</v>
      </c>
      <c r="H3519" s="679"/>
    </row>
    <row r="3520" s="451" customFormat="true" ht="15" hidden="false" customHeight="false" outlineLevel="0" collapsed="false">
      <c r="A3520" s="707"/>
      <c r="B3520" s="708" t="s">
        <v>4128</v>
      </c>
      <c r="C3520" s="718"/>
      <c r="D3520" s="719"/>
      <c r="E3520" s="722"/>
      <c r="F3520" s="366"/>
      <c r="G3520" s="711" t="n">
        <f aca="false">SUM(G3503:G3519)</f>
        <v>15882.195788</v>
      </c>
      <c r="H3520" s="679"/>
    </row>
    <row r="3521" s="451" customFormat="true" ht="15" hidden="false" customHeight="false" outlineLevel="0" collapsed="false">
      <c r="A3521" s="707" t="s">
        <v>4860</v>
      </c>
      <c r="B3521" s="532" t="s">
        <v>3166</v>
      </c>
      <c r="C3521" s="743" t="s">
        <v>4611</v>
      </c>
      <c r="D3521" s="679" t="s">
        <v>4133</v>
      </c>
      <c r="E3521" s="733" t="n">
        <v>0.02</v>
      </c>
      <c r="F3521" s="721" t="n">
        <v>720</v>
      </c>
      <c r="G3521" s="716" t="n">
        <f aca="false">E3521*F3521</f>
        <v>14.4</v>
      </c>
      <c r="H3521" s="392"/>
    </row>
    <row r="3522" s="451" customFormat="true" ht="15" hidden="false" customHeight="false" outlineLevel="0" collapsed="false">
      <c r="A3522" s="707"/>
      <c r="B3522" s="532"/>
      <c r="C3522" s="709" t="s">
        <v>4515</v>
      </c>
      <c r="D3522" s="679" t="s">
        <v>4133</v>
      </c>
      <c r="E3522" s="710" t="n">
        <v>0.06</v>
      </c>
      <c r="F3522" s="369" t="n">
        <v>2700</v>
      </c>
      <c r="G3522" s="716" t="n">
        <f aca="false">E3522*F3522</f>
        <v>162</v>
      </c>
      <c r="H3522" s="392"/>
    </row>
    <row r="3523" s="451" customFormat="true" ht="15" hidden="false" customHeight="false" outlineLevel="0" collapsed="false">
      <c r="A3523" s="707"/>
      <c r="B3523" s="708"/>
      <c r="C3523" s="709" t="s">
        <v>4124</v>
      </c>
      <c r="D3523" s="679" t="s">
        <v>4516</v>
      </c>
      <c r="E3523" s="710" t="n">
        <v>0.142</v>
      </c>
      <c r="F3523" s="369" t="n">
        <v>120</v>
      </c>
      <c r="G3523" s="716" t="n">
        <f aca="false">E3523*F3523</f>
        <v>17.04</v>
      </c>
      <c r="H3523" s="392"/>
    </row>
    <row r="3524" s="451" customFormat="true" ht="15" hidden="false" customHeight="false" outlineLevel="0" collapsed="false">
      <c r="A3524" s="707"/>
      <c r="B3524" s="708" t="s">
        <v>4128</v>
      </c>
      <c r="C3524" s="718"/>
      <c r="D3524" s="719"/>
      <c r="E3524" s="722"/>
      <c r="F3524" s="366"/>
      <c r="G3524" s="711" t="n">
        <f aca="false">SUM(G3521:G3523)</f>
        <v>193.44</v>
      </c>
      <c r="H3524" s="392"/>
    </row>
    <row r="3525" s="451" customFormat="true" ht="15" hidden="false" customHeight="false" outlineLevel="0" collapsed="false">
      <c r="A3525" s="707" t="s">
        <v>4861</v>
      </c>
      <c r="B3525" s="532" t="s">
        <v>3167</v>
      </c>
      <c r="C3525" s="709"/>
      <c r="D3525" s="719"/>
      <c r="E3525" s="722"/>
      <c r="F3525" s="366"/>
      <c r="G3525" s="711"/>
      <c r="H3525" s="392"/>
    </row>
    <row r="3526" s="451" customFormat="true" ht="15" hidden="false" customHeight="false" outlineLevel="0" collapsed="false">
      <c r="A3526" s="707" t="s">
        <v>4862</v>
      </c>
      <c r="B3526" s="532" t="s">
        <v>3168</v>
      </c>
      <c r="C3526" s="709" t="s">
        <v>4515</v>
      </c>
      <c r="D3526" s="679" t="s">
        <v>4133</v>
      </c>
      <c r="E3526" s="710" t="n">
        <v>0.006</v>
      </c>
      <c r="F3526" s="369" t="n">
        <v>2700</v>
      </c>
      <c r="G3526" s="716" t="n">
        <f aca="false">E3526*F3526</f>
        <v>16.2</v>
      </c>
      <c r="H3526" s="392"/>
    </row>
    <row r="3527" s="451" customFormat="true" ht="15" hidden="false" customHeight="false" outlineLevel="0" collapsed="false">
      <c r="A3527" s="707"/>
      <c r="B3527" s="708"/>
      <c r="C3527" s="709" t="s">
        <v>4124</v>
      </c>
      <c r="D3527" s="679" t="s">
        <v>4516</v>
      </c>
      <c r="E3527" s="710" t="n">
        <v>0.142</v>
      </c>
      <c r="F3527" s="369" t="n">
        <v>120</v>
      </c>
      <c r="G3527" s="716" t="n">
        <f aca="false">E3527*F3527</f>
        <v>17.04</v>
      </c>
      <c r="H3527" s="392"/>
    </row>
    <row r="3528" s="451" customFormat="true" ht="15" hidden="false" customHeight="false" outlineLevel="0" collapsed="false">
      <c r="A3528" s="707"/>
      <c r="B3528" s="708" t="s">
        <v>4128</v>
      </c>
      <c r="C3528" s="718"/>
      <c r="D3528" s="719"/>
      <c r="E3528" s="722"/>
      <c r="F3528" s="366"/>
      <c r="G3528" s="711" t="n">
        <f aca="false">SUM(G3526:G3527)</f>
        <v>33.24</v>
      </c>
      <c r="H3528" s="392"/>
    </row>
    <row r="3529" s="451" customFormat="true" ht="15" hidden="false" customHeight="false" outlineLevel="0" collapsed="false">
      <c r="A3529" s="707" t="s">
        <v>4863</v>
      </c>
      <c r="B3529" s="532" t="s">
        <v>3169</v>
      </c>
      <c r="C3529" s="709"/>
      <c r="D3529" s="719"/>
      <c r="E3529" s="722"/>
      <c r="F3529" s="366"/>
      <c r="G3529" s="711"/>
      <c r="H3529" s="392"/>
    </row>
    <row r="3530" customFormat="false" ht="28.5" hidden="false" customHeight="false" outlineLevel="0" collapsed="false">
      <c r="A3530" s="599" t="s">
        <v>4864</v>
      </c>
      <c r="B3530" s="467" t="s">
        <v>3170</v>
      </c>
      <c r="C3530" s="751"/>
      <c r="D3530" s="339"/>
      <c r="E3530" s="752"/>
      <c r="F3530" s="519"/>
      <c r="G3530" s="753"/>
      <c r="H3530" s="600"/>
    </row>
    <row r="3531" customFormat="false" ht="15" hidden="false" customHeight="false" outlineLevel="0" collapsed="false">
      <c r="A3531" s="571" t="s">
        <v>4865</v>
      </c>
      <c r="B3531" s="328" t="s">
        <v>3010</v>
      </c>
      <c r="C3531" s="714"/>
      <c r="D3531" s="391"/>
      <c r="E3531" s="611"/>
      <c r="F3531" s="612"/>
      <c r="G3531" s="613"/>
      <c r="H3531" s="606"/>
    </row>
    <row r="3532" customFormat="false" ht="15" hidden="false" customHeight="false" outlineLevel="0" collapsed="false">
      <c r="A3532" s="571" t="s">
        <v>4866</v>
      </c>
      <c r="B3532" s="328" t="s">
        <v>3171</v>
      </c>
      <c r="C3532" s="614" t="s">
        <v>4550</v>
      </c>
      <c r="D3532" s="606" t="s">
        <v>4392</v>
      </c>
      <c r="E3532" s="622" t="n">
        <v>0.015</v>
      </c>
      <c r="F3532" s="361" t="n">
        <v>6500</v>
      </c>
      <c r="G3532" s="615" t="n">
        <f aca="false">E3532*F3532</f>
        <v>97.5</v>
      </c>
      <c r="H3532" s="391"/>
    </row>
    <row r="3533" customFormat="false" ht="15" hidden="false" customHeight="false" outlineLevel="0" collapsed="false">
      <c r="A3533" s="571"/>
      <c r="B3533" s="500"/>
      <c r="C3533" s="614" t="s">
        <v>4122</v>
      </c>
      <c r="D3533" s="606" t="s">
        <v>4392</v>
      </c>
      <c r="E3533" s="622" t="n">
        <v>0.3</v>
      </c>
      <c r="F3533" s="797" t="n">
        <v>720</v>
      </c>
      <c r="G3533" s="615" t="n">
        <f aca="false">E3533*F3533</f>
        <v>216</v>
      </c>
      <c r="H3533" s="606"/>
    </row>
    <row r="3534" customFormat="false" ht="15" hidden="false" customHeight="false" outlineLevel="0" collapsed="false">
      <c r="A3534" s="571"/>
      <c r="B3534" s="500"/>
      <c r="C3534" s="614" t="s">
        <v>4529</v>
      </c>
      <c r="D3534" s="606" t="s">
        <v>4133</v>
      </c>
      <c r="E3534" s="622" t="n">
        <v>0.05</v>
      </c>
      <c r="F3534" s="361" t="n">
        <v>1200</v>
      </c>
      <c r="G3534" s="615" t="n">
        <f aca="false">E3534*F3534</f>
        <v>60</v>
      </c>
      <c r="H3534" s="606"/>
    </row>
    <row r="3535" customFormat="false" ht="15" hidden="false" customHeight="false" outlineLevel="0" collapsed="false">
      <c r="A3535" s="571"/>
      <c r="B3535" s="500"/>
      <c r="C3535" s="709" t="s">
        <v>4264</v>
      </c>
      <c r="D3535" s="679" t="s">
        <v>4133</v>
      </c>
      <c r="E3535" s="710" t="n">
        <v>0.025</v>
      </c>
      <c r="F3535" s="369" t="n">
        <v>55000</v>
      </c>
      <c r="G3535" s="615" t="n">
        <f aca="false">E3535*F3535</f>
        <v>1375</v>
      </c>
      <c r="H3535" s="606"/>
    </row>
    <row r="3536" customFormat="false" ht="15" hidden="false" customHeight="false" outlineLevel="0" collapsed="false">
      <c r="A3536" s="571"/>
      <c r="B3536" s="500"/>
      <c r="C3536" s="709" t="s">
        <v>4515</v>
      </c>
      <c r="D3536" s="679" t="s">
        <v>4133</v>
      </c>
      <c r="E3536" s="710" t="n">
        <v>0.001</v>
      </c>
      <c r="F3536" s="369" t="n">
        <v>2700</v>
      </c>
      <c r="G3536" s="615" t="n">
        <f aca="false">E3536*F3536</f>
        <v>2.7</v>
      </c>
      <c r="H3536" s="606"/>
    </row>
    <row r="3537" customFormat="false" ht="15" hidden="false" customHeight="false" outlineLevel="0" collapsed="false">
      <c r="A3537" s="571"/>
      <c r="B3537" s="500"/>
      <c r="C3537" s="709" t="s">
        <v>4124</v>
      </c>
      <c r="D3537" s="679" t="s">
        <v>4516</v>
      </c>
      <c r="E3537" s="710" t="n">
        <v>0.5</v>
      </c>
      <c r="F3537" s="369" t="n">
        <v>120</v>
      </c>
      <c r="G3537" s="615" t="n">
        <f aca="false">E3537*F3537</f>
        <v>60</v>
      </c>
      <c r="H3537" s="606"/>
    </row>
    <row r="3538" customFormat="false" ht="15" hidden="false" customHeight="false" outlineLevel="0" collapsed="false">
      <c r="A3538" s="571"/>
      <c r="B3538" s="608" t="s">
        <v>4128</v>
      </c>
      <c r="C3538" s="718"/>
      <c r="D3538" s="719"/>
      <c r="E3538" s="722"/>
      <c r="F3538" s="366"/>
      <c r="G3538" s="613" t="n">
        <f aca="false">SUM(G3532:G3537)</f>
        <v>1811.2</v>
      </c>
      <c r="H3538" s="606"/>
    </row>
    <row r="3539" customFormat="false" ht="30" hidden="false" customHeight="false" outlineLevel="0" collapsed="false">
      <c r="A3539" s="571" t="s">
        <v>4867</v>
      </c>
      <c r="B3539" s="328" t="s">
        <v>3172</v>
      </c>
      <c r="C3539" s="709" t="s">
        <v>4658</v>
      </c>
      <c r="D3539" s="679" t="s">
        <v>4133</v>
      </c>
      <c r="E3539" s="710" t="n">
        <v>0.002</v>
      </c>
      <c r="F3539" s="369" t="n">
        <v>21200</v>
      </c>
      <c r="G3539" s="615" t="n">
        <f aca="false">E3539*F3539</f>
        <v>42.4</v>
      </c>
      <c r="H3539" s="606"/>
    </row>
    <row r="3540" customFormat="false" ht="15" hidden="false" customHeight="false" outlineLevel="0" collapsed="false">
      <c r="A3540" s="571"/>
      <c r="B3540" s="500"/>
      <c r="C3540" s="709" t="s">
        <v>4529</v>
      </c>
      <c r="D3540" s="679" t="s">
        <v>4133</v>
      </c>
      <c r="E3540" s="710" t="n">
        <v>0.0075</v>
      </c>
      <c r="F3540" s="369" t="n">
        <v>1200</v>
      </c>
      <c r="G3540" s="615" t="n">
        <f aca="false">E3540*F3540</f>
        <v>9</v>
      </c>
      <c r="H3540" s="606"/>
    </row>
    <row r="3541" customFormat="false" ht="15" hidden="false" customHeight="false" outlineLevel="0" collapsed="false">
      <c r="A3541" s="571"/>
      <c r="B3541" s="500"/>
      <c r="C3541" s="709" t="s">
        <v>4659</v>
      </c>
      <c r="D3541" s="679" t="s">
        <v>4133</v>
      </c>
      <c r="E3541" s="710" t="n">
        <v>0.0038</v>
      </c>
      <c r="F3541" s="369" t="n">
        <v>41200</v>
      </c>
      <c r="G3541" s="615" t="n">
        <f aca="false">E3541*F3541</f>
        <v>156.56</v>
      </c>
      <c r="H3541" s="606"/>
    </row>
    <row r="3542" customFormat="false" ht="15" hidden="false" customHeight="false" outlineLevel="0" collapsed="false">
      <c r="A3542" s="571"/>
      <c r="B3542" s="500"/>
      <c r="C3542" s="709" t="s">
        <v>4154</v>
      </c>
      <c r="D3542" s="679" t="s">
        <v>4392</v>
      </c>
      <c r="E3542" s="710" t="n">
        <v>0.05</v>
      </c>
      <c r="F3542" s="721" t="n">
        <v>3500</v>
      </c>
      <c r="G3542" s="615" t="n">
        <f aca="false">E3542*F3542</f>
        <v>175</v>
      </c>
      <c r="H3542" s="606"/>
    </row>
    <row r="3543" customFormat="false" ht="15" hidden="false" customHeight="false" outlineLevel="0" collapsed="false">
      <c r="A3543" s="571"/>
      <c r="B3543" s="500"/>
      <c r="C3543" s="709" t="s">
        <v>4122</v>
      </c>
      <c r="D3543" s="679" t="s">
        <v>4392</v>
      </c>
      <c r="E3543" s="710" t="n">
        <v>0.15</v>
      </c>
      <c r="F3543" s="721" t="n">
        <v>720</v>
      </c>
      <c r="G3543" s="615" t="n">
        <f aca="false">E3543*F3543</f>
        <v>108</v>
      </c>
      <c r="H3543" s="606"/>
    </row>
    <row r="3544" customFormat="false" ht="15" hidden="false" customHeight="false" outlineLevel="0" collapsed="false">
      <c r="A3544" s="571"/>
      <c r="B3544" s="500"/>
      <c r="C3544" s="709" t="s">
        <v>4515</v>
      </c>
      <c r="D3544" s="679" t="s">
        <v>4133</v>
      </c>
      <c r="E3544" s="710" t="n">
        <v>0.006</v>
      </c>
      <c r="F3544" s="369" t="n">
        <v>2700</v>
      </c>
      <c r="G3544" s="615" t="n">
        <f aca="false">E3544*F3544</f>
        <v>16.2</v>
      </c>
      <c r="H3544" s="391"/>
    </row>
    <row r="3545" customFormat="false" ht="15" hidden="false" customHeight="false" outlineLevel="0" collapsed="false">
      <c r="A3545" s="571"/>
      <c r="B3545" s="500"/>
      <c r="C3545" s="709" t="s">
        <v>4124</v>
      </c>
      <c r="D3545" s="679" t="s">
        <v>4516</v>
      </c>
      <c r="E3545" s="710" t="n">
        <v>1.5</v>
      </c>
      <c r="F3545" s="369" t="n">
        <v>120</v>
      </c>
      <c r="G3545" s="615" t="n">
        <f aca="false">E3545*F3545</f>
        <v>180</v>
      </c>
      <c r="H3545" s="606"/>
    </row>
    <row r="3546" customFormat="false" ht="15" hidden="false" customHeight="false" outlineLevel="0" collapsed="false">
      <c r="A3546" s="571"/>
      <c r="B3546" s="608" t="s">
        <v>4128</v>
      </c>
      <c r="C3546" s="718"/>
      <c r="D3546" s="719"/>
      <c r="E3546" s="722"/>
      <c r="F3546" s="366"/>
      <c r="G3546" s="613" t="n">
        <f aca="false">SUM(G3539:G3545)</f>
        <v>687.16</v>
      </c>
      <c r="H3546" s="606"/>
    </row>
    <row r="3547" customFormat="false" ht="30" hidden="false" customHeight="false" outlineLevel="0" collapsed="false">
      <c r="A3547" s="571" t="s">
        <v>4868</v>
      </c>
      <c r="B3547" s="328" t="s">
        <v>3173</v>
      </c>
      <c r="C3547" s="709" t="s">
        <v>4582</v>
      </c>
      <c r="D3547" s="679" t="s">
        <v>4133</v>
      </c>
      <c r="E3547" s="710" t="n">
        <v>0.0173</v>
      </c>
      <c r="F3547" s="369" t="n">
        <v>2321</v>
      </c>
      <c r="G3547" s="615" t="n">
        <f aca="false">E3547*F3547</f>
        <v>40.1533</v>
      </c>
      <c r="H3547" s="606"/>
    </row>
    <row r="3548" customFormat="false" ht="15" hidden="false" customHeight="false" outlineLevel="0" collapsed="false">
      <c r="A3548" s="571"/>
      <c r="B3548" s="500"/>
      <c r="C3548" s="709" t="s">
        <v>4652</v>
      </c>
      <c r="D3548" s="679" t="s">
        <v>4133</v>
      </c>
      <c r="E3548" s="710" t="n">
        <v>0.01</v>
      </c>
      <c r="F3548" s="369" t="n">
        <v>3400</v>
      </c>
      <c r="G3548" s="615" t="n">
        <f aca="false">E3548*F3548</f>
        <v>34</v>
      </c>
      <c r="H3548" s="606"/>
    </row>
    <row r="3549" customFormat="false" ht="15" hidden="false" customHeight="false" outlineLevel="0" collapsed="false">
      <c r="A3549" s="571"/>
      <c r="B3549" s="500"/>
      <c r="C3549" s="709" t="s">
        <v>4529</v>
      </c>
      <c r="D3549" s="679" t="s">
        <v>4133</v>
      </c>
      <c r="E3549" s="710" t="n">
        <v>0.03</v>
      </c>
      <c r="F3549" s="369" t="n">
        <v>1200</v>
      </c>
      <c r="G3549" s="615" t="n">
        <f aca="false">E3549*F3549</f>
        <v>36</v>
      </c>
      <c r="H3549" s="606"/>
    </row>
    <row r="3550" customFormat="false" ht="15" hidden="false" customHeight="false" outlineLevel="0" collapsed="false">
      <c r="A3550" s="571"/>
      <c r="B3550" s="500"/>
      <c r="C3550" s="709" t="s">
        <v>4147</v>
      </c>
      <c r="D3550" s="679" t="s">
        <v>4392</v>
      </c>
      <c r="E3550" s="710" t="n">
        <v>0.08</v>
      </c>
      <c r="F3550" s="723" t="n">
        <v>3612</v>
      </c>
      <c r="G3550" s="615" t="n">
        <f aca="false">E3550*F3550</f>
        <v>288.96</v>
      </c>
      <c r="H3550" s="606"/>
    </row>
    <row r="3551" customFormat="false" ht="15" hidden="false" customHeight="false" outlineLevel="0" collapsed="false">
      <c r="A3551" s="571"/>
      <c r="B3551" s="500"/>
      <c r="C3551" s="709" t="s">
        <v>4660</v>
      </c>
      <c r="D3551" s="679" t="s">
        <v>4133</v>
      </c>
      <c r="E3551" s="710" t="n">
        <v>0.045</v>
      </c>
      <c r="F3551" s="369" t="n">
        <v>2700</v>
      </c>
      <c r="G3551" s="615" t="n">
        <f aca="false">E3551*F3551</f>
        <v>121.5</v>
      </c>
      <c r="H3551" s="606"/>
    </row>
    <row r="3552" customFormat="false" ht="15" hidden="false" customHeight="false" outlineLevel="0" collapsed="false">
      <c r="A3552" s="571"/>
      <c r="B3552" s="500"/>
      <c r="C3552" s="709" t="s">
        <v>4154</v>
      </c>
      <c r="D3552" s="679" t="s">
        <v>4392</v>
      </c>
      <c r="E3552" s="710" t="n">
        <v>0.02</v>
      </c>
      <c r="F3552" s="721" t="n">
        <v>3500</v>
      </c>
      <c r="G3552" s="615" t="n">
        <f aca="false">E3552*F3552</f>
        <v>70</v>
      </c>
      <c r="H3552" s="606"/>
    </row>
    <row r="3553" customFormat="false" ht="15" hidden="false" customHeight="false" outlineLevel="0" collapsed="false">
      <c r="A3553" s="571"/>
      <c r="B3553" s="500"/>
      <c r="C3553" s="709" t="s">
        <v>4654</v>
      </c>
      <c r="D3553" s="679" t="s">
        <v>4133</v>
      </c>
      <c r="E3553" s="710" t="n">
        <v>0.02</v>
      </c>
      <c r="F3553" s="721" t="n">
        <v>3500</v>
      </c>
      <c r="G3553" s="615" t="n">
        <f aca="false">E3553*F3553</f>
        <v>70</v>
      </c>
      <c r="H3553" s="606"/>
    </row>
    <row r="3554" customFormat="false" ht="15" hidden="false" customHeight="false" outlineLevel="0" collapsed="false">
      <c r="A3554" s="571"/>
      <c r="B3554" s="500"/>
      <c r="C3554" s="709" t="s">
        <v>4122</v>
      </c>
      <c r="D3554" s="679" t="s">
        <v>4392</v>
      </c>
      <c r="E3554" s="710" t="n">
        <v>0.3</v>
      </c>
      <c r="F3554" s="721" t="n">
        <v>720</v>
      </c>
      <c r="G3554" s="615" t="n">
        <f aca="false">E3554*F3554</f>
        <v>216</v>
      </c>
      <c r="H3554" s="606"/>
    </row>
    <row r="3555" customFormat="false" ht="15" hidden="false" customHeight="false" outlineLevel="0" collapsed="false">
      <c r="A3555" s="571"/>
      <c r="B3555" s="500"/>
      <c r="C3555" s="709" t="s">
        <v>4515</v>
      </c>
      <c r="D3555" s="679" t="s">
        <v>4133</v>
      </c>
      <c r="E3555" s="710" t="n">
        <v>0.006</v>
      </c>
      <c r="F3555" s="369" t="n">
        <v>2700</v>
      </c>
      <c r="G3555" s="615" t="n">
        <f aca="false">E3555*F3555</f>
        <v>16.2</v>
      </c>
      <c r="H3555" s="606"/>
    </row>
    <row r="3556" customFormat="false" ht="15" hidden="false" customHeight="false" outlineLevel="0" collapsed="false">
      <c r="A3556" s="571"/>
      <c r="B3556" s="500"/>
      <c r="C3556" s="709" t="s">
        <v>4124</v>
      </c>
      <c r="D3556" s="679" t="s">
        <v>4516</v>
      </c>
      <c r="E3556" s="710" t="n">
        <v>1.5</v>
      </c>
      <c r="F3556" s="369" t="n">
        <v>120</v>
      </c>
      <c r="G3556" s="615" t="n">
        <f aca="false">E3556*F3556</f>
        <v>180</v>
      </c>
      <c r="H3556" s="606"/>
    </row>
    <row r="3557" customFormat="false" ht="15" hidden="false" customHeight="false" outlineLevel="0" collapsed="false">
      <c r="A3557" s="571"/>
      <c r="B3557" s="608" t="s">
        <v>4128</v>
      </c>
      <c r="C3557" s="718"/>
      <c r="D3557" s="719"/>
      <c r="E3557" s="722"/>
      <c r="F3557" s="366"/>
      <c r="G3557" s="613" t="n">
        <f aca="false">SUM(G3547:G3556)</f>
        <v>1072.8133</v>
      </c>
      <c r="H3557" s="606"/>
    </row>
    <row r="3558" customFormat="false" ht="30" hidden="false" customHeight="false" outlineLevel="0" collapsed="false">
      <c r="A3558" s="571" t="s">
        <v>4869</v>
      </c>
      <c r="B3558" s="328" t="s">
        <v>3174</v>
      </c>
      <c r="C3558" s="709" t="s">
        <v>4870</v>
      </c>
      <c r="D3558" s="679" t="s">
        <v>4138</v>
      </c>
      <c r="E3558" s="710" t="n">
        <v>0.175</v>
      </c>
      <c r="F3558" s="369" t="n">
        <v>92500</v>
      </c>
      <c r="G3558" s="615" t="n">
        <f aca="false">E3558*F3558</f>
        <v>16187.5</v>
      </c>
      <c r="H3558" s="606"/>
    </row>
    <row r="3559" customFormat="false" ht="15" hidden="false" customHeight="false" outlineLevel="0" collapsed="false">
      <c r="A3559" s="571"/>
      <c r="B3559" s="500"/>
      <c r="C3559" s="709" t="s">
        <v>4871</v>
      </c>
      <c r="D3559" s="679" t="s">
        <v>4133</v>
      </c>
      <c r="E3559" s="710" t="n">
        <v>0.0005</v>
      </c>
      <c r="F3559" s="369" t="n">
        <v>1900</v>
      </c>
      <c r="G3559" s="615" t="n">
        <f aca="false">E3559*F3559</f>
        <v>0.95</v>
      </c>
      <c r="H3559" s="606"/>
    </row>
    <row r="3560" customFormat="false" ht="15" hidden="false" customHeight="false" outlineLevel="0" collapsed="false">
      <c r="A3560" s="571"/>
      <c r="B3560" s="500"/>
      <c r="C3560" s="709" t="s">
        <v>4872</v>
      </c>
      <c r="D3560" s="679" t="s">
        <v>4392</v>
      </c>
      <c r="E3560" s="710" t="n">
        <v>0.4</v>
      </c>
      <c r="F3560" s="723" t="n">
        <v>980</v>
      </c>
      <c r="G3560" s="615" t="n">
        <f aca="false">E3560*F3560</f>
        <v>392</v>
      </c>
      <c r="H3560" s="606"/>
    </row>
    <row r="3561" customFormat="false" ht="15" hidden="false" customHeight="false" outlineLevel="0" collapsed="false">
      <c r="A3561" s="571"/>
      <c r="B3561" s="500"/>
      <c r="C3561" s="709" t="s">
        <v>4873</v>
      </c>
      <c r="D3561" s="679" t="s">
        <v>4392</v>
      </c>
      <c r="E3561" s="710" t="n">
        <v>0.01</v>
      </c>
      <c r="F3561" s="729" t="n">
        <v>3500</v>
      </c>
      <c r="G3561" s="615" t="n">
        <f aca="false">E3561*F3561</f>
        <v>35</v>
      </c>
      <c r="H3561" s="391"/>
    </row>
    <row r="3562" customFormat="false" ht="15" hidden="false" customHeight="false" outlineLevel="0" collapsed="false">
      <c r="A3562" s="571"/>
      <c r="B3562" s="500"/>
      <c r="C3562" s="709" t="s">
        <v>4874</v>
      </c>
      <c r="D3562" s="679" t="s">
        <v>4392</v>
      </c>
      <c r="E3562" s="710" t="n">
        <v>0.279</v>
      </c>
      <c r="F3562" s="369" t="n">
        <v>800</v>
      </c>
      <c r="G3562" s="615" t="n">
        <f aca="false">E3562*F3562</f>
        <v>223.2</v>
      </c>
      <c r="H3562" s="391"/>
    </row>
    <row r="3563" customFormat="false" ht="15" hidden="false" customHeight="false" outlineLevel="0" collapsed="false">
      <c r="A3563" s="571"/>
      <c r="B3563" s="608" t="s">
        <v>4128</v>
      </c>
      <c r="C3563" s="718"/>
      <c r="D3563" s="719"/>
      <c r="E3563" s="722"/>
      <c r="F3563" s="366"/>
      <c r="G3563" s="613" t="n">
        <f aca="false">SUM(G3558:G3562)</f>
        <v>16838.65</v>
      </c>
      <c r="H3563" s="606"/>
    </row>
    <row r="3564" customFormat="false" ht="30" hidden="false" customHeight="false" outlineLevel="0" collapsed="false">
      <c r="A3564" s="571" t="s">
        <v>4875</v>
      </c>
      <c r="B3564" s="328" t="s">
        <v>3175</v>
      </c>
      <c r="C3564" s="709" t="s">
        <v>4147</v>
      </c>
      <c r="D3564" s="679" t="s">
        <v>4392</v>
      </c>
      <c r="E3564" s="710" t="n">
        <v>0.16</v>
      </c>
      <c r="F3564" s="723" t="n">
        <v>3612</v>
      </c>
      <c r="G3564" s="615" t="n">
        <f aca="false">E3564*F3564</f>
        <v>577.92</v>
      </c>
      <c r="H3564" s="606"/>
    </row>
    <row r="3565" customFormat="false" ht="15" hidden="false" customHeight="false" outlineLevel="0" collapsed="false">
      <c r="A3565" s="571"/>
      <c r="B3565" s="500"/>
      <c r="C3565" s="709" t="s">
        <v>4202</v>
      </c>
      <c r="D3565" s="679" t="s">
        <v>4133</v>
      </c>
      <c r="E3565" s="710" t="n">
        <v>0.01</v>
      </c>
      <c r="F3565" s="724" t="n">
        <v>6600</v>
      </c>
      <c r="G3565" s="615" t="n">
        <f aca="false">E3565*F3565</f>
        <v>66</v>
      </c>
      <c r="H3565" s="606"/>
    </row>
    <row r="3566" customFormat="false" ht="15" hidden="false" customHeight="false" outlineLevel="0" collapsed="false">
      <c r="A3566" s="571"/>
      <c r="B3566" s="500"/>
      <c r="C3566" s="709" t="s">
        <v>4876</v>
      </c>
      <c r="D3566" s="679" t="s">
        <v>4133</v>
      </c>
      <c r="E3566" s="710" t="n">
        <v>0.6</v>
      </c>
      <c r="F3566" s="369" t="n">
        <v>199</v>
      </c>
      <c r="G3566" s="615" t="n">
        <f aca="false">E3566*F3566</f>
        <v>119.4</v>
      </c>
      <c r="H3566" s="606"/>
    </row>
    <row r="3567" customFormat="false" ht="15" hidden="false" customHeight="false" outlineLevel="0" collapsed="false">
      <c r="A3567" s="571"/>
      <c r="B3567" s="500"/>
      <c r="C3567" s="709" t="s">
        <v>4529</v>
      </c>
      <c r="D3567" s="679" t="s">
        <v>4133</v>
      </c>
      <c r="E3567" s="710" t="n">
        <v>0.03</v>
      </c>
      <c r="F3567" s="369" t="n">
        <v>1200</v>
      </c>
      <c r="G3567" s="615" t="n">
        <f aca="false">E3567*F3567</f>
        <v>36</v>
      </c>
      <c r="H3567" s="606"/>
    </row>
    <row r="3568" customFormat="false" ht="15" hidden="false" customHeight="false" outlineLevel="0" collapsed="false">
      <c r="A3568" s="571"/>
      <c r="B3568" s="500"/>
      <c r="C3568" s="709" t="s">
        <v>4877</v>
      </c>
      <c r="D3568" s="679" t="s">
        <v>4392</v>
      </c>
      <c r="E3568" s="710" t="n">
        <v>0.05</v>
      </c>
      <c r="F3568" s="369" t="n">
        <v>350</v>
      </c>
      <c r="G3568" s="615" t="n">
        <f aca="false">E3568*F3568</f>
        <v>17.5</v>
      </c>
      <c r="H3568" s="606"/>
    </row>
    <row r="3569" customFormat="false" ht="15" hidden="false" customHeight="false" outlineLevel="0" collapsed="false">
      <c r="A3569" s="571"/>
      <c r="B3569" s="500"/>
      <c r="C3569" s="709" t="s">
        <v>4515</v>
      </c>
      <c r="D3569" s="679" t="s">
        <v>4133</v>
      </c>
      <c r="E3569" s="710" t="n">
        <v>0.006</v>
      </c>
      <c r="F3569" s="369" t="n">
        <v>2700</v>
      </c>
      <c r="G3569" s="615" t="n">
        <f aca="false">E3569*F3569</f>
        <v>16.2</v>
      </c>
      <c r="H3569" s="391"/>
    </row>
    <row r="3570" customFormat="false" ht="15" hidden="false" customHeight="false" outlineLevel="0" collapsed="false">
      <c r="A3570" s="571"/>
      <c r="B3570" s="500"/>
      <c r="C3570" s="709" t="s">
        <v>4124</v>
      </c>
      <c r="D3570" s="679" t="s">
        <v>4516</v>
      </c>
      <c r="E3570" s="710" t="n">
        <v>1.5</v>
      </c>
      <c r="F3570" s="369" t="n">
        <v>120</v>
      </c>
      <c r="G3570" s="615" t="n">
        <f aca="false">E3570*F3570</f>
        <v>180</v>
      </c>
      <c r="H3570" s="606"/>
    </row>
    <row r="3571" customFormat="false" ht="15" hidden="false" customHeight="false" outlineLevel="0" collapsed="false">
      <c r="A3571" s="571"/>
      <c r="B3571" s="608" t="s">
        <v>4128</v>
      </c>
      <c r="C3571" s="718"/>
      <c r="D3571" s="719"/>
      <c r="E3571" s="722"/>
      <c r="F3571" s="366"/>
      <c r="G3571" s="613" t="n">
        <f aca="false">SUM(G3564:G3570)</f>
        <v>1013.02</v>
      </c>
      <c r="H3571" s="606"/>
    </row>
    <row r="3572" customFormat="false" ht="15" hidden="false" customHeight="false" outlineLevel="0" collapsed="false">
      <c r="A3572" s="571" t="s">
        <v>4878</v>
      </c>
      <c r="B3572" s="328" t="s">
        <v>3176</v>
      </c>
      <c r="C3572" s="709" t="s">
        <v>4122</v>
      </c>
      <c r="D3572" s="679" t="s">
        <v>4392</v>
      </c>
      <c r="E3572" s="710" t="n">
        <v>0.03</v>
      </c>
      <c r="F3572" s="721" t="n">
        <v>720</v>
      </c>
      <c r="G3572" s="615" t="n">
        <f aca="false">E3572*F3572</f>
        <v>21.6</v>
      </c>
      <c r="H3572" s="606"/>
    </row>
    <row r="3573" customFormat="false" ht="15" hidden="false" customHeight="false" outlineLevel="0" collapsed="false">
      <c r="A3573" s="571"/>
      <c r="B3573" s="500"/>
      <c r="C3573" s="709" t="s">
        <v>4655</v>
      </c>
      <c r="D3573" s="679" t="s">
        <v>4392</v>
      </c>
      <c r="E3573" s="710" t="n">
        <v>0.02</v>
      </c>
      <c r="F3573" s="369" t="n">
        <v>1005</v>
      </c>
      <c r="G3573" s="615" t="n">
        <f aca="false">E3573*F3573</f>
        <v>20.1</v>
      </c>
      <c r="H3573" s="606"/>
    </row>
    <row r="3574" customFormat="false" ht="15" hidden="false" customHeight="false" outlineLevel="0" collapsed="false">
      <c r="A3574" s="571"/>
      <c r="B3574" s="608" t="s">
        <v>4128</v>
      </c>
      <c r="C3574" s="718"/>
      <c r="D3574" s="719"/>
      <c r="E3574" s="722"/>
      <c r="F3574" s="366"/>
      <c r="G3574" s="613" t="n">
        <f aca="false">SUM(G3572:G3573)</f>
        <v>41.7</v>
      </c>
      <c r="H3574" s="606"/>
    </row>
    <row r="3575" customFormat="false" ht="15" hidden="false" customHeight="false" outlineLevel="0" collapsed="false">
      <c r="A3575" s="571" t="s">
        <v>4879</v>
      </c>
      <c r="B3575" s="328" t="s">
        <v>3177</v>
      </c>
      <c r="C3575" s="709" t="s">
        <v>4880</v>
      </c>
      <c r="D3575" s="679" t="s">
        <v>4138</v>
      </c>
      <c r="E3575" s="710" t="n">
        <v>0.02</v>
      </c>
      <c r="F3575" s="369" t="n">
        <v>1150</v>
      </c>
      <c r="G3575" s="615" t="n">
        <f aca="false">E3575*F3575</f>
        <v>23</v>
      </c>
      <c r="H3575" s="606"/>
    </row>
    <row r="3576" customFormat="false" ht="15" hidden="false" customHeight="false" outlineLevel="0" collapsed="false">
      <c r="A3576" s="571"/>
      <c r="B3576" s="500"/>
      <c r="C3576" s="709" t="s">
        <v>4758</v>
      </c>
      <c r="D3576" s="679" t="s">
        <v>4138</v>
      </c>
      <c r="E3576" s="710" t="n">
        <v>0.1</v>
      </c>
      <c r="F3576" s="369" t="n">
        <v>1005</v>
      </c>
      <c r="G3576" s="615" t="n">
        <f aca="false">E3576*F3576</f>
        <v>100.5</v>
      </c>
      <c r="H3576" s="606"/>
    </row>
    <row r="3577" customFormat="false" ht="15" hidden="false" customHeight="false" outlineLevel="0" collapsed="false">
      <c r="A3577" s="571"/>
      <c r="B3577" s="500"/>
      <c r="C3577" s="709" t="s">
        <v>4178</v>
      </c>
      <c r="D3577" s="679" t="s">
        <v>4133</v>
      </c>
      <c r="E3577" s="710" t="n">
        <v>0.1</v>
      </c>
      <c r="F3577" s="369" t="n">
        <v>1950</v>
      </c>
      <c r="G3577" s="615" t="n">
        <f aca="false">E3577*F3577</f>
        <v>195</v>
      </c>
      <c r="H3577" s="391"/>
    </row>
    <row r="3578" customFormat="false" ht="15" hidden="false" customHeight="false" outlineLevel="0" collapsed="false">
      <c r="A3578" s="571"/>
      <c r="B3578" s="500"/>
      <c r="C3578" s="709" t="s">
        <v>4881</v>
      </c>
      <c r="D3578" s="679" t="s">
        <v>4133</v>
      </c>
      <c r="E3578" s="710" t="n">
        <v>0.01</v>
      </c>
      <c r="F3578" s="369" t="n">
        <v>21200</v>
      </c>
      <c r="G3578" s="615" t="n">
        <f aca="false">E3578*F3578</f>
        <v>212</v>
      </c>
      <c r="H3578" s="606"/>
    </row>
    <row r="3579" customFormat="false" ht="15" hidden="false" customHeight="false" outlineLevel="0" collapsed="false">
      <c r="A3579" s="571"/>
      <c r="B3579" s="500"/>
      <c r="C3579" s="709" t="s">
        <v>4529</v>
      </c>
      <c r="D3579" s="679" t="s">
        <v>4133</v>
      </c>
      <c r="E3579" s="710" t="n">
        <v>0.03</v>
      </c>
      <c r="F3579" s="369" t="n">
        <v>1200</v>
      </c>
      <c r="G3579" s="615" t="n">
        <f aca="false">E3579*F3579</f>
        <v>36</v>
      </c>
      <c r="H3579" s="606"/>
    </row>
    <row r="3580" customFormat="false" ht="15" hidden="false" customHeight="false" outlineLevel="0" collapsed="false">
      <c r="A3580" s="571"/>
      <c r="B3580" s="500"/>
      <c r="C3580" s="709" t="s">
        <v>4147</v>
      </c>
      <c r="D3580" s="679" t="s">
        <v>4392</v>
      </c>
      <c r="E3580" s="710" t="n">
        <v>0.1</v>
      </c>
      <c r="F3580" s="723" t="n">
        <v>3612</v>
      </c>
      <c r="G3580" s="615" t="n">
        <f aca="false">E3580*F3580</f>
        <v>361.2</v>
      </c>
      <c r="H3580" s="606"/>
    </row>
    <row r="3581" customFormat="false" ht="15" hidden="false" customHeight="false" outlineLevel="0" collapsed="false">
      <c r="A3581" s="571"/>
      <c r="B3581" s="608" t="s">
        <v>4128</v>
      </c>
      <c r="C3581" s="718"/>
      <c r="D3581" s="719"/>
      <c r="E3581" s="722"/>
      <c r="F3581" s="366"/>
      <c r="G3581" s="613" t="n">
        <f aca="false">SUM(G3575:G3580)</f>
        <v>927.7</v>
      </c>
      <c r="H3581" s="606"/>
    </row>
    <row r="3582" customFormat="false" ht="15" hidden="false" customHeight="false" outlineLevel="0" collapsed="false">
      <c r="A3582" s="571" t="s">
        <v>4882</v>
      </c>
      <c r="B3582" s="328" t="s">
        <v>3178</v>
      </c>
      <c r="C3582" s="709" t="s">
        <v>4550</v>
      </c>
      <c r="D3582" s="679" t="s">
        <v>4392</v>
      </c>
      <c r="E3582" s="710" t="n">
        <v>0.034</v>
      </c>
      <c r="F3582" s="369" t="n">
        <v>6500</v>
      </c>
      <c r="G3582" s="615" t="n">
        <f aca="false">E3582*F3582</f>
        <v>221</v>
      </c>
      <c r="H3582" s="606"/>
    </row>
    <row r="3583" customFormat="false" ht="15" hidden="false" customHeight="false" outlineLevel="0" collapsed="false">
      <c r="A3583" s="571"/>
      <c r="B3583" s="500"/>
      <c r="C3583" s="709" t="s">
        <v>4122</v>
      </c>
      <c r="D3583" s="679" t="s">
        <v>4392</v>
      </c>
      <c r="E3583" s="710" t="n">
        <v>0.17</v>
      </c>
      <c r="F3583" s="721" t="n">
        <v>720</v>
      </c>
      <c r="G3583" s="615" t="n">
        <f aca="false">E3583*F3583</f>
        <v>122.4</v>
      </c>
      <c r="H3583" s="606"/>
    </row>
    <row r="3584" customFormat="false" ht="15" hidden="false" customHeight="false" outlineLevel="0" collapsed="false">
      <c r="A3584" s="571"/>
      <c r="B3584" s="500"/>
      <c r="C3584" s="709" t="s">
        <v>4529</v>
      </c>
      <c r="D3584" s="679" t="s">
        <v>4133</v>
      </c>
      <c r="E3584" s="710" t="n">
        <v>0.03</v>
      </c>
      <c r="F3584" s="369" t="n">
        <v>1200</v>
      </c>
      <c r="G3584" s="615" t="n">
        <f aca="false">E3584*F3584</f>
        <v>36</v>
      </c>
      <c r="H3584" s="606"/>
    </row>
    <row r="3585" customFormat="false" ht="15" hidden="false" customHeight="false" outlineLevel="0" collapsed="false">
      <c r="A3585" s="571"/>
      <c r="B3585" s="500"/>
      <c r="C3585" s="709" t="s">
        <v>4264</v>
      </c>
      <c r="D3585" s="679" t="s">
        <v>4133</v>
      </c>
      <c r="E3585" s="710" t="n">
        <v>0.005</v>
      </c>
      <c r="F3585" s="369" t="n">
        <v>55000</v>
      </c>
      <c r="G3585" s="615" t="n">
        <f aca="false">E3585*F3585</f>
        <v>275</v>
      </c>
      <c r="H3585" s="606"/>
    </row>
    <row r="3586" customFormat="false" ht="15" hidden="false" customHeight="false" outlineLevel="0" collapsed="false">
      <c r="A3586" s="571"/>
      <c r="B3586" s="500"/>
      <c r="C3586" s="709" t="s">
        <v>4515</v>
      </c>
      <c r="D3586" s="679" t="s">
        <v>4133</v>
      </c>
      <c r="E3586" s="710" t="n">
        <v>0.001</v>
      </c>
      <c r="F3586" s="369" t="n">
        <v>2700</v>
      </c>
      <c r="G3586" s="615" t="n">
        <f aca="false">E3586*F3586</f>
        <v>2.7</v>
      </c>
      <c r="H3586" s="606"/>
    </row>
    <row r="3587" customFormat="false" ht="15" hidden="false" customHeight="false" outlineLevel="0" collapsed="false">
      <c r="A3587" s="571"/>
      <c r="B3587" s="500"/>
      <c r="C3587" s="709" t="s">
        <v>4124</v>
      </c>
      <c r="D3587" s="679" t="s">
        <v>4516</v>
      </c>
      <c r="E3587" s="710" t="n">
        <v>0.5</v>
      </c>
      <c r="F3587" s="369" t="n">
        <v>120</v>
      </c>
      <c r="G3587" s="615" t="n">
        <f aca="false">E3587*F3587</f>
        <v>60</v>
      </c>
      <c r="H3587" s="606"/>
    </row>
    <row r="3588" customFormat="false" ht="15" hidden="false" customHeight="false" outlineLevel="0" collapsed="false">
      <c r="A3588" s="571"/>
      <c r="B3588" s="608" t="s">
        <v>4128</v>
      </c>
      <c r="C3588" s="718"/>
      <c r="D3588" s="719"/>
      <c r="E3588" s="722"/>
      <c r="F3588" s="366"/>
      <c r="G3588" s="613" t="n">
        <f aca="false">SUM(G3582:G3587)</f>
        <v>717.1</v>
      </c>
      <c r="H3588" s="391"/>
    </row>
    <row r="3589" customFormat="false" ht="15" hidden="false" customHeight="false" outlineLevel="0" collapsed="false">
      <c r="A3589" s="571" t="s">
        <v>4883</v>
      </c>
      <c r="B3589" s="328" t="s">
        <v>3179</v>
      </c>
      <c r="C3589" s="709" t="s">
        <v>4225</v>
      </c>
      <c r="D3589" s="679" t="s">
        <v>4133</v>
      </c>
      <c r="E3589" s="710" t="n">
        <v>0.01</v>
      </c>
      <c r="F3589" s="721" t="n">
        <v>8100</v>
      </c>
      <c r="G3589" s="615" t="n">
        <f aca="false">E3589*F3589</f>
        <v>81</v>
      </c>
      <c r="H3589" s="606"/>
    </row>
    <row r="3590" customFormat="false" ht="15" hidden="false" customHeight="false" outlineLevel="0" collapsed="false">
      <c r="A3590" s="571"/>
      <c r="B3590" s="500"/>
      <c r="C3590" s="709" t="s">
        <v>4264</v>
      </c>
      <c r="D3590" s="679" t="s">
        <v>4133</v>
      </c>
      <c r="E3590" s="710" t="n">
        <v>0.01</v>
      </c>
      <c r="F3590" s="369" t="n">
        <v>55000</v>
      </c>
      <c r="G3590" s="615" t="n">
        <f aca="false">E3590*F3590</f>
        <v>550</v>
      </c>
      <c r="H3590" s="606"/>
    </row>
    <row r="3591" customFormat="false" ht="15" hidden="false" customHeight="false" outlineLevel="0" collapsed="false">
      <c r="A3591" s="571"/>
      <c r="B3591" s="500"/>
      <c r="C3591" s="709" t="s">
        <v>4515</v>
      </c>
      <c r="D3591" s="679" t="s">
        <v>4133</v>
      </c>
      <c r="E3591" s="710" t="n">
        <v>0.006</v>
      </c>
      <c r="F3591" s="369" t="n">
        <v>2700</v>
      </c>
      <c r="G3591" s="615" t="n">
        <f aca="false">E3591*F3591</f>
        <v>16.2</v>
      </c>
      <c r="H3591" s="606"/>
    </row>
    <row r="3592" customFormat="false" ht="15" hidden="false" customHeight="false" outlineLevel="0" collapsed="false">
      <c r="A3592" s="571"/>
      <c r="B3592" s="500"/>
      <c r="C3592" s="709" t="s">
        <v>4124</v>
      </c>
      <c r="D3592" s="679" t="s">
        <v>4516</v>
      </c>
      <c r="E3592" s="710" t="n">
        <v>1.5</v>
      </c>
      <c r="F3592" s="369" t="n">
        <v>120</v>
      </c>
      <c r="G3592" s="615" t="n">
        <f aca="false">E3592*F3592</f>
        <v>180</v>
      </c>
      <c r="H3592" s="606"/>
    </row>
    <row r="3593" customFormat="false" ht="15" hidden="false" customHeight="false" outlineLevel="0" collapsed="false">
      <c r="A3593" s="571"/>
      <c r="B3593" s="608" t="s">
        <v>4128</v>
      </c>
      <c r="C3593" s="718"/>
      <c r="D3593" s="719"/>
      <c r="E3593" s="722"/>
      <c r="F3593" s="366"/>
      <c r="G3593" s="613" t="n">
        <f aca="false">SUM(G3589:G3592)</f>
        <v>827.2</v>
      </c>
      <c r="H3593" s="606"/>
    </row>
    <row r="3594" customFormat="false" ht="15" hidden="false" customHeight="false" outlineLevel="0" collapsed="false">
      <c r="A3594" s="571" t="s">
        <v>4884</v>
      </c>
      <c r="B3594" s="328" t="s">
        <v>3180</v>
      </c>
      <c r="C3594" s="709" t="s">
        <v>4515</v>
      </c>
      <c r="D3594" s="679" t="s">
        <v>4133</v>
      </c>
      <c r="E3594" s="710" t="n">
        <v>0.06</v>
      </c>
      <c r="F3594" s="369" t="n">
        <v>2700</v>
      </c>
      <c r="G3594" s="615" t="n">
        <f aca="false">E3594*F3594</f>
        <v>162</v>
      </c>
      <c r="H3594" s="391"/>
    </row>
    <row r="3595" customFormat="false" ht="15" hidden="false" customHeight="false" outlineLevel="0" collapsed="false">
      <c r="A3595" s="571"/>
      <c r="B3595" s="500"/>
      <c r="C3595" s="709" t="s">
        <v>4124</v>
      </c>
      <c r="D3595" s="679" t="s">
        <v>4516</v>
      </c>
      <c r="E3595" s="710" t="n">
        <v>1.5</v>
      </c>
      <c r="F3595" s="369" t="n">
        <v>120</v>
      </c>
      <c r="G3595" s="615" t="n">
        <f aca="false">E3595*F3595</f>
        <v>180</v>
      </c>
      <c r="H3595" s="606"/>
    </row>
    <row r="3596" customFormat="false" ht="15" hidden="false" customHeight="false" outlineLevel="0" collapsed="false">
      <c r="A3596" s="571"/>
      <c r="B3596" s="608" t="s">
        <v>4128</v>
      </c>
      <c r="C3596" s="718"/>
      <c r="D3596" s="719"/>
      <c r="E3596" s="722"/>
      <c r="F3596" s="366"/>
      <c r="G3596" s="613" t="n">
        <f aca="false">SUM(G3594:G3595)</f>
        <v>342</v>
      </c>
      <c r="H3596" s="606"/>
    </row>
    <row r="3597" customFormat="false" ht="15" hidden="false" customHeight="false" outlineLevel="0" collapsed="false">
      <c r="A3597" s="571" t="s">
        <v>4885</v>
      </c>
      <c r="B3597" s="328" t="s">
        <v>3181</v>
      </c>
      <c r="C3597" s="709" t="s">
        <v>4654</v>
      </c>
      <c r="D3597" s="679" t="s">
        <v>4133</v>
      </c>
      <c r="E3597" s="710" t="n">
        <v>0.01</v>
      </c>
      <c r="F3597" s="721" t="n">
        <v>3500</v>
      </c>
      <c r="G3597" s="615" t="n">
        <f aca="false">E3597*F3597</f>
        <v>35</v>
      </c>
      <c r="H3597" s="606"/>
    </row>
    <row r="3598" customFormat="false" ht="15" hidden="false" customHeight="false" outlineLevel="0" collapsed="false">
      <c r="A3598" s="571"/>
      <c r="B3598" s="500"/>
      <c r="C3598" s="709" t="s">
        <v>4147</v>
      </c>
      <c r="D3598" s="679" t="s">
        <v>4392</v>
      </c>
      <c r="E3598" s="710" t="n">
        <v>0.1</v>
      </c>
      <c r="F3598" s="723" t="n">
        <v>3612</v>
      </c>
      <c r="G3598" s="615" t="n">
        <f aca="false">E3598*F3598</f>
        <v>361.2</v>
      </c>
      <c r="H3598" s="606"/>
    </row>
    <row r="3599" customFormat="false" ht="15" hidden="false" customHeight="false" outlineLevel="0" collapsed="false">
      <c r="A3599" s="571"/>
      <c r="B3599" s="500"/>
      <c r="C3599" s="709" t="s">
        <v>4126</v>
      </c>
      <c r="D3599" s="679" t="s">
        <v>4133</v>
      </c>
      <c r="E3599" s="710" t="n">
        <v>0.06</v>
      </c>
      <c r="F3599" s="369" t="n">
        <v>2700</v>
      </c>
      <c r="G3599" s="615" t="n">
        <f aca="false">E3599*F3599</f>
        <v>162</v>
      </c>
      <c r="H3599" s="606"/>
    </row>
    <row r="3600" customFormat="false" ht="15" hidden="false" customHeight="false" outlineLevel="0" collapsed="false">
      <c r="A3600" s="571"/>
      <c r="B3600" s="500"/>
      <c r="C3600" s="709" t="s">
        <v>4124</v>
      </c>
      <c r="D3600" s="679" t="s">
        <v>4516</v>
      </c>
      <c r="E3600" s="710" t="n">
        <v>1.5</v>
      </c>
      <c r="F3600" s="369" t="n">
        <v>120</v>
      </c>
      <c r="G3600" s="615" t="n">
        <f aca="false">E3600*F3600</f>
        <v>180</v>
      </c>
      <c r="H3600" s="606"/>
    </row>
    <row r="3601" customFormat="false" ht="15" hidden="false" customHeight="false" outlineLevel="0" collapsed="false">
      <c r="A3601" s="571"/>
      <c r="B3601" s="608" t="s">
        <v>4128</v>
      </c>
      <c r="C3601" s="718"/>
      <c r="D3601" s="719"/>
      <c r="E3601" s="722"/>
      <c r="F3601" s="366"/>
      <c r="G3601" s="613" t="n">
        <f aca="false">SUM(G3597:G3600)</f>
        <v>738.2</v>
      </c>
      <c r="H3601" s="606"/>
    </row>
    <row r="3602" customFormat="false" ht="15" hidden="false" customHeight="false" outlineLevel="0" collapsed="false">
      <c r="A3602" s="571" t="s">
        <v>4886</v>
      </c>
      <c r="B3602" s="328" t="s">
        <v>3182</v>
      </c>
      <c r="C3602" s="709" t="s">
        <v>4147</v>
      </c>
      <c r="D3602" s="679" t="s">
        <v>4392</v>
      </c>
      <c r="E3602" s="710" t="n">
        <v>0.05</v>
      </c>
      <c r="F3602" s="723" t="n">
        <v>3612</v>
      </c>
      <c r="G3602" s="615" t="n">
        <f aca="false">E3602*F3602</f>
        <v>180.6</v>
      </c>
      <c r="H3602" s="391"/>
    </row>
    <row r="3603" customFormat="false" ht="15" hidden="false" customHeight="false" outlineLevel="0" collapsed="false">
      <c r="A3603" s="571"/>
      <c r="B3603" s="500"/>
      <c r="C3603" s="709" t="s">
        <v>4887</v>
      </c>
      <c r="D3603" s="679" t="s">
        <v>4392</v>
      </c>
      <c r="E3603" s="710" t="n">
        <v>0.002</v>
      </c>
      <c r="F3603" s="369" t="n">
        <v>38400</v>
      </c>
      <c r="G3603" s="615" t="n">
        <f aca="false">E3603*F3603</f>
        <v>76.8</v>
      </c>
      <c r="H3603" s="606"/>
    </row>
    <row r="3604" customFormat="false" ht="15" hidden="false" customHeight="false" outlineLevel="0" collapsed="false">
      <c r="A3604" s="571"/>
      <c r="B3604" s="500"/>
      <c r="C3604" s="709" t="s">
        <v>4888</v>
      </c>
      <c r="D3604" s="679" t="s">
        <v>4138</v>
      </c>
      <c r="E3604" s="710" t="n">
        <v>0.4</v>
      </c>
      <c r="F3604" s="369" t="n">
        <v>28100</v>
      </c>
      <c r="G3604" s="615" t="n">
        <f aca="false">E3604*F3604</f>
        <v>11240</v>
      </c>
      <c r="H3604" s="606"/>
    </row>
    <row r="3605" customFormat="false" ht="15" hidden="false" customHeight="false" outlineLevel="0" collapsed="false">
      <c r="A3605" s="571"/>
      <c r="B3605" s="500"/>
      <c r="C3605" s="709" t="s">
        <v>4889</v>
      </c>
      <c r="D3605" s="679" t="s">
        <v>4138</v>
      </c>
      <c r="E3605" s="710" t="n">
        <v>0.4</v>
      </c>
      <c r="F3605" s="369" t="n">
        <v>28100</v>
      </c>
      <c r="G3605" s="615" t="n">
        <f aca="false">E3605*F3605</f>
        <v>11240</v>
      </c>
      <c r="H3605" s="391"/>
    </row>
    <row r="3606" customFormat="false" ht="15" hidden="false" customHeight="false" outlineLevel="0" collapsed="false">
      <c r="A3606" s="571"/>
      <c r="B3606" s="500"/>
      <c r="C3606" s="709" t="s">
        <v>4890</v>
      </c>
      <c r="D3606" s="679" t="s">
        <v>4138</v>
      </c>
      <c r="E3606" s="710" t="n">
        <v>0.01</v>
      </c>
      <c r="F3606" s="369" t="n">
        <v>9150</v>
      </c>
      <c r="G3606" s="615" t="n">
        <f aca="false">E3606*F3606</f>
        <v>91.5</v>
      </c>
      <c r="H3606" s="606"/>
    </row>
    <row r="3607" customFormat="false" ht="15" hidden="false" customHeight="false" outlineLevel="0" collapsed="false">
      <c r="A3607" s="571"/>
      <c r="B3607" s="500"/>
      <c r="C3607" s="709" t="s">
        <v>4891</v>
      </c>
      <c r="D3607" s="679" t="s">
        <v>4392</v>
      </c>
      <c r="E3607" s="710" t="n">
        <v>0.001</v>
      </c>
      <c r="F3607" s="369" t="n">
        <v>10000</v>
      </c>
      <c r="G3607" s="615" t="n">
        <f aca="false">E3607*F3607</f>
        <v>10</v>
      </c>
      <c r="H3607" s="606"/>
    </row>
    <row r="3608" customFormat="false" ht="15" hidden="false" customHeight="false" outlineLevel="0" collapsed="false">
      <c r="A3608" s="571"/>
      <c r="B3608" s="500"/>
      <c r="C3608" s="709" t="s">
        <v>4892</v>
      </c>
      <c r="D3608" s="679" t="s">
        <v>4392</v>
      </c>
      <c r="E3608" s="710" t="n">
        <v>0.01</v>
      </c>
      <c r="F3608" s="369" t="n">
        <v>10000</v>
      </c>
      <c r="G3608" s="615" t="n">
        <f aca="false">E3608*F3608</f>
        <v>100</v>
      </c>
      <c r="H3608" s="606"/>
    </row>
    <row r="3609" customFormat="false" ht="15" hidden="false" customHeight="false" outlineLevel="0" collapsed="false">
      <c r="A3609" s="571"/>
      <c r="B3609" s="500"/>
      <c r="C3609" s="709" t="s">
        <v>4515</v>
      </c>
      <c r="D3609" s="679" t="s">
        <v>4133</v>
      </c>
      <c r="E3609" s="710" t="n">
        <v>0.06</v>
      </c>
      <c r="F3609" s="369" t="n">
        <v>2700</v>
      </c>
      <c r="G3609" s="615" t="n">
        <f aca="false">E3609*F3609</f>
        <v>162</v>
      </c>
      <c r="H3609" s="606"/>
    </row>
    <row r="3610" customFormat="false" ht="15" hidden="false" customHeight="false" outlineLevel="0" collapsed="false">
      <c r="A3610" s="571"/>
      <c r="B3610" s="500"/>
      <c r="C3610" s="709" t="s">
        <v>4124</v>
      </c>
      <c r="D3610" s="679" t="s">
        <v>4516</v>
      </c>
      <c r="E3610" s="710" t="n">
        <v>1.5</v>
      </c>
      <c r="F3610" s="369" t="n">
        <v>120</v>
      </c>
      <c r="G3610" s="615" t="n">
        <f aca="false">E3610*F3610</f>
        <v>180</v>
      </c>
      <c r="H3610" s="606"/>
    </row>
    <row r="3611" customFormat="false" ht="15" hidden="false" customHeight="false" outlineLevel="0" collapsed="false">
      <c r="A3611" s="571"/>
      <c r="B3611" s="608" t="s">
        <v>4128</v>
      </c>
      <c r="C3611" s="718"/>
      <c r="D3611" s="719"/>
      <c r="E3611" s="722"/>
      <c r="F3611" s="366"/>
      <c r="G3611" s="613" t="n">
        <f aca="false">SUM(G3602:G3610)</f>
        <v>23280.9</v>
      </c>
      <c r="H3611" s="606"/>
    </row>
    <row r="3612" customFormat="false" ht="30" hidden="false" customHeight="false" outlineLevel="0" collapsed="false">
      <c r="A3612" s="571" t="s">
        <v>4893</v>
      </c>
      <c r="B3612" s="328" t="s">
        <v>3183</v>
      </c>
      <c r="C3612" s="709" t="s">
        <v>4515</v>
      </c>
      <c r="D3612" s="679" t="s">
        <v>4133</v>
      </c>
      <c r="E3612" s="710" t="n">
        <v>0.06</v>
      </c>
      <c r="F3612" s="369" t="n">
        <v>2700</v>
      </c>
      <c r="G3612" s="615" t="n">
        <f aca="false">E3612*F3612</f>
        <v>162</v>
      </c>
      <c r="H3612" s="391"/>
    </row>
    <row r="3613" customFormat="false" ht="15" hidden="false" customHeight="false" outlineLevel="0" collapsed="false">
      <c r="A3613" s="571"/>
      <c r="B3613" s="500"/>
      <c r="C3613" s="709" t="s">
        <v>4124</v>
      </c>
      <c r="D3613" s="679" t="s">
        <v>4516</v>
      </c>
      <c r="E3613" s="710" t="n">
        <v>1.5</v>
      </c>
      <c r="F3613" s="369" t="n">
        <v>120</v>
      </c>
      <c r="G3613" s="615" t="n">
        <f aca="false">E3613*F3613</f>
        <v>180</v>
      </c>
      <c r="H3613" s="606"/>
    </row>
    <row r="3614" customFormat="false" ht="15" hidden="false" customHeight="false" outlineLevel="0" collapsed="false">
      <c r="A3614" s="571"/>
      <c r="B3614" s="608" t="s">
        <v>4128</v>
      </c>
      <c r="C3614" s="718"/>
      <c r="D3614" s="719"/>
      <c r="E3614" s="722"/>
      <c r="F3614" s="366"/>
      <c r="G3614" s="613" t="n">
        <f aca="false">SUM(G3612:G3613)</f>
        <v>342</v>
      </c>
      <c r="H3614" s="606"/>
    </row>
    <row r="3615" customFormat="false" ht="15" hidden="false" customHeight="false" outlineLevel="0" collapsed="false">
      <c r="A3615" s="571" t="s">
        <v>4894</v>
      </c>
      <c r="B3615" s="328" t="s">
        <v>3184</v>
      </c>
      <c r="C3615" s="709" t="s">
        <v>4154</v>
      </c>
      <c r="D3615" s="679" t="s">
        <v>4392</v>
      </c>
      <c r="E3615" s="710" t="n">
        <v>0.015</v>
      </c>
      <c r="F3615" s="721" t="n">
        <v>3500</v>
      </c>
      <c r="G3615" s="615" t="n">
        <f aca="false">E3615*F3615</f>
        <v>52.5</v>
      </c>
      <c r="H3615" s="606"/>
    </row>
    <row r="3616" customFormat="false" ht="15" hidden="false" customHeight="false" outlineLevel="0" collapsed="false">
      <c r="A3616" s="571"/>
      <c r="B3616" s="500"/>
      <c r="C3616" s="709" t="s">
        <v>4244</v>
      </c>
      <c r="D3616" s="679" t="s">
        <v>4133</v>
      </c>
      <c r="E3616" s="715" t="n">
        <v>0.07</v>
      </c>
      <c r="F3616" s="369" t="n">
        <v>2700</v>
      </c>
      <c r="G3616" s="615" t="n">
        <f aca="false">E3616*F3616</f>
        <v>189</v>
      </c>
      <c r="H3616" s="606"/>
    </row>
    <row r="3617" customFormat="false" ht="15" hidden="false" customHeight="false" outlineLevel="0" collapsed="false">
      <c r="A3617" s="571"/>
      <c r="B3617" s="500"/>
      <c r="C3617" s="709" t="s">
        <v>4122</v>
      </c>
      <c r="D3617" s="679" t="s">
        <v>4392</v>
      </c>
      <c r="E3617" s="715" t="n">
        <v>0.01</v>
      </c>
      <c r="F3617" s="721" t="n">
        <v>720</v>
      </c>
      <c r="G3617" s="615" t="n">
        <f aca="false">E3617*F3617</f>
        <v>7.2</v>
      </c>
      <c r="H3617" s="606"/>
    </row>
    <row r="3618" customFormat="false" ht="15" hidden="false" customHeight="false" outlineLevel="0" collapsed="false">
      <c r="A3618" s="571"/>
      <c r="B3618" s="500"/>
      <c r="C3618" s="709" t="s">
        <v>4895</v>
      </c>
      <c r="D3618" s="679" t="s">
        <v>4138</v>
      </c>
      <c r="E3618" s="715" t="n">
        <v>0.13</v>
      </c>
      <c r="F3618" s="369" t="n">
        <v>81000</v>
      </c>
      <c r="G3618" s="615" t="n">
        <f aca="false">E3618*F3618</f>
        <v>10530</v>
      </c>
      <c r="H3618" s="606"/>
    </row>
    <row r="3619" customFormat="false" ht="15" hidden="false" customHeight="false" outlineLevel="0" collapsed="false">
      <c r="A3619" s="571"/>
      <c r="B3619" s="500"/>
      <c r="C3619" s="709" t="s">
        <v>4126</v>
      </c>
      <c r="D3619" s="679" t="s">
        <v>4133</v>
      </c>
      <c r="E3619" s="715" t="n">
        <v>0.01</v>
      </c>
      <c r="F3619" s="369" t="n">
        <v>2700</v>
      </c>
      <c r="G3619" s="615" t="n">
        <f aca="false">E3619*F3619</f>
        <v>27</v>
      </c>
      <c r="H3619" s="391"/>
    </row>
    <row r="3620" customFormat="false" ht="15" hidden="false" customHeight="false" outlineLevel="0" collapsed="false">
      <c r="A3620" s="571"/>
      <c r="B3620" s="500"/>
      <c r="C3620" s="709" t="s">
        <v>4124</v>
      </c>
      <c r="D3620" s="679" t="s">
        <v>4516</v>
      </c>
      <c r="E3620" s="715" t="n">
        <v>0.15</v>
      </c>
      <c r="F3620" s="369" t="n">
        <v>120</v>
      </c>
      <c r="G3620" s="615" t="n">
        <f aca="false">E3620*F3620</f>
        <v>18</v>
      </c>
      <c r="H3620" s="606"/>
    </row>
    <row r="3621" customFormat="false" ht="15" hidden="false" customHeight="false" outlineLevel="0" collapsed="false">
      <c r="A3621" s="571"/>
      <c r="B3621" s="608" t="s">
        <v>4128</v>
      </c>
      <c r="C3621" s="718"/>
      <c r="D3621" s="719"/>
      <c r="E3621" s="722"/>
      <c r="F3621" s="366"/>
      <c r="G3621" s="613" t="n">
        <f aca="false">SUM(G3615:G3620)</f>
        <v>10823.7</v>
      </c>
      <c r="H3621" s="606"/>
    </row>
    <row r="3622" customFormat="false" ht="15" hidden="false" customHeight="false" outlineLevel="0" collapsed="false">
      <c r="A3622" s="571" t="s">
        <v>4896</v>
      </c>
      <c r="B3622" s="328" t="s">
        <v>3185</v>
      </c>
      <c r="C3622" s="709" t="s">
        <v>4897</v>
      </c>
      <c r="D3622" s="679" t="s">
        <v>4392</v>
      </c>
      <c r="E3622" s="715" t="n">
        <v>0.01</v>
      </c>
      <c r="F3622" s="369" t="n">
        <v>2678</v>
      </c>
      <c r="G3622" s="615" t="n">
        <f aca="false">E3622*F3622</f>
        <v>26.78</v>
      </c>
      <c r="H3622" s="391"/>
    </row>
    <row r="3623" customFormat="false" ht="15" hidden="false" customHeight="false" outlineLevel="0" collapsed="false">
      <c r="A3623" s="571"/>
      <c r="B3623" s="500"/>
      <c r="C3623" s="709" t="s">
        <v>4898</v>
      </c>
      <c r="D3623" s="679" t="s">
        <v>4392</v>
      </c>
      <c r="E3623" s="715" t="n">
        <v>0.04</v>
      </c>
      <c r="F3623" s="369" t="n">
        <v>1875</v>
      </c>
      <c r="G3623" s="615" t="n">
        <f aca="false">E3623*F3623</f>
        <v>75</v>
      </c>
      <c r="H3623" s="606"/>
    </row>
    <row r="3624" customFormat="false" ht="15" hidden="false" customHeight="false" outlineLevel="0" collapsed="false">
      <c r="A3624" s="571"/>
      <c r="B3624" s="500"/>
      <c r="C3624" s="709" t="s">
        <v>4122</v>
      </c>
      <c r="D3624" s="679" t="s">
        <v>4392</v>
      </c>
      <c r="E3624" s="715" t="n">
        <v>0.1</v>
      </c>
      <c r="F3624" s="721" t="n">
        <v>720</v>
      </c>
      <c r="G3624" s="615" t="n">
        <f aca="false">E3624*F3624</f>
        <v>72</v>
      </c>
      <c r="H3624" s="606"/>
    </row>
    <row r="3625" customFormat="false" ht="15" hidden="false" customHeight="false" outlineLevel="0" collapsed="false">
      <c r="A3625" s="571"/>
      <c r="B3625" s="500"/>
      <c r="C3625" s="709" t="s">
        <v>4515</v>
      </c>
      <c r="D3625" s="679" t="s">
        <v>4133</v>
      </c>
      <c r="E3625" s="715" t="n">
        <v>0.06</v>
      </c>
      <c r="F3625" s="369" t="n">
        <v>2700</v>
      </c>
      <c r="G3625" s="615" t="n">
        <f aca="false">E3625*F3625</f>
        <v>162</v>
      </c>
      <c r="H3625" s="606"/>
    </row>
    <row r="3626" customFormat="false" ht="15" hidden="false" customHeight="false" outlineLevel="0" collapsed="false">
      <c r="A3626" s="571"/>
      <c r="B3626" s="500"/>
      <c r="C3626" s="709" t="s">
        <v>4124</v>
      </c>
      <c r="D3626" s="679" t="s">
        <v>4516</v>
      </c>
      <c r="E3626" s="715" t="n">
        <v>1.5</v>
      </c>
      <c r="F3626" s="369" t="n">
        <v>120</v>
      </c>
      <c r="G3626" s="615" t="n">
        <f aca="false">E3626*F3626</f>
        <v>180</v>
      </c>
      <c r="H3626" s="606"/>
    </row>
    <row r="3627" customFormat="false" ht="15" hidden="false" customHeight="false" outlineLevel="0" collapsed="false">
      <c r="A3627" s="571"/>
      <c r="B3627" s="608" t="s">
        <v>4128</v>
      </c>
      <c r="C3627" s="718"/>
      <c r="D3627" s="719"/>
      <c r="E3627" s="720"/>
      <c r="F3627" s="366"/>
      <c r="G3627" s="613" t="n">
        <f aca="false">SUM(G3622:G3626)</f>
        <v>515.78</v>
      </c>
      <c r="H3627" s="391"/>
    </row>
    <row r="3628" customFormat="false" ht="15" hidden="false" customHeight="false" outlineLevel="0" collapsed="false">
      <c r="A3628" s="571" t="s">
        <v>4899</v>
      </c>
      <c r="B3628" s="328" t="s">
        <v>3186</v>
      </c>
      <c r="C3628" s="709" t="s">
        <v>4122</v>
      </c>
      <c r="D3628" s="679" t="s">
        <v>4392</v>
      </c>
      <c r="E3628" s="715" t="n">
        <v>0.1</v>
      </c>
      <c r="F3628" s="721" t="n">
        <v>720</v>
      </c>
      <c r="G3628" s="615" t="n">
        <f aca="false">E3628*F3628</f>
        <v>72</v>
      </c>
      <c r="H3628" s="606"/>
    </row>
    <row r="3629" customFormat="false" ht="15" hidden="false" customHeight="false" outlineLevel="0" collapsed="false">
      <c r="A3629" s="571"/>
      <c r="B3629" s="500"/>
      <c r="C3629" s="709" t="s">
        <v>4515</v>
      </c>
      <c r="D3629" s="679" t="s">
        <v>4133</v>
      </c>
      <c r="E3629" s="715" t="n">
        <v>0.06</v>
      </c>
      <c r="F3629" s="369" t="n">
        <v>2700</v>
      </c>
      <c r="G3629" s="615" t="n">
        <f aca="false">E3629*F3629</f>
        <v>162</v>
      </c>
      <c r="H3629" s="606"/>
    </row>
    <row r="3630" customFormat="false" ht="15" hidden="false" customHeight="false" outlineLevel="0" collapsed="false">
      <c r="A3630" s="571"/>
      <c r="B3630" s="608" t="s">
        <v>4128</v>
      </c>
      <c r="C3630" s="718"/>
      <c r="D3630" s="719"/>
      <c r="E3630" s="720"/>
      <c r="F3630" s="366"/>
      <c r="G3630" s="613" t="n">
        <f aca="false">SUM(G3628:G3629)</f>
        <v>234</v>
      </c>
      <c r="H3630" s="606"/>
    </row>
    <row r="3631" customFormat="false" ht="15" hidden="false" customHeight="false" outlineLevel="0" collapsed="false">
      <c r="A3631" s="571" t="s">
        <v>731</v>
      </c>
      <c r="B3631" s="328" t="s">
        <v>3187</v>
      </c>
      <c r="C3631" s="709" t="s">
        <v>4122</v>
      </c>
      <c r="D3631" s="679" t="s">
        <v>4392</v>
      </c>
      <c r="E3631" s="715" t="n">
        <v>0.3</v>
      </c>
      <c r="F3631" s="721" t="n">
        <v>720</v>
      </c>
      <c r="G3631" s="615" t="n">
        <f aca="false">E3631*F3631</f>
        <v>216</v>
      </c>
      <c r="H3631" s="606"/>
    </row>
    <row r="3632" customFormat="false" ht="15" hidden="false" customHeight="false" outlineLevel="0" collapsed="false">
      <c r="A3632" s="571"/>
      <c r="B3632" s="500"/>
      <c r="C3632" s="709" t="s">
        <v>4515</v>
      </c>
      <c r="D3632" s="679" t="s">
        <v>4133</v>
      </c>
      <c r="E3632" s="710" t="n">
        <v>0.006</v>
      </c>
      <c r="F3632" s="369" t="n">
        <v>2700</v>
      </c>
      <c r="G3632" s="615" t="n">
        <f aca="false">E3632*F3632</f>
        <v>16.2</v>
      </c>
      <c r="H3632" s="606"/>
    </row>
    <row r="3633" customFormat="false" ht="15" hidden="false" customHeight="false" outlineLevel="0" collapsed="false">
      <c r="A3633" s="571"/>
      <c r="B3633" s="500"/>
      <c r="C3633" s="709" t="s">
        <v>4124</v>
      </c>
      <c r="D3633" s="679" t="s">
        <v>4516</v>
      </c>
      <c r="E3633" s="715" t="n">
        <v>1.5</v>
      </c>
      <c r="F3633" s="369" t="n">
        <v>120</v>
      </c>
      <c r="G3633" s="615" t="n">
        <f aca="false">E3633*F3633</f>
        <v>180</v>
      </c>
      <c r="H3633" s="606"/>
    </row>
    <row r="3634" customFormat="false" ht="15" hidden="false" customHeight="false" outlineLevel="0" collapsed="false">
      <c r="A3634" s="571"/>
      <c r="B3634" s="608" t="s">
        <v>4128</v>
      </c>
      <c r="C3634" s="718"/>
      <c r="D3634" s="719"/>
      <c r="E3634" s="722"/>
      <c r="F3634" s="366"/>
      <c r="G3634" s="613" t="n">
        <f aca="false">SUM(G3631:G3633)</f>
        <v>412.2</v>
      </c>
      <c r="H3634" s="606"/>
    </row>
    <row r="3635" customFormat="false" ht="15" hidden="false" customHeight="false" outlineLevel="0" collapsed="false">
      <c r="A3635" s="571" t="s">
        <v>732</v>
      </c>
      <c r="B3635" s="328" t="s">
        <v>3147</v>
      </c>
      <c r="C3635" s="709" t="s">
        <v>4189</v>
      </c>
      <c r="D3635" s="679" t="s">
        <v>4392</v>
      </c>
      <c r="E3635" s="715" t="n">
        <v>0.1</v>
      </c>
      <c r="F3635" s="729" t="n">
        <v>3500</v>
      </c>
      <c r="G3635" s="615" t="n">
        <f aca="false">E3635*F3635</f>
        <v>350</v>
      </c>
      <c r="H3635" s="606"/>
    </row>
    <row r="3636" customFormat="false" ht="15" hidden="false" customHeight="false" outlineLevel="0" collapsed="false">
      <c r="A3636" s="571"/>
      <c r="B3636" s="500"/>
      <c r="C3636" s="709" t="s">
        <v>4147</v>
      </c>
      <c r="D3636" s="679" t="s">
        <v>4392</v>
      </c>
      <c r="E3636" s="715" t="n">
        <v>0.1</v>
      </c>
      <c r="F3636" s="723" t="n">
        <v>3612</v>
      </c>
      <c r="G3636" s="615" t="n">
        <f aca="false">E3636*F3636</f>
        <v>361.2</v>
      </c>
      <c r="H3636" s="606"/>
    </row>
    <row r="3637" customFormat="false" ht="15" hidden="false" customHeight="false" outlineLevel="0" collapsed="false">
      <c r="A3637" s="571"/>
      <c r="B3637" s="500"/>
      <c r="C3637" s="709" t="s">
        <v>4277</v>
      </c>
      <c r="D3637" s="679" t="s">
        <v>4133</v>
      </c>
      <c r="E3637" s="715" t="n">
        <v>0.1</v>
      </c>
      <c r="F3637" s="369" t="n">
        <v>1116</v>
      </c>
      <c r="G3637" s="615" t="n">
        <f aca="false">E3637*F3637</f>
        <v>111.6</v>
      </c>
      <c r="H3637" s="391"/>
    </row>
    <row r="3638" customFormat="false" ht="15" hidden="false" customHeight="false" outlineLevel="0" collapsed="false">
      <c r="A3638" s="571"/>
      <c r="B3638" s="500"/>
      <c r="C3638" s="709" t="s">
        <v>4575</v>
      </c>
      <c r="D3638" s="679" t="s">
        <v>4133</v>
      </c>
      <c r="E3638" s="715" t="n">
        <v>0.01</v>
      </c>
      <c r="F3638" s="369" t="n">
        <v>24000</v>
      </c>
      <c r="G3638" s="615" t="n">
        <f aca="false">E3638*F3638</f>
        <v>240</v>
      </c>
      <c r="H3638" s="606"/>
    </row>
    <row r="3639" customFormat="false" ht="15" hidden="false" customHeight="false" outlineLevel="0" collapsed="false">
      <c r="A3639" s="571"/>
      <c r="B3639" s="500"/>
      <c r="C3639" s="709" t="s">
        <v>4165</v>
      </c>
      <c r="D3639" s="679" t="s">
        <v>4133</v>
      </c>
      <c r="E3639" s="710" t="n">
        <v>0.022675</v>
      </c>
      <c r="F3639" s="369" t="n">
        <v>1323</v>
      </c>
      <c r="G3639" s="615" t="n">
        <f aca="false">E3639*F3639</f>
        <v>29.999025</v>
      </c>
      <c r="H3639" s="606"/>
    </row>
    <row r="3640" customFormat="false" ht="15" hidden="false" customHeight="false" outlineLevel="0" collapsed="false">
      <c r="A3640" s="571"/>
      <c r="B3640" s="500"/>
      <c r="C3640" s="709" t="s">
        <v>4270</v>
      </c>
      <c r="D3640" s="679" t="s">
        <v>4392</v>
      </c>
      <c r="E3640" s="715" t="n">
        <v>0.01</v>
      </c>
      <c r="F3640" s="369" t="n">
        <v>1750</v>
      </c>
      <c r="G3640" s="615" t="n">
        <f aca="false">E3640*F3640</f>
        <v>17.5</v>
      </c>
      <c r="H3640" s="391"/>
    </row>
    <row r="3641" customFormat="false" ht="15" hidden="false" customHeight="false" outlineLevel="0" collapsed="false">
      <c r="A3641" s="571"/>
      <c r="B3641" s="500"/>
      <c r="C3641" s="709" t="s">
        <v>4122</v>
      </c>
      <c r="D3641" s="679" t="s">
        <v>4392</v>
      </c>
      <c r="E3641" s="715" t="n">
        <v>0.3</v>
      </c>
      <c r="F3641" s="721" t="n">
        <v>720</v>
      </c>
      <c r="G3641" s="615" t="n">
        <f aca="false">E3641*F3641</f>
        <v>216</v>
      </c>
      <c r="H3641" s="606"/>
    </row>
    <row r="3642" customFormat="false" ht="15" hidden="false" customHeight="false" outlineLevel="0" collapsed="false">
      <c r="A3642" s="571"/>
      <c r="B3642" s="500"/>
      <c r="C3642" s="709" t="s">
        <v>4561</v>
      </c>
      <c r="D3642" s="679" t="s">
        <v>4138</v>
      </c>
      <c r="E3642" s="715" t="n">
        <v>1</v>
      </c>
      <c r="F3642" s="369" t="n">
        <v>490</v>
      </c>
      <c r="G3642" s="615" t="n">
        <f aca="false">E3642*F3642</f>
        <v>490</v>
      </c>
      <c r="H3642" s="606"/>
    </row>
    <row r="3643" customFormat="false" ht="15" hidden="false" customHeight="false" outlineLevel="0" collapsed="false">
      <c r="A3643" s="571"/>
      <c r="B3643" s="500"/>
      <c r="C3643" s="709" t="s">
        <v>4515</v>
      </c>
      <c r="D3643" s="679" t="s">
        <v>4133</v>
      </c>
      <c r="E3643" s="710" t="n">
        <v>0.006</v>
      </c>
      <c r="F3643" s="369" t="n">
        <v>2700</v>
      </c>
      <c r="G3643" s="615" t="n">
        <f aca="false">E3643*F3643</f>
        <v>16.2</v>
      </c>
      <c r="H3643" s="606"/>
    </row>
    <row r="3644" customFormat="false" ht="15" hidden="false" customHeight="false" outlineLevel="0" collapsed="false">
      <c r="A3644" s="571"/>
      <c r="B3644" s="500"/>
      <c r="C3644" s="709" t="s">
        <v>4124</v>
      </c>
      <c r="D3644" s="679" t="s">
        <v>4516</v>
      </c>
      <c r="E3644" s="710" t="n">
        <v>0.142</v>
      </c>
      <c r="F3644" s="369" t="n">
        <v>120</v>
      </c>
      <c r="G3644" s="615" t="n">
        <f aca="false">E3644*F3644</f>
        <v>17.04</v>
      </c>
      <c r="H3644" s="606"/>
    </row>
    <row r="3645" customFormat="false" ht="15" hidden="false" customHeight="false" outlineLevel="0" collapsed="false">
      <c r="A3645" s="571"/>
      <c r="B3645" s="500"/>
      <c r="C3645" s="709" t="s">
        <v>4577</v>
      </c>
      <c r="D3645" s="679" t="s">
        <v>4578</v>
      </c>
      <c r="E3645" s="710" t="n">
        <v>0.01</v>
      </c>
      <c r="F3645" s="369" t="n">
        <v>27000</v>
      </c>
      <c r="G3645" s="615" t="n">
        <f aca="false">E3645*F3645</f>
        <v>270</v>
      </c>
      <c r="H3645" s="606"/>
    </row>
    <row r="3646" customFormat="false" ht="15" hidden="false" customHeight="false" outlineLevel="0" collapsed="false">
      <c r="A3646" s="571"/>
      <c r="B3646" s="608" t="s">
        <v>4128</v>
      </c>
      <c r="C3646" s="718"/>
      <c r="D3646" s="719"/>
      <c r="E3646" s="722"/>
      <c r="F3646" s="366"/>
      <c r="G3646" s="613" t="n">
        <f aca="false">SUM(G3635:G3645)</f>
        <v>2119.539025</v>
      </c>
      <c r="H3646" s="606"/>
    </row>
    <row r="3647" customFormat="false" ht="15" hidden="false" customHeight="false" outlineLevel="0" collapsed="false">
      <c r="A3647" s="571" t="s">
        <v>4900</v>
      </c>
      <c r="B3647" s="328" t="s">
        <v>3102</v>
      </c>
      <c r="C3647" s="709" t="s">
        <v>4189</v>
      </c>
      <c r="D3647" s="679" t="s">
        <v>4392</v>
      </c>
      <c r="E3647" s="715" t="n">
        <v>0.33</v>
      </c>
      <c r="F3647" s="729" t="n">
        <v>3500</v>
      </c>
      <c r="G3647" s="615" t="n">
        <f aca="false">E3647*F3647</f>
        <v>1155</v>
      </c>
      <c r="H3647" s="391"/>
    </row>
    <row r="3648" customFormat="false" ht="15" hidden="false" customHeight="false" outlineLevel="0" collapsed="false">
      <c r="A3648" s="571"/>
      <c r="B3648" s="500"/>
      <c r="C3648" s="709" t="s">
        <v>4147</v>
      </c>
      <c r="D3648" s="679" t="s">
        <v>4392</v>
      </c>
      <c r="E3648" s="715" t="n">
        <v>0.2</v>
      </c>
      <c r="F3648" s="723" t="n">
        <v>3612</v>
      </c>
      <c r="G3648" s="615" t="n">
        <f aca="false">E3648*F3648</f>
        <v>722.4</v>
      </c>
      <c r="H3648" s="606"/>
    </row>
    <row r="3649" customFormat="false" ht="15" hidden="false" customHeight="false" outlineLevel="0" collapsed="false">
      <c r="A3649" s="571"/>
      <c r="B3649" s="500"/>
      <c r="C3649" s="709" t="s">
        <v>4277</v>
      </c>
      <c r="D3649" s="679" t="s">
        <v>4133</v>
      </c>
      <c r="E3649" s="715" t="n">
        <v>0.1</v>
      </c>
      <c r="F3649" s="369" t="n">
        <v>1116</v>
      </c>
      <c r="G3649" s="615" t="n">
        <f aca="false">E3649*F3649</f>
        <v>111.6</v>
      </c>
      <c r="H3649" s="606"/>
    </row>
    <row r="3650" customFormat="false" ht="15" hidden="false" customHeight="false" outlineLevel="0" collapsed="false">
      <c r="A3650" s="571"/>
      <c r="B3650" s="500"/>
      <c r="C3650" s="709" t="s">
        <v>4575</v>
      </c>
      <c r="D3650" s="679" t="s">
        <v>4133</v>
      </c>
      <c r="E3650" s="715" t="n">
        <v>0.01</v>
      </c>
      <c r="F3650" s="369" t="n">
        <v>24000</v>
      </c>
      <c r="G3650" s="615" t="n">
        <f aca="false">E3650*F3650</f>
        <v>240</v>
      </c>
      <c r="H3650" s="606"/>
    </row>
    <row r="3651" customFormat="false" ht="15" hidden="false" customHeight="false" outlineLevel="0" collapsed="false">
      <c r="A3651" s="571"/>
      <c r="B3651" s="500"/>
      <c r="C3651" s="709" t="s">
        <v>4165</v>
      </c>
      <c r="D3651" s="679" t="s">
        <v>4133</v>
      </c>
      <c r="E3651" s="710" t="n">
        <v>0.022675</v>
      </c>
      <c r="F3651" s="369" t="n">
        <v>1323</v>
      </c>
      <c r="G3651" s="615" t="n">
        <f aca="false">E3651*F3651</f>
        <v>29.999025</v>
      </c>
      <c r="H3651" s="606"/>
    </row>
    <row r="3652" customFormat="false" ht="15" hidden="false" customHeight="false" outlineLevel="0" collapsed="false">
      <c r="A3652" s="571"/>
      <c r="B3652" s="500"/>
      <c r="C3652" s="709" t="s">
        <v>4270</v>
      </c>
      <c r="D3652" s="679" t="s">
        <v>4392</v>
      </c>
      <c r="E3652" s="715" t="n">
        <v>0.01</v>
      </c>
      <c r="F3652" s="369" t="n">
        <v>1750</v>
      </c>
      <c r="G3652" s="615" t="n">
        <f aca="false">E3652*F3652</f>
        <v>17.5</v>
      </c>
      <c r="H3652" s="391"/>
    </row>
    <row r="3653" customFormat="false" ht="15" hidden="false" customHeight="false" outlineLevel="0" collapsed="false">
      <c r="A3653" s="571"/>
      <c r="B3653" s="500"/>
      <c r="C3653" s="709" t="s">
        <v>4122</v>
      </c>
      <c r="D3653" s="679" t="s">
        <v>4392</v>
      </c>
      <c r="E3653" s="715" t="n">
        <v>0.3</v>
      </c>
      <c r="F3653" s="721" t="n">
        <v>720</v>
      </c>
      <c r="G3653" s="615" t="n">
        <f aca="false">E3653*F3653</f>
        <v>216</v>
      </c>
      <c r="H3653" s="606"/>
    </row>
    <row r="3654" customFormat="false" ht="30" hidden="false" customHeight="false" outlineLevel="0" collapsed="false">
      <c r="A3654" s="571"/>
      <c r="B3654" s="500"/>
      <c r="C3654" s="709" t="s">
        <v>4748</v>
      </c>
      <c r="D3654" s="679" t="s">
        <v>4138</v>
      </c>
      <c r="E3654" s="715" t="n">
        <v>1</v>
      </c>
      <c r="F3654" s="369" t="n">
        <v>490</v>
      </c>
      <c r="G3654" s="615" t="n">
        <f aca="false">E3654*F3654</f>
        <v>490</v>
      </c>
      <c r="H3654" s="606"/>
    </row>
    <row r="3655" customFormat="false" ht="15" hidden="false" customHeight="false" outlineLevel="0" collapsed="false">
      <c r="A3655" s="571"/>
      <c r="B3655" s="500"/>
      <c r="C3655" s="709" t="s">
        <v>4515</v>
      </c>
      <c r="D3655" s="679" t="s">
        <v>4133</v>
      </c>
      <c r="E3655" s="710" t="n">
        <v>0.006</v>
      </c>
      <c r="F3655" s="369" t="n">
        <v>2700</v>
      </c>
      <c r="G3655" s="615" t="n">
        <f aca="false">E3655*F3655</f>
        <v>16.2</v>
      </c>
      <c r="H3655" s="606"/>
    </row>
    <row r="3656" customFormat="false" ht="15" hidden="false" customHeight="false" outlineLevel="0" collapsed="false">
      <c r="A3656" s="571"/>
      <c r="B3656" s="500"/>
      <c r="C3656" s="709" t="s">
        <v>4124</v>
      </c>
      <c r="D3656" s="679" t="s">
        <v>4516</v>
      </c>
      <c r="E3656" s="710" t="n">
        <v>0.142</v>
      </c>
      <c r="F3656" s="369" t="n">
        <v>120</v>
      </c>
      <c r="G3656" s="615" t="n">
        <f aca="false">E3656*F3656</f>
        <v>17.04</v>
      </c>
      <c r="H3656" s="606"/>
    </row>
    <row r="3657" customFormat="false" ht="15" hidden="false" customHeight="false" outlineLevel="0" collapsed="false">
      <c r="A3657" s="571"/>
      <c r="B3657" s="500"/>
      <c r="C3657" s="709" t="s">
        <v>4577</v>
      </c>
      <c r="D3657" s="679" t="s">
        <v>4578</v>
      </c>
      <c r="E3657" s="710" t="n">
        <v>0.01</v>
      </c>
      <c r="F3657" s="369" t="n">
        <v>27000</v>
      </c>
      <c r="G3657" s="615" t="n">
        <f aca="false">E3657*F3657</f>
        <v>270</v>
      </c>
      <c r="H3657" s="606"/>
    </row>
    <row r="3658" customFormat="false" ht="15" hidden="false" customHeight="false" outlineLevel="0" collapsed="false">
      <c r="A3658" s="571"/>
      <c r="B3658" s="608" t="s">
        <v>4128</v>
      </c>
      <c r="C3658" s="718"/>
      <c r="D3658" s="719"/>
      <c r="E3658" s="722"/>
      <c r="F3658" s="366"/>
      <c r="G3658" s="613" t="n">
        <f aca="false">SUM(G3647:G3657)</f>
        <v>3285.739025</v>
      </c>
      <c r="H3658" s="391"/>
    </row>
    <row r="3659" customFormat="false" ht="15" hidden="false" customHeight="false" outlineLevel="0" collapsed="false">
      <c r="A3659" s="571" t="s">
        <v>4901</v>
      </c>
      <c r="B3659" s="328" t="s">
        <v>3188</v>
      </c>
      <c r="C3659" s="709" t="s">
        <v>4189</v>
      </c>
      <c r="D3659" s="679" t="s">
        <v>4392</v>
      </c>
      <c r="E3659" s="710" t="n">
        <v>0.33</v>
      </c>
      <c r="F3659" s="729" t="n">
        <v>3500</v>
      </c>
      <c r="G3659" s="615" t="n">
        <f aca="false">E3659*F3659</f>
        <v>1155</v>
      </c>
      <c r="H3659" s="606"/>
    </row>
    <row r="3660" customFormat="false" ht="15" hidden="false" customHeight="false" outlineLevel="0" collapsed="false">
      <c r="A3660" s="571"/>
      <c r="B3660" s="500"/>
      <c r="C3660" s="709" t="s">
        <v>4147</v>
      </c>
      <c r="D3660" s="679" t="s">
        <v>4392</v>
      </c>
      <c r="E3660" s="710" t="n">
        <v>0.2</v>
      </c>
      <c r="F3660" s="723" t="n">
        <v>3612</v>
      </c>
      <c r="G3660" s="615" t="n">
        <f aca="false">E3660*F3660</f>
        <v>722.4</v>
      </c>
      <c r="H3660" s="606"/>
    </row>
    <row r="3661" customFormat="false" ht="15" hidden="false" customHeight="false" outlineLevel="0" collapsed="false">
      <c r="A3661" s="571"/>
      <c r="B3661" s="500"/>
      <c r="C3661" s="709" t="s">
        <v>4277</v>
      </c>
      <c r="D3661" s="679" t="s">
        <v>4133</v>
      </c>
      <c r="E3661" s="710" t="n">
        <v>0.1</v>
      </c>
      <c r="F3661" s="369" t="n">
        <v>1116</v>
      </c>
      <c r="G3661" s="615" t="n">
        <f aca="false">E3661*F3661</f>
        <v>111.6</v>
      </c>
      <c r="H3661" s="610"/>
    </row>
    <row r="3662" customFormat="false" ht="15" hidden="false" customHeight="false" outlineLevel="0" collapsed="false">
      <c r="A3662" s="571"/>
      <c r="B3662" s="500"/>
      <c r="C3662" s="709" t="s">
        <v>4575</v>
      </c>
      <c r="D3662" s="679" t="s">
        <v>4133</v>
      </c>
      <c r="E3662" s="710" t="n">
        <v>0.01</v>
      </c>
      <c r="F3662" s="369" t="n">
        <v>24000</v>
      </c>
      <c r="G3662" s="615" t="n">
        <f aca="false">E3662*F3662</f>
        <v>240</v>
      </c>
      <c r="H3662" s="606"/>
    </row>
    <row r="3663" customFormat="false" ht="15" hidden="false" customHeight="false" outlineLevel="0" collapsed="false">
      <c r="A3663" s="571"/>
      <c r="B3663" s="500"/>
      <c r="C3663" s="709" t="s">
        <v>4165</v>
      </c>
      <c r="D3663" s="679" t="s">
        <v>4133</v>
      </c>
      <c r="E3663" s="710" t="n">
        <v>0.022675</v>
      </c>
      <c r="F3663" s="369" t="n">
        <v>1323</v>
      </c>
      <c r="G3663" s="615" t="n">
        <f aca="false">E3663*F3663</f>
        <v>29.999025</v>
      </c>
      <c r="H3663" s="606"/>
    </row>
    <row r="3664" customFormat="false" ht="15" hidden="false" customHeight="false" outlineLevel="0" collapsed="false">
      <c r="A3664" s="571"/>
      <c r="B3664" s="500"/>
      <c r="C3664" s="709" t="s">
        <v>4270</v>
      </c>
      <c r="D3664" s="679" t="s">
        <v>4392</v>
      </c>
      <c r="E3664" s="710" t="n">
        <v>0.01</v>
      </c>
      <c r="F3664" s="369" t="n">
        <v>1750</v>
      </c>
      <c r="G3664" s="615" t="n">
        <f aca="false">E3664*F3664</f>
        <v>17.5</v>
      </c>
      <c r="H3664" s="606"/>
    </row>
    <row r="3665" customFormat="false" ht="15" hidden="false" customHeight="false" outlineLevel="0" collapsed="false">
      <c r="A3665" s="571"/>
      <c r="B3665" s="500"/>
      <c r="C3665" s="709" t="s">
        <v>4122</v>
      </c>
      <c r="D3665" s="679" t="s">
        <v>4392</v>
      </c>
      <c r="E3665" s="710" t="n">
        <v>0.3</v>
      </c>
      <c r="F3665" s="721" t="n">
        <v>720</v>
      </c>
      <c r="G3665" s="615" t="n">
        <f aca="false">E3665*F3665</f>
        <v>216</v>
      </c>
      <c r="H3665" s="391"/>
    </row>
    <row r="3666" customFormat="false" ht="15" hidden="false" customHeight="false" outlineLevel="0" collapsed="false">
      <c r="A3666" s="571"/>
      <c r="B3666" s="500"/>
      <c r="C3666" s="709" t="s">
        <v>4572</v>
      </c>
      <c r="D3666" s="679" t="s">
        <v>4138</v>
      </c>
      <c r="E3666" s="710" t="n">
        <v>1</v>
      </c>
      <c r="F3666" s="369" t="n">
        <v>490</v>
      </c>
      <c r="G3666" s="615" t="n">
        <f aca="false">E3666*F3666</f>
        <v>490</v>
      </c>
      <c r="H3666" s="606"/>
    </row>
    <row r="3667" customFormat="false" ht="15" hidden="false" customHeight="false" outlineLevel="0" collapsed="false">
      <c r="A3667" s="571"/>
      <c r="B3667" s="500"/>
      <c r="C3667" s="709" t="s">
        <v>4515</v>
      </c>
      <c r="D3667" s="679" t="s">
        <v>4133</v>
      </c>
      <c r="E3667" s="710" t="n">
        <v>0.006</v>
      </c>
      <c r="F3667" s="369" t="n">
        <v>2700</v>
      </c>
      <c r="G3667" s="615" t="n">
        <f aca="false">E3667*F3667</f>
        <v>16.2</v>
      </c>
      <c r="H3667" s="606"/>
    </row>
    <row r="3668" customFormat="false" ht="15" hidden="false" customHeight="false" outlineLevel="0" collapsed="false">
      <c r="A3668" s="571"/>
      <c r="B3668" s="500"/>
      <c r="C3668" s="709" t="s">
        <v>4124</v>
      </c>
      <c r="D3668" s="679" t="s">
        <v>4516</v>
      </c>
      <c r="E3668" s="710" t="n">
        <v>0.142</v>
      </c>
      <c r="F3668" s="369" t="n">
        <v>120</v>
      </c>
      <c r="G3668" s="615" t="n">
        <f aca="false">E3668*F3668</f>
        <v>17.04</v>
      </c>
      <c r="H3668" s="606"/>
    </row>
    <row r="3669" customFormat="false" ht="15" hidden="false" customHeight="false" outlineLevel="0" collapsed="false">
      <c r="A3669" s="571"/>
      <c r="B3669" s="500"/>
      <c r="C3669" s="709" t="s">
        <v>4577</v>
      </c>
      <c r="D3669" s="679" t="s">
        <v>4578</v>
      </c>
      <c r="E3669" s="710" t="n">
        <v>0.01</v>
      </c>
      <c r="F3669" s="369" t="n">
        <v>27000</v>
      </c>
      <c r="G3669" s="615" t="n">
        <f aca="false">E3669*F3669</f>
        <v>270</v>
      </c>
      <c r="H3669" s="606"/>
    </row>
    <row r="3670" customFormat="false" ht="15" hidden="false" customHeight="false" outlineLevel="0" collapsed="false">
      <c r="A3670" s="571"/>
      <c r="B3670" s="608" t="s">
        <v>4128</v>
      </c>
      <c r="C3670" s="718"/>
      <c r="D3670" s="719"/>
      <c r="E3670" s="722"/>
      <c r="F3670" s="366"/>
      <c r="G3670" s="613" t="n">
        <f aca="false">SUM(G3659:G3669)</f>
        <v>3285.739025</v>
      </c>
      <c r="H3670" s="606"/>
    </row>
    <row r="3671" customFormat="false" ht="15" hidden="false" customHeight="false" outlineLevel="0" collapsed="false">
      <c r="A3671" s="571" t="s">
        <v>4902</v>
      </c>
      <c r="B3671" s="328" t="s">
        <v>3189</v>
      </c>
      <c r="C3671" s="709" t="s">
        <v>4154</v>
      </c>
      <c r="D3671" s="679" t="s">
        <v>4392</v>
      </c>
      <c r="E3671" s="710" t="n">
        <v>0.1431</v>
      </c>
      <c r="F3671" s="721" t="n">
        <v>3500</v>
      </c>
      <c r="G3671" s="615" t="n">
        <f aca="false">E3671*F3671</f>
        <v>500.85</v>
      </c>
      <c r="H3671" s="606"/>
    </row>
    <row r="3672" customFormat="false" ht="30" hidden="false" customHeight="false" outlineLevel="0" collapsed="false">
      <c r="A3672" s="571"/>
      <c r="B3672" s="500"/>
      <c r="C3672" s="709" t="s">
        <v>4903</v>
      </c>
      <c r="D3672" s="679" t="s">
        <v>4133</v>
      </c>
      <c r="E3672" s="710" t="n">
        <v>0.1</v>
      </c>
      <c r="F3672" s="369" t="n">
        <v>1350</v>
      </c>
      <c r="G3672" s="615" t="n">
        <f aca="false">E3672*F3672</f>
        <v>135</v>
      </c>
      <c r="H3672" s="606"/>
    </row>
    <row r="3673" customFormat="false" ht="15" hidden="false" customHeight="false" outlineLevel="0" collapsed="false">
      <c r="A3673" s="571"/>
      <c r="B3673" s="500"/>
      <c r="C3673" s="709" t="s">
        <v>4204</v>
      </c>
      <c r="D3673" s="679" t="s">
        <v>4133</v>
      </c>
      <c r="E3673" s="710" t="n">
        <v>0.1</v>
      </c>
      <c r="F3673" s="724" t="n">
        <v>3000</v>
      </c>
      <c r="G3673" s="615" t="n">
        <f aca="false">E3673*F3673</f>
        <v>300</v>
      </c>
      <c r="H3673" s="606"/>
    </row>
    <row r="3674" customFormat="false" ht="15" hidden="false" customHeight="false" outlineLevel="0" collapsed="false">
      <c r="A3674" s="571"/>
      <c r="B3674" s="500"/>
      <c r="C3674" s="709" t="s">
        <v>4122</v>
      </c>
      <c r="D3674" s="679" t="s">
        <v>4392</v>
      </c>
      <c r="E3674" s="710" t="n">
        <v>0.2</v>
      </c>
      <c r="F3674" s="721" t="n">
        <v>720</v>
      </c>
      <c r="G3674" s="615" t="n">
        <f aca="false">E3674*F3674</f>
        <v>144</v>
      </c>
      <c r="H3674" s="606"/>
    </row>
    <row r="3675" customFormat="false" ht="15" hidden="false" customHeight="false" outlineLevel="0" collapsed="false">
      <c r="A3675" s="571"/>
      <c r="B3675" s="500"/>
      <c r="C3675" s="709" t="s">
        <v>4254</v>
      </c>
      <c r="D3675" s="679" t="s">
        <v>4133</v>
      </c>
      <c r="E3675" s="710" t="n">
        <v>0.18</v>
      </c>
      <c r="F3675" s="369" t="n">
        <v>1800</v>
      </c>
      <c r="G3675" s="615" t="n">
        <f aca="false">E3675*F3675</f>
        <v>324</v>
      </c>
      <c r="H3675" s="606"/>
    </row>
    <row r="3676" customFormat="false" ht="15" hidden="false" customHeight="false" outlineLevel="0" collapsed="false">
      <c r="A3676" s="571"/>
      <c r="B3676" s="500"/>
      <c r="C3676" s="709" t="s">
        <v>4515</v>
      </c>
      <c r="D3676" s="679" t="s">
        <v>4133</v>
      </c>
      <c r="E3676" s="710" t="n">
        <v>0.01</v>
      </c>
      <c r="F3676" s="369" t="n">
        <v>2700</v>
      </c>
      <c r="G3676" s="615" t="n">
        <f aca="false">E3676*F3676</f>
        <v>27</v>
      </c>
      <c r="H3676" s="606"/>
    </row>
    <row r="3677" customFormat="false" ht="15" hidden="false" customHeight="false" outlineLevel="0" collapsed="false">
      <c r="A3677" s="571"/>
      <c r="B3677" s="500"/>
      <c r="C3677" s="709" t="s">
        <v>4124</v>
      </c>
      <c r="D3677" s="679" t="s">
        <v>4516</v>
      </c>
      <c r="E3677" s="710" t="n">
        <v>1</v>
      </c>
      <c r="F3677" s="369" t="n">
        <v>120</v>
      </c>
      <c r="G3677" s="615" t="n">
        <f aca="false">E3677*F3677</f>
        <v>120</v>
      </c>
      <c r="H3677" s="391"/>
    </row>
    <row r="3678" customFormat="false" ht="15" hidden="false" customHeight="false" outlineLevel="0" collapsed="false">
      <c r="A3678" s="571"/>
      <c r="B3678" s="500"/>
      <c r="C3678" s="709" t="s">
        <v>4577</v>
      </c>
      <c r="D3678" s="679" t="s">
        <v>4578</v>
      </c>
      <c r="E3678" s="710" t="n">
        <v>0.01</v>
      </c>
      <c r="F3678" s="369" t="n">
        <v>27000</v>
      </c>
      <c r="G3678" s="615" t="n">
        <f aca="false">E3678*F3678</f>
        <v>270</v>
      </c>
      <c r="H3678" s="606"/>
    </row>
    <row r="3679" customFormat="false" ht="15" hidden="false" customHeight="false" outlineLevel="0" collapsed="false">
      <c r="A3679" s="571"/>
      <c r="B3679" s="608" t="s">
        <v>4128</v>
      </c>
      <c r="C3679" s="718"/>
      <c r="D3679" s="719"/>
      <c r="E3679" s="722"/>
      <c r="F3679" s="366"/>
      <c r="G3679" s="613" t="n">
        <f aca="false">SUM(G3671:G3678)</f>
        <v>1820.85</v>
      </c>
      <c r="H3679" s="606"/>
    </row>
    <row r="3680" customFormat="false" ht="15" hidden="false" customHeight="false" outlineLevel="0" collapsed="false">
      <c r="A3680" s="571" t="s">
        <v>4904</v>
      </c>
      <c r="B3680" s="328" t="s">
        <v>3148</v>
      </c>
      <c r="C3680" s="709" t="s">
        <v>4580</v>
      </c>
      <c r="D3680" s="679" t="s">
        <v>4133</v>
      </c>
      <c r="E3680" s="710" t="n">
        <v>0.1</v>
      </c>
      <c r="F3680" s="369" t="n">
        <v>1690</v>
      </c>
      <c r="G3680" s="615" t="n">
        <f aca="false">E3680*F3680</f>
        <v>169</v>
      </c>
      <c r="H3680" s="606"/>
    </row>
    <row r="3681" customFormat="false" ht="15" hidden="false" customHeight="false" outlineLevel="0" collapsed="false">
      <c r="A3681" s="571"/>
      <c r="B3681" s="500"/>
      <c r="C3681" s="709" t="s">
        <v>4750</v>
      </c>
      <c r="D3681" s="679" t="s">
        <v>4133</v>
      </c>
      <c r="E3681" s="710" t="n">
        <v>0.0009</v>
      </c>
      <c r="F3681" s="369" t="n">
        <v>21000</v>
      </c>
      <c r="G3681" s="615" t="n">
        <f aca="false">E3681*F3681</f>
        <v>18.9</v>
      </c>
      <c r="H3681" s="606"/>
    </row>
    <row r="3682" customFormat="false" ht="30" hidden="false" customHeight="false" outlineLevel="0" collapsed="false">
      <c r="A3682" s="571"/>
      <c r="B3682" s="500"/>
      <c r="C3682" s="709" t="s">
        <v>4581</v>
      </c>
      <c r="D3682" s="679" t="s">
        <v>4133</v>
      </c>
      <c r="E3682" s="710" t="n">
        <v>0.002</v>
      </c>
      <c r="F3682" s="369" t="n">
        <v>118100</v>
      </c>
      <c r="G3682" s="615" t="n">
        <f aca="false">E3682*F3682</f>
        <v>236.2</v>
      </c>
      <c r="H3682" s="606"/>
    </row>
    <row r="3683" customFormat="false" ht="15" hidden="false" customHeight="false" outlineLevel="0" collapsed="false">
      <c r="A3683" s="571"/>
      <c r="B3683" s="500"/>
      <c r="C3683" s="709" t="s">
        <v>4582</v>
      </c>
      <c r="D3683" s="679" t="s">
        <v>4133</v>
      </c>
      <c r="E3683" s="710" t="n">
        <v>0.01</v>
      </c>
      <c r="F3683" s="369" t="n">
        <v>2100</v>
      </c>
      <c r="G3683" s="615" t="n">
        <f aca="false">E3683*F3683</f>
        <v>21</v>
      </c>
      <c r="H3683" s="606"/>
    </row>
    <row r="3684" customFormat="false" ht="15" hidden="false" customHeight="false" outlineLevel="0" collapsed="false">
      <c r="A3684" s="571"/>
      <c r="B3684" s="500"/>
      <c r="C3684" s="709" t="s">
        <v>4583</v>
      </c>
      <c r="D3684" s="679" t="s">
        <v>4138</v>
      </c>
      <c r="E3684" s="710" t="n">
        <v>0.12</v>
      </c>
      <c r="F3684" s="369" t="n">
        <v>490</v>
      </c>
      <c r="G3684" s="615" t="n">
        <f aca="false">E3684*F3684</f>
        <v>58.8</v>
      </c>
      <c r="H3684" s="606"/>
    </row>
    <row r="3685" customFormat="false" ht="15" hidden="false" customHeight="false" outlineLevel="0" collapsed="false">
      <c r="A3685" s="571"/>
      <c r="B3685" s="500"/>
      <c r="C3685" s="709" t="s">
        <v>4584</v>
      </c>
      <c r="D3685" s="679" t="s">
        <v>4133</v>
      </c>
      <c r="E3685" s="710" t="n">
        <v>0.012</v>
      </c>
      <c r="F3685" s="369" t="n">
        <v>1901</v>
      </c>
      <c r="G3685" s="615" t="n">
        <f aca="false">E3685*F3685</f>
        <v>22.812</v>
      </c>
      <c r="H3685" s="606"/>
    </row>
    <row r="3686" customFormat="false" ht="15" hidden="false" customHeight="false" outlineLevel="0" collapsed="false">
      <c r="A3686" s="571"/>
      <c r="B3686" s="500"/>
      <c r="C3686" s="709" t="s">
        <v>4585</v>
      </c>
      <c r="D3686" s="679" t="s">
        <v>4133</v>
      </c>
      <c r="E3686" s="710" t="n">
        <v>0.003</v>
      </c>
      <c r="F3686" s="369" t="n">
        <v>8900</v>
      </c>
      <c r="G3686" s="615" t="n">
        <f aca="false">E3686*F3686</f>
        <v>26.7</v>
      </c>
      <c r="H3686" s="606"/>
    </row>
    <row r="3687" customFormat="false" ht="15" hidden="false" customHeight="false" outlineLevel="0" collapsed="false">
      <c r="A3687" s="571"/>
      <c r="B3687" s="500"/>
      <c r="C3687" s="709" t="s">
        <v>4201</v>
      </c>
      <c r="D3687" s="679" t="s">
        <v>4133</v>
      </c>
      <c r="E3687" s="710" t="n">
        <v>0.02</v>
      </c>
      <c r="F3687" s="721" t="n">
        <v>27000</v>
      </c>
      <c r="G3687" s="615" t="n">
        <f aca="false">E3687*F3687</f>
        <v>540</v>
      </c>
      <c r="H3687" s="606"/>
    </row>
    <row r="3688" customFormat="false" ht="15" hidden="false" customHeight="false" outlineLevel="0" collapsed="false">
      <c r="A3688" s="571"/>
      <c r="B3688" s="500"/>
      <c r="C3688" s="709" t="s">
        <v>4122</v>
      </c>
      <c r="D3688" s="679" t="s">
        <v>4392</v>
      </c>
      <c r="E3688" s="710" t="n">
        <v>0.25</v>
      </c>
      <c r="F3688" s="721" t="n">
        <v>720</v>
      </c>
      <c r="G3688" s="615" t="n">
        <f aca="false">E3688*F3688</f>
        <v>180</v>
      </c>
      <c r="H3688" s="606"/>
    </row>
    <row r="3689" customFormat="false" ht="15" hidden="false" customHeight="false" outlineLevel="0" collapsed="false">
      <c r="A3689" s="571"/>
      <c r="B3689" s="500"/>
      <c r="C3689" s="709" t="s">
        <v>4154</v>
      </c>
      <c r="D3689" s="679" t="s">
        <v>4392</v>
      </c>
      <c r="E3689" s="710" t="n">
        <v>0.0375</v>
      </c>
      <c r="F3689" s="721" t="n">
        <v>3500</v>
      </c>
      <c r="G3689" s="615" t="n">
        <f aca="false">E3689*F3689</f>
        <v>131.25</v>
      </c>
      <c r="H3689" s="391"/>
    </row>
    <row r="3690" customFormat="false" ht="15" hidden="false" customHeight="false" outlineLevel="0" collapsed="false">
      <c r="A3690" s="571"/>
      <c r="B3690" s="500"/>
      <c r="C3690" s="709" t="s">
        <v>4515</v>
      </c>
      <c r="D3690" s="679" t="s">
        <v>4133</v>
      </c>
      <c r="E3690" s="710" t="n">
        <v>0.006</v>
      </c>
      <c r="F3690" s="369" t="n">
        <v>2700</v>
      </c>
      <c r="G3690" s="615" t="n">
        <f aca="false">E3690*F3690</f>
        <v>16.2</v>
      </c>
      <c r="H3690" s="606"/>
    </row>
    <row r="3691" customFormat="false" ht="15" hidden="false" customHeight="false" outlineLevel="0" collapsed="false">
      <c r="A3691" s="571"/>
      <c r="B3691" s="500"/>
      <c r="C3691" s="709" t="s">
        <v>4124</v>
      </c>
      <c r="D3691" s="679" t="s">
        <v>4516</v>
      </c>
      <c r="E3691" s="710" t="n">
        <v>0.016</v>
      </c>
      <c r="F3691" s="369" t="n">
        <v>120</v>
      </c>
      <c r="G3691" s="615" t="n">
        <f aca="false">E3691*F3691</f>
        <v>1.92</v>
      </c>
      <c r="H3691" s="606"/>
    </row>
    <row r="3692" customFormat="false" ht="15" hidden="false" customHeight="false" outlineLevel="0" collapsed="false">
      <c r="A3692" s="571"/>
      <c r="B3692" s="500"/>
      <c r="C3692" s="709" t="s">
        <v>4586</v>
      </c>
      <c r="D3692" s="679" t="s">
        <v>4578</v>
      </c>
      <c r="E3692" s="710" t="n">
        <v>0.001</v>
      </c>
      <c r="F3692" s="369" t="n">
        <v>27000</v>
      </c>
      <c r="G3692" s="615" t="n">
        <f aca="false">E3692*F3692</f>
        <v>27</v>
      </c>
      <c r="H3692" s="606"/>
    </row>
    <row r="3693" customFormat="false" ht="15" hidden="false" customHeight="false" outlineLevel="0" collapsed="false">
      <c r="A3693" s="571"/>
      <c r="B3693" s="608" t="s">
        <v>4128</v>
      </c>
      <c r="C3693" s="709"/>
      <c r="D3693" s="679"/>
      <c r="E3693" s="710"/>
      <c r="F3693" s="369"/>
      <c r="G3693" s="613" t="n">
        <f aca="false">SUM(G3680:G3692)</f>
        <v>1449.782</v>
      </c>
      <c r="H3693" s="606"/>
    </row>
    <row r="3694" customFormat="false" ht="15" hidden="false" customHeight="false" outlineLevel="0" collapsed="false">
      <c r="A3694" s="571" t="s">
        <v>4905</v>
      </c>
      <c r="B3694" s="328" t="s">
        <v>3149</v>
      </c>
      <c r="C3694" s="709" t="s">
        <v>4189</v>
      </c>
      <c r="D3694" s="679" t="s">
        <v>4392</v>
      </c>
      <c r="E3694" s="710" t="n">
        <v>0.0333</v>
      </c>
      <c r="F3694" s="729" t="n">
        <v>3500</v>
      </c>
      <c r="G3694" s="615" t="n">
        <f aca="false">E3694*F3694</f>
        <v>116.55</v>
      </c>
      <c r="H3694" s="606"/>
    </row>
    <row r="3695" customFormat="false" ht="15" hidden="false" customHeight="false" outlineLevel="0" collapsed="false">
      <c r="A3695" s="571"/>
      <c r="B3695" s="500"/>
      <c r="C3695" s="709" t="s">
        <v>4147</v>
      </c>
      <c r="D3695" s="679" t="s">
        <v>4392</v>
      </c>
      <c r="E3695" s="710" t="n">
        <v>0.2</v>
      </c>
      <c r="F3695" s="723" t="n">
        <v>3612</v>
      </c>
      <c r="G3695" s="615" t="n">
        <f aca="false">E3695*F3695</f>
        <v>722.4</v>
      </c>
      <c r="H3695" s="606"/>
    </row>
    <row r="3696" customFormat="false" ht="15" hidden="false" customHeight="false" outlineLevel="0" collapsed="false">
      <c r="A3696" s="571"/>
      <c r="B3696" s="500"/>
      <c r="C3696" s="709" t="s">
        <v>4277</v>
      </c>
      <c r="D3696" s="679" t="s">
        <v>4133</v>
      </c>
      <c r="E3696" s="710" t="n">
        <v>0.01</v>
      </c>
      <c r="F3696" s="369" t="n">
        <v>1116</v>
      </c>
      <c r="G3696" s="615" t="n">
        <f aca="false">E3696*F3696</f>
        <v>11.16</v>
      </c>
      <c r="H3696" s="606"/>
    </row>
    <row r="3697" customFormat="false" ht="15" hidden="false" customHeight="false" outlineLevel="0" collapsed="false">
      <c r="A3697" s="571"/>
      <c r="B3697" s="500"/>
      <c r="C3697" s="709" t="s">
        <v>4575</v>
      </c>
      <c r="D3697" s="679" t="s">
        <v>4133</v>
      </c>
      <c r="E3697" s="710" t="n">
        <v>0.01</v>
      </c>
      <c r="F3697" s="369" t="n">
        <v>1323</v>
      </c>
      <c r="G3697" s="615" t="n">
        <f aca="false">E3697*F3697</f>
        <v>13.23</v>
      </c>
      <c r="H3697" s="606"/>
    </row>
    <row r="3698" customFormat="false" ht="15" hidden="false" customHeight="false" outlineLevel="0" collapsed="false">
      <c r="A3698" s="571"/>
      <c r="B3698" s="500"/>
      <c r="C3698" s="709" t="s">
        <v>4165</v>
      </c>
      <c r="D3698" s="679" t="s">
        <v>4133</v>
      </c>
      <c r="E3698" s="710" t="n">
        <v>0.03</v>
      </c>
      <c r="F3698" s="369" t="n">
        <v>1323</v>
      </c>
      <c r="G3698" s="615" t="n">
        <f aca="false">E3698*F3698</f>
        <v>39.69</v>
      </c>
      <c r="H3698" s="606"/>
    </row>
    <row r="3699" customFormat="false" ht="15" hidden="false" customHeight="false" outlineLevel="0" collapsed="false">
      <c r="A3699" s="571"/>
      <c r="B3699" s="500"/>
      <c r="C3699" s="709" t="s">
        <v>4270</v>
      </c>
      <c r="D3699" s="679" t="s">
        <v>4392</v>
      </c>
      <c r="E3699" s="710" t="n">
        <v>0.1</v>
      </c>
      <c r="F3699" s="369" t="n">
        <v>1750</v>
      </c>
      <c r="G3699" s="615" t="n">
        <f aca="false">E3699*F3699</f>
        <v>175</v>
      </c>
      <c r="H3699" s="606"/>
    </row>
    <row r="3700" customFormat="false" ht="15" hidden="false" customHeight="false" outlineLevel="0" collapsed="false">
      <c r="A3700" s="571"/>
      <c r="B3700" s="500"/>
      <c r="C3700" s="709" t="s">
        <v>4122</v>
      </c>
      <c r="D3700" s="679" t="s">
        <v>4392</v>
      </c>
      <c r="E3700" s="710" t="n">
        <v>0.3</v>
      </c>
      <c r="F3700" s="721" t="n">
        <v>720</v>
      </c>
      <c r="G3700" s="615" t="n">
        <f aca="false">E3700*F3700</f>
        <v>216</v>
      </c>
      <c r="H3700" s="606"/>
    </row>
    <row r="3701" customFormat="false" ht="30" hidden="false" customHeight="false" outlineLevel="0" collapsed="false">
      <c r="A3701" s="571"/>
      <c r="B3701" s="500"/>
      <c r="C3701" s="709" t="s">
        <v>4594</v>
      </c>
      <c r="D3701" s="679" t="s">
        <v>4138</v>
      </c>
      <c r="E3701" s="710" t="n">
        <v>0.1</v>
      </c>
      <c r="F3701" s="369" t="n">
        <v>2500</v>
      </c>
      <c r="G3701" s="615" t="n">
        <f aca="false">E3701*F3701</f>
        <v>250</v>
      </c>
      <c r="H3701" s="391"/>
    </row>
    <row r="3702" customFormat="false" ht="15" hidden="false" customHeight="false" outlineLevel="0" collapsed="false">
      <c r="A3702" s="571"/>
      <c r="B3702" s="500"/>
      <c r="C3702" s="709" t="s">
        <v>4515</v>
      </c>
      <c r="D3702" s="679" t="s">
        <v>4133</v>
      </c>
      <c r="E3702" s="710" t="n">
        <v>0.006</v>
      </c>
      <c r="F3702" s="369" t="n">
        <v>2700</v>
      </c>
      <c r="G3702" s="615" t="n">
        <f aca="false">E3702*F3702</f>
        <v>16.2</v>
      </c>
      <c r="H3702" s="606"/>
    </row>
    <row r="3703" customFormat="false" ht="15" hidden="false" customHeight="false" outlineLevel="0" collapsed="false">
      <c r="A3703" s="571"/>
      <c r="B3703" s="500"/>
      <c r="C3703" s="709" t="s">
        <v>4124</v>
      </c>
      <c r="D3703" s="679" t="s">
        <v>4516</v>
      </c>
      <c r="E3703" s="710" t="n">
        <v>0.015</v>
      </c>
      <c r="F3703" s="369" t="n">
        <v>120</v>
      </c>
      <c r="G3703" s="615" t="n">
        <f aca="false">E3703*F3703</f>
        <v>1.8</v>
      </c>
      <c r="H3703" s="606"/>
    </row>
    <row r="3704" customFormat="false" ht="15" hidden="false" customHeight="false" outlineLevel="0" collapsed="false">
      <c r="A3704" s="571"/>
      <c r="B3704" s="500"/>
      <c r="C3704" s="709" t="s">
        <v>4586</v>
      </c>
      <c r="D3704" s="679" t="s">
        <v>4578</v>
      </c>
      <c r="E3704" s="710" t="n">
        <v>0.001</v>
      </c>
      <c r="F3704" s="369" t="n">
        <v>27000</v>
      </c>
      <c r="G3704" s="615" t="n">
        <f aca="false">E3704*F3704</f>
        <v>27</v>
      </c>
      <c r="H3704" s="606"/>
    </row>
    <row r="3705" customFormat="false" ht="15" hidden="false" customHeight="false" outlineLevel="0" collapsed="false">
      <c r="A3705" s="571"/>
      <c r="B3705" s="608" t="s">
        <v>4128</v>
      </c>
      <c r="C3705" s="709"/>
      <c r="D3705" s="679"/>
      <c r="E3705" s="710"/>
      <c r="F3705" s="369"/>
      <c r="G3705" s="613" t="n">
        <f aca="false">SUM(G3694:G3704)</f>
        <v>1589.03</v>
      </c>
      <c r="H3705" s="606"/>
    </row>
    <row r="3706" customFormat="false" ht="15" hidden="false" customHeight="false" outlineLevel="0" collapsed="false">
      <c r="A3706" s="571" t="s">
        <v>739</v>
      </c>
      <c r="B3706" s="328" t="s">
        <v>3150</v>
      </c>
      <c r="C3706" s="709" t="s">
        <v>4522</v>
      </c>
      <c r="D3706" s="679" t="s">
        <v>4133</v>
      </c>
      <c r="E3706" s="710" t="n">
        <v>0.045</v>
      </c>
      <c r="F3706" s="369" t="n">
        <v>31200</v>
      </c>
      <c r="G3706" s="615" t="n">
        <f aca="false">E3706*F3706</f>
        <v>1404</v>
      </c>
      <c r="H3706" s="606"/>
    </row>
    <row r="3707" customFormat="false" ht="30" hidden="false" customHeight="false" outlineLevel="0" collapsed="false">
      <c r="A3707" s="571"/>
      <c r="B3707" s="500"/>
      <c r="C3707" s="709" t="s">
        <v>4658</v>
      </c>
      <c r="D3707" s="679" t="s">
        <v>4133</v>
      </c>
      <c r="E3707" s="710" t="n">
        <v>0.0225</v>
      </c>
      <c r="F3707" s="369" t="n">
        <v>21200</v>
      </c>
      <c r="G3707" s="615" t="n">
        <f aca="false">E3707*F3707</f>
        <v>477</v>
      </c>
      <c r="H3707" s="606"/>
    </row>
    <row r="3708" customFormat="false" ht="15" hidden="false" customHeight="false" outlineLevel="0" collapsed="false">
      <c r="A3708" s="571"/>
      <c r="B3708" s="500"/>
      <c r="C3708" s="709" t="s">
        <v>4758</v>
      </c>
      <c r="D3708" s="679" t="s">
        <v>4392</v>
      </c>
      <c r="E3708" s="710" t="n">
        <v>0.015</v>
      </c>
      <c r="F3708" s="369" t="n">
        <v>23000</v>
      </c>
      <c r="G3708" s="615" t="n">
        <f aca="false">E3708*F3708</f>
        <v>345</v>
      </c>
      <c r="H3708" s="606"/>
    </row>
    <row r="3709" customFormat="false" ht="15" hidden="false" customHeight="false" outlineLevel="0" collapsed="false">
      <c r="A3709" s="571"/>
      <c r="B3709" s="500"/>
      <c r="C3709" s="709" t="s">
        <v>4485</v>
      </c>
      <c r="D3709" s="679" t="s">
        <v>4133</v>
      </c>
      <c r="E3709" s="710" t="n">
        <v>0.024</v>
      </c>
      <c r="F3709" s="729" t="n">
        <v>3500</v>
      </c>
      <c r="G3709" s="615" t="n">
        <f aca="false">E3709*F3709</f>
        <v>84</v>
      </c>
      <c r="H3709" s="606"/>
    </row>
    <row r="3710" customFormat="false" ht="15" hidden="false" customHeight="false" outlineLevel="0" collapsed="false">
      <c r="A3710" s="571"/>
      <c r="B3710" s="500"/>
      <c r="C3710" s="709" t="s">
        <v>4205</v>
      </c>
      <c r="D3710" s="679" t="s">
        <v>4392</v>
      </c>
      <c r="E3710" s="710" t="n">
        <v>0.14</v>
      </c>
      <c r="F3710" s="717" t="n">
        <v>7875</v>
      </c>
      <c r="G3710" s="615" t="n">
        <f aca="false">E3710*F3710</f>
        <v>1102.5</v>
      </c>
      <c r="H3710" s="391"/>
    </row>
    <row r="3711" customFormat="false" ht="15" hidden="false" customHeight="false" outlineLevel="0" collapsed="false">
      <c r="A3711" s="571"/>
      <c r="B3711" s="500"/>
      <c r="C3711" s="709" t="s">
        <v>4673</v>
      </c>
      <c r="D3711" s="679" t="s">
        <v>4133</v>
      </c>
      <c r="E3711" s="710" t="n">
        <v>0.1</v>
      </c>
      <c r="F3711" s="369" t="n">
        <v>580</v>
      </c>
      <c r="G3711" s="615" t="n">
        <f aca="false">E3711*F3711</f>
        <v>58</v>
      </c>
      <c r="H3711" s="606"/>
    </row>
    <row r="3712" customFormat="false" ht="15" hidden="false" customHeight="false" outlineLevel="0" collapsed="false">
      <c r="A3712" s="571"/>
      <c r="B3712" s="500"/>
      <c r="C3712" s="709" t="s">
        <v>4604</v>
      </c>
      <c r="D3712" s="679" t="s">
        <v>4392</v>
      </c>
      <c r="E3712" s="710" t="n">
        <v>0.02</v>
      </c>
      <c r="F3712" s="369" t="n">
        <v>11200</v>
      </c>
      <c r="G3712" s="615" t="n">
        <f aca="false">E3712*F3712</f>
        <v>224</v>
      </c>
      <c r="H3712" s="606"/>
    </row>
    <row r="3713" customFormat="false" ht="15" hidden="false" customHeight="false" outlineLevel="0" collapsed="false">
      <c r="A3713" s="571"/>
      <c r="B3713" s="500"/>
      <c r="C3713" s="709" t="s">
        <v>4691</v>
      </c>
      <c r="D3713" s="679" t="s">
        <v>4392</v>
      </c>
      <c r="E3713" s="710" t="n">
        <v>0.05</v>
      </c>
      <c r="F3713" s="369" t="n">
        <v>1116</v>
      </c>
      <c r="G3713" s="615" t="n">
        <f aca="false">E3713*F3713</f>
        <v>55.8</v>
      </c>
      <c r="H3713" s="606"/>
    </row>
    <row r="3714" customFormat="false" ht="15" hidden="false" customHeight="false" outlineLevel="0" collapsed="false">
      <c r="A3714" s="571"/>
      <c r="B3714" s="500"/>
      <c r="C3714" s="709" t="s">
        <v>4906</v>
      </c>
      <c r="D3714" s="679" t="s">
        <v>4578</v>
      </c>
      <c r="E3714" s="710" t="n">
        <v>0.018</v>
      </c>
      <c r="F3714" s="724" t="n">
        <v>275000</v>
      </c>
      <c r="G3714" s="615" t="n">
        <f aca="false">E3714*F3714</f>
        <v>4950</v>
      </c>
      <c r="H3714" s="606"/>
    </row>
    <row r="3715" customFormat="false" ht="15" hidden="false" customHeight="false" outlineLevel="0" collapsed="false">
      <c r="A3715" s="571"/>
      <c r="B3715" s="500"/>
      <c r="C3715" s="709" t="s">
        <v>4831</v>
      </c>
      <c r="D3715" s="679" t="s">
        <v>4138</v>
      </c>
      <c r="E3715" s="710" t="n">
        <v>0.1</v>
      </c>
      <c r="F3715" s="369" t="n">
        <v>81000</v>
      </c>
      <c r="G3715" s="615" t="n">
        <f aca="false">E3715*F3715</f>
        <v>8100</v>
      </c>
      <c r="H3715" s="606"/>
    </row>
    <row r="3716" customFormat="false" ht="15" hidden="false" customHeight="false" outlineLevel="0" collapsed="false">
      <c r="A3716" s="571"/>
      <c r="B3716" s="500"/>
      <c r="C3716" s="709" t="s">
        <v>4515</v>
      </c>
      <c r="D3716" s="679" t="s">
        <v>4133</v>
      </c>
      <c r="E3716" s="710" t="n">
        <v>0.01</v>
      </c>
      <c r="F3716" s="369" t="n">
        <v>2700</v>
      </c>
      <c r="G3716" s="615" t="n">
        <f aca="false">E3716*F3716</f>
        <v>27</v>
      </c>
      <c r="H3716" s="606"/>
    </row>
    <row r="3717" customFormat="false" ht="15" hidden="false" customHeight="false" outlineLevel="0" collapsed="false">
      <c r="A3717" s="571"/>
      <c r="B3717" s="500"/>
      <c r="C3717" s="709" t="s">
        <v>4124</v>
      </c>
      <c r="D3717" s="679" t="s">
        <v>4516</v>
      </c>
      <c r="E3717" s="710" t="n">
        <v>0.5</v>
      </c>
      <c r="F3717" s="369" t="n">
        <v>120</v>
      </c>
      <c r="G3717" s="615" t="n">
        <f aca="false">E3717*F3717</f>
        <v>60</v>
      </c>
      <c r="H3717" s="606"/>
    </row>
    <row r="3718" customFormat="false" ht="15" hidden="false" customHeight="false" outlineLevel="0" collapsed="false">
      <c r="A3718" s="571"/>
      <c r="B3718" s="608" t="s">
        <v>4128</v>
      </c>
      <c r="C3718" s="718"/>
      <c r="D3718" s="719"/>
      <c r="E3718" s="722"/>
      <c r="F3718" s="366"/>
      <c r="G3718" s="613" t="n">
        <f aca="false">SUM(G3706:G3717)</f>
        <v>16887.3</v>
      </c>
      <c r="H3718" s="606"/>
    </row>
    <row r="3719" customFormat="false" ht="30" hidden="false" customHeight="false" outlineLevel="0" collapsed="false">
      <c r="A3719" s="571" t="s">
        <v>740</v>
      </c>
      <c r="B3719" s="328" t="s">
        <v>3190</v>
      </c>
      <c r="C3719" s="709" t="s">
        <v>4755</v>
      </c>
      <c r="D3719" s="679" t="s">
        <v>4392</v>
      </c>
      <c r="E3719" s="710" t="n">
        <v>0.035</v>
      </c>
      <c r="F3719" s="369" t="n">
        <v>5500</v>
      </c>
      <c r="G3719" s="615" t="n">
        <f aca="false">E3719*F3719</f>
        <v>192.5</v>
      </c>
      <c r="H3719" s="606"/>
    </row>
    <row r="3720" customFormat="false" ht="15" hidden="false" customHeight="false" outlineLevel="0" collapsed="false">
      <c r="A3720" s="571"/>
      <c r="B3720" s="500"/>
      <c r="C3720" s="709" t="s">
        <v>4154</v>
      </c>
      <c r="D3720" s="679" t="s">
        <v>4392</v>
      </c>
      <c r="E3720" s="710" t="n">
        <v>0.02861</v>
      </c>
      <c r="F3720" s="721" t="n">
        <v>3500</v>
      </c>
      <c r="G3720" s="615" t="n">
        <f aca="false">E3720*F3720</f>
        <v>100.135</v>
      </c>
      <c r="H3720" s="606"/>
    </row>
    <row r="3721" customFormat="false" ht="15" hidden="false" customHeight="false" outlineLevel="0" collapsed="false">
      <c r="A3721" s="571"/>
      <c r="B3721" s="500"/>
      <c r="C3721" s="709" t="s">
        <v>4757</v>
      </c>
      <c r="D3721" s="679" t="s">
        <v>4392</v>
      </c>
      <c r="E3721" s="725" t="n">
        <v>0.02</v>
      </c>
      <c r="F3721" s="369" t="n">
        <v>1800</v>
      </c>
      <c r="G3721" s="615" t="n">
        <f aca="false">E3721*F3721</f>
        <v>36</v>
      </c>
      <c r="H3721" s="606"/>
    </row>
    <row r="3722" customFormat="false" ht="15" hidden="false" customHeight="false" outlineLevel="0" collapsed="false">
      <c r="A3722" s="571"/>
      <c r="B3722" s="500"/>
      <c r="C3722" s="709" t="s">
        <v>4758</v>
      </c>
      <c r="D3722" s="679" t="s">
        <v>4392</v>
      </c>
      <c r="E3722" s="725" t="n">
        <v>0.03</v>
      </c>
      <c r="F3722" s="369" t="n">
        <v>23000</v>
      </c>
      <c r="G3722" s="615" t="n">
        <f aca="false">E3722*F3722</f>
        <v>690</v>
      </c>
      <c r="H3722" s="606"/>
    </row>
    <row r="3723" customFormat="false" ht="15" hidden="false" customHeight="false" outlineLevel="0" collapsed="false">
      <c r="A3723" s="571"/>
      <c r="B3723" s="500"/>
      <c r="C3723" s="709" t="s">
        <v>4759</v>
      </c>
      <c r="D3723" s="679" t="s">
        <v>4392</v>
      </c>
      <c r="E3723" s="725" t="n">
        <v>0.1</v>
      </c>
      <c r="F3723" s="369" t="n">
        <v>1200</v>
      </c>
      <c r="G3723" s="615" t="n">
        <f aca="false">E3723*F3723</f>
        <v>120</v>
      </c>
      <c r="H3723" s="606"/>
    </row>
    <row r="3724" customFormat="false" ht="15" hidden="false" customHeight="false" outlineLevel="0" collapsed="false">
      <c r="A3724" s="571"/>
      <c r="B3724" s="500"/>
      <c r="C3724" s="709" t="s">
        <v>4760</v>
      </c>
      <c r="D3724" s="679" t="s">
        <v>4392</v>
      </c>
      <c r="E3724" s="725" t="n">
        <v>0.09</v>
      </c>
      <c r="F3724" s="369" t="n">
        <v>21500</v>
      </c>
      <c r="G3724" s="615" t="n">
        <f aca="false">E3724*F3724</f>
        <v>1935</v>
      </c>
      <c r="H3724" s="391"/>
    </row>
    <row r="3725" customFormat="false" ht="15" hidden="false" customHeight="false" outlineLevel="0" collapsed="false">
      <c r="A3725" s="571"/>
      <c r="B3725" s="500"/>
      <c r="C3725" s="709" t="s">
        <v>4250</v>
      </c>
      <c r="D3725" s="679" t="s">
        <v>4392</v>
      </c>
      <c r="E3725" s="725" t="n">
        <v>0.09</v>
      </c>
      <c r="F3725" s="369" t="n">
        <v>27000</v>
      </c>
      <c r="G3725" s="615" t="n">
        <f aca="false">E3725*F3725</f>
        <v>2430</v>
      </c>
      <c r="H3725" s="606"/>
    </row>
    <row r="3726" customFormat="false" ht="15" hidden="false" customHeight="false" outlineLevel="0" collapsed="false">
      <c r="A3726" s="571"/>
      <c r="B3726" s="500"/>
      <c r="C3726" s="709" t="s">
        <v>4907</v>
      </c>
      <c r="D3726" s="679" t="s">
        <v>4138</v>
      </c>
      <c r="E3726" s="725" t="n">
        <v>0.5</v>
      </c>
      <c r="F3726" s="369" t="n">
        <v>18000</v>
      </c>
      <c r="G3726" s="615" t="n">
        <f aca="false">E3726*F3726</f>
        <v>9000</v>
      </c>
      <c r="H3726" s="606"/>
    </row>
    <row r="3727" customFormat="false" ht="15" hidden="false" customHeight="false" outlineLevel="0" collapsed="false">
      <c r="A3727" s="571"/>
      <c r="B3727" s="500"/>
      <c r="C3727" s="709" t="s">
        <v>4225</v>
      </c>
      <c r="D3727" s="679" t="s">
        <v>4133</v>
      </c>
      <c r="E3727" s="725" t="n">
        <v>0.08</v>
      </c>
      <c r="F3727" s="721" t="n">
        <v>8100</v>
      </c>
      <c r="G3727" s="615" t="n">
        <f aca="false">E3727*F3727</f>
        <v>648</v>
      </c>
      <c r="H3727" s="606"/>
    </row>
    <row r="3728" customFormat="false" ht="15" hidden="false" customHeight="false" outlineLevel="0" collapsed="false">
      <c r="A3728" s="571"/>
      <c r="B3728" s="500"/>
      <c r="C3728" s="709" t="s">
        <v>4147</v>
      </c>
      <c r="D3728" s="679" t="s">
        <v>4392</v>
      </c>
      <c r="E3728" s="725" t="n">
        <v>0.01</v>
      </c>
      <c r="F3728" s="723" t="n">
        <v>3612</v>
      </c>
      <c r="G3728" s="615" t="n">
        <f aca="false">E3728*F3728</f>
        <v>36.12</v>
      </c>
      <c r="H3728" s="606"/>
    </row>
    <row r="3729" customFormat="false" ht="15" hidden="false" customHeight="false" outlineLevel="0" collapsed="false">
      <c r="A3729" s="571"/>
      <c r="B3729" s="500"/>
      <c r="C3729" s="709" t="s">
        <v>4762</v>
      </c>
      <c r="D3729" s="679" t="s">
        <v>4763</v>
      </c>
      <c r="E3729" s="710" t="n">
        <v>0.0052</v>
      </c>
      <c r="F3729" s="369" t="n">
        <v>27000</v>
      </c>
      <c r="G3729" s="615" t="n">
        <f aca="false">E3729*F3729</f>
        <v>140.4</v>
      </c>
      <c r="H3729" s="606"/>
    </row>
    <row r="3730" customFormat="false" ht="15" hidden="false" customHeight="false" outlineLevel="0" collapsed="false">
      <c r="A3730" s="571"/>
      <c r="B3730" s="500"/>
      <c r="C3730" s="709" t="s">
        <v>4764</v>
      </c>
      <c r="D3730" s="679" t="s">
        <v>4763</v>
      </c>
      <c r="E3730" s="710" t="n">
        <v>0.005</v>
      </c>
      <c r="F3730" s="369" t="n">
        <v>15400</v>
      </c>
      <c r="G3730" s="615" t="n">
        <f aca="false">E3730*F3730</f>
        <v>77</v>
      </c>
      <c r="H3730" s="606"/>
    </row>
    <row r="3731" customFormat="false" ht="15" hidden="false" customHeight="false" outlineLevel="0" collapsed="false">
      <c r="A3731" s="571"/>
      <c r="B3731" s="500"/>
      <c r="C3731" s="709" t="s">
        <v>4765</v>
      </c>
      <c r="D3731" s="679" t="s">
        <v>4763</v>
      </c>
      <c r="E3731" s="710" t="n">
        <v>0.004</v>
      </c>
      <c r="F3731" s="369" t="n">
        <v>19200</v>
      </c>
      <c r="G3731" s="615" t="n">
        <f aca="false">E3731*F3731</f>
        <v>76.8</v>
      </c>
      <c r="H3731" s="606"/>
    </row>
    <row r="3732" customFormat="false" ht="15" hidden="false" customHeight="false" outlineLevel="0" collapsed="false">
      <c r="A3732" s="571"/>
      <c r="B3732" s="500"/>
      <c r="C3732" s="709" t="s">
        <v>4766</v>
      </c>
      <c r="D3732" s="679" t="s">
        <v>4763</v>
      </c>
      <c r="E3732" s="710" t="n">
        <v>0.0042</v>
      </c>
      <c r="F3732" s="369" t="n">
        <v>19200</v>
      </c>
      <c r="G3732" s="615" t="n">
        <f aca="false">E3732*F3732</f>
        <v>80.64</v>
      </c>
      <c r="H3732" s="606"/>
    </row>
    <row r="3733" customFormat="false" ht="30" hidden="false" customHeight="false" outlineLevel="0" collapsed="false">
      <c r="A3733" s="571"/>
      <c r="B3733" s="500"/>
      <c r="C3733" s="709" t="s">
        <v>4767</v>
      </c>
      <c r="D3733" s="679" t="s">
        <v>4768</v>
      </c>
      <c r="E3733" s="710" t="n">
        <v>0.0001</v>
      </c>
      <c r="F3733" s="369" t="n">
        <v>178100</v>
      </c>
      <c r="G3733" s="615" t="n">
        <f aca="false">E3733*F3733</f>
        <v>17.81</v>
      </c>
      <c r="H3733" s="606"/>
    </row>
    <row r="3734" customFormat="false" ht="30" hidden="false" customHeight="false" outlineLevel="0" collapsed="false">
      <c r="A3734" s="571"/>
      <c r="B3734" s="500"/>
      <c r="C3734" s="709" t="s">
        <v>4769</v>
      </c>
      <c r="D3734" s="679" t="s">
        <v>4133</v>
      </c>
      <c r="E3734" s="710" t="n">
        <v>0.008</v>
      </c>
      <c r="F3734" s="369" t="n">
        <v>2500</v>
      </c>
      <c r="G3734" s="615" t="n">
        <f aca="false">E3734*F3734</f>
        <v>20</v>
      </c>
      <c r="H3734" s="606"/>
    </row>
    <row r="3735" customFormat="false" ht="15" hidden="false" customHeight="false" outlineLevel="0" collapsed="false">
      <c r="A3735" s="571"/>
      <c r="B3735" s="500"/>
      <c r="C3735" s="709" t="s">
        <v>4776</v>
      </c>
      <c r="D3735" s="679" t="s">
        <v>4392</v>
      </c>
      <c r="E3735" s="710" t="n">
        <v>0.1868</v>
      </c>
      <c r="F3735" s="369" t="n">
        <v>250</v>
      </c>
      <c r="G3735" s="615" t="n">
        <f aca="false">E3735*F3735</f>
        <v>46.7</v>
      </c>
      <c r="H3735" s="606"/>
    </row>
    <row r="3736" customFormat="false" ht="15" hidden="false" customHeight="false" outlineLevel="0" collapsed="false">
      <c r="A3736" s="571"/>
      <c r="B3736" s="500"/>
      <c r="C3736" s="709" t="s">
        <v>4515</v>
      </c>
      <c r="D3736" s="679" t="s">
        <v>4133</v>
      </c>
      <c r="E3736" s="710" t="n">
        <v>0.05995</v>
      </c>
      <c r="F3736" s="369" t="n">
        <v>2700</v>
      </c>
      <c r="G3736" s="615" t="n">
        <f aca="false">E3736*F3736</f>
        <v>161.865</v>
      </c>
      <c r="H3736" s="391"/>
    </row>
    <row r="3737" customFormat="false" ht="15" hidden="false" customHeight="false" outlineLevel="0" collapsed="false">
      <c r="A3737" s="571"/>
      <c r="B3737" s="500"/>
      <c r="C3737" s="709" t="s">
        <v>4124</v>
      </c>
      <c r="D3737" s="679" t="s">
        <v>4516</v>
      </c>
      <c r="E3737" s="710" t="n">
        <v>1.5</v>
      </c>
      <c r="F3737" s="369" t="n">
        <v>120</v>
      </c>
      <c r="G3737" s="615" t="n">
        <f aca="false">E3737*F3737</f>
        <v>180</v>
      </c>
      <c r="H3737" s="606"/>
    </row>
    <row r="3738" customFormat="false" ht="15" hidden="false" customHeight="false" outlineLevel="0" collapsed="false">
      <c r="A3738" s="571"/>
      <c r="B3738" s="608" t="s">
        <v>4128</v>
      </c>
      <c r="C3738" s="718"/>
      <c r="D3738" s="719"/>
      <c r="E3738" s="722"/>
      <c r="F3738" s="366"/>
      <c r="G3738" s="613" t="n">
        <f aca="false">SUM(G3719:G3737)</f>
        <v>15988.97</v>
      </c>
      <c r="H3738" s="606"/>
    </row>
    <row r="3739" customFormat="false" ht="15" hidden="false" customHeight="false" outlineLevel="0" collapsed="false">
      <c r="A3739" s="571" t="s">
        <v>742</v>
      </c>
      <c r="B3739" s="328" t="s">
        <v>3191</v>
      </c>
      <c r="C3739" s="709" t="s">
        <v>4205</v>
      </c>
      <c r="D3739" s="679" t="s">
        <v>4392</v>
      </c>
      <c r="E3739" s="710" t="n">
        <v>0.02</v>
      </c>
      <c r="F3739" s="717" t="n">
        <v>7875</v>
      </c>
      <c r="G3739" s="615" t="n">
        <f aca="false">E3739*F3739</f>
        <v>157.5</v>
      </c>
      <c r="H3739" s="606"/>
    </row>
    <row r="3740" customFormat="false" ht="30" hidden="false" customHeight="false" outlineLevel="0" collapsed="false">
      <c r="A3740" s="571"/>
      <c r="B3740" s="500"/>
      <c r="C3740" s="709" t="s">
        <v>4767</v>
      </c>
      <c r="D3740" s="679" t="s">
        <v>4768</v>
      </c>
      <c r="E3740" s="710" t="n">
        <v>0.0001</v>
      </c>
      <c r="F3740" s="369" t="n">
        <v>178100</v>
      </c>
      <c r="G3740" s="615" t="n">
        <f aca="false">E3740*F3740</f>
        <v>17.81</v>
      </c>
      <c r="H3740" s="606"/>
    </row>
    <row r="3741" customFormat="false" ht="15" hidden="false" customHeight="false" outlineLevel="0" collapsed="false">
      <c r="A3741" s="571"/>
      <c r="B3741" s="328"/>
      <c r="C3741" s="709" t="s">
        <v>4908</v>
      </c>
      <c r="D3741" s="679" t="s">
        <v>4138</v>
      </c>
      <c r="E3741" s="710" t="n">
        <v>0.8</v>
      </c>
      <c r="F3741" s="369" t="n">
        <v>18000</v>
      </c>
      <c r="G3741" s="615" t="n">
        <f aca="false">E3741*F3741</f>
        <v>14400</v>
      </c>
      <c r="H3741" s="606"/>
    </row>
    <row r="3742" customFormat="false" ht="15" hidden="false" customHeight="false" outlineLevel="0" collapsed="false">
      <c r="A3742" s="571"/>
      <c r="B3742" s="500"/>
      <c r="C3742" s="709" t="s">
        <v>4529</v>
      </c>
      <c r="D3742" s="679" t="s">
        <v>4133</v>
      </c>
      <c r="E3742" s="710" t="n">
        <v>0.1</v>
      </c>
      <c r="F3742" s="369" t="n">
        <v>1200</v>
      </c>
      <c r="G3742" s="615" t="n">
        <f aca="false">E3742*F3742</f>
        <v>120</v>
      </c>
      <c r="H3742" s="606"/>
    </row>
    <row r="3743" customFormat="false" ht="15" hidden="false" customHeight="false" outlineLevel="0" collapsed="false">
      <c r="A3743" s="571"/>
      <c r="B3743" s="500"/>
      <c r="C3743" s="709" t="s">
        <v>4154</v>
      </c>
      <c r="D3743" s="679" t="s">
        <v>4392</v>
      </c>
      <c r="E3743" s="710" t="n">
        <v>0.0515</v>
      </c>
      <c r="F3743" s="721" t="n">
        <v>3500</v>
      </c>
      <c r="G3743" s="615" t="n">
        <f aca="false">E3743*F3743</f>
        <v>180.25</v>
      </c>
      <c r="H3743" s="606"/>
    </row>
    <row r="3744" customFormat="false" ht="15" hidden="false" customHeight="false" outlineLevel="0" collapsed="false">
      <c r="A3744" s="571"/>
      <c r="B3744" s="500"/>
      <c r="C3744" s="709" t="s">
        <v>4909</v>
      </c>
      <c r="D3744" s="679" t="s">
        <v>4392</v>
      </c>
      <c r="E3744" s="710" t="n">
        <v>0.015</v>
      </c>
      <c r="F3744" s="369" t="n">
        <v>580</v>
      </c>
      <c r="G3744" s="615" t="n">
        <f aca="false">E3744*F3744</f>
        <v>8.7</v>
      </c>
      <c r="H3744" s="606"/>
    </row>
    <row r="3745" customFormat="false" ht="15" hidden="false" customHeight="false" outlineLevel="0" collapsed="false">
      <c r="A3745" s="571"/>
      <c r="B3745" s="500"/>
      <c r="C3745" s="709" t="s">
        <v>4515</v>
      </c>
      <c r="D3745" s="679" t="s">
        <v>4133</v>
      </c>
      <c r="E3745" s="710" t="n">
        <v>0.006</v>
      </c>
      <c r="F3745" s="369" t="n">
        <v>2700</v>
      </c>
      <c r="G3745" s="615" t="n">
        <f aca="false">E3745*F3745</f>
        <v>16.2</v>
      </c>
      <c r="H3745" s="606"/>
    </row>
    <row r="3746" customFormat="false" ht="15" hidden="false" customHeight="false" outlineLevel="0" collapsed="false">
      <c r="A3746" s="571"/>
      <c r="B3746" s="500"/>
      <c r="C3746" s="709" t="s">
        <v>4124</v>
      </c>
      <c r="D3746" s="679" t="s">
        <v>4516</v>
      </c>
      <c r="E3746" s="710" t="n">
        <v>1.5</v>
      </c>
      <c r="F3746" s="369" t="n">
        <v>120</v>
      </c>
      <c r="G3746" s="615" t="n">
        <f aca="false">E3746*F3746</f>
        <v>180</v>
      </c>
      <c r="H3746" s="606"/>
    </row>
    <row r="3747" customFormat="false" ht="15" hidden="false" customHeight="false" outlineLevel="0" collapsed="false">
      <c r="A3747" s="571"/>
      <c r="B3747" s="608" t="s">
        <v>4128</v>
      </c>
      <c r="C3747" s="718"/>
      <c r="D3747" s="719"/>
      <c r="E3747" s="722"/>
      <c r="F3747" s="366"/>
      <c r="G3747" s="613" t="n">
        <f aca="false">SUM(G3739:G3746)</f>
        <v>15080.46</v>
      </c>
      <c r="H3747" s="606"/>
    </row>
    <row r="3748" customFormat="false" ht="15" hidden="false" customHeight="false" outlineLevel="0" collapsed="false">
      <c r="A3748" s="571" t="s">
        <v>4910</v>
      </c>
      <c r="B3748" s="336" t="s">
        <v>3192</v>
      </c>
      <c r="C3748" s="718"/>
      <c r="D3748" s="719"/>
      <c r="E3748" s="722"/>
      <c r="F3748" s="366"/>
      <c r="G3748" s="613"/>
      <c r="H3748" s="606"/>
    </row>
    <row r="3749" customFormat="false" ht="15" hidden="false" customHeight="false" outlineLevel="0" collapsed="false">
      <c r="A3749" s="571" t="s">
        <v>746</v>
      </c>
      <c r="B3749" s="433" t="s">
        <v>3193</v>
      </c>
      <c r="C3749" s="762" t="s">
        <v>4687</v>
      </c>
      <c r="D3749" s="728" t="s">
        <v>4133</v>
      </c>
      <c r="E3749" s="679" t="n">
        <v>0.04</v>
      </c>
      <c r="F3749" s="721" t="n">
        <v>8100</v>
      </c>
      <c r="G3749" s="799" t="n">
        <f aca="false">E3749*F3749</f>
        <v>324</v>
      </c>
      <c r="H3749" s="606"/>
    </row>
    <row r="3750" customFormat="false" ht="30" hidden="false" customHeight="false" outlineLevel="0" collapsed="false">
      <c r="A3750" s="571"/>
      <c r="B3750" s="433"/>
      <c r="C3750" s="762" t="s">
        <v>4911</v>
      </c>
      <c r="D3750" s="728" t="s">
        <v>4348</v>
      </c>
      <c r="E3750" s="721" t="n">
        <v>5</v>
      </c>
      <c r="F3750" s="721" t="n">
        <v>45</v>
      </c>
      <c r="G3750" s="799" t="n">
        <f aca="false">E3750*F3750</f>
        <v>225</v>
      </c>
      <c r="H3750" s="606"/>
    </row>
    <row r="3751" customFormat="false" ht="15" hidden="false" customHeight="false" outlineLevel="0" collapsed="false">
      <c r="A3751" s="571"/>
      <c r="B3751" s="608" t="s">
        <v>4128</v>
      </c>
      <c r="C3751" s="718"/>
      <c r="D3751" s="719"/>
      <c r="E3751" s="722"/>
      <c r="F3751" s="366"/>
      <c r="G3751" s="613" t="n">
        <f aca="false">SUM(G3749:G3750)</f>
        <v>549</v>
      </c>
      <c r="H3751" s="606"/>
    </row>
    <row r="3752" customFormat="false" ht="15" hidden="false" customHeight="false" outlineLevel="0" collapsed="false">
      <c r="A3752" s="571" t="s">
        <v>748</v>
      </c>
      <c r="B3752" s="337" t="s">
        <v>3194</v>
      </c>
      <c r="C3752" s="709" t="s">
        <v>4515</v>
      </c>
      <c r="D3752" s="679" t="s">
        <v>4133</v>
      </c>
      <c r="E3752" s="710" t="n">
        <v>0.006</v>
      </c>
      <c r="F3752" s="369" t="n">
        <v>2700</v>
      </c>
      <c r="G3752" s="615" t="n">
        <f aca="false">E3752*F3752</f>
        <v>16.2</v>
      </c>
      <c r="H3752" s="606"/>
    </row>
    <row r="3753" customFormat="false" ht="15" hidden="false" customHeight="false" outlineLevel="0" collapsed="false">
      <c r="A3753" s="571"/>
      <c r="B3753" s="608"/>
      <c r="C3753" s="709" t="s">
        <v>4124</v>
      </c>
      <c r="D3753" s="679" t="s">
        <v>4516</v>
      </c>
      <c r="E3753" s="542" t="n">
        <v>1.5</v>
      </c>
      <c r="F3753" s="369" t="n">
        <v>120</v>
      </c>
      <c r="G3753" s="615" t="n">
        <f aca="false">E3753*F3753</f>
        <v>180</v>
      </c>
      <c r="H3753" s="606"/>
    </row>
    <row r="3754" customFormat="false" ht="15" hidden="false" customHeight="false" outlineLevel="0" collapsed="false">
      <c r="A3754" s="571"/>
      <c r="B3754" s="608" t="s">
        <v>4128</v>
      </c>
      <c r="C3754" s="718"/>
      <c r="D3754" s="719"/>
      <c r="E3754" s="722"/>
      <c r="F3754" s="366"/>
      <c r="G3754" s="613" t="n">
        <f aca="false">SUM(G3752:G3753)</f>
        <v>196.2</v>
      </c>
      <c r="H3754" s="606"/>
    </row>
    <row r="3755" customFormat="false" ht="15" hidden="false" customHeight="false" outlineLevel="0" collapsed="false">
      <c r="A3755" s="571" t="s">
        <v>4912</v>
      </c>
      <c r="B3755" s="337" t="s">
        <v>3195</v>
      </c>
      <c r="C3755" s="709" t="s">
        <v>4515</v>
      </c>
      <c r="D3755" s="679" t="s">
        <v>4133</v>
      </c>
      <c r="E3755" s="715" t="n">
        <v>0.06</v>
      </c>
      <c r="F3755" s="369" t="n">
        <v>2700</v>
      </c>
      <c r="G3755" s="615" t="n">
        <f aca="false">E3755*F3755</f>
        <v>162</v>
      </c>
      <c r="H3755" s="606"/>
    </row>
    <row r="3756" customFormat="false" ht="15" hidden="false" customHeight="false" outlineLevel="0" collapsed="false">
      <c r="A3756" s="571"/>
      <c r="B3756" s="608"/>
      <c r="C3756" s="709" t="s">
        <v>4124</v>
      </c>
      <c r="D3756" s="679" t="s">
        <v>4516</v>
      </c>
      <c r="E3756" s="715" t="n">
        <v>1.5</v>
      </c>
      <c r="F3756" s="369" t="n">
        <v>120</v>
      </c>
      <c r="G3756" s="615" t="n">
        <f aca="false">E3756*F3756</f>
        <v>180</v>
      </c>
      <c r="H3756" s="606"/>
    </row>
    <row r="3757" customFormat="false" ht="15" hidden="false" customHeight="false" outlineLevel="0" collapsed="false">
      <c r="A3757" s="571"/>
      <c r="B3757" s="608" t="s">
        <v>4128</v>
      </c>
      <c r="C3757" s="709"/>
      <c r="D3757" s="679"/>
      <c r="E3757" s="710"/>
      <c r="F3757" s="369"/>
      <c r="G3757" s="613" t="n">
        <f aca="false">SUM(G3755:G3756)</f>
        <v>342</v>
      </c>
      <c r="H3757" s="606"/>
    </row>
    <row r="3758" customFormat="false" ht="15" hidden="false" customHeight="false" outlineLevel="0" collapsed="false">
      <c r="A3758" s="571" t="s">
        <v>4913</v>
      </c>
      <c r="B3758" s="433" t="s">
        <v>3196</v>
      </c>
      <c r="C3758" s="709" t="s">
        <v>4515</v>
      </c>
      <c r="D3758" s="679" t="s">
        <v>4133</v>
      </c>
      <c r="E3758" s="715" t="n">
        <v>0.06</v>
      </c>
      <c r="F3758" s="369" t="n">
        <v>2700</v>
      </c>
      <c r="G3758" s="615" t="n">
        <f aca="false">E3758*F3758</f>
        <v>162</v>
      </c>
      <c r="H3758" s="606"/>
    </row>
    <row r="3759" customFormat="false" ht="15" hidden="false" customHeight="false" outlineLevel="0" collapsed="false">
      <c r="A3759" s="571"/>
      <c r="B3759" s="433"/>
      <c r="C3759" s="709" t="s">
        <v>4124</v>
      </c>
      <c r="D3759" s="679" t="s">
        <v>4516</v>
      </c>
      <c r="E3759" s="715" t="n">
        <v>1.5</v>
      </c>
      <c r="F3759" s="369" t="n">
        <v>120</v>
      </c>
      <c r="G3759" s="615" t="n">
        <f aca="false">E3759*F3759</f>
        <v>180</v>
      </c>
      <c r="H3759" s="606"/>
    </row>
    <row r="3760" customFormat="false" ht="15" hidden="false" customHeight="false" outlineLevel="0" collapsed="false">
      <c r="A3760" s="571"/>
      <c r="B3760" s="608" t="s">
        <v>4128</v>
      </c>
      <c r="C3760" s="718"/>
      <c r="D3760" s="719"/>
      <c r="E3760" s="722"/>
      <c r="F3760" s="366"/>
      <c r="G3760" s="613" t="n">
        <f aca="false">SUM(G3758:G3759)</f>
        <v>342</v>
      </c>
      <c r="H3760" s="606"/>
    </row>
    <row r="3761" customFormat="false" ht="15" hidden="false" customHeight="false" outlineLevel="0" collapsed="false">
      <c r="A3761" s="571" t="s">
        <v>4914</v>
      </c>
      <c r="B3761" s="337" t="s">
        <v>3197</v>
      </c>
      <c r="C3761" s="709" t="s">
        <v>4515</v>
      </c>
      <c r="D3761" s="679" t="s">
        <v>4133</v>
      </c>
      <c r="E3761" s="710" t="n">
        <v>0.006</v>
      </c>
      <c r="F3761" s="369" t="n">
        <v>2700</v>
      </c>
      <c r="G3761" s="615" t="n">
        <f aca="false">E3761*F3761</f>
        <v>16.2</v>
      </c>
      <c r="H3761" s="606"/>
    </row>
    <row r="3762" customFormat="false" ht="15" hidden="false" customHeight="false" outlineLevel="0" collapsed="false">
      <c r="A3762" s="571"/>
      <c r="B3762" s="337"/>
      <c r="C3762" s="709" t="s">
        <v>4124</v>
      </c>
      <c r="D3762" s="679" t="s">
        <v>4516</v>
      </c>
      <c r="E3762" s="542" t="n">
        <v>1.5</v>
      </c>
      <c r="F3762" s="369" t="n">
        <v>120</v>
      </c>
      <c r="G3762" s="615" t="n">
        <f aca="false">E3762*F3762</f>
        <v>180</v>
      </c>
      <c r="H3762" s="606"/>
    </row>
    <row r="3763" customFormat="false" ht="15" hidden="false" customHeight="false" outlineLevel="0" collapsed="false">
      <c r="A3763" s="571"/>
      <c r="B3763" s="800" t="s">
        <v>4128</v>
      </c>
      <c r="C3763" s="718"/>
      <c r="D3763" s="719"/>
      <c r="E3763" s="722"/>
      <c r="F3763" s="366"/>
      <c r="G3763" s="613" t="n">
        <f aca="false">SUM(G3761:G3762)</f>
        <v>196.2</v>
      </c>
      <c r="H3763" s="606"/>
    </row>
    <row r="3764" customFormat="false" ht="15" hidden="false" customHeight="false" outlineLevel="0" collapsed="false">
      <c r="A3764" s="571" t="s">
        <v>756</v>
      </c>
      <c r="B3764" s="336" t="s">
        <v>3198</v>
      </c>
      <c r="C3764" s="532" t="s">
        <v>4554</v>
      </c>
      <c r="D3764" s="679" t="s">
        <v>4555</v>
      </c>
      <c r="E3764" s="733" t="n">
        <v>0.01</v>
      </c>
      <c r="F3764" s="721" t="n">
        <v>108000</v>
      </c>
      <c r="G3764" s="615" t="n">
        <f aca="false">E3764*F3764</f>
        <v>1080</v>
      </c>
      <c r="H3764" s="606"/>
    </row>
    <row r="3765" customFormat="false" ht="15" hidden="false" customHeight="false" outlineLevel="0" collapsed="false">
      <c r="A3765" s="571"/>
      <c r="B3765" s="336"/>
      <c r="C3765" s="471" t="s">
        <v>4189</v>
      </c>
      <c r="D3765" s="728" t="s">
        <v>4133</v>
      </c>
      <c r="E3765" s="733" t="n">
        <v>0.03</v>
      </c>
      <c r="F3765" s="729" t="n">
        <v>3500</v>
      </c>
      <c r="G3765" s="615" t="n">
        <f aca="false">E3765*F3765</f>
        <v>105</v>
      </c>
      <c r="H3765" s="606"/>
    </row>
    <row r="3766" customFormat="false" ht="15" hidden="false" customHeight="false" outlineLevel="0" collapsed="false">
      <c r="A3766" s="571"/>
      <c r="B3766" s="336"/>
      <c r="C3766" s="325" t="s">
        <v>4556</v>
      </c>
      <c r="D3766" s="728" t="s">
        <v>4133</v>
      </c>
      <c r="E3766" s="749" t="n">
        <v>0.02</v>
      </c>
      <c r="F3766" s="723" t="n">
        <v>3612</v>
      </c>
      <c r="G3766" s="615" t="n">
        <f aca="false">E3766*F3766</f>
        <v>72.24</v>
      </c>
      <c r="H3766" s="606"/>
    </row>
    <row r="3767" customFormat="false" ht="15" hidden="false" customHeight="false" outlineLevel="0" collapsed="false">
      <c r="A3767" s="571"/>
      <c r="B3767" s="336"/>
      <c r="C3767" s="532" t="s">
        <v>4557</v>
      </c>
      <c r="D3767" s="728" t="s">
        <v>4133</v>
      </c>
      <c r="E3767" s="733" t="n">
        <v>0.04</v>
      </c>
      <c r="F3767" s="369" t="n">
        <v>1750</v>
      </c>
      <c r="G3767" s="615" t="n">
        <f aca="false">E3767*F3767</f>
        <v>70</v>
      </c>
      <c r="H3767" s="606"/>
    </row>
    <row r="3768" customFormat="false" ht="15" hidden="false" customHeight="false" outlineLevel="0" collapsed="false">
      <c r="A3768" s="571"/>
      <c r="B3768" s="336"/>
      <c r="C3768" s="532" t="s">
        <v>4558</v>
      </c>
      <c r="D3768" s="679" t="s">
        <v>4559</v>
      </c>
      <c r="E3768" s="733" t="n">
        <v>0.01</v>
      </c>
      <c r="F3768" s="721" t="n">
        <v>225000</v>
      </c>
      <c r="G3768" s="615" t="n">
        <f aca="false">E3768*F3768</f>
        <v>2250</v>
      </c>
      <c r="H3768" s="606"/>
    </row>
    <row r="3769" customFormat="false" ht="30" hidden="false" customHeight="false" outlineLevel="0" collapsed="false">
      <c r="A3769" s="571"/>
      <c r="B3769" s="336"/>
      <c r="C3769" s="532" t="s">
        <v>4560</v>
      </c>
      <c r="D3769" s="728" t="s">
        <v>4348</v>
      </c>
      <c r="E3769" s="679" t="n">
        <v>1</v>
      </c>
      <c r="F3769" s="729" t="n">
        <v>1500</v>
      </c>
      <c r="G3769" s="615" t="n">
        <f aca="false">E3769*F3769</f>
        <v>1500</v>
      </c>
      <c r="H3769" s="606"/>
    </row>
    <row r="3770" customFormat="false" ht="15" hidden="false" customHeight="false" outlineLevel="0" collapsed="false">
      <c r="A3770" s="571"/>
      <c r="B3770" s="608" t="s">
        <v>4128</v>
      </c>
      <c r="C3770" s="718"/>
      <c r="D3770" s="719"/>
      <c r="E3770" s="722"/>
      <c r="F3770" s="366"/>
      <c r="G3770" s="613" t="n">
        <f aca="false">SUM(G3764:G3769)</f>
        <v>5077.24</v>
      </c>
      <c r="H3770" s="606"/>
    </row>
    <row r="3771" customFormat="false" ht="15" hidden="false" customHeight="false" outlineLevel="0" collapsed="false">
      <c r="A3771" s="571" t="s">
        <v>758</v>
      </c>
      <c r="B3771" s="337" t="s">
        <v>3199</v>
      </c>
      <c r="C3771" s="471" t="s">
        <v>4189</v>
      </c>
      <c r="D3771" s="728" t="s">
        <v>4133</v>
      </c>
      <c r="E3771" s="726" t="n">
        <v>0.1</v>
      </c>
      <c r="F3771" s="729" t="n">
        <v>3500</v>
      </c>
      <c r="G3771" s="615" t="n">
        <f aca="false">E3771*F3771</f>
        <v>350</v>
      </c>
      <c r="H3771" s="606"/>
    </row>
    <row r="3772" customFormat="false" ht="15" hidden="false" customHeight="false" outlineLevel="0" collapsed="false">
      <c r="A3772" s="571"/>
      <c r="B3772" s="337"/>
      <c r="C3772" s="532" t="s">
        <v>4558</v>
      </c>
      <c r="D3772" s="679" t="s">
        <v>4559</v>
      </c>
      <c r="E3772" s="726" t="n">
        <v>0.01</v>
      </c>
      <c r="F3772" s="721" t="n">
        <v>178100</v>
      </c>
      <c r="G3772" s="615" t="n">
        <f aca="false">E3772*F3772</f>
        <v>1781</v>
      </c>
      <c r="H3772" s="606"/>
    </row>
    <row r="3773" customFormat="false" ht="15" hidden="false" customHeight="false" outlineLevel="0" collapsed="false">
      <c r="A3773" s="571"/>
      <c r="B3773" s="337"/>
      <c r="C3773" s="532" t="s">
        <v>4915</v>
      </c>
      <c r="D3773" s="679" t="s">
        <v>4555</v>
      </c>
      <c r="E3773" s="801" t="n">
        <v>0.001</v>
      </c>
      <c r="F3773" s="721" t="n">
        <v>108100</v>
      </c>
      <c r="G3773" s="615" t="n">
        <f aca="false">E3773*F3773</f>
        <v>108.1</v>
      </c>
      <c r="H3773" s="606"/>
    </row>
    <row r="3774" customFormat="false" ht="30" hidden="false" customHeight="false" outlineLevel="0" collapsed="false">
      <c r="A3774" s="571"/>
      <c r="B3774" s="337"/>
      <c r="C3774" s="325" t="s">
        <v>4560</v>
      </c>
      <c r="D3774" s="802" t="s">
        <v>4348</v>
      </c>
      <c r="E3774" s="679" t="n">
        <v>5</v>
      </c>
      <c r="F3774" s="729" t="n">
        <v>5.1</v>
      </c>
      <c r="G3774" s="615" t="n">
        <f aca="false">E3774*F3774</f>
        <v>25.5</v>
      </c>
      <c r="H3774" s="606"/>
    </row>
    <row r="3775" customFormat="false" ht="15" hidden="false" customHeight="false" outlineLevel="0" collapsed="false">
      <c r="A3775" s="571"/>
      <c r="B3775" s="337"/>
      <c r="C3775" s="325" t="s">
        <v>4916</v>
      </c>
      <c r="D3775" s="802" t="s">
        <v>4133</v>
      </c>
      <c r="E3775" s="801" t="n">
        <v>0.003</v>
      </c>
      <c r="F3775" s="721" t="n">
        <v>842120</v>
      </c>
      <c r="G3775" s="615" t="n">
        <f aca="false">E3775*F3775</f>
        <v>2526.36</v>
      </c>
      <c r="H3775" s="606"/>
    </row>
    <row r="3776" customFormat="false" ht="15" hidden="false" customHeight="false" outlineLevel="0" collapsed="false">
      <c r="A3776" s="571"/>
      <c r="B3776" s="608" t="s">
        <v>4128</v>
      </c>
      <c r="C3776" s="718"/>
      <c r="D3776" s="719"/>
      <c r="E3776" s="732" t="s">
        <v>4917</v>
      </c>
      <c r="F3776" s="366"/>
      <c r="G3776" s="613" t="n">
        <f aca="false">SUM(G3771:G3775)</f>
        <v>4790.96</v>
      </c>
      <c r="H3776" s="606"/>
    </row>
    <row r="3777" customFormat="false" ht="15" hidden="false" customHeight="false" outlineLevel="0" collapsed="false">
      <c r="A3777" s="571" t="s">
        <v>759</v>
      </c>
      <c r="B3777" s="338" t="s">
        <v>3200</v>
      </c>
      <c r="C3777" s="471" t="s">
        <v>4189</v>
      </c>
      <c r="D3777" s="728" t="s">
        <v>4133</v>
      </c>
      <c r="E3777" s="726" t="n">
        <v>0.03</v>
      </c>
      <c r="F3777" s="729" t="n">
        <v>3500</v>
      </c>
      <c r="G3777" s="615" t="n">
        <f aca="false">E3777*F3777</f>
        <v>105</v>
      </c>
      <c r="H3777" s="606"/>
    </row>
    <row r="3778" customFormat="false" ht="60" hidden="false" customHeight="false" outlineLevel="0" collapsed="false">
      <c r="A3778" s="571"/>
      <c r="B3778" s="338"/>
      <c r="C3778" s="532" t="s">
        <v>4603</v>
      </c>
      <c r="D3778" s="679" t="s">
        <v>4918</v>
      </c>
      <c r="E3778" s="726" t="n">
        <v>0.02</v>
      </c>
      <c r="F3778" s="721" t="n">
        <v>7500</v>
      </c>
      <c r="G3778" s="615" t="n">
        <f aca="false">E3778*F3778</f>
        <v>150</v>
      </c>
      <c r="H3778" s="606"/>
    </row>
    <row r="3779" customFormat="false" ht="15" hidden="false" customHeight="false" outlineLevel="0" collapsed="false">
      <c r="A3779" s="571"/>
      <c r="B3779" s="338"/>
      <c r="C3779" s="532" t="s">
        <v>4919</v>
      </c>
      <c r="D3779" s="679" t="s">
        <v>4555</v>
      </c>
      <c r="E3779" s="726" t="n">
        <v>0.005</v>
      </c>
      <c r="F3779" s="721" t="n">
        <v>108000</v>
      </c>
      <c r="G3779" s="615" t="n">
        <f aca="false">E3779*F3779</f>
        <v>540</v>
      </c>
      <c r="H3779" s="606"/>
    </row>
    <row r="3780" customFormat="false" ht="30" hidden="false" customHeight="false" outlineLevel="0" collapsed="false">
      <c r="A3780" s="571"/>
      <c r="B3780" s="338"/>
      <c r="C3780" s="325" t="s">
        <v>4560</v>
      </c>
      <c r="D3780" s="802" t="s">
        <v>4348</v>
      </c>
      <c r="E3780" s="679" t="n">
        <v>5</v>
      </c>
      <c r="F3780" s="729" t="n">
        <v>5.1</v>
      </c>
      <c r="G3780" s="615" t="n">
        <f aca="false">E3780*F3780</f>
        <v>25.5</v>
      </c>
      <c r="H3780" s="606"/>
    </row>
    <row r="3781" customFormat="false" ht="15" hidden="false" customHeight="false" outlineLevel="0" collapsed="false">
      <c r="A3781" s="571"/>
      <c r="B3781" s="608" t="s">
        <v>4128</v>
      </c>
      <c r="C3781" s="718"/>
      <c r="D3781" s="719"/>
      <c r="E3781" s="722"/>
      <c r="F3781" s="366"/>
      <c r="G3781" s="613" t="n">
        <f aca="false">SUM(G3777:G3780)</f>
        <v>820.5</v>
      </c>
      <c r="H3781" s="606"/>
    </row>
    <row r="3782" customFormat="false" ht="15" hidden="false" customHeight="false" outlineLevel="0" collapsed="false">
      <c r="A3782" s="571" t="s">
        <v>4920</v>
      </c>
      <c r="B3782" s="336" t="s">
        <v>3201</v>
      </c>
      <c r="C3782" s="471" t="s">
        <v>4189</v>
      </c>
      <c r="D3782" s="728" t="s">
        <v>4133</v>
      </c>
      <c r="E3782" s="726" t="n">
        <v>0.03</v>
      </c>
      <c r="F3782" s="729" t="n">
        <v>3500</v>
      </c>
      <c r="G3782" s="803" t="n">
        <f aca="false">E3782*F3782</f>
        <v>105</v>
      </c>
      <c r="H3782" s="606"/>
    </row>
    <row r="3783" customFormat="false" ht="60" hidden="false" customHeight="false" outlineLevel="0" collapsed="false">
      <c r="A3783" s="571"/>
      <c r="B3783" s="336"/>
      <c r="C3783" s="532" t="s">
        <v>4603</v>
      </c>
      <c r="D3783" s="679" t="s">
        <v>4918</v>
      </c>
      <c r="E3783" s="726" t="n">
        <v>0.02</v>
      </c>
      <c r="F3783" s="721" t="n">
        <v>7500</v>
      </c>
      <c r="G3783" s="803" t="n">
        <f aca="false">E3783*F3783</f>
        <v>150</v>
      </c>
      <c r="H3783" s="606"/>
    </row>
    <row r="3784" customFormat="false" ht="15" hidden="false" customHeight="false" outlineLevel="0" collapsed="false">
      <c r="A3784" s="571"/>
      <c r="B3784" s="336"/>
      <c r="C3784" s="532" t="s">
        <v>4921</v>
      </c>
      <c r="D3784" s="679" t="s">
        <v>4555</v>
      </c>
      <c r="E3784" s="726" t="n">
        <v>0.005</v>
      </c>
      <c r="F3784" s="721" t="n">
        <v>108000</v>
      </c>
      <c r="G3784" s="803" t="n">
        <f aca="false">E3784*F3784</f>
        <v>540</v>
      </c>
      <c r="H3784" s="606"/>
    </row>
    <row r="3785" customFormat="false" ht="30" hidden="false" customHeight="false" outlineLevel="0" collapsed="false">
      <c r="A3785" s="571"/>
      <c r="B3785" s="336"/>
      <c r="C3785" s="325" t="s">
        <v>4560</v>
      </c>
      <c r="D3785" s="802" t="s">
        <v>4348</v>
      </c>
      <c r="E3785" s="679" t="n">
        <v>5</v>
      </c>
      <c r="F3785" s="729" t="n">
        <v>5.1</v>
      </c>
      <c r="G3785" s="803" t="n">
        <f aca="false">E3785*F3785</f>
        <v>25.5</v>
      </c>
      <c r="H3785" s="606"/>
    </row>
    <row r="3786" customFormat="false" ht="15" hidden="false" customHeight="false" outlineLevel="0" collapsed="false">
      <c r="A3786" s="571"/>
      <c r="B3786" s="608" t="s">
        <v>4128</v>
      </c>
      <c r="C3786" s="718"/>
      <c r="D3786" s="719"/>
      <c r="E3786" s="722"/>
      <c r="F3786" s="366"/>
      <c r="G3786" s="613" t="n">
        <f aca="false">SUM(G3782:G3785)</f>
        <v>820.5</v>
      </c>
      <c r="H3786" s="606"/>
    </row>
    <row r="3787" customFormat="false" ht="15" hidden="false" customHeight="false" outlineLevel="0" collapsed="false">
      <c r="A3787" s="571" t="s">
        <v>763</v>
      </c>
      <c r="B3787" s="336" t="s">
        <v>3202</v>
      </c>
      <c r="C3787" s="709" t="s">
        <v>4205</v>
      </c>
      <c r="D3787" s="679" t="s">
        <v>4392</v>
      </c>
      <c r="E3787" s="710" t="n">
        <v>0.03</v>
      </c>
      <c r="F3787" s="717" t="n">
        <v>7875</v>
      </c>
      <c r="G3787" s="803" t="n">
        <f aca="false">E3787*F3787</f>
        <v>236.25</v>
      </c>
      <c r="H3787" s="606"/>
    </row>
    <row r="3788" customFormat="false" ht="15" hidden="false" customHeight="false" outlineLevel="0" collapsed="false">
      <c r="A3788" s="571"/>
      <c r="B3788" s="336"/>
      <c r="C3788" s="709" t="s">
        <v>4922</v>
      </c>
      <c r="D3788" s="679" t="s">
        <v>4138</v>
      </c>
      <c r="E3788" s="710" t="n">
        <v>0.5</v>
      </c>
      <c r="F3788" s="369" t="n">
        <v>17000</v>
      </c>
      <c r="G3788" s="803" t="n">
        <f aca="false">E3788*F3788</f>
        <v>8500</v>
      </c>
      <c r="H3788" s="606"/>
    </row>
    <row r="3789" customFormat="false" ht="15" hidden="false" customHeight="false" outlineLevel="0" collapsed="false">
      <c r="A3789" s="571"/>
      <c r="B3789" s="336"/>
      <c r="C3789" s="709" t="s">
        <v>4529</v>
      </c>
      <c r="D3789" s="679" t="s">
        <v>4133</v>
      </c>
      <c r="E3789" s="710" t="n">
        <v>0.1</v>
      </c>
      <c r="F3789" s="369" t="n">
        <v>1200</v>
      </c>
      <c r="G3789" s="803" t="n">
        <f aca="false">E3789*F3789</f>
        <v>120</v>
      </c>
      <c r="H3789" s="606"/>
    </row>
    <row r="3790" customFormat="false" ht="15" hidden="false" customHeight="false" outlineLevel="0" collapsed="false">
      <c r="A3790" s="571"/>
      <c r="B3790" s="336"/>
      <c r="C3790" s="709" t="s">
        <v>4154</v>
      </c>
      <c r="D3790" s="679" t="s">
        <v>4392</v>
      </c>
      <c r="E3790" s="710" t="n">
        <v>0.07154</v>
      </c>
      <c r="F3790" s="721" t="n">
        <v>3500</v>
      </c>
      <c r="G3790" s="803" t="n">
        <f aca="false">E3790*F3790</f>
        <v>250.39</v>
      </c>
      <c r="H3790" s="606"/>
    </row>
    <row r="3791" customFormat="false" ht="15" hidden="false" customHeight="false" outlineLevel="0" collapsed="false">
      <c r="A3791" s="571"/>
      <c r="B3791" s="336"/>
      <c r="C3791" s="709" t="s">
        <v>4909</v>
      </c>
      <c r="D3791" s="679" t="s">
        <v>4392</v>
      </c>
      <c r="E3791" s="710" t="n">
        <v>0.015</v>
      </c>
      <c r="F3791" s="369" t="n">
        <v>580</v>
      </c>
      <c r="G3791" s="803" t="n">
        <f aca="false">E3791*F3791</f>
        <v>8.7</v>
      </c>
      <c r="H3791" s="606"/>
    </row>
    <row r="3792" customFormat="false" ht="15" hidden="false" customHeight="false" outlineLevel="0" collapsed="false">
      <c r="A3792" s="571"/>
      <c r="B3792" s="336"/>
      <c r="C3792" s="709" t="s">
        <v>4923</v>
      </c>
      <c r="D3792" s="679" t="s">
        <v>4578</v>
      </c>
      <c r="E3792" s="710" t="n">
        <v>0.02</v>
      </c>
      <c r="F3792" s="724" t="n">
        <v>275000</v>
      </c>
      <c r="G3792" s="803" t="n">
        <f aca="false">E3792*F3792</f>
        <v>5500</v>
      </c>
      <c r="H3792" s="606"/>
    </row>
    <row r="3793" customFormat="false" ht="15" hidden="false" customHeight="false" outlineLevel="0" collapsed="false">
      <c r="A3793" s="571"/>
      <c r="B3793" s="336"/>
      <c r="C3793" s="709" t="s">
        <v>4515</v>
      </c>
      <c r="D3793" s="679" t="s">
        <v>4133</v>
      </c>
      <c r="E3793" s="710" t="n">
        <v>0.06</v>
      </c>
      <c r="F3793" s="369" t="n">
        <v>2700</v>
      </c>
      <c r="G3793" s="803" t="n">
        <f aca="false">E3793*F3793</f>
        <v>162</v>
      </c>
      <c r="H3793" s="606"/>
    </row>
    <row r="3794" customFormat="false" ht="15" hidden="false" customHeight="false" outlineLevel="0" collapsed="false">
      <c r="A3794" s="571"/>
      <c r="B3794" s="336"/>
      <c r="C3794" s="709" t="s">
        <v>4124</v>
      </c>
      <c r="D3794" s="679" t="s">
        <v>4516</v>
      </c>
      <c r="E3794" s="710" t="n">
        <v>1.5</v>
      </c>
      <c r="F3794" s="369" t="n">
        <v>120</v>
      </c>
      <c r="G3794" s="803" t="n">
        <f aca="false">E3794*F3794</f>
        <v>180</v>
      </c>
      <c r="H3794" s="606"/>
    </row>
    <row r="3795" customFormat="false" ht="15" hidden="false" customHeight="false" outlineLevel="0" collapsed="false">
      <c r="A3795" s="571"/>
      <c r="B3795" s="608" t="s">
        <v>4128</v>
      </c>
      <c r="C3795" s="718"/>
      <c r="D3795" s="719"/>
      <c r="E3795" s="722"/>
      <c r="F3795" s="366"/>
      <c r="G3795" s="613" t="n">
        <f aca="false">SUM(G3787:G3794)</f>
        <v>14957.34</v>
      </c>
      <c r="H3795" s="606"/>
    </row>
    <row r="3796" customFormat="false" ht="15" hidden="false" customHeight="false" outlineLevel="0" collapsed="false">
      <c r="A3796" s="571" t="s">
        <v>765</v>
      </c>
      <c r="B3796" s="336" t="s">
        <v>2938</v>
      </c>
      <c r="C3796" s="532" t="s">
        <v>4924</v>
      </c>
      <c r="D3796" s="679" t="s">
        <v>4555</v>
      </c>
      <c r="E3796" s="726" t="n">
        <v>0.01</v>
      </c>
      <c r="F3796" s="721" t="n">
        <v>108000</v>
      </c>
      <c r="G3796" s="803" t="n">
        <f aca="false">E3796*F3796</f>
        <v>1080</v>
      </c>
      <c r="H3796" s="606"/>
    </row>
    <row r="3797" customFormat="false" ht="30" hidden="false" customHeight="false" outlineLevel="0" collapsed="false">
      <c r="A3797" s="571"/>
      <c r="B3797" s="606"/>
      <c r="C3797" s="532" t="s">
        <v>4925</v>
      </c>
      <c r="D3797" s="679" t="s">
        <v>4555</v>
      </c>
      <c r="E3797" s="726" t="n">
        <v>0.01</v>
      </c>
      <c r="F3797" s="721" t="n">
        <v>108000</v>
      </c>
      <c r="G3797" s="803" t="n">
        <f aca="false">E3797*F3797</f>
        <v>1080</v>
      </c>
      <c r="H3797" s="606"/>
    </row>
    <row r="3798" customFormat="false" ht="15" hidden="false" customHeight="false" outlineLevel="0" collapsed="false">
      <c r="A3798" s="571"/>
      <c r="B3798" s="606"/>
      <c r="C3798" s="325" t="s">
        <v>4556</v>
      </c>
      <c r="D3798" s="757" t="s">
        <v>4133</v>
      </c>
      <c r="E3798" s="745" t="n">
        <v>0.1</v>
      </c>
      <c r="F3798" s="723" t="n">
        <v>3612</v>
      </c>
      <c r="G3798" s="803" t="n">
        <f aca="false">E3798*F3798</f>
        <v>361.2</v>
      </c>
      <c r="H3798" s="606"/>
    </row>
    <row r="3799" customFormat="false" ht="15" hidden="false" customHeight="false" outlineLevel="0" collapsed="false">
      <c r="A3799" s="571"/>
      <c r="B3799" s="606"/>
      <c r="C3799" s="532" t="s">
        <v>4557</v>
      </c>
      <c r="D3799" s="728" t="s">
        <v>4133</v>
      </c>
      <c r="E3799" s="726" t="n">
        <v>0.06</v>
      </c>
      <c r="F3799" s="369" t="n">
        <v>1750</v>
      </c>
      <c r="G3799" s="803" t="n">
        <f aca="false">E3799*F3799</f>
        <v>105</v>
      </c>
      <c r="H3799" s="606"/>
    </row>
    <row r="3800" customFormat="false" ht="15" hidden="false" customHeight="false" outlineLevel="0" collapsed="false">
      <c r="A3800" s="571"/>
      <c r="B3800" s="608"/>
      <c r="C3800" s="532" t="s">
        <v>4565</v>
      </c>
      <c r="D3800" s="728" t="s">
        <v>4133</v>
      </c>
      <c r="E3800" s="726" t="n">
        <v>0.05</v>
      </c>
      <c r="F3800" s="721" t="n">
        <v>870</v>
      </c>
      <c r="G3800" s="803" t="n">
        <f aca="false">E3800*F3800</f>
        <v>43.5</v>
      </c>
      <c r="H3800" s="606"/>
    </row>
    <row r="3801" customFormat="false" ht="15" hidden="false" customHeight="false" outlineLevel="0" collapsed="false">
      <c r="A3801" s="571"/>
      <c r="B3801" s="608"/>
      <c r="C3801" s="532" t="s">
        <v>4566</v>
      </c>
      <c r="D3801" s="728" t="s">
        <v>4133</v>
      </c>
      <c r="E3801" s="726" t="n">
        <v>0.1</v>
      </c>
      <c r="F3801" s="721" t="n">
        <v>300</v>
      </c>
      <c r="G3801" s="803" t="n">
        <f aca="false">E3801*F3801</f>
        <v>30</v>
      </c>
      <c r="H3801" s="606"/>
    </row>
    <row r="3802" customFormat="false" ht="45" hidden="false" customHeight="false" outlineLevel="0" collapsed="false">
      <c r="A3802" s="571"/>
      <c r="B3802" s="608"/>
      <c r="C3802" s="532" t="s">
        <v>4926</v>
      </c>
      <c r="D3802" s="728" t="s">
        <v>4348</v>
      </c>
      <c r="E3802" s="679" t="n">
        <v>5</v>
      </c>
      <c r="F3802" s="729" t="n">
        <v>5.1</v>
      </c>
      <c r="G3802" s="803" t="n">
        <f aca="false">E3802*F3802</f>
        <v>25.5</v>
      </c>
      <c r="H3802" s="606"/>
    </row>
    <row r="3803" customFormat="false" ht="15" hidden="false" customHeight="false" outlineLevel="0" collapsed="false">
      <c r="A3803" s="571"/>
      <c r="B3803" s="608"/>
      <c r="C3803" s="532" t="s">
        <v>4269</v>
      </c>
      <c r="D3803" s="728" t="s">
        <v>4133</v>
      </c>
      <c r="E3803" s="741" t="n">
        <v>0.05</v>
      </c>
      <c r="F3803" s="717" t="n">
        <v>25200</v>
      </c>
      <c r="G3803" s="803" t="n">
        <f aca="false">E3803*F3803</f>
        <v>1260</v>
      </c>
      <c r="H3803" s="606"/>
    </row>
    <row r="3804" customFormat="false" ht="30" hidden="false" customHeight="false" outlineLevel="0" collapsed="false">
      <c r="A3804" s="571"/>
      <c r="B3804" s="608"/>
      <c r="C3804" s="532" t="s">
        <v>4590</v>
      </c>
      <c r="D3804" s="737" t="s">
        <v>4559</v>
      </c>
      <c r="E3804" s="741" t="n">
        <v>0.02</v>
      </c>
      <c r="F3804" s="721" t="n">
        <v>3250</v>
      </c>
      <c r="G3804" s="803" t="n">
        <f aca="false">E3804*F3804</f>
        <v>65</v>
      </c>
      <c r="H3804" s="606"/>
    </row>
    <row r="3805" customFormat="false" ht="15" hidden="false" customHeight="false" outlineLevel="0" collapsed="false">
      <c r="A3805" s="571"/>
      <c r="B3805" s="608"/>
      <c r="C3805" s="433" t="s">
        <v>4927</v>
      </c>
      <c r="D3805" s="804" t="s">
        <v>4133</v>
      </c>
      <c r="E3805" s="805" t="n">
        <v>0.0024</v>
      </c>
      <c r="F3805" s="806" t="n">
        <v>7500</v>
      </c>
      <c r="G3805" s="803" t="n">
        <f aca="false">E3805*F3805</f>
        <v>18</v>
      </c>
      <c r="H3805" s="606"/>
    </row>
    <row r="3806" customFormat="false" ht="15" hidden="false" customHeight="false" outlineLevel="0" collapsed="false">
      <c r="A3806" s="571"/>
      <c r="B3806" s="608" t="s">
        <v>4128</v>
      </c>
      <c r="C3806" s="609"/>
      <c r="D3806" s="610"/>
      <c r="E3806" s="611"/>
      <c r="F3806" s="612"/>
      <c r="G3806" s="613" t="n">
        <f aca="false">SUM(G3796:G3805)</f>
        <v>4068.2</v>
      </c>
      <c r="H3806" s="606"/>
    </row>
    <row r="3807" customFormat="false" ht="15" hidden="false" customHeight="false" outlineLevel="0" collapsed="false">
      <c r="A3807" s="350" t="s">
        <v>4928</v>
      </c>
      <c r="B3807" s="467" t="s">
        <v>3203</v>
      </c>
      <c r="C3807" s="751"/>
      <c r="D3807" s="339"/>
      <c r="E3807" s="752"/>
      <c r="F3807" s="519"/>
      <c r="G3807" s="753"/>
      <c r="H3807" s="600"/>
    </row>
    <row r="3808" customFormat="false" ht="15" hidden="false" customHeight="false" outlineLevel="0" collapsed="false">
      <c r="A3808" s="571" t="s">
        <v>4929</v>
      </c>
      <c r="B3808" s="328" t="s">
        <v>3010</v>
      </c>
      <c r="C3808" s="714"/>
      <c r="D3808" s="391"/>
      <c r="E3808" s="611"/>
      <c r="F3808" s="612"/>
      <c r="G3808" s="613"/>
      <c r="H3808" s="606"/>
    </row>
    <row r="3809" customFormat="false" ht="15" hidden="false" customHeight="false" outlineLevel="0" collapsed="false">
      <c r="A3809" s="571" t="s">
        <v>4930</v>
      </c>
      <c r="B3809" s="328" t="s">
        <v>3084</v>
      </c>
      <c r="C3809" s="614" t="s">
        <v>4515</v>
      </c>
      <c r="D3809" s="606" t="s">
        <v>4133</v>
      </c>
      <c r="E3809" s="622" t="n">
        <v>0.06</v>
      </c>
      <c r="F3809" s="361" t="n">
        <v>2700</v>
      </c>
      <c r="G3809" s="803" t="n">
        <f aca="false">E3809*F3809</f>
        <v>162</v>
      </c>
      <c r="H3809" s="606"/>
    </row>
    <row r="3810" customFormat="false" ht="15" hidden="false" customHeight="false" outlineLevel="0" collapsed="false">
      <c r="A3810" s="571"/>
      <c r="B3810" s="500"/>
      <c r="C3810" s="614" t="s">
        <v>4124</v>
      </c>
      <c r="D3810" s="606" t="s">
        <v>4516</v>
      </c>
      <c r="E3810" s="622" t="n">
        <v>1.5</v>
      </c>
      <c r="F3810" s="361" t="n">
        <v>120</v>
      </c>
      <c r="G3810" s="803" t="n">
        <f aca="false">E3810*F3810</f>
        <v>180</v>
      </c>
      <c r="H3810" s="606"/>
    </row>
    <row r="3811" customFormat="false" ht="15" hidden="false" customHeight="false" outlineLevel="0" collapsed="false">
      <c r="A3811" s="571"/>
      <c r="B3811" s="608" t="s">
        <v>4128</v>
      </c>
      <c r="C3811" s="609"/>
      <c r="D3811" s="610"/>
      <c r="E3811" s="611"/>
      <c r="F3811" s="612"/>
      <c r="G3811" s="613" t="n">
        <f aca="false">SUM(G3809:G3810)</f>
        <v>342</v>
      </c>
      <c r="H3811" s="391"/>
    </row>
    <row r="3812" customFormat="false" ht="15" hidden="false" customHeight="false" outlineLevel="0" collapsed="false">
      <c r="A3812" s="571" t="s">
        <v>771</v>
      </c>
      <c r="B3812" s="328" t="s">
        <v>3085</v>
      </c>
      <c r="C3812" s="614" t="s">
        <v>4515</v>
      </c>
      <c r="D3812" s="606" t="s">
        <v>4133</v>
      </c>
      <c r="E3812" s="622" t="n">
        <v>0.08565</v>
      </c>
      <c r="F3812" s="361" t="n">
        <v>2700</v>
      </c>
      <c r="G3812" s="615" t="n">
        <f aca="false">E3812*F3812</f>
        <v>231.255</v>
      </c>
      <c r="H3812" s="606"/>
    </row>
    <row r="3813" customFormat="false" ht="15" hidden="false" customHeight="false" outlineLevel="0" collapsed="false">
      <c r="A3813" s="571"/>
      <c r="B3813" s="500"/>
      <c r="C3813" s="614" t="s">
        <v>4124</v>
      </c>
      <c r="D3813" s="606" t="s">
        <v>4516</v>
      </c>
      <c r="E3813" s="622" t="n">
        <v>0.995</v>
      </c>
      <c r="F3813" s="361" t="n">
        <v>120</v>
      </c>
      <c r="G3813" s="615" t="n">
        <f aca="false">E3813*F3813</f>
        <v>119.4</v>
      </c>
      <c r="H3813" s="606"/>
    </row>
    <row r="3814" customFormat="false" ht="15" hidden="false" customHeight="false" outlineLevel="0" collapsed="false">
      <c r="A3814" s="571"/>
      <c r="B3814" s="500"/>
      <c r="C3814" s="614" t="s">
        <v>4122</v>
      </c>
      <c r="D3814" s="606" t="s">
        <v>4392</v>
      </c>
      <c r="E3814" s="622" t="n">
        <v>0.16885</v>
      </c>
      <c r="F3814" s="797" t="n">
        <v>720</v>
      </c>
      <c r="G3814" s="615" t="n">
        <f aca="false">E3814*F3814</f>
        <v>121.572</v>
      </c>
      <c r="H3814" s="606"/>
    </row>
    <row r="3815" customFormat="false" ht="15" hidden="false" customHeight="false" outlineLevel="0" collapsed="false">
      <c r="A3815" s="571"/>
      <c r="B3815" s="608" t="s">
        <v>4128</v>
      </c>
      <c r="C3815" s="609"/>
      <c r="D3815" s="610"/>
      <c r="E3815" s="611"/>
      <c r="F3815" s="612"/>
      <c r="G3815" s="613" t="n">
        <f aca="false">SUM(G3812:G3814)</f>
        <v>472.227</v>
      </c>
      <c r="H3815" s="606"/>
    </row>
    <row r="3816" customFormat="false" ht="15" hidden="false" customHeight="false" outlineLevel="0" collapsed="false">
      <c r="A3816" s="571" t="s">
        <v>772</v>
      </c>
      <c r="B3816" s="328" t="s">
        <v>3205</v>
      </c>
      <c r="C3816" s="614" t="s">
        <v>4529</v>
      </c>
      <c r="D3816" s="606" t="s">
        <v>4133</v>
      </c>
      <c r="E3816" s="622" t="n">
        <v>0.04</v>
      </c>
      <c r="F3816" s="361" t="n">
        <v>1200</v>
      </c>
      <c r="G3816" s="615" t="n">
        <f aca="false">E3816*F3816</f>
        <v>48</v>
      </c>
      <c r="H3816" s="606"/>
    </row>
    <row r="3817" customFormat="false" ht="15" hidden="false" customHeight="false" outlineLevel="0" collapsed="false">
      <c r="A3817" s="571"/>
      <c r="B3817" s="500"/>
      <c r="C3817" s="614" t="s">
        <v>4244</v>
      </c>
      <c r="D3817" s="606" t="s">
        <v>4133</v>
      </c>
      <c r="E3817" s="622" t="n">
        <v>0.0093</v>
      </c>
      <c r="F3817" s="361" t="n">
        <v>2727</v>
      </c>
      <c r="G3817" s="615" t="n">
        <f aca="false">E3817*F3817</f>
        <v>25.3611</v>
      </c>
      <c r="H3817" s="606"/>
    </row>
    <row r="3818" customFormat="false" ht="15" hidden="false" customHeight="false" outlineLevel="0" collapsed="false">
      <c r="A3818" s="571"/>
      <c r="B3818" s="500"/>
      <c r="C3818" s="614" t="s">
        <v>4515</v>
      </c>
      <c r="D3818" s="606" t="s">
        <v>4133</v>
      </c>
      <c r="E3818" s="622" t="n">
        <v>0.06</v>
      </c>
      <c r="F3818" s="361" t="n">
        <v>2700</v>
      </c>
      <c r="G3818" s="615" t="n">
        <f aca="false">E3818*F3818</f>
        <v>162</v>
      </c>
      <c r="H3818" s="606"/>
    </row>
    <row r="3819" customFormat="false" ht="15" hidden="false" customHeight="false" outlineLevel="0" collapsed="false">
      <c r="A3819" s="571"/>
      <c r="B3819" s="500"/>
      <c r="C3819" s="614" t="s">
        <v>4124</v>
      </c>
      <c r="D3819" s="606" t="s">
        <v>4516</v>
      </c>
      <c r="E3819" s="622" t="n">
        <v>1.5</v>
      </c>
      <c r="F3819" s="361" t="n">
        <v>120</v>
      </c>
      <c r="G3819" s="615" t="n">
        <f aca="false">E3819*F3819</f>
        <v>180</v>
      </c>
      <c r="H3819" s="606"/>
    </row>
    <row r="3820" customFormat="false" ht="15" hidden="false" customHeight="false" outlineLevel="0" collapsed="false">
      <c r="A3820" s="571"/>
      <c r="B3820" s="608" t="s">
        <v>4128</v>
      </c>
      <c r="C3820" s="609"/>
      <c r="D3820" s="610"/>
      <c r="E3820" s="611"/>
      <c r="F3820" s="612"/>
      <c r="G3820" s="613" t="n">
        <f aca="false">SUM(G3816:G3819)</f>
        <v>415.3611</v>
      </c>
      <c r="H3820" s="606"/>
    </row>
    <row r="3821" s="451" customFormat="true" ht="15" hidden="false" customHeight="false" outlineLevel="0" collapsed="false">
      <c r="A3821" s="707" t="s">
        <v>4931</v>
      </c>
      <c r="B3821" s="487" t="s">
        <v>3206</v>
      </c>
      <c r="C3821" s="709" t="s">
        <v>4159</v>
      </c>
      <c r="D3821" s="679" t="s">
        <v>4133</v>
      </c>
      <c r="E3821" s="710" t="n">
        <v>0.05</v>
      </c>
      <c r="F3821" s="717" t="n">
        <v>557.76</v>
      </c>
      <c r="G3821" s="711" t="n">
        <f aca="false">E3821*F3821</f>
        <v>27.888</v>
      </c>
      <c r="H3821" s="679"/>
    </row>
    <row r="3822" s="451" customFormat="true" ht="15" hidden="false" customHeight="false" outlineLevel="0" collapsed="false">
      <c r="A3822" s="707" t="s">
        <v>776</v>
      </c>
      <c r="B3822" s="487" t="s">
        <v>3207</v>
      </c>
      <c r="C3822" s="709" t="s">
        <v>4529</v>
      </c>
      <c r="D3822" s="679" t="s">
        <v>4133</v>
      </c>
      <c r="E3822" s="710" t="n">
        <v>0.04</v>
      </c>
      <c r="F3822" s="369" t="n">
        <v>1200</v>
      </c>
      <c r="G3822" s="716" t="n">
        <f aca="false">E3822*F3822</f>
        <v>48</v>
      </c>
      <c r="H3822" s="679"/>
    </row>
    <row r="3823" s="451" customFormat="true" ht="15" hidden="false" customHeight="false" outlineLevel="0" collapsed="false">
      <c r="A3823" s="707"/>
      <c r="B3823" s="522"/>
      <c r="C3823" s="709" t="s">
        <v>4244</v>
      </c>
      <c r="D3823" s="679" t="s">
        <v>4133</v>
      </c>
      <c r="E3823" s="710" t="n">
        <v>0.013922</v>
      </c>
      <c r="F3823" s="369" t="n">
        <v>2727</v>
      </c>
      <c r="G3823" s="716" t="n">
        <f aca="false">E3823*F3823</f>
        <v>37.965294</v>
      </c>
      <c r="H3823" s="679"/>
    </row>
    <row r="3824" s="451" customFormat="true" ht="15" hidden="false" customHeight="false" outlineLevel="0" collapsed="false">
      <c r="A3824" s="707"/>
      <c r="B3824" s="522"/>
      <c r="C3824" s="709" t="s">
        <v>4515</v>
      </c>
      <c r="D3824" s="679" t="s">
        <v>4133</v>
      </c>
      <c r="E3824" s="710" t="n">
        <v>0.06</v>
      </c>
      <c r="F3824" s="369" t="n">
        <v>2700</v>
      </c>
      <c r="G3824" s="716" t="n">
        <f aca="false">E3824*F3824</f>
        <v>162</v>
      </c>
      <c r="H3824" s="679"/>
    </row>
    <row r="3825" s="451" customFormat="true" ht="15" hidden="false" customHeight="false" outlineLevel="0" collapsed="false">
      <c r="A3825" s="707"/>
      <c r="B3825" s="522"/>
      <c r="C3825" s="709" t="s">
        <v>4124</v>
      </c>
      <c r="D3825" s="679" t="s">
        <v>4516</v>
      </c>
      <c r="E3825" s="710" t="n">
        <v>0.2</v>
      </c>
      <c r="F3825" s="369" t="n">
        <v>120</v>
      </c>
      <c r="G3825" s="716" t="n">
        <f aca="false">E3825*F3825</f>
        <v>24</v>
      </c>
      <c r="H3825" s="679"/>
    </row>
    <row r="3826" s="451" customFormat="true" ht="15" hidden="false" customHeight="false" outlineLevel="0" collapsed="false">
      <c r="A3826" s="707"/>
      <c r="B3826" s="708" t="s">
        <v>4128</v>
      </c>
      <c r="C3826" s="718"/>
      <c r="D3826" s="719"/>
      <c r="E3826" s="722"/>
      <c r="F3826" s="366"/>
      <c r="G3826" s="711" t="n">
        <f aca="false">SUM(G3822:G3825)</f>
        <v>271.965294</v>
      </c>
      <c r="H3826" s="679"/>
    </row>
    <row r="3827" s="451" customFormat="true" ht="15" hidden="false" customHeight="false" outlineLevel="0" collapsed="false">
      <c r="A3827" s="707" t="s">
        <v>778</v>
      </c>
      <c r="B3827" s="487" t="s">
        <v>3208</v>
      </c>
      <c r="C3827" s="709" t="s">
        <v>4154</v>
      </c>
      <c r="D3827" s="679" t="s">
        <v>4392</v>
      </c>
      <c r="E3827" s="710" t="n">
        <v>0.00858</v>
      </c>
      <c r="F3827" s="721" t="n">
        <v>3500</v>
      </c>
      <c r="G3827" s="716" t="n">
        <f aca="false">E3827*F3827</f>
        <v>30.03</v>
      </c>
      <c r="H3827" s="679"/>
    </row>
    <row r="3828" s="451" customFormat="true" ht="15" hidden="false" customHeight="false" outlineLevel="0" collapsed="false">
      <c r="A3828" s="707"/>
      <c r="B3828" s="522"/>
      <c r="C3828" s="709" t="s">
        <v>4178</v>
      </c>
      <c r="D3828" s="679" t="s">
        <v>4133</v>
      </c>
      <c r="E3828" s="710" t="n">
        <v>0.05</v>
      </c>
      <c r="F3828" s="369" t="n">
        <v>1950</v>
      </c>
      <c r="G3828" s="716" t="n">
        <f aca="false">E3828*F3828</f>
        <v>97.5</v>
      </c>
      <c r="H3828" s="679"/>
    </row>
    <row r="3829" s="451" customFormat="true" ht="15" hidden="false" customHeight="false" outlineLevel="0" collapsed="false">
      <c r="A3829" s="707"/>
      <c r="B3829" s="522"/>
      <c r="C3829" s="709" t="s">
        <v>4515</v>
      </c>
      <c r="D3829" s="679" t="s">
        <v>4133</v>
      </c>
      <c r="E3829" s="710" t="n">
        <v>0.06</v>
      </c>
      <c r="F3829" s="369" t="n">
        <v>2700</v>
      </c>
      <c r="G3829" s="716" t="n">
        <f aca="false">E3829*F3829</f>
        <v>162</v>
      </c>
      <c r="H3829" s="679"/>
    </row>
    <row r="3830" s="451" customFormat="true" ht="15" hidden="false" customHeight="false" outlineLevel="0" collapsed="false">
      <c r="A3830" s="707"/>
      <c r="B3830" s="522"/>
      <c r="C3830" s="709" t="s">
        <v>4124</v>
      </c>
      <c r="D3830" s="679" t="s">
        <v>4516</v>
      </c>
      <c r="E3830" s="710" t="n">
        <v>1.5</v>
      </c>
      <c r="F3830" s="369" t="n">
        <v>120</v>
      </c>
      <c r="G3830" s="716" t="n">
        <f aca="false">E3830*F3830</f>
        <v>180</v>
      </c>
      <c r="H3830" s="392"/>
    </row>
    <row r="3831" s="451" customFormat="true" ht="15" hidden="false" customHeight="false" outlineLevel="0" collapsed="false">
      <c r="A3831" s="707"/>
      <c r="B3831" s="708" t="s">
        <v>4128</v>
      </c>
      <c r="C3831" s="718"/>
      <c r="D3831" s="719"/>
      <c r="E3831" s="722"/>
      <c r="F3831" s="366"/>
      <c r="G3831" s="711" t="n">
        <f aca="false">SUM(G3827:G3830)</f>
        <v>469.53</v>
      </c>
      <c r="H3831" s="679"/>
    </row>
    <row r="3832" s="451" customFormat="true" ht="15" hidden="false" customHeight="false" outlineLevel="0" collapsed="false">
      <c r="A3832" s="707" t="s">
        <v>4932</v>
      </c>
      <c r="B3832" s="487" t="s">
        <v>3209</v>
      </c>
      <c r="C3832" s="709" t="s">
        <v>4529</v>
      </c>
      <c r="D3832" s="679" t="s">
        <v>4133</v>
      </c>
      <c r="E3832" s="710" t="n">
        <v>0.016</v>
      </c>
      <c r="F3832" s="369" t="n">
        <v>1200</v>
      </c>
      <c r="G3832" s="716" t="n">
        <f aca="false">E3832*F3832</f>
        <v>19.2</v>
      </c>
      <c r="H3832" s="679"/>
    </row>
    <row r="3833" s="451" customFormat="true" ht="15" hidden="false" customHeight="false" outlineLevel="0" collapsed="false">
      <c r="A3833" s="707"/>
      <c r="B3833" s="522"/>
      <c r="C3833" s="709" t="s">
        <v>4300</v>
      </c>
      <c r="D3833" s="679" t="s">
        <v>4133</v>
      </c>
      <c r="E3833" s="710" t="n">
        <v>0.005</v>
      </c>
      <c r="F3833" s="721" t="n">
        <v>3500</v>
      </c>
      <c r="G3833" s="716" t="n">
        <f aca="false">E3833*F3833</f>
        <v>17.5</v>
      </c>
      <c r="H3833" s="679"/>
    </row>
    <row r="3834" s="451" customFormat="true" ht="15" hidden="false" customHeight="false" outlineLevel="0" collapsed="false">
      <c r="A3834" s="707"/>
      <c r="B3834" s="522"/>
      <c r="C3834" s="709" t="s">
        <v>4147</v>
      </c>
      <c r="D3834" s="679" t="s">
        <v>4392</v>
      </c>
      <c r="E3834" s="710" t="n">
        <v>0.15</v>
      </c>
      <c r="F3834" s="723" t="n">
        <v>3612</v>
      </c>
      <c r="G3834" s="716" t="n">
        <f aca="false">E3834*F3834</f>
        <v>541.8</v>
      </c>
      <c r="H3834" s="679"/>
    </row>
    <row r="3835" s="451" customFormat="true" ht="15" hidden="false" customHeight="false" outlineLevel="0" collapsed="false">
      <c r="A3835" s="707"/>
      <c r="B3835" s="522"/>
      <c r="C3835" s="709" t="s">
        <v>4933</v>
      </c>
      <c r="D3835" s="679" t="s">
        <v>4133</v>
      </c>
      <c r="E3835" s="710" t="n">
        <v>0.0045</v>
      </c>
      <c r="F3835" s="729" t="n">
        <v>3500</v>
      </c>
      <c r="G3835" s="716" t="n">
        <f aca="false">E3835*F3835</f>
        <v>15.75</v>
      </c>
      <c r="H3835" s="679"/>
    </row>
    <row r="3836" s="451" customFormat="true" ht="15" hidden="false" customHeight="false" outlineLevel="0" collapsed="false">
      <c r="A3836" s="707"/>
      <c r="B3836" s="522"/>
      <c r="C3836" s="709" t="s">
        <v>4201</v>
      </c>
      <c r="D3836" s="679" t="s">
        <v>4133</v>
      </c>
      <c r="E3836" s="710" t="n">
        <v>0.001</v>
      </c>
      <c r="F3836" s="721" t="n">
        <v>27000</v>
      </c>
      <c r="G3836" s="716" t="n">
        <f aca="false">E3836*F3836</f>
        <v>27</v>
      </c>
      <c r="H3836" s="679"/>
    </row>
    <row r="3837" s="451" customFormat="true" ht="15" hidden="false" customHeight="false" outlineLevel="0" collapsed="false">
      <c r="A3837" s="707"/>
      <c r="B3837" s="522"/>
      <c r="C3837" s="709" t="s">
        <v>4808</v>
      </c>
      <c r="D3837" s="679" t="s">
        <v>4133</v>
      </c>
      <c r="E3837" s="710" t="n">
        <v>0.0048</v>
      </c>
      <c r="F3837" s="369" t="n">
        <v>950</v>
      </c>
      <c r="G3837" s="716" t="n">
        <f aca="false">E3837*F3837</f>
        <v>4.56</v>
      </c>
      <c r="H3837" s="392"/>
    </row>
    <row r="3838" s="451" customFormat="true" ht="15" hidden="false" customHeight="false" outlineLevel="0" collapsed="false">
      <c r="A3838" s="707"/>
      <c r="B3838" s="522"/>
      <c r="C3838" s="709" t="s">
        <v>4515</v>
      </c>
      <c r="D3838" s="679" t="s">
        <v>4133</v>
      </c>
      <c r="E3838" s="710" t="n">
        <v>0.06</v>
      </c>
      <c r="F3838" s="369" t="n">
        <v>2700</v>
      </c>
      <c r="G3838" s="716" t="n">
        <f aca="false">E3838*F3838</f>
        <v>162</v>
      </c>
      <c r="H3838" s="392"/>
    </row>
    <row r="3839" s="451" customFormat="true" ht="15" hidden="false" customHeight="false" outlineLevel="0" collapsed="false">
      <c r="A3839" s="707"/>
      <c r="B3839" s="522"/>
      <c r="C3839" s="709" t="s">
        <v>4124</v>
      </c>
      <c r="D3839" s="679" t="s">
        <v>4516</v>
      </c>
      <c r="E3839" s="710" t="n">
        <v>1.5</v>
      </c>
      <c r="F3839" s="369" t="n">
        <v>120</v>
      </c>
      <c r="G3839" s="716" t="n">
        <f aca="false">E3839*F3839</f>
        <v>180</v>
      </c>
      <c r="H3839" s="679"/>
    </row>
    <row r="3840" s="451" customFormat="true" ht="15" hidden="false" customHeight="false" outlineLevel="0" collapsed="false">
      <c r="A3840" s="707"/>
      <c r="B3840" s="708" t="s">
        <v>4128</v>
      </c>
      <c r="C3840" s="718"/>
      <c r="D3840" s="719"/>
      <c r="E3840" s="722"/>
      <c r="F3840" s="366"/>
      <c r="G3840" s="711" t="n">
        <f aca="false">SUM(G3832:G3839)</f>
        <v>967.81</v>
      </c>
      <c r="H3840" s="679"/>
    </row>
    <row r="3841" s="451" customFormat="true" ht="15" hidden="false" customHeight="false" outlineLevel="0" collapsed="false">
      <c r="A3841" s="707" t="s">
        <v>4934</v>
      </c>
      <c r="B3841" s="487" t="s">
        <v>3210</v>
      </c>
      <c r="C3841" s="709" t="s">
        <v>4154</v>
      </c>
      <c r="D3841" s="679" t="s">
        <v>4392</v>
      </c>
      <c r="E3841" s="710" t="n">
        <v>0.0143</v>
      </c>
      <c r="F3841" s="721" t="n">
        <v>3500</v>
      </c>
      <c r="G3841" s="716" t="n">
        <f aca="false">E3841*F3841</f>
        <v>50.05</v>
      </c>
      <c r="H3841" s="392"/>
    </row>
    <row r="3842" s="451" customFormat="true" ht="30" hidden="false" customHeight="false" outlineLevel="0" collapsed="false">
      <c r="A3842" s="707"/>
      <c r="B3842" s="522"/>
      <c r="C3842" s="709" t="s">
        <v>4935</v>
      </c>
      <c r="D3842" s="679" t="s">
        <v>4133</v>
      </c>
      <c r="E3842" s="710" t="n">
        <v>0.02</v>
      </c>
      <c r="F3842" s="369" t="n">
        <v>11200</v>
      </c>
      <c r="G3842" s="716" t="n">
        <f aca="false">E3842*F3842</f>
        <v>224</v>
      </c>
      <c r="H3842" s="679"/>
    </row>
    <row r="3843" s="451" customFormat="true" ht="15" hidden="false" customHeight="false" outlineLevel="0" collapsed="false">
      <c r="A3843" s="707"/>
      <c r="B3843" s="522"/>
      <c r="C3843" s="709" t="s">
        <v>4515</v>
      </c>
      <c r="D3843" s="679" t="s">
        <v>4133</v>
      </c>
      <c r="E3843" s="710" t="n">
        <v>0.06</v>
      </c>
      <c r="F3843" s="369" t="n">
        <v>2700</v>
      </c>
      <c r="G3843" s="716" t="n">
        <f aca="false">E3843*F3843</f>
        <v>162</v>
      </c>
      <c r="H3843" s="679"/>
    </row>
    <row r="3844" s="451" customFormat="true" ht="15" hidden="false" customHeight="false" outlineLevel="0" collapsed="false">
      <c r="A3844" s="707"/>
      <c r="B3844" s="522"/>
      <c r="C3844" s="709" t="s">
        <v>4124</v>
      </c>
      <c r="D3844" s="679" t="s">
        <v>4516</v>
      </c>
      <c r="E3844" s="710" t="n">
        <v>1.5</v>
      </c>
      <c r="F3844" s="369" t="n">
        <v>120</v>
      </c>
      <c r="G3844" s="716" t="n">
        <f aca="false">E3844*F3844</f>
        <v>180</v>
      </c>
      <c r="H3844" s="679"/>
    </row>
    <row r="3845" s="451" customFormat="true" ht="15" hidden="false" customHeight="false" outlineLevel="0" collapsed="false">
      <c r="A3845" s="707"/>
      <c r="B3845" s="708" t="s">
        <v>4128</v>
      </c>
      <c r="C3845" s="718"/>
      <c r="D3845" s="719"/>
      <c r="E3845" s="722"/>
      <c r="F3845" s="366"/>
      <c r="G3845" s="711" t="n">
        <f aca="false">SUM(G3841:G3844)</f>
        <v>616.05</v>
      </c>
      <c r="H3845" s="392"/>
    </row>
    <row r="3846" s="451" customFormat="true" ht="15" hidden="false" customHeight="false" outlineLevel="0" collapsed="false">
      <c r="A3846" s="707" t="s">
        <v>784</v>
      </c>
      <c r="B3846" s="487" t="s">
        <v>3211</v>
      </c>
      <c r="C3846" s="709" t="s">
        <v>4189</v>
      </c>
      <c r="D3846" s="679" t="s">
        <v>4392</v>
      </c>
      <c r="E3846" s="710" t="n">
        <v>0.0174</v>
      </c>
      <c r="F3846" s="729" t="n">
        <v>3500</v>
      </c>
      <c r="G3846" s="716" t="n">
        <f aca="false">E3846*F3846</f>
        <v>60.9</v>
      </c>
      <c r="H3846" s="679"/>
    </row>
    <row r="3847" s="451" customFormat="true" ht="15" hidden="false" customHeight="false" outlineLevel="0" collapsed="false">
      <c r="A3847" s="707"/>
      <c r="B3847" s="522"/>
      <c r="C3847" s="709" t="s">
        <v>4575</v>
      </c>
      <c r="D3847" s="679" t="s">
        <v>4133</v>
      </c>
      <c r="E3847" s="710" t="n">
        <v>0.017</v>
      </c>
      <c r="F3847" s="369" t="n">
        <v>1323</v>
      </c>
      <c r="G3847" s="716" t="n">
        <f aca="false">E3847*F3847</f>
        <v>22.491</v>
      </c>
      <c r="H3847" s="679"/>
    </row>
    <row r="3848" s="451" customFormat="true" ht="15" hidden="false" customHeight="false" outlineLevel="0" collapsed="false">
      <c r="A3848" s="707"/>
      <c r="B3848" s="522"/>
      <c r="C3848" s="709" t="s">
        <v>4834</v>
      </c>
      <c r="D3848" s="679" t="s">
        <v>4133</v>
      </c>
      <c r="E3848" s="710" t="n">
        <v>0.002</v>
      </c>
      <c r="F3848" s="369" t="n">
        <v>38100</v>
      </c>
      <c r="G3848" s="716" t="n">
        <f aca="false">E3848*F3848</f>
        <v>76.2</v>
      </c>
      <c r="H3848" s="679"/>
    </row>
    <row r="3849" s="451" customFormat="true" ht="15" hidden="false" customHeight="false" outlineLevel="0" collapsed="false">
      <c r="A3849" s="707"/>
      <c r="B3849" s="522"/>
      <c r="C3849" s="709" t="s">
        <v>4515</v>
      </c>
      <c r="D3849" s="679" t="s">
        <v>4133</v>
      </c>
      <c r="E3849" s="710" t="n">
        <v>0.05996</v>
      </c>
      <c r="F3849" s="369" t="n">
        <v>2700</v>
      </c>
      <c r="G3849" s="716" t="n">
        <f aca="false">E3849*F3849</f>
        <v>161.892</v>
      </c>
      <c r="H3849" s="679"/>
    </row>
    <row r="3850" s="451" customFormat="true" ht="15" hidden="false" customHeight="false" outlineLevel="0" collapsed="false">
      <c r="A3850" s="707"/>
      <c r="B3850" s="522"/>
      <c r="C3850" s="709" t="s">
        <v>4124</v>
      </c>
      <c r="D3850" s="679" t="s">
        <v>4516</v>
      </c>
      <c r="E3850" s="710" t="n">
        <v>1.5</v>
      </c>
      <c r="F3850" s="369" t="n">
        <v>120</v>
      </c>
      <c r="G3850" s="716" t="n">
        <f aca="false">E3850*F3850</f>
        <v>180</v>
      </c>
      <c r="H3850" s="392"/>
    </row>
    <row r="3851" s="451" customFormat="true" ht="15" hidden="false" customHeight="false" outlineLevel="0" collapsed="false">
      <c r="A3851" s="707"/>
      <c r="B3851" s="708" t="s">
        <v>4128</v>
      </c>
      <c r="C3851" s="718"/>
      <c r="D3851" s="719"/>
      <c r="E3851" s="722"/>
      <c r="F3851" s="366"/>
      <c r="G3851" s="711" t="n">
        <f aca="false">SUM(G3846:G3850)</f>
        <v>501.483</v>
      </c>
      <c r="H3851" s="679"/>
    </row>
    <row r="3852" s="451" customFormat="true" ht="15" hidden="false" customHeight="false" outlineLevel="0" collapsed="false">
      <c r="A3852" s="707" t="s">
        <v>786</v>
      </c>
      <c r="B3852" s="487" t="s">
        <v>3103</v>
      </c>
      <c r="C3852" s="709" t="s">
        <v>4189</v>
      </c>
      <c r="D3852" s="679" t="s">
        <v>4392</v>
      </c>
      <c r="E3852" s="725" t="n">
        <v>0.2</v>
      </c>
      <c r="F3852" s="729" t="n">
        <v>3500</v>
      </c>
      <c r="G3852" s="716" t="n">
        <f aca="false">E3852*F3852</f>
        <v>700</v>
      </c>
      <c r="H3852" s="719"/>
    </row>
    <row r="3853" s="451" customFormat="true" ht="15" hidden="false" customHeight="false" outlineLevel="0" collapsed="false">
      <c r="A3853" s="707"/>
      <c r="B3853" s="522"/>
      <c r="C3853" s="709" t="s">
        <v>4147</v>
      </c>
      <c r="D3853" s="679" t="s">
        <v>4392</v>
      </c>
      <c r="E3853" s="725" t="n">
        <v>0.2</v>
      </c>
      <c r="F3853" s="723" t="n">
        <v>3612</v>
      </c>
      <c r="G3853" s="716" t="n">
        <f aca="false">E3853*F3853</f>
        <v>722.4</v>
      </c>
      <c r="H3853" s="679"/>
    </row>
    <row r="3854" s="451" customFormat="true" ht="15" hidden="false" customHeight="false" outlineLevel="0" collapsed="false">
      <c r="A3854" s="707"/>
      <c r="B3854" s="522"/>
      <c r="C3854" s="709" t="s">
        <v>4277</v>
      </c>
      <c r="D3854" s="679" t="s">
        <v>4133</v>
      </c>
      <c r="E3854" s="725" t="n">
        <v>0.01</v>
      </c>
      <c r="F3854" s="369" t="n">
        <v>1116</v>
      </c>
      <c r="G3854" s="716" t="n">
        <f aca="false">E3854*F3854</f>
        <v>11.16</v>
      </c>
      <c r="H3854" s="679"/>
    </row>
    <row r="3855" s="451" customFormat="true" ht="15" hidden="false" customHeight="false" outlineLevel="0" collapsed="false">
      <c r="A3855" s="707"/>
      <c r="B3855" s="522"/>
      <c r="C3855" s="709" t="s">
        <v>4575</v>
      </c>
      <c r="D3855" s="679" t="s">
        <v>4133</v>
      </c>
      <c r="E3855" s="725" t="n">
        <v>0.001</v>
      </c>
      <c r="F3855" s="369" t="n">
        <v>24000</v>
      </c>
      <c r="G3855" s="716" t="n">
        <f aca="false">E3855*F3855</f>
        <v>24</v>
      </c>
      <c r="H3855" s="679"/>
    </row>
    <row r="3856" s="451" customFormat="true" ht="15" hidden="false" customHeight="false" outlineLevel="0" collapsed="false">
      <c r="A3856" s="707"/>
      <c r="B3856" s="522"/>
      <c r="C3856" s="709" t="s">
        <v>4165</v>
      </c>
      <c r="D3856" s="679" t="s">
        <v>4133</v>
      </c>
      <c r="E3856" s="725" t="n">
        <v>0.03</v>
      </c>
      <c r="F3856" s="369" t="n">
        <v>1323</v>
      </c>
      <c r="G3856" s="716" t="n">
        <f aca="false">E3856*F3856</f>
        <v>39.69</v>
      </c>
      <c r="H3856" s="679"/>
    </row>
    <row r="3857" s="451" customFormat="true" ht="15" hidden="false" customHeight="false" outlineLevel="0" collapsed="false">
      <c r="A3857" s="707"/>
      <c r="B3857" s="522"/>
      <c r="C3857" s="709" t="s">
        <v>4270</v>
      </c>
      <c r="D3857" s="679" t="s">
        <v>4392</v>
      </c>
      <c r="E3857" s="725" t="n">
        <v>0.1</v>
      </c>
      <c r="F3857" s="369" t="n">
        <v>1750</v>
      </c>
      <c r="G3857" s="716" t="n">
        <f aca="false">E3857*F3857</f>
        <v>175</v>
      </c>
      <c r="H3857" s="392"/>
    </row>
    <row r="3858" s="451" customFormat="true" ht="15" hidden="false" customHeight="false" outlineLevel="0" collapsed="false">
      <c r="A3858" s="707"/>
      <c r="B3858" s="522"/>
      <c r="C3858" s="709" t="s">
        <v>4122</v>
      </c>
      <c r="D3858" s="679" t="s">
        <v>4392</v>
      </c>
      <c r="E3858" s="725" t="n">
        <v>0.03</v>
      </c>
      <c r="F3858" s="721" t="n">
        <v>720</v>
      </c>
      <c r="G3858" s="716" t="n">
        <f aca="false">E3858*F3858</f>
        <v>21.6</v>
      </c>
      <c r="H3858" s="679"/>
    </row>
    <row r="3859" s="451" customFormat="true" ht="15" hidden="false" customHeight="false" outlineLevel="0" collapsed="false">
      <c r="A3859" s="707"/>
      <c r="B3859" s="522"/>
      <c r="C3859" s="709" t="s">
        <v>4561</v>
      </c>
      <c r="D3859" s="679" t="s">
        <v>4138</v>
      </c>
      <c r="E3859" s="542" t="n">
        <v>1</v>
      </c>
      <c r="F3859" s="369" t="n">
        <v>490</v>
      </c>
      <c r="G3859" s="716" t="n">
        <f aca="false">E3859*F3859</f>
        <v>490</v>
      </c>
      <c r="H3859" s="679"/>
    </row>
    <row r="3860" s="451" customFormat="true" ht="15" hidden="false" customHeight="false" outlineLevel="0" collapsed="false">
      <c r="A3860" s="707"/>
      <c r="B3860" s="522"/>
      <c r="C3860" s="709" t="s">
        <v>4515</v>
      </c>
      <c r="D3860" s="679" t="s">
        <v>4133</v>
      </c>
      <c r="E3860" s="725" t="n">
        <v>0.006</v>
      </c>
      <c r="F3860" s="369" t="n">
        <v>2700</v>
      </c>
      <c r="G3860" s="716" t="n">
        <f aca="false">E3860*F3860</f>
        <v>16.2</v>
      </c>
      <c r="H3860" s="679"/>
    </row>
    <row r="3861" s="451" customFormat="true" ht="15" hidden="false" customHeight="false" outlineLevel="0" collapsed="false">
      <c r="A3861" s="707"/>
      <c r="B3861" s="522"/>
      <c r="C3861" s="709" t="s">
        <v>4124</v>
      </c>
      <c r="D3861" s="679" t="s">
        <v>4516</v>
      </c>
      <c r="E3861" s="725" t="n">
        <v>0.08</v>
      </c>
      <c r="F3861" s="369" t="n">
        <v>120</v>
      </c>
      <c r="G3861" s="716" t="n">
        <f aca="false">E3861*F3861</f>
        <v>9.6</v>
      </c>
      <c r="H3861" s="679"/>
    </row>
    <row r="3862" s="451" customFormat="true" ht="15" hidden="false" customHeight="false" outlineLevel="0" collapsed="false">
      <c r="A3862" s="707"/>
      <c r="B3862" s="522"/>
      <c r="C3862" s="709" t="s">
        <v>4577</v>
      </c>
      <c r="D3862" s="679" t="s">
        <v>4578</v>
      </c>
      <c r="E3862" s="725" t="n">
        <v>0.006</v>
      </c>
      <c r="F3862" s="369" t="n">
        <v>27000</v>
      </c>
      <c r="G3862" s="716" t="n">
        <f aca="false">E3862*F3862</f>
        <v>162</v>
      </c>
      <c r="H3862" s="392"/>
    </row>
    <row r="3863" s="451" customFormat="true" ht="15" hidden="false" customHeight="false" outlineLevel="0" collapsed="false">
      <c r="A3863" s="707"/>
      <c r="B3863" s="708" t="s">
        <v>4128</v>
      </c>
      <c r="C3863" s="718"/>
      <c r="D3863" s="719"/>
      <c r="E3863" s="722"/>
      <c r="F3863" s="366"/>
      <c r="G3863" s="711" t="n">
        <f aca="false">SUM(G3852:G3862)</f>
        <v>2371.65</v>
      </c>
      <c r="H3863" s="679"/>
    </row>
    <row r="3864" s="451" customFormat="true" ht="15" hidden="false" customHeight="false" outlineLevel="0" collapsed="false">
      <c r="A3864" s="707" t="s">
        <v>787</v>
      </c>
      <c r="B3864" s="487" t="s">
        <v>3148</v>
      </c>
      <c r="C3864" s="709" t="s">
        <v>4580</v>
      </c>
      <c r="D3864" s="679" t="s">
        <v>4133</v>
      </c>
      <c r="E3864" s="725" t="n">
        <v>0.2</v>
      </c>
      <c r="F3864" s="369" t="n">
        <v>1690</v>
      </c>
      <c r="G3864" s="716" t="n">
        <f aca="false">E3864*F3864</f>
        <v>338</v>
      </c>
      <c r="H3864" s="679"/>
    </row>
    <row r="3865" s="451" customFormat="true" ht="15" hidden="false" customHeight="false" outlineLevel="0" collapsed="false">
      <c r="A3865" s="707"/>
      <c r="B3865" s="522"/>
      <c r="C3865" s="709" t="s">
        <v>4750</v>
      </c>
      <c r="D3865" s="679" t="s">
        <v>4133</v>
      </c>
      <c r="E3865" s="725" t="n">
        <v>0.01</v>
      </c>
      <c r="F3865" s="369" t="n">
        <v>21000</v>
      </c>
      <c r="G3865" s="716" t="n">
        <f aca="false">E3865*F3865</f>
        <v>210</v>
      </c>
      <c r="H3865" s="679"/>
    </row>
    <row r="3866" s="451" customFormat="true" ht="30" hidden="false" customHeight="false" outlineLevel="0" collapsed="false">
      <c r="A3866" s="707"/>
      <c r="B3866" s="522"/>
      <c r="C3866" s="709" t="s">
        <v>4581</v>
      </c>
      <c r="D3866" s="679" t="s">
        <v>4133</v>
      </c>
      <c r="E3866" s="725" t="n">
        <v>0.01</v>
      </c>
      <c r="F3866" s="369" t="n">
        <v>118100</v>
      </c>
      <c r="G3866" s="716" t="n">
        <f aca="false">E3866*F3866</f>
        <v>1181</v>
      </c>
      <c r="H3866" s="679"/>
    </row>
    <row r="3867" s="451" customFormat="true" ht="15" hidden="false" customHeight="false" outlineLevel="0" collapsed="false">
      <c r="A3867" s="707"/>
      <c r="B3867" s="522"/>
      <c r="C3867" s="709" t="s">
        <v>4582</v>
      </c>
      <c r="D3867" s="679" t="s">
        <v>4133</v>
      </c>
      <c r="E3867" s="725" t="n">
        <v>0.01</v>
      </c>
      <c r="F3867" s="369" t="n">
        <v>2100</v>
      </c>
      <c r="G3867" s="716" t="n">
        <f aca="false">E3867*F3867</f>
        <v>21</v>
      </c>
      <c r="H3867" s="679"/>
    </row>
    <row r="3868" s="451" customFormat="true" ht="15" hidden="false" customHeight="false" outlineLevel="0" collapsed="false">
      <c r="A3868" s="707"/>
      <c r="B3868" s="522"/>
      <c r="C3868" s="709" t="s">
        <v>4583</v>
      </c>
      <c r="D3868" s="679" t="s">
        <v>4138</v>
      </c>
      <c r="E3868" s="725" t="n">
        <v>0.12</v>
      </c>
      <c r="F3868" s="369" t="n">
        <v>490</v>
      </c>
      <c r="G3868" s="716" t="n">
        <f aca="false">E3868*F3868</f>
        <v>58.8</v>
      </c>
      <c r="H3868" s="679"/>
    </row>
    <row r="3869" s="451" customFormat="true" ht="15" hidden="false" customHeight="false" outlineLevel="0" collapsed="false">
      <c r="A3869" s="707"/>
      <c r="B3869" s="522"/>
      <c r="C3869" s="709" t="s">
        <v>4584</v>
      </c>
      <c r="D3869" s="679" t="s">
        <v>4133</v>
      </c>
      <c r="E3869" s="725" t="n">
        <v>0.012</v>
      </c>
      <c r="F3869" s="369" t="n">
        <v>1901</v>
      </c>
      <c r="G3869" s="716" t="n">
        <f aca="false">E3869*F3869</f>
        <v>22.812</v>
      </c>
      <c r="H3869" s="679"/>
    </row>
    <row r="3870" s="451" customFormat="true" ht="15" hidden="false" customHeight="false" outlineLevel="0" collapsed="false">
      <c r="A3870" s="707"/>
      <c r="B3870" s="522"/>
      <c r="C3870" s="709" t="s">
        <v>4585</v>
      </c>
      <c r="D3870" s="679" t="s">
        <v>4133</v>
      </c>
      <c r="E3870" s="725" t="n">
        <v>0.003</v>
      </c>
      <c r="F3870" s="369" t="n">
        <v>8900</v>
      </c>
      <c r="G3870" s="716" t="n">
        <f aca="false">E3870*F3870</f>
        <v>26.7</v>
      </c>
      <c r="H3870" s="679"/>
    </row>
    <row r="3871" s="451" customFormat="true" ht="15" hidden="false" customHeight="false" outlineLevel="0" collapsed="false">
      <c r="A3871" s="707"/>
      <c r="B3871" s="522"/>
      <c r="C3871" s="709" t="s">
        <v>4201</v>
      </c>
      <c r="D3871" s="679" t="s">
        <v>4133</v>
      </c>
      <c r="E3871" s="725" t="n">
        <v>0.04</v>
      </c>
      <c r="F3871" s="721" t="n">
        <v>27000</v>
      </c>
      <c r="G3871" s="716" t="n">
        <f aca="false">E3871*F3871</f>
        <v>1080</v>
      </c>
      <c r="H3871" s="392"/>
    </row>
    <row r="3872" s="451" customFormat="true" ht="15" hidden="false" customHeight="false" outlineLevel="0" collapsed="false">
      <c r="A3872" s="707"/>
      <c r="B3872" s="522"/>
      <c r="C3872" s="709" t="s">
        <v>4122</v>
      </c>
      <c r="D3872" s="679" t="s">
        <v>4392</v>
      </c>
      <c r="E3872" s="710" t="n">
        <v>0.25</v>
      </c>
      <c r="F3872" s="721" t="n">
        <v>720</v>
      </c>
      <c r="G3872" s="716" t="n">
        <f aca="false">E3872*F3872</f>
        <v>180</v>
      </c>
      <c r="H3872" s="679"/>
    </row>
    <row r="3873" s="451" customFormat="true" ht="15" hidden="false" customHeight="false" outlineLevel="0" collapsed="false">
      <c r="A3873" s="707"/>
      <c r="B3873" s="522"/>
      <c r="C3873" s="709" t="s">
        <v>4154</v>
      </c>
      <c r="D3873" s="679" t="s">
        <v>4392</v>
      </c>
      <c r="E3873" s="710" t="n">
        <v>0.0375</v>
      </c>
      <c r="F3873" s="721" t="n">
        <v>3500</v>
      </c>
      <c r="G3873" s="716" t="n">
        <f aca="false">E3873*F3873</f>
        <v>131.25</v>
      </c>
      <c r="H3873" s="679"/>
    </row>
    <row r="3874" s="451" customFormat="true" ht="15" hidden="false" customHeight="false" outlineLevel="0" collapsed="false">
      <c r="A3874" s="707"/>
      <c r="B3874" s="522"/>
      <c r="C3874" s="709" t="s">
        <v>4515</v>
      </c>
      <c r="D3874" s="679" t="s">
        <v>4133</v>
      </c>
      <c r="E3874" s="710" t="n">
        <v>0.001</v>
      </c>
      <c r="F3874" s="369" t="n">
        <v>2700</v>
      </c>
      <c r="G3874" s="716" t="n">
        <f aca="false">E3874*F3874</f>
        <v>2.7</v>
      </c>
      <c r="H3874" s="679"/>
    </row>
    <row r="3875" s="451" customFormat="true" ht="15" hidden="false" customHeight="false" outlineLevel="0" collapsed="false">
      <c r="A3875" s="707"/>
      <c r="B3875" s="522"/>
      <c r="C3875" s="709" t="s">
        <v>4124</v>
      </c>
      <c r="D3875" s="679" t="s">
        <v>4516</v>
      </c>
      <c r="E3875" s="710" t="n">
        <v>0.5</v>
      </c>
      <c r="F3875" s="369" t="n">
        <v>120</v>
      </c>
      <c r="G3875" s="716" t="n">
        <f aca="false">E3875*F3875</f>
        <v>60</v>
      </c>
      <c r="H3875" s="679"/>
    </row>
    <row r="3876" s="451" customFormat="true" ht="15" hidden="false" customHeight="false" outlineLevel="0" collapsed="false">
      <c r="A3876" s="707"/>
      <c r="B3876" s="522"/>
      <c r="C3876" s="709" t="s">
        <v>4586</v>
      </c>
      <c r="D3876" s="679" t="s">
        <v>4578</v>
      </c>
      <c r="E3876" s="710" t="n">
        <v>0.001</v>
      </c>
      <c r="F3876" s="369" t="n">
        <v>27000</v>
      </c>
      <c r="G3876" s="716" t="n">
        <f aca="false">E3876*F3876</f>
        <v>27</v>
      </c>
      <c r="H3876" s="392"/>
    </row>
    <row r="3877" s="451" customFormat="true" ht="15" hidden="false" customHeight="false" outlineLevel="0" collapsed="false">
      <c r="A3877" s="707"/>
      <c r="B3877" s="708" t="s">
        <v>4128</v>
      </c>
      <c r="C3877" s="718"/>
      <c r="D3877" s="719"/>
      <c r="E3877" s="722"/>
      <c r="F3877" s="366"/>
      <c r="G3877" s="711" t="n">
        <f aca="false">SUM(G3864:G3876)</f>
        <v>3339.262</v>
      </c>
      <c r="H3877" s="679"/>
    </row>
    <row r="3878" s="451" customFormat="true" ht="15" hidden="false" customHeight="false" outlineLevel="0" collapsed="false">
      <c r="A3878" s="707" t="s">
        <v>788</v>
      </c>
      <c r="B3878" s="487" t="s">
        <v>3102</v>
      </c>
      <c r="C3878" s="709" t="s">
        <v>4189</v>
      </c>
      <c r="D3878" s="679" t="s">
        <v>4392</v>
      </c>
      <c r="E3878" s="725" t="n">
        <v>0.033</v>
      </c>
      <c r="F3878" s="729" t="n">
        <v>3500</v>
      </c>
      <c r="G3878" s="716" t="n">
        <f aca="false">E3878*F3878</f>
        <v>115.5</v>
      </c>
      <c r="H3878" s="679"/>
    </row>
    <row r="3879" s="451" customFormat="true" ht="15" hidden="false" customHeight="false" outlineLevel="0" collapsed="false">
      <c r="A3879" s="707"/>
      <c r="B3879" s="522"/>
      <c r="C3879" s="709" t="s">
        <v>4147</v>
      </c>
      <c r="D3879" s="679" t="s">
        <v>4392</v>
      </c>
      <c r="E3879" s="725" t="n">
        <v>0.02</v>
      </c>
      <c r="F3879" s="723" t="n">
        <v>3612</v>
      </c>
      <c r="G3879" s="716" t="n">
        <f aca="false">E3879*F3879</f>
        <v>72.24</v>
      </c>
      <c r="H3879" s="679"/>
    </row>
    <row r="3880" s="451" customFormat="true" ht="15" hidden="false" customHeight="false" outlineLevel="0" collapsed="false">
      <c r="A3880" s="707"/>
      <c r="B3880" s="522"/>
      <c r="C3880" s="709" t="s">
        <v>4277</v>
      </c>
      <c r="D3880" s="679" t="s">
        <v>4133</v>
      </c>
      <c r="E3880" s="725" t="n">
        <v>0.01</v>
      </c>
      <c r="F3880" s="369" t="n">
        <v>12900</v>
      </c>
      <c r="G3880" s="716" t="n">
        <f aca="false">E3880*F3880</f>
        <v>129</v>
      </c>
      <c r="H3880" s="679"/>
    </row>
    <row r="3881" s="451" customFormat="true" ht="15" hidden="false" customHeight="false" outlineLevel="0" collapsed="false">
      <c r="A3881" s="707"/>
      <c r="B3881" s="522"/>
      <c r="C3881" s="709" t="s">
        <v>4575</v>
      </c>
      <c r="D3881" s="679" t="s">
        <v>4133</v>
      </c>
      <c r="E3881" s="725" t="n">
        <v>0.001</v>
      </c>
      <c r="F3881" s="369" t="n">
        <v>24000</v>
      </c>
      <c r="G3881" s="716" t="n">
        <f aca="false">E3881*F3881</f>
        <v>24</v>
      </c>
      <c r="H3881" s="679"/>
    </row>
    <row r="3882" s="451" customFormat="true" ht="15" hidden="false" customHeight="false" outlineLevel="0" collapsed="false">
      <c r="A3882" s="707"/>
      <c r="B3882" s="522"/>
      <c r="C3882" s="709" t="s">
        <v>4165</v>
      </c>
      <c r="D3882" s="679" t="s">
        <v>4133</v>
      </c>
      <c r="E3882" s="725" t="n">
        <v>0.03</v>
      </c>
      <c r="F3882" s="369" t="n">
        <v>1323</v>
      </c>
      <c r="G3882" s="716" t="n">
        <f aca="false">E3882*F3882</f>
        <v>39.69</v>
      </c>
      <c r="H3882" s="392"/>
    </row>
    <row r="3883" s="451" customFormat="true" ht="15" hidden="false" customHeight="false" outlineLevel="0" collapsed="false">
      <c r="A3883" s="707"/>
      <c r="B3883" s="522"/>
      <c r="C3883" s="709" t="s">
        <v>4270</v>
      </c>
      <c r="D3883" s="679" t="s">
        <v>4392</v>
      </c>
      <c r="E3883" s="725" t="n">
        <v>0.1</v>
      </c>
      <c r="F3883" s="369" t="n">
        <v>1750</v>
      </c>
      <c r="G3883" s="716" t="n">
        <f aca="false">E3883*F3883</f>
        <v>175</v>
      </c>
      <c r="H3883" s="679"/>
    </row>
    <row r="3884" s="451" customFormat="true" ht="15" hidden="false" customHeight="false" outlineLevel="0" collapsed="false">
      <c r="A3884" s="707"/>
      <c r="B3884" s="522"/>
      <c r="C3884" s="709" t="s">
        <v>4122</v>
      </c>
      <c r="D3884" s="679" t="s">
        <v>4392</v>
      </c>
      <c r="E3884" s="725" t="n">
        <v>0.03</v>
      </c>
      <c r="F3884" s="721" t="n">
        <v>720</v>
      </c>
      <c r="G3884" s="716" t="n">
        <f aca="false">E3884*F3884</f>
        <v>21.6</v>
      </c>
      <c r="H3884" s="679"/>
    </row>
    <row r="3885" s="451" customFormat="true" ht="15" hidden="false" customHeight="false" outlineLevel="0" collapsed="false">
      <c r="A3885" s="707"/>
      <c r="B3885" s="522"/>
      <c r="C3885" s="709" t="s">
        <v>4561</v>
      </c>
      <c r="D3885" s="679" t="s">
        <v>4138</v>
      </c>
      <c r="E3885" s="725" t="n">
        <v>1</v>
      </c>
      <c r="F3885" s="369" t="n">
        <v>490</v>
      </c>
      <c r="G3885" s="716" t="n">
        <f aca="false">E3885*F3885</f>
        <v>490</v>
      </c>
      <c r="H3885" s="679"/>
    </row>
    <row r="3886" s="451" customFormat="true" ht="15" hidden="false" customHeight="false" outlineLevel="0" collapsed="false">
      <c r="A3886" s="707"/>
      <c r="B3886" s="522"/>
      <c r="C3886" s="709" t="s">
        <v>4515</v>
      </c>
      <c r="D3886" s="679" t="s">
        <v>4133</v>
      </c>
      <c r="E3886" s="725" t="n">
        <v>0.006</v>
      </c>
      <c r="F3886" s="369" t="n">
        <v>2700</v>
      </c>
      <c r="G3886" s="716" t="n">
        <f aca="false">E3886*F3886</f>
        <v>16.2</v>
      </c>
      <c r="H3886" s="679"/>
    </row>
    <row r="3887" s="451" customFormat="true" ht="15" hidden="false" customHeight="false" outlineLevel="0" collapsed="false">
      <c r="A3887" s="707"/>
      <c r="B3887" s="522"/>
      <c r="C3887" s="709" t="s">
        <v>4124</v>
      </c>
      <c r="D3887" s="679" t="s">
        <v>4516</v>
      </c>
      <c r="E3887" s="725" t="n">
        <v>0.08</v>
      </c>
      <c r="F3887" s="369" t="n">
        <v>120</v>
      </c>
      <c r="G3887" s="716" t="n">
        <f aca="false">E3887*F3887</f>
        <v>9.6</v>
      </c>
      <c r="H3887" s="679"/>
    </row>
    <row r="3888" s="451" customFormat="true" ht="15" hidden="false" customHeight="false" outlineLevel="0" collapsed="false">
      <c r="A3888" s="707"/>
      <c r="B3888" s="522"/>
      <c r="C3888" s="709" t="s">
        <v>4577</v>
      </c>
      <c r="D3888" s="679" t="s">
        <v>4578</v>
      </c>
      <c r="E3888" s="725" t="n">
        <v>0.006</v>
      </c>
      <c r="F3888" s="369" t="n">
        <v>27000</v>
      </c>
      <c r="G3888" s="716" t="n">
        <f aca="false">E3888*F3888</f>
        <v>162</v>
      </c>
      <c r="H3888" s="679"/>
    </row>
    <row r="3889" s="451" customFormat="true" ht="15" hidden="false" customHeight="false" outlineLevel="0" collapsed="false">
      <c r="A3889" s="707"/>
      <c r="B3889" s="708" t="s">
        <v>4128</v>
      </c>
      <c r="C3889" s="718"/>
      <c r="D3889" s="719"/>
      <c r="E3889" s="722"/>
      <c r="F3889" s="366"/>
      <c r="G3889" s="711" t="n">
        <f aca="false">SUM(G3878:G3888)</f>
        <v>1254.83</v>
      </c>
      <c r="H3889" s="679"/>
    </row>
    <row r="3890" s="451" customFormat="true" ht="15" hidden="false" customHeight="false" outlineLevel="0" collapsed="false">
      <c r="A3890" s="707" t="s">
        <v>4936</v>
      </c>
      <c r="B3890" s="487" t="s">
        <v>3149</v>
      </c>
      <c r="C3890" s="709" t="s">
        <v>4189</v>
      </c>
      <c r="D3890" s="679" t="s">
        <v>4392</v>
      </c>
      <c r="E3890" s="710" t="n">
        <v>0.0333</v>
      </c>
      <c r="F3890" s="729" t="n">
        <v>3500</v>
      </c>
      <c r="G3890" s="716" t="n">
        <f aca="false">E3890*F3890</f>
        <v>116.55</v>
      </c>
      <c r="H3890" s="679"/>
    </row>
    <row r="3891" s="451" customFormat="true" ht="15" hidden="false" customHeight="false" outlineLevel="0" collapsed="false">
      <c r="A3891" s="707"/>
      <c r="B3891" s="522"/>
      <c r="C3891" s="709" t="s">
        <v>4147</v>
      </c>
      <c r="D3891" s="679" t="s">
        <v>4392</v>
      </c>
      <c r="E3891" s="725" t="n">
        <v>0.2</v>
      </c>
      <c r="F3891" s="723" t="n">
        <v>3612</v>
      </c>
      <c r="G3891" s="716" t="n">
        <f aca="false">E3891*F3891</f>
        <v>722.4</v>
      </c>
      <c r="H3891" s="679"/>
    </row>
    <row r="3892" s="451" customFormat="true" ht="15" hidden="false" customHeight="false" outlineLevel="0" collapsed="false">
      <c r="A3892" s="707"/>
      <c r="B3892" s="522"/>
      <c r="C3892" s="709" t="s">
        <v>4277</v>
      </c>
      <c r="D3892" s="679" t="s">
        <v>4133</v>
      </c>
      <c r="E3892" s="725" t="n">
        <v>0.01</v>
      </c>
      <c r="F3892" s="369" t="n">
        <v>12900</v>
      </c>
      <c r="G3892" s="716" t="n">
        <f aca="false">E3892*F3892</f>
        <v>129</v>
      </c>
      <c r="H3892" s="679"/>
    </row>
    <row r="3893" s="451" customFormat="true" ht="15" hidden="false" customHeight="false" outlineLevel="0" collapsed="false">
      <c r="A3893" s="707"/>
      <c r="B3893" s="522"/>
      <c r="C3893" s="709" t="s">
        <v>4575</v>
      </c>
      <c r="D3893" s="679" t="s">
        <v>4133</v>
      </c>
      <c r="E3893" s="725" t="n">
        <v>0.01</v>
      </c>
      <c r="F3893" s="369" t="n">
        <v>1323</v>
      </c>
      <c r="G3893" s="716" t="n">
        <f aca="false">E3893*F3893</f>
        <v>13.23</v>
      </c>
      <c r="H3893" s="679"/>
    </row>
    <row r="3894" s="451" customFormat="true" ht="15" hidden="false" customHeight="false" outlineLevel="0" collapsed="false">
      <c r="A3894" s="707"/>
      <c r="B3894" s="522"/>
      <c r="C3894" s="709" t="s">
        <v>4165</v>
      </c>
      <c r="D3894" s="679" t="s">
        <v>4133</v>
      </c>
      <c r="E3894" s="725" t="n">
        <v>0.03</v>
      </c>
      <c r="F3894" s="369" t="n">
        <v>1323</v>
      </c>
      <c r="G3894" s="716" t="n">
        <f aca="false">E3894*F3894</f>
        <v>39.69</v>
      </c>
      <c r="H3894" s="392"/>
    </row>
    <row r="3895" s="451" customFormat="true" ht="15" hidden="false" customHeight="false" outlineLevel="0" collapsed="false">
      <c r="A3895" s="707"/>
      <c r="B3895" s="522"/>
      <c r="C3895" s="709" t="s">
        <v>4270</v>
      </c>
      <c r="D3895" s="679" t="s">
        <v>4392</v>
      </c>
      <c r="E3895" s="725" t="n">
        <v>0.1</v>
      </c>
      <c r="F3895" s="369" t="n">
        <v>1750</v>
      </c>
      <c r="G3895" s="716" t="n">
        <f aca="false">E3895*F3895</f>
        <v>175</v>
      </c>
      <c r="H3895" s="679"/>
    </row>
    <row r="3896" s="451" customFormat="true" ht="15" hidden="false" customHeight="false" outlineLevel="0" collapsed="false">
      <c r="A3896" s="707"/>
      <c r="B3896" s="522"/>
      <c r="C3896" s="709" t="s">
        <v>4122</v>
      </c>
      <c r="D3896" s="679" t="s">
        <v>4392</v>
      </c>
      <c r="E3896" s="725" t="n">
        <v>0.3</v>
      </c>
      <c r="F3896" s="721" t="n">
        <v>720</v>
      </c>
      <c r="G3896" s="716" t="n">
        <f aca="false">E3896*F3896</f>
        <v>216</v>
      </c>
      <c r="H3896" s="679"/>
    </row>
    <row r="3897" s="451" customFormat="true" ht="30" hidden="false" customHeight="false" outlineLevel="0" collapsed="false">
      <c r="A3897" s="707"/>
      <c r="B3897" s="522"/>
      <c r="C3897" s="709" t="s">
        <v>4594</v>
      </c>
      <c r="D3897" s="679" t="s">
        <v>4138</v>
      </c>
      <c r="E3897" s="725" t="n">
        <v>0.1</v>
      </c>
      <c r="F3897" s="369" t="n">
        <v>2500</v>
      </c>
      <c r="G3897" s="716" t="n">
        <f aca="false">E3897*F3897</f>
        <v>250</v>
      </c>
      <c r="H3897" s="679"/>
    </row>
    <row r="3898" s="451" customFormat="true" ht="15" hidden="false" customHeight="false" outlineLevel="0" collapsed="false">
      <c r="A3898" s="707"/>
      <c r="B3898" s="522"/>
      <c r="C3898" s="709" t="s">
        <v>4515</v>
      </c>
      <c r="D3898" s="679" t="s">
        <v>4133</v>
      </c>
      <c r="E3898" s="710" t="n">
        <v>0.006</v>
      </c>
      <c r="F3898" s="369" t="n">
        <v>2700</v>
      </c>
      <c r="G3898" s="716" t="n">
        <f aca="false">E3898*F3898</f>
        <v>16.2</v>
      </c>
      <c r="H3898" s="679"/>
    </row>
    <row r="3899" s="451" customFormat="true" ht="15" hidden="false" customHeight="false" outlineLevel="0" collapsed="false">
      <c r="A3899" s="707"/>
      <c r="B3899" s="522"/>
      <c r="C3899" s="709" t="s">
        <v>4124</v>
      </c>
      <c r="D3899" s="679" t="s">
        <v>4516</v>
      </c>
      <c r="E3899" s="710" t="n">
        <v>0.015</v>
      </c>
      <c r="F3899" s="369" t="n">
        <v>120</v>
      </c>
      <c r="G3899" s="716" t="n">
        <f aca="false">E3899*F3899</f>
        <v>1.8</v>
      </c>
      <c r="H3899" s="679"/>
    </row>
    <row r="3900" s="451" customFormat="true" ht="15" hidden="false" customHeight="false" outlineLevel="0" collapsed="false">
      <c r="A3900" s="707"/>
      <c r="B3900" s="522"/>
      <c r="C3900" s="709" t="s">
        <v>4586</v>
      </c>
      <c r="D3900" s="679" t="s">
        <v>4578</v>
      </c>
      <c r="E3900" s="710" t="n">
        <v>0.001</v>
      </c>
      <c r="F3900" s="369" t="n">
        <v>27000</v>
      </c>
      <c r="G3900" s="716" t="n">
        <f aca="false">E3900*F3900</f>
        <v>27</v>
      </c>
      <c r="H3900" s="679"/>
    </row>
    <row r="3901" s="451" customFormat="true" ht="15" hidden="false" customHeight="false" outlineLevel="0" collapsed="false">
      <c r="A3901" s="707"/>
      <c r="B3901" s="708" t="s">
        <v>4128</v>
      </c>
      <c r="C3901" s="718"/>
      <c r="D3901" s="719"/>
      <c r="E3901" s="722"/>
      <c r="F3901" s="366"/>
      <c r="G3901" s="711" t="n">
        <f aca="false">SUM(G3890:G3900)</f>
        <v>1706.87</v>
      </c>
      <c r="H3901" s="679"/>
    </row>
    <row r="3902" s="451" customFormat="true" ht="15" hidden="false" customHeight="false" outlineLevel="0" collapsed="false">
      <c r="A3902" s="707" t="s">
        <v>790</v>
      </c>
      <c r="B3902" s="532" t="s">
        <v>4937</v>
      </c>
      <c r="C3902" s="471"/>
      <c r="D3902" s="737"/>
      <c r="E3902" s="738"/>
      <c r="F3902" s="729"/>
      <c r="G3902" s="765"/>
      <c r="H3902" s="679"/>
    </row>
    <row r="3903" s="451" customFormat="true" ht="15" hidden="false" customHeight="false" outlineLevel="0" collapsed="false">
      <c r="A3903" s="707"/>
      <c r="B3903" s="532"/>
      <c r="C3903" s="532" t="s">
        <v>4938</v>
      </c>
      <c r="D3903" s="679" t="s">
        <v>4133</v>
      </c>
      <c r="E3903" s="679" t="n">
        <v>0.00572</v>
      </c>
      <c r="F3903" s="369" t="n">
        <v>6800</v>
      </c>
      <c r="G3903" s="716" t="n">
        <f aca="false">E3903*F3903</f>
        <v>38.896</v>
      </c>
      <c r="H3903" s="679"/>
    </row>
    <row r="3904" s="451" customFormat="true" ht="15" hidden="false" customHeight="false" outlineLevel="0" collapsed="false">
      <c r="A3904" s="707"/>
      <c r="B3904" s="532"/>
      <c r="C3904" s="532" t="s">
        <v>4939</v>
      </c>
      <c r="D3904" s="679" t="s">
        <v>4133</v>
      </c>
      <c r="E3904" s="726" t="n">
        <v>0.01</v>
      </c>
      <c r="F3904" s="729" t="n">
        <v>31200</v>
      </c>
      <c r="G3904" s="716" t="n">
        <f aca="false">E3904*F3904</f>
        <v>312</v>
      </c>
      <c r="H3904" s="679"/>
    </row>
    <row r="3905" s="451" customFormat="true" ht="15" hidden="false" customHeight="false" outlineLevel="0" collapsed="false">
      <c r="A3905" s="707"/>
      <c r="B3905" s="532"/>
      <c r="C3905" s="532" t="s">
        <v>4940</v>
      </c>
      <c r="D3905" s="679" t="s">
        <v>4555</v>
      </c>
      <c r="E3905" s="726" t="n">
        <v>0.01</v>
      </c>
      <c r="F3905" s="721" t="n">
        <v>108000</v>
      </c>
      <c r="G3905" s="716" t="n">
        <f aca="false">E3905*F3905</f>
        <v>1080</v>
      </c>
      <c r="H3905" s="679"/>
    </row>
    <row r="3906" s="451" customFormat="true" ht="15" hidden="false" customHeight="false" outlineLevel="0" collapsed="false">
      <c r="A3906" s="707"/>
      <c r="B3906" s="532"/>
      <c r="C3906" s="743" t="s">
        <v>4611</v>
      </c>
      <c r="D3906" s="679" t="s">
        <v>4133</v>
      </c>
      <c r="E3906" s="745" t="n">
        <v>0.08</v>
      </c>
      <c r="F3906" s="721" t="n">
        <v>720</v>
      </c>
      <c r="G3906" s="716" t="n">
        <f aca="false">E3906*F3906</f>
        <v>57.6</v>
      </c>
      <c r="H3906" s="679"/>
    </row>
    <row r="3907" s="451" customFormat="true" ht="15" hidden="false" customHeight="false" outlineLevel="0" collapsed="false">
      <c r="A3907" s="707"/>
      <c r="B3907" s="532"/>
      <c r="C3907" s="532" t="s">
        <v>4639</v>
      </c>
      <c r="D3907" s="679" t="s">
        <v>4191</v>
      </c>
      <c r="E3907" s="679" t="n">
        <v>5</v>
      </c>
      <c r="F3907" s="729" t="n">
        <v>5.1</v>
      </c>
      <c r="G3907" s="716" t="n">
        <f aca="false">E3907*F3907</f>
        <v>25.5</v>
      </c>
      <c r="H3907" s="679"/>
    </row>
    <row r="3908" s="451" customFormat="true" ht="15" hidden="false" customHeight="false" outlineLevel="0" collapsed="false">
      <c r="A3908" s="707"/>
      <c r="B3908" s="785" t="s">
        <v>4785</v>
      </c>
      <c r="C3908" s="785"/>
      <c r="D3908" s="719"/>
      <c r="E3908" s="719"/>
      <c r="F3908" s="807"/>
      <c r="G3908" s="735" t="n">
        <f aca="false">SUM(G3902:G3907)</f>
        <v>1513.996</v>
      </c>
      <c r="H3908" s="679"/>
    </row>
    <row r="3909" customFormat="false" ht="21" hidden="false" customHeight="true" outlineLevel="0" collapsed="false">
      <c r="A3909" s="571" t="s">
        <v>792</v>
      </c>
      <c r="B3909" s="433" t="s">
        <v>3212</v>
      </c>
      <c r="C3909" s="433" t="s">
        <v>4941</v>
      </c>
      <c r="D3909" s="610"/>
      <c r="E3909" s="610" t="n">
        <v>0</v>
      </c>
      <c r="F3909" s="808" t="n">
        <v>0</v>
      </c>
      <c r="G3909" s="809" t="n">
        <v>0</v>
      </c>
      <c r="H3909" s="606"/>
    </row>
    <row r="3910" customFormat="false" ht="23.25" hidden="false" customHeight="true" outlineLevel="0" collapsed="false">
      <c r="A3910" s="350" t="s">
        <v>4942</v>
      </c>
      <c r="B3910" s="467" t="s">
        <v>4943</v>
      </c>
      <c r="C3910" s="751"/>
      <c r="D3910" s="339"/>
      <c r="E3910" s="752"/>
      <c r="F3910" s="519"/>
      <c r="G3910" s="753"/>
      <c r="H3910" s="790"/>
    </row>
    <row r="3911" customFormat="false" ht="15" hidden="false" customHeight="false" outlineLevel="0" collapsed="false">
      <c r="A3911" s="571" t="s">
        <v>4944</v>
      </c>
      <c r="B3911" s="328" t="s">
        <v>3010</v>
      </c>
      <c r="C3911" s="714"/>
      <c r="D3911" s="391"/>
      <c r="E3911" s="611"/>
      <c r="F3911" s="612"/>
      <c r="G3911" s="613"/>
      <c r="H3911" s="606"/>
    </row>
    <row r="3912" s="451" customFormat="true" ht="15" hidden="false" customHeight="false" outlineLevel="0" collapsed="false">
      <c r="A3912" s="707" t="s">
        <v>4945</v>
      </c>
      <c r="B3912" s="487" t="s">
        <v>3084</v>
      </c>
      <c r="C3912" s="709" t="s">
        <v>4515</v>
      </c>
      <c r="D3912" s="679" t="s">
        <v>4133</v>
      </c>
      <c r="E3912" s="715" t="n">
        <v>0.06</v>
      </c>
      <c r="F3912" s="369" t="n">
        <v>2700</v>
      </c>
      <c r="G3912" s="716" t="n">
        <f aca="false">E3912*F3912</f>
        <v>162</v>
      </c>
      <c r="H3912" s="679"/>
    </row>
    <row r="3913" s="451" customFormat="true" ht="15" hidden="false" customHeight="false" outlineLevel="0" collapsed="false">
      <c r="A3913" s="707"/>
      <c r="B3913" s="522"/>
      <c r="C3913" s="709" t="s">
        <v>4124</v>
      </c>
      <c r="D3913" s="679" t="s">
        <v>4516</v>
      </c>
      <c r="E3913" s="715" t="n">
        <v>1.5</v>
      </c>
      <c r="F3913" s="369" t="n">
        <v>120</v>
      </c>
      <c r="G3913" s="716" t="n">
        <f aca="false">E3913*F3913</f>
        <v>180</v>
      </c>
      <c r="H3913" s="679"/>
    </row>
    <row r="3914" s="451" customFormat="true" ht="15" hidden="false" customHeight="false" outlineLevel="0" collapsed="false">
      <c r="A3914" s="707"/>
      <c r="B3914" s="708" t="s">
        <v>4128</v>
      </c>
      <c r="C3914" s="718"/>
      <c r="D3914" s="719"/>
      <c r="E3914" s="722"/>
      <c r="F3914" s="366"/>
      <c r="G3914" s="711" t="n">
        <f aca="false">SUM(G3912:G3913)</f>
        <v>342</v>
      </c>
      <c r="H3914" s="679"/>
    </row>
    <row r="3915" s="451" customFormat="true" ht="15" hidden="false" customHeight="false" outlineLevel="0" collapsed="false">
      <c r="A3915" s="707" t="s">
        <v>798</v>
      </c>
      <c r="B3915" s="487" t="s">
        <v>3085</v>
      </c>
      <c r="C3915" s="709" t="s">
        <v>4515</v>
      </c>
      <c r="D3915" s="679" t="s">
        <v>4133</v>
      </c>
      <c r="E3915" s="710" t="n">
        <v>0.08565</v>
      </c>
      <c r="F3915" s="369" t="n">
        <v>2700</v>
      </c>
      <c r="G3915" s="716" t="n">
        <f aca="false">E3915*F3915</f>
        <v>231.255</v>
      </c>
      <c r="H3915" s="679"/>
    </row>
    <row r="3916" s="451" customFormat="true" ht="15" hidden="false" customHeight="false" outlineLevel="0" collapsed="false">
      <c r="A3916" s="707"/>
      <c r="B3916" s="522"/>
      <c r="C3916" s="709" t="s">
        <v>4124</v>
      </c>
      <c r="D3916" s="679" t="s">
        <v>4516</v>
      </c>
      <c r="E3916" s="710" t="n">
        <v>0.995</v>
      </c>
      <c r="F3916" s="369" t="n">
        <v>120</v>
      </c>
      <c r="G3916" s="716" t="n">
        <f aca="false">E3916*F3916</f>
        <v>119.4</v>
      </c>
      <c r="H3916" s="679"/>
    </row>
    <row r="3917" s="451" customFormat="true" ht="15" hidden="false" customHeight="false" outlineLevel="0" collapsed="false">
      <c r="A3917" s="707"/>
      <c r="B3917" s="522"/>
      <c r="C3917" s="709" t="s">
        <v>4122</v>
      </c>
      <c r="D3917" s="679" t="s">
        <v>4392</v>
      </c>
      <c r="E3917" s="710" t="n">
        <v>0.169</v>
      </c>
      <c r="F3917" s="721" t="n">
        <v>720</v>
      </c>
      <c r="G3917" s="716" t="n">
        <f aca="false">E3917*F3917</f>
        <v>121.68</v>
      </c>
      <c r="H3917" s="392"/>
    </row>
    <row r="3918" s="451" customFormat="true" ht="15" hidden="false" customHeight="false" outlineLevel="0" collapsed="false">
      <c r="A3918" s="707"/>
      <c r="B3918" s="708" t="s">
        <v>4128</v>
      </c>
      <c r="C3918" s="718"/>
      <c r="D3918" s="719"/>
      <c r="E3918" s="722"/>
      <c r="F3918" s="366"/>
      <c r="G3918" s="711" t="n">
        <f aca="false">SUM(G3915:G3917)</f>
        <v>472.335</v>
      </c>
      <c r="H3918" s="679"/>
    </row>
    <row r="3919" s="451" customFormat="true" ht="15" hidden="false" customHeight="false" outlineLevel="0" collapsed="false">
      <c r="A3919" s="707" t="s">
        <v>799</v>
      </c>
      <c r="B3919" s="487" t="s">
        <v>3126</v>
      </c>
      <c r="C3919" s="709" t="s">
        <v>4154</v>
      </c>
      <c r="D3919" s="679" t="s">
        <v>4392</v>
      </c>
      <c r="E3919" s="710" t="n">
        <v>0.08584</v>
      </c>
      <c r="F3919" s="721" t="n">
        <v>3500</v>
      </c>
      <c r="G3919" s="716" t="n">
        <f aca="false">E3919*F3919</f>
        <v>300.44</v>
      </c>
      <c r="H3919" s="679"/>
    </row>
    <row r="3920" s="451" customFormat="true" ht="15" hidden="false" customHeight="false" outlineLevel="0" collapsed="false">
      <c r="A3920" s="707"/>
      <c r="B3920" s="522"/>
      <c r="C3920" s="709" t="s">
        <v>4515</v>
      </c>
      <c r="D3920" s="679" t="s">
        <v>4133</v>
      </c>
      <c r="E3920" s="710" t="n">
        <v>0.06</v>
      </c>
      <c r="F3920" s="369" t="n">
        <v>2700</v>
      </c>
      <c r="G3920" s="716" t="n">
        <f aca="false">E3920*F3920</f>
        <v>162</v>
      </c>
      <c r="H3920" s="679"/>
    </row>
    <row r="3921" s="451" customFormat="true" ht="15" hidden="false" customHeight="false" outlineLevel="0" collapsed="false">
      <c r="A3921" s="707"/>
      <c r="B3921" s="522"/>
      <c r="C3921" s="709" t="s">
        <v>4124</v>
      </c>
      <c r="D3921" s="679" t="s">
        <v>4516</v>
      </c>
      <c r="E3921" s="710" t="n">
        <v>1.5</v>
      </c>
      <c r="F3921" s="369" t="n">
        <v>120</v>
      </c>
      <c r="G3921" s="716" t="n">
        <f aca="false">E3921*F3921</f>
        <v>180</v>
      </c>
      <c r="H3921" s="679"/>
    </row>
    <row r="3922" s="451" customFormat="true" ht="15" hidden="false" customHeight="false" outlineLevel="0" collapsed="false">
      <c r="A3922" s="707"/>
      <c r="B3922" s="708" t="s">
        <v>4128</v>
      </c>
      <c r="C3922" s="718"/>
      <c r="D3922" s="719"/>
      <c r="E3922" s="722"/>
      <c r="F3922" s="366"/>
      <c r="G3922" s="711" t="n">
        <f aca="false">SUM(G3919:G3921)</f>
        <v>642.44</v>
      </c>
      <c r="H3922" s="679"/>
    </row>
    <row r="3923" s="451" customFormat="true" ht="15" hidden="false" customHeight="false" outlineLevel="0" collapsed="false">
      <c r="A3923" s="707" t="s">
        <v>800</v>
      </c>
      <c r="B3923" s="487" t="s">
        <v>3214</v>
      </c>
      <c r="C3923" s="709" t="s">
        <v>4147</v>
      </c>
      <c r="D3923" s="679" t="s">
        <v>4392</v>
      </c>
      <c r="E3923" s="710" t="n">
        <v>0.2</v>
      </c>
      <c r="F3923" s="723" t="n">
        <v>3612</v>
      </c>
      <c r="G3923" s="716" t="n">
        <f aca="false">E3923*F3923</f>
        <v>722.4</v>
      </c>
      <c r="H3923" s="679"/>
    </row>
    <row r="3924" s="451" customFormat="true" ht="15" hidden="false" customHeight="false" outlineLevel="0" collapsed="false">
      <c r="A3924" s="707"/>
      <c r="B3924" s="522"/>
      <c r="C3924" s="709" t="s">
        <v>4654</v>
      </c>
      <c r="D3924" s="679" t="s">
        <v>4133</v>
      </c>
      <c r="E3924" s="710" t="n">
        <v>0.005</v>
      </c>
      <c r="F3924" s="721" t="n">
        <v>3500</v>
      </c>
      <c r="G3924" s="716" t="n">
        <f aca="false">E3924*F3924</f>
        <v>17.5</v>
      </c>
      <c r="H3924" s="679"/>
    </row>
    <row r="3925" s="451" customFormat="true" ht="15" hidden="false" customHeight="false" outlineLevel="0" collapsed="false">
      <c r="A3925" s="707"/>
      <c r="B3925" s="522"/>
      <c r="C3925" s="709" t="s">
        <v>4515</v>
      </c>
      <c r="D3925" s="679" t="s">
        <v>4133</v>
      </c>
      <c r="E3925" s="710" t="n">
        <v>0.08565</v>
      </c>
      <c r="F3925" s="369" t="n">
        <v>2700</v>
      </c>
      <c r="G3925" s="716" t="n">
        <f aca="false">E3925*F3925</f>
        <v>231.255</v>
      </c>
      <c r="H3925" s="679"/>
    </row>
    <row r="3926" s="451" customFormat="true" ht="15" hidden="false" customHeight="false" outlineLevel="0" collapsed="false">
      <c r="A3926" s="707"/>
      <c r="B3926" s="522"/>
      <c r="C3926" s="709" t="s">
        <v>4124</v>
      </c>
      <c r="D3926" s="679" t="s">
        <v>4516</v>
      </c>
      <c r="E3926" s="710" t="n">
        <v>0.995</v>
      </c>
      <c r="F3926" s="369" t="n">
        <v>120</v>
      </c>
      <c r="G3926" s="716" t="n">
        <f aca="false">E3926*F3926</f>
        <v>119.4</v>
      </c>
      <c r="H3926" s="679"/>
    </row>
    <row r="3927" s="451" customFormat="true" ht="15" hidden="false" customHeight="false" outlineLevel="0" collapsed="false">
      <c r="A3927" s="707"/>
      <c r="B3927" s="708" t="s">
        <v>4128</v>
      </c>
      <c r="C3927" s="718"/>
      <c r="D3927" s="719"/>
      <c r="E3927" s="722"/>
      <c r="F3927" s="366"/>
      <c r="G3927" s="711" t="n">
        <f aca="false">SUM(G3923:G3926)</f>
        <v>1090.555</v>
      </c>
      <c r="H3927" s="679"/>
    </row>
    <row r="3928" s="451" customFormat="true" ht="15" hidden="false" customHeight="false" outlineLevel="0" collapsed="false">
      <c r="A3928" s="707" t="s">
        <v>802</v>
      </c>
      <c r="B3928" s="487" t="s">
        <v>3215</v>
      </c>
      <c r="C3928" s="709" t="s">
        <v>4205</v>
      </c>
      <c r="D3928" s="679" t="s">
        <v>4392</v>
      </c>
      <c r="E3928" s="725" t="n">
        <v>0.03</v>
      </c>
      <c r="F3928" s="717" t="n">
        <v>7875</v>
      </c>
      <c r="G3928" s="716" t="n">
        <f aca="false">E3928*F3928</f>
        <v>236.25</v>
      </c>
      <c r="H3928" s="679"/>
    </row>
    <row r="3929" s="451" customFormat="true" ht="15" hidden="false" customHeight="false" outlineLevel="0" collapsed="false">
      <c r="A3929" s="707"/>
      <c r="B3929" s="487"/>
      <c r="C3929" s="709" t="s">
        <v>4946</v>
      </c>
      <c r="D3929" s="679" t="s">
        <v>4138</v>
      </c>
      <c r="E3929" s="725" t="n">
        <v>0.53</v>
      </c>
      <c r="F3929" s="369" t="n">
        <v>17000</v>
      </c>
      <c r="G3929" s="716" t="n">
        <f aca="false">E3929*F3929</f>
        <v>9010</v>
      </c>
      <c r="H3929" s="679"/>
    </row>
    <row r="3930" s="451" customFormat="true" ht="15" hidden="false" customHeight="false" outlineLevel="0" collapsed="false">
      <c r="A3930" s="707"/>
      <c r="B3930" s="487"/>
      <c r="C3930" s="709" t="s">
        <v>4529</v>
      </c>
      <c r="D3930" s="679" t="s">
        <v>4133</v>
      </c>
      <c r="E3930" s="725" t="n">
        <v>0.1</v>
      </c>
      <c r="F3930" s="369" t="n">
        <v>1200</v>
      </c>
      <c r="G3930" s="716" t="n">
        <f aca="false">E3930*F3930</f>
        <v>120</v>
      </c>
      <c r="H3930" s="679"/>
    </row>
    <row r="3931" s="451" customFormat="true" ht="15" hidden="false" customHeight="false" outlineLevel="0" collapsed="false">
      <c r="A3931" s="707"/>
      <c r="B3931" s="487"/>
      <c r="C3931" s="709" t="s">
        <v>4154</v>
      </c>
      <c r="D3931" s="679" t="s">
        <v>4392</v>
      </c>
      <c r="E3931" s="710" t="n">
        <v>0.07154</v>
      </c>
      <c r="F3931" s="721" t="n">
        <v>3500</v>
      </c>
      <c r="G3931" s="716" t="n">
        <f aca="false">E3931*F3931</f>
        <v>250.39</v>
      </c>
      <c r="H3931" s="679"/>
    </row>
    <row r="3932" s="451" customFormat="true" ht="15" hidden="false" customHeight="false" outlineLevel="0" collapsed="false">
      <c r="A3932" s="707"/>
      <c r="B3932" s="522"/>
      <c r="C3932" s="709" t="s">
        <v>4909</v>
      </c>
      <c r="D3932" s="679" t="s">
        <v>4392</v>
      </c>
      <c r="E3932" s="710" t="n">
        <v>0.015</v>
      </c>
      <c r="F3932" s="369" t="n">
        <v>580</v>
      </c>
      <c r="G3932" s="716" t="n">
        <f aca="false">E3932*F3932</f>
        <v>8.7</v>
      </c>
      <c r="H3932" s="392"/>
    </row>
    <row r="3933" s="451" customFormat="true" ht="15" hidden="false" customHeight="false" outlineLevel="0" collapsed="false">
      <c r="A3933" s="707"/>
      <c r="B3933" s="522"/>
      <c r="C3933" s="709" t="s">
        <v>4923</v>
      </c>
      <c r="D3933" s="679" t="s">
        <v>4578</v>
      </c>
      <c r="E3933" s="725" t="n">
        <v>0.02</v>
      </c>
      <c r="F3933" s="724" t="n">
        <v>275000</v>
      </c>
      <c r="G3933" s="716" t="n">
        <f aca="false">E3933*F3933</f>
        <v>5500</v>
      </c>
      <c r="H3933" s="679"/>
    </row>
    <row r="3934" s="451" customFormat="true" ht="15" hidden="false" customHeight="false" outlineLevel="0" collapsed="false">
      <c r="A3934" s="707"/>
      <c r="B3934" s="522"/>
      <c r="C3934" s="709" t="s">
        <v>4515</v>
      </c>
      <c r="D3934" s="679" t="s">
        <v>4133</v>
      </c>
      <c r="E3934" s="725" t="n">
        <v>0.06</v>
      </c>
      <c r="F3934" s="369" t="n">
        <v>2700</v>
      </c>
      <c r="G3934" s="716" t="n">
        <f aca="false">E3934*F3934</f>
        <v>162</v>
      </c>
      <c r="H3934" s="679"/>
    </row>
    <row r="3935" s="451" customFormat="true" ht="15" hidden="false" customHeight="false" outlineLevel="0" collapsed="false">
      <c r="A3935" s="707"/>
      <c r="B3935" s="522"/>
      <c r="C3935" s="709" t="s">
        <v>4124</v>
      </c>
      <c r="D3935" s="679" t="s">
        <v>4516</v>
      </c>
      <c r="E3935" s="715" t="n">
        <v>1.5</v>
      </c>
      <c r="F3935" s="369" t="n">
        <v>120</v>
      </c>
      <c r="G3935" s="716" t="n">
        <f aca="false">E3935*F3935</f>
        <v>180</v>
      </c>
      <c r="H3935" s="679"/>
    </row>
    <row r="3936" s="451" customFormat="true" ht="15" hidden="false" customHeight="false" outlineLevel="0" collapsed="false">
      <c r="A3936" s="707"/>
      <c r="B3936" s="708" t="s">
        <v>4128</v>
      </c>
      <c r="C3936" s="718"/>
      <c r="D3936" s="719"/>
      <c r="E3936" s="722"/>
      <c r="F3936" s="366"/>
      <c r="G3936" s="711" t="n">
        <f aca="false">SUM(G3928:G3935)</f>
        <v>15467.34</v>
      </c>
      <c r="H3936" s="679"/>
    </row>
    <row r="3937" s="451" customFormat="true" ht="30" hidden="false" customHeight="false" outlineLevel="0" collapsed="false">
      <c r="A3937" s="707" t="s">
        <v>4947</v>
      </c>
      <c r="B3937" s="487" t="s">
        <v>3216</v>
      </c>
      <c r="C3937" s="709" t="s">
        <v>4515</v>
      </c>
      <c r="D3937" s="679" t="s">
        <v>4133</v>
      </c>
      <c r="E3937" s="710" t="n">
        <v>0.0121</v>
      </c>
      <c r="F3937" s="369" t="n">
        <v>2700</v>
      </c>
      <c r="G3937" s="716" t="n">
        <f aca="false">E3937*F3937</f>
        <v>32.67</v>
      </c>
      <c r="H3937" s="679"/>
    </row>
    <row r="3938" s="451" customFormat="true" ht="15" hidden="false" customHeight="false" outlineLevel="0" collapsed="false">
      <c r="A3938" s="707"/>
      <c r="B3938" s="522"/>
      <c r="C3938" s="709" t="s">
        <v>4124</v>
      </c>
      <c r="D3938" s="679" t="s">
        <v>4516</v>
      </c>
      <c r="E3938" s="542" t="n">
        <v>1.5</v>
      </c>
      <c r="F3938" s="369" t="n">
        <v>120</v>
      </c>
      <c r="G3938" s="716" t="n">
        <f aca="false">E3938*F3938</f>
        <v>180</v>
      </c>
      <c r="H3938" s="679"/>
    </row>
    <row r="3939" s="451" customFormat="true" ht="15" hidden="false" customHeight="false" outlineLevel="0" collapsed="false">
      <c r="A3939" s="707"/>
      <c r="B3939" s="708" t="s">
        <v>4128</v>
      </c>
      <c r="C3939" s="718"/>
      <c r="D3939" s="719"/>
      <c r="E3939" s="722"/>
      <c r="F3939" s="366"/>
      <c r="G3939" s="711" t="n">
        <f aca="false">SUM(G3937:G3938)</f>
        <v>212.67</v>
      </c>
      <c r="H3939" s="679"/>
    </row>
    <row r="3940" s="451" customFormat="true" ht="30" hidden="false" customHeight="false" outlineLevel="0" collapsed="false">
      <c r="A3940" s="707" t="s">
        <v>806</v>
      </c>
      <c r="B3940" s="487" t="s">
        <v>3217</v>
      </c>
      <c r="C3940" s="709" t="s">
        <v>4148</v>
      </c>
      <c r="D3940" s="679" t="s">
        <v>4133</v>
      </c>
      <c r="E3940" s="715" t="n">
        <v>0.1</v>
      </c>
      <c r="F3940" s="369" t="n">
        <v>1116</v>
      </c>
      <c r="G3940" s="716" t="n">
        <f aca="false">E3940*F3940</f>
        <v>111.6</v>
      </c>
      <c r="H3940" s="679"/>
    </row>
    <row r="3941" s="451" customFormat="true" ht="15" hidden="false" customHeight="false" outlineLevel="0" collapsed="false">
      <c r="A3941" s="707"/>
      <c r="B3941" s="522"/>
      <c r="C3941" s="709" t="s">
        <v>4515</v>
      </c>
      <c r="D3941" s="679" t="s">
        <v>4133</v>
      </c>
      <c r="E3941" s="715" t="n">
        <v>0.01</v>
      </c>
      <c r="F3941" s="369" t="n">
        <v>2700</v>
      </c>
      <c r="G3941" s="716" t="n">
        <f aca="false">E3941*F3941</f>
        <v>27</v>
      </c>
      <c r="H3941" s="679"/>
    </row>
    <row r="3942" s="451" customFormat="true" ht="15" hidden="false" customHeight="false" outlineLevel="0" collapsed="false">
      <c r="A3942" s="707"/>
      <c r="B3942" s="522"/>
      <c r="C3942" s="709" t="s">
        <v>4124</v>
      </c>
      <c r="D3942" s="679" t="s">
        <v>4516</v>
      </c>
      <c r="E3942" s="715" t="n">
        <v>1.5</v>
      </c>
      <c r="F3942" s="369" t="n">
        <v>120</v>
      </c>
      <c r="G3942" s="716" t="n">
        <f aca="false">E3942*F3942</f>
        <v>180</v>
      </c>
      <c r="H3942" s="679"/>
    </row>
    <row r="3943" s="451" customFormat="true" ht="15" hidden="false" customHeight="false" outlineLevel="0" collapsed="false">
      <c r="A3943" s="707"/>
      <c r="B3943" s="708" t="s">
        <v>4128</v>
      </c>
      <c r="C3943" s="718"/>
      <c r="D3943" s="719"/>
      <c r="E3943" s="722"/>
      <c r="F3943" s="366"/>
      <c r="G3943" s="711" t="n">
        <f aca="false">SUM(G3940:G3942)</f>
        <v>318.6</v>
      </c>
      <c r="H3943" s="392"/>
    </row>
    <row r="3944" s="451" customFormat="true" ht="15" hidden="false" customHeight="false" outlineLevel="0" collapsed="false">
      <c r="A3944" s="707" t="s">
        <v>808</v>
      </c>
      <c r="B3944" s="487" t="s">
        <v>3218</v>
      </c>
      <c r="C3944" s="709" t="s">
        <v>4148</v>
      </c>
      <c r="D3944" s="679" t="s">
        <v>4133</v>
      </c>
      <c r="E3944" s="715" t="n">
        <v>0.1</v>
      </c>
      <c r="F3944" s="369" t="n">
        <v>1116</v>
      </c>
      <c r="G3944" s="716" t="n">
        <f aca="false">E3944*F3944</f>
        <v>111.6</v>
      </c>
      <c r="H3944" s="392"/>
    </row>
    <row r="3945" s="451" customFormat="true" ht="15" hidden="false" customHeight="false" outlineLevel="0" collapsed="false">
      <c r="A3945" s="707"/>
      <c r="B3945" s="522"/>
      <c r="C3945" s="709" t="s">
        <v>4147</v>
      </c>
      <c r="D3945" s="679" t="s">
        <v>4392</v>
      </c>
      <c r="E3945" s="715" t="n">
        <v>0.1</v>
      </c>
      <c r="F3945" s="723" t="n">
        <v>3612</v>
      </c>
      <c r="G3945" s="716" t="n">
        <f aca="false">E3945*F3945</f>
        <v>361.2</v>
      </c>
      <c r="H3945" s="679"/>
    </row>
    <row r="3946" s="451" customFormat="true" ht="15" hidden="false" customHeight="false" outlineLevel="0" collapsed="false">
      <c r="A3946" s="707"/>
      <c r="B3946" s="522"/>
      <c r="C3946" s="709" t="s">
        <v>4529</v>
      </c>
      <c r="D3946" s="679" t="s">
        <v>4392</v>
      </c>
      <c r="E3946" s="715" t="n">
        <v>0.05</v>
      </c>
      <c r="F3946" s="369" t="n">
        <v>8100</v>
      </c>
      <c r="G3946" s="716" t="n">
        <f aca="false">E3946*F3946</f>
        <v>405</v>
      </c>
      <c r="H3946" s="679"/>
    </row>
    <row r="3947" s="451" customFormat="true" ht="15" hidden="false" customHeight="false" outlineLevel="0" collapsed="false">
      <c r="A3947" s="707"/>
      <c r="B3947" s="522"/>
      <c r="C3947" s="709" t="s">
        <v>4154</v>
      </c>
      <c r="D3947" s="679" t="s">
        <v>4392</v>
      </c>
      <c r="E3947" s="710" t="n">
        <v>0.07154</v>
      </c>
      <c r="F3947" s="721" t="n">
        <v>3500</v>
      </c>
      <c r="G3947" s="716" t="n">
        <f aca="false">E3947*F3947</f>
        <v>250.39</v>
      </c>
      <c r="H3947" s="392"/>
    </row>
    <row r="3948" s="451" customFormat="true" ht="15" hidden="false" customHeight="false" outlineLevel="0" collapsed="false">
      <c r="A3948" s="707"/>
      <c r="B3948" s="522"/>
      <c r="C3948" s="709" t="s">
        <v>4122</v>
      </c>
      <c r="D3948" s="679" t="s">
        <v>4392</v>
      </c>
      <c r="E3948" s="710" t="n">
        <v>0.169</v>
      </c>
      <c r="F3948" s="721" t="n">
        <v>720</v>
      </c>
      <c r="G3948" s="716" t="n">
        <f aca="false">E3948*F3948</f>
        <v>121.68</v>
      </c>
      <c r="H3948" s="679"/>
    </row>
    <row r="3949" s="451" customFormat="true" ht="15" hidden="false" customHeight="false" outlineLevel="0" collapsed="false">
      <c r="A3949" s="707"/>
      <c r="B3949" s="522"/>
      <c r="C3949" s="709" t="s">
        <v>4655</v>
      </c>
      <c r="D3949" s="679" t="s">
        <v>4392</v>
      </c>
      <c r="E3949" s="725" t="n">
        <v>0.2</v>
      </c>
      <c r="F3949" s="369" t="n">
        <v>1005</v>
      </c>
      <c r="G3949" s="716" t="n">
        <f aca="false">E3949*F3949</f>
        <v>201</v>
      </c>
      <c r="H3949" s="679"/>
    </row>
    <row r="3950" s="451" customFormat="true" ht="15" hidden="false" customHeight="false" outlineLevel="0" collapsed="false">
      <c r="A3950" s="707"/>
      <c r="B3950" s="522"/>
      <c r="C3950" s="709" t="s">
        <v>4124</v>
      </c>
      <c r="D3950" s="679" t="s">
        <v>4516</v>
      </c>
      <c r="E3950" s="725" t="n">
        <v>1.5</v>
      </c>
      <c r="F3950" s="369" t="n">
        <v>120</v>
      </c>
      <c r="G3950" s="716" t="n">
        <f aca="false">E3950*F3950</f>
        <v>180</v>
      </c>
      <c r="H3950" s="679"/>
    </row>
    <row r="3951" s="451" customFormat="true" ht="15" hidden="false" customHeight="false" outlineLevel="0" collapsed="false">
      <c r="A3951" s="707"/>
      <c r="B3951" s="708" t="s">
        <v>4128</v>
      </c>
      <c r="C3951" s="718"/>
      <c r="D3951" s="719"/>
      <c r="E3951" s="722"/>
      <c r="F3951" s="366"/>
      <c r="G3951" s="711" t="n">
        <f aca="false">SUM(G3944:G3950)</f>
        <v>1630.87</v>
      </c>
      <c r="H3951" s="392"/>
    </row>
    <row r="3952" s="451" customFormat="true" ht="15" hidden="false" customHeight="false" outlineLevel="0" collapsed="false">
      <c r="A3952" s="707" t="s">
        <v>810</v>
      </c>
      <c r="B3952" s="487" t="s">
        <v>3219</v>
      </c>
      <c r="C3952" s="709" t="s">
        <v>4148</v>
      </c>
      <c r="D3952" s="679" t="s">
        <v>4133</v>
      </c>
      <c r="E3952" s="715" t="n">
        <v>0.2</v>
      </c>
      <c r="F3952" s="369" t="n">
        <v>1116</v>
      </c>
      <c r="G3952" s="716" t="n">
        <f aca="false">E3952*F3952</f>
        <v>223.2</v>
      </c>
      <c r="H3952" s="679"/>
    </row>
    <row r="3953" s="451" customFormat="true" ht="15" hidden="false" customHeight="false" outlineLevel="0" collapsed="false">
      <c r="A3953" s="707"/>
      <c r="B3953" s="522"/>
      <c r="C3953" s="709" t="s">
        <v>4515</v>
      </c>
      <c r="D3953" s="679" t="s">
        <v>4133</v>
      </c>
      <c r="E3953" s="715" t="n">
        <v>0.1</v>
      </c>
      <c r="F3953" s="369" t="n">
        <v>2700</v>
      </c>
      <c r="G3953" s="716" t="n">
        <f aca="false">E3953*F3953</f>
        <v>270</v>
      </c>
      <c r="H3953" s="679"/>
    </row>
    <row r="3954" s="451" customFormat="true" ht="15" hidden="false" customHeight="false" outlineLevel="0" collapsed="false">
      <c r="A3954" s="707"/>
      <c r="B3954" s="522"/>
      <c r="C3954" s="709" t="s">
        <v>4124</v>
      </c>
      <c r="D3954" s="679" t="s">
        <v>4516</v>
      </c>
      <c r="E3954" s="715" t="n">
        <v>1.5</v>
      </c>
      <c r="F3954" s="369" t="n">
        <v>120</v>
      </c>
      <c r="G3954" s="716" t="n">
        <f aca="false">E3954*F3954</f>
        <v>180</v>
      </c>
      <c r="H3954" s="679"/>
    </row>
    <row r="3955" s="451" customFormat="true" ht="15" hidden="false" customHeight="false" outlineLevel="0" collapsed="false">
      <c r="A3955" s="707"/>
      <c r="B3955" s="708" t="s">
        <v>4128</v>
      </c>
      <c r="C3955" s="718"/>
      <c r="D3955" s="719"/>
      <c r="E3955" s="720"/>
      <c r="F3955" s="366"/>
      <c r="G3955" s="711" t="n">
        <f aca="false">SUM(G3952:G3954)</f>
        <v>673.2</v>
      </c>
      <c r="H3955" s="392"/>
    </row>
    <row r="3956" s="451" customFormat="true" ht="15" hidden="false" customHeight="false" outlineLevel="0" collapsed="false">
      <c r="A3956" s="707" t="s">
        <v>4948</v>
      </c>
      <c r="B3956" s="487" t="s">
        <v>3103</v>
      </c>
      <c r="C3956" s="709" t="s">
        <v>4189</v>
      </c>
      <c r="D3956" s="679" t="s">
        <v>4392</v>
      </c>
      <c r="E3956" s="715" t="n">
        <v>0.25</v>
      </c>
      <c r="F3956" s="729" t="n">
        <v>3500</v>
      </c>
      <c r="G3956" s="716" t="n">
        <f aca="false">E3956*F3956</f>
        <v>875</v>
      </c>
      <c r="H3956" s="679"/>
    </row>
    <row r="3957" s="451" customFormat="true" ht="15" hidden="false" customHeight="false" outlineLevel="0" collapsed="false">
      <c r="A3957" s="707"/>
      <c r="B3957" s="522"/>
      <c r="C3957" s="709" t="s">
        <v>4147</v>
      </c>
      <c r="D3957" s="679" t="s">
        <v>4392</v>
      </c>
      <c r="E3957" s="715" t="n">
        <v>0.25</v>
      </c>
      <c r="F3957" s="723" t="n">
        <v>3612</v>
      </c>
      <c r="G3957" s="716" t="n">
        <f aca="false">E3957*F3957</f>
        <v>903</v>
      </c>
      <c r="H3957" s="679"/>
    </row>
    <row r="3958" s="451" customFormat="true" ht="15" hidden="false" customHeight="false" outlineLevel="0" collapsed="false">
      <c r="A3958" s="707"/>
      <c r="B3958" s="522"/>
      <c r="C3958" s="709" t="s">
        <v>4277</v>
      </c>
      <c r="D3958" s="679" t="s">
        <v>4392</v>
      </c>
      <c r="E3958" s="715" t="n">
        <v>0.01</v>
      </c>
      <c r="F3958" s="369" t="n">
        <v>12900</v>
      </c>
      <c r="G3958" s="716" t="n">
        <f aca="false">E3958*F3958</f>
        <v>129</v>
      </c>
      <c r="H3958" s="679"/>
    </row>
    <row r="3959" s="451" customFormat="true" ht="15" hidden="false" customHeight="false" outlineLevel="0" collapsed="false">
      <c r="A3959" s="707"/>
      <c r="B3959" s="522"/>
      <c r="C3959" s="709" t="s">
        <v>4575</v>
      </c>
      <c r="D3959" s="679" t="s">
        <v>4392</v>
      </c>
      <c r="E3959" s="710" t="n">
        <v>0.001</v>
      </c>
      <c r="F3959" s="369" t="n">
        <v>24000</v>
      </c>
      <c r="G3959" s="716" t="n">
        <f aca="false">E3959*F3959</f>
        <v>24</v>
      </c>
      <c r="H3959" s="679"/>
    </row>
    <row r="3960" s="451" customFormat="true" ht="15" hidden="false" customHeight="false" outlineLevel="0" collapsed="false">
      <c r="A3960" s="707"/>
      <c r="B3960" s="522"/>
      <c r="C3960" s="709" t="s">
        <v>4165</v>
      </c>
      <c r="D3960" s="679" t="s">
        <v>4392</v>
      </c>
      <c r="E3960" s="725" t="n">
        <v>0.03</v>
      </c>
      <c r="F3960" s="369" t="n">
        <v>1323</v>
      </c>
      <c r="G3960" s="716" t="n">
        <f aca="false">E3960*F3960</f>
        <v>39.69</v>
      </c>
      <c r="H3960" s="392"/>
    </row>
    <row r="3961" s="451" customFormat="true" ht="15" hidden="false" customHeight="false" outlineLevel="0" collapsed="false">
      <c r="A3961" s="707"/>
      <c r="B3961" s="522"/>
      <c r="C3961" s="709" t="s">
        <v>4270</v>
      </c>
      <c r="D3961" s="679" t="s">
        <v>4392</v>
      </c>
      <c r="E3961" s="725" t="n">
        <v>0.1</v>
      </c>
      <c r="F3961" s="369" t="n">
        <v>1750</v>
      </c>
      <c r="G3961" s="716" t="n">
        <f aca="false">E3961*F3961</f>
        <v>175</v>
      </c>
      <c r="H3961" s="679"/>
    </row>
    <row r="3962" s="451" customFormat="true" ht="15" hidden="false" customHeight="false" outlineLevel="0" collapsed="false">
      <c r="A3962" s="707"/>
      <c r="B3962" s="522"/>
      <c r="C3962" s="709" t="s">
        <v>4122</v>
      </c>
      <c r="D3962" s="679" t="s">
        <v>4392</v>
      </c>
      <c r="E3962" s="725" t="n">
        <v>0.03</v>
      </c>
      <c r="F3962" s="721" t="n">
        <v>720</v>
      </c>
      <c r="G3962" s="716" t="n">
        <f aca="false">E3962*F3962</f>
        <v>21.6</v>
      </c>
      <c r="H3962" s="679"/>
    </row>
    <row r="3963" s="451" customFormat="true" ht="21" hidden="false" customHeight="true" outlineLevel="0" collapsed="false">
      <c r="A3963" s="707"/>
      <c r="B3963" s="522"/>
      <c r="C3963" s="709" t="s">
        <v>4561</v>
      </c>
      <c r="D3963" s="679" t="s">
        <v>4138</v>
      </c>
      <c r="E3963" s="725" t="n">
        <v>1</v>
      </c>
      <c r="F3963" s="369" t="n">
        <v>490</v>
      </c>
      <c r="G3963" s="716" t="n">
        <f aca="false">E3963*F3963</f>
        <v>490</v>
      </c>
      <c r="H3963" s="679"/>
    </row>
    <row r="3964" s="451" customFormat="true" ht="15" hidden="false" customHeight="false" outlineLevel="0" collapsed="false">
      <c r="A3964" s="707"/>
      <c r="B3964" s="522"/>
      <c r="C3964" s="709" t="s">
        <v>4515</v>
      </c>
      <c r="D3964" s="679" t="s">
        <v>4133</v>
      </c>
      <c r="E3964" s="725" t="n">
        <v>0.01</v>
      </c>
      <c r="F3964" s="369" t="n">
        <v>2700</v>
      </c>
      <c r="G3964" s="716" t="n">
        <f aca="false">E3964*F3964</f>
        <v>27</v>
      </c>
      <c r="H3964" s="679"/>
    </row>
    <row r="3965" s="451" customFormat="true" ht="15" hidden="false" customHeight="false" outlineLevel="0" collapsed="false">
      <c r="A3965" s="707"/>
      <c r="B3965" s="522"/>
      <c r="C3965" s="709" t="s">
        <v>4124</v>
      </c>
      <c r="D3965" s="679" t="s">
        <v>4516</v>
      </c>
      <c r="E3965" s="725" t="n">
        <v>1</v>
      </c>
      <c r="F3965" s="369" t="n">
        <v>120</v>
      </c>
      <c r="G3965" s="716" t="n">
        <f aca="false">E3965*F3965</f>
        <v>120</v>
      </c>
      <c r="H3965" s="679"/>
    </row>
    <row r="3966" s="451" customFormat="true" ht="15" hidden="false" customHeight="false" outlineLevel="0" collapsed="false">
      <c r="A3966" s="707"/>
      <c r="B3966" s="522"/>
      <c r="C3966" s="709" t="s">
        <v>4577</v>
      </c>
      <c r="D3966" s="679" t="s">
        <v>4578</v>
      </c>
      <c r="E3966" s="710" t="n">
        <v>0.006</v>
      </c>
      <c r="F3966" s="369" t="n">
        <v>27000</v>
      </c>
      <c r="G3966" s="716" t="n">
        <f aca="false">E3966*F3966</f>
        <v>162</v>
      </c>
      <c r="H3966" s="679"/>
    </row>
    <row r="3967" s="451" customFormat="true" ht="15" hidden="false" customHeight="false" outlineLevel="0" collapsed="false">
      <c r="A3967" s="707"/>
      <c r="B3967" s="708" t="s">
        <v>4128</v>
      </c>
      <c r="C3967" s="718"/>
      <c r="D3967" s="719"/>
      <c r="E3967" s="722"/>
      <c r="F3967" s="366"/>
      <c r="G3967" s="711" t="n">
        <f aca="false">SUM(G3956:G3966)</f>
        <v>2966.29</v>
      </c>
      <c r="H3967" s="392"/>
    </row>
    <row r="3968" s="451" customFormat="true" ht="15" hidden="false" customHeight="false" outlineLevel="0" collapsed="false">
      <c r="A3968" s="707" t="s">
        <v>4949</v>
      </c>
      <c r="B3968" s="487" t="s">
        <v>3148</v>
      </c>
      <c r="C3968" s="709" t="s">
        <v>4580</v>
      </c>
      <c r="D3968" s="679" t="s">
        <v>4133</v>
      </c>
      <c r="E3968" s="715" t="n">
        <v>0.1</v>
      </c>
      <c r="F3968" s="369" t="n">
        <v>1690</v>
      </c>
      <c r="G3968" s="716" t="n">
        <f aca="false">E3968*F3968</f>
        <v>169</v>
      </c>
      <c r="H3968" s="679"/>
    </row>
    <row r="3969" s="451" customFormat="true" ht="15" hidden="false" customHeight="false" outlineLevel="0" collapsed="false">
      <c r="A3969" s="707"/>
      <c r="B3969" s="522"/>
      <c r="C3969" s="709" t="s">
        <v>4750</v>
      </c>
      <c r="D3969" s="679" t="s">
        <v>4133</v>
      </c>
      <c r="E3969" s="710" t="n">
        <v>0.0009</v>
      </c>
      <c r="F3969" s="369" t="n">
        <v>21000</v>
      </c>
      <c r="G3969" s="716" t="n">
        <f aca="false">E3969*F3969</f>
        <v>18.9</v>
      </c>
      <c r="H3969" s="679"/>
    </row>
    <row r="3970" s="451" customFormat="true" ht="30" hidden="false" customHeight="false" outlineLevel="0" collapsed="false">
      <c r="A3970" s="707"/>
      <c r="B3970" s="522"/>
      <c r="C3970" s="709" t="s">
        <v>4581</v>
      </c>
      <c r="D3970" s="679" t="s">
        <v>4133</v>
      </c>
      <c r="E3970" s="710" t="n">
        <v>0.002</v>
      </c>
      <c r="F3970" s="369" t="n">
        <v>118100</v>
      </c>
      <c r="G3970" s="716" t="n">
        <f aca="false">E3970*F3970</f>
        <v>236.2</v>
      </c>
      <c r="H3970" s="392"/>
    </row>
    <row r="3971" s="451" customFormat="true" ht="15" hidden="false" customHeight="false" outlineLevel="0" collapsed="false">
      <c r="A3971" s="707"/>
      <c r="B3971" s="522"/>
      <c r="C3971" s="709" t="s">
        <v>4582</v>
      </c>
      <c r="D3971" s="679" t="s">
        <v>4133</v>
      </c>
      <c r="E3971" s="725" t="n">
        <v>0.01</v>
      </c>
      <c r="F3971" s="369" t="n">
        <v>2100</v>
      </c>
      <c r="G3971" s="716" t="n">
        <f aca="false">E3971*F3971</f>
        <v>21</v>
      </c>
      <c r="H3971" s="679"/>
    </row>
    <row r="3972" s="451" customFormat="true" ht="15" hidden="false" customHeight="false" outlineLevel="0" collapsed="false">
      <c r="A3972" s="707"/>
      <c r="B3972" s="522"/>
      <c r="C3972" s="709" t="s">
        <v>4583</v>
      </c>
      <c r="D3972" s="679" t="s">
        <v>4138</v>
      </c>
      <c r="E3972" s="725" t="n">
        <v>0.12</v>
      </c>
      <c r="F3972" s="369" t="n">
        <v>490</v>
      </c>
      <c r="G3972" s="716" t="n">
        <f aca="false">E3972*F3972</f>
        <v>58.8</v>
      </c>
      <c r="H3972" s="679"/>
    </row>
    <row r="3973" s="451" customFormat="true" ht="15" hidden="false" customHeight="false" outlineLevel="0" collapsed="false">
      <c r="A3973" s="707"/>
      <c r="B3973" s="522"/>
      <c r="C3973" s="709" t="s">
        <v>4584</v>
      </c>
      <c r="D3973" s="679" t="s">
        <v>4133</v>
      </c>
      <c r="E3973" s="710" t="n">
        <v>0.012</v>
      </c>
      <c r="F3973" s="369" t="n">
        <v>1901</v>
      </c>
      <c r="G3973" s="716" t="n">
        <f aca="false">E3973*F3973</f>
        <v>22.812</v>
      </c>
      <c r="H3973" s="679"/>
    </row>
    <row r="3974" s="451" customFormat="true" ht="15" hidden="false" customHeight="false" outlineLevel="0" collapsed="false">
      <c r="A3974" s="707"/>
      <c r="B3974" s="522"/>
      <c r="C3974" s="709" t="s">
        <v>4585</v>
      </c>
      <c r="D3974" s="679" t="s">
        <v>4133</v>
      </c>
      <c r="E3974" s="710" t="n">
        <v>0.003</v>
      </c>
      <c r="F3974" s="369" t="n">
        <v>8900</v>
      </c>
      <c r="G3974" s="716" t="n">
        <f aca="false">E3974*F3974</f>
        <v>26.7</v>
      </c>
      <c r="H3974" s="392"/>
    </row>
    <row r="3975" s="451" customFormat="true" ht="15" hidden="false" customHeight="false" outlineLevel="0" collapsed="false">
      <c r="A3975" s="707"/>
      <c r="B3975" s="522"/>
      <c r="C3975" s="709" t="s">
        <v>4201</v>
      </c>
      <c r="D3975" s="679" t="s">
        <v>4133</v>
      </c>
      <c r="E3975" s="710" t="n">
        <v>0.02</v>
      </c>
      <c r="F3975" s="721" t="n">
        <v>27000</v>
      </c>
      <c r="G3975" s="716" t="n">
        <f aca="false">E3975*F3975</f>
        <v>540</v>
      </c>
      <c r="H3975" s="679"/>
    </row>
    <row r="3976" s="451" customFormat="true" ht="15" hidden="false" customHeight="false" outlineLevel="0" collapsed="false">
      <c r="A3976" s="707"/>
      <c r="B3976" s="522"/>
      <c r="C3976" s="709" t="s">
        <v>4122</v>
      </c>
      <c r="D3976" s="679" t="s">
        <v>4392</v>
      </c>
      <c r="E3976" s="710" t="n">
        <v>0.25</v>
      </c>
      <c r="F3976" s="721" t="n">
        <v>720</v>
      </c>
      <c r="G3976" s="716" t="n">
        <f aca="false">E3976*F3976</f>
        <v>180</v>
      </c>
      <c r="H3976" s="679"/>
    </row>
    <row r="3977" s="451" customFormat="true" ht="15" hidden="false" customHeight="false" outlineLevel="0" collapsed="false">
      <c r="A3977" s="707"/>
      <c r="B3977" s="522"/>
      <c r="C3977" s="709" t="s">
        <v>4154</v>
      </c>
      <c r="D3977" s="679" t="s">
        <v>4392</v>
      </c>
      <c r="E3977" s="710" t="n">
        <v>0.0375</v>
      </c>
      <c r="F3977" s="721" t="n">
        <v>3500</v>
      </c>
      <c r="G3977" s="716" t="n">
        <f aca="false">E3977*F3977</f>
        <v>131.25</v>
      </c>
      <c r="H3977" s="679"/>
    </row>
    <row r="3978" s="451" customFormat="true" ht="15" hidden="false" customHeight="false" outlineLevel="0" collapsed="false">
      <c r="A3978" s="707"/>
      <c r="B3978" s="522"/>
      <c r="C3978" s="709" t="s">
        <v>4515</v>
      </c>
      <c r="D3978" s="679" t="s">
        <v>4133</v>
      </c>
      <c r="E3978" s="710" t="n">
        <v>0.006</v>
      </c>
      <c r="F3978" s="369" t="n">
        <v>2700</v>
      </c>
      <c r="G3978" s="716" t="n">
        <f aca="false">E3978*F3978</f>
        <v>16.2</v>
      </c>
      <c r="H3978" s="679"/>
    </row>
    <row r="3979" s="451" customFormat="true" ht="15" hidden="false" customHeight="false" outlineLevel="0" collapsed="false">
      <c r="A3979" s="707"/>
      <c r="B3979" s="522"/>
      <c r="C3979" s="709" t="s">
        <v>4124</v>
      </c>
      <c r="D3979" s="679" t="s">
        <v>4516</v>
      </c>
      <c r="E3979" s="710" t="n">
        <v>0.016</v>
      </c>
      <c r="F3979" s="369" t="n">
        <v>120</v>
      </c>
      <c r="G3979" s="716" t="n">
        <f aca="false">E3979*F3979</f>
        <v>1.92</v>
      </c>
      <c r="H3979" s="679"/>
    </row>
    <row r="3980" s="451" customFormat="true" ht="15" hidden="false" customHeight="false" outlineLevel="0" collapsed="false">
      <c r="A3980" s="707"/>
      <c r="B3980" s="522"/>
      <c r="C3980" s="709" t="s">
        <v>4586</v>
      </c>
      <c r="D3980" s="679" t="s">
        <v>4578</v>
      </c>
      <c r="E3980" s="710" t="n">
        <v>0.001</v>
      </c>
      <c r="F3980" s="369" t="n">
        <v>27000</v>
      </c>
      <c r="G3980" s="716" t="n">
        <f aca="false">E3980*F3980</f>
        <v>27</v>
      </c>
      <c r="H3980" s="679"/>
    </row>
    <row r="3981" s="451" customFormat="true" ht="15" hidden="false" customHeight="false" outlineLevel="0" collapsed="false">
      <c r="A3981" s="707"/>
      <c r="B3981" s="708" t="s">
        <v>4128</v>
      </c>
      <c r="C3981" s="718"/>
      <c r="D3981" s="719"/>
      <c r="E3981" s="722"/>
      <c r="F3981" s="366"/>
      <c r="G3981" s="711" t="n">
        <f aca="false">SUM(G3968:G3980)</f>
        <v>1449.782</v>
      </c>
      <c r="H3981" s="679"/>
    </row>
    <row r="3982" s="451" customFormat="true" ht="15" hidden="false" customHeight="false" outlineLevel="0" collapsed="false">
      <c r="A3982" s="707" t="s">
        <v>4950</v>
      </c>
      <c r="B3982" s="487" t="s">
        <v>3102</v>
      </c>
      <c r="C3982" s="709" t="s">
        <v>4189</v>
      </c>
      <c r="D3982" s="679" t="s">
        <v>4392</v>
      </c>
      <c r="E3982" s="710" t="n">
        <v>0.5</v>
      </c>
      <c r="F3982" s="729" t="n">
        <v>3500</v>
      </c>
      <c r="G3982" s="716" t="n">
        <f aca="false">E3982*F3982</f>
        <v>1750</v>
      </c>
      <c r="H3982" s="392"/>
    </row>
    <row r="3983" s="451" customFormat="true" ht="15" hidden="false" customHeight="false" outlineLevel="0" collapsed="false">
      <c r="A3983" s="707"/>
      <c r="B3983" s="522"/>
      <c r="C3983" s="709" t="s">
        <v>4147</v>
      </c>
      <c r="D3983" s="679" t="s">
        <v>4392</v>
      </c>
      <c r="E3983" s="710" t="n">
        <v>0.2</v>
      </c>
      <c r="F3983" s="723" t="n">
        <v>3612</v>
      </c>
      <c r="G3983" s="716" t="n">
        <f aca="false">E3983*F3983</f>
        <v>722.4</v>
      </c>
      <c r="H3983" s="679"/>
    </row>
    <row r="3984" s="451" customFormat="true" ht="15" hidden="false" customHeight="false" outlineLevel="0" collapsed="false">
      <c r="A3984" s="707"/>
      <c r="B3984" s="522"/>
      <c r="C3984" s="709" t="s">
        <v>4277</v>
      </c>
      <c r="D3984" s="679" t="s">
        <v>4133</v>
      </c>
      <c r="E3984" s="710" t="n">
        <v>0.01</v>
      </c>
      <c r="F3984" s="369" t="n">
        <v>12900</v>
      </c>
      <c r="G3984" s="716" t="n">
        <f aca="false">E3984*F3984</f>
        <v>129</v>
      </c>
      <c r="H3984" s="679"/>
    </row>
    <row r="3985" s="451" customFormat="true" ht="15" hidden="false" customHeight="false" outlineLevel="0" collapsed="false">
      <c r="A3985" s="707"/>
      <c r="B3985" s="522"/>
      <c r="C3985" s="709" t="s">
        <v>4575</v>
      </c>
      <c r="D3985" s="679" t="s">
        <v>4133</v>
      </c>
      <c r="E3985" s="710" t="n">
        <v>0.001</v>
      </c>
      <c r="F3985" s="369" t="n">
        <v>24000</v>
      </c>
      <c r="G3985" s="716" t="n">
        <f aca="false">E3985*F3985</f>
        <v>24</v>
      </c>
      <c r="H3985" s="679"/>
    </row>
    <row r="3986" s="451" customFormat="true" ht="15" hidden="false" customHeight="false" outlineLevel="0" collapsed="false">
      <c r="A3986" s="707"/>
      <c r="B3986" s="522"/>
      <c r="C3986" s="709" t="s">
        <v>4165</v>
      </c>
      <c r="D3986" s="679" t="s">
        <v>4133</v>
      </c>
      <c r="E3986" s="710" t="n">
        <v>0.03</v>
      </c>
      <c r="F3986" s="369" t="n">
        <v>1323</v>
      </c>
      <c r="G3986" s="716" t="n">
        <f aca="false">E3986*F3986</f>
        <v>39.69</v>
      </c>
      <c r="H3986" s="392"/>
    </row>
    <row r="3987" s="451" customFormat="true" ht="15" hidden="false" customHeight="false" outlineLevel="0" collapsed="false">
      <c r="A3987" s="707"/>
      <c r="B3987" s="522"/>
      <c r="C3987" s="709" t="s">
        <v>4270</v>
      </c>
      <c r="D3987" s="679" t="s">
        <v>4392</v>
      </c>
      <c r="E3987" s="710" t="n">
        <v>0.1</v>
      </c>
      <c r="F3987" s="369" t="n">
        <v>1750</v>
      </c>
      <c r="G3987" s="716" t="n">
        <f aca="false">E3987*F3987</f>
        <v>175</v>
      </c>
      <c r="H3987" s="679"/>
    </row>
    <row r="3988" s="451" customFormat="true" ht="15" hidden="false" customHeight="false" outlineLevel="0" collapsed="false">
      <c r="A3988" s="707"/>
      <c r="B3988" s="522"/>
      <c r="C3988" s="709" t="s">
        <v>4122</v>
      </c>
      <c r="D3988" s="679" t="s">
        <v>4392</v>
      </c>
      <c r="E3988" s="710" t="n">
        <v>0.03</v>
      </c>
      <c r="F3988" s="721" t="n">
        <v>720</v>
      </c>
      <c r="G3988" s="716" t="n">
        <f aca="false">E3988*F3988</f>
        <v>21.6</v>
      </c>
      <c r="H3988" s="679"/>
    </row>
    <row r="3989" s="451" customFormat="true" ht="15" hidden="false" customHeight="false" outlineLevel="0" collapsed="false">
      <c r="A3989" s="707"/>
      <c r="B3989" s="522"/>
      <c r="C3989" s="709" t="s">
        <v>4561</v>
      </c>
      <c r="D3989" s="679" t="s">
        <v>4138</v>
      </c>
      <c r="E3989" s="710" t="n">
        <v>1</v>
      </c>
      <c r="F3989" s="369" t="n">
        <v>490</v>
      </c>
      <c r="G3989" s="716" t="n">
        <f aca="false">E3989*F3989</f>
        <v>490</v>
      </c>
      <c r="H3989" s="679"/>
    </row>
    <row r="3990" s="451" customFormat="true" ht="15" hidden="false" customHeight="false" outlineLevel="0" collapsed="false">
      <c r="A3990" s="707"/>
      <c r="B3990" s="522"/>
      <c r="C3990" s="709" t="s">
        <v>4515</v>
      </c>
      <c r="D3990" s="679" t="s">
        <v>4133</v>
      </c>
      <c r="E3990" s="710" t="n">
        <v>0.03</v>
      </c>
      <c r="F3990" s="369" t="n">
        <v>2700</v>
      </c>
      <c r="G3990" s="716" t="n">
        <f aca="false">E3990*F3990</f>
        <v>81</v>
      </c>
      <c r="H3990" s="679"/>
    </row>
    <row r="3991" s="451" customFormat="true" ht="15" hidden="false" customHeight="false" outlineLevel="0" collapsed="false">
      <c r="A3991" s="707"/>
      <c r="B3991" s="522"/>
      <c r="C3991" s="709" t="s">
        <v>4124</v>
      </c>
      <c r="D3991" s="679" t="s">
        <v>4516</v>
      </c>
      <c r="E3991" s="710" t="n">
        <v>0.08</v>
      </c>
      <c r="F3991" s="369" t="n">
        <v>120</v>
      </c>
      <c r="G3991" s="716" t="n">
        <f aca="false">E3991*F3991</f>
        <v>9.6</v>
      </c>
      <c r="H3991" s="679"/>
    </row>
    <row r="3992" s="451" customFormat="true" ht="15" hidden="false" customHeight="false" outlineLevel="0" collapsed="false">
      <c r="A3992" s="707"/>
      <c r="B3992" s="522"/>
      <c r="C3992" s="709" t="s">
        <v>4577</v>
      </c>
      <c r="D3992" s="679" t="s">
        <v>4578</v>
      </c>
      <c r="E3992" s="710" t="n">
        <v>0.006</v>
      </c>
      <c r="F3992" s="369" t="n">
        <v>27000</v>
      </c>
      <c r="G3992" s="716" t="n">
        <f aca="false">E3992*F3992</f>
        <v>162</v>
      </c>
      <c r="H3992" s="679"/>
    </row>
    <row r="3993" s="451" customFormat="true" ht="15" hidden="false" customHeight="false" outlineLevel="0" collapsed="false">
      <c r="A3993" s="707"/>
      <c r="B3993" s="708" t="s">
        <v>4128</v>
      </c>
      <c r="C3993" s="718"/>
      <c r="D3993" s="719"/>
      <c r="E3993" s="722"/>
      <c r="F3993" s="366"/>
      <c r="G3993" s="711" t="n">
        <f aca="false">SUM(G3982:G3992)</f>
        <v>3604.29</v>
      </c>
      <c r="H3993" s="679"/>
    </row>
    <row r="3994" s="451" customFormat="true" ht="15" hidden="false" customHeight="false" outlineLevel="0" collapsed="false">
      <c r="A3994" s="707" t="s">
        <v>816</v>
      </c>
      <c r="B3994" s="487" t="s">
        <v>3149</v>
      </c>
      <c r="C3994" s="709" t="s">
        <v>4189</v>
      </c>
      <c r="D3994" s="679" t="s">
        <v>4392</v>
      </c>
      <c r="E3994" s="715" t="n">
        <v>0.1</v>
      </c>
      <c r="F3994" s="729" t="n">
        <v>3500</v>
      </c>
      <c r="G3994" s="716" t="n">
        <f aca="false">E3994*F3994</f>
        <v>350</v>
      </c>
      <c r="H3994" s="679"/>
    </row>
    <row r="3995" s="451" customFormat="true" ht="15" hidden="false" customHeight="false" outlineLevel="0" collapsed="false">
      <c r="A3995" s="707"/>
      <c r="B3995" s="522"/>
      <c r="C3995" s="709" t="s">
        <v>4147</v>
      </c>
      <c r="D3995" s="679" t="s">
        <v>4392</v>
      </c>
      <c r="E3995" s="715" t="n">
        <v>0.1</v>
      </c>
      <c r="F3995" s="723" t="n">
        <v>3612</v>
      </c>
      <c r="G3995" s="716" t="n">
        <f aca="false">E3995*F3995</f>
        <v>361.2</v>
      </c>
      <c r="H3995" s="679"/>
    </row>
    <row r="3996" s="451" customFormat="true" ht="15" hidden="false" customHeight="false" outlineLevel="0" collapsed="false">
      <c r="A3996" s="707"/>
      <c r="B3996" s="522"/>
      <c r="C3996" s="709" t="s">
        <v>4277</v>
      </c>
      <c r="D3996" s="679" t="s">
        <v>4133</v>
      </c>
      <c r="E3996" s="715" t="n">
        <v>0.08</v>
      </c>
      <c r="F3996" s="369" t="n">
        <v>12900</v>
      </c>
      <c r="G3996" s="716" t="n">
        <f aca="false">E3996*F3996</f>
        <v>1032</v>
      </c>
      <c r="H3996" s="679"/>
    </row>
    <row r="3997" s="451" customFormat="true" ht="15" hidden="false" customHeight="false" outlineLevel="0" collapsed="false">
      <c r="A3997" s="707"/>
      <c r="B3997" s="522"/>
      <c r="C3997" s="709" t="s">
        <v>4575</v>
      </c>
      <c r="D3997" s="679" t="s">
        <v>4133</v>
      </c>
      <c r="E3997" s="715" t="n">
        <v>0.1</v>
      </c>
      <c r="F3997" s="369" t="n">
        <v>1323</v>
      </c>
      <c r="G3997" s="716" t="n">
        <f aca="false">E3997*F3997</f>
        <v>132.3</v>
      </c>
      <c r="H3997" s="679"/>
    </row>
    <row r="3998" s="451" customFormat="true" ht="15" hidden="false" customHeight="false" outlineLevel="0" collapsed="false">
      <c r="A3998" s="707"/>
      <c r="B3998" s="522"/>
      <c r="C3998" s="709" t="s">
        <v>4165</v>
      </c>
      <c r="D3998" s="679" t="s">
        <v>4133</v>
      </c>
      <c r="E3998" s="715" t="n">
        <v>0.03</v>
      </c>
      <c r="F3998" s="369" t="n">
        <v>1323</v>
      </c>
      <c r="G3998" s="716" t="n">
        <f aca="false">E3998*F3998</f>
        <v>39.69</v>
      </c>
      <c r="H3998" s="392"/>
    </row>
    <row r="3999" s="451" customFormat="true" ht="15" hidden="false" customHeight="false" outlineLevel="0" collapsed="false">
      <c r="A3999" s="707"/>
      <c r="B3999" s="522"/>
      <c r="C3999" s="709" t="s">
        <v>4270</v>
      </c>
      <c r="D3999" s="679" t="s">
        <v>4392</v>
      </c>
      <c r="E3999" s="715" t="n">
        <v>0.1</v>
      </c>
      <c r="F3999" s="369" t="n">
        <v>1750</v>
      </c>
      <c r="G3999" s="716" t="n">
        <f aca="false">E3999*F3999</f>
        <v>175</v>
      </c>
      <c r="H3999" s="679"/>
    </row>
    <row r="4000" s="451" customFormat="true" ht="15" hidden="false" customHeight="false" outlineLevel="0" collapsed="false">
      <c r="A4000" s="707"/>
      <c r="B4000" s="522"/>
      <c r="C4000" s="709" t="s">
        <v>4122</v>
      </c>
      <c r="D4000" s="679" t="s">
        <v>4392</v>
      </c>
      <c r="E4000" s="715" t="n">
        <v>0.3</v>
      </c>
      <c r="F4000" s="721" t="n">
        <v>720</v>
      </c>
      <c r="G4000" s="716" t="n">
        <f aca="false">E4000*F4000</f>
        <v>216</v>
      </c>
      <c r="H4000" s="679"/>
    </row>
    <row r="4001" s="451" customFormat="true" ht="30" hidden="false" customHeight="false" outlineLevel="0" collapsed="false">
      <c r="A4001" s="707"/>
      <c r="B4001" s="522"/>
      <c r="C4001" s="709" t="s">
        <v>4594</v>
      </c>
      <c r="D4001" s="679" t="s">
        <v>4138</v>
      </c>
      <c r="E4001" s="715" t="n">
        <v>0.1</v>
      </c>
      <c r="F4001" s="369" t="n">
        <v>2500</v>
      </c>
      <c r="G4001" s="716" t="n">
        <f aca="false">E4001*F4001</f>
        <v>250</v>
      </c>
      <c r="H4001" s="679"/>
    </row>
    <row r="4002" s="451" customFormat="true" ht="22.5" hidden="false" customHeight="true" outlineLevel="0" collapsed="false">
      <c r="A4002" s="707"/>
      <c r="B4002" s="522"/>
      <c r="C4002" s="709" t="s">
        <v>4515</v>
      </c>
      <c r="D4002" s="679" t="s">
        <v>4133</v>
      </c>
      <c r="E4002" s="715" t="n">
        <v>0.03</v>
      </c>
      <c r="F4002" s="369" t="n">
        <v>2700</v>
      </c>
      <c r="G4002" s="716" t="n">
        <f aca="false">E4002*F4002</f>
        <v>81</v>
      </c>
      <c r="H4002" s="679"/>
    </row>
    <row r="4003" s="451" customFormat="true" ht="15" hidden="false" customHeight="false" outlineLevel="0" collapsed="false">
      <c r="A4003" s="707"/>
      <c r="B4003" s="522"/>
      <c r="C4003" s="709" t="s">
        <v>4124</v>
      </c>
      <c r="D4003" s="679" t="s">
        <v>4516</v>
      </c>
      <c r="E4003" s="715" t="n">
        <v>0.1</v>
      </c>
      <c r="F4003" s="369" t="n">
        <v>120</v>
      </c>
      <c r="G4003" s="716" t="n">
        <f aca="false">E4003*F4003</f>
        <v>12</v>
      </c>
      <c r="H4003" s="679"/>
    </row>
    <row r="4004" s="451" customFormat="true" ht="15" hidden="false" customHeight="false" outlineLevel="0" collapsed="false">
      <c r="A4004" s="707"/>
      <c r="B4004" s="522"/>
      <c r="C4004" s="709" t="s">
        <v>4586</v>
      </c>
      <c r="D4004" s="679" t="s">
        <v>4578</v>
      </c>
      <c r="E4004" s="710" t="n">
        <v>0.001</v>
      </c>
      <c r="F4004" s="369" t="n">
        <v>27000</v>
      </c>
      <c r="G4004" s="716" t="n">
        <f aca="false">E4004*F4004</f>
        <v>27</v>
      </c>
      <c r="H4004" s="679"/>
    </row>
    <row r="4005" s="451" customFormat="true" ht="15" hidden="false" customHeight="false" outlineLevel="0" collapsed="false">
      <c r="A4005" s="707"/>
      <c r="B4005" s="708" t="s">
        <v>4128</v>
      </c>
      <c r="C4005" s="718"/>
      <c r="D4005" s="719"/>
      <c r="E4005" s="722"/>
      <c r="F4005" s="366"/>
      <c r="G4005" s="711" t="n">
        <f aca="false">SUM(G3994:G4004)</f>
        <v>2676.19</v>
      </c>
      <c r="H4005" s="679"/>
    </row>
    <row r="4006" s="451" customFormat="true" ht="15" hidden="false" customHeight="false" outlineLevel="0" collapsed="false">
      <c r="A4006" s="707" t="s">
        <v>4951</v>
      </c>
      <c r="B4006" s="487" t="s">
        <v>4857</v>
      </c>
      <c r="C4006" s="709" t="s">
        <v>4671</v>
      </c>
      <c r="D4006" s="679" t="s">
        <v>4133</v>
      </c>
      <c r="E4006" s="715" t="n">
        <v>0.14</v>
      </c>
      <c r="F4006" s="369" t="n">
        <v>845</v>
      </c>
      <c r="G4006" s="716" t="n">
        <f aca="false">E4006*F4006</f>
        <v>118.3</v>
      </c>
      <c r="H4006" s="679"/>
    </row>
    <row r="4007" s="451" customFormat="true" ht="15" hidden="false" customHeight="false" outlineLevel="0" collapsed="false">
      <c r="A4007" s="707"/>
      <c r="B4007" s="522"/>
      <c r="C4007" s="709" t="s">
        <v>4672</v>
      </c>
      <c r="D4007" s="679" t="s">
        <v>4392</v>
      </c>
      <c r="E4007" s="710" t="n">
        <v>0.0126</v>
      </c>
      <c r="F4007" s="369" t="n">
        <v>25500</v>
      </c>
      <c r="G4007" s="716" t="n">
        <f aca="false">E4007*F4007</f>
        <v>321.3</v>
      </c>
      <c r="H4007" s="679"/>
    </row>
    <row r="4008" s="451" customFormat="true" ht="15" hidden="false" customHeight="false" outlineLevel="0" collapsed="false">
      <c r="A4008" s="707"/>
      <c r="B4008" s="522"/>
      <c r="C4008" s="709" t="s">
        <v>4250</v>
      </c>
      <c r="D4008" s="679" t="s">
        <v>4392</v>
      </c>
      <c r="E4008" s="710" t="n">
        <v>0.013</v>
      </c>
      <c r="F4008" s="369" t="n">
        <v>27000</v>
      </c>
      <c r="G4008" s="716" t="n">
        <f aca="false">E4008*F4008</f>
        <v>351</v>
      </c>
      <c r="H4008" s="679"/>
    </row>
    <row r="4009" s="451" customFormat="true" ht="15" hidden="false" customHeight="false" outlineLevel="0" collapsed="false">
      <c r="A4009" s="707"/>
      <c r="B4009" s="522"/>
      <c r="C4009" s="709" t="s">
        <v>4205</v>
      </c>
      <c r="D4009" s="679" t="s">
        <v>4392</v>
      </c>
      <c r="E4009" s="725" t="n">
        <v>0.07</v>
      </c>
      <c r="F4009" s="717" t="n">
        <v>7875</v>
      </c>
      <c r="G4009" s="716" t="n">
        <f aca="false">E4009*F4009</f>
        <v>551.25</v>
      </c>
      <c r="H4009" s="679"/>
    </row>
    <row r="4010" s="451" customFormat="true" ht="15" hidden="false" customHeight="false" outlineLevel="0" collapsed="false">
      <c r="A4010" s="707"/>
      <c r="B4010" s="522"/>
      <c r="C4010" s="709" t="s">
        <v>4171</v>
      </c>
      <c r="D4010" s="679" t="s">
        <v>4392</v>
      </c>
      <c r="E4010" s="725" t="n">
        <v>0.1</v>
      </c>
      <c r="F4010" s="369" t="n">
        <v>2700</v>
      </c>
      <c r="G4010" s="716" t="n">
        <f aca="false">E4010*F4010</f>
        <v>270</v>
      </c>
      <c r="H4010" s="679"/>
    </row>
    <row r="4011" s="451" customFormat="true" ht="15" hidden="false" customHeight="false" outlineLevel="0" collapsed="false">
      <c r="A4011" s="707"/>
      <c r="B4011" s="522"/>
      <c r="C4011" s="709" t="s">
        <v>4545</v>
      </c>
      <c r="D4011" s="679" t="s">
        <v>4133</v>
      </c>
      <c r="E4011" s="725" t="n">
        <v>0.12</v>
      </c>
      <c r="F4011" s="369" t="n">
        <v>1071</v>
      </c>
      <c r="G4011" s="716" t="n">
        <f aca="false">E4011*F4011</f>
        <v>128.52</v>
      </c>
      <c r="H4011" s="679"/>
    </row>
    <row r="4012" s="451" customFormat="true" ht="15" hidden="false" customHeight="false" outlineLevel="0" collapsed="false">
      <c r="A4012" s="707"/>
      <c r="B4012" s="522"/>
      <c r="C4012" s="709" t="s">
        <v>4604</v>
      </c>
      <c r="D4012" s="679" t="s">
        <v>4392</v>
      </c>
      <c r="E4012" s="725" t="n">
        <v>0.02</v>
      </c>
      <c r="F4012" s="369" t="n">
        <v>115000</v>
      </c>
      <c r="G4012" s="716" t="n">
        <f aca="false">E4012*F4012</f>
        <v>2300</v>
      </c>
      <c r="H4012" s="392"/>
    </row>
    <row r="4013" s="451" customFormat="true" ht="15" hidden="false" customHeight="false" outlineLevel="0" collapsed="false">
      <c r="A4013" s="707"/>
      <c r="B4013" s="522"/>
      <c r="C4013" s="709" t="s">
        <v>4580</v>
      </c>
      <c r="D4013" s="679" t="s">
        <v>4133</v>
      </c>
      <c r="E4013" s="725" t="n">
        <v>0.1</v>
      </c>
      <c r="F4013" s="369" t="n">
        <v>1690</v>
      </c>
      <c r="G4013" s="716" t="n">
        <f aca="false">E4013*F4013</f>
        <v>169</v>
      </c>
      <c r="H4013" s="679"/>
    </row>
    <row r="4014" s="451" customFormat="true" ht="15" hidden="false" customHeight="false" outlineLevel="0" collapsed="false">
      <c r="A4014" s="707"/>
      <c r="B4014" s="522"/>
      <c r="C4014" s="709" t="s">
        <v>4317</v>
      </c>
      <c r="D4014" s="679" t="s">
        <v>4392</v>
      </c>
      <c r="E4014" s="725" t="n">
        <v>0.05</v>
      </c>
      <c r="F4014" s="724" t="n">
        <v>16500</v>
      </c>
      <c r="G4014" s="716" t="n">
        <f aca="false">E4014*F4014</f>
        <v>825</v>
      </c>
      <c r="H4014" s="679"/>
    </row>
    <row r="4015" s="451" customFormat="true" ht="15" hidden="false" customHeight="false" outlineLevel="0" collapsed="false">
      <c r="A4015" s="707"/>
      <c r="B4015" s="522"/>
      <c r="C4015" s="709" t="s">
        <v>4485</v>
      </c>
      <c r="D4015" s="679" t="s">
        <v>4133</v>
      </c>
      <c r="E4015" s="725" t="n">
        <v>0.1</v>
      </c>
      <c r="F4015" s="729" t="n">
        <v>3500</v>
      </c>
      <c r="G4015" s="716" t="n">
        <f aca="false">E4015*F4015</f>
        <v>350</v>
      </c>
      <c r="H4015" s="679"/>
    </row>
    <row r="4016" s="451" customFormat="true" ht="15" hidden="false" customHeight="false" outlineLevel="0" collapsed="false">
      <c r="A4016" s="707"/>
      <c r="B4016" s="522"/>
      <c r="C4016" s="709" t="s">
        <v>4673</v>
      </c>
      <c r="D4016" s="679" t="s">
        <v>4133</v>
      </c>
      <c r="E4016" s="710" t="n">
        <v>0.016</v>
      </c>
      <c r="F4016" s="369" t="n">
        <v>7321.43</v>
      </c>
      <c r="G4016" s="716" t="n">
        <f aca="false">E4016*F4016</f>
        <v>117.14288</v>
      </c>
      <c r="H4016" s="679"/>
    </row>
    <row r="4017" s="451" customFormat="true" ht="15" hidden="false" customHeight="false" outlineLevel="0" collapsed="false">
      <c r="A4017" s="707"/>
      <c r="B4017" s="522"/>
      <c r="C4017" s="709" t="s">
        <v>4655</v>
      </c>
      <c r="D4017" s="679" t="s">
        <v>4392</v>
      </c>
      <c r="E4017" s="715" t="n">
        <v>0.01</v>
      </c>
      <c r="F4017" s="369" t="n">
        <v>9500</v>
      </c>
      <c r="G4017" s="716" t="n">
        <f aca="false">E4017*F4017</f>
        <v>95</v>
      </c>
      <c r="H4017" s="679"/>
    </row>
    <row r="4018" s="451" customFormat="true" ht="15" hidden="false" customHeight="false" outlineLevel="0" collapsed="false">
      <c r="A4018" s="707"/>
      <c r="B4018" s="522"/>
      <c r="C4018" s="709" t="s">
        <v>4674</v>
      </c>
      <c r="D4018" s="679" t="s">
        <v>4138</v>
      </c>
      <c r="E4018" s="715" t="n">
        <v>0.08</v>
      </c>
      <c r="F4018" s="369" t="n">
        <v>81000</v>
      </c>
      <c r="G4018" s="716" t="n">
        <f aca="false">E4018*F4018</f>
        <v>6480</v>
      </c>
      <c r="H4018" s="679"/>
    </row>
    <row r="4019" s="451" customFormat="true" ht="15" hidden="false" customHeight="false" outlineLevel="0" collapsed="false">
      <c r="A4019" s="707"/>
      <c r="B4019" s="522"/>
      <c r="C4019" s="709" t="s">
        <v>4675</v>
      </c>
      <c r="D4019" s="679" t="s">
        <v>4138</v>
      </c>
      <c r="E4019" s="715" t="n">
        <v>0.08</v>
      </c>
      <c r="F4019" s="369" t="n">
        <v>81000</v>
      </c>
      <c r="G4019" s="716" t="n">
        <f aca="false">E4019*F4019</f>
        <v>6480</v>
      </c>
      <c r="H4019" s="679"/>
    </row>
    <row r="4020" s="451" customFormat="true" ht="15" hidden="false" customHeight="false" outlineLevel="0" collapsed="false">
      <c r="A4020" s="707"/>
      <c r="B4020" s="522"/>
      <c r="C4020" s="709" t="s">
        <v>4515</v>
      </c>
      <c r="D4020" s="679" t="s">
        <v>4133</v>
      </c>
      <c r="E4020" s="715" t="n">
        <v>0.1</v>
      </c>
      <c r="F4020" s="369" t="n">
        <v>2700</v>
      </c>
      <c r="G4020" s="716" t="n">
        <f aca="false">E4020*F4020</f>
        <v>270</v>
      </c>
      <c r="H4020" s="679"/>
    </row>
    <row r="4021" s="451" customFormat="true" ht="15" hidden="false" customHeight="false" outlineLevel="0" collapsed="false">
      <c r="A4021" s="707"/>
      <c r="B4021" s="522"/>
      <c r="C4021" s="709" t="s">
        <v>4124</v>
      </c>
      <c r="D4021" s="679" t="s">
        <v>4516</v>
      </c>
      <c r="E4021" s="715" t="n">
        <v>0.5</v>
      </c>
      <c r="F4021" s="369" t="n">
        <v>120</v>
      </c>
      <c r="G4021" s="716" t="n">
        <f aca="false">E4021*F4021</f>
        <v>60</v>
      </c>
      <c r="H4021" s="679"/>
    </row>
    <row r="4022" s="451" customFormat="true" ht="15" hidden="false" customHeight="false" outlineLevel="0" collapsed="false">
      <c r="A4022" s="707"/>
      <c r="B4022" s="708" t="s">
        <v>4128</v>
      </c>
      <c r="C4022" s="718"/>
      <c r="D4022" s="719"/>
      <c r="E4022" s="722"/>
      <c r="F4022" s="366"/>
      <c r="G4022" s="711" t="n">
        <f aca="false">SUM(G4006:G4021)</f>
        <v>18886.51288</v>
      </c>
      <c r="H4022" s="679"/>
    </row>
    <row r="4023" s="451" customFormat="true" ht="15" hidden="false" customHeight="false" outlineLevel="0" collapsed="false">
      <c r="A4023" s="707" t="s">
        <v>819</v>
      </c>
      <c r="B4023" s="532" t="s">
        <v>3221</v>
      </c>
      <c r="C4023" s="718" t="n">
        <v>0</v>
      </c>
      <c r="D4023" s="719"/>
      <c r="E4023" s="722"/>
      <c r="F4023" s="366"/>
      <c r="G4023" s="711"/>
      <c r="H4023" s="679"/>
    </row>
    <row r="4024" s="451" customFormat="true" ht="15" hidden="false" customHeight="false" outlineLevel="0" collapsed="false">
      <c r="A4024" s="707" t="s">
        <v>4952</v>
      </c>
      <c r="B4024" s="532" t="s">
        <v>3222</v>
      </c>
      <c r="C4024" s="718"/>
      <c r="D4024" s="719"/>
      <c r="E4024" s="722"/>
      <c r="F4024" s="366"/>
      <c r="G4024" s="711"/>
      <c r="H4024" s="679"/>
    </row>
    <row r="4025" s="451" customFormat="true" ht="15" hidden="false" customHeight="false" outlineLevel="0" collapsed="false">
      <c r="A4025" s="707" t="s">
        <v>4953</v>
      </c>
      <c r="B4025" s="532" t="s">
        <v>3223</v>
      </c>
      <c r="C4025" s="747" t="s">
        <v>4639</v>
      </c>
      <c r="D4025" s="679" t="s">
        <v>4348</v>
      </c>
      <c r="E4025" s="679" t="n">
        <v>5</v>
      </c>
      <c r="F4025" s="729" t="n">
        <v>5.1</v>
      </c>
      <c r="G4025" s="761" t="n">
        <f aca="false">E4025*F4025</f>
        <v>25.5</v>
      </c>
      <c r="H4025" s="679"/>
    </row>
    <row r="4026" s="451" customFormat="true" ht="15" hidden="false" customHeight="false" outlineLevel="0" collapsed="false">
      <c r="A4026" s="707"/>
      <c r="B4026" s="708"/>
      <c r="C4026" s="532" t="s">
        <v>4564</v>
      </c>
      <c r="D4026" s="679" t="s">
        <v>4133</v>
      </c>
      <c r="E4026" s="679" t="n">
        <v>0.02</v>
      </c>
      <c r="F4026" s="721" t="n">
        <v>3500</v>
      </c>
      <c r="G4026" s="761" t="n">
        <f aca="false">E4026*F4026</f>
        <v>70</v>
      </c>
      <c r="H4026" s="679"/>
    </row>
    <row r="4027" s="451" customFormat="true" ht="15" hidden="false" customHeight="false" outlineLevel="0" collapsed="false">
      <c r="A4027" s="707"/>
      <c r="B4027" s="708"/>
      <c r="C4027" s="747" t="s">
        <v>4954</v>
      </c>
      <c r="D4027" s="679" t="s">
        <v>4133</v>
      </c>
      <c r="E4027" s="679" t="n">
        <v>0.054</v>
      </c>
      <c r="F4027" s="729" t="n">
        <v>10500</v>
      </c>
      <c r="G4027" s="761" t="n">
        <f aca="false">E4027*F4027</f>
        <v>567</v>
      </c>
      <c r="H4027" s="679"/>
    </row>
    <row r="4028" s="451" customFormat="true" ht="15" hidden="false" customHeight="false" outlineLevel="0" collapsed="false">
      <c r="A4028" s="707"/>
      <c r="B4028" s="708"/>
      <c r="C4028" s="709" t="s">
        <v>4515</v>
      </c>
      <c r="D4028" s="679" t="s">
        <v>4133</v>
      </c>
      <c r="E4028" s="715" t="n">
        <v>0.03</v>
      </c>
      <c r="F4028" s="369" t="n">
        <v>2700</v>
      </c>
      <c r="G4028" s="761" t="n">
        <f aca="false">E4028*F4028</f>
        <v>81</v>
      </c>
      <c r="H4028" s="679"/>
    </row>
    <row r="4029" s="451" customFormat="true" ht="15" hidden="false" customHeight="false" outlineLevel="0" collapsed="false">
      <c r="A4029" s="707"/>
      <c r="B4029" s="708"/>
      <c r="C4029" s="709" t="s">
        <v>4124</v>
      </c>
      <c r="D4029" s="679" t="s">
        <v>4516</v>
      </c>
      <c r="E4029" s="715" t="n">
        <v>1.5</v>
      </c>
      <c r="F4029" s="369" t="n">
        <v>120</v>
      </c>
      <c r="G4029" s="761" t="n">
        <f aca="false">E4029*F4029</f>
        <v>180</v>
      </c>
      <c r="H4029" s="679"/>
    </row>
    <row r="4030" s="451" customFormat="true" ht="15" hidden="false" customHeight="false" outlineLevel="0" collapsed="false">
      <c r="A4030" s="707"/>
      <c r="B4030" s="708" t="s">
        <v>4128</v>
      </c>
      <c r="C4030" s="718"/>
      <c r="D4030" s="719"/>
      <c r="E4030" s="722"/>
      <c r="F4030" s="366"/>
      <c r="G4030" s="711" t="n">
        <f aca="false">SUM(G4025:G4029)</f>
        <v>923.5</v>
      </c>
      <c r="H4030" s="679"/>
    </row>
    <row r="4031" customFormat="false" ht="15" hidden="false" customHeight="false" outlineLevel="0" collapsed="false">
      <c r="A4031" s="350" t="s">
        <v>4955</v>
      </c>
      <c r="B4031" s="467" t="s">
        <v>826</v>
      </c>
      <c r="C4031" s="751"/>
      <c r="D4031" s="339"/>
      <c r="E4031" s="752"/>
      <c r="F4031" s="519"/>
      <c r="G4031" s="753"/>
      <c r="H4031" s="790"/>
    </row>
    <row r="4032" customFormat="false" ht="15" hidden="false" customHeight="false" outlineLevel="0" collapsed="false">
      <c r="A4032" s="571" t="s">
        <v>4956</v>
      </c>
      <c r="B4032" s="328" t="s">
        <v>3010</v>
      </c>
      <c r="C4032" s="614"/>
      <c r="D4032" s="606"/>
      <c r="E4032" s="622"/>
      <c r="F4032" s="361"/>
      <c r="G4032" s="615"/>
      <c r="H4032" s="391"/>
    </row>
    <row r="4033" customFormat="false" ht="15" hidden="false" customHeight="false" outlineLevel="0" collapsed="false">
      <c r="A4033" s="571" t="s">
        <v>4957</v>
      </c>
      <c r="B4033" s="328" t="s">
        <v>3084</v>
      </c>
      <c r="C4033" s="614" t="s">
        <v>4515</v>
      </c>
      <c r="D4033" s="606" t="s">
        <v>4133</v>
      </c>
      <c r="E4033" s="702" t="n">
        <v>0.06</v>
      </c>
      <c r="F4033" s="361" t="n">
        <v>2700</v>
      </c>
      <c r="G4033" s="615" t="n">
        <f aca="false">E4033*F4033</f>
        <v>162</v>
      </c>
      <c r="H4033" s="606"/>
    </row>
    <row r="4034" customFormat="false" ht="15" hidden="false" customHeight="false" outlineLevel="0" collapsed="false">
      <c r="A4034" s="571"/>
      <c r="B4034" s="500"/>
      <c r="C4034" s="614" t="s">
        <v>4124</v>
      </c>
      <c r="D4034" s="606" t="s">
        <v>4516</v>
      </c>
      <c r="E4034" s="702" t="n">
        <v>1.5</v>
      </c>
      <c r="F4034" s="361" t="n">
        <v>120</v>
      </c>
      <c r="G4034" s="615" t="n">
        <f aca="false">E4034*F4034</f>
        <v>180</v>
      </c>
      <c r="H4034" s="606"/>
    </row>
    <row r="4035" customFormat="false" ht="15" hidden="false" customHeight="false" outlineLevel="0" collapsed="false">
      <c r="A4035" s="571"/>
      <c r="B4035" s="608" t="s">
        <v>4128</v>
      </c>
      <c r="C4035" s="609"/>
      <c r="D4035" s="610"/>
      <c r="E4035" s="611"/>
      <c r="F4035" s="612"/>
      <c r="G4035" s="613" t="n">
        <f aca="false">SUM(G4033:G4034)</f>
        <v>342</v>
      </c>
      <c r="H4035" s="606"/>
    </row>
    <row r="4036" customFormat="false" ht="15" hidden="false" customHeight="false" outlineLevel="0" collapsed="false">
      <c r="A4036" s="571" t="s">
        <v>829</v>
      </c>
      <c r="B4036" s="328" t="s">
        <v>3085</v>
      </c>
      <c r="C4036" s="614" t="s">
        <v>4515</v>
      </c>
      <c r="D4036" s="606" t="s">
        <v>4133</v>
      </c>
      <c r="E4036" s="622" t="n">
        <v>0.08565</v>
      </c>
      <c r="F4036" s="361" t="n">
        <v>2700</v>
      </c>
      <c r="G4036" s="615" t="n">
        <f aca="false">E4036*F4036</f>
        <v>231.255</v>
      </c>
      <c r="H4036" s="606"/>
    </row>
    <row r="4037" customFormat="false" ht="15" hidden="false" customHeight="false" outlineLevel="0" collapsed="false">
      <c r="A4037" s="571"/>
      <c r="B4037" s="500"/>
      <c r="C4037" s="614" t="s">
        <v>4124</v>
      </c>
      <c r="D4037" s="606" t="s">
        <v>4516</v>
      </c>
      <c r="E4037" s="622" t="n">
        <v>0.9949</v>
      </c>
      <c r="F4037" s="361" t="n">
        <v>120</v>
      </c>
      <c r="G4037" s="615" t="n">
        <f aca="false">E4037*F4037</f>
        <v>119.388</v>
      </c>
      <c r="H4037" s="606"/>
    </row>
    <row r="4038" customFormat="false" ht="15" hidden="false" customHeight="false" outlineLevel="0" collapsed="false">
      <c r="A4038" s="571"/>
      <c r="B4038" s="500"/>
      <c r="C4038" s="614" t="s">
        <v>4122</v>
      </c>
      <c r="D4038" s="606" t="s">
        <v>4392</v>
      </c>
      <c r="E4038" s="622" t="n">
        <v>0.16884</v>
      </c>
      <c r="F4038" s="797" t="n">
        <v>720</v>
      </c>
      <c r="G4038" s="615" t="n">
        <f aca="false">E4038*F4038</f>
        <v>121.5648</v>
      </c>
      <c r="H4038" s="606"/>
    </row>
    <row r="4039" s="451" customFormat="true" ht="15" hidden="false" customHeight="false" outlineLevel="0" collapsed="false">
      <c r="A4039" s="707"/>
      <c r="B4039" s="708" t="s">
        <v>4128</v>
      </c>
      <c r="C4039" s="718"/>
      <c r="D4039" s="719"/>
      <c r="E4039" s="722"/>
      <c r="F4039" s="366"/>
      <c r="G4039" s="711" t="n">
        <f aca="false">SUM(G4036:G4038)</f>
        <v>472.2078</v>
      </c>
      <c r="H4039" s="679"/>
    </row>
    <row r="4040" s="451" customFormat="true" ht="15" hidden="false" customHeight="false" outlineLevel="0" collapsed="false">
      <c r="A4040" s="707" t="s">
        <v>830</v>
      </c>
      <c r="B4040" s="487" t="s">
        <v>3126</v>
      </c>
      <c r="C4040" s="709" t="s">
        <v>4154</v>
      </c>
      <c r="D4040" s="679" t="s">
        <v>4392</v>
      </c>
      <c r="E4040" s="710" t="n">
        <v>0.08585</v>
      </c>
      <c r="F4040" s="721" t="n">
        <v>3500</v>
      </c>
      <c r="G4040" s="716" t="n">
        <f aca="false">E4040*F4040</f>
        <v>300.475</v>
      </c>
      <c r="H4040" s="679"/>
    </row>
    <row r="4041" s="451" customFormat="true" ht="15" hidden="false" customHeight="false" outlineLevel="0" collapsed="false">
      <c r="A4041" s="707"/>
      <c r="B4041" s="522"/>
      <c r="C4041" s="709" t="s">
        <v>4515</v>
      </c>
      <c r="D4041" s="679" t="s">
        <v>4133</v>
      </c>
      <c r="E4041" s="715" t="n">
        <v>0.06</v>
      </c>
      <c r="F4041" s="369" t="n">
        <v>2700</v>
      </c>
      <c r="G4041" s="716" t="n">
        <f aca="false">E4041*F4041</f>
        <v>162</v>
      </c>
      <c r="H4041" s="392"/>
    </row>
    <row r="4042" s="451" customFormat="true" ht="15" hidden="false" customHeight="false" outlineLevel="0" collapsed="false">
      <c r="A4042" s="707"/>
      <c r="B4042" s="522"/>
      <c r="C4042" s="709" t="s">
        <v>4124</v>
      </c>
      <c r="D4042" s="679" t="s">
        <v>4516</v>
      </c>
      <c r="E4042" s="715" t="n">
        <v>1.5</v>
      </c>
      <c r="F4042" s="369" t="n">
        <v>120</v>
      </c>
      <c r="G4042" s="716" t="n">
        <f aca="false">E4042*F4042</f>
        <v>180</v>
      </c>
      <c r="H4042" s="679"/>
    </row>
    <row r="4043" s="451" customFormat="true" ht="15" hidden="false" customHeight="false" outlineLevel="0" collapsed="false">
      <c r="A4043" s="707"/>
      <c r="B4043" s="708" t="s">
        <v>4128</v>
      </c>
      <c r="C4043" s="718"/>
      <c r="D4043" s="719"/>
      <c r="E4043" s="722"/>
      <c r="F4043" s="366"/>
      <c r="G4043" s="711" t="n">
        <f aca="false">SUM(G4040:G4042)</f>
        <v>642.475</v>
      </c>
      <c r="H4043" s="679"/>
    </row>
    <row r="4044" s="451" customFormat="true" ht="15" hidden="false" customHeight="false" outlineLevel="0" collapsed="false">
      <c r="A4044" s="707" t="s">
        <v>831</v>
      </c>
      <c r="B4044" s="487" t="s">
        <v>2964</v>
      </c>
      <c r="C4044" s="709" t="s">
        <v>4515</v>
      </c>
      <c r="D4044" s="679" t="s">
        <v>4133</v>
      </c>
      <c r="E4044" s="715" t="n">
        <v>0.06</v>
      </c>
      <c r="F4044" s="369" t="n">
        <v>2700</v>
      </c>
      <c r="G4044" s="716" t="n">
        <f aca="false">E4044*F4044</f>
        <v>162</v>
      </c>
      <c r="H4044" s="679"/>
    </row>
    <row r="4045" s="451" customFormat="true" ht="15" hidden="false" customHeight="false" outlineLevel="0" collapsed="false">
      <c r="A4045" s="707"/>
      <c r="B4045" s="522"/>
      <c r="C4045" s="709" t="s">
        <v>4122</v>
      </c>
      <c r="D4045" s="679" t="s">
        <v>4392</v>
      </c>
      <c r="E4045" s="715" t="n">
        <v>0.3</v>
      </c>
      <c r="F4045" s="721" t="n">
        <v>720</v>
      </c>
      <c r="G4045" s="716" t="n">
        <f aca="false">E4045*F4045</f>
        <v>216</v>
      </c>
      <c r="H4045" s="679"/>
    </row>
    <row r="4046" s="451" customFormat="true" ht="15" hidden="false" customHeight="false" outlineLevel="0" collapsed="false">
      <c r="A4046" s="707"/>
      <c r="B4046" s="708" t="s">
        <v>4128</v>
      </c>
      <c r="C4046" s="718"/>
      <c r="D4046" s="719"/>
      <c r="E4046" s="720"/>
      <c r="F4046" s="366"/>
      <c r="G4046" s="711" t="n">
        <f aca="false">SUM(G4044:G4045)</f>
        <v>378</v>
      </c>
      <c r="H4046" s="679"/>
    </row>
    <row r="4047" s="451" customFormat="true" ht="15" hidden="false" customHeight="false" outlineLevel="0" collapsed="false">
      <c r="A4047" s="707" t="s">
        <v>832</v>
      </c>
      <c r="B4047" s="487" t="s">
        <v>3215</v>
      </c>
      <c r="C4047" s="709" t="s">
        <v>4205</v>
      </c>
      <c r="D4047" s="679" t="s">
        <v>4392</v>
      </c>
      <c r="E4047" s="715" t="n">
        <v>0.03</v>
      </c>
      <c r="F4047" s="717" t="n">
        <v>7875</v>
      </c>
      <c r="G4047" s="716" t="n">
        <f aca="false">E4047*F4047</f>
        <v>236.25</v>
      </c>
      <c r="H4047" s="679"/>
    </row>
    <row r="4048" s="451" customFormat="true" ht="15" hidden="false" customHeight="false" outlineLevel="0" collapsed="false">
      <c r="A4048" s="707"/>
      <c r="B4048" s="487"/>
      <c r="C4048" s="709" t="s">
        <v>4946</v>
      </c>
      <c r="D4048" s="679" t="s">
        <v>4138</v>
      </c>
      <c r="E4048" s="715" t="n">
        <v>0.5</v>
      </c>
      <c r="F4048" s="369" t="n">
        <v>17000</v>
      </c>
      <c r="G4048" s="716" t="n">
        <f aca="false">E4048*F4048</f>
        <v>8500</v>
      </c>
      <c r="H4048" s="679"/>
    </row>
    <row r="4049" s="451" customFormat="true" ht="15" hidden="false" customHeight="false" outlineLevel="0" collapsed="false">
      <c r="A4049" s="707"/>
      <c r="B4049" s="522"/>
      <c r="C4049" s="709" t="s">
        <v>4529</v>
      </c>
      <c r="D4049" s="679" t="s">
        <v>4133</v>
      </c>
      <c r="E4049" s="715" t="n">
        <v>0.1</v>
      </c>
      <c r="F4049" s="369" t="n">
        <v>1200</v>
      </c>
      <c r="G4049" s="716" t="n">
        <f aca="false">E4049*F4049</f>
        <v>120</v>
      </c>
      <c r="H4049" s="679"/>
    </row>
    <row r="4050" s="451" customFormat="true" ht="15" hidden="false" customHeight="false" outlineLevel="0" collapsed="false">
      <c r="A4050" s="707"/>
      <c r="B4050" s="522"/>
      <c r="C4050" s="709" t="s">
        <v>4154</v>
      </c>
      <c r="D4050" s="679" t="s">
        <v>4392</v>
      </c>
      <c r="E4050" s="710" t="n">
        <v>0.07154</v>
      </c>
      <c r="F4050" s="721" t="n">
        <v>3500</v>
      </c>
      <c r="G4050" s="716" t="n">
        <f aca="false">E4050*F4050</f>
        <v>250.39</v>
      </c>
      <c r="H4050" s="679"/>
    </row>
    <row r="4051" s="451" customFormat="true" ht="15" hidden="false" customHeight="false" outlineLevel="0" collapsed="false">
      <c r="A4051" s="707"/>
      <c r="B4051" s="522"/>
      <c r="C4051" s="709" t="s">
        <v>4909</v>
      </c>
      <c r="D4051" s="679" t="s">
        <v>4392</v>
      </c>
      <c r="E4051" s="710" t="n">
        <v>0.015</v>
      </c>
      <c r="F4051" s="369" t="n">
        <v>580</v>
      </c>
      <c r="G4051" s="716" t="n">
        <f aca="false">E4051*F4051</f>
        <v>8.7</v>
      </c>
      <c r="H4051" s="679"/>
    </row>
    <row r="4052" s="451" customFormat="true" ht="15" hidden="false" customHeight="false" outlineLevel="0" collapsed="false">
      <c r="A4052" s="707"/>
      <c r="B4052" s="522"/>
      <c r="C4052" s="709" t="s">
        <v>4923</v>
      </c>
      <c r="D4052" s="679" t="s">
        <v>4578</v>
      </c>
      <c r="E4052" s="715" t="n">
        <v>0.016</v>
      </c>
      <c r="F4052" s="724" t="n">
        <v>275000</v>
      </c>
      <c r="G4052" s="716" t="n">
        <f aca="false">E4052*F4052</f>
        <v>4400</v>
      </c>
      <c r="H4052" s="679"/>
    </row>
    <row r="4053" s="451" customFormat="true" ht="15" hidden="false" customHeight="false" outlineLevel="0" collapsed="false">
      <c r="A4053" s="707"/>
      <c r="B4053" s="522"/>
      <c r="C4053" s="709" t="s">
        <v>4515</v>
      </c>
      <c r="D4053" s="679" t="s">
        <v>4133</v>
      </c>
      <c r="E4053" s="715" t="n">
        <v>0.06</v>
      </c>
      <c r="F4053" s="369" t="n">
        <v>2700</v>
      </c>
      <c r="G4053" s="716" t="n">
        <f aca="false">E4053*F4053</f>
        <v>162</v>
      </c>
      <c r="H4053" s="679"/>
    </row>
    <row r="4054" s="451" customFormat="true" ht="15" hidden="false" customHeight="false" outlineLevel="0" collapsed="false">
      <c r="A4054" s="707"/>
      <c r="B4054" s="522"/>
      <c r="C4054" s="709" t="s">
        <v>4124</v>
      </c>
      <c r="D4054" s="679" t="s">
        <v>4516</v>
      </c>
      <c r="E4054" s="715" t="n">
        <v>1.5</v>
      </c>
      <c r="F4054" s="369" t="n">
        <v>120</v>
      </c>
      <c r="G4054" s="716" t="n">
        <f aca="false">E4054*F4054</f>
        <v>180</v>
      </c>
      <c r="H4054" s="679"/>
    </row>
    <row r="4055" s="451" customFormat="true" ht="15" hidden="false" customHeight="false" outlineLevel="0" collapsed="false">
      <c r="A4055" s="707"/>
      <c r="B4055" s="708" t="s">
        <v>4128</v>
      </c>
      <c r="C4055" s="718"/>
      <c r="D4055" s="719"/>
      <c r="E4055" s="722"/>
      <c r="F4055" s="366"/>
      <c r="G4055" s="711" t="n">
        <f aca="false">SUM(G4047:G4054)</f>
        <v>13857.34</v>
      </c>
      <c r="H4055" s="679"/>
    </row>
    <row r="4056" s="451" customFormat="true" ht="30" hidden="false" customHeight="false" outlineLevel="0" collapsed="false">
      <c r="A4056" s="707" t="s">
        <v>833</v>
      </c>
      <c r="B4056" s="487" t="s">
        <v>3224</v>
      </c>
      <c r="C4056" s="709" t="s">
        <v>4515</v>
      </c>
      <c r="D4056" s="679" t="s">
        <v>4133</v>
      </c>
      <c r="E4056" s="715" t="n">
        <v>0.03</v>
      </c>
      <c r="F4056" s="369" t="n">
        <v>2700</v>
      </c>
      <c r="G4056" s="716" t="n">
        <f aca="false">E4056*F4056</f>
        <v>81</v>
      </c>
      <c r="H4056" s="679"/>
    </row>
    <row r="4057" s="451" customFormat="true" ht="15" hidden="false" customHeight="false" outlineLevel="0" collapsed="false">
      <c r="A4057" s="707"/>
      <c r="B4057" s="522"/>
      <c r="C4057" s="709" t="s">
        <v>4124</v>
      </c>
      <c r="D4057" s="679" t="s">
        <v>4516</v>
      </c>
      <c r="E4057" s="715" t="n">
        <v>1.5</v>
      </c>
      <c r="F4057" s="369" t="n">
        <v>120</v>
      </c>
      <c r="G4057" s="716" t="n">
        <f aca="false">E4057*F4057</f>
        <v>180</v>
      </c>
      <c r="H4057" s="679"/>
    </row>
    <row r="4058" s="451" customFormat="true" ht="15" hidden="false" customHeight="false" outlineLevel="0" collapsed="false">
      <c r="A4058" s="707"/>
      <c r="B4058" s="708" t="s">
        <v>4128</v>
      </c>
      <c r="C4058" s="718"/>
      <c r="D4058" s="719"/>
      <c r="E4058" s="720"/>
      <c r="F4058" s="366"/>
      <c r="G4058" s="711" t="n">
        <f aca="false">SUM(G4056:G4057)</f>
        <v>261</v>
      </c>
      <c r="H4058" s="679"/>
    </row>
    <row r="4059" s="451" customFormat="true" ht="15" hidden="false" customHeight="false" outlineLevel="0" collapsed="false">
      <c r="A4059" s="707" t="s">
        <v>835</v>
      </c>
      <c r="B4059" s="487" t="s">
        <v>3225</v>
      </c>
      <c r="C4059" s="709"/>
      <c r="D4059" s="679"/>
      <c r="E4059" s="715"/>
      <c r="F4059" s="369"/>
      <c r="G4059" s="716"/>
      <c r="H4059" s="679"/>
    </row>
    <row r="4060" s="451" customFormat="true" ht="15" hidden="false" customHeight="false" outlineLevel="0" collapsed="false">
      <c r="A4060" s="707" t="s">
        <v>837</v>
      </c>
      <c r="B4060" s="487" t="s">
        <v>3226</v>
      </c>
      <c r="C4060" s="709" t="s">
        <v>4148</v>
      </c>
      <c r="D4060" s="679" t="s">
        <v>4133</v>
      </c>
      <c r="E4060" s="715" t="n">
        <v>0.2</v>
      </c>
      <c r="F4060" s="369" t="n">
        <v>1116</v>
      </c>
      <c r="G4060" s="716" t="n">
        <f aca="false">E4060*F4060</f>
        <v>223.2</v>
      </c>
      <c r="H4060" s="392"/>
    </row>
    <row r="4061" s="451" customFormat="true" ht="15" hidden="false" customHeight="false" outlineLevel="0" collapsed="false">
      <c r="A4061" s="707"/>
      <c r="B4061" s="522"/>
      <c r="C4061" s="709" t="s">
        <v>4515</v>
      </c>
      <c r="D4061" s="679" t="s">
        <v>4133</v>
      </c>
      <c r="E4061" s="715" t="n">
        <v>0.06</v>
      </c>
      <c r="F4061" s="369" t="n">
        <v>2700</v>
      </c>
      <c r="G4061" s="716" t="n">
        <f aca="false">E4061*F4061</f>
        <v>162</v>
      </c>
      <c r="H4061" s="679"/>
    </row>
    <row r="4062" s="451" customFormat="true" ht="15" hidden="false" customHeight="false" outlineLevel="0" collapsed="false">
      <c r="A4062" s="707"/>
      <c r="B4062" s="522"/>
      <c r="C4062" s="709" t="s">
        <v>4124</v>
      </c>
      <c r="D4062" s="679" t="s">
        <v>4516</v>
      </c>
      <c r="E4062" s="715" t="n">
        <v>1.5</v>
      </c>
      <c r="F4062" s="369" t="n">
        <v>120</v>
      </c>
      <c r="G4062" s="716" t="n">
        <f aca="false">E4062*F4062</f>
        <v>180</v>
      </c>
      <c r="H4062" s="679"/>
    </row>
    <row r="4063" s="451" customFormat="true" ht="15" hidden="false" customHeight="false" outlineLevel="0" collapsed="false">
      <c r="A4063" s="707"/>
      <c r="B4063" s="708" t="s">
        <v>4128</v>
      </c>
      <c r="C4063" s="718"/>
      <c r="D4063" s="719"/>
      <c r="E4063" s="720"/>
      <c r="F4063" s="366"/>
      <c r="G4063" s="711" t="n">
        <f aca="false">SUM(G4060:G4062)</f>
        <v>565.2</v>
      </c>
      <c r="H4063" s="679"/>
    </row>
    <row r="4064" s="451" customFormat="true" ht="15" hidden="false" customHeight="false" outlineLevel="0" collapsed="false">
      <c r="A4064" s="707" t="s">
        <v>838</v>
      </c>
      <c r="B4064" s="487" t="s">
        <v>3103</v>
      </c>
      <c r="C4064" s="709" t="s">
        <v>4189</v>
      </c>
      <c r="D4064" s="679" t="s">
        <v>4392</v>
      </c>
      <c r="E4064" s="715" t="n">
        <v>0.3</v>
      </c>
      <c r="F4064" s="729" t="n">
        <v>3500</v>
      </c>
      <c r="G4064" s="716" t="n">
        <f aca="false">E4064*F4064</f>
        <v>1050</v>
      </c>
      <c r="H4064" s="679"/>
    </row>
    <row r="4065" s="451" customFormat="true" ht="15" hidden="false" customHeight="false" outlineLevel="0" collapsed="false">
      <c r="A4065" s="707"/>
      <c r="B4065" s="522"/>
      <c r="C4065" s="709" t="s">
        <v>4147</v>
      </c>
      <c r="D4065" s="679" t="s">
        <v>4392</v>
      </c>
      <c r="E4065" s="715" t="n">
        <v>0.15</v>
      </c>
      <c r="F4065" s="723" t="n">
        <v>3612</v>
      </c>
      <c r="G4065" s="716" t="n">
        <f aca="false">E4065*F4065</f>
        <v>541.8</v>
      </c>
      <c r="H4065" s="679"/>
    </row>
    <row r="4066" s="451" customFormat="true" ht="15" hidden="false" customHeight="false" outlineLevel="0" collapsed="false">
      <c r="A4066" s="707"/>
      <c r="B4066" s="522"/>
      <c r="C4066" s="709" t="s">
        <v>4277</v>
      </c>
      <c r="D4066" s="679" t="s">
        <v>4133</v>
      </c>
      <c r="E4066" s="715" t="n">
        <v>0.1</v>
      </c>
      <c r="F4066" s="369" t="n">
        <v>12900</v>
      </c>
      <c r="G4066" s="716" t="n">
        <f aca="false">E4066*F4066</f>
        <v>1290</v>
      </c>
      <c r="H4066" s="679"/>
    </row>
    <row r="4067" s="451" customFormat="true" ht="15" hidden="false" customHeight="false" outlineLevel="0" collapsed="false">
      <c r="A4067" s="707"/>
      <c r="B4067" s="522"/>
      <c r="C4067" s="709" t="s">
        <v>4575</v>
      </c>
      <c r="D4067" s="679" t="s">
        <v>4133</v>
      </c>
      <c r="E4067" s="715" t="n">
        <v>0.01</v>
      </c>
      <c r="F4067" s="369" t="n">
        <v>24000</v>
      </c>
      <c r="G4067" s="716" t="n">
        <f aca="false">E4067*F4067</f>
        <v>240</v>
      </c>
      <c r="H4067" s="679"/>
    </row>
    <row r="4068" s="451" customFormat="true" ht="15" hidden="false" customHeight="false" outlineLevel="0" collapsed="false">
      <c r="A4068" s="707"/>
      <c r="B4068" s="522"/>
      <c r="C4068" s="709" t="s">
        <v>4165</v>
      </c>
      <c r="D4068" s="679" t="s">
        <v>4133</v>
      </c>
      <c r="E4068" s="710" t="n">
        <v>0.022675</v>
      </c>
      <c r="F4068" s="369" t="n">
        <v>1323</v>
      </c>
      <c r="G4068" s="716" t="n">
        <f aca="false">E4068*F4068</f>
        <v>29.999025</v>
      </c>
      <c r="H4068" s="392"/>
    </row>
    <row r="4069" s="451" customFormat="true" ht="15" hidden="false" customHeight="false" outlineLevel="0" collapsed="false">
      <c r="A4069" s="707"/>
      <c r="B4069" s="522"/>
      <c r="C4069" s="709" t="s">
        <v>4270</v>
      </c>
      <c r="D4069" s="679" t="s">
        <v>4392</v>
      </c>
      <c r="E4069" s="715" t="n">
        <v>0.01</v>
      </c>
      <c r="F4069" s="369" t="n">
        <v>1750</v>
      </c>
      <c r="G4069" s="716" t="n">
        <f aca="false">E4069*F4069</f>
        <v>17.5</v>
      </c>
      <c r="H4069" s="679"/>
    </row>
    <row r="4070" s="451" customFormat="true" ht="15" hidden="false" customHeight="false" outlineLevel="0" collapsed="false">
      <c r="A4070" s="707"/>
      <c r="B4070" s="522"/>
      <c r="C4070" s="709" t="s">
        <v>4122</v>
      </c>
      <c r="D4070" s="679" t="s">
        <v>4392</v>
      </c>
      <c r="E4070" s="715" t="n">
        <v>0.3</v>
      </c>
      <c r="F4070" s="721" t="n">
        <v>720</v>
      </c>
      <c r="G4070" s="716" t="n">
        <f aca="false">E4070*F4070</f>
        <v>216</v>
      </c>
      <c r="H4070" s="679"/>
    </row>
    <row r="4071" s="451" customFormat="true" ht="19.5" hidden="false" customHeight="true" outlineLevel="0" collapsed="false">
      <c r="A4071" s="707"/>
      <c r="B4071" s="522"/>
      <c r="C4071" s="709" t="s">
        <v>4561</v>
      </c>
      <c r="D4071" s="679" t="s">
        <v>4138</v>
      </c>
      <c r="E4071" s="715" t="n">
        <v>1</v>
      </c>
      <c r="F4071" s="369" t="n">
        <v>490</v>
      </c>
      <c r="G4071" s="716" t="n">
        <f aca="false">E4071*F4071</f>
        <v>490</v>
      </c>
      <c r="H4071" s="679"/>
    </row>
    <row r="4072" s="451" customFormat="true" ht="15" hidden="false" customHeight="false" outlineLevel="0" collapsed="false">
      <c r="A4072" s="707"/>
      <c r="B4072" s="522"/>
      <c r="C4072" s="709" t="s">
        <v>4515</v>
      </c>
      <c r="D4072" s="679" t="s">
        <v>4133</v>
      </c>
      <c r="E4072" s="715" t="n">
        <v>0.06</v>
      </c>
      <c r="F4072" s="369" t="n">
        <v>2700</v>
      </c>
      <c r="G4072" s="716" t="n">
        <f aca="false">E4072*F4072</f>
        <v>162</v>
      </c>
      <c r="H4072" s="392"/>
    </row>
    <row r="4073" s="451" customFormat="true" ht="15" hidden="false" customHeight="false" outlineLevel="0" collapsed="false">
      <c r="A4073" s="707"/>
      <c r="B4073" s="522"/>
      <c r="C4073" s="709" t="s">
        <v>4124</v>
      </c>
      <c r="D4073" s="679" t="s">
        <v>4516</v>
      </c>
      <c r="E4073" s="715" t="n">
        <v>1</v>
      </c>
      <c r="F4073" s="369" t="n">
        <v>120</v>
      </c>
      <c r="G4073" s="716" t="n">
        <f aca="false">E4073*F4073</f>
        <v>120</v>
      </c>
      <c r="H4073" s="679"/>
    </row>
    <row r="4074" s="451" customFormat="true" ht="15" hidden="false" customHeight="false" outlineLevel="0" collapsed="false">
      <c r="A4074" s="707"/>
      <c r="B4074" s="522"/>
      <c r="C4074" s="709" t="s">
        <v>4577</v>
      </c>
      <c r="D4074" s="679" t="s">
        <v>4578</v>
      </c>
      <c r="E4074" s="715" t="n">
        <v>0.02</v>
      </c>
      <c r="F4074" s="369" t="n">
        <v>27000</v>
      </c>
      <c r="G4074" s="716" t="n">
        <f aca="false">E4074*F4074</f>
        <v>540</v>
      </c>
      <c r="H4074" s="679"/>
    </row>
    <row r="4075" s="451" customFormat="true" ht="15" hidden="false" customHeight="false" outlineLevel="0" collapsed="false">
      <c r="A4075" s="707"/>
      <c r="B4075" s="708" t="s">
        <v>4128</v>
      </c>
      <c r="C4075" s="718"/>
      <c r="D4075" s="719"/>
      <c r="E4075" s="720"/>
      <c r="F4075" s="366"/>
      <c r="G4075" s="711" t="n">
        <f aca="false">SUM(G4064:G4074)</f>
        <v>4697.299025</v>
      </c>
      <c r="H4075" s="679"/>
    </row>
    <row r="4076" s="451" customFormat="true" ht="15" hidden="false" customHeight="false" outlineLevel="0" collapsed="false">
      <c r="A4076" s="707" t="s">
        <v>839</v>
      </c>
      <c r="B4076" s="487" t="s">
        <v>3148</v>
      </c>
      <c r="C4076" s="709" t="s">
        <v>4580</v>
      </c>
      <c r="D4076" s="679" t="s">
        <v>4133</v>
      </c>
      <c r="E4076" s="715" t="n">
        <v>0.15</v>
      </c>
      <c r="F4076" s="369" t="n">
        <v>1690</v>
      </c>
      <c r="G4076" s="716" t="n">
        <f aca="false">E4076*F4076</f>
        <v>253.5</v>
      </c>
      <c r="H4076" s="392"/>
    </row>
    <row r="4077" s="451" customFormat="true" ht="15" hidden="false" customHeight="false" outlineLevel="0" collapsed="false">
      <c r="A4077" s="707"/>
      <c r="B4077" s="522"/>
      <c r="C4077" s="709" t="s">
        <v>4750</v>
      </c>
      <c r="D4077" s="679" t="s">
        <v>4133</v>
      </c>
      <c r="E4077" s="715" t="n">
        <v>0.01</v>
      </c>
      <c r="F4077" s="369" t="n">
        <v>21000</v>
      </c>
      <c r="G4077" s="716" t="n">
        <f aca="false">E4077*F4077</f>
        <v>210</v>
      </c>
      <c r="H4077" s="679"/>
    </row>
    <row r="4078" s="451" customFormat="true" ht="30" hidden="false" customHeight="false" outlineLevel="0" collapsed="false">
      <c r="A4078" s="707"/>
      <c r="B4078" s="522"/>
      <c r="C4078" s="709" t="s">
        <v>4581</v>
      </c>
      <c r="D4078" s="679" t="s">
        <v>4133</v>
      </c>
      <c r="E4078" s="715" t="n">
        <v>0.01</v>
      </c>
      <c r="F4078" s="369" t="n">
        <v>118100</v>
      </c>
      <c r="G4078" s="716" t="n">
        <f aca="false">E4078*F4078</f>
        <v>1181</v>
      </c>
      <c r="H4078" s="679"/>
    </row>
    <row r="4079" s="451" customFormat="true" ht="15" hidden="false" customHeight="false" outlineLevel="0" collapsed="false">
      <c r="A4079" s="707"/>
      <c r="B4079" s="522"/>
      <c r="C4079" s="709" t="s">
        <v>4582</v>
      </c>
      <c r="D4079" s="679" t="s">
        <v>4133</v>
      </c>
      <c r="E4079" s="715" t="n">
        <v>0.1</v>
      </c>
      <c r="F4079" s="369" t="n">
        <v>2100</v>
      </c>
      <c r="G4079" s="716" t="n">
        <f aca="false">E4079*F4079</f>
        <v>210</v>
      </c>
      <c r="H4079" s="392"/>
    </row>
    <row r="4080" s="451" customFormat="true" ht="15" hidden="false" customHeight="false" outlineLevel="0" collapsed="false">
      <c r="A4080" s="707"/>
      <c r="B4080" s="522"/>
      <c r="C4080" s="709" t="s">
        <v>4583</v>
      </c>
      <c r="D4080" s="679" t="s">
        <v>4138</v>
      </c>
      <c r="E4080" s="715" t="n">
        <v>1</v>
      </c>
      <c r="F4080" s="369" t="n">
        <v>490</v>
      </c>
      <c r="G4080" s="716" t="n">
        <f aca="false">E4080*F4080</f>
        <v>490</v>
      </c>
      <c r="H4080" s="679"/>
    </row>
    <row r="4081" s="451" customFormat="true" ht="15" hidden="false" customHeight="false" outlineLevel="0" collapsed="false">
      <c r="A4081" s="707"/>
      <c r="B4081" s="522"/>
      <c r="C4081" s="709" t="s">
        <v>4584</v>
      </c>
      <c r="D4081" s="679" t="s">
        <v>4133</v>
      </c>
      <c r="E4081" s="715" t="n">
        <v>0.05</v>
      </c>
      <c r="F4081" s="369" t="n">
        <v>1901</v>
      </c>
      <c r="G4081" s="716" t="n">
        <f aca="false">E4081*F4081</f>
        <v>95.05</v>
      </c>
      <c r="H4081" s="679"/>
    </row>
    <row r="4082" s="451" customFormat="true" ht="15" hidden="false" customHeight="false" outlineLevel="0" collapsed="false">
      <c r="A4082" s="707"/>
      <c r="B4082" s="522"/>
      <c r="C4082" s="709" t="s">
        <v>4585</v>
      </c>
      <c r="D4082" s="679" t="s">
        <v>4133</v>
      </c>
      <c r="E4082" s="715" t="n">
        <v>0.03</v>
      </c>
      <c r="F4082" s="369" t="n">
        <v>8900</v>
      </c>
      <c r="G4082" s="716" t="n">
        <f aca="false">E4082*F4082</f>
        <v>267</v>
      </c>
      <c r="H4082" s="679"/>
    </row>
    <row r="4083" s="451" customFormat="true" ht="15" hidden="false" customHeight="false" outlineLevel="0" collapsed="false">
      <c r="A4083" s="707"/>
      <c r="B4083" s="522"/>
      <c r="C4083" s="709" t="s">
        <v>4201</v>
      </c>
      <c r="D4083" s="679" t="s">
        <v>4133</v>
      </c>
      <c r="E4083" s="715" t="n">
        <v>0.03</v>
      </c>
      <c r="F4083" s="721" t="n">
        <v>27000</v>
      </c>
      <c r="G4083" s="716" t="n">
        <f aca="false">E4083*F4083</f>
        <v>810</v>
      </c>
      <c r="H4083" s="679"/>
    </row>
    <row r="4084" s="451" customFormat="true" ht="15" hidden="false" customHeight="false" outlineLevel="0" collapsed="false">
      <c r="A4084" s="707"/>
      <c r="B4084" s="522"/>
      <c r="C4084" s="709" t="s">
        <v>4122</v>
      </c>
      <c r="D4084" s="679" t="s">
        <v>4392</v>
      </c>
      <c r="E4084" s="715" t="n">
        <v>0.25</v>
      </c>
      <c r="F4084" s="721" t="n">
        <v>720</v>
      </c>
      <c r="G4084" s="716" t="n">
        <f aca="false">E4084*F4084</f>
        <v>180</v>
      </c>
      <c r="H4084" s="679"/>
    </row>
    <row r="4085" s="451" customFormat="true" ht="15" hidden="false" customHeight="false" outlineLevel="0" collapsed="false">
      <c r="A4085" s="707"/>
      <c r="B4085" s="522"/>
      <c r="C4085" s="709" t="s">
        <v>4154</v>
      </c>
      <c r="D4085" s="679" t="s">
        <v>4392</v>
      </c>
      <c r="E4085" s="715" t="n">
        <v>0.04</v>
      </c>
      <c r="F4085" s="721" t="n">
        <v>3500</v>
      </c>
      <c r="G4085" s="716" t="n">
        <f aca="false">E4085*F4085</f>
        <v>140</v>
      </c>
      <c r="H4085" s="679"/>
    </row>
    <row r="4086" s="451" customFormat="true" ht="15" hidden="false" customHeight="false" outlineLevel="0" collapsed="false">
      <c r="A4086" s="707"/>
      <c r="B4086" s="522"/>
      <c r="C4086" s="709" t="s">
        <v>4515</v>
      </c>
      <c r="D4086" s="679" t="s">
        <v>4133</v>
      </c>
      <c r="E4086" s="715" t="n">
        <v>0.06</v>
      </c>
      <c r="F4086" s="369" t="n">
        <v>2700</v>
      </c>
      <c r="G4086" s="716" t="n">
        <f aca="false">E4086*F4086</f>
        <v>162</v>
      </c>
      <c r="H4086" s="392"/>
    </row>
    <row r="4087" s="451" customFormat="true" ht="15" hidden="false" customHeight="false" outlineLevel="0" collapsed="false">
      <c r="A4087" s="707"/>
      <c r="B4087" s="522"/>
      <c r="C4087" s="709" t="s">
        <v>4124</v>
      </c>
      <c r="D4087" s="679" t="s">
        <v>4516</v>
      </c>
      <c r="E4087" s="715" t="n">
        <v>0.15</v>
      </c>
      <c r="F4087" s="369" t="n">
        <v>120</v>
      </c>
      <c r="G4087" s="716" t="n">
        <f aca="false">E4087*F4087</f>
        <v>18</v>
      </c>
      <c r="H4087" s="679"/>
    </row>
    <row r="4088" s="451" customFormat="true" ht="15" hidden="false" customHeight="false" outlineLevel="0" collapsed="false">
      <c r="A4088" s="707"/>
      <c r="B4088" s="522"/>
      <c r="C4088" s="709" t="s">
        <v>4586</v>
      </c>
      <c r="D4088" s="679" t="s">
        <v>4578</v>
      </c>
      <c r="E4088" s="715" t="n">
        <v>0.01</v>
      </c>
      <c r="F4088" s="369" t="n">
        <v>27000</v>
      </c>
      <c r="G4088" s="716" t="n">
        <f aca="false">E4088*F4088</f>
        <v>270</v>
      </c>
      <c r="H4088" s="679"/>
    </row>
    <row r="4089" s="451" customFormat="true" ht="15" hidden="false" customHeight="false" outlineLevel="0" collapsed="false">
      <c r="A4089" s="707"/>
      <c r="B4089" s="708" t="s">
        <v>4128</v>
      </c>
      <c r="C4089" s="718"/>
      <c r="D4089" s="719"/>
      <c r="E4089" s="722"/>
      <c r="F4089" s="366"/>
      <c r="G4089" s="711" t="n">
        <f aca="false">SUM(G4076:G4088)</f>
        <v>4286.55</v>
      </c>
      <c r="H4089" s="392"/>
    </row>
    <row r="4090" s="451" customFormat="true" ht="15" hidden="false" customHeight="false" outlineLevel="0" collapsed="false">
      <c r="A4090" s="707" t="s">
        <v>840</v>
      </c>
      <c r="B4090" s="487" t="s">
        <v>3102</v>
      </c>
      <c r="C4090" s="709" t="s">
        <v>4189</v>
      </c>
      <c r="D4090" s="679" t="s">
        <v>4392</v>
      </c>
      <c r="E4090" s="715" t="n">
        <v>0.33</v>
      </c>
      <c r="F4090" s="729" t="n">
        <v>3500</v>
      </c>
      <c r="G4090" s="716" t="n">
        <f aca="false">E4090*F4090</f>
        <v>1155</v>
      </c>
      <c r="H4090" s="679"/>
    </row>
    <row r="4091" s="451" customFormat="true" ht="15" hidden="false" customHeight="false" outlineLevel="0" collapsed="false">
      <c r="A4091" s="707"/>
      <c r="B4091" s="522"/>
      <c r="C4091" s="709" t="s">
        <v>4147</v>
      </c>
      <c r="D4091" s="679" t="s">
        <v>4392</v>
      </c>
      <c r="E4091" s="715" t="n">
        <v>0.2</v>
      </c>
      <c r="F4091" s="723" t="n">
        <v>3612</v>
      </c>
      <c r="G4091" s="716" t="n">
        <f aca="false">E4091*F4091</f>
        <v>722.4</v>
      </c>
      <c r="H4091" s="679"/>
    </row>
    <row r="4092" s="451" customFormat="true" ht="15" hidden="false" customHeight="false" outlineLevel="0" collapsed="false">
      <c r="A4092" s="707"/>
      <c r="B4092" s="522"/>
      <c r="C4092" s="709" t="s">
        <v>4277</v>
      </c>
      <c r="D4092" s="679" t="s">
        <v>4133</v>
      </c>
      <c r="E4092" s="715" t="n">
        <v>0.03</v>
      </c>
      <c r="F4092" s="369" t="n">
        <v>12900</v>
      </c>
      <c r="G4092" s="716" t="n">
        <f aca="false">E4092*F4092</f>
        <v>387</v>
      </c>
      <c r="H4092" s="679"/>
    </row>
    <row r="4093" s="451" customFormat="true" ht="15" hidden="false" customHeight="false" outlineLevel="0" collapsed="false">
      <c r="A4093" s="707"/>
      <c r="B4093" s="522"/>
      <c r="C4093" s="709" t="s">
        <v>4575</v>
      </c>
      <c r="D4093" s="679" t="s">
        <v>4133</v>
      </c>
      <c r="E4093" s="715" t="n">
        <v>0.01</v>
      </c>
      <c r="F4093" s="369" t="n">
        <v>24000</v>
      </c>
      <c r="G4093" s="716" t="n">
        <f aca="false">E4093*F4093</f>
        <v>240</v>
      </c>
      <c r="H4093" s="679"/>
    </row>
    <row r="4094" s="451" customFormat="true" ht="15" hidden="false" customHeight="false" outlineLevel="0" collapsed="false">
      <c r="A4094" s="707"/>
      <c r="B4094" s="522"/>
      <c r="C4094" s="709" t="s">
        <v>4165</v>
      </c>
      <c r="D4094" s="679" t="s">
        <v>4133</v>
      </c>
      <c r="E4094" s="710" t="n">
        <v>0.022675</v>
      </c>
      <c r="F4094" s="369" t="n">
        <v>1323</v>
      </c>
      <c r="G4094" s="716" t="n">
        <f aca="false">E4094*F4094</f>
        <v>29.999025</v>
      </c>
      <c r="H4094" s="392"/>
    </row>
    <row r="4095" s="451" customFormat="true" ht="15" hidden="false" customHeight="false" outlineLevel="0" collapsed="false">
      <c r="A4095" s="707"/>
      <c r="B4095" s="522"/>
      <c r="C4095" s="709" t="s">
        <v>4270</v>
      </c>
      <c r="D4095" s="679" t="s">
        <v>4392</v>
      </c>
      <c r="E4095" s="715" t="n">
        <v>0.01</v>
      </c>
      <c r="F4095" s="369" t="n">
        <v>1750</v>
      </c>
      <c r="G4095" s="716" t="n">
        <f aca="false">E4095*F4095</f>
        <v>17.5</v>
      </c>
      <c r="H4095" s="679"/>
    </row>
    <row r="4096" s="451" customFormat="true" ht="15" hidden="false" customHeight="false" outlineLevel="0" collapsed="false">
      <c r="A4096" s="707"/>
      <c r="B4096" s="522"/>
      <c r="C4096" s="709" t="s">
        <v>4122</v>
      </c>
      <c r="D4096" s="679" t="s">
        <v>4392</v>
      </c>
      <c r="E4096" s="715" t="n">
        <v>0.3</v>
      </c>
      <c r="F4096" s="721" t="n">
        <v>720</v>
      </c>
      <c r="G4096" s="716" t="n">
        <f aca="false">E4096*F4096</f>
        <v>216</v>
      </c>
      <c r="H4096" s="679"/>
    </row>
    <row r="4097" s="451" customFormat="true" ht="19.5" hidden="false" customHeight="true" outlineLevel="0" collapsed="false">
      <c r="A4097" s="707"/>
      <c r="B4097" s="522"/>
      <c r="C4097" s="709" t="s">
        <v>4748</v>
      </c>
      <c r="D4097" s="679" t="s">
        <v>4138</v>
      </c>
      <c r="E4097" s="715" t="n">
        <v>1</v>
      </c>
      <c r="F4097" s="369" t="n">
        <v>490</v>
      </c>
      <c r="G4097" s="716" t="n">
        <f aca="false">E4097*F4097</f>
        <v>490</v>
      </c>
      <c r="H4097" s="679"/>
    </row>
    <row r="4098" s="451" customFormat="true" ht="15" hidden="false" customHeight="false" outlineLevel="0" collapsed="false">
      <c r="A4098" s="707"/>
      <c r="B4098" s="522"/>
      <c r="C4098" s="709" t="s">
        <v>4515</v>
      </c>
      <c r="D4098" s="679" t="s">
        <v>4133</v>
      </c>
      <c r="E4098" s="715" t="n">
        <v>0.05995</v>
      </c>
      <c r="F4098" s="369" t="n">
        <v>2700</v>
      </c>
      <c r="G4098" s="716" t="n">
        <f aca="false">E4098*F4098</f>
        <v>161.865</v>
      </c>
      <c r="H4098" s="679"/>
    </row>
    <row r="4099" s="451" customFormat="true" ht="15" hidden="false" customHeight="false" outlineLevel="0" collapsed="false">
      <c r="A4099" s="707"/>
      <c r="B4099" s="522"/>
      <c r="C4099" s="709" t="s">
        <v>4124</v>
      </c>
      <c r="D4099" s="679" t="s">
        <v>4516</v>
      </c>
      <c r="E4099" s="715" t="n">
        <v>1</v>
      </c>
      <c r="F4099" s="369" t="n">
        <v>120</v>
      </c>
      <c r="G4099" s="716" t="n">
        <f aca="false">E4099*F4099</f>
        <v>120</v>
      </c>
      <c r="H4099" s="679"/>
    </row>
    <row r="4100" s="451" customFormat="true" ht="15" hidden="false" customHeight="false" outlineLevel="0" collapsed="false">
      <c r="A4100" s="707"/>
      <c r="B4100" s="522"/>
      <c r="C4100" s="709" t="s">
        <v>4577</v>
      </c>
      <c r="D4100" s="679" t="s">
        <v>4578</v>
      </c>
      <c r="E4100" s="715" t="n">
        <v>0.02</v>
      </c>
      <c r="F4100" s="369" t="n">
        <v>27000</v>
      </c>
      <c r="G4100" s="716" t="n">
        <f aca="false">E4100*F4100</f>
        <v>540</v>
      </c>
      <c r="H4100" s="679"/>
    </row>
    <row r="4101" s="451" customFormat="true" ht="15" hidden="false" customHeight="false" outlineLevel="0" collapsed="false">
      <c r="A4101" s="707"/>
      <c r="B4101" s="708" t="s">
        <v>4128</v>
      </c>
      <c r="C4101" s="718"/>
      <c r="D4101" s="719"/>
      <c r="E4101" s="722"/>
      <c r="F4101" s="366"/>
      <c r="G4101" s="711" t="n">
        <f aca="false">SUM(G4090:G4100)</f>
        <v>4079.764025</v>
      </c>
      <c r="H4101" s="679"/>
    </row>
    <row r="4102" s="451" customFormat="true" ht="15" hidden="false" customHeight="false" outlineLevel="0" collapsed="false">
      <c r="A4102" s="707" t="s">
        <v>4958</v>
      </c>
      <c r="B4102" s="487" t="s">
        <v>3149</v>
      </c>
      <c r="C4102" s="709" t="s">
        <v>4189</v>
      </c>
      <c r="D4102" s="679" t="s">
        <v>4392</v>
      </c>
      <c r="E4102" s="715" t="n">
        <v>0.33</v>
      </c>
      <c r="F4102" s="729" t="n">
        <v>3500</v>
      </c>
      <c r="G4102" s="716" t="n">
        <f aca="false">E4102*F4102</f>
        <v>1155</v>
      </c>
      <c r="H4102" s="679"/>
    </row>
    <row r="4103" s="451" customFormat="true" ht="15" hidden="false" customHeight="false" outlineLevel="0" collapsed="false">
      <c r="A4103" s="707"/>
      <c r="B4103" s="522"/>
      <c r="C4103" s="709" t="s">
        <v>4147</v>
      </c>
      <c r="D4103" s="679" t="s">
        <v>4392</v>
      </c>
      <c r="E4103" s="715" t="n">
        <v>0.2</v>
      </c>
      <c r="F4103" s="723" t="n">
        <v>3612</v>
      </c>
      <c r="G4103" s="716" t="n">
        <f aca="false">E4103*F4103</f>
        <v>722.4</v>
      </c>
      <c r="H4103" s="679"/>
    </row>
    <row r="4104" s="451" customFormat="true" ht="15" hidden="false" customHeight="false" outlineLevel="0" collapsed="false">
      <c r="A4104" s="707"/>
      <c r="B4104" s="522"/>
      <c r="C4104" s="709" t="s">
        <v>4277</v>
      </c>
      <c r="D4104" s="679" t="s">
        <v>4133</v>
      </c>
      <c r="E4104" s="715" t="n">
        <v>0.02</v>
      </c>
      <c r="F4104" s="369" t="n">
        <v>12900</v>
      </c>
      <c r="G4104" s="716" t="n">
        <f aca="false">E4104*F4104</f>
        <v>258</v>
      </c>
      <c r="H4104" s="679"/>
    </row>
    <row r="4105" s="451" customFormat="true" ht="15" hidden="false" customHeight="false" outlineLevel="0" collapsed="false">
      <c r="A4105" s="707"/>
      <c r="B4105" s="522"/>
      <c r="C4105" s="709" t="s">
        <v>4575</v>
      </c>
      <c r="D4105" s="679" t="s">
        <v>4133</v>
      </c>
      <c r="E4105" s="715" t="n">
        <v>0.01</v>
      </c>
      <c r="F4105" s="369" t="n">
        <v>1323</v>
      </c>
      <c r="G4105" s="716" t="n">
        <f aca="false">E4105*F4105</f>
        <v>13.23</v>
      </c>
      <c r="H4105" s="679"/>
    </row>
    <row r="4106" s="451" customFormat="true" ht="15" hidden="false" customHeight="false" outlineLevel="0" collapsed="false">
      <c r="A4106" s="707"/>
      <c r="B4106" s="522"/>
      <c r="C4106" s="709" t="s">
        <v>4165</v>
      </c>
      <c r="D4106" s="679" t="s">
        <v>4133</v>
      </c>
      <c r="E4106" s="715" t="n">
        <v>0.2</v>
      </c>
      <c r="F4106" s="369" t="n">
        <v>1323</v>
      </c>
      <c r="G4106" s="716" t="n">
        <f aca="false">E4106*F4106</f>
        <v>264.6</v>
      </c>
      <c r="H4106" s="392"/>
    </row>
    <row r="4107" s="451" customFormat="true" ht="15" hidden="false" customHeight="false" outlineLevel="0" collapsed="false">
      <c r="A4107" s="707"/>
      <c r="B4107" s="522"/>
      <c r="C4107" s="709" t="s">
        <v>4270</v>
      </c>
      <c r="D4107" s="679" t="s">
        <v>4392</v>
      </c>
      <c r="E4107" s="715" t="n">
        <v>0.4</v>
      </c>
      <c r="F4107" s="369" t="n">
        <v>1750</v>
      </c>
      <c r="G4107" s="716" t="n">
        <f aca="false">E4107*F4107</f>
        <v>700</v>
      </c>
      <c r="H4107" s="679"/>
    </row>
    <row r="4108" s="451" customFormat="true" ht="15" hidden="false" customHeight="false" outlineLevel="0" collapsed="false">
      <c r="A4108" s="707"/>
      <c r="B4108" s="522"/>
      <c r="C4108" s="709" t="s">
        <v>4122</v>
      </c>
      <c r="D4108" s="679" t="s">
        <v>4392</v>
      </c>
      <c r="E4108" s="715" t="n">
        <v>0.3</v>
      </c>
      <c r="F4108" s="721" t="n">
        <v>720</v>
      </c>
      <c r="G4108" s="716" t="n">
        <f aca="false">E4108*F4108</f>
        <v>216</v>
      </c>
      <c r="H4108" s="679"/>
    </row>
    <row r="4109" s="451" customFormat="true" ht="30" hidden="false" customHeight="false" outlineLevel="0" collapsed="false">
      <c r="A4109" s="707"/>
      <c r="B4109" s="522"/>
      <c r="C4109" s="709" t="s">
        <v>4594</v>
      </c>
      <c r="D4109" s="679" t="s">
        <v>4138</v>
      </c>
      <c r="E4109" s="715" t="n">
        <v>0.1</v>
      </c>
      <c r="F4109" s="369" t="n">
        <v>2500</v>
      </c>
      <c r="G4109" s="716" t="n">
        <f aca="false">E4109*F4109</f>
        <v>250</v>
      </c>
      <c r="H4109" s="679"/>
    </row>
    <row r="4110" s="451" customFormat="true" ht="15" hidden="false" customHeight="false" outlineLevel="0" collapsed="false">
      <c r="A4110" s="707"/>
      <c r="B4110" s="522"/>
      <c r="C4110" s="709" t="s">
        <v>4515</v>
      </c>
      <c r="D4110" s="679" t="s">
        <v>4133</v>
      </c>
      <c r="E4110" s="715" t="n">
        <v>0.06</v>
      </c>
      <c r="F4110" s="369" t="n">
        <v>2700</v>
      </c>
      <c r="G4110" s="716" t="n">
        <f aca="false">E4110*F4110</f>
        <v>162</v>
      </c>
      <c r="H4110" s="679"/>
    </row>
    <row r="4111" s="451" customFormat="true" ht="15" hidden="false" customHeight="false" outlineLevel="0" collapsed="false">
      <c r="A4111" s="707"/>
      <c r="B4111" s="522"/>
      <c r="C4111" s="709" t="s">
        <v>4124</v>
      </c>
      <c r="D4111" s="679" t="s">
        <v>4516</v>
      </c>
      <c r="E4111" s="710" t="n">
        <v>0.1579</v>
      </c>
      <c r="F4111" s="369" t="n">
        <v>120</v>
      </c>
      <c r="G4111" s="716" t="n">
        <f aca="false">E4111*F4111</f>
        <v>18.948</v>
      </c>
      <c r="H4111" s="679"/>
    </row>
    <row r="4112" s="451" customFormat="true" ht="15" hidden="false" customHeight="false" outlineLevel="0" collapsed="false">
      <c r="A4112" s="707"/>
      <c r="B4112" s="522"/>
      <c r="C4112" s="709" t="s">
        <v>4586</v>
      </c>
      <c r="D4112" s="679" t="s">
        <v>4578</v>
      </c>
      <c r="E4112" s="715" t="n">
        <v>0.01</v>
      </c>
      <c r="F4112" s="369" t="n">
        <v>27000</v>
      </c>
      <c r="G4112" s="716" t="n">
        <f aca="false">E4112*F4112</f>
        <v>270</v>
      </c>
      <c r="H4112" s="679"/>
    </row>
    <row r="4113" s="451" customFormat="true" ht="15" hidden="false" customHeight="false" outlineLevel="0" collapsed="false">
      <c r="A4113" s="707"/>
      <c r="B4113" s="708" t="s">
        <v>4128</v>
      </c>
      <c r="C4113" s="718"/>
      <c r="D4113" s="719"/>
      <c r="E4113" s="722"/>
      <c r="F4113" s="366"/>
      <c r="G4113" s="711" t="n">
        <f aca="false">SUM(G4102:G4112)</f>
        <v>4030.178</v>
      </c>
      <c r="H4113" s="679"/>
    </row>
    <row r="4114" s="451" customFormat="true" ht="15" hidden="false" customHeight="false" outlineLevel="0" collapsed="false">
      <c r="A4114" s="707" t="s">
        <v>842</v>
      </c>
      <c r="B4114" s="532" t="s">
        <v>3227</v>
      </c>
      <c r="C4114" s="762" t="s">
        <v>4959</v>
      </c>
      <c r="D4114" s="728" t="s">
        <v>4133</v>
      </c>
      <c r="E4114" s="726" t="n">
        <v>0.017</v>
      </c>
      <c r="F4114" s="721" t="n">
        <v>7200</v>
      </c>
      <c r="G4114" s="716" t="n">
        <f aca="false">E4114*F4114</f>
        <v>122.4</v>
      </c>
      <c r="H4114" s="679"/>
    </row>
    <row r="4115" s="451" customFormat="true" ht="15" hidden="false" customHeight="false" outlineLevel="0" collapsed="false">
      <c r="A4115" s="707"/>
      <c r="B4115" s="532"/>
      <c r="C4115" s="762" t="s">
        <v>4960</v>
      </c>
      <c r="D4115" s="728" t="s">
        <v>4133</v>
      </c>
      <c r="E4115" s="726" t="n">
        <v>0.05</v>
      </c>
      <c r="F4115" s="724" t="n">
        <v>16500</v>
      </c>
      <c r="G4115" s="716" t="n">
        <f aca="false">E4115*F4115</f>
        <v>825</v>
      </c>
      <c r="H4115" s="679"/>
    </row>
    <row r="4116" s="451" customFormat="true" ht="15" hidden="false" customHeight="false" outlineLevel="0" collapsed="false">
      <c r="A4116" s="707"/>
      <c r="B4116" s="532"/>
      <c r="C4116" s="471" t="s">
        <v>4250</v>
      </c>
      <c r="D4116" s="728" t="s">
        <v>4133</v>
      </c>
      <c r="E4116" s="726" t="n">
        <v>0.025</v>
      </c>
      <c r="F4116" s="729" t="n">
        <v>27000</v>
      </c>
      <c r="G4116" s="716" t="n">
        <f aca="false">E4116*F4116</f>
        <v>675</v>
      </c>
      <c r="H4116" s="679"/>
    </row>
    <row r="4117" s="451" customFormat="true" ht="15" hidden="false" customHeight="false" outlineLevel="0" collapsed="false">
      <c r="A4117" s="707"/>
      <c r="B4117" s="532"/>
      <c r="C4117" s="762" t="s">
        <v>4961</v>
      </c>
      <c r="D4117" s="728" t="s">
        <v>4133</v>
      </c>
      <c r="E4117" s="726" t="n">
        <v>0.018</v>
      </c>
      <c r="F4117" s="717" t="n">
        <v>7875</v>
      </c>
      <c r="G4117" s="716" t="n">
        <f aca="false">E4117*F4117</f>
        <v>141.75</v>
      </c>
      <c r="H4117" s="679"/>
    </row>
    <row r="4118" s="451" customFormat="true" ht="15" hidden="false" customHeight="false" outlineLevel="0" collapsed="false">
      <c r="A4118" s="707"/>
      <c r="B4118" s="532"/>
      <c r="C4118" s="762" t="s">
        <v>4962</v>
      </c>
      <c r="D4118" s="728" t="s">
        <v>4133</v>
      </c>
      <c r="E4118" s="726" t="n">
        <v>0.03</v>
      </c>
      <c r="F4118" s="729" t="n">
        <v>10500</v>
      </c>
      <c r="G4118" s="716" t="n">
        <f aca="false">E4118*F4118</f>
        <v>315</v>
      </c>
      <c r="H4118" s="679"/>
    </row>
    <row r="4119" s="451" customFormat="true" ht="15" hidden="false" customHeight="false" outlineLevel="0" collapsed="false">
      <c r="A4119" s="707"/>
      <c r="B4119" s="532"/>
      <c r="C4119" s="762" t="s">
        <v>4963</v>
      </c>
      <c r="D4119" s="728" t="s">
        <v>4133</v>
      </c>
      <c r="E4119" s="733" t="n">
        <v>0.1</v>
      </c>
      <c r="F4119" s="724" t="n">
        <v>1500</v>
      </c>
      <c r="G4119" s="716" t="n">
        <f aca="false">E4119*F4119</f>
        <v>150</v>
      </c>
      <c r="H4119" s="679"/>
    </row>
    <row r="4120" s="451" customFormat="true" ht="15" hidden="false" customHeight="false" outlineLevel="0" collapsed="false">
      <c r="A4120" s="707"/>
      <c r="B4120" s="532"/>
      <c r="C4120" s="762" t="s">
        <v>4964</v>
      </c>
      <c r="D4120" s="728" t="s">
        <v>4133</v>
      </c>
      <c r="E4120" s="733" t="n">
        <v>0.01</v>
      </c>
      <c r="F4120" s="721" t="n">
        <v>6500</v>
      </c>
      <c r="G4120" s="716" t="n">
        <f aca="false">E4120*F4120</f>
        <v>65</v>
      </c>
      <c r="H4120" s="679"/>
    </row>
    <row r="4121" s="451" customFormat="true" ht="15" hidden="false" customHeight="false" outlineLevel="0" collapsed="false">
      <c r="A4121" s="707"/>
      <c r="B4121" s="532"/>
      <c r="C4121" s="532" t="s">
        <v>4377</v>
      </c>
      <c r="D4121" s="728" t="s">
        <v>4133</v>
      </c>
      <c r="E4121" s="749" t="n">
        <v>0.01</v>
      </c>
      <c r="F4121" s="729" t="n">
        <v>3500</v>
      </c>
      <c r="G4121" s="716" t="n">
        <f aca="false">E4121*F4121</f>
        <v>35</v>
      </c>
      <c r="H4121" s="679"/>
    </row>
    <row r="4122" s="451" customFormat="true" ht="15" hidden="false" customHeight="false" outlineLevel="0" collapsed="false">
      <c r="A4122" s="707"/>
      <c r="B4122" s="532"/>
      <c r="C4122" s="762" t="s">
        <v>4965</v>
      </c>
      <c r="D4122" s="728" t="s">
        <v>4133</v>
      </c>
      <c r="E4122" s="733" t="n">
        <v>0.02</v>
      </c>
      <c r="F4122" s="721" t="n">
        <v>71200</v>
      </c>
      <c r="G4122" s="716" t="n">
        <f aca="false">E4122*F4122</f>
        <v>1424</v>
      </c>
      <c r="H4122" s="679"/>
    </row>
    <row r="4123" s="451" customFormat="true" ht="15" hidden="false" customHeight="false" outlineLevel="0" collapsed="false">
      <c r="A4123" s="707"/>
      <c r="B4123" s="532"/>
      <c r="C4123" s="709" t="s">
        <v>4966</v>
      </c>
      <c r="D4123" s="679" t="s">
        <v>4578</v>
      </c>
      <c r="E4123" s="730" t="n">
        <v>0.02</v>
      </c>
      <c r="F4123" s="724" t="n">
        <v>275000</v>
      </c>
      <c r="G4123" s="716" t="n">
        <f aca="false">E4123*F4123</f>
        <v>5500</v>
      </c>
      <c r="H4123" s="679"/>
    </row>
    <row r="4124" s="451" customFormat="true" ht="30" hidden="false" customHeight="false" outlineLevel="0" collapsed="false">
      <c r="A4124" s="707"/>
      <c r="B4124" s="532"/>
      <c r="C4124" s="471" t="s">
        <v>4620</v>
      </c>
      <c r="D4124" s="728" t="s">
        <v>4348</v>
      </c>
      <c r="E4124" s="733" t="n">
        <v>0.57</v>
      </c>
      <c r="F4124" s="729" t="n">
        <v>1000</v>
      </c>
      <c r="G4124" s="716" t="n">
        <f aca="false">E4124*F4124</f>
        <v>570</v>
      </c>
      <c r="H4124" s="679"/>
    </row>
    <row r="4125" s="451" customFormat="true" ht="15" hidden="false" customHeight="false" outlineLevel="0" collapsed="false">
      <c r="A4125" s="707"/>
      <c r="B4125" s="532"/>
      <c r="C4125" s="762" t="s">
        <v>4967</v>
      </c>
      <c r="D4125" s="679" t="s">
        <v>4555</v>
      </c>
      <c r="E4125" s="733" t="n">
        <v>0.43</v>
      </c>
      <c r="F4125" s="721" t="n">
        <v>25000</v>
      </c>
      <c r="G4125" s="716" t="n">
        <f aca="false">E4125*F4125</f>
        <v>10750</v>
      </c>
      <c r="H4125" s="679"/>
    </row>
    <row r="4126" s="451" customFormat="true" ht="15" hidden="false" customHeight="false" outlineLevel="0" collapsed="false">
      <c r="A4126" s="707"/>
      <c r="B4126" s="785" t="s">
        <v>4562</v>
      </c>
      <c r="C4126" s="762"/>
      <c r="D4126" s="728"/>
      <c r="E4126" s="759"/>
      <c r="F4126" s="721"/>
      <c r="G4126" s="760" t="n">
        <f aca="false">SUM(G4114:G4125)</f>
        <v>20573.15</v>
      </c>
      <c r="H4126" s="679"/>
    </row>
    <row r="4127" customFormat="false" ht="15" hidden="false" customHeight="false" outlineLevel="0" collapsed="false">
      <c r="A4127" s="350" t="s">
        <v>4968</v>
      </c>
      <c r="B4127" s="467" t="s">
        <v>4969</v>
      </c>
      <c r="C4127" s="751"/>
      <c r="D4127" s="339"/>
      <c r="E4127" s="339"/>
      <c r="F4127" s="519"/>
      <c r="G4127" s="753"/>
      <c r="H4127" s="790"/>
    </row>
    <row r="4128" customFormat="false" ht="15" hidden="false" customHeight="false" outlineLevel="0" collapsed="false">
      <c r="A4128" s="571" t="s">
        <v>4970</v>
      </c>
      <c r="B4128" s="328" t="s">
        <v>3010</v>
      </c>
      <c r="C4128" s="714"/>
      <c r="D4128" s="391"/>
      <c r="E4128" s="391"/>
      <c r="F4128" s="612"/>
      <c r="G4128" s="613"/>
      <c r="H4128" s="606"/>
    </row>
    <row r="4129" customFormat="false" ht="15" hidden="false" customHeight="false" outlineLevel="0" collapsed="false">
      <c r="A4129" s="571" t="s">
        <v>4971</v>
      </c>
      <c r="B4129" s="328" t="s">
        <v>3084</v>
      </c>
      <c r="C4129" s="614" t="s">
        <v>4515</v>
      </c>
      <c r="D4129" s="606" t="s">
        <v>4133</v>
      </c>
      <c r="E4129" s="702" t="n">
        <v>0.06</v>
      </c>
      <c r="F4129" s="361" t="n">
        <v>2700</v>
      </c>
      <c r="G4129" s="615" t="n">
        <f aca="false">E4129*F4129</f>
        <v>162</v>
      </c>
      <c r="H4129" s="606"/>
    </row>
    <row r="4130" customFormat="false" ht="15" hidden="false" customHeight="false" outlineLevel="0" collapsed="false">
      <c r="A4130" s="571"/>
      <c r="B4130" s="500"/>
      <c r="C4130" s="614" t="s">
        <v>4124</v>
      </c>
      <c r="D4130" s="606" t="s">
        <v>4516</v>
      </c>
      <c r="E4130" s="702" t="n">
        <v>1.5</v>
      </c>
      <c r="F4130" s="361" t="n">
        <v>120</v>
      </c>
      <c r="G4130" s="615" t="n">
        <f aca="false">E4130*F4130</f>
        <v>180</v>
      </c>
      <c r="H4130" s="606"/>
    </row>
    <row r="4131" customFormat="false" ht="15" hidden="false" customHeight="false" outlineLevel="0" collapsed="false">
      <c r="A4131" s="571"/>
      <c r="B4131" s="608" t="s">
        <v>4128</v>
      </c>
      <c r="C4131" s="609"/>
      <c r="D4131" s="610"/>
      <c r="E4131" s="611"/>
      <c r="F4131" s="612"/>
      <c r="G4131" s="613" t="n">
        <f aca="false">SUM(G4129:G4130)</f>
        <v>342</v>
      </c>
      <c r="H4131" s="606"/>
    </row>
    <row r="4132" customFormat="false" ht="15" hidden="false" customHeight="false" outlineLevel="0" collapsed="false">
      <c r="A4132" s="571" t="s">
        <v>848</v>
      </c>
      <c r="B4132" s="328" t="s">
        <v>3085</v>
      </c>
      <c r="C4132" s="614" t="s">
        <v>4515</v>
      </c>
      <c r="D4132" s="606" t="s">
        <v>4133</v>
      </c>
      <c r="E4132" s="622" t="n">
        <v>0.08565</v>
      </c>
      <c r="F4132" s="361" t="n">
        <v>2700</v>
      </c>
      <c r="G4132" s="615" t="n">
        <f aca="false">E4132*F4132</f>
        <v>231.255</v>
      </c>
      <c r="H4132" s="606"/>
    </row>
    <row r="4133" customFormat="false" ht="15" hidden="false" customHeight="false" outlineLevel="0" collapsed="false">
      <c r="A4133" s="571"/>
      <c r="B4133" s="500"/>
      <c r="C4133" s="614" t="s">
        <v>4124</v>
      </c>
      <c r="D4133" s="606" t="s">
        <v>4516</v>
      </c>
      <c r="E4133" s="710" t="n">
        <v>0.9949</v>
      </c>
      <c r="F4133" s="369" t="n">
        <v>120</v>
      </c>
      <c r="G4133" s="615" t="n">
        <f aca="false">E4133*F4133</f>
        <v>119.388</v>
      </c>
      <c r="H4133" s="606"/>
    </row>
    <row r="4134" customFormat="false" ht="15" hidden="false" customHeight="false" outlineLevel="0" collapsed="false">
      <c r="A4134" s="571"/>
      <c r="B4134" s="500"/>
      <c r="C4134" s="614" t="s">
        <v>4122</v>
      </c>
      <c r="D4134" s="606" t="s">
        <v>4392</v>
      </c>
      <c r="E4134" s="710" t="n">
        <v>0.16885</v>
      </c>
      <c r="F4134" s="721" t="n">
        <v>720</v>
      </c>
      <c r="G4134" s="615" t="n">
        <f aca="false">E4134*F4134</f>
        <v>121.572</v>
      </c>
      <c r="H4134" s="391"/>
    </row>
    <row r="4135" customFormat="false" ht="15" hidden="false" customHeight="false" outlineLevel="0" collapsed="false">
      <c r="A4135" s="571"/>
      <c r="B4135" s="608" t="s">
        <v>4128</v>
      </c>
      <c r="C4135" s="609"/>
      <c r="D4135" s="610"/>
      <c r="E4135" s="722"/>
      <c r="F4135" s="366"/>
      <c r="G4135" s="613" t="n">
        <f aca="false">SUM(G4132:G4134)</f>
        <v>472.215</v>
      </c>
      <c r="H4135" s="606"/>
    </row>
    <row r="4136" customFormat="false" ht="15" hidden="false" customHeight="false" outlineLevel="0" collapsed="false">
      <c r="A4136" s="571" t="s">
        <v>849</v>
      </c>
      <c r="B4136" s="328" t="s">
        <v>3161</v>
      </c>
      <c r="C4136" s="614" t="s">
        <v>4147</v>
      </c>
      <c r="D4136" s="606" t="s">
        <v>4392</v>
      </c>
      <c r="E4136" s="715" t="n">
        <v>0.2</v>
      </c>
      <c r="F4136" s="723" t="n">
        <v>3612</v>
      </c>
      <c r="G4136" s="615" t="n">
        <f aca="false">E4136*F4136</f>
        <v>722.4</v>
      </c>
      <c r="H4136" s="606"/>
    </row>
    <row r="4137" customFormat="false" ht="15" hidden="false" customHeight="false" outlineLevel="0" collapsed="false">
      <c r="A4137" s="571"/>
      <c r="B4137" s="500"/>
      <c r="C4137" s="614" t="s">
        <v>4515</v>
      </c>
      <c r="D4137" s="606" t="s">
        <v>4133</v>
      </c>
      <c r="E4137" s="715" t="n">
        <v>0.06</v>
      </c>
      <c r="F4137" s="369" t="n">
        <v>2700</v>
      </c>
      <c r="G4137" s="615" t="n">
        <f aca="false">E4137*F4137</f>
        <v>162</v>
      </c>
      <c r="H4137" s="606"/>
    </row>
    <row r="4138" customFormat="false" ht="15" hidden="false" customHeight="false" outlineLevel="0" collapsed="false">
      <c r="A4138" s="571"/>
      <c r="B4138" s="500"/>
      <c r="C4138" s="614" t="s">
        <v>4124</v>
      </c>
      <c r="D4138" s="606" t="s">
        <v>4516</v>
      </c>
      <c r="E4138" s="715" t="n">
        <v>1.5</v>
      </c>
      <c r="F4138" s="369" t="n">
        <v>120</v>
      </c>
      <c r="G4138" s="615" t="n">
        <f aca="false">E4138*F4138</f>
        <v>180</v>
      </c>
      <c r="H4138" s="606"/>
    </row>
    <row r="4139" customFormat="false" ht="15" hidden="false" customHeight="false" outlineLevel="0" collapsed="false">
      <c r="A4139" s="571"/>
      <c r="B4139" s="608" t="s">
        <v>4128</v>
      </c>
      <c r="C4139" s="609"/>
      <c r="D4139" s="610"/>
      <c r="E4139" s="720"/>
      <c r="F4139" s="366"/>
      <c r="G4139" s="613" t="n">
        <f aca="false">SUM(G4136:G4138)</f>
        <v>1064.4</v>
      </c>
      <c r="H4139" s="606"/>
    </row>
    <row r="4140" customFormat="false" ht="15" hidden="false" customHeight="false" outlineLevel="0" collapsed="false">
      <c r="A4140" s="571" t="s">
        <v>850</v>
      </c>
      <c r="B4140" s="328" t="s">
        <v>3059</v>
      </c>
      <c r="C4140" s="614" t="s">
        <v>4154</v>
      </c>
      <c r="D4140" s="606" t="s">
        <v>4392</v>
      </c>
      <c r="E4140" s="710" t="n">
        <v>0.14308</v>
      </c>
      <c r="F4140" s="721" t="n">
        <v>3500</v>
      </c>
      <c r="G4140" s="615" t="n">
        <f aca="false">E4140*F4140</f>
        <v>500.78</v>
      </c>
      <c r="H4140" s="606"/>
    </row>
    <row r="4141" customFormat="false" ht="15" hidden="false" customHeight="false" outlineLevel="0" collapsed="false">
      <c r="A4141" s="571"/>
      <c r="B4141" s="500"/>
      <c r="C4141" s="614" t="s">
        <v>4147</v>
      </c>
      <c r="D4141" s="606" t="s">
        <v>4392</v>
      </c>
      <c r="E4141" s="715" t="n">
        <v>0.2</v>
      </c>
      <c r="F4141" s="723" t="n">
        <v>3612</v>
      </c>
      <c r="G4141" s="615" t="n">
        <f aca="false">E4141*F4141</f>
        <v>722.4</v>
      </c>
      <c r="H4141" s="606"/>
    </row>
    <row r="4142" customFormat="false" ht="15" hidden="false" customHeight="false" outlineLevel="0" collapsed="false">
      <c r="A4142" s="571"/>
      <c r="B4142" s="500"/>
      <c r="C4142" s="614" t="s">
        <v>4535</v>
      </c>
      <c r="D4142" s="606" t="s">
        <v>4392</v>
      </c>
      <c r="E4142" s="715" t="n">
        <v>0.05</v>
      </c>
      <c r="F4142" s="369" t="n">
        <v>31200</v>
      </c>
      <c r="G4142" s="615" t="n">
        <f aca="false">E4142*F4142</f>
        <v>1560</v>
      </c>
      <c r="H4142" s="606"/>
    </row>
    <row r="4143" customFormat="false" ht="15" hidden="false" customHeight="false" outlineLevel="0" collapsed="false">
      <c r="A4143" s="571"/>
      <c r="B4143" s="500"/>
      <c r="C4143" s="614" t="s">
        <v>4536</v>
      </c>
      <c r="D4143" s="606" t="s">
        <v>4392</v>
      </c>
      <c r="E4143" s="715" t="n">
        <v>0.08</v>
      </c>
      <c r="F4143" s="369" t="n">
        <v>546</v>
      </c>
      <c r="G4143" s="615" t="n">
        <f aca="false">E4143*F4143</f>
        <v>43.68</v>
      </c>
      <c r="H4143" s="606"/>
    </row>
    <row r="4144" customFormat="false" ht="15" hidden="false" customHeight="false" outlineLevel="0" collapsed="false">
      <c r="A4144" s="571"/>
      <c r="B4144" s="500"/>
      <c r="C4144" s="614" t="s">
        <v>4122</v>
      </c>
      <c r="D4144" s="606" t="s">
        <v>4392</v>
      </c>
      <c r="E4144" s="715" t="n">
        <v>0.3</v>
      </c>
      <c r="F4144" s="721" t="n">
        <v>720</v>
      </c>
      <c r="G4144" s="615" t="n">
        <f aca="false">E4144*F4144</f>
        <v>216</v>
      </c>
      <c r="H4144" s="606"/>
    </row>
    <row r="4145" customFormat="false" ht="15" hidden="false" customHeight="false" outlineLevel="0" collapsed="false">
      <c r="A4145" s="571"/>
      <c r="B4145" s="500"/>
      <c r="C4145" s="614" t="s">
        <v>4515</v>
      </c>
      <c r="D4145" s="606" t="s">
        <v>4133</v>
      </c>
      <c r="E4145" s="715" t="n">
        <v>0.01</v>
      </c>
      <c r="F4145" s="369" t="n">
        <v>2700</v>
      </c>
      <c r="G4145" s="615" t="n">
        <f aca="false">E4145*F4145</f>
        <v>27</v>
      </c>
      <c r="H4145" s="606"/>
    </row>
    <row r="4146" customFormat="false" ht="15" hidden="false" customHeight="false" outlineLevel="0" collapsed="false">
      <c r="A4146" s="571"/>
      <c r="B4146" s="500"/>
      <c r="C4146" s="614" t="s">
        <v>4124</v>
      </c>
      <c r="D4146" s="606" t="s">
        <v>4516</v>
      </c>
      <c r="E4146" s="715" t="n">
        <v>0.5</v>
      </c>
      <c r="F4146" s="369" t="n">
        <v>120</v>
      </c>
      <c r="G4146" s="615" t="n">
        <f aca="false">E4146*F4146</f>
        <v>60</v>
      </c>
      <c r="H4146" s="391"/>
    </row>
    <row r="4147" customFormat="false" ht="15" hidden="false" customHeight="false" outlineLevel="0" collapsed="false">
      <c r="A4147" s="571"/>
      <c r="B4147" s="608" t="s">
        <v>4128</v>
      </c>
      <c r="C4147" s="609"/>
      <c r="D4147" s="610"/>
      <c r="E4147" s="720"/>
      <c r="F4147" s="366"/>
      <c r="G4147" s="613" t="n">
        <f aca="false">SUM(G4140:G4146)</f>
        <v>3129.86</v>
      </c>
      <c r="H4147" s="606"/>
    </row>
    <row r="4148" customFormat="false" ht="15" hidden="false" customHeight="false" outlineLevel="0" collapsed="false">
      <c r="A4148" s="571" t="s">
        <v>4972</v>
      </c>
      <c r="B4148" s="328" t="s">
        <v>2964</v>
      </c>
      <c r="C4148" s="614" t="s">
        <v>4515</v>
      </c>
      <c r="D4148" s="606" t="s">
        <v>4133</v>
      </c>
      <c r="E4148" s="715" t="n">
        <v>0.06</v>
      </c>
      <c r="F4148" s="369" t="n">
        <v>2700</v>
      </c>
      <c r="G4148" s="615" t="n">
        <f aca="false">E4148*F4148</f>
        <v>162</v>
      </c>
      <c r="H4148" s="606"/>
    </row>
    <row r="4149" customFormat="false" ht="15" hidden="false" customHeight="false" outlineLevel="0" collapsed="false">
      <c r="A4149" s="571"/>
      <c r="B4149" s="500"/>
      <c r="C4149" s="614" t="s">
        <v>4122</v>
      </c>
      <c r="D4149" s="606" t="s">
        <v>4516</v>
      </c>
      <c r="E4149" s="715" t="n">
        <v>0.3</v>
      </c>
      <c r="F4149" s="721" t="n">
        <v>720</v>
      </c>
      <c r="G4149" s="615" t="n">
        <f aca="false">E4149*F4149</f>
        <v>216</v>
      </c>
      <c r="H4149" s="606"/>
    </row>
    <row r="4150" customFormat="false" ht="15" hidden="false" customHeight="false" outlineLevel="0" collapsed="false">
      <c r="A4150" s="571"/>
      <c r="B4150" s="608" t="s">
        <v>4128</v>
      </c>
      <c r="C4150" s="609"/>
      <c r="D4150" s="610"/>
      <c r="E4150" s="722"/>
      <c r="F4150" s="366"/>
      <c r="G4150" s="613" t="n">
        <f aca="false">SUM(G4148:G4149)</f>
        <v>378</v>
      </c>
      <c r="H4150" s="606"/>
    </row>
    <row r="4151" customFormat="false" ht="15" hidden="false" customHeight="false" outlineLevel="0" collapsed="false">
      <c r="A4151" s="571" t="s">
        <v>4973</v>
      </c>
      <c r="B4151" s="328" t="s">
        <v>3126</v>
      </c>
      <c r="C4151" s="614" t="s">
        <v>4154</v>
      </c>
      <c r="D4151" s="606" t="s">
        <v>4392</v>
      </c>
      <c r="E4151" s="710" t="n">
        <v>0.08585</v>
      </c>
      <c r="F4151" s="721" t="n">
        <v>3500</v>
      </c>
      <c r="G4151" s="615" t="n">
        <f aca="false">E4151*F4151</f>
        <v>300.475</v>
      </c>
      <c r="H4151" s="606"/>
    </row>
    <row r="4152" customFormat="false" ht="15" hidden="false" customHeight="false" outlineLevel="0" collapsed="false">
      <c r="A4152" s="571"/>
      <c r="B4152" s="500"/>
      <c r="C4152" s="614" t="s">
        <v>4515</v>
      </c>
      <c r="D4152" s="606" t="s">
        <v>4133</v>
      </c>
      <c r="E4152" s="715" t="n">
        <v>0.06</v>
      </c>
      <c r="F4152" s="369" t="n">
        <v>2700</v>
      </c>
      <c r="G4152" s="615" t="n">
        <f aca="false">E4152*F4152</f>
        <v>162</v>
      </c>
      <c r="H4152" s="606"/>
    </row>
    <row r="4153" customFormat="false" ht="15" hidden="false" customHeight="false" outlineLevel="0" collapsed="false">
      <c r="A4153" s="571"/>
      <c r="B4153" s="500"/>
      <c r="C4153" s="614" t="s">
        <v>4124</v>
      </c>
      <c r="D4153" s="606" t="s">
        <v>4516</v>
      </c>
      <c r="E4153" s="715" t="n">
        <v>1.5</v>
      </c>
      <c r="F4153" s="369" t="n">
        <v>120</v>
      </c>
      <c r="G4153" s="615" t="n">
        <f aca="false">E4153*F4153</f>
        <v>180</v>
      </c>
      <c r="H4153" s="606"/>
    </row>
    <row r="4154" customFormat="false" ht="15" hidden="false" customHeight="false" outlineLevel="0" collapsed="false">
      <c r="A4154" s="571"/>
      <c r="B4154" s="608" t="s">
        <v>4128</v>
      </c>
      <c r="C4154" s="609"/>
      <c r="D4154" s="610"/>
      <c r="E4154" s="720"/>
      <c r="F4154" s="366"/>
      <c r="G4154" s="613" t="n">
        <f aca="false">SUM(G4151:G4153)</f>
        <v>642.475</v>
      </c>
      <c r="H4154" s="606"/>
    </row>
    <row r="4155" customFormat="false" ht="30" hidden="false" customHeight="false" outlineLevel="0" collapsed="false">
      <c r="A4155" s="571" t="s">
        <v>853</v>
      </c>
      <c r="B4155" s="328" t="s">
        <v>3224</v>
      </c>
      <c r="C4155" s="614" t="s">
        <v>4515</v>
      </c>
      <c r="D4155" s="606" t="s">
        <v>4133</v>
      </c>
      <c r="E4155" s="715" t="n">
        <v>0.03</v>
      </c>
      <c r="F4155" s="369" t="n">
        <v>2700</v>
      </c>
      <c r="G4155" s="615" t="n">
        <f aca="false">E4155*F4155</f>
        <v>81</v>
      </c>
      <c r="H4155" s="606"/>
    </row>
    <row r="4156" customFormat="false" ht="15" hidden="false" customHeight="false" outlineLevel="0" collapsed="false">
      <c r="A4156" s="571"/>
      <c r="B4156" s="500"/>
      <c r="C4156" s="614" t="s">
        <v>4124</v>
      </c>
      <c r="D4156" s="606" t="s">
        <v>4516</v>
      </c>
      <c r="E4156" s="715" t="n">
        <v>1.5</v>
      </c>
      <c r="F4156" s="369" t="n">
        <v>120</v>
      </c>
      <c r="G4156" s="615" t="n">
        <f aca="false">E4156*F4156</f>
        <v>180</v>
      </c>
      <c r="H4156" s="606"/>
    </row>
    <row r="4157" customFormat="false" ht="15" hidden="false" customHeight="false" outlineLevel="0" collapsed="false">
      <c r="A4157" s="571"/>
      <c r="B4157" s="608" t="s">
        <v>4128</v>
      </c>
      <c r="C4157" s="609"/>
      <c r="D4157" s="610"/>
      <c r="E4157" s="720"/>
      <c r="F4157" s="366"/>
      <c r="G4157" s="613" t="n">
        <f aca="false">SUM(G4155:G4156)</f>
        <v>261</v>
      </c>
      <c r="H4157" s="606"/>
    </row>
    <row r="4158" customFormat="false" ht="15" hidden="false" customHeight="false" outlineLevel="0" collapsed="false">
      <c r="A4158" s="571" t="s">
        <v>854</v>
      </c>
      <c r="B4158" s="328" t="s">
        <v>3103</v>
      </c>
      <c r="C4158" s="614" t="s">
        <v>4189</v>
      </c>
      <c r="D4158" s="606" t="s">
        <v>4392</v>
      </c>
      <c r="E4158" s="715" t="n">
        <v>0.3</v>
      </c>
      <c r="F4158" s="729" t="n">
        <v>3500</v>
      </c>
      <c r="G4158" s="615" t="n">
        <f aca="false">E4158*F4158</f>
        <v>1050</v>
      </c>
      <c r="H4158" s="391"/>
    </row>
    <row r="4159" customFormat="false" ht="15" hidden="false" customHeight="false" outlineLevel="0" collapsed="false">
      <c r="A4159" s="571"/>
      <c r="B4159" s="500"/>
      <c r="C4159" s="614" t="s">
        <v>4147</v>
      </c>
      <c r="D4159" s="606" t="s">
        <v>4392</v>
      </c>
      <c r="E4159" s="715" t="n">
        <v>0.18</v>
      </c>
      <c r="F4159" s="723" t="n">
        <v>3612</v>
      </c>
      <c r="G4159" s="615" t="n">
        <f aca="false">E4159*F4159</f>
        <v>650.16</v>
      </c>
      <c r="H4159" s="714"/>
    </row>
    <row r="4160" customFormat="false" ht="15" hidden="false" customHeight="false" outlineLevel="0" collapsed="false">
      <c r="A4160" s="571"/>
      <c r="B4160" s="500"/>
      <c r="C4160" s="614" t="s">
        <v>4277</v>
      </c>
      <c r="D4160" s="606" t="s">
        <v>4133</v>
      </c>
      <c r="E4160" s="715" t="n">
        <v>0.06</v>
      </c>
      <c r="F4160" s="369" t="n">
        <v>12900</v>
      </c>
      <c r="G4160" s="615" t="n">
        <f aca="false">E4160*F4160</f>
        <v>774</v>
      </c>
      <c r="H4160" s="606"/>
    </row>
    <row r="4161" customFormat="false" ht="15" hidden="false" customHeight="false" outlineLevel="0" collapsed="false">
      <c r="A4161" s="571"/>
      <c r="B4161" s="500"/>
      <c r="C4161" s="614" t="s">
        <v>4575</v>
      </c>
      <c r="D4161" s="606" t="s">
        <v>4133</v>
      </c>
      <c r="E4161" s="715" t="n">
        <v>0.01</v>
      </c>
      <c r="F4161" s="369" t="n">
        <v>24000</v>
      </c>
      <c r="G4161" s="615" t="n">
        <f aca="false">E4161*F4161</f>
        <v>240</v>
      </c>
      <c r="H4161" s="606"/>
    </row>
    <row r="4162" customFormat="false" ht="15" hidden="false" customHeight="false" outlineLevel="0" collapsed="false">
      <c r="A4162" s="571"/>
      <c r="B4162" s="500"/>
      <c r="C4162" s="614" t="s">
        <v>4165</v>
      </c>
      <c r="D4162" s="606" t="s">
        <v>4133</v>
      </c>
      <c r="E4162" s="710" t="n">
        <v>0.022675</v>
      </c>
      <c r="F4162" s="369" t="n">
        <v>1323</v>
      </c>
      <c r="G4162" s="615" t="n">
        <f aca="false">E4162*F4162</f>
        <v>29.999025</v>
      </c>
      <c r="H4162" s="391"/>
    </row>
    <row r="4163" customFormat="false" ht="15" hidden="false" customHeight="false" outlineLevel="0" collapsed="false">
      <c r="A4163" s="571"/>
      <c r="B4163" s="500"/>
      <c r="C4163" s="614" t="s">
        <v>4270</v>
      </c>
      <c r="D4163" s="606" t="s">
        <v>4392</v>
      </c>
      <c r="E4163" s="715" t="n">
        <v>0.01</v>
      </c>
      <c r="F4163" s="369" t="n">
        <v>1750</v>
      </c>
      <c r="G4163" s="615" t="n">
        <f aca="false">E4163*F4163</f>
        <v>17.5</v>
      </c>
      <c r="H4163" s="606"/>
    </row>
    <row r="4164" customFormat="false" ht="15" hidden="false" customHeight="false" outlineLevel="0" collapsed="false">
      <c r="A4164" s="571"/>
      <c r="B4164" s="500"/>
      <c r="C4164" s="614" t="s">
        <v>4122</v>
      </c>
      <c r="D4164" s="606" t="s">
        <v>4392</v>
      </c>
      <c r="E4164" s="715" t="n">
        <v>0.3</v>
      </c>
      <c r="F4164" s="721" t="n">
        <v>720</v>
      </c>
      <c r="G4164" s="615" t="n">
        <f aca="false">E4164*F4164</f>
        <v>216</v>
      </c>
      <c r="H4164" s="606"/>
    </row>
    <row r="4165" customFormat="false" ht="15" hidden="false" customHeight="false" outlineLevel="0" collapsed="false">
      <c r="A4165" s="571"/>
      <c r="B4165" s="500"/>
      <c r="C4165" s="614" t="s">
        <v>4561</v>
      </c>
      <c r="D4165" s="606" t="s">
        <v>4138</v>
      </c>
      <c r="E4165" s="715" t="n">
        <v>1</v>
      </c>
      <c r="F4165" s="369" t="n">
        <v>490</v>
      </c>
      <c r="G4165" s="615" t="n">
        <f aca="false">E4165*F4165</f>
        <v>490</v>
      </c>
      <c r="H4165" s="606"/>
    </row>
    <row r="4166" customFormat="false" ht="15" hidden="false" customHeight="false" outlineLevel="0" collapsed="false">
      <c r="A4166" s="571"/>
      <c r="B4166" s="500"/>
      <c r="C4166" s="614" t="s">
        <v>4515</v>
      </c>
      <c r="D4166" s="606" t="s">
        <v>4133</v>
      </c>
      <c r="E4166" s="715" t="n">
        <v>0.06</v>
      </c>
      <c r="F4166" s="369" t="n">
        <v>2700</v>
      </c>
      <c r="G4166" s="615" t="n">
        <f aca="false">E4166*F4166</f>
        <v>162</v>
      </c>
      <c r="H4166" s="391"/>
    </row>
    <row r="4167" customFormat="false" ht="15" hidden="false" customHeight="false" outlineLevel="0" collapsed="false">
      <c r="A4167" s="571"/>
      <c r="B4167" s="500"/>
      <c r="C4167" s="614" t="s">
        <v>4124</v>
      </c>
      <c r="D4167" s="606" t="s">
        <v>4516</v>
      </c>
      <c r="E4167" s="715" t="n">
        <v>1</v>
      </c>
      <c r="F4167" s="369" t="n">
        <v>120</v>
      </c>
      <c r="G4167" s="615" t="n">
        <f aca="false">E4167*F4167</f>
        <v>120</v>
      </c>
      <c r="H4167" s="606"/>
    </row>
    <row r="4168" customFormat="false" ht="15" hidden="false" customHeight="false" outlineLevel="0" collapsed="false">
      <c r="A4168" s="571"/>
      <c r="B4168" s="500"/>
      <c r="C4168" s="614" t="s">
        <v>4577</v>
      </c>
      <c r="D4168" s="606" t="s">
        <v>4578</v>
      </c>
      <c r="E4168" s="715" t="n">
        <v>0.01</v>
      </c>
      <c r="F4168" s="369" t="n">
        <v>27000</v>
      </c>
      <c r="G4168" s="615" t="n">
        <f aca="false">E4168*F4168</f>
        <v>270</v>
      </c>
      <c r="H4168" s="606"/>
    </row>
    <row r="4169" customFormat="false" ht="15" hidden="false" customHeight="false" outlineLevel="0" collapsed="false">
      <c r="A4169" s="571"/>
      <c r="B4169" s="608" t="s">
        <v>4128</v>
      </c>
      <c r="C4169" s="609"/>
      <c r="D4169" s="610"/>
      <c r="E4169" s="720"/>
      <c r="F4169" s="366"/>
      <c r="G4169" s="613" t="n">
        <f aca="false">SUM(G4158:G4168)</f>
        <v>4019.659025</v>
      </c>
      <c r="H4169" s="606"/>
    </row>
    <row r="4170" customFormat="false" ht="15" hidden="false" customHeight="false" outlineLevel="0" collapsed="false">
      <c r="A4170" s="571" t="s">
        <v>855</v>
      </c>
      <c r="B4170" s="328" t="s">
        <v>3148</v>
      </c>
      <c r="C4170" s="614" t="s">
        <v>4580</v>
      </c>
      <c r="D4170" s="606" t="s">
        <v>4133</v>
      </c>
      <c r="E4170" s="715" t="n">
        <v>0.15</v>
      </c>
      <c r="F4170" s="369" t="n">
        <v>1690</v>
      </c>
      <c r="G4170" s="615" t="n">
        <f aca="false">E4170*F4170</f>
        <v>253.5</v>
      </c>
      <c r="H4170" s="391"/>
    </row>
    <row r="4171" customFormat="false" ht="15" hidden="false" customHeight="false" outlineLevel="0" collapsed="false">
      <c r="A4171" s="571"/>
      <c r="B4171" s="500"/>
      <c r="C4171" s="614" t="s">
        <v>4750</v>
      </c>
      <c r="D4171" s="606" t="s">
        <v>4133</v>
      </c>
      <c r="E4171" s="715" t="n">
        <v>0.01</v>
      </c>
      <c r="F4171" s="369" t="n">
        <v>21000</v>
      </c>
      <c r="G4171" s="615" t="n">
        <f aca="false">E4171*F4171</f>
        <v>210</v>
      </c>
      <c r="H4171" s="606"/>
    </row>
    <row r="4172" customFormat="false" ht="30" hidden="false" customHeight="false" outlineLevel="0" collapsed="false">
      <c r="A4172" s="571"/>
      <c r="B4172" s="500"/>
      <c r="C4172" s="614" t="s">
        <v>4581</v>
      </c>
      <c r="D4172" s="606" t="s">
        <v>4133</v>
      </c>
      <c r="E4172" s="715" t="n">
        <v>0.01</v>
      </c>
      <c r="F4172" s="369" t="n">
        <v>118100</v>
      </c>
      <c r="G4172" s="615" t="n">
        <f aca="false">E4172*F4172</f>
        <v>1181</v>
      </c>
      <c r="H4172" s="606"/>
    </row>
    <row r="4173" customFormat="false" ht="15" hidden="false" customHeight="false" outlineLevel="0" collapsed="false">
      <c r="A4173" s="571"/>
      <c r="B4173" s="500"/>
      <c r="C4173" s="614" t="s">
        <v>4582</v>
      </c>
      <c r="D4173" s="606" t="s">
        <v>4133</v>
      </c>
      <c r="E4173" s="715" t="n">
        <v>0.1</v>
      </c>
      <c r="F4173" s="369" t="n">
        <v>2100</v>
      </c>
      <c r="G4173" s="615" t="n">
        <f aca="false">E4173*F4173</f>
        <v>210</v>
      </c>
      <c r="H4173" s="606"/>
    </row>
    <row r="4174" customFormat="false" ht="15" hidden="false" customHeight="false" outlineLevel="0" collapsed="false">
      <c r="A4174" s="571"/>
      <c r="B4174" s="500"/>
      <c r="C4174" s="614" t="s">
        <v>4583</v>
      </c>
      <c r="D4174" s="606" t="s">
        <v>4138</v>
      </c>
      <c r="E4174" s="715" t="n">
        <v>1</v>
      </c>
      <c r="F4174" s="369" t="n">
        <v>490</v>
      </c>
      <c r="G4174" s="615" t="n">
        <f aca="false">E4174*F4174</f>
        <v>490</v>
      </c>
      <c r="H4174" s="606"/>
    </row>
    <row r="4175" customFormat="false" ht="15" hidden="false" customHeight="false" outlineLevel="0" collapsed="false">
      <c r="A4175" s="571"/>
      <c r="B4175" s="500"/>
      <c r="C4175" s="614" t="s">
        <v>4584</v>
      </c>
      <c r="D4175" s="606" t="s">
        <v>4133</v>
      </c>
      <c r="E4175" s="715" t="n">
        <v>0.05</v>
      </c>
      <c r="F4175" s="369" t="n">
        <v>1901</v>
      </c>
      <c r="G4175" s="615" t="n">
        <f aca="false">E4175*F4175</f>
        <v>95.05</v>
      </c>
      <c r="H4175" s="606"/>
    </row>
    <row r="4176" customFormat="false" ht="15" hidden="false" customHeight="false" outlineLevel="0" collapsed="false">
      <c r="A4176" s="571"/>
      <c r="B4176" s="500"/>
      <c r="C4176" s="614" t="s">
        <v>4585</v>
      </c>
      <c r="D4176" s="606" t="s">
        <v>4133</v>
      </c>
      <c r="E4176" s="715" t="n">
        <v>0.03</v>
      </c>
      <c r="F4176" s="369" t="n">
        <v>8900</v>
      </c>
      <c r="G4176" s="615" t="n">
        <f aca="false">E4176*F4176</f>
        <v>267</v>
      </c>
      <c r="H4176" s="606"/>
    </row>
    <row r="4177" customFormat="false" ht="15" hidden="false" customHeight="false" outlineLevel="0" collapsed="false">
      <c r="A4177" s="571"/>
      <c r="B4177" s="500"/>
      <c r="C4177" s="614" t="s">
        <v>4201</v>
      </c>
      <c r="D4177" s="606" t="s">
        <v>4133</v>
      </c>
      <c r="E4177" s="715" t="n">
        <v>0.02</v>
      </c>
      <c r="F4177" s="721" t="n">
        <v>27000</v>
      </c>
      <c r="G4177" s="615" t="n">
        <f aca="false">E4177*F4177</f>
        <v>540</v>
      </c>
      <c r="H4177" s="606"/>
    </row>
    <row r="4178" customFormat="false" ht="15" hidden="false" customHeight="false" outlineLevel="0" collapsed="false">
      <c r="A4178" s="571"/>
      <c r="B4178" s="500"/>
      <c r="C4178" s="614" t="s">
        <v>4122</v>
      </c>
      <c r="D4178" s="606" t="s">
        <v>4392</v>
      </c>
      <c r="E4178" s="715" t="n">
        <v>0.25</v>
      </c>
      <c r="F4178" s="721" t="n">
        <v>720</v>
      </c>
      <c r="G4178" s="615" t="n">
        <f aca="false">E4178*F4178</f>
        <v>180</v>
      </c>
      <c r="H4178" s="391"/>
    </row>
    <row r="4179" customFormat="false" ht="15" hidden="false" customHeight="false" outlineLevel="0" collapsed="false">
      <c r="A4179" s="571"/>
      <c r="B4179" s="500"/>
      <c r="C4179" s="614" t="s">
        <v>4154</v>
      </c>
      <c r="D4179" s="606" t="s">
        <v>4392</v>
      </c>
      <c r="E4179" s="715" t="n">
        <v>0.04</v>
      </c>
      <c r="F4179" s="721" t="n">
        <v>3500</v>
      </c>
      <c r="G4179" s="615" t="n">
        <f aca="false">E4179*F4179</f>
        <v>140</v>
      </c>
      <c r="H4179" s="606"/>
    </row>
    <row r="4180" customFormat="false" ht="15" hidden="false" customHeight="false" outlineLevel="0" collapsed="false">
      <c r="A4180" s="571"/>
      <c r="B4180" s="500"/>
      <c r="C4180" s="614" t="s">
        <v>4515</v>
      </c>
      <c r="D4180" s="606" t="s">
        <v>4133</v>
      </c>
      <c r="E4180" s="715" t="n">
        <v>0.06</v>
      </c>
      <c r="F4180" s="369" t="n">
        <v>2700</v>
      </c>
      <c r="G4180" s="615" t="n">
        <f aca="false">E4180*F4180</f>
        <v>162</v>
      </c>
      <c r="H4180" s="606"/>
    </row>
    <row r="4181" customFormat="false" ht="15" hidden="false" customHeight="false" outlineLevel="0" collapsed="false">
      <c r="A4181" s="571"/>
      <c r="B4181" s="500"/>
      <c r="C4181" s="614" t="s">
        <v>4124</v>
      </c>
      <c r="D4181" s="606" t="s">
        <v>4516</v>
      </c>
      <c r="E4181" s="715" t="n">
        <v>0.15</v>
      </c>
      <c r="F4181" s="369" t="n">
        <v>120</v>
      </c>
      <c r="G4181" s="615" t="n">
        <f aca="false">E4181*F4181</f>
        <v>18</v>
      </c>
      <c r="H4181" s="610"/>
    </row>
    <row r="4182" customFormat="false" ht="15" hidden="false" customHeight="false" outlineLevel="0" collapsed="false">
      <c r="A4182" s="571"/>
      <c r="B4182" s="500"/>
      <c r="C4182" s="614" t="s">
        <v>4586</v>
      </c>
      <c r="D4182" s="606" t="s">
        <v>4578</v>
      </c>
      <c r="E4182" s="715" t="n">
        <v>0.01</v>
      </c>
      <c r="F4182" s="369" t="n">
        <v>27000</v>
      </c>
      <c r="G4182" s="615" t="n">
        <f aca="false">E4182*F4182</f>
        <v>270</v>
      </c>
      <c r="H4182" s="606"/>
    </row>
    <row r="4183" customFormat="false" ht="15" hidden="false" customHeight="false" outlineLevel="0" collapsed="false">
      <c r="A4183" s="571"/>
      <c r="B4183" s="608" t="s">
        <v>4128</v>
      </c>
      <c r="C4183" s="609"/>
      <c r="D4183" s="610"/>
      <c r="E4183" s="720"/>
      <c r="F4183" s="366"/>
      <c r="G4183" s="613" t="n">
        <f aca="false">SUM(G4170:G4182)</f>
        <v>4016.55</v>
      </c>
      <c r="H4183" s="606"/>
    </row>
    <row r="4184" customFormat="false" ht="15" hidden="false" customHeight="false" outlineLevel="0" collapsed="false">
      <c r="A4184" s="571" t="s">
        <v>856</v>
      </c>
      <c r="B4184" s="328" t="s">
        <v>3102</v>
      </c>
      <c r="C4184" s="614" t="s">
        <v>4189</v>
      </c>
      <c r="D4184" s="606" t="s">
        <v>4392</v>
      </c>
      <c r="E4184" s="715" t="n">
        <v>0.33</v>
      </c>
      <c r="F4184" s="729" t="n">
        <v>3500</v>
      </c>
      <c r="G4184" s="615" t="n">
        <f aca="false">E4184*F4184</f>
        <v>1155</v>
      </c>
      <c r="H4184" s="606"/>
    </row>
    <row r="4185" customFormat="false" ht="15" hidden="false" customHeight="false" outlineLevel="0" collapsed="false">
      <c r="A4185" s="571"/>
      <c r="B4185" s="500"/>
      <c r="C4185" s="614" t="s">
        <v>4147</v>
      </c>
      <c r="D4185" s="606" t="s">
        <v>4392</v>
      </c>
      <c r="E4185" s="715" t="n">
        <v>0.2</v>
      </c>
      <c r="F4185" s="723" t="n">
        <v>3612</v>
      </c>
      <c r="G4185" s="615" t="n">
        <f aca="false">E4185*F4185</f>
        <v>722.4</v>
      </c>
      <c r="H4185" s="391"/>
    </row>
    <row r="4186" customFormat="false" ht="15" hidden="false" customHeight="false" outlineLevel="0" collapsed="false">
      <c r="A4186" s="571"/>
      <c r="B4186" s="500"/>
      <c r="C4186" s="614" t="s">
        <v>4277</v>
      </c>
      <c r="D4186" s="606" t="s">
        <v>4133</v>
      </c>
      <c r="E4186" s="715" t="n">
        <v>0.06</v>
      </c>
      <c r="F4186" s="369" t="n">
        <v>12900</v>
      </c>
      <c r="G4186" s="615" t="n">
        <f aca="false">E4186*F4186</f>
        <v>774</v>
      </c>
      <c r="H4186" s="606"/>
    </row>
    <row r="4187" customFormat="false" ht="15" hidden="false" customHeight="false" outlineLevel="0" collapsed="false">
      <c r="A4187" s="571"/>
      <c r="B4187" s="500"/>
      <c r="C4187" s="614" t="s">
        <v>4575</v>
      </c>
      <c r="D4187" s="606" t="s">
        <v>4133</v>
      </c>
      <c r="E4187" s="715" t="n">
        <v>0.01</v>
      </c>
      <c r="F4187" s="369" t="n">
        <v>24000</v>
      </c>
      <c r="G4187" s="615" t="n">
        <f aca="false">E4187*F4187</f>
        <v>240</v>
      </c>
      <c r="H4187" s="606"/>
    </row>
    <row r="4188" customFormat="false" ht="15" hidden="false" customHeight="false" outlineLevel="0" collapsed="false">
      <c r="A4188" s="571"/>
      <c r="B4188" s="500"/>
      <c r="C4188" s="614" t="s">
        <v>4165</v>
      </c>
      <c r="D4188" s="606" t="s">
        <v>4133</v>
      </c>
      <c r="E4188" s="710" t="n">
        <v>0.022675</v>
      </c>
      <c r="F4188" s="369" t="n">
        <v>1323</v>
      </c>
      <c r="G4188" s="615" t="n">
        <f aca="false">E4188*F4188</f>
        <v>29.999025</v>
      </c>
      <c r="H4188" s="391"/>
    </row>
    <row r="4189" customFormat="false" ht="15" hidden="false" customHeight="false" outlineLevel="0" collapsed="false">
      <c r="A4189" s="571"/>
      <c r="B4189" s="500"/>
      <c r="C4189" s="614" t="s">
        <v>4270</v>
      </c>
      <c r="D4189" s="606" t="s">
        <v>4392</v>
      </c>
      <c r="E4189" s="715" t="n">
        <v>0.01</v>
      </c>
      <c r="F4189" s="369" t="n">
        <v>1750</v>
      </c>
      <c r="G4189" s="615" t="n">
        <f aca="false">E4189*F4189</f>
        <v>17.5</v>
      </c>
      <c r="H4189" s="606"/>
    </row>
    <row r="4190" customFormat="false" ht="15" hidden="false" customHeight="false" outlineLevel="0" collapsed="false">
      <c r="A4190" s="571"/>
      <c r="B4190" s="500"/>
      <c r="C4190" s="614" t="s">
        <v>4122</v>
      </c>
      <c r="D4190" s="606" t="s">
        <v>4392</v>
      </c>
      <c r="E4190" s="715" t="n">
        <v>0.3</v>
      </c>
      <c r="F4190" s="721" t="n">
        <v>720</v>
      </c>
      <c r="G4190" s="615" t="n">
        <f aca="false">E4190*F4190</f>
        <v>216</v>
      </c>
      <c r="H4190" s="606"/>
    </row>
    <row r="4191" customFormat="false" ht="30" hidden="false" customHeight="false" outlineLevel="0" collapsed="false">
      <c r="A4191" s="571"/>
      <c r="B4191" s="500"/>
      <c r="C4191" s="614" t="s">
        <v>4748</v>
      </c>
      <c r="D4191" s="606" t="s">
        <v>4138</v>
      </c>
      <c r="E4191" s="715" t="n">
        <v>1</v>
      </c>
      <c r="F4191" s="369" t="n">
        <v>490</v>
      </c>
      <c r="G4191" s="615" t="n">
        <f aca="false">E4191*F4191</f>
        <v>490</v>
      </c>
      <c r="H4191" s="606"/>
    </row>
    <row r="4192" customFormat="false" ht="15" hidden="false" customHeight="false" outlineLevel="0" collapsed="false">
      <c r="A4192" s="571"/>
      <c r="B4192" s="500"/>
      <c r="C4192" s="614" t="s">
        <v>4515</v>
      </c>
      <c r="D4192" s="606" t="s">
        <v>4133</v>
      </c>
      <c r="E4192" s="710" t="n">
        <v>0.05995</v>
      </c>
      <c r="F4192" s="369" t="n">
        <v>2700</v>
      </c>
      <c r="G4192" s="615" t="n">
        <f aca="false">E4192*F4192</f>
        <v>161.865</v>
      </c>
      <c r="H4192" s="606"/>
    </row>
    <row r="4193" customFormat="false" ht="15" hidden="false" customHeight="false" outlineLevel="0" collapsed="false">
      <c r="A4193" s="571"/>
      <c r="B4193" s="500"/>
      <c r="C4193" s="614" t="s">
        <v>4124</v>
      </c>
      <c r="D4193" s="606" t="s">
        <v>4516</v>
      </c>
      <c r="E4193" s="710" t="n">
        <v>0.142</v>
      </c>
      <c r="F4193" s="369" t="n">
        <v>120</v>
      </c>
      <c r="G4193" s="615" t="n">
        <f aca="false">E4193*F4193</f>
        <v>17.04</v>
      </c>
      <c r="H4193" s="606"/>
    </row>
    <row r="4194" customFormat="false" ht="15" hidden="false" customHeight="false" outlineLevel="0" collapsed="false">
      <c r="A4194" s="571"/>
      <c r="B4194" s="500"/>
      <c r="C4194" s="614" t="s">
        <v>4577</v>
      </c>
      <c r="D4194" s="606" t="s">
        <v>4578</v>
      </c>
      <c r="E4194" s="715" t="n">
        <v>0.01</v>
      </c>
      <c r="F4194" s="369" t="n">
        <v>27000</v>
      </c>
      <c r="G4194" s="615" t="n">
        <f aca="false">E4194*F4194</f>
        <v>270</v>
      </c>
      <c r="H4194" s="606"/>
    </row>
    <row r="4195" customFormat="false" ht="15" hidden="false" customHeight="false" outlineLevel="0" collapsed="false">
      <c r="A4195" s="571"/>
      <c r="B4195" s="608" t="s">
        <v>4128</v>
      </c>
      <c r="C4195" s="609"/>
      <c r="D4195" s="610"/>
      <c r="E4195" s="720"/>
      <c r="F4195" s="366"/>
      <c r="G4195" s="613" t="n">
        <f aca="false">SUM(G4184:G4194)</f>
        <v>4093.804025</v>
      </c>
      <c r="H4195" s="606"/>
    </row>
    <row r="4196" customFormat="false" ht="15" hidden="false" customHeight="false" outlineLevel="0" collapsed="false">
      <c r="A4196" s="571" t="s">
        <v>857</v>
      </c>
      <c r="B4196" s="328" t="s">
        <v>3149</v>
      </c>
      <c r="C4196" s="614" t="s">
        <v>4189</v>
      </c>
      <c r="D4196" s="606" t="s">
        <v>4392</v>
      </c>
      <c r="E4196" s="715" t="n">
        <v>0.22</v>
      </c>
      <c r="F4196" s="729" t="n">
        <v>3500</v>
      </c>
      <c r="G4196" s="615" t="n">
        <f aca="false">E4196*F4196</f>
        <v>770</v>
      </c>
      <c r="H4196" s="606"/>
    </row>
    <row r="4197" customFormat="false" ht="15" hidden="false" customHeight="false" outlineLevel="0" collapsed="false">
      <c r="A4197" s="571"/>
      <c r="B4197" s="500"/>
      <c r="C4197" s="614" t="s">
        <v>4147</v>
      </c>
      <c r="D4197" s="606" t="s">
        <v>4392</v>
      </c>
      <c r="E4197" s="715" t="n">
        <v>0.2</v>
      </c>
      <c r="F4197" s="723" t="n">
        <v>3612</v>
      </c>
      <c r="G4197" s="615" t="n">
        <f aca="false">E4197*F4197</f>
        <v>722.4</v>
      </c>
      <c r="H4197" s="606"/>
    </row>
    <row r="4198" customFormat="false" ht="15" hidden="false" customHeight="false" outlineLevel="0" collapsed="false">
      <c r="A4198" s="571"/>
      <c r="B4198" s="500"/>
      <c r="C4198" s="614" t="s">
        <v>4277</v>
      </c>
      <c r="D4198" s="606" t="s">
        <v>4133</v>
      </c>
      <c r="E4198" s="715" t="n">
        <v>0.03</v>
      </c>
      <c r="F4198" s="369" t="n">
        <v>12900</v>
      </c>
      <c r="G4198" s="615" t="n">
        <f aca="false">E4198*F4198</f>
        <v>387</v>
      </c>
      <c r="H4198" s="606"/>
    </row>
    <row r="4199" customFormat="false" ht="15" hidden="false" customHeight="false" outlineLevel="0" collapsed="false">
      <c r="A4199" s="571"/>
      <c r="B4199" s="500"/>
      <c r="C4199" s="614" t="s">
        <v>4575</v>
      </c>
      <c r="D4199" s="606" t="s">
        <v>4133</v>
      </c>
      <c r="E4199" s="715" t="n">
        <v>0.01</v>
      </c>
      <c r="F4199" s="369" t="n">
        <v>1323</v>
      </c>
      <c r="G4199" s="615" t="n">
        <f aca="false">E4199*F4199</f>
        <v>13.23</v>
      </c>
      <c r="H4199" s="606"/>
    </row>
    <row r="4200" customFormat="false" ht="15" hidden="false" customHeight="false" outlineLevel="0" collapsed="false">
      <c r="A4200" s="571"/>
      <c r="B4200" s="500"/>
      <c r="C4200" s="614" t="s">
        <v>4165</v>
      </c>
      <c r="D4200" s="606" t="s">
        <v>4133</v>
      </c>
      <c r="E4200" s="715" t="n">
        <v>0.2</v>
      </c>
      <c r="F4200" s="369" t="n">
        <v>1323</v>
      </c>
      <c r="G4200" s="615" t="n">
        <f aca="false">E4200*F4200</f>
        <v>264.6</v>
      </c>
      <c r="H4200" s="391"/>
    </row>
    <row r="4201" customFormat="false" ht="15" hidden="false" customHeight="false" outlineLevel="0" collapsed="false">
      <c r="A4201" s="571"/>
      <c r="B4201" s="500"/>
      <c r="C4201" s="614" t="s">
        <v>4270</v>
      </c>
      <c r="D4201" s="606" t="s">
        <v>4392</v>
      </c>
      <c r="E4201" s="715" t="n">
        <v>0.5</v>
      </c>
      <c r="F4201" s="369" t="n">
        <v>1750</v>
      </c>
      <c r="G4201" s="615" t="n">
        <f aca="false">E4201*F4201</f>
        <v>875</v>
      </c>
      <c r="H4201" s="606"/>
    </row>
    <row r="4202" customFormat="false" ht="15" hidden="false" customHeight="false" outlineLevel="0" collapsed="false">
      <c r="A4202" s="571"/>
      <c r="B4202" s="500"/>
      <c r="C4202" s="614" t="s">
        <v>4122</v>
      </c>
      <c r="D4202" s="606" t="s">
        <v>4392</v>
      </c>
      <c r="E4202" s="715" t="n">
        <v>0.3</v>
      </c>
      <c r="F4202" s="721" t="n">
        <v>720</v>
      </c>
      <c r="G4202" s="615" t="n">
        <f aca="false">E4202*F4202</f>
        <v>216</v>
      </c>
      <c r="H4202" s="606"/>
    </row>
    <row r="4203" customFormat="false" ht="30" hidden="false" customHeight="false" outlineLevel="0" collapsed="false">
      <c r="A4203" s="571"/>
      <c r="B4203" s="500"/>
      <c r="C4203" s="614" t="s">
        <v>4594</v>
      </c>
      <c r="D4203" s="606" t="s">
        <v>4138</v>
      </c>
      <c r="E4203" s="715" t="n">
        <v>0.1</v>
      </c>
      <c r="F4203" s="369" t="n">
        <v>2500</v>
      </c>
      <c r="G4203" s="615" t="n">
        <f aca="false">E4203*F4203</f>
        <v>250</v>
      </c>
      <c r="H4203" s="606"/>
    </row>
    <row r="4204" customFormat="false" ht="15" hidden="false" customHeight="false" outlineLevel="0" collapsed="false">
      <c r="A4204" s="571"/>
      <c r="B4204" s="500"/>
      <c r="C4204" s="614" t="s">
        <v>4515</v>
      </c>
      <c r="D4204" s="606" t="s">
        <v>4133</v>
      </c>
      <c r="E4204" s="715" t="n">
        <v>0.06</v>
      </c>
      <c r="F4204" s="369" t="n">
        <v>2700</v>
      </c>
      <c r="G4204" s="615" t="n">
        <f aca="false">E4204*F4204</f>
        <v>162</v>
      </c>
      <c r="H4204" s="606"/>
    </row>
    <row r="4205" customFormat="false" ht="15" hidden="false" customHeight="false" outlineLevel="0" collapsed="false">
      <c r="A4205" s="571"/>
      <c r="B4205" s="500"/>
      <c r="C4205" s="614" t="s">
        <v>4124</v>
      </c>
      <c r="D4205" s="606" t="s">
        <v>4516</v>
      </c>
      <c r="E4205" s="710" t="n">
        <v>0.1562</v>
      </c>
      <c r="F4205" s="369" t="n">
        <v>120</v>
      </c>
      <c r="G4205" s="615" t="n">
        <f aca="false">E4205*F4205</f>
        <v>18.744</v>
      </c>
      <c r="H4205" s="606"/>
    </row>
    <row r="4206" customFormat="false" ht="15" hidden="false" customHeight="false" outlineLevel="0" collapsed="false">
      <c r="A4206" s="571"/>
      <c r="B4206" s="500"/>
      <c r="C4206" s="614" t="s">
        <v>4586</v>
      </c>
      <c r="D4206" s="606" t="s">
        <v>4578</v>
      </c>
      <c r="E4206" s="715" t="n">
        <v>0.01</v>
      </c>
      <c r="F4206" s="369" t="n">
        <v>27000</v>
      </c>
      <c r="G4206" s="615" t="n">
        <f aca="false">E4206*F4206</f>
        <v>270</v>
      </c>
      <c r="H4206" s="606"/>
    </row>
    <row r="4207" customFormat="false" ht="15" hidden="false" customHeight="false" outlineLevel="0" collapsed="false">
      <c r="A4207" s="571"/>
      <c r="B4207" s="608" t="s">
        <v>4128</v>
      </c>
      <c r="C4207" s="609"/>
      <c r="D4207" s="610"/>
      <c r="E4207" s="611"/>
      <c r="F4207" s="612"/>
      <c r="G4207" s="613" t="n">
        <f aca="false">SUM(G4196:G4206)</f>
        <v>3948.974</v>
      </c>
      <c r="H4207" s="606"/>
    </row>
    <row r="4208" customFormat="false" ht="15" hidden="false" customHeight="false" outlineLevel="0" collapsed="false">
      <c r="A4208" s="350" t="s">
        <v>4974</v>
      </c>
      <c r="B4208" s="467" t="s">
        <v>4975</v>
      </c>
      <c r="C4208" s="751"/>
      <c r="D4208" s="339"/>
      <c r="E4208" s="752"/>
      <c r="F4208" s="519"/>
      <c r="G4208" s="753"/>
      <c r="H4208" s="790"/>
    </row>
    <row r="4209" customFormat="false" ht="15" hidden="false" customHeight="false" outlineLevel="0" collapsed="false">
      <c r="A4209" s="571" t="s">
        <v>4976</v>
      </c>
      <c r="B4209" s="328" t="s">
        <v>3010</v>
      </c>
      <c r="C4209" s="614"/>
      <c r="D4209" s="606"/>
      <c r="E4209" s="622"/>
      <c r="F4209" s="361"/>
      <c r="G4209" s="615"/>
      <c r="H4209" s="606"/>
    </row>
    <row r="4210" customFormat="false" ht="15" hidden="false" customHeight="false" outlineLevel="0" collapsed="false">
      <c r="A4210" s="571" t="s">
        <v>4977</v>
      </c>
      <c r="B4210" s="328" t="s">
        <v>3084</v>
      </c>
      <c r="C4210" s="614" t="s">
        <v>4515</v>
      </c>
      <c r="D4210" s="606" t="s">
        <v>4133</v>
      </c>
      <c r="E4210" s="702" t="n">
        <v>0.06</v>
      </c>
      <c r="F4210" s="361" t="n">
        <v>2700</v>
      </c>
      <c r="G4210" s="615" t="n">
        <f aca="false">E4210*F4210</f>
        <v>162</v>
      </c>
      <c r="H4210" s="606"/>
    </row>
    <row r="4211" customFormat="false" ht="15" hidden="false" customHeight="false" outlineLevel="0" collapsed="false">
      <c r="A4211" s="571"/>
      <c r="B4211" s="500"/>
      <c r="C4211" s="614" t="s">
        <v>4124</v>
      </c>
      <c r="D4211" s="606" t="s">
        <v>4516</v>
      </c>
      <c r="E4211" s="622" t="n">
        <v>1.5</v>
      </c>
      <c r="F4211" s="361" t="n">
        <v>120</v>
      </c>
      <c r="G4211" s="615" t="n">
        <f aca="false">E4211*F4211</f>
        <v>180</v>
      </c>
      <c r="H4211" s="606"/>
    </row>
    <row r="4212" customFormat="false" ht="15" hidden="false" customHeight="false" outlineLevel="0" collapsed="false">
      <c r="A4212" s="571"/>
      <c r="B4212" s="608" t="s">
        <v>4128</v>
      </c>
      <c r="C4212" s="609"/>
      <c r="D4212" s="610"/>
      <c r="E4212" s="611"/>
      <c r="F4212" s="612"/>
      <c r="G4212" s="613" t="n">
        <f aca="false">SUM(G4210:G4211)</f>
        <v>342</v>
      </c>
      <c r="H4212" s="606"/>
    </row>
    <row r="4213" customFormat="false" ht="15" hidden="false" customHeight="false" outlineLevel="0" collapsed="false">
      <c r="A4213" s="571" t="s">
        <v>862</v>
      </c>
      <c r="B4213" s="328" t="s">
        <v>3085</v>
      </c>
      <c r="C4213" s="614" t="s">
        <v>4515</v>
      </c>
      <c r="D4213" s="606" t="s">
        <v>4133</v>
      </c>
      <c r="E4213" s="622" t="n">
        <v>0.08565</v>
      </c>
      <c r="F4213" s="361" t="n">
        <v>2700</v>
      </c>
      <c r="G4213" s="615" t="n">
        <f aca="false">E4213*F4213</f>
        <v>231.255</v>
      </c>
      <c r="H4213" s="391"/>
    </row>
    <row r="4214" customFormat="false" ht="15" hidden="false" customHeight="false" outlineLevel="0" collapsed="false">
      <c r="A4214" s="571"/>
      <c r="B4214" s="500"/>
      <c r="C4214" s="614" t="s">
        <v>4124</v>
      </c>
      <c r="D4214" s="606" t="s">
        <v>4516</v>
      </c>
      <c r="E4214" s="622" t="n">
        <v>0.995</v>
      </c>
      <c r="F4214" s="361" t="n">
        <v>120</v>
      </c>
      <c r="G4214" s="615" t="n">
        <f aca="false">E4214*F4214</f>
        <v>119.4</v>
      </c>
      <c r="H4214" s="606"/>
    </row>
    <row r="4215" customFormat="false" ht="15" hidden="false" customHeight="false" outlineLevel="0" collapsed="false">
      <c r="A4215" s="571"/>
      <c r="B4215" s="500"/>
      <c r="C4215" s="614" t="s">
        <v>4122</v>
      </c>
      <c r="D4215" s="606" t="s">
        <v>4392</v>
      </c>
      <c r="E4215" s="622" t="n">
        <v>0.16882</v>
      </c>
      <c r="F4215" s="797" t="n">
        <v>720</v>
      </c>
      <c r="G4215" s="615" t="n">
        <f aca="false">E4215*F4215</f>
        <v>121.5504</v>
      </c>
      <c r="H4215" s="606"/>
    </row>
    <row r="4216" customFormat="false" ht="15" hidden="false" customHeight="false" outlineLevel="0" collapsed="false">
      <c r="A4216" s="571"/>
      <c r="B4216" s="608" t="s">
        <v>4128</v>
      </c>
      <c r="C4216" s="609"/>
      <c r="D4216" s="610"/>
      <c r="E4216" s="611"/>
      <c r="F4216" s="612"/>
      <c r="G4216" s="613" t="n">
        <f aca="false">SUM(G4213:G4215)</f>
        <v>472.2054</v>
      </c>
      <c r="H4216" s="606"/>
    </row>
    <row r="4217" customFormat="false" ht="15" hidden="false" customHeight="false" outlineLevel="0" collapsed="false">
      <c r="A4217" s="571" t="s">
        <v>863</v>
      </c>
      <c r="B4217" s="328" t="s">
        <v>3126</v>
      </c>
      <c r="C4217" s="614" t="s">
        <v>4154</v>
      </c>
      <c r="D4217" s="606" t="s">
        <v>4392</v>
      </c>
      <c r="E4217" s="715" t="n">
        <v>0.01</v>
      </c>
      <c r="F4217" s="721" t="n">
        <v>3500</v>
      </c>
      <c r="G4217" s="615" t="n">
        <f aca="false">E4217*F4217</f>
        <v>35</v>
      </c>
      <c r="H4217" s="606"/>
    </row>
    <row r="4218" customFormat="false" ht="15" hidden="false" customHeight="false" outlineLevel="0" collapsed="false">
      <c r="A4218" s="571"/>
      <c r="B4218" s="500"/>
      <c r="C4218" s="614" t="s">
        <v>4515</v>
      </c>
      <c r="D4218" s="606" t="s">
        <v>4133</v>
      </c>
      <c r="E4218" s="715" t="n">
        <v>0.01</v>
      </c>
      <c r="F4218" s="369" t="n">
        <v>2700</v>
      </c>
      <c r="G4218" s="615" t="n">
        <f aca="false">E4218*F4218</f>
        <v>27</v>
      </c>
      <c r="H4218" s="606"/>
    </row>
    <row r="4219" customFormat="false" ht="15" hidden="false" customHeight="false" outlineLevel="0" collapsed="false">
      <c r="A4219" s="571"/>
      <c r="B4219" s="500"/>
      <c r="C4219" s="614" t="s">
        <v>4124</v>
      </c>
      <c r="D4219" s="606" t="s">
        <v>4516</v>
      </c>
      <c r="E4219" s="710" t="n">
        <v>0.5138</v>
      </c>
      <c r="F4219" s="369" t="n">
        <v>120</v>
      </c>
      <c r="G4219" s="615" t="n">
        <f aca="false">E4219*F4219</f>
        <v>61.656</v>
      </c>
      <c r="H4219" s="606"/>
    </row>
    <row r="4220" customFormat="false" ht="15" hidden="false" customHeight="false" outlineLevel="0" collapsed="false">
      <c r="A4220" s="571"/>
      <c r="B4220" s="608" t="s">
        <v>4128</v>
      </c>
      <c r="C4220" s="609"/>
      <c r="D4220" s="610"/>
      <c r="E4220" s="722"/>
      <c r="F4220" s="366"/>
      <c r="G4220" s="613" t="n">
        <f aca="false">SUM(G4217:G4219)</f>
        <v>123.656</v>
      </c>
      <c r="H4220" s="606"/>
    </row>
    <row r="4221" customFormat="false" ht="15" hidden="false" customHeight="false" outlineLevel="0" collapsed="false">
      <c r="A4221" s="571" t="s">
        <v>864</v>
      </c>
      <c r="B4221" s="328" t="s">
        <v>3103</v>
      </c>
      <c r="C4221" s="614" t="s">
        <v>4189</v>
      </c>
      <c r="D4221" s="606" t="s">
        <v>4392</v>
      </c>
      <c r="E4221" s="710" t="n">
        <v>0.033</v>
      </c>
      <c r="F4221" s="729" t="n">
        <v>3500</v>
      </c>
      <c r="G4221" s="615" t="n">
        <f aca="false">E4221*F4221</f>
        <v>115.5</v>
      </c>
      <c r="H4221" s="606"/>
    </row>
    <row r="4222" customFormat="false" ht="15" hidden="false" customHeight="false" outlineLevel="0" collapsed="false">
      <c r="A4222" s="571"/>
      <c r="B4222" s="500"/>
      <c r="C4222" s="614" t="s">
        <v>4147</v>
      </c>
      <c r="D4222" s="606" t="s">
        <v>4392</v>
      </c>
      <c r="E4222" s="725" t="n">
        <v>0.02</v>
      </c>
      <c r="F4222" s="723" t="n">
        <v>3612</v>
      </c>
      <c r="G4222" s="615" t="n">
        <f aca="false">E4222*F4222</f>
        <v>72.24</v>
      </c>
      <c r="H4222" s="606"/>
    </row>
    <row r="4223" customFormat="false" ht="15" hidden="false" customHeight="false" outlineLevel="0" collapsed="false">
      <c r="A4223" s="571"/>
      <c r="B4223" s="500"/>
      <c r="C4223" s="614" t="s">
        <v>4277</v>
      </c>
      <c r="D4223" s="606" t="s">
        <v>4133</v>
      </c>
      <c r="E4223" s="725" t="n">
        <v>0.01</v>
      </c>
      <c r="F4223" s="369" t="n">
        <v>12900</v>
      </c>
      <c r="G4223" s="615" t="n">
        <f aca="false">E4223*F4223</f>
        <v>129</v>
      </c>
      <c r="H4223" s="606"/>
    </row>
    <row r="4224" customFormat="false" ht="15" hidden="false" customHeight="false" outlineLevel="0" collapsed="false">
      <c r="A4224" s="571"/>
      <c r="B4224" s="500"/>
      <c r="C4224" s="614" t="s">
        <v>4575</v>
      </c>
      <c r="D4224" s="606" t="s">
        <v>4133</v>
      </c>
      <c r="E4224" s="725" t="n">
        <v>0.001</v>
      </c>
      <c r="F4224" s="369" t="n">
        <v>24000</v>
      </c>
      <c r="G4224" s="615" t="n">
        <f aca="false">E4224*F4224</f>
        <v>24</v>
      </c>
      <c r="H4224" s="606"/>
    </row>
    <row r="4225" customFormat="false" ht="15" hidden="false" customHeight="false" outlineLevel="0" collapsed="false">
      <c r="A4225" s="571"/>
      <c r="B4225" s="500"/>
      <c r="C4225" s="614" t="s">
        <v>4165</v>
      </c>
      <c r="D4225" s="606" t="s">
        <v>4133</v>
      </c>
      <c r="E4225" s="725" t="n">
        <v>0.03</v>
      </c>
      <c r="F4225" s="369" t="n">
        <v>1323</v>
      </c>
      <c r="G4225" s="615" t="n">
        <f aca="false">E4225*F4225</f>
        <v>39.69</v>
      </c>
      <c r="H4225" s="391"/>
    </row>
    <row r="4226" customFormat="false" ht="15" hidden="false" customHeight="false" outlineLevel="0" collapsed="false">
      <c r="A4226" s="571"/>
      <c r="B4226" s="500"/>
      <c r="C4226" s="614" t="s">
        <v>4270</v>
      </c>
      <c r="D4226" s="606" t="s">
        <v>4392</v>
      </c>
      <c r="E4226" s="725" t="n">
        <v>0.1</v>
      </c>
      <c r="F4226" s="369" t="n">
        <v>1750</v>
      </c>
      <c r="G4226" s="615" t="n">
        <f aca="false">E4226*F4226</f>
        <v>175</v>
      </c>
      <c r="H4226" s="606"/>
    </row>
    <row r="4227" customFormat="false" ht="15" hidden="false" customHeight="false" outlineLevel="0" collapsed="false">
      <c r="A4227" s="571"/>
      <c r="B4227" s="500"/>
      <c r="C4227" s="614" t="s">
        <v>4122</v>
      </c>
      <c r="D4227" s="606" t="s">
        <v>4392</v>
      </c>
      <c r="E4227" s="725" t="n">
        <v>0.03</v>
      </c>
      <c r="F4227" s="721" t="n">
        <v>720</v>
      </c>
      <c r="G4227" s="615" t="n">
        <f aca="false">E4227*F4227</f>
        <v>21.6</v>
      </c>
      <c r="H4227" s="606"/>
    </row>
    <row r="4228" customFormat="false" ht="15" hidden="false" customHeight="false" outlineLevel="0" collapsed="false">
      <c r="A4228" s="571"/>
      <c r="B4228" s="500"/>
      <c r="C4228" s="614" t="s">
        <v>4561</v>
      </c>
      <c r="D4228" s="606" t="s">
        <v>4138</v>
      </c>
      <c r="E4228" s="725" t="n">
        <v>1</v>
      </c>
      <c r="F4228" s="369" t="n">
        <v>490</v>
      </c>
      <c r="G4228" s="615" t="n">
        <f aca="false">E4228*F4228</f>
        <v>490</v>
      </c>
      <c r="H4228" s="606"/>
    </row>
    <row r="4229" customFormat="false" ht="15" hidden="false" customHeight="false" outlineLevel="0" collapsed="false">
      <c r="A4229" s="571"/>
      <c r="B4229" s="500"/>
      <c r="C4229" s="614" t="s">
        <v>4515</v>
      </c>
      <c r="D4229" s="606" t="s">
        <v>4133</v>
      </c>
      <c r="E4229" s="725" t="n">
        <v>0.06</v>
      </c>
      <c r="F4229" s="369" t="n">
        <v>2700</v>
      </c>
      <c r="G4229" s="615" t="n">
        <f aca="false">E4229*F4229</f>
        <v>162</v>
      </c>
      <c r="H4229" s="606"/>
    </row>
    <row r="4230" customFormat="false" ht="15" hidden="false" customHeight="false" outlineLevel="0" collapsed="false">
      <c r="A4230" s="571"/>
      <c r="B4230" s="500"/>
      <c r="C4230" s="614" t="s">
        <v>4124</v>
      </c>
      <c r="D4230" s="606" t="s">
        <v>4516</v>
      </c>
      <c r="E4230" s="725" t="n">
        <v>0.08</v>
      </c>
      <c r="F4230" s="369" t="n">
        <v>120</v>
      </c>
      <c r="G4230" s="615" t="n">
        <f aca="false">E4230*F4230</f>
        <v>9.6</v>
      </c>
      <c r="H4230" s="606"/>
    </row>
    <row r="4231" customFormat="false" ht="15" hidden="false" customHeight="false" outlineLevel="0" collapsed="false">
      <c r="A4231" s="571"/>
      <c r="B4231" s="500"/>
      <c r="C4231" s="614" t="s">
        <v>4577</v>
      </c>
      <c r="D4231" s="606" t="s">
        <v>4578</v>
      </c>
      <c r="E4231" s="710" t="n">
        <v>0.006</v>
      </c>
      <c r="F4231" s="369" t="n">
        <v>27000</v>
      </c>
      <c r="G4231" s="615" t="n">
        <f aca="false">E4231*F4231</f>
        <v>162</v>
      </c>
      <c r="H4231" s="606"/>
    </row>
    <row r="4232" customFormat="false" ht="15" hidden="false" customHeight="false" outlineLevel="0" collapsed="false">
      <c r="A4232" s="571"/>
      <c r="B4232" s="608" t="s">
        <v>4128</v>
      </c>
      <c r="C4232" s="609"/>
      <c r="D4232" s="610"/>
      <c r="E4232" s="722"/>
      <c r="F4232" s="366"/>
      <c r="G4232" s="613" t="n">
        <f aca="false">SUM(G4221:G4231)</f>
        <v>1400.63</v>
      </c>
      <c r="H4232" s="606"/>
    </row>
    <row r="4233" customFormat="false" ht="15" hidden="false" customHeight="false" outlineLevel="0" collapsed="false">
      <c r="A4233" s="571" t="s">
        <v>865</v>
      </c>
      <c r="B4233" s="328" t="s">
        <v>3148</v>
      </c>
      <c r="C4233" s="614" t="s">
        <v>4580</v>
      </c>
      <c r="D4233" s="606" t="s">
        <v>4133</v>
      </c>
      <c r="E4233" s="542" t="n">
        <v>0.1</v>
      </c>
      <c r="F4233" s="369" t="n">
        <v>1690</v>
      </c>
      <c r="G4233" s="615" t="n">
        <f aca="false">E4233*F4233</f>
        <v>169</v>
      </c>
      <c r="H4233" s="606"/>
    </row>
    <row r="4234" customFormat="false" ht="15" hidden="false" customHeight="false" outlineLevel="0" collapsed="false">
      <c r="A4234" s="571"/>
      <c r="B4234" s="500"/>
      <c r="C4234" s="614" t="s">
        <v>4750</v>
      </c>
      <c r="D4234" s="606" t="s">
        <v>4133</v>
      </c>
      <c r="E4234" s="710" t="n">
        <v>0.0009</v>
      </c>
      <c r="F4234" s="369" t="n">
        <v>21000</v>
      </c>
      <c r="G4234" s="615" t="n">
        <f aca="false">E4234*F4234</f>
        <v>18.9</v>
      </c>
      <c r="H4234" s="606"/>
    </row>
    <row r="4235" customFormat="false" ht="30" hidden="false" customHeight="false" outlineLevel="0" collapsed="false">
      <c r="A4235" s="571"/>
      <c r="B4235" s="500"/>
      <c r="C4235" s="614" t="s">
        <v>4581</v>
      </c>
      <c r="D4235" s="606" t="s">
        <v>4133</v>
      </c>
      <c r="E4235" s="725" t="n">
        <v>0.002</v>
      </c>
      <c r="F4235" s="369" t="n">
        <v>118100</v>
      </c>
      <c r="G4235" s="615" t="n">
        <f aca="false">E4235*F4235</f>
        <v>236.2</v>
      </c>
      <c r="H4235" s="606"/>
    </row>
    <row r="4236" customFormat="false" ht="15" hidden="false" customHeight="false" outlineLevel="0" collapsed="false">
      <c r="A4236" s="571"/>
      <c r="B4236" s="500"/>
      <c r="C4236" s="614" t="s">
        <v>4582</v>
      </c>
      <c r="D4236" s="606" t="s">
        <v>4133</v>
      </c>
      <c r="E4236" s="725" t="n">
        <v>0.01</v>
      </c>
      <c r="F4236" s="369" t="n">
        <v>2100</v>
      </c>
      <c r="G4236" s="615" t="n">
        <f aca="false">E4236*F4236</f>
        <v>21</v>
      </c>
      <c r="H4236" s="606"/>
    </row>
    <row r="4237" customFormat="false" ht="15" hidden="false" customHeight="false" outlineLevel="0" collapsed="false">
      <c r="A4237" s="571"/>
      <c r="B4237" s="500"/>
      <c r="C4237" s="614" t="s">
        <v>4583</v>
      </c>
      <c r="D4237" s="606" t="s">
        <v>4138</v>
      </c>
      <c r="E4237" s="725" t="n">
        <v>0.12</v>
      </c>
      <c r="F4237" s="369" t="n">
        <v>490</v>
      </c>
      <c r="G4237" s="615" t="n">
        <f aca="false">E4237*F4237</f>
        <v>58.8</v>
      </c>
      <c r="H4237" s="391"/>
    </row>
    <row r="4238" customFormat="false" ht="15" hidden="false" customHeight="false" outlineLevel="0" collapsed="false">
      <c r="A4238" s="571"/>
      <c r="B4238" s="500"/>
      <c r="C4238" s="614" t="s">
        <v>4584</v>
      </c>
      <c r="D4238" s="606" t="s">
        <v>4133</v>
      </c>
      <c r="E4238" s="725" t="n">
        <v>0.012</v>
      </c>
      <c r="F4238" s="369" t="n">
        <v>1901</v>
      </c>
      <c r="G4238" s="615" t="n">
        <f aca="false">E4238*F4238</f>
        <v>22.812</v>
      </c>
      <c r="H4238" s="391"/>
    </row>
    <row r="4239" customFormat="false" ht="15" hidden="false" customHeight="false" outlineLevel="0" collapsed="false">
      <c r="A4239" s="571"/>
      <c r="B4239" s="500"/>
      <c r="C4239" s="614" t="s">
        <v>4585</v>
      </c>
      <c r="D4239" s="606" t="s">
        <v>4133</v>
      </c>
      <c r="E4239" s="725" t="n">
        <v>0.003</v>
      </c>
      <c r="F4239" s="369" t="n">
        <v>8900</v>
      </c>
      <c r="G4239" s="615" t="n">
        <f aca="false">E4239*F4239</f>
        <v>26.7</v>
      </c>
      <c r="H4239" s="606"/>
    </row>
    <row r="4240" customFormat="false" ht="15" hidden="false" customHeight="false" outlineLevel="0" collapsed="false">
      <c r="A4240" s="571"/>
      <c r="B4240" s="500"/>
      <c r="C4240" s="614" t="s">
        <v>4201</v>
      </c>
      <c r="D4240" s="606" t="s">
        <v>4133</v>
      </c>
      <c r="E4240" s="725" t="n">
        <v>0.04</v>
      </c>
      <c r="F4240" s="721" t="n">
        <v>27000</v>
      </c>
      <c r="G4240" s="615" t="n">
        <f aca="false">E4240*F4240</f>
        <v>1080</v>
      </c>
      <c r="H4240" s="606"/>
    </row>
    <row r="4241" customFormat="false" ht="15" hidden="false" customHeight="false" outlineLevel="0" collapsed="false">
      <c r="A4241" s="571"/>
      <c r="B4241" s="500"/>
      <c r="C4241" s="614" t="s">
        <v>4122</v>
      </c>
      <c r="D4241" s="606" t="s">
        <v>4392</v>
      </c>
      <c r="E4241" s="725" t="n">
        <v>0.25</v>
      </c>
      <c r="F4241" s="721" t="n">
        <v>720</v>
      </c>
      <c r="G4241" s="615" t="n">
        <f aca="false">E4241*F4241</f>
        <v>180</v>
      </c>
      <c r="H4241" s="606"/>
    </row>
    <row r="4242" customFormat="false" ht="15" hidden="false" customHeight="false" outlineLevel="0" collapsed="false">
      <c r="A4242" s="571"/>
      <c r="B4242" s="500"/>
      <c r="C4242" s="614" t="s">
        <v>4154</v>
      </c>
      <c r="D4242" s="606" t="s">
        <v>4392</v>
      </c>
      <c r="E4242" s="710" t="n">
        <v>0.0375</v>
      </c>
      <c r="F4242" s="721" t="n">
        <v>3500</v>
      </c>
      <c r="G4242" s="615" t="n">
        <f aca="false">E4242*F4242</f>
        <v>131.25</v>
      </c>
      <c r="H4242" s="606"/>
    </row>
    <row r="4243" customFormat="false" ht="15" hidden="false" customHeight="false" outlineLevel="0" collapsed="false">
      <c r="A4243" s="571"/>
      <c r="B4243" s="500"/>
      <c r="C4243" s="614" t="s">
        <v>4515</v>
      </c>
      <c r="D4243" s="606" t="s">
        <v>4133</v>
      </c>
      <c r="E4243" s="710" t="n">
        <v>0.06</v>
      </c>
      <c r="F4243" s="369" t="n">
        <v>2700</v>
      </c>
      <c r="G4243" s="615" t="n">
        <f aca="false">E4243*F4243</f>
        <v>162</v>
      </c>
      <c r="H4243" s="391"/>
    </row>
    <row r="4244" customFormat="false" ht="15" hidden="false" customHeight="false" outlineLevel="0" collapsed="false">
      <c r="A4244" s="571"/>
      <c r="B4244" s="500"/>
      <c r="C4244" s="614" t="s">
        <v>4124</v>
      </c>
      <c r="D4244" s="606" t="s">
        <v>4516</v>
      </c>
      <c r="E4244" s="710" t="n">
        <v>0.016</v>
      </c>
      <c r="F4244" s="369" t="n">
        <v>120</v>
      </c>
      <c r="G4244" s="615" t="n">
        <f aca="false">E4244*F4244</f>
        <v>1.92</v>
      </c>
      <c r="H4244" s="606"/>
    </row>
    <row r="4245" customFormat="false" ht="15" hidden="false" customHeight="false" outlineLevel="0" collapsed="false">
      <c r="A4245" s="571"/>
      <c r="B4245" s="500"/>
      <c r="C4245" s="614" t="s">
        <v>4586</v>
      </c>
      <c r="D4245" s="606" t="s">
        <v>4578</v>
      </c>
      <c r="E4245" s="710" t="n">
        <v>0.001</v>
      </c>
      <c r="F4245" s="369" t="n">
        <v>27000</v>
      </c>
      <c r="G4245" s="615" t="n">
        <f aca="false">E4245*F4245</f>
        <v>27</v>
      </c>
      <c r="H4245" s="606"/>
    </row>
    <row r="4246" customFormat="false" ht="15" hidden="false" customHeight="false" outlineLevel="0" collapsed="false">
      <c r="A4246" s="571"/>
      <c r="B4246" s="608" t="s">
        <v>4128</v>
      </c>
      <c r="C4246" s="609"/>
      <c r="D4246" s="610"/>
      <c r="E4246" s="722"/>
      <c r="F4246" s="366"/>
      <c r="G4246" s="613" t="n">
        <f aca="false">SUM(G4233:G4245)</f>
        <v>2135.582</v>
      </c>
      <c r="H4246" s="606"/>
    </row>
    <row r="4247" customFormat="false" ht="15" hidden="false" customHeight="false" outlineLevel="0" collapsed="false">
      <c r="A4247" s="571" t="s">
        <v>866</v>
      </c>
      <c r="B4247" s="328" t="s">
        <v>3102</v>
      </c>
      <c r="C4247" s="614" t="s">
        <v>4189</v>
      </c>
      <c r="D4247" s="606" t="s">
        <v>4392</v>
      </c>
      <c r="E4247" s="725" t="n">
        <v>0.033</v>
      </c>
      <c r="F4247" s="729" t="n">
        <v>3500</v>
      </c>
      <c r="G4247" s="615" t="n">
        <f aca="false">E4247*F4247</f>
        <v>115.5</v>
      </c>
      <c r="H4247" s="610"/>
    </row>
    <row r="4248" customFormat="false" ht="15" hidden="false" customHeight="false" outlineLevel="0" collapsed="false">
      <c r="A4248" s="571"/>
      <c r="B4248" s="500"/>
      <c r="C4248" s="614" t="s">
        <v>4147</v>
      </c>
      <c r="D4248" s="606" t="s">
        <v>4392</v>
      </c>
      <c r="E4248" s="725" t="n">
        <v>0.02</v>
      </c>
      <c r="F4248" s="723" t="n">
        <v>3612</v>
      </c>
      <c r="G4248" s="615" t="n">
        <f aca="false">E4248*F4248</f>
        <v>72.24</v>
      </c>
      <c r="H4248" s="606"/>
    </row>
    <row r="4249" customFormat="false" ht="15" hidden="false" customHeight="false" outlineLevel="0" collapsed="false">
      <c r="A4249" s="571"/>
      <c r="B4249" s="500"/>
      <c r="C4249" s="614" t="s">
        <v>4277</v>
      </c>
      <c r="D4249" s="606" t="s">
        <v>4133</v>
      </c>
      <c r="E4249" s="725" t="n">
        <v>0.01</v>
      </c>
      <c r="F4249" s="369" t="n">
        <v>12900</v>
      </c>
      <c r="G4249" s="615" t="n">
        <f aca="false">E4249*F4249</f>
        <v>129</v>
      </c>
      <c r="H4249" s="606"/>
    </row>
    <row r="4250" customFormat="false" ht="15" hidden="false" customHeight="false" outlineLevel="0" collapsed="false">
      <c r="A4250" s="571"/>
      <c r="B4250" s="500"/>
      <c r="C4250" s="614" t="s">
        <v>4575</v>
      </c>
      <c r="D4250" s="606" t="s">
        <v>4133</v>
      </c>
      <c r="E4250" s="725" t="n">
        <v>0.001</v>
      </c>
      <c r="F4250" s="369" t="n">
        <v>24000</v>
      </c>
      <c r="G4250" s="615" t="n">
        <f aca="false">E4250*F4250</f>
        <v>24</v>
      </c>
      <c r="H4250" s="606"/>
    </row>
    <row r="4251" customFormat="false" ht="15" hidden="false" customHeight="false" outlineLevel="0" collapsed="false">
      <c r="A4251" s="571"/>
      <c r="B4251" s="500"/>
      <c r="C4251" s="614" t="s">
        <v>4165</v>
      </c>
      <c r="D4251" s="606" t="s">
        <v>4133</v>
      </c>
      <c r="E4251" s="725" t="n">
        <v>0.03</v>
      </c>
      <c r="F4251" s="369" t="n">
        <v>1323</v>
      </c>
      <c r="G4251" s="615" t="n">
        <f aca="false">E4251*F4251</f>
        <v>39.69</v>
      </c>
      <c r="H4251" s="391"/>
    </row>
    <row r="4252" customFormat="false" ht="15" hidden="false" customHeight="false" outlineLevel="0" collapsed="false">
      <c r="A4252" s="571"/>
      <c r="B4252" s="500"/>
      <c r="C4252" s="614" t="s">
        <v>4270</v>
      </c>
      <c r="D4252" s="606" t="s">
        <v>4392</v>
      </c>
      <c r="E4252" s="725" t="n">
        <v>0.1</v>
      </c>
      <c r="F4252" s="369" t="n">
        <v>1750</v>
      </c>
      <c r="G4252" s="615" t="n">
        <f aca="false">E4252*F4252</f>
        <v>175</v>
      </c>
      <c r="H4252" s="606"/>
    </row>
    <row r="4253" customFormat="false" ht="15" hidden="false" customHeight="false" outlineLevel="0" collapsed="false">
      <c r="A4253" s="571"/>
      <c r="B4253" s="500"/>
      <c r="C4253" s="614" t="s">
        <v>4122</v>
      </c>
      <c r="D4253" s="606" t="s">
        <v>4392</v>
      </c>
      <c r="E4253" s="725" t="n">
        <v>0.03</v>
      </c>
      <c r="F4253" s="721" t="n">
        <v>720</v>
      </c>
      <c r="G4253" s="615" t="n">
        <f aca="false">E4253*F4253</f>
        <v>21.6</v>
      </c>
      <c r="H4253" s="606"/>
    </row>
    <row r="4254" customFormat="false" ht="15" hidden="false" customHeight="false" outlineLevel="0" collapsed="false">
      <c r="A4254" s="571"/>
      <c r="B4254" s="500"/>
      <c r="C4254" s="614" t="s">
        <v>4561</v>
      </c>
      <c r="D4254" s="606" t="s">
        <v>4138</v>
      </c>
      <c r="E4254" s="725" t="n">
        <v>1</v>
      </c>
      <c r="F4254" s="369" t="n">
        <v>490</v>
      </c>
      <c r="G4254" s="615" t="n">
        <f aca="false">E4254*F4254</f>
        <v>490</v>
      </c>
      <c r="H4254" s="606"/>
    </row>
    <row r="4255" customFormat="false" ht="15" hidden="false" customHeight="false" outlineLevel="0" collapsed="false">
      <c r="A4255" s="571"/>
      <c r="B4255" s="500"/>
      <c r="C4255" s="614" t="s">
        <v>4515</v>
      </c>
      <c r="D4255" s="606" t="s">
        <v>4133</v>
      </c>
      <c r="E4255" s="725" t="n">
        <v>0.06</v>
      </c>
      <c r="F4255" s="369" t="n">
        <v>2700</v>
      </c>
      <c r="G4255" s="615" t="n">
        <f aca="false">E4255*F4255</f>
        <v>162</v>
      </c>
      <c r="H4255" s="606"/>
    </row>
    <row r="4256" customFormat="false" ht="15" hidden="false" customHeight="false" outlineLevel="0" collapsed="false">
      <c r="A4256" s="571"/>
      <c r="B4256" s="500"/>
      <c r="C4256" s="614" t="s">
        <v>4124</v>
      </c>
      <c r="D4256" s="606" t="s">
        <v>4516</v>
      </c>
      <c r="E4256" s="725" t="n">
        <v>0.08</v>
      </c>
      <c r="F4256" s="369" t="n">
        <v>120</v>
      </c>
      <c r="G4256" s="615" t="n">
        <f aca="false">E4256*F4256</f>
        <v>9.6</v>
      </c>
      <c r="H4256" s="606"/>
    </row>
    <row r="4257" customFormat="false" ht="15" hidden="false" customHeight="false" outlineLevel="0" collapsed="false">
      <c r="A4257" s="571"/>
      <c r="B4257" s="500"/>
      <c r="C4257" s="614" t="s">
        <v>4577</v>
      </c>
      <c r="D4257" s="606" t="s">
        <v>4578</v>
      </c>
      <c r="E4257" s="725" t="n">
        <v>0.006</v>
      </c>
      <c r="F4257" s="369" t="n">
        <v>27000</v>
      </c>
      <c r="G4257" s="615" t="n">
        <f aca="false">E4257*F4257</f>
        <v>162</v>
      </c>
      <c r="H4257" s="606"/>
    </row>
    <row r="4258" customFormat="false" ht="15" hidden="false" customHeight="false" outlineLevel="0" collapsed="false">
      <c r="A4258" s="571"/>
      <c r="B4258" s="608" t="s">
        <v>4128</v>
      </c>
      <c r="C4258" s="609"/>
      <c r="D4258" s="610"/>
      <c r="E4258" s="722"/>
      <c r="F4258" s="366"/>
      <c r="G4258" s="613" t="n">
        <f aca="false">SUM(G4247:G4257)</f>
        <v>1400.63</v>
      </c>
      <c r="H4258" s="606"/>
    </row>
    <row r="4259" customFormat="false" ht="15" hidden="false" customHeight="false" outlineLevel="0" collapsed="false">
      <c r="A4259" s="571" t="s">
        <v>867</v>
      </c>
      <c r="B4259" s="328" t="s">
        <v>3149</v>
      </c>
      <c r="C4259" s="614" t="s">
        <v>4189</v>
      </c>
      <c r="D4259" s="606" t="s">
        <v>4392</v>
      </c>
      <c r="E4259" s="710" t="n">
        <v>0.0333</v>
      </c>
      <c r="F4259" s="729" t="n">
        <v>3500</v>
      </c>
      <c r="G4259" s="615" t="n">
        <f aca="false">E4259*F4259</f>
        <v>116.55</v>
      </c>
      <c r="H4259" s="606"/>
    </row>
    <row r="4260" customFormat="false" ht="15" hidden="false" customHeight="false" outlineLevel="0" collapsed="false">
      <c r="A4260" s="571"/>
      <c r="B4260" s="500"/>
      <c r="C4260" s="614" t="s">
        <v>4147</v>
      </c>
      <c r="D4260" s="606" t="s">
        <v>4392</v>
      </c>
      <c r="E4260" s="725" t="n">
        <v>0.2</v>
      </c>
      <c r="F4260" s="723" t="n">
        <v>3612</v>
      </c>
      <c r="G4260" s="615" t="n">
        <f aca="false">E4260*F4260</f>
        <v>722.4</v>
      </c>
      <c r="H4260" s="606"/>
    </row>
    <row r="4261" customFormat="false" ht="15" hidden="false" customHeight="false" outlineLevel="0" collapsed="false">
      <c r="A4261" s="571"/>
      <c r="B4261" s="500"/>
      <c r="C4261" s="614" t="s">
        <v>4277</v>
      </c>
      <c r="D4261" s="606" t="s">
        <v>4133</v>
      </c>
      <c r="E4261" s="725" t="n">
        <v>0.01</v>
      </c>
      <c r="F4261" s="369" t="n">
        <v>12900</v>
      </c>
      <c r="G4261" s="615" t="n">
        <f aca="false">E4261*F4261</f>
        <v>129</v>
      </c>
      <c r="H4261" s="606"/>
    </row>
    <row r="4262" customFormat="false" ht="15" hidden="false" customHeight="false" outlineLevel="0" collapsed="false">
      <c r="A4262" s="571"/>
      <c r="B4262" s="500"/>
      <c r="C4262" s="614" t="s">
        <v>4575</v>
      </c>
      <c r="D4262" s="606" t="s">
        <v>4133</v>
      </c>
      <c r="E4262" s="725" t="n">
        <v>0.01</v>
      </c>
      <c r="F4262" s="369" t="n">
        <v>1323</v>
      </c>
      <c r="G4262" s="615" t="n">
        <f aca="false">E4262*F4262</f>
        <v>13.23</v>
      </c>
      <c r="H4262" s="606"/>
    </row>
    <row r="4263" customFormat="false" ht="15" hidden="false" customHeight="false" outlineLevel="0" collapsed="false">
      <c r="A4263" s="571"/>
      <c r="B4263" s="500"/>
      <c r="C4263" s="614" t="s">
        <v>4165</v>
      </c>
      <c r="D4263" s="606" t="s">
        <v>4133</v>
      </c>
      <c r="E4263" s="725" t="n">
        <v>0.03</v>
      </c>
      <c r="F4263" s="369" t="n">
        <v>1323</v>
      </c>
      <c r="G4263" s="615" t="n">
        <f aca="false">E4263*F4263</f>
        <v>39.69</v>
      </c>
      <c r="H4263" s="391"/>
    </row>
    <row r="4264" customFormat="false" ht="15" hidden="false" customHeight="false" outlineLevel="0" collapsed="false">
      <c r="A4264" s="571"/>
      <c r="B4264" s="500"/>
      <c r="C4264" s="614" t="s">
        <v>4270</v>
      </c>
      <c r="D4264" s="606" t="s">
        <v>4392</v>
      </c>
      <c r="E4264" s="725" t="n">
        <v>0.1</v>
      </c>
      <c r="F4264" s="369" t="n">
        <v>1750</v>
      </c>
      <c r="G4264" s="615" t="n">
        <f aca="false">E4264*F4264</f>
        <v>175</v>
      </c>
      <c r="H4264" s="606"/>
    </row>
    <row r="4265" customFormat="false" ht="15" hidden="false" customHeight="false" outlineLevel="0" collapsed="false">
      <c r="A4265" s="571"/>
      <c r="B4265" s="500"/>
      <c r="C4265" s="614" t="s">
        <v>4122</v>
      </c>
      <c r="D4265" s="606" t="s">
        <v>4392</v>
      </c>
      <c r="E4265" s="725" t="n">
        <v>0.3</v>
      </c>
      <c r="F4265" s="721" t="n">
        <v>720</v>
      </c>
      <c r="G4265" s="615" t="n">
        <f aca="false">E4265*F4265</f>
        <v>216</v>
      </c>
      <c r="H4265" s="606"/>
    </row>
    <row r="4266" customFormat="false" ht="30" hidden="false" customHeight="false" outlineLevel="0" collapsed="false">
      <c r="A4266" s="571"/>
      <c r="B4266" s="500"/>
      <c r="C4266" s="614" t="s">
        <v>4594</v>
      </c>
      <c r="D4266" s="606" t="s">
        <v>4138</v>
      </c>
      <c r="E4266" s="725" t="n">
        <v>0.1</v>
      </c>
      <c r="F4266" s="369" t="n">
        <v>2500</v>
      </c>
      <c r="G4266" s="615" t="n">
        <f aca="false">E4266*F4266</f>
        <v>250</v>
      </c>
      <c r="H4266" s="606"/>
    </row>
    <row r="4267" customFormat="false" ht="15" hidden="false" customHeight="false" outlineLevel="0" collapsed="false">
      <c r="A4267" s="571"/>
      <c r="B4267" s="500"/>
      <c r="C4267" s="614" t="s">
        <v>4515</v>
      </c>
      <c r="D4267" s="606" t="s">
        <v>4133</v>
      </c>
      <c r="E4267" s="725" t="n">
        <v>0.06</v>
      </c>
      <c r="F4267" s="369" t="n">
        <v>2700</v>
      </c>
      <c r="G4267" s="615" t="n">
        <f aca="false">E4267*F4267</f>
        <v>162</v>
      </c>
      <c r="H4267" s="606"/>
    </row>
    <row r="4268" customFormat="false" ht="15" hidden="false" customHeight="false" outlineLevel="0" collapsed="false">
      <c r="A4268" s="571"/>
      <c r="B4268" s="500"/>
      <c r="C4268" s="614" t="s">
        <v>4124</v>
      </c>
      <c r="D4268" s="606" t="s">
        <v>4516</v>
      </c>
      <c r="E4268" s="725" t="n">
        <v>0.015</v>
      </c>
      <c r="F4268" s="369" t="n">
        <v>120</v>
      </c>
      <c r="G4268" s="615" t="n">
        <f aca="false">E4268*F4268</f>
        <v>1.8</v>
      </c>
      <c r="H4268" s="606"/>
    </row>
    <row r="4269" customFormat="false" ht="15" hidden="false" customHeight="false" outlineLevel="0" collapsed="false">
      <c r="A4269" s="571"/>
      <c r="B4269" s="500"/>
      <c r="C4269" s="614" t="s">
        <v>4586</v>
      </c>
      <c r="D4269" s="606" t="s">
        <v>4578</v>
      </c>
      <c r="E4269" s="725" t="n">
        <v>0.001</v>
      </c>
      <c r="F4269" s="369" t="n">
        <v>27000</v>
      </c>
      <c r="G4269" s="615" t="n">
        <f aca="false">E4269*F4269</f>
        <v>27</v>
      </c>
      <c r="H4269" s="606"/>
    </row>
    <row r="4270" customFormat="false" ht="15" hidden="false" customHeight="false" outlineLevel="0" collapsed="false">
      <c r="A4270" s="571"/>
      <c r="B4270" s="608" t="s">
        <v>4128</v>
      </c>
      <c r="C4270" s="609"/>
      <c r="D4270" s="610"/>
      <c r="E4270" s="722"/>
      <c r="F4270" s="366"/>
      <c r="G4270" s="613" t="n">
        <f aca="false">SUM(G4259:G4269)</f>
        <v>1852.67</v>
      </c>
      <c r="H4270" s="606"/>
    </row>
    <row r="4271" customFormat="false" ht="71.25" hidden="false" customHeight="false" outlineLevel="0" collapsed="false">
      <c r="A4271" s="350" t="s">
        <v>4978</v>
      </c>
      <c r="B4271" s="467" t="s">
        <v>3230</v>
      </c>
      <c r="C4271" s="751"/>
      <c r="D4271" s="339"/>
      <c r="E4271" s="752"/>
      <c r="F4271" s="519"/>
      <c r="G4271" s="753"/>
      <c r="H4271" s="790"/>
    </row>
    <row r="4272" customFormat="false" ht="30" hidden="false" customHeight="false" outlineLevel="0" collapsed="false">
      <c r="A4272" s="571" t="s">
        <v>4979</v>
      </c>
      <c r="B4272" s="492" t="s">
        <v>3231</v>
      </c>
      <c r="C4272" s="614" t="s">
        <v>4270</v>
      </c>
      <c r="D4272" s="606" t="s">
        <v>4392</v>
      </c>
      <c r="E4272" s="710" t="n">
        <v>0.015</v>
      </c>
      <c r="F4272" s="369" t="n">
        <v>1750</v>
      </c>
      <c r="G4272" s="615" t="n">
        <f aca="false">E4272*F4272</f>
        <v>26.25</v>
      </c>
      <c r="H4272" s="606"/>
    </row>
    <row r="4273" customFormat="false" ht="15" hidden="false" customHeight="false" outlineLevel="0" collapsed="false">
      <c r="A4273" s="571"/>
      <c r="B4273" s="500"/>
      <c r="C4273" s="614" t="s">
        <v>4980</v>
      </c>
      <c r="D4273" s="606" t="s">
        <v>4133</v>
      </c>
      <c r="E4273" s="710" t="n">
        <v>0.01001205</v>
      </c>
      <c r="F4273" s="369" t="n">
        <v>33000</v>
      </c>
      <c r="G4273" s="615" t="n">
        <f aca="false">E4273*F4273</f>
        <v>330.39765</v>
      </c>
      <c r="H4273" s="606"/>
    </row>
    <row r="4274" customFormat="false" ht="15" hidden="false" customHeight="false" outlineLevel="0" collapsed="false">
      <c r="A4274" s="571"/>
      <c r="B4274" s="500"/>
      <c r="C4274" s="614" t="s">
        <v>4122</v>
      </c>
      <c r="D4274" s="606" t="s">
        <v>4392</v>
      </c>
      <c r="E4274" s="715" t="n">
        <v>0.3</v>
      </c>
      <c r="F4274" s="721" t="n">
        <v>720</v>
      </c>
      <c r="G4274" s="615" t="n">
        <f aca="false">E4274*F4274</f>
        <v>216</v>
      </c>
      <c r="H4274" s="606"/>
    </row>
    <row r="4275" customFormat="false" ht="15" hidden="false" customHeight="false" outlineLevel="0" collapsed="false">
      <c r="A4275" s="571"/>
      <c r="B4275" s="608" t="s">
        <v>4128</v>
      </c>
      <c r="C4275" s="609"/>
      <c r="D4275" s="610"/>
      <c r="E4275" s="720"/>
      <c r="F4275" s="366"/>
      <c r="G4275" s="613" t="n">
        <f aca="false">SUM(G4272:G4274)</f>
        <v>572.64765</v>
      </c>
      <c r="H4275" s="606"/>
    </row>
    <row r="4276" customFormat="false" ht="15" hidden="false" customHeight="false" outlineLevel="0" collapsed="false">
      <c r="A4276" s="571" t="s">
        <v>4981</v>
      </c>
      <c r="B4276" s="492" t="s">
        <v>4982</v>
      </c>
      <c r="C4276" s="614" t="s">
        <v>4983</v>
      </c>
      <c r="D4276" s="606" t="s">
        <v>4133</v>
      </c>
      <c r="E4276" s="710" t="n">
        <v>5E-005</v>
      </c>
      <c r="F4276" s="369" t="n">
        <v>2200</v>
      </c>
      <c r="G4276" s="615" t="n">
        <f aca="false">E4276*F4276</f>
        <v>0.11</v>
      </c>
      <c r="H4276" s="391"/>
    </row>
    <row r="4277" customFormat="false" ht="15" hidden="false" customHeight="false" outlineLevel="0" collapsed="false">
      <c r="A4277" s="571"/>
      <c r="B4277" s="500"/>
      <c r="C4277" s="614" t="s">
        <v>4939</v>
      </c>
      <c r="D4277" s="606" t="s">
        <v>4133</v>
      </c>
      <c r="E4277" s="710" t="n">
        <v>0.0001</v>
      </c>
      <c r="F4277" s="369" t="n">
        <v>1430</v>
      </c>
      <c r="G4277" s="615" t="n">
        <f aca="false">E4277*F4277</f>
        <v>0.143</v>
      </c>
      <c r="H4277" s="606"/>
    </row>
    <row r="4278" customFormat="false" ht="15" hidden="false" customHeight="false" outlineLevel="0" collapsed="false">
      <c r="A4278" s="571"/>
      <c r="B4278" s="500"/>
      <c r="C4278" s="614" t="s">
        <v>4984</v>
      </c>
      <c r="D4278" s="606" t="s">
        <v>4133</v>
      </c>
      <c r="E4278" s="710" t="n">
        <v>0.03</v>
      </c>
      <c r="F4278" s="369" t="n">
        <v>1540</v>
      </c>
      <c r="G4278" s="615" t="n">
        <f aca="false">E4278*F4278</f>
        <v>46.2</v>
      </c>
      <c r="H4278" s="606"/>
    </row>
    <row r="4279" customFormat="false" ht="15" hidden="false" customHeight="false" outlineLevel="0" collapsed="false">
      <c r="A4279" s="571"/>
      <c r="B4279" s="500"/>
      <c r="C4279" s="614" t="s">
        <v>4985</v>
      </c>
      <c r="D4279" s="606" t="s">
        <v>4133</v>
      </c>
      <c r="E4279" s="710" t="n">
        <v>0.1</v>
      </c>
      <c r="F4279" s="369" t="n">
        <v>2700</v>
      </c>
      <c r="G4279" s="615" t="n">
        <f aca="false">E4279*F4279</f>
        <v>270</v>
      </c>
      <c r="H4279" s="606"/>
    </row>
    <row r="4280" customFormat="false" ht="15" hidden="false" customHeight="false" outlineLevel="0" collapsed="false">
      <c r="A4280" s="571"/>
      <c r="B4280" s="500"/>
      <c r="C4280" s="614" t="s">
        <v>4986</v>
      </c>
      <c r="D4280" s="606" t="s">
        <v>4133</v>
      </c>
      <c r="E4280" s="710" t="n">
        <v>0.015</v>
      </c>
      <c r="F4280" s="369" t="n">
        <v>690</v>
      </c>
      <c r="G4280" s="615" t="n">
        <f aca="false">E4280*F4280</f>
        <v>10.35</v>
      </c>
      <c r="H4280" s="606"/>
    </row>
    <row r="4281" customFormat="false" ht="15" hidden="false" customHeight="false" outlineLevel="0" collapsed="false">
      <c r="A4281" s="571"/>
      <c r="B4281" s="608" t="s">
        <v>4128</v>
      </c>
      <c r="C4281" s="609"/>
      <c r="D4281" s="610"/>
      <c r="E4281" s="722"/>
      <c r="F4281" s="366"/>
      <c r="G4281" s="613" t="n">
        <f aca="false">SUM(G4276:G4280)</f>
        <v>326.803</v>
      </c>
      <c r="H4281" s="606"/>
    </row>
    <row r="4282" customFormat="false" ht="15" hidden="false" customHeight="false" outlineLevel="0" collapsed="false">
      <c r="A4282" s="571" t="s">
        <v>4987</v>
      </c>
      <c r="B4282" s="492" t="s">
        <v>3233</v>
      </c>
      <c r="C4282" s="614" t="s">
        <v>4122</v>
      </c>
      <c r="D4282" s="606" t="s">
        <v>4392</v>
      </c>
      <c r="E4282" s="725" t="n">
        <v>0.3</v>
      </c>
      <c r="F4282" s="721" t="n">
        <v>720</v>
      </c>
      <c r="G4282" s="615" t="n">
        <f aca="false">E4282*F4282</f>
        <v>216</v>
      </c>
      <c r="H4282" s="606"/>
    </row>
    <row r="4283" customFormat="false" ht="15" hidden="false" customHeight="false" outlineLevel="0" collapsed="false">
      <c r="A4283" s="571"/>
      <c r="B4283" s="500"/>
      <c r="C4283" s="614" t="s">
        <v>4515</v>
      </c>
      <c r="D4283" s="606" t="s">
        <v>4133</v>
      </c>
      <c r="E4283" s="725" t="n">
        <v>0.06</v>
      </c>
      <c r="F4283" s="369" t="n">
        <v>2700</v>
      </c>
      <c r="G4283" s="615" t="n">
        <f aca="false">E4283*F4283</f>
        <v>162</v>
      </c>
      <c r="H4283" s="606"/>
    </row>
    <row r="4284" customFormat="false" ht="15" hidden="false" customHeight="false" outlineLevel="0" collapsed="false">
      <c r="A4284" s="571"/>
      <c r="B4284" s="500"/>
      <c r="C4284" s="614" t="s">
        <v>4124</v>
      </c>
      <c r="D4284" s="606" t="s">
        <v>4516</v>
      </c>
      <c r="E4284" s="725" t="n">
        <v>0.15</v>
      </c>
      <c r="F4284" s="369" t="n">
        <v>120</v>
      </c>
      <c r="G4284" s="615" t="n">
        <f aca="false">E4284*F4284</f>
        <v>18</v>
      </c>
      <c r="H4284" s="606"/>
    </row>
    <row r="4285" customFormat="false" ht="15" hidden="false" customHeight="false" outlineLevel="0" collapsed="false">
      <c r="A4285" s="571"/>
      <c r="B4285" s="608" t="s">
        <v>4128</v>
      </c>
      <c r="C4285" s="609"/>
      <c r="D4285" s="610"/>
      <c r="E4285" s="755"/>
      <c r="F4285" s="366"/>
      <c r="G4285" s="613" t="n">
        <f aca="false">SUM(G4282:G4284)</f>
        <v>396</v>
      </c>
      <c r="H4285" s="606"/>
    </row>
    <row r="4286" customFormat="false" ht="15" hidden="false" customHeight="false" outlineLevel="0" collapsed="false">
      <c r="A4286" s="571" t="s">
        <v>4988</v>
      </c>
      <c r="B4286" s="492" t="s">
        <v>3234</v>
      </c>
      <c r="C4286" s="614" t="s">
        <v>4486</v>
      </c>
      <c r="D4286" s="606" t="s">
        <v>4392</v>
      </c>
      <c r="E4286" s="725" t="n">
        <v>0.1</v>
      </c>
      <c r="F4286" s="723" t="n">
        <v>3612</v>
      </c>
      <c r="G4286" s="615" t="n">
        <f aca="false">E4286*F4286</f>
        <v>361.2</v>
      </c>
      <c r="H4286" s="606"/>
    </row>
    <row r="4287" customFormat="false" ht="15" hidden="false" customHeight="false" outlineLevel="0" collapsed="false">
      <c r="A4287" s="571"/>
      <c r="B4287" s="500"/>
      <c r="C4287" s="614" t="s">
        <v>4989</v>
      </c>
      <c r="D4287" s="606" t="s">
        <v>4392</v>
      </c>
      <c r="E4287" s="725" t="n">
        <v>0.2</v>
      </c>
      <c r="F4287" s="369" t="n">
        <v>199</v>
      </c>
      <c r="G4287" s="615" t="n">
        <f aca="false">E4287*F4287</f>
        <v>39.8</v>
      </c>
      <c r="H4287" s="606"/>
    </row>
    <row r="4288" customFormat="false" ht="15" hidden="false" customHeight="false" outlineLevel="0" collapsed="false">
      <c r="A4288" s="571"/>
      <c r="B4288" s="608"/>
      <c r="C4288" s="614" t="s">
        <v>4270</v>
      </c>
      <c r="D4288" s="606" t="s">
        <v>4392</v>
      </c>
      <c r="E4288" s="725" t="n">
        <v>0.1</v>
      </c>
      <c r="F4288" s="369" t="n">
        <v>1750</v>
      </c>
      <c r="G4288" s="615" t="n">
        <f aca="false">E4288*F4288</f>
        <v>175</v>
      </c>
      <c r="H4288" s="391"/>
    </row>
    <row r="4289" customFormat="false" ht="15" hidden="false" customHeight="false" outlineLevel="0" collapsed="false">
      <c r="A4289" s="571"/>
      <c r="B4289" s="608"/>
      <c r="C4289" s="614" t="s">
        <v>4529</v>
      </c>
      <c r="D4289" s="606" t="s">
        <v>4133</v>
      </c>
      <c r="E4289" s="725" t="n">
        <v>0.2</v>
      </c>
      <c r="F4289" s="369" t="n">
        <v>1200</v>
      </c>
      <c r="G4289" s="615" t="n">
        <f aca="false">E4289*F4289</f>
        <v>240</v>
      </c>
      <c r="H4289" s="391"/>
    </row>
    <row r="4290" customFormat="false" ht="15" hidden="false" customHeight="false" outlineLevel="0" collapsed="false">
      <c r="A4290" s="571"/>
      <c r="B4290" s="608"/>
      <c r="C4290" s="614" t="s">
        <v>4530</v>
      </c>
      <c r="D4290" s="606" t="s">
        <v>4133</v>
      </c>
      <c r="E4290" s="725" t="n">
        <v>0.004</v>
      </c>
      <c r="F4290" s="369" t="n">
        <v>361208</v>
      </c>
      <c r="G4290" s="615" t="n">
        <f aca="false">E4290*F4290</f>
        <v>1444.832</v>
      </c>
      <c r="H4290" s="391"/>
    </row>
    <row r="4291" customFormat="false" ht="15" hidden="false" customHeight="false" outlineLevel="0" collapsed="false">
      <c r="A4291" s="571"/>
      <c r="B4291" s="608"/>
      <c r="C4291" s="614" t="s">
        <v>4193</v>
      </c>
      <c r="D4291" s="606" t="s">
        <v>4133</v>
      </c>
      <c r="E4291" s="725" t="n">
        <v>0.004</v>
      </c>
      <c r="F4291" s="369" t="n">
        <v>361208</v>
      </c>
      <c r="G4291" s="615" t="n">
        <f aca="false">E4291*F4291</f>
        <v>1444.832</v>
      </c>
      <c r="H4291" s="391"/>
    </row>
    <row r="4292" customFormat="false" ht="15" hidden="false" customHeight="false" outlineLevel="0" collapsed="false">
      <c r="A4292" s="571"/>
      <c r="B4292" s="608"/>
      <c r="C4292" s="614" t="s">
        <v>4122</v>
      </c>
      <c r="D4292" s="606" t="s">
        <v>4392</v>
      </c>
      <c r="E4292" s="725" t="n">
        <v>0.1</v>
      </c>
      <c r="F4292" s="369" t="n">
        <v>720</v>
      </c>
      <c r="G4292" s="615" t="n">
        <f aca="false">E4292*F4292</f>
        <v>72</v>
      </c>
      <c r="H4292" s="391"/>
    </row>
    <row r="4293" customFormat="false" ht="15" hidden="false" customHeight="false" outlineLevel="0" collapsed="false">
      <c r="A4293" s="571"/>
      <c r="B4293" s="608"/>
      <c r="C4293" s="614" t="s">
        <v>4515</v>
      </c>
      <c r="D4293" s="606" t="s">
        <v>4133</v>
      </c>
      <c r="E4293" s="725" t="n">
        <v>0.01</v>
      </c>
      <c r="F4293" s="369" t="n">
        <v>2700</v>
      </c>
      <c r="G4293" s="615" t="n">
        <f aca="false">E4293*F4293</f>
        <v>27</v>
      </c>
      <c r="H4293" s="391"/>
    </row>
    <row r="4294" customFormat="false" ht="15" hidden="false" customHeight="false" outlineLevel="0" collapsed="false">
      <c r="A4294" s="571"/>
      <c r="B4294" s="608"/>
      <c r="C4294" s="614" t="s">
        <v>4124</v>
      </c>
      <c r="D4294" s="606" t="s">
        <v>4516</v>
      </c>
      <c r="E4294" s="725" t="n">
        <v>0.5</v>
      </c>
      <c r="F4294" s="369" t="n">
        <v>120</v>
      </c>
      <c r="G4294" s="615" t="n">
        <f aca="false">E4294*F4294</f>
        <v>60</v>
      </c>
      <c r="H4294" s="391"/>
    </row>
    <row r="4295" customFormat="false" ht="15" hidden="false" customHeight="false" outlineLevel="0" collapsed="false">
      <c r="A4295" s="571"/>
      <c r="B4295" s="608" t="s">
        <v>4562</v>
      </c>
      <c r="C4295" s="609"/>
      <c r="D4295" s="610"/>
      <c r="E4295" s="722"/>
      <c r="F4295" s="366"/>
      <c r="G4295" s="613" t="n">
        <f aca="false">SUM(G4286:G4294)</f>
        <v>3864.664</v>
      </c>
      <c r="H4295" s="391"/>
    </row>
    <row r="4296" customFormat="false" ht="28.5" hidden="false" customHeight="false" outlineLevel="0" collapsed="false">
      <c r="A4296" s="350" t="s">
        <v>4990</v>
      </c>
      <c r="B4296" s="467" t="s">
        <v>4991</v>
      </c>
      <c r="C4296" s="751"/>
      <c r="D4296" s="339"/>
      <c r="E4296" s="752"/>
      <c r="F4296" s="519"/>
      <c r="G4296" s="753"/>
      <c r="H4296" s="790"/>
    </row>
    <row r="4297" customFormat="false" ht="15" hidden="false" customHeight="false" outlineLevel="0" collapsed="false">
      <c r="A4297" s="571" t="s">
        <v>4992</v>
      </c>
      <c r="B4297" s="328" t="s">
        <v>3010</v>
      </c>
      <c r="C4297" s="614"/>
      <c r="D4297" s="606"/>
      <c r="E4297" s="710"/>
      <c r="F4297" s="369"/>
      <c r="G4297" s="615"/>
      <c r="H4297" s="606"/>
    </row>
    <row r="4298" customFormat="false" ht="15" hidden="false" customHeight="false" outlineLevel="0" collapsed="false">
      <c r="A4298" s="571" t="s">
        <v>4993</v>
      </c>
      <c r="B4298" s="433" t="s">
        <v>3236</v>
      </c>
      <c r="C4298" s="614" t="s">
        <v>4515</v>
      </c>
      <c r="D4298" s="606" t="s">
        <v>4133</v>
      </c>
      <c r="E4298" s="710" t="n">
        <v>0.06</v>
      </c>
      <c r="F4298" s="369" t="n">
        <v>2700</v>
      </c>
      <c r="G4298" s="615" t="n">
        <f aca="false">E4298*F4298</f>
        <v>162</v>
      </c>
      <c r="H4298" s="606"/>
    </row>
    <row r="4299" customFormat="false" ht="15" hidden="false" customHeight="false" outlineLevel="0" collapsed="false">
      <c r="A4299" s="571"/>
      <c r="B4299" s="500"/>
      <c r="C4299" s="614" t="s">
        <v>4122</v>
      </c>
      <c r="D4299" s="606" t="s">
        <v>4392</v>
      </c>
      <c r="E4299" s="710" t="n">
        <v>0.168</v>
      </c>
      <c r="F4299" s="721" t="n">
        <v>720</v>
      </c>
      <c r="G4299" s="615" t="n">
        <f aca="false">E4299*F4299</f>
        <v>120.96</v>
      </c>
      <c r="H4299" s="606"/>
    </row>
    <row r="4300" customFormat="false" ht="15" hidden="false" customHeight="false" outlineLevel="0" collapsed="false">
      <c r="A4300" s="571"/>
      <c r="B4300" s="608" t="s">
        <v>4128</v>
      </c>
      <c r="C4300" s="609"/>
      <c r="D4300" s="610"/>
      <c r="E4300" s="722"/>
      <c r="F4300" s="366"/>
      <c r="G4300" s="613" t="n">
        <f aca="false">SUM(G4298:G4299)</f>
        <v>282.96</v>
      </c>
      <c r="H4300" s="606"/>
    </row>
    <row r="4301" customFormat="false" ht="15" hidden="false" customHeight="false" outlineLevel="0" collapsed="false">
      <c r="A4301" s="571" t="s">
        <v>4994</v>
      </c>
      <c r="B4301" s="433" t="s">
        <v>3237</v>
      </c>
      <c r="C4301" s="614" t="s">
        <v>4158</v>
      </c>
      <c r="D4301" s="606" t="s">
        <v>4133</v>
      </c>
      <c r="E4301" s="725" t="n">
        <v>0.1</v>
      </c>
      <c r="F4301" s="724" t="n">
        <v>1500</v>
      </c>
      <c r="G4301" s="615" t="n">
        <f aca="false">E4301*F4301</f>
        <v>150</v>
      </c>
      <c r="H4301" s="606"/>
    </row>
    <row r="4302" customFormat="false" ht="15" hidden="false" customHeight="false" outlineLevel="0" collapsed="false">
      <c r="A4302" s="571"/>
      <c r="B4302" s="500"/>
      <c r="C4302" s="614" t="s">
        <v>4225</v>
      </c>
      <c r="D4302" s="606" t="s">
        <v>4133</v>
      </c>
      <c r="E4302" s="725" t="n">
        <v>0.05</v>
      </c>
      <c r="F4302" s="721" t="n">
        <v>8100</v>
      </c>
      <c r="G4302" s="615" t="n">
        <f aca="false">E4302*F4302</f>
        <v>405</v>
      </c>
      <c r="H4302" s="606"/>
    </row>
    <row r="4303" customFormat="false" ht="15" hidden="false" customHeight="false" outlineLevel="0" collapsed="false">
      <c r="A4303" s="571"/>
      <c r="B4303" s="500"/>
      <c r="C4303" s="614" t="s">
        <v>4147</v>
      </c>
      <c r="D4303" s="606" t="s">
        <v>4392</v>
      </c>
      <c r="E4303" s="725" t="n">
        <v>0.2</v>
      </c>
      <c r="F4303" s="723" t="n">
        <v>3612</v>
      </c>
      <c r="G4303" s="615" t="n">
        <f aca="false">E4303*F4303</f>
        <v>722.4</v>
      </c>
      <c r="H4303" s="606"/>
    </row>
    <row r="4304" customFormat="false" ht="15" hidden="false" customHeight="false" outlineLevel="0" collapsed="false">
      <c r="A4304" s="571"/>
      <c r="B4304" s="500"/>
      <c r="C4304" s="614" t="s">
        <v>4515</v>
      </c>
      <c r="D4304" s="606" t="s">
        <v>4133</v>
      </c>
      <c r="E4304" s="725" t="n">
        <v>0.06</v>
      </c>
      <c r="F4304" s="369" t="n">
        <v>2700</v>
      </c>
      <c r="G4304" s="615" t="n">
        <f aca="false">E4304*F4304</f>
        <v>162</v>
      </c>
      <c r="H4304" s="606"/>
    </row>
    <row r="4305" customFormat="false" ht="15" hidden="false" customHeight="false" outlineLevel="0" collapsed="false">
      <c r="A4305" s="571"/>
      <c r="B4305" s="500"/>
      <c r="C4305" s="614" t="s">
        <v>4124</v>
      </c>
      <c r="D4305" s="606" t="s">
        <v>4516</v>
      </c>
      <c r="E4305" s="725" t="n">
        <v>1.5</v>
      </c>
      <c r="F4305" s="369" t="n">
        <v>120</v>
      </c>
      <c r="G4305" s="615" t="n">
        <f aca="false">E4305*F4305</f>
        <v>180</v>
      </c>
      <c r="H4305" s="606"/>
    </row>
    <row r="4306" customFormat="false" ht="15" hidden="false" customHeight="false" outlineLevel="0" collapsed="false">
      <c r="A4306" s="571"/>
      <c r="B4306" s="500"/>
      <c r="C4306" s="614" t="s">
        <v>4122</v>
      </c>
      <c r="D4306" s="606" t="s">
        <v>4392</v>
      </c>
      <c r="E4306" s="710" t="n">
        <v>0.1688</v>
      </c>
      <c r="F4306" s="721" t="n">
        <v>720</v>
      </c>
      <c r="G4306" s="615" t="n">
        <f aca="false">E4306*F4306</f>
        <v>121.536</v>
      </c>
      <c r="H4306" s="391"/>
    </row>
    <row r="4307" customFormat="false" ht="15" hidden="false" customHeight="false" outlineLevel="0" collapsed="false">
      <c r="A4307" s="571"/>
      <c r="B4307" s="608" t="s">
        <v>4128</v>
      </c>
      <c r="C4307" s="609"/>
      <c r="D4307" s="610"/>
      <c r="E4307" s="722"/>
      <c r="F4307" s="366"/>
      <c r="G4307" s="613" t="n">
        <f aca="false">SUM(G4301:G4306)</f>
        <v>1740.936</v>
      </c>
      <c r="H4307" s="391"/>
    </row>
    <row r="4308" customFormat="false" ht="15" hidden="false" customHeight="false" outlineLevel="0" collapsed="false">
      <c r="A4308" s="571" t="s">
        <v>4995</v>
      </c>
      <c r="B4308" s="433" t="s">
        <v>3238</v>
      </c>
      <c r="C4308" s="614" t="s">
        <v>4996</v>
      </c>
      <c r="D4308" s="606" t="s">
        <v>4133</v>
      </c>
      <c r="E4308" s="715" t="n">
        <v>0.05</v>
      </c>
      <c r="F4308" s="369" t="n">
        <v>8500</v>
      </c>
      <c r="G4308" s="615" t="n">
        <f aca="false">E4308*F4308</f>
        <v>425</v>
      </c>
      <c r="H4308" s="606"/>
    </row>
    <row r="4309" customFormat="false" ht="15" hidden="false" customHeight="false" outlineLevel="0" collapsed="false">
      <c r="A4309" s="571"/>
      <c r="B4309" s="500"/>
      <c r="C4309" s="614" t="s">
        <v>4997</v>
      </c>
      <c r="D4309" s="606" t="s">
        <v>4392</v>
      </c>
      <c r="E4309" s="710" t="n">
        <v>0.4</v>
      </c>
      <c r="F4309" s="721" t="n">
        <v>720</v>
      </c>
      <c r="G4309" s="615" t="n">
        <f aca="false">E4309*F4309</f>
        <v>288</v>
      </c>
      <c r="H4309" s="606"/>
    </row>
    <row r="4310" customFormat="false" ht="15" hidden="false" customHeight="false" outlineLevel="0" collapsed="false">
      <c r="A4310" s="571"/>
      <c r="B4310" s="500"/>
      <c r="C4310" s="614" t="s">
        <v>4998</v>
      </c>
      <c r="D4310" s="606" t="s">
        <v>4516</v>
      </c>
      <c r="E4310" s="710" t="n">
        <v>0.01</v>
      </c>
      <c r="F4310" s="369" t="n">
        <v>40</v>
      </c>
      <c r="G4310" s="615" t="n">
        <f aca="false">E4310*F4310</f>
        <v>0.4</v>
      </c>
      <c r="H4310" s="606"/>
    </row>
    <row r="4311" customFormat="false" ht="15" hidden="false" customHeight="false" outlineLevel="0" collapsed="false">
      <c r="A4311" s="571"/>
      <c r="B4311" s="500"/>
      <c r="C4311" s="614" t="s">
        <v>4999</v>
      </c>
      <c r="D4311" s="606" t="s">
        <v>4348</v>
      </c>
      <c r="E4311" s="710" t="n">
        <v>6.371</v>
      </c>
      <c r="F4311" s="369" t="n">
        <v>6.36</v>
      </c>
      <c r="G4311" s="615" t="n">
        <f aca="false">E4311*F4311</f>
        <v>40.51956</v>
      </c>
      <c r="H4311" s="606"/>
    </row>
    <row r="4312" customFormat="false" ht="15" hidden="false" customHeight="false" outlineLevel="0" collapsed="false">
      <c r="A4312" s="571"/>
      <c r="B4312" s="608" t="s">
        <v>4128</v>
      </c>
      <c r="C4312" s="609"/>
      <c r="D4312" s="810"/>
      <c r="E4312" s="722"/>
      <c r="F4312" s="366"/>
      <c r="G4312" s="613" t="n">
        <f aca="false">SUM(G4308:G4311)</f>
        <v>753.91956</v>
      </c>
      <c r="H4312" s="391"/>
    </row>
    <row r="4313" customFormat="false" ht="15" hidden="false" customHeight="false" outlineLevel="0" collapsed="false">
      <c r="A4313" s="571" t="s">
        <v>5000</v>
      </c>
      <c r="B4313" s="433" t="s">
        <v>3239</v>
      </c>
      <c r="C4313" s="614" t="s">
        <v>4158</v>
      </c>
      <c r="D4313" s="606" t="s">
        <v>4133</v>
      </c>
      <c r="E4313" s="710" t="n">
        <v>0.02</v>
      </c>
      <c r="F4313" s="724" t="n">
        <v>1500</v>
      </c>
      <c r="G4313" s="615" t="n">
        <f aca="false">E4313*F4313</f>
        <v>30</v>
      </c>
      <c r="H4313" s="606"/>
    </row>
    <row r="4314" customFormat="false" ht="15" hidden="false" customHeight="false" outlineLevel="0" collapsed="false">
      <c r="A4314" s="571"/>
      <c r="B4314" s="500"/>
      <c r="C4314" s="614" t="s">
        <v>4225</v>
      </c>
      <c r="D4314" s="606" t="s">
        <v>4133</v>
      </c>
      <c r="E4314" s="710" t="n">
        <v>0.05</v>
      </c>
      <c r="F4314" s="721" t="n">
        <v>8100</v>
      </c>
      <c r="G4314" s="615" t="n">
        <f aca="false">E4314*F4314</f>
        <v>405</v>
      </c>
      <c r="H4314" s="606"/>
    </row>
    <row r="4315" customFormat="false" ht="15" hidden="false" customHeight="false" outlineLevel="0" collapsed="false">
      <c r="A4315" s="571"/>
      <c r="B4315" s="500"/>
      <c r="C4315" s="614" t="s">
        <v>4147</v>
      </c>
      <c r="D4315" s="606" t="s">
        <v>4392</v>
      </c>
      <c r="E4315" s="710" t="n">
        <v>0.022</v>
      </c>
      <c r="F4315" s="723" t="n">
        <v>3612</v>
      </c>
      <c r="G4315" s="615" t="n">
        <f aca="false">E4315*F4315</f>
        <v>79.464</v>
      </c>
      <c r="H4315" s="606"/>
    </row>
    <row r="4316" customFormat="false" ht="15" hidden="false" customHeight="false" outlineLevel="0" collapsed="false">
      <c r="A4316" s="571"/>
      <c r="B4316" s="500"/>
      <c r="C4316" s="614" t="s">
        <v>4515</v>
      </c>
      <c r="D4316" s="606" t="s">
        <v>4133</v>
      </c>
      <c r="E4316" s="710" t="n">
        <v>0.06</v>
      </c>
      <c r="F4316" s="369" t="n">
        <v>2700</v>
      </c>
      <c r="G4316" s="615" t="n">
        <f aca="false">E4316*F4316</f>
        <v>162</v>
      </c>
      <c r="H4316" s="606"/>
    </row>
    <row r="4317" customFormat="false" ht="15" hidden="false" customHeight="false" outlineLevel="0" collapsed="false">
      <c r="A4317" s="571"/>
      <c r="B4317" s="500"/>
      <c r="C4317" s="614" t="s">
        <v>4124</v>
      </c>
      <c r="D4317" s="606" t="s">
        <v>4516</v>
      </c>
      <c r="E4317" s="622" t="n">
        <v>1.5</v>
      </c>
      <c r="F4317" s="361" t="n">
        <v>120</v>
      </c>
      <c r="G4317" s="615" t="n">
        <f aca="false">E4317*F4317</f>
        <v>180</v>
      </c>
      <c r="H4317" s="606"/>
    </row>
    <row r="4318" customFormat="false" ht="15" hidden="false" customHeight="false" outlineLevel="0" collapsed="false">
      <c r="A4318" s="571"/>
      <c r="B4318" s="608" t="s">
        <v>4128</v>
      </c>
      <c r="C4318" s="609"/>
      <c r="D4318" s="610"/>
      <c r="E4318" s="611"/>
      <c r="F4318" s="612"/>
      <c r="G4318" s="613" t="n">
        <f aca="false">SUM(G4313:G4317)</f>
        <v>856.464</v>
      </c>
      <c r="H4318" s="391"/>
    </row>
    <row r="4319" customFormat="false" ht="15" hidden="false" customHeight="false" outlineLevel="0" collapsed="false">
      <c r="A4319" s="350" t="s">
        <v>5001</v>
      </c>
      <c r="B4319" s="346" t="s">
        <v>3240</v>
      </c>
      <c r="C4319" s="811"/>
      <c r="D4319" s="790"/>
      <c r="E4319" s="752"/>
      <c r="F4319" s="519"/>
      <c r="G4319" s="753"/>
      <c r="H4319" s="600"/>
    </row>
    <row r="4320" customFormat="false" ht="15" hidden="false" customHeight="false" outlineLevel="0" collapsed="false">
      <c r="A4320" s="571" t="s">
        <v>5002</v>
      </c>
      <c r="B4320" s="433" t="s">
        <v>3241</v>
      </c>
      <c r="C4320" s="433" t="s">
        <v>4268</v>
      </c>
      <c r="D4320" s="606" t="s">
        <v>4555</v>
      </c>
      <c r="E4320" s="812" t="n">
        <v>0.015</v>
      </c>
      <c r="F4320" s="797" t="n">
        <v>108000</v>
      </c>
      <c r="G4320" s="615" t="n">
        <f aca="false">E4320*F4320</f>
        <v>1620</v>
      </c>
      <c r="H4320" s="606"/>
    </row>
    <row r="4321" s="451" customFormat="true" ht="15" hidden="false" customHeight="false" outlineLevel="0" collapsed="false">
      <c r="A4321" s="798"/>
      <c r="B4321" s="708"/>
      <c r="C4321" s="471" t="s">
        <v>4189</v>
      </c>
      <c r="D4321" s="728" t="s">
        <v>4133</v>
      </c>
      <c r="E4321" s="726" t="n">
        <v>0.03</v>
      </c>
      <c r="F4321" s="729" t="n">
        <v>3500</v>
      </c>
      <c r="G4321" s="716" t="n">
        <f aca="false">E4321*F4321</f>
        <v>105</v>
      </c>
      <c r="H4321" s="679"/>
    </row>
    <row r="4322" s="451" customFormat="true" ht="15" hidden="false" customHeight="false" outlineLevel="0" collapsed="false">
      <c r="A4322" s="707"/>
      <c r="B4322" s="708"/>
      <c r="C4322" s="532" t="s">
        <v>4557</v>
      </c>
      <c r="D4322" s="728" t="s">
        <v>4133</v>
      </c>
      <c r="E4322" s="726" t="n">
        <v>0.06</v>
      </c>
      <c r="F4322" s="369" t="n">
        <v>1750</v>
      </c>
      <c r="G4322" s="716" t="n">
        <f aca="false">E4322*F4322</f>
        <v>105</v>
      </c>
      <c r="H4322" s="679"/>
    </row>
    <row r="4323" s="451" customFormat="true" ht="15" hidden="false" customHeight="false" outlineLevel="0" collapsed="false">
      <c r="A4323" s="707"/>
      <c r="B4323" s="708"/>
      <c r="C4323" s="532" t="s">
        <v>4563</v>
      </c>
      <c r="D4323" s="728" t="s">
        <v>4133</v>
      </c>
      <c r="E4323" s="726" t="n">
        <v>0.08</v>
      </c>
      <c r="F4323" s="717" t="n">
        <v>25200</v>
      </c>
      <c r="G4323" s="716" t="n">
        <f aca="false">E4323*F4323</f>
        <v>2016</v>
      </c>
      <c r="H4323" s="679"/>
    </row>
    <row r="4324" s="451" customFormat="true" ht="15" hidden="false" customHeight="false" outlineLevel="0" collapsed="false">
      <c r="A4324" s="707"/>
      <c r="B4324" s="708"/>
      <c r="C4324" s="532" t="s">
        <v>4564</v>
      </c>
      <c r="D4324" s="728" t="s">
        <v>4133</v>
      </c>
      <c r="E4324" s="679" t="n">
        <v>0.01</v>
      </c>
      <c r="F4324" s="721" t="n">
        <v>3500</v>
      </c>
      <c r="G4324" s="716" t="n">
        <f aca="false">E4324*F4324</f>
        <v>35</v>
      </c>
      <c r="H4324" s="679"/>
    </row>
    <row r="4325" s="451" customFormat="true" ht="15" hidden="false" customHeight="false" outlineLevel="0" collapsed="false">
      <c r="A4325" s="707"/>
      <c r="B4325" s="708"/>
      <c r="C4325" s="709" t="s">
        <v>4515</v>
      </c>
      <c r="D4325" s="679" t="s">
        <v>4133</v>
      </c>
      <c r="E4325" s="710" t="n">
        <v>0.06</v>
      </c>
      <c r="F4325" s="369" t="n">
        <v>2700</v>
      </c>
      <c r="G4325" s="716" t="n">
        <f aca="false">E4325*F4325</f>
        <v>162</v>
      </c>
      <c r="H4325" s="679"/>
    </row>
    <row r="4326" s="451" customFormat="true" ht="15" hidden="false" customHeight="false" outlineLevel="0" collapsed="false">
      <c r="A4326" s="707"/>
      <c r="B4326" s="708"/>
      <c r="C4326" s="709" t="s">
        <v>4124</v>
      </c>
      <c r="D4326" s="679" t="s">
        <v>4516</v>
      </c>
      <c r="E4326" s="710" t="n">
        <v>1.5</v>
      </c>
      <c r="F4326" s="369" t="n">
        <v>120</v>
      </c>
      <c r="G4326" s="716" t="n">
        <f aca="false">E4326*F4326</f>
        <v>180</v>
      </c>
      <c r="H4326" s="679"/>
    </row>
    <row r="4327" s="451" customFormat="true" ht="15" hidden="false" customHeight="false" outlineLevel="0" collapsed="false">
      <c r="A4327" s="707"/>
      <c r="B4327" s="708" t="s">
        <v>4128</v>
      </c>
      <c r="C4327" s="718"/>
      <c r="D4327" s="719"/>
      <c r="E4327" s="722"/>
      <c r="F4327" s="366"/>
      <c r="G4327" s="711" t="n">
        <f aca="false">SUM(G4320:G4326)</f>
        <v>4223</v>
      </c>
      <c r="H4327" s="679"/>
    </row>
    <row r="4328" s="451" customFormat="true" ht="15" hidden="false" customHeight="false" outlineLevel="0" collapsed="false">
      <c r="A4328" s="707" t="s">
        <v>892</v>
      </c>
      <c r="B4328" s="532" t="s">
        <v>3242</v>
      </c>
      <c r="C4328" s="532" t="s">
        <v>5003</v>
      </c>
      <c r="D4328" s="679" t="s">
        <v>4555</v>
      </c>
      <c r="E4328" s="733" t="n">
        <v>0.018</v>
      </c>
      <c r="F4328" s="721" t="n">
        <v>108000</v>
      </c>
      <c r="G4328" s="716" t="n">
        <f aca="false">E4328*F4328</f>
        <v>1944</v>
      </c>
      <c r="H4328" s="679"/>
    </row>
    <row r="4329" s="451" customFormat="true" ht="15" hidden="false" customHeight="false" outlineLevel="0" collapsed="false">
      <c r="A4329" s="707"/>
      <c r="B4329" s="708"/>
      <c r="C4329" s="471" t="s">
        <v>4189</v>
      </c>
      <c r="D4329" s="728" t="s">
        <v>4133</v>
      </c>
      <c r="E4329" s="733" t="n">
        <v>0.07</v>
      </c>
      <c r="F4329" s="729" t="n">
        <v>3500</v>
      </c>
      <c r="G4329" s="716" t="n">
        <f aca="false">E4329*F4329</f>
        <v>245</v>
      </c>
      <c r="H4329" s="679"/>
    </row>
    <row r="4330" s="451" customFormat="true" ht="15" hidden="false" customHeight="false" outlineLevel="0" collapsed="false">
      <c r="A4330" s="707"/>
      <c r="B4330" s="708"/>
      <c r="C4330" s="532" t="s">
        <v>4557</v>
      </c>
      <c r="D4330" s="728" t="s">
        <v>4133</v>
      </c>
      <c r="E4330" s="733" t="n">
        <v>0.1</v>
      </c>
      <c r="F4330" s="369" t="n">
        <v>1750</v>
      </c>
      <c r="G4330" s="716" t="n">
        <f aca="false">E4330*F4330</f>
        <v>175</v>
      </c>
      <c r="H4330" s="679"/>
    </row>
    <row r="4331" s="451" customFormat="true" ht="15" hidden="false" customHeight="false" outlineLevel="0" collapsed="false">
      <c r="A4331" s="707"/>
      <c r="B4331" s="708"/>
      <c r="C4331" s="325" t="s">
        <v>4556</v>
      </c>
      <c r="D4331" s="728" t="s">
        <v>4133</v>
      </c>
      <c r="E4331" s="749" t="n">
        <v>0.1</v>
      </c>
      <c r="F4331" s="723" t="n">
        <v>3612</v>
      </c>
      <c r="G4331" s="716" t="n">
        <f aca="false">E4331*F4331</f>
        <v>361.2</v>
      </c>
      <c r="H4331" s="679"/>
    </row>
    <row r="4332" s="451" customFormat="true" ht="15" hidden="false" customHeight="false" outlineLevel="0" collapsed="false">
      <c r="A4332" s="707"/>
      <c r="B4332" s="708"/>
      <c r="C4332" s="532" t="s">
        <v>4564</v>
      </c>
      <c r="D4332" s="728" t="s">
        <v>4133</v>
      </c>
      <c r="E4332" s="679" t="n">
        <v>0.1</v>
      </c>
      <c r="F4332" s="721" t="n">
        <v>3500</v>
      </c>
      <c r="G4332" s="716" t="n">
        <f aca="false">E4332*F4332</f>
        <v>350</v>
      </c>
      <c r="H4332" s="679"/>
    </row>
    <row r="4333" s="451" customFormat="true" ht="15" hidden="false" customHeight="false" outlineLevel="0" collapsed="false">
      <c r="A4333" s="707"/>
      <c r="B4333" s="708"/>
      <c r="C4333" s="532" t="s">
        <v>4569</v>
      </c>
      <c r="D4333" s="679" t="s">
        <v>4559</v>
      </c>
      <c r="E4333" s="733" t="n">
        <v>0.01</v>
      </c>
      <c r="F4333" s="721" t="n">
        <v>178100</v>
      </c>
      <c r="G4333" s="716" t="n">
        <f aca="false">E4333*F4333</f>
        <v>1781</v>
      </c>
      <c r="H4333" s="679"/>
    </row>
    <row r="4334" s="451" customFormat="true" ht="30" hidden="false" customHeight="false" outlineLevel="0" collapsed="false">
      <c r="A4334" s="707"/>
      <c r="B4334" s="708"/>
      <c r="C4334" s="532" t="s">
        <v>4560</v>
      </c>
      <c r="D4334" s="728" t="s">
        <v>4348</v>
      </c>
      <c r="E4334" s="679" t="n">
        <v>5</v>
      </c>
      <c r="F4334" s="729" t="n">
        <v>5.1</v>
      </c>
      <c r="G4334" s="716" t="n">
        <f aca="false">E4334*F4334</f>
        <v>25.5</v>
      </c>
      <c r="H4334" s="679"/>
    </row>
    <row r="4335" s="451" customFormat="true" ht="15" hidden="false" customHeight="false" outlineLevel="0" collapsed="false">
      <c r="A4335" s="707"/>
      <c r="B4335" s="708"/>
      <c r="C4335" s="709" t="s">
        <v>4515</v>
      </c>
      <c r="D4335" s="679" t="s">
        <v>4133</v>
      </c>
      <c r="E4335" s="715" t="n">
        <v>0.06</v>
      </c>
      <c r="F4335" s="369" t="n">
        <v>2700</v>
      </c>
      <c r="G4335" s="716" t="n">
        <f aca="false">E4335*F4335</f>
        <v>162</v>
      </c>
      <c r="H4335" s="679"/>
    </row>
    <row r="4336" s="451" customFormat="true" ht="15" hidden="false" customHeight="false" outlineLevel="0" collapsed="false">
      <c r="A4336" s="707"/>
      <c r="B4336" s="708"/>
      <c r="C4336" s="709" t="s">
        <v>4124</v>
      </c>
      <c r="D4336" s="679" t="s">
        <v>4516</v>
      </c>
      <c r="E4336" s="715" t="n">
        <v>1.5</v>
      </c>
      <c r="F4336" s="369" t="n">
        <v>120</v>
      </c>
      <c r="G4336" s="716" t="n">
        <f aca="false">E4336*F4336</f>
        <v>180</v>
      </c>
      <c r="H4336" s="679"/>
    </row>
    <row r="4337" s="451" customFormat="true" ht="15" hidden="false" customHeight="false" outlineLevel="0" collapsed="false">
      <c r="A4337" s="707"/>
      <c r="B4337" s="708" t="s">
        <v>4128</v>
      </c>
      <c r="C4337" s="718"/>
      <c r="D4337" s="719"/>
      <c r="E4337" s="722"/>
      <c r="F4337" s="366"/>
      <c r="G4337" s="711" t="n">
        <f aca="false">SUM(G4328:G4336)</f>
        <v>5223.7</v>
      </c>
      <c r="H4337" s="679"/>
    </row>
    <row r="4338" s="451" customFormat="true" ht="30" hidden="false" customHeight="false" outlineLevel="0" collapsed="false">
      <c r="A4338" s="707" t="s">
        <v>5004</v>
      </c>
      <c r="B4338" s="532" t="s">
        <v>3076</v>
      </c>
      <c r="C4338" s="471" t="s">
        <v>4626</v>
      </c>
      <c r="D4338" s="728" t="s">
        <v>4133</v>
      </c>
      <c r="E4338" s="746" t="n">
        <v>0.001</v>
      </c>
      <c r="F4338" s="729" t="n">
        <v>810000</v>
      </c>
      <c r="G4338" s="716" t="n">
        <f aca="false">E4338*F4338</f>
        <v>810</v>
      </c>
      <c r="H4338" s="679"/>
    </row>
    <row r="4339" s="451" customFormat="true" ht="15" hidden="false" customHeight="false" outlineLevel="0" collapsed="false">
      <c r="A4339" s="707"/>
      <c r="B4339" s="708"/>
      <c r="C4339" s="743" t="s">
        <v>4611</v>
      </c>
      <c r="D4339" s="679" t="s">
        <v>4392</v>
      </c>
      <c r="E4339" s="744" t="n">
        <v>0.05</v>
      </c>
      <c r="F4339" s="721" t="n">
        <v>720</v>
      </c>
      <c r="G4339" s="716" t="n">
        <f aca="false">E4339*F4339</f>
        <v>36</v>
      </c>
      <c r="H4339" s="679"/>
    </row>
    <row r="4340" s="451" customFormat="true" ht="15" hidden="false" customHeight="false" outlineLevel="0" collapsed="false">
      <c r="A4340" s="707"/>
      <c r="B4340" s="708"/>
      <c r="C4340" s="532" t="s">
        <v>4377</v>
      </c>
      <c r="D4340" s="728" t="s">
        <v>4133</v>
      </c>
      <c r="E4340" s="745" t="n">
        <v>0.01</v>
      </c>
      <c r="F4340" s="729" t="n">
        <v>3500</v>
      </c>
      <c r="G4340" s="716" t="n">
        <f aca="false">E4340*F4340</f>
        <v>35</v>
      </c>
      <c r="H4340" s="679"/>
    </row>
    <row r="4341" s="451" customFormat="true" ht="15" hidden="false" customHeight="false" outlineLevel="0" collapsed="false">
      <c r="A4341" s="707"/>
      <c r="B4341" s="708"/>
      <c r="C4341" s="471" t="s">
        <v>4216</v>
      </c>
      <c r="D4341" s="728" t="s">
        <v>4133</v>
      </c>
      <c r="E4341" s="745" t="n">
        <v>0.028</v>
      </c>
      <c r="F4341" s="717" t="n">
        <v>3900</v>
      </c>
      <c r="G4341" s="716" t="n">
        <f aca="false">E4341*F4341</f>
        <v>109.2</v>
      </c>
      <c r="H4341" s="679"/>
    </row>
    <row r="4342" s="451" customFormat="true" ht="15" hidden="false" customHeight="false" outlineLevel="0" collapsed="false">
      <c r="A4342" s="707"/>
      <c r="B4342" s="708"/>
      <c r="C4342" s="532" t="s">
        <v>4686</v>
      </c>
      <c r="D4342" s="737" t="s">
        <v>4138</v>
      </c>
      <c r="E4342" s="745" t="n">
        <v>0.077</v>
      </c>
      <c r="F4342" s="729" t="n">
        <v>80000</v>
      </c>
      <c r="G4342" s="716" t="n">
        <f aca="false">E4342*F4342</f>
        <v>6160</v>
      </c>
      <c r="H4342" s="679"/>
    </row>
    <row r="4343" s="451" customFormat="true" ht="15" hidden="false" customHeight="false" outlineLevel="0" collapsed="false">
      <c r="A4343" s="707"/>
      <c r="B4343" s="708"/>
      <c r="C4343" s="471" t="s">
        <v>4687</v>
      </c>
      <c r="D4343" s="728" t="s">
        <v>4133</v>
      </c>
      <c r="E4343" s="745" t="n">
        <v>0.03</v>
      </c>
      <c r="F4343" s="721" t="n">
        <v>8100</v>
      </c>
      <c r="G4343" s="716" t="n">
        <f aca="false">E4343*F4343</f>
        <v>243</v>
      </c>
      <c r="H4343" s="679"/>
    </row>
    <row r="4344" s="451" customFormat="true" ht="15" hidden="false" customHeight="false" outlineLevel="0" collapsed="false">
      <c r="A4344" s="707"/>
      <c r="B4344" s="708"/>
      <c r="C4344" s="471" t="s">
        <v>4688</v>
      </c>
      <c r="D4344" s="728" t="s">
        <v>4133</v>
      </c>
      <c r="E4344" s="745" t="n">
        <v>0.025</v>
      </c>
      <c r="F4344" s="729" t="n">
        <v>2100</v>
      </c>
      <c r="G4344" s="716" t="n">
        <f aca="false">E4344*F4344</f>
        <v>52.5</v>
      </c>
      <c r="H4344" s="679"/>
    </row>
    <row r="4345" s="451" customFormat="true" ht="15" hidden="false" customHeight="false" outlineLevel="0" collapsed="false">
      <c r="A4345" s="707"/>
      <c r="B4345" s="708"/>
      <c r="C4345" s="471" t="s">
        <v>4689</v>
      </c>
      <c r="D4345" s="728" t="s">
        <v>4133</v>
      </c>
      <c r="E4345" s="746" t="n">
        <v>0.002</v>
      </c>
      <c r="F4345" s="729" t="n">
        <v>700</v>
      </c>
      <c r="G4345" s="716" t="n">
        <f aca="false">E4345*F4345</f>
        <v>1.4</v>
      </c>
      <c r="H4345" s="679"/>
    </row>
    <row r="4346" s="451" customFormat="true" ht="15" hidden="false" customHeight="false" outlineLevel="0" collapsed="false">
      <c r="A4346" s="707"/>
      <c r="B4346" s="708"/>
      <c r="C4346" s="471" t="s">
        <v>4690</v>
      </c>
      <c r="D4346" s="728" t="s">
        <v>4133</v>
      </c>
      <c r="E4346" s="746" t="n">
        <v>0.05</v>
      </c>
      <c r="F4346" s="729" t="n">
        <v>2800</v>
      </c>
      <c r="G4346" s="716" t="n">
        <f aca="false">E4346*F4346</f>
        <v>140</v>
      </c>
      <c r="H4346" s="679"/>
    </row>
    <row r="4347" s="451" customFormat="true" ht="15" hidden="false" customHeight="false" outlineLevel="0" collapsed="false">
      <c r="A4347" s="707"/>
      <c r="B4347" s="708"/>
      <c r="C4347" s="532" t="s">
        <v>4564</v>
      </c>
      <c r="D4347" s="728" t="s">
        <v>4133</v>
      </c>
      <c r="E4347" s="746" t="n">
        <v>0.083</v>
      </c>
      <c r="F4347" s="721" t="n">
        <v>3500</v>
      </c>
      <c r="G4347" s="716" t="n">
        <f aca="false">E4347*F4347</f>
        <v>290.5</v>
      </c>
      <c r="H4347" s="679"/>
    </row>
    <row r="4348" s="451" customFormat="true" ht="15" hidden="false" customHeight="false" outlineLevel="0" collapsed="false">
      <c r="A4348" s="707"/>
      <c r="B4348" s="708"/>
      <c r="C4348" s="325" t="s">
        <v>4556</v>
      </c>
      <c r="D4348" s="728" t="s">
        <v>4133</v>
      </c>
      <c r="E4348" s="733" t="n">
        <v>0.05</v>
      </c>
      <c r="F4348" s="723" t="n">
        <v>3612</v>
      </c>
      <c r="G4348" s="716" t="n">
        <f aca="false">E4348*F4348</f>
        <v>180.6</v>
      </c>
      <c r="H4348" s="679"/>
    </row>
    <row r="4349" s="451" customFormat="true" ht="30" hidden="false" customHeight="false" outlineLevel="0" collapsed="false">
      <c r="A4349" s="707"/>
      <c r="B4349" s="708"/>
      <c r="C4349" s="471" t="s">
        <v>4685</v>
      </c>
      <c r="D4349" s="728" t="s">
        <v>4133</v>
      </c>
      <c r="E4349" s="749" t="n">
        <v>0.2</v>
      </c>
      <c r="F4349" s="724" t="n">
        <v>3000</v>
      </c>
      <c r="G4349" s="716" t="n">
        <f aca="false">E4349*F4349</f>
        <v>600</v>
      </c>
      <c r="H4349" s="679"/>
    </row>
    <row r="4350" s="451" customFormat="true" ht="15" hidden="false" customHeight="false" outlineLevel="0" collapsed="false">
      <c r="A4350" s="707"/>
      <c r="B4350" s="708"/>
      <c r="C4350" s="743" t="s">
        <v>4611</v>
      </c>
      <c r="D4350" s="679" t="s">
        <v>4392</v>
      </c>
      <c r="E4350" s="750" t="n">
        <v>0.05</v>
      </c>
      <c r="F4350" s="721" t="n">
        <v>720</v>
      </c>
      <c r="G4350" s="716" t="n">
        <f aca="false">E4350*F4350</f>
        <v>36</v>
      </c>
      <c r="H4350" s="679"/>
    </row>
    <row r="4351" s="451" customFormat="true" ht="15" hidden="false" customHeight="false" outlineLevel="0" collapsed="false">
      <c r="A4351" s="707"/>
      <c r="B4351" s="708"/>
      <c r="C4351" s="532" t="s">
        <v>4632</v>
      </c>
      <c r="D4351" s="679" t="s">
        <v>4252</v>
      </c>
      <c r="E4351" s="726" t="n">
        <v>0.02</v>
      </c>
      <c r="F4351" s="724" t="n">
        <v>275000</v>
      </c>
      <c r="G4351" s="716" t="n">
        <f aca="false">E4351*F4351</f>
        <v>5500</v>
      </c>
      <c r="H4351" s="679"/>
    </row>
    <row r="4352" s="451" customFormat="true" ht="15" hidden="false" customHeight="false" outlineLevel="0" collapsed="false">
      <c r="A4352" s="707"/>
      <c r="B4352" s="708"/>
      <c r="C4352" s="471" t="s">
        <v>4691</v>
      </c>
      <c r="D4352" s="728" t="s">
        <v>4133</v>
      </c>
      <c r="E4352" s="679" t="n">
        <v>0.02</v>
      </c>
      <c r="F4352" s="369" t="n">
        <v>3520</v>
      </c>
      <c r="G4352" s="716" t="n">
        <f aca="false">E4352*F4352</f>
        <v>70.4</v>
      </c>
      <c r="H4352" s="679"/>
    </row>
    <row r="4353" s="451" customFormat="true" ht="15" hidden="false" customHeight="false" outlineLevel="0" collapsed="false">
      <c r="A4353" s="707"/>
      <c r="B4353" s="708"/>
      <c r="C4353" s="709" t="s">
        <v>4515</v>
      </c>
      <c r="D4353" s="679" t="s">
        <v>4133</v>
      </c>
      <c r="E4353" s="715" t="n">
        <v>0.06</v>
      </c>
      <c r="F4353" s="369" t="n">
        <v>2700</v>
      </c>
      <c r="G4353" s="716" t="n">
        <f aca="false">E4353*F4353</f>
        <v>162</v>
      </c>
      <c r="H4353" s="679"/>
    </row>
    <row r="4354" s="451" customFormat="true" ht="15" hidden="false" customHeight="false" outlineLevel="0" collapsed="false">
      <c r="A4354" s="707"/>
      <c r="B4354" s="708"/>
      <c r="C4354" s="709" t="s">
        <v>4124</v>
      </c>
      <c r="D4354" s="679" t="s">
        <v>4516</v>
      </c>
      <c r="E4354" s="710" t="n">
        <v>1.4933</v>
      </c>
      <c r="F4354" s="369" t="n">
        <v>120</v>
      </c>
      <c r="G4354" s="716" t="n">
        <f aca="false">E4354*F4354</f>
        <v>179.196</v>
      </c>
      <c r="H4354" s="679"/>
    </row>
    <row r="4355" s="451" customFormat="true" ht="15" hidden="false" customHeight="false" outlineLevel="0" collapsed="false">
      <c r="A4355" s="707"/>
      <c r="B4355" s="708" t="s">
        <v>4128</v>
      </c>
      <c r="C4355" s="532"/>
      <c r="D4355" s="679"/>
      <c r="E4355" s="759"/>
      <c r="F4355" s="729"/>
      <c r="G4355" s="735" t="n">
        <f aca="false">SUM(G4338:G4354)</f>
        <v>14605.796</v>
      </c>
      <c r="H4355" s="679"/>
    </row>
    <row r="4356" s="451" customFormat="true" ht="30" hidden="false" customHeight="false" outlineLevel="0" collapsed="false">
      <c r="A4356" s="707" t="s">
        <v>896</v>
      </c>
      <c r="B4356" s="532" t="s">
        <v>3077</v>
      </c>
      <c r="C4356" s="532"/>
      <c r="D4356" s="737"/>
      <c r="E4356" s="738"/>
      <c r="F4356" s="729"/>
      <c r="G4356" s="765"/>
      <c r="H4356" s="679"/>
    </row>
    <row r="4357" s="451" customFormat="true" ht="15" hidden="false" customHeight="false" outlineLevel="0" collapsed="false">
      <c r="A4357" s="707"/>
      <c r="B4357" s="708"/>
      <c r="C4357" s="532" t="s">
        <v>4609</v>
      </c>
      <c r="D4357" s="728" t="s">
        <v>4133</v>
      </c>
      <c r="E4357" s="745" t="n">
        <v>0.1</v>
      </c>
      <c r="F4357" s="721" t="n">
        <v>1500</v>
      </c>
      <c r="G4357" s="716" t="n">
        <f aca="false">E4357*F4357</f>
        <v>150</v>
      </c>
      <c r="H4357" s="679"/>
    </row>
    <row r="4358" s="451" customFormat="true" ht="30" hidden="false" customHeight="false" outlineLevel="0" collapsed="false">
      <c r="A4358" s="707"/>
      <c r="B4358" s="708"/>
      <c r="C4358" s="471" t="s">
        <v>4685</v>
      </c>
      <c r="D4358" s="728" t="s">
        <v>4133</v>
      </c>
      <c r="E4358" s="745" t="n">
        <v>0.2</v>
      </c>
      <c r="F4358" s="724" t="n">
        <v>3000</v>
      </c>
      <c r="G4358" s="716" t="n">
        <f aca="false">E4358*F4358</f>
        <v>600</v>
      </c>
      <c r="H4358" s="679"/>
    </row>
    <row r="4359" s="451" customFormat="true" ht="15" hidden="false" customHeight="false" outlineLevel="0" collapsed="false">
      <c r="A4359" s="707"/>
      <c r="B4359" s="708"/>
      <c r="C4359" s="532" t="s">
        <v>4564</v>
      </c>
      <c r="D4359" s="728" t="s">
        <v>4133</v>
      </c>
      <c r="E4359" s="745" t="n">
        <v>0.1</v>
      </c>
      <c r="F4359" s="721" t="n">
        <v>3500</v>
      </c>
      <c r="G4359" s="716" t="n">
        <f aca="false">E4359*F4359</f>
        <v>350</v>
      </c>
      <c r="H4359" s="679"/>
    </row>
    <row r="4360" s="451" customFormat="true" ht="30" hidden="false" customHeight="false" outlineLevel="0" collapsed="false">
      <c r="A4360" s="707"/>
      <c r="B4360" s="708"/>
      <c r="C4360" s="471" t="s">
        <v>4589</v>
      </c>
      <c r="D4360" s="728" t="s">
        <v>4348</v>
      </c>
      <c r="E4360" s="813" t="n">
        <v>1</v>
      </c>
      <c r="F4360" s="729" t="n">
        <v>1000</v>
      </c>
      <c r="G4360" s="716" t="n">
        <f aca="false">E4360*F4360</f>
        <v>1000</v>
      </c>
      <c r="H4360" s="679"/>
    </row>
    <row r="4361" s="451" customFormat="true" ht="15" hidden="false" customHeight="false" outlineLevel="0" collapsed="false">
      <c r="A4361" s="707"/>
      <c r="B4361" s="708"/>
      <c r="C4361" s="709" t="s">
        <v>4515</v>
      </c>
      <c r="D4361" s="679" t="s">
        <v>4133</v>
      </c>
      <c r="E4361" s="814" t="n">
        <v>0.06</v>
      </c>
      <c r="F4361" s="369" t="n">
        <v>2700</v>
      </c>
      <c r="G4361" s="716" t="n">
        <f aca="false">E4361*F4361</f>
        <v>162</v>
      </c>
      <c r="H4361" s="679"/>
    </row>
    <row r="4362" s="451" customFormat="true" ht="15" hidden="false" customHeight="false" outlineLevel="0" collapsed="false">
      <c r="A4362" s="707"/>
      <c r="B4362" s="708"/>
      <c r="C4362" s="709" t="s">
        <v>4124</v>
      </c>
      <c r="D4362" s="679" t="s">
        <v>4516</v>
      </c>
      <c r="E4362" s="710" t="n">
        <v>1.4933</v>
      </c>
      <c r="F4362" s="369" t="n">
        <v>120</v>
      </c>
      <c r="G4362" s="716" t="n">
        <f aca="false">E4362*F4362</f>
        <v>179.196</v>
      </c>
      <c r="H4362" s="679"/>
    </row>
    <row r="4363" s="451" customFormat="true" ht="15" hidden="false" customHeight="false" outlineLevel="0" collapsed="false">
      <c r="A4363" s="707"/>
      <c r="B4363" s="708" t="s">
        <v>4128</v>
      </c>
      <c r="C4363" s="709"/>
      <c r="D4363" s="679"/>
      <c r="E4363" s="710"/>
      <c r="F4363" s="369"/>
      <c r="G4363" s="711" t="n">
        <f aca="false">SUM(G4357:G4362)</f>
        <v>2441.196</v>
      </c>
      <c r="H4363" s="679"/>
    </row>
    <row r="4364" s="451" customFormat="true" ht="15" hidden="false" customHeight="false" outlineLevel="0" collapsed="false">
      <c r="A4364" s="707" t="s">
        <v>897</v>
      </c>
      <c r="B4364" s="522" t="s">
        <v>3243</v>
      </c>
      <c r="C4364" s="471" t="s">
        <v>4193</v>
      </c>
      <c r="D4364" s="728" t="s">
        <v>4133</v>
      </c>
      <c r="E4364" s="745" t="n">
        <v>0.002</v>
      </c>
      <c r="F4364" s="729" t="n">
        <v>150000</v>
      </c>
      <c r="G4364" s="716" t="n">
        <f aca="false">E4364*F4364</f>
        <v>300</v>
      </c>
      <c r="H4364" s="679"/>
    </row>
    <row r="4365" s="451" customFormat="true" ht="15" hidden="false" customHeight="false" outlineLevel="0" collapsed="false">
      <c r="A4365" s="707"/>
      <c r="B4365" s="708"/>
      <c r="C4365" s="471" t="s">
        <v>4504</v>
      </c>
      <c r="D4365" s="728" t="s">
        <v>4133</v>
      </c>
      <c r="E4365" s="746" t="n">
        <v>0.001</v>
      </c>
      <c r="F4365" s="729" t="n">
        <v>150000</v>
      </c>
      <c r="G4365" s="716" t="n">
        <f aca="false">E4365*F4365</f>
        <v>150</v>
      </c>
      <c r="H4365" s="679"/>
    </row>
    <row r="4366" s="451" customFormat="true" ht="15" hidden="false" customHeight="false" outlineLevel="0" collapsed="false">
      <c r="A4366" s="707"/>
      <c r="B4366" s="708"/>
      <c r="C4366" s="743" t="s">
        <v>4611</v>
      </c>
      <c r="D4366" s="679" t="s">
        <v>4392</v>
      </c>
      <c r="E4366" s="745" t="n">
        <v>0.05</v>
      </c>
      <c r="F4366" s="721" t="n">
        <v>720</v>
      </c>
      <c r="G4366" s="716" t="n">
        <f aca="false">E4366*F4366</f>
        <v>36</v>
      </c>
      <c r="H4366" s="679"/>
    </row>
    <row r="4367" s="451" customFormat="true" ht="15" hidden="false" customHeight="false" outlineLevel="0" collapsed="false">
      <c r="A4367" s="707"/>
      <c r="B4367" s="708"/>
      <c r="C4367" s="325" t="s">
        <v>4556</v>
      </c>
      <c r="D4367" s="728" t="s">
        <v>4133</v>
      </c>
      <c r="E4367" s="745" t="n">
        <v>0.018</v>
      </c>
      <c r="F4367" s="723" t="n">
        <v>3612</v>
      </c>
      <c r="G4367" s="716" t="n">
        <f aca="false">E4367*F4367</f>
        <v>65.016</v>
      </c>
      <c r="H4367" s="679"/>
    </row>
    <row r="4368" s="451" customFormat="true" ht="15" hidden="false" customHeight="false" outlineLevel="0" collapsed="false">
      <c r="A4368" s="707"/>
      <c r="B4368" s="708"/>
      <c r="C4368" s="471" t="s">
        <v>4270</v>
      </c>
      <c r="D4368" s="728"/>
      <c r="E4368" s="726" t="n">
        <v>0.06</v>
      </c>
      <c r="F4368" s="369" t="n">
        <v>1750</v>
      </c>
      <c r="G4368" s="716" t="n">
        <f aca="false">E4368*F4368</f>
        <v>105</v>
      </c>
      <c r="H4368" s="679"/>
    </row>
    <row r="4369" s="451" customFormat="true" ht="15" hidden="false" customHeight="false" outlineLevel="0" collapsed="false">
      <c r="A4369" s="707"/>
      <c r="B4369" s="708"/>
      <c r="C4369" s="709" t="s">
        <v>4515</v>
      </c>
      <c r="D4369" s="679" t="s">
        <v>4133</v>
      </c>
      <c r="E4369" s="710" t="n">
        <v>0.06</v>
      </c>
      <c r="F4369" s="369" t="n">
        <v>2700</v>
      </c>
      <c r="G4369" s="716" t="n">
        <f aca="false">E4369*F4369</f>
        <v>162</v>
      </c>
      <c r="H4369" s="679"/>
    </row>
    <row r="4370" s="451" customFormat="true" ht="15" hidden="false" customHeight="false" outlineLevel="0" collapsed="false">
      <c r="A4370" s="707"/>
      <c r="B4370" s="708"/>
      <c r="C4370" s="709" t="s">
        <v>4124</v>
      </c>
      <c r="D4370" s="679" t="s">
        <v>4516</v>
      </c>
      <c r="E4370" s="710" t="n">
        <v>1.4933</v>
      </c>
      <c r="F4370" s="369" t="n">
        <v>120</v>
      </c>
      <c r="G4370" s="716" t="n">
        <f aca="false">E4370*F4370</f>
        <v>179.196</v>
      </c>
      <c r="H4370" s="679"/>
    </row>
    <row r="4371" s="451" customFormat="true" ht="15" hidden="false" customHeight="false" outlineLevel="0" collapsed="false">
      <c r="A4371" s="707"/>
      <c r="B4371" s="708" t="s">
        <v>4128</v>
      </c>
      <c r="C4371" s="709"/>
      <c r="D4371" s="679"/>
      <c r="E4371" s="710"/>
      <c r="F4371" s="369"/>
      <c r="G4371" s="711" t="n">
        <f aca="false">SUM(G4364:G4370)</f>
        <v>997.212</v>
      </c>
      <c r="H4371" s="679"/>
    </row>
    <row r="4372" s="451" customFormat="true" ht="15" hidden="false" customHeight="false" outlineLevel="0" collapsed="false">
      <c r="A4372" s="707" t="s">
        <v>5005</v>
      </c>
      <c r="B4372" s="532" t="s">
        <v>3244</v>
      </c>
      <c r="C4372" s="325" t="s">
        <v>4556</v>
      </c>
      <c r="D4372" s="728" t="s">
        <v>4133</v>
      </c>
      <c r="E4372" s="802" t="n">
        <v>0.3</v>
      </c>
      <c r="F4372" s="723" t="n">
        <v>980</v>
      </c>
      <c r="G4372" s="716" t="n">
        <f aca="false">E4372*F4372</f>
        <v>294</v>
      </c>
      <c r="H4372" s="679"/>
    </row>
    <row r="4373" s="451" customFormat="true" ht="15" hidden="false" customHeight="false" outlineLevel="0" collapsed="false">
      <c r="A4373" s="707"/>
      <c r="B4373" s="532"/>
      <c r="C4373" s="762" t="s">
        <v>5006</v>
      </c>
      <c r="D4373" s="728" t="s">
        <v>4133</v>
      </c>
      <c r="E4373" s="745" t="n">
        <v>0.01</v>
      </c>
      <c r="F4373" s="721" t="n">
        <v>2370</v>
      </c>
      <c r="G4373" s="716" t="n">
        <f aca="false">E4373*F4373</f>
        <v>23.7</v>
      </c>
      <c r="H4373" s="679"/>
    </row>
    <row r="4374" s="451" customFormat="true" ht="15" hidden="false" customHeight="false" outlineLevel="0" collapsed="false">
      <c r="A4374" s="707"/>
      <c r="B4374" s="532"/>
      <c r="C4374" s="471" t="s">
        <v>4205</v>
      </c>
      <c r="D4374" s="728" t="s">
        <v>4133</v>
      </c>
      <c r="E4374" s="745" t="n">
        <v>0.015</v>
      </c>
      <c r="F4374" s="717" t="n">
        <v>7875</v>
      </c>
      <c r="G4374" s="716" t="n">
        <f aca="false">E4374*F4374</f>
        <v>118.125</v>
      </c>
      <c r="H4374" s="679"/>
    </row>
    <row r="4375" s="451" customFormat="true" ht="15" hidden="false" customHeight="false" outlineLevel="0" collapsed="false">
      <c r="A4375" s="707"/>
      <c r="B4375" s="532"/>
      <c r="C4375" s="709" t="s">
        <v>4515</v>
      </c>
      <c r="D4375" s="679" t="s">
        <v>4133</v>
      </c>
      <c r="E4375" s="710" t="n">
        <v>0.06</v>
      </c>
      <c r="F4375" s="369" t="n">
        <v>2700</v>
      </c>
      <c r="G4375" s="716" t="n">
        <f aca="false">E4375*F4375</f>
        <v>162</v>
      </c>
      <c r="H4375" s="679"/>
    </row>
    <row r="4376" s="451" customFormat="true" ht="15" hidden="false" customHeight="false" outlineLevel="0" collapsed="false">
      <c r="A4376" s="707"/>
      <c r="B4376" s="708"/>
      <c r="C4376" s="709" t="s">
        <v>4124</v>
      </c>
      <c r="D4376" s="679" t="s">
        <v>4516</v>
      </c>
      <c r="E4376" s="710" t="n">
        <v>1.1</v>
      </c>
      <c r="F4376" s="369" t="n">
        <v>120</v>
      </c>
      <c r="G4376" s="716" t="n">
        <f aca="false">E4376*F4376</f>
        <v>132</v>
      </c>
      <c r="H4376" s="679"/>
    </row>
    <row r="4377" s="451" customFormat="true" ht="15" hidden="false" customHeight="false" outlineLevel="0" collapsed="false">
      <c r="A4377" s="707"/>
      <c r="B4377" s="708" t="s">
        <v>4128</v>
      </c>
      <c r="C4377" s="709"/>
      <c r="D4377" s="679"/>
      <c r="E4377" s="710"/>
      <c r="F4377" s="369"/>
      <c r="G4377" s="711" t="n">
        <f aca="false">SUM(G4372:G4376)</f>
        <v>729.825</v>
      </c>
      <c r="H4377" s="679"/>
    </row>
    <row r="4378" s="451" customFormat="true" ht="15" hidden="false" customHeight="false" outlineLevel="0" collapsed="false">
      <c r="A4378" s="707" t="s">
        <v>901</v>
      </c>
      <c r="B4378" s="532" t="s">
        <v>3245</v>
      </c>
      <c r="C4378" s="471" t="s">
        <v>5007</v>
      </c>
      <c r="D4378" s="728" t="s">
        <v>4133</v>
      </c>
      <c r="E4378" s="749" t="n">
        <v>0.02</v>
      </c>
      <c r="F4378" s="729" t="n">
        <v>2520</v>
      </c>
      <c r="G4378" s="716" t="n">
        <f aca="false">E4378*F4378</f>
        <v>50.4</v>
      </c>
      <c r="H4378" s="679"/>
    </row>
    <row r="4379" s="451" customFormat="true" ht="15" hidden="false" customHeight="false" outlineLevel="0" collapsed="false">
      <c r="A4379" s="707"/>
      <c r="B4379" s="708"/>
      <c r="C4379" s="532" t="s">
        <v>4564</v>
      </c>
      <c r="D4379" s="728" t="s">
        <v>4133</v>
      </c>
      <c r="E4379" s="749" t="n">
        <v>0.1</v>
      </c>
      <c r="F4379" s="721" t="n">
        <v>3500</v>
      </c>
      <c r="G4379" s="716" t="n">
        <f aca="false">E4379*F4379</f>
        <v>350</v>
      </c>
      <c r="H4379" s="679"/>
    </row>
    <row r="4380" s="451" customFormat="true" ht="15" hidden="false" customHeight="false" outlineLevel="0" collapsed="false">
      <c r="A4380" s="707"/>
      <c r="B4380" s="708"/>
      <c r="C4380" s="471" t="s">
        <v>4205</v>
      </c>
      <c r="D4380" s="728" t="s">
        <v>4133</v>
      </c>
      <c r="E4380" s="749" t="n">
        <v>0.05</v>
      </c>
      <c r="F4380" s="717" t="n">
        <v>7875</v>
      </c>
      <c r="G4380" s="716" t="n">
        <f aca="false">E4380*F4380</f>
        <v>393.75</v>
      </c>
      <c r="H4380" s="679"/>
    </row>
    <row r="4381" s="451" customFormat="true" ht="15" hidden="false" customHeight="false" outlineLevel="0" collapsed="false">
      <c r="A4381" s="707"/>
      <c r="B4381" s="708"/>
      <c r="C4381" s="471" t="s">
        <v>4536</v>
      </c>
      <c r="D4381" s="728" t="s">
        <v>4133</v>
      </c>
      <c r="E4381" s="749" t="n">
        <v>0.03</v>
      </c>
      <c r="F4381" s="721" t="n">
        <v>500</v>
      </c>
      <c r="G4381" s="716" t="n">
        <f aca="false">E4381*F4381</f>
        <v>15</v>
      </c>
      <c r="H4381" s="679"/>
    </row>
    <row r="4382" s="451" customFormat="true" ht="30" hidden="false" customHeight="false" outlineLevel="0" collapsed="false">
      <c r="A4382" s="707"/>
      <c r="B4382" s="708"/>
      <c r="C4382" s="471" t="s">
        <v>5008</v>
      </c>
      <c r="D4382" s="728" t="s">
        <v>4133</v>
      </c>
      <c r="E4382" s="749" t="n">
        <v>0.02</v>
      </c>
      <c r="F4382" s="369" t="n">
        <v>1900</v>
      </c>
      <c r="G4382" s="716" t="n">
        <f aca="false">E4382*F4382</f>
        <v>38</v>
      </c>
      <c r="H4382" s="679"/>
    </row>
    <row r="4383" s="451" customFormat="true" ht="15" hidden="false" customHeight="false" outlineLevel="0" collapsed="false">
      <c r="A4383" s="707"/>
      <c r="B4383" s="708"/>
      <c r="C4383" s="532" t="s">
        <v>4377</v>
      </c>
      <c r="D4383" s="728" t="s">
        <v>4133</v>
      </c>
      <c r="E4383" s="749" t="n">
        <v>0.01</v>
      </c>
      <c r="F4383" s="729" t="n">
        <v>3500</v>
      </c>
      <c r="G4383" s="716" t="n">
        <f aca="false">E4383*F4383</f>
        <v>35</v>
      </c>
      <c r="H4383" s="679"/>
    </row>
    <row r="4384" s="451" customFormat="true" ht="15" hidden="false" customHeight="false" outlineLevel="0" collapsed="false">
      <c r="A4384" s="707"/>
      <c r="B4384" s="708"/>
      <c r="C4384" s="471" t="s">
        <v>5007</v>
      </c>
      <c r="D4384" s="728" t="s">
        <v>4133</v>
      </c>
      <c r="E4384" s="749" t="n">
        <v>0.02</v>
      </c>
      <c r="F4384" s="729" t="n">
        <v>2520</v>
      </c>
      <c r="G4384" s="716" t="n">
        <f aca="false">E4384*F4384</f>
        <v>50.4</v>
      </c>
      <c r="H4384" s="679"/>
    </row>
    <row r="4385" s="451" customFormat="true" ht="15" hidden="false" customHeight="false" outlineLevel="0" collapsed="false">
      <c r="A4385" s="707"/>
      <c r="B4385" s="708"/>
      <c r="C4385" s="709" t="s">
        <v>4515</v>
      </c>
      <c r="D4385" s="679" t="s">
        <v>4133</v>
      </c>
      <c r="E4385" s="710" t="n">
        <v>0.06</v>
      </c>
      <c r="F4385" s="369" t="n">
        <v>2700</v>
      </c>
      <c r="G4385" s="716" t="n">
        <f aca="false">E4385*F4385</f>
        <v>162</v>
      </c>
      <c r="H4385" s="679"/>
    </row>
    <row r="4386" s="451" customFormat="true" ht="15" hidden="false" customHeight="false" outlineLevel="0" collapsed="false">
      <c r="A4386" s="707"/>
      <c r="B4386" s="708"/>
      <c r="C4386" s="709" t="s">
        <v>4124</v>
      </c>
      <c r="D4386" s="679" t="s">
        <v>4516</v>
      </c>
      <c r="E4386" s="710" t="n">
        <v>1.4933</v>
      </c>
      <c r="F4386" s="369" t="n">
        <v>120</v>
      </c>
      <c r="G4386" s="716" t="n">
        <f aca="false">E4386*F4386</f>
        <v>179.196</v>
      </c>
      <c r="H4386" s="679"/>
    </row>
    <row r="4387" s="451" customFormat="true" ht="15" hidden="false" customHeight="false" outlineLevel="0" collapsed="false">
      <c r="A4387" s="707"/>
      <c r="B4387" s="708" t="s">
        <v>4128</v>
      </c>
      <c r="C4387" s="709"/>
      <c r="D4387" s="679"/>
      <c r="E4387" s="710"/>
      <c r="F4387" s="369"/>
      <c r="G4387" s="711" t="n">
        <f aca="false">SUM(G4378:G4386)</f>
        <v>1273.746</v>
      </c>
      <c r="H4387" s="679"/>
    </row>
    <row r="4388" s="451" customFormat="true" ht="15" hidden="false" customHeight="false" outlineLevel="0" collapsed="false">
      <c r="A4388" s="707" t="s">
        <v>902</v>
      </c>
      <c r="B4388" s="532" t="s">
        <v>903</v>
      </c>
      <c r="C4388" s="471" t="s">
        <v>5009</v>
      </c>
      <c r="D4388" s="728" t="s">
        <v>4133</v>
      </c>
      <c r="E4388" s="745" t="n">
        <v>0.015</v>
      </c>
      <c r="F4388" s="729" t="n">
        <v>171200</v>
      </c>
      <c r="G4388" s="716" t="n">
        <f aca="false">E4388*F4388</f>
        <v>2568</v>
      </c>
      <c r="H4388" s="679"/>
    </row>
    <row r="4389" s="451" customFormat="true" ht="30" hidden="false" customHeight="false" outlineLevel="0" collapsed="false">
      <c r="A4389" s="707"/>
      <c r="B4389" s="708"/>
      <c r="C4389" s="471" t="s">
        <v>5010</v>
      </c>
      <c r="D4389" s="728" t="s">
        <v>4133</v>
      </c>
      <c r="E4389" s="745" t="n">
        <v>0.025</v>
      </c>
      <c r="F4389" s="729" t="n">
        <v>21720</v>
      </c>
      <c r="G4389" s="716" t="n">
        <f aca="false">E4389*F4389</f>
        <v>543</v>
      </c>
      <c r="H4389" s="679"/>
    </row>
    <row r="4390" s="451" customFormat="true" ht="15" hidden="false" customHeight="false" outlineLevel="0" collapsed="false">
      <c r="A4390" s="707"/>
      <c r="B4390" s="708"/>
      <c r="C4390" s="471" t="s">
        <v>4250</v>
      </c>
      <c r="D4390" s="728" t="s">
        <v>4133</v>
      </c>
      <c r="E4390" s="745" t="n">
        <v>0.015</v>
      </c>
      <c r="F4390" s="729" t="n">
        <v>27000</v>
      </c>
      <c r="G4390" s="716" t="n">
        <f aca="false">E4390*F4390</f>
        <v>405</v>
      </c>
      <c r="H4390" s="679"/>
    </row>
    <row r="4391" s="451" customFormat="true" ht="15" hidden="false" customHeight="false" outlineLevel="0" collapsed="false">
      <c r="A4391" s="707"/>
      <c r="B4391" s="708"/>
      <c r="C4391" s="471" t="s">
        <v>4626</v>
      </c>
      <c r="D4391" s="728" t="s">
        <v>4133</v>
      </c>
      <c r="E4391" s="679" t="n">
        <v>0.001</v>
      </c>
      <c r="F4391" s="729" t="n">
        <v>810000</v>
      </c>
      <c r="G4391" s="716" t="n">
        <f aca="false">E4391*F4391</f>
        <v>810</v>
      </c>
      <c r="H4391" s="679"/>
    </row>
    <row r="4392" s="451" customFormat="true" ht="15" hidden="false" customHeight="false" outlineLevel="0" collapsed="false">
      <c r="A4392" s="707"/>
      <c r="B4392" s="708"/>
      <c r="C4392" s="532" t="s">
        <v>4609</v>
      </c>
      <c r="D4392" s="728" t="s">
        <v>4133</v>
      </c>
      <c r="E4392" s="745" t="n">
        <v>0.001</v>
      </c>
      <c r="F4392" s="721" t="n">
        <v>1500</v>
      </c>
      <c r="G4392" s="716" t="n">
        <f aca="false">E4392*F4392</f>
        <v>1.5</v>
      </c>
      <c r="H4392" s="679"/>
    </row>
    <row r="4393" s="451" customFormat="true" ht="30" hidden="false" customHeight="false" outlineLevel="0" collapsed="false">
      <c r="A4393" s="707"/>
      <c r="B4393" s="708"/>
      <c r="C4393" s="471" t="s">
        <v>4658</v>
      </c>
      <c r="D4393" s="728" t="s">
        <v>4133</v>
      </c>
      <c r="E4393" s="745" t="n">
        <v>0.15</v>
      </c>
      <c r="F4393" s="369" t="n">
        <v>2800</v>
      </c>
      <c r="G4393" s="716" t="n">
        <f aca="false">E4393*F4393</f>
        <v>420</v>
      </c>
      <c r="H4393" s="679"/>
    </row>
    <row r="4394" s="451" customFormat="true" ht="30" hidden="false" customHeight="false" outlineLevel="0" collapsed="false">
      <c r="A4394" s="707"/>
      <c r="B4394" s="708"/>
      <c r="C4394" s="471" t="s">
        <v>5011</v>
      </c>
      <c r="D4394" s="728" t="s">
        <v>4133</v>
      </c>
      <c r="E4394" s="745" t="n">
        <v>0.02</v>
      </c>
      <c r="F4394" s="729" t="n">
        <v>2700</v>
      </c>
      <c r="G4394" s="716" t="n">
        <f aca="false">E4394*F4394</f>
        <v>54</v>
      </c>
      <c r="H4394" s="679"/>
    </row>
    <row r="4395" s="451" customFormat="true" ht="15" hidden="false" customHeight="false" outlineLevel="0" collapsed="false">
      <c r="A4395" s="707"/>
      <c r="B4395" s="708"/>
      <c r="C4395" s="532" t="s">
        <v>4632</v>
      </c>
      <c r="D4395" s="679" t="s">
        <v>4252</v>
      </c>
      <c r="E4395" s="726" t="n">
        <v>0.01</v>
      </c>
      <c r="F4395" s="724" t="n">
        <v>275000</v>
      </c>
      <c r="G4395" s="716" t="n">
        <f aca="false">E4395*F4395</f>
        <v>2750</v>
      </c>
      <c r="H4395" s="679"/>
    </row>
    <row r="4396" s="451" customFormat="true" ht="15" hidden="false" customHeight="false" outlineLevel="0" collapsed="false">
      <c r="A4396" s="707"/>
      <c r="B4396" s="708"/>
      <c r="C4396" s="709" t="s">
        <v>4515</v>
      </c>
      <c r="D4396" s="679" t="s">
        <v>4133</v>
      </c>
      <c r="E4396" s="710" t="n">
        <v>0.03</v>
      </c>
      <c r="F4396" s="369" t="n">
        <v>2700</v>
      </c>
      <c r="G4396" s="716" t="n">
        <f aca="false">E4396*F4396</f>
        <v>81</v>
      </c>
      <c r="H4396" s="679"/>
    </row>
    <row r="4397" s="451" customFormat="true" ht="15" hidden="false" customHeight="false" outlineLevel="0" collapsed="false">
      <c r="A4397" s="707"/>
      <c r="B4397" s="708"/>
      <c r="C4397" s="709" t="s">
        <v>4124</v>
      </c>
      <c r="D4397" s="679" t="s">
        <v>4516</v>
      </c>
      <c r="E4397" s="710" t="n">
        <v>1.4933</v>
      </c>
      <c r="F4397" s="369" t="n">
        <v>120</v>
      </c>
      <c r="G4397" s="716" t="n">
        <f aca="false">E4397*F4397</f>
        <v>179.196</v>
      </c>
      <c r="H4397" s="679"/>
    </row>
    <row r="4398" s="451" customFormat="true" ht="15" hidden="false" customHeight="false" outlineLevel="0" collapsed="false">
      <c r="A4398" s="707"/>
      <c r="B4398" s="708" t="s">
        <v>4128</v>
      </c>
      <c r="C4398" s="709"/>
      <c r="D4398" s="679"/>
      <c r="E4398" s="710"/>
      <c r="F4398" s="369"/>
      <c r="G4398" s="711" t="n">
        <f aca="false">SUM(G4388:G4397)</f>
        <v>7811.696</v>
      </c>
      <c r="H4398" s="679"/>
    </row>
    <row r="4399" s="451" customFormat="true" ht="16.5" hidden="false" customHeight="true" outlineLevel="0" collapsed="false">
      <c r="A4399" s="707" t="s">
        <v>5012</v>
      </c>
      <c r="B4399" s="532" t="s">
        <v>905</v>
      </c>
      <c r="C4399" s="747" t="s">
        <v>4636</v>
      </c>
      <c r="D4399" s="728" t="s">
        <v>4133</v>
      </c>
      <c r="E4399" s="679" t="n">
        <v>0.05</v>
      </c>
      <c r="F4399" s="729" t="n">
        <v>3500</v>
      </c>
      <c r="G4399" s="716" t="n">
        <f aca="false">E4399*F4399</f>
        <v>175</v>
      </c>
      <c r="H4399" s="679"/>
    </row>
    <row r="4400" s="451" customFormat="true" ht="15" hidden="false" customHeight="false" outlineLevel="0" collapsed="false">
      <c r="A4400" s="707"/>
      <c r="B4400" s="708"/>
      <c r="C4400" s="325" t="s">
        <v>4556</v>
      </c>
      <c r="D4400" s="728" t="s">
        <v>4133</v>
      </c>
      <c r="E4400" s="745" t="n">
        <v>0.018</v>
      </c>
      <c r="F4400" s="723" t="n">
        <v>3612</v>
      </c>
      <c r="G4400" s="716" t="n">
        <f aca="false">E4400*F4400</f>
        <v>65.016</v>
      </c>
      <c r="H4400" s="679"/>
    </row>
    <row r="4401" s="451" customFormat="true" ht="15" hidden="false" customHeight="false" outlineLevel="0" collapsed="false">
      <c r="A4401" s="707"/>
      <c r="B4401" s="708"/>
      <c r="C4401" s="471" t="s">
        <v>5013</v>
      </c>
      <c r="D4401" s="728" t="s">
        <v>4133</v>
      </c>
      <c r="E4401" s="745" t="n">
        <v>0.01</v>
      </c>
      <c r="F4401" s="729" t="n">
        <v>25000</v>
      </c>
      <c r="G4401" s="716" t="n">
        <f aca="false">E4401*F4401</f>
        <v>250</v>
      </c>
      <c r="H4401" s="679"/>
    </row>
    <row r="4402" s="451" customFormat="true" ht="15" hidden="false" customHeight="false" outlineLevel="0" collapsed="false">
      <c r="A4402" s="707"/>
      <c r="B4402" s="708"/>
      <c r="C4402" s="471" t="s">
        <v>4158</v>
      </c>
      <c r="D4402" s="728" t="s">
        <v>4133</v>
      </c>
      <c r="E4402" s="745" t="n">
        <v>0.17</v>
      </c>
      <c r="F4402" s="724" t="n">
        <v>1500</v>
      </c>
      <c r="G4402" s="716" t="n">
        <f aca="false">E4402*F4402</f>
        <v>255</v>
      </c>
      <c r="H4402" s="679"/>
    </row>
    <row r="4403" s="451" customFormat="true" ht="15" hidden="false" customHeight="false" outlineLevel="0" collapsed="false">
      <c r="A4403" s="707"/>
      <c r="B4403" s="708"/>
      <c r="C4403" s="471" t="s">
        <v>4202</v>
      </c>
      <c r="D4403" s="728" t="s">
        <v>4133</v>
      </c>
      <c r="E4403" s="679" t="n">
        <v>0.01</v>
      </c>
      <c r="F4403" s="724" t="n">
        <v>6600</v>
      </c>
      <c r="G4403" s="716" t="n">
        <f aca="false">E4403*F4403</f>
        <v>66</v>
      </c>
      <c r="H4403" s="679"/>
    </row>
    <row r="4404" s="451" customFormat="true" ht="15" hidden="false" customHeight="false" outlineLevel="0" collapsed="false">
      <c r="A4404" s="707"/>
      <c r="B4404" s="708"/>
      <c r="C4404" s="709" t="s">
        <v>4515</v>
      </c>
      <c r="D4404" s="679" t="s">
        <v>4133</v>
      </c>
      <c r="E4404" s="710" t="n">
        <v>0.06</v>
      </c>
      <c r="F4404" s="369" t="n">
        <v>2700</v>
      </c>
      <c r="G4404" s="716" t="n">
        <f aca="false">E4404*F4404</f>
        <v>162</v>
      </c>
      <c r="H4404" s="679"/>
    </row>
    <row r="4405" s="451" customFormat="true" ht="15" hidden="false" customHeight="false" outlineLevel="0" collapsed="false">
      <c r="A4405" s="707"/>
      <c r="B4405" s="708"/>
      <c r="C4405" s="709" t="s">
        <v>4124</v>
      </c>
      <c r="D4405" s="679" t="s">
        <v>4516</v>
      </c>
      <c r="E4405" s="710" t="n">
        <v>1.4933</v>
      </c>
      <c r="F4405" s="369" t="n">
        <v>120</v>
      </c>
      <c r="G4405" s="716" t="n">
        <f aca="false">E4405*F4405</f>
        <v>179.196</v>
      </c>
      <c r="H4405" s="679"/>
    </row>
    <row r="4406" s="451" customFormat="true" ht="15" hidden="false" customHeight="false" outlineLevel="0" collapsed="false">
      <c r="A4406" s="707"/>
      <c r="B4406" s="708" t="s">
        <v>4128</v>
      </c>
      <c r="C4406" s="709"/>
      <c r="D4406" s="679"/>
      <c r="E4406" s="710"/>
      <c r="F4406" s="369"/>
      <c r="G4406" s="711" t="n">
        <f aca="false">SUM(G4399:G4405)</f>
        <v>1152.212</v>
      </c>
      <c r="H4406" s="679"/>
    </row>
    <row r="4407" s="451" customFormat="true" ht="15" hidden="false" customHeight="false" outlineLevel="0" collapsed="false">
      <c r="A4407" s="707" t="s">
        <v>5014</v>
      </c>
      <c r="B4407" s="532" t="s">
        <v>3246</v>
      </c>
      <c r="C4407" s="471" t="s">
        <v>5015</v>
      </c>
      <c r="D4407" s="728" t="s">
        <v>4133</v>
      </c>
      <c r="E4407" s="746" t="n">
        <v>0.01</v>
      </c>
      <c r="F4407" s="748" t="n">
        <v>1200</v>
      </c>
      <c r="G4407" s="716" t="n">
        <f aca="false">E4407*F4407</f>
        <v>12</v>
      </c>
      <c r="H4407" s="679"/>
    </row>
    <row r="4408" s="451" customFormat="true" ht="15" hidden="false" customHeight="false" outlineLevel="0" collapsed="false">
      <c r="A4408" s="707"/>
      <c r="B4408" s="532"/>
      <c r="C4408" s="471" t="s">
        <v>4205</v>
      </c>
      <c r="D4408" s="728" t="s">
        <v>4191</v>
      </c>
      <c r="E4408" s="746" t="n">
        <v>0.07</v>
      </c>
      <c r="F4408" s="717" t="n">
        <v>7875</v>
      </c>
      <c r="G4408" s="716" t="n">
        <f aca="false">E4408*F4408</f>
        <v>551.25</v>
      </c>
      <c r="H4408" s="679"/>
    </row>
    <row r="4409" s="451" customFormat="true" ht="15" hidden="false" customHeight="false" outlineLevel="0" collapsed="false">
      <c r="A4409" s="707"/>
      <c r="B4409" s="532"/>
      <c r="C4409" s="471" t="s">
        <v>4604</v>
      </c>
      <c r="D4409" s="728" t="s">
        <v>4133</v>
      </c>
      <c r="E4409" s="746" t="n">
        <v>0.1</v>
      </c>
      <c r="F4409" s="721" t="n">
        <v>7200</v>
      </c>
      <c r="G4409" s="716" t="n">
        <f aca="false">E4409*F4409</f>
        <v>720</v>
      </c>
      <c r="H4409" s="679"/>
    </row>
    <row r="4410" s="451" customFormat="true" ht="15" hidden="false" customHeight="false" outlineLevel="0" collapsed="false">
      <c r="A4410" s="707"/>
      <c r="B4410" s="532"/>
      <c r="C4410" s="471" t="s">
        <v>5016</v>
      </c>
      <c r="D4410" s="728" t="s">
        <v>4133</v>
      </c>
      <c r="E4410" s="746" t="n">
        <v>0.015</v>
      </c>
      <c r="F4410" s="729" t="n">
        <v>6500</v>
      </c>
      <c r="G4410" s="716" t="n">
        <f aca="false">E4410*F4410</f>
        <v>97.5</v>
      </c>
      <c r="H4410" s="679"/>
    </row>
    <row r="4411" s="451" customFormat="true" ht="15" hidden="false" customHeight="false" outlineLevel="0" collapsed="false">
      <c r="A4411" s="707"/>
      <c r="B4411" s="532"/>
      <c r="C4411" s="471" t="s">
        <v>4317</v>
      </c>
      <c r="D4411" s="728" t="s">
        <v>4133</v>
      </c>
      <c r="E4411" s="746" t="n">
        <v>0.006</v>
      </c>
      <c r="F4411" s="724" t="n">
        <v>16500</v>
      </c>
      <c r="G4411" s="716" t="n">
        <f aca="false">E4411*F4411</f>
        <v>99</v>
      </c>
      <c r="H4411" s="679"/>
    </row>
    <row r="4412" s="451" customFormat="true" ht="30" hidden="false" customHeight="false" outlineLevel="0" collapsed="false">
      <c r="A4412" s="707"/>
      <c r="B4412" s="532"/>
      <c r="C4412" s="471" t="s">
        <v>5017</v>
      </c>
      <c r="D4412" s="728" t="s">
        <v>4555</v>
      </c>
      <c r="E4412" s="746" t="n">
        <v>0.21</v>
      </c>
      <c r="F4412" s="729" t="n">
        <v>81000</v>
      </c>
      <c r="G4412" s="716" t="n">
        <f aca="false">E4412*F4412</f>
        <v>17010</v>
      </c>
      <c r="H4412" s="679"/>
    </row>
    <row r="4413" s="451" customFormat="true" ht="15" hidden="false" customHeight="false" outlineLevel="0" collapsed="false">
      <c r="A4413" s="707"/>
      <c r="B4413" s="708"/>
      <c r="C4413" s="532" t="s">
        <v>4377</v>
      </c>
      <c r="D4413" s="728" t="s">
        <v>4133</v>
      </c>
      <c r="E4413" s="746" t="n">
        <v>0.014</v>
      </c>
      <c r="F4413" s="729" t="n">
        <v>3500</v>
      </c>
      <c r="G4413" s="716" t="n">
        <f aca="false">E4413*F4413</f>
        <v>49</v>
      </c>
      <c r="H4413" s="679"/>
    </row>
    <row r="4414" s="451" customFormat="true" ht="60" hidden="false" customHeight="false" outlineLevel="0" collapsed="false">
      <c r="A4414" s="707"/>
      <c r="B4414" s="708"/>
      <c r="C4414" s="532" t="s">
        <v>4603</v>
      </c>
      <c r="D4414" s="679" t="s">
        <v>4559</v>
      </c>
      <c r="E4414" s="741" t="n">
        <v>0.02</v>
      </c>
      <c r="F4414" s="721" t="n">
        <v>7500</v>
      </c>
      <c r="G4414" s="716" t="n">
        <f aca="false">E4414*F4414</f>
        <v>150</v>
      </c>
      <c r="H4414" s="679"/>
    </row>
    <row r="4415" s="451" customFormat="true" ht="15" hidden="false" customHeight="false" outlineLevel="0" collapsed="false">
      <c r="A4415" s="707"/>
      <c r="B4415" s="708"/>
      <c r="C4415" s="709" t="s">
        <v>4515</v>
      </c>
      <c r="D4415" s="679" t="s">
        <v>4133</v>
      </c>
      <c r="E4415" s="710" t="n">
        <v>0.03</v>
      </c>
      <c r="F4415" s="369" t="n">
        <v>2700</v>
      </c>
      <c r="G4415" s="716" t="n">
        <f aca="false">E4415*F4415</f>
        <v>81</v>
      </c>
      <c r="H4415" s="679"/>
    </row>
    <row r="4416" s="451" customFormat="true" ht="15" hidden="false" customHeight="false" outlineLevel="0" collapsed="false">
      <c r="A4416" s="707"/>
      <c r="B4416" s="708"/>
      <c r="C4416" s="709" t="s">
        <v>4124</v>
      </c>
      <c r="D4416" s="679" t="s">
        <v>4516</v>
      </c>
      <c r="E4416" s="710" t="n">
        <v>1.4933</v>
      </c>
      <c r="F4416" s="369" t="n">
        <v>120</v>
      </c>
      <c r="G4416" s="716" t="n">
        <f aca="false">E4416*F4416</f>
        <v>179.196</v>
      </c>
      <c r="H4416" s="679"/>
    </row>
    <row r="4417" s="451" customFormat="true" ht="15" hidden="false" customHeight="false" outlineLevel="0" collapsed="false">
      <c r="A4417" s="707"/>
      <c r="B4417" s="708" t="s">
        <v>4128</v>
      </c>
      <c r="C4417" s="709"/>
      <c r="D4417" s="679"/>
      <c r="E4417" s="710"/>
      <c r="F4417" s="369"/>
      <c r="G4417" s="711" t="n">
        <f aca="false">SUM(G4407:G4416)</f>
        <v>18948.946</v>
      </c>
      <c r="H4417" s="679"/>
    </row>
    <row r="4418" s="451" customFormat="true" ht="15" hidden="false" customHeight="false" outlineLevel="0" collapsed="false">
      <c r="A4418" s="707" t="s">
        <v>908</v>
      </c>
      <c r="B4418" s="532" t="s">
        <v>909</v>
      </c>
      <c r="C4418" s="532" t="s">
        <v>909</v>
      </c>
      <c r="D4418" s="728" t="s">
        <v>5018</v>
      </c>
      <c r="E4418" s="749" t="n">
        <v>0.7</v>
      </c>
      <c r="F4418" s="721" t="n">
        <v>25000</v>
      </c>
      <c r="G4418" s="716" t="n">
        <f aca="false">E4418*F4418</f>
        <v>17500</v>
      </c>
      <c r="H4418" s="679"/>
    </row>
    <row r="4419" s="451" customFormat="true" ht="15" hidden="false" customHeight="false" outlineLevel="0" collapsed="false">
      <c r="A4419" s="707"/>
      <c r="B4419" s="708"/>
      <c r="C4419" s="471" t="s">
        <v>4626</v>
      </c>
      <c r="D4419" s="728" t="s">
        <v>4133</v>
      </c>
      <c r="E4419" s="679" t="n">
        <v>0.001</v>
      </c>
      <c r="F4419" s="729" t="n">
        <v>810000</v>
      </c>
      <c r="G4419" s="716" t="n">
        <f aca="false">E4419*F4419</f>
        <v>810</v>
      </c>
      <c r="H4419" s="679"/>
    </row>
    <row r="4420" s="451" customFormat="true" ht="15" hidden="false" customHeight="false" outlineLevel="0" collapsed="false">
      <c r="A4420" s="707"/>
      <c r="B4420" s="708"/>
      <c r="C4420" s="325" t="s">
        <v>4556</v>
      </c>
      <c r="D4420" s="728" t="s">
        <v>4133</v>
      </c>
      <c r="E4420" s="745" t="n">
        <v>0.018</v>
      </c>
      <c r="F4420" s="723" t="n">
        <v>3612</v>
      </c>
      <c r="G4420" s="716" t="n">
        <f aca="false">E4420*F4420</f>
        <v>65.016</v>
      </c>
      <c r="H4420" s="679"/>
    </row>
    <row r="4421" s="451" customFormat="true" ht="15" hidden="false" customHeight="false" outlineLevel="0" collapsed="false">
      <c r="A4421" s="707"/>
      <c r="B4421" s="708"/>
      <c r="C4421" s="532" t="s">
        <v>4377</v>
      </c>
      <c r="D4421" s="728" t="s">
        <v>4133</v>
      </c>
      <c r="E4421" s="745" t="n">
        <v>0.012</v>
      </c>
      <c r="F4421" s="729" t="n">
        <v>3500</v>
      </c>
      <c r="G4421" s="716" t="n">
        <f aca="false">E4421*F4421</f>
        <v>42</v>
      </c>
      <c r="H4421" s="679"/>
    </row>
    <row r="4422" s="451" customFormat="true" ht="15" hidden="false" customHeight="false" outlineLevel="0" collapsed="false">
      <c r="A4422" s="707"/>
      <c r="B4422" s="708"/>
      <c r="C4422" s="532" t="s">
        <v>4609</v>
      </c>
      <c r="D4422" s="728" t="s">
        <v>4133</v>
      </c>
      <c r="E4422" s="745" t="n">
        <v>0.1</v>
      </c>
      <c r="F4422" s="721" t="n">
        <v>1500</v>
      </c>
      <c r="G4422" s="716" t="n">
        <f aca="false">E4422*F4422</f>
        <v>150</v>
      </c>
      <c r="H4422" s="679"/>
    </row>
    <row r="4423" s="451" customFormat="true" ht="15" hidden="false" customHeight="false" outlineLevel="0" collapsed="false">
      <c r="A4423" s="707"/>
      <c r="B4423" s="708"/>
      <c r="C4423" s="709" t="s">
        <v>4515</v>
      </c>
      <c r="D4423" s="679" t="s">
        <v>4133</v>
      </c>
      <c r="E4423" s="710" t="n">
        <v>0.03</v>
      </c>
      <c r="F4423" s="369" t="n">
        <v>2700</v>
      </c>
      <c r="G4423" s="716" t="n">
        <f aca="false">E4423*F4423</f>
        <v>81</v>
      </c>
      <c r="H4423" s="679"/>
    </row>
    <row r="4424" s="451" customFormat="true" ht="15" hidden="false" customHeight="false" outlineLevel="0" collapsed="false">
      <c r="A4424" s="707"/>
      <c r="B4424" s="708"/>
      <c r="C4424" s="709" t="s">
        <v>4124</v>
      </c>
      <c r="D4424" s="679" t="s">
        <v>4516</v>
      </c>
      <c r="E4424" s="710" t="n">
        <v>1.4933</v>
      </c>
      <c r="F4424" s="369" t="n">
        <v>120</v>
      </c>
      <c r="G4424" s="716" t="n">
        <f aca="false">E4424*F4424</f>
        <v>179.196</v>
      </c>
      <c r="H4424" s="679"/>
    </row>
    <row r="4425" s="451" customFormat="true" ht="15" hidden="false" customHeight="false" outlineLevel="0" collapsed="false">
      <c r="A4425" s="707"/>
      <c r="B4425" s="708" t="s">
        <v>4128</v>
      </c>
      <c r="C4425" s="709"/>
      <c r="D4425" s="679"/>
      <c r="E4425" s="710"/>
      <c r="F4425" s="369"/>
      <c r="G4425" s="711" t="n">
        <f aca="false">SUM(G4418:G4424)</f>
        <v>18827.212</v>
      </c>
      <c r="H4425" s="679"/>
    </row>
    <row r="4426" s="451" customFormat="true" ht="15" hidden="false" customHeight="false" outlineLevel="0" collapsed="false">
      <c r="A4426" s="707" t="s">
        <v>5019</v>
      </c>
      <c r="B4426" s="532" t="s">
        <v>911</v>
      </c>
      <c r="C4426" s="471" t="s">
        <v>5015</v>
      </c>
      <c r="D4426" s="728" t="s">
        <v>4133</v>
      </c>
      <c r="E4426" s="749" t="n">
        <v>0.1</v>
      </c>
      <c r="F4426" s="748" t="n">
        <v>1200</v>
      </c>
      <c r="G4426" s="716" t="n">
        <f aca="false">E4426*F4426</f>
        <v>120</v>
      </c>
      <c r="H4426" s="679"/>
    </row>
    <row r="4427" s="451" customFormat="true" ht="15" hidden="false" customHeight="false" outlineLevel="0" collapsed="false">
      <c r="A4427" s="707"/>
      <c r="B4427" s="708"/>
      <c r="C4427" s="775" t="s">
        <v>5020</v>
      </c>
      <c r="D4427" s="728" t="s">
        <v>5018</v>
      </c>
      <c r="E4427" s="749" t="n">
        <v>0.54</v>
      </c>
      <c r="F4427" s="721" t="n">
        <v>25000</v>
      </c>
      <c r="G4427" s="716" t="n">
        <f aca="false">E4427*F4427</f>
        <v>13500</v>
      </c>
      <c r="H4427" s="679"/>
    </row>
    <row r="4428" s="451" customFormat="true" ht="15" hidden="false" customHeight="false" outlineLevel="0" collapsed="false">
      <c r="A4428" s="707"/>
      <c r="B4428" s="708"/>
      <c r="C4428" s="471" t="s">
        <v>4317</v>
      </c>
      <c r="D4428" s="728" t="s">
        <v>4133</v>
      </c>
      <c r="E4428" s="749" t="n">
        <v>0.03</v>
      </c>
      <c r="F4428" s="724" t="n">
        <v>16500</v>
      </c>
      <c r="G4428" s="716" t="n">
        <f aca="false">E4428*F4428</f>
        <v>495</v>
      </c>
      <c r="H4428" s="679"/>
    </row>
    <row r="4429" s="451" customFormat="true" ht="15" hidden="false" customHeight="false" outlineLevel="0" collapsed="false">
      <c r="A4429" s="707"/>
      <c r="B4429" s="708"/>
      <c r="C4429" s="532" t="s">
        <v>4923</v>
      </c>
      <c r="D4429" s="679" t="s">
        <v>4252</v>
      </c>
      <c r="E4429" s="733" t="n">
        <v>0.02</v>
      </c>
      <c r="F4429" s="724" t="n">
        <v>275000</v>
      </c>
      <c r="G4429" s="716" t="n">
        <f aca="false">E4429*F4429</f>
        <v>5500</v>
      </c>
      <c r="H4429" s="679"/>
    </row>
    <row r="4430" s="451" customFormat="true" ht="15" hidden="false" customHeight="false" outlineLevel="0" collapsed="false">
      <c r="A4430" s="707"/>
      <c r="B4430" s="708"/>
      <c r="C4430" s="709" t="s">
        <v>4515</v>
      </c>
      <c r="D4430" s="679" t="s">
        <v>4133</v>
      </c>
      <c r="E4430" s="710" t="n">
        <v>0.06</v>
      </c>
      <c r="F4430" s="369" t="n">
        <v>2700</v>
      </c>
      <c r="G4430" s="716" t="n">
        <f aca="false">E4430*F4430</f>
        <v>162</v>
      </c>
      <c r="H4430" s="679"/>
    </row>
    <row r="4431" s="451" customFormat="true" ht="15" hidden="false" customHeight="false" outlineLevel="0" collapsed="false">
      <c r="A4431" s="707"/>
      <c r="B4431" s="708"/>
      <c r="C4431" s="709" t="s">
        <v>4124</v>
      </c>
      <c r="D4431" s="679" t="s">
        <v>4516</v>
      </c>
      <c r="E4431" s="710" t="n">
        <v>1.4933</v>
      </c>
      <c r="F4431" s="369" t="n">
        <v>120</v>
      </c>
      <c r="G4431" s="716" t="n">
        <f aca="false">E4431*F4431</f>
        <v>179.196</v>
      </c>
      <c r="H4431" s="679"/>
    </row>
    <row r="4432" s="451" customFormat="true" ht="15" hidden="false" customHeight="false" outlineLevel="0" collapsed="false">
      <c r="A4432" s="707"/>
      <c r="B4432" s="708" t="s">
        <v>4128</v>
      </c>
      <c r="C4432" s="709"/>
      <c r="D4432" s="679"/>
      <c r="E4432" s="710"/>
      <c r="F4432" s="369"/>
      <c r="G4432" s="711" t="n">
        <f aca="false">SUM(G4426:G4431)</f>
        <v>19956.196</v>
      </c>
      <c r="H4432" s="679"/>
    </row>
    <row r="4433" s="451" customFormat="true" ht="15" hidden="false" customHeight="false" outlineLevel="0" collapsed="false">
      <c r="A4433" s="707" t="s">
        <v>912</v>
      </c>
      <c r="B4433" s="532" t="s">
        <v>3247</v>
      </c>
      <c r="C4433" s="532" t="s">
        <v>3247</v>
      </c>
      <c r="D4433" s="679" t="s">
        <v>4555</v>
      </c>
      <c r="E4433" s="726" t="n">
        <v>0.54</v>
      </c>
      <c r="F4433" s="721" t="n">
        <v>25000</v>
      </c>
      <c r="G4433" s="716" t="n">
        <f aca="false">E4433*F4433</f>
        <v>13500</v>
      </c>
      <c r="H4433" s="679"/>
    </row>
    <row r="4434" s="451" customFormat="true" ht="15" hidden="false" customHeight="false" outlineLevel="0" collapsed="false">
      <c r="A4434" s="707"/>
      <c r="B4434" s="708"/>
      <c r="C4434" s="471" t="s">
        <v>4250</v>
      </c>
      <c r="D4434" s="772" t="s">
        <v>4133</v>
      </c>
      <c r="E4434" s="731" t="n">
        <v>0.01</v>
      </c>
      <c r="F4434" s="729" t="n">
        <v>27000</v>
      </c>
      <c r="G4434" s="716" t="n">
        <f aca="false">E4434*F4434</f>
        <v>270</v>
      </c>
      <c r="H4434" s="679"/>
    </row>
    <row r="4435" s="451" customFormat="true" ht="15" hidden="false" customHeight="false" outlineLevel="0" collapsed="false">
      <c r="A4435" s="707"/>
      <c r="B4435" s="708"/>
      <c r="C4435" s="532" t="s">
        <v>4614</v>
      </c>
      <c r="D4435" s="772" t="s">
        <v>4133</v>
      </c>
      <c r="E4435" s="731" t="n">
        <v>0.02</v>
      </c>
      <c r="F4435" s="724" t="n">
        <v>16500</v>
      </c>
      <c r="G4435" s="716" t="n">
        <f aca="false">E4435*F4435</f>
        <v>330</v>
      </c>
      <c r="H4435" s="679"/>
    </row>
    <row r="4436" s="451" customFormat="true" ht="15" hidden="false" customHeight="false" outlineLevel="0" collapsed="false">
      <c r="A4436" s="707"/>
      <c r="B4436" s="708"/>
      <c r="C4436" s="532" t="s">
        <v>4689</v>
      </c>
      <c r="D4436" s="772" t="s">
        <v>4133</v>
      </c>
      <c r="E4436" s="731" t="n">
        <v>0.07</v>
      </c>
      <c r="F4436" s="369" t="n">
        <v>700</v>
      </c>
      <c r="G4436" s="716" t="n">
        <f aca="false">E4436*F4436</f>
        <v>49</v>
      </c>
      <c r="H4436" s="679"/>
    </row>
    <row r="4437" s="451" customFormat="true" ht="15" hidden="false" customHeight="false" outlineLevel="0" collapsed="false">
      <c r="A4437" s="707"/>
      <c r="B4437" s="708"/>
      <c r="C4437" s="532" t="s">
        <v>5021</v>
      </c>
      <c r="D4437" s="772" t="s">
        <v>4133</v>
      </c>
      <c r="E4437" s="679" t="n">
        <v>0.05</v>
      </c>
      <c r="F4437" s="369" t="n">
        <v>3100</v>
      </c>
      <c r="G4437" s="716" t="n">
        <f aca="false">E4437*F4437</f>
        <v>155</v>
      </c>
      <c r="H4437" s="679"/>
    </row>
    <row r="4438" s="451" customFormat="true" ht="15" hidden="false" customHeight="false" outlineLevel="0" collapsed="false">
      <c r="A4438" s="707"/>
      <c r="B4438" s="708"/>
      <c r="C4438" s="532" t="s">
        <v>5022</v>
      </c>
      <c r="D4438" s="772" t="s">
        <v>4133</v>
      </c>
      <c r="E4438" s="731" t="n">
        <v>0.01</v>
      </c>
      <c r="F4438" s="369" t="n">
        <v>1350</v>
      </c>
      <c r="G4438" s="716" t="n">
        <f aca="false">E4438*F4438</f>
        <v>13.5</v>
      </c>
      <c r="H4438" s="679"/>
    </row>
    <row r="4439" s="451" customFormat="true" ht="17.25" hidden="false" customHeight="true" outlineLevel="0" collapsed="false">
      <c r="A4439" s="707"/>
      <c r="B4439" s="708"/>
      <c r="C4439" s="815" t="s">
        <v>5023</v>
      </c>
      <c r="D4439" s="772" t="s">
        <v>4348</v>
      </c>
      <c r="E4439" s="816" t="n">
        <v>0.1</v>
      </c>
      <c r="F4439" s="817" t="n">
        <v>1000</v>
      </c>
      <c r="G4439" s="716" t="n">
        <f aca="false">E4439*F4439</f>
        <v>100</v>
      </c>
      <c r="H4439" s="679"/>
    </row>
    <row r="4440" s="451" customFormat="true" ht="15" hidden="false" customHeight="false" outlineLevel="0" collapsed="false">
      <c r="A4440" s="707"/>
      <c r="B4440" s="708"/>
      <c r="C4440" s="532" t="s">
        <v>4923</v>
      </c>
      <c r="D4440" s="679" t="s">
        <v>4252</v>
      </c>
      <c r="E4440" s="726" t="n">
        <v>0.02</v>
      </c>
      <c r="F4440" s="724" t="n">
        <v>275000</v>
      </c>
      <c r="G4440" s="716" t="n">
        <f aca="false">E4440*F4440</f>
        <v>5500</v>
      </c>
      <c r="H4440" s="679"/>
    </row>
    <row r="4441" s="451" customFormat="true" ht="15" hidden="false" customHeight="false" outlineLevel="0" collapsed="false">
      <c r="A4441" s="707"/>
      <c r="B4441" s="708"/>
      <c r="C4441" s="709" t="s">
        <v>4515</v>
      </c>
      <c r="D4441" s="679" t="s">
        <v>4133</v>
      </c>
      <c r="E4441" s="710" t="n">
        <v>0.01</v>
      </c>
      <c r="F4441" s="369" t="n">
        <v>2700</v>
      </c>
      <c r="G4441" s="716" t="n">
        <f aca="false">E4441*F4441</f>
        <v>27</v>
      </c>
      <c r="H4441" s="679"/>
    </row>
    <row r="4442" s="451" customFormat="true" ht="15" hidden="false" customHeight="false" outlineLevel="0" collapsed="false">
      <c r="A4442" s="707"/>
      <c r="B4442" s="708"/>
      <c r="C4442" s="709" t="s">
        <v>4124</v>
      </c>
      <c r="D4442" s="679" t="s">
        <v>4516</v>
      </c>
      <c r="E4442" s="710" t="n">
        <v>1.4933</v>
      </c>
      <c r="F4442" s="369" t="n">
        <v>120</v>
      </c>
      <c r="G4442" s="716" t="n">
        <f aca="false">E4442*F4442</f>
        <v>179.196</v>
      </c>
      <c r="H4442" s="679"/>
    </row>
    <row r="4443" s="451" customFormat="true" ht="15" hidden="false" customHeight="false" outlineLevel="0" collapsed="false">
      <c r="A4443" s="707"/>
      <c r="B4443" s="708" t="s">
        <v>4128</v>
      </c>
      <c r="C4443" s="718"/>
      <c r="D4443" s="719"/>
      <c r="E4443" s="722"/>
      <c r="F4443" s="366"/>
      <c r="G4443" s="711" t="n">
        <f aca="false">SUM(G4433:G4442)</f>
        <v>20123.696</v>
      </c>
      <c r="H4443" s="679"/>
    </row>
    <row r="4444" customFormat="false" ht="15" hidden="false" customHeight="false" outlineLevel="0" collapsed="false">
      <c r="A4444" s="350" t="s">
        <v>5024</v>
      </c>
      <c r="B4444" s="467" t="s">
        <v>5025</v>
      </c>
      <c r="C4444" s="751"/>
      <c r="D4444" s="541"/>
      <c r="E4444" s="752"/>
      <c r="F4444" s="339"/>
      <c r="G4444" s="818"/>
      <c r="H4444" s="339"/>
    </row>
    <row r="4445" customFormat="false" ht="45" hidden="false" customHeight="false" outlineLevel="0" collapsed="false">
      <c r="A4445" s="571" t="s">
        <v>5026</v>
      </c>
      <c r="B4445" s="433" t="s">
        <v>3249</v>
      </c>
      <c r="C4445" s="614"/>
      <c r="D4445" s="606"/>
      <c r="E4445" s="622"/>
      <c r="F4445" s="702"/>
      <c r="G4445" s="819"/>
      <c r="H4445" s="820" t="s">
        <v>5027</v>
      </c>
    </row>
    <row r="4446" customFormat="false" ht="15" hidden="false" customHeight="false" outlineLevel="0" collapsed="false">
      <c r="A4446" s="571"/>
      <c r="B4446" s="500"/>
      <c r="C4446" s="476" t="s">
        <v>4776</v>
      </c>
      <c r="D4446" s="820" t="s">
        <v>4123</v>
      </c>
      <c r="E4446" s="622" t="n">
        <v>0.2</v>
      </c>
      <c r="F4446" s="361" t="n">
        <v>720</v>
      </c>
      <c r="G4446" s="615" t="n">
        <f aca="false">E4446*F4446</f>
        <v>144</v>
      </c>
      <c r="H4446" s="606"/>
    </row>
    <row r="4447" customFormat="false" ht="15" hidden="false" customHeight="false" outlineLevel="0" collapsed="false">
      <c r="A4447" s="571"/>
      <c r="B4447" s="500"/>
      <c r="C4447" s="476" t="s">
        <v>4124</v>
      </c>
      <c r="D4447" s="820" t="s">
        <v>4456</v>
      </c>
      <c r="E4447" s="622" t="n">
        <v>0.2</v>
      </c>
      <c r="F4447" s="361" t="n">
        <v>170</v>
      </c>
      <c r="G4447" s="615" t="n">
        <f aca="false">E4447*F4447</f>
        <v>34</v>
      </c>
      <c r="H4447" s="606"/>
    </row>
    <row r="4448" customFormat="false" ht="15" hidden="false" customHeight="false" outlineLevel="0" collapsed="false">
      <c r="A4448" s="571"/>
      <c r="B4448" s="608" t="s">
        <v>4128</v>
      </c>
      <c r="C4448" s="609"/>
      <c r="D4448" s="606"/>
      <c r="E4448" s="821"/>
      <c r="F4448" s="612"/>
      <c r="G4448" s="613" t="n">
        <f aca="false">SUM(G4446:G4447)</f>
        <v>178</v>
      </c>
      <c r="H4448" s="391"/>
    </row>
    <row r="4449" customFormat="false" ht="30" hidden="false" customHeight="false" outlineLevel="0" collapsed="false">
      <c r="A4449" s="571" t="s">
        <v>5028</v>
      </c>
      <c r="B4449" s="492" t="s">
        <v>3250</v>
      </c>
      <c r="C4449" s="614"/>
      <c r="D4449" s="606"/>
      <c r="E4449" s="822"/>
      <c r="F4449" s="361"/>
      <c r="G4449" s="615"/>
      <c r="H4449" s="606" t="s">
        <v>5029</v>
      </c>
    </row>
    <row r="4450" customFormat="false" ht="15" hidden="false" customHeight="false" outlineLevel="0" collapsed="false">
      <c r="A4450" s="571"/>
      <c r="B4450" s="500"/>
      <c r="C4450" s="476" t="s">
        <v>5030</v>
      </c>
      <c r="D4450" s="820" t="s">
        <v>4123</v>
      </c>
      <c r="E4450" s="622" t="n">
        <v>0.1</v>
      </c>
      <c r="F4450" s="361" t="n">
        <v>720</v>
      </c>
      <c r="G4450" s="615" t="n">
        <f aca="false">E4450*F4450</f>
        <v>72</v>
      </c>
      <c r="H4450" s="606"/>
    </row>
    <row r="4451" customFormat="false" ht="15" hidden="false" customHeight="false" outlineLevel="0" collapsed="false">
      <c r="A4451" s="571"/>
      <c r="B4451" s="500"/>
      <c r="C4451" s="476" t="s">
        <v>4124</v>
      </c>
      <c r="D4451" s="820" t="s">
        <v>4456</v>
      </c>
      <c r="E4451" s="622" t="n">
        <v>0.1</v>
      </c>
      <c r="F4451" s="361" t="n">
        <v>170</v>
      </c>
      <c r="G4451" s="615" t="n">
        <f aca="false">E4451*F4451</f>
        <v>17</v>
      </c>
      <c r="H4451" s="606"/>
    </row>
    <row r="4452" customFormat="false" ht="15" hidden="false" customHeight="false" outlineLevel="0" collapsed="false">
      <c r="A4452" s="571"/>
      <c r="B4452" s="608" t="s">
        <v>4128</v>
      </c>
      <c r="C4452" s="609"/>
      <c r="D4452" s="606"/>
      <c r="E4452" s="611"/>
      <c r="F4452" s="612"/>
      <c r="G4452" s="613" t="n">
        <f aca="false">SUM(G4450:G4451)</f>
        <v>89</v>
      </c>
      <c r="H4452" s="391"/>
    </row>
    <row r="4453" customFormat="false" ht="15" hidden="false" customHeight="false" outlineLevel="0" collapsed="false">
      <c r="A4453" s="571" t="s">
        <v>5031</v>
      </c>
      <c r="B4453" s="433" t="s">
        <v>3238</v>
      </c>
      <c r="C4453" s="614"/>
      <c r="D4453" s="606"/>
      <c r="E4453" s="622"/>
      <c r="F4453" s="361"/>
      <c r="G4453" s="615"/>
      <c r="H4453" s="820" t="s">
        <v>5032</v>
      </c>
    </row>
    <row r="4454" customFormat="false" ht="30" hidden="false" customHeight="false" outlineLevel="0" collapsed="false">
      <c r="A4454" s="571"/>
      <c r="B4454" s="500"/>
      <c r="C4454" s="476" t="s">
        <v>5033</v>
      </c>
      <c r="D4454" s="606" t="s">
        <v>4191</v>
      </c>
      <c r="E4454" s="622" t="n">
        <v>3</v>
      </c>
      <c r="F4454" s="361" t="n">
        <v>100</v>
      </c>
      <c r="G4454" s="615" t="n">
        <f aca="false">E4454*F4454</f>
        <v>300</v>
      </c>
      <c r="H4454" s="606"/>
    </row>
    <row r="4455" customFormat="false" ht="15" hidden="false" customHeight="false" outlineLevel="0" collapsed="false">
      <c r="A4455" s="571"/>
      <c r="B4455" s="500"/>
      <c r="C4455" s="476" t="s">
        <v>5030</v>
      </c>
      <c r="D4455" s="820" t="s">
        <v>4123</v>
      </c>
      <c r="E4455" s="622" t="n">
        <v>0.2</v>
      </c>
      <c r="F4455" s="361" t="n">
        <v>720</v>
      </c>
      <c r="G4455" s="615" t="n">
        <f aca="false">E4455*F4455</f>
        <v>144</v>
      </c>
      <c r="H4455" s="606"/>
    </row>
    <row r="4456" customFormat="false" ht="15" hidden="false" customHeight="false" outlineLevel="0" collapsed="false">
      <c r="A4456" s="571"/>
      <c r="B4456" s="500"/>
      <c r="C4456" s="476" t="s">
        <v>4515</v>
      </c>
      <c r="D4456" s="606" t="s">
        <v>4149</v>
      </c>
      <c r="E4456" s="622" t="n">
        <v>0.02</v>
      </c>
      <c r="F4456" s="361" t="n">
        <v>3500</v>
      </c>
      <c r="G4456" s="615" t="n">
        <f aca="false">E4456*F4456</f>
        <v>70</v>
      </c>
      <c r="H4456" s="606"/>
    </row>
    <row r="4457" customFormat="false" ht="15" hidden="false" customHeight="false" outlineLevel="0" collapsed="false">
      <c r="A4457" s="571"/>
      <c r="B4457" s="606"/>
      <c r="C4457" s="476" t="s">
        <v>4124</v>
      </c>
      <c r="D4457" s="820" t="s">
        <v>4456</v>
      </c>
      <c r="E4457" s="622" t="n">
        <v>0.05</v>
      </c>
      <c r="F4457" s="361" t="n">
        <v>170</v>
      </c>
      <c r="G4457" s="615" t="n">
        <f aca="false">E4457*F4457</f>
        <v>8.5</v>
      </c>
      <c r="H4457" s="391"/>
    </row>
    <row r="4458" customFormat="false" ht="15" hidden="false" customHeight="false" outlineLevel="0" collapsed="false">
      <c r="A4458" s="571"/>
      <c r="B4458" s="608" t="s">
        <v>4128</v>
      </c>
      <c r="C4458" s="609"/>
      <c r="D4458" s="606"/>
      <c r="E4458" s="611"/>
      <c r="F4458" s="612"/>
      <c r="G4458" s="613" t="n">
        <f aca="false">SUM(G4454:G4457)</f>
        <v>522.5</v>
      </c>
      <c r="H4458" s="391"/>
    </row>
    <row r="4459" s="523" customFormat="true" ht="59.25" hidden="false" customHeight="true" outlineLevel="0" collapsed="false">
      <c r="A4459" s="707" t="s">
        <v>5034</v>
      </c>
      <c r="B4459" s="532" t="s">
        <v>5035</v>
      </c>
      <c r="C4459" s="709"/>
      <c r="D4459" s="679"/>
      <c r="E4459" s="710"/>
      <c r="F4459" s="369"/>
      <c r="G4459" s="716"/>
      <c r="H4459" s="679" t="s">
        <v>5036</v>
      </c>
    </row>
    <row r="4460" s="523" customFormat="true" ht="15" hidden="false" customHeight="false" outlineLevel="0" collapsed="false">
      <c r="A4460" s="707"/>
      <c r="B4460" s="522"/>
      <c r="C4460" s="709" t="s">
        <v>5037</v>
      </c>
      <c r="D4460" s="679" t="s">
        <v>4191</v>
      </c>
      <c r="E4460" s="710" t="n">
        <v>1</v>
      </c>
      <c r="F4460" s="369" t="n">
        <v>3500</v>
      </c>
      <c r="G4460" s="716" t="n">
        <f aca="false">E4460*F4460</f>
        <v>3500</v>
      </c>
      <c r="H4460" s="719"/>
    </row>
    <row r="4461" s="523" customFormat="true" ht="15" hidden="false" customHeight="false" outlineLevel="0" collapsed="false">
      <c r="A4461" s="707"/>
      <c r="B4461" s="487"/>
      <c r="C4461" s="471" t="s">
        <v>4515</v>
      </c>
      <c r="D4461" s="679" t="s">
        <v>4149</v>
      </c>
      <c r="E4461" s="710" t="n">
        <v>0.02</v>
      </c>
      <c r="F4461" s="369" t="n">
        <v>3500</v>
      </c>
      <c r="G4461" s="716" t="n">
        <f aca="false">E4461*F4461</f>
        <v>70</v>
      </c>
      <c r="H4461" s="719"/>
    </row>
    <row r="4462" s="523" customFormat="true" ht="15" hidden="false" customHeight="false" outlineLevel="0" collapsed="false">
      <c r="A4462" s="707"/>
      <c r="B4462" s="522"/>
      <c r="C4462" s="709" t="s">
        <v>4122</v>
      </c>
      <c r="D4462" s="679" t="s">
        <v>4123</v>
      </c>
      <c r="E4462" s="710" t="n">
        <v>0.1</v>
      </c>
      <c r="F4462" s="369" t="n">
        <v>720</v>
      </c>
      <c r="G4462" s="716" t="n">
        <f aca="false">E4462*F4462</f>
        <v>72</v>
      </c>
      <c r="H4462" s="719"/>
    </row>
    <row r="4463" s="523" customFormat="true" ht="15" hidden="false" customHeight="false" outlineLevel="0" collapsed="false">
      <c r="A4463" s="380"/>
      <c r="B4463" s="708" t="s">
        <v>4128</v>
      </c>
      <c r="C4463" s="718"/>
      <c r="D4463" s="679"/>
      <c r="E4463" s="722"/>
      <c r="F4463" s="366"/>
      <c r="G4463" s="711" t="n">
        <f aca="false">SUM(G4460:G4462)</f>
        <v>3642</v>
      </c>
      <c r="H4463" s="719"/>
    </row>
    <row r="4464" customFormat="false" ht="30" hidden="false" customHeight="false" outlineLevel="0" collapsed="false">
      <c r="A4464" s="571" t="s">
        <v>5038</v>
      </c>
      <c r="B4464" s="328" t="s">
        <v>5039</v>
      </c>
      <c r="C4464" s="614"/>
      <c r="D4464" s="606"/>
      <c r="E4464" s="622"/>
      <c r="F4464" s="361"/>
      <c r="G4464" s="615"/>
      <c r="H4464" s="820" t="s">
        <v>5040</v>
      </c>
    </row>
    <row r="4465" customFormat="false" ht="15" hidden="false" customHeight="false" outlineLevel="0" collapsed="false">
      <c r="A4465" s="571"/>
      <c r="B4465" s="500"/>
      <c r="C4465" s="338" t="s">
        <v>5041</v>
      </c>
      <c r="D4465" s="823" t="s">
        <v>4149</v>
      </c>
      <c r="E4465" s="812" t="n">
        <v>0.02</v>
      </c>
      <c r="F4465" s="797" t="n">
        <v>4800</v>
      </c>
      <c r="G4465" s="615" t="n">
        <f aca="false">E4465*F4465</f>
        <v>96</v>
      </c>
      <c r="H4465" s="606"/>
    </row>
    <row r="4466" customFormat="false" ht="15" hidden="false" customHeight="false" outlineLevel="0" collapsed="false">
      <c r="A4466" s="571"/>
      <c r="B4466" s="500"/>
      <c r="C4466" s="338" t="s">
        <v>5042</v>
      </c>
      <c r="D4466" s="823" t="s">
        <v>4149</v>
      </c>
      <c r="E4466" s="812" t="n">
        <v>0.04</v>
      </c>
      <c r="F4466" s="797" t="n">
        <v>3500</v>
      </c>
      <c r="G4466" s="615" t="n">
        <f aca="false">E4466*F4466</f>
        <v>140</v>
      </c>
      <c r="H4466" s="606"/>
    </row>
    <row r="4467" customFormat="false" ht="15" hidden="false" customHeight="false" outlineLevel="0" collapsed="false">
      <c r="A4467" s="571"/>
      <c r="B4467" s="500"/>
      <c r="C4467" s="338" t="s">
        <v>4872</v>
      </c>
      <c r="D4467" s="823" t="s">
        <v>4149</v>
      </c>
      <c r="E4467" s="812" t="n">
        <v>0.03</v>
      </c>
      <c r="F4467" s="797" t="n">
        <v>3612</v>
      </c>
      <c r="G4467" s="615" t="n">
        <f aca="false">E4467*F4467</f>
        <v>108.36</v>
      </c>
      <c r="H4467" s="606"/>
    </row>
    <row r="4468" customFormat="false" ht="15" hidden="false" customHeight="false" outlineLevel="0" collapsed="false">
      <c r="A4468" s="571"/>
      <c r="B4468" s="500"/>
      <c r="C4468" s="338" t="s">
        <v>5043</v>
      </c>
      <c r="D4468" s="823" t="s">
        <v>4149</v>
      </c>
      <c r="E4468" s="812" t="n">
        <v>0.01</v>
      </c>
      <c r="F4468" s="797" t="n">
        <v>15750</v>
      </c>
      <c r="G4468" s="615" t="n">
        <f aca="false">E4468*F4468</f>
        <v>157.5</v>
      </c>
      <c r="H4468" s="606"/>
    </row>
    <row r="4469" customFormat="false" ht="30" hidden="false" customHeight="false" outlineLevel="0" collapsed="false">
      <c r="A4469" s="571"/>
      <c r="B4469" s="500"/>
      <c r="C4469" s="338" t="s">
        <v>4306</v>
      </c>
      <c r="D4469" s="823" t="s">
        <v>4149</v>
      </c>
      <c r="E4469" s="812" t="n">
        <v>0.02</v>
      </c>
      <c r="F4469" s="797" t="n">
        <v>25985</v>
      </c>
      <c r="G4469" s="615" t="n">
        <f aca="false">E4469*F4469</f>
        <v>519.7</v>
      </c>
      <c r="H4469" s="606"/>
    </row>
    <row r="4470" customFormat="false" ht="30" hidden="false" customHeight="false" outlineLevel="0" collapsed="false">
      <c r="A4470" s="571"/>
      <c r="B4470" s="500"/>
      <c r="C4470" s="476" t="s">
        <v>5033</v>
      </c>
      <c r="D4470" s="606" t="s">
        <v>4191</v>
      </c>
      <c r="E4470" s="622" t="n">
        <v>3</v>
      </c>
      <c r="F4470" s="361" t="n">
        <v>100</v>
      </c>
      <c r="G4470" s="615" t="n">
        <f aca="false">E4470*F4470</f>
        <v>300</v>
      </c>
      <c r="H4470" s="606"/>
    </row>
    <row r="4471" customFormat="false" ht="15" hidden="false" customHeight="false" outlineLevel="0" collapsed="false">
      <c r="A4471" s="571"/>
      <c r="B4471" s="500"/>
      <c r="C4471" s="338" t="s">
        <v>5044</v>
      </c>
      <c r="D4471" s="823" t="s">
        <v>4149</v>
      </c>
      <c r="E4471" s="812" t="n">
        <v>0.02</v>
      </c>
      <c r="F4471" s="797" t="n">
        <v>6400</v>
      </c>
      <c r="G4471" s="615" t="n">
        <f aca="false">E4471*F4471</f>
        <v>128</v>
      </c>
      <c r="H4471" s="606"/>
    </row>
    <row r="4472" customFormat="false" ht="15" hidden="false" customHeight="false" outlineLevel="0" collapsed="false">
      <c r="A4472" s="571"/>
      <c r="B4472" s="500"/>
      <c r="C4472" s="338" t="s">
        <v>4549</v>
      </c>
      <c r="D4472" s="823" t="s">
        <v>4149</v>
      </c>
      <c r="E4472" s="812" t="n">
        <v>0.012</v>
      </c>
      <c r="F4472" s="797" t="n">
        <v>7200</v>
      </c>
      <c r="G4472" s="615" t="n">
        <f aca="false">E4472*F4472</f>
        <v>86.4</v>
      </c>
      <c r="H4472" s="606"/>
    </row>
    <row r="4473" customFormat="false" ht="15" hidden="false" customHeight="false" outlineLevel="0" collapsed="false">
      <c r="A4473" s="571"/>
      <c r="B4473" s="500"/>
      <c r="C4473" s="338" t="s">
        <v>5045</v>
      </c>
      <c r="D4473" s="823" t="s">
        <v>4149</v>
      </c>
      <c r="E4473" s="824" t="s">
        <v>5046</v>
      </c>
      <c r="F4473" s="797" t="n">
        <v>1200</v>
      </c>
      <c r="G4473" s="615" t="n">
        <f aca="false">E4473*F4473</f>
        <v>15</v>
      </c>
      <c r="H4473" s="606"/>
    </row>
    <row r="4474" customFormat="false" ht="15" hidden="false" customHeight="false" outlineLevel="0" collapsed="false">
      <c r="A4474" s="571"/>
      <c r="B4474" s="500"/>
      <c r="C4474" s="476" t="s">
        <v>4776</v>
      </c>
      <c r="D4474" s="820" t="s">
        <v>4123</v>
      </c>
      <c r="E4474" s="622" t="n">
        <v>0.2</v>
      </c>
      <c r="F4474" s="361" t="n">
        <v>720</v>
      </c>
      <c r="G4474" s="615" t="n">
        <f aca="false">E4474*F4474</f>
        <v>144</v>
      </c>
      <c r="H4474" s="606"/>
    </row>
    <row r="4475" customFormat="false" ht="15" hidden="false" customHeight="false" outlineLevel="0" collapsed="false">
      <c r="A4475" s="571"/>
      <c r="B4475" s="500"/>
      <c r="C4475" s="476" t="s">
        <v>4515</v>
      </c>
      <c r="D4475" s="820" t="s">
        <v>4149</v>
      </c>
      <c r="E4475" s="825" t="n">
        <v>0.01</v>
      </c>
      <c r="F4475" s="697" t="n">
        <v>3500</v>
      </c>
      <c r="G4475" s="615" t="n">
        <f aca="false">E4475*F4475</f>
        <v>35</v>
      </c>
      <c r="H4475" s="606"/>
    </row>
    <row r="4476" customFormat="false" ht="15" hidden="false" customHeight="false" outlineLevel="0" collapsed="false">
      <c r="A4476" s="571"/>
      <c r="B4476" s="608" t="s">
        <v>4128</v>
      </c>
      <c r="C4476" s="609"/>
      <c r="D4476" s="606"/>
      <c r="E4476" s="611"/>
      <c r="F4476" s="612"/>
      <c r="G4476" s="826" t="n">
        <f aca="false">SUM(G4465:G4475)</f>
        <v>1729.96</v>
      </c>
      <c r="H4476" s="606"/>
    </row>
    <row r="4477" customFormat="false" ht="15" hidden="false" customHeight="false" outlineLevel="0" collapsed="false">
      <c r="A4477" s="571" t="s">
        <v>5047</v>
      </c>
      <c r="B4477" s="433" t="s">
        <v>3253</v>
      </c>
      <c r="C4477" s="476"/>
      <c r="D4477" s="606"/>
      <c r="E4477" s="827"/>
      <c r="F4477" s="797"/>
      <c r="G4477" s="615"/>
      <c r="H4477" s="820" t="s">
        <v>5048</v>
      </c>
    </row>
    <row r="4478" customFormat="false" ht="15" hidden="false" customHeight="false" outlineLevel="0" collapsed="false">
      <c r="A4478" s="571"/>
      <c r="B4478" s="500"/>
      <c r="C4478" s="614" t="s">
        <v>5049</v>
      </c>
      <c r="D4478" s="606" t="s">
        <v>5018</v>
      </c>
      <c r="E4478" s="822" t="n">
        <v>1</v>
      </c>
      <c r="F4478" s="797" t="n">
        <v>1350</v>
      </c>
      <c r="G4478" s="615" t="n">
        <f aca="false">E4478*F4478</f>
        <v>1350</v>
      </c>
      <c r="H4478" s="476"/>
    </row>
    <row r="4479" customFormat="false" ht="31.5" hidden="false" customHeight="false" outlineLevel="0" collapsed="false">
      <c r="A4479" s="571"/>
      <c r="B4479" s="500"/>
      <c r="C4479" s="338" t="s">
        <v>5050</v>
      </c>
      <c r="D4479" s="820" t="s">
        <v>4149</v>
      </c>
      <c r="E4479" s="812" t="n">
        <v>0.005</v>
      </c>
      <c r="F4479" s="797" t="n">
        <v>395000</v>
      </c>
      <c r="G4479" s="615" t="n">
        <f aca="false">E4479*F4479</f>
        <v>1975</v>
      </c>
      <c r="H4479" s="476"/>
    </row>
    <row r="4480" customFormat="false" ht="15" hidden="false" customHeight="false" outlineLevel="0" collapsed="false">
      <c r="A4480" s="571"/>
      <c r="B4480" s="500"/>
      <c r="C4480" s="338" t="s">
        <v>5051</v>
      </c>
      <c r="D4480" s="820" t="s">
        <v>4149</v>
      </c>
      <c r="E4480" s="812" t="n">
        <v>0.01</v>
      </c>
      <c r="F4480" s="797" t="n">
        <v>1617</v>
      </c>
      <c r="G4480" s="615" t="n">
        <f aca="false">E4480*F4480</f>
        <v>16.17</v>
      </c>
      <c r="H4480" s="476"/>
    </row>
    <row r="4481" customFormat="false" ht="16.5" hidden="false" customHeight="false" outlineLevel="0" collapsed="false">
      <c r="A4481" s="571"/>
      <c r="B4481" s="608"/>
      <c r="C4481" s="338" t="s">
        <v>5052</v>
      </c>
      <c r="D4481" s="820" t="s">
        <v>4149</v>
      </c>
      <c r="E4481" s="812" t="n">
        <v>0.01</v>
      </c>
      <c r="F4481" s="797" t="n">
        <v>3612</v>
      </c>
      <c r="G4481" s="615" t="n">
        <f aca="false">E4481*F4481</f>
        <v>36.12</v>
      </c>
      <c r="H4481" s="476"/>
    </row>
    <row r="4482" customFormat="false" ht="30" hidden="false" customHeight="false" outlineLevel="0" collapsed="false">
      <c r="A4482" s="571"/>
      <c r="B4482" s="328"/>
      <c r="C4482" s="476" t="s">
        <v>5033</v>
      </c>
      <c r="D4482" s="606" t="s">
        <v>4191</v>
      </c>
      <c r="E4482" s="622" t="n">
        <v>1</v>
      </c>
      <c r="F4482" s="361" t="n">
        <v>100</v>
      </c>
      <c r="G4482" s="615" t="n">
        <f aca="false">E4482*F4482</f>
        <v>100</v>
      </c>
      <c r="H4482" s="476"/>
    </row>
    <row r="4483" customFormat="false" ht="15" hidden="false" customHeight="false" outlineLevel="0" collapsed="false">
      <c r="A4483" s="571"/>
      <c r="B4483" s="500"/>
      <c r="C4483" s="338" t="s">
        <v>5053</v>
      </c>
      <c r="D4483" s="823" t="s">
        <v>4149</v>
      </c>
      <c r="E4483" s="812" t="n">
        <v>0.025</v>
      </c>
      <c r="F4483" s="797" t="n">
        <v>2640</v>
      </c>
      <c r="G4483" s="615" t="n">
        <f aca="false">E4483*F4483</f>
        <v>66</v>
      </c>
      <c r="H4483" s="476"/>
    </row>
    <row r="4484" customFormat="false" ht="15" hidden="false" customHeight="false" outlineLevel="0" collapsed="false">
      <c r="A4484" s="571"/>
      <c r="B4484" s="500"/>
      <c r="C4484" s="338" t="s">
        <v>5054</v>
      </c>
      <c r="D4484" s="823" t="s">
        <v>4149</v>
      </c>
      <c r="E4484" s="812" t="n">
        <v>0.001</v>
      </c>
      <c r="F4484" s="797" t="n">
        <v>3500</v>
      </c>
      <c r="G4484" s="615" t="n">
        <f aca="false">E4484*F4484</f>
        <v>3.5</v>
      </c>
      <c r="H4484" s="476"/>
    </row>
    <row r="4485" customFormat="false" ht="16.5" hidden="false" customHeight="true" outlineLevel="0" collapsed="false">
      <c r="A4485" s="571"/>
      <c r="B4485" s="500"/>
      <c r="C4485" s="338" t="s">
        <v>5055</v>
      </c>
      <c r="D4485" s="823" t="s">
        <v>4149</v>
      </c>
      <c r="E4485" s="812" t="n">
        <v>0.01</v>
      </c>
      <c r="F4485" s="797" t="n">
        <v>1720</v>
      </c>
      <c r="G4485" s="615" t="n">
        <f aca="false">E4485*F4485</f>
        <v>17.2</v>
      </c>
      <c r="H4485" s="476"/>
    </row>
    <row r="4486" customFormat="false" ht="15" hidden="false" customHeight="false" outlineLevel="0" collapsed="false">
      <c r="A4486" s="571"/>
      <c r="B4486" s="500"/>
      <c r="C4486" s="476" t="s">
        <v>4515</v>
      </c>
      <c r="D4486" s="823" t="s">
        <v>4149</v>
      </c>
      <c r="E4486" s="828" t="n">
        <v>0.005</v>
      </c>
      <c r="F4486" s="697" t="n">
        <v>3500</v>
      </c>
      <c r="G4486" s="615" t="n">
        <f aca="false">E4486*F4486</f>
        <v>17.5</v>
      </c>
      <c r="H4486" s="476"/>
    </row>
    <row r="4487" customFormat="false" ht="15" hidden="false" customHeight="false" outlineLevel="0" collapsed="false">
      <c r="A4487" s="571"/>
      <c r="B4487" s="608" t="s">
        <v>4128</v>
      </c>
      <c r="C4487" s="609"/>
      <c r="D4487" s="606"/>
      <c r="E4487" s="821"/>
      <c r="F4487" s="612"/>
      <c r="G4487" s="829" t="n">
        <f aca="false">SUM(G4478:G4486)</f>
        <v>3581.49</v>
      </c>
      <c r="H4487" s="391"/>
    </row>
    <row r="4488" customFormat="false" ht="15" hidden="false" customHeight="false" outlineLevel="0" collapsed="false">
      <c r="A4488" s="571" t="s">
        <v>5056</v>
      </c>
      <c r="B4488" s="433" t="s">
        <v>3254</v>
      </c>
      <c r="C4488" s="338"/>
      <c r="D4488" s="823"/>
      <c r="E4488" s="812"/>
      <c r="F4488" s="797"/>
      <c r="G4488" s="615"/>
      <c r="H4488" s="820" t="s">
        <v>5057</v>
      </c>
    </row>
    <row r="4489" customFormat="false" ht="15" hidden="false" customHeight="false" outlineLevel="0" collapsed="false">
      <c r="A4489" s="571"/>
      <c r="B4489" s="500"/>
      <c r="C4489" s="614" t="s">
        <v>5058</v>
      </c>
      <c r="D4489" s="606" t="s">
        <v>5018</v>
      </c>
      <c r="E4489" s="822" t="n">
        <v>1</v>
      </c>
      <c r="F4489" s="797" t="n">
        <v>1710</v>
      </c>
      <c r="G4489" s="615" t="n">
        <f aca="false">E4489*F4489</f>
        <v>1710</v>
      </c>
      <c r="H4489" s="476"/>
    </row>
    <row r="4490" customFormat="false" ht="15" hidden="false" customHeight="false" outlineLevel="0" collapsed="false">
      <c r="A4490" s="571"/>
      <c r="B4490" s="500"/>
      <c r="C4490" s="338" t="s">
        <v>5045</v>
      </c>
      <c r="D4490" s="823" t="s">
        <v>4149</v>
      </c>
      <c r="E4490" s="812" t="n">
        <v>0.01</v>
      </c>
      <c r="F4490" s="797" t="n">
        <v>1200</v>
      </c>
      <c r="G4490" s="615" t="n">
        <f aca="false">E4490*F4490</f>
        <v>12</v>
      </c>
      <c r="H4490" s="476"/>
    </row>
    <row r="4491" customFormat="false" ht="15" hidden="false" customHeight="false" outlineLevel="0" collapsed="false">
      <c r="A4491" s="571"/>
      <c r="B4491" s="500"/>
      <c r="C4491" s="338" t="s">
        <v>5059</v>
      </c>
      <c r="D4491" s="823" t="s">
        <v>4149</v>
      </c>
      <c r="E4491" s="812" t="n">
        <v>0.001</v>
      </c>
      <c r="F4491" s="797" t="n">
        <v>3612</v>
      </c>
      <c r="G4491" s="615" t="n">
        <f aca="false">E4491*F4491</f>
        <v>3.612</v>
      </c>
      <c r="H4491" s="476"/>
    </row>
    <row r="4492" customFormat="false" ht="15" hidden="false" customHeight="false" outlineLevel="0" collapsed="false">
      <c r="A4492" s="571"/>
      <c r="B4492" s="608"/>
      <c r="C4492" s="338" t="s">
        <v>5060</v>
      </c>
      <c r="D4492" s="823" t="s">
        <v>4149</v>
      </c>
      <c r="E4492" s="812" t="n">
        <v>0.018</v>
      </c>
      <c r="F4492" s="797" t="n">
        <v>6200</v>
      </c>
      <c r="G4492" s="615" t="n">
        <f aca="false">E4492*F4492</f>
        <v>111.6</v>
      </c>
      <c r="H4492" s="476"/>
    </row>
    <row r="4493" customFormat="false" ht="30" hidden="false" customHeight="false" outlineLevel="0" collapsed="false">
      <c r="A4493" s="571"/>
      <c r="B4493" s="328"/>
      <c r="C4493" s="338" t="s">
        <v>5061</v>
      </c>
      <c r="D4493" s="823" t="s">
        <v>4149</v>
      </c>
      <c r="E4493" s="812" t="n">
        <v>0.05</v>
      </c>
      <c r="F4493" s="797" t="n">
        <v>21250</v>
      </c>
      <c r="G4493" s="615" t="n">
        <f aca="false">E4493*F4493</f>
        <v>1062.5</v>
      </c>
      <c r="H4493" s="476"/>
    </row>
    <row r="4494" customFormat="false" ht="30" hidden="false" customHeight="false" outlineLevel="0" collapsed="false">
      <c r="A4494" s="571"/>
      <c r="B4494" s="500"/>
      <c r="C4494" s="476" t="s">
        <v>5062</v>
      </c>
      <c r="D4494" s="606" t="s">
        <v>4191</v>
      </c>
      <c r="E4494" s="622" t="n">
        <v>3</v>
      </c>
      <c r="F4494" s="361" t="n">
        <v>100</v>
      </c>
      <c r="G4494" s="615" t="n">
        <f aca="false">E4494*F4494</f>
        <v>300</v>
      </c>
      <c r="H4494" s="476"/>
    </row>
    <row r="4495" customFormat="false" ht="15" hidden="false" customHeight="false" outlineLevel="0" collapsed="false">
      <c r="A4495" s="571"/>
      <c r="B4495" s="500"/>
      <c r="C4495" s="476" t="s">
        <v>4515</v>
      </c>
      <c r="D4495" s="820" t="s">
        <v>4149</v>
      </c>
      <c r="E4495" s="828" t="n">
        <v>0.05</v>
      </c>
      <c r="F4495" s="697" t="n">
        <v>3500</v>
      </c>
      <c r="G4495" s="615" t="n">
        <f aca="false">E4495*F4495</f>
        <v>175</v>
      </c>
      <c r="H4495" s="476"/>
    </row>
    <row r="4496" customFormat="false" ht="15" hidden="false" customHeight="false" outlineLevel="0" collapsed="false">
      <c r="A4496" s="571"/>
      <c r="B4496" s="608" t="s">
        <v>4128</v>
      </c>
      <c r="C4496" s="614"/>
      <c r="D4496" s="606"/>
      <c r="E4496" s="822"/>
      <c r="F4496" s="361"/>
      <c r="G4496" s="826" t="n">
        <f aca="false">SUM(G4489:G4495)</f>
        <v>3374.712</v>
      </c>
      <c r="H4496" s="606"/>
    </row>
    <row r="4497" customFormat="false" ht="15" hidden="false" customHeight="false" outlineLevel="0" collapsed="false">
      <c r="A4497" s="571" t="s">
        <v>5063</v>
      </c>
      <c r="B4497" s="433" t="s">
        <v>4275</v>
      </c>
      <c r="C4497" s="476"/>
      <c r="D4497" s="820"/>
      <c r="E4497" s="830"/>
      <c r="F4497" s="697"/>
      <c r="G4497" s="615"/>
      <c r="H4497" s="823" t="s">
        <v>5064</v>
      </c>
    </row>
    <row r="4498" customFormat="false" ht="15" hidden="false" customHeight="false" outlineLevel="0" collapsed="false">
      <c r="A4498" s="571"/>
      <c r="B4498" s="328"/>
      <c r="C4498" s="614" t="s">
        <v>5065</v>
      </c>
      <c r="D4498" s="606" t="s">
        <v>5018</v>
      </c>
      <c r="E4498" s="822" t="n">
        <v>1</v>
      </c>
      <c r="F4498" s="797" t="n">
        <v>1710</v>
      </c>
      <c r="G4498" s="799" t="n">
        <f aca="false">E4498*F4498</f>
        <v>1710</v>
      </c>
      <c r="H4498" s="476"/>
    </row>
    <row r="4499" customFormat="false" ht="15" hidden="false" customHeight="false" outlineLevel="0" collapsed="false">
      <c r="A4499" s="571"/>
      <c r="B4499" s="500"/>
      <c r="C4499" s="338" t="s">
        <v>5044</v>
      </c>
      <c r="D4499" s="823" t="s">
        <v>4149</v>
      </c>
      <c r="E4499" s="812" t="n">
        <v>0.01</v>
      </c>
      <c r="F4499" s="797" t="n">
        <v>6400</v>
      </c>
      <c r="G4499" s="799" t="n">
        <f aca="false">E4499*F4499</f>
        <v>64</v>
      </c>
      <c r="H4499" s="476"/>
    </row>
    <row r="4500" customFormat="false" ht="15" hidden="false" customHeight="false" outlineLevel="0" collapsed="false">
      <c r="A4500" s="571"/>
      <c r="B4500" s="500"/>
      <c r="C4500" s="338" t="s">
        <v>5066</v>
      </c>
      <c r="D4500" s="823" t="s">
        <v>4149</v>
      </c>
      <c r="E4500" s="812" t="n">
        <v>0.01</v>
      </c>
      <c r="F4500" s="797" t="n">
        <v>950</v>
      </c>
      <c r="G4500" s="799" t="n">
        <f aca="false">E4500*F4500</f>
        <v>9.5</v>
      </c>
      <c r="H4500" s="823"/>
    </row>
    <row r="4501" customFormat="false" ht="16.5" hidden="false" customHeight="false" outlineLevel="0" collapsed="false">
      <c r="A4501" s="571"/>
      <c r="B4501" s="500"/>
      <c r="C4501" s="338" t="s">
        <v>5067</v>
      </c>
      <c r="D4501" s="823" t="s">
        <v>4149</v>
      </c>
      <c r="E4501" s="812" t="n">
        <v>0.024</v>
      </c>
      <c r="F4501" s="797" t="n">
        <v>2200</v>
      </c>
      <c r="G4501" s="799" t="n">
        <f aca="false">E4501*F4501</f>
        <v>52.8</v>
      </c>
      <c r="H4501" s="823"/>
    </row>
    <row r="4502" customFormat="false" ht="15" hidden="false" customHeight="false" outlineLevel="0" collapsed="false">
      <c r="A4502" s="571"/>
      <c r="B4502" s="608"/>
      <c r="C4502" s="338" t="s">
        <v>5068</v>
      </c>
      <c r="D4502" s="823" t="s">
        <v>4149</v>
      </c>
      <c r="E4502" s="812" t="n">
        <v>0.000682</v>
      </c>
      <c r="F4502" s="797" t="n">
        <v>2494300</v>
      </c>
      <c r="G4502" s="799" t="n">
        <f aca="false">E4502*F4502</f>
        <v>1701.1126</v>
      </c>
      <c r="H4502" s="823"/>
    </row>
    <row r="4503" customFormat="false" ht="15" hidden="false" customHeight="false" outlineLevel="0" collapsed="false">
      <c r="A4503" s="571"/>
      <c r="B4503" s="328"/>
      <c r="C4503" s="338" t="s">
        <v>5069</v>
      </c>
      <c r="D4503" s="823" t="s">
        <v>4149</v>
      </c>
      <c r="E4503" s="812" t="n">
        <v>0.04</v>
      </c>
      <c r="F4503" s="797" t="n">
        <v>3500</v>
      </c>
      <c r="G4503" s="799" t="n">
        <f aca="false">E4503*F4503</f>
        <v>140</v>
      </c>
      <c r="H4503" s="823"/>
    </row>
    <row r="4504" customFormat="false" ht="15" hidden="false" customHeight="false" outlineLevel="0" collapsed="false">
      <c r="A4504" s="571"/>
      <c r="B4504" s="500"/>
      <c r="C4504" s="338" t="s">
        <v>5070</v>
      </c>
      <c r="D4504" s="823" t="s">
        <v>4149</v>
      </c>
      <c r="E4504" s="812" t="n">
        <v>0.001</v>
      </c>
      <c r="F4504" s="797" t="n">
        <v>3875</v>
      </c>
      <c r="G4504" s="799" t="n">
        <f aca="false">E4504*F4504</f>
        <v>3.875</v>
      </c>
      <c r="H4504" s="823"/>
    </row>
    <row r="4505" customFormat="false" ht="30" hidden="false" customHeight="false" outlineLevel="0" collapsed="false">
      <c r="A4505" s="571"/>
      <c r="B4505" s="500"/>
      <c r="C4505" s="476" t="s">
        <v>5033</v>
      </c>
      <c r="D4505" s="606" t="s">
        <v>4191</v>
      </c>
      <c r="E4505" s="622" t="n">
        <v>3</v>
      </c>
      <c r="F4505" s="361" t="n">
        <v>100</v>
      </c>
      <c r="G4505" s="799" t="n">
        <f aca="false">E4505*F4505</f>
        <v>300</v>
      </c>
      <c r="H4505" s="823"/>
    </row>
    <row r="4506" customFormat="false" ht="15" hidden="false" customHeight="false" outlineLevel="0" collapsed="false">
      <c r="A4506" s="571"/>
      <c r="B4506" s="500"/>
      <c r="C4506" s="476" t="s">
        <v>4515</v>
      </c>
      <c r="D4506" s="820" t="s">
        <v>4149</v>
      </c>
      <c r="E4506" s="828" t="n">
        <v>0.01</v>
      </c>
      <c r="F4506" s="697" t="n">
        <v>3500</v>
      </c>
      <c r="G4506" s="799" t="n">
        <f aca="false">E4506*F4506</f>
        <v>35</v>
      </c>
      <c r="H4506" s="476"/>
    </row>
    <row r="4507" customFormat="false" ht="15" hidden="false" customHeight="false" outlineLevel="0" collapsed="false">
      <c r="A4507" s="571"/>
      <c r="B4507" s="608" t="s">
        <v>4128</v>
      </c>
      <c r="C4507" s="609"/>
      <c r="D4507" s="606"/>
      <c r="E4507" s="821"/>
      <c r="F4507" s="612"/>
      <c r="G4507" s="613" t="n">
        <f aca="false">SUM(G4498:G4506)</f>
        <v>4016.2876</v>
      </c>
      <c r="H4507" s="391"/>
    </row>
    <row r="4508" customFormat="false" ht="15" hidden="false" customHeight="false" outlineLevel="0" collapsed="false">
      <c r="A4508" s="571" t="s">
        <v>5071</v>
      </c>
      <c r="B4508" s="433" t="s">
        <v>3256</v>
      </c>
      <c r="C4508" s="476"/>
      <c r="D4508" s="820"/>
      <c r="E4508" s="828"/>
      <c r="F4508" s="697"/>
      <c r="G4508" s="615"/>
      <c r="H4508" s="820" t="s">
        <v>5072</v>
      </c>
    </row>
    <row r="4509" customFormat="false" ht="15" hidden="false" customHeight="false" outlineLevel="0" collapsed="false">
      <c r="A4509" s="571"/>
      <c r="B4509" s="500"/>
      <c r="C4509" s="614" t="s">
        <v>5073</v>
      </c>
      <c r="D4509" s="606" t="s">
        <v>5018</v>
      </c>
      <c r="E4509" s="822" t="n">
        <v>1</v>
      </c>
      <c r="F4509" s="797" t="n">
        <v>1710</v>
      </c>
      <c r="G4509" s="799" t="n">
        <f aca="false">E4509*F4509</f>
        <v>1710</v>
      </c>
      <c r="H4509" s="476"/>
    </row>
    <row r="4510" customFormat="false" ht="15" hidden="false" customHeight="false" outlineLevel="0" collapsed="false">
      <c r="A4510" s="571"/>
      <c r="B4510" s="500"/>
      <c r="C4510" s="338" t="s">
        <v>4486</v>
      </c>
      <c r="D4510" s="823" t="s">
        <v>4149</v>
      </c>
      <c r="E4510" s="824" t="s">
        <v>5074</v>
      </c>
      <c r="F4510" s="797" t="n">
        <v>3612</v>
      </c>
      <c r="G4510" s="799" t="n">
        <f aca="false">E4510*F4510</f>
        <v>353.976</v>
      </c>
      <c r="H4510" s="823"/>
    </row>
    <row r="4511" customFormat="false" ht="15" hidden="false" customHeight="false" outlineLevel="0" collapsed="false">
      <c r="A4511" s="571"/>
      <c r="B4511" s="500"/>
      <c r="C4511" s="338" t="s">
        <v>4173</v>
      </c>
      <c r="D4511" s="823" t="s">
        <v>4123</v>
      </c>
      <c r="E4511" s="831" t="n">
        <v>0.05</v>
      </c>
      <c r="F4511" s="797" t="n">
        <v>11000</v>
      </c>
      <c r="G4511" s="799" t="n">
        <f aca="false">E4511*F4511</f>
        <v>550</v>
      </c>
      <c r="H4511" s="823"/>
    </row>
    <row r="4512" customFormat="false" ht="30" hidden="false" customHeight="false" outlineLevel="0" collapsed="false">
      <c r="A4512" s="571"/>
      <c r="B4512" s="608"/>
      <c r="C4512" s="476" t="s">
        <v>5033</v>
      </c>
      <c r="D4512" s="606" t="s">
        <v>4191</v>
      </c>
      <c r="E4512" s="622" t="n">
        <v>3</v>
      </c>
      <c r="F4512" s="361" t="n">
        <v>100</v>
      </c>
      <c r="G4512" s="799" t="n">
        <f aca="false">E4512*F4512</f>
        <v>300</v>
      </c>
      <c r="H4512" s="823"/>
    </row>
    <row r="4513" customFormat="false" ht="15" hidden="false" customHeight="false" outlineLevel="0" collapsed="false">
      <c r="A4513" s="571"/>
      <c r="B4513" s="328"/>
      <c r="C4513" s="476" t="s">
        <v>4515</v>
      </c>
      <c r="D4513" s="820" t="s">
        <v>4149</v>
      </c>
      <c r="E4513" s="825" t="n">
        <v>0.05</v>
      </c>
      <c r="F4513" s="697" t="n">
        <v>3500</v>
      </c>
      <c r="G4513" s="799" t="n">
        <f aca="false">E4513*F4513</f>
        <v>175</v>
      </c>
      <c r="H4513" s="823"/>
    </row>
    <row r="4514" customFormat="false" ht="15" hidden="false" customHeight="false" outlineLevel="0" collapsed="false">
      <c r="A4514" s="571"/>
      <c r="B4514" s="608" t="s">
        <v>4128</v>
      </c>
      <c r="C4514" s="614"/>
      <c r="D4514" s="606"/>
      <c r="E4514" s="622"/>
      <c r="F4514" s="361"/>
      <c r="G4514" s="829" t="n">
        <f aca="false">SUM(G4509:G4513)</f>
        <v>3088.976</v>
      </c>
      <c r="H4514" s="606"/>
    </row>
    <row r="4515" customFormat="false" ht="15" hidden="false" customHeight="false" outlineLevel="0" collapsed="false">
      <c r="A4515" s="571" t="s">
        <v>5075</v>
      </c>
      <c r="B4515" s="433" t="s">
        <v>3257</v>
      </c>
      <c r="C4515" s="476"/>
      <c r="D4515" s="820"/>
      <c r="E4515" s="830"/>
      <c r="F4515" s="697"/>
      <c r="G4515" s="615"/>
      <c r="H4515" s="823" t="s">
        <v>5076</v>
      </c>
    </row>
    <row r="4516" customFormat="false" ht="15" hidden="false" customHeight="false" outlineLevel="0" collapsed="false">
      <c r="A4516" s="571"/>
      <c r="B4516" s="500"/>
      <c r="C4516" s="614" t="s">
        <v>5077</v>
      </c>
      <c r="D4516" s="606" t="s">
        <v>5018</v>
      </c>
      <c r="E4516" s="822" t="n">
        <v>1</v>
      </c>
      <c r="F4516" s="797" t="n">
        <v>1710</v>
      </c>
      <c r="G4516" s="799" t="n">
        <f aca="false">E4516*F4516</f>
        <v>1710</v>
      </c>
      <c r="H4516" s="476"/>
    </row>
    <row r="4517" customFormat="false" ht="15" hidden="false" customHeight="false" outlineLevel="0" collapsed="false">
      <c r="A4517" s="571"/>
      <c r="B4517" s="608"/>
      <c r="C4517" s="338" t="s">
        <v>5078</v>
      </c>
      <c r="D4517" s="823" t="s">
        <v>4149</v>
      </c>
      <c r="E4517" s="812" t="n">
        <v>0.03</v>
      </c>
      <c r="F4517" s="797" t="n">
        <v>10800</v>
      </c>
      <c r="G4517" s="799" t="n">
        <f aca="false">E4517*F4517</f>
        <v>324</v>
      </c>
      <c r="H4517" s="476"/>
    </row>
    <row r="4518" customFormat="false" ht="15" hidden="false" customHeight="false" outlineLevel="0" collapsed="false">
      <c r="A4518" s="571"/>
      <c r="B4518" s="328"/>
      <c r="C4518" s="338" t="s">
        <v>5079</v>
      </c>
      <c r="D4518" s="823" t="s">
        <v>4123</v>
      </c>
      <c r="E4518" s="812" t="n">
        <v>0.01</v>
      </c>
      <c r="F4518" s="797" t="n">
        <v>3500</v>
      </c>
      <c r="G4518" s="799" t="n">
        <f aca="false">E4518*F4518</f>
        <v>35</v>
      </c>
      <c r="H4518" s="476"/>
    </row>
    <row r="4519" customFormat="false" ht="15" hidden="false" customHeight="false" outlineLevel="0" collapsed="false">
      <c r="A4519" s="571"/>
      <c r="B4519" s="500"/>
      <c r="C4519" s="338" t="s">
        <v>5080</v>
      </c>
      <c r="D4519" s="823" t="s">
        <v>4149</v>
      </c>
      <c r="E4519" s="812" t="n">
        <v>0.015</v>
      </c>
      <c r="F4519" s="797" t="n">
        <v>50000</v>
      </c>
      <c r="G4519" s="799" t="n">
        <f aca="false">E4519*F4519</f>
        <v>750</v>
      </c>
      <c r="H4519" s="476"/>
    </row>
    <row r="4520" customFormat="false" ht="15" hidden="false" customHeight="false" outlineLevel="0" collapsed="false">
      <c r="A4520" s="571"/>
      <c r="B4520" s="500"/>
      <c r="C4520" s="338" t="s">
        <v>5081</v>
      </c>
      <c r="D4520" s="823" t="s">
        <v>4149</v>
      </c>
      <c r="E4520" s="812" t="n">
        <v>0.016</v>
      </c>
      <c r="F4520" s="797" t="n">
        <v>11500</v>
      </c>
      <c r="G4520" s="799" t="n">
        <f aca="false">E4520*F4520</f>
        <v>184</v>
      </c>
      <c r="H4520" s="476"/>
    </row>
    <row r="4521" customFormat="false" ht="15" hidden="false" customHeight="false" outlineLevel="0" collapsed="false">
      <c r="A4521" s="571"/>
      <c r="B4521" s="500"/>
      <c r="C4521" s="338" t="s">
        <v>5082</v>
      </c>
      <c r="D4521" s="823" t="s">
        <v>4149</v>
      </c>
      <c r="E4521" s="812" t="n">
        <v>0.02</v>
      </c>
      <c r="F4521" s="797" t="n">
        <v>780</v>
      </c>
      <c r="G4521" s="799" t="n">
        <f aca="false">E4521*F4521</f>
        <v>15.6</v>
      </c>
      <c r="H4521" s="476"/>
    </row>
    <row r="4522" customFormat="false" ht="15" hidden="false" customHeight="false" outlineLevel="0" collapsed="false">
      <c r="A4522" s="571"/>
      <c r="B4522" s="608"/>
      <c r="C4522" s="338" t="s">
        <v>5083</v>
      </c>
      <c r="D4522" s="823" t="s">
        <v>4149</v>
      </c>
      <c r="E4522" s="812" t="n">
        <v>0.15</v>
      </c>
      <c r="F4522" s="797" t="n">
        <v>1100</v>
      </c>
      <c r="G4522" s="799" t="n">
        <f aca="false">E4522*F4522</f>
        <v>165</v>
      </c>
      <c r="H4522" s="476"/>
    </row>
    <row r="4523" customFormat="false" ht="30" hidden="false" customHeight="false" outlineLevel="0" collapsed="false">
      <c r="A4523" s="571"/>
      <c r="B4523" s="328"/>
      <c r="C4523" s="476" t="s">
        <v>5033</v>
      </c>
      <c r="D4523" s="606" t="s">
        <v>4191</v>
      </c>
      <c r="E4523" s="622" t="n">
        <v>3</v>
      </c>
      <c r="F4523" s="361" t="n">
        <v>100</v>
      </c>
      <c r="G4523" s="799" t="n">
        <f aca="false">E4523*F4523</f>
        <v>300</v>
      </c>
      <c r="H4523" s="476"/>
    </row>
    <row r="4524" customFormat="false" ht="15" hidden="false" customHeight="false" outlineLevel="0" collapsed="false">
      <c r="A4524" s="571"/>
      <c r="B4524" s="500"/>
      <c r="C4524" s="476" t="s">
        <v>4515</v>
      </c>
      <c r="D4524" s="820" t="s">
        <v>4149</v>
      </c>
      <c r="E4524" s="828" t="n">
        <v>0.05</v>
      </c>
      <c r="F4524" s="697" t="n">
        <v>3500</v>
      </c>
      <c r="G4524" s="799" t="n">
        <f aca="false">E4524*F4524</f>
        <v>175</v>
      </c>
      <c r="H4524" s="476"/>
    </row>
    <row r="4525" customFormat="false" ht="15" hidden="false" customHeight="false" outlineLevel="0" collapsed="false">
      <c r="A4525" s="571"/>
      <c r="B4525" s="608" t="s">
        <v>4128</v>
      </c>
      <c r="C4525" s="614"/>
      <c r="D4525" s="606"/>
      <c r="E4525" s="822"/>
      <c r="F4525" s="361"/>
      <c r="G4525" s="826" t="n">
        <f aca="false">SUM(G4516:G4524)</f>
        <v>3658.6</v>
      </c>
      <c r="H4525" s="606"/>
    </row>
    <row r="4526" customFormat="false" ht="15" hidden="false" customHeight="false" outlineLevel="0" collapsed="false">
      <c r="A4526" s="571" t="s">
        <v>5084</v>
      </c>
      <c r="B4526" s="433" t="s">
        <v>3258</v>
      </c>
      <c r="C4526" s="476"/>
      <c r="D4526" s="820"/>
      <c r="E4526" s="828"/>
      <c r="F4526" s="697"/>
      <c r="G4526" s="615"/>
      <c r="H4526" s="823" t="s">
        <v>5085</v>
      </c>
    </row>
    <row r="4527" customFormat="false" ht="15" hidden="false" customHeight="false" outlineLevel="0" collapsed="false">
      <c r="A4527" s="571"/>
      <c r="B4527" s="608"/>
      <c r="C4527" s="614" t="s">
        <v>5086</v>
      </c>
      <c r="D4527" s="606" t="s">
        <v>4149</v>
      </c>
      <c r="E4527" s="822" t="n">
        <v>0.06</v>
      </c>
      <c r="F4527" s="797" t="n">
        <v>2500</v>
      </c>
      <c r="G4527" s="799" t="n">
        <f aca="false">E4527*F4527</f>
        <v>150</v>
      </c>
      <c r="H4527" s="476"/>
    </row>
    <row r="4528" customFormat="false" ht="15" hidden="false" customHeight="false" outlineLevel="0" collapsed="false">
      <c r="A4528" s="571"/>
      <c r="B4528" s="328"/>
      <c r="C4528" s="338" t="s">
        <v>4214</v>
      </c>
      <c r="D4528" s="823" t="s">
        <v>4149</v>
      </c>
      <c r="E4528" s="812" t="n">
        <v>0.02</v>
      </c>
      <c r="F4528" s="797" t="n">
        <v>21250</v>
      </c>
      <c r="G4528" s="799" t="n">
        <f aca="false">E4528*F4528</f>
        <v>425</v>
      </c>
      <c r="H4528" s="476"/>
    </row>
    <row r="4529" customFormat="false" ht="45" hidden="false" customHeight="false" outlineLevel="0" collapsed="false">
      <c r="A4529" s="571"/>
      <c r="B4529" s="500"/>
      <c r="C4529" s="338" t="s">
        <v>5087</v>
      </c>
      <c r="D4529" s="823" t="s">
        <v>4149</v>
      </c>
      <c r="E4529" s="812" t="n">
        <v>0.03</v>
      </c>
      <c r="F4529" s="797" t="n">
        <v>13500</v>
      </c>
      <c r="G4529" s="799" t="n">
        <f aca="false">E4529*F4529</f>
        <v>405</v>
      </c>
      <c r="H4529" s="823"/>
    </row>
    <row r="4530" customFormat="false" ht="30" hidden="false" customHeight="false" outlineLevel="0" collapsed="false">
      <c r="A4530" s="571"/>
      <c r="B4530" s="500"/>
      <c r="C4530" s="476" t="s">
        <v>5033</v>
      </c>
      <c r="D4530" s="606" t="s">
        <v>4191</v>
      </c>
      <c r="E4530" s="622" t="n">
        <v>3</v>
      </c>
      <c r="F4530" s="361" t="n">
        <v>100</v>
      </c>
      <c r="G4530" s="799" t="n">
        <f aca="false">E4530*F4530</f>
        <v>300</v>
      </c>
      <c r="H4530" s="823"/>
    </row>
    <row r="4531" customFormat="false" ht="15" hidden="false" customHeight="false" outlineLevel="0" collapsed="false">
      <c r="A4531" s="571"/>
      <c r="B4531" s="500"/>
      <c r="C4531" s="476" t="s">
        <v>4959</v>
      </c>
      <c r="D4531" s="606" t="s">
        <v>4123</v>
      </c>
      <c r="E4531" s="622" t="n">
        <v>0.18</v>
      </c>
      <c r="F4531" s="361" t="n">
        <v>1200</v>
      </c>
      <c r="G4531" s="799" t="n">
        <f aca="false">E4531*F4531</f>
        <v>216</v>
      </c>
      <c r="H4531" s="823"/>
    </row>
    <row r="4532" customFormat="false" ht="15" hidden="false" customHeight="false" outlineLevel="0" collapsed="false">
      <c r="A4532" s="571"/>
      <c r="B4532" s="500"/>
      <c r="C4532" s="476" t="s">
        <v>4147</v>
      </c>
      <c r="D4532" s="606" t="s">
        <v>4123</v>
      </c>
      <c r="E4532" s="622" t="n">
        <v>0.25</v>
      </c>
      <c r="F4532" s="361" t="n">
        <v>3612</v>
      </c>
      <c r="G4532" s="799" t="n">
        <f aca="false">E4532*F4532</f>
        <v>903</v>
      </c>
      <c r="H4532" s="823"/>
    </row>
    <row r="4533" customFormat="false" ht="15" hidden="false" customHeight="false" outlineLevel="0" collapsed="false">
      <c r="A4533" s="571"/>
      <c r="B4533" s="500"/>
      <c r="C4533" s="476" t="s">
        <v>4159</v>
      </c>
      <c r="D4533" s="606" t="s">
        <v>4149</v>
      </c>
      <c r="E4533" s="622" t="n">
        <v>0.001</v>
      </c>
      <c r="F4533" s="361" t="n">
        <v>557760</v>
      </c>
      <c r="G4533" s="799" t="n">
        <f aca="false">E4533*F4533</f>
        <v>557.76</v>
      </c>
      <c r="H4533" s="823"/>
    </row>
    <row r="4534" customFormat="false" ht="15" hidden="false" customHeight="false" outlineLevel="0" collapsed="false">
      <c r="A4534" s="571"/>
      <c r="B4534" s="500"/>
      <c r="C4534" s="476" t="s">
        <v>4776</v>
      </c>
      <c r="D4534" s="820" t="s">
        <v>4123</v>
      </c>
      <c r="E4534" s="622" t="n">
        <v>0.6</v>
      </c>
      <c r="F4534" s="361" t="n">
        <v>720</v>
      </c>
      <c r="G4534" s="615" t="n">
        <f aca="false">E4534*F4534</f>
        <v>432</v>
      </c>
      <c r="H4534" s="823"/>
    </row>
    <row r="4535" customFormat="false" ht="15" hidden="false" customHeight="false" outlineLevel="0" collapsed="false">
      <c r="A4535" s="571"/>
      <c r="B4535" s="500"/>
      <c r="C4535" s="476" t="s">
        <v>5088</v>
      </c>
      <c r="D4535" s="820" t="s">
        <v>4149</v>
      </c>
      <c r="E4535" s="622" t="n">
        <v>0.01</v>
      </c>
      <c r="F4535" s="361" t="n">
        <v>1200</v>
      </c>
      <c r="G4535" s="615" t="n">
        <f aca="false">E4535*F4535</f>
        <v>12</v>
      </c>
      <c r="H4535" s="823"/>
    </row>
    <row r="4536" customFormat="false" ht="15" hidden="false" customHeight="false" outlineLevel="0" collapsed="false">
      <c r="A4536" s="571"/>
      <c r="B4536" s="500"/>
      <c r="C4536" s="476" t="s">
        <v>4515</v>
      </c>
      <c r="D4536" s="820" t="s">
        <v>4149</v>
      </c>
      <c r="E4536" s="832" t="n">
        <v>0.05</v>
      </c>
      <c r="F4536" s="697" t="n">
        <v>3500</v>
      </c>
      <c r="G4536" s="799" t="n">
        <f aca="false">E4536*F4536</f>
        <v>175</v>
      </c>
      <c r="H4536" s="823"/>
    </row>
    <row r="4537" customFormat="false" ht="15" hidden="false" customHeight="false" outlineLevel="0" collapsed="false">
      <c r="A4537" s="571"/>
      <c r="B4537" s="608" t="s">
        <v>4128</v>
      </c>
      <c r="C4537" s="609"/>
      <c r="D4537" s="606"/>
      <c r="E4537" s="833"/>
      <c r="F4537" s="612"/>
      <c r="G4537" s="826" t="n">
        <f aca="false">SUM(G4527:G4536)</f>
        <v>3575.76</v>
      </c>
      <c r="H4537" s="391"/>
    </row>
    <row r="4538" customFormat="false" ht="15" hidden="false" customHeight="false" outlineLevel="0" collapsed="false">
      <c r="A4538" s="571" t="s">
        <v>5089</v>
      </c>
      <c r="B4538" s="433" t="s">
        <v>3259</v>
      </c>
      <c r="C4538" s="614"/>
      <c r="D4538" s="606"/>
      <c r="E4538" s="834"/>
      <c r="F4538" s="361"/>
      <c r="G4538" s="615"/>
      <c r="H4538" s="823" t="s">
        <v>5090</v>
      </c>
    </row>
    <row r="4539" customFormat="false" ht="15" hidden="false" customHeight="false" outlineLevel="0" collapsed="false">
      <c r="A4539" s="571"/>
      <c r="B4539" s="500"/>
      <c r="C4539" s="614" t="s">
        <v>4390</v>
      </c>
      <c r="D4539" s="606" t="s">
        <v>4149</v>
      </c>
      <c r="E4539" s="834" t="n">
        <v>0.1776</v>
      </c>
      <c r="F4539" s="797" t="n">
        <v>9000</v>
      </c>
      <c r="G4539" s="799" t="n">
        <f aca="false">E4539*F4539</f>
        <v>1598.4</v>
      </c>
      <c r="H4539" s="606"/>
    </row>
    <row r="4540" customFormat="false" ht="15" hidden="false" customHeight="false" outlineLevel="0" collapsed="false">
      <c r="A4540" s="571"/>
      <c r="B4540" s="500"/>
      <c r="C4540" s="338" t="s">
        <v>4178</v>
      </c>
      <c r="D4540" s="823" t="s">
        <v>4149</v>
      </c>
      <c r="E4540" s="835" t="n">
        <v>0.05</v>
      </c>
      <c r="F4540" s="797" t="n">
        <v>4000</v>
      </c>
      <c r="G4540" s="799" t="n">
        <f aca="false">E4540*F4540</f>
        <v>200</v>
      </c>
      <c r="H4540" s="606"/>
    </row>
    <row r="4541" customFormat="false" ht="15" hidden="false" customHeight="false" outlineLevel="0" collapsed="false">
      <c r="A4541" s="571"/>
      <c r="B4541" s="500"/>
      <c r="C4541" s="338" t="s">
        <v>4175</v>
      </c>
      <c r="D4541" s="823" t="s">
        <v>4149</v>
      </c>
      <c r="E4541" s="835" t="n">
        <v>0.031</v>
      </c>
      <c r="F4541" s="797" t="n">
        <v>2700</v>
      </c>
      <c r="G4541" s="799" t="n">
        <f aca="false">E4541*F4541</f>
        <v>83.7</v>
      </c>
      <c r="H4541" s="606"/>
    </row>
    <row r="4542" customFormat="false" ht="15" hidden="false" customHeight="false" outlineLevel="0" collapsed="false">
      <c r="A4542" s="571"/>
      <c r="B4542" s="608"/>
      <c r="C4542" s="338" t="s">
        <v>5091</v>
      </c>
      <c r="D4542" s="823" t="s">
        <v>4149</v>
      </c>
      <c r="E4542" s="834" t="n">
        <v>0.04</v>
      </c>
      <c r="F4542" s="797" t="n">
        <v>7200</v>
      </c>
      <c r="G4542" s="799" t="n">
        <f aca="false">E4542*F4542</f>
        <v>288</v>
      </c>
      <c r="H4542" s="391"/>
    </row>
    <row r="4543" customFormat="false" ht="15" hidden="false" customHeight="false" outlineLevel="0" collapsed="false">
      <c r="A4543" s="571"/>
      <c r="B4543" s="328"/>
      <c r="C4543" s="338" t="s">
        <v>4122</v>
      </c>
      <c r="D4543" s="823" t="s">
        <v>4123</v>
      </c>
      <c r="E4543" s="835" t="n">
        <v>0.4</v>
      </c>
      <c r="F4543" s="797" t="n">
        <v>720</v>
      </c>
      <c r="G4543" s="799" t="n">
        <f aca="false">E4543*F4543</f>
        <v>288</v>
      </c>
      <c r="H4543" s="606"/>
    </row>
    <row r="4544" customFormat="false" ht="15" hidden="false" customHeight="false" outlineLevel="0" collapsed="false">
      <c r="A4544" s="571"/>
      <c r="B4544" s="500"/>
      <c r="C4544" s="476" t="s">
        <v>4515</v>
      </c>
      <c r="D4544" s="823" t="s">
        <v>4149</v>
      </c>
      <c r="E4544" s="832" t="n">
        <v>0.05</v>
      </c>
      <c r="F4544" s="697" t="n">
        <v>3500</v>
      </c>
      <c r="G4544" s="799" t="n">
        <f aca="false">E4544*F4544</f>
        <v>175</v>
      </c>
      <c r="H4544" s="606"/>
    </row>
    <row r="4545" customFormat="false" ht="30" hidden="false" customHeight="false" outlineLevel="0" collapsed="false">
      <c r="A4545" s="571"/>
      <c r="B4545" s="500"/>
      <c r="C4545" s="476" t="s">
        <v>5033</v>
      </c>
      <c r="D4545" s="606" t="s">
        <v>4191</v>
      </c>
      <c r="E4545" s="622" t="n">
        <v>3</v>
      </c>
      <c r="F4545" s="361" t="n">
        <v>100</v>
      </c>
      <c r="G4545" s="799" t="n">
        <f aca="false">E4545*F4545</f>
        <v>300</v>
      </c>
      <c r="H4545" s="606"/>
    </row>
    <row r="4546" customFormat="false" ht="15" hidden="false" customHeight="false" outlineLevel="0" collapsed="false">
      <c r="A4546" s="571"/>
      <c r="B4546" s="608" t="s">
        <v>4128</v>
      </c>
      <c r="C4546" s="614"/>
      <c r="D4546" s="606"/>
      <c r="E4546" s="834"/>
      <c r="F4546" s="361"/>
      <c r="G4546" s="613" t="n">
        <f aca="false">SUM(G4539:G4545)</f>
        <v>2933.1</v>
      </c>
      <c r="H4546" s="606"/>
    </row>
    <row r="4547" customFormat="false" ht="15" hidden="false" customHeight="false" outlineLevel="0" collapsed="false">
      <c r="A4547" s="571" t="s">
        <v>5092</v>
      </c>
      <c r="B4547" s="433" t="s">
        <v>3260</v>
      </c>
      <c r="C4547" s="433"/>
      <c r="D4547" s="606"/>
      <c r="E4547" s="834"/>
      <c r="F4547" s="361"/>
      <c r="G4547" s="615"/>
      <c r="H4547" s="823" t="s">
        <v>5093</v>
      </c>
    </row>
    <row r="4548" customFormat="false" ht="15" hidden="false" customHeight="false" outlineLevel="0" collapsed="false">
      <c r="A4548" s="571"/>
      <c r="B4548" s="328"/>
      <c r="C4548" s="614" t="s">
        <v>4390</v>
      </c>
      <c r="D4548" s="606" t="s">
        <v>4149</v>
      </c>
      <c r="E4548" s="834" t="n">
        <v>0.272</v>
      </c>
      <c r="F4548" s="797" t="n">
        <v>7000</v>
      </c>
      <c r="G4548" s="799" t="n">
        <f aca="false">E4548*F4548</f>
        <v>1904</v>
      </c>
      <c r="H4548" s="476"/>
    </row>
    <row r="4549" customFormat="false" ht="15" hidden="false" customHeight="false" outlineLevel="0" collapsed="false">
      <c r="A4549" s="571"/>
      <c r="B4549" s="500"/>
      <c r="C4549" s="338" t="s">
        <v>5094</v>
      </c>
      <c r="D4549" s="823" t="s">
        <v>4149</v>
      </c>
      <c r="E4549" s="835" t="n">
        <v>0.025</v>
      </c>
      <c r="F4549" s="797" t="n">
        <v>7500</v>
      </c>
      <c r="G4549" s="799" t="n">
        <f aca="false">E4549*F4549</f>
        <v>187.5</v>
      </c>
      <c r="H4549" s="823"/>
    </row>
    <row r="4550" customFormat="false" ht="15" hidden="false" customHeight="false" outlineLevel="0" collapsed="false">
      <c r="A4550" s="571"/>
      <c r="B4550" s="500"/>
      <c r="C4550" s="476" t="s">
        <v>4909</v>
      </c>
      <c r="D4550" s="823" t="s">
        <v>4149</v>
      </c>
      <c r="E4550" s="835" t="n">
        <v>0.05</v>
      </c>
      <c r="F4550" s="361" t="n">
        <v>2500</v>
      </c>
      <c r="G4550" s="799" t="n">
        <f aca="false">E4550*F4550</f>
        <v>125</v>
      </c>
      <c r="H4550" s="476"/>
    </row>
    <row r="4551" customFormat="false" ht="15" hidden="false" customHeight="false" outlineLevel="0" collapsed="false">
      <c r="A4551" s="571"/>
      <c r="B4551" s="608"/>
      <c r="C4551" s="476" t="s">
        <v>4178</v>
      </c>
      <c r="D4551" s="823" t="s">
        <v>4149</v>
      </c>
      <c r="E4551" s="835" t="n">
        <v>0.015</v>
      </c>
      <c r="F4551" s="361" t="n">
        <v>4000</v>
      </c>
      <c r="G4551" s="799" t="n">
        <f aca="false">E4551*F4551</f>
        <v>60</v>
      </c>
      <c r="H4551" s="476"/>
    </row>
    <row r="4552" customFormat="false" ht="15" hidden="false" customHeight="false" outlineLevel="0" collapsed="false">
      <c r="A4552" s="571"/>
      <c r="B4552" s="328"/>
      <c r="C4552" s="476" t="s">
        <v>5030</v>
      </c>
      <c r="D4552" s="823" t="s">
        <v>4123</v>
      </c>
      <c r="E4552" s="834" t="n">
        <v>0.2</v>
      </c>
      <c r="F4552" s="697" t="n">
        <v>720</v>
      </c>
      <c r="G4552" s="799" t="n">
        <f aca="false">E4552*F4552</f>
        <v>144</v>
      </c>
      <c r="H4552" s="476"/>
    </row>
    <row r="4553" customFormat="false" ht="15" hidden="false" customHeight="false" outlineLevel="0" collapsed="false">
      <c r="A4553" s="571"/>
      <c r="B4553" s="500"/>
      <c r="C4553" s="476" t="s">
        <v>4515</v>
      </c>
      <c r="D4553" s="823" t="s">
        <v>4149</v>
      </c>
      <c r="E4553" s="832" t="n">
        <v>0.05</v>
      </c>
      <c r="F4553" s="697" t="n">
        <v>3500</v>
      </c>
      <c r="G4553" s="799" t="n">
        <f aca="false">E4553*F4553</f>
        <v>175</v>
      </c>
      <c r="H4553" s="476"/>
    </row>
    <row r="4554" customFormat="false" ht="15" hidden="false" customHeight="false" outlineLevel="0" collapsed="false">
      <c r="A4554" s="571"/>
      <c r="B4554" s="500"/>
      <c r="C4554" s="476" t="s">
        <v>4154</v>
      </c>
      <c r="D4554" s="823" t="s">
        <v>4149</v>
      </c>
      <c r="E4554" s="832" t="n">
        <v>0.1</v>
      </c>
      <c r="F4554" s="697" t="n">
        <v>7200</v>
      </c>
      <c r="G4554" s="799" t="n">
        <f aca="false">E4554*F4554</f>
        <v>720</v>
      </c>
      <c r="H4554" s="476"/>
    </row>
    <row r="4555" customFormat="false" ht="30" hidden="false" customHeight="false" outlineLevel="0" collapsed="false">
      <c r="A4555" s="571"/>
      <c r="B4555" s="500"/>
      <c r="C4555" s="476" t="s">
        <v>5033</v>
      </c>
      <c r="D4555" s="606" t="s">
        <v>4191</v>
      </c>
      <c r="E4555" s="622" t="n">
        <v>3</v>
      </c>
      <c r="F4555" s="361" t="n">
        <v>100</v>
      </c>
      <c r="G4555" s="799" t="n">
        <f aca="false">E4555*F4555</f>
        <v>300</v>
      </c>
      <c r="H4555" s="476"/>
    </row>
    <row r="4556" customFormat="false" ht="15" hidden="false" customHeight="false" outlineLevel="0" collapsed="false">
      <c r="A4556" s="571"/>
      <c r="B4556" s="608" t="s">
        <v>4128</v>
      </c>
      <c r="C4556" s="614"/>
      <c r="D4556" s="606"/>
      <c r="E4556" s="834"/>
      <c r="F4556" s="361"/>
      <c r="G4556" s="613" t="n">
        <f aca="false">SUM(G4548:G4555)</f>
        <v>3615.5</v>
      </c>
      <c r="H4556" s="606"/>
    </row>
    <row r="4557" customFormat="false" ht="15" hidden="false" customHeight="false" outlineLevel="0" collapsed="false">
      <c r="A4557" s="571" t="s">
        <v>5095</v>
      </c>
      <c r="B4557" s="433" t="s">
        <v>3261</v>
      </c>
      <c r="C4557" s="476"/>
      <c r="D4557" s="820"/>
      <c r="E4557" s="832"/>
      <c r="F4557" s="697"/>
      <c r="G4557" s="615"/>
      <c r="H4557" s="823" t="s">
        <v>5096</v>
      </c>
    </row>
    <row r="4558" customFormat="false" ht="30" hidden="false" customHeight="false" outlineLevel="0" collapsed="false">
      <c r="A4558" s="571"/>
      <c r="B4558" s="328"/>
      <c r="C4558" s="614" t="s">
        <v>5097</v>
      </c>
      <c r="D4558" s="606" t="s">
        <v>4121</v>
      </c>
      <c r="E4558" s="834" t="n">
        <v>0.1</v>
      </c>
      <c r="F4558" s="797" t="n">
        <v>6000</v>
      </c>
      <c r="G4558" s="799" t="n">
        <f aca="false">E4558*F4558</f>
        <v>600</v>
      </c>
      <c r="H4558" s="476"/>
    </row>
    <row r="4559" customFormat="false" ht="15" hidden="false" customHeight="false" outlineLevel="0" collapsed="false">
      <c r="A4559" s="571"/>
      <c r="B4559" s="500"/>
      <c r="C4559" s="338" t="s">
        <v>4159</v>
      </c>
      <c r="D4559" s="823" t="s">
        <v>4149</v>
      </c>
      <c r="E4559" s="835" t="n">
        <v>0.001</v>
      </c>
      <c r="F4559" s="797" t="n">
        <v>557760</v>
      </c>
      <c r="G4559" s="799" t="n">
        <f aca="false">E4559*F4559</f>
        <v>557.76</v>
      </c>
      <c r="H4559" s="476"/>
    </row>
    <row r="4560" customFormat="false" ht="15" hidden="false" customHeight="false" outlineLevel="0" collapsed="false">
      <c r="A4560" s="571"/>
      <c r="B4560" s="500"/>
      <c r="C4560" s="338" t="s">
        <v>5098</v>
      </c>
      <c r="D4560" s="823" t="s">
        <v>4149</v>
      </c>
      <c r="E4560" s="835" t="n">
        <v>0.04</v>
      </c>
      <c r="F4560" s="797" t="n">
        <v>700</v>
      </c>
      <c r="G4560" s="799" t="n">
        <f aca="false">E4560*F4560</f>
        <v>28</v>
      </c>
      <c r="H4560" s="476"/>
    </row>
    <row r="4561" customFormat="false" ht="15" hidden="false" customHeight="false" outlineLevel="0" collapsed="false">
      <c r="A4561" s="571"/>
      <c r="B4561" s="500"/>
      <c r="C4561" s="338" t="s">
        <v>5099</v>
      </c>
      <c r="D4561" s="823" t="s">
        <v>4149</v>
      </c>
      <c r="E4561" s="835" t="n">
        <v>0.01</v>
      </c>
      <c r="F4561" s="797" t="n">
        <v>6500</v>
      </c>
      <c r="G4561" s="799" t="n">
        <f aca="false">E4561*F4561</f>
        <v>65</v>
      </c>
      <c r="H4561" s="476"/>
    </row>
    <row r="4562" customFormat="false" ht="15" hidden="false" customHeight="false" outlineLevel="0" collapsed="false">
      <c r="A4562" s="571"/>
      <c r="B4562" s="608"/>
      <c r="C4562" s="338" t="s">
        <v>5100</v>
      </c>
      <c r="D4562" s="823" t="s">
        <v>4149</v>
      </c>
      <c r="E4562" s="835" t="n">
        <v>0.003</v>
      </c>
      <c r="F4562" s="797" t="n">
        <v>5800</v>
      </c>
      <c r="G4562" s="799" t="n">
        <f aca="false">E4562*F4562</f>
        <v>17.4</v>
      </c>
      <c r="H4562" s="476"/>
    </row>
    <row r="4563" customFormat="false" ht="15" hidden="false" customHeight="false" outlineLevel="0" collapsed="false">
      <c r="A4563" s="571"/>
      <c r="B4563" s="328"/>
      <c r="C4563" s="338" t="s">
        <v>4466</v>
      </c>
      <c r="D4563" s="823" t="s">
        <v>4149</v>
      </c>
      <c r="E4563" s="835" t="n">
        <v>0.004</v>
      </c>
      <c r="F4563" s="797" t="n">
        <v>3612</v>
      </c>
      <c r="G4563" s="799" t="n">
        <f aca="false">E4563*F4563</f>
        <v>14.448</v>
      </c>
      <c r="H4563" s="476"/>
    </row>
    <row r="4564" customFormat="false" ht="15" hidden="false" customHeight="false" outlineLevel="0" collapsed="false">
      <c r="A4564" s="571"/>
      <c r="B4564" s="500"/>
      <c r="C4564" s="476" t="s">
        <v>4515</v>
      </c>
      <c r="D4564" s="823" t="s">
        <v>4149</v>
      </c>
      <c r="E4564" s="832" t="n">
        <v>0.05</v>
      </c>
      <c r="F4564" s="697" t="n">
        <v>3500</v>
      </c>
      <c r="G4564" s="799" t="n">
        <f aca="false">E4564*F4564</f>
        <v>175</v>
      </c>
      <c r="H4564" s="476"/>
    </row>
    <row r="4565" customFormat="false" ht="15" hidden="false" customHeight="false" outlineLevel="0" collapsed="false">
      <c r="A4565" s="571"/>
      <c r="B4565" s="608" t="s">
        <v>4128</v>
      </c>
      <c r="C4565" s="614"/>
      <c r="D4565" s="606"/>
      <c r="E4565" s="834"/>
      <c r="F4565" s="361"/>
      <c r="G4565" s="826" t="n">
        <f aca="false">SUM(G4557:G4564)</f>
        <v>1457.608</v>
      </c>
      <c r="H4565" s="606"/>
    </row>
    <row r="4566" customFormat="false" ht="15" hidden="false" customHeight="false" outlineLevel="0" collapsed="false">
      <c r="A4566" s="571" t="s">
        <v>5101</v>
      </c>
      <c r="B4566" s="433" t="s">
        <v>3262</v>
      </c>
      <c r="C4566" s="476"/>
      <c r="D4566" s="820"/>
      <c r="E4566" s="832"/>
      <c r="F4566" s="697"/>
      <c r="G4566" s="615"/>
      <c r="H4566" s="823" t="s">
        <v>5102</v>
      </c>
    </row>
    <row r="4567" customFormat="false" ht="15" hidden="false" customHeight="false" outlineLevel="0" collapsed="false">
      <c r="A4567" s="571"/>
      <c r="B4567" s="328"/>
      <c r="C4567" s="614" t="s">
        <v>5103</v>
      </c>
      <c r="D4567" s="606" t="s">
        <v>4149</v>
      </c>
      <c r="E4567" s="834" t="n">
        <v>0.05</v>
      </c>
      <c r="F4567" s="797" t="n">
        <v>32000</v>
      </c>
      <c r="G4567" s="799" t="n">
        <f aca="false">E4567*F4567</f>
        <v>1600</v>
      </c>
      <c r="H4567" s="476"/>
    </row>
    <row r="4568" customFormat="false" ht="15" hidden="false" customHeight="false" outlineLevel="0" collapsed="false">
      <c r="A4568" s="571"/>
      <c r="B4568" s="500"/>
      <c r="C4568" s="338" t="s">
        <v>4846</v>
      </c>
      <c r="D4568" s="823" t="s">
        <v>4149</v>
      </c>
      <c r="E4568" s="835" t="n">
        <v>0.0005</v>
      </c>
      <c r="F4568" s="797" t="n">
        <v>30000</v>
      </c>
      <c r="G4568" s="799" t="n">
        <f aca="false">E4568*F4568</f>
        <v>15</v>
      </c>
      <c r="H4568" s="476"/>
    </row>
    <row r="4569" customFormat="false" ht="15" hidden="false" customHeight="false" outlineLevel="0" collapsed="false">
      <c r="A4569" s="571"/>
      <c r="B4569" s="500"/>
      <c r="C4569" s="338" t="s">
        <v>5100</v>
      </c>
      <c r="D4569" s="823" t="s">
        <v>4149</v>
      </c>
      <c r="E4569" s="835" t="n">
        <v>0.02</v>
      </c>
      <c r="F4569" s="797" t="n">
        <v>5500</v>
      </c>
      <c r="G4569" s="799" t="n">
        <f aca="false">E4569*F4569</f>
        <v>110</v>
      </c>
      <c r="H4569" s="476"/>
    </row>
    <row r="4570" customFormat="false" ht="16.5" hidden="false" customHeight="false" outlineLevel="0" collapsed="false">
      <c r="A4570" s="571"/>
      <c r="B4570" s="500"/>
      <c r="C4570" s="338" t="s">
        <v>5104</v>
      </c>
      <c r="D4570" s="823" t="s">
        <v>4149</v>
      </c>
      <c r="E4570" s="835" t="n">
        <v>0.01</v>
      </c>
      <c r="F4570" s="797" t="n">
        <v>210000</v>
      </c>
      <c r="G4570" s="799" t="n">
        <f aca="false">E4570*F4570</f>
        <v>2100</v>
      </c>
      <c r="H4570" s="476"/>
    </row>
    <row r="4571" customFormat="false" ht="15" hidden="false" customHeight="false" outlineLevel="0" collapsed="false">
      <c r="A4571" s="571"/>
      <c r="B4571" s="500"/>
      <c r="C4571" s="338" t="s">
        <v>5080</v>
      </c>
      <c r="D4571" s="823" t="s">
        <v>4149</v>
      </c>
      <c r="E4571" s="835" t="n">
        <v>0.001</v>
      </c>
      <c r="F4571" s="797" t="n">
        <v>21250</v>
      </c>
      <c r="G4571" s="799" t="n">
        <f aca="false">E4571*F4571</f>
        <v>21.25</v>
      </c>
      <c r="H4571" s="476"/>
    </row>
    <row r="4572" customFormat="false" ht="15" hidden="false" customHeight="false" outlineLevel="0" collapsed="false">
      <c r="A4572" s="571"/>
      <c r="B4572" s="328"/>
      <c r="C4572" s="476" t="s">
        <v>5105</v>
      </c>
      <c r="D4572" s="823" t="s">
        <v>4149</v>
      </c>
      <c r="E4572" s="832" t="n">
        <v>0.01</v>
      </c>
      <c r="F4572" s="697" t="n">
        <v>25000</v>
      </c>
      <c r="G4572" s="799" t="n">
        <f aca="false">E4572*F4572</f>
        <v>250</v>
      </c>
      <c r="H4572" s="476"/>
    </row>
    <row r="4573" customFormat="false" ht="15" hidden="false" customHeight="false" outlineLevel="0" collapsed="false">
      <c r="A4573" s="571"/>
      <c r="B4573" s="500"/>
      <c r="C4573" s="476" t="s">
        <v>4515</v>
      </c>
      <c r="D4573" s="823" t="s">
        <v>4149</v>
      </c>
      <c r="E4573" s="832" t="n">
        <v>0.01</v>
      </c>
      <c r="F4573" s="697" t="n">
        <v>3500</v>
      </c>
      <c r="G4573" s="799" t="n">
        <f aca="false">E4573*F4573</f>
        <v>35</v>
      </c>
      <c r="H4573" s="606"/>
    </row>
    <row r="4574" customFormat="false" ht="15" hidden="false" customHeight="false" outlineLevel="0" collapsed="false">
      <c r="A4574" s="571"/>
      <c r="B4574" s="500"/>
      <c r="C4574" s="614" t="s">
        <v>4122</v>
      </c>
      <c r="D4574" s="606" t="s">
        <v>4123</v>
      </c>
      <c r="E4574" s="834" t="n">
        <v>0.1</v>
      </c>
      <c r="F4574" s="361" t="n">
        <v>720</v>
      </c>
      <c r="G4574" s="799" t="n">
        <f aca="false">E4574*F4574</f>
        <v>72</v>
      </c>
      <c r="H4574" s="606"/>
    </row>
    <row r="4575" customFormat="false" ht="15" hidden="false" customHeight="false" outlineLevel="0" collapsed="false">
      <c r="A4575" s="571"/>
      <c r="B4575" s="608" t="s">
        <v>4128</v>
      </c>
      <c r="C4575" s="609"/>
      <c r="D4575" s="606"/>
      <c r="E4575" s="611"/>
      <c r="F4575" s="612"/>
      <c r="G4575" s="826" t="n">
        <f aca="false">SUM(G4567:G4574)</f>
        <v>4203.25</v>
      </c>
      <c r="H4575" s="391"/>
    </row>
    <row r="4576" customFormat="false" ht="15" hidden="false" customHeight="false" outlineLevel="0" collapsed="false">
      <c r="A4576" s="571" t="s">
        <v>5106</v>
      </c>
      <c r="B4576" s="433" t="s">
        <v>3263</v>
      </c>
      <c r="C4576" s="476"/>
      <c r="D4576" s="820"/>
      <c r="E4576" s="830"/>
      <c r="F4576" s="697"/>
      <c r="G4576" s="615"/>
      <c r="H4576" s="823" t="s">
        <v>5107</v>
      </c>
    </row>
    <row r="4577" customFormat="false" ht="15" hidden="false" customHeight="false" outlineLevel="0" collapsed="false">
      <c r="A4577" s="571"/>
      <c r="B4577" s="500"/>
      <c r="C4577" s="614" t="s">
        <v>5077</v>
      </c>
      <c r="D4577" s="606" t="s">
        <v>5018</v>
      </c>
      <c r="E4577" s="822" t="n">
        <v>1</v>
      </c>
      <c r="F4577" s="797" t="n">
        <v>1350</v>
      </c>
      <c r="G4577" s="799" t="n">
        <f aca="false">E4577*F4577</f>
        <v>1350</v>
      </c>
      <c r="H4577" s="476"/>
    </row>
    <row r="4578" customFormat="false" ht="15" hidden="false" customHeight="false" outlineLevel="0" collapsed="false">
      <c r="A4578" s="571"/>
      <c r="B4578" s="500"/>
      <c r="C4578" s="338" t="s">
        <v>4653</v>
      </c>
      <c r="D4578" s="823" t="s">
        <v>4149</v>
      </c>
      <c r="E4578" s="812" t="n">
        <v>0.03</v>
      </c>
      <c r="F4578" s="797" t="n">
        <v>13125</v>
      </c>
      <c r="G4578" s="799" t="n">
        <f aca="false">E4578*F4578</f>
        <v>393.75</v>
      </c>
      <c r="H4578" s="476"/>
    </row>
    <row r="4579" customFormat="false" ht="15" hidden="false" customHeight="false" outlineLevel="0" collapsed="false">
      <c r="A4579" s="571"/>
      <c r="B4579" s="500"/>
      <c r="C4579" s="338" t="s">
        <v>5045</v>
      </c>
      <c r="D4579" s="823" t="s">
        <v>4149</v>
      </c>
      <c r="E4579" s="812" t="n">
        <v>0.0031</v>
      </c>
      <c r="F4579" s="797" t="n">
        <v>1200</v>
      </c>
      <c r="G4579" s="799" t="n">
        <f aca="false">E4579*F4579</f>
        <v>3.72</v>
      </c>
      <c r="H4579" s="476"/>
    </row>
    <row r="4580" customFormat="false" ht="15" hidden="false" customHeight="false" outlineLevel="0" collapsed="false">
      <c r="A4580" s="571"/>
      <c r="B4580" s="608"/>
      <c r="C4580" s="338" t="s">
        <v>5108</v>
      </c>
      <c r="D4580" s="823" t="s">
        <v>4149</v>
      </c>
      <c r="E4580" s="812" t="n">
        <v>0.008</v>
      </c>
      <c r="F4580" s="797" t="n">
        <v>45000</v>
      </c>
      <c r="G4580" s="799" t="n">
        <f aca="false">E4580*F4580</f>
        <v>360</v>
      </c>
      <c r="H4580" s="476"/>
    </row>
    <row r="4581" customFormat="false" ht="15" hidden="false" customHeight="false" outlineLevel="0" collapsed="false">
      <c r="A4581" s="571"/>
      <c r="B4581" s="328"/>
      <c r="C4581" s="338" t="s">
        <v>4122</v>
      </c>
      <c r="D4581" s="823" t="s">
        <v>4123</v>
      </c>
      <c r="E4581" s="812" t="n">
        <v>0.004</v>
      </c>
      <c r="F4581" s="797" t="n">
        <v>720</v>
      </c>
      <c r="G4581" s="799" t="n">
        <f aca="false">E4581*F4581</f>
        <v>2.88</v>
      </c>
      <c r="H4581" s="476"/>
    </row>
    <row r="4582" customFormat="false" ht="15" hidden="false" customHeight="false" outlineLevel="0" collapsed="false">
      <c r="A4582" s="571"/>
      <c r="B4582" s="500"/>
      <c r="C4582" s="476" t="s">
        <v>4515</v>
      </c>
      <c r="D4582" s="823" t="s">
        <v>4149</v>
      </c>
      <c r="E4582" s="828" t="n">
        <v>0.05</v>
      </c>
      <c r="F4582" s="697" t="n">
        <v>3500</v>
      </c>
      <c r="G4582" s="799" t="n">
        <f aca="false">E4582*F4582</f>
        <v>175</v>
      </c>
      <c r="H4582" s="476"/>
    </row>
    <row r="4583" customFormat="false" ht="30" hidden="false" customHeight="false" outlineLevel="0" collapsed="false">
      <c r="A4583" s="571"/>
      <c r="B4583" s="500"/>
      <c r="C4583" s="476" t="s">
        <v>5033</v>
      </c>
      <c r="D4583" s="606" t="s">
        <v>4191</v>
      </c>
      <c r="E4583" s="622" t="n">
        <v>1</v>
      </c>
      <c r="F4583" s="361" t="n">
        <v>100</v>
      </c>
      <c r="G4583" s="799" t="n">
        <f aca="false">E4583*F4583</f>
        <v>100</v>
      </c>
      <c r="H4583" s="476"/>
    </row>
    <row r="4584" customFormat="false" ht="15" hidden="false" customHeight="false" outlineLevel="0" collapsed="false">
      <c r="A4584" s="571"/>
      <c r="B4584" s="608" t="s">
        <v>4128</v>
      </c>
      <c r="C4584" s="614"/>
      <c r="D4584" s="606"/>
      <c r="E4584" s="822"/>
      <c r="F4584" s="361"/>
      <c r="G4584" s="826" t="n">
        <f aca="false">SUM(G4577:G4583)</f>
        <v>2385.35</v>
      </c>
      <c r="H4584" s="606"/>
    </row>
    <row r="4585" customFormat="false" ht="18.75" hidden="false" customHeight="true" outlineLevel="0" collapsed="false">
      <c r="A4585" s="571" t="s">
        <v>5109</v>
      </c>
      <c r="B4585" s="40" t="s">
        <v>3264</v>
      </c>
      <c r="C4585" s="476"/>
      <c r="D4585" s="820"/>
      <c r="E4585" s="828"/>
      <c r="F4585" s="697"/>
      <c r="G4585" s="826"/>
      <c r="H4585" s="820" t="s">
        <v>5110</v>
      </c>
    </row>
    <row r="4586" customFormat="false" ht="15" hidden="false" customHeight="false" outlineLevel="0" collapsed="false">
      <c r="A4586" s="571"/>
      <c r="B4586" s="500"/>
      <c r="C4586" s="338" t="s">
        <v>4584</v>
      </c>
      <c r="D4586" s="823" t="s">
        <v>4149</v>
      </c>
      <c r="E4586" s="812" t="n">
        <v>0.5</v>
      </c>
      <c r="F4586" s="797" t="n">
        <v>3500</v>
      </c>
      <c r="G4586" s="799" t="n">
        <f aca="false">E4586*F4586</f>
        <v>1750</v>
      </c>
      <c r="H4586" s="476"/>
    </row>
    <row r="4587" customFormat="false" ht="15" hidden="false" customHeight="false" outlineLevel="0" collapsed="false">
      <c r="A4587" s="571"/>
      <c r="B4587" s="608"/>
      <c r="C4587" s="338" t="s">
        <v>5111</v>
      </c>
      <c r="D4587" s="823" t="s">
        <v>4149</v>
      </c>
      <c r="E4587" s="812" t="n">
        <v>0.028</v>
      </c>
      <c r="F4587" s="797" t="n">
        <v>21120</v>
      </c>
      <c r="G4587" s="799" t="n">
        <f aca="false">E4587*F4587</f>
        <v>591.36</v>
      </c>
      <c r="H4587" s="476"/>
    </row>
    <row r="4588" customFormat="false" ht="15" hidden="false" customHeight="false" outlineLevel="0" collapsed="false">
      <c r="A4588" s="571"/>
      <c r="B4588" s="328"/>
      <c r="C4588" s="476" t="s">
        <v>4515</v>
      </c>
      <c r="D4588" s="823" t="s">
        <v>4149</v>
      </c>
      <c r="E4588" s="828" t="n">
        <v>0.05</v>
      </c>
      <c r="F4588" s="697" t="n">
        <v>3500</v>
      </c>
      <c r="G4588" s="799" t="n">
        <f aca="false">E4588*F4588</f>
        <v>175</v>
      </c>
      <c r="H4588" s="476"/>
    </row>
    <row r="4589" customFormat="false" ht="30" hidden="false" customHeight="false" outlineLevel="0" collapsed="false">
      <c r="A4589" s="571"/>
      <c r="B4589" s="500"/>
      <c r="C4589" s="476" t="s">
        <v>5033</v>
      </c>
      <c r="D4589" s="606" t="s">
        <v>4191</v>
      </c>
      <c r="E4589" s="622" t="n">
        <v>3</v>
      </c>
      <c r="F4589" s="361" t="n">
        <v>100</v>
      </c>
      <c r="G4589" s="799" t="n">
        <f aca="false">E4589*F4589</f>
        <v>300</v>
      </c>
      <c r="H4589" s="476"/>
    </row>
    <row r="4590" customFormat="false" ht="15" hidden="false" customHeight="false" outlineLevel="0" collapsed="false">
      <c r="A4590" s="571"/>
      <c r="B4590" s="608" t="s">
        <v>4128</v>
      </c>
      <c r="C4590" s="614"/>
      <c r="D4590" s="606"/>
      <c r="E4590" s="622"/>
      <c r="F4590" s="361"/>
      <c r="G4590" s="613" t="n">
        <f aca="false">SUM(G4585:G4589)</f>
        <v>2816.36</v>
      </c>
      <c r="H4590" s="606"/>
    </row>
    <row r="4591" customFormat="false" ht="30" hidden="false" customHeight="false" outlineLevel="0" collapsed="false">
      <c r="A4591" s="571" t="s">
        <v>5112</v>
      </c>
      <c r="B4591" s="433" t="s">
        <v>3265</v>
      </c>
      <c r="C4591" s="476"/>
      <c r="D4591" s="820"/>
      <c r="E4591" s="830"/>
      <c r="F4591" s="697"/>
      <c r="G4591" s="826"/>
      <c r="H4591" s="823" t="s">
        <v>5113</v>
      </c>
    </row>
    <row r="4592" customFormat="false" ht="15" hidden="false" customHeight="false" outlineLevel="0" collapsed="false">
      <c r="A4592" s="571"/>
      <c r="B4592" s="608"/>
      <c r="C4592" s="614" t="s">
        <v>5077</v>
      </c>
      <c r="D4592" s="606" t="s">
        <v>5018</v>
      </c>
      <c r="E4592" s="822" t="n">
        <v>0.2</v>
      </c>
      <c r="F4592" s="797" t="n">
        <v>4500</v>
      </c>
      <c r="G4592" s="799" t="n">
        <f aca="false">E4592*F4592</f>
        <v>900</v>
      </c>
      <c r="H4592" s="836"/>
    </row>
    <row r="4593" customFormat="false" ht="15" hidden="false" customHeight="false" outlineLevel="0" collapsed="false">
      <c r="A4593" s="571"/>
      <c r="B4593" s="328"/>
      <c r="C4593" s="338" t="s">
        <v>4147</v>
      </c>
      <c r="D4593" s="823" t="s">
        <v>4149</v>
      </c>
      <c r="E4593" s="812" t="n">
        <v>0.1</v>
      </c>
      <c r="F4593" s="797" t="n">
        <v>3612</v>
      </c>
      <c r="G4593" s="799" t="n">
        <f aca="false">E4593*F4593</f>
        <v>361.2</v>
      </c>
      <c r="H4593" s="837"/>
    </row>
    <row r="4594" customFormat="false" ht="15" hidden="false" customHeight="false" outlineLevel="0" collapsed="false">
      <c r="A4594" s="571"/>
      <c r="B4594" s="500"/>
      <c r="C4594" s="338" t="s">
        <v>5114</v>
      </c>
      <c r="D4594" s="823" t="s">
        <v>4149</v>
      </c>
      <c r="E4594" s="812" t="n">
        <v>0.01</v>
      </c>
      <c r="F4594" s="797" t="n">
        <v>25000</v>
      </c>
      <c r="G4594" s="799" t="n">
        <f aca="false">E4594*F4594</f>
        <v>250</v>
      </c>
      <c r="H4594" s="837"/>
    </row>
    <row r="4595" customFormat="false" ht="15" hidden="false" customHeight="false" outlineLevel="0" collapsed="false">
      <c r="A4595" s="571"/>
      <c r="B4595" s="500"/>
      <c r="C4595" s="338" t="s">
        <v>4691</v>
      </c>
      <c r="D4595" s="823" t="s">
        <v>4149</v>
      </c>
      <c r="E4595" s="812" t="n">
        <v>0.01</v>
      </c>
      <c r="F4595" s="797" t="n">
        <v>2300</v>
      </c>
      <c r="G4595" s="799" t="n">
        <f aca="false">E4595*F4595</f>
        <v>23</v>
      </c>
      <c r="H4595" s="837"/>
    </row>
    <row r="4596" customFormat="false" ht="15" hidden="false" customHeight="false" outlineLevel="0" collapsed="false">
      <c r="A4596" s="571"/>
      <c r="B4596" s="500"/>
      <c r="C4596" s="338" t="s">
        <v>4122</v>
      </c>
      <c r="D4596" s="823" t="s">
        <v>4123</v>
      </c>
      <c r="E4596" s="812" t="n">
        <v>0.1</v>
      </c>
      <c r="F4596" s="797" t="n">
        <v>720</v>
      </c>
      <c r="G4596" s="799" t="n">
        <f aca="false">E4596*F4596</f>
        <v>72</v>
      </c>
      <c r="H4596" s="837"/>
    </row>
    <row r="4597" customFormat="false" ht="15" hidden="false" customHeight="false" outlineLevel="0" collapsed="false">
      <c r="A4597" s="571"/>
      <c r="B4597" s="608"/>
      <c r="C4597" s="338" t="s">
        <v>5115</v>
      </c>
      <c r="D4597" s="823" t="s">
        <v>4149</v>
      </c>
      <c r="E4597" s="812" t="n">
        <v>0.03</v>
      </c>
      <c r="F4597" s="797" t="n">
        <v>5500</v>
      </c>
      <c r="G4597" s="799" t="n">
        <f aca="false">E4597*F4597</f>
        <v>165</v>
      </c>
      <c r="H4597" s="837"/>
    </row>
    <row r="4598" customFormat="false" ht="15" hidden="false" customHeight="false" outlineLevel="0" collapsed="false">
      <c r="A4598" s="571"/>
      <c r="B4598" s="328"/>
      <c r="C4598" s="338" t="s">
        <v>4165</v>
      </c>
      <c r="D4598" s="823" t="s">
        <v>4149</v>
      </c>
      <c r="E4598" s="812" t="n">
        <v>0.01</v>
      </c>
      <c r="F4598" s="797" t="n">
        <v>5500</v>
      </c>
      <c r="G4598" s="799" t="n">
        <f aca="false">E4598*F4598</f>
        <v>55</v>
      </c>
      <c r="H4598" s="837"/>
    </row>
    <row r="4599" customFormat="false" ht="15" hidden="false" customHeight="false" outlineLevel="0" collapsed="false">
      <c r="A4599" s="571"/>
      <c r="B4599" s="500"/>
      <c r="C4599" s="476" t="s">
        <v>4515</v>
      </c>
      <c r="D4599" s="823" t="s">
        <v>4149</v>
      </c>
      <c r="E4599" s="828" t="n">
        <v>0.05</v>
      </c>
      <c r="F4599" s="697" t="n">
        <v>3500</v>
      </c>
      <c r="G4599" s="799" t="n">
        <f aca="false">E4599*F4599</f>
        <v>175</v>
      </c>
      <c r="H4599" s="433"/>
    </row>
    <row r="4600" customFormat="false" ht="15" hidden="false" customHeight="false" outlineLevel="0" collapsed="false">
      <c r="A4600" s="571"/>
      <c r="B4600" s="500"/>
      <c r="C4600" s="476" t="s">
        <v>5116</v>
      </c>
      <c r="D4600" s="823" t="s">
        <v>4149</v>
      </c>
      <c r="E4600" s="828" t="n">
        <v>0.5</v>
      </c>
      <c r="F4600" s="697" t="n">
        <v>2700</v>
      </c>
      <c r="G4600" s="799" t="n">
        <f aca="false">E4600*F4600</f>
        <v>1350</v>
      </c>
      <c r="H4600" s="433"/>
    </row>
    <row r="4601" customFormat="false" ht="30" hidden="false" customHeight="false" outlineLevel="0" collapsed="false">
      <c r="A4601" s="571"/>
      <c r="B4601" s="500"/>
      <c r="C4601" s="476" t="s">
        <v>5033</v>
      </c>
      <c r="D4601" s="606" t="s">
        <v>4191</v>
      </c>
      <c r="E4601" s="622" t="n">
        <v>3</v>
      </c>
      <c r="F4601" s="361" t="n">
        <v>100</v>
      </c>
      <c r="G4601" s="799" t="n">
        <f aca="false">E4601*F4601</f>
        <v>300</v>
      </c>
      <c r="H4601" s="836"/>
    </row>
    <row r="4602" customFormat="false" ht="15" hidden="false" customHeight="false" outlineLevel="0" collapsed="false">
      <c r="A4602" s="571"/>
      <c r="B4602" s="608" t="s">
        <v>4128</v>
      </c>
      <c r="C4602" s="614"/>
      <c r="D4602" s="606"/>
      <c r="E4602" s="622"/>
      <c r="F4602" s="361"/>
      <c r="G4602" s="613" t="n">
        <f aca="false">SUM(G4592:G4601)</f>
        <v>3651.2</v>
      </c>
      <c r="H4602" s="606"/>
    </row>
    <row r="4603" customFormat="false" ht="15" hidden="false" customHeight="false" outlineLevel="0" collapsed="false">
      <c r="A4603" s="571" t="s">
        <v>5117</v>
      </c>
      <c r="B4603" s="433" t="s">
        <v>3266</v>
      </c>
      <c r="C4603" s="476"/>
      <c r="D4603" s="820"/>
      <c r="E4603" s="828"/>
      <c r="F4603" s="697"/>
      <c r="G4603" s="615"/>
      <c r="H4603" s="823" t="s">
        <v>5118</v>
      </c>
    </row>
    <row r="4604" customFormat="false" ht="15" hidden="false" customHeight="false" outlineLevel="0" collapsed="false">
      <c r="A4604" s="571"/>
      <c r="B4604" s="500"/>
      <c r="C4604" s="614" t="s">
        <v>4193</v>
      </c>
      <c r="D4604" s="606" t="s">
        <v>4149</v>
      </c>
      <c r="E4604" s="822" t="n">
        <v>0.005</v>
      </c>
      <c r="F4604" s="797" t="n">
        <v>205000</v>
      </c>
      <c r="G4604" s="799" t="n">
        <f aca="false">E4604*F4604</f>
        <v>1025</v>
      </c>
      <c r="H4604" s="836"/>
    </row>
    <row r="4605" customFormat="false" ht="15" hidden="false" customHeight="false" outlineLevel="0" collapsed="false">
      <c r="A4605" s="571"/>
      <c r="B4605" s="500"/>
      <c r="C4605" s="433" t="s">
        <v>5119</v>
      </c>
      <c r="D4605" s="606" t="s">
        <v>4149</v>
      </c>
      <c r="E4605" s="822" t="n">
        <v>0.02</v>
      </c>
      <c r="F4605" s="697" t="n">
        <v>6400</v>
      </c>
      <c r="G4605" s="799" t="n">
        <f aca="false">E4605*F4605</f>
        <v>128</v>
      </c>
      <c r="H4605" s="838"/>
    </row>
    <row r="4606" customFormat="false" ht="15" hidden="false" customHeight="false" outlineLevel="0" collapsed="false">
      <c r="A4606" s="571"/>
      <c r="B4606" s="500"/>
      <c r="C4606" s="433" t="s">
        <v>5120</v>
      </c>
      <c r="D4606" s="606" t="s">
        <v>4149</v>
      </c>
      <c r="E4606" s="822" t="n">
        <v>0.1</v>
      </c>
      <c r="F4606" s="697" t="n">
        <v>24300</v>
      </c>
      <c r="G4606" s="799" t="n">
        <f aca="false">E4606*F4606</f>
        <v>2430</v>
      </c>
      <c r="H4606" s="838"/>
    </row>
    <row r="4607" customFormat="false" ht="15" hidden="false" customHeight="false" outlineLevel="0" collapsed="false">
      <c r="A4607" s="571"/>
      <c r="B4607" s="608"/>
      <c r="C4607" s="433" t="s">
        <v>5030</v>
      </c>
      <c r="D4607" s="606" t="s">
        <v>4123</v>
      </c>
      <c r="E4607" s="822" t="n">
        <v>0.005</v>
      </c>
      <c r="F4607" s="697" t="n">
        <v>720</v>
      </c>
      <c r="G4607" s="799" t="n">
        <f aca="false">E4607*F4607</f>
        <v>3.6</v>
      </c>
      <c r="H4607" s="838"/>
    </row>
    <row r="4608" customFormat="false" ht="15" hidden="false" customHeight="false" outlineLevel="0" collapsed="false">
      <c r="A4608" s="571"/>
      <c r="B4608" s="608" t="s">
        <v>4128</v>
      </c>
      <c r="C4608" s="614"/>
      <c r="D4608" s="606"/>
      <c r="E4608" s="622"/>
      <c r="F4608" s="361"/>
      <c r="G4608" s="826" t="n">
        <f aca="false">SUM(G4604:G4607)</f>
        <v>3586.6</v>
      </c>
      <c r="H4608" s="606"/>
    </row>
    <row r="4609" customFormat="false" ht="15" hidden="false" customHeight="false" outlineLevel="0" collapsed="false">
      <c r="A4609" s="571" t="s">
        <v>5121</v>
      </c>
      <c r="B4609" s="433" t="s">
        <v>3267</v>
      </c>
      <c r="C4609" s="476"/>
      <c r="D4609" s="820"/>
      <c r="E4609" s="832"/>
      <c r="F4609" s="697"/>
      <c r="G4609" s="615"/>
      <c r="H4609" s="823" t="s">
        <v>5122</v>
      </c>
    </row>
    <row r="4610" customFormat="false" ht="15" hidden="false" customHeight="false" outlineLevel="0" collapsed="false">
      <c r="A4610" s="571"/>
      <c r="B4610" s="500"/>
      <c r="C4610" s="338" t="s">
        <v>4122</v>
      </c>
      <c r="D4610" s="823" t="s">
        <v>4123</v>
      </c>
      <c r="E4610" s="835" t="n">
        <v>0.1</v>
      </c>
      <c r="F4610" s="797" t="n">
        <v>720</v>
      </c>
      <c r="G4610" s="799" t="n">
        <f aca="false">E4610*F4610</f>
        <v>72</v>
      </c>
      <c r="H4610" s="476"/>
    </row>
    <row r="4611" customFormat="false" ht="30" hidden="false" customHeight="false" outlineLevel="0" collapsed="false">
      <c r="A4611" s="571"/>
      <c r="B4611" s="608"/>
      <c r="C4611" s="338" t="s">
        <v>5123</v>
      </c>
      <c r="D4611" s="823" t="s">
        <v>4149</v>
      </c>
      <c r="E4611" s="835" t="n">
        <v>0.03</v>
      </c>
      <c r="F4611" s="797" t="n">
        <v>2800</v>
      </c>
      <c r="G4611" s="799" t="n">
        <f aca="false">E4611*F4611</f>
        <v>84</v>
      </c>
      <c r="H4611" s="476"/>
    </row>
    <row r="4612" customFormat="false" ht="30" hidden="false" customHeight="false" outlineLevel="0" collapsed="false">
      <c r="A4612" s="571"/>
      <c r="B4612" s="328"/>
      <c r="C4612" s="476" t="s">
        <v>5033</v>
      </c>
      <c r="D4612" s="606" t="s">
        <v>4191</v>
      </c>
      <c r="E4612" s="622" t="n">
        <v>3</v>
      </c>
      <c r="F4612" s="361" t="n">
        <v>100</v>
      </c>
      <c r="G4612" s="799" t="n">
        <f aca="false">E4612*F4612</f>
        <v>300</v>
      </c>
      <c r="H4612" s="476"/>
    </row>
    <row r="4613" customFormat="false" ht="15" hidden="false" customHeight="false" outlineLevel="0" collapsed="false">
      <c r="A4613" s="571"/>
      <c r="B4613" s="500"/>
      <c r="C4613" s="338" t="s">
        <v>5079</v>
      </c>
      <c r="D4613" s="823" t="s">
        <v>4149</v>
      </c>
      <c r="E4613" s="835" t="n">
        <v>0.04</v>
      </c>
      <c r="F4613" s="797" t="n">
        <v>3000</v>
      </c>
      <c r="G4613" s="799" t="n">
        <f aca="false">E4613*F4613</f>
        <v>120</v>
      </c>
      <c r="H4613" s="476"/>
    </row>
    <row r="4614" customFormat="false" ht="15" hidden="false" customHeight="false" outlineLevel="0" collapsed="false">
      <c r="A4614" s="571"/>
      <c r="B4614" s="500"/>
      <c r="C4614" s="338" t="s">
        <v>5124</v>
      </c>
      <c r="D4614" s="823" t="s">
        <v>4149</v>
      </c>
      <c r="E4614" s="835" t="n">
        <v>0.001</v>
      </c>
      <c r="F4614" s="797" t="n">
        <v>40000</v>
      </c>
      <c r="G4614" s="799" t="n">
        <f aca="false">E4614*F4614</f>
        <v>40</v>
      </c>
      <c r="H4614" s="476"/>
    </row>
    <row r="4615" customFormat="false" ht="15" hidden="false" customHeight="false" outlineLevel="0" collapsed="false">
      <c r="A4615" s="571"/>
      <c r="B4615" s="500"/>
      <c r="C4615" s="338" t="s">
        <v>4653</v>
      </c>
      <c r="D4615" s="823" t="s">
        <v>4149</v>
      </c>
      <c r="E4615" s="812" t="n">
        <v>0.003</v>
      </c>
      <c r="F4615" s="797" t="n">
        <v>13125</v>
      </c>
      <c r="G4615" s="799" t="n">
        <f aca="false">E4615*F4615</f>
        <v>39.375</v>
      </c>
      <c r="H4615" s="476"/>
    </row>
    <row r="4616" customFormat="false" ht="15" hidden="false" customHeight="false" outlineLevel="0" collapsed="false">
      <c r="A4616" s="571"/>
      <c r="B4616" s="608"/>
      <c r="C4616" s="476" t="s">
        <v>4515</v>
      </c>
      <c r="D4616" s="823" t="s">
        <v>4149</v>
      </c>
      <c r="E4616" s="828" t="n">
        <v>0.05</v>
      </c>
      <c r="F4616" s="697" t="n">
        <v>3500</v>
      </c>
      <c r="G4616" s="799" t="n">
        <f aca="false">E4616*F4616</f>
        <v>175</v>
      </c>
      <c r="H4616" s="476"/>
    </row>
    <row r="4617" customFormat="false" ht="15" hidden="false" customHeight="false" outlineLevel="0" collapsed="false">
      <c r="A4617" s="571"/>
      <c r="B4617" s="328"/>
      <c r="C4617" s="614" t="s">
        <v>5077</v>
      </c>
      <c r="D4617" s="606" t="s">
        <v>5018</v>
      </c>
      <c r="E4617" s="822" t="n">
        <v>0.2</v>
      </c>
      <c r="F4617" s="797" t="n">
        <v>4500</v>
      </c>
      <c r="G4617" s="799" t="n">
        <f aca="false">E4617*F4617</f>
        <v>900</v>
      </c>
      <c r="H4617" s="476"/>
    </row>
    <row r="4618" customFormat="false" ht="15" hidden="false" customHeight="false" outlineLevel="0" collapsed="false">
      <c r="A4618" s="571"/>
      <c r="B4618" s="608" t="s">
        <v>4128</v>
      </c>
      <c r="C4618" s="614"/>
      <c r="D4618" s="606"/>
      <c r="E4618" s="822"/>
      <c r="F4618" s="361"/>
      <c r="G4618" s="829" t="n">
        <f aca="false">SUM(G4610:G4617)</f>
        <v>1730.375</v>
      </c>
      <c r="H4618" s="606"/>
    </row>
    <row r="4619" customFormat="false" ht="15" hidden="false" customHeight="false" outlineLevel="0" collapsed="false">
      <c r="A4619" s="571" t="s">
        <v>5125</v>
      </c>
      <c r="B4619" s="433" t="s">
        <v>3268</v>
      </c>
      <c r="C4619" s="433"/>
      <c r="D4619" s="606"/>
      <c r="E4619" s="822"/>
      <c r="F4619" s="361"/>
      <c r="G4619" s="615"/>
      <c r="H4619" s="823" t="s">
        <v>5126</v>
      </c>
    </row>
    <row r="4620" customFormat="false" ht="30" hidden="false" customHeight="false" outlineLevel="0" collapsed="false">
      <c r="A4620" s="571"/>
      <c r="B4620" s="500"/>
      <c r="C4620" s="338" t="s">
        <v>5127</v>
      </c>
      <c r="D4620" s="823" t="s">
        <v>4149</v>
      </c>
      <c r="E4620" s="812" t="n">
        <v>0.001</v>
      </c>
      <c r="F4620" s="797" t="n">
        <v>28393</v>
      </c>
      <c r="G4620" s="799" t="n">
        <f aca="false">E4620*F4620</f>
        <v>28.393</v>
      </c>
      <c r="H4620" s="476"/>
    </row>
    <row r="4621" customFormat="false" ht="15" hidden="false" customHeight="false" outlineLevel="0" collapsed="false">
      <c r="A4621" s="571"/>
      <c r="B4621" s="608"/>
      <c r="C4621" s="338" t="s">
        <v>5128</v>
      </c>
      <c r="D4621" s="823" t="s">
        <v>4149</v>
      </c>
      <c r="E4621" s="812" t="n">
        <v>0.1</v>
      </c>
      <c r="F4621" s="697" t="n">
        <v>2160</v>
      </c>
      <c r="G4621" s="799" t="n">
        <f aca="false">E4621*F4621</f>
        <v>216</v>
      </c>
      <c r="H4621" s="476"/>
    </row>
    <row r="4622" customFormat="false" ht="15" hidden="false" customHeight="false" outlineLevel="0" collapsed="false">
      <c r="A4622" s="571"/>
      <c r="B4622" s="328"/>
      <c r="C4622" s="338" t="s">
        <v>5129</v>
      </c>
      <c r="D4622" s="823" t="s">
        <v>4149</v>
      </c>
      <c r="E4622" s="812" t="n">
        <v>0.1</v>
      </c>
      <c r="F4622" s="797" t="n">
        <v>720</v>
      </c>
      <c r="G4622" s="799" t="n">
        <f aca="false">E4622*F4622</f>
        <v>72</v>
      </c>
      <c r="H4622" s="476"/>
    </row>
    <row r="4623" customFormat="false" ht="15" hidden="false" customHeight="false" outlineLevel="0" collapsed="false">
      <c r="A4623" s="571"/>
      <c r="B4623" s="500"/>
      <c r="C4623" s="338" t="s">
        <v>5130</v>
      </c>
      <c r="D4623" s="823" t="s">
        <v>4149</v>
      </c>
      <c r="E4623" s="812" t="n">
        <v>0.005</v>
      </c>
      <c r="F4623" s="797" t="n">
        <v>3500</v>
      </c>
      <c r="G4623" s="799" t="n">
        <f aca="false">E4623*F4623</f>
        <v>17.5</v>
      </c>
      <c r="H4623" s="476"/>
    </row>
    <row r="4624" customFormat="false" ht="30" hidden="false" customHeight="false" outlineLevel="0" collapsed="false">
      <c r="A4624" s="571"/>
      <c r="B4624" s="500"/>
      <c r="C4624" s="614" t="s">
        <v>5131</v>
      </c>
      <c r="D4624" s="606" t="s">
        <v>5018</v>
      </c>
      <c r="E4624" s="822" t="n">
        <v>2</v>
      </c>
      <c r="F4624" s="797" t="n">
        <v>1710</v>
      </c>
      <c r="G4624" s="799" t="n">
        <f aca="false">E4624*F4624</f>
        <v>3420</v>
      </c>
      <c r="H4624" s="476"/>
    </row>
    <row r="4625" customFormat="false" ht="15" hidden="false" customHeight="false" outlineLevel="0" collapsed="false">
      <c r="A4625" s="571"/>
      <c r="B4625" s="500"/>
      <c r="C4625" s="614" t="s">
        <v>4154</v>
      </c>
      <c r="D4625" s="606" t="s">
        <v>4149</v>
      </c>
      <c r="E4625" s="822" t="n">
        <v>0.01</v>
      </c>
      <c r="F4625" s="797" t="n">
        <v>7200</v>
      </c>
      <c r="G4625" s="799" t="n">
        <f aca="false">E4625*F4625</f>
        <v>72</v>
      </c>
      <c r="H4625" s="476"/>
    </row>
    <row r="4626" customFormat="false" ht="15" hidden="false" customHeight="false" outlineLevel="0" collapsed="false">
      <c r="A4626" s="571"/>
      <c r="B4626" s="608"/>
      <c r="C4626" s="476" t="s">
        <v>4515</v>
      </c>
      <c r="D4626" s="820" t="s">
        <v>4149</v>
      </c>
      <c r="E4626" s="828" t="n">
        <v>0.1</v>
      </c>
      <c r="F4626" s="697" t="n">
        <v>3500</v>
      </c>
      <c r="G4626" s="799" t="n">
        <f aca="false">E4626*F4626</f>
        <v>350</v>
      </c>
      <c r="H4626" s="476"/>
    </row>
    <row r="4627" customFormat="false" ht="15" hidden="false" customHeight="false" outlineLevel="0" collapsed="false">
      <c r="A4627" s="571"/>
      <c r="B4627" s="608" t="s">
        <v>4128</v>
      </c>
      <c r="C4627" s="614"/>
      <c r="D4627" s="606"/>
      <c r="E4627" s="622"/>
      <c r="F4627" s="361"/>
      <c r="G4627" s="826" t="n">
        <f aca="false">SUM(G4619:G4626)</f>
        <v>4175.893</v>
      </c>
      <c r="H4627" s="606"/>
    </row>
    <row r="4628" customFormat="false" ht="15" hidden="false" customHeight="false" outlineLevel="0" collapsed="false">
      <c r="A4628" s="571" t="s">
        <v>5132</v>
      </c>
      <c r="B4628" s="433" t="s">
        <v>3269</v>
      </c>
      <c r="C4628" s="433"/>
      <c r="D4628" s="606"/>
      <c r="E4628" s="827"/>
      <c r="F4628" s="361"/>
      <c r="G4628" s="615"/>
      <c r="H4628" s="823" t="s">
        <v>5133</v>
      </c>
    </row>
    <row r="4629" customFormat="false" ht="15" hidden="false" customHeight="false" outlineLevel="0" collapsed="false">
      <c r="A4629" s="571"/>
      <c r="B4629" s="500"/>
      <c r="C4629" s="338" t="s">
        <v>5134</v>
      </c>
      <c r="D4629" s="823" t="s">
        <v>4149</v>
      </c>
      <c r="E4629" s="824" t="n">
        <v>0.01</v>
      </c>
      <c r="F4629" s="797" t="n">
        <v>2725</v>
      </c>
      <c r="G4629" s="799" t="n">
        <f aca="false">E4629*F4629</f>
        <v>27.25</v>
      </c>
      <c r="H4629" s="476"/>
    </row>
    <row r="4630" customFormat="false" ht="15" hidden="false" customHeight="false" outlineLevel="0" collapsed="false">
      <c r="A4630" s="571"/>
      <c r="B4630" s="500"/>
      <c r="C4630" s="338" t="s">
        <v>5070</v>
      </c>
      <c r="D4630" s="823" t="s">
        <v>4149</v>
      </c>
      <c r="E4630" s="812" t="n">
        <v>0.01</v>
      </c>
      <c r="F4630" s="797" t="n">
        <v>4200</v>
      </c>
      <c r="G4630" s="799" t="n">
        <f aca="false">E4630*F4630</f>
        <v>42</v>
      </c>
      <c r="H4630" s="476"/>
    </row>
    <row r="4631" customFormat="false" ht="15" hidden="false" customHeight="false" outlineLevel="0" collapsed="false">
      <c r="A4631" s="571"/>
      <c r="B4631" s="608"/>
      <c r="C4631" s="338" t="s">
        <v>5068</v>
      </c>
      <c r="D4631" s="823" t="s">
        <v>4149</v>
      </c>
      <c r="E4631" s="812" t="n">
        <v>0.001</v>
      </c>
      <c r="F4631" s="797" t="n">
        <v>1550000</v>
      </c>
      <c r="G4631" s="799" t="n">
        <f aca="false">E4631*F4631</f>
        <v>1550</v>
      </c>
      <c r="H4631" s="476"/>
    </row>
    <row r="4632" customFormat="false" ht="30" hidden="false" customHeight="false" outlineLevel="0" collapsed="false">
      <c r="A4632" s="571"/>
      <c r="B4632" s="328"/>
      <c r="C4632" s="338" t="s">
        <v>5135</v>
      </c>
      <c r="D4632" s="823" t="s">
        <v>4149</v>
      </c>
      <c r="E4632" s="812" t="n">
        <v>0.01</v>
      </c>
      <c r="F4632" s="797" t="n">
        <v>3500</v>
      </c>
      <c r="G4632" s="799" t="n">
        <f aca="false">E4632*F4632</f>
        <v>35</v>
      </c>
      <c r="H4632" s="476"/>
    </row>
    <row r="4633" customFormat="false" ht="15" hidden="false" customHeight="false" outlineLevel="0" collapsed="false">
      <c r="A4633" s="571"/>
      <c r="B4633" s="500"/>
      <c r="C4633" s="476" t="s">
        <v>4515</v>
      </c>
      <c r="D4633" s="823" t="s">
        <v>4149</v>
      </c>
      <c r="E4633" s="828" t="n">
        <v>0.05</v>
      </c>
      <c r="F4633" s="697" t="n">
        <v>3500</v>
      </c>
      <c r="G4633" s="799" t="n">
        <f aca="false">E4633*F4633</f>
        <v>175</v>
      </c>
      <c r="H4633" s="476"/>
    </row>
    <row r="4634" customFormat="false" ht="15" hidden="false" customHeight="false" outlineLevel="0" collapsed="false">
      <c r="A4634" s="571"/>
      <c r="B4634" s="500"/>
      <c r="C4634" s="614" t="s">
        <v>4440</v>
      </c>
      <c r="D4634" s="606" t="s">
        <v>4149</v>
      </c>
      <c r="E4634" s="822" t="n">
        <v>0.1598</v>
      </c>
      <c r="F4634" s="797" t="n">
        <v>4500</v>
      </c>
      <c r="G4634" s="799" t="n">
        <f aca="false">E4634*F4634</f>
        <v>719.1</v>
      </c>
      <c r="H4634" s="476"/>
    </row>
    <row r="4635" customFormat="false" ht="30" hidden="false" customHeight="false" outlineLevel="0" collapsed="false">
      <c r="A4635" s="571"/>
      <c r="B4635" s="500"/>
      <c r="C4635" s="476" t="s">
        <v>5033</v>
      </c>
      <c r="D4635" s="606" t="s">
        <v>4191</v>
      </c>
      <c r="E4635" s="622" t="n">
        <v>3</v>
      </c>
      <c r="F4635" s="361" t="n">
        <v>100</v>
      </c>
      <c r="G4635" s="799" t="n">
        <f aca="false">E4635*F4635</f>
        <v>300</v>
      </c>
      <c r="H4635" s="476"/>
    </row>
    <row r="4636" customFormat="false" ht="15" hidden="false" customHeight="false" outlineLevel="0" collapsed="false">
      <c r="A4636" s="571"/>
      <c r="B4636" s="608" t="s">
        <v>4128</v>
      </c>
      <c r="C4636" s="609"/>
      <c r="D4636" s="606"/>
      <c r="E4636" s="821"/>
      <c r="F4636" s="612"/>
      <c r="G4636" s="826" t="n">
        <f aca="false">SUM(G4628:G4635)</f>
        <v>2848.35</v>
      </c>
      <c r="H4636" s="391"/>
    </row>
    <row r="4637" customFormat="false" ht="15" hidden="false" customHeight="false" outlineLevel="0" collapsed="false">
      <c r="A4637" s="571" t="s">
        <v>5136</v>
      </c>
      <c r="B4637" s="433" t="s">
        <v>3270</v>
      </c>
      <c r="C4637" s="476"/>
      <c r="D4637" s="820"/>
      <c r="E4637" s="828"/>
      <c r="F4637" s="697"/>
      <c r="G4637" s="615"/>
      <c r="H4637" s="476" t="s">
        <v>5057</v>
      </c>
    </row>
    <row r="4638" customFormat="false" ht="15" hidden="false" customHeight="false" outlineLevel="0" collapsed="false">
      <c r="A4638" s="571"/>
      <c r="B4638" s="500"/>
      <c r="C4638" s="614" t="s">
        <v>5077</v>
      </c>
      <c r="D4638" s="606" t="s">
        <v>5018</v>
      </c>
      <c r="E4638" s="822" t="n">
        <v>1</v>
      </c>
      <c r="F4638" s="797" t="n">
        <v>1710</v>
      </c>
      <c r="G4638" s="799" t="n">
        <f aca="false">E4638*F4638</f>
        <v>1710</v>
      </c>
      <c r="H4638" s="476"/>
    </row>
    <row r="4639" customFormat="false" ht="15" hidden="false" customHeight="false" outlineLevel="0" collapsed="false">
      <c r="A4639" s="571"/>
      <c r="B4639" s="500"/>
      <c r="C4639" s="614" t="s">
        <v>5137</v>
      </c>
      <c r="D4639" s="606" t="s">
        <v>4149</v>
      </c>
      <c r="E4639" s="822" t="n">
        <v>0.3</v>
      </c>
      <c r="F4639" s="361" t="n">
        <v>4500</v>
      </c>
      <c r="G4639" s="799" t="n">
        <f aca="false">E4639*F4639</f>
        <v>1350</v>
      </c>
      <c r="H4639" s="476"/>
    </row>
    <row r="4640" customFormat="false" ht="15" hidden="false" customHeight="false" outlineLevel="0" collapsed="false">
      <c r="A4640" s="571"/>
      <c r="B4640" s="500"/>
      <c r="C4640" s="614" t="s">
        <v>5138</v>
      </c>
      <c r="D4640" s="606" t="s">
        <v>4149</v>
      </c>
      <c r="E4640" s="822" t="n">
        <v>0.01</v>
      </c>
      <c r="F4640" s="361" t="n">
        <v>3825</v>
      </c>
      <c r="G4640" s="799" t="n">
        <f aca="false">E4640*F4640</f>
        <v>38.25</v>
      </c>
      <c r="H4640" s="476"/>
    </row>
    <row r="4641" customFormat="false" ht="15" hidden="false" customHeight="false" outlineLevel="0" collapsed="false">
      <c r="A4641" s="571"/>
      <c r="B4641" s="608"/>
      <c r="C4641" s="614" t="s">
        <v>5139</v>
      </c>
      <c r="D4641" s="606" t="s">
        <v>4149</v>
      </c>
      <c r="E4641" s="822" t="n">
        <v>0.01</v>
      </c>
      <c r="F4641" s="361" t="n">
        <v>2155</v>
      </c>
      <c r="G4641" s="799" t="n">
        <f aca="false">E4641*F4641</f>
        <v>21.55</v>
      </c>
      <c r="H4641" s="476"/>
    </row>
    <row r="4642" customFormat="false" ht="15" hidden="false" customHeight="false" outlineLevel="0" collapsed="false">
      <c r="A4642" s="571"/>
      <c r="B4642" s="328"/>
      <c r="C4642" s="614" t="s">
        <v>5140</v>
      </c>
      <c r="D4642" s="606" t="s">
        <v>4149</v>
      </c>
      <c r="E4642" s="822" t="n">
        <v>0.000128</v>
      </c>
      <c r="F4642" s="361" t="n">
        <v>340000</v>
      </c>
      <c r="G4642" s="799" t="n">
        <f aca="false">E4642*F4642</f>
        <v>43.52</v>
      </c>
      <c r="H4642" s="476"/>
    </row>
    <row r="4643" customFormat="false" ht="15" hidden="false" customHeight="false" outlineLevel="0" collapsed="false">
      <c r="A4643" s="571"/>
      <c r="B4643" s="500"/>
      <c r="C4643" s="614" t="s">
        <v>4154</v>
      </c>
      <c r="D4643" s="606" t="s">
        <v>4149</v>
      </c>
      <c r="E4643" s="822" t="n">
        <v>0.06</v>
      </c>
      <c r="F4643" s="361" t="n">
        <v>7200</v>
      </c>
      <c r="G4643" s="799" t="n">
        <f aca="false">E4643*F4643</f>
        <v>432</v>
      </c>
      <c r="H4643" s="476"/>
    </row>
    <row r="4644" customFormat="false" ht="15" hidden="false" customHeight="false" outlineLevel="0" collapsed="false">
      <c r="A4644" s="571"/>
      <c r="B4644" s="500"/>
      <c r="C4644" s="614" t="s">
        <v>5141</v>
      </c>
      <c r="D4644" s="606" t="s">
        <v>4149</v>
      </c>
      <c r="E4644" s="822" t="n">
        <v>0.001</v>
      </c>
      <c r="F4644" s="361" t="n">
        <v>50000</v>
      </c>
      <c r="G4644" s="799" t="n">
        <f aca="false">E4644*F4644</f>
        <v>50</v>
      </c>
      <c r="H4644" s="476"/>
    </row>
    <row r="4645" customFormat="false" ht="30" hidden="false" customHeight="false" outlineLevel="0" collapsed="false">
      <c r="A4645" s="571"/>
      <c r="B4645" s="500"/>
      <c r="C4645" s="476" t="s">
        <v>5033</v>
      </c>
      <c r="D4645" s="606" t="s">
        <v>4191</v>
      </c>
      <c r="E4645" s="622" t="n">
        <v>3</v>
      </c>
      <c r="F4645" s="361" t="n">
        <v>100</v>
      </c>
      <c r="G4645" s="799" t="n">
        <f aca="false">E4645*F4645</f>
        <v>300</v>
      </c>
      <c r="H4645" s="820"/>
    </row>
    <row r="4646" customFormat="false" ht="15" hidden="false" customHeight="false" outlineLevel="0" collapsed="false">
      <c r="A4646" s="571"/>
      <c r="B4646" s="608"/>
      <c r="C4646" s="476" t="s">
        <v>4515</v>
      </c>
      <c r="D4646" s="820" t="s">
        <v>4149</v>
      </c>
      <c r="E4646" s="828" t="n">
        <v>0.05</v>
      </c>
      <c r="F4646" s="697" t="n">
        <v>3500</v>
      </c>
      <c r="G4646" s="799" t="n">
        <f aca="false">E4646*F4646</f>
        <v>175</v>
      </c>
      <c r="H4646" s="820"/>
    </row>
    <row r="4647" customFormat="false" ht="15" hidden="false" customHeight="false" outlineLevel="0" collapsed="false">
      <c r="A4647" s="571"/>
      <c r="B4647" s="608" t="s">
        <v>4128</v>
      </c>
      <c r="C4647" s="614"/>
      <c r="D4647" s="606"/>
      <c r="E4647" s="622"/>
      <c r="F4647" s="361"/>
      <c r="G4647" s="826" t="n">
        <f aca="false">SUM(G4638:G4646)</f>
        <v>4120.32</v>
      </c>
      <c r="H4647" s="606"/>
    </row>
    <row r="4648" customFormat="false" ht="15" hidden="false" customHeight="false" outlineLevel="0" collapsed="false">
      <c r="A4648" s="571" t="s">
        <v>5142</v>
      </c>
      <c r="B4648" s="433" t="s">
        <v>3271</v>
      </c>
      <c r="C4648" s="476"/>
      <c r="D4648" s="820"/>
      <c r="E4648" s="830"/>
      <c r="F4648" s="697"/>
      <c r="G4648" s="826"/>
      <c r="H4648" s="476" t="s">
        <v>5143</v>
      </c>
    </row>
    <row r="4649" customFormat="false" ht="15" hidden="false" customHeight="false" outlineLevel="0" collapsed="false">
      <c r="A4649" s="571"/>
      <c r="B4649" s="500"/>
      <c r="C4649" s="476" t="s">
        <v>4515</v>
      </c>
      <c r="D4649" s="820" t="s">
        <v>4149</v>
      </c>
      <c r="E4649" s="828" t="n">
        <v>0.05</v>
      </c>
      <c r="F4649" s="697" t="n">
        <v>3500</v>
      </c>
      <c r="G4649" s="799" t="n">
        <f aca="false">E4649*F4649</f>
        <v>175</v>
      </c>
      <c r="H4649" s="476"/>
    </row>
    <row r="4650" customFormat="false" ht="15" hidden="false" customHeight="false" outlineLevel="0" collapsed="false">
      <c r="A4650" s="571"/>
      <c r="B4650" s="500"/>
      <c r="C4650" s="476" t="s">
        <v>4915</v>
      </c>
      <c r="D4650" s="606" t="s">
        <v>5018</v>
      </c>
      <c r="E4650" s="822" t="n">
        <v>0.2</v>
      </c>
      <c r="F4650" s="797" t="n">
        <v>4500</v>
      </c>
      <c r="G4650" s="799" t="n">
        <f aca="false">E4650*F4650</f>
        <v>900</v>
      </c>
      <c r="H4650" s="476"/>
    </row>
    <row r="4651" customFormat="false" ht="15" hidden="false" customHeight="false" outlineLevel="0" collapsed="false">
      <c r="A4651" s="571"/>
      <c r="B4651" s="608"/>
      <c r="C4651" s="338" t="s">
        <v>4122</v>
      </c>
      <c r="D4651" s="804" t="s">
        <v>4123</v>
      </c>
      <c r="E4651" s="839" t="n">
        <v>0.1</v>
      </c>
      <c r="F4651" s="806" t="n">
        <v>720</v>
      </c>
      <c r="G4651" s="799" t="n">
        <f aca="false">E4651*F4651</f>
        <v>72</v>
      </c>
      <c r="H4651" s="476"/>
    </row>
    <row r="4652" customFormat="false" ht="15" hidden="false" customHeight="false" outlineLevel="0" collapsed="false">
      <c r="A4652" s="571"/>
      <c r="B4652" s="328"/>
      <c r="C4652" s="338" t="s">
        <v>5144</v>
      </c>
      <c r="D4652" s="804" t="s">
        <v>4123</v>
      </c>
      <c r="E4652" s="839" t="n">
        <v>0.01</v>
      </c>
      <c r="F4652" s="806" t="n">
        <v>70000</v>
      </c>
      <c r="G4652" s="799" t="n">
        <f aca="false">E4652*F4652</f>
        <v>700</v>
      </c>
      <c r="H4652" s="476"/>
    </row>
    <row r="4653" customFormat="false" ht="15" hidden="false" customHeight="false" outlineLevel="0" collapsed="false">
      <c r="A4653" s="571"/>
      <c r="B4653" s="500"/>
      <c r="C4653" s="840" t="s">
        <v>5145</v>
      </c>
      <c r="D4653" s="606" t="s">
        <v>4191</v>
      </c>
      <c r="E4653" s="622" t="n">
        <v>3</v>
      </c>
      <c r="F4653" s="361" t="n">
        <v>100</v>
      </c>
      <c r="G4653" s="799" t="n">
        <f aca="false">E4653*F4653</f>
        <v>300</v>
      </c>
      <c r="H4653" s="476"/>
    </row>
    <row r="4654" customFormat="false" ht="30" hidden="false" customHeight="false" outlineLevel="0" collapsed="false">
      <c r="A4654" s="571"/>
      <c r="B4654" s="500"/>
      <c r="C4654" s="476" t="s">
        <v>5033</v>
      </c>
      <c r="D4654" s="606" t="s">
        <v>4191</v>
      </c>
      <c r="E4654" s="622" t="n">
        <v>3</v>
      </c>
      <c r="F4654" s="361" t="n">
        <v>100</v>
      </c>
      <c r="G4654" s="799" t="n">
        <f aca="false">E4654*F4654</f>
        <v>300</v>
      </c>
      <c r="H4654" s="476"/>
    </row>
    <row r="4655" customFormat="false" ht="15" hidden="false" customHeight="false" outlineLevel="0" collapsed="false">
      <c r="A4655" s="571"/>
      <c r="B4655" s="608" t="s">
        <v>4128</v>
      </c>
      <c r="C4655" s="614"/>
      <c r="D4655" s="606"/>
      <c r="E4655" s="822"/>
      <c r="F4655" s="361"/>
      <c r="G4655" s="613" t="n">
        <f aca="false">SUM(G4648:G4654)</f>
        <v>2447</v>
      </c>
      <c r="H4655" s="606"/>
    </row>
    <row r="4656" customFormat="false" ht="15" hidden="false" customHeight="false" outlineLevel="0" collapsed="false">
      <c r="A4656" s="571" t="s">
        <v>5146</v>
      </c>
      <c r="B4656" s="433" t="s">
        <v>3272</v>
      </c>
      <c r="C4656" s="476"/>
      <c r="D4656" s="820"/>
      <c r="E4656" s="828"/>
      <c r="F4656" s="697"/>
      <c r="G4656" s="615"/>
      <c r="H4656" s="476" t="s">
        <v>5147</v>
      </c>
    </row>
    <row r="4657" customFormat="false" ht="15" hidden="false" customHeight="false" outlineLevel="0" collapsed="false">
      <c r="A4657" s="571"/>
      <c r="B4657" s="328"/>
      <c r="C4657" s="476" t="s">
        <v>5148</v>
      </c>
      <c r="D4657" s="606" t="s">
        <v>4149</v>
      </c>
      <c r="E4657" s="822" t="n">
        <v>0.1915</v>
      </c>
      <c r="F4657" s="797" t="n">
        <v>4500</v>
      </c>
      <c r="G4657" s="799" t="n">
        <f aca="false">E4657*F4657</f>
        <v>861.75</v>
      </c>
      <c r="H4657" s="476"/>
    </row>
    <row r="4658" customFormat="false" ht="30" hidden="false" customHeight="false" outlineLevel="0" collapsed="false">
      <c r="A4658" s="571"/>
      <c r="B4658" s="500"/>
      <c r="C4658" s="476" t="s">
        <v>5033</v>
      </c>
      <c r="D4658" s="606" t="s">
        <v>4191</v>
      </c>
      <c r="E4658" s="622" t="n">
        <v>3</v>
      </c>
      <c r="F4658" s="361" t="n">
        <v>100</v>
      </c>
      <c r="G4658" s="799" t="n">
        <f aca="false">E4658*F4658</f>
        <v>300</v>
      </c>
      <c r="H4658" s="476"/>
    </row>
    <row r="4659" customFormat="false" ht="15" hidden="false" customHeight="false" outlineLevel="0" collapsed="false">
      <c r="A4659" s="571"/>
      <c r="B4659" s="500"/>
      <c r="C4659" s="374" t="s">
        <v>5149</v>
      </c>
      <c r="D4659" s="602" t="s">
        <v>4149</v>
      </c>
      <c r="E4659" s="841" t="n">
        <v>0.02</v>
      </c>
      <c r="F4659" s="697" t="n">
        <v>15750</v>
      </c>
      <c r="G4659" s="799" t="n">
        <f aca="false">E4659*F4659</f>
        <v>315</v>
      </c>
      <c r="H4659" s="476"/>
    </row>
    <row r="4660" customFormat="false" ht="30" hidden="false" customHeight="false" outlineLevel="0" collapsed="false">
      <c r="A4660" s="571"/>
      <c r="B4660" s="500"/>
      <c r="C4660" s="374" t="s">
        <v>5150</v>
      </c>
      <c r="D4660" s="602" t="s">
        <v>4149</v>
      </c>
      <c r="E4660" s="841" t="n">
        <v>0.01</v>
      </c>
      <c r="F4660" s="697" t="n">
        <v>31200</v>
      </c>
      <c r="G4660" s="799" t="n">
        <f aca="false">E4660*F4660</f>
        <v>312</v>
      </c>
      <c r="H4660" s="476"/>
    </row>
    <row r="4661" customFormat="false" ht="15" hidden="false" customHeight="false" outlineLevel="0" collapsed="false">
      <c r="A4661" s="571"/>
      <c r="B4661" s="608"/>
      <c r="C4661" s="840" t="s">
        <v>5145</v>
      </c>
      <c r="D4661" s="606" t="s">
        <v>4191</v>
      </c>
      <c r="E4661" s="622" t="n">
        <v>3</v>
      </c>
      <c r="F4661" s="361" t="n">
        <v>100</v>
      </c>
      <c r="G4661" s="799" t="n">
        <f aca="false">E4661*F4661</f>
        <v>300</v>
      </c>
      <c r="H4661" s="476"/>
    </row>
    <row r="4662" customFormat="false" ht="15" hidden="false" customHeight="false" outlineLevel="0" collapsed="false">
      <c r="A4662" s="571"/>
      <c r="B4662" s="608"/>
      <c r="C4662" s="840" t="s">
        <v>4147</v>
      </c>
      <c r="D4662" s="606" t="s">
        <v>4149</v>
      </c>
      <c r="E4662" s="622" t="n">
        <v>0.01</v>
      </c>
      <c r="F4662" s="361" t="n">
        <v>3612</v>
      </c>
      <c r="G4662" s="799"/>
      <c r="H4662" s="476"/>
    </row>
    <row r="4663" customFormat="false" ht="15" hidden="false" customHeight="false" outlineLevel="0" collapsed="false">
      <c r="A4663" s="571"/>
      <c r="B4663" s="328"/>
      <c r="C4663" s="476" t="s">
        <v>4515</v>
      </c>
      <c r="D4663" s="820" t="s">
        <v>4149</v>
      </c>
      <c r="E4663" s="828" t="n">
        <v>0.05</v>
      </c>
      <c r="F4663" s="697" t="n">
        <v>3500</v>
      </c>
      <c r="G4663" s="799" t="n">
        <f aca="false">E4663*F4663</f>
        <v>175</v>
      </c>
      <c r="H4663" s="476"/>
    </row>
    <row r="4664" customFormat="false" ht="15" hidden="false" customHeight="false" outlineLevel="0" collapsed="false">
      <c r="A4664" s="571"/>
      <c r="B4664" s="608" t="s">
        <v>4128</v>
      </c>
      <c r="C4664" s="614"/>
      <c r="D4664" s="606"/>
      <c r="E4664" s="822"/>
      <c r="F4664" s="361"/>
      <c r="G4664" s="826" t="n">
        <f aca="false">SUM(G4656:G4663)</f>
        <v>2263.75</v>
      </c>
      <c r="H4664" s="606"/>
    </row>
    <row r="4665" customFormat="false" ht="30" hidden="false" customHeight="false" outlineLevel="0" collapsed="false">
      <c r="A4665" s="7" t="s">
        <v>961</v>
      </c>
      <c r="B4665" s="60" t="s">
        <v>3273</v>
      </c>
      <c r="C4665" s="614"/>
      <c r="D4665" s="606"/>
      <c r="E4665" s="822"/>
      <c r="F4665" s="361"/>
      <c r="G4665" s="826"/>
      <c r="H4665" s="606"/>
    </row>
    <row r="4666" customFormat="false" ht="15" hidden="false" customHeight="false" outlineLevel="0" collapsed="false">
      <c r="A4666" s="571"/>
      <c r="B4666" s="500"/>
      <c r="C4666" s="338" t="s">
        <v>4584</v>
      </c>
      <c r="D4666" s="823" t="s">
        <v>4149</v>
      </c>
      <c r="E4666" s="812" t="n">
        <v>0.5</v>
      </c>
      <c r="F4666" s="797" t="n">
        <v>3500</v>
      </c>
      <c r="G4666" s="799" t="n">
        <f aca="false">E4666*F4666</f>
        <v>1750</v>
      </c>
      <c r="H4666" s="476"/>
    </row>
    <row r="4667" customFormat="false" ht="15" hidden="false" customHeight="false" outlineLevel="0" collapsed="false">
      <c r="A4667" s="571"/>
      <c r="B4667" s="608"/>
      <c r="C4667" s="338" t="s">
        <v>5111</v>
      </c>
      <c r="D4667" s="823" t="s">
        <v>4149</v>
      </c>
      <c r="E4667" s="812" t="n">
        <v>0.028</v>
      </c>
      <c r="F4667" s="797" t="n">
        <v>21120</v>
      </c>
      <c r="G4667" s="799" t="n">
        <f aca="false">E4667*F4667</f>
        <v>591.36</v>
      </c>
      <c r="H4667" s="476"/>
    </row>
    <row r="4668" customFormat="false" ht="15" hidden="false" customHeight="false" outlineLevel="0" collapsed="false">
      <c r="A4668" s="571"/>
      <c r="B4668" s="328"/>
      <c r="C4668" s="476" t="s">
        <v>4515</v>
      </c>
      <c r="D4668" s="823" t="s">
        <v>4149</v>
      </c>
      <c r="E4668" s="828" t="n">
        <v>0.05</v>
      </c>
      <c r="F4668" s="697" t="n">
        <v>3500</v>
      </c>
      <c r="G4668" s="799" t="n">
        <f aca="false">E4668*F4668</f>
        <v>175</v>
      </c>
      <c r="H4668" s="476"/>
    </row>
    <row r="4669" customFormat="false" ht="30" hidden="false" customHeight="false" outlineLevel="0" collapsed="false">
      <c r="A4669" s="571"/>
      <c r="B4669" s="500"/>
      <c r="C4669" s="476" t="s">
        <v>5033</v>
      </c>
      <c r="D4669" s="606" t="s">
        <v>4191</v>
      </c>
      <c r="E4669" s="622" t="n">
        <v>3</v>
      </c>
      <c r="F4669" s="361" t="n">
        <v>100</v>
      </c>
      <c r="G4669" s="799" t="n">
        <f aca="false">E4669*F4669</f>
        <v>300</v>
      </c>
      <c r="H4669" s="476"/>
    </row>
    <row r="4670" customFormat="false" ht="15" hidden="false" customHeight="false" outlineLevel="0" collapsed="false">
      <c r="A4670" s="571"/>
      <c r="B4670" s="608" t="s">
        <v>4128</v>
      </c>
      <c r="C4670" s="614"/>
      <c r="D4670" s="606"/>
      <c r="E4670" s="622"/>
      <c r="F4670" s="361"/>
      <c r="G4670" s="613" t="n">
        <f aca="false">SUM(G4665:G4669)</f>
        <v>2816.36</v>
      </c>
      <c r="H4670" s="606"/>
    </row>
    <row r="4671" customFormat="false" ht="15" hidden="false" customHeight="false" outlineLevel="0" collapsed="false">
      <c r="A4671" s="7" t="s">
        <v>963</v>
      </c>
      <c r="B4671" s="60" t="s">
        <v>3274</v>
      </c>
      <c r="C4671" s="614"/>
      <c r="D4671" s="606"/>
      <c r="E4671" s="822"/>
      <c r="F4671" s="361"/>
      <c r="G4671" s="826"/>
      <c r="H4671" s="606"/>
    </row>
    <row r="4672" customFormat="false" ht="15" hidden="false" customHeight="false" outlineLevel="0" collapsed="false">
      <c r="A4672" s="571"/>
      <c r="B4672" s="500"/>
      <c r="C4672" s="338" t="s">
        <v>4584</v>
      </c>
      <c r="D4672" s="823" t="s">
        <v>4149</v>
      </c>
      <c r="E4672" s="812" t="n">
        <v>0.5</v>
      </c>
      <c r="F4672" s="797" t="n">
        <v>3500</v>
      </c>
      <c r="G4672" s="799" t="n">
        <f aca="false">E4672*F4672</f>
        <v>1750</v>
      </c>
      <c r="H4672" s="476"/>
    </row>
    <row r="4673" customFormat="false" ht="15" hidden="false" customHeight="false" outlineLevel="0" collapsed="false">
      <c r="A4673" s="571"/>
      <c r="B4673" s="608"/>
      <c r="C4673" s="338" t="s">
        <v>5111</v>
      </c>
      <c r="D4673" s="823" t="s">
        <v>4149</v>
      </c>
      <c r="E4673" s="812" t="n">
        <v>0.028</v>
      </c>
      <c r="F4673" s="797" t="n">
        <v>21120</v>
      </c>
      <c r="G4673" s="799" t="n">
        <f aca="false">E4673*F4673</f>
        <v>591.36</v>
      </c>
      <c r="H4673" s="476"/>
    </row>
    <row r="4674" customFormat="false" ht="15" hidden="false" customHeight="false" outlineLevel="0" collapsed="false">
      <c r="A4674" s="571"/>
      <c r="B4674" s="328"/>
      <c r="C4674" s="476" t="s">
        <v>4515</v>
      </c>
      <c r="D4674" s="823" t="s">
        <v>4149</v>
      </c>
      <c r="E4674" s="828" t="n">
        <v>0.05</v>
      </c>
      <c r="F4674" s="697" t="n">
        <v>3500</v>
      </c>
      <c r="G4674" s="799" t="n">
        <f aca="false">E4674*F4674</f>
        <v>175</v>
      </c>
      <c r="H4674" s="476"/>
    </row>
    <row r="4675" customFormat="false" ht="30" hidden="false" customHeight="false" outlineLevel="0" collapsed="false">
      <c r="A4675" s="571"/>
      <c r="B4675" s="500"/>
      <c r="C4675" s="476" t="s">
        <v>5033</v>
      </c>
      <c r="D4675" s="606" t="s">
        <v>4191</v>
      </c>
      <c r="E4675" s="622" t="n">
        <v>3</v>
      </c>
      <c r="F4675" s="361" t="n">
        <v>100</v>
      </c>
      <c r="G4675" s="799" t="n">
        <f aca="false">E4675*F4675</f>
        <v>300</v>
      </c>
      <c r="H4675" s="476"/>
    </row>
    <row r="4676" customFormat="false" ht="15" hidden="false" customHeight="false" outlineLevel="0" collapsed="false">
      <c r="A4676" s="571"/>
      <c r="B4676" s="608" t="s">
        <v>4128</v>
      </c>
      <c r="C4676" s="614"/>
      <c r="D4676" s="606"/>
      <c r="E4676" s="622"/>
      <c r="F4676" s="361"/>
      <c r="G4676" s="613" t="n">
        <f aca="false">SUM(G4671:G4675)</f>
        <v>2816.36</v>
      </c>
      <c r="H4676" s="606"/>
    </row>
    <row r="4677" customFormat="false" ht="15" hidden="false" customHeight="false" outlineLevel="0" collapsed="false">
      <c r="A4677" s="7" t="s">
        <v>965</v>
      </c>
      <c r="B4677" s="60" t="s">
        <v>3275</v>
      </c>
      <c r="C4677" s="614"/>
      <c r="D4677" s="606"/>
      <c r="E4677" s="822"/>
      <c r="F4677" s="361"/>
      <c r="G4677" s="826"/>
      <c r="H4677" s="606"/>
    </row>
    <row r="4678" customFormat="false" ht="15" hidden="false" customHeight="false" outlineLevel="0" collapsed="false">
      <c r="A4678" s="571"/>
      <c r="B4678" s="500"/>
      <c r="C4678" s="614" t="s">
        <v>5077</v>
      </c>
      <c r="D4678" s="606" t="s">
        <v>5018</v>
      </c>
      <c r="E4678" s="822" t="n">
        <v>1</v>
      </c>
      <c r="F4678" s="797" t="n">
        <v>1350</v>
      </c>
      <c r="G4678" s="799" t="n">
        <f aca="false">E4678*F4678</f>
        <v>1350</v>
      </c>
      <c r="H4678" s="476"/>
    </row>
    <row r="4679" customFormat="false" ht="15" hidden="false" customHeight="false" outlineLevel="0" collapsed="false">
      <c r="A4679" s="571"/>
      <c r="B4679" s="500"/>
      <c r="C4679" s="338" t="s">
        <v>4653</v>
      </c>
      <c r="D4679" s="823" t="s">
        <v>4149</v>
      </c>
      <c r="E4679" s="812" t="n">
        <v>0.03</v>
      </c>
      <c r="F4679" s="797" t="n">
        <v>13125</v>
      </c>
      <c r="G4679" s="799" t="n">
        <f aca="false">E4679*F4679</f>
        <v>393.75</v>
      </c>
      <c r="H4679" s="476"/>
    </row>
    <row r="4680" customFormat="false" ht="15" hidden="false" customHeight="false" outlineLevel="0" collapsed="false">
      <c r="A4680" s="571"/>
      <c r="B4680" s="500"/>
      <c r="C4680" s="842" t="s">
        <v>5045</v>
      </c>
      <c r="D4680" s="823" t="s">
        <v>4149</v>
      </c>
      <c r="E4680" s="812" t="n">
        <v>0.0031</v>
      </c>
      <c r="F4680" s="797" t="n">
        <v>1200</v>
      </c>
      <c r="G4680" s="799" t="n">
        <f aca="false">E4680*F4680</f>
        <v>3.72</v>
      </c>
      <c r="H4680" s="476"/>
    </row>
    <row r="4681" customFormat="false" ht="15" hidden="false" customHeight="false" outlineLevel="0" collapsed="false">
      <c r="A4681" s="571"/>
      <c r="B4681" s="608"/>
      <c r="C4681" s="338" t="s">
        <v>5108</v>
      </c>
      <c r="D4681" s="823" t="s">
        <v>4149</v>
      </c>
      <c r="E4681" s="812" t="n">
        <v>0.008</v>
      </c>
      <c r="F4681" s="797" t="n">
        <v>45000</v>
      </c>
      <c r="G4681" s="799" t="n">
        <f aca="false">E4681*F4681</f>
        <v>360</v>
      </c>
      <c r="H4681" s="476"/>
    </row>
    <row r="4682" customFormat="false" ht="15" hidden="false" customHeight="false" outlineLevel="0" collapsed="false">
      <c r="A4682" s="571"/>
      <c r="B4682" s="328"/>
      <c r="C4682" s="338" t="s">
        <v>4122</v>
      </c>
      <c r="D4682" s="823" t="s">
        <v>4123</v>
      </c>
      <c r="E4682" s="812" t="n">
        <v>0.004</v>
      </c>
      <c r="F4682" s="797" t="n">
        <v>720</v>
      </c>
      <c r="G4682" s="799" t="n">
        <f aca="false">E4682*F4682</f>
        <v>2.88</v>
      </c>
      <c r="H4682" s="476"/>
    </row>
    <row r="4683" customFormat="false" ht="15" hidden="false" customHeight="false" outlineLevel="0" collapsed="false">
      <c r="A4683" s="571"/>
      <c r="B4683" s="500"/>
      <c r="C4683" s="476" t="s">
        <v>4515</v>
      </c>
      <c r="D4683" s="823" t="s">
        <v>4149</v>
      </c>
      <c r="E4683" s="828" t="n">
        <v>0.05</v>
      </c>
      <c r="F4683" s="697" t="n">
        <v>3500</v>
      </c>
      <c r="G4683" s="799" t="n">
        <f aca="false">E4683*F4683</f>
        <v>175</v>
      </c>
      <c r="H4683" s="476"/>
    </row>
    <row r="4684" customFormat="false" ht="30" hidden="false" customHeight="false" outlineLevel="0" collapsed="false">
      <c r="A4684" s="571"/>
      <c r="B4684" s="500"/>
      <c r="C4684" s="476" t="s">
        <v>5033</v>
      </c>
      <c r="D4684" s="606" t="s">
        <v>4191</v>
      </c>
      <c r="E4684" s="622" t="n">
        <v>1</v>
      </c>
      <c r="F4684" s="361" t="n">
        <v>100</v>
      </c>
      <c r="G4684" s="799" t="n">
        <f aca="false">E4684*F4684</f>
        <v>100</v>
      </c>
      <c r="H4684" s="476"/>
    </row>
    <row r="4685" customFormat="false" ht="15" hidden="false" customHeight="false" outlineLevel="0" collapsed="false">
      <c r="A4685" s="571"/>
      <c r="B4685" s="608" t="s">
        <v>4128</v>
      </c>
      <c r="C4685" s="614"/>
      <c r="D4685" s="606"/>
      <c r="E4685" s="822"/>
      <c r="F4685" s="361"/>
      <c r="G4685" s="826" t="n">
        <f aca="false">SUM(G4678:G4684)</f>
        <v>2385.35</v>
      </c>
      <c r="H4685" s="606"/>
    </row>
    <row r="4686" customFormat="false" ht="15" hidden="false" customHeight="false" outlineLevel="0" collapsed="false">
      <c r="A4686" s="7" t="s">
        <v>967</v>
      </c>
      <c r="B4686" s="60" t="s">
        <v>3276</v>
      </c>
      <c r="C4686" s="614"/>
      <c r="D4686" s="606"/>
      <c r="E4686" s="822"/>
      <c r="F4686" s="361"/>
      <c r="G4686" s="826"/>
      <c r="H4686" s="606"/>
    </row>
    <row r="4687" customFormat="false" ht="15" hidden="false" customHeight="false" outlineLevel="0" collapsed="false">
      <c r="A4687" s="571"/>
      <c r="B4687" s="500"/>
      <c r="C4687" s="614" t="s">
        <v>5077</v>
      </c>
      <c r="D4687" s="606" t="s">
        <v>5018</v>
      </c>
      <c r="E4687" s="822" t="n">
        <v>1</v>
      </c>
      <c r="F4687" s="797" t="n">
        <v>1350</v>
      </c>
      <c r="G4687" s="799" t="n">
        <f aca="false">E4687*F4687</f>
        <v>1350</v>
      </c>
      <c r="H4687" s="476"/>
    </row>
    <row r="4688" customFormat="false" ht="15" hidden="false" customHeight="false" outlineLevel="0" collapsed="false">
      <c r="A4688" s="571"/>
      <c r="B4688" s="500"/>
      <c r="C4688" s="338" t="s">
        <v>4653</v>
      </c>
      <c r="D4688" s="823" t="s">
        <v>4149</v>
      </c>
      <c r="E4688" s="812" t="n">
        <v>0.03</v>
      </c>
      <c r="F4688" s="797" t="n">
        <v>13125</v>
      </c>
      <c r="G4688" s="799" t="n">
        <f aca="false">E4688*F4688</f>
        <v>393.75</v>
      </c>
      <c r="H4688" s="476"/>
    </row>
    <row r="4689" customFormat="false" ht="15" hidden="false" customHeight="false" outlineLevel="0" collapsed="false">
      <c r="A4689" s="571"/>
      <c r="B4689" s="500"/>
      <c r="C4689" s="842" t="s">
        <v>5045</v>
      </c>
      <c r="D4689" s="823" t="s">
        <v>4149</v>
      </c>
      <c r="E4689" s="812" t="n">
        <v>0.0031</v>
      </c>
      <c r="F4689" s="797" t="n">
        <v>1200</v>
      </c>
      <c r="G4689" s="799" t="n">
        <f aca="false">E4689*F4689</f>
        <v>3.72</v>
      </c>
      <c r="H4689" s="476"/>
    </row>
    <row r="4690" customFormat="false" ht="15" hidden="false" customHeight="false" outlineLevel="0" collapsed="false">
      <c r="A4690" s="571"/>
      <c r="B4690" s="608"/>
      <c r="C4690" s="338" t="s">
        <v>5108</v>
      </c>
      <c r="D4690" s="823" t="s">
        <v>4149</v>
      </c>
      <c r="E4690" s="812" t="n">
        <v>0.008</v>
      </c>
      <c r="F4690" s="797" t="n">
        <v>45000</v>
      </c>
      <c r="G4690" s="799" t="n">
        <f aca="false">E4690*F4690</f>
        <v>360</v>
      </c>
      <c r="H4690" s="476"/>
    </row>
    <row r="4691" customFormat="false" ht="15" hidden="false" customHeight="false" outlineLevel="0" collapsed="false">
      <c r="A4691" s="571"/>
      <c r="B4691" s="328"/>
      <c r="C4691" s="338" t="s">
        <v>4122</v>
      </c>
      <c r="D4691" s="823" t="s">
        <v>4123</v>
      </c>
      <c r="E4691" s="812" t="n">
        <v>0.004</v>
      </c>
      <c r="F4691" s="797" t="n">
        <v>720</v>
      </c>
      <c r="G4691" s="799" t="n">
        <f aca="false">E4691*F4691</f>
        <v>2.88</v>
      </c>
      <c r="H4691" s="476"/>
    </row>
    <row r="4692" customFormat="false" ht="15" hidden="false" customHeight="false" outlineLevel="0" collapsed="false">
      <c r="A4692" s="571"/>
      <c r="B4692" s="500"/>
      <c r="C4692" s="476" t="s">
        <v>4515</v>
      </c>
      <c r="D4692" s="823" t="s">
        <v>4149</v>
      </c>
      <c r="E4692" s="828" t="n">
        <v>0.05</v>
      </c>
      <c r="F4692" s="697" t="n">
        <v>3500</v>
      </c>
      <c r="G4692" s="799" t="n">
        <f aca="false">E4692*F4692</f>
        <v>175</v>
      </c>
      <c r="H4692" s="476"/>
    </row>
    <row r="4693" customFormat="false" ht="30" hidden="false" customHeight="false" outlineLevel="0" collapsed="false">
      <c r="A4693" s="571"/>
      <c r="B4693" s="500"/>
      <c r="C4693" s="476" t="s">
        <v>5033</v>
      </c>
      <c r="D4693" s="606" t="s">
        <v>4191</v>
      </c>
      <c r="E4693" s="622" t="n">
        <v>1</v>
      </c>
      <c r="F4693" s="361" t="n">
        <v>100</v>
      </c>
      <c r="G4693" s="799" t="n">
        <f aca="false">E4693*F4693</f>
        <v>100</v>
      </c>
      <c r="H4693" s="476"/>
    </row>
    <row r="4694" customFormat="false" ht="15" hidden="false" customHeight="false" outlineLevel="0" collapsed="false">
      <c r="A4694" s="571"/>
      <c r="B4694" s="608" t="s">
        <v>4128</v>
      </c>
      <c r="C4694" s="614"/>
      <c r="D4694" s="606"/>
      <c r="E4694" s="822"/>
      <c r="F4694" s="361"/>
      <c r="G4694" s="826" t="n">
        <f aca="false">SUM(G4687:G4693)</f>
        <v>2385.35</v>
      </c>
      <c r="H4694" s="606"/>
    </row>
    <row r="4695" customFormat="false" ht="15" hidden="false" customHeight="false" outlineLevel="0" collapsed="false">
      <c r="A4695" s="7" t="s">
        <v>969</v>
      </c>
      <c r="B4695" s="60" t="s">
        <v>3277</v>
      </c>
      <c r="C4695" s="614"/>
      <c r="D4695" s="606"/>
      <c r="E4695" s="822"/>
      <c r="F4695" s="361"/>
      <c r="G4695" s="826"/>
      <c r="H4695" s="606"/>
    </row>
    <row r="4696" customFormat="false" ht="15" hidden="false" customHeight="false" outlineLevel="0" collapsed="false">
      <c r="A4696" s="571"/>
      <c r="B4696" s="500"/>
      <c r="C4696" s="338" t="s">
        <v>4584</v>
      </c>
      <c r="D4696" s="823" t="s">
        <v>4149</v>
      </c>
      <c r="E4696" s="812" t="n">
        <v>0.5</v>
      </c>
      <c r="F4696" s="797" t="n">
        <v>3500</v>
      </c>
      <c r="G4696" s="799" t="n">
        <f aca="false">E4696*F4696</f>
        <v>1750</v>
      </c>
      <c r="H4696" s="476"/>
    </row>
    <row r="4697" customFormat="false" ht="15" hidden="false" customHeight="false" outlineLevel="0" collapsed="false">
      <c r="A4697" s="571"/>
      <c r="B4697" s="608"/>
      <c r="C4697" s="338" t="s">
        <v>5111</v>
      </c>
      <c r="D4697" s="823" t="s">
        <v>4149</v>
      </c>
      <c r="E4697" s="812" t="n">
        <v>0.028</v>
      </c>
      <c r="F4697" s="797" t="n">
        <v>21120</v>
      </c>
      <c r="G4697" s="799" t="n">
        <f aca="false">E4697*F4697</f>
        <v>591.36</v>
      </c>
      <c r="H4697" s="476"/>
    </row>
    <row r="4698" customFormat="false" ht="15" hidden="false" customHeight="false" outlineLevel="0" collapsed="false">
      <c r="A4698" s="571"/>
      <c r="B4698" s="328"/>
      <c r="C4698" s="476" t="s">
        <v>4515</v>
      </c>
      <c r="D4698" s="823" t="s">
        <v>4149</v>
      </c>
      <c r="E4698" s="828" t="n">
        <v>0.05</v>
      </c>
      <c r="F4698" s="697" t="n">
        <v>3500</v>
      </c>
      <c r="G4698" s="799" t="n">
        <f aca="false">E4698*F4698</f>
        <v>175</v>
      </c>
      <c r="H4698" s="476"/>
    </row>
    <row r="4699" customFormat="false" ht="30" hidden="false" customHeight="false" outlineLevel="0" collapsed="false">
      <c r="A4699" s="571"/>
      <c r="B4699" s="500"/>
      <c r="C4699" s="476" t="s">
        <v>5033</v>
      </c>
      <c r="D4699" s="606" t="s">
        <v>4191</v>
      </c>
      <c r="E4699" s="622" t="n">
        <v>3</v>
      </c>
      <c r="F4699" s="361" t="n">
        <v>100</v>
      </c>
      <c r="G4699" s="799" t="n">
        <f aca="false">E4699*F4699</f>
        <v>300</v>
      </c>
      <c r="H4699" s="476"/>
    </row>
    <row r="4700" customFormat="false" ht="15" hidden="false" customHeight="false" outlineLevel="0" collapsed="false">
      <c r="A4700" s="571"/>
      <c r="B4700" s="608" t="s">
        <v>4128</v>
      </c>
      <c r="C4700" s="614"/>
      <c r="D4700" s="606"/>
      <c r="E4700" s="622"/>
      <c r="F4700" s="361"/>
      <c r="G4700" s="613" t="n">
        <f aca="false">SUM(G4695:G4699)</f>
        <v>2816.36</v>
      </c>
      <c r="H4700" s="606"/>
    </row>
    <row r="4701" customFormat="false" ht="15" hidden="false" customHeight="false" outlineLevel="0" collapsed="false">
      <c r="A4701" s="7" t="s">
        <v>971</v>
      </c>
      <c r="B4701" s="60" t="s">
        <v>3278</v>
      </c>
      <c r="C4701" s="614"/>
      <c r="D4701" s="606"/>
      <c r="E4701" s="822"/>
      <c r="F4701" s="361"/>
      <c r="G4701" s="826"/>
      <c r="H4701" s="606"/>
    </row>
    <row r="4702" customFormat="false" ht="15" hidden="false" customHeight="false" outlineLevel="0" collapsed="false">
      <c r="A4702" s="571"/>
      <c r="B4702" s="328"/>
      <c r="C4702" s="476" t="s">
        <v>5148</v>
      </c>
      <c r="D4702" s="606" t="s">
        <v>4149</v>
      </c>
      <c r="E4702" s="822" t="n">
        <v>0.1915</v>
      </c>
      <c r="F4702" s="797" t="n">
        <v>4500</v>
      </c>
      <c r="G4702" s="799" t="n">
        <f aca="false">E4702*F4702</f>
        <v>861.75</v>
      </c>
      <c r="H4702" s="476"/>
    </row>
    <row r="4703" customFormat="false" ht="30" hidden="false" customHeight="false" outlineLevel="0" collapsed="false">
      <c r="A4703" s="571"/>
      <c r="B4703" s="500"/>
      <c r="C4703" s="476" t="s">
        <v>5033</v>
      </c>
      <c r="D4703" s="606" t="s">
        <v>4191</v>
      </c>
      <c r="E4703" s="622" t="n">
        <v>3</v>
      </c>
      <c r="F4703" s="361" t="n">
        <v>100</v>
      </c>
      <c r="G4703" s="799" t="n">
        <f aca="false">E4703*F4703</f>
        <v>300</v>
      </c>
      <c r="H4703" s="476"/>
    </row>
    <row r="4704" customFormat="false" ht="15" hidden="false" customHeight="false" outlineLevel="0" collapsed="false">
      <c r="A4704" s="571"/>
      <c r="B4704" s="500"/>
      <c r="C4704" s="374" t="s">
        <v>5149</v>
      </c>
      <c r="D4704" s="602" t="s">
        <v>4149</v>
      </c>
      <c r="E4704" s="841" t="n">
        <v>0.02</v>
      </c>
      <c r="F4704" s="697" t="n">
        <v>15750</v>
      </c>
      <c r="G4704" s="799" t="n">
        <f aca="false">E4704*F4704</f>
        <v>315</v>
      </c>
      <c r="H4704" s="476"/>
    </row>
    <row r="4705" customFormat="false" ht="30" hidden="false" customHeight="false" outlineLevel="0" collapsed="false">
      <c r="A4705" s="571"/>
      <c r="B4705" s="500"/>
      <c r="C4705" s="374" t="s">
        <v>5150</v>
      </c>
      <c r="D4705" s="602" t="s">
        <v>4149</v>
      </c>
      <c r="E4705" s="841" t="n">
        <v>0.01</v>
      </c>
      <c r="F4705" s="697" t="n">
        <v>31200</v>
      </c>
      <c r="G4705" s="799" t="n">
        <f aca="false">E4705*F4705</f>
        <v>312</v>
      </c>
      <c r="H4705" s="476"/>
    </row>
    <row r="4706" customFormat="false" ht="15" hidden="false" customHeight="false" outlineLevel="0" collapsed="false">
      <c r="A4706" s="571"/>
      <c r="B4706" s="608"/>
      <c r="C4706" s="840" t="s">
        <v>5145</v>
      </c>
      <c r="D4706" s="606" t="s">
        <v>4191</v>
      </c>
      <c r="E4706" s="622" t="n">
        <v>3</v>
      </c>
      <c r="F4706" s="361" t="n">
        <v>100</v>
      </c>
      <c r="G4706" s="799" t="n">
        <f aca="false">E4706*F4706</f>
        <v>300</v>
      </c>
      <c r="H4706" s="476"/>
    </row>
    <row r="4707" customFormat="false" ht="15" hidden="false" customHeight="false" outlineLevel="0" collapsed="false">
      <c r="A4707" s="571"/>
      <c r="B4707" s="608"/>
      <c r="C4707" s="840" t="s">
        <v>4147</v>
      </c>
      <c r="D4707" s="606" t="s">
        <v>4149</v>
      </c>
      <c r="E4707" s="622" t="n">
        <v>0.01</v>
      </c>
      <c r="F4707" s="361" t="n">
        <v>3612</v>
      </c>
      <c r="G4707" s="799"/>
      <c r="H4707" s="476"/>
    </row>
    <row r="4708" customFormat="false" ht="15" hidden="false" customHeight="false" outlineLevel="0" collapsed="false">
      <c r="A4708" s="571"/>
      <c r="B4708" s="328"/>
      <c r="C4708" s="476" t="s">
        <v>4515</v>
      </c>
      <c r="D4708" s="820" t="s">
        <v>4149</v>
      </c>
      <c r="E4708" s="828" t="n">
        <v>0.05</v>
      </c>
      <c r="F4708" s="697" t="n">
        <v>3500</v>
      </c>
      <c r="G4708" s="799" t="n">
        <f aca="false">E4708*F4708</f>
        <v>175</v>
      </c>
      <c r="H4708" s="476"/>
    </row>
    <row r="4709" customFormat="false" ht="15" hidden="false" customHeight="false" outlineLevel="0" collapsed="false">
      <c r="A4709" s="571"/>
      <c r="B4709" s="608" t="s">
        <v>4128</v>
      </c>
      <c r="C4709" s="614"/>
      <c r="D4709" s="606"/>
      <c r="E4709" s="822"/>
      <c r="F4709" s="361"/>
      <c r="G4709" s="826" t="n">
        <f aca="false">SUM(G4701:G4708)</f>
        <v>2263.75</v>
      </c>
      <c r="H4709" s="606"/>
    </row>
    <row r="4710" customFormat="false" ht="15" hidden="false" customHeight="false" outlineLevel="0" collapsed="false">
      <c r="A4710" s="7" t="s">
        <v>973</v>
      </c>
      <c r="B4710" s="60" t="s">
        <v>3279</v>
      </c>
      <c r="C4710" s="614"/>
      <c r="D4710" s="606"/>
      <c r="E4710" s="822"/>
      <c r="F4710" s="361"/>
      <c r="G4710" s="826"/>
      <c r="H4710" s="606"/>
    </row>
    <row r="4711" customFormat="false" ht="15" hidden="false" customHeight="false" outlineLevel="0" collapsed="false">
      <c r="A4711" s="571"/>
      <c r="B4711" s="500"/>
      <c r="C4711" s="614" t="s">
        <v>5077</v>
      </c>
      <c r="D4711" s="606" t="s">
        <v>5018</v>
      </c>
      <c r="E4711" s="822" t="n">
        <v>1</v>
      </c>
      <c r="F4711" s="797" t="n">
        <v>1710</v>
      </c>
      <c r="G4711" s="799" t="n">
        <f aca="false">E4711*F4711</f>
        <v>1710</v>
      </c>
      <c r="H4711" s="476"/>
    </row>
    <row r="4712" customFormat="false" ht="15" hidden="false" customHeight="false" outlineLevel="0" collapsed="false">
      <c r="A4712" s="571"/>
      <c r="B4712" s="608"/>
      <c r="C4712" s="338" t="s">
        <v>5078</v>
      </c>
      <c r="D4712" s="823" t="s">
        <v>4149</v>
      </c>
      <c r="E4712" s="812" t="n">
        <v>0.03</v>
      </c>
      <c r="F4712" s="797" t="n">
        <v>10800</v>
      </c>
      <c r="G4712" s="799" t="n">
        <f aca="false">E4712*F4712</f>
        <v>324</v>
      </c>
      <c r="H4712" s="476"/>
    </row>
    <row r="4713" customFormat="false" ht="15" hidden="false" customHeight="false" outlineLevel="0" collapsed="false">
      <c r="A4713" s="571"/>
      <c r="B4713" s="328"/>
      <c r="C4713" s="338" t="s">
        <v>5079</v>
      </c>
      <c r="D4713" s="823" t="s">
        <v>4123</v>
      </c>
      <c r="E4713" s="812" t="n">
        <v>0.01</v>
      </c>
      <c r="F4713" s="797" t="n">
        <v>3500</v>
      </c>
      <c r="G4713" s="799" t="n">
        <f aca="false">E4713*F4713</f>
        <v>35</v>
      </c>
      <c r="H4713" s="476"/>
    </row>
    <row r="4714" customFormat="false" ht="15" hidden="false" customHeight="false" outlineLevel="0" collapsed="false">
      <c r="A4714" s="571"/>
      <c r="B4714" s="500"/>
      <c r="C4714" s="338" t="s">
        <v>5080</v>
      </c>
      <c r="D4714" s="823" t="s">
        <v>4149</v>
      </c>
      <c r="E4714" s="812" t="n">
        <v>0.015</v>
      </c>
      <c r="F4714" s="797" t="n">
        <v>50000</v>
      </c>
      <c r="G4714" s="799" t="n">
        <f aca="false">E4714*F4714</f>
        <v>750</v>
      </c>
      <c r="H4714" s="476"/>
    </row>
    <row r="4715" customFormat="false" ht="15" hidden="false" customHeight="false" outlineLevel="0" collapsed="false">
      <c r="A4715" s="571"/>
      <c r="B4715" s="500"/>
      <c r="C4715" s="338" t="s">
        <v>5081</v>
      </c>
      <c r="D4715" s="823" t="s">
        <v>4149</v>
      </c>
      <c r="E4715" s="812" t="n">
        <v>0.016</v>
      </c>
      <c r="F4715" s="797" t="n">
        <v>11500</v>
      </c>
      <c r="G4715" s="799" t="n">
        <f aca="false">E4715*F4715</f>
        <v>184</v>
      </c>
      <c r="H4715" s="476"/>
    </row>
    <row r="4716" customFormat="false" ht="15" hidden="false" customHeight="false" outlineLevel="0" collapsed="false">
      <c r="A4716" s="571"/>
      <c r="B4716" s="500"/>
      <c r="C4716" s="338" t="s">
        <v>5082</v>
      </c>
      <c r="D4716" s="823" t="s">
        <v>4149</v>
      </c>
      <c r="E4716" s="812" t="n">
        <v>0.02</v>
      </c>
      <c r="F4716" s="797" t="n">
        <v>780</v>
      </c>
      <c r="G4716" s="799" t="n">
        <f aca="false">E4716*F4716</f>
        <v>15.6</v>
      </c>
      <c r="H4716" s="476"/>
    </row>
    <row r="4717" customFormat="false" ht="15" hidden="false" customHeight="false" outlineLevel="0" collapsed="false">
      <c r="A4717" s="571"/>
      <c r="B4717" s="608"/>
      <c r="C4717" s="338" t="s">
        <v>5083</v>
      </c>
      <c r="D4717" s="823" t="s">
        <v>4149</v>
      </c>
      <c r="E4717" s="812" t="n">
        <v>0.15</v>
      </c>
      <c r="F4717" s="797" t="n">
        <v>1100</v>
      </c>
      <c r="G4717" s="799" t="n">
        <f aca="false">E4717*F4717</f>
        <v>165</v>
      </c>
      <c r="H4717" s="476"/>
    </row>
    <row r="4718" customFormat="false" ht="30" hidden="false" customHeight="false" outlineLevel="0" collapsed="false">
      <c r="A4718" s="571"/>
      <c r="B4718" s="328"/>
      <c r="C4718" s="476" t="s">
        <v>5033</v>
      </c>
      <c r="D4718" s="606" t="s">
        <v>4191</v>
      </c>
      <c r="E4718" s="622" t="n">
        <v>3</v>
      </c>
      <c r="F4718" s="361" t="n">
        <v>100</v>
      </c>
      <c r="G4718" s="799" t="n">
        <f aca="false">E4718*F4718</f>
        <v>300</v>
      </c>
      <c r="H4718" s="476"/>
    </row>
    <row r="4719" customFormat="false" ht="15" hidden="false" customHeight="false" outlineLevel="0" collapsed="false">
      <c r="A4719" s="571"/>
      <c r="B4719" s="500"/>
      <c r="C4719" s="476" t="s">
        <v>4515</v>
      </c>
      <c r="D4719" s="820" t="s">
        <v>4149</v>
      </c>
      <c r="E4719" s="828" t="n">
        <v>0.05</v>
      </c>
      <c r="F4719" s="697" t="n">
        <v>3500</v>
      </c>
      <c r="G4719" s="799" t="n">
        <f aca="false">E4719*F4719</f>
        <v>175</v>
      </c>
      <c r="H4719" s="476"/>
    </row>
    <row r="4720" customFormat="false" ht="15" hidden="false" customHeight="false" outlineLevel="0" collapsed="false">
      <c r="A4720" s="571"/>
      <c r="B4720" s="608" t="s">
        <v>4128</v>
      </c>
      <c r="C4720" s="614"/>
      <c r="D4720" s="606"/>
      <c r="E4720" s="822"/>
      <c r="F4720" s="361"/>
      <c r="G4720" s="826" t="n">
        <f aca="false">SUM(G4711:G4719)</f>
        <v>3658.6</v>
      </c>
      <c r="H4720" s="606"/>
    </row>
    <row r="4721" customFormat="false" ht="15" hidden="false" customHeight="false" outlineLevel="0" collapsed="false">
      <c r="A4721" s="7" t="s">
        <v>975</v>
      </c>
      <c r="B4721" s="60" t="s">
        <v>3280</v>
      </c>
      <c r="C4721" s="614"/>
      <c r="D4721" s="606"/>
      <c r="E4721" s="822"/>
      <c r="F4721" s="361"/>
      <c r="G4721" s="826"/>
      <c r="H4721" s="606"/>
    </row>
    <row r="4722" customFormat="false" ht="15" hidden="false" customHeight="false" outlineLevel="0" collapsed="false">
      <c r="A4722" s="571"/>
      <c r="B4722" s="500"/>
      <c r="C4722" s="614" t="s">
        <v>4193</v>
      </c>
      <c r="D4722" s="606" t="s">
        <v>4149</v>
      </c>
      <c r="E4722" s="822" t="n">
        <v>0.005</v>
      </c>
      <c r="F4722" s="797" t="n">
        <v>205000</v>
      </c>
      <c r="G4722" s="799" t="n">
        <f aca="false">E4722*F4722</f>
        <v>1025</v>
      </c>
      <c r="H4722" s="836"/>
    </row>
    <row r="4723" customFormat="false" ht="15" hidden="false" customHeight="false" outlineLevel="0" collapsed="false">
      <c r="A4723" s="571"/>
      <c r="B4723" s="500"/>
      <c r="C4723" s="433" t="s">
        <v>5119</v>
      </c>
      <c r="D4723" s="606" t="s">
        <v>4149</v>
      </c>
      <c r="E4723" s="822" t="n">
        <v>0.02</v>
      </c>
      <c r="F4723" s="697" t="n">
        <v>6400</v>
      </c>
      <c r="G4723" s="799" t="n">
        <f aca="false">E4723*F4723</f>
        <v>128</v>
      </c>
      <c r="H4723" s="838"/>
    </row>
    <row r="4724" customFormat="false" ht="15" hidden="false" customHeight="false" outlineLevel="0" collapsed="false">
      <c r="A4724" s="571"/>
      <c r="B4724" s="500"/>
      <c r="C4724" s="433" t="s">
        <v>5120</v>
      </c>
      <c r="D4724" s="606" t="s">
        <v>4149</v>
      </c>
      <c r="E4724" s="822" t="n">
        <v>0.1</v>
      </c>
      <c r="F4724" s="697" t="n">
        <v>24300</v>
      </c>
      <c r="G4724" s="799" t="n">
        <f aca="false">E4724*F4724</f>
        <v>2430</v>
      </c>
      <c r="H4724" s="838"/>
    </row>
    <row r="4725" customFormat="false" ht="15" hidden="false" customHeight="false" outlineLevel="0" collapsed="false">
      <c r="A4725" s="571"/>
      <c r="B4725" s="608"/>
      <c r="C4725" s="433" t="s">
        <v>5030</v>
      </c>
      <c r="D4725" s="606" t="s">
        <v>4123</v>
      </c>
      <c r="E4725" s="822" t="n">
        <v>0.005</v>
      </c>
      <c r="F4725" s="697" t="n">
        <v>720</v>
      </c>
      <c r="G4725" s="799" t="n">
        <f aca="false">E4725*F4725</f>
        <v>3.6</v>
      </c>
      <c r="H4725" s="838"/>
    </row>
    <row r="4726" customFormat="false" ht="15" hidden="false" customHeight="false" outlineLevel="0" collapsed="false">
      <c r="A4726" s="571"/>
      <c r="B4726" s="608" t="s">
        <v>4128</v>
      </c>
      <c r="C4726" s="614"/>
      <c r="D4726" s="606"/>
      <c r="E4726" s="622"/>
      <c r="F4726" s="361"/>
      <c r="G4726" s="826" t="n">
        <f aca="false">SUM(G4722:G4725)</f>
        <v>3586.6</v>
      </c>
      <c r="H4726" s="606"/>
    </row>
    <row r="4727" customFormat="false" ht="30" hidden="false" customHeight="false" outlineLevel="0" collapsed="false">
      <c r="A4727" s="7" t="s">
        <v>977</v>
      </c>
      <c r="B4727" s="60" t="s">
        <v>3281</v>
      </c>
      <c r="C4727" s="614"/>
      <c r="D4727" s="606"/>
      <c r="E4727" s="822"/>
      <c r="F4727" s="361"/>
      <c r="G4727" s="826"/>
      <c r="H4727" s="606"/>
    </row>
    <row r="4728" customFormat="false" ht="15" hidden="false" customHeight="false" outlineLevel="0" collapsed="false">
      <c r="A4728" s="571"/>
      <c r="B4728" s="328"/>
      <c r="C4728" s="476" t="s">
        <v>5148</v>
      </c>
      <c r="D4728" s="606" t="s">
        <v>4149</v>
      </c>
      <c r="E4728" s="822" t="n">
        <v>0.1915</v>
      </c>
      <c r="F4728" s="797" t="n">
        <v>4500</v>
      </c>
      <c r="G4728" s="799" t="n">
        <f aca="false">E4728*F4728</f>
        <v>861.75</v>
      </c>
      <c r="H4728" s="476"/>
    </row>
    <row r="4729" customFormat="false" ht="30" hidden="false" customHeight="false" outlineLevel="0" collapsed="false">
      <c r="A4729" s="571"/>
      <c r="B4729" s="500"/>
      <c r="C4729" s="476" t="s">
        <v>5033</v>
      </c>
      <c r="D4729" s="606" t="s">
        <v>4191</v>
      </c>
      <c r="E4729" s="622" t="n">
        <v>3</v>
      </c>
      <c r="F4729" s="361" t="n">
        <v>100</v>
      </c>
      <c r="G4729" s="799" t="n">
        <f aca="false">E4729*F4729</f>
        <v>300</v>
      </c>
      <c r="H4729" s="476"/>
    </row>
    <row r="4730" customFormat="false" ht="15" hidden="false" customHeight="false" outlineLevel="0" collapsed="false">
      <c r="A4730" s="571"/>
      <c r="B4730" s="500"/>
      <c r="C4730" s="374" t="s">
        <v>5149</v>
      </c>
      <c r="D4730" s="602" t="s">
        <v>4149</v>
      </c>
      <c r="E4730" s="841" t="n">
        <v>0.02</v>
      </c>
      <c r="F4730" s="697" t="n">
        <v>15750</v>
      </c>
      <c r="G4730" s="799" t="n">
        <f aca="false">E4730*F4730</f>
        <v>315</v>
      </c>
      <c r="H4730" s="476"/>
    </row>
    <row r="4731" customFormat="false" ht="30" hidden="false" customHeight="false" outlineLevel="0" collapsed="false">
      <c r="A4731" s="571"/>
      <c r="B4731" s="500"/>
      <c r="C4731" s="374" t="s">
        <v>5150</v>
      </c>
      <c r="D4731" s="602" t="s">
        <v>4149</v>
      </c>
      <c r="E4731" s="841" t="n">
        <v>0.01</v>
      </c>
      <c r="F4731" s="697" t="n">
        <v>31200</v>
      </c>
      <c r="G4731" s="799" t="n">
        <f aca="false">E4731*F4731</f>
        <v>312</v>
      </c>
      <c r="H4731" s="476"/>
    </row>
    <row r="4732" customFormat="false" ht="15" hidden="false" customHeight="false" outlineLevel="0" collapsed="false">
      <c r="A4732" s="571"/>
      <c r="B4732" s="608"/>
      <c r="C4732" s="840" t="s">
        <v>5145</v>
      </c>
      <c r="D4732" s="606" t="s">
        <v>4191</v>
      </c>
      <c r="E4732" s="622" t="n">
        <v>3</v>
      </c>
      <c r="F4732" s="361" t="n">
        <v>100</v>
      </c>
      <c r="G4732" s="799" t="n">
        <f aca="false">E4732*F4732</f>
        <v>300</v>
      </c>
      <c r="H4732" s="476"/>
    </row>
    <row r="4733" customFormat="false" ht="15" hidden="false" customHeight="false" outlineLevel="0" collapsed="false">
      <c r="A4733" s="571"/>
      <c r="B4733" s="608"/>
      <c r="C4733" s="840" t="s">
        <v>4147</v>
      </c>
      <c r="D4733" s="606" t="s">
        <v>4149</v>
      </c>
      <c r="E4733" s="622" t="n">
        <v>0.01</v>
      </c>
      <c r="F4733" s="361" t="n">
        <v>3612</v>
      </c>
      <c r="G4733" s="799"/>
      <c r="H4733" s="476"/>
    </row>
    <row r="4734" customFormat="false" ht="15" hidden="false" customHeight="false" outlineLevel="0" collapsed="false">
      <c r="A4734" s="571"/>
      <c r="B4734" s="328"/>
      <c r="C4734" s="476" t="s">
        <v>4515</v>
      </c>
      <c r="D4734" s="820" t="s">
        <v>4149</v>
      </c>
      <c r="E4734" s="828" t="n">
        <v>0.05</v>
      </c>
      <c r="F4734" s="697" t="n">
        <v>3500</v>
      </c>
      <c r="G4734" s="799" t="n">
        <f aca="false">E4734*F4734</f>
        <v>175</v>
      </c>
      <c r="H4734" s="476"/>
    </row>
    <row r="4735" customFormat="false" ht="15" hidden="false" customHeight="false" outlineLevel="0" collapsed="false">
      <c r="A4735" s="571"/>
      <c r="B4735" s="608" t="s">
        <v>4128</v>
      </c>
      <c r="C4735" s="614"/>
      <c r="D4735" s="606"/>
      <c r="E4735" s="822"/>
      <c r="F4735" s="361"/>
      <c r="G4735" s="826" t="n">
        <f aca="false">SUM(G4727:G4734)</f>
        <v>2263.75</v>
      </c>
      <c r="H4735" s="606"/>
    </row>
    <row r="4736" customFormat="false" ht="42.75" hidden="false" customHeight="false" outlineLevel="0" collapsed="false">
      <c r="A4736" s="350" t="s">
        <v>979</v>
      </c>
      <c r="B4736" s="467" t="s">
        <v>3282</v>
      </c>
      <c r="C4736" s="601"/>
      <c r="D4736" s="600"/>
      <c r="E4736" s="843"/>
      <c r="F4736" s="364"/>
      <c r="G4736" s="713"/>
      <c r="H4736" s="600"/>
    </row>
    <row r="4737" customFormat="false" ht="45" hidden="false" customHeight="false" outlineLevel="0" collapsed="false">
      <c r="A4737" s="571" t="s">
        <v>981</v>
      </c>
      <c r="B4737" s="433" t="s">
        <v>3249</v>
      </c>
      <c r="C4737" s="614"/>
      <c r="D4737" s="606"/>
      <c r="E4737" s="622"/>
      <c r="F4737" s="361"/>
      <c r="G4737" s="615"/>
      <c r="H4737" s="820" t="s">
        <v>5027</v>
      </c>
    </row>
    <row r="4738" customFormat="false" ht="15" hidden="false" customHeight="false" outlineLevel="0" collapsed="false">
      <c r="A4738" s="571"/>
      <c r="B4738" s="608"/>
      <c r="C4738" s="476" t="s">
        <v>4776</v>
      </c>
      <c r="D4738" s="820" t="s">
        <v>4123</v>
      </c>
      <c r="E4738" s="622" t="n">
        <v>0.2</v>
      </c>
      <c r="F4738" s="361" t="n">
        <v>720</v>
      </c>
      <c r="G4738" s="799" t="n">
        <f aca="false">E4738*F4738</f>
        <v>144</v>
      </c>
      <c r="H4738" s="391"/>
    </row>
    <row r="4739" customFormat="false" ht="15" hidden="false" customHeight="false" outlineLevel="0" collapsed="false">
      <c r="A4739" s="571"/>
      <c r="B4739" s="328"/>
      <c r="C4739" s="476" t="s">
        <v>4124</v>
      </c>
      <c r="D4739" s="820" t="s">
        <v>4456</v>
      </c>
      <c r="E4739" s="622" t="n">
        <v>0.2</v>
      </c>
      <c r="F4739" s="361" t="n">
        <v>170</v>
      </c>
      <c r="G4739" s="799" t="n">
        <f aca="false">E4739*F4739</f>
        <v>34</v>
      </c>
      <c r="H4739" s="606"/>
    </row>
    <row r="4740" customFormat="false" ht="15" hidden="false" customHeight="false" outlineLevel="0" collapsed="false">
      <c r="A4740" s="571"/>
      <c r="B4740" s="500"/>
      <c r="C4740" s="609"/>
      <c r="D4740" s="606"/>
      <c r="E4740" s="833"/>
      <c r="F4740" s="612"/>
      <c r="G4740" s="613" t="n">
        <f aca="false">SUM(G4738:G4739)</f>
        <v>178</v>
      </c>
      <c r="H4740" s="606"/>
    </row>
    <row r="4741" customFormat="false" ht="30" hidden="false" customHeight="false" outlineLevel="0" collapsed="false">
      <c r="A4741" s="571" t="s">
        <v>982</v>
      </c>
      <c r="B4741" s="492" t="s">
        <v>3250</v>
      </c>
      <c r="C4741" s="614"/>
      <c r="D4741" s="606"/>
      <c r="E4741" s="834"/>
      <c r="F4741" s="361"/>
      <c r="G4741" s="615"/>
      <c r="H4741" s="606" t="s">
        <v>5029</v>
      </c>
    </row>
    <row r="4742" customFormat="false" ht="15" hidden="false" customHeight="false" outlineLevel="0" collapsed="false">
      <c r="A4742" s="571"/>
      <c r="B4742" s="500"/>
      <c r="C4742" s="476" t="s">
        <v>5030</v>
      </c>
      <c r="D4742" s="820" t="s">
        <v>4123</v>
      </c>
      <c r="E4742" s="622" t="n">
        <v>0.1</v>
      </c>
      <c r="F4742" s="361" t="n">
        <v>720</v>
      </c>
      <c r="G4742" s="615" t="n">
        <f aca="false">E4742*F4742</f>
        <v>72</v>
      </c>
      <c r="H4742" s="606"/>
    </row>
    <row r="4743" customFormat="false" ht="15" hidden="false" customHeight="false" outlineLevel="0" collapsed="false">
      <c r="A4743" s="571"/>
      <c r="B4743" s="500"/>
      <c r="C4743" s="476" t="s">
        <v>4124</v>
      </c>
      <c r="D4743" s="820" t="s">
        <v>4456</v>
      </c>
      <c r="E4743" s="622" t="n">
        <v>0.1</v>
      </c>
      <c r="F4743" s="361" t="n">
        <v>170</v>
      </c>
      <c r="G4743" s="615" t="n">
        <f aca="false">E4743*F4743</f>
        <v>17</v>
      </c>
      <c r="H4743" s="391"/>
    </row>
    <row r="4744" customFormat="false" ht="15" hidden="false" customHeight="false" outlineLevel="0" collapsed="false">
      <c r="A4744" s="571"/>
      <c r="B4744" s="608" t="s">
        <v>4128</v>
      </c>
      <c r="C4744" s="609"/>
      <c r="D4744" s="606"/>
      <c r="E4744" s="833"/>
      <c r="F4744" s="612"/>
      <c r="G4744" s="613" t="n">
        <f aca="false">SUM(G4742:G4743)</f>
        <v>89</v>
      </c>
      <c r="H4744" s="606"/>
    </row>
    <row r="4745" customFormat="false" ht="30" hidden="false" customHeight="false" outlineLevel="0" collapsed="false">
      <c r="A4745" s="571" t="s">
        <v>983</v>
      </c>
      <c r="B4745" s="433" t="s">
        <v>3238</v>
      </c>
      <c r="C4745" s="476" t="s">
        <v>5033</v>
      </c>
      <c r="D4745" s="606" t="s">
        <v>4191</v>
      </c>
      <c r="E4745" s="622" t="n">
        <v>3</v>
      </c>
      <c r="F4745" s="361" t="n">
        <v>100</v>
      </c>
      <c r="G4745" s="615" t="n">
        <f aca="false">E4745*F4745</f>
        <v>300</v>
      </c>
      <c r="H4745" s="820" t="s">
        <v>5032</v>
      </c>
    </row>
    <row r="4746" customFormat="false" ht="15" hidden="false" customHeight="false" outlineLevel="0" collapsed="false">
      <c r="A4746" s="571"/>
      <c r="B4746" s="500"/>
      <c r="C4746" s="476" t="s">
        <v>5030</v>
      </c>
      <c r="D4746" s="820" t="s">
        <v>4123</v>
      </c>
      <c r="E4746" s="622" t="n">
        <v>0.2</v>
      </c>
      <c r="F4746" s="361" t="n">
        <v>720</v>
      </c>
      <c r="G4746" s="615" t="n">
        <f aca="false">E4746*F4746</f>
        <v>144</v>
      </c>
      <c r="H4746" s="606"/>
    </row>
    <row r="4747" customFormat="false" ht="15" hidden="false" customHeight="false" outlineLevel="0" collapsed="false">
      <c r="A4747" s="571"/>
      <c r="B4747" s="500"/>
      <c r="C4747" s="476" t="s">
        <v>4515</v>
      </c>
      <c r="D4747" s="606" t="s">
        <v>4149</v>
      </c>
      <c r="E4747" s="622" t="n">
        <v>0.02</v>
      </c>
      <c r="F4747" s="361" t="n">
        <v>3500</v>
      </c>
      <c r="G4747" s="615" t="n">
        <f aca="false">E4747*F4747</f>
        <v>70</v>
      </c>
      <c r="H4747" s="606"/>
    </row>
    <row r="4748" customFormat="false" ht="15" hidden="false" customHeight="false" outlineLevel="0" collapsed="false">
      <c r="A4748" s="571"/>
      <c r="B4748" s="500"/>
      <c r="C4748" s="476" t="s">
        <v>4124</v>
      </c>
      <c r="D4748" s="820" t="s">
        <v>4456</v>
      </c>
      <c r="E4748" s="622" t="n">
        <v>0.05</v>
      </c>
      <c r="F4748" s="361" t="n">
        <v>170</v>
      </c>
      <c r="G4748" s="615" t="n">
        <f aca="false">E4748*F4748</f>
        <v>8.5</v>
      </c>
      <c r="H4748" s="391"/>
    </row>
    <row r="4749" customFormat="false" ht="15" hidden="false" customHeight="false" outlineLevel="0" collapsed="false">
      <c r="A4749" s="571"/>
      <c r="B4749" s="608" t="s">
        <v>4128</v>
      </c>
      <c r="C4749" s="476"/>
      <c r="D4749" s="820"/>
      <c r="E4749" s="832"/>
      <c r="F4749" s="697"/>
      <c r="G4749" s="613" t="n">
        <f aca="false">SUM(G4745:G4748)</f>
        <v>522.5</v>
      </c>
      <c r="H4749" s="606"/>
    </row>
    <row r="4750" s="451" customFormat="true" ht="60" hidden="false" customHeight="false" outlineLevel="0" collapsed="false">
      <c r="A4750" s="707" t="s">
        <v>984</v>
      </c>
      <c r="B4750" s="532" t="s">
        <v>5151</v>
      </c>
      <c r="C4750" s="709"/>
      <c r="D4750" s="679"/>
      <c r="E4750" s="710"/>
      <c r="F4750" s="369"/>
      <c r="G4750" s="716"/>
      <c r="H4750" s="679" t="s">
        <v>5152</v>
      </c>
    </row>
    <row r="4751" s="451" customFormat="true" ht="15" hidden="false" customHeight="false" outlineLevel="0" collapsed="false">
      <c r="A4751" s="707"/>
      <c r="B4751" s="522"/>
      <c r="C4751" s="709" t="s">
        <v>5037</v>
      </c>
      <c r="D4751" s="679" t="s">
        <v>4191</v>
      </c>
      <c r="E4751" s="710" t="n">
        <v>1</v>
      </c>
      <c r="F4751" s="369" t="n">
        <v>3500</v>
      </c>
      <c r="G4751" s="716" t="n">
        <f aca="false">E4751*F4751</f>
        <v>3500</v>
      </c>
      <c r="H4751" s="679"/>
    </row>
    <row r="4752" s="451" customFormat="true" ht="15" hidden="false" customHeight="false" outlineLevel="0" collapsed="false">
      <c r="A4752" s="707"/>
      <c r="B4752" s="487"/>
      <c r="C4752" s="471" t="s">
        <v>4515</v>
      </c>
      <c r="D4752" s="679" t="s">
        <v>4149</v>
      </c>
      <c r="E4752" s="710" t="n">
        <v>0.02</v>
      </c>
      <c r="F4752" s="369" t="n">
        <v>3500</v>
      </c>
      <c r="G4752" s="716" t="n">
        <f aca="false">E4752*F4752</f>
        <v>70</v>
      </c>
      <c r="H4752" s="679"/>
    </row>
    <row r="4753" s="451" customFormat="true" ht="15" hidden="false" customHeight="false" outlineLevel="0" collapsed="false">
      <c r="A4753" s="707"/>
      <c r="B4753" s="522"/>
      <c r="C4753" s="709" t="s">
        <v>4122</v>
      </c>
      <c r="D4753" s="679" t="s">
        <v>4123</v>
      </c>
      <c r="E4753" s="710" t="n">
        <v>0.1</v>
      </c>
      <c r="F4753" s="369" t="n">
        <v>720</v>
      </c>
      <c r="G4753" s="716" t="n">
        <f aca="false">E4753*F4753</f>
        <v>72</v>
      </c>
      <c r="H4753" s="679"/>
    </row>
    <row r="4754" s="451" customFormat="true" ht="15" hidden="false" customHeight="false" outlineLevel="0" collapsed="false">
      <c r="A4754" s="707"/>
      <c r="B4754" s="708" t="s">
        <v>4128</v>
      </c>
      <c r="C4754" s="718"/>
      <c r="D4754" s="679"/>
      <c r="E4754" s="722"/>
      <c r="F4754" s="366"/>
      <c r="G4754" s="711" t="n">
        <f aca="false">SUM(G4751:G4753)</f>
        <v>3642</v>
      </c>
      <c r="H4754" s="392"/>
    </row>
    <row r="4755" customFormat="false" ht="15" hidden="false" customHeight="false" outlineLevel="0" collapsed="false">
      <c r="A4755" s="571" t="s">
        <v>986</v>
      </c>
      <c r="B4755" s="328" t="s">
        <v>3285</v>
      </c>
      <c r="C4755" s="433"/>
      <c r="D4755" s="606"/>
      <c r="E4755" s="827"/>
      <c r="F4755" s="361"/>
      <c r="G4755" s="615"/>
      <c r="H4755" s="823" t="s">
        <v>5153</v>
      </c>
    </row>
    <row r="4756" customFormat="false" ht="15" hidden="false" customHeight="false" outlineLevel="0" collapsed="false">
      <c r="A4756" s="571"/>
      <c r="B4756" s="608"/>
      <c r="C4756" s="338" t="s">
        <v>5154</v>
      </c>
      <c r="D4756" s="823" t="s">
        <v>4149</v>
      </c>
      <c r="E4756" s="835" t="n">
        <v>0.01</v>
      </c>
      <c r="F4756" s="797" t="n">
        <v>5500</v>
      </c>
      <c r="G4756" s="799" t="n">
        <f aca="false">E4756*F4756</f>
        <v>55</v>
      </c>
      <c r="H4756" s="476"/>
    </row>
    <row r="4757" customFormat="false" ht="15" hidden="false" customHeight="false" outlineLevel="0" collapsed="false">
      <c r="A4757" s="571"/>
      <c r="B4757" s="328"/>
      <c r="C4757" s="338" t="s">
        <v>4790</v>
      </c>
      <c r="D4757" s="823" t="s">
        <v>4149</v>
      </c>
      <c r="E4757" s="835" t="n">
        <v>0.01</v>
      </c>
      <c r="F4757" s="797" t="n">
        <v>50000</v>
      </c>
      <c r="G4757" s="799" t="n">
        <f aca="false">E4757*F4757</f>
        <v>500</v>
      </c>
      <c r="H4757" s="476"/>
    </row>
    <row r="4758" customFormat="false" ht="15" hidden="false" customHeight="false" outlineLevel="0" collapsed="false">
      <c r="A4758" s="571"/>
      <c r="B4758" s="500"/>
      <c r="C4758" s="338" t="s">
        <v>4793</v>
      </c>
      <c r="D4758" s="823" t="s">
        <v>4149</v>
      </c>
      <c r="E4758" s="835" t="n">
        <v>0.01</v>
      </c>
      <c r="F4758" s="797" t="n">
        <v>5800</v>
      </c>
      <c r="G4758" s="799" t="n">
        <f aca="false">E4758*F4758</f>
        <v>58</v>
      </c>
      <c r="H4758" s="476"/>
    </row>
    <row r="4759" customFormat="false" ht="15" hidden="false" customHeight="false" outlineLevel="0" collapsed="false">
      <c r="A4759" s="571"/>
      <c r="B4759" s="500"/>
      <c r="C4759" s="338" t="s">
        <v>5155</v>
      </c>
      <c r="D4759" s="823" t="s">
        <v>4149</v>
      </c>
      <c r="E4759" s="835" t="n">
        <v>0.04</v>
      </c>
      <c r="F4759" s="797" t="n">
        <v>3612</v>
      </c>
      <c r="G4759" s="799" t="n">
        <f aca="false">E4759*F4759</f>
        <v>144.48</v>
      </c>
      <c r="H4759" s="476"/>
    </row>
    <row r="4760" customFormat="false" ht="15" hidden="false" customHeight="false" outlineLevel="0" collapsed="false">
      <c r="A4760" s="571"/>
      <c r="B4760" s="500"/>
      <c r="C4760" s="338" t="s">
        <v>5156</v>
      </c>
      <c r="D4760" s="823" t="s">
        <v>4149</v>
      </c>
      <c r="E4760" s="835" t="n">
        <v>0.0316</v>
      </c>
      <c r="F4760" s="797" t="n">
        <v>50000</v>
      </c>
      <c r="G4760" s="799" t="n">
        <f aca="false">E4760*F4760</f>
        <v>1580</v>
      </c>
      <c r="H4760" s="476"/>
    </row>
    <row r="4761" customFormat="false" ht="15" hidden="false" customHeight="false" outlineLevel="0" collapsed="false">
      <c r="A4761" s="571"/>
      <c r="B4761" s="608"/>
      <c r="C4761" s="476" t="s">
        <v>4515</v>
      </c>
      <c r="D4761" s="823" t="s">
        <v>4149</v>
      </c>
      <c r="E4761" s="832" t="n">
        <v>0.05</v>
      </c>
      <c r="F4761" s="697" t="n">
        <v>3500</v>
      </c>
      <c r="G4761" s="799" t="n">
        <f aca="false">E4761*F4761</f>
        <v>175</v>
      </c>
      <c r="H4761" s="476"/>
    </row>
    <row r="4762" customFormat="false" ht="15" hidden="false" customHeight="false" outlineLevel="0" collapsed="false">
      <c r="A4762" s="571"/>
      <c r="B4762" s="608" t="s">
        <v>4128</v>
      </c>
      <c r="C4762" s="614"/>
      <c r="D4762" s="606"/>
      <c r="E4762" s="834"/>
      <c r="F4762" s="361"/>
      <c r="G4762" s="826" t="n">
        <f aca="false">SUM(G4756:G4761)</f>
        <v>2512.48</v>
      </c>
      <c r="H4762" s="606"/>
    </row>
    <row r="4763" customFormat="false" ht="30" hidden="false" customHeight="false" outlineLevel="0" collapsed="false">
      <c r="A4763" s="571" t="s">
        <v>987</v>
      </c>
      <c r="B4763" s="433" t="s">
        <v>3286</v>
      </c>
      <c r="C4763" s="476"/>
      <c r="D4763" s="820"/>
      <c r="E4763" s="828"/>
      <c r="F4763" s="697"/>
      <c r="G4763" s="615"/>
      <c r="H4763" s="823" t="s">
        <v>5122</v>
      </c>
    </row>
    <row r="4764" customFormat="false" ht="15" hidden="false" customHeight="false" outlineLevel="0" collapsed="false">
      <c r="A4764" s="571"/>
      <c r="B4764" s="500"/>
      <c r="C4764" s="338" t="s">
        <v>4122</v>
      </c>
      <c r="D4764" s="823" t="s">
        <v>4123</v>
      </c>
      <c r="E4764" s="812" t="n">
        <v>0.1</v>
      </c>
      <c r="F4764" s="797" t="n">
        <v>720</v>
      </c>
      <c r="G4764" s="799" t="n">
        <f aca="false">E4764*F4764</f>
        <v>72</v>
      </c>
      <c r="H4764" s="476"/>
    </row>
    <row r="4765" customFormat="false" ht="30" hidden="false" customHeight="false" outlineLevel="0" collapsed="false">
      <c r="A4765" s="571"/>
      <c r="B4765" s="608"/>
      <c r="C4765" s="338" t="s">
        <v>5123</v>
      </c>
      <c r="D4765" s="823" t="s">
        <v>4149</v>
      </c>
      <c r="E4765" s="812" t="n">
        <v>0.01</v>
      </c>
      <c r="F4765" s="797" t="n">
        <v>2800</v>
      </c>
      <c r="G4765" s="799" t="n">
        <f aca="false">E4765*F4765</f>
        <v>28</v>
      </c>
      <c r="H4765" s="476"/>
    </row>
    <row r="4766" customFormat="false" ht="30" hidden="false" customHeight="false" outlineLevel="0" collapsed="false">
      <c r="A4766" s="571"/>
      <c r="B4766" s="328"/>
      <c r="C4766" s="476" t="s">
        <v>5033</v>
      </c>
      <c r="D4766" s="606" t="s">
        <v>4191</v>
      </c>
      <c r="E4766" s="622" t="n">
        <v>3</v>
      </c>
      <c r="F4766" s="361" t="n">
        <v>100</v>
      </c>
      <c r="G4766" s="799" t="n">
        <f aca="false">E4766*F4766</f>
        <v>300</v>
      </c>
      <c r="H4766" s="476"/>
    </row>
    <row r="4767" customFormat="false" ht="15" hidden="false" customHeight="false" outlineLevel="0" collapsed="false">
      <c r="A4767" s="571"/>
      <c r="B4767" s="500"/>
      <c r="C4767" s="338" t="s">
        <v>5079</v>
      </c>
      <c r="D4767" s="823" t="s">
        <v>4149</v>
      </c>
      <c r="E4767" s="812" t="n">
        <v>0.1</v>
      </c>
      <c r="F4767" s="797" t="n">
        <v>3000</v>
      </c>
      <c r="G4767" s="799" t="n">
        <f aca="false">E4767*F4767</f>
        <v>300</v>
      </c>
      <c r="H4767" s="476"/>
    </row>
    <row r="4768" customFormat="false" ht="15" hidden="false" customHeight="false" outlineLevel="0" collapsed="false">
      <c r="A4768" s="571"/>
      <c r="B4768" s="500"/>
      <c r="C4768" s="338" t="s">
        <v>5124</v>
      </c>
      <c r="D4768" s="823" t="s">
        <v>4149</v>
      </c>
      <c r="E4768" s="812" t="n">
        <v>0.001</v>
      </c>
      <c r="F4768" s="797" t="n">
        <v>40000</v>
      </c>
      <c r="G4768" s="799" t="n">
        <f aca="false">E4768*F4768</f>
        <v>40</v>
      </c>
      <c r="H4768" s="476"/>
    </row>
    <row r="4769" customFormat="false" ht="15" hidden="false" customHeight="false" outlineLevel="0" collapsed="false">
      <c r="A4769" s="571"/>
      <c r="B4769" s="500"/>
      <c r="C4769" s="338" t="s">
        <v>4653</v>
      </c>
      <c r="D4769" s="823" t="s">
        <v>4149</v>
      </c>
      <c r="E4769" s="812" t="n">
        <v>0.03</v>
      </c>
      <c r="F4769" s="797" t="n">
        <v>13125</v>
      </c>
      <c r="G4769" s="799" t="n">
        <f aca="false">E4769*F4769</f>
        <v>393.75</v>
      </c>
      <c r="H4769" s="476"/>
    </row>
    <row r="4770" customFormat="false" ht="15" hidden="false" customHeight="false" outlineLevel="0" collapsed="false">
      <c r="A4770" s="571"/>
      <c r="B4770" s="608"/>
      <c r="C4770" s="476" t="s">
        <v>4515</v>
      </c>
      <c r="D4770" s="823" t="s">
        <v>4149</v>
      </c>
      <c r="E4770" s="828" t="n">
        <v>0.05</v>
      </c>
      <c r="F4770" s="697" t="n">
        <v>3500</v>
      </c>
      <c r="G4770" s="799" t="n">
        <f aca="false">E4770*F4770</f>
        <v>175</v>
      </c>
      <c r="H4770" s="476"/>
    </row>
    <row r="4771" customFormat="false" ht="15" hidden="false" customHeight="false" outlineLevel="0" collapsed="false">
      <c r="A4771" s="571"/>
      <c r="B4771" s="328"/>
      <c r="C4771" s="614" t="s">
        <v>5077</v>
      </c>
      <c r="D4771" s="606" t="s">
        <v>5018</v>
      </c>
      <c r="E4771" s="822" t="n">
        <v>0.2</v>
      </c>
      <c r="F4771" s="797" t="n">
        <v>4500</v>
      </c>
      <c r="G4771" s="799" t="n">
        <f aca="false">E4771*F4771</f>
        <v>900</v>
      </c>
      <c r="H4771" s="476"/>
    </row>
    <row r="4772" customFormat="false" ht="15" hidden="false" customHeight="false" outlineLevel="0" collapsed="false">
      <c r="A4772" s="571"/>
      <c r="B4772" s="608" t="s">
        <v>4128</v>
      </c>
      <c r="C4772" s="614"/>
      <c r="D4772" s="606"/>
      <c r="E4772" s="622"/>
      <c r="F4772" s="361"/>
      <c r="G4772" s="829" t="n">
        <f aca="false">SUM(G4764:G4771)</f>
        <v>2208.75</v>
      </c>
      <c r="H4772" s="606"/>
    </row>
    <row r="4773" customFormat="false" ht="15" hidden="false" customHeight="false" outlineLevel="0" collapsed="false">
      <c r="A4773" s="571" t="s">
        <v>5157</v>
      </c>
      <c r="B4773" s="433" t="s">
        <v>3287</v>
      </c>
      <c r="C4773" s="476"/>
      <c r="D4773" s="820"/>
      <c r="E4773" s="830"/>
      <c r="F4773" s="697"/>
      <c r="G4773" s="615"/>
      <c r="H4773" s="823" t="s">
        <v>5126</v>
      </c>
    </row>
    <row r="4774" customFormat="false" ht="15" hidden="false" customHeight="false" outlineLevel="0" collapsed="false">
      <c r="A4774" s="571"/>
      <c r="B4774" s="433"/>
      <c r="C4774" s="614" t="s">
        <v>5077</v>
      </c>
      <c r="D4774" s="606" t="s">
        <v>5018</v>
      </c>
      <c r="E4774" s="844" t="n">
        <v>1</v>
      </c>
      <c r="F4774" s="797" t="n">
        <v>1710</v>
      </c>
      <c r="G4774" s="799" t="n">
        <f aca="false">E4774*F4774</f>
        <v>1710</v>
      </c>
      <c r="H4774" s="476"/>
    </row>
    <row r="4775" customFormat="false" ht="30" hidden="false" customHeight="false" outlineLevel="0" collapsed="false">
      <c r="A4775" s="571"/>
      <c r="B4775" s="433"/>
      <c r="C4775" s="338" t="s">
        <v>5158</v>
      </c>
      <c r="D4775" s="823" t="s">
        <v>4149</v>
      </c>
      <c r="E4775" s="831" t="n">
        <v>0.01</v>
      </c>
      <c r="F4775" s="797" t="n">
        <v>4500</v>
      </c>
      <c r="G4775" s="799" t="n">
        <f aca="false">E4775*F4775</f>
        <v>45</v>
      </c>
      <c r="H4775" s="476"/>
    </row>
    <row r="4776" customFormat="false" ht="15" hidden="false" customHeight="false" outlineLevel="0" collapsed="false">
      <c r="A4776" s="571"/>
      <c r="B4776" s="433"/>
      <c r="C4776" s="338" t="s">
        <v>5128</v>
      </c>
      <c r="D4776" s="823" t="s">
        <v>4149</v>
      </c>
      <c r="E4776" s="831" t="n">
        <v>0.01</v>
      </c>
      <c r="F4776" s="797" t="n">
        <v>2160</v>
      </c>
      <c r="G4776" s="799" t="n">
        <f aca="false">E4776*F4776</f>
        <v>21.6</v>
      </c>
      <c r="H4776" s="476"/>
    </row>
    <row r="4777" customFormat="false" ht="15" hidden="false" customHeight="false" outlineLevel="0" collapsed="false">
      <c r="A4777" s="571"/>
      <c r="B4777" s="433"/>
      <c r="C4777" s="338" t="s">
        <v>5159</v>
      </c>
      <c r="D4777" s="823" t="s">
        <v>4149</v>
      </c>
      <c r="E4777" s="835" t="n">
        <v>0.005</v>
      </c>
      <c r="F4777" s="797" t="n">
        <v>720</v>
      </c>
      <c r="G4777" s="799" t="n">
        <f aca="false">E4777*F4777</f>
        <v>3.6</v>
      </c>
      <c r="H4777" s="476"/>
    </row>
    <row r="4778" customFormat="false" ht="15" hidden="false" customHeight="false" outlineLevel="0" collapsed="false">
      <c r="A4778" s="571"/>
      <c r="B4778" s="433"/>
      <c r="C4778" s="338" t="s">
        <v>5160</v>
      </c>
      <c r="D4778" s="823" t="s">
        <v>4149</v>
      </c>
      <c r="E4778" s="835" t="n">
        <v>0.0005</v>
      </c>
      <c r="F4778" s="797" t="n">
        <v>3500</v>
      </c>
      <c r="G4778" s="799" t="n">
        <f aca="false">E4778*F4778</f>
        <v>1.75</v>
      </c>
      <c r="H4778" s="476"/>
    </row>
    <row r="4779" customFormat="false" ht="15" hidden="false" customHeight="false" outlineLevel="0" collapsed="false">
      <c r="A4779" s="571"/>
      <c r="B4779" s="433"/>
      <c r="C4779" s="476" t="s">
        <v>4515</v>
      </c>
      <c r="D4779" s="823" t="s">
        <v>4149</v>
      </c>
      <c r="E4779" s="832" t="n">
        <v>0.05</v>
      </c>
      <c r="F4779" s="697" t="n">
        <v>3500</v>
      </c>
      <c r="G4779" s="799" t="n">
        <f aca="false">E4779*F4779</f>
        <v>175</v>
      </c>
      <c r="H4779" s="476"/>
    </row>
    <row r="4780" customFormat="false" ht="30" hidden="false" customHeight="false" outlineLevel="0" collapsed="false">
      <c r="A4780" s="571"/>
      <c r="B4780" s="433"/>
      <c r="C4780" s="476" t="s">
        <v>5033</v>
      </c>
      <c r="D4780" s="606" t="s">
        <v>4191</v>
      </c>
      <c r="E4780" s="622" t="n">
        <v>3</v>
      </c>
      <c r="F4780" s="361" t="n">
        <v>100</v>
      </c>
      <c r="G4780" s="799" t="n">
        <f aca="false">E4780*F4780</f>
        <v>300</v>
      </c>
      <c r="H4780" s="476"/>
    </row>
    <row r="4781" customFormat="false" ht="15" hidden="false" customHeight="false" outlineLevel="0" collapsed="false">
      <c r="A4781" s="571"/>
      <c r="B4781" s="608" t="s">
        <v>4128</v>
      </c>
      <c r="C4781" s="476"/>
      <c r="D4781" s="606"/>
      <c r="E4781" s="834"/>
      <c r="F4781" s="797"/>
      <c r="G4781" s="829" t="n">
        <f aca="false">SUM(G4774:G4780)</f>
        <v>2256.95</v>
      </c>
      <c r="H4781" s="476"/>
    </row>
    <row r="4782" customFormat="false" ht="15" hidden="false" customHeight="false" outlineLevel="0" collapsed="false">
      <c r="A4782" s="571" t="s">
        <v>990</v>
      </c>
      <c r="B4782" s="433" t="s">
        <v>3288</v>
      </c>
      <c r="C4782" s="476"/>
      <c r="D4782" s="820"/>
      <c r="E4782" s="830"/>
      <c r="F4782" s="697"/>
      <c r="G4782" s="615"/>
      <c r="H4782" s="823" t="s">
        <v>5126</v>
      </c>
    </row>
    <row r="4783" customFormat="false" ht="15" hidden="false" customHeight="false" outlineLevel="0" collapsed="false">
      <c r="A4783" s="571"/>
      <c r="B4783" s="433"/>
      <c r="C4783" s="614" t="s">
        <v>5077</v>
      </c>
      <c r="D4783" s="606" t="s">
        <v>5018</v>
      </c>
      <c r="E4783" s="844" t="n">
        <v>1</v>
      </c>
      <c r="F4783" s="797" t="n">
        <v>1710</v>
      </c>
      <c r="G4783" s="799" t="n">
        <f aca="false">E4783*F4783</f>
        <v>1710</v>
      </c>
      <c r="H4783" s="476"/>
    </row>
    <row r="4784" customFormat="false" ht="30" hidden="false" customHeight="false" outlineLevel="0" collapsed="false">
      <c r="A4784" s="571"/>
      <c r="B4784" s="433"/>
      <c r="C4784" s="338" t="s">
        <v>5158</v>
      </c>
      <c r="D4784" s="823" t="s">
        <v>4149</v>
      </c>
      <c r="E4784" s="831" t="n">
        <v>0.01</v>
      </c>
      <c r="F4784" s="797" t="n">
        <v>4500</v>
      </c>
      <c r="G4784" s="799" t="n">
        <f aca="false">E4784*F4784</f>
        <v>45</v>
      </c>
      <c r="H4784" s="476"/>
    </row>
    <row r="4785" customFormat="false" ht="15" hidden="false" customHeight="false" outlineLevel="0" collapsed="false">
      <c r="A4785" s="571"/>
      <c r="B4785" s="433"/>
      <c r="C4785" s="338" t="s">
        <v>5128</v>
      </c>
      <c r="D4785" s="823" t="s">
        <v>4149</v>
      </c>
      <c r="E4785" s="831" t="n">
        <v>0.01</v>
      </c>
      <c r="F4785" s="797" t="n">
        <v>2160</v>
      </c>
      <c r="G4785" s="799" t="n">
        <f aca="false">E4785*F4785</f>
        <v>21.6</v>
      </c>
      <c r="H4785" s="476"/>
    </row>
    <row r="4786" customFormat="false" ht="15" hidden="false" customHeight="false" outlineLevel="0" collapsed="false">
      <c r="A4786" s="571"/>
      <c r="B4786" s="433"/>
      <c r="C4786" s="338" t="s">
        <v>5159</v>
      </c>
      <c r="D4786" s="823" t="s">
        <v>4149</v>
      </c>
      <c r="E4786" s="835" t="n">
        <v>0.005</v>
      </c>
      <c r="F4786" s="797" t="n">
        <v>720</v>
      </c>
      <c r="G4786" s="799" t="n">
        <f aca="false">E4786*F4786</f>
        <v>3.6</v>
      </c>
      <c r="H4786" s="476"/>
    </row>
    <row r="4787" customFormat="false" ht="15" hidden="false" customHeight="false" outlineLevel="0" collapsed="false">
      <c r="A4787" s="571"/>
      <c r="B4787" s="433"/>
      <c r="C4787" s="338" t="s">
        <v>5160</v>
      </c>
      <c r="D4787" s="823" t="s">
        <v>4149</v>
      </c>
      <c r="E4787" s="835" t="n">
        <v>0.0005</v>
      </c>
      <c r="F4787" s="797" t="n">
        <v>3500</v>
      </c>
      <c r="G4787" s="799" t="n">
        <f aca="false">E4787*F4787</f>
        <v>1.75</v>
      </c>
      <c r="H4787" s="476"/>
    </row>
    <row r="4788" customFormat="false" ht="15" hidden="false" customHeight="false" outlineLevel="0" collapsed="false">
      <c r="A4788" s="571"/>
      <c r="B4788" s="433"/>
      <c r="C4788" s="476" t="s">
        <v>4515</v>
      </c>
      <c r="D4788" s="823" t="s">
        <v>4149</v>
      </c>
      <c r="E4788" s="832" t="n">
        <v>0.05</v>
      </c>
      <c r="F4788" s="697" t="n">
        <v>3500</v>
      </c>
      <c r="G4788" s="799" t="n">
        <f aca="false">E4788*F4788</f>
        <v>175</v>
      </c>
      <c r="H4788" s="476"/>
    </row>
    <row r="4789" customFormat="false" ht="30" hidden="false" customHeight="false" outlineLevel="0" collapsed="false">
      <c r="A4789" s="571"/>
      <c r="B4789" s="433"/>
      <c r="C4789" s="476" t="s">
        <v>5033</v>
      </c>
      <c r="D4789" s="606" t="s">
        <v>4191</v>
      </c>
      <c r="E4789" s="622" t="n">
        <v>3</v>
      </c>
      <c r="F4789" s="361" t="n">
        <v>100</v>
      </c>
      <c r="G4789" s="799" t="n">
        <f aca="false">E4789*F4789</f>
        <v>300</v>
      </c>
      <c r="H4789" s="476"/>
    </row>
    <row r="4790" customFormat="false" ht="15" hidden="false" customHeight="false" outlineLevel="0" collapsed="false">
      <c r="A4790" s="571"/>
      <c r="B4790" s="608" t="s">
        <v>4128</v>
      </c>
      <c r="C4790" s="476"/>
      <c r="D4790" s="606"/>
      <c r="E4790" s="834"/>
      <c r="F4790" s="797"/>
      <c r="G4790" s="829" t="n">
        <f aca="false">SUM(G4783:G4789)</f>
        <v>2256.95</v>
      </c>
      <c r="H4790" s="476"/>
    </row>
    <row r="4791" customFormat="false" ht="15" hidden="false" customHeight="false" outlineLevel="0" collapsed="false">
      <c r="A4791" s="350" t="s">
        <v>5161</v>
      </c>
      <c r="B4791" s="467" t="s">
        <v>3289</v>
      </c>
      <c r="C4791" s="601"/>
      <c r="D4791" s="600"/>
      <c r="E4791" s="845"/>
      <c r="F4791" s="364"/>
      <c r="G4791" s="713"/>
      <c r="H4791" s="600"/>
    </row>
    <row r="4792" customFormat="false" ht="45" hidden="false" customHeight="false" outlineLevel="0" collapsed="false">
      <c r="A4792" s="571" t="s">
        <v>994</v>
      </c>
      <c r="B4792" s="433" t="s">
        <v>3249</v>
      </c>
      <c r="C4792" s="614"/>
      <c r="D4792" s="606"/>
      <c r="E4792" s="834"/>
      <c r="F4792" s="361"/>
      <c r="G4792" s="615"/>
      <c r="H4792" s="820" t="s">
        <v>5027</v>
      </c>
    </row>
    <row r="4793" customFormat="false" ht="15" hidden="false" customHeight="false" outlineLevel="0" collapsed="false">
      <c r="A4793" s="571"/>
      <c r="B4793" s="608"/>
      <c r="C4793" s="476" t="s">
        <v>4776</v>
      </c>
      <c r="D4793" s="820" t="s">
        <v>4123</v>
      </c>
      <c r="E4793" s="622" t="n">
        <v>0.2</v>
      </c>
      <c r="F4793" s="361" t="n">
        <v>720</v>
      </c>
      <c r="G4793" s="799" t="n">
        <f aca="false">E4793*F4793</f>
        <v>144</v>
      </c>
      <c r="H4793" s="391"/>
    </row>
    <row r="4794" customFormat="false" ht="15" hidden="false" customHeight="false" outlineLevel="0" collapsed="false">
      <c r="A4794" s="571"/>
      <c r="B4794" s="328"/>
      <c r="C4794" s="476" t="s">
        <v>4124</v>
      </c>
      <c r="D4794" s="820" t="s">
        <v>4456</v>
      </c>
      <c r="E4794" s="622" t="n">
        <v>0.2</v>
      </c>
      <c r="F4794" s="361" t="n">
        <v>170</v>
      </c>
      <c r="G4794" s="799" t="n">
        <f aca="false">E4794*F4794</f>
        <v>34</v>
      </c>
      <c r="H4794" s="606"/>
    </row>
    <row r="4795" customFormat="false" ht="15" hidden="false" customHeight="false" outlineLevel="0" collapsed="false">
      <c r="A4795" s="571"/>
      <c r="B4795" s="608" t="s">
        <v>4128</v>
      </c>
      <c r="C4795" s="609"/>
      <c r="D4795" s="606"/>
      <c r="E4795" s="611"/>
      <c r="F4795" s="612"/>
      <c r="G4795" s="613" t="n">
        <f aca="false">SUM(G4793:G4794)</f>
        <v>178</v>
      </c>
      <c r="H4795" s="606"/>
    </row>
    <row r="4796" s="451" customFormat="true" ht="70.5" hidden="false" customHeight="true" outlineLevel="0" collapsed="false">
      <c r="A4796" s="707" t="s">
        <v>995</v>
      </c>
      <c r="B4796" s="532" t="s">
        <v>5162</v>
      </c>
      <c r="C4796" s="709"/>
      <c r="D4796" s="679"/>
      <c r="E4796" s="710"/>
      <c r="F4796" s="369"/>
      <c r="G4796" s="716"/>
      <c r="H4796" s="679" t="s">
        <v>5163</v>
      </c>
    </row>
    <row r="4797" s="451" customFormat="true" ht="15" hidden="false" customHeight="false" outlineLevel="0" collapsed="false">
      <c r="A4797" s="707"/>
      <c r="B4797" s="522"/>
      <c r="C4797" s="709" t="s">
        <v>5037</v>
      </c>
      <c r="D4797" s="679" t="s">
        <v>4191</v>
      </c>
      <c r="E4797" s="710" t="n">
        <v>1</v>
      </c>
      <c r="F4797" s="369" t="n">
        <v>3500</v>
      </c>
      <c r="G4797" s="716" t="n">
        <f aca="false">E4797*F4797</f>
        <v>3500</v>
      </c>
      <c r="H4797" s="679"/>
    </row>
    <row r="4798" s="451" customFormat="true" ht="15" hidden="false" customHeight="false" outlineLevel="0" collapsed="false">
      <c r="A4798" s="707"/>
      <c r="B4798" s="487"/>
      <c r="C4798" s="471" t="s">
        <v>4515</v>
      </c>
      <c r="D4798" s="679" t="s">
        <v>4149</v>
      </c>
      <c r="E4798" s="710" t="n">
        <v>0.02</v>
      </c>
      <c r="F4798" s="369" t="n">
        <v>3500</v>
      </c>
      <c r="G4798" s="716" t="n">
        <f aca="false">E4798*F4798</f>
        <v>70</v>
      </c>
      <c r="H4798" s="679"/>
    </row>
    <row r="4799" s="451" customFormat="true" ht="15" hidden="false" customHeight="false" outlineLevel="0" collapsed="false">
      <c r="A4799" s="707"/>
      <c r="B4799" s="522"/>
      <c r="C4799" s="709" t="s">
        <v>4122</v>
      </c>
      <c r="D4799" s="679" t="s">
        <v>4123</v>
      </c>
      <c r="E4799" s="710" t="n">
        <v>0.1</v>
      </c>
      <c r="F4799" s="369" t="n">
        <v>720</v>
      </c>
      <c r="G4799" s="716" t="n">
        <f aca="false">E4799*F4799</f>
        <v>72</v>
      </c>
      <c r="H4799" s="679"/>
    </row>
    <row r="4800" s="451" customFormat="true" ht="15" hidden="false" customHeight="false" outlineLevel="0" collapsed="false">
      <c r="A4800" s="707"/>
      <c r="B4800" s="708" t="s">
        <v>4128</v>
      </c>
      <c r="C4800" s="718"/>
      <c r="D4800" s="679"/>
      <c r="E4800" s="722"/>
      <c r="F4800" s="366"/>
      <c r="G4800" s="711" t="n">
        <f aca="false">SUM(G4797:G4799)</f>
        <v>3642</v>
      </c>
      <c r="H4800" s="679"/>
    </row>
    <row r="4801" customFormat="false" ht="15" hidden="false" customHeight="false" outlineLevel="0" collapsed="false">
      <c r="A4801" s="571" t="s">
        <v>997</v>
      </c>
      <c r="B4801" s="328" t="s">
        <v>3291</v>
      </c>
      <c r="C4801" s="433"/>
      <c r="D4801" s="846"/>
      <c r="E4801" s="847"/>
      <c r="F4801" s="797"/>
      <c r="G4801" s="848"/>
      <c r="H4801" s="823"/>
    </row>
    <row r="4802" customFormat="false" ht="15" hidden="false" customHeight="false" outlineLevel="0" collapsed="false">
      <c r="A4802" s="571"/>
      <c r="B4802" s="433"/>
      <c r="C4802" s="614" t="s">
        <v>5077</v>
      </c>
      <c r="D4802" s="606" t="s">
        <v>5018</v>
      </c>
      <c r="E4802" s="822" t="n">
        <v>1</v>
      </c>
      <c r="F4802" s="797" t="n">
        <v>1710</v>
      </c>
      <c r="G4802" s="799" t="n">
        <f aca="false">E4802*F4802</f>
        <v>1710</v>
      </c>
      <c r="H4802" s="476"/>
    </row>
    <row r="4803" customFormat="false" ht="15" hidden="false" customHeight="false" outlineLevel="0" collapsed="false">
      <c r="A4803" s="571"/>
      <c r="B4803" s="433"/>
      <c r="C4803" s="433" t="s">
        <v>4147</v>
      </c>
      <c r="D4803" s="846" t="s">
        <v>4149</v>
      </c>
      <c r="E4803" s="847" t="n">
        <v>0.1</v>
      </c>
      <c r="F4803" s="797" t="n">
        <v>3612</v>
      </c>
      <c r="G4803" s="799" t="n">
        <f aca="false">E4803*F4803</f>
        <v>361.2</v>
      </c>
      <c r="H4803" s="476"/>
    </row>
    <row r="4804" customFormat="false" ht="15" hidden="false" customHeight="false" outlineLevel="0" collapsed="false">
      <c r="A4804" s="571"/>
      <c r="B4804" s="433"/>
      <c r="C4804" s="433" t="s">
        <v>5164</v>
      </c>
      <c r="D4804" s="846" t="s">
        <v>4149</v>
      </c>
      <c r="E4804" s="847" t="n">
        <v>0.005</v>
      </c>
      <c r="F4804" s="849" t="n">
        <v>50000</v>
      </c>
      <c r="G4804" s="799" t="n">
        <f aca="false">E4804*F4804</f>
        <v>250</v>
      </c>
      <c r="H4804" s="476"/>
    </row>
    <row r="4805" customFormat="false" ht="15" hidden="false" customHeight="false" outlineLevel="0" collapsed="false">
      <c r="A4805" s="571"/>
      <c r="B4805" s="433"/>
      <c r="C4805" s="433" t="s">
        <v>4240</v>
      </c>
      <c r="D4805" s="846" t="s">
        <v>4149</v>
      </c>
      <c r="E4805" s="847" t="n">
        <v>0.015</v>
      </c>
      <c r="F4805" s="849" t="n">
        <v>950</v>
      </c>
      <c r="G4805" s="799" t="n">
        <f aca="false">E4805*F4805</f>
        <v>14.25</v>
      </c>
      <c r="H4805" s="476"/>
    </row>
    <row r="4806" customFormat="false" ht="15" hidden="false" customHeight="false" outlineLevel="0" collapsed="false">
      <c r="A4806" s="571"/>
      <c r="B4806" s="433"/>
      <c r="C4806" s="476" t="s">
        <v>4515</v>
      </c>
      <c r="D4806" s="846" t="s">
        <v>4149</v>
      </c>
      <c r="E4806" s="828" t="n">
        <v>0.05</v>
      </c>
      <c r="F4806" s="697" t="n">
        <v>3500</v>
      </c>
      <c r="G4806" s="799" t="n">
        <f aca="false">E4806*F4806</f>
        <v>175</v>
      </c>
      <c r="H4806" s="476"/>
    </row>
    <row r="4807" customFormat="false" ht="30" hidden="false" customHeight="false" outlineLevel="0" collapsed="false">
      <c r="A4807" s="571"/>
      <c r="B4807" s="433"/>
      <c r="C4807" s="476" t="s">
        <v>5033</v>
      </c>
      <c r="D4807" s="606" t="s">
        <v>4191</v>
      </c>
      <c r="E4807" s="622" t="n">
        <v>3</v>
      </c>
      <c r="F4807" s="361" t="n">
        <v>100</v>
      </c>
      <c r="G4807" s="799" t="n">
        <f aca="false">E4807*F4807</f>
        <v>300</v>
      </c>
      <c r="H4807" s="476"/>
    </row>
    <row r="4808" customFormat="false" ht="15" hidden="false" customHeight="false" outlineLevel="0" collapsed="false">
      <c r="A4808" s="571"/>
      <c r="B4808" s="433"/>
      <c r="C4808" s="614"/>
      <c r="D4808" s="606"/>
      <c r="E4808" s="622"/>
      <c r="F4808" s="361"/>
      <c r="G4808" s="613" t="n">
        <f aca="false">SUM(G4801:G4807)</f>
        <v>2810.45</v>
      </c>
      <c r="H4808" s="606"/>
    </row>
    <row r="4809" customFormat="false" ht="15" hidden="false" customHeight="false" outlineLevel="0" collapsed="false">
      <c r="A4809" s="571" t="s">
        <v>998</v>
      </c>
      <c r="B4809" s="328" t="s">
        <v>2889</v>
      </c>
      <c r="C4809" s="614"/>
      <c r="D4809" s="606"/>
      <c r="E4809" s="622"/>
      <c r="F4809" s="361"/>
      <c r="G4809" s="615"/>
      <c r="H4809" s="606" t="s">
        <v>5163</v>
      </c>
    </row>
    <row r="4810" customFormat="false" ht="30" hidden="false" customHeight="false" outlineLevel="0" collapsed="false">
      <c r="A4810" s="571"/>
      <c r="B4810" s="433"/>
      <c r="C4810" s="476" t="s">
        <v>5033</v>
      </c>
      <c r="D4810" s="606" t="s">
        <v>4191</v>
      </c>
      <c r="E4810" s="622" t="n">
        <v>3</v>
      </c>
      <c r="F4810" s="361" t="n">
        <v>100</v>
      </c>
      <c r="G4810" s="799" t="n">
        <f aca="false">E4810*F4810</f>
        <v>300</v>
      </c>
      <c r="H4810" s="606"/>
    </row>
    <row r="4811" customFormat="false" ht="15" hidden="false" customHeight="false" outlineLevel="0" collapsed="false">
      <c r="A4811" s="571"/>
      <c r="B4811" s="433"/>
      <c r="C4811" s="476" t="s">
        <v>5030</v>
      </c>
      <c r="D4811" s="606" t="s">
        <v>4149</v>
      </c>
      <c r="E4811" s="822" t="n">
        <v>0.1</v>
      </c>
      <c r="F4811" s="697" t="n">
        <v>720</v>
      </c>
      <c r="G4811" s="799" t="n">
        <f aca="false">E4811*F4811</f>
        <v>72</v>
      </c>
      <c r="H4811" s="606"/>
    </row>
    <row r="4812" customFormat="false" ht="15" hidden="false" customHeight="false" outlineLevel="0" collapsed="false">
      <c r="A4812" s="571"/>
      <c r="B4812" s="433"/>
      <c r="C4812" s="476" t="s">
        <v>4515</v>
      </c>
      <c r="D4812" s="606" t="s">
        <v>4149</v>
      </c>
      <c r="E4812" s="822" t="n">
        <v>0.08</v>
      </c>
      <c r="F4812" s="697" t="n">
        <v>3500</v>
      </c>
      <c r="G4812" s="799" t="n">
        <f aca="false">E4812*F4812</f>
        <v>280</v>
      </c>
      <c r="H4812" s="606"/>
    </row>
    <row r="4813" customFormat="false" ht="15" hidden="false" customHeight="false" outlineLevel="0" collapsed="false">
      <c r="A4813" s="571"/>
      <c r="B4813" s="433"/>
      <c r="C4813" s="476" t="s">
        <v>4124</v>
      </c>
      <c r="D4813" s="820" t="s">
        <v>4456</v>
      </c>
      <c r="E4813" s="828" t="n">
        <v>0.5</v>
      </c>
      <c r="F4813" s="697" t="n">
        <v>170</v>
      </c>
      <c r="G4813" s="799" t="n">
        <f aca="false">E4813*F4813</f>
        <v>85</v>
      </c>
      <c r="H4813" s="606"/>
    </row>
    <row r="4814" customFormat="false" ht="15" hidden="false" customHeight="false" outlineLevel="0" collapsed="false">
      <c r="A4814" s="571"/>
      <c r="B4814" s="433"/>
      <c r="C4814" s="476"/>
      <c r="D4814" s="820"/>
      <c r="E4814" s="828"/>
      <c r="F4814" s="697"/>
      <c r="G4814" s="613" t="n">
        <f aca="false">SUM(G4810:G4813)</f>
        <v>737</v>
      </c>
      <c r="H4814" s="606"/>
    </row>
    <row r="4815" customFormat="false" ht="15" hidden="false" customHeight="false" outlineLevel="0" collapsed="false">
      <c r="A4815" s="571" t="s">
        <v>999</v>
      </c>
      <c r="B4815" s="328" t="s">
        <v>3292</v>
      </c>
      <c r="C4815" s="433"/>
      <c r="D4815" s="606"/>
      <c r="E4815" s="822"/>
      <c r="F4815" s="361"/>
      <c r="G4815" s="850"/>
      <c r="H4815" s="606" t="s">
        <v>5163</v>
      </c>
    </row>
    <row r="4816" customFormat="false" ht="15" hidden="false" customHeight="false" outlineLevel="0" collapsed="false">
      <c r="A4816" s="571"/>
      <c r="B4816" s="433"/>
      <c r="C4816" s="614" t="s">
        <v>5077</v>
      </c>
      <c r="D4816" s="606" t="s">
        <v>5018</v>
      </c>
      <c r="E4816" s="822" t="n">
        <v>1</v>
      </c>
      <c r="F4816" s="797" t="n">
        <v>1710</v>
      </c>
      <c r="G4816" s="799" t="n">
        <f aca="false">E4816*F4816</f>
        <v>1710</v>
      </c>
      <c r="H4816" s="606"/>
    </row>
    <row r="4817" customFormat="false" ht="15" hidden="false" customHeight="false" outlineLevel="0" collapsed="false">
      <c r="A4817" s="571"/>
      <c r="B4817" s="433"/>
      <c r="C4817" s="614" t="s">
        <v>4834</v>
      </c>
      <c r="D4817" s="606" t="s">
        <v>4149</v>
      </c>
      <c r="E4817" s="822" t="n">
        <v>0.025</v>
      </c>
      <c r="F4817" s="697" t="n">
        <v>15000</v>
      </c>
      <c r="G4817" s="799" t="n">
        <f aca="false">E4817*F4817</f>
        <v>375</v>
      </c>
      <c r="H4817" s="476"/>
    </row>
    <row r="4818" customFormat="false" ht="15" hidden="false" customHeight="false" outlineLevel="0" collapsed="false">
      <c r="A4818" s="571"/>
      <c r="B4818" s="433"/>
      <c r="C4818" s="614" t="s">
        <v>4154</v>
      </c>
      <c r="D4818" s="606" t="s">
        <v>4123</v>
      </c>
      <c r="E4818" s="822" t="n">
        <v>0.05</v>
      </c>
      <c r="F4818" s="797" t="n">
        <v>7200</v>
      </c>
      <c r="G4818" s="799" t="n">
        <f aca="false">E4818*F4818</f>
        <v>360</v>
      </c>
      <c r="H4818" s="476"/>
    </row>
    <row r="4819" customFormat="false" ht="15" hidden="false" customHeight="false" outlineLevel="0" collapsed="false">
      <c r="A4819" s="571"/>
      <c r="B4819" s="433"/>
      <c r="C4819" s="614" t="s">
        <v>5030</v>
      </c>
      <c r="D4819" s="846" t="s">
        <v>4149</v>
      </c>
      <c r="E4819" s="822" t="n">
        <v>0.04</v>
      </c>
      <c r="F4819" s="697" t="n">
        <v>720</v>
      </c>
      <c r="G4819" s="799" t="n">
        <f aca="false">E4819*F4819</f>
        <v>28.8</v>
      </c>
      <c r="H4819" s="476"/>
    </row>
    <row r="4820" customFormat="false" ht="30" hidden="false" customHeight="false" outlineLevel="0" collapsed="false">
      <c r="A4820" s="571"/>
      <c r="B4820" s="433"/>
      <c r="C4820" s="476" t="s">
        <v>5033</v>
      </c>
      <c r="D4820" s="606" t="s">
        <v>4191</v>
      </c>
      <c r="E4820" s="622" t="n">
        <v>3</v>
      </c>
      <c r="F4820" s="361" t="n">
        <v>100</v>
      </c>
      <c r="G4820" s="799" t="n">
        <f aca="false">E4820*F4820</f>
        <v>300</v>
      </c>
      <c r="H4820" s="476"/>
    </row>
    <row r="4821" customFormat="false" ht="15" hidden="false" customHeight="false" outlineLevel="0" collapsed="false">
      <c r="A4821" s="571"/>
      <c r="B4821" s="433"/>
      <c r="C4821" s="476" t="s">
        <v>4515</v>
      </c>
      <c r="D4821" s="820" t="s">
        <v>4149</v>
      </c>
      <c r="E4821" s="828" t="n">
        <v>0.05</v>
      </c>
      <c r="F4821" s="697" t="n">
        <v>3500</v>
      </c>
      <c r="G4821" s="799" t="n">
        <f aca="false">E4821*F4821</f>
        <v>175</v>
      </c>
      <c r="H4821" s="476"/>
    </row>
    <row r="4822" customFormat="false" ht="15" hidden="false" customHeight="false" outlineLevel="0" collapsed="false">
      <c r="A4822" s="571"/>
      <c r="B4822" s="433"/>
      <c r="C4822" s="609"/>
      <c r="D4822" s="606"/>
      <c r="E4822" s="611"/>
      <c r="F4822" s="612"/>
      <c r="G4822" s="829" t="n">
        <f aca="false">SUM(G4815:G4821)</f>
        <v>2948.8</v>
      </c>
      <c r="H4822" s="391"/>
    </row>
    <row r="4823" customFormat="false" ht="30" hidden="false" customHeight="true" outlineLevel="0" collapsed="false">
      <c r="A4823" s="571" t="s">
        <v>1001</v>
      </c>
      <c r="B4823" s="328" t="s">
        <v>3293</v>
      </c>
      <c r="C4823" s="476"/>
      <c r="D4823" s="820"/>
      <c r="E4823" s="820"/>
      <c r="F4823" s="697"/>
      <c r="G4823" s="615"/>
      <c r="H4823" s="606" t="s">
        <v>5163</v>
      </c>
    </row>
    <row r="4824" customFormat="false" ht="15" hidden="false" customHeight="false" outlineLevel="0" collapsed="false">
      <c r="A4824" s="571"/>
      <c r="B4824" s="433"/>
      <c r="C4824" s="433" t="s">
        <v>4985</v>
      </c>
      <c r="D4824" s="606" t="s">
        <v>4149</v>
      </c>
      <c r="E4824" s="822" t="n">
        <v>0.0063</v>
      </c>
      <c r="F4824" s="361" t="n">
        <v>3000</v>
      </c>
      <c r="G4824" s="799" t="n">
        <f aca="false">E4824*F4824</f>
        <v>18.9</v>
      </c>
      <c r="H4824" s="476"/>
    </row>
    <row r="4825" customFormat="false" ht="15" hidden="false" customHeight="false" outlineLevel="0" collapsed="false">
      <c r="A4825" s="571"/>
      <c r="B4825" s="433"/>
      <c r="C4825" s="433" t="s">
        <v>5165</v>
      </c>
      <c r="D4825" s="606" t="s">
        <v>4149</v>
      </c>
      <c r="E4825" s="822" t="n">
        <v>0.0041</v>
      </c>
      <c r="F4825" s="361" t="n">
        <v>1800</v>
      </c>
      <c r="G4825" s="799" t="n">
        <f aca="false">E4825*F4825</f>
        <v>7.38</v>
      </c>
      <c r="H4825" s="606"/>
    </row>
    <row r="4826" customFormat="false" ht="15" hidden="false" customHeight="false" outlineLevel="0" collapsed="false">
      <c r="A4826" s="571"/>
      <c r="B4826" s="433"/>
      <c r="C4826" s="433" t="s">
        <v>5166</v>
      </c>
      <c r="D4826" s="606" t="s">
        <v>4149</v>
      </c>
      <c r="E4826" s="822" t="n">
        <v>0.001</v>
      </c>
      <c r="F4826" s="361" t="n">
        <v>30000</v>
      </c>
      <c r="G4826" s="799" t="n">
        <f aca="false">E4826*F4826</f>
        <v>30</v>
      </c>
      <c r="H4826" s="606"/>
    </row>
    <row r="4827" customFormat="false" ht="15" hidden="false" customHeight="false" outlineLevel="0" collapsed="false">
      <c r="A4827" s="571"/>
      <c r="B4827" s="433"/>
      <c r="C4827" s="433" t="s">
        <v>5167</v>
      </c>
      <c r="D4827" s="606" t="s">
        <v>4149</v>
      </c>
      <c r="E4827" s="822" t="n">
        <v>0.00291</v>
      </c>
      <c r="F4827" s="797" t="n">
        <v>7200</v>
      </c>
      <c r="G4827" s="799" t="n">
        <f aca="false">E4827*F4827</f>
        <v>20.952</v>
      </c>
      <c r="H4827" s="606"/>
    </row>
    <row r="4828" customFormat="false" ht="15" hidden="false" customHeight="false" outlineLevel="0" collapsed="false">
      <c r="A4828" s="571"/>
      <c r="B4828" s="433"/>
      <c r="C4828" s="433" t="s">
        <v>5168</v>
      </c>
      <c r="D4828" s="606" t="s">
        <v>4149</v>
      </c>
      <c r="E4828" s="822" t="n">
        <v>0.0165</v>
      </c>
      <c r="F4828" s="361" t="n">
        <v>45000</v>
      </c>
      <c r="G4828" s="799" t="n">
        <f aca="false">E4828*F4828</f>
        <v>742.5</v>
      </c>
      <c r="H4828" s="606"/>
    </row>
    <row r="4829" customFormat="false" ht="15" hidden="false" customHeight="false" outlineLevel="0" collapsed="false">
      <c r="A4829" s="571"/>
      <c r="B4829" s="433"/>
      <c r="C4829" s="433" t="s">
        <v>4282</v>
      </c>
      <c r="D4829" s="606" t="s">
        <v>4149</v>
      </c>
      <c r="E4829" s="822" t="n">
        <v>0.1</v>
      </c>
      <c r="F4829" s="361" t="n">
        <v>4500</v>
      </c>
      <c r="G4829" s="799" t="n">
        <f aca="false">E4829*F4829</f>
        <v>450</v>
      </c>
      <c r="H4829" s="476"/>
    </row>
    <row r="4830" customFormat="false" ht="15" hidden="false" customHeight="false" outlineLevel="0" collapsed="false">
      <c r="A4830" s="571"/>
      <c r="B4830" s="433"/>
      <c r="C4830" s="433" t="s">
        <v>5169</v>
      </c>
      <c r="D4830" s="606" t="s">
        <v>4149</v>
      </c>
      <c r="E4830" s="822" t="n">
        <v>0.002</v>
      </c>
      <c r="F4830" s="361" t="n">
        <v>50000</v>
      </c>
      <c r="G4830" s="799" t="n">
        <f aca="false">E4830*F4830</f>
        <v>100</v>
      </c>
      <c r="H4830" s="476"/>
    </row>
    <row r="4831" customFormat="false" ht="15" hidden="false" customHeight="false" outlineLevel="0" collapsed="false">
      <c r="A4831" s="571"/>
      <c r="B4831" s="433"/>
      <c r="C4831" s="433" t="s">
        <v>5170</v>
      </c>
      <c r="D4831" s="606" t="s">
        <v>4149</v>
      </c>
      <c r="E4831" s="822" t="n">
        <v>0.00036</v>
      </c>
      <c r="F4831" s="361" t="n">
        <v>870</v>
      </c>
      <c r="G4831" s="799" t="n">
        <f aca="false">E4831*F4831</f>
        <v>0.3132</v>
      </c>
      <c r="H4831" s="476"/>
    </row>
    <row r="4832" customFormat="false" ht="15" hidden="false" customHeight="false" outlineLevel="0" collapsed="false">
      <c r="A4832" s="571"/>
      <c r="B4832" s="433"/>
      <c r="C4832" s="433" t="s">
        <v>5171</v>
      </c>
      <c r="D4832" s="606" t="s">
        <v>4149</v>
      </c>
      <c r="E4832" s="822" t="n">
        <v>2E-005</v>
      </c>
      <c r="F4832" s="361" t="n">
        <v>11500</v>
      </c>
      <c r="G4832" s="799" t="n">
        <f aca="false">E4832*F4832</f>
        <v>0.23</v>
      </c>
      <c r="H4832" s="476"/>
    </row>
    <row r="4833" customFormat="false" ht="15" hidden="false" customHeight="false" outlineLevel="0" collapsed="false">
      <c r="A4833" s="571"/>
      <c r="B4833" s="433"/>
      <c r="C4833" s="433" t="s">
        <v>5172</v>
      </c>
      <c r="D4833" s="606" t="s">
        <v>4149</v>
      </c>
      <c r="E4833" s="822" t="n">
        <v>0.0008</v>
      </c>
      <c r="F4833" s="361" t="n">
        <v>880</v>
      </c>
      <c r="G4833" s="799" t="n">
        <f aca="false">E4833*F4833</f>
        <v>0.704</v>
      </c>
      <c r="H4833" s="476"/>
    </row>
    <row r="4834" customFormat="false" ht="15" hidden="false" customHeight="false" outlineLevel="0" collapsed="false">
      <c r="A4834" s="571"/>
      <c r="B4834" s="433"/>
      <c r="C4834" s="433" t="s">
        <v>4637</v>
      </c>
      <c r="D4834" s="606" t="s">
        <v>4149</v>
      </c>
      <c r="E4834" s="822" t="n">
        <v>0.001</v>
      </c>
      <c r="F4834" s="361" t="n">
        <v>5800</v>
      </c>
      <c r="G4834" s="799" t="n">
        <f aca="false">E4834*F4834</f>
        <v>5.8</v>
      </c>
      <c r="H4834" s="476"/>
    </row>
    <row r="4835" customFormat="false" ht="15" hidden="false" customHeight="false" outlineLevel="0" collapsed="false">
      <c r="A4835" s="571"/>
      <c r="B4835" s="433"/>
      <c r="C4835" s="433" t="s">
        <v>5103</v>
      </c>
      <c r="D4835" s="606" t="s">
        <v>4149</v>
      </c>
      <c r="E4835" s="822" t="n">
        <v>0.002</v>
      </c>
      <c r="F4835" s="361" t="n">
        <v>4300</v>
      </c>
      <c r="G4835" s="799" t="n">
        <f aca="false">E4835*F4835</f>
        <v>8.6</v>
      </c>
      <c r="H4835" s="476"/>
    </row>
    <row r="4836" customFormat="false" ht="15" hidden="false" customHeight="false" outlineLevel="0" collapsed="false">
      <c r="A4836" s="571"/>
      <c r="B4836" s="433"/>
      <c r="C4836" s="614" t="s">
        <v>5077</v>
      </c>
      <c r="D4836" s="606" t="s">
        <v>5018</v>
      </c>
      <c r="E4836" s="822" t="n">
        <v>1</v>
      </c>
      <c r="F4836" s="797" t="n">
        <v>1710</v>
      </c>
      <c r="G4836" s="799" t="n">
        <f aca="false">E4836*F4836</f>
        <v>1710</v>
      </c>
      <c r="H4836" s="476"/>
    </row>
    <row r="4837" customFormat="false" ht="30" hidden="false" customHeight="false" outlineLevel="0" collapsed="false">
      <c r="A4837" s="571"/>
      <c r="B4837" s="433"/>
      <c r="C4837" s="476" t="s">
        <v>5033</v>
      </c>
      <c r="D4837" s="606" t="s">
        <v>4191</v>
      </c>
      <c r="E4837" s="622" t="n">
        <v>3</v>
      </c>
      <c r="F4837" s="361" t="n">
        <v>100</v>
      </c>
      <c r="G4837" s="799" t="n">
        <f aca="false">E4837*F4837</f>
        <v>300</v>
      </c>
      <c r="H4837" s="476"/>
    </row>
    <row r="4838" customFormat="false" ht="15" hidden="false" customHeight="false" outlineLevel="0" collapsed="false">
      <c r="A4838" s="571"/>
      <c r="B4838" s="433"/>
      <c r="C4838" s="476" t="s">
        <v>4515</v>
      </c>
      <c r="D4838" s="820" t="s">
        <v>4149</v>
      </c>
      <c r="E4838" s="828" t="n">
        <v>0.05</v>
      </c>
      <c r="F4838" s="697" t="n">
        <v>3500</v>
      </c>
      <c r="G4838" s="799" t="n">
        <f aca="false">E4838*F4838</f>
        <v>175</v>
      </c>
      <c r="H4838" s="476"/>
    </row>
    <row r="4839" customFormat="false" ht="15" hidden="false" customHeight="false" outlineLevel="0" collapsed="false">
      <c r="A4839" s="571"/>
      <c r="B4839" s="433"/>
      <c r="C4839" s="614"/>
      <c r="D4839" s="606"/>
      <c r="E4839" s="622"/>
      <c r="F4839" s="361"/>
      <c r="G4839" s="613" t="n">
        <f aca="false">SUM(G4824:G4838)</f>
        <v>3570.3792</v>
      </c>
      <c r="H4839" s="606"/>
    </row>
    <row r="4840" customFormat="false" ht="45" hidden="false" customHeight="false" outlineLevel="0" collapsed="false">
      <c r="A4840" s="571" t="s">
        <v>1003</v>
      </c>
      <c r="B4840" s="328" t="s">
        <v>5173</v>
      </c>
      <c r="C4840" s="614"/>
      <c r="D4840" s="606"/>
      <c r="E4840" s="827"/>
      <c r="F4840" s="361"/>
      <c r="G4840" s="615"/>
      <c r="H4840" s="606" t="s">
        <v>5163</v>
      </c>
    </row>
    <row r="4841" customFormat="false" ht="17.25" hidden="false" customHeight="true" outlineLevel="0" collapsed="false">
      <c r="A4841" s="571"/>
      <c r="B4841" s="433"/>
      <c r="C4841" s="614" t="s">
        <v>5077</v>
      </c>
      <c r="D4841" s="606" t="s">
        <v>5018</v>
      </c>
      <c r="E4841" s="834" t="n">
        <v>1</v>
      </c>
      <c r="F4841" s="797" t="n">
        <v>1710</v>
      </c>
      <c r="G4841" s="799" t="n">
        <f aca="false">E4841*F4841</f>
        <v>1710</v>
      </c>
      <c r="H4841" s="476"/>
    </row>
    <row r="4842" customFormat="false" ht="15" hidden="false" customHeight="false" outlineLevel="0" collapsed="false">
      <c r="A4842" s="571"/>
      <c r="B4842" s="433"/>
      <c r="C4842" s="476" t="s">
        <v>5174</v>
      </c>
      <c r="D4842" s="820" t="s">
        <v>5175</v>
      </c>
      <c r="E4842" s="834" t="n">
        <v>0.1</v>
      </c>
      <c r="F4842" s="361" t="n">
        <v>2500</v>
      </c>
      <c r="G4842" s="799" t="n">
        <f aca="false">E4842*F4842</f>
        <v>250</v>
      </c>
      <c r="H4842" s="476"/>
    </row>
    <row r="4843" customFormat="false" ht="15" hidden="false" customHeight="false" outlineLevel="0" collapsed="false">
      <c r="A4843" s="571"/>
      <c r="B4843" s="433"/>
      <c r="C4843" s="476" t="s">
        <v>5176</v>
      </c>
      <c r="D4843" s="820" t="s">
        <v>4149</v>
      </c>
      <c r="E4843" s="832" t="n">
        <v>0.005</v>
      </c>
      <c r="F4843" s="697" t="n">
        <v>40000</v>
      </c>
      <c r="G4843" s="799" t="n">
        <f aca="false">E4843*F4843</f>
        <v>200</v>
      </c>
      <c r="H4843" s="476"/>
    </row>
    <row r="4844" customFormat="false" ht="15" hidden="false" customHeight="false" outlineLevel="0" collapsed="false">
      <c r="A4844" s="571"/>
      <c r="B4844" s="433"/>
      <c r="C4844" s="476" t="s">
        <v>5177</v>
      </c>
      <c r="D4844" s="820" t="s">
        <v>4149</v>
      </c>
      <c r="E4844" s="832" t="n">
        <v>0.02</v>
      </c>
      <c r="F4844" s="697" t="n">
        <v>4500</v>
      </c>
      <c r="G4844" s="799" t="n">
        <f aca="false">E4844*F4844</f>
        <v>90</v>
      </c>
      <c r="H4844" s="476"/>
    </row>
    <row r="4845" customFormat="false" ht="15" hidden="false" customHeight="false" outlineLevel="0" collapsed="false">
      <c r="A4845" s="571"/>
      <c r="B4845" s="433"/>
      <c r="C4845" s="476" t="s">
        <v>4154</v>
      </c>
      <c r="D4845" s="820" t="s">
        <v>4149</v>
      </c>
      <c r="E4845" s="832" t="n">
        <v>0.05</v>
      </c>
      <c r="F4845" s="797" t="n">
        <v>7200</v>
      </c>
      <c r="G4845" s="799" t="n">
        <f aca="false">E4845*F4845</f>
        <v>360</v>
      </c>
      <c r="H4845" s="476"/>
    </row>
    <row r="4846" customFormat="false" ht="15" hidden="false" customHeight="false" outlineLevel="0" collapsed="false">
      <c r="A4846" s="571"/>
      <c r="B4846" s="433"/>
      <c r="C4846" s="476" t="s">
        <v>4264</v>
      </c>
      <c r="D4846" s="820" t="s">
        <v>4149</v>
      </c>
      <c r="E4846" s="832" t="n">
        <v>0.003</v>
      </c>
      <c r="F4846" s="697" t="n">
        <v>20000</v>
      </c>
      <c r="G4846" s="799" t="n">
        <f aca="false">E4846*F4846</f>
        <v>60</v>
      </c>
      <c r="H4846" s="476"/>
    </row>
    <row r="4847" customFormat="false" ht="15" hidden="false" customHeight="false" outlineLevel="0" collapsed="false">
      <c r="A4847" s="571"/>
      <c r="B4847" s="433"/>
      <c r="C4847" s="476" t="s">
        <v>5030</v>
      </c>
      <c r="D4847" s="820" t="s">
        <v>4123</v>
      </c>
      <c r="E4847" s="832" t="n">
        <v>0.1</v>
      </c>
      <c r="F4847" s="697" t="n">
        <v>720</v>
      </c>
      <c r="G4847" s="799" t="n">
        <f aca="false">E4847*F4847</f>
        <v>72</v>
      </c>
      <c r="H4847" s="476"/>
    </row>
    <row r="4848" customFormat="false" ht="30" hidden="false" customHeight="false" outlineLevel="0" collapsed="false">
      <c r="A4848" s="571"/>
      <c r="B4848" s="433"/>
      <c r="C4848" s="476" t="s">
        <v>5033</v>
      </c>
      <c r="D4848" s="606" t="s">
        <v>4191</v>
      </c>
      <c r="E4848" s="622" t="n">
        <v>3</v>
      </c>
      <c r="F4848" s="361" t="n">
        <v>100</v>
      </c>
      <c r="G4848" s="799" t="n">
        <f aca="false">E4848*F4848</f>
        <v>300</v>
      </c>
      <c r="H4848" s="476"/>
    </row>
    <row r="4849" customFormat="false" ht="15" hidden="false" customHeight="false" outlineLevel="0" collapsed="false">
      <c r="A4849" s="571"/>
      <c r="B4849" s="433"/>
      <c r="C4849" s="476" t="s">
        <v>4515</v>
      </c>
      <c r="D4849" s="820" t="s">
        <v>4149</v>
      </c>
      <c r="E4849" s="832" t="n">
        <v>0.05</v>
      </c>
      <c r="F4849" s="697" t="n">
        <v>3500</v>
      </c>
      <c r="G4849" s="799" t="n">
        <f aca="false">E4849*F4849</f>
        <v>175</v>
      </c>
      <c r="H4849" s="476"/>
    </row>
    <row r="4850" customFormat="false" ht="15" hidden="false" customHeight="false" outlineLevel="0" collapsed="false">
      <c r="A4850" s="571"/>
      <c r="B4850" s="433"/>
      <c r="C4850" s="614"/>
      <c r="D4850" s="606"/>
      <c r="E4850" s="622"/>
      <c r="F4850" s="361"/>
      <c r="G4850" s="826" t="n">
        <f aca="false">SUM(G4840:G4849)</f>
        <v>3217</v>
      </c>
      <c r="H4850" s="606"/>
    </row>
    <row r="4851" customFormat="false" ht="45" hidden="false" customHeight="false" outlineLevel="0" collapsed="false">
      <c r="A4851" s="571" t="s">
        <v>1005</v>
      </c>
      <c r="B4851" s="328" t="s">
        <v>5178</v>
      </c>
      <c r="C4851" s="476"/>
      <c r="D4851" s="820"/>
      <c r="E4851" s="820"/>
      <c r="F4851" s="697"/>
      <c r="G4851" s="615"/>
      <c r="H4851" s="606" t="s">
        <v>5163</v>
      </c>
    </row>
    <row r="4852" customFormat="false" ht="15" hidden="false" customHeight="false" outlineLevel="0" collapsed="false">
      <c r="A4852" s="571"/>
      <c r="B4852" s="433"/>
      <c r="C4852" s="614" t="s">
        <v>5077</v>
      </c>
      <c r="D4852" s="606" t="s">
        <v>5018</v>
      </c>
      <c r="E4852" s="834" t="n">
        <v>1</v>
      </c>
      <c r="F4852" s="797" t="n">
        <v>1710</v>
      </c>
      <c r="G4852" s="799" t="n">
        <f aca="false">E4852*F4852</f>
        <v>1710</v>
      </c>
      <c r="H4852" s="476"/>
    </row>
    <row r="4853" customFormat="false" ht="15" hidden="false" customHeight="false" outlineLevel="0" collapsed="false">
      <c r="A4853" s="571"/>
      <c r="B4853" s="433"/>
      <c r="C4853" s="476" t="s">
        <v>4150</v>
      </c>
      <c r="D4853" s="820" t="s">
        <v>4149</v>
      </c>
      <c r="E4853" s="832" t="n">
        <v>0.003</v>
      </c>
      <c r="F4853" s="697" t="n">
        <v>155000</v>
      </c>
      <c r="G4853" s="799" t="n">
        <f aca="false">E4853*F4853</f>
        <v>465</v>
      </c>
      <c r="H4853" s="476"/>
    </row>
    <row r="4854" customFormat="false" ht="15" hidden="false" customHeight="false" outlineLevel="0" collapsed="false">
      <c r="A4854" s="571"/>
      <c r="B4854" s="433"/>
      <c r="C4854" s="476" t="s">
        <v>5179</v>
      </c>
      <c r="D4854" s="820" t="s">
        <v>4149</v>
      </c>
      <c r="E4854" s="832" t="n">
        <v>0.0115</v>
      </c>
      <c r="F4854" s="697" t="n">
        <v>4500</v>
      </c>
      <c r="G4854" s="799" t="n">
        <f aca="false">E4854*F4854</f>
        <v>51.75</v>
      </c>
      <c r="H4854" s="476"/>
    </row>
    <row r="4855" customFormat="false" ht="15" hidden="false" customHeight="false" outlineLevel="0" collapsed="false">
      <c r="A4855" s="571"/>
      <c r="B4855" s="433"/>
      <c r="C4855" s="476" t="s">
        <v>4154</v>
      </c>
      <c r="D4855" s="820" t="s">
        <v>4149</v>
      </c>
      <c r="E4855" s="832" t="n">
        <v>0.05</v>
      </c>
      <c r="F4855" s="797" t="n">
        <v>7200</v>
      </c>
      <c r="G4855" s="799" t="n">
        <f aca="false">E4855*F4855</f>
        <v>360</v>
      </c>
      <c r="H4855" s="476"/>
    </row>
    <row r="4856" customFormat="false" ht="15" hidden="false" customHeight="false" outlineLevel="0" collapsed="false">
      <c r="A4856" s="571"/>
      <c r="B4856" s="433"/>
      <c r="C4856" s="476" t="s">
        <v>5180</v>
      </c>
      <c r="D4856" s="820" t="s">
        <v>4149</v>
      </c>
      <c r="E4856" s="832" t="n">
        <v>0.006</v>
      </c>
      <c r="F4856" s="697" t="n">
        <v>25000</v>
      </c>
      <c r="G4856" s="799" t="n">
        <f aca="false">E4856*F4856</f>
        <v>150</v>
      </c>
      <c r="H4856" s="476"/>
    </row>
    <row r="4857" customFormat="false" ht="15" hidden="false" customHeight="false" outlineLevel="0" collapsed="false">
      <c r="A4857" s="571"/>
      <c r="B4857" s="433"/>
      <c r="C4857" s="476" t="s">
        <v>5139</v>
      </c>
      <c r="D4857" s="820" t="s">
        <v>4149</v>
      </c>
      <c r="E4857" s="832" t="n">
        <v>0.02</v>
      </c>
      <c r="F4857" s="697" t="n">
        <v>2155</v>
      </c>
      <c r="G4857" s="799" t="n">
        <f aca="false">E4857*F4857</f>
        <v>43.1</v>
      </c>
      <c r="H4857" s="476"/>
    </row>
    <row r="4858" customFormat="false" ht="15" hidden="false" customHeight="false" outlineLevel="0" collapsed="false">
      <c r="A4858" s="571"/>
      <c r="B4858" s="433"/>
      <c r="C4858" s="476" t="s">
        <v>4264</v>
      </c>
      <c r="D4858" s="820" t="s">
        <v>4149</v>
      </c>
      <c r="E4858" s="832" t="n">
        <v>0.002</v>
      </c>
      <c r="F4858" s="697" t="n">
        <v>20000</v>
      </c>
      <c r="G4858" s="799" t="n">
        <f aca="false">E4858*F4858</f>
        <v>40</v>
      </c>
      <c r="H4858" s="476"/>
    </row>
    <row r="4859" customFormat="false" ht="15" hidden="false" customHeight="false" outlineLevel="0" collapsed="false">
      <c r="A4859" s="571"/>
      <c r="B4859" s="433"/>
      <c r="C4859" s="476" t="s">
        <v>4122</v>
      </c>
      <c r="D4859" s="820" t="s">
        <v>4123</v>
      </c>
      <c r="E4859" s="832" t="n">
        <v>0.1</v>
      </c>
      <c r="F4859" s="697" t="n">
        <v>720</v>
      </c>
      <c r="G4859" s="799" t="n">
        <f aca="false">E4859*F4859</f>
        <v>72</v>
      </c>
      <c r="H4859" s="476"/>
    </row>
    <row r="4860" customFormat="false" ht="15" hidden="false" customHeight="false" outlineLevel="0" collapsed="false">
      <c r="A4860" s="571"/>
      <c r="B4860" s="433"/>
      <c r="C4860" s="476" t="s">
        <v>5181</v>
      </c>
      <c r="D4860" s="820" t="s">
        <v>4149</v>
      </c>
      <c r="E4860" s="832" t="n">
        <v>0.002</v>
      </c>
      <c r="F4860" s="697" t="n">
        <v>50000</v>
      </c>
      <c r="G4860" s="799" t="n">
        <f aca="false">E4860*F4860</f>
        <v>100</v>
      </c>
      <c r="H4860" s="476"/>
    </row>
    <row r="4861" customFormat="false" ht="15" hidden="false" customHeight="false" outlineLevel="0" collapsed="false">
      <c r="A4861" s="571"/>
      <c r="B4861" s="433"/>
      <c r="C4861" s="476" t="s">
        <v>5182</v>
      </c>
      <c r="D4861" s="820" t="s">
        <v>5175</v>
      </c>
      <c r="E4861" s="834" t="n">
        <v>0.1</v>
      </c>
      <c r="F4861" s="361" t="n">
        <v>2500</v>
      </c>
      <c r="G4861" s="799" t="n">
        <f aca="false">E4861*F4861</f>
        <v>250</v>
      </c>
      <c r="H4861" s="476"/>
    </row>
    <row r="4862" customFormat="false" ht="30" hidden="false" customHeight="false" outlineLevel="0" collapsed="false">
      <c r="A4862" s="571"/>
      <c r="B4862" s="433"/>
      <c r="C4862" s="476" t="s">
        <v>5033</v>
      </c>
      <c r="D4862" s="606" t="s">
        <v>4191</v>
      </c>
      <c r="E4862" s="622" t="n">
        <v>3</v>
      </c>
      <c r="F4862" s="361" t="n">
        <v>100</v>
      </c>
      <c r="G4862" s="799" t="n">
        <f aca="false">E4862*F4862</f>
        <v>300</v>
      </c>
      <c r="H4862" s="476"/>
    </row>
    <row r="4863" customFormat="false" ht="15" hidden="false" customHeight="false" outlineLevel="0" collapsed="false">
      <c r="A4863" s="571"/>
      <c r="B4863" s="433"/>
      <c r="C4863" s="476" t="s">
        <v>4515</v>
      </c>
      <c r="D4863" s="820" t="s">
        <v>4149</v>
      </c>
      <c r="E4863" s="832" t="n">
        <v>0.05</v>
      </c>
      <c r="F4863" s="697" t="n">
        <v>3500</v>
      </c>
      <c r="G4863" s="799" t="n">
        <f aca="false">E4863*F4863</f>
        <v>175</v>
      </c>
      <c r="H4863" s="476"/>
    </row>
    <row r="4864" customFormat="false" ht="15" hidden="false" customHeight="false" outlineLevel="0" collapsed="false">
      <c r="A4864" s="571"/>
      <c r="B4864" s="433"/>
      <c r="C4864" s="614"/>
      <c r="D4864" s="606"/>
      <c r="E4864" s="622"/>
      <c r="F4864" s="361"/>
      <c r="G4864" s="826" t="n">
        <f aca="false">SUM(G4851:G4863)</f>
        <v>3716.85</v>
      </c>
      <c r="H4864" s="606"/>
    </row>
    <row r="4865" customFormat="false" ht="45" hidden="false" customHeight="false" outlineLevel="0" collapsed="false">
      <c r="A4865" s="571" t="s">
        <v>1007</v>
      </c>
      <c r="B4865" s="328" t="s">
        <v>5183</v>
      </c>
      <c r="C4865" s="476"/>
      <c r="D4865" s="820"/>
      <c r="E4865" s="820"/>
      <c r="F4865" s="697"/>
      <c r="G4865" s="615"/>
      <c r="H4865" s="606" t="s">
        <v>5163</v>
      </c>
    </row>
    <row r="4866" customFormat="false" ht="15" hidden="false" customHeight="false" outlineLevel="0" collapsed="false">
      <c r="A4866" s="571"/>
      <c r="B4866" s="433"/>
      <c r="C4866" s="614" t="s">
        <v>5077</v>
      </c>
      <c r="D4866" s="606" t="s">
        <v>5018</v>
      </c>
      <c r="E4866" s="822" t="n">
        <v>1</v>
      </c>
      <c r="F4866" s="797" t="n">
        <v>1710</v>
      </c>
      <c r="G4866" s="799" t="n">
        <f aca="false">E4866*F4866</f>
        <v>1710</v>
      </c>
      <c r="H4866" s="476"/>
    </row>
    <row r="4867" customFormat="false" ht="15" hidden="false" customHeight="false" outlineLevel="0" collapsed="false">
      <c r="A4867" s="571"/>
      <c r="B4867" s="433"/>
      <c r="C4867" s="433" t="s">
        <v>5184</v>
      </c>
      <c r="D4867" s="606" t="s">
        <v>4149</v>
      </c>
      <c r="E4867" s="822" t="n">
        <v>0.005</v>
      </c>
      <c r="F4867" s="697" t="n">
        <v>8500</v>
      </c>
      <c r="G4867" s="799" t="n">
        <f aca="false">E4867*F4867</f>
        <v>42.5</v>
      </c>
      <c r="H4867" s="476"/>
    </row>
    <row r="4868" customFormat="false" ht="15" hidden="false" customHeight="false" outlineLevel="0" collapsed="false">
      <c r="A4868" s="571"/>
      <c r="B4868" s="433"/>
      <c r="C4868" s="433" t="s">
        <v>5185</v>
      </c>
      <c r="D4868" s="606" t="s">
        <v>4149</v>
      </c>
      <c r="E4868" s="822" t="n">
        <v>0.005</v>
      </c>
      <c r="F4868" s="697" t="n">
        <v>7000</v>
      </c>
      <c r="G4868" s="799" t="n">
        <f aca="false">E4868*F4868</f>
        <v>35</v>
      </c>
      <c r="H4868" s="476"/>
    </row>
    <row r="4869" customFormat="false" ht="15" hidden="false" customHeight="false" outlineLevel="0" collapsed="false">
      <c r="A4869" s="571"/>
      <c r="B4869" s="433"/>
      <c r="C4869" s="433" t="s">
        <v>5186</v>
      </c>
      <c r="D4869" s="606" t="s">
        <v>4149</v>
      </c>
      <c r="E4869" s="822" t="n">
        <v>0.005</v>
      </c>
      <c r="F4869" s="697" t="n">
        <v>7000</v>
      </c>
      <c r="G4869" s="799" t="n">
        <f aca="false">E4869*F4869</f>
        <v>35</v>
      </c>
      <c r="H4869" s="476"/>
    </row>
    <row r="4870" customFormat="false" ht="15" hidden="false" customHeight="false" outlineLevel="0" collapsed="false">
      <c r="A4870" s="571"/>
      <c r="B4870" s="433"/>
      <c r="C4870" s="433" t="s">
        <v>5187</v>
      </c>
      <c r="D4870" s="606" t="s">
        <v>4149</v>
      </c>
      <c r="E4870" s="822" t="n">
        <v>0.1</v>
      </c>
      <c r="F4870" s="797" t="n">
        <v>3612</v>
      </c>
      <c r="G4870" s="799" t="n">
        <f aca="false">E4870*F4870</f>
        <v>361.2</v>
      </c>
      <c r="H4870" s="476"/>
    </row>
    <row r="4871" customFormat="false" ht="30" hidden="false" customHeight="false" outlineLevel="0" collapsed="false">
      <c r="A4871" s="571"/>
      <c r="B4871" s="433"/>
      <c r="C4871" s="433" t="s">
        <v>5188</v>
      </c>
      <c r="D4871" s="606" t="s">
        <v>4149</v>
      </c>
      <c r="E4871" s="822" t="n">
        <v>0.0055</v>
      </c>
      <c r="F4871" s="697" t="n">
        <v>13500</v>
      </c>
      <c r="G4871" s="799" t="n">
        <f aca="false">E4871*F4871</f>
        <v>74.25</v>
      </c>
      <c r="H4871" s="476"/>
    </row>
    <row r="4872" customFormat="false" ht="15" hidden="false" customHeight="false" outlineLevel="0" collapsed="false">
      <c r="A4872" s="571"/>
      <c r="B4872" s="433"/>
      <c r="C4872" s="433" t="s">
        <v>4637</v>
      </c>
      <c r="D4872" s="606" t="s">
        <v>4149</v>
      </c>
      <c r="E4872" s="822" t="n">
        <v>0.04</v>
      </c>
      <c r="F4872" s="697" t="n">
        <v>5800</v>
      </c>
      <c r="G4872" s="799" t="n">
        <f aca="false">E4872*F4872</f>
        <v>232</v>
      </c>
      <c r="H4872" s="476"/>
    </row>
    <row r="4873" customFormat="false" ht="15" hidden="false" customHeight="false" outlineLevel="0" collapsed="false">
      <c r="A4873" s="571"/>
      <c r="B4873" s="433"/>
      <c r="C4873" s="433" t="s">
        <v>5165</v>
      </c>
      <c r="D4873" s="606" t="s">
        <v>4149</v>
      </c>
      <c r="E4873" s="822" t="n">
        <v>0.051</v>
      </c>
      <c r="F4873" s="697" t="n">
        <v>1800</v>
      </c>
      <c r="G4873" s="799" t="n">
        <f aca="false">E4873*F4873</f>
        <v>91.8</v>
      </c>
      <c r="H4873" s="476"/>
    </row>
    <row r="4874" customFormat="false" ht="15" hidden="false" customHeight="false" outlineLevel="0" collapsed="false">
      <c r="A4874" s="571"/>
      <c r="B4874" s="433"/>
      <c r="C4874" s="433" t="s">
        <v>5167</v>
      </c>
      <c r="D4874" s="606" t="s">
        <v>4149</v>
      </c>
      <c r="E4874" s="822" t="n">
        <v>0.01</v>
      </c>
      <c r="F4874" s="797" t="n">
        <v>7200</v>
      </c>
      <c r="G4874" s="799" t="n">
        <f aca="false">E4874*F4874</f>
        <v>72</v>
      </c>
      <c r="H4874" s="476"/>
    </row>
    <row r="4875" customFormat="false" ht="30" hidden="false" customHeight="false" outlineLevel="0" collapsed="false">
      <c r="A4875" s="571"/>
      <c r="B4875" s="433"/>
      <c r="C4875" s="476" t="s">
        <v>5033</v>
      </c>
      <c r="D4875" s="606" t="s">
        <v>4191</v>
      </c>
      <c r="E4875" s="622" t="n">
        <v>3</v>
      </c>
      <c r="F4875" s="361" t="n">
        <v>100</v>
      </c>
      <c r="G4875" s="799" t="n">
        <f aca="false">E4875*F4875</f>
        <v>300</v>
      </c>
      <c r="H4875" s="476"/>
    </row>
    <row r="4876" customFormat="false" ht="15" hidden="false" customHeight="false" outlineLevel="0" collapsed="false">
      <c r="A4876" s="571"/>
      <c r="B4876" s="433"/>
      <c r="C4876" s="476" t="s">
        <v>4515</v>
      </c>
      <c r="D4876" s="820" t="s">
        <v>4149</v>
      </c>
      <c r="E4876" s="828" t="n">
        <v>0.05</v>
      </c>
      <c r="F4876" s="697" t="n">
        <v>3500</v>
      </c>
      <c r="G4876" s="799" t="n">
        <f aca="false">E4876*F4876</f>
        <v>175</v>
      </c>
      <c r="H4876" s="476"/>
    </row>
    <row r="4877" customFormat="false" ht="15" hidden="false" customHeight="false" outlineLevel="0" collapsed="false">
      <c r="A4877" s="571"/>
      <c r="B4877" s="433"/>
      <c r="C4877" s="614"/>
      <c r="D4877" s="606"/>
      <c r="E4877" s="606"/>
      <c r="F4877" s="361"/>
      <c r="G4877" s="826" t="n">
        <f aca="false">SUM(G4866:G4876)</f>
        <v>3128.75</v>
      </c>
      <c r="H4877" s="606"/>
    </row>
    <row r="4878" customFormat="false" ht="30" hidden="false" customHeight="false" outlineLevel="0" collapsed="false">
      <c r="A4878" s="571" t="s">
        <v>1009</v>
      </c>
      <c r="B4878" s="328" t="s">
        <v>5189</v>
      </c>
      <c r="C4878" s="433"/>
      <c r="D4878" s="606"/>
      <c r="E4878" s="827"/>
      <c r="F4878" s="697"/>
      <c r="G4878" s="615"/>
      <c r="H4878" s="606" t="s">
        <v>5163</v>
      </c>
    </row>
    <row r="4879" customFormat="false" ht="15" hidden="false" customHeight="false" outlineLevel="0" collapsed="false">
      <c r="A4879" s="571"/>
      <c r="B4879" s="500"/>
      <c r="C4879" s="614" t="s">
        <v>5077</v>
      </c>
      <c r="D4879" s="606" t="s">
        <v>5018</v>
      </c>
      <c r="E4879" s="822" t="n">
        <v>1</v>
      </c>
      <c r="F4879" s="797" t="n">
        <v>1710</v>
      </c>
      <c r="G4879" s="799" t="n">
        <f aca="false">E4879*F4879</f>
        <v>1710</v>
      </c>
      <c r="H4879" s="476"/>
    </row>
    <row r="4880" customFormat="false" ht="15" hidden="false" customHeight="false" outlineLevel="0" collapsed="false">
      <c r="A4880" s="571"/>
      <c r="B4880" s="500"/>
      <c r="C4880" s="338" t="s">
        <v>5190</v>
      </c>
      <c r="D4880" s="823" t="s">
        <v>4149</v>
      </c>
      <c r="E4880" s="812" t="n">
        <v>0.025</v>
      </c>
      <c r="F4880" s="797" t="n">
        <v>2800</v>
      </c>
      <c r="G4880" s="799" t="n">
        <f aca="false">E4880*F4880</f>
        <v>70</v>
      </c>
      <c r="H4880" s="476"/>
    </row>
    <row r="4881" customFormat="false" ht="15" hidden="false" customHeight="false" outlineLevel="0" collapsed="false">
      <c r="A4881" s="571"/>
      <c r="B4881" s="608"/>
      <c r="C4881" s="338" t="s">
        <v>4729</v>
      </c>
      <c r="D4881" s="823" t="s">
        <v>4149</v>
      </c>
      <c r="E4881" s="812" t="n">
        <v>0.02</v>
      </c>
      <c r="F4881" s="797" t="n">
        <v>1400</v>
      </c>
      <c r="G4881" s="799" t="n">
        <f aca="false">E4881*F4881</f>
        <v>28</v>
      </c>
      <c r="H4881" s="476"/>
    </row>
    <row r="4882" customFormat="false" ht="30" hidden="false" customHeight="false" outlineLevel="0" collapsed="false">
      <c r="A4882" s="571"/>
      <c r="B4882" s="328"/>
      <c r="C4882" s="338" t="s">
        <v>5191</v>
      </c>
      <c r="D4882" s="823" t="s">
        <v>4191</v>
      </c>
      <c r="E4882" s="812" t="n">
        <v>0.01</v>
      </c>
      <c r="F4882" s="797" t="n">
        <v>25000</v>
      </c>
      <c r="G4882" s="799" t="n">
        <f aca="false">E4882*F4882</f>
        <v>250</v>
      </c>
      <c r="H4882" s="476"/>
    </row>
    <row r="4883" customFormat="false" ht="15" hidden="false" customHeight="false" outlineLevel="0" collapsed="false">
      <c r="A4883" s="571"/>
      <c r="B4883" s="500"/>
      <c r="C4883" s="338" t="s">
        <v>5192</v>
      </c>
      <c r="D4883" s="606" t="s">
        <v>4149</v>
      </c>
      <c r="E4883" s="822" t="n">
        <v>0.002</v>
      </c>
      <c r="F4883" s="797" t="n">
        <v>15700</v>
      </c>
      <c r="G4883" s="799" t="n">
        <f aca="false">E4883*F4883</f>
        <v>31.4</v>
      </c>
      <c r="H4883" s="476"/>
    </row>
    <row r="4884" customFormat="false" ht="15" hidden="false" customHeight="false" outlineLevel="0" collapsed="false">
      <c r="A4884" s="571"/>
      <c r="B4884" s="500"/>
      <c r="C4884" s="338" t="s">
        <v>5193</v>
      </c>
      <c r="D4884" s="606" t="s">
        <v>4149</v>
      </c>
      <c r="E4884" s="822" t="n">
        <v>0.1</v>
      </c>
      <c r="F4884" s="797" t="n">
        <v>7200</v>
      </c>
      <c r="G4884" s="799" t="n">
        <f aca="false">E4884*F4884</f>
        <v>720</v>
      </c>
      <c r="H4884" s="476"/>
    </row>
    <row r="4885" customFormat="false" ht="30" hidden="false" customHeight="false" outlineLevel="0" collapsed="false">
      <c r="A4885" s="571"/>
      <c r="B4885" s="500"/>
      <c r="C4885" s="476" t="s">
        <v>5033</v>
      </c>
      <c r="D4885" s="606" t="s">
        <v>4191</v>
      </c>
      <c r="E4885" s="622" t="n">
        <v>3</v>
      </c>
      <c r="F4885" s="361" t="n">
        <v>100</v>
      </c>
      <c r="G4885" s="799" t="n">
        <f aca="false">E4885*F4885</f>
        <v>300</v>
      </c>
      <c r="H4885" s="476"/>
    </row>
    <row r="4886" customFormat="false" ht="15" hidden="false" customHeight="false" outlineLevel="0" collapsed="false">
      <c r="A4886" s="571"/>
      <c r="B4886" s="608" t="s">
        <v>4128</v>
      </c>
      <c r="C4886" s="609"/>
      <c r="D4886" s="606"/>
      <c r="E4886" s="611"/>
      <c r="F4886" s="612"/>
      <c r="G4886" s="826" t="n">
        <f aca="false">SUM(G4879:G4885)</f>
        <v>3109.4</v>
      </c>
      <c r="H4886" s="391"/>
    </row>
    <row r="4887" customFormat="false" ht="45" hidden="false" customHeight="false" outlineLevel="0" collapsed="false">
      <c r="A4887" s="571" t="s">
        <v>1011</v>
      </c>
      <c r="B4887" s="328" t="s">
        <v>3298</v>
      </c>
      <c r="C4887" s="476"/>
      <c r="D4887" s="820"/>
      <c r="E4887" s="830"/>
      <c r="F4887" s="697"/>
      <c r="G4887" s="615"/>
      <c r="H4887" s="606" t="s">
        <v>5163</v>
      </c>
    </row>
    <row r="4888" customFormat="false" ht="15" hidden="false" customHeight="false" outlineLevel="0" collapsed="false">
      <c r="A4888" s="571"/>
      <c r="B4888" s="500"/>
      <c r="C4888" s="614" t="s">
        <v>5077</v>
      </c>
      <c r="D4888" s="606" t="s">
        <v>5018</v>
      </c>
      <c r="E4888" s="844" t="n">
        <v>1</v>
      </c>
      <c r="F4888" s="797" t="n">
        <v>1710</v>
      </c>
      <c r="G4888" s="799" t="n">
        <f aca="false">E4888*F4888</f>
        <v>1710</v>
      </c>
      <c r="H4888" s="606"/>
    </row>
    <row r="4889" customFormat="false" ht="15" hidden="false" customHeight="false" outlineLevel="0" collapsed="false">
      <c r="A4889" s="571"/>
      <c r="B4889" s="500"/>
      <c r="C4889" s="338" t="s">
        <v>5194</v>
      </c>
      <c r="D4889" s="823" t="s">
        <v>4149</v>
      </c>
      <c r="E4889" s="824" t="s">
        <v>5195</v>
      </c>
      <c r="F4889" s="797" t="n">
        <v>32000</v>
      </c>
      <c r="G4889" s="799" t="n">
        <f aca="false">E4889*F4889</f>
        <v>48</v>
      </c>
      <c r="H4889" s="606"/>
    </row>
    <row r="4890" customFormat="false" ht="15" hidden="false" customHeight="false" outlineLevel="0" collapsed="false">
      <c r="A4890" s="571"/>
      <c r="B4890" s="500"/>
      <c r="C4890" s="338" t="s">
        <v>5196</v>
      </c>
      <c r="D4890" s="823" t="s">
        <v>4149</v>
      </c>
      <c r="E4890" s="835" t="n">
        <v>0.002</v>
      </c>
      <c r="F4890" s="797" t="n">
        <v>25000</v>
      </c>
      <c r="G4890" s="799" t="n">
        <f aca="false">E4890*F4890</f>
        <v>50</v>
      </c>
      <c r="H4890" s="606"/>
    </row>
    <row r="4891" customFormat="false" ht="15" hidden="false" customHeight="false" outlineLevel="0" collapsed="false">
      <c r="A4891" s="571"/>
      <c r="B4891" s="608"/>
      <c r="C4891" s="338" t="s">
        <v>4985</v>
      </c>
      <c r="D4891" s="823" t="s">
        <v>4149</v>
      </c>
      <c r="E4891" s="835" t="n">
        <v>0.1</v>
      </c>
      <c r="F4891" s="797" t="n">
        <v>3000</v>
      </c>
      <c r="G4891" s="799" t="n">
        <f aca="false">E4891*F4891</f>
        <v>300</v>
      </c>
      <c r="H4891" s="391"/>
    </row>
    <row r="4892" customFormat="false" ht="15" hidden="false" customHeight="false" outlineLevel="0" collapsed="false">
      <c r="A4892" s="571"/>
      <c r="B4892" s="328"/>
      <c r="C4892" s="433" t="s">
        <v>5197</v>
      </c>
      <c r="D4892" s="823" t="s">
        <v>4149</v>
      </c>
      <c r="E4892" s="834" t="n">
        <v>0.008</v>
      </c>
      <c r="F4892" s="797" t="n">
        <v>30000</v>
      </c>
      <c r="G4892" s="799" t="n">
        <f aca="false">E4892*F4892</f>
        <v>240</v>
      </c>
      <c r="H4892" s="606"/>
    </row>
    <row r="4893" customFormat="false" ht="15" hidden="false" customHeight="false" outlineLevel="0" collapsed="false">
      <c r="A4893" s="571"/>
      <c r="B4893" s="500"/>
      <c r="C4893" s="433" t="s">
        <v>4637</v>
      </c>
      <c r="D4893" s="823" t="s">
        <v>4149</v>
      </c>
      <c r="E4893" s="834" t="n">
        <v>0.025</v>
      </c>
      <c r="F4893" s="797" t="n">
        <v>5800</v>
      </c>
      <c r="G4893" s="799" t="n">
        <f aca="false">E4893*F4893</f>
        <v>145</v>
      </c>
      <c r="H4893" s="606"/>
    </row>
    <row r="4894" customFormat="false" ht="15" hidden="false" customHeight="false" outlineLevel="0" collapsed="false">
      <c r="A4894" s="571"/>
      <c r="B4894" s="500"/>
      <c r="C4894" s="433" t="s">
        <v>5198</v>
      </c>
      <c r="D4894" s="823" t="s">
        <v>4149</v>
      </c>
      <c r="E4894" s="834" t="n">
        <v>0.05</v>
      </c>
      <c r="F4894" s="697" t="n">
        <v>1800</v>
      </c>
      <c r="G4894" s="799" t="n">
        <f aca="false">E4894*F4894</f>
        <v>90</v>
      </c>
      <c r="H4894" s="606"/>
    </row>
    <row r="4895" customFormat="false" ht="15" hidden="false" customHeight="false" outlineLevel="0" collapsed="false">
      <c r="A4895" s="571"/>
      <c r="B4895" s="500"/>
      <c r="C4895" s="433" t="s">
        <v>5168</v>
      </c>
      <c r="D4895" s="823" t="s">
        <v>4149</v>
      </c>
      <c r="E4895" s="834" t="n">
        <v>0.005</v>
      </c>
      <c r="F4895" s="797" t="n">
        <v>45000</v>
      </c>
      <c r="G4895" s="799" t="n">
        <f aca="false">E4895*F4895</f>
        <v>225</v>
      </c>
      <c r="H4895" s="606"/>
    </row>
    <row r="4896" customFormat="false" ht="30" hidden="false" customHeight="false" outlineLevel="0" collapsed="false">
      <c r="A4896" s="571"/>
      <c r="B4896" s="608"/>
      <c r="C4896" s="476" t="s">
        <v>5033</v>
      </c>
      <c r="D4896" s="606" t="s">
        <v>4191</v>
      </c>
      <c r="E4896" s="622" t="n">
        <v>3</v>
      </c>
      <c r="F4896" s="361" t="n">
        <v>100</v>
      </c>
      <c r="G4896" s="799" t="n">
        <f aca="false">E4896*F4896</f>
        <v>300</v>
      </c>
      <c r="H4896" s="391"/>
    </row>
    <row r="4897" customFormat="false" ht="15" hidden="false" customHeight="false" outlineLevel="0" collapsed="false">
      <c r="A4897" s="571"/>
      <c r="B4897" s="328"/>
      <c r="C4897" s="476" t="s">
        <v>4515</v>
      </c>
      <c r="D4897" s="820" t="s">
        <v>4149</v>
      </c>
      <c r="E4897" s="832" t="n">
        <v>0.05</v>
      </c>
      <c r="F4897" s="697" t="n">
        <v>3500</v>
      </c>
      <c r="G4897" s="799" t="n">
        <f aca="false">E4897*F4897</f>
        <v>175</v>
      </c>
      <c r="H4897" s="606"/>
    </row>
    <row r="4898" customFormat="false" ht="15" hidden="false" customHeight="false" outlineLevel="0" collapsed="false">
      <c r="A4898" s="571"/>
      <c r="B4898" s="608" t="s">
        <v>4128</v>
      </c>
      <c r="C4898" s="614"/>
      <c r="D4898" s="606"/>
      <c r="E4898" s="622"/>
      <c r="F4898" s="361"/>
      <c r="G4898" s="613" t="n">
        <f aca="false">SUM(G4887:G4897)</f>
        <v>3283</v>
      </c>
      <c r="H4898" s="606"/>
    </row>
    <row r="4899" customFormat="false" ht="30" hidden="false" customHeight="false" outlineLevel="0" collapsed="false">
      <c r="A4899" s="571" t="s">
        <v>1013</v>
      </c>
      <c r="B4899" s="328" t="s">
        <v>5199</v>
      </c>
      <c r="C4899" s="476"/>
      <c r="D4899" s="820"/>
      <c r="E4899" s="820"/>
      <c r="F4899" s="697"/>
      <c r="G4899" s="615"/>
      <c r="H4899" s="606" t="s">
        <v>5163</v>
      </c>
    </row>
    <row r="4900" customFormat="false" ht="15" hidden="false" customHeight="false" outlineLevel="0" collapsed="false">
      <c r="A4900" s="571"/>
      <c r="B4900" s="500"/>
      <c r="C4900" s="433" t="s">
        <v>5200</v>
      </c>
      <c r="D4900" s="846" t="s">
        <v>4149</v>
      </c>
      <c r="E4900" s="828" t="n">
        <v>0.06</v>
      </c>
      <c r="F4900" s="697" t="n">
        <v>3500</v>
      </c>
      <c r="G4900" s="799" t="n">
        <f aca="false">E4900*F4900</f>
        <v>210</v>
      </c>
      <c r="H4900" s="476"/>
    </row>
    <row r="4901" customFormat="false" ht="15" hidden="false" customHeight="false" outlineLevel="0" collapsed="false">
      <c r="A4901" s="571"/>
      <c r="B4901" s="608"/>
      <c r="C4901" s="433" t="s">
        <v>5201</v>
      </c>
      <c r="D4901" s="846" t="s">
        <v>4149</v>
      </c>
      <c r="E4901" s="822" t="n">
        <v>0.05</v>
      </c>
      <c r="F4901" s="797" t="n">
        <v>1950</v>
      </c>
      <c r="G4901" s="799" t="n">
        <f aca="false">E4901*F4901</f>
        <v>97.5</v>
      </c>
      <c r="H4901" s="476"/>
    </row>
    <row r="4902" customFormat="false" ht="15" hidden="false" customHeight="false" outlineLevel="0" collapsed="false">
      <c r="A4902" s="571"/>
      <c r="B4902" s="328"/>
      <c r="C4902" s="433" t="s">
        <v>5139</v>
      </c>
      <c r="D4902" s="846" t="s">
        <v>4149</v>
      </c>
      <c r="E4902" s="828" t="n">
        <v>0.03</v>
      </c>
      <c r="F4902" s="697" t="n">
        <v>2155</v>
      </c>
      <c r="G4902" s="799" t="n">
        <f aca="false">E4902*F4902</f>
        <v>64.65</v>
      </c>
      <c r="H4902" s="476"/>
    </row>
    <row r="4903" customFormat="false" ht="15" hidden="false" customHeight="false" outlineLevel="0" collapsed="false">
      <c r="A4903" s="571"/>
      <c r="B4903" s="500"/>
      <c r="C4903" s="433" t="s">
        <v>4154</v>
      </c>
      <c r="D4903" s="846" t="s">
        <v>4149</v>
      </c>
      <c r="E4903" s="828" t="n">
        <v>0.05</v>
      </c>
      <c r="F4903" s="797" t="n">
        <v>7500</v>
      </c>
      <c r="G4903" s="799" t="n">
        <f aca="false">E4903*F4903</f>
        <v>375</v>
      </c>
      <c r="H4903" s="476"/>
    </row>
    <row r="4904" customFormat="false" ht="15" hidden="false" customHeight="false" outlineLevel="0" collapsed="false">
      <c r="A4904" s="571"/>
      <c r="B4904" s="500"/>
      <c r="C4904" s="433" t="s">
        <v>4122</v>
      </c>
      <c r="D4904" s="846" t="s">
        <v>4149</v>
      </c>
      <c r="E4904" s="847" t="n">
        <v>0.1</v>
      </c>
      <c r="F4904" s="849" t="n">
        <v>720</v>
      </c>
      <c r="G4904" s="799" t="n">
        <f aca="false">E4904*F4904</f>
        <v>72</v>
      </c>
      <c r="H4904" s="476"/>
    </row>
    <row r="4905" customFormat="false" ht="15" hidden="false" customHeight="false" outlineLevel="0" collapsed="false">
      <c r="A4905" s="571"/>
      <c r="B4905" s="500"/>
      <c r="C4905" s="614" t="s">
        <v>5077</v>
      </c>
      <c r="D4905" s="606" t="s">
        <v>5018</v>
      </c>
      <c r="E4905" s="822" t="n">
        <v>1</v>
      </c>
      <c r="F4905" s="797" t="n">
        <v>1710</v>
      </c>
      <c r="G4905" s="799" t="n">
        <f aca="false">E4905*F4905</f>
        <v>1710</v>
      </c>
      <c r="H4905" s="476"/>
    </row>
    <row r="4906" customFormat="false" ht="15" hidden="false" customHeight="false" outlineLevel="0" collapsed="false">
      <c r="A4906" s="571"/>
      <c r="B4906" s="608"/>
      <c r="C4906" s="433" t="s">
        <v>4175</v>
      </c>
      <c r="D4906" s="846" t="s">
        <v>4149</v>
      </c>
      <c r="E4906" s="847" t="n">
        <v>0.03</v>
      </c>
      <c r="F4906" s="849" t="n">
        <v>2100</v>
      </c>
      <c r="G4906" s="799" t="n">
        <f aca="false">E4906*F4906</f>
        <v>63</v>
      </c>
      <c r="H4906" s="476"/>
    </row>
    <row r="4907" customFormat="false" ht="30" hidden="false" customHeight="false" outlineLevel="0" collapsed="false">
      <c r="A4907" s="571"/>
      <c r="B4907" s="328"/>
      <c r="C4907" s="476" t="s">
        <v>5033</v>
      </c>
      <c r="D4907" s="606" t="s">
        <v>4191</v>
      </c>
      <c r="E4907" s="622" t="n">
        <v>3</v>
      </c>
      <c r="F4907" s="361" t="n">
        <v>100</v>
      </c>
      <c r="G4907" s="799" t="n">
        <f aca="false">E4907*F4907</f>
        <v>300</v>
      </c>
      <c r="H4907" s="476"/>
    </row>
    <row r="4908" customFormat="false" ht="15" hidden="false" customHeight="false" outlineLevel="0" collapsed="false">
      <c r="A4908" s="571"/>
      <c r="B4908" s="500"/>
      <c r="C4908" s="476" t="s">
        <v>4515</v>
      </c>
      <c r="D4908" s="820" t="s">
        <v>4149</v>
      </c>
      <c r="E4908" s="828" t="n">
        <v>0.05</v>
      </c>
      <c r="F4908" s="697" t="n">
        <v>3500</v>
      </c>
      <c r="G4908" s="799" t="n">
        <f aca="false">E4908*F4908</f>
        <v>175</v>
      </c>
      <c r="H4908" s="476"/>
    </row>
    <row r="4909" customFormat="false" ht="15" hidden="false" customHeight="false" outlineLevel="0" collapsed="false">
      <c r="A4909" s="571"/>
      <c r="B4909" s="608" t="s">
        <v>4128</v>
      </c>
      <c r="C4909" s="614"/>
      <c r="D4909" s="606"/>
      <c r="E4909" s="622"/>
      <c r="F4909" s="361"/>
      <c r="G4909" s="826" t="n">
        <f aca="false">SUM(G4900:G4908)</f>
        <v>3067.15</v>
      </c>
      <c r="H4909" s="606"/>
    </row>
    <row r="4910" customFormat="false" ht="15" hidden="false" customHeight="false" outlineLevel="0" collapsed="false">
      <c r="A4910" s="571" t="s">
        <v>1015</v>
      </c>
      <c r="B4910" s="328" t="s">
        <v>3300</v>
      </c>
      <c r="C4910" s="433"/>
      <c r="D4910" s="606"/>
      <c r="E4910" s="827"/>
      <c r="F4910" s="361"/>
      <c r="G4910" s="613"/>
      <c r="H4910" s="606" t="s">
        <v>5163</v>
      </c>
    </row>
    <row r="4911" customFormat="false" ht="15" hidden="false" customHeight="false" outlineLevel="0" collapsed="false">
      <c r="A4911" s="571"/>
      <c r="B4911" s="608"/>
      <c r="C4911" s="433" t="s">
        <v>4150</v>
      </c>
      <c r="D4911" s="846" t="s">
        <v>4149</v>
      </c>
      <c r="E4911" s="828" t="n">
        <v>0.01</v>
      </c>
      <c r="F4911" s="697" t="n">
        <v>155000</v>
      </c>
      <c r="G4911" s="799" t="n">
        <f aca="false">E4911*F4911</f>
        <v>1550</v>
      </c>
      <c r="H4911" s="476"/>
    </row>
    <row r="4912" customFormat="false" ht="15" hidden="false" customHeight="false" outlineLevel="0" collapsed="false">
      <c r="A4912" s="571"/>
      <c r="B4912" s="328"/>
      <c r="C4912" s="433" t="s">
        <v>5202</v>
      </c>
      <c r="D4912" s="846" t="s">
        <v>4149</v>
      </c>
      <c r="E4912" s="847" t="n">
        <v>0.001</v>
      </c>
      <c r="F4912" s="849" t="n">
        <v>800000</v>
      </c>
      <c r="G4912" s="799" t="n">
        <f aca="false">E4912*F4912</f>
        <v>800</v>
      </c>
      <c r="H4912" s="476"/>
    </row>
    <row r="4913" customFormat="false" ht="15" hidden="false" customHeight="false" outlineLevel="0" collapsed="false">
      <c r="A4913" s="571"/>
      <c r="B4913" s="500"/>
      <c r="C4913" s="433" t="s">
        <v>5203</v>
      </c>
      <c r="D4913" s="846" t="s">
        <v>4149</v>
      </c>
      <c r="E4913" s="839" t="n">
        <v>0.00585</v>
      </c>
      <c r="F4913" s="806" t="n">
        <v>35000</v>
      </c>
      <c r="G4913" s="799" t="n">
        <f aca="false">E4913*F4913</f>
        <v>204.75</v>
      </c>
      <c r="H4913" s="476"/>
    </row>
    <row r="4914" customFormat="false" ht="15" hidden="false" customHeight="false" outlineLevel="0" collapsed="false">
      <c r="A4914" s="571"/>
      <c r="B4914" s="500"/>
      <c r="C4914" s="433" t="s">
        <v>4202</v>
      </c>
      <c r="D4914" s="846" t="s">
        <v>4149</v>
      </c>
      <c r="E4914" s="828" t="n">
        <v>0.01</v>
      </c>
      <c r="F4914" s="697" t="n">
        <v>5800</v>
      </c>
      <c r="G4914" s="799" t="n">
        <f aca="false">E4914*F4914</f>
        <v>58</v>
      </c>
      <c r="H4914" s="476"/>
    </row>
    <row r="4915" customFormat="false" ht="15" hidden="false" customHeight="false" outlineLevel="0" collapsed="false">
      <c r="A4915" s="571"/>
      <c r="B4915" s="500"/>
      <c r="C4915" s="433" t="s">
        <v>5204</v>
      </c>
      <c r="D4915" s="820" t="s">
        <v>5175</v>
      </c>
      <c r="E4915" s="847" t="n">
        <v>0.01</v>
      </c>
      <c r="F4915" s="849" t="n">
        <v>3500</v>
      </c>
      <c r="G4915" s="799" t="n">
        <f aca="false">E4915*F4915</f>
        <v>35</v>
      </c>
      <c r="H4915" s="476"/>
    </row>
    <row r="4916" customFormat="false" ht="15" hidden="false" customHeight="false" outlineLevel="0" collapsed="false">
      <c r="A4916" s="571"/>
      <c r="B4916" s="608"/>
      <c r="C4916" s="433" t="s">
        <v>4147</v>
      </c>
      <c r="D4916" s="820" t="s">
        <v>5175</v>
      </c>
      <c r="E4916" s="847" t="n">
        <v>0.1</v>
      </c>
      <c r="F4916" s="797" t="n">
        <v>3612</v>
      </c>
      <c r="G4916" s="799" t="n">
        <f aca="false">E4916*F4916</f>
        <v>361.2</v>
      </c>
      <c r="H4916" s="476"/>
    </row>
    <row r="4917" customFormat="false" ht="15" hidden="false" customHeight="false" outlineLevel="0" collapsed="false">
      <c r="A4917" s="571"/>
      <c r="B4917" s="500"/>
      <c r="C4917" s="476" t="s">
        <v>4515</v>
      </c>
      <c r="D4917" s="820" t="s">
        <v>4149</v>
      </c>
      <c r="E4917" s="828" t="n">
        <v>0.05</v>
      </c>
      <c r="F4917" s="697" t="n">
        <v>3500</v>
      </c>
      <c r="G4917" s="799" t="n">
        <f aca="false">E4917*F4917</f>
        <v>175</v>
      </c>
      <c r="H4917" s="476"/>
    </row>
    <row r="4918" customFormat="false" ht="30.75" hidden="false" customHeight="true" outlineLevel="0" collapsed="false">
      <c r="A4918" s="571"/>
      <c r="B4918" s="500"/>
      <c r="C4918" s="476" t="s">
        <v>5033</v>
      </c>
      <c r="D4918" s="606" t="s">
        <v>4191</v>
      </c>
      <c r="E4918" s="622" t="n">
        <v>3</v>
      </c>
      <c r="F4918" s="361" t="n">
        <v>100</v>
      </c>
      <c r="G4918" s="799" t="n">
        <f aca="false">E4918*F4918</f>
        <v>300</v>
      </c>
      <c r="H4918" s="476"/>
    </row>
    <row r="4919" customFormat="false" ht="15" hidden="false" customHeight="false" outlineLevel="0" collapsed="false">
      <c r="A4919" s="571"/>
      <c r="B4919" s="608" t="s">
        <v>4128</v>
      </c>
      <c r="C4919" s="609"/>
      <c r="D4919" s="606"/>
      <c r="E4919" s="611"/>
      <c r="F4919" s="612"/>
      <c r="G4919" s="613" t="n">
        <f aca="false">SUM(G4911:G4918)</f>
        <v>3483.95</v>
      </c>
      <c r="H4919" s="391"/>
    </row>
    <row r="4920" customFormat="false" ht="15" hidden="false" customHeight="false" outlineLevel="0" collapsed="false">
      <c r="A4920" s="571" t="s">
        <v>1017</v>
      </c>
      <c r="B4920" s="328" t="s">
        <v>5205</v>
      </c>
      <c r="C4920" s="433"/>
      <c r="D4920" s="606"/>
      <c r="E4920" s="827"/>
      <c r="F4920" s="361"/>
      <c r="G4920" s="613"/>
      <c r="H4920" s="823" t="s">
        <v>5206</v>
      </c>
    </row>
    <row r="4921" customFormat="false" ht="15" hidden="false" customHeight="false" outlineLevel="0" collapsed="false">
      <c r="A4921" s="571"/>
      <c r="B4921" s="500"/>
      <c r="C4921" s="338" t="s">
        <v>4611</v>
      </c>
      <c r="D4921" s="823" t="s">
        <v>4123</v>
      </c>
      <c r="E4921" s="812" t="n">
        <v>0.1</v>
      </c>
      <c r="F4921" s="797" t="n">
        <v>720</v>
      </c>
      <c r="G4921" s="799" t="n">
        <f aca="false">E4921*F4921</f>
        <v>72</v>
      </c>
      <c r="H4921" s="476"/>
    </row>
    <row r="4922" customFormat="false" ht="16.5" hidden="false" customHeight="false" outlineLevel="0" collapsed="false">
      <c r="A4922" s="571"/>
      <c r="B4922" s="500"/>
      <c r="C4922" s="338" t="s">
        <v>5207</v>
      </c>
      <c r="D4922" s="823" t="s">
        <v>4123</v>
      </c>
      <c r="E4922" s="812" t="n">
        <v>0.1</v>
      </c>
      <c r="F4922" s="797" t="n">
        <v>3612</v>
      </c>
      <c r="G4922" s="799" t="n">
        <f aca="false">E4922*F4922</f>
        <v>361.2</v>
      </c>
      <c r="H4922" s="476"/>
    </row>
    <row r="4923" customFormat="false" ht="15" hidden="false" customHeight="false" outlineLevel="0" collapsed="false">
      <c r="A4923" s="571"/>
      <c r="B4923" s="608"/>
      <c r="C4923" s="338" t="s">
        <v>5208</v>
      </c>
      <c r="D4923" s="823" t="s">
        <v>4123</v>
      </c>
      <c r="E4923" s="812" t="n">
        <v>0.062</v>
      </c>
      <c r="F4923" s="797" t="n">
        <v>5500</v>
      </c>
      <c r="G4923" s="799" t="n">
        <f aca="false">E4923*F4923</f>
        <v>341</v>
      </c>
      <c r="H4923" s="476"/>
    </row>
    <row r="4924" customFormat="false" ht="15" hidden="false" customHeight="false" outlineLevel="0" collapsed="false">
      <c r="A4924" s="571"/>
      <c r="B4924" s="328"/>
      <c r="C4924" s="338" t="s">
        <v>5209</v>
      </c>
      <c r="D4924" s="823" t="s">
        <v>4149</v>
      </c>
      <c r="E4924" s="812" t="n">
        <v>0.085</v>
      </c>
      <c r="F4924" s="797" t="n">
        <v>3500</v>
      </c>
      <c r="G4924" s="799" t="n">
        <f aca="false">E4924*F4924</f>
        <v>297.5</v>
      </c>
      <c r="H4924" s="476"/>
    </row>
    <row r="4925" customFormat="false" ht="15" hidden="false" customHeight="false" outlineLevel="0" collapsed="false">
      <c r="A4925" s="571"/>
      <c r="B4925" s="500"/>
      <c r="C4925" s="338" t="s">
        <v>4250</v>
      </c>
      <c r="D4925" s="823" t="s">
        <v>4149</v>
      </c>
      <c r="E4925" s="812" t="n">
        <v>0.015</v>
      </c>
      <c r="F4925" s="797" t="n">
        <v>25000</v>
      </c>
      <c r="G4925" s="799" t="n">
        <f aca="false">E4925*F4925</f>
        <v>375</v>
      </c>
      <c r="H4925" s="476"/>
    </row>
    <row r="4926" customFormat="false" ht="15" hidden="false" customHeight="false" outlineLevel="0" collapsed="false">
      <c r="A4926" s="571"/>
      <c r="B4926" s="500"/>
      <c r="C4926" s="614" t="s">
        <v>5077</v>
      </c>
      <c r="D4926" s="606" t="s">
        <v>5018</v>
      </c>
      <c r="E4926" s="822" t="n">
        <v>0.15</v>
      </c>
      <c r="F4926" s="797" t="n">
        <v>1710</v>
      </c>
      <c r="G4926" s="799" t="n">
        <f aca="false">E4926*F4926</f>
        <v>256.5</v>
      </c>
      <c r="H4926" s="476"/>
    </row>
    <row r="4927" customFormat="false" ht="30" hidden="false" customHeight="false" outlineLevel="0" collapsed="false">
      <c r="A4927" s="571"/>
      <c r="B4927" s="500"/>
      <c r="C4927" s="476" t="s">
        <v>5033</v>
      </c>
      <c r="D4927" s="606" t="s">
        <v>4191</v>
      </c>
      <c r="E4927" s="622" t="n">
        <v>3</v>
      </c>
      <c r="F4927" s="361" t="n">
        <v>100</v>
      </c>
      <c r="G4927" s="799" t="n">
        <f aca="false">E4927*F4927</f>
        <v>300</v>
      </c>
      <c r="H4927" s="476"/>
    </row>
    <row r="4928" customFormat="false" ht="15" hidden="false" customHeight="false" outlineLevel="0" collapsed="false">
      <c r="A4928" s="571"/>
      <c r="B4928" s="608"/>
      <c r="C4928" s="476" t="s">
        <v>4515</v>
      </c>
      <c r="D4928" s="820" t="s">
        <v>4149</v>
      </c>
      <c r="E4928" s="828" t="n">
        <v>0.05</v>
      </c>
      <c r="F4928" s="697" t="n">
        <v>3500</v>
      </c>
      <c r="G4928" s="799" t="n">
        <f aca="false">E4928*F4928</f>
        <v>175</v>
      </c>
      <c r="H4928" s="476"/>
    </row>
    <row r="4929" customFormat="false" ht="15" hidden="false" customHeight="false" outlineLevel="0" collapsed="false">
      <c r="A4929" s="571"/>
      <c r="B4929" s="608" t="s">
        <v>4128</v>
      </c>
      <c r="C4929" s="614"/>
      <c r="D4929" s="606"/>
      <c r="E4929" s="622"/>
      <c r="F4929" s="361"/>
      <c r="G4929" s="613" t="n">
        <f aca="false">SUM(G4920:G4928)</f>
        <v>2178.2</v>
      </c>
      <c r="H4929" s="606"/>
    </row>
    <row r="4930" customFormat="false" ht="60" hidden="false" customHeight="false" outlineLevel="0" collapsed="false">
      <c r="A4930" s="571" t="s">
        <v>1019</v>
      </c>
      <c r="B4930" s="328" t="s">
        <v>5210</v>
      </c>
      <c r="C4930" s="476"/>
      <c r="D4930" s="820"/>
      <c r="E4930" s="820"/>
      <c r="F4930" s="697"/>
      <c r="G4930" s="829"/>
      <c r="H4930" s="606" t="s">
        <v>5163</v>
      </c>
    </row>
    <row r="4931" customFormat="false" ht="15" hidden="false" customHeight="false" outlineLevel="0" collapsed="false">
      <c r="A4931" s="571"/>
      <c r="B4931" s="500"/>
      <c r="C4931" s="614" t="s">
        <v>5077</v>
      </c>
      <c r="D4931" s="606" t="s">
        <v>5018</v>
      </c>
      <c r="E4931" s="844" t="n">
        <v>1</v>
      </c>
      <c r="F4931" s="797" t="n">
        <v>1710</v>
      </c>
      <c r="G4931" s="799" t="n">
        <f aca="false">E4931*F4931</f>
        <v>1710</v>
      </c>
      <c r="H4931" s="476"/>
    </row>
    <row r="4932" customFormat="false" ht="15" hidden="false" customHeight="false" outlineLevel="0" collapsed="false">
      <c r="A4932" s="571"/>
      <c r="B4932" s="500"/>
      <c r="C4932" s="338" t="s">
        <v>5155</v>
      </c>
      <c r="D4932" s="804" t="s">
        <v>4123</v>
      </c>
      <c r="E4932" s="851" t="n">
        <v>0.1</v>
      </c>
      <c r="F4932" s="797" t="n">
        <v>3612</v>
      </c>
      <c r="G4932" s="799" t="n">
        <f aca="false">E4932*F4932</f>
        <v>361.2</v>
      </c>
      <c r="H4932" s="476"/>
    </row>
    <row r="4933" customFormat="false" ht="15" hidden="false" customHeight="false" outlineLevel="0" collapsed="false">
      <c r="A4933" s="571"/>
      <c r="B4933" s="500"/>
      <c r="C4933" s="338" t="s">
        <v>4704</v>
      </c>
      <c r="D4933" s="804" t="s">
        <v>4149</v>
      </c>
      <c r="E4933" s="851" t="n">
        <v>0.1</v>
      </c>
      <c r="F4933" s="806" t="n">
        <v>2000</v>
      </c>
      <c r="G4933" s="799" t="n">
        <f aca="false">E4933*F4933</f>
        <v>200</v>
      </c>
      <c r="H4933" s="476"/>
    </row>
    <row r="4934" customFormat="false" ht="30" hidden="false" customHeight="false" outlineLevel="0" collapsed="false">
      <c r="A4934" s="571"/>
      <c r="B4934" s="500"/>
      <c r="C4934" s="476" t="s">
        <v>5033</v>
      </c>
      <c r="D4934" s="606" t="s">
        <v>4191</v>
      </c>
      <c r="E4934" s="622" t="n">
        <v>3</v>
      </c>
      <c r="F4934" s="361" t="n">
        <v>100</v>
      </c>
      <c r="G4934" s="799" t="n">
        <f aca="false">E4934*F4934</f>
        <v>300</v>
      </c>
      <c r="H4934" s="476"/>
    </row>
    <row r="4935" customFormat="false" ht="15" hidden="false" customHeight="false" outlineLevel="0" collapsed="false">
      <c r="A4935" s="571"/>
      <c r="B4935" s="500"/>
      <c r="C4935" s="338" t="s">
        <v>5211</v>
      </c>
      <c r="D4935" s="804" t="s">
        <v>4149</v>
      </c>
      <c r="E4935" s="851" t="n">
        <v>0.02</v>
      </c>
      <c r="F4935" s="806" t="n">
        <v>3500</v>
      </c>
      <c r="G4935" s="799" t="n">
        <f aca="false">E4935*F4935</f>
        <v>70</v>
      </c>
      <c r="H4935" s="476"/>
    </row>
    <row r="4936" customFormat="false" ht="15" hidden="false" customHeight="false" outlineLevel="0" collapsed="false">
      <c r="A4936" s="571"/>
      <c r="B4936" s="500"/>
      <c r="C4936" s="476" t="s">
        <v>4515</v>
      </c>
      <c r="D4936" s="804" t="s">
        <v>4149</v>
      </c>
      <c r="E4936" s="825" t="n">
        <v>0.05</v>
      </c>
      <c r="F4936" s="697" t="n">
        <v>3500</v>
      </c>
      <c r="G4936" s="799" t="n">
        <f aca="false">E4936*F4936</f>
        <v>175</v>
      </c>
      <c r="H4936" s="476"/>
    </row>
    <row r="4937" customFormat="false" ht="15" hidden="false" customHeight="false" outlineLevel="0" collapsed="false">
      <c r="A4937" s="571"/>
      <c r="B4937" s="500"/>
      <c r="C4937" s="476" t="s">
        <v>5212</v>
      </c>
      <c r="D4937" s="804" t="s">
        <v>4149</v>
      </c>
      <c r="E4937" s="825" t="n">
        <v>0.03</v>
      </c>
      <c r="F4937" s="697" t="n">
        <v>25000</v>
      </c>
      <c r="G4937" s="799" t="n">
        <f aca="false">E4937*F4937</f>
        <v>750</v>
      </c>
      <c r="H4937" s="476"/>
    </row>
    <row r="4938" customFormat="false" ht="15" hidden="false" customHeight="false" outlineLevel="0" collapsed="false">
      <c r="A4938" s="571"/>
      <c r="B4938" s="608" t="s">
        <v>4128</v>
      </c>
      <c r="C4938" s="609"/>
      <c r="D4938" s="606"/>
      <c r="E4938" s="611"/>
      <c r="F4938" s="612"/>
      <c r="G4938" s="613" t="n">
        <f aca="false">SUM(G4930:G4937)</f>
        <v>3566.2</v>
      </c>
      <c r="H4938" s="391"/>
    </row>
    <row r="4939" customFormat="false" ht="30" hidden="false" customHeight="false" outlineLevel="0" collapsed="false">
      <c r="A4939" s="571" t="s">
        <v>1021</v>
      </c>
      <c r="B4939" s="328" t="s">
        <v>3303</v>
      </c>
      <c r="C4939" s="433"/>
      <c r="D4939" s="606"/>
      <c r="E4939" s="827"/>
      <c r="F4939" s="361"/>
      <c r="G4939" s="615"/>
      <c r="H4939" s="606" t="s">
        <v>5163</v>
      </c>
    </row>
    <row r="4940" customFormat="false" ht="15" hidden="false" customHeight="false" outlineLevel="0" collapsed="false">
      <c r="A4940" s="571"/>
      <c r="B4940" s="500"/>
      <c r="C4940" s="614" t="s">
        <v>5077</v>
      </c>
      <c r="D4940" s="606" t="s">
        <v>5018</v>
      </c>
      <c r="E4940" s="822" t="n">
        <v>1</v>
      </c>
      <c r="F4940" s="797" t="n">
        <v>1710</v>
      </c>
      <c r="G4940" s="799" t="n">
        <f aca="false">E4940*F4940</f>
        <v>1710</v>
      </c>
      <c r="H4940" s="476"/>
    </row>
    <row r="4941" customFormat="false" ht="15" hidden="false" customHeight="false" outlineLevel="0" collapsed="false">
      <c r="A4941" s="571"/>
      <c r="B4941" s="500"/>
      <c r="C4941" s="338" t="s">
        <v>5194</v>
      </c>
      <c r="D4941" s="823" t="s">
        <v>4149</v>
      </c>
      <c r="E4941" s="812" t="n">
        <v>0.05</v>
      </c>
      <c r="F4941" s="797" t="n">
        <v>2725</v>
      </c>
      <c r="G4941" s="799" t="n">
        <f aca="false">E4941*F4941</f>
        <v>136.25</v>
      </c>
      <c r="H4941" s="476"/>
    </row>
    <row r="4942" customFormat="false" ht="15" hidden="false" customHeight="false" outlineLevel="0" collapsed="false">
      <c r="A4942" s="571"/>
      <c r="B4942" s="500"/>
      <c r="C4942" s="338" t="s">
        <v>5213</v>
      </c>
      <c r="D4942" s="823" t="s">
        <v>4149</v>
      </c>
      <c r="E4942" s="812" t="n">
        <v>0.01</v>
      </c>
      <c r="F4942" s="797" t="n">
        <v>3875</v>
      </c>
      <c r="G4942" s="799" t="n">
        <f aca="false">E4942*F4942</f>
        <v>38.75</v>
      </c>
      <c r="H4942" s="476"/>
    </row>
    <row r="4943" customFormat="false" ht="15" hidden="false" customHeight="false" outlineLevel="0" collapsed="false">
      <c r="A4943" s="571"/>
      <c r="B4943" s="500"/>
      <c r="C4943" s="338" t="s">
        <v>5214</v>
      </c>
      <c r="D4943" s="823" t="s">
        <v>4149</v>
      </c>
      <c r="E4943" s="812" t="n">
        <v>0.001</v>
      </c>
      <c r="F4943" s="797" t="n">
        <v>1550000</v>
      </c>
      <c r="G4943" s="799" t="n">
        <f aca="false">E4943*F4943</f>
        <v>1550</v>
      </c>
      <c r="H4943" s="476"/>
    </row>
    <row r="4944" customFormat="false" ht="30" hidden="false" customHeight="false" outlineLevel="0" collapsed="false">
      <c r="A4944" s="571"/>
      <c r="B4944" s="500"/>
      <c r="C4944" s="338" t="s">
        <v>5215</v>
      </c>
      <c r="D4944" s="823" t="s">
        <v>4149</v>
      </c>
      <c r="E4944" s="812" t="n">
        <v>0.05</v>
      </c>
      <c r="F4944" s="797" t="n">
        <v>3500</v>
      </c>
      <c r="G4944" s="799" t="n">
        <f aca="false">E4944*F4944</f>
        <v>175</v>
      </c>
      <c r="H4944" s="476"/>
    </row>
    <row r="4945" customFormat="false" ht="15" hidden="false" customHeight="false" outlineLevel="0" collapsed="false">
      <c r="A4945" s="571"/>
      <c r="B4945" s="608"/>
      <c r="C4945" s="338" t="s">
        <v>5216</v>
      </c>
      <c r="D4945" s="823" t="s">
        <v>4149</v>
      </c>
      <c r="E4945" s="812" t="n">
        <v>0.05</v>
      </c>
      <c r="F4945" s="797" t="n">
        <v>2500</v>
      </c>
      <c r="G4945" s="799" t="n">
        <f aca="false">E4945*F4945</f>
        <v>125</v>
      </c>
      <c r="H4945" s="476"/>
    </row>
    <row r="4946" customFormat="false" ht="15" hidden="false" customHeight="false" outlineLevel="0" collapsed="false">
      <c r="A4946" s="571"/>
      <c r="B4946" s="328"/>
      <c r="C4946" s="338" t="s">
        <v>5155</v>
      </c>
      <c r="D4946" s="823" t="s">
        <v>4123</v>
      </c>
      <c r="E4946" s="812" t="n">
        <v>0.05</v>
      </c>
      <c r="F4946" s="797" t="n">
        <v>3612</v>
      </c>
      <c r="G4946" s="799" t="n">
        <f aca="false">E4946*F4946</f>
        <v>180.6</v>
      </c>
      <c r="H4946" s="476"/>
    </row>
    <row r="4947" customFormat="false" ht="15" hidden="false" customHeight="false" outlineLevel="0" collapsed="false">
      <c r="A4947" s="571"/>
      <c r="B4947" s="500"/>
      <c r="C4947" s="338" t="s">
        <v>5217</v>
      </c>
      <c r="D4947" s="823" t="s">
        <v>4123</v>
      </c>
      <c r="E4947" s="812" t="n">
        <v>0.01</v>
      </c>
      <c r="F4947" s="797" t="n">
        <v>1200</v>
      </c>
      <c r="G4947" s="799" t="n">
        <f aca="false">E4947*F4947</f>
        <v>12</v>
      </c>
      <c r="H4947" s="476"/>
    </row>
    <row r="4948" customFormat="false" ht="30" hidden="false" customHeight="false" outlineLevel="0" collapsed="false">
      <c r="A4948" s="571"/>
      <c r="B4948" s="500"/>
      <c r="C4948" s="476" t="s">
        <v>5033</v>
      </c>
      <c r="D4948" s="606" t="s">
        <v>4191</v>
      </c>
      <c r="E4948" s="622" t="n">
        <v>3</v>
      </c>
      <c r="F4948" s="361" t="n">
        <v>100</v>
      </c>
      <c r="G4948" s="799" t="n">
        <f aca="false">E4948*F4948</f>
        <v>300</v>
      </c>
      <c r="H4948" s="476"/>
    </row>
    <row r="4949" customFormat="false" ht="15" hidden="false" customHeight="false" outlineLevel="0" collapsed="false">
      <c r="A4949" s="571"/>
      <c r="B4949" s="608" t="s">
        <v>4128</v>
      </c>
      <c r="C4949" s="614"/>
      <c r="D4949" s="606"/>
      <c r="E4949" s="622"/>
      <c r="F4949" s="361"/>
      <c r="G4949" s="826" t="n">
        <f aca="false">SUM(G4940:G4948)</f>
        <v>4227.6</v>
      </c>
      <c r="H4949" s="606"/>
    </row>
    <row r="4950" customFormat="false" ht="15" hidden="false" customHeight="false" outlineLevel="0" collapsed="false">
      <c r="A4950" s="571" t="s">
        <v>1023</v>
      </c>
      <c r="B4950" s="328" t="s">
        <v>3304</v>
      </c>
      <c r="C4950" s="433"/>
      <c r="D4950" s="846"/>
      <c r="E4950" s="852"/>
      <c r="F4950" s="849"/>
      <c r="G4950" s="826"/>
      <c r="H4950" s="606" t="s">
        <v>5163</v>
      </c>
    </row>
    <row r="4951" customFormat="false" ht="15" hidden="false" customHeight="false" outlineLevel="0" collapsed="false">
      <c r="A4951" s="571"/>
      <c r="B4951" s="500"/>
      <c r="C4951" s="614" t="s">
        <v>5077</v>
      </c>
      <c r="D4951" s="606" t="s">
        <v>5018</v>
      </c>
      <c r="E4951" s="834" t="n">
        <v>1</v>
      </c>
      <c r="F4951" s="797" t="n">
        <v>1710</v>
      </c>
      <c r="G4951" s="799" t="n">
        <f aca="false">E4951*F4951</f>
        <v>1710</v>
      </c>
      <c r="H4951" s="476"/>
    </row>
    <row r="4952" customFormat="false" ht="15" hidden="false" customHeight="false" outlineLevel="0" collapsed="false">
      <c r="A4952" s="571"/>
      <c r="B4952" s="500"/>
      <c r="C4952" s="433" t="s">
        <v>5218</v>
      </c>
      <c r="D4952" s="846" t="s">
        <v>4149</v>
      </c>
      <c r="E4952" s="853" t="n">
        <v>0.002</v>
      </c>
      <c r="F4952" s="797" t="n">
        <v>2220</v>
      </c>
      <c r="G4952" s="799" t="n">
        <f aca="false">E4952*F4952</f>
        <v>4.44</v>
      </c>
      <c r="H4952" s="823"/>
    </row>
    <row r="4953" customFormat="false" ht="15" hidden="false" customHeight="false" outlineLevel="0" collapsed="false">
      <c r="A4953" s="571"/>
      <c r="B4953" s="608"/>
      <c r="C4953" s="433" t="s">
        <v>4545</v>
      </c>
      <c r="D4953" s="846" t="s">
        <v>4149</v>
      </c>
      <c r="E4953" s="853" t="n">
        <v>0.001</v>
      </c>
      <c r="F4953" s="797" t="n">
        <v>4500</v>
      </c>
      <c r="G4953" s="799" t="n">
        <f aca="false">E4953*F4953</f>
        <v>4.5</v>
      </c>
      <c r="H4953" s="823"/>
    </row>
    <row r="4954" customFormat="false" ht="15" hidden="false" customHeight="false" outlineLevel="0" collapsed="false">
      <c r="A4954" s="571"/>
      <c r="B4954" s="328"/>
      <c r="C4954" s="433" t="s">
        <v>5219</v>
      </c>
      <c r="D4954" s="846" t="s">
        <v>4149</v>
      </c>
      <c r="E4954" s="853" t="n">
        <v>0.01</v>
      </c>
      <c r="F4954" s="797" t="n">
        <v>3500</v>
      </c>
      <c r="G4954" s="799" t="n">
        <f aca="false">E4954*F4954</f>
        <v>35</v>
      </c>
      <c r="H4954" s="823"/>
    </row>
    <row r="4955" customFormat="false" ht="15" hidden="false" customHeight="false" outlineLevel="0" collapsed="false">
      <c r="A4955" s="571"/>
      <c r="B4955" s="500"/>
      <c r="C4955" s="433" t="s">
        <v>5120</v>
      </c>
      <c r="D4955" s="846" t="s">
        <v>4149</v>
      </c>
      <c r="E4955" s="834" t="n">
        <v>0.007</v>
      </c>
      <c r="F4955" s="697" t="n">
        <v>24300</v>
      </c>
      <c r="G4955" s="799" t="n">
        <f aca="false">E4955*F4955</f>
        <v>170.1</v>
      </c>
      <c r="H4955" s="823"/>
    </row>
    <row r="4956" customFormat="false" ht="15" hidden="false" customHeight="false" outlineLevel="0" collapsed="false">
      <c r="A4956" s="571"/>
      <c r="B4956" s="500"/>
      <c r="C4956" s="433" t="s">
        <v>4529</v>
      </c>
      <c r="D4956" s="846" t="s">
        <v>4149</v>
      </c>
      <c r="E4956" s="834" t="n">
        <v>0.2</v>
      </c>
      <c r="F4956" s="361" t="n">
        <v>2160</v>
      </c>
      <c r="G4956" s="799" t="n">
        <f aca="false">E4956*F4956</f>
        <v>432</v>
      </c>
      <c r="H4956" s="823"/>
    </row>
    <row r="4957" customFormat="false" ht="15" hidden="false" customHeight="false" outlineLevel="0" collapsed="false">
      <c r="A4957" s="571"/>
      <c r="B4957" s="500"/>
      <c r="C4957" s="433" t="s">
        <v>5220</v>
      </c>
      <c r="D4957" s="846" t="s">
        <v>4149</v>
      </c>
      <c r="E4957" s="853" t="n">
        <v>0.01</v>
      </c>
      <c r="F4957" s="849" t="n">
        <v>2100</v>
      </c>
      <c r="G4957" s="799" t="n">
        <f aca="false">E4957*F4957</f>
        <v>21</v>
      </c>
      <c r="H4957" s="823"/>
    </row>
    <row r="4958" customFormat="false" ht="15" hidden="false" customHeight="false" outlineLevel="0" collapsed="false">
      <c r="A4958" s="571"/>
      <c r="B4958" s="608"/>
      <c r="C4958" s="433" t="s">
        <v>4264</v>
      </c>
      <c r="D4958" s="846" t="s">
        <v>4149</v>
      </c>
      <c r="E4958" s="832" t="n">
        <v>0.002</v>
      </c>
      <c r="F4958" s="697" t="n">
        <v>20000</v>
      </c>
      <c r="G4958" s="799" t="n">
        <f aca="false">E4958*F4958</f>
        <v>40</v>
      </c>
      <c r="H4958" s="823"/>
    </row>
    <row r="4959" customFormat="false" ht="15" hidden="false" customHeight="false" outlineLevel="0" collapsed="false">
      <c r="A4959" s="571"/>
      <c r="B4959" s="328"/>
      <c r="C4959" s="433" t="s">
        <v>5221</v>
      </c>
      <c r="D4959" s="820" t="s">
        <v>5175</v>
      </c>
      <c r="E4959" s="853" t="n">
        <v>0.005</v>
      </c>
      <c r="F4959" s="849" t="n">
        <v>6500</v>
      </c>
      <c r="G4959" s="799" t="n">
        <f aca="false">E4959*F4959</f>
        <v>32.5</v>
      </c>
      <c r="H4959" s="823"/>
    </row>
    <row r="4960" customFormat="false" ht="15" hidden="false" customHeight="false" outlineLevel="0" collapsed="false">
      <c r="A4960" s="571"/>
      <c r="B4960" s="500"/>
      <c r="C4960" s="433" t="s">
        <v>4154</v>
      </c>
      <c r="D4960" s="846" t="s">
        <v>4149</v>
      </c>
      <c r="E4960" s="853" t="n">
        <v>0.05</v>
      </c>
      <c r="F4960" s="797" t="n">
        <v>7200</v>
      </c>
      <c r="G4960" s="799" t="n">
        <f aca="false">E4960*F4960</f>
        <v>360</v>
      </c>
      <c r="H4960" s="476"/>
    </row>
    <row r="4961" customFormat="false" ht="15" hidden="false" customHeight="false" outlineLevel="0" collapsed="false">
      <c r="A4961" s="571"/>
      <c r="B4961" s="500"/>
      <c r="C4961" s="433" t="s">
        <v>4147</v>
      </c>
      <c r="D4961" s="846" t="s">
        <v>4149</v>
      </c>
      <c r="E4961" s="853" t="n">
        <v>0.005</v>
      </c>
      <c r="F4961" s="797" t="n">
        <v>3612</v>
      </c>
      <c r="G4961" s="799" t="n">
        <f aca="false">E4961*F4961</f>
        <v>18.06</v>
      </c>
      <c r="H4961" s="476"/>
    </row>
    <row r="4962" customFormat="false" ht="15" hidden="false" customHeight="false" outlineLevel="0" collapsed="false">
      <c r="A4962" s="571"/>
      <c r="B4962" s="500"/>
      <c r="C4962" s="476" t="s">
        <v>4515</v>
      </c>
      <c r="D4962" s="846" t="s">
        <v>4149</v>
      </c>
      <c r="E4962" s="832" t="n">
        <v>0.05</v>
      </c>
      <c r="F4962" s="697" t="n">
        <v>3500</v>
      </c>
      <c r="G4962" s="799" t="n">
        <f aca="false">E4962*F4962</f>
        <v>175</v>
      </c>
      <c r="H4962" s="476"/>
    </row>
    <row r="4963" customFormat="false" ht="30" hidden="false" customHeight="false" outlineLevel="0" collapsed="false">
      <c r="A4963" s="571"/>
      <c r="B4963" s="608"/>
      <c r="C4963" s="476" t="s">
        <v>5033</v>
      </c>
      <c r="D4963" s="606" t="s">
        <v>4191</v>
      </c>
      <c r="E4963" s="622" t="n">
        <v>3</v>
      </c>
      <c r="F4963" s="361" t="n">
        <v>100</v>
      </c>
      <c r="G4963" s="799" t="n">
        <f aca="false">E4963*F4963</f>
        <v>300</v>
      </c>
      <c r="H4963" s="476"/>
    </row>
    <row r="4964" customFormat="false" ht="15" hidden="false" customHeight="false" outlineLevel="0" collapsed="false">
      <c r="A4964" s="571"/>
      <c r="B4964" s="608" t="s">
        <v>4128</v>
      </c>
      <c r="C4964" s="609"/>
      <c r="D4964" s="606"/>
      <c r="E4964" s="611"/>
      <c r="F4964" s="612"/>
      <c r="G4964" s="613" t="n">
        <f aca="false">SUM(G4951:G4963)</f>
        <v>3302.6</v>
      </c>
      <c r="H4964" s="391"/>
    </row>
    <row r="4965" customFormat="false" ht="30" hidden="false" customHeight="false" outlineLevel="0" collapsed="false">
      <c r="A4965" s="571" t="s">
        <v>1025</v>
      </c>
      <c r="B4965" s="328" t="s">
        <v>3305</v>
      </c>
      <c r="C4965" s="614"/>
      <c r="D4965" s="606"/>
      <c r="E4965" s="622"/>
      <c r="F4965" s="361"/>
      <c r="G4965" s="615"/>
      <c r="H4965" s="606" t="s">
        <v>5163</v>
      </c>
    </row>
    <row r="4966" customFormat="false" ht="15" hidden="false" customHeight="false" outlineLevel="0" collapsed="false">
      <c r="A4966" s="571"/>
      <c r="B4966" s="500"/>
      <c r="C4966" s="433" t="s">
        <v>5222</v>
      </c>
      <c r="D4966" s="606" t="s">
        <v>4149</v>
      </c>
      <c r="E4966" s="822" t="n">
        <v>0.01</v>
      </c>
      <c r="F4966" s="797" t="n">
        <v>3875</v>
      </c>
      <c r="G4966" s="799" t="n">
        <f aca="false">E4966*F4966</f>
        <v>38.75</v>
      </c>
      <c r="H4966" s="606"/>
    </row>
    <row r="4967" customFormat="false" ht="15" hidden="false" customHeight="false" outlineLevel="0" collapsed="false">
      <c r="A4967" s="571"/>
      <c r="B4967" s="500"/>
      <c r="C4967" s="433" t="s">
        <v>4171</v>
      </c>
      <c r="D4967" s="606" t="s">
        <v>4149</v>
      </c>
      <c r="E4967" s="822" t="n">
        <v>0.04</v>
      </c>
      <c r="F4967" s="797" t="n">
        <v>3000</v>
      </c>
      <c r="G4967" s="799" t="n">
        <f aca="false">E4967*F4967</f>
        <v>120</v>
      </c>
      <c r="H4967" s="606"/>
    </row>
    <row r="4968" customFormat="false" ht="15" hidden="false" customHeight="false" outlineLevel="0" collapsed="false">
      <c r="A4968" s="571"/>
      <c r="B4968" s="608"/>
      <c r="C4968" s="433" t="s">
        <v>5223</v>
      </c>
      <c r="D4968" s="606" t="s">
        <v>4149</v>
      </c>
      <c r="E4968" s="822" t="n">
        <v>0.05</v>
      </c>
      <c r="F4968" s="797" t="n">
        <v>2400</v>
      </c>
      <c r="G4968" s="799" t="n">
        <f aca="false">E4968*F4968</f>
        <v>120</v>
      </c>
      <c r="H4968" s="391"/>
    </row>
    <row r="4969" customFormat="false" ht="15" hidden="false" customHeight="false" outlineLevel="0" collapsed="false">
      <c r="A4969" s="571"/>
      <c r="B4969" s="328"/>
      <c r="C4969" s="433" t="s">
        <v>5224</v>
      </c>
      <c r="D4969" s="606" t="s">
        <v>4149</v>
      </c>
      <c r="E4969" s="822" t="n">
        <v>0.003</v>
      </c>
      <c r="F4969" s="797" t="n">
        <v>56071</v>
      </c>
      <c r="G4969" s="799" t="n">
        <f aca="false">E4969*F4969</f>
        <v>168.213</v>
      </c>
      <c r="H4969" s="606"/>
    </row>
    <row r="4970" customFormat="false" ht="30" hidden="false" customHeight="false" outlineLevel="0" collapsed="false">
      <c r="A4970" s="571"/>
      <c r="B4970" s="500"/>
      <c r="C4970" s="433" t="s">
        <v>4433</v>
      </c>
      <c r="D4970" s="606" t="s">
        <v>4149</v>
      </c>
      <c r="E4970" s="822" t="n">
        <v>0.02</v>
      </c>
      <c r="F4970" s="797" t="n">
        <v>1000</v>
      </c>
      <c r="G4970" s="799" t="n">
        <f aca="false">E4970*F4970</f>
        <v>20</v>
      </c>
      <c r="H4970" s="606"/>
    </row>
    <row r="4971" customFormat="false" ht="15" hidden="false" customHeight="false" outlineLevel="0" collapsed="false">
      <c r="A4971" s="571"/>
      <c r="B4971" s="500"/>
      <c r="C4971" s="433" t="s">
        <v>4147</v>
      </c>
      <c r="D4971" s="606" t="s">
        <v>4149</v>
      </c>
      <c r="E4971" s="822" t="n">
        <v>0.05</v>
      </c>
      <c r="F4971" s="797" t="n">
        <v>3612</v>
      </c>
      <c r="G4971" s="799" t="n">
        <f aca="false">E4971*F4971</f>
        <v>180.6</v>
      </c>
      <c r="H4971" s="606"/>
    </row>
    <row r="4972" customFormat="false" ht="15" hidden="false" customHeight="false" outlineLevel="0" collapsed="false">
      <c r="A4972" s="571"/>
      <c r="B4972" s="608"/>
      <c r="C4972" s="433" t="s">
        <v>4234</v>
      </c>
      <c r="D4972" s="606" t="s">
        <v>4149</v>
      </c>
      <c r="E4972" s="822" t="n">
        <v>0.03</v>
      </c>
      <c r="F4972" s="797" t="n">
        <v>15750</v>
      </c>
      <c r="G4972" s="799" t="n">
        <f aca="false">E4972*F4972</f>
        <v>472.5</v>
      </c>
      <c r="H4972" s="391"/>
    </row>
    <row r="4973" customFormat="false" ht="15" hidden="false" customHeight="false" outlineLevel="0" collapsed="false">
      <c r="A4973" s="571"/>
      <c r="B4973" s="328"/>
      <c r="C4973" s="614" t="s">
        <v>5077</v>
      </c>
      <c r="D4973" s="606" t="s">
        <v>5018</v>
      </c>
      <c r="E4973" s="822" t="n">
        <v>1</v>
      </c>
      <c r="F4973" s="797" t="n">
        <v>1710</v>
      </c>
      <c r="G4973" s="799" t="n">
        <f aca="false">E4973*F4973</f>
        <v>1710</v>
      </c>
      <c r="H4973" s="606"/>
    </row>
    <row r="4974" customFormat="false" ht="30" hidden="false" customHeight="false" outlineLevel="0" collapsed="false">
      <c r="A4974" s="571"/>
      <c r="B4974" s="500"/>
      <c r="C4974" s="476" t="s">
        <v>5033</v>
      </c>
      <c r="D4974" s="606" t="s">
        <v>4191</v>
      </c>
      <c r="E4974" s="622" t="n">
        <v>3</v>
      </c>
      <c r="F4974" s="361" t="n">
        <v>100</v>
      </c>
      <c r="G4974" s="799" t="n">
        <f aca="false">E4974*F4974</f>
        <v>300</v>
      </c>
      <c r="H4974" s="606"/>
    </row>
    <row r="4975" customFormat="false" ht="15" hidden="false" customHeight="false" outlineLevel="0" collapsed="false">
      <c r="A4975" s="571"/>
      <c r="B4975" s="500"/>
      <c r="C4975" s="614" t="s">
        <v>5225</v>
      </c>
      <c r="D4975" s="606" t="s">
        <v>4191</v>
      </c>
      <c r="E4975" s="622" t="n">
        <v>3</v>
      </c>
      <c r="F4975" s="361" t="n">
        <v>100</v>
      </c>
      <c r="G4975" s="799" t="n">
        <f aca="false">E4975*F4975</f>
        <v>300</v>
      </c>
      <c r="H4975" s="606"/>
    </row>
    <row r="4976" customFormat="false" ht="15" hidden="false" customHeight="false" outlineLevel="0" collapsed="false">
      <c r="A4976" s="571"/>
      <c r="B4976" s="608"/>
      <c r="C4976" s="476" t="s">
        <v>4515</v>
      </c>
      <c r="D4976" s="820" t="s">
        <v>4133</v>
      </c>
      <c r="E4976" s="828" t="n">
        <v>0.05</v>
      </c>
      <c r="F4976" s="697" t="n">
        <v>3500</v>
      </c>
      <c r="G4976" s="799" t="n">
        <f aca="false">E4976*F4976</f>
        <v>175</v>
      </c>
      <c r="H4976" s="391"/>
    </row>
    <row r="4977" customFormat="false" ht="15" hidden="false" customHeight="false" outlineLevel="0" collapsed="false">
      <c r="A4977" s="571"/>
      <c r="B4977" s="608" t="s">
        <v>4128</v>
      </c>
      <c r="C4977" s="614"/>
      <c r="D4977" s="606"/>
      <c r="E4977" s="622"/>
      <c r="F4977" s="361"/>
      <c r="G4977" s="613" t="n">
        <f aca="false">SUM(G4966:G4976)</f>
        <v>3605.063</v>
      </c>
      <c r="H4977" s="606"/>
    </row>
    <row r="4978" customFormat="false" ht="69.75" hidden="false" customHeight="true" outlineLevel="0" collapsed="false">
      <c r="A4978" s="350" t="s">
        <v>1027</v>
      </c>
      <c r="B4978" s="346" t="s">
        <v>5226</v>
      </c>
      <c r="C4978" s="751"/>
      <c r="D4978" s="339"/>
      <c r="E4978" s="550"/>
      <c r="F4978" s="550"/>
      <c r="G4978" s="818"/>
      <c r="H4978" s="854"/>
    </row>
    <row r="4979" customFormat="false" ht="19.5" hidden="false" customHeight="true" outlineLevel="0" collapsed="false">
      <c r="A4979" s="571" t="s">
        <v>1029</v>
      </c>
      <c r="B4979" s="433" t="s">
        <v>3323</v>
      </c>
      <c r="C4979" s="476"/>
      <c r="D4979" s="820"/>
      <c r="E4979" s="820"/>
      <c r="F4979" s="697"/>
      <c r="G4979" s="826" t="n">
        <f aca="false">SUM(G4980:G5001)</f>
        <v>13075.523</v>
      </c>
      <c r="H4979" s="433" t="s">
        <v>5227</v>
      </c>
    </row>
    <row r="4980" customFormat="false" ht="15" hidden="false" customHeight="false" outlineLevel="0" collapsed="false">
      <c r="A4980" s="571"/>
      <c r="B4980" s="433"/>
      <c r="C4980" s="855" t="s">
        <v>4317</v>
      </c>
      <c r="D4980" s="316" t="s">
        <v>4359</v>
      </c>
      <c r="E4980" s="855" t="n">
        <v>0.5</v>
      </c>
      <c r="F4980" s="855" t="n">
        <v>21000</v>
      </c>
      <c r="G4980" s="615" t="n">
        <f aca="false">F4980*E4980</f>
        <v>10500</v>
      </c>
      <c r="H4980" s="856"/>
    </row>
    <row r="4981" customFormat="false" ht="15" hidden="false" customHeight="false" outlineLevel="0" collapsed="false">
      <c r="A4981" s="571"/>
      <c r="B4981" s="433"/>
      <c r="C4981" s="855" t="s">
        <v>4147</v>
      </c>
      <c r="D4981" s="316" t="s">
        <v>4359</v>
      </c>
      <c r="E4981" s="855" t="n">
        <v>0.003</v>
      </c>
      <c r="F4981" s="855" t="n">
        <v>18000</v>
      </c>
      <c r="G4981" s="615" t="n">
        <f aca="false">F4981*E4981</f>
        <v>54</v>
      </c>
      <c r="H4981" s="856"/>
    </row>
    <row r="4982" customFormat="false" ht="21" hidden="false" customHeight="true" outlineLevel="0" collapsed="false">
      <c r="A4982" s="571"/>
      <c r="B4982" s="433"/>
      <c r="C4982" s="855" t="s">
        <v>5228</v>
      </c>
      <c r="D4982" s="316" t="s">
        <v>4133</v>
      </c>
      <c r="E4982" s="855" t="n">
        <v>0.001</v>
      </c>
      <c r="F4982" s="855" t="n">
        <v>19000</v>
      </c>
      <c r="G4982" s="615" t="n">
        <f aca="false">F4982*E4982</f>
        <v>19</v>
      </c>
      <c r="H4982" s="856"/>
    </row>
    <row r="4983" customFormat="false" ht="18.75" hidden="false" customHeight="true" outlineLevel="0" collapsed="false">
      <c r="A4983" s="571"/>
      <c r="B4983" s="433"/>
      <c r="C4983" s="855" t="s">
        <v>5229</v>
      </c>
      <c r="D4983" s="316" t="s">
        <v>4133</v>
      </c>
      <c r="E4983" s="855" t="n">
        <v>0.0001</v>
      </c>
      <c r="F4983" s="855" t="n">
        <v>71490</v>
      </c>
      <c r="G4983" s="615" t="n">
        <f aca="false">F4983*E4983</f>
        <v>7.149</v>
      </c>
      <c r="H4983" s="856"/>
    </row>
    <row r="4984" customFormat="false" ht="30" hidden="false" customHeight="false" outlineLevel="0" collapsed="false">
      <c r="A4984" s="571"/>
      <c r="B4984" s="433"/>
      <c r="C4984" s="855" t="s">
        <v>5230</v>
      </c>
      <c r="D4984" s="316" t="s">
        <v>4133</v>
      </c>
      <c r="E4984" s="855" t="n">
        <v>0.0001</v>
      </c>
      <c r="F4984" s="855" t="n">
        <v>74815</v>
      </c>
      <c r="G4984" s="615" t="n">
        <f aca="false">F4984*E4984</f>
        <v>7.4815</v>
      </c>
      <c r="H4984" s="856"/>
    </row>
    <row r="4985" customFormat="false" ht="45" hidden="false" customHeight="false" outlineLevel="0" collapsed="false">
      <c r="A4985" s="571"/>
      <c r="B4985" s="433"/>
      <c r="C4985" s="855" t="s">
        <v>5231</v>
      </c>
      <c r="D4985" s="316" t="s">
        <v>4133</v>
      </c>
      <c r="E4985" s="855" t="n">
        <v>0.0001</v>
      </c>
      <c r="F4985" s="855" t="n">
        <v>75465</v>
      </c>
      <c r="G4985" s="615" t="n">
        <f aca="false">F4985*E4985</f>
        <v>7.5465</v>
      </c>
      <c r="H4985" s="856"/>
    </row>
    <row r="4986" customFormat="false" ht="30" hidden="false" customHeight="false" outlineLevel="0" collapsed="false">
      <c r="A4986" s="571"/>
      <c r="B4986" s="433"/>
      <c r="C4986" s="855" t="s">
        <v>5232</v>
      </c>
      <c r="D4986" s="316" t="s">
        <v>4133</v>
      </c>
      <c r="E4986" s="855" t="n">
        <v>0.0001</v>
      </c>
      <c r="F4986" s="857" t="n">
        <v>87990</v>
      </c>
      <c r="G4986" s="615" t="n">
        <f aca="false">F4986*E4986</f>
        <v>8.799</v>
      </c>
      <c r="H4986" s="856"/>
    </row>
    <row r="4987" customFormat="false" ht="30" hidden="false" customHeight="false" outlineLevel="0" collapsed="false">
      <c r="A4987" s="571"/>
      <c r="B4987" s="433"/>
      <c r="C4987" s="855" t="s">
        <v>5233</v>
      </c>
      <c r="D4987" s="316" t="s">
        <v>4133</v>
      </c>
      <c r="E4987" s="855" t="n">
        <v>0.0001</v>
      </c>
      <c r="F4987" s="857" t="n">
        <v>71395</v>
      </c>
      <c r="G4987" s="615" t="n">
        <f aca="false">F4987*E4987</f>
        <v>7.1395</v>
      </c>
      <c r="H4987" s="856"/>
    </row>
    <row r="4988" customFormat="false" ht="30" hidden="false" customHeight="false" outlineLevel="0" collapsed="false">
      <c r="A4988" s="571"/>
      <c r="B4988" s="433"/>
      <c r="C4988" s="855" t="s">
        <v>5234</v>
      </c>
      <c r="D4988" s="316" t="s">
        <v>4133</v>
      </c>
      <c r="E4988" s="855" t="n">
        <v>0.0001</v>
      </c>
      <c r="F4988" s="857" t="n">
        <v>53450</v>
      </c>
      <c r="G4988" s="615" t="n">
        <f aca="false">F4988*E4988</f>
        <v>5.345</v>
      </c>
      <c r="H4988" s="856"/>
    </row>
    <row r="4989" customFormat="false" ht="30" hidden="false" customHeight="false" outlineLevel="0" collapsed="false">
      <c r="A4989" s="571"/>
      <c r="B4989" s="433"/>
      <c r="C4989" s="855" t="s">
        <v>5235</v>
      </c>
      <c r="D4989" s="316" t="s">
        <v>4133</v>
      </c>
      <c r="E4989" s="855" t="n">
        <v>0.0001</v>
      </c>
      <c r="F4989" s="857" t="n">
        <v>56745</v>
      </c>
      <c r="G4989" s="615" t="n">
        <f aca="false">F4989*E4989</f>
        <v>5.6745</v>
      </c>
      <c r="H4989" s="856"/>
    </row>
    <row r="4990" customFormat="false" ht="30" hidden="false" customHeight="false" outlineLevel="0" collapsed="false">
      <c r="A4990" s="571"/>
      <c r="B4990" s="433"/>
      <c r="C4990" s="855" t="s">
        <v>5236</v>
      </c>
      <c r="D4990" s="316" t="s">
        <v>4133</v>
      </c>
      <c r="E4990" s="855" t="n">
        <v>0.0001</v>
      </c>
      <c r="F4990" s="857" t="n">
        <v>141060</v>
      </c>
      <c r="G4990" s="615" t="n">
        <f aca="false">F4990*E4990</f>
        <v>14.106</v>
      </c>
      <c r="H4990" s="856"/>
    </row>
    <row r="4991" customFormat="false" ht="30" hidden="false" customHeight="false" outlineLevel="0" collapsed="false">
      <c r="A4991" s="571"/>
      <c r="B4991" s="433"/>
      <c r="C4991" s="855" t="s">
        <v>5237</v>
      </c>
      <c r="D4991" s="316" t="s">
        <v>4133</v>
      </c>
      <c r="E4991" s="855" t="n">
        <v>0.0001</v>
      </c>
      <c r="F4991" s="857" t="n">
        <v>49050</v>
      </c>
      <c r="G4991" s="615" t="n">
        <f aca="false">F4991*E4991</f>
        <v>4.905</v>
      </c>
      <c r="H4991" s="856"/>
    </row>
    <row r="4992" customFormat="false" ht="15" hidden="false" customHeight="false" outlineLevel="0" collapsed="false">
      <c r="A4992" s="571"/>
      <c r="B4992" s="433"/>
      <c r="C4992" s="855" t="s">
        <v>4673</v>
      </c>
      <c r="D4992" s="316" t="s">
        <v>4133</v>
      </c>
      <c r="E4992" s="855" t="n">
        <v>0.001</v>
      </c>
      <c r="F4992" s="115" t="n">
        <v>106777</v>
      </c>
      <c r="G4992" s="615" t="n">
        <f aca="false">F4992*E4992</f>
        <v>106.777</v>
      </c>
      <c r="H4992" s="856"/>
    </row>
    <row r="4993" customFormat="false" ht="30" hidden="false" customHeight="false" outlineLevel="0" collapsed="false">
      <c r="A4993" s="571"/>
      <c r="B4993" s="433"/>
      <c r="C4993" s="433" t="s">
        <v>5238</v>
      </c>
      <c r="D4993" s="606" t="s">
        <v>4141</v>
      </c>
      <c r="E4993" s="819" t="n">
        <v>0.01</v>
      </c>
      <c r="F4993" s="617" t="n">
        <v>1400</v>
      </c>
      <c r="G4993" s="615" t="n">
        <f aca="false">F4993*E4993</f>
        <v>14</v>
      </c>
      <c r="H4993" s="856"/>
    </row>
    <row r="4994" customFormat="false" ht="15" hidden="false" customHeight="false" outlineLevel="0" collapsed="false">
      <c r="A4994" s="571"/>
      <c r="B4994" s="433"/>
      <c r="C4994" s="433" t="s">
        <v>5239</v>
      </c>
      <c r="D4994" s="606" t="s">
        <v>4141</v>
      </c>
      <c r="E4994" s="858" t="n">
        <v>0.003</v>
      </c>
      <c r="F4994" s="617" t="n">
        <v>23500</v>
      </c>
      <c r="G4994" s="615" t="n">
        <f aca="false">F4994*E4994</f>
        <v>70.5</v>
      </c>
      <c r="H4994" s="856"/>
    </row>
    <row r="4995" customFormat="false" ht="15" hidden="false" customHeight="false" outlineLevel="0" collapsed="false">
      <c r="A4995" s="571"/>
      <c r="B4995" s="433"/>
      <c r="C4995" s="859" t="s">
        <v>4497</v>
      </c>
      <c r="D4995" s="602" t="s">
        <v>4348</v>
      </c>
      <c r="E4995" s="603" t="n">
        <v>0.003</v>
      </c>
      <c r="F4995" s="604" t="n">
        <v>550000</v>
      </c>
      <c r="G4995" s="615" t="n">
        <f aca="false">F4995*E4995</f>
        <v>1650</v>
      </c>
      <c r="H4995" s="856"/>
    </row>
    <row r="4996" customFormat="false" ht="15" hidden="false" customHeight="false" outlineLevel="0" collapsed="false">
      <c r="A4996" s="571"/>
      <c r="B4996" s="433"/>
      <c r="C4996" s="855" t="s">
        <v>5240</v>
      </c>
      <c r="D4996" s="316" t="s">
        <v>4578</v>
      </c>
      <c r="E4996" s="855" t="n">
        <v>0.002</v>
      </c>
      <c r="F4996" s="115" t="n">
        <v>225000</v>
      </c>
      <c r="G4996" s="615" t="n">
        <f aca="false">F4996*E4996</f>
        <v>450</v>
      </c>
      <c r="H4996" s="856"/>
    </row>
    <row r="4997" customFormat="false" ht="15" hidden="false" customHeight="false" outlineLevel="0" collapsed="false">
      <c r="A4997" s="571"/>
      <c r="B4997" s="433"/>
      <c r="C4997" s="855" t="s">
        <v>5241</v>
      </c>
      <c r="D4997" s="316" t="s">
        <v>4141</v>
      </c>
      <c r="E4997" s="860" t="n">
        <v>0.001</v>
      </c>
      <c r="F4997" s="857" t="n">
        <v>1500</v>
      </c>
      <c r="G4997" s="615" t="n">
        <f aca="false">F4997*E4997</f>
        <v>1.5</v>
      </c>
      <c r="H4997" s="856"/>
    </row>
    <row r="4998" customFormat="false" ht="15" hidden="false" customHeight="false" outlineLevel="0" collapsed="false">
      <c r="A4998" s="571"/>
      <c r="B4998" s="433"/>
      <c r="C4998" s="855" t="s">
        <v>4347</v>
      </c>
      <c r="D4998" s="316" t="s">
        <v>4348</v>
      </c>
      <c r="E4998" s="855" t="n">
        <v>1</v>
      </c>
      <c r="F4998" s="857" t="n">
        <v>130</v>
      </c>
      <c r="G4998" s="615" t="n">
        <f aca="false">F4998*E4998</f>
        <v>130</v>
      </c>
      <c r="H4998" s="856"/>
    </row>
    <row r="4999" customFormat="false" ht="15" hidden="false" customHeight="false" outlineLevel="0" collapsed="false">
      <c r="A4999" s="571"/>
      <c r="B4999" s="433"/>
      <c r="C4999" s="855" t="s">
        <v>4122</v>
      </c>
      <c r="D4999" s="316" t="s">
        <v>4359</v>
      </c>
      <c r="E4999" s="855" t="n">
        <v>0.01</v>
      </c>
      <c r="F4999" s="857" t="n">
        <v>720</v>
      </c>
      <c r="G4999" s="615" t="n">
        <f aca="false">F4999*E4999</f>
        <v>7.2</v>
      </c>
      <c r="H4999" s="856"/>
    </row>
    <row r="5000" customFormat="false" ht="15" hidden="false" customHeight="false" outlineLevel="0" collapsed="false">
      <c r="A5000" s="571"/>
      <c r="B5000" s="433"/>
      <c r="C5000" s="855" t="s">
        <v>4515</v>
      </c>
      <c r="D5000" s="316" t="s">
        <v>4133</v>
      </c>
      <c r="E5000" s="855" t="n">
        <v>0.001</v>
      </c>
      <c r="F5000" s="857" t="n">
        <v>2700</v>
      </c>
      <c r="G5000" s="615" t="n">
        <f aca="false">F5000*E5000</f>
        <v>2.7</v>
      </c>
      <c r="H5000" s="856"/>
    </row>
    <row r="5001" customFormat="false" ht="15" hidden="false" customHeight="false" outlineLevel="0" collapsed="false">
      <c r="A5001" s="571"/>
      <c r="B5001" s="433"/>
      <c r="C5001" s="861" t="s">
        <v>4124</v>
      </c>
      <c r="D5001" s="316" t="s">
        <v>4125</v>
      </c>
      <c r="E5001" s="855" t="n">
        <v>0.01</v>
      </c>
      <c r="F5001" s="857" t="n">
        <v>170</v>
      </c>
      <c r="G5001" s="615" t="n">
        <f aca="false">F5001*E5001</f>
        <v>1.7</v>
      </c>
      <c r="H5001" s="856"/>
    </row>
    <row r="5002" customFormat="false" ht="15" hidden="false" customHeight="false" outlineLevel="0" collapsed="false">
      <c r="A5002" s="571" t="s">
        <v>1031</v>
      </c>
      <c r="B5002" s="433" t="s">
        <v>3308</v>
      </c>
      <c r="C5002" s="862"/>
      <c r="D5002" s="863"/>
      <c r="E5002" s="863"/>
      <c r="F5002" s="808"/>
      <c r="G5002" s="826" t="n">
        <f aca="false">SUM(G5003:G5026)</f>
        <v>6495.6821</v>
      </c>
      <c r="H5002" s="864" t="s">
        <v>5242</v>
      </c>
    </row>
    <row r="5003" customFormat="false" ht="15" hidden="false" customHeight="false" outlineLevel="0" collapsed="false">
      <c r="A5003" s="571"/>
      <c r="B5003" s="433"/>
      <c r="C5003" s="855" t="s">
        <v>4604</v>
      </c>
      <c r="D5003" s="316" t="s">
        <v>4359</v>
      </c>
      <c r="E5003" s="855" t="n">
        <v>0.00215</v>
      </c>
      <c r="F5003" s="115" t="n">
        <v>18000</v>
      </c>
      <c r="G5003" s="615" t="n">
        <f aca="false">F5003*E5003</f>
        <v>38.7</v>
      </c>
      <c r="H5003" s="856"/>
    </row>
    <row r="5004" s="651" customFormat="true" ht="15" hidden="false" customHeight="false" outlineLevel="0" collapsed="false">
      <c r="A5004" s="571"/>
      <c r="B5004" s="433"/>
      <c r="C5004" s="855" t="s">
        <v>4317</v>
      </c>
      <c r="D5004" s="316" t="s">
        <v>4359</v>
      </c>
      <c r="E5004" s="855" t="n">
        <v>0.2</v>
      </c>
      <c r="F5004" s="115" t="n">
        <v>21000</v>
      </c>
      <c r="G5004" s="615" t="n">
        <f aca="false">F5004*E5004</f>
        <v>4200</v>
      </c>
      <c r="H5004" s="856"/>
    </row>
    <row r="5005" customFormat="false" ht="15" hidden="false" customHeight="false" outlineLevel="0" collapsed="false">
      <c r="A5005" s="571"/>
      <c r="B5005" s="433"/>
      <c r="C5005" s="855" t="s">
        <v>5243</v>
      </c>
      <c r="D5005" s="316" t="s">
        <v>4133</v>
      </c>
      <c r="E5005" s="855" t="n">
        <v>0.0005</v>
      </c>
      <c r="F5005" s="115" t="n">
        <v>2241</v>
      </c>
      <c r="G5005" s="615" t="n">
        <f aca="false">F5005*E5005</f>
        <v>1.1205</v>
      </c>
      <c r="H5005" s="856"/>
    </row>
    <row r="5006" customFormat="false" ht="15" hidden="false" customHeight="false" outlineLevel="0" collapsed="false">
      <c r="A5006" s="571"/>
      <c r="B5006" s="433"/>
      <c r="C5006" s="855" t="s">
        <v>4584</v>
      </c>
      <c r="D5006" s="316" t="s">
        <v>4133</v>
      </c>
      <c r="E5006" s="855" t="n">
        <v>0.00505</v>
      </c>
      <c r="F5006" s="115" t="n">
        <v>21000</v>
      </c>
      <c r="G5006" s="615" t="n">
        <f aca="false">F5006*E5006</f>
        <v>106.05</v>
      </c>
      <c r="H5006" s="856"/>
    </row>
    <row r="5007" customFormat="false" ht="15" hidden="false" customHeight="false" outlineLevel="0" collapsed="false">
      <c r="A5007" s="571"/>
      <c r="B5007" s="433"/>
      <c r="C5007" s="855" t="s">
        <v>4159</v>
      </c>
      <c r="D5007" s="316" t="s">
        <v>4133</v>
      </c>
      <c r="E5007" s="855" t="n">
        <v>5.6E-005</v>
      </c>
      <c r="F5007" s="115" t="n">
        <v>674100</v>
      </c>
      <c r="G5007" s="615" t="n">
        <f aca="false">F5007*E5007</f>
        <v>37.7496</v>
      </c>
      <c r="H5007" s="856"/>
    </row>
    <row r="5008" customFormat="false" ht="15" hidden="false" customHeight="false" outlineLevel="0" collapsed="false">
      <c r="A5008" s="571"/>
      <c r="B5008" s="433"/>
      <c r="C5008" s="860" t="s">
        <v>4189</v>
      </c>
      <c r="D5008" s="316" t="s">
        <v>4359</v>
      </c>
      <c r="E5008" s="855" t="n">
        <v>0.0025</v>
      </c>
      <c r="F5008" s="115" t="n">
        <v>17000</v>
      </c>
      <c r="G5008" s="615" t="n">
        <f aca="false">F5008*E5008</f>
        <v>42.5</v>
      </c>
      <c r="H5008" s="856"/>
    </row>
    <row r="5009" customFormat="false" ht="30" hidden="false" customHeight="false" outlineLevel="0" collapsed="false">
      <c r="A5009" s="571"/>
      <c r="B5009" s="433"/>
      <c r="C5009" s="855" t="s">
        <v>5244</v>
      </c>
      <c r="D5009" s="316" t="s">
        <v>4133</v>
      </c>
      <c r="E5009" s="855" t="n">
        <v>0.001</v>
      </c>
      <c r="F5009" s="115" t="n">
        <v>19000</v>
      </c>
      <c r="G5009" s="615" t="n">
        <f aca="false">F5009*E5009</f>
        <v>19</v>
      </c>
      <c r="H5009" s="856"/>
    </row>
    <row r="5010" customFormat="false" ht="15" hidden="false" customHeight="false" outlineLevel="0" collapsed="false">
      <c r="A5010" s="571"/>
      <c r="B5010" s="433"/>
      <c r="C5010" s="855" t="s">
        <v>4673</v>
      </c>
      <c r="D5010" s="316" t="s">
        <v>4133</v>
      </c>
      <c r="E5010" s="855" t="n">
        <v>0.006</v>
      </c>
      <c r="F5010" s="115" t="n">
        <v>106777</v>
      </c>
      <c r="G5010" s="615" t="n">
        <f aca="false">F5010*E5010</f>
        <v>640.662</v>
      </c>
      <c r="H5010" s="856"/>
    </row>
    <row r="5011" customFormat="false" ht="30" hidden="false" customHeight="false" outlineLevel="0" collapsed="false">
      <c r="A5011" s="571"/>
      <c r="B5011" s="433"/>
      <c r="C5011" s="532" t="s">
        <v>5238</v>
      </c>
      <c r="D5011" s="679" t="s">
        <v>4141</v>
      </c>
      <c r="E5011" s="865" t="n">
        <v>0.001</v>
      </c>
      <c r="F5011" s="617" t="n">
        <v>1400</v>
      </c>
      <c r="G5011" s="615" t="n">
        <f aca="false">F5011*E5011</f>
        <v>1.4</v>
      </c>
      <c r="H5011" s="856"/>
    </row>
    <row r="5012" customFormat="false" ht="15" hidden="false" customHeight="false" outlineLevel="0" collapsed="false">
      <c r="A5012" s="571"/>
      <c r="B5012" s="433"/>
      <c r="C5012" s="855" t="s">
        <v>5241</v>
      </c>
      <c r="D5012" s="316" t="s">
        <v>4141</v>
      </c>
      <c r="E5012" s="860" t="n">
        <v>0.001</v>
      </c>
      <c r="F5012" s="857" t="n">
        <v>1500</v>
      </c>
      <c r="G5012" s="615" t="n">
        <f aca="false">F5012*E5012</f>
        <v>1.5</v>
      </c>
      <c r="H5012" s="856"/>
    </row>
    <row r="5013" customFormat="false" ht="15" hidden="false" customHeight="false" outlineLevel="0" collapsed="false">
      <c r="A5013" s="571"/>
      <c r="B5013" s="433"/>
      <c r="C5013" s="855" t="s">
        <v>5245</v>
      </c>
      <c r="D5013" s="316" t="s">
        <v>4133</v>
      </c>
      <c r="E5013" s="855" t="n">
        <v>0.0001</v>
      </c>
      <c r="F5013" s="115" t="n">
        <v>58000</v>
      </c>
      <c r="G5013" s="615" t="n">
        <f aca="false">F5013*E5013</f>
        <v>5.8</v>
      </c>
      <c r="H5013" s="856"/>
    </row>
    <row r="5014" customFormat="false" ht="15" hidden="false" customHeight="false" outlineLevel="0" collapsed="false">
      <c r="A5014" s="571"/>
      <c r="B5014" s="433"/>
      <c r="C5014" s="855" t="s">
        <v>5246</v>
      </c>
      <c r="D5014" s="316" t="s">
        <v>4133</v>
      </c>
      <c r="E5014" s="855" t="n">
        <v>0.0001</v>
      </c>
      <c r="F5014" s="115" t="n">
        <v>58000</v>
      </c>
      <c r="G5014" s="615" t="n">
        <f aca="false">F5014*E5014</f>
        <v>5.8</v>
      </c>
      <c r="H5014" s="856"/>
    </row>
    <row r="5015" customFormat="false" ht="15" hidden="false" customHeight="false" outlineLevel="0" collapsed="false">
      <c r="A5015" s="571"/>
      <c r="B5015" s="433"/>
      <c r="C5015" s="855" t="s">
        <v>5247</v>
      </c>
      <c r="D5015" s="316" t="s">
        <v>4133</v>
      </c>
      <c r="E5015" s="855" t="n">
        <v>0.0001</v>
      </c>
      <c r="F5015" s="115" t="n">
        <v>58000</v>
      </c>
      <c r="G5015" s="615" t="n">
        <f aca="false">F5015*E5015</f>
        <v>5.8</v>
      </c>
      <c r="H5015" s="856"/>
    </row>
    <row r="5016" customFormat="false" ht="15" hidden="false" customHeight="false" outlineLevel="0" collapsed="false">
      <c r="A5016" s="571"/>
      <c r="B5016" s="433"/>
      <c r="C5016" s="855" t="s">
        <v>5248</v>
      </c>
      <c r="D5016" s="316" t="s">
        <v>4133</v>
      </c>
      <c r="E5016" s="855" t="n">
        <v>0.0001</v>
      </c>
      <c r="F5016" s="115" t="n">
        <v>58000</v>
      </c>
      <c r="G5016" s="615" t="n">
        <f aca="false">F5016*E5016</f>
        <v>5.8</v>
      </c>
      <c r="H5016" s="856"/>
    </row>
    <row r="5017" customFormat="false" ht="15" hidden="false" customHeight="false" outlineLevel="0" collapsed="false">
      <c r="A5017" s="571"/>
      <c r="B5017" s="433"/>
      <c r="C5017" s="855" t="s">
        <v>5249</v>
      </c>
      <c r="D5017" s="316" t="s">
        <v>4133</v>
      </c>
      <c r="E5017" s="855" t="n">
        <v>0.0001</v>
      </c>
      <c r="F5017" s="115" t="n">
        <v>58000</v>
      </c>
      <c r="G5017" s="615" t="n">
        <f aca="false">F5017*E5017</f>
        <v>5.8</v>
      </c>
      <c r="H5017" s="856"/>
    </row>
    <row r="5018" customFormat="false" ht="15" hidden="false" customHeight="false" outlineLevel="0" collapsed="false">
      <c r="A5018" s="571"/>
      <c r="B5018" s="433"/>
      <c r="C5018" s="855" t="s">
        <v>5250</v>
      </c>
      <c r="D5018" s="316" t="s">
        <v>4133</v>
      </c>
      <c r="E5018" s="855" t="n">
        <v>0.0001</v>
      </c>
      <c r="F5018" s="115" t="n">
        <v>58000</v>
      </c>
      <c r="G5018" s="615" t="n">
        <f aca="false">F5018*E5018</f>
        <v>5.8</v>
      </c>
      <c r="H5018" s="856"/>
    </row>
    <row r="5019" customFormat="false" ht="15" hidden="false" customHeight="false" outlineLevel="0" collapsed="false">
      <c r="A5019" s="571"/>
      <c r="B5019" s="433"/>
      <c r="C5019" s="532" t="s">
        <v>5240</v>
      </c>
      <c r="D5019" s="679" t="s">
        <v>4578</v>
      </c>
      <c r="E5019" s="866" t="n">
        <v>0.002</v>
      </c>
      <c r="F5019" s="681" t="n">
        <v>225000</v>
      </c>
      <c r="G5019" s="615" t="n">
        <f aca="false">F5019*E5019</f>
        <v>450</v>
      </c>
      <c r="H5019" s="856"/>
    </row>
    <row r="5020" customFormat="false" ht="15" hidden="false" customHeight="false" outlineLevel="0" collapsed="false">
      <c r="A5020" s="571"/>
      <c r="B5020" s="433"/>
      <c r="C5020" s="532" t="s">
        <v>4251</v>
      </c>
      <c r="D5020" s="679" t="s">
        <v>4578</v>
      </c>
      <c r="E5020" s="866" t="n">
        <v>0.002</v>
      </c>
      <c r="F5020" s="681" t="n">
        <v>275000</v>
      </c>
      <c r="G5020" s="615" t="n">
        <f aca="false">F5020*E5020</f>
        <v>550</v>
      </c>
      <c r="H5020" s="856"/>
    </row>
    <row r="5021" customFormat="false" ht="15" hidden="false" customHeight="false" outlineLevel="0" collapsed="false">
      <c r="A5021" s="571"/>
      <c r="B5021" s="433"/>
      <c r="C5021" s="867" t="s">
        <v>4497</v>
      </c>
      <c r="D5021" s="868" t="s">
        <v>4348</v>
      </c>
      <c r="E5021" s="869" t="n">
        <v>0.0003</v>
      </c>
      <c r="F5021" s="870" t="n">
        <v>550000</v>
      </c>
      <c r="G5021" s="615" t="n">
        <f aca="false">F5021*E5021</f>
        <v>165</v>
      </c>
      <c r="H5021" s="856"/>
    </row>
    <row r="5022" customFormat="false" ht="15" hidden="false" customHeight="false" outlineLevel="0" collapsed="false">
      <c r="A5022" s="571"/>
      <c r="B5022" s="433"/>
      <c r="C5022" s="867" t="s">
        <v>4122</v>
      </c>
      <c r="D5022" s="868" t="s">
        <v>4123</v>
      </c>
      <c r="E5022" s="869" t="n">
        <v>0.01</v>
      </c>
      <c r="F5022" s="871" t="n">
        <v>720</v>
      </c>
      <c r="G5022" s="615" t="n">
        <f aca="false">F5022*E5022</f>
        <v>7.2</v>
      </c>
      <c r="H5022" s="856"/>
    </row>
    <row r="5023" customFormat="false" ht="15" hidden="false" customHeight="false" outlineLevel="0" collapsed="false">
      <c r="A5023" s="571"/>
      <c r="B5023" s="433"/>
      <c r="C5023" s="872" t="s">
        <v>4124</v>
      </c>
      <c r="D5023" s="868" t="s">
        <v>4125</v>
      </c>
      <c r="E5023" s="869" t="n">
        <v>0.01</v>
      </c>
      <c r="F5023" s="871" t="n">
        <v>170</v>
      </c>
      <c r="G5023" s="873" t="n">
        <f aca="false">F5023*E5023</f>
        <v>1.7</v>
      </c>
      <c r="H5023" s="856"/>
    </row>
    <row r="5024" customFormat="false" ht="15" hidden="false" customHeight="false" outlineLevel="0" collapsed="false">
      <c r="A5024" s="571"/>
      <c r="B5024" s="433"/>
      <c r="C5024" s="872" t="s">
        <v>4347</v>
      </c>
      <c r="D5024" s="868" t="s">
        <v>4348</v>
      </c>
      <c r="E5024" s="869" t="n">
        <v>1</v>
      </c>
      <c r="F5024" s="871" t="n">
        <v>130</v>
      </c>
      <c r="G5024" s="615" t="n">
        <f aca="false">F5024*E5024</f>
        <v>130</v>
      </c>
      <c r="H5024" s="856"/>
    </row>
    <row r="5025" customFormat="false" ht="15" hidden="false" customHeight="false" outlineLevel="0" collapsed="false">
      <c r="A5025" s="571"/>
      <c r="B5025" s="433"/>
      <c r="C5025" s="433" t="s">
        <v>5239</v>
      </c>
      <c r="D5025" s="606" t="s">
        <v>4141</v>
      </c>
      <c r="E5025" s="866" t="n">
        <v>0.0018</v>
      </c>
      <c r="F5025" s="681" t="n">
        <v>23500</v>
      </c>
      <c r="G5025" s="615" t="n">
        <f aca="false">F5025*E5025</f>
        <v>42.3</v>
      </c>
      <c r="H5025" s="856"/>
    </row>
    <row r="5026" customFormat="false" ht="15" hidden="false" customHeight="false" outlineLevel="0" collapsed="false">
      <c r="A5026" s="571"/>
      <c r="B5026" s="433"/>
      <c r="C5026" s="855" t="s">
        <v>4509</v>
      </c>
      <c r="D5026" s="316" t="s">
        <v>4348</v>
      </c>
      <c r="E5026" s="855" t="n">
        <v>1</v>
      </c>
      <c r="F5026" s="857" t="n">
        <v>26</v>
      </c>
      <c r="G5026" s="615" t="n">
        <f aca="false">F5026*E5026</f>
        <v>26</v>
      </c>
      <c r="H5026" s="856"/>
    </row>
    <row r="5027" customFormat="false" ht="15" hidden="false" customHeight="false" outlineLevel="0" collapsed="false">
      <c r="A5027" s="571" t="s">
        <v>1033</v>
      </c>
      <c r="B5027" s="433" t="s">
        <v>3336</v>
      </c>
      <c r="C5027" s="41"/>
      <c r="D5027" s="874"/>
      <c r="E5027" s="41"/>
      <c r="F5027" s="875"/>
      <c r="G5027" s="826" t="n">
        <f aca="false">SUM(G5028:G5046)</f>
        <v>9317.0055</v>
      </c>
      <c r="H5027" s="876" t="s">
        <v>5251</v>
      </c>
    </row>
    <row r="5028" customFormat="false" ht="15" hidden="false" customHeight="false" outlineLevel="0" collapsed="false">
      <c r="A5028" s="571"/>
      <c r="B5028" s="433"/>
      <c r="C5028" s="855" t="s">
        <v>4250</v>
      </c>
      <c r="D5028" s="316" t="s">
        <v>4359</v>
      </c>
      <c r="E5028" s="855" t="n">
        <v>0.1</v>
      </c>
      <c r="F5028" s="115" t="n">
        <v>42000</v>
      </c>
      <c r="G5028" s="615" t="n">
        <f aca="false">F5028*E5028</f>
        <v>4200</v>
      </c>
      <c r="H5028" s="876"/>
    </row>
    <row r="5029" customFormat="false" ht="15" hidden="false" customHeight="false" outlineLevel="0" collapsed="false">
      <c r="A5029" s="571"/>
      <c r="B5029" s="433"/>
      <c r="C5029" s="855" t="s">
        <v>5252</v>
      </c>
      <c r="D5029" s="316" t="s">
        <v>4133</v>
      </c>
      <c r="E5029" s="855" t="n">
        <v>0.005</v>
      </c>
      <c r="F5029" s="115" t="n">
        <v>19000</v>
      </c>
      <c r="G5029" s="615" t="n">
        <f aca="false">F5029*E5029</f>
        <v>95</v>
      </c>
      <c r="H5029" s="856"/>
    </row>
    <row r="5030" customFormat="false" ht="15" hidden="false" customHeight="false" outlineLevel="0" collapsed="false">
      <c r="A5030" s="571"/>
      <c r="B5030" s="433"/>
      <c r="C5030" s="855" t="s">
        <v>4154</v>
      </c>
      <c r="D5030" s="316" t="s">
        <v>4359</v>
      </c>
      <c r="E5030" s="855" t="n">
        <v>0.0086</v>
      </c>
      <c r="F5030" s="115" t="n">
        <v>18000</v>
      </c>
      <c r="G5030" s="615" t="n">
        <f aca="false">F5030*E5030</f>
        <v>154.8</v>
      </c>
      <c r="H5030" s="856"/>
    </row>
    <row r="5031" customFormat="false" ht="15" hidden="false" customHeight="false" outlineLevel="0" collapsed="false">
      <c r="A5031" s="571"/>
      <c r="B5031" s="433"/>
      <c r="C5031" s="860" t="s">
        <v>4317</v>
      </c>
      <c r="D5031" s="877" t="s">
        <v>4359</v>
      </c>
      <c r="E5031" s="860" t="n">
        <v>0.1</v>
      </c>
      <c r="F5031" s="115" t="n">
        <v>21000</v>
      </c>
      <c r="G5031" s="615" t="n">
        <f aca="false">F5031*E5031</f>
        <v>2100</v>
      </c>
      <c r="H5031" s="856"/>
    </row>
    <row r="5032" customFormat="false" ht="45" hidden="false" customHeight="false" outlineLevel="0" collapsed="false">
      <c r="A5032" s="571"/>
      <c r="B5032" s="433"/>
      <c r="C5032" s="860" t="s">
        <v>5253</v>
      </c>
      <c r="D5032" s="316" t="s">
        <v>4133</v>
      </c>
      <c r="E5032" s="855" t="n">
        <v>0.0001</v>
      </c>
      <c r="F5032" s="115" t="n">
        <v>41555</v>
      </c>
      <c r="G5032" s="615" t="n">
        <f aca="false">F5032*E5032</f>
        <v>4.1555</v>
      </c>
      <c r="H5032" s="856"/>
    </row>
    <row r="5033" customFormat="false" ht="15" hidden="false" customHeight="false" outlineLevel="0" collapsed="false">
      <c r="A5033" s="571"/>
      <c r="B5033" s="433"/>
      <c r="C5033" s="855" t="s">
        <v>5254</v>
      </c>
      <c r="D5033" s="316" t="s">
        <v>4133</v>
      </c>
      <c r="E5033" s="855" t="n">
        <v>0.01</v>
      </c>
      <c r="F5033" s="115" t="n">
        <v>11325</v>
      </c>
      <c r="G5033" s="615" t="n">
        <f aca="false">F5033*E5033</f>
        <v>113.25</v>
      </c>
      <c r="H5033" s="856"/>
    </row>
    <row r="5034" customFormat="false" ht="15" hidden="false" customHeight="false" outlineLevel="0" collapsed="false">
      <c r="A5034" s="571"/>
      <c r="B5034" s="433"/>
      <c r="C5034" s="855" t="s">
        <v>5255</v>
      </c>
      <c r="D5034" s="316" t="s">
        <v>4133</v>
      </c>
      <c r="E5034" s="855" t="n">
        <v>0.025</v>
      </c>
      <c r="F5034" s="115" t="n">
        <v>6400</v>
      </c>
      <c r="G5034" s="615" t="n">
        <f aca="false">F5034*E5034</f>
        <v>160</v>
      </c>
      <c r="H5034" s="856"/>
    </row>
    <row r="5035" customFormat="false" ht="15" hidden="false" customHeight="false" outlineLevel="0" collapsed="false">
      <c r="A5035" s="571"/>
      <c r="B5035" s="433"/>
      <c r="C5035" s="855" t="s">
        <v>5256</v>
      </c>
      <c r="D5035" s="316" t="s">
        <v>4133</v>
      </c>
      <c r="E5035" s="855" t="n">
        <v>0.01</v>
      </c>
      <c r="F5035" s="115" t="n">
        <v>2000</v>
      </c>
      <c r="G5035" s="615" t="n">
        <f aca="false">F5035*E5035</f>
        <v>20</v>
      </c>
      <c r="H5035" s="856"/>
    </row>
    <row r="5036" customFormat="false" ht="30" hidden="false" customHeight="false" outlineLevel="0" collapsed="false">
      <c r="A5036" s="571"/>
      <c r="B5036" s="433"/>
      <c r="C5036" s="855" t="s">
        <v>5257</v>
      </c>
      <c r="D5036" s="316" t="s">
        <v>4133</v>
      </c>
      <c r="E5036" s="855" t="n">
        <v>0.001</v>
      </c>
      <c r="F5036" s="115" t="n">
        <v>56000</v>
      </c>
      <c r="G5036" s="615" t="n">
        <f aca="false">F5036*E5036</f>
        <v>56</v>
      </c>
      <c r="H5036" s="856"/>
    </row>
    <row r="5037" customFormat="false" ht="30" hidden="false" customHeight="false" outlineLevel="0" collapsed="false">
      <c r="A5037" s="571"/>
      <c r="B5037" s="433"/>
      <c r="C5037" s="855" t="s">
        <v>5258</v>
      </c>
      <c r="D5037" s="316" t="s">
        <v>4133</v>
      </c>
      <c r="E5037" s="855" t="n">
        <v>0.001</v>
      </c>
      <c r="F5037" s="115" t="n">
        <v>60200</v>
      </c>
      <c r="G5037" s="615" t="n">
        <f aca="false">F5037*E5037</f>
        <v>60.2</v>
      </c>
      <c r="H5037" s="856"/>
    </row>
    <row r="5038" customFormat="false" ht="15" hidden="false" customHeight="false" outlineLevel="0" collapsed="false">
      <c r="A5038" s="571"/>
      <c r="B5038" s="433"/>
      <c r="C5038" s="532" t="s">
        <v>5240</v>
      </c>
      <c r="D5038" s="679" t="s">
        <v>4578</v>
      </c>
      <c r="E5038" s="866" t="n">
        <v>0.002</v>
      </c>
      <c r="F5038" s="681" t="n">
        <v>225000</v>
      </c>
      <c r="G5038" s="615" t="n">
        <f aca="false">F5038*E5038</f>
        <v>450</v>
      </c>
      <c r="H5038" s="856"/>
    </row>
    <row r="5039" customFormat="false" ht="15" hidden="false" customHeight="false" outlineLevel="0" collapsed="false">
      <c r="A5039" s="571"/>
      <c r="B5039" s="433"/>
      <c r="C5039" s="867" t="s">
        <v>4497</v>
      </c>
      <c r="D5039" s="868" t="s">
        <v>4348</v>
      </c>
      <c r="E5039" s="869" t="n">
        <v>0.003</v>
      </c>
      <c r="F5039" s="870" t="n">
        <v>550000</v>
      </c>
      <c r="G5039" s="615" t="n">
        <f aca="false">F5039*E5039</f>
        <v>1650</v>
      </c>
      <c r="H5039" s="856"/>
    </row>
    <row r="5040" customFormat="false" ht="15" hidden="false" customHeight="false" outlineLevel="0" collapsed="false">
      <c r="A5040" s="571"/>
      <c r="B5040" s="433"/>
      <c r="C5040" s="867" t="s">
        <v>4122</v>
      </c>
      <c r="D5040" s="868" t="s">
        <v>4123</v>
      </c>
      <c r="E5040" s="869" t="n">
        <v>0.01</v>
      </c>
      <c r="F5040" s="871" t="n">
        <v>720</v>
      </c>
      <c r="G5040" s="615" t="n">
        <f aca="false">F5040*E5040</f>
        <v>7.2</v>
      </c>
      <c r="H5040" s="856"/>
    </row>
    <row r="5041" customFormat="false" ht="30" hidden="false" customHeight="false" outlineLevel="0" collapsed="false">
      <c r="A5041" s="571"/>
      <c r="B5041" s="433"/>
      <c r="C5041" s="532" t="s">
        <v>5238</v>
      </c>
      <c r="D5041" s="679" t="s">
        <v>4141</v>
      </c>
      <c r="E5041" s="866" t="n">
        <v>0.001</v>
      </c>
      <c r="F5041" s="681" t="n">
        <v>1400</v>
      </c>
      <c r="G5041" s="615" t="n">
        <f aca="false">F5041*E5041</f>
        <v>1.4</v>
      </c>
      <c r="H5041" s="856"/>
    </row>
    <row r="5042" customFormat="false" ht="15" hidden="false" customHeight="false" outlineLevel="0" collapsed="false">
      <c r="A5042" s="571"/>
      <c r="B5042" s="433"/>
      <c r="C5042" s="855" t="s">
        <v>5241</v>
      </c>
      <c r="D5042" s="868" t="s">
        <v>4121</v>
      </c>
      <c r="E5042" s="869" t="n">
        <v>0.001</v>
      </c>
      <c r="F5042" s="870" t="n">
        <v>1500</v>
      </c>
      <c r="G5042" s="615" t="n">
        <f aca="false">F5042*E5042</f>
        <v>1.5</v>
      </c>
      <c r="H5042" s="856"/>
    </row>
    <row r="5043" customFormat="false" ht="15" hidden="false" customHeight="false" outlineLevel="0" collapsed="false">
      <c r="A5043" s="571"/>
      <c r="B5043" s="433"/>
      <c r="C5043" s="872" t="s">
        <v>4124</v>
      </c>
      <c r="D5043" s="868" t="s">
        <v>4125</v>
      </c>
      <c r="E5043" s="869" t="n">
        <v>0.1</v>
      </c>
      <c r="F5043" s="871" t="n">
        <v>170</v>
      </c>
      <c r="G5043" s="615" t="n">
        <f aca="false">F5043*E5043</f>
        <v>17</v>
      </c>
      <c r="H5043" s="856"/>
    </row>
    <row r="5044" customFormat="false" ht="15" hidden="false" customHeight="false" outlineLevel="0" collapsed="false">
      <c r="A5044" s="571"/>
      <c r="B5044" s="433"/>
      <c r="C5044" s="872" t="s">
        <v>4347</v>
      </c>
      <c r="D5044" s="868" t="s">
        <v>4348</v>
      </c>
      <c r="E5044" s="869" t="n">
        <v>1</v>
      </c>
      <c r="F5044" s="871" t="n">
        <v>130</v>
      </c>
      <c r="G5044" s="615" t="n">
        <f aca="false">F5044*E5044</f>
        <v>130</v>
      </c>
      <c r="H5044" s="856"/>
    </row>
    <row r="5045" customFormat="false" ht="15" hidden="false" customHeight="false" outlineLevel="0" collapsed="false">
      <c r="A5045" s="571"/>
      <c r="B5045" s="433"/>
      <c r="C5045" s="532" t="s">
        <v>5239</v>
      </c>
      <c r="D5045" s="679" t="s">
        <v>4141</v>
      </c>
      <c r="E5045" s="866" t="n">
        <v>0.003</v>
      </c>
      <c r="F5045" s="681" t="n">
        <v>23500</v>
      </c>
      <c r="G5045" s="615" t="n">
        <f aca="false">F5045*E5045</f>
        <v>70.5</v>
      </c>
      <c r="H5045" s="856"/>
    </row>
    <row r="5046" customFormat="false" ht="15" hidden="false" customHeight="false" outlineLevel="0" collapsed="false">
      <c r="A5046" s="571"/>
      <c r="B5046" s="433"/>
      <c r="C5046" s="855" t="s">
        <v>4509</v>
      </c>
      <c r="D5046" s="316" t="s">
        <v>4348</v>
      </c>
      <c r="E5046" s="855" t="n">
        <v>1</v>
      </c>
      <c r="F5046" s="857" t="n">
        <v>26</v>
      </c>
      <c r="G5046" s="615" t="n">
        <f aca="false">F5046*E5046</f>
        <v>26</v>
      </c>
      <c r="H5046" s="856"/>
    </row>
    <row r="5047" customFormat="false" ht="15" hidden="false" customHeight="false" outlineLevel="0" collapsed="false">
      <c r="A5047" s="571" t="s">
        <v>1035</v>
      </c>
      <c r="B5047" s="433" t="s">
        <v>3310</v>
      </c>
      <c r="C5047" s="41"/>
      <c r="D5047" s="874"/>
      <c r="E5047" s="41"/>
      <c r="F5047" s="875"/>
      <c r="G5047" s="826" t="n">
        <f aca="false">SUM(G5048:G5063)</f>
        <v>17439.216</v>
      </c>
      <c r="H5047" s="433" t="s">
        <v>5259</v>
      </c>
    </row>
    <row r="5048" customFormat="false" ht="15" hidden="false" customHeight="false" outlineLevel="0" collapsed="false">
      <c r="A5048" s="571"/>
      <c r="B5048" s="433"/>
      <c r="C5048" s="855" t="s">
        <v>5228</v>
      </c>
      <c r="D5048" s="316" t="s">
        <v>4133</v>
      </c>
      <c r="E5048" s="855" t="n">
        <v>0.001</v>
      </c>
      <c r="F5048" s="115" t="n">
        <v>19000</v>
      </c>
      <c r="G5048" s="615" t="n">
        <f aca="false">F5048*E5048</f>
        <v>19</v>
      </c>
      <c r="H5048" s="433"/>
    </row>
    <row r="5049" customFormat="false" ht="15" hidden="false" customHeight="false" outlineLevel="0" collapsed="false">
      <c r="A5049" s="571"/>
      <c r="B5049" s="433"/>
      <c r="C5049" s="861" t="s">
        <v>4317</v>
      </c>
      <c r="D5049" s="316" t="s">
        <v>4359</v>
      </c>
      <c r="E5049" s="855" t="n">
        <v>0.1</v>
      </c>
      <c r="F5049" s="115" t="n">
        <v>21000</v>
      </c>
      <c r="G5049" s="615" t="n">
        <f aca="false">F5049*E5049</f>
        <v>2100</v>
      </c>
      <c r="H5049" s="856"/>
    </row>
    <row r="5050" customFormat="false" ht="15" hidden="false" customHeight="false" outlineLevel="0" collapsed="false">
      <c r="A5050" s="571"/>
      <c r="B5050" s="433"/>
      <c r="C5050" s="861" t="s">
        <v>4154</v>
      </c>
      <c r="D5050" s="316" t="s">
        <v>4359</v>
      </c>
      <c r="E5050" s="855" t="n">
        <v>0.01</v>
      </c>
      <c r="F5050" s="115" t="n">
        <v>18000</v>
      </c>
      <c r="G5050" s="615" t="n">
        <f aca="false">F5050*E5050</f>
        <v>180</v>
      </c>
      <c r="H5050" s="856"/>
    </row>
    <row r="5051" customFormat="false" ht="15" hidden="false" customHeight="false" outlineLevel="0" collapsed="false">
      <c r="A5051" s="571"/>
      <c r="B5051" s="433"/>
      <c r="C5051" s="878" t="s">
        <v>5260</v>
      </c>
      <c r="D5051" s="877" t="s">
        <v>4133</v>
      </c>
      <c r="E5051" s="855" t="n">
        <v>0.00136</v>
      </c>
      <c r="F5051" s="115" t="n">
        <v>24000</v>
      </c>
      <c r="G5051" s="615" t="n">
        <f aca="false">F5051*E5051</f>
        <v>32.64</v>
      </c>
      <c r="H5051" s="856"/>
    </row>
    <row r="5052" customFormat="false" ht="15" hidden="false" customHeight="false" outlineLevel="0" collapsed="false">
      <c r="A5052" s="571"/>
      <c r="B5052" s="433"/>
      <c r="C5052" s="532" t="s">
        <v>4171</v>
      </c>
      <c r="D5052" s="877" t="s">
        <v>4359</v>
      </c>
      <c r="E5052" s="879" t="n">
        <v>0.002</v>
      </c>
      <c r="F5052" s="617" t="n">
        <v>18000</v>
      </c>
      <c r="G5052" s="615" t="n">
        <f aca="false">F5052*E5052</f>
        <v>36</v>
      </c>
      <c r="H5052" s="856"/>
    </row>
    <row r="5053" customFormat="false" ht="15" hidden="false" customHeight="false" outlineLevel="0" collapsed="false">
      <c r="A5053" s="571"/>
      <c r="B5053" s="433"/>
      <c r="C5053" s="532" t="s">
        <v>4251</v>
      </c>
      <c r="D5053" s="679" t="s">
        <v>4578</v>
      </c>
      <c r="E5053" s="858" t="n">
        <v>0.002</v>
      </c>
      <c r="F5053" s="617" t="n">
        <v>275000</v>
      </c>
      <c r="G5053" s="615" t="n">
        <f aca="false">F5053*E5053</f>
        <v>550</v>
      </c>
      <c r="H5053" s="856"/>
    </row>
    <row r="5054" customFormat="false" ht="30" hidden="false" customHeight="false" outlineLevel="0" collapsed="false">
      <c r="A5054" s="571"/>
      <c r="B5054" s="433"/>
      <c r="C5054" s="532" t="s">
        <v>5238</v>
      </c>
      <c r="D5054" s="679" t="s">
        <v>4141</v>
      </c>
      <c r="E5054" s="819" t="n">
        <v>0.01</v>
      </c>
      <c r="F5054" s="617" t="n">
        <v>1400</v>
      </c>
      <c r="G5054" s="615" t="n">
        <f aca="false">F5054*E5054</f>
        <v>14</v>
      </c>
      <c r="H5054" s="856"/>
    </row>
    <row r="5055" customFormat="false" ht="15" hidden="false" customHeight="false" outlineLevel="0" collapsed="false">
      <c r="A5055" s="571"/>
      <c r="B5055" s="433"/>
      <c r="C5055" s="21" t="s">
        <v>4250</v>
      </c>
      <c r="D5055" s="316" t="s">
        <v>4359</v>
      </c>
      <c r="E5055" s="819" t="n">
        <v>0.3</v>
      </c>
      <c r="F5055" s="617" t="n">
        <v>42000</v>
      </c>
      <c r="G5055" s="615" t="n">
        <f aca="false">F5055*E5055</f>
        <v>12600</v>
      </c>
      <c r="H5055" s="856"/>
    </row>
    <row r="5056" customFormat="false" ht="30" hidden="false" customHeight="false" outlineLevel="0" collapsed="false">
      <c r="A5056" s="571"/>
      <c r="B5056" s="433"/>
      <c r="C5056" s="855" t="s">
        <v>5261</v>
      </c>
      <c r="D5056" s="316" t="s">
        <v>4133</v>
      </c>
      <c r="E5056" s="855" t="n">
        <v>0.0001</v>
      </c>
      <c r="F5056" s="115" t="n">
        <v>53760</v>
      </c>
      <c r="G5056" s="615" t="n">
        <f aca="false">F5056*E5056</f>
        <v>5.376</v>
      </c>
      <c r="H5056" s="856"/>
    </row>
    <row r="5057" customFormat="false" ht="15" hidden="false" customHeight="false" outlineLevel="0" collapsed="false">
      <c r="A5057" s="571"/>
      <c r="B5057" s="433"/>
      <c r="C5057" s="867" t="s">
        <v>4497</v>
      </c>
      <c r="D5057" s="868" t="s">
        <v>4348</v>
      </c>
      <c r="E5057" s="603" t="n">
        <v>0.003</v>
      </c>
      <c r="F5057" s="604" t="n">
        <v>550000</v>
      </c>
      <c r="G5057" s="615" t="n">
        <f aca="false">F5057*E5057</f>
        <v>1650</v>
      </c>
      <c r="H5057" s="856"/>
    </row>
    <row r="5058" customFormat="false" ht="15" hidden="false" customHeight="false" outlineLevel="0" collapsed="false">
      <c r="A5058" s="571"/>
      <c r="B5058" s="433"/>
      <c r="C5058" s="867" t="s">
        <v>4122</v>
      </c>
      <c r="D5058" s="868" t="s">
        <v>4123</v>
      </c>
      <c r="E5058" s="869" t="n">
        <v>0.01</v>
      </c>
      <c r="F5058" s="871" t="n">
        <v>720</v>
      </c>
      <c r="G5058" s="615" t="n">
        <f aca="false">F5058*E5058</f>
        <v>7.2</v>
      </c>
      <c r="H5058" s="856"/>
    </row>
    <row r="5059" customFormat="false" ht="15" hidden="false" customHeight="false" outlineLevel="0" collapsed="false">
      <c r="A5059" s="571"/>
      <c r="B5059" s="433"/>
      <c r="C5059" s="855" t="s">
        <v>5241</v>
      </c>
      <c r="D5059" s="868" t="s">
        <v>4121</v>
      </c>
      <c r="E5059" s="869" t="n">
        <v>0.001</v>
      </c>
      <c r="F5059" s="870" t="n">
        <v>1500</v>
      </c>
      <c r="G5059" s="615" t="n">
        <f aca="false">F5059*E5059</f>
        <v>1.5</v>
      </c>
      <c r="H5059" s="856"/>
    </row>
    <row r="5060" customFormat="false" ht="15" hidden="false" customHeight="false" outlineLevel="0" collapsed="false">
      <c r="A5060" s="571"/>
      <c r="B5060" s="433"/>
      <c r="C5060" s="872" t="s">
        <v>4124</v>
      </c>
      <c r="D5060" s="868" t="s">
        <v>4125</v>
      </c>
      <c r="E5060" s="869" t="n">
        <v>0.1</v>
      </c>
      <c r="F5060" s="871" t="n">
        <v>170</v>
      </c>
      <c r="G5060" s="615" t="n">
        <f aca="false">F5060*E5060</f>
        <v>17</v>
      </c>
      <c r="H5060" s="856"/>
    </row>
    <row r="5061" customFormat="false" ht="15" hidden="false" customHeight="false" outlineLevel="0" collapsed="false">
      <c r="A5061" s="571"/>
      <c r="B5061" s="433"/>
      <c r="C5061" s="872" t="s">
        <v>4347</v>
      </c>
      <c r="D5061" s="868" t="s">
        <v>4348</v>
      </c>
      <c r="E5061" s="869" t="n">
        <v>1</v>
      </c>
      <c r="F5061" s="871" t="n">
        <v>130</v>
      </c>
      <c r="G5061" s="615" t="n">
        <f aca="false">F5061*E5061</f>
        <v>130</v>
      </c>
      <c r="H5061" s="856"/>
    </row>
    <row r="5062" customFormat="false" ht="15" hidden="false" customHeight="false" outlineLevel="0" collapsed="false">
      <c r="A5062" s="571"/>
      <c r="B5062" s="433"/>
      <c r="C5062" s="532" t="s">
        <v>5239</v>
      </c>
      <c r="D5062" s="679" t="s">
        <v>4141</v>
      </c>
      <c r="E5062" s="866" t="n">
        <v>0.003</v>
      </c>
      <c r="F5062" s="681" t="n">
        <v>23500</v>
      </c>
      <c r="G5062" s="615" t="n">
        <f aca="false">F5062*E5062</f>
        <v>70.5</v>
      </c>
      <c r="H5062" s="856"/>
    </row>
    <row r="5063" customFormat="false" ht="15" hidden="false" customHeight="false" outlineLevel="0" collapsed="false">
      <c r="A5063" s="571"/>
      <c r="B5063" s="433"/>
      <c r="C5063" s="855" t="s">
        <v>4509</v>
      </c>
      <c r="D5063" s="316" t="s">
        <v>4348</v>
      </c>
      <c r="E5063" s="855" t="n">
        <v>1</v>
      </c>
      <c r="F5063" s="857" t="n">
        <v>26</v>
      </c>
      <c r="G5063" s="615" t="n">
        <f aca="false">F5063*E5063</f>
        <v>26</v>
      </c>
      <c r="H5063" s="856"/>
    </row>
    <row r="5064" customFormat="false" ht="30" hidden="false" customHeight="false" outlineLevel="0" collapsed="false">
      <c r="A5064" s="571" t="s">
        <v>1037</v>
      </c>
      <c r="B5064" s="488" t="s">
        <v>3311</v>
      </c>
      <c r="C5064" s="41"/>
      <c r="D5064" s="874"/>
      <c r="E5064" s="41"/>
      <c r="F5064" s="875"/>
      <c r="G5064" s="826" t="n">
        <f aca="false">SUM(G5065:G5079)</f>
        <v>8907.17</v>
      </c>
      <c r="H5064" s="856" t="s">
        <v>5262</v>
      </c>
    </row>
    <row r="5065" customFormat="false" ht="15" hidden="false" customHeight="false" outlineLevel="0" collapsed="false">
      <c r="A5065" s="571"/>
      <c r="B5065" s="433"/>
      <c r="C5065" s="21" t="s">
        <v>4317</v>
      </c>
      <c r="D5065" s="877" t="s">
        <v>4359</v>
      </c>
      <c r="E5065" s="860" t="n">
        <v>0.1</v>
      </c>
      <c r="F5065" s="115" t="n">
        <v>21000</v>
      </c>
      <c r="G5065" s="716" t="n">
        <f aca="false">F5065*E5065</f>
        <v>2100</v>
      </c>
      <c r="H5065" s="880"/>
    </row>
    <row r="5066" customFormat="false" ht="15" hidden="false" customHeight="false" outlineLevel="0" collapsed="false">
      <c r="A5066" s="571"/>
      <c r="B5066" s="433"/>
      <c r="C5066" s="21" t="s">
        <v>4250</v>
      </c>
      <c r="D5066" s="316" t="s">
        <v>4359</v>
      </c>
      <c r="E5066" s="860" t="n">
        <v>0.1</v>
      </c>
      <c r="F5066" s="115" t="n">
        <v>42000</v>
      </c>
      <c r="G5066" s="716" t="n">
        <f aca="false">F5066*E5066</f>
        <v>4200</v>
      </c>
      <c r="H5066" s="880"/>
    </row>
    <row r="5067" customFormat="false" ht="15" hidden="false" customHeight="false" outlineLevel="0" collapsed="false">
      <c r="A5067" s="571"/>
      <c r="B5067" s="433"/>
      <c r="C5067" s="860" t="s">
        <v>5228</v>
      </c>
      <c r="D5067" s="877" t="s">
        <v>4133</v>
      </c>
      <c r="E5067" s="860" t="n">
        <v>0.002</v>
      </c>
      <c r="F5067" s="115" t="n">
        <v>19000</v>
      </c>
      <c r="G5067" s="716" t="n">
        <f aca="false">F5067*E5067</f>
        <v>38</v>
      </c>
      <c r="H5067" s="880"/>
    </row>
    <row r="5068" customFormat="false" ht="15" hidden="false" customHeight="false" outlineLevel="0" collapsed="false">
      <c r="A5068" s="571"/>
      <c r="B5068" s="433"/>
      <c r="C5068" s="860" t="s">
        <v>4158</v>
      </c>
      <c r="D5068" s="877" t="s">
        <v>4133</v>
      </c>
      <c r="E5068" s="860" t="n">
        <v>0.003</v>
      </c>
      <c r="F5068" s="115" t="n">
        <v>6400</v>
      </c>
      <c r="G5068" s="716" t="n">
        <f aca="false">F5068*E5068</f>
        <v>19.2</v>
      </c>
      <c r="H5068" s="880"/>
    </row>
    <row r="5069" customFormat="false" ht="15" hidden="false" customHeight="false" outlineLevel="0" collapsed="false">
      <c r="A5069" s="571"/>
      <c r="B5069" s="433"/>
      <c r="C5069" s="860" t="s">
        <v>5091</v>
      </c>
      <c r="D5069" s="877" t="s">
        <v>4359</v>
      </c>
      <c r="E5069" s="860" t="n">
        <v>0.01</v>
      </c>
      <c r="F5069" s="115" t="n">
        <v>18000</v>
      </c>
      <c r="G5069" s="716" t="n">
        <f aca="false">F5069*E5069</f>
        <v>180</v>
      </c>
      <c r="H5069" s="880"/>
    </row>
    <row r="5070" customFormat="false" ht="15" hidden="false" customHeight="false" outlineLevel="0" collapsed="false">
      <c r="A5070" s="571"/>
      <c r="B5070" s="433"/>
      <c r="C5070" s="860" t="s">
        <v>5263</v>
      </c>
      <c r="D5070" s="877" t="s">
        <v>4133</v>
      </c>
      <c r="E5070" s="860" t="n">
        <v>0.0001</v>
      </c>
      <c r="F5070" s="115" t="n">
        <v>40000</v>
      </c>
      <c r="G5070" s="716" t="n">
        <f aca="false">F5070*E5070</f>
        <v>4</v>
      </c>
      <c r="H5070" s="880"/>
    </row>
    <row r="5071" customFormat="false" ht="15" hidden="false" customHeight="false" outlineLevel="0" collapsed="false">
      <c r="A5071" s="571"/>
      <c r="B5071" s="433"/>
      <c r="C5071" s="532" t="s">
        <v>5240</v>
      </c>
      <c r="D5071" s="679" t="s">
        <v>4578</v>
      </c>
      <c r="E5071" s="866" t="n">
        <v>0.002</v>
      </c>
      <c r="F5071" s="617" t="n">
        <v>225000</v>
      </c>
      <c r="G5071" s="716" t="n">
        <f aca="false">F5071*E5071</f>
        <v>450</v>
      </c>
      <c r="H5071" s="880"/>
    </row>
    <row r="5072" customFormat="false" ht="15" hidden="false" customHeight="false" outlineLevel="0" collapsed="false">
      <c r="A5072" s="571"/>
      <c r="B5072" s="433"/>
      <c r="C5072" s="867" t="s">
        <v>4497</v>
      </c>
      <c r="D5072" s="868" t="s">
        <v>4348</v>
      </c>
      <c r="E5072" s="869" t="n">
        <v>0.003</v>
      </c>
      <c r="F5072" s="604" t="n">
        <v>550000</v>
      </c>
      <c r="G5072" s="716" t="n">
        <f aca="false">F5072*E5072</f>
        <v>1650</v>
      </c>
      <c r="H5072" s="880"/>
    </row>
    <row r="5073" customFormat="false" ht="15" hidden="false" customHeight="false" outlineLevel="0" collapsed="false">
      <c r="A5073" s="571"/>
      <c r="B5073" s="433"/>
      <c r="C5073" s="867" t="s">
        <v>4122</v>
      </c>
      <c r="D5073" s="868" t="s">
        <v>4123</v>
      </c>
      <c r="E5073" s="869" t="n">
        <v>0.01</v>
      </c>
      <c r="F5073" s="607" t="n">
        <v>720</v>
      </c>
      <c r="G5073" s="716" t="n">
        <f aca="false">F5073*E5073</f>
        <v>7.2</v>
      </c>
      <c r="H5073" s="880"/>
    </row>
    <row r="5074" customFormat="false" ht="15" hidden="false" customHeight="false" outlineLevel="0" collapsed="false">
      <c r="A5074" s="571"/>
      <c r="B5074" s="433"/>
      <c r="C5074" s="860" t="s">
        <v>5241</v>
      </c>
      <c r="D5074" s="868" t="s">
        <v>4121</v>
      </c>
      <c r="E5074" s="869" t="n">
        <v>0.01</v>
      </c>
      <c r="F5074" s="604" t="n">
        <v>1500</v>
      </c>
      <c r="G5074" s="716" t="n">
        <f aca="false">F5074*E5074</f>
        <v>15</v>
      </c>
      <c r="H5074" s="880"/>
    </row>
    <row r="5075" customFormat="false" ht="15" hidden="false" customHeight="false" outlineLevel="0" collapsed="false">
      <c r="A5075" s="571"/>
      <c r="B5075" s="433"/>
      <c r="C5075" s="872" t="s">
        <v>4124</v>
      </c>
      <c r="D5075" s="868" t="s">
        <v>4125</v>
      </c>
      <c r="E5075" s="869" t="n">
        <v>0.1</v>
      </c>
      <c r="F5075" s="607" t="n">
        <v>170</v>
      </c>
      <c r="G5075" s="716" t="n">
        <f aca="false">F5075*E5075</f>
        <v>17</v>
      </c>
      <c r="H5075" s="880"/>
    </row>
    <row r="5076" customFormat="false" ht="16.5" hidden="false" customHeight="true" outlineLevel="0" collapsed="false">
      <c r="A5076" s="571"/>
      <c r="B5076" s="433"/>
      <c r="C5076" s="872" t="s">
        <v>4347</v>
      </c>
      <c r="D5076" s="868" t="s">
        <v>4348</v>
      </c>
      <c r="E5076" s="869" t="n">
        <v>1</v>
      </c>
      <c r="F5076" s="607" t="n">
        <v>130</v>
      </c>
      <c r="G5076" s="716" t="n">
        <f aca="false">F5076*E5076</f>
        <v>130</v>
      </c>
      <c r="H5076" s="880"/>
    </row>
    <row r="5077" customFormat="false" ht="15" hidden="false" customHeight="false" outlineLevel="0" collapsed="false">
      <c r="A5077" s="571"/>
      <c r="B5077" s="433"/>
      <c r="C5077" s="532" t="s">
        <v>5239</v>
      </c>
      <c r="D5077" s="679" t="s">
        <v>4141</v>
      </c>
      <c r="E5077" s="866" t="n">
        <v>0.003</v>
      </c>
      <c r="F5077" s="617" t="n">
        <v>23500</v>
      </c>
      <c r="G5077" s="716" t="n">
        <f aca="false">F5077*E5077</f>
        <v>70.5</v>
      </c>
      <c r="H5077" s="880"/>
    </row>
    <row r="5078" customFormat="false" ht="15" hidden="false" customHeight="false" outlineLevel="0" collapsed="false">
      <c r="A5078" s="571"/>
      <c r="B5078" s="433"/>
      <c r="C5078" s="860" t="s">
        <v>4509</v>
      </c>
      <c r="D5078" s="877" t="s">
        <v>4348</v>
      </c>
      <c r="E5078" s="860" t="n">
        <v>1</v>
      </c>
      <c r="F5078" s="115" t="n">
        <v>26</v>
      </c>
      <c r="G5078" s="716" t="n">
        <f aca="false">F5078*E5078</f>
        <v>26</v>
      </c>
      <c r="H5078" s="880"/>
    </row>
    <row r="5079" customFormat="false" ht="15" hidden="false" customHeight="false" outlineLevel="0" collapsed="false">
      <c r="A5079" s="571"/>
      <c r="B5079" s="433"/>
      <c r="C5079" s="860" t="s">
        <v>4515</v>
      </c>
      <c r="D5079" s="877" t="s">
        <v>4133</v>
      </c>
      <c r="E5079" s="860" t="n">
        <v>0.0001</v>
      </c>
      <c r="F5079" s="115" t="n">
        <v>2700</v>
      </c>
      <c r="G5079" s="716" t="n">
        <f aca="false">F5079*E5079</f>
        <v>0.27</v>
      </c>
      <c r="H5079" s="880"/>
    </row>
    <row r="5080" customFormat="false" ht="15" hidden="false" customHeight="false" outlineLevel="0" collapsed="false">
      <c r="A5080" s="571" t="s">
        <v>1039</v>
      </c>
      <c r="B5080" s="433" t="s">
        <v>3312</v>
      </c>
      <c r="C5080" s="41"/>
      <c r="D5080" s="874"/>
      <c r="E5080" s="41"/>
      <c r="F5080" s="875"/>
      <c r="G5080" s="826" t="n">
        <f aca="false">SUM(G5081:G5094)</f>
        <v>10328.8305</v>
      </c>
      <c r="H5080" s="433" t="s">
        <v>5264</v>
      </c>
    </row>
    <row r="5081" customFormat="false" ht="15" hidden="false" customHeight="false" outlineLevel="0" collapsed="false">
      <c r="A5081" s="571"/>
      <c r="B5081" s="433"/>
      <c r="C5081" s="41" t="s">
        <v>4604</v>
      </c>
      <c r="D5081" s="316" t="s">
        <v>4359</v>
      </c>
      <c r="E5081" s="855" t="n">
        <v>0.07</v>
      </c>
      <c r="F5081" s="115" t="n">
        <v>18000</v>
      </c>
      <c r="G5081" s="615" t="n">
        <f aca="false">F5081*E5081</f>
        <v>1260</v>
      </c>
      <c r="H5081" s="433"/>
    </row>
    <row r="5082" customFormat="false" ht="15" hidden="false" customHeight="false" outlineLevel="0" collapsed="false">
      <c r="A5082" s="571"/>
      <c r="B5082" s="433"/>
      <c r="C5082" s="21" t="s">
        <v>4317</v>
      </c>
      <c r="D5082" s="316" t="s">
        <v>4359</v>
      </c>
      <c r="E5082" s="855" t="n">
        <v>0.2</v>
      </c>
      <c r="F5082" s="115" t="n">
        <v>21000</v>
      </c>
      <c r="G5082" s="615" t="n">
        <f aca="false">F5082*E5082</f>
        <v>4200</v>
      </c>
      <c r="H5082" s="433"/>
    </row>
    <row r="5083" customFormat="false" ht="15" hidden="false" customHeight="false" outlineLevel="0" collapsed="false">
      <c r="A5083" s="571"/>
      <c r="B5083" s="433"/>
      <c r="C5083" s="41" t="s">
        <v>4205</v>
      </c>
      <c r="D5083" s="316" t="s">
        <v>4359</v>
      </c>
      <c r="E5083" s="855" t="n">
        <v>0.15</v>
      </c>
      <c r="F5083" s="115" t="n">
        <v>14000</v>
      </c>
      <c r="G5083" s="615" t="n">
        <f aca="false">F5083*E5083</f>
        <v>2100</v>
      </c>
      <c r="H5083" s="433"/>
    </row>
    <row r="5084" customFormat="false" ht="15" hidden="false" customHeight="false" outlineLevel="0" collapsed="false">
      <c r="A5084" s="571"/>
      <c r="B5084" s="433"/>
      <c r="C5084" s="855" t="s">
        <v>5228</v>
      </c>
      <c r="D5084" s="316" t="s">
        <v>4133</v>
      </c>
      <c r="E5084" s="855" t="n">
        <v>0.01</v>
      </c>
      <c r="F5084" s="115" t="n">
        <v>19000</v>
      </c>
      <c r="G5084" s="615" t="n">
        <f aca="false">F5084*E5084</f>
        <v>190</v>
      </c>
      <c r="H5084" s="433"/>
    </row>
    <row r="5085" customFormat="false" ht="15" hidden="false" customHeight="false" outlineLevel="0" collapsed="false">
      <c r="A5085" s="571"/>
      <c r="B5085" s="433"/>
      <c r="C5085" s="855" t="s">
        <v>4673</v>
      </c>
      <c r="D5085" s="316" t="s">
        <v>4133</v>
      </c>
      <c r="E5085" s="855" t="n">
        <v>0.002</v>
      </c>
      <c r="F5085" s="115" t="n">
        <v>106777</v>
      </c>
      <c r="G5085" s="615" t="n">
        <f aca="false">F5085*E5085</f>
        <v>213.554</v>
      </c>
      <c r="H5085" s="433"/>
    </row>
    <row r="5086" customFormat="false" ht="30" hidden="false" customHeight="false" outlineLevel="0" collapsed="false">
      <c r="A5086" s="571"/>
      <c r="B5086" s="433"/>
      <c r="C5086" s="855" t="s">
        <v>5265</v>
      </c>
      <c r="D5086" s="316" t="s">
        <v>4133</v>
      </c>
      <c r="E5086" s="855" t="n">
        <v>0.0001</v>
      </c>
      <c r="F5086" s="857" t="n">
        <v>130765</v>
      </c>
      <c r="G5086" s="615" t="n">
        <f aca="false">F5086*E5086</f>
        <v>13.0765</v>
      </c>
      <c r="H5086" s="433"/>
    </row>
    <row r="5087" customFormat="false" ht="15" hidden="false" customHeight="false" outlineLevel="0" collapsed="false">
      <c r="A5087" s="571"/>
      <c r="B5087" s="433"/>
      <c r="C5087" s="532" t="s">
        <v>5240</v>
      </c>
      <c r="D5087" s="679" t="s">
        <v>4578</v>
      </c>
      <c r="E5087" s="866" t="n">
        <v>0.002</v>
      </c>
      <c r="F5087" s="681" t="n">
        <v>225000</v>
      </c>
      <c r="G5087" s="615" t="n">
        <f aca="false">F5087*E5087</f>
        <v>450</v>
      </c>
      <c r="H5087" s="433"/>
    </row>
    <row r="5088" customFormat="false" ht="15" hidden="false" customHeight="false" outlineLevel="0" collapsed="false">
      <c r="A5088" s="571"/>
      <c r="B5088" s="433"/>
      <c r="C5088" s="867" t="s">
        <v>4497</v>
      </c>
      <c r="D5088" s="868" t="s">
        <v>4348</v>
      </c>
      <c r="E5088" s="869" t="n">
        <v>0.003</v>
      </c>
      <c r="F5088" s="870" t="n">
        <v>550000</v>
      </c>
      <c r="G5088" s="615" t="n">
        <f aca="false">F5088*E5088</f>
        <v>1650</v>
      </c>
      <c r="H5088" s="433"/>
    </row>
    <row r="5089" customFormat="false" ht="15" hidden="false" customHeight="false" outlineLevel="0" collapsed="false">
      <c r="A5089" s="571"/>
      <c r="B5089" s="433"/>
      <c r="C5089" s="867" t="s">
        <v>4122</v>
      </c>
      <c r="D5089" s="868" t="s">
        <v>4123</v>
      </c>
      <c r="E5089" s="869" t="n">
        <v>0.01</v>
      </c>
      <c r="F5089" s="871" t="n">
        <v>720</v>
      </c>
      <c r="G5089" s="615" t="n">
        <f aca="false">F5089*E5089</f>
        <v>7.2</v>
      </c>
      <c r="H5089" s="433"/>
    </row>
    <row r="5090" customFormat="false" ht="15" hidden="false" customHeight="false" outlineLevel="0" collapsed="false">
      <c r="A5090" s="571"/>
      <c r="B5090" s="433"/>
      <c r="C5090" s="855" t="s">
        <v>5241</v>
      </c>
      <c r="D5090" s="868" t="s">
        <v>4121</v>
      </c>
      <c r="E5090" s="869" t="n">
        <v>0.001</v>
      </c>
      <c r="F5090" s="870" t="n">
        <v>1500</v>
      </c>
      <c r="G5090" s="615" t="n">
        <f aca="false">F5090*E5090</f>
        <v>1.5</v>
      </c>
      <c r="H5090" s="433"/>
    </row>
    <row r="5091" customFormat="false" ht="15" hidden="false" customHeight="false" outlineLevel="0" collapsed="false">
      <c r="A5091" s="571"/>
      <c r="B5091" s="433"/>
      <c r="C5091" s="872" t="s">
        <v>4124</v>
      </c>
      <c r="D5091" s="868" t="s">
        <v>4125</v>
      </c>
      <c r="E5091" s="869" t="n">
        <v>0.1</v>
      </c>
      <c r="F5091" s="871" t="n">
        <v>170</v>
      </c>
      <c r="G5091" s="615" t="n">
        <f aca="false">F5091*E5091</f>
        <v>17</v>
      </c>
      <c r="H5091" s="433"/>
    </row>
    <row r="5092" customFormat="false" ht="15" hidden="false" customHeight="false" outlineLevel="0" collapsed="false">
      <c r="A5092" s="571"/>
      <c r="B5092" s="433"/>
      <c r="C5092" s="532" t="s">
        <v>5239</v>
      </c>
      <c r="D5092" s="679" t="s">
        <v>4141</v>
      </c>
      <c r="E5092" s="866" t="n">
        <v>0.003</v>
      </c>
      <c r="F5092" s="681" t="n">
        <v>23500</v>
      </c>
      <c r="G5092" s="615" t="n">
        <f aca="false">F5092*E5092</f>
        <v>70.5</v>
      </c>
      <c r="H5092" s="433"/>
    </row>
    <row r="5093" customFormat="false" ht="15" hidden="false" customHeight="false" outlineLevel="0" collapsed="false">
      <c r="A5093" s="571"/>
      <c r="B5093" s="433"/>
      <c r="C5093" s="872" t="s">
        <v>4347</v>
      </c>
      <c r="D5093" s="868" t="s">
        <v>4348</v>
      </c>
      <c r="E5093" s="869" t="n">
        <v>1</v>
      </c>
      <c r="F5093" s="871" t="n">
        <v>130</v>
      </c>
      <c r="G5093" s="615" t="n">
        <f aca="false">F5093*E5093</f>
        <v>130</v>
      </c>
      <c r="H5093" s="433"/>
    </row>
    <row r="5094" customFormat="false" ht="12" hidden="false" customHeight="true" outlineLevel="0" collapsed="false">
      <c r="A5094" s="571"/>
      <c r="B5094" s="433"/>
      <c r="C5094" s="855" t="s">
        <v>4509</v>
      </c>
      <c r="D5094" s="316" t="s">
        <v>4348</v>
      </c>
      <c r="E5094" s="855" t="n">
        <v>1</v>
      </c>
      <c r="F5094" s="857" t="n">
        <v>26</v>
      </c>
      <c r="G5094" s="615" t="n">
        <f aca="false">F5094*E5094</f>
        <v>26</v>
      </c>
      <c r="H5094" s="433"/>
    </row>
    <row r="5095" customFormat="false" ht="30" hidden="false" customHeight="false" outlineLevel="0" collapsed="false">
      <c r="A5095" s="571" t="s">
        <v>1041</v>
      </c>
      <c r="B5095" s="488" t="s">
        <v>3313</v>
      </c>
      <c r="C5095" s="855"/>
      <c r="D5095" s="316"/>
      <c r="E5095" s="855"/>
      <c r="F5095" s="115"/>
      <c r="G5095" s="613" t="n">
        <f aca="false">SUM(G5096:G5114)</f>
        <v>9901.99</v>
      </c>
      <c r="H5095" s="433" t="s">
        <v>5266</v>
      </c>
    </row>
    <row r="5096" customFormat="false" ht="15" hidden="false" customHeight="false" outlineLevel="0" collapsed="false">
      <c r="A5096" s="571"/>
      <c r="B5096" s="433"/>
      <c r="C5096" s="21" t="s">
        <v>4604</v>
      </c>
      <c r="D5096" s="316" t="s">
        <v>4359</v>
      </c>
      <c r="E5096" s="860" t="n">
        <v>0.05</v>
      </c>
      <c r="F5096" s="115" t="n">
        <v>18000</v>
      </c>
      <c r="G5096" s="716" t="n">
        <f aca="false">F5096*E5096</f>
        <v>900</v>
      </c>
      <c r="H5096" s="433"/>
    </row>
    <row r="5097" customFormat="false" ht="15" hidden="false" customHeight="false" outlineLevel="0" collapsed="false">
      <c r="A5097" s="571"/>
      <c r="B5097" s="433"/>
      <c r="C5097" s="878" t="s">
        <v>5260</v>
      </c>
      <c r="D5097" s="877" t="s">
        <v>4133</v>
      </c>
      <c r="E5097" s="860" t="n">
        <v>0.00228</v>
      </c>
      <c r="F5097" s="115" t="n">
        <v>24000</v>
      </c>
      <c r="G5097" s="716" t="n">
        <f aca="false">F5097*E5097</f>
        <v>54.72</v>
      </c>
      <c r="H5097" s="433"/>
    </row>
    <row r="5098" customFormat="false" ht="15" hidden="false" customHeight="false" outlineLevel="0" collapsed="false">
      <c r="A5098" s="571"/>
      <c r="B5098" s="433"/>
      <c r="C5098" s="881" t="s">
        <v>4266</v>
      </c>
      <c r="D5098" s="882" t="s">
        <v>4133</v>
      </c>
      <c r="E5098" s="614" t="n">
        <v>0.001</v>
      </c>
      <c r="F5098" s="883" t="n">
        <v>24000</v>
      </c>
      <c r="G5098" s="716" t="n">
        <f aca="false">F5098*E5098</f>
        <v>24</v>
      </c>
      <c r="H5098" s="433"/>
    </row>
    <row r="5099" customFormat="false" ht="30" hidden="false" customHeight="false" outlineLevel="0" collapsed="false">
      <c r="A5099" s="571"/>
      <c r="B5099" s="433"/>
      <c r="C5099" s="532" t="s">
        <v>5238</v>
      </c>
      <c r="D5099" s="679" t="s">
        <v>4141</v>
      </c>
      <c r="E5099" s="865" t="n">
        <v>0.01</v>
      </c>
      <c r="F5099" s="617" t="n">
        <v>1400</v>
      </c>
      <c r="G5099" s="716" t="n">
        <f aca="false">F5099*E5099</f>
        <v>14</v>
      </c>
      <c r="H5099" s="433"/>
    </row>
    <row r="5100" customFormat="false" ht="15" hidden="false" customHeight="false" outlineLevel="0" collapsed="false">
      <c r="A5100" s="571"/>
      <c r="B5100" s="433"/>
      <c r="C5100" s="21" t="s">
        <v>4317</v>
      </c>
      <c r="D5100" s="877" t="s">
        <v>4359</v>
      </c>
      <c r="E5100" s="860" t="n">
        <v>0.1</v>
      </c>
      <c r="F5100" s="115" t="n">
        <v>21000</v>
      </c>
      <c r="G5100" s="716" t="n">
        <f aca="false">F5100*E5100</f>
        <v>2100</v>
      </c>
      <c r="H5100" s="433"/>
    </row>
    <row r="5101" customFormat="false" ht="15" hidden="false" customHeight="false" outlineLevel="0" collapsed="false">
      <c r="A5101" s="571"/>
      <c r="B5101" s="433"/>
      <c r="C5101" s="21" t="s">
        <v>4171</v>
      </c>
      <c r="D5101" s="877" t="s">
        <v>4359</v>
      </c>
      <c r="E5101" s="860" t="n">
        <v>0.001</v>
      </c>
      <c r="F5101" s="115" t="n">
        <v>18000</v>
      </c>
      <c r="G5101" s="716" t="n">
        <f aca="false">F5101*E5101</f>
        <v>18</v>
      </c>
      <c r="H5101" s="433"/>
    </row>
    <row r="5102" customFormat="false" ht="15" hidden="false" customHeight="false" outlineLevel="0" collapsed="false">
      <c r="A5102" s="571"/>
      <c r="B5102" s="433"/>
      <c r="C5102" s="21" t="s">
        <v>4250</v>
      </c>
      <c r="D5102" s="316" t="s">
        <v>4359</v>
      </c>
      <c r="E5102" s="860" t="n">
        <v>0.1</v>
      </c>
      <c r="F5102" s="115" t="n">
        <v>42000</v>
      </c>
      <c r="G5102" s="716" t="n">
        <f aca="false">F5102*E5102</f>
        <v>4200</v>
      </c>
      <c r="H5102" s="433"/>
    </row>
    <row r="5103" customFormat="false" ht="15" hidden="false" customHeight="false" outlineLevel="0" collapsed="false">
      <c r="A5103" s="571"/>
      <c r="B5103" s="433"/>
      <c r="C5103" s="860" t="s">
        <v>5228</v>
      </c>
      <c r="D5103" s="877" t="s">
        <v>4133</v>
      </c>
      <c r="E5103" s="860" t="n">
        <v>0.01</v>
      </c>
      <c r="F5103" s="115" t="n">
        <v>19000</v>
      </c>
      <c r="G5103" s="716" t="n">
        <f aca="false">F5103*E5103</f>
        <v>190</v>
      </c>
      <c r="H5103" s="433"/>
    </row>
    <row r="5104" customFormat="false" ht="15" hidden="false" customHeight="false" outlineLevel="0" collapsed="false">
      <c r="A5104" s="571"/>
      <c r="B5104" s="433"/>
      <c r="C5104" s="860" t="s">
        <v>4158</v>
      </c>
      <c r="D5104" s="877" t="s">
        <v>4133</v>
      </c>
      <c r="E5104" s="860" t="n">
        <v>0.007</v>
      </c>
      <c r="F5104" s="115" t="n">
        <v>6400</v>
      </c>
      <c r="G5104" s="716" t="n">
        <f aca="false">F5104*E5104</f>
        <v>44.8</v>
      </c>
      <c r="H5104" s="433"/>
    </row>
    <row r="5105" customFormat="false" ht="15" hidden="false" customHeight="false" outlineLevel="0" collapsed="false">
      <c r="A5105" s="571"/>
      <c r="B5105" s="433"/>
      <c r="C5105" s="860" t="s">
        <v>5263</v>
      </c>
      <c r="D5105" s="877" t="s">
        <v>4133</v>
      </c>
      <c r="E5105" s="860" t="n">
        <v>0.0001</v>
      </c>
      <c r="F5105" s="115" t="n">
        <v>40000</v>
      </c>
      <c r="G5105" s="716" t="n">
        <f aca="false">F5105*E5105</f>
        <v>4</v>
      </c>
      <c r="H5105" s="433"/>
    </row>
    <row r="5106" customFormat="false" ht="15" hidden="false" customHeight="false" outlineLevel="0" collapsed="false">
      <c r="A5106" s="571"/>
      <c r="B5106" s="433"/>
      <c r="C5106" s="532" t="s">
        <v>5240</v>
      </c>
      <c r="D5106" s="679" t="s">
        <v>4578</v>
      </c>
      <c r="E5106" s="866" t="n">
        <v>0.002</v>
      </c>
      <c r="F5106" s="617" t="n">
        <v>225000</v>
      </c>
      <c r="G5106" s="716" t="n">
        <f aca="false">F5106*E5106</f>
        <v>450</v>
      </c>
      <c r="H5106" s="433"/>
    </row>
    <row r="5107" customFormat="false" ht="15" hidden="false" customHeight="true" outlineLevel="0" collapsed="false">
      <c r="A5107" s="571"/>
      <c r="B5107" s="433"/>
      <c r="C5107" s="867" t="s">
        <v>4497</v>
      </c>
      <c r="D5107" s="868" t="s">
        <v>4348</v>
      </c>
      <c r="E5107" s="869" t="n">
        <v>0.003</v>
      </c>
      <c r="F5107" s="604" t="n">
        <v>550000</v>
      </c>
      <c r="G5107" s="716" t="n">
        <f aca="false">F5107*E5107</f>
        <v>1650</v>
      </c>
      <c r="H5107" s="433"/>
    </row>
    <row r="5108" customFormat="false" ht="15" hidden="false" customHeight="false" outlineLevel="0" collapsed="false">
      <c r="A5108" s="571"/>
      <c r="B5108" s="433"/>
      <c r="C5108" s="867" t="s">
        <v>4122</v>
      </c>
      <c r="D5108" s="868" t="s">
        <v>4123</v>
      </c>
      <c r="E5108" s="869" t="n">
        <v>0.01</v>
      </c>
      <c r="F5108" s="607" t="n">
        <v>720</v>
      </c>
      <c r="G5108" s="716" t="n">
        <f aca="false">F5108*E5108</f>
        <v>7.2</v>
      </c>
      <c r="H5108" s="433"/>
    </row>
    <row r="5109" customFormat="false" ht="15" hidden="false" customHeight="false" outlineLevel="0" collapsed="false">
      <c r="A5109" s="571"/>
      <c r="B5109" s="433"/>
      <c r="C5109" s="860" t="s">
        <v>5241</v>
      </c>
      <c r="D5109" s="868" t="s">
        <v>4121</v>
      </c>
      <c r="E5109" s="869" t="n">
        <v>0.001</v>
      </c>
      <c r="F5109" s="870" t="n">
        <v>1500</v>
      </c>
      <c r="G5109" s="716" t="n">
        <f aca="false">F5109*E5109</f>
        <v>1.5</v>
      </c>
      <c r="H5109" s="433"/>
    </row>
    <row r="5110" customFormat="false" ht="15" hidden="false" customHeight="false" outlineLevel="0" collapsed="false">
      <c r="A5110" s="571"/>
      <c r="B5110" s="433"/>
      <c r="C5110" s="872" t="s">
        <v>4124</v>
      </c>
      <c r="D5110" s="868" t="s">
        <v>4125</v>
      </c>
      <c r="E5110" s="869" t="n">
        <v>0.1</v>
      </c>
      <c r="F5110" s="871" t="n">
        <v>170</v>
      </c>
      <c r="G5110" s="716" t="n">
        <f aca="false">F5110*E5110</f>
        <v>17</v>
      </c>
      <c r="H5110" s="433"/>
    </row>
    <row r="5111" customFormat="false" ht="15" hidden="false" customHeight="false" outlineLevel="0" collapsed="false">
      <c r="A5111" s="571"/>
      <c r="B5111" s="433"/>
      <c r="C5111" s="872" t="s">
        <v>4347</v>
      </c>
      <c r="D5111" s="868" t="s">
        <v>4348</v>
      </c>
      <c r="E5111" s="869" t="n">
        <v>1</v>
      </c>
      <c r="F5111" s="871" t="n">
        <v>130</v>
      </c>
      <c r="G5111" s="716" t="n">
        <f aca="false">F5111*E5111</f>
        <v>130</v>
      </c>
      <c r="H5111" s="433"/>
    </row>
    <row r="5112" customFormat="false" ht="15" hidden="false" customHeight="false" outlineLevel="0" collapsed="false">
      <c r="A5112" s="571"/>
      <c r="B5112" s="433"/>
      <c r="C5112" s="532" t="s">
        <v>5239</v>
      </c>
      <c r="D5112" s="679" t="s">
        <v>4141</v>
      </c>
      <c r="E5112" s="866" t="n">
        <v>0.003</v>
      </c>
      <c r="F5112" s="681" t="n">
        <v>23500</v>
      </c>
      <c r="G5112" s="716" t="n">
        <f aca="false">F5112*E5112</f>
        <v>70.5</v>
      </c>
      <c r="H5112" s="433"/>
    </row>
    <row r="5113" customFormat="false" ht="15" hidden="false" customHeight="false" outlineLevel="0" collapsed="false">
      <c r="A5113" s="571"/>
      <c r="B5113" s="433"/>
      <c r="C5113" s="860" t="s">
        <v>4509</v>
      </c>
      <c r="D5113" s="877" t="s">
        <v>4348</v>
      </c>
      <c r="E5113" s="860" t="n">
        <v>1</v>
      </c>
      <c r="F5113" s="857" t="n">
        <v>26</v>
      </c>
      <c r="G5113" s="716" t="n">
        <f aca="false">F5113*E5113</f>
        <v>26</v>
      </c>
      <c r="H5113" s="433"/>
    </row>
    <row r="5114" customFormat="false" ht="15" hidden="false" customHeight="false" outlineLevel="0" collapsed="false">
      <c r="A5114" s="571"/>
      <c r="B5114" s="433"/>
      <c r="C5114" s="860" t="s">
        <v>4515</v>
      </c>
      <c r="D5114" s="877" t="s">
        <v>4133</v>
      </c>
      <c r="E5114" s="860" t="n">
        <v>0.0001</v>
      </c>
      <c r="F5114" s="857" t="n">
        <v>2700</v>
      </c>
      <c r="G5114" s="716" t="n">
        <f aca="false">F5114*E5114</f>
        <v>0.27</v>
      </c>
      <c r="H5114" s="433"/>
    </row>
    <row r="5115" customFormat="false" ht="45" hidden="false" customHeight="false" outlineLevel="0" collapsed="false">
      <c r="A5115" s="571" t="s">
        <v>1043</v>
      </c>
      <c r="B5115" s="488" t="s">
        <v>3314</v>
      </c>
      <c r="C5115" s="41"/>
      <c r="D5115" s="874"/>
      <c r="E5115" s="41"/>
      <c r="F5115" s="875"/>
      <c r="G5115" s="826" t="n">
        <f aca="false">SUM(G5116:G5127)</f>
        <v>8162.3</v>
      </c>
      <c r="H5115" s="433" t="s">
        <v>5267</v>
      </c>
    </row>
    <row r="5116" customFormat="false" ht="15" hidden="false" customHeight="false" outlineLevel="0" collapsed="false">
      <c r="A5116" s="571"/>
      <c r="B5116" s="433"/>
      <c r="C5116" s="860" t="s">
        <v>4250</v>
      </c>
      <c r="D5116" s="316" t="s">
        <v>4359</v>
      </c>
      <c r="E5116" s="855" t="n">
        <v>0.134</v>
      </c>
      <c r="F5116" s="115" t="n">
        <v>42000</v>
      </c>
      <c r="G5116" s="615" t="n">
        <f aca="false">F5116*E5116</f>
        <v>5628</v>
      </c>
      <c r="H5116" s="433"/>
    </row>
    <row r="5117" customFormat="false" ht="15" hidden="false" customHeight="false" outlineLevel="0" collapsed="false">
      <c r="A5117" s="571"/>
      <c r="B5117" s="433"/>
      <c r="C5117" s="855" t="s">
        <v>5252</v>
      </c>
      <c r="D5117" s="316" t="s">
        <v>4133</v>
      </c>
      <c r="E5117" s="855" t="n">
        <v>0.01</v>
      </c>
      <c r="F5117" s="115" t="n">
        <v>19000</v>
      </c>
      <c r="G5117" s="615" t="n">
        <f aca="false">F5117*E5117</f>
        <v>190</v>
      </c>
      <c r="H5117" s="433"/>
    </row>
    <row r="5118" customFormat="false" ht="30" hidden="false" customHeight="false" outlineLevel="0" collapsed="false">
      <c r="A5118" s="571"/>
      <c r="B5118" s="433"/>
      <c r="C5118" s="855" t="s">
        <v>5268</v>
      </c>
      <c r="D5118" s="316" t="s">
        <v>4133</v>
      </c>
      <c r="E5118" s="855" t="n">
        <v>0.0001</v>
      </c>
      <c r="F5118" s="115" t="n">
        <v>60000</v>
      </c>
      <c r="G5118" s="615" t="n">
        <f aca="false">F5118*E5118</f>
        <v>6</v>
      </c>
      <c r="H5118" s="433"/>
    </row>
    <row r="5119" customFormat="false" ht="30" hidden="false" customHeight="false" outlineLevel="0" collapsed="false">
      <c r="A5119" s="571"/>
      <c r="B5119" s="433"/>
      <c r="C5119" s="532" t="s">
        <v>5238</v>
      </c>
      <c r="D5119" s="679" t="s">
        <v>4141</v>
      </c>
      <c r="E5119" s="866" t="n">
        <v>0.001</v>
      </c>
      <c r="F5119" s="617" t="n">
        <v>1400</v>
      </c>
      <c r="G5119" s="615" t="n">
        <f aca="false">F5119*E5119</f>
        <v>1.4</v>
      </c>
      <c r="H5119" s="433"/>
    </row>
    <row r="5120" customFormat="false" ht="15" hidden="false" customHeight="false" outlineLevel="0" collapsed="false">
      <c r="A5120" s="571"/>
      <c r="B5120" s="433"/>
      <c r="C5120" s="855" t="s">
        <v>5241</v>
      </c>
      <c r="D5120" s="679" t="s">
        <v>4121</v>
      </c>
      <c r="E5120" s="709" t="n">
        <v>0.001</v>
      </c>
      <c r="F5120" s="617" t="n">
        <v>1500</v>
      </c>
      <c r="G5120" s="615" t="n">
        <f aca="false">F5120*E5120</f>
        <v>1.5</v>
      </c>
      <c r="H5120" s="433"/>
    </row>
    <row r="5121" customFormat="false" ht="15" hidden="false" customHeight="false" outlineLevel="0" collapsed="false">
      <c r="A5121" s="571"/>
      <c r="B5121" s="433"/>
      <c r="C5121" s="855" t="s">
        <v>5240</v>
      </c>
      <c r="D5121" s="316" t="s">
        <v>4578</v>
      </c>
      <c r="E5121" s="855" t="n">
        <v>0.002</v>
      </c>
      <c r="F5121" s="115" t="n">
        <v>225000</v>
      </c>
      <c r="G5121" s="615" t="n">
        <f aca="false">F5121*E5121</f>
        <v>450</v>
      </c>
      <c r="H5121" s="433"/>
    </row>
    <row r="5122" customFormat="false" ht="15" hidden="false" customHeight="false" outlineLevel="0" collapsed="false">
      <c r="A5122" s="571"/>
      <c r="B5122" s="433"/>
      <c r="C5122" s="867" t="s">
        <v>4497</v>
      </c>
      <c r="D5122" s="868" t="s">
        <v>4348</v>
      </c>
      <c r="E5122" s="869" t="n">
        <v>0.003</v>
      </c>
      <c r="F5122" s="604" t="n">
        <v>550000</v>
      </c>
      <c r="G5122" s="615" t="n">
        <f aca="false">F5122*E5122</f>
        <v>1650</v>
      </c>
      <c r="H5122" s="433"/>
    </row>
    <row r="5123" customFormat="false" ht="15" hidden="false" customHeight="false" outlineLevel="0" collapsed="false">
      <c r="A5123" s="571"/>
      <c r="B5123" s="433"/>
      <c r="C5123" s="532" t="s">
        <v>5239</v>
      </c>
      <c r="D5123" s="679" t="s">
        <v>4141</v>
      </c>
      <c r="E5123" s="866" t="n">
        <v>0.003</v>
      </c>
      <c r="F5123" s="617" t="n">
        <v>23500</v>
      </c>
      <c r="G5123" s="615" t="n">
        <f aca="false">F5123*E5123</f>
        <v>70.5</v>
      </c>
      <c r="H5123" s="433"/>
    </row>
    <row r="5124" customFormat="false" ht="15" hidden="false" customHeight="false" outlineLevel="0" collapsed="false">
      <c r="A5124" s="571"/>
      <c r="B5124" s="433"/>
      <c r="C5124" s="884" t="s">
        <v>4122</v>
      </c>
      <c r="D5124" s="679" t="s">
        <v>4123</v>
      </c>
      <c r="E5124" s="709" t="n">
        <v>0.01</v>
      </c>
      <c r="F5124" s="607" t="n">
        <v>720</v>
      </c>
      <c r="G5124" s="615" t="n">
        <f aca="false">F5124*E5124</f>
        <v>7.2</v>
      </c>
      <c r="H5124" s="433"/>
    </row>
    <row r="5125" customFormat="false" ht="15" hidden="false" customHeight="false" outlineLevel="0" collapsed="false">
      <c r="A5125" s="571"/>
      <c r="B5125" s="433"/>
      <c r="C5125" s="885" t="s">
        <v>4124</v>
      </c>
      <c r="D5125" s="679" t="s">
        <v>4125</v>
      </c>
      <c r="E5125" s="709" t="n">
        <v>0.01</v>
      </c>
      <c r="F5125" s="883" t="n">
        <v>170</v>
      </c>
      <c r="G5125" s="615" t="n">
        <f aca="false">F5125*E5125</f>
        <v>1.7</v>
      </c>
      <c r="H5125" s="433"/>
    </row>
    <row r="5126" customFormat="false" ht="15" hidden="false" customHeight="false" outlineLevel="0" collapsed="false">
      <c r="A5126" s="571"/>
      <c r="B5126" s="433"/>
      <c r="C5126" s="885" t="s">
        <v>4347</v>
      </c>
      <c r="D5126" s="679" t="s">
        <v>4348</v>
      </c>
      <c r="E5126" s="709" t="n">
        <v>1</v>
      </c>
      <c r="F5126" s="883" t="n">
        <v>130</v>
      </c>
      <c r="G5126" s="615" t="n">
        <f aca="false">F5126*E5126</f>
        <v>130</v>
      </c>
      <c r="H5126" s="433"/>
    </row>
    <row r="5127" customFormat="false" ht="15" hidden="false" customHeight="false" outlineLevel="0" collapsed="false">
      <c r="A5127" s="571"/>
      <c r="B5127" s="433"/>
      <c r="C5127" s="855" t="s">
        <v>4509</v>
      </c>
      <c r="D5127" s="316" t="s">
        <v>4348</v>
      </c>
      <c r="E5127" s="855" t="n">
        <v>1</v>
      </c>
      <c r="F5127" s="115" t="n">
        <v>26</v>
      </c>
      <c r="G5127" s="615" t="n">
        <f aca="false">F5127*E5127</f>
        <v>26</v>
      </c>
      <c r="H5127" s="433"/>
    </row>
    <row r="5128" customFormat="false" ht="15" hidden="false" customHeight="false" outlineLevel="0" collapsed="false">
      <c r="A5128" s="571" t="s">
        <v>1045</v>
      </c>
      <c r="B5128" s="488" t="s">
        <v>3315</v>
      </c>
      <c r="C5128" s="41"/>
      <c r="D5128" s="874"/>
      <c r="E5128" s="41"/>
      <c r="F5128" s="875"/>
      <c r="G5128" s="826" t="n">
        <f aca="false">SUM(G5129:G5147)</f>
        <v>8328.27</v>
      </c>
      <c r="H5128" s="433" t="s">
        <v>5269</v>
      </c>
    </row>
    <row r="5129" customFormat="false" ht="15" hidden="false" customHeight="false" outlineLevel="0" collapsed="false">
      <c r="A5129" s="571"/>
      <c r="B5129" s="433"/>
      <c r="C5129" s="860" t="s">
        <v>4250</v>
      </c>
      <c r="D5129" s="316" t="s">
        <v>4359</v>
      </c>
      <c r="E5129" s="855" t="n">
        <v>0.1</v>
      </c>
      <c r="F5129" s="115" t="n">
        <v>42000</v>
      </c>
      <c r="G5129" s="615" t="n">
        <f aca="false">F5129*E5129</f>
        <v>4200</v>
      </c>
      <c r="H5129" s="433"/>
    </row>
    <row r="5130" customFormat="false" ht="15" hidden="false" customHeight="false" outlineLevel="0" collapsed="false">
      <c r="A5130" s="571"/>
      <c r="B5130" s="433"/>
      <c r="C5130" s="855" t="s">
        <v>4604</v>
      </c>
      <c r="D5130" s="316" t="s">
        <v>4359</v>
      </c>
      <c r="E5130" s="855" t="n">
        <v>0.09</v>
      </c>
      <c r="F5130" s="115" t="n">
        <v>18000</v>
      </c>
      <c r="G5130" s="615" t="n">
        <f aca="false">F5130*E5130</f>
        <v>1620</v>
      </c>
      <c r="H5130" s="433"/>
    </row>
    <row r="5131" customFormat="false" ht="15" hidden="false" customHeight="false" outlineLevel="0" collapsed="false">
      <c r="A5131" s="571"/>
      <c r="B5131" s="433"/>
      <c r="C5131" s="855" t="s">
        <v>4147</v>
      </c>
      <c r="D5131" s="316" t="s">
        <v>4359</v>
      </c>
      <c r="E5131" s="855" t="n">
        <v>0.003</v>
      </c>
      <c r="F5131" s="115" t="n">
        <v>18000</v>
      </c>
      <c r="G5131" s="615" t="n">
        <f aca="false">F5131*E5131</f>
        <v>54</v>
      </c>
      <c r="H5131" s="433"/>
    </row>
    <row r="5132" customFormat="false" ht="15" hidden="false" customHeight="false" outlineLevel="0" collapsed="false">
      <c r="A5132" s="571"/>
      <c r="B5132" s="433"/>
      <c r="C5132" s="855" t="s">
        <v>4365</v>
      </c>
      <c r="D5132" s="316" t="s">
        <v>4133</v>
      </c>
      <c r="E5132" s="855" t="n">
        <v>0.002</v>
      </c>
      <c r="F5132" s="115" t="n">
        <v>2000</v>
      </c>
      <c r="G5132" s="615" t="n">
        <f aca="false">F5132*E5132</f>
        <v>4</v>
      </c>
      <c r="H5132" s="433"/>
    </row>
    <row r="5133" customFormat="false" ht="15" hidden="false" customHeight="false" outlineLevel="0" collapsed="false">
      <c r="A5133" s="571"/>
      <c r="B5133" s="433"/>
      <c r="C5133" s="855" t="s">
        <v>5252</v>
      </c>
      <c r="D5133" s="316" t="s">
        <v>4133</v>
      </c>
      <c r="E5133" s="855" t="n">
        <v>0.002</v>
      </c>
      <c r="F5133" s="115" t="n">
        <v>19000</v>
      </c>
      <c r="G5133" s="615" t="n">
        <f aca="false">F5133*E5133</f>
        <v>38</v>
      </c>
      <c r="H5133" s="433"/>
    </row>
    <row r="5134" customFormat="false" ht="15" hidden="false" customHeight="false" outlineLevel="0" collapsed="false">
      <c r="A5134" s="571"/>
      <c r="B5134" s="433"/>
      <c r="C5134" s="855" t="s">
        <v>4132</v>
      </c>
      <c r="D5134" s="316" t="s">
        <v>4133</v>
      </c>
      <c r="E5134" s="855" t="n">
        <v>0.001</v>
      </c>
      <c r="F5134" s="115" t="n">
        <v>3400</v>
      </c>
      <c r="G5134" s="615" t="n">
        <f aca="false">F5134*E5134</f>
        <v>3.4</v>
      </c>
      <c r="H5134" s="433"/>
    </row>
    <row r="5135" customFormat="false" ht="30" hidden="false" customHeight="false" outlineLevel="0" collapsed="false">
      <c r="A5135" s="571"/>
      <c r="B5135" s="433"/>
      <c r="C5135" s="881" t="s">
        <v>4227</v>
      </c>
      <c r="D5135" s="882" t="s">
        <v>4133</v>
      </c>
      <c r="E5135" s="614" t="n">
        <v>0.01</v>
      </c>
      <c r="F5135" s="883" t="n">
        <v>2500</v>
      </c>
      <c r="G5135" s="615" t="n">
        <f aca="false">F5135*E5135</f>
        <v>25</v>
      </c>
      <c r="H5135" s="433"/>
    </row>
    <row r="5136" customFormat="false" ht="15" hidden="false" customHeight="false" outlineLevel="0" collapsed="false">
      <c r="A5136" s="571"/>
      <c r="B5136" s="433"/>
      <c r="C5136" s="881" t="s">
        <v>4266</v>
      </c>
      <c r="D5136" s="882" t="s">
        <v>4133</v>
      </c>
      <c r="E5136" s="614" t="n">
        <v>0.001</v>
      </c>
      <c r="F5136" s="883" t="n">
        <v>24000</v>
      </c>
      <c r="G5136" s="615" t="n">
        <f aca="false">F5136*E5136</f>
        <v>24</v>
      </c>
      <c r="H5136" s="433"/>
    </row>
    <row r="5137" customFormat="false" ht="30" hidden="false" customHeight="false" outlineLevel="0" collapsed="false">
      <c r="A5137" s="571"/>
      <c r="B5137" s="433"/>
      <c r="C5137" s="855" t="s">
        <v>5268</v>
      </c>
      <c r="D5137" s="316" t="s">
        <v>4133</v>
      </c>
      <c r="E5137" s="855" t="n">
        <v>0.0001</v>
      </c>
      <c r="F5137" s="857" t="n">
        <v>60000</v>
      </c>
      <c r="G5137" s="615" t="n">
        <f aca="false">F5137*E5137</f>
        <v>6</v>
      </c>
      <c r="H5137" s="433"/>
    </row>
    <row r="5138" customFormat="false" ht="15" hidden="false" customHeight="false" outlineLevel="0" collapsed="false">
      <c r="A5138" s="571"/>
      <c r="B5138" s="433"/>
      <c r="C5138" s="867" t="s">
        <v>4497</v>
      </c>
      <c r="D5138" s="868" t="s">
        <v>4348</v>
      </c>
      <c r="E5138" s="869" t="n">
        <v>0.003</v>
      </c>
      <c r="F5138" s="870" t="n">
        <v>550000</v>
      </c>
      <c r="G5138" s="615" t="n">
        <f aca="false">F5138*E5138</f>
        <v>1650</v>
      </c>
      <c r="H5138" s="433"/>
    </row>
    <row r="5139" customFormat="false" ht="15" hidden="false" customHeight="false" outlineLevel="0" collapsed="false">
      <c r="A5139" s="571"/>
      <c r="B5139" s="433"/>
      <c r="C5139" s="884" t="s">
        <v>4122</v>
      </c>
      <c r="D5139" s="679" t="s">
        <v>4123</v>
      </c>
      <c r="E5139" s="709" t="n">
        <v>0.01</v>
      </c>
      <c r="F5139" s="871" t="n">
        <v>720</v>
      </c>
      <c r="G5139" s="615" t="n">
        <f aca="false">F5139*E5139</f>
        <v>7.2</v>
      </c>
      <c r="H5139" s="433"/>
    </row>
    <row r="5140" customFormat="false" ht="30" hidden="false" customHeight="false" outlineLevel="0" collapsed="false">
      <c r="A5140" s="571"/>
      <c r="B5140" s="433"/>
      <c r="C5140" s="532" t="s">
        <v>5238</v>
      </c>
      <c r="D5140" s="679" t="s">
        <v>4141</v>
      </c>
      <c r="E5140" s="866" t="n">
        <v>0.001</v>
      </c>
      <c r="F5140" s="681" t="n">
        <v>1400</v>
      </c>
      <c r="G5140" s="615" t="n">
        <f aca="false">F5140*E5140</f>
        <v>1.4</v>
      </c>
      <c r="H5140" s="433"/>
    </row>
    <row r="5141" customFormat="false" ht="15" hidden="false" customHeight="false" outlineLevel="0" collapsed="false">
      <c r="A5141" s="571"/>
      <c r="B5141" s="433"/>
      <c r="C5141" s="855" t="s">
        <v>5241</v>
      </c>
      <c r="D5141" s="679" t="s">
        <v>4121</v>
      </c>
      <c r="E5141" s="709" t="n">
        <v>0.001</v>
      </c>
      <c r="F5141" s="681" t="n">
        <v>1500</v>
      </c>
      <c r="G5141" s="615" t="n">
        <f aca="false">F5141*E5141</f>
        <v>1.5</v>
      </c>
      <c r="H5141" s="433"/>
    </row>
    <row r="5142" customFormat="false" ht="15" hidden="false" customHeight="false" outlineLevel="0" collapsed="false">
      <c r="A5142" s="571"/>
      <c r="B5142" s="433"/>
      <c r="C5142" s="855" t="s">
        <v>5240</v>
      </c>
      <c r="D5142" s="316" t="s">
        <v>4578</v>
      </c>
      <c r="E5142" s="855" t="n">
        <v>0.002</v>
      </c>
      <c r="F5142" s="857" t="n">
        <v>225000</v>
      </c>
      <c r="G5142" s="615" t="n">
        <f aca="false">F5142*E5142</f>
        <v>450</v>
      </c>
      <c r="H5142" s="433"/>
    </row>
    <row r="5143" customFormat="false" ht="15" hidden="false" customHeight="false" outlineLevel="0" collapsed="false">
      <c r="A5143" s="571"/>
      <c r="B5143" s="433"/>
      <c r="C5143" s="885" t="s">
        <v>4124</v>
      </c>
      <c r="D5143" s="679" t="s">
        <v>4125</v>
      </c>
      <c r="E5143" s="709" t="n">
        <v>0.1</v>
      </c>
      <c r="F5143" s="886" t="n">
        <v>170</v>
      </c>
      <c r="G5143" s="615" t="n">
        <f aca="false">F5143*E5143</f>
        <v>17</v>
      </c>
      <c r="H5143" s="433"/>
    </row>
    <row r="5144" customFormat="false" ht="15" hidden="false" customHeight="false" outlineLevel="0" collapsed="false">
      <c r="A5144" s="571"/>
      <c r="B5144" s="433"/>
      <c r="C5144" s="885" t="s">
        <v>4347</v>
      </c>
      <c r="D5144" s="679" t="s">
        <v>4348</v>
      </c>
      <c r="E5144" s="709" t="n">
        <v>1</v>
      </c>
      <c r="F5144" s="886" t="n">
        <v>130</v>
      </c>
      <c r="G5144" s="615" t="n">
        <f aca="false">F5144*E5144</f>
        <v>130</v>
      </c>
      <c r="H5144" s="433"/>
    </row>
    <row r="5145" customFormat="false" ht="15" hidden="false" customHeight="false" outlineLevel="0" collapsed="false">
      <c r="A5145" s="571"/>
      <c r="B5145" s="433"/>
      <c r="C5145" s="532" t="s">
        <v>5239</v>
      </c>
      <c r="D5145" s="679" t="s">
        <v>4141</v>
      </c>
      <c r="E5145" s="866" t="n">
        <v>0.003</v>
      </c>
      <c r="F5145" s="681" t="n">
        <v>23500</v>
      </c>
      <c r="G5145" s="615" t="n">
        <f aca="false">F5145*E5145</f>
        <v>70.5</v>
      </c>
      <c r="H5145" s="433"/>
    </row>
    <row r="5146" customFormat="false" ht="15" hidden="false" customHeight="false" outlineLevel="0" collapsed="false">
      <c r="A5146" s="571"/>
      <c r="B5146" s="433"/>
      <c r="C5146" s="885" t="s">
        <v>4515</v>
      </c>
      <c r="D5146" s="679" t="s">
        <v>4133</v>
      </c>
      <c r="E5146" s="709" t="n">
        <v>0.0001</v>
      </c>
      <c r="F5146" s="886" t="n">
        <v>2700</v>
      </c>
      <c r="G5146" s="615" t="n">
        <f aca="false">F5146*E5146</f>
        <v>0.27</v>
      </c>
      <c r="H5146" s="433"/>
    </row>
    <row r="5147" customFormat="false" ht="15" hidden="false" customHeight="false" outlineLevel="0" collapsed="false">
      <c r="A5147" s="571"/>
      <c r="B5147" s="433"/>
      <c r="C5147" s="855" t="s">
        <v>4509</v>
      </c>
      <c r="D5147" s="316" t="s">
        <v>4348</v>
      </c>
      <c r="E5147" s="855" t="n">
        <v>1</v>
      </c>
      <c r="F5147" s="857" t="n">
        <v>26</v>
      </c>
      <c r="G5147" s="615" t="n">
        <f aca="false">F5147*E5147</f>
        <v>26</v>
      </c>
      <c r="H5147" s="433"/>
    </row>
    <row r="5148" customFormat="false" ht="42.75" hidden="false" customHeight="false" outlineLevel="0" collapsed="false">
      <c r="A5148" s="350" t="s">
        <v>5270</v>
      </c>
      <c r="B5148" s="346" t="s">
        <v>3316</v>
      </c>
      <c r="C5148" s="811"/>
      <c r="D5148" s="790"/>
      <c r="E5148" s="790"/>
      <c r="F5148" s="519"/>
      <c r="G5148" s="753"/>
      <c r="H5148" s="346"/>
    </row>
    <row r="5149" customFormat="false" ht="15" hidden="false" customHeight="false" outlineLevel="0" collapsed="false">
      <c r="A5149" s="571" t="s">
        <v>1049</v>
      </c>
      <c r="B5149" s="433" t="s">
        <v>3307</v>
      </c>
      <c r="C5149" s="476"/>
      <c r="D5149" s="820"/>
      <c r="E5149" s="820"/>
      <c r="F5149" s="697"/>
      <c r="G5149" s="826" t="n">
        <f aca="false">SUM(G5150:G5165)</f>
        <v>13603.207</v>
      </c>
      <c r="H5149" s="433" t="s">
        <v>5227</v>
      </c>
    </row>
    <row r="5150" customFormat="false" ht="15" hidden="false" customHeight="false" outlineLevel="0" collapsed="false">
      <c r="A5150" s="571"/>
      <c r="B5150" s="433"/>
      <c r="C5150" s="855" t="s">
        <v>4317</v>
      </c>
      <c r="D5150" s="316" t="s">
        <v>4359</v>
      </c>
      <c r="E5150" s="855" t="n">
        <v>0.5</v>
      </c>
      <c r="F5150" s="115" t="n">
        <v>21000</v>
      </c>
      <c r="G5150" s="615" t="n">
        <f aca="false">F5150*E5150</f>
        <v>10500</v>
      </c>
      <c r="H5150" s="433"/>
    </row>
    <row r="5151" customFormat="false" ht="15" hidden="false" customHeight="false" outlineLevel="0" collapsed="false">
      <c r="A5151" s="571"/>
      <c r="B5151" s="433"/>
      <c r="C5151" s="855" t="s">
        <v>5228</v>
      </c>
      <c r="D5151" s="316" t="s">
        <v>4133</v>
      </c>
      <c r="E5151" s="855" t="n">
        <v>0.01</v>
      </c>
      <c r="F5151" s="115" t="n">
        <v>19000</v>
      </c>
      <c r="G5151" s="615" t="n">
        <f aca="false">F5151*E5151</f>
        <v>190</v>
      </c>
      <c r="H5151" s="433"/>
    </row>
    <row r="5152" customFormat="false" ht="15" hidden="false" customHeight="false" outlineLevel="0" collapsed="false">
      <c r="A5152" s="571"/>
      <c r="B5152" s="433"/>
      <c r="C5152" s="855" t="s">
        <v>4673</v>
      </c>
      <c r="D5152" s="316" t="s">
        <v>4133</v>
      </c>
      <c r="E5152" s="855" t="n">
        <v>0.001</v>
      </c>
      <c r="F5152" s="115" t="n">
        <v>106777</v>
      </c>
      <c r="G5152" s="615" t="n">
        <f aca="false">F5152*E5152</f>
        <v>106.777</v>
      </c>
      <c r="H5152" s="433"/>
    </row>
    <row r="5153" customFormat="false" ht="30" hidden="false" customHeight="false" outlineLevel="0" collapsed="false">
      <c r="A5153" s="571"/>
      <c r="B5153" s="433"/>
      <c r="C5153" s="532" t="s">
        <v>5238</v>
      </c>
      <c r="D5153" s="679" t="s">
        <v>4141</v>
      </c>
      <c r="E5153" s="819" t="n">
        <v>0.01</v>
      </c>
      <c r="F5153" s="617" t="n">
        <v>1400</v>
      </c>
      <c r="G5153" s="615" t="n">
        <f aca="false">F5153*E5153</f>
        <v>14</v>
      </c>
      <c r="H5153" s="433"/>
    </row>
    <row r="5154" customFormat="false" ht="45" hidden="false" customHeight="false" outlineLevel="0" collapsed="false">
      <c r="A5154" s="571"/>
      <c r="B5154" s="433"/>
      <c r="C5154" s="855" t="s">
        <v>5231</v>
      </c>
      <c r="D5154" s="316" t="s">
        <v>4133</v>
      </c>
      <c r="E5154" s="855" t="n">
        <v>0.0001</v>
      </c>
      <c r="F5154" s="115" t="n">
        <v>75465</v>
      </c>
      <c r="G5154" s="615" t="n">
        <f aca="false">F5154*E5154</f>
        <v>7.5465</v>
      </c>
      <c r="H5154" s="433"/>
    </row>
    <row r="5155" customFormat="false" ht="30" hidden="false" customHeight="false" outlineLevel="0" collapsed="false">
      <c r="A5155" s="571"/>
      <c r="B5155" s="433"/>
      <c r="C5155" s="855" t="s">
        <v>5232</v>
      </c>
      <c r="D5155" s="316" t="s">
        <v>4133</v>
      </c>
      <c r="E5155" s="855" t="n">
        <v>0.0001</v>
      </c>
      <c r="F5155" s="115" t="n">
        <v>87990</v>
      </c>
      <c r="G5155" s="615" t="n">
        <f aca="false">F5155*E5155</f>
        <v>8.799</v>
      </c>
      <c r="H5155" s="433"/>
    </row>
    <row r="5156" customFormat="false" ht="30" hidden="false" customHeight="false" outlineLevel="0" collapsed="false">
      <c r="A5156" s="571"/>
      <c r="B5156" s="433"/>
      <c r="C5156" s="855" t="s">
        <v>5233</v>
      </c>
      <c r="D5156" s="316" t="s">
        <v>4133</v>
      </c>
      <c r="E5156" s="855" t="n">
        <v>0.0001</v>
      </c>
      <c r="F5156" s="115" t="n">
        <v>71395</v>
      </c>
      <c r="G5156" s="615" t="n">
        <f aca="false">F5156*E5156</f>
        <v>7.1395</v>
      </c>
      <c r="H5156" s="433"/>
    </row>
    <row r="5157" customFormat="false" ht="30" hidden="false" customHeight="false" outlineLevel="0" collapsed="false">
      <c r="A5157" s="571"/>
      <c r="B5157" s="433"/>
      <c r="C5157" s="855" t="s">
        <v>5234</v>
      </c>
      <c r="D5157" s="316" t="s">
        <v>4133</v>
      </c>
      <c r="E5157" s="855" t="n">
        <v>0.0001</v>
      </c>
      <c r="F5157" s="115" t="n">
        <v>53450</v>
      </c>
      <c r="G5157" s="615" t="n">
        <f aca="false">F5157*E5157</f>
        <v>5.345</v>
      </c>
      <c r="H5157" s="433"/>
    </row>
    <row r="5158" customFormat="false" ht="15" hidden="false" customHeight="false" outlineLevel="0" collapsed="false">
      <c r="A5158" s="571"/>
      <c r="B5158" s="433"/>
      <c r="C5158" s="855" t="s">
        <v>5240</v>
      </c>
      <c r="D5158" s="316" t="s">
        <v>4578</v>
      </c>
      <c r="E5158" s="855" t="n">
        <v>0.004</v>
      </c>
      <c r="F5158" s="115" t="n">
        <v>225000</v>
      </c>
      <c r="G5158" s="615" t="n">
        <f aca="false">F5158*E5158</f>
        <v>900</v>
      </c>
      <c r="H5158" s="433"/>
    </row>
    <row r="5159" customFormat="false" ht="15" hidden="false" customHeight="false" outlineLevel="0" collapsed="false">
      <c r="A5159" s="571"/>
      <c r="B5159" s="433"/>
      <c r="C5159" s="855" t="s">
        <v>5241</v>
      </c>
      <c r="D5159" s="316" t="s">
        <v>4141</v>
      </c>
      <c r="E5159" s="855" t="n">
        <v>0.001</v>
      </c>
      <c r="F5159" s="115" t="n">
        <v>1500</v>
      </c>
      <c r="G5159" s="615" t="n">
        <f aca="false">F5159*E5159</f>
        <v>1.5</v>
      </c>
      <c r="H5159" s="433"/>
    </row>
    <row r="5160" customFormat="false" ht="15" hidden="false" customHeight="false" outlineLevel="0" collapsed="false">
      <c r="A5160" s="571"/>
      <c r="B5160" s="433"/>
      <c r="C5160" s="855" t="s">
        <v>4347</v>
      </c>
      <c r="D5160" s="316" t="s">
        <v>4348</v>
      </c>
      <c r="E5160" s="855" t="n">
        <v>1</v>
      </c>
      <c r="F5160" s="115" t="n">
        <v>130</v>
      </c>
      <c r="G5160" s="615" t="n">
        <f aca="false">F5160*E5160</f>
        <v>130</v>
      </c>
      <c r="H5160" s="433"/>
    </row>
    <row r="5161" customFormat="false" ht="15" hidden="false" customHeight="false" outlineLevel="0" collapsed="false">
      <c r="A5161" s="571"/>
      <c r="B5161" s="433"/>
      <c r="C5161" s="855" t="s">
        <v>4122</v>
      </c>
      <c r="D5161" s="316" t="s">
        <v>4359</v>
      </c>
      <c r="E5161" s="855" t="n">
        <v>0.01</v>
      </c>
      <c r="F5161" s="607" t="n">
        <v>720</v>
      </c>
      <c r="G5161" s="615" t="n">
        <f aca="false">F5161*E5161</f>
        <v>7.2</v>
      </c>
      <c r="H5161" s="433"/>
    </row>
    <row r="5162" customFormat="false" ht="15" hidden="false" customHeight="false" outlineLevel="0" collapsed="false">
      <c r="A5162" s="571"/>
      <c r="B5162" s="433"/>
      <c r="C5162" s="532" t="s">
        <v>5239</v>
      </c>
      <c r="D5162" s="679" t="s">
        <v>4141</v>
      </c>
      <c r="E5162" s="858" t="n">
        <v>0.003</v>
      </c>
      <c r="F5162" s="617" t="n">
        <v>23500</v>
      </c>
      <c r="G5162" s="615" t="n">
        <f aca="false">F5162*E5162</f>
        <v>70.5</v>
      </c>
      <c r="H5162" s="433"/>
    </row>
    <row r="5163" customFormat="false" ht="15" hidden="false" customHeight="false" outlineLevel="0" collapsed="false">
      <c r="A5163" s="571"/>
      <c r="B5163" s="433"/>
      <c r="C5163" s="855" t="s">
        <v>4515</v>
      </c>
      <c r="D5163" s="316" t="s">
        <v>4133</v>
      </c>
      <c r="E5163" s="855" t="n">
        <v>0.001</v>
      </c>
      <c r="F5163" s="115" t="n">
        <v>2700</v>
      </c>
      <c r="G5163" s="615" t="n">
        <f aca="false">F5163*E5163</f>
        <v>2.7</v>
      </c>
      <c r="H5163" s="433"/>
    </row>
    <row r="5164" customFormat="false" ht="15" hidden="false" customHeight="false" outlineLevel="0" collapsed="false">
      <c r="A5164" s="571"/>
      <c r="B5164" s="433"/>
      <c r="C5164" s="867" t="s">
        <v>4497</v>
      </c>
      <c r="D5164" s="868" t="s">
        <v>4348</v>
      </c>
      <c r="E5164" s="603" t="n">
        <v>0.003</v>
      </c>
      <c r="F5164" s="604" t="n">
        <v>550000</v>
      </c>
      <c r="G5164" s="615" t="n">
        <f aca="false">F5164*E5164</f>
        <v>1650</v>
      </c>
      <c r="H5164" s="433"/>
    </row>
    <row r="5165" customFormat="false" ht="15" hidden="false" customHeight="false" outlineLevel="0" collapsed="false">
      <c r="A5165" s="571"/>
      <c r="B5165" s="433"/>
      <c r="C5165" s="861" t="s">
        <v>4124</v>
      </c>
      <c r="D5165" s="316" t="s">
        <v>4125</v>
      </c>
      <c r="E5165" s="855" t="n">
        <v>0.01</v>
      </c>
      <c r="F5165" s="857" t="n">
        <v>170</v>
      </c>
      <c r="G5165" s="615" t="n">
        <f aca="false">F5165*E5165</f>
        <v>1.7</v>
      </c>
      <c r="H5165" s="433"/>
    </row>
    <row r="5166" customFormat="false" ht="15" hidden="false" customHeight="false" outlineLevel="0" collapsed="false">
      <c r="A5166" s="571" t="s">
        <v>1050</v>
      </c>
      <c r="B5166" s="433" t="s">
        <v>3310</v>
      </c>
      <c r="C5166" s="41"/>
      <c r="D5166" s="874"/>
      <c r="E5166" s="41"/>
      <c r="F5166" s="875"/>
      <c r="G5166" s="826" t="n">
        <f aca="false">SUM(G5167:G5180)</f>
        <v>15334.416</v>
      </c>
      <c r="H5166" s="433" t="s">
        <v>5271</v>
      </c>
    </row>
    <row r="5167" customFormat="false" ht="15" hidden="false" customHeight="false" outlineLevel="0" collapsed="false">
      <c r="A5167" s="571"/>
      <c r="B5167" s="433"/>
      <c r="C5167" s="855" t="s">
        <v>5228</v>
      </c>
      <c r="D5167" s="316" t="s">
        <v>4133</v>
      </c>
      <c r="E5167" s="855" t="n">
        <v>0.001</v>
      </c>
      <c r="F5167" s="115" t="n">
        <v>19000</v>
      </c>
      <c r="G5167" s="615" t="n">
        <f aca="false">F5167*E5167</f>
        <v>19</v>
      </c>
      <c r="H5167" s="433"/>
    </row>
    <row r="5168" customFormat="false" ht="15" hidden="false" customHeight="false" outlineLevel="0" collapsed="false">
      <c r="A5168" s="571"/>
      <c r="B5168" s="433"/>
      <c r="C5168" s="878" t="s">
        <v>4154</v>
      </c>
      <c r="D5168" s="316" t="s">
        <v>4359</v>
      </c>
      <c r="E5168" s="855" t="n">
        <v>0.01</v>
      </c>
      <c r="F5168" s="115" t="n">
        <v>18000</v>
      </c>
      <c r="G5168" s="615" t="n">
        <f aca="false">F5168*E5168</f>
        <v>180</v>
      </c>
      <c r="H5168" s="433"/>
    </row>
    <row r="5169" customFormat="false" ht="15" hidden="false" customHeight="false" outlineLevel="0" collapsed="false">
      <c r="A5169" s="571"/>
      <c r="B5169" s="433"/>
      <c r="C5169" s="878" t="s">
        <v>5260</v>
      </c>
      <c r="D5169" s="877" t="s">
        <v>4133</v>
      </c>
      <c r="E5169" s="855" t="n">
        <v>0.00136</v>
      </c>
      <c r="F5169" s="115" t="n">
        <v>24000</v>
      </c>
      <c r="G5169" s="615" t="n">
        <f aca="false">F5169*E5169</f>
        <v>32.64</v>
      </c>
      <c r="H5169" s="433"/>
    </row>
    <row r="5170" customFormat="false" ht="15" hidden="false" customHeight="false" outlineLevel="0" collapsed="false">
      <c r="A5170" s="571"/>
      <c r="B5170" s="433"/>
      <c r="C5170" s="532" t="s">
        <v>4171</v>
      </c>
      <c r="D5170" s="877" t="s">
        <v>4359</v>
      </c>
      <c r="E5170" s="879" t="n">
        <v>0.002</v>
      </c>
      <c r="F5170" s="617" t="n">
        <v>18000</v>
      </c>
      <c r="G5170" s="615" t="n">
        <f aca="false">F5170*E5170</f>
        <v>36</v>
      </c>
      <c r="H5170" s="433"/>
    </row>
    <row r="5171" customFormat="false" ht="15" hidden="false" customHeight="false" outlineLevel="0" collapsed="false">
      <c r="A5171" s="571"/>
      <c r="B5171" s="433"/>
      <c r="C5171" s="532" t="s">
        <v>4251</v>
      </c>
      <c r="D5171" s="679" t="s">
        <v>4578</v>
      </c>
      <c r="E5171" s="858" t="n">
        <v>0.002</v>
      </c>
      <c r="F5171" s="617" t="n">
        <v>275000</v>
      </c>
      <c r="G5171" s="615" t="n">
        <f aca="false">F5171*E5171</f>
        <v>550</v>
      </c>
      <c r="H5171" s="433"/>
    </row>
    <row r="5172" customFormat="false" ht="30" hidden="false" customHeight="false" outlineLevel="0" collapsed="false">
      <c r="A5172" s="571"/>
      <c r="B5172" s="433"/>
      <c r="C5172" s="532" t="s">
        <v>5238</v>
      </c>
      <c r="D5172" s="679" t="s">
        <v>4141</v>
      </c>
      <c r="E5172" s="819" t="n">
        <v>0.001</v>
      </c>
      <c r="F5172" s="617" t="n">
        <v>1400</v>
      </c>
      <c r="G5172" s="615" t="n">
        <f aca="false">F5172*E5172</f>
        <v>1.4</v>
      </c>
      <c r="H5172" s="433"/>
    </row>
    <row r="5173" customFormat="false" ht="15" hidden="false" customHeight="false" outlineLevel="0" collapsed="false">
      <c r="A5173" s="571"/>
      <c r="B5173" s="433"/>
      <c r="C5173" s="21" t="s">
        <v>4250</v>
      </c>
      <c r="D5173" s="316" t="s">
        <v>4359</v>
      </c>
      <c r="E5173" s="819" t="n">
        <v>0.3</v>
      </c>
      <c r="F5173" s="617" t="n">
        <v>42000</v>
      </c>
      <c r="G5173" s="615" t="n">
        <f aca="false">F5173*E5173</f>
        <v>12600</v>
      </c>
      <c r="H5173" s="433"/>
    </row>
    <row r="5174" customFormat="false" ht="30" hidden="false" customHeight="false" outlineLevel="0" collapsed="false">
      <c r="A5174" s="571"/>
      <c r="B5174" s="433"/>
      <c r="C5174" s="855" t="s">
        <v>5261</v>
      </c>
      <c r="D5174" s="316" t="s">
        <v>4133</v>
      </c>
      <c r="E5174" s="855" t="n">
        <v>0.0001</v>
      </c>
      <c r="F5174" s="115" t="n">
        <v>53760</v>
      </c>
      <c r="G5174" s="615" t="n">
        <f aca="false">F5174*E5174</f>
        <v>5.376</v>
      </c>
      <c r="H5174" s="433"/>
    </row>
    <row r="5175" customFormat="false" ht="15" hidden="false" customHeight="false" outlineLevel="0" collapsed="false">
      <c r="A5175" s="571"/>
      <c r="B5175" s="433"/>
      <c r="C5175" s="867" t="s">
        <v>4122</v>
      </c>
      <c r="D5175" s="868" t="s">
        <v>4123</v>
      </c>
      <c r="E5175" s="603" t="n">
        <v>0.1</v>
      </c>
      <c r="F5175" s="607" t="n">
        <v>720</v>
      </c>
      <c r="G5175" s="615" t="n">
        <f aca="false">F5175*E5175</f>
        <v>72</v>
      </c>
      <c r="H5175" s="433"/>
    </row>
    <row r="5176" customFormat="false" ht="15" hidden="false" customHeight="false" outlineLevel="0" collapsed="false">
      <c r="A5176" s="571"/>
      <c r="B5176" s="433"/>
      <c r="C5176" s="855" t="s">
        <v>5241</v>
      </c>
      <c r="D5176" s="868" t="s">
        <v>4121</v>
      </c>
      <c r="E5176" s="603" t="n">
        <v>0.01</v>
      </c>
      <c r="F5176" s="604" t="n">
        <v>1500</v>
      </c>
      <c r="G5176" s="615" t="n">
        <f aca="false">F5176*E5176</f>
        <v>15</v>
      </c>
      <c r="H5176" s="433"/>
    </row>
    <row r="5177" customFormat="false" ht="15" hidden="false" customHeight="false" outlineLevel="0" collapsed="false">
      <c r="A5177" s="571"/>
      <c r="B5177" s="433"/>
      <c r="C5177" s="872" t="s">
        <v>4124</v>
      </c>
      <c r="D5177" s="868" t="s">
        <v>4125</v>
      </c>
      <c r="E5177" s="603" t="n">
        <v>0.1</v>
      </c>
      <c r="F5177" s="607" t="n">
        <v>170</v>
      </c>
      <c r="G5177" s="615" t="n">
        <f aca="false">F5177*E5177</f>
        <v>17</v>
      </c>
      <c r="H5177" s="433"/>
    </row>
    <row r="5178" customFormat="false" ht="15" hidden="false" customHeight="false" outlineLevel="0" collapsed="false">
      <c r="A5178" s="571"/>
      <c r="B5178" s="433"/>
      <c r="C5178" s="872" t="s">
        <v>4347</v>
      </c>
      <c r="D5178" s="868" t="s">
        <v>4348</v>
      </c>
      <c r="E5178" s="603" t="n">
        <v>1</v>
      </c>
      <c r="F5178" s="607" t="n">
        <v>130</v>
      </c>
      <c r="G5178" s="615" t="n">
        <f aca="false">F5178*E5178</f>
        <v>130</v>
      </c>
      <c r="H5178" s="433"/>
    </row>
    <row r="5179" customFormat="false" ht="15" hidden="false" customHeight="false" outlineLevel="0" collapsed="false">
      <c r="A5179" s="571"/>
      <c r="B5179" s="433"/>
      <c r="C5179" s="867" t="s">
        <v>4497</v>
      </c>
      <c r="D5179" s="868" t="s">
        <v>4348</v>
      </c>
      <c r="E5179" s="603" t="n">
        <v>0.003</v>
      </c>
      <c r="F5179" s="604" t="n">
        <v>550000</v>
      </c>
      <c r="G5179" s="615" t="n">
        <f aca="false">F5179*E5179</f>
        <v>1650</v>
      </c>
      <c r="H5179" s="433"/>
    </row>
    <row r="5180" customFormat="false" ht="15" hidden="false" customHeight="false" outlineLevel="0" collapsed="false">
      <c r="A5180" s="571"/>
      <c r="B5180" s="433"/>
      <c r="C5180" s="855" t="s">
        <v>4509</v>
      </c>
      <c r="D5180" s="316" t="s">
        <v>4348</v>
      </c>
      <c r="E5180" s="855" t="n">
        <v>1</v>
      </c>
      <c r="F5180" s="115" t="n">
        <v>26</v>
      </c>
      <c r="G5180" s="615" t="n">
        <f aca="false">F5180*E5180</f>
        <v>26</v>
      </c>
      <c r="H5180" s="433"/>
    </row>
    <row r="5181" customFormat="false" ht="15" hidden="false" customHeight="false" outlineLevel="0" collapsed="false">
      <c r="A5181" s="571" t="s">
        <v>1052</v>
      </c>
      <c r="B5181" s="433" t="s">
        <v>3317</v>
      </c>
      <c r="C5181" s="41"/>
      <c r="D5181" s="874"/>
      <c r="E5181" s="41"/>
      <c r="F5181" s="875"/>
      <c r="G5181" s="826" t="n">
        <f aca="false">SUM(G5182:G5194)</f>
        <v>4569.1</v>
      </c>
      <c r="H5181" s="433" t="s">
        <v>5272</v>
      </c>
    </row>
    <row r="5182" customFormat="false" ht="15" hidden="false" customHeight="false" outlineLevel="0" collapsed="false">
      <c r="A5182" s="571"/>
      <c r="B5182" s="433"/>
      <c r="C5182" s="855" t="s">
        <v>5252</v>
      </c>
      <c r="D5182" s="316" t="s">
        <v>4133</v>
      </c>
      <c r="E5182" s="855" t="n">
        <v>0.001</v>
      </c>
      <c r="F5182" s="115" t="n">
        <v>19000</v>
      </c>
      <c r="G5182" s="615" t="n">
        <f aca="false">F5182*E5182</f>
        <v>19</v>
      </c>
      <c r="H5182" s="433"/>
    </row>
    <row r="5183" customFormat="false" ht="15" hidden="false" customHeight="false" outlineLevel="0" collapsed="false">
      <c r="A5183" s="571"/>
      <c r="B5183" s="433"/>
      <c r="C5183" s="855" t="s">
        <v>4216</v>
      </c>
      <c r="D5183" s="316" t="s">
        <v>4133</v>
      </c>
      <c r="E5183" s="855" t="n">
        <v>0.001</v>
      </c>
      <c r="F5183" s="115" t="n">
        <v>21000</v>
      </c>
      <c r="G5183" s="615" t="n">
        <f aca="false">F5183*E5183</f>
        <v>21</v>
      </c>
      <c r="H5183" s="433"/>
    </row>
    <row r="5184" customFormat="false" ht="15" hidden="false" customHeight="false" outlineLevel="0" collapsed="false">
      <c r="A5184" s="571"/>
      <c r="B5184" s="433"/>
      <c r="C5184" s="860" t="s">
        <v>4317</v>
      </c>
      <c r="D5184" s="877" t="s">
        <v>4359</v>
      </c>
      <c r="E5184" s="855" t="n">
        <v>0.1</v>
      </c>
      <c r="F5184" s="115" t="n">
        <v>21000</v>
      </c>
      <c r="G5184" s="615" t="n">
        <f aca="false">F5184*E5184</f>
        <v>2100</v>
      </c>
      <c r="H5184" s="433"/>
    </row>
    <row r="5185" customFormat="false" ht="30" hidden="false" customHeight="false" outlineLevel="0" collapsed="false">
      <c r="A5185" s="571"/>
      <c r="B5185" s="433"/>
      <c r="C5185" s="855" t="s">
        <v>5268</v>
      </c>
      <c r="D5185" s="316" t="s">
        <v>4133</v>
      </c>
      <c r="E5185" s="855" t="n">
        <v>0.0001</v>
      </c>
      <c r="F5185" s="115" t="n">
        <v>60000</v>
      </c>
      <c r="G5185" s="615" t="n">
        <f aca="false">F5185*E5185</f>
        <v>6</v>
      </c>
      <c r="H5185" s="433"/>
    </row>
    <row r="5186" customFormat="false" ht="15" hidden="false" customHeight="false" outlineLevel="0" collapsed="false">
      <c r="A5186" s="571"/>
      <c r="B5186" s="433"/>
      <c r="C5186" s="41" t="s">
        <v>4758</v>
      </c>
      <c r="D5186" s="316" t="s">
        <v>4359</v>
      </c>
      <c r="E5186" s="855" t="n">
        <v>0.01</v>
      </c>
      <c r="F5186" s="115" t="n">
        <v>14000</v>
      </c>
      <c r="G5186" s="615" t="n">
        <f aca="false">F5186*E5186</f>
        <v>140</v>
      </c>
      <c r="H5186" s="433"/>
    </row>
    <row r="5187" customFormat="false" ht="30" hidden="false" customHeight="false" outlineLevel="0" collapsed="false">
      <c r="A5187" s="571"/>
      <c r="B5187" s="433"/>
      <c r="C5187" s="532" t="s">
        <v>5238</v>
      </c>
      <c r="D5187" s="679" t="s">
        <v>4141</v>
      </c>
      <c r="E5187" s="858" t="n">
        <v>0.001</v>
      </c>
      <c r="F5187" s="617" t="n">
        <v>1400</v>
      </c>
      <c r="G5187" s="615" t="n">
        <f aca="false">F5187*E5187</f>
        <v>1.4</v>
      </c>
      <c r="H5187" s="433"/>
    </row>
    <row r="5188" customFormat="false" ht="15" hidden="false" customHeight="false" outlineLevel="0" collapsed="false">
      <c r="A5188" s="571"/>
      <c r="B5188" s="433"/>
      <c r="C5188" s="855" t="s">
        <v>5241</v>
      </c>
      <c r="D5188" s="679" t="s">
        <v>4121</v>
      </c>
      <c r="E5188" s="614" t="n">
        <v>0.001</v>
      </c>
      <c r="F5188" s="617" t="n">
        <v>1500</v>
      </c>
      <c r="G5188" s="615" t="n">
        <f aca="false">F5188*E5188</f>
        <v>1.5</v>
      </c>
      <c r="H5188" s="433"/>
    </row>
    <row r="5189" customFormat="false" ht="15" hidden="false" customHeight="false" outlineLevel="0" collapsed="false">
      <c r="A5189" s="571"/>
      <c r="B5189" s="433"/>
      <c r="C5189" s="855" t="s">
        <v>5240</v>
      </c>
      <c r="D5189" s="316" t="s">
        <v>4578</v>
      </c>
      <c r="E5189" s="855" t="n">
        <v>0.002</v>
      </c>
      <c r="F5189" s="115" t="n">
        <v>225000</v>
      </c>
      <c r="G5189" s="615" t="n">
        <f aca="false">F5189*E5189</f>
        <v>450</v>
      </c>
      <c r="H5189" s="433"/>
    </row>
    <row r="5190" customFormat="false" ht="15" hidden="false" customHeight="false" outlineLevel="0" collapsed="false">
      <c r="A5190" s="571"/>
      <c r="B5190" s="433"/>
      <c r="C5190" s="867" t="s">
        <v>4497</v>
      </c>
      <c r="D5190" s="868" t="s">
        <v>4348</v>
      </c>
      <c r="E5190" s="603" t="n">
        <v>0.003</v>
      </c>
      <c r="F5190" s="604" t="n">
        <v>550000</v>
      </c>
      <c r="G5190" s="615" t="n">
        <f aca="false">F5190*E5190</f>
        <v>1650</v>
      </c>
      <c r="H5190" s="433"/>
    </row>
    <row r="5191" customFormat="false" ht="15" hidden="false" customHeight="false" outlineLevel="0" collapsed="false">
      <c r="A5191" s="571"/>
      <c r="B5191" s="433"/>
      <c r="C5191" s="884" t="s">
        <v>4122</v>
      </c>
      <c r="D5191" s="679" t="s">
        <v>4123</v>
      </c>
      <c r="E5191" s="614" t="n">
        <v>0.01</v>
      </c>
      <c r="F5191" s="607" t="n">
        <v>720</v>
      </c>
      <c r="G5191" s="615" t="n">
        <f aca="false">F5191*E5191</f>
        <v>7.2</v>
      </c>
      <c r="H5191" s="433"/>
    </row>
    <row r="5192" customFormat="false" ht="15" hidden="false" customHeight="false" outlineLevel="0" collapsed="false">
      <c r="A5192" s="571"/>
      <c r="B5192" s="433"/>
      <c r="C5192" s="885" t="s">
        <v>4124</v>
      </c>
      <c r="D5192" s="679" t="s">
        <v>4125</v>
      </c>
      <c r="E5192" s="709" t="n">
        <v>0.1</v>
      </c>
      <c r="F5192" s="886" t="n">
        <v>170</v>
      </c>
      <c r="G5192" s="615" t="n">
        <f aca="false">F5192*E5192</f>
        <v>17</v>
      </c>
      <c r="H5192" s="433"/>
    </row>
    <row r="5193" customFormat="false" ht="15" hidden="false" customHeight="false" outlineLevel="0" collapsed="false">
      <c r="A5193" s="571"/>
      <c r="B5193" s="433"/>
      <c r="C5193" s="885" t="s">
        <v>4347</v>
      </c>
      <c r="D5193" s="679" t="s">
        <v>4348</v>
      </c>
      <c r="E5193" s="709" t="n">
        <v>1</v>
      </c>
      <c r="F5193" s="886" t="n">
        <v>130</v>
      </c>
      <c r="G5193" s="615" t="n">
        <f aca="false">F5193*E5193</f>
        <v>130</v>
      </c>
      <c r="H5193" s="433"/>
    </row>
    <row r="5194" customFormat="false" ht="15" hidden="false" customHeight="false" outlineLevel="0" collapsed="false">
      <c r="A5194" s="571"/>
      <c r="B5194" s="433"/>
      <c r="C5194" s="855" t="s">
        <v>4509</v>
      </c>
      <c r="D5194" s="316" t="s">
        <v>4348</v>
      </c>
      <c r="E5194" s="855" t="n">
        <v>1</v>
      </c>
      <c r="F5194" s="857" t="n">
        <v>26</v>
      </c>
      <c r="G5194" s="615" t="n">
        <f aca="false">F5194*E5194</f>
        <v>26</v>
      </c>
      <c r="H5194" s="433"/>
    </row>
    <row r="5195" customFormat="false" ht="42.75" hidden="false" customHeight="false" outlineLevel="0" collapsed="false">
      <c r="A5195" s="350" t="s">
        <v>5273</v>
      </c>
      <c r="B5195" s="346" t="s">
        <v>3318</v>
      </c>
      <c r="C5195" s="601"/>
      <c r="D5195" s="600"/>
      <c r="E5195" s="600"/>
      <c r="F5195" s="364"/>
      <c r="G5195" s="713"/>
      <c r="H5195" s="887"/>
    </row>
    <row r="5196" customFormat="false" ht="15" hidden="false" customHeight="false" outlineLevel="0" collapsed="false">
      <c r="A5196" s="571" t="s">
        <v>1056</v>
      </c>
      <c r="B5196" s="433" t="s">
        <v>3307</v>
      </c>
      <c r="C5196" s="476"/>
      <c r="D5196" s="820"/>
      <c r="E5196" s="820"/>
      <c r="F5196" s="697"/>
      <c r="G5196" s="826" t="n">
        <f aca="false">SUM(G5197:G5216)</f>
        <v>5377.6455</v>
      </c>
      <c r="H5196" s="433" t="s">
        <v>5227</v>
      </c>
    </row>
    <row r="5197" customFormat="false" ht="15" hidden="false" customHeight="false" outlineLevel="0" collapsed="false">
      <c r="A5197" s="571"/>
      <c r="B5197" s="433"/>
      <c r="C5197" s="855" t="s">
        <v>4604</v>
      </c>
      <c r="D5197" s="316" t="s">
        <v>4359</v>
      </c>
      <c r="E5197" s="855" t="n">
        <v>0.05</v>
      </c>
      <c r="F5197" s="115" t="n">
        <v>18000</v>
      </c>
      <c r="G5197" s="615" t="n">
        <f aca="false">F5197*E5197</f>
        <v>900</v>
      </c>
      <c r="H5197" s="433"/>
    </row>
    <row r="5198" customFormat="false" ht="15" hidden="false" customHeight="false" outlineLevel="0" collapsed="false">
      <c r="A5198" s="571"/>
      <c r="B5198" s="433"/>
      <c r="C5198" s="855" t="s">
        <v>4317</v>
      </c>
      <c r="D5198" s="316" t="s">
        <v>4359</v>
      </c>
      <c r="E5198" s="855" t="n">
        <v>0.1</v>
      </c>
      <c r="F5198" s="115" t="n">
        <v>21000</v>
      </c>
      <c r="G5198" s="615" t="n">
        <f aca="false">F5198*E5198</f>
        <v>2100</v>
      </c>
      <c r="H5198" s="433"/>
    </row>
    <row r="5199" customFormat="false" ht="15" hidden="false" customHeight="true" outlineLevel="0" collapsed="false">
      <c r="A5199" s="571"/>
      <c r="B5199" s="433"/>
      <c r="C5199" s="855" t="s">
        <v>4147</v>
      </c>
      <c r="D5199" s="316" t="s">
        <v>4359</v>
      </c>
      <c r="E5199" s="855" t="n">
        <v>0.05</v>
      </c>
      <c r="F5199" s="115" t="n">
        <v>18000</v>
      </c>
      <c r="G5199" s="615" t="n">
        <f aca="false">F5199*E5199</f>
        <v>900</v>
      </c>
      <c r="H5199" s="433"/>
    </row>
    <row r="5200" customFormat="false" ht="15" hidden="false" customHeight="false" outlineLevel="0" collapsed="false">
      <c r="A5200" s="571"/>
      <c r="B5200" s="433"/>
      <c r="C5200" s="855" t="s">
        <v>5228</v>
      </c>
      <c r="D5200" s="316" t="s">
        <v>4133</v>
      </c>
      <c r="E5200" s="855" t="n">
        <v>0.001</v>
      </c>
      <c r="F5200" s="115" t="n">
        <v>19000</v>
      </c>
      <c r="G5200" s="615" t="n">
        <f aca="false">F5200*E5200</f>
        <v>19</v>
      </c>
      <c r="H5200" s="433"/>
    </row>
    <row r="5201" customFormat="false" ht="15" hidden="false" customHeight="false" outlineLevel="0" collapsed="false">
      <c r="A5201" s="571"/>
      <c r="B5201" s="433"/>
      <c r="C5201" s="855" t="s">
        <v>4673</v>
      </c>
      <c r="D5201" s="316" t="s">
        <v>4133</v>
      </c>
      <c r="E5201" s="855" t="n">
        <v>0.005</v>
      </c>
      <c r="F5201" s="115" t="n">
        <v>106777</v>
      </c>
      <c r="G5201" s="615" t="n">
        <f aca="false">F5201*E5201</f>
        <v>533.885</v>
      </c>
      <c r="H5201" s="433"/>
    </row>
    <row r="5202" customFormat="false" ht="15" hidden="false" customHeight="false" outlineLevel="0" collapsed="false">
      <c r="A5202" s="571"/>
      <c r="B5202" s="433"/>
      <c r="C5202" s="861" t="s">
        <v>4672</v>
      </c>
      <c r="D5202" s="316" t="s">
        <v>4359</v>
      </c>
      <c r="E5202" s="855" t="n">
        <v>0.03</v>
      </c>
      <c r="F5202" s="857" t="n">
        <v>3730</v>
      </c>
      <c r="G5202" s="615" t="n">
        <f aca="false">F5202*E5202</f>
        <v>111.9</v>
      </c>
      <c r="H5202" s="433"/>
    </row>
    <row r="5203" customFormat="false" ht="30" hidden="false" customHeight="false" outlineLevel="0" collapsed="false">
      <c r="A5203" s="571"/>
      <c r="B5203" s="433"/>
      <c r="C5203" s="532" t="s">
        <v>5238</v>
      </c>
      <c r="D5203" s="679" t="s">
        <v>4141</v>
      </c>
      <c r="E5203" s="865" t="n">
        <v>0.001</v>
      </c>
      <c r="F5203" s="681" t="n">
        <v>1400</v>
      </c>
      <c r="G5203" s="615" t="n">
        <f aca="false">F5203*E5203</f>
        <v>1.4</v>
      </c>
      <c r="H5203" s="433"/>
    </row>
    <row r="5204" customFormat="false" ht="30" hidden="false" customHeight="false" outlineLevel="0" collapsed="false">
      <c r="A5204" s="571"/>
      <c r="B5204" s="433"/>
      <c r="C5204" s="855" t="s">
        <v>5229</v>
      </c>
      <c r="D5204" s="316" t="s">
        <v>4133</v>
      </c>
      <c r="E5204" s="855" t="n">
        <v>0.0001</v>
      </c>
      <c r="F5204" s="857" t="n">
        <v>71490</v>
      </c>
      <c r="G5204" s="615" t="n">
        <f aca="false">F5204*E5204</f>
        <v>7.149</v>
      </c>
      <c r="H5204" s="433"/>
    </row>
    <row r="5205" customFormat="false" ht="30" hidden="false" customHeight="false" outlineLevel="0" collapsed="false">
      <c r="A5205" s="571"/>
      <c r="B5205" s="433"/>
      <c r="C5205" s="855" t="s">
        <v>5230</v>
      </c>
      <c r="D5205" s="316" t="s">
        <v>4133</v>
      </c>
      <c r="E5205" s="855" t="n">
        <v>0.0001</v>
      </c>
      <c r="F5205" s="857" t="n">
        <v>74815</v>
      </c>
      <c r="G5205" s="615" t="n">
        <f aca="false">F5205*E5205</f>
        <v>7.4815</v>
      </c>
      <c r="H5205" s="433"/>
    </row>
    <row r="5206" customFormat="false" ht="45" hidden="false" customHeight="false" outlineLevel="0" collapsed="false">
      <c r="A5206" s="571"/>
      <c r="B5206" s="433"/>
      <c r="C5206" s="855" t="s">
        <v>5231</v>
      </c>
      <c r="D5206" s="316" t="s">
        <v>4133</v>
      </c>
      <c r="E5206" s="855" t="n">
        <v>0.0001</v>
      </c>
      <c r="F5206" s="857" t="n">
        <v>75465</v>
      </c>
      <c r="G5206" s="615" t="n">
        <f aca="false">F5206*E5206</f>
        <v>7.5465</v>
      </c>
      <c r="H5206" s="433"/>
    </row>
    <row r="5207" customFormat="false" ht="30" hidden="false" customHeight="false" outlineLevel="0" collapsed="false">
      <c r="A5207" s="571"/>
      <c r="B5207" s="433"/>
      <c r="C5207" s="855" t="s">
        <v>5232</v>
      </c>
      <c r="D5207" s="316" t="s">
        <v>4133</v>
      </c>
      <c r="E5207" s="855" t="n">
        <v>0.0001</v>
      </c>
      <c r="F5207" s="857" t="n">
        <v>87990</v>
      </c>
      <c r="G5207" s="615" t="n">
        <f aca="false">F5207*E5207</f>
        <v>8.799</v>
      </c>
      <c r="H5207" s="433"/>
    </row>
    <row r="5208" customFormat="false" ht="30" hidden="false" customHeight="false" outlineLevel="0" collapsed="false">
      <c r="A5208" s="571"/>
      <c r="B5208" s="433"/>
      <c r="C5208" s="855" t="s">
        <v>5233</v>
      </c>
      <c r="D5208" s="316" t="s">
        <v>4133</v>
      </c>
      <c r="E5208" s="855" t="n">
        <v>0.0001</v>
      </c>
      <c r="F5208" s="857" t="n">
        <v>71395</v>
      </c>
      <c r="G5208" s="615" t="n">
        <f aca="false">F5208*E5208</f>
        <v>7.1395</v>
      </c>
      <c r="H5208" s="433"/>
    </row>
    <row r="5209" customFormat="false" ht="30" hidden="false" customHeight="false" outlineLevel="0" collapsed="false">
      <c r="A5209" s="571"/>
      <c r="B5209" s="433"/>
      <c r="C5209" s="855" t="s">
        <v>5234</v>
      </c>
      <c r="D5209" s="316" t="s">
        <v>4133</v>
      </c>
      <c r="E5209" s="855" t="n">
        <v>0.0001</v>
      </c>
      <c r="F5209" s="857" t="n">
        <v>53450</v>
      </c>
      <c r="G5209" s="615" t="n">
        <f aca="false">F5209*E5209</f>
        <v>5.345</v>
      </c>
      <c r="H5209" s="433"/>
    </row>
    <row r="5210" customFormat="false" ht="15" hidden="false" customHeight="false" outlineLevel="0" collapsed="false">
      <c r="A5210" s="571"/>
      <c r="B5210" s="433"/>
      <c r="C5210" s="855" t="s">
        <v>5240</v>
      </c>
      <c r="D5210" s="316" t="s">
        <v>5274</v>
      </c>
      <c r="E5210" s="855" t="n">
        <v>0.002</v>
      </c>
      <c r="F5210" s="857" t="n">
        <v>225000</v>
      </c>
      <c r="G5210" s="615" t="n">
        <f aca="false">F5210*E5210</f>
        <v>450</v>
      </c>
      <c r="H5210" s="433"/>
    </row>
    <row r="5211" customFormat="false" ht="15" hidden="false" customHeight="false" outlineLevel="0" collapsed="false">
      <c r="A5211" s="571"/>
      <c r="B5211" s="433"/>
      <c r="C5211" s="855" t="s">
        <v>5241</v>
      </c>
      <c r="D5211" s="316" t="s">
        <v>4141</v>
      </c>
      <c r="E5211" s="860" t="n">
        <v>0.001</v>
      </c>
      <c r="F5211" s="857" t="n">
        <v>1500</v>
      </c>
      <c r="G5211" s="615" t="n">
        <f aca="false">F5211*E5211</f>
        <v>1.5</v>
      </c>
      <c r="H5211" s="433"/>
    </row>
    <row r="5212" customFormat="false" ht="15" hidden="false" customHeight="false" outlineLevel="0" collapsed="false">
      <c r="A5212" s="571"/>
      <c r="B5212" s="433"/>
      <c r="C5212" s="855" t="s">
        <v>4347</v>
      </c>
      <c r="D5212" s="316" t="s">
        <v>4348</v>
      </c>
      <c r="E5212" s="855" t="n">
        <v>1</v>
      </c>
      <c r="F5212" s="857" t="n">
        <v>130</v>
      </c>
      <c r="G5212" s="615" t="n">
        <f aca="false">F5212*E5212</f>
        <v>130</v>
      </c>
      <c r="H5212" s="433"/>
    </row>
    <row r="5213" customFormat="false" ht="15" hidden="false" customHeight="false" outlineLevel="0" collapsed="false">
      <c r="A5213" s="571"/>
      <c r="B5213" s="433"/>
      <c r="C5213" s="855" t="s">
        <v>4122</v>
      </c>
      <c r="D5213" s="316" t="s">
        <v>4359</v>
      </c>
      <c r="E5213" s="855" t="n">
        <v>0.1</v>
      </c>
      <c r="F5213" s="871" t="n">
        <v>720</v>
      </c>
      <c r="G5213" s="615" t="n">
        <f aca="false">F5213*E5213</f>
        <v>72</v>
      </c>
      <c r="H5213" s="433"/>
    </row>
    <row r="5214" customFormat="false" ht="15" hidden="false" customHeight="false" outlineLevel="0" collapsed="false">
      <c r="A5214" s="571"/>
      <c r="B5214" s="433"/>
      <c r="C5214" s="855" t="s">
        <v>4515</v>
      </c>
      <c r="D5214" s="316" t="s">
        <v>4133</v>
      </c>
      <c r="E5214" s="855" t="n">
        <v>0.01</v>
      </c>
      <c r="F5214" s="115" t="n">
        <v>2700</v>
      </c>
      <c r="G5214" s="615" t="n">
        <f aca="false">F5214*E5214</f>
        <v>27</v>
      </c>
      <c r="H5214" s="433"/>
    </row>
    <row r="5215" customFormat="false" ht="15" hidden="false" customHeight="false" outlineLevel="0" collapsed="false">
      <c r="A5215" s="571"/>
      <c r="B5215" s="433"/>
      <c r="C5215" s="532" t="s">
        <v>5239</v>
      </c>
      <c r="D5215" s="679" t="s">
        <v>4141</v>
      </c>
      <c r="E5215" s="866" t="n">
        <v>0.003</v>
      </c>
      <c r="F5215" s="681" t="n">
        <v>23500</v>
      </c>
      <c r="G5215" s="615" t="n">
        <f aca="false">F5215*E5215</f>
        <v>70.5</v>
      </c>
      <c r="H5215" s="433"/>
    </row>
    <row r="5216" customFormat="false" ht="15" hidden="false" customHeight="false" outlineLevel="0" collapsed="false">
      <c r="A5216" s="571"/>
      <c r="B5216" s="433"/>
      <c r="C5216" s="861" t="s">
        <v>4124</v>
      </c>
      <c r="D5216" s="316" t="s">
        <v>4125</v>
      </c>
      <c r="E5216" s="855" t="n">
        <v>0.1</v>
      </c>
      <c r="F5216" s="857" t="n">
        <v>170</v>
      </c>
      <c r="G5216" s="615" t="n">
        <f aca="false">F5216*E5216</f>
        <v>17</v>
      </c>
      <c r="H5216" s="433"/>
    </row>
    <row r="5217" customFormat="false" ht="15" hidden="false" customHeight="false" outlineLevel="0" collapsed="false">
      <c r="A5217" s="571" t="s">
        <v>1057</v>
      </c>
      <c r="B5217" s="433" t="s">
        <v>3336</v>
      </c>
      <c r="C5217" s="41"/>
      <c r="D5217" s="874"/>
      <c r="E5217" s="41"/>
      <c r="F5217" s="875"/>
      <c r="G5217" s="826" t="n">
        <f aca="false">SUM(G5218:G5232)</f>
        <v>5445.6055</v>
      </c>
      <c r="H5217" s="433" t="s">
        <v>5251</v>
      </c>
    </row>
    <row r="5218" customFormat="false" ht="15" hidden="false" customHeight="false" outlineLevel="0" collapsed="false">
      <c r="A5218" s="571"/>
      <c r="B5218" s="433"/>
      <c r="C5218" s="860" t="s">
        <v>4250</v>
      </c>
      <c r="D5218" s="316" t="s">
        <v>4359</v>
      </c>
      <c r="E5218" s="855" t="n">
        <v>0.1</v>
      </c>
      <c r="F5218" s="115" t="n">
        <v>42000</v>
      </c>
      <c r="G5218" s="615" t="n">
        <f aca="false">F5218*E5218</f>
        <v>4200</v>
      </c>
      <c r="H5218" s="433"/>
    </row>
    <row r="5219" customFormat="false" ht="15" hidden="false" customHeight="false" outlineLevel="0" collapsed="false">
      <c r="A5219" s="571"/>
      <c r="B5219" s="433"/>
      <c r="C5219" s="855" t="s">
        <v>4604</v>
      </c>
      <c r="D5219" s="316" t="s">
        <v>4359</v>
      </c>
      <c r="E5219" s="855" t="n">
        <v>0.005</v>
      </c>
      <c r="F5219" s="115" t="n">
        <v>18000</v>
      </c>
      <c r="G5219" s="615" t="n">
        <f aca="false">F5219*E5219</f>
        <v>90</v>
      </c>
      <c r="H5219" s="433"/>
    </row>
    <row r="5220" customFormat="false" ht="15" hidden="false" customHeight="false" outlineLevel="0" collapsed="false">
      <c r="A5220" s="571"/>
      <c r="B5220" s="433"/>
      <c r="C5220" s="855" t="s">
        <v>5252</v>
      </c>
      <c r="D5220" s="316" t="s">
        <v>4133</v>
      </c>
      <c r="E5220" s="855" t="n">
        <v>0.005</v>
      </c>
      <c r="F5220" s="115" t="n">
        <v>19000</v>
      </c>
      <c r="G5220" s="615" t="n">
        <f aca="false">F5220*E5220</f>
        <v>95</v>
      </c>
      <c r="H5220" s="433"/>
    </row>
    <row r="5221" customFormat="false" ht="15" hidden="false" customHeight="false" outlineLevel="0" collapsed="false">
      <c r="A5221" s="571"/>
      <c r="B5221" s="433"/>
      <c r="C5221" s="860" t="s">
        <v>4154</v>
      </c>
      <c r="D5221" s="316" t="s">
        <v>4359</v>
      </c>
      <c r="E5221" s="855" t="n">
        <v>0.0086</v>
      </c>
      <c r="F5221" s="115" t="n">
        <v>18000</v>
      </c>
      <c r="G5221" s="615" t="n">
        <f aca="false">F5221*E5221</f>
        <v>154.8</v>
      </c>
      <c r="H5221" s="433"/>
    </row>
    <row r="5222" customFormat="false" ht="30" hidden="false" customHeight="false" outlineLevel="0" collapsed="false">
      <c r="A5222" s="571"/>
      <c r="B5222" s="433"/>
      <c r="C5222" s="532" t="s">
        <v>5238</v>
      </c>
      <c r="D5222" s="679" t="s">
        <v>4141</v>
      </c>
      <c r="E5222" s="858" t="n">
        <v>0.001</v>
      </c>
      <c r="F5222" s="617" t="n">
        <v>1400</v>
      </c>
      <c r="G5222" s="615" t="n">
        <f aca="false">F5222*E5222</f>
        <v>1.4</v>
      </c>
      <c r="H5222" s="433"/>
    </row>
    <row r="5223" customFormat="false" ht="45" hidden="false" customHeight="false" outlineLevel="0" collapsed="false">
      <c r="A5223" s="571"/>
      <c r="B5223" s="433"/>
      <c r="C5223" s="855" t="s">
        <v>5253</v>
      </c>
      <c r="D5223" s="316" t="s">
        <v>4133</v>
      </c>
      <c r="E5223" s="855" t="n">
        <v>0.0001</v>
      </c>
      <c r="F5223" s="115" t="n">
        <v>41555</v>
      </c>
      <c r="G5223" s="615" t="n">
        <f aca="false">F5223*E5223</f>
        <v>4.1555</v>
      </c>
      <c r="H5223" s="433"/>
    </row>
    <row r="5224" customFormat="false" ht="15" hidden="false" customHeight="false" outlineLevel="0" collapsed="false">
      <c r="A5224" s="571"/>
      <c r="B5224" s="433"/>
      <c r="C5224" s="855" t="s">
        <v>5254</v>
      </c>
      <c r="D5224" s="316" t="s">
        <v>4133</v>
      </c>
      <c r="E5224" s="855" t="n">
        <v>0.01</v>
      </c>
      <c r="F5224" s="115" t="n">
        <v>11325</v>
      </c>
      <c r="G5224" s="615" t="n">
        <f aca="false">F5224*E5224</f>
        <v>113.25</v>
      </c>
      <c r="H5224" s="433"/>
    </row>
    <row r="5225" customFormat="false" ht="15" hidden="false" customHeight="false" outlineLevel="0" collapsed="false">
      <c r="A5225" s="571"/>
      <c r="B5225" s="433"/>
      <c r="C5225" s="855" t="s">
        <v>5256</v>
      </c>
      <c r="D5225" s="316" t="s">
        <v>4133</v>
      </c>
      <c r="E5225" s="855" t="n">
        <v>0.01</v>
      </c>
      <c r="F5225" s="115" t="n">
        <v>2000</v>
      </c>
      <c r="G5225" s="615" t="n">
        <f aca="false">F5225*E5225</f>
        <v>20</v>
      </c>
      <c r="H5225" s="433"/>
    </row>
    <row r="5226" customFormat="false" ht="15" hidden="false" customHeight="false" outlineLevel="0" collapsed="false">
      <c r="A5226" s="571"/>
      <c r="B5226" s="433"/>
      <c r="C5226" s="532" t="s">
        <v>5240</v>
      </c>
      <c r="D5226" s="679" t="s">
        <v>4578</v>
      </c>
      <c r="E5226" s="858" t="n">
        <v>0.002</v>
      </c>
      <c r="F5226" s="617" t="n">
        <v>225000</v>
      </c>
      <c r="G5226" s="615" t="n">
        <f aca="false">F5226*E5226</f>
        <v>450</v>
      </c>
      <c r="H5226" s="433"/>
    </row>
    <row r="5227" customFormat="false" ht="15" hidden="false" customHeight="false" outlineLevel="0" collapsed="false">
      <c r="A5227" s="571"/>
      <c r="B5227" s="433"/>
      <c r="C5227" s="867" t="s">
        <v>4122</v>
      </c>
      <c r="D5227" s="868" t="s">
        <v>4123</v>
      </c>
      <c r="E5227" s="869" t="n">
        <v>0.1</v>
      </c>
      <c r="F5227" s="871" t="n">
        <v>720</v>
      </c>
      <c r="G5227" s="615" t="n">
        <f aca="false">F5227*E5227</f>
        <v>72</v>
      </c>
      <c r="H5227" s="433"/>
    </row>
    <row r="5228" customFormat="false" ht="15" hidden="false" customHeight="false" outlineLevel="0" collapsed="false">
      <c r="A5228" s="571"/>
      <c r="B5228" s="433"/>
      <c r="C5228" s="855" t="s">
        <v>5241</v>
      </c>
      <c r="D5228" s="868" t="s">
        <v>4121</v>
      </c>
      <c r="E5228" s="869" t="n">
        <v>0.001</v>
      </c>
      <c r="F5228" s="870" t="n">
        <v>1500</v>
      </c>
      <c r="G5228" s="615" t="n">
        <f aca="false">F5228*E5228</f>
        <v>1.5</v>
      </c>
      <c r="H5228" s="433"/>
    </row>
    <row r="5229" customFormat="false" ht="15" hidden="false" customHeight="false" outlineLevel="0" collapsed="false">
      <c r="A5229" s="571"/>
      <c r="B5229" s="433"/>
      <c r="C5229" s="872" t="s">
        <v>4124</v>
      </c>
      <c r="D5229" s="868" t="s">
        <v>4125</v>
      </c>
      <c r="E5229" s="869" t="n">
        <v>0.1</v>
      </c>
      <c r="F5229" s="871" t="n">
        <v>170</v>
      </c>
      <c r="G5229" s="615" t="n">
        <f aca="false">F5229*E5229</f>
        <v>17</v>
      </c>
      <c r="H5229" s="433"/>
    </row>
    <row r="5230" customFormat="false" ht="15" hidden="false" customHeight="false" outlineLevel="0" collapsed="false">
      <c r="A5230" s="571"/>
      <c r="B5230" s="433"/>
      <c r="C5230" s="872" t="s">
        <v>4347</v>
      </c>
      <c r="D5230" s="868" t="s">
        <v>4348</v>
      </c>
      <c r="E5230" s="869" t="n">
        <v>1</v>
      </c>
      <c r="F5230" s="871" t="n">
        <v>130</v>
      </c>
      <c r="G5230" s="615" t="n">
        <f aca="false">F5230*E5230</f>
        <v>130</v>
      </c>
      <c r="H5230" s="433"/>
    </row>
    <row r="5231" customFormat="false" ht="15" hidden="false" customHeight="false" outlineLevel="0" collapsed="false">
      <c r="A5231" s="571"/>
      <c r="B5231" s="433"/>
      <c r="C5231" s="532" t="s">
        <v>5239</v>
      </c>
      <c r="D5231" s="679" t="s">
        <v>4141</v>
      </c>
      <c r="E5231" s="866" t="n">
        <v>0.003</v>
      </c>
      <c r="F5231" s="681" t="n">
        <v>23500</v>
      </c>
      <c r="G5231" s="615" t="n">
        <f aca="false">F5231*E5231</f>
        <v>70.5</v>
      </c>
      <c r="H5231" s="433"/>
    </row>
    <row r="5232" customFormat="false" ht="15" hidden="false" customHeight="false" outlineLevel="0" collapsed="false">
      <c r="A5232" s="571"/>
      <c r="B5232" s="433"/>
      <c r="C5232" s="855" t="s">
        <v>4509</v>
      </c>
      <c r="D5232" s="316" t="s">
        <v>4348</v>
      </c>
      <c r="E5232" s="855" t="n">
        <v>1</v>
      </c>
      <c r="F5232" s="857" t="n">
        <v>26</v>
      </c>
      <c r="G5232" s="615" t="n">
        <f aca="false">F5232*E5232</f>
        <v>26</v>
      </c>
      <c r="H5232" s="433"/>
    </row>
    <row r="5233" customFormat="false" ht="15" hidden="false" customHeight="false" outlineLevel="0" collapsed="false">
      <c r="A5233" s="571" t="s">
        <v>1058</v>
      </c>
      <c r="B5233" s="433" t="s">
        <v>5275</v>
      </c>
      <c r="C5233" s="41"/>
      <c r="D5233" s="874"/>
      <c r="E5233" s="41"/>
      <c r="F5233" s="875"/>
      <c r="G5233" s="826" t="n">
        <f aca="false">SUM(G5234:G5257)</f>
        <v>9742.479</v>
      </c>
      <c r="H5233" s="856" t="s">
        <v>5276</v>
      </c>
    </row>
    <row r="5234" customFormat="false" ht="15" hidden="false" customHeight="false" outlineLevel="0" collapsed="false">
      <c r="A5234" s="571"/>
      <c r="B5234" s="433"/>
      <c r="C5234" s="855" t="s">
        <v>4317</v>
      </c>
      <c r="D5234" s="316" t="s">
        <v>4359</v>
      </c>
      <c r="E5234" s="855" t="n">
        <v>0.246</v>
      </c>
      <c r="F5234" s="115" t="n">
        <v>21000</v>
      </c>
      <c r="G5234" s="615" t="n">
        <f aca="false">F5234*E5234</f>
        <v>5166</v>
      </c>
      <c r="H5234" s="888"/>
    </row>
    <row r="5235" customFormat="false" ht="15" hidden="false" customHeight="false" outlineLevel="0" collapsed="false">
      <c r="A5235" s="571"/>
      <c r="B5235" s="433"/>
      <c r="C5235" s="855" t="s">
        <v>4147</v>
      </c>
      <c r="D5235" s="316" t="s">
        <v>4359</v>
      </c>
      <c r="E5235" s="855" t="n">
        <v>0.005</v>
      </c>
      <c r="F5235" s="115" t="n">
        <v>18000</v>
      </c>
      <c r="G5235" s="615" t="n">
        <f aca="false">F5235*E5235</f>
        <v>90</v>
      </c>
      <c r="H5235" s="888"/>
    </row>
    <row r="5236" customFormat="false" ht="15" hidden="false" customHeight="false" outlineLevel="0" collapsed="false">
      <c r="A5236" s="571"/>
      <c r="B5236" s="433"/>
      <c r="C5236" s="855" t="s">
        <v>5243</v>
      </c>
      <c r="D5236" s="316" t="s">
        <v>4133</v>
      </c>
      <c r="E5236" s="855" t="n">
        <v>0.005</v>
      </c>
      <c r="F5236" s="115" t="n">
        <v>2241</v>
      </c>
      <c r="G5236" s="615" t="n">
        <f aca="false">F5236*E5236</f>
        <v>11.205</v>
      </c>
      <c r="H5236" s="888"/>
    </row>
    <row r="5237" customFormat="false" ht="15" hidden="false" customHeight="false" outlineLevel="0" collapsed="false">
      <c r="A5237" s="571"/>
      <c r="B5237" s="433"/>
      <c r="C5237" s="855" t="s">
        <v>4584</v>
      </c>
      <c r="D5237" s="316" t="s">
        <v>4133</v>
      </c>
      <c r="E5237" s="855" t="n">
        <v>0.0505</v>
      </c>
      <c r="F5237" s="115" t="n">
        <v>21000</v>
      </c>
      <c r="G5237" s="615" t="n">
        <f aca="false">F5237*E5237</f>
        <v>1060.5</v>
      </c>
      <c r="H5237" s="888"/>
    </row>
    <row r="5238" customFormat="false" ht="15" hidden="false" customHeight="false" outlineLevel="0" collapsed="false">
      <c r="A5238" s="571"/>
      <c r="B5238" s="433"/>
      <c r="C5238" s="860" t="s">
        <v>4189</v>
      </c>
      <c r="D5238" s="316" t="s">
        <v>4359</v>
      </c>
      <c r="E5238" s="855" t="n">
        <v>0.0025</v>
      </c>
      <c r="F5238" s="115" t="n">
        <v>1800</v>
      </c>
      <c r="G5238" s="615" t="n">
        <f aca="false">F5238*E5238</f>
        <v>4.5</v>
      </c>
      <c r="H5238" s="888"/>
    </row>
    <row r="5239" customFormat="false" ht="30" hidden="false" customHeight="false" outlineLevel="0" collapsed="false">
      <c r="A5239" s="571"/>
      <c r="B5239" s="433"/>
      <c r="C5239" s="855" t="s">
        <v>5244</v>
      </c>
      <c r="D5239" s="316" t="s">
        <v>4133</v>
      </c>
      <c r="E5239" s="855" t="n">
        <v>0.001</v>
      </c>
      <c r="F5239" s="115" t="n">
        <v>19000</v>
      </c>
      <c r="G5239" s="615" t="n">
        <f aca="false">F5239*E5239</f>
        <v>19</v>
      </c>
      <c r="H5239" s="888"/>
    </row>
    <row r="5240" customFormat="false" ht="15" hidden="false" customHeight="false" outlineLevel="0" collapsed="false">
      <c r="A5240" s="571"/>
      <c r="B5240" s="433"/>
      <c r="C5240" s="855" t="s">
        <v>4753</v>
      </c>
      <c r="D5240" s="316" t="s">
        <v>4133</v>
      </c>
      <c r="E5240" s="879" t="n">
        <v>0.00748</v>
      </c>
      <c r="F5240" s="115" t="n">
        <v>24000</v>
      </c>
      <c r="G5240" s="615" t="n">
        <f aca="false">F5240*E5240</f>
        <v>179.52</v>
      </c>
      <c r="H5240" s="888"/>
    </row>
    <row r="5241" customFormat="false" ht="15" hidden="false" customHeight="false" outlineLevel="0" collapsed="false">
      <c r="A5241" s="571"/>
      <c r="B5241" s="433"/>
      <c r="C5241" s="855" t="s">
        <v>4673</v>
      </c>
      <c r="D5241" s="316" t="s">
        <v>4133</v>
      </c>
      <c r="E5241" s="855" t="n">
        <v>0.002</v>
      </c>
      <c r="F5241" s="115" t="n">
        <v>106777</v>
      </c>
      <c r="G5241" s="615" t="n">
        <f aca="false">F5241*E5241</f>
        <v>213.554</v>
      </c>
      <c r="H5241" s="888"/>
    </row>
    <row r="5242" customFormat="false" ht="30" hidden="false" customHeight="false" outlineLevel="0" collapsed="false">
      <c r="A5242" s="571"/>
      <c r="B5242" s="433"/>
      <c r="C5242" s="532" t="s">
        <v>5238</v>
      </c>
      <c r="D5242" s="679" t="s">
        <v>4141</v>
      </c>
      <c r="E5242" s="866" t="n">
        <v>0.001</v>
      </c>
      <c r="F5242" s="617" t="n">
        <v>1400</v>
      </c>
      <c r="G5242" s="615" t="n">
        <f aca="false">F5242*E5242</f>
        <v>1.4</v>
      </c>
      <c r="H5242" s="888"/>
    </row>
    <row r="5243" customFormat="false" ht="15" hidden="false" customHeight="false" outlineLevel="0" collapsed="false">
      <c r="A5243" s="571"/>
      <c r="B5243" s="433"/>
      <c r="C5243" s="855" t="s">
        <v>5241</v>
      </c>
      <c r="D5243" s="316" t="s">
        <v>4141</v>
      </c>
      <c r="E5243" s="860" t="n">
        <v>0.001</v>
      </c>
      <c r="F5243" s="857" t="n">
        <v>1500</v>
      </c>
      <c r="G5243" s="615" t="n">
        <f aca="false">F5243*E5243</f>
        <v>1.5</v>
      </c>
      <c r="H5243" s="888"/>
    </row>
    <row r="5244" customFormat="false" ht="15" hidden="false" customHeight="false" outlineLevel="0" collapsed="false">
      <c r="A5244" s="571"/>
      <c r="B5244" s="433"/>
      <c r="C5244" s="855" t="s">
        <v>5245</v>
      </c>
      <c r="D5244" s="316" t="s">
        <v>4133</v>
      </c>
      <c r="E5244" s="855" t="n">
        <v>0.0001</v>
      </c>
      <c r="F5244" s="115" t="n">
        <v>58000</v>
      </c>
      <c r="G5244" s="615" t="n">
        <f aca="false">F5244*E5244</f>
        <v>5.8</v>
      </c>
      <c r="H5244" s="888"/>
    </row>
    <row r="5245" customFormat="false" ht="15" hidden="false" customHeight="false" outlineLevel="0" collapsed="false">
      <c r="A5245" s="571"/>
      <c r="B5245" s="433"/>
      <c r="C5245" s="855" t="s">
        <v>5246</v>
      </c>
      <c r="D5245" s="316" t="s">
        <v>4133</v>
      </c>
      <c r="E5245" s="855" t="n">
        <v>0.0001</v>
      </c>
      <c r="F5245" s="115" t="n">
        <v>58000</v>
      </c>
      <c r="G5245" s="615" t="n">
        <f aca="false">F5245*E5245</f>
        <v>5.8</v>
      </c>
      <c r="H5245" s="888"/>
    </row>
    <row r="5246" customFormat="false" ht="15" hidden="false" customHeight="false" outlineLevel="0" collapsed="false">
      <c r="A5246" s="571"/>
      <c r="B5246" s="433"/>
      <c r="C5246" s="855" t="s">
        <v>5247</v>
      </c>
      <c r="D5246" s="316" t="s">
        <v>4133</v>
      </c>
      <c r="E5246" s="855" t="n">
        <v>0.0001</v>
      </c>
      <c r="F5246" s="115" t="n">
        <v>58000</v>
      </c>
      <c r="G5246" s="615" t="n">
        <f aca="false">F5246*E5246</f>
        <v>5.8</v>
      </c>
      <c r="H5246" s="888"/>
    </row>
    <row r="5247" customFormat="false" ht="15" hidden="false" customHeight="false" outlineLevel="0" collapsed="false">
      <c r="A5247" s="571"/>
      <c r="B5247" s="433"/>
      <c r="C5247" s="855" t="s">
        <v>5248</v>
      </c>
      <c r="D5247" s="316" t="s">
        <v>4133</v>
      </c>
      <c r="E5247" s="855" t="n">
        <v>0.0001</v>
      </c>
      <c r="F5247" s="115" t="n">
        <v>58000</v>
      </c>
      <c r="G5247" s="615" t="n">
        <f aca="false">F5247*E5247</f>
        <v>5.8</v>
      </c>
      <c r="H5247" s="888"/>
    </row>
    <row r="5248" customFormat="false" ht="15" hidden="false" customHeight="false" outlineLevel="0" collapsed="false">
      <c r="A5248" s="571"/>
      <c r="B5248" s="433"/>
      <c r="C5248" s="855" t="s">
        <v>5249</v>
      </c>
      <c r="D5248" s="316" t="s">
        <v>4133</v>
      </c>
      <c r="E5248" s="855" t="n">
        <v>0.0001</v>
      </c>
      <c r="F5248" s="115" t="n">
        <v>58000</v>
      </c>
      <c r="G5248" s="615" t="n">
        <f aca="false">F5248*E5248</f>
        <v>5.8</v>
      </c>
      <c r="H5248" s="888"/>
    </row>
    <row r="5249" customFormat="false" ht="15" hidden="false" customHeight="false" outlineLevel="0" collapsed="false">
      <c r="A5249" s="571"/>
      <c r="B5249" s="433"/>
      <c r="C5249" s="855" t="s">
        <v>5250</v>
      </c>
      <c r="D5249" s="316" t="s">
        <v>4133</v>
      </c>
      <c r="E5249" s="855" t="n">
        <v>0.0001</v>
      </c>
      <c r="F5249" s="115" t="n">
        <v>58000</v>
      </c>
      <c r="G5249" s="615" t="n">
        <f aca="false">F5249*E5249</f>
        <v>5.8</v>
      </c>
      <c r="H5249" s="888"/>
    </row>
    <row r="5250" customFormat="false" ht="15" hidden="false" customHeight="false" outlineLevel="0" collapsed="false">
      <c r="A5250" s="571"/>
      <c r="B5250" s="433"/>
      <c r="C5250" s="855" t="s">
        <v>5240</v>
      </c>
      <c r="D5250" s="316" t="s">
        <v>4578</v>
      </c>
      <c r="E5250" s="855" t="n">
        <v>0.002</v>
      </c>
      <c r="F5250" s="857" t="n">
        <v>225000</v>
      </c>
      <c r="G5250" s="615" t="n">
        <f aca="false">F5250*E5250</f>
        <v>450</v>
      </c>
      <c r="H5250" s="888"/>
    </row>
    <row r="5251" customFormat="false" ht="15" hidden="false" customHeight="false" outlineLevel="0" collapsed="false">
      <c r="A5251" s="571"/>
      <c r="B5251" s="433"/>
      <c r="C5251" s="532" t="s">
        <v>4251</v>
      </c>
      <c r="D5251" s="679" t="s">
        <v>4578</v>
      </c>
      <c r="E5251" s="866" t="n">
        <v>0.002</v>
      </c>
      <c r="F5251" s="681" t="n">
        <v>275000</v>
      </c>
      <c r="G5251" s="615" t="n">
        <f aca="false">F5251*E5251</f>
        <v>550</v>
      </c>
      <c r="H5251" s="888"/>
    </row>
    <row r="5252" customFormat="false" ht="15" hidden="false" customHeight="false" outlineLevel="0" collapsed="false">
      <c r="A5252" s="571"/>
      <c r="B5252" s="433"/>
      <c r="C5252" s="867" t="s">
        <v>4497</v>
      </c>
      <c r="D5252" s="868" t="s">
        <v>4348</v>
      </c>
      <c r="E5252" s="869" t="n">
        <v>0.003</v>
      </c>
      <c r="F5252" s="870" t="n">
        <v>550000</v>
      </c>
      <c r="G5252" s="615" t="n">
        <f aca="false">F5252*E5252</f>
        <v>1650</v>
      </c>
      <c r="H5252" s="888"/>
    </row>
    <row r="5253" customFormat="false" ht="15" hidden="false" customHeight="false" outlineLevel="0" collapsed="false">
      <c r="A5253" s="571"/>
      <c r="B5253" s="433"/>
      <c r="C5253" s="884" t="s">
        <v>4122</v>
      </c>
      <c r="D5253" s="679" t="s">
        <v>4123</v>
      </c>
      <c r="E5253" s="709" t="n">
        <v>0.1</v>
      </c>
      <c r="F5253" s="871" t="n">
        <v>720</v>
      </c>
      <c r="G5253" s="615" t="n">
        <f aca="false">F5253*E5253</f>
        <v>72</v>
      </c>
      <c r="H5253" s="888"/>
    </row>
    <row r="5254" customFormat="false" ht="15" hidden="false" customHeight="false" outlineLevel="0" collapsed="false">
      <c r="A5254" s="571"/>
      <c r="B5254" s="433"/>
      <c r="C5254" s="885" t="s">
        <v>4124</v>
      </c>
      <c r="D5254" s="679" t="s">
        <v>4125</v>
      </c>
      <c r="E5254" s="709" t="n">
        <v>0.1</v>
      </c>
      <c r="F5254" s="886" t="n">
        <v>120</v>
      </c>
      <c r="G5254" s="615" t="n">
        <f aca="false">F5254*E5254</f>
        <v>12</v>
      </c>
      <c r="H5254" s="888"/>
    </row>
    <row r="5255" customFormat="false" ht="15" hidden="false" customHeight="false" outlineLevel="0" collapsed="false">
      <c r="A5255" s="571"/>
      <c r="B5255" s="433"/>
      <c r="C5255" s="885" t="s">
        <v>4347</v>
      </c>
      <c r="D5255" s="679" t="s">
        <v>4348</v>
      </c>
      <c r="E5255" s="709" t="n">
        <v>1</v>
      </c>
      <c r="F5255" s="886" t="n">
        <v>130</v>
      </c>
      <c r="G5255" s="615" t="n">
        <f aca="false">F5255*E5255</f>
        <v>130</v>
      </c>
      <c r="H5255" s="888"/>
    </row>
    <row r="5256" customFormat="false" ht="15" hidden="false" customHeight="false" outlineLevel="0" collapsed="false">
      <c r="A5256" s="571"/>
      <c r="B5256" s="433"/>
      <c r="C5256" s="532" t="s">
        <v>5239</v>
      </c>
      <c r="D5256" s="679" t="s">
        <v>4141</v>
      </c>
      <c r="E5256" s="866" t="n">
        <v>0.003</v>
      </c>
      <c r="F5256" s="681" t="n">
        <v>23500</v>
      </c>
      <c r="G5256" s="615" t="n">
        <f aca="false">F5256*E5256</f>
        <v>70.5</v>
      </c>
      <c r="H5256" s="888"/>
    </row>
    <row r="5257" customFormat="false" ht="15" hidden="false" customHeight="false" outlineLevel="0" collapsed="false">
      <c r="A5257" s="571"/>
      <c r="B5257" s="433"/>
      <c r="C5257" s="855" t="s">
        <v>4509</v>
      </c>
      <c r="D5257" s="316" t="s">
        <v>4348</v>
      </c>
      <c r="E5257" s="855" t="n">
        <v>1</v>
      </c>
      <c r="F5257" s="857" t="n">
        <v>26</v>
      </c>
      <c r="G5257" s="615" t="n">
        <f aca="false">F5257*E5257</f>
        <v>26</v>
      </c>
      <c r="H5257" s="888"/>
    </row>
    <row r="5258" customFormat="false" ht="28.5" hidden="false" customHeight="false" outlineLevel="0" collapsed="false">
      <c r="A5258" s="350" t="s">
        <v>1060</v>
      </c>
      <c r="B5258" s="346" t="s">
        <v>3320</v>
      </c>
      <c r="C5258" s="601"/>
      <c r="D5258" s="600"/>
      <c r="E5258" s="600"/>
      <c r="F5258" s="364"/>
      <c r="G5258" s="713"/>
      <c r="H5258" s="887"/>
    </row>
    <row r="5259" customFormat="false" ht="15" hidden="false" customHeight="false" outlineLevel="0" collapsed="false">
      <c r="A5259" s="571" t="s">
        <v>1062</v>
      </c>
      <c r="B5259" s="433" t="s">
        <v>3307</v>
      </c>
      <c r="C5259" s="476"/>
      <c r="D5259" s="820"/>
      <c r="E5259" s="820"/>
      <c r="F5259" s="697"/>
      <c r="G5259" s="826" t="n">
        <f aca="false">SUM(G5260:G5278)</f>
        <v>5708.4375</v>
      </c>
      <c r="H5259" s="433" t="s">
        <v>5227</v>
      </c>
    </row>
    <row r="5260" customFormat="false" ht="15" hidden="false" customHeight="false" outlineLevel="0" collapsed="false">
      <c r="A5260" s="571"/>
      <c r="B5260" s="433"/>
      <c r="C5260" s="855" t="s">
        <v>4317</v>
      </c>
      <c r="D5260" s="316" t="s">
        <v>4359</v>
      </c>
      <c r="E5260" s="855" t="n">
        <v>0.1</v>
      </c>
      <c r="F5260" s="115" t="n">
        <v>21000</v>
      </c>
      <c r="G5260" s="615" t="n">
        <f aca="false">F5260*E5260</f>
        <v>2100</v>
      </c>
      <c r="H5260" s="433"/>
    </row>
    <row r="5261" customFormat="false" ht="15" hidden="false" customHeight="false" outlineLevel="0" collapsed="false">
      <c r="A5261" s="571"/>
      <c r="B5261" s="433"/>
      <c r="C5261" s="855" t="s">
        <v>4147</v>
      </c>
      <c r="D5261" s="316" t="s">
        <v>4359</v>
      </c>
      <c r="E5261" s="855" t="n">
        <v>0.05</v>
      </c>
      <c r="F5261" s="115" t="n">
        <v>18000</v>
      </c>
      <c r="G5261" s="615" t="n">
        <f aca="false">F5261*E5261</f>
        <v>900</v>
      </c>
      <c r="H5261" s="433"/>
    </row>
    <row r="5262" customFormat="false" ht="15" hidden="false" customHeight="true" outlineLevel="0" collapsed="false">
      <c r="A5262" s="571"/>
      <c r="B5262" s="433"/>
      <c r="C5262" s="855" t="s">
        <v>5228</v>
      </c>
      <c r="D5262" s="316" t="s">
        <v>4133</v>
      </c>
      <c r="E5262" s="855" t="n">
        <v>0.01</v>
      </c>
      <c r="F5262" s="115" t="n">
        <v>19000</v>
      </c>
      <c r="G5262" s="615" t="n">
        <f aca="false">F5262*E5262</f>
        <v>190</v>
      </c>
      <c r="H5262" s="433"/>
    </row>
    <row r="5263" customFormat="false" ht="15" hidden="false" customHeight="false" outlineLevel="0" collapsed="false">
      <c r="A5263" s="571"/>
      <c r="B5263" s="433"/>
      <c r="C5263" s="855" t="s">
        <v>4673</v>
      </c>
      <c r="D5263" s="316" t="s">
        <v>4359</v>
      </c>
      <c r="E5263" s="855" t="n">
        <v>0.001</v>
      </c>
      <c r="F5263" s="115" t="n">
        <v>106777</v>
      </c>
      <c r="G5263" s="615" t="n">
        <f aca="false">F5263*E5263</f>
        <v>106.777</v>
      </c>
      <c r="H5263" s="433"/>
    </row>
    <row r="5264" customFormat="false" ht="30" hidden="false" customHeight="false" outlineLevel="0" collapsed="false">
      <c r="A5264" s="571"/>
      <c r="B5264" s="433"/>
      <c r="C5264" s="860" t="s">
        <v>5229</v>
      </c>
      <c r="D5264" s="316" t="s">
        <v>4133</v>
      </c>
      <c r="E5264" s="855" t="n">
        <v>0.0001</v>
      </c>
      <c r="F5264" s="115" t="n">
        <v>71490</v>
      </c>
      <c r="G5264" s="615" t="n">
        <f aca="false">F5264*E5264</f>
        <v>7.149</v>
      </c>
      <c r="H5264" s="433"/>
    </row>
    <row r="5265" customFormat="false" ht="30" hidden="false" customHeight="false" outlineLevel="0" collapsed="false">
      <c r="A5265" s="571"/>
      <c r="B5265" s="433"/>
      <c r="C5265" s="860" t="s">
        <v>5230</v>
      </c>
      <c r="D5265" s="316" t="s">
        <v>4133</v>
      </c>
      <c r="E5265" s="855" t="n">
        <v>0.0001</v>
      </c>
      <c r="F5265" s="857" t="n">
        <v>74815</v>
      </c>
      <c r="G5265" s="615" t="n">
        <f aca="false">F5265*E5265</f>
        <v>7.4815</v>
      </c>
      <c r="H5265" s="433"/>
    </row>
    <row r="5266" customFormat="false" ht="45" hidden="false" customHeight="false" outlineLevel="0" collapsed="false">
      <c r="A5266" s="571"/>
      <c r="B5266" s="433"/>
      <c r="C5266" s="860" t="s">
        <v>5231</v>
      </c>
      <c r="D5266" s="316" t="s">
        <v>4133</v>
      </c>
      <c r="E5266" s="855" t="n">
        <v>0.0001</v>
      </c>
      <c r="F5266" s="857" t="n">
        <v>75465</v>
      </c>
      <c r="G5266" s="615" t="n">
        <f aca="false">F5266*E5266</f>
        <v>7.5465</v>
      </c>
      <c r="H5266" s="433"/>
    </row>
    <row r="5267" customFormat="false" ht="30" hidden="false" customHeight="false" outlineLevel="0" collapsed="false">
      <c r="A5267" s="571"/>
      <c r="B5267" s="433"/>
      <c r="C5267" s="860" t="s">
        <v>5232</v>
      </c>
      <c r="D5267" s="316" t="s">
        <v>4133</v>
      </c>
      <c r="E5267" s="855" t="n">
        <v>0.0001</v>
      </c>
      <c r="F5267" s="857" t="n">
        <v>87990</v>
      </c>
      <c r="G5267" s="615" t="n">
        <f aca="false">F5267*E5267</f>
        <v>8.799</v>
      </c>
      <c r="H5267" s="433"/>
    </row>
    <row r="5268" customFormat="false" ht="30" hidden="false" customHeight="false" outlineLevel="0" collapsed="false">
      <c r="A5268" s="571"/>
      <c r="B5268" s="433"/>
      <c r="C5268" s="855" t="s">
        <v>5233</v>
      </c>
      <c r="D5268" s="316" t="s">
        <v>4133</v>
      </c>
      <c r="E5268" s="855" t="n">
        <v>0.0001</v>
      </c>
      <c r="F5268" s="857" t="n">
        <v>71395</v>
      </c>
      <c r="G5268" s="615" t="n">
        <f aca="false">F5268*E5268</f>
        <v>7.1395</v>
      </c>
      <c r="H5268" s="433"/>
    </row>
    <row r="5269" customFormat="false" ht="30" hidden="false" customHeight="false" outlineLevel="0" collapsed="false">
      <c r="A5269" s="571"/>
      <c r="B5269" s="433"/>
      <c r="C5269" s="855" t="s">
        <v>5234</v>
      </c>
      <c r="D5269" s="316" t="s">
        <v>4133</v>
      </c>
      <c r="E5269" s="855" t="n">
        <v>0.0001</v>
      </c>
      <c r="F5269" s="857" t="n">
        <v>53450</v>
      </c>
      <c r="G5269" s="615" t="n">
        <f aca="false">F5269*E5269</f>
        <v>5.345</v>
      </c>
      <c r="H5269" s="433"/>
    </row>
    <row r="5270" customFormat="false" ht="15" hidden="false" customHeight="false" outlineLevel="0" collapsed="false">
      <c r="A5270" s="571"/>
      <c r="B5270" s="433"/>
      <c r="C5270" s="860" t="s">
        <v>4158</v>
      </c>
      <c r="D5270" s="316" t="s">
        <v>4133</v>
      </c>
      <c r="E5270" s="855" t="n">
        <v>0.01</v>
      </c>
      <c r="F5270" s="857" t="n">
        <v>1500</v>
      </c>
      <c r="G5270" s="615" t="n">
        <f aca="false">F5270*E5270</f>
        <v>15</v>
      </c>
      <c r="H5270" s="433"/>
    </row>
    <row r="5271" customFormat="false" ht="15" hidden="false" customHeight="false" outlineLevel="0" collapsed="false">
      <c r="A5271" s="571"/>
      <c r="B5271" s="433"/>
      <c r="C5271" s="855" t="s">
        <v>5240</v>
      </c>
      <c r="D5271" s="316" t="s">
        <v>4578</v>
      </c>
      <c r="E5271" s="855" t="n">
        <v>0.002</v>
      </c>
      <c r="F5271" s="857" t="n">
        <v>225000</v>
      </c>
      <c r="G5271" s="615" t="n">
        <f aca="false">F5271*E5271</f>
        <v>450</v>
      </c>
      <c r="H5271" s="433"/>
    </row>
    <row r="5272" customFormat="false" ht="15" hidden="false" customHeight="false" outlineLevel="0" collapsed="false">
      <c r="A5272" s="571"/>
      <c r="B5272" s="433"/>
      <c r="C5272" s="855" t="s">
        <v>5241</v>
      </c>
      <c r="D5272" s="316" t="s">
        <v>4141</v>
      </c>
      <c r="E5272" s="860" t="n">
        <v>0.001</v>
      </c>
      <c r="F5272" s="857" t="n">
        <v>1500</v>
      </c>
      <c r="G5272" s="615" t="n">
        <f aca="false">F5272*E5272</f>
        <v>1.5</v>
      </c>
      <c r="H5272" s="433"/>
    </row>
    <row r="5273" customFormat="false" ht="15" hidden="false" customHeight="false" outlineLevel="0" collapsed="false">
      <c r="A5273" s="571"/>
      <c r="B5273" s="433"/>
      <c r="C5273" s="855" t="s">
        <v>4347</v>
      </c>
      <c r="D5273" s="316" t="s">
        <v>4348</v>
      </c>
      <c r="E5273" s="855" t="n">
        <v>1</v>
      </c>
      <c r="F5273" s="857" t="n">
        <v>130</v>
      </c>
      <c r="G5273" s="615" t="n">
        <f aca="false">F5273*E5273</f>
        <v>130</v>
      </c>
      <c r="H5273" s="433"/>
    </row>
    <row r="5274" customFormat="false" ht="15" hidden="false" customHeight="false" outlineLevel="0" collapsed="false">
      <c r="A5274" s="571"/>
      <c r="B5274" s="433"/>
      <c r="C5274" s="867" t="s">
        <v>4497</v>
      </c>
      <c r="D5274" s="868" t="s">
        <v>4348</v>
      </c>
      <c r="E5274" s="869" t="n">
        <v>0.003</v>
      </c>
      <c r="F5274" s="870" t="n">
        <v>550000</v>
      </c>
      <c r="G5274" s="615" t="n">
        <f aca="false">F5274*E5274</f>
        <v>1650</v>
      </c>
      <c r="H5274" s="433"/>
    </row>
    <row r="5275" customFormat="false" ht="15" hidden="false" customHeight="false" outlineLevel="0" collapsed="false">
      <c r="A5275" s="571"/>
      <c r="B5275" s="433"/>
      <c r="C5275" s="855" t="s">
        <v>4122</v>
      </c>
      <c r="D5275" s="316" t="s">
        <v>4359</v>
      </c>
      <c r="E5275" s="855" t="n">
        <v>0.01</v>
      </c>
      <c r="F5275" s="871" t="n">
        <v>720</v>
      </c>
      <c r="G5275" s="615" t="n">
        <f aca="false">F5275*E5275</f>
        <v>7.2</v>
      </c>
      <c r="H5275" s="433"/>
    </row>
    <row r="5276" customFormat="false" ht="15" hidden="false" customHeight="false" outlineLevel="0" collapsed="false">
      <c r="A5276" s="571"/>
      <c r="B5276" s="433"/>
      <c r="C5276" s="855" t="s">
        <v>4515</v>
      </c>
      <c r="D5276" s="316" t="s">
        <v>4133</v>
      </c>
      <c r="E5276" s="855" t="n">
        <v>0.01</v>
      </c>
      <c r="F5276" s="857" t="n">
        <v>2700</v>
      </c>
      <c r="G5276" s="615" t="n">
        <f aca="false">F5276*E5276</f>
        <v>27</v>
      </c>
      <c r="H5276" s="433"/>
    </row>
    <row r="5277" customFormat="false" ht="15" hidden="false" customHeight="false" outlineLevel="0" collapsed="false">
      <c r="A5277" s="571"/>
      <c r="B5277" s="433"/>
      <c r="C5277" s="532" t="s">
        <v>5239</v>
      </c>
      <c r="D5277" s="679" t="s">
        <v>4141</v>
      </c>
      <c r="E5277" s="866" t="n">
        <v>0.003</v>
      </c>
      <c r="F5277" s="681" t="n">
        <v>23500</v>
      </c>
      <c r="G5277" s="615" t="n">
        <f aca="false">F5277*E5277</f>
        <v>70.5</v>
      </c>
      <c r="H5277" s="433"/>
    </row>
    <row r="5278" customFormat="false" ht="15" hidden="false" customHeight="false" outlineLevel="0" collapsed="false">
      <c r="A5278" s="571"/>
      <c r="B5278" s="433"/>
      <c r="C5278" s="861" t="s">
        <v>4124</v>
      </c>
      <c r="D5278" s="316" t="s">
        <v>4125</v>
      </c>
      <c r="E5278" s="855" t="n">
        <v>0.1</v>
      </c>
      <c r="F5278" s="115" t="n">
        <v>170</v>
      </c>
      <c r="G5278" s="615" t="n">
        <f aca="false">F5278*E5278</f>
        <v>17</v>
      </c>
      <c r="H5278" s="433"/>
    </row>
    <row r="5279" customFormat="false" ht="15" hidden="false" customHeight="false" outlineLevel="0" collapsed="false">
      <c r="A5279" s="571" t="s">
        <v>1064</v>
      </c>
      <c r="B5279" s="433" t="s">
        <v>3308</v>
      </c>
      <c r="C5279" s="41"/>
      <c r="D5279" s="874"/>
      <c r="E5279" s="41"/>
      <c r="F5279" s="875"/>
      <c r="G5279" s="826" t="n">
        <f aca="false">SUM(G5280:G5302)</f>
        <v>6600.479</v>
      </c>
      <c r="H5279" s="433" t="s">
        <v>5276</v>
      </c>
    </row>
    <row r="5280" customFormat="false" ht="15" hidden="false" customHeight="false" outlineLevel="0" collapsed="false">
      <c r="A5280" s="571"/>
      <c r="B5280" s="433"/>
      <c r="C5280" s="855" t="s">
        <v>4604</v>
      </c>
      <c r="D5280" s="316" t="s">
        <v>4359</v>
      </c>
      <c r="E5280" s="855" t="n">
        <v>0.001</v>
      </c>
      <c r="F5280" s="115" t="n">
        <v>18000</v>
      </c>
      <c r="G5280" s="615" t="n">
        <f aca="false">F5280*E5280</f>
        <v>18</v>
      </c>
      <c r="H5280" s="433"/>
    </row>
    <row r="5281" customFormat="false" ht="15" hidden="false" customHeight="false" outlineLevel="0" collapsed="false">
      <c r="A5281" s="571"/>
      <c r="B5281" s="433"/>
      <c r="C5281" s="855" t="s">
        <v>4317</v>
      </c>
      <c r="D5281" s="316" t="s">
        <v>4359</v>
      </c>
      <c r="E5281" s="855" t="n">
        <v>0.146</v>
      </c>
      <c r="F5281" s="115" t="n">
        <v>21000</v>
      </c>
      <c r="G5281" s="615" t="n">
        <f aca="false">F5281*E5281</f>
        <v>3066</v>
      </c>
      <c r="H5281" s="433"/>
    </row>
    <row r="5282" customFormat="false" ht="15" hidden="false" customHeight="false" outlineLevel="0" collapsed="false">
      <c r="A5282" s="571"/>
      <c r="B5282" s="433"/>
      <c r="C5282" s="855" t="s">
        <v>4147</v>
      </c>
      <c r="D5282" s="316" t="s">
        <v>4359</v>
      </c>
      <c r="E5282" s="855" t="n">
        <v>0.005</v>
      </c>
      <c r="F5282" s="115" t="n">
        <v>18000</v>
      </c>
      <c r="G5282" s="615" t="n">
        <f aca="false">F5282*E5282</f>
        <v>90</v>
      </c>
      <c r="H5282" s="433"/>
    </row>
    <row r="5283" customFormat="false" ht="15" hidden="false" customHeight="false" outlineLevel="0" collapsed="false">
      <c r="A5283" s="571"/>
      <c r="B5283" s="433"/>
      <c r="C5283" s="855" t="s">
        <v>5243</v>
      </c>
      <c r="D5283" s="316" t="s">
        <v>4133</v>
      </c>
      <c r="E5283" s="855" t="n">
        <v>0.005</v>
      </c>
      <c r="F5283" s="115" t="n">
        <v>2241</v>
      </c>
      <c r="G5283" s="615" t="n">
        <f aca="false">F5283*E5283</f>
        <v>11.205</v>
      </c>
      <c r="H5283" s="433"/>
    </row>
    <row r="5284" customFormat="false" ht="30" hidden="false" customHeight="false" outlineLevel="0" collapsed="false">
      <c r="A5284" s="571"/>
      <c r="B5284" s="433"/>
      <c r="C5284" s="855" t="s">
        <v>5244</v>
      </c>
      <c r="D5284" s="316" t="s">
        <v>4133</v>
      </c>
      <c r="E5284" s="855" t="n">
        <v>0.001</v>
      </c>
      <c r="F5284" s="115" t="n">
        <v>19000</v>
      </c>
      <c r="G5284" s="615" t="n">
        <f aca="false">F5284*E5284</f>
        <v>19</v>
      </c>
      <c r="H5284" s="433"/>
    </row>
    <row r="5285" customFormat="false" ht="15" hidden="false" customHeight="false" outlineLevel="0" collapsed="false">
      <c r="A5285" s="571"/>
      <c r="B5285" s="433"/>
      <c r="C5285" s="855" t="s">
        <v>4753</v>
      </c>
      <c r="D5285" s="316" t="s">
        <v>4133</v>
      </c>
      <c r="E5285" s="879" t="n">
        <v>0.00748</v>
      </c>
      <c r="F5285" s="115" t="n">
        <v>24000</v>
      </c>
      <c r="G5285" s="615" t="n">
        <f aca="false">F5285*E5285</f>
        <v>179.52</v>
      </c>
      <c r="H5285" s="433"/>
    </row>
    <row r="5286" customFormat="false" ht="15" hidden="false" customHeight="false" outlineLevel="0" collapsed="false">
      <c r="A5286" s="571"/>
      <c r="B5286" s="433"/>
      <c r="C5286" s="855" t="s">
        <v>4673</v>
      </c>
      <c r="D5286" s="316" t="s">
        <v>4133</v>
      </c>
      <c r="E5286" s="855" t="n">
        <v>0.002</v>
      </c>
      <c r="F5286" s="115" t="n">
        <v>106777</v>
      </c>
      <c r="G5286" s="615" t="n">
        <f aca="false">F5286*E5286</f>
        <v>213.554</v>
      </c>
      <c r="H5286" s="433"/>
    </row>
    <row r="5287" customFormat="false" ht="30" hidden="false" customHeight="false" outlineLevel="0" collapsed="false">
      <c r="A5287" s="571"/>
      <c r="B5287" s="433"/>
      <c r="C5287" s="532" t="s">
        <v>5238</v>
      </c>
      <c r="D5287" s="679" t="s">
        <v>4141</v>
      </c>
      <c r="E5287" s="866" t="n">
        <v>0.001</v>
      </c>
      <c r="F5287" s="617" t="n">
        <v>1400</v>
      </c>
      <c r="G5287" s="615" t="n">
        <f aca="false">F5287*E5287</f>
        <v>1.4</v>
      </c>
      <c r="H5287" s="433"/>
    </row>
    <row r="5288" customFormat="false" ht="15" hidden="false" customHeight="false" outlineLevel="0" collapsed="false">
      <c r="A5288" s="571"/>
      <c r="B5288" s="433"/>
      <c r="C5288" s="855" t="s">
        <v>5241</v>
      </c>
      <c r="D5288" s="316" t="s">
        <v>4141</v>
      </c>
      <c r="E5288" s="860" t="n">
        <v>0.001</v>
      </c>
      <c r="F5288" s="115" t="n">
        <v>1500</v>
      </c>
      <c r="G5288" s="615" t="n">
        <f aca="false">F5288*E5288</f>
        <v>1.5</v>
      </c>
      <c r="H5288" s="433"/>
    </row>
    <row r="5289" customFormat="false" ht="15" hidden="false" customHeight="false" outlineLevel="0" collapsed="false">
      <c r="A5289" s="571"/>
      <c r="B5289" s="433"/>
      <c r="C5289" s="855" t="s">
        <v>5245</v>
      </c>
      <c r="D5289" s="316" t="s">
        <v>4133</v>
      </c>
      <c r="E5289" s="855" t="n">
        <v>0.0001</v>
      </c>
      <c r="F5289" s="115" t="n">
        <v>58000</v>
      </c>
      <c r="G5289" s="615" t="n">
        <f aca="false">F5289*E5289</f>
        <v>5.8</v>
      </c>
      <c r="H5289" s="433"/>
    </row>
    <row r="5290" customFormat="false" ht="15" hidden="false" customHeight="false" outlineLevel="0" collapsed="false">
      <c r="A5290" s="571"/>
      <c r="B5290" s="433"/>
      <c r="C5290" s="855" t="s">
        <v>5246</v>
      </c>
      <c r="D5290" s="316" t="s">
        <v>4133</v>
      </c>
      <c r="E5290" s="855" t="n">
        <v>0.0001</v>
      </c>
      <c r="F5290" s="115" t="n">
        <v>58000</v>
      </c>
      <c r="G5290" s="615" t="n">
        <f aca="false">F5290*E5290</f>
        <v>5.8</v>
      </c>
      <c r="H5290" s="433"/>
    </row>
    <row r="5291" customFormat="false" ht="15" hidden="false" customHeight="false" outlineLevel="0" collapsed="false">
      <c r="A5291" s="571"/>
      <c r="B5291" s="433"/>
      <c r="C5291" s="855" t="s">
        <v>5247</v>
      </c>
      <c r="D5291" s="316" t="s">
        <v>4133</v>
      </c>
      <c r="E5291" s="855" t="n">
        <v>0.0001</v>
      </c>
      <c r="F5291" s="115" t="n">
        <v>58000</v>
      </c>
      <c r="G5291" s="615" t="n">
        <f aca="false">F5291*E5291</f>
        <v>5.8</v>
      </c>
      <c r="H5291" s="433"/>
    </row>
    <row r="5292" customFormat="false" ht="15" hidden="false" customHeight="false" outlineLevel="0" collapsed="false">
      <c r="A5292" s="571"/>
      <c r="B5292" s="433"/>
      <c r="C5292" s="855" t="s">
        <v>5248</v>
      </c>
      <c r="D5292" s="316" t="s">
        <v>4133</v>
      </c>
      <c r="E5292" s="855" t="n">
        <v>0.0001</v>
      </c>
      <c r="F5292" s="115" t="n">
        <v>58000</v>
      </c>
      <c r="G5292" s="615" t="n">
        <f aca="false">F5292*E5292</f>
        <v>5.8</v>
      </c>
      <c r="H5292" s="433"/>
    </row>
    <row r="5293" customFormat="false" ht="15" hidden="false" customHeight="false" outlineLevel="0" collapsed="false">
      <c r="A5293" s="571"/>
      <c r="B5293" s="433"/>
      <c r="C5293" s="855" t="s">
        <v>5249</v>
      </c>
      <c r="D5293" s="316" t="s">
        <v>4133</v>
      </c>
      <c r="E5293" s="855" t="n">
        <v>0.0001</v>
      </c>
      <c r="F5293" s="115" t="n">
        <v>58000</v>
      </c>
      <c r="G5293" s="615" t="n">
        <f aca="false">F5293*E5293</f>
        <v>5.8</v>
      </c>
      <c r="H5293" s="433"/>
    </row>
    <row r="5294" customFormat="false" ht="15" hidden="false" customHeight="false" outlineLevel="0" collapsed="false">
      <c r="A5294" s="571"/>
      <c r="B5294" s="433"/>
      <c r="C5294" s="855" t="s">
        <v>5250</v>
      </c>
      <c r="D5294" s="316" t="s">
        <v>4133</v>
      </c>
      <c r="E5294" s="855" t="n">
        <v>0.0001</v>
      </c>
      <c r="F5294" s="115" t="n">
        <v>58000</v>
      </c>
      <c r="G5294" s="615" t="n">
        <f aca="false">F5294*E5294</f>
        <v>5.8</v>
      </c>
      <c r="H5294" s="433"/>
    </row>
    <row r="5295" customFormat="false" ht="15" hidden="false" customHeight="false" outlineLevel="0" collapsed="false">
      <c r="A5295" s="571"/>
      <c r="B5295" s="433"/>
      <c r="C5295" s="855" t="s">
        <v>5240</v>
      </c>
      <c r="D5295" s="316" t="s">
        <v>4578</v>
      </c>
      <c r="E5295" s="855" t="n">
        <v>0.002</v>
      </c>
      <c r="F5295" s="857" t="n">
        <v>225000</v>
      </c>
      <c r="G5295" s="615" t="n">
        <f aca="false">F5295*E5295</f>
        <v>450</v>
      </c>
      <c r="H5295" s="433"/>
    </row>
    <row r="5296" customFormat="false" ht="15" hidden="false" customHeight="false" outlineLevel="0" collapsed="false">
      <c r="A5296" s="571"/>
      <c r="B5296" s="433"/>
      <c r="C5296" s="532" t="s">
        <v>4251</v>
      </c>
      <c r="D5296" s="679" t="s">
        <v>4578</v>
      </c>
      <c r="E5296" s="866" t="n">
        <v>0.002</v>
      </c>
      <c r="F5296" s="681" t="n">
        <v>275000</v>
      </c>
      <c r="G5296" s="615" t="n">
        <f aca="false">F5296*E5296</f>
        <v>550</v>
      </c>
      <c r="H5296" s="433"/>
    </row>
    <row r="5297" customFormat="false" ht="15" hidden="false" customHeight="false" outlineLevel="0" collapsed="false">
      <c r="A5297" s="571"/>
      <c r="B5297" s="433"/>
      <c r="C5297" s="867" t="s">
        <v>4497</v>
      </c>
      <c r="D5297" s="868" t="s">
        <v>4348</v>
      </c>
      <c r="E5297" s="869" t="n">
        <v>0.003</v>
      </c>
      <c r="F5297" s="870" t="n">
        <v>550000</v>
      </c>
      <c r="G5297" s="615" t="n">
        <f aca="false">F5297*E5297</f>
        <v>1650</v>
      </c>
      <c r="H5297" s="433"/>
    </row>
    <row r="5298" customFormat="false" ht="15" hidden="false" customHeight="false" outlineLevel="0" collapsed="false">
      <c r="A5298" s="571"/>
      <c r="B5298" s="433"/>
      <c r="C5298" s="884" t="s">
        <v>4122</v>
      </c>
      <c r="D5298" s="679" t="s">
        <v>4123</v>
      </c>
      <c r="E5298" s="709" t="n">
        <v>0.1</v>
      </c>
      <c r="F5298" s="871" t="n">
        <v>720</v>
      </c>
      <c r="G5298" s="615" t="n">
        <f aca="false">F5298*E5298</f>
        <v>72</v>
      </c>
      <c r="H5298" s="433"/>
    </row>
    <row r="5299" customFormat="false" ht="15" hidden="false" customHeight="false" outlineLevel="0" collapsed="false">
      <c r="A5299" s="571"/>
      <c r="B5299" s="433"/>
      <c r="C5299" s="885" t="s">
        <v>4124</v>
      </c>
      <c r="D5299" s="679" t="s">
        <v>4125</v>
      </c>
      <c r="E5299" s="709" t="n">
        <v>0.1</v>
      </c>
      <c r="F5299" s="886" t="n">
        <v>170</v>
      </c>
      <c r="G5299" s="615" t="n">
        <f aca="false">F5299*E5299</f>
        <v>17</v>
      </c>
      <c r="H5299" s="433"/>
    </row>
    <row r="5300" customFormat="false" ht="15" hidden="false" customHeight="false" outlineLevel="0" collapsed="false">
      <c r="A5300" s="571"/>
      <c r="B5300" s="433"/>
      <c r="C5300" s="885" t="s">
        <v>4347</v>
      </c>
      <c r="D5300" s="679" t="s">
        <v>4348</v>
      </c>
      <c r="E5300" s="709" t="n">
        <v>1</v>
      </c>
      <c r="F5300" s="886" t="n">
        <v>130</v>
      </c>
      <c r="G5300" s="615" t="n">
        <f aca="false">F5300*E5300</f>
        <v>130</v>
      </c>
      <c r="H5300" s="433"/>
    </row>
    <row r="5301" customFormat="false" ht="15" hidden="false" customHeight="false" outlineLevel="0" collapsed="false">
      <c r="A5301" s="571"/>
      <c r="B5301" s="433"/>
      <c r="C5301" s="532" t="s">
        <v>5239</v>
      </c>
      <c r="D5301" s="679" t="s">
        <v>4141</v>
      </c>
      <c r="E5301" s="866" t="n">
        <v>0.003</v>
      </c>
      <c r="F5301" s="681" t="n">
        <v>23500</v>
      </c>
      <c r="G5301" s="615" t="n">
        <f aca="false">F5301*E5301</f>
        <v>70.5</v>
      </c>
      <c r="H5301" s="433"/>
    </row>
    <row r="5302" customFormat="false" ht="15" hidden="false" customHeight="false" outlineLevel="0" collapsed="false">
      <c r="A5302" s="571"/>
      <c r="B5302" s="433"/>
      <c r="C5302" s="855" t="s">
        <v>4509</v>
      </c>
      <c r="D5302" s="316" t="s">
        <v>4348</v>
      </c>
      <c r="E5302" s="855" t="n">
        <v>1</v>
      </c>
      <c r="F5302" s="857" t="n">
        <v>26</v>
      </c>
      <c r="G5302" s="615" t="n">
        <f aca="false">F5302*E5302</f>
        <v>26</v>
      </c>
      <c r="H5302" s="433"/>
    </row>
    <row r="5303" customFormat="false" ht="42.75" hidden="false" customHeight="false" outlineLevel="0" collapsed="false">
      <c r="A5303" s="350" t="s">
        <v>5277</v>
      </c>
      <c r="B5303" s="346" t="s">
        <v>3083</v>
      </c>
      <c r="C5303" s="601"/>
      <c r="D5303" s="600"/>
      <c r="E5303" s="600"/>
      <c r="F5303" s="364"/>
      <c r="G5303" s="713"/>
      <c r="H5303" s="887"/>
    </row>
    <row r="5304" customFormat="false" ht="15" hidden="false" customHeight="false" outlineLevel="0" collapsed="false">
      <c r="A5304" s="571" t="s">
        <v>1068</v>
      </c>
      <c r="B5304" s="433" t="s">
        <v>3307</v>
      </c>
      <c r="C5304" s="476"/>
      <c r="D5304" s="820"/>
      <c r="E5304" s="820"/>
      <c r="F5304" s="697"/>
      <c r="G5304" s="826" t="n">
        <f aca="false">SUM(G5305:G5321)</f>
        <v>5346.9375</v>
      </c>
      <c r="H5304" s="433" t="s">
        <v>5227</v>
      </c>
    </row>
    <row r="5305" customFormat="false" ht="15" hidden="false" customHeight="false" outlineLevel="0" collapsed="false">
      <c r="A5305" s="571"/>
      <c r="B5305" s="433"/>
      <c r="C5305" s="855" t="s">
        <v>4317</v>
      </c>
      <c r="D5305" s="316" t="s">
        <v>4359</v>
      </c>
      <c r="E5305" s="855" t="n">
        <v>0.2</v>
      </c>
      <c r="F5305" s="115" t="n">
        <v>21000</v>
      </c>
      <c r="G5305" s="615" t="n">
        <f aca="false">F5305*E5305</f>
        <v>4200</v>
      </c>
      <c r="H5305" s="433"/>
    </row>
    <row r="5306" customFormat="false" ht="15" hidden="false" customHeight="false" outlineLevel="0" collapsed="false">
      <c r="A5306" s="571"/>
      <c r="B5306" s="433"/>
      <c r="C5306" s="855" t="s">
        <v>4147</v>
      </c>
      <c r="D5306" s="316" t="s">
        <v>4359</v>
      </c>
      <c r="E5306" s="855" t="n">
        <v>0.005</v>
      </c>
      <c r="F5306" s="115" t="n">
        <v>18000</v>
      </c>
      <c r="G5306" s="615" t="n">
        <f aca="false">F5306*E5306</f>
        <v>90</v>
      </c>
      <c r="H5306" s="433"/>
    </row>
    <row r="5307" customFormat="false" ht="15" hidden="false" customHeight="false" outlineLevel="0" collapsed="false">
      <c r="A5307" s="571"/>
      <c r="B5307" s="433"/>
      <c r="C5307" s="855" t="s">
        <v>5228</v>
      </c>
      <c r="D5307" s="316" t="s">
        <v>4133</v>
      </c>
      <c r="E5307" s="855" t="n">
        <v>0.01</v>
      </c>
      <c r="F5307" s="115" t="n">
        <v>19000</v>
      </c>
      <c r="G5307" s="615" t="n">
        <f aca="false">F5307*E5307</f>
        <v>190</v>
      </c>
      <c r="H5307" s="433"/>
    </row>
    <row r="5308" customFormat="false" ht="15" hidden="false" customHeight="false" outlineLevel="0" collapsed="false">
      <c r="A5308" s="571"/>
      <c r="B5308" s="433"/>
      <c r="C5308" s="855" t="s">
        <v>4673</v>
      </c>
      <c r="D5308" s="316" t="s">
        <v>4133</v>
      </c>
      <c r="E5308" s="855" t="n">
        <v>0.001</v>
      </c>
      <c r="F5308" s="115" t="n">
        <v>106777</v>
      </c>
      <c r="G5308" s="615" t="n">
        <f aca="false">F5308*E5308</f>
        <v>106.777</v>
      </c>
      <c r="H5308" s="433"/>
    </row>
    <row r="5309" customFormat="false" ht="30" hidden="false" customHeight="false" outlineLevel="0" collapsed="false">
      <c r="A5309" s="571"/>
      <c r="B5309" s="433"/>
      <c r="C5309" s="855" t="s">
        <v>5229</v>
      </c>
      <c r="D5309" s="316" t="s">
        <v>4133</v>
      </c>
      <c r="E5309" s="855" t="n">
        <v>0.0001</v>
      </c>
      <c r="F5309" s="115" t="n">
        <v>71490</v>
      </c>
      <c r="G5309" s="615" t="n">
        <f aca="false">F5309*E5309</f>
        <v>7.149</v>
      </c>
      <c r="H5309" s="433"/>
    </row>
    <row r="5310" customFormat="false" ht="30" hidden="false" customHeight="false" outlineLevel="0" collapsed="false">
      <c r="A5310" s="571"/>
      <c r="B5310" s="433"/>
      <c r="C5310" s="855" t="s">
        <v>5230</v>
      </c>
      <c r="D5310" s="316" t="s">
        <v>4133</v>
      </c>
      <c r="E5310" s="855" t="n">
        <v>0.0001</v>
      </c>
      <c r="F5310" s="115" t="n">
        <v>74815</v>
      </c>
      <c r="G5310" s="615" t="n">
        <f aca="false">F5310*E5310</f>
        <v>7.4815</v>
      </c>
      <c r="H5310" s="433"/>
    </row>
    <row r="5311" customFormat="false" ht="45" hidden="false" customHeight="false" outlineLevel="0" collapsed="false">
      <c r="A5311" s="571"/>
      <c r="B5311" s="433"/>
      <c r="C5311" s="855" t="s">
        <v>5231</v>
      </c>
      <c r="D5311" s="316" t="s">
        <v>4133</v>
      </c>
      <c r="E5311" s="855" t="n">
        <v>0.0001</v>
      </c>
      <c r="F5311" s="857" t="n">
        <v>75465</v>
      </c>
      <c r="G5311" s="615" t="n">
        <f aca="false">F5311*E5311</f>
        <v>7.5465</v>
      </c>
      <c r="H5311" s="433"/>
    </row>
    <row r="5312" customFormat="false" ht="30" hidden="false" customHeight="false" outlineLevel="0" collapsed="false">
      <c r="A5312" s="571"/>
      <c r="B5312" s="433"/>
      <c r="C5312" s="855" t="s">
        <v>5232</v>
      </c>
      <c r="D5312" s="316" t="s">
        <v>4133</v>
      </c>
      <c r="E5312" s="855" t="n">
        <v>0.0001</v>
      </c>
      <c r="F5312" s="857" t="n">
        <v>87990</v>
      </c>
      <c r="G5312" s="615" t="n">
        <f aca="false">F5312*E5312</f>
        <v>8.799</v>
      </c>
      <c r="H5312" s="433"/>
    </row>
    <row r="5313" customFormat="false" ht="30" hidden="false" customHeight="false" outlineLevel="0" collapsed="false">
      <c r="A5313" s="571"/>
      <c r="B5313" s="433"/>
      <c r="C5313" s="855" t="s">
        <v>5233</v>
      </c>
      <c r="D5313" s="316" t="s">
        <v>4133</v>
      </c>
      <c r="E5313" s="855" t="n">
        <v>0.0001</v>
      </c>
      <c r="F5313" s="857" t="n">
        <v>71395</v>
      </c>
      <c r="G5313" s="615" t="n">
        <f aca="false">F5313*E5313</f>
        <v>7.1395</v>
      </c>
      <c r="H5313" s="433"/>
    </row>
    <row r="5314" customFormat="false" ht="30" hidden="false" customHeight="false" outlineLevel="0" collapsed="false">
      <c r="A5314" s="571"/>
      <c r="B5314" s="433"/>
      <c r="C5314" s="855" t="s">
        <v>5234</v>
      </c>
      <c r="D5314" s="316" t="s">
        <v>4133</v>
      </c>
      <c r="E5314" s="855" t="n">
        <v>0.0001</v>
      </c>
      <c r="F5314" s="857" t="n">
        <v>53450</v>
      </c>
      <c r="G5314" s="615" t="n">
        <f aca="false">F5314*E5314</f>
        <v>5.345</v>
      </c>
      <c r="H5314" s="433"/>
    </row>
    <row r="5315" customFormat="false" ht="15" hidden="false" customHeight="false" outlineLevel="0" collapsed="false">
      <c r="A5315" s="571"/>
      <c r="B5315" s="433"/>
      <c r="C5315" s="855" t="s">
        <v>5240</v>
      </c>
      <c r="D5315" s="316" t="s">
        <v>4578</v>
      </c>
      <c r="E5315" s="855" t="n">
        <v>0.002</v>
      </c>
      <c r="F5315" s="857" t="n">
        <v>225000</v>
      </c>
      <c r="G5315" s="615" t="n">
        <f aca="false">F5315*E5315</f>
        <v>450</v>
      </c>
      <c r="H5315" s="433"/>
    </row>
    <row r="5316" customFormat="false" ht="18" hidden="false" customHeight="true" outlineLevel="0" collapsed="false">
      <c r="A5316" s="571"/>
      <c r="B5316" s="433"/>
      <c r="C5316" s="855" t="s">
        <v>5241</v>
      </c>
      <c r="D5316" s="316" t="s">
        <v>4141</v>
      </c>
      <c r="E5316" s="860" t="n">
        <v>0.01</v>
      </c>
      <c r="F5316" s="857" t="n">
        <v>1500</v>
      </c>
      <c r="G5316" s="615" t="n">
        <f aca="false">F5316*E5316</f>
        <v>15</v>
      </c>
      <c r="H5316" s="433"/>
    </row>
    <row r="5317" customFormat="false" ht="15" hidden="false" customHeight="false" outlineLevel="0" collapsed="false">
      <c r="A5317" s="571"/>
      <c r="B5317" s="433"/>
      <c r="C5317" s="855" t="s">
        <v>4347</v>
      </c>
      <c r="D5317" s="316" t="s">
        <v>4348</v>
      </c>
      <c r="E5317" s="855" t="n">
        <v>1</v>
      </c>
      <c r="F5317" s="857" t="n">
        <v>130</v>
      </c>
      <c r="G5317" s="615" t="n">
        <f aca="false">F5317*E5317</f>
        <v>130</v>
      </c>
      <c r="H5317" s="433"/>
    </row>
    <row r="5318" customFormat="false" ht="15" hidden="false" customHeight="false" outlineLevel="0" collapsed="false">
      <c r="A5318" s="571"/>
      <c r="B5318" s="433"/>
      <c r="C5318" s="855" t="s">
        <v>4122</v>
      </c>
      <c r="D5318" s="316" t="s">
        <v>4359</v>
      </c>
      <c r="E5318" s="855" t="n">
        <v>0.01</v>
      </c>
      <c r="F5318" s="871" t="n">
        <v>720</v>
      </c>
      <c r="G5318" s="615" t="n">
        <f aca="false">F5318*E5318</f>
        <v>7.2</v>
      </c>
      <c r="H5318" s="433"/>
    </row>
    <row r="5319" customFormat="false" ht="15" hidden="false" customHeight="false" outlineLevel="0" collapsed="false">
      <c r="A5319" s="571"/>
      <c r="B5319" s="433"/>
      <c r="C5319" s="855" t="s">
        <v>4515</v>
      </c>
      <c r="D5319" s="316" t="s">
        <v>4133</v>
      </c>
      <c r="E5319" s="855" t="n">
        <v>0.01</v>
      </c>
      <c r="F5319" s="857" t="n">
        <v>2700</v>
      </c>
      <c r="G5319" s="615" t="n">
        <f aca="false">F5319*E5319</f>
        <v>27</v>
      </c>
      <c r="H5319" s="433"/>
    </row>
    <row r="5320" customFormat="false" ht="15" hidden="false" customHeight="false" outlineLevel="0" collapsed="false">
      <c r="A5320" s="571"/>
      <c r="B5320" s="433"/>
      <c r="C5320" s="532" t="s">
        <v>5239</v>
      </c>
      <c r="D5320" s="679" t="s">
        <v>4141</v>
      </c>
      <c r="E5320" s="866" t="n">
        <v>0.003</v>
      </c>
      <c r="F5320" s="681" t="n">
        <v>23500</v>
      </c>
      <c r="G5320" s="615" t="n">
        <f aca="false">F5320*E5320</f>
        <v>70.5</v>
      </c>
      <c r="H5320" s="433"/>
    </row>
    <row r="5321" customFormat="false" ht="15" hidden="false" customHeight="false" outlineLevel="0" collapsed="false">
      <c r="A5321" s="571"/>
      <c r="B5321" s="433"/>
      <c r="C5321" s="861" t="s">
        <v>4124</v>
      </c>
      <c r="D5321" s="316" t="s">
        <v>4125</v>
      </c>
      <c r="E5321" s="855" t="n">
        <v>0.1</v>
      </c>
      <c r="F5321" s="857" t="n">
        <v>170</v>
      </c>
      <c r="G5321" s="615" t="n">
        <f aca="false">F5321*E5321</f>
        <v>17</v>
      </c>
      <c r="H5321" s="433"/>
    </row>
    <row r="5322" customFormat="false" ht="15" hidden="false" customHeight="false" outlineLevel="0" collapsed="false">
      <c r="A5322" s="571" t="s">
        <v>1069</v>
      </c>
      <c r="B5322" s="433" t="s">
        <v>3308</v>
      </c>
      <c r="C5322" s="41"/>
      <c r="D5322" s="874"/>
      <c r="E5322" s="41"/>
      <c r="F5322" s="875"/>
      <c r="G5322" s="826" t="n">
        <f aca="false">SUM(G5323:G5345)</f>
        <v>6844.779</v>
      </c>
      <c r="H5322" s="433" t="s">
        <v>5278</v>
      </c>
    </row>
    <row r="5323" customFormat="false" ht="15" hidden="false" customHeight="false" outlineLevel="0" collapsed="false">
      <c r="A5323" s="571"/>
      <c r="B5323" s="433"/>
      <c r="C5323" s="855" t="s">
        <v>4317</v>
      </c>
      <c r="D5323" s="316" t="s">
        <v>4359</v>
      </c>
      <c r="E5323" s="855" t="n">
        <v>0.146</v>
      </c>
      <c r="F5323" s="115" t="n">
        <v>21000</v>
      </c>
      <c r="G5323" s="615" t="n">
        <f aca="false">F5323*E5323</f>
        <v>3066</v>
      </c>
      <c r="H5323" s="433"/>
    </row>
    <row r="5324" customFormat="false" ht="15" hidden="false" customHeight="false" outlineLevel="0" collapsed="false">
      <c r="A5324" s="571"/>
      <c r="B5324" s="433"/>
      <c r="C5324" s="855" t="s">
        <v>4147</v>
      </c>
      <c r="D5324" s="316" t="s">
        <v>4359</v>
      </c>
      <c r="E5324" s="855" t="n">
        <v>0.005</v>
      </c>
      <c r="F5324" s="115" t="n">
        <v>18000</v>
      </c>
      <c r="G5324" s="615" t="n">
        <f aca="false">F5324*E5324</f>
        <v>90</v>
      </c>
      <c r="H5324" s="433"/>
    </row>
    <row r="5325" customFormat="false" ht="15" hidden="false" customHeight="false" outlineLevel="0" collapsed="false">
      <c r="A5325" s="571"/>
      <c r="B5325" s="433"/>
      <c r="C5325" s="855" t="s">
        <v>5243</v>
      </c>
      <c r="D5325" s="316" t="s">
        <v>4133</v>
      </c>
      <c r="E5325" s="855" t="n">
        <v>0.005</v>
      </c>
      <c r="F5325" s="115" t="n">
        <v>2241</v>
      </c>
      <c r="G5325" s="615" t="n">
        <f aca="false">F5325*E5325</f>
        <v>11.205</v>
      </c>
      <c r="H5325" s="433"/>
    </row>
    <row r="5326" customFormat="false" ht="15" hidden="false" customHeight="false" outlineLevel="0" collapsed="false">
      <c r="A5326" s="571"/>
      <c r="B5326" s="433"/>
      <c r="C5326" s="855" t="s">
        <v>4584</v>
      </c>
      <c r="D5326" s="316" t="s">
        <v>4133</v>
      </c>
      <c r="E5326" s="855" t="n">
        <v>0.005</v>
      </c>
      <c r="F5326" s="115" t="n">
        <v>21000</v>
      </c>
      <c r="G5326" s="615" t="n">
        <f aca="false">F5326*E5326</f>
        <v>105</v>
      </c>
      <c r="H5326" s="433"/>
    </row>
    <row r="5327" customFormat="false" ht="15" hidden="false" customHeight="false" outlineLevel="0" collapsed="false">
      <c r="A5327" s="571"/>
      <c r="B5327" s="433"/>
      <c r="C5327" s="860" t="s">
        <v>5279</v>
      </c>
      <c r="D5327" s="316" t="s">
        <v>4359</v>
      </c>
      <c r="E5327" s="855" t="n">
        <v>0.01</v>
      </c>
      <c r="F5327" s="115" t="n">
        <v>21000</v>
      </c>
      <c r="G5327" s="615" t="n">
        <f aca="false">F5327*E5327</f>
        <v>210</v>
      </c>
      <c r="H5327" s="433"/>
    </row>
    <row r="5328" customFormat="false" ht="30" hidden="false" customHeight="false" outlineLevel="0" collapsed="false">
      <c r="A5328" s="571"/>
      <c r="B5328" s="433"/>
      <c r="C5328" s="855" t="s">
        <v>5244</v>
      </c>
      <c r="D5328" s="316" t="s">
        <v>4133</v>
      </c>
      <c r="E5328" s="855" t="n">
        <v>0.001</v>
      </c>
      <c r="F5328" s="115" t="n">
        <v>19000</v>
      </c>
      <c r="G5328" s="615" t="n">
        <f aca="false">F5328*E5328</f>
        <v>19</v>
      </c>
      <c r="H5328" s="433"/>
    </row>
    <row r="5329" customFormat="false" ht="15" hidden="false" customHeight="false" outlineLevel="0" collapsed="false">
      <c r="A5329" s="571"/>
      <c r="B5329" s="433"/>
      <c r="C5329" s="855" t="s">
        <v>4753</v>
      </c>
      <c r="D5329" s="316" t="s">
        <v>4133</v>
      </c>
      <c r="E5329" s="879" t="n">
        <v>0.00748</v>
      </c>
      <c r="F5329" s="115" t="n">
        <v>24000</v>
      </c>
      <c r="G5329" s="615" t="n">
        <f aca="false">F5329*E5329</f>
        <v>179.52</v>
      </c>
      <c r="H5329" s="433"/>
    </row>
    <row r="5330" customFormat="false" ht="15" hidden="false" customHeight="false" outlineLevel="0" collapsed="false">
      <c r="A5330" s="571"/>
      <c r="B5330" s="433"/>
      <c r="C5330" s="855" t="s">
        <v>4673</v>
      </c>
      <c r="D5330" s="316" t="s">
        <v>4133</v>
      </c>
      <c r="E5330" s="855" t="n">
        <v>0.002</v>
      </c>
      <c r="F5330" s="115" t="n">
        <v>106777</v>
      </c>
      <c r="G5330" s="615" t="n">
        <f aca="false">F5330*E5330</f>
        <v>213.554</v>
      </c>
      <c r="H5330" s="433"/>
    </row>
    <row r="5331" customFormat="false" ht="15" hidden="false" customHeight="false" outlineLevel="0" collapsed="false">
      <c r="A5331" s="571"/>
      <c r="B5331" s="433"/>
      <c r="C5331" s="855" t="s">
        <v>5241</v>
      </c>
      <c r="D5331" s="316" t="s">
        <v>4141</v>
      </c>
      <c r="E5331" s="860" t="n">
        <v>0.01</v>
      </c>
      <c r="F5331" s="115" t="n">
        <v>1500</v>
      </c>
      <c r="G5331" s="615" t="n">
        <f aca="false">F5331*E5331</f>
        <v>15</v>
      </c>
      <c r="H5331" s="433"/>
    </row>
    <row r="5332" customFormat="false" ht="15" hidden="false" customHeight="false" outlineLevel="0" collapsed="false">
      <c r="A5332" s="571"/>
      <c r="B5332" s="433"/>
      <c r="C5332" s="855" t="s">
        <v>5245</v>
      </c>
      <c r="D5332" s="316" t="s">
        <v>4133</v>
      </c>
      <c r="E5332" s="855" t="n">
        <v>0.0001</v>
      </c>
      <c r="F5332" s="115" t="n">
        <v>58000</v>
      </c>
      <c r="G5332" s="615" t="n">
        <f aca="false">F5332*E5332</f>
        <v>5.8</v>
      </c>
      <c r="H5332" s="433"/>
    </row>
    <row r="5333" customFormat="false" ht="15" hidden="false" customHeight="false" outlineLevel="0" collapsed="false">
      <c r="A5333" s="571"/>
      <c r="B5333" s="433"/>
      <c r="C5333" s="855" t="s">
        <v>5246</v>
      </c>
      <c r="D5333" s="316" t="s">
        <v>4133</v>
      </c>
      <c r="E5333" s="855" t="n">
        <v>0.0001</v>
      </c>
      <c r="F5333" s="115" t="n">
        <v>58000</v>
      </c>
      <c r="G5333" s="615" t="n">
        <f aca="false">F5333*E5333</f>
        <v>5.8</v>
      </c>
      <c r="H5333" s="433"/>
    </row>
    <row r="5334" customFormat="false" ht="15" hidden="false" customHeight="false" outlineLevel="0" collapsed="false">
      <c r="A5334" s="571"/>
      <c r="B5334" s="433"/>
      <c r="C5334" s="855" t="s">
        <v>5247</v>
      </c>
      <c r="D5334" s="316" t="s">
        <v>4133</v>
      </c>
      <c r="E5334" s="855" t="n">
        <v>0.0001</v>
      </c>
      <c r="F5334" s="115" t="n">
        <v>58000</v>
      </c>
      <c r="G5334" s="615" t="n">
        <f aca="false">F5334*E5334</f>
        <v>5.8</v>
      </c>
      <c r="H5334" s="433"/>
    </row>
    <row r="5335" customFormat="false" ht="15" hidden="false" customHeight="false" outlineLevel="0" collapsed="false">
      <c r="A5335" s="571"/>
      <c r="B5335" s="433"/>
      <c r="C5335" s="855" t="s">
        <v>5248</v>
      </c>
      <c r="D5335" s="316" t="s">
        <v>4133</v>
      </c>
      <c r="E5335" s="855" t="n">
        <v>0.0001</v>
      </c>
      <c r="F5335" s="115" t="n">
        <v>58000</v>
      </c>
      <c r="G5335" s="615" t="n">
        <f aca="false">F5335*E5335</f>
        <v>5.8</v>
      </c>
      <c r="H5335" s="433"/>
    </row>
    <row r="5336" customFormat="false" ht="15" hidden="false" customHeight="false" outlineLevel="0" collapsed="false">
      <c r="A5336" s="571"/>
      <c r="B5336" s="433"/>
      <c r="C5336" s="855" t="s">
        <v>5249</v>
      </c>
      <c r="D5336" s="316" t="s">
        <v>4133</v>
      </c>
      <c r="E5336" s="855" t="n">
        <v>0.0001</v>
      </c>
      <c r="F5336" s="115" t="n">
        <v>58000</v>
      </c>
      <c r="G5336" s="615" t="n">
        <f aca="false">F5336*E5336</f>
        <v>5.8</v>
      </c>
      <c r="H5336" s="433"/>
    </row>
    <row r="5337" customFormat="false" ht="15" hidden="false" customHeight="false" outlineLevel="0" collapsed="false">
      <c r="A5337" s="571"/>
      <c r="B5337" s="433"/>
      <c r="C5337" s="855" t="s">
        <v>5250</v>
      </c>
      <c r="D5337" s="316" t="s">
        <v>4133</v>
      </c>
      <c r="E5337" s="855" t="n">
        <v>0.0001</v>
      </c>
      <c r="F5337" s="115" t="n">
        <v>58000</v>
      </c>
      <c r="G5337" s="615" t="n">
        <f aca="false">F5337*E5337</f>
        <v>5.8</v>
      </c>
      <c r="H5337" s="433"/>
    </row>
    <row r="5338" customFormat="false" ht="15" hidden="false" customHeight="false" outlineLevel="0" collapsed="false">
      <c r="A5338" s="571"/>
      <c r="B5338" s="433"/>
      <c r="C5338" s="855" t="s">
        <v>5240</v>
      </c>
      <c r="D5338" s="316" t="s">
        <v>4578</v>
      </c>
      <c r="E5338" s="855" t="n">
        <v>0.002</v>
      </c>
      <c r="F5338" s="857" t="n">
        <v>225000</v>
      </c>
      <c r="G5338" s="615" t="n">
        <f aca="false">F5338*E5338</f>
        <v>450</v>
      </c>
      <c r="H5338" s="433"/>
    </row>
    <row r="5339" customFormat="false" ht="15" hidden="false" customHeight="false" outlineLevel="0" collapsed="false">
      <c r="A5339" s="571"/>
      <c r="B5339" s="433"/>
      <c r="C5339" s="532" t="s">
        <v>4251</v>
      </c>
      <c r="D5339" s="679" t="s">
        <v>4578</v>
      </c>
      <c r="E5339" s="866" t="n">
        <v>0.002</v>
      </c>
      <c r="F5339" s="681" t="n">
        <v>275000</v>
      </c>
      <c r="G5339" s="615" t="n">
        <f aca="false">F5339*E5339</f>
        <v>550</v>
      </c>
      <c r="H5339" s="433"/>
    </row>
    <row r="5340" customFormat="false" ht="15" hidden="false" customHeight="false" outlineLevel="0" collapsed="false">
      <c r="A5340" s="571"/>
      <c r="B5340" s="433"/>
      <c r="C5340" s="867" t="s">
        <v>4497</v>
      </c>
      <c r="D5340" s="868" t="s">
        <v>4348</v>
      </c>
      <c r="E5340" s="869" t="n">
        <v>0.003</v>
      </c>
      <c r="F5340" s="870" t="n">
        <v>550000</v>
      </c>
      <c r="G5340" s="615" t="n">
        <f aca="false">F5340*E5340</f>
        <v>1650</v>
      </c>
      <c r="H5340" s="433"/>
    </row>
    <row r="5341" customFormat="false" ht="15" hidden="false" customHeight="false" outlineLevel="0" collapsed="false">
      <c r="A5341" s="571"/>
      <c r="B5341" s="433"/>
      <c r="C5341" s="884" t="s">
        <v>4122</v>
      </c>
      <c r="D5341" s="679" t="s">
        <v>4123</v>
      </c>
      <c r="E5341" s="709" t="n">
        <v>0.01</v>
      </c>
      <c r="F5341" s="871" t="n">
        <v>720</v>
      </c>
      <c r="G5341" s="615" t="n">
        <f aca="false">F5341*E5341</f>
        <v>7.2</v>
      </c>
      <c r="H5341" s="433"/>
    </row>
    <row r="5342" customFormat="false" ht="15" hidden="false" customHeight="false" outlineLevel="0" collapsed="false">
      <c r="A5342" s="571"/>
      <c r="B5342" s="433"/>
      <c r="C5342" s="885" t="s">
        <v>4124</v>
      </c>
      <c r="D5342" s="679" t="s">
        <v>4125</v>
      </c>
      <c r="E5342" s="709" t="n">
        <v>0.1</v>
      </c>
      <c r="F5342" s="886" t="n">
        <v>170</v>
      </c>
      <c r="G5342" s="615" t="n">
        <f aca="false">F5342*E5342</f>
        <v>17</v>
      </c>
      <c r="H5342" s="433"/>
    </row>
    <row r="5343" customFormat="false" ht="15" hidden="false" customHeight="false" outlineLevel="0" collapsed="false">
      <c r="A5343" s="571"/>
      <c r="B5343" s="433"/>
      <c r="C5343" s="885" t="s">
        <v>4347</v>
      </c>
      <c r="D5343" s="679" t="s">
        <v>4348</v>
      </c>
      <c r="E5343" s="709" t="n">
        <v>1</v>
      </c>
      <c r="F5343" s="886" t="n">
        <v>130</v>
      </c>
      <c r="G5343" s="615" t="n">
        <f aca="false">F5343*E5343</f>
        <v>130</v>
      </c>
      <c r="H5343" s="433"/>
    </row>
    <row r="5344" customFormat="false" ht="15" hidden="false" customHeight="false" outlineLevel="0" collapsed="false">
      <c r="A5344" s="571"/>
      <c r="B5344" s="433"/>
      <c r="C5344" s="532" t="s">
        <v>5239</v>
      </c>
      <c r="D5344" s="679" t="s">
        <v>4141</v>
      </c>
      <c r="E5344" s="866" t="n">
        <v>0.003</v>
      </c>
      <c r="F5344" s="681" t="n">
        <v>23500</v>
      </c>
      <c r="G5344" s="615" t="n">
        <f aca="false">F5344*E5344</f>
        <v>70.5</v>
      </c>
      <c r="H5344" s="433"/>
    </row>
    <row r="5345" customFormat="false" ht="15" hidden="false" customHeight="false" outlineLevel="0" collapsed="false">
      <c r="A5345" s="571"/>
      <c r="B5345" s="433"/>
      <c r="C5345" s="855" t="s">
        <v>4509</v>
      </c>
      <c r="D5345" s="316" t="s">
        <v>4348</v>
      </c>
      <c r="E5345" s="855" t="n">
        <v>1</v>
      </c>
      <c r="F5345" s="857" t="n">
        <v>26</v>
      </c>
      <c r="G5345" s="615" t="n">
        <f aca="false">F5345*E5345</f>
        <v>26</v>
      </c>
      <c r="H5345" s="433"/>
    </row>
    <row r="5346" customFormat="false" ht="15" hidden="false" customHeight="false" outlineLevel="0" collapsed="false">
      <c r="A5346" s="571" t="s">
        <v>1070</v>
      </c>
      <c r="B5346" s="433" t="s">
        <v>3310</v>
      </c>
      <c r="C5346" s="41"/>
      <c r="D5346" s="874"/>
      <c r="E5346" s="41"/>
      <c r="F5346" s="875"/>
      <c r="G5346" s="826" t="n">
        <f aca="false">SUM(G5347:G5361)</f>
        <v>9150.993</v>
      </c>
      <c r="H5346" s="433" t="s">
        <v>5259</v>
      </c>
    </row>
    <row r="5347" customFormat="false" ht="15" hidden="false" customHeight="false" outlineLevel="0" collapsed="false">
      <c r="A5347" s="571"/>
      <c r="B5347" s="433"/>
      <c r="C5347" s="21" t="s">
        <v>4317</v>
      </c>
      <c r="D5347" s="877" t="s">
        <v>4359</v>
      </c>
      <c r="E5347" s="860" t="n">
        <v>0.1</v>
      </c>
      <c r="F5347" s="115" t="n">
        <v>21000</v>
      </c>
      <c r="G5347" s="716" t="n">
        <f aca="false">F5347*E5347</f>
        <v>2100</v>
      </c>
      <c r="H5347" s="888"/>
    </row>
    <row r="5348" customFormat="false" ht="15" hidden="false" customHeight="false" outlineLevel="0" collapsed="false">
      <c r="A5348" s="571"/>
      <c r="B5348" s="433"/>
      <c r="C5348" s="860" t="s">
        <v>5228</v>
      </c>
      <c r="D5348" s="316" t="s">
        <v>4133</v>
      </c>
      <c r="E5348" s="860" t="n">
        <v>0.01</v>
      </c>
      <c r="F5348" s="115" t="n">
        <v>19000</v>
      </c>
      <c r="G5348" s="716" t="n">
        <f aca="false">F5348*E5348</f>
        <v>190</v>
      </c>
      <c r="H5348" s="888"/>
    </row>
    <row r="5349" customFormat="false" ht="15" hidden="false" customHeight="false" outlineLevel="0" collapsed="false">
      <c r="A5349" s="571"/>
      <c r="B5349" s="433"/>
      <c r="C5349" s="878" t="s">
        <v>5260</v>
      </c>
      <c r="D5349" s="877" t="s">
        <v>4133</v>
      </c>
      <c r="E5349" s="860" t="n">
        <v>0.00136</v>
      </c>
      <c r="F5349" s="115" t="n">
        <v>24000</v>
      </c>
      <c r="G5349" s="716" t="n">
        <f aca="false">F5349*E5349</f>
        <v>32.64</v>
      </c>
      <c r="H5349" s="888"/>
    </row>
    <row r="5350" customFormat="false" ht="15" hidden="false" customHeight="false" outlineLevel="0" collapsed="false">
      <c r="A5350" s="571"/>
      <c r="B5350" s="433"/>
      <c r="C5350" s="532" t="s">
        <v>4251</v>
      </c>
      <c r="D5350" s="679" t="s">
        <v>4578</v>
      </c>
      <c r="E5350" s="866" t="n">
        <v>0.002</v>
      </c>
      <c r="F5350" s="617" t="n">
        <v>275000</v>
      </c>
      <c r="G5350" s="716" t="n">
        <f aca="false">F5350*E5350</f>
        <v>550</v>
      </c>
      <c r="H5350" s="888"/>
    </row>
    <row r="5351" customFormat="false" ht="15" hidden="false" customHeight="false" outlineLevel="0" collapsed="false">
      <c r="A5351" s="571"/>
      <c r="B5351" s="433"/>
      <c r="C5351" s="21" t="s">
        <v>4250</v>
      </c>
      <c r="D5351" s="316" t="s">
        <v>4359</v>
      </c>
      <c r="E5351" s="865" t="n">
        <v>0.1</v>
      </c>
      <c r="F5351" s="617" t="n">
        <v>42000</v>
      </c>
      <c r="G5351" s="716" t="n">
        <f aca="false">F5351*E5351</f>
        <v>4200</v>
      </c>
      <c r="H5351" s="888"/>
    </row>
    <row r="5352" customFormat="false" ht="30" hidden="false" customHeight="false" outlineLevel="0" collapsed="false">
      <c r="A5352" s="571"/>
      <c r="B5352" s="433"/>
      <c r="C5352" s="860" t="s">
        <v>5261</v>
      </c>
      <c r="D5352" s="877" t="s">
        <v>4133</v>
      </c>
      <c r="E5352" s="860" t="n">
        <v>0.0001</v>
      </c>
      <c r="F5352" s="115" t="n">
        <v>53760</v>
      </c>
      <c r="G5352" s="716" t="n">
        <f aca="false">F5352*E5352</f>
        <v>5.376</v>
      </c>
      <c r="H5352" s="888"/>
    </row>
    <row r="5353" customFormat="false" ht="15" hidden="false" customHeight="false" outlineLevel="0" collapsed="false">
      <c r="A5353" s="571"/>
      <c r="B5353" s="433"/>
      <c r="C5353" s="861" t="s">
        <v>4673</v>
      </c>
      <c r="D5353" s="877" t="s">
        <v>4133</v>
      </c>
      <c r="E5353" s="860" t="n">
        <v>0.001</v>
      </c>
      <c r="F5353" s="115" t="n">
        <v>106777</v>
      </c>
      <c r="G5353" s="716" t="n">
        <f aca="false">F5353*E5353</f>
        <v>106.777</v>
      </c>
      <c r="H5353" s="888"/>
    </row>
    <row r="5354" customFormat="false" ht="15" hidden="false" customHeight="false" outlineLevel="0" collapsed="false">
      <c r="A5354" s="571"/>
      <c r="B5354" s="433"/>
      <c r="C5354" s="878" t="s">
        <v>4158</v>
      </c>
      <c r="D5354" s="877" t="s">
        <v>4133</v>
      </c>
      <c r="E5354" s="860" t="n">
        <v>0.01</v>
      </c>
      <c r="F5354" s="115" t="n">
        <v>6400</v>
      </c>
      <c r="G5354" s="716" t="n">
        <f aca="false">F5354*E5354</f>
        <v>64</v>
      </c>
      <c r="H5354" s="888"/>
    </row>
    <row r="5355" customFormat="false" ht="15" hidden="false" customHeight="false" outlineLevel="0" collapsed="false">
      <c r="A5355" s="571"/>
      <c r="B5355" s="433"/>
      <c r="C5355" s="867" t="s">
        <v>4497</v>
      </c>
      <c r="D5355" s="868" t="s">
        <v>4348</v>
      </c>
      <c r="E5355" s="869" t="n">
        <v>0.003</v>
      </c>
      <c r="F5355" s="870" t="n">
        <v>550000</v>
      </c>
      <c r="G5355" s="716" t="n">
        <f aca="false">F5355*E5355</f>
        <v>1650</v>
      </c>
      <c r="H5355" s="888"/>
    </row>
    <row r="5356" customFormat="false" ht="15" hidden="false" customHeight="false" outlineLevel="0" collapsed="false">
      <c r="A5356" s="571"/>
      <c r="B5356" s="433"/>
      <c r="C5356" s="867" t="s">
        <v>4122</v>
      </c>
      <c r="D5356" s="868" t="s">
        <v>4123</v>
      </c>
      <c r="E5356" s="869" t="n">
        <v>0.01</v>
      </c>
      <c r="F5356" s="871" t="n">
        <v>720</v>
      </c>
      <c r="G5356" s="716" t="n">
        <f aca="false">F5356*E5356</f>
        <v>7.2</v>
      </c>
      <c r="H5356" s="888"/>
    </row>
    <row r="5357" customFormat="false" ht="15" hidden="false" customHeight="false" outlineLevel="0" collapsed="false">
      <c r="A5357" s="571"/>
      <c r="B5357" s="433"/>
      <c r="C5357" s="855" t="s">
        <v>5241</v>
      </c>
      <c r="D5357" s="868" t="s">
        <v>4121</v>
      </c>
      <c r="E5357" s="869" t="n">
        <v>0.001</v>
      </c>
      <c r="F5357" s="870" t="n">
        <v>1500</v>
      </c>
      <c r="G5357" s="716" t="n">
        <f aca="false">F5357*E5357</f>
        <v>1.5</v>
      </c>
      <c r="H5357" s="888"/>
    </row>
    <row r="5358" customFormat="false" ht="15" hidden="false" customHeight="false" outlineLevel="0" collapsed="false">
      <c r="A5358" s="571"/>
      <c r="B5358" s="433"/>
      <c r="C5358" s="872" t="s">
        <v>4124</v>
      </c>
      <c r="D5358" s="868" t="s">
        <v>4125</v>
      </c>
      <c r="E5358" s="869" t="n">
        <v>0.1</v>
      </c>
      <c r="F5358" s="871" t="n">
        <v>170</v>
      </c>
      <c r="G5358" s="716" t="n">
        <f aca="false">F5358*E5358</f>
        <v>17</v>
      </c>
      <c r="H5358" s="888"/>
    </row>
    <row r="5359" customFormat="false" ht="15" hidden="false" customHeight="false" outlineLevel="0" collapsed="false">
      <c r="A5359" s="571"/>
      <c r="B5359" s="433"/>
      <c r="C5359" s="872" t="s">
        <v>4347</v>
      </c>
      <c r="D5359" s="868" t="s">
        <v>4348</v>
      </c>
      <c r="E5359" s="869" t="n">
        <v>1</v>
      </c>
      <c r="F5359" s="871" t="n">
        <v>130</v>
      </c>
      <c r="G5359" s="716" t="n">
        <f aca="false">F5359*E5359</f>
        <v>130</v>
      </c>
      <c r="H5359" s="888"/>
    </row>
    <row r="5360" customFormat="false" ht="15" hidden="false" customHeight="false" outlineLevel="0" collapsed="false">
      <c r="A5360" s="571"/>
      <c r="B5360" s="433"/>
      <c r="C5360" s="860" t="s">
        <v>4509</v>
      </c>
      <c r="D5360" s="877" t="s">
        <v>4348</v>
      </c>
      <c r="E5360" s="860" t="n">
        <v>1</v>
      </c>
      <c r="F5360" s="857" t="n">
        <v>26</v>
      </c>
      <c r="G5360" s="716" t="n">
        <f aca="false">F5360*E5360</f>
        <v>26</v>
      </c>
      <c r="H5360" s="888"/>
    </row>
    <row r="5361" customFormat="false" ht="15" hidden="false" customHeight="false" outlineLevel="0" collapsed="false">
      <c r="A5361" s="571"/>
      <c r="B5361" s="433"/>
      <c r="C5361" s="532" t="s">
        <v>5239</v>
      </c>
      <c r="D5361" s="679" t="s">
        <v>4141</v>
      </c>
      <c r="E5361" s="866" t="n">
        <v>0.003</v>
      </c>
      <c r="F5361" s="681" t="n">
        <v>23500</v>
      </c>
      <c r="G5361" s="716" t="n">
        <f aca="false">F5361*E5361</f>
        <v>70.5</v>
      </c>
      <c r="H5361" s="888"/>
    </row>
    <row r="5362" customFormat="false" ht="28.5" hidden="false" customHeight="false" outlineLevel="0" collapsed="false">
      <c r="A5362" s="350" t="s">
        <v>5280</v>
      </c>
      <c r="B5362" s="346" t="s">
        <v>3322</v>
      </c>
      <c r="C5362" s="601"/>
      <c r="D5362" s="600"/>
      <c r="E5362" s="600"/>
      <c r="F5362" s="364"/>
      <c r="G5362" s="713"/>
      <c r="H5362" s="887"/>
    </row>
    <row r="5363" customFormat="false" ht="15" hidden="false" customHeight="false" outlineLevel="0" collapsed="false">
      <c r="A5363" s="571" t="s">
        <v>1073</v>
      </c>
      <c r="B5363" s="433" t="s">
        <v>3307</v>
      </c>
      <c r="C5363" s="476"/>
      <c r="D5363" s="820"/>
      <c r="E5363" s="820"/>
      <c r="F5363" s="697"/>
      <c r="G5363" s="826" t="n">
        <f aca="false">SUM(G5364:G5386)</f>
        <v>8403.0255</v>
      </c>
      <c r="H5363" s="889" t="s">
        <v>5227</v>
      </c>
    </row>
    <row r="5364" customFormat="false" ht="15" hidden="false" customHeight="false" outlineLevel="0" collapsed="false">
      <c r="A5364" s="571"/>
      <c r="B5364" s="433"/>
      <c r="C5364" s="855" t="s">
        <v>4317</v>
      </c>
      <c r="D5364" s="316" t="s">
        <v>4359</v>
      </c>
      <c r="E5364" s="855" t="n">
        <v>0.24</v>
      </c>
      <c r="F5364" s="115" t="n">
        <v>21000</v>
      </c>
      <c r="G5364" s="615" t="n">
        <f aca="false">F5364*E5364</f>
        <v>5040</v>
      </c>
      <c r="H5364" s="433"/>
    </row>
    <row r="5365" customFormat="false" ht="15" hidden="false" customHeight="false" outlineLevel="0" collapsed="false">
      <c r="A5365" s="571"/>
      <c r="B5365" s="433"/>
      <c r="C5365" s="855" t="s">
        <v>4147</v>
      </c>
      <c r="D5365" s="316" t="s">
        <v>4359</v>
      </c>
      <c r="E5365" s="855" t="n">
        <v>0.005</v>
      </c>
      <c r="F5365" s="115" t="n">
        <v>18000</v>
      </c>
      <c r="G5365" s="615" t="n">
        <f aca="false">F5365*E5365</f>
        <v>90</v>
      </c>
      <c r="H5365" s="433"/>
    </row>
    <row r="5366" customFormat="false" ht="15" hidden="false" customHeight="false" outlineLevel="0" collapsed="false">
      <c r="A5366" s="571"/>
      <c r="B5366" s="433"/>
      <c r="C5366" s="855" t="s">
        <v>5228</v>
      </c>
      <c r="D5366" s="316" t="s">
        <v>4133</v>
      </c>
      <c r="E5366" s="855" t="n">
        <v>0.001</v>
      </c>
      <c r="F5366" s="115" t="n">
        <v>19000</v>
      </c>
      <c r="G5366" s="615" t="n">
        <f aca="false">F5366*E5366</f>
        <v>19</v>
      </c>
      <c r="H5366" s="433"/>
    </row>
    <row r="5367" customFormat="false" ht="15" hidden="false" customHeight="false" outlineLevel="0" collapsed="false">
      <c r="A5367" s="571"/>
      <c r="B5367" s="433"/>
      <c r="C5367" s="855" t="s">
        <v>4673</v>
      </c>
      <c r="D5367" s="316" t="s">
        <v>4133</v>
      </c>
      <c r="E5367" s="855" t="n">
        <v>0.002</v>
      </c>
      <c r="F5367" s="115" t="n">
        <v>106777</v>
      </c>
      <c r="G5367" s="615" t="n">
        <f aca="false">F5367*E5367</f>
        <v>213.554</v>
      </c>
      <c r="H5367" s="433"/>
    </row>
    <row r="5368" customFormat="false" ht="30" hidden="false" customHeight="false" outlineLevel="0" collapsed="false">
      <c r="A5368" s="571"/>
      <c r="B5368" s="433"/>
      <c r="C5368" s="532" t="s">
        <v>5238</v>
      </c>
      <c r="D5368" s="679" t="s">
        <v>4141</v>
      </c>
      <c r="E5368" s="865" t="n">
        <v>0.1</v>
      </c>
      <c r="F5368" s="617" t="n">
        <v>1400</v>
      </c>
      <c r="G5368" s="615" t="n">
        <f aca="false">F5368*E5368</f>
        <v>140</v>
      </c>
      <c r="H5368" s="433"/>
    </row>
    <row r="5369" customFormat="false" ht="30" hidden="false" customHeight="false" outlineLevel="0" collapsed="false">
      <c r="A5369" s="571"/>
      <c r="B5369" s="433"/>
      <c r="C5369" s="855" t="s">
        <v>5229</v>
      </c>
      <c r="D5369" s="316" t="s">
        <v>4133</v>
      </c>
      <c r="E5369" s="855" t="n">
        <v>0.0001</v>
      </c>
      <c r="F5369" s="115" t="n">
        <v>71490</v>
      </c>
      <c r="G5369" s="615" t="n">
        <f aca="false">F5369*E5369</f>
        <v>7.149</v>
      </c>
      <c r="H5369" s="433"/>
    </row>
    <row r="5370" customFormat="false" ht="30" hidden="false" customHeight="false" outlineLevel="0" collapsed="false">
      <c r="A5370" s="571"/>
      <c r="B5370" s="433"/>
      <c r="C5370" s="855" t="s">
        <v>5230</v>
      </c>
      <c r="D5370" s="316" t="s">
        <v>4133</v>
      </c>
      <c r="E5370" s="855" t="n">
        <v>0.0001</v>
      </c>
      <c r="F5370" s="857" t="n">
        <v>74815</v>
      </c>
      <c r="G5370" s="615" t="n">
        <f aca="false">F5370*E5370</f>
        <v>7.4815</v>
      </c>
      <c r="H5370" s="433"/>
    </row>
    <row r="5371" customFormat="false" ht="45" hidden="false" customHeight="false" outlineLevel="0" collapsed="false">
      <c r="A5371" s="571"/>
      <c r="B5371" s="433"/>
      <c r="C5371" s="855" t="s">
        <v>5231</v>
      </c>
      <c r="D5371" s="316" t="s">
        <v>4133</v>
      </c>
      <c r="E5371" s="855" t="n">
        <v>0.0001</v>
      </c>
      <c r="F5371" s="857" t="n">
        <v>75465</v>
      </c>
      <c r="G5371" s="615" t="n">
        <f aca="false">F5371*E5371</f>
        <v>7.5465</v>
      </c>
      <c r="H5371" s="433"/>
    </row>
    <row r="5372" customFormat="false" ht="30" hidden="false" customHeight="false" outlineLevel="0" collapsed="false">
      <c r="A5372" s="571"/>
      <c r="B5372" s="433"/>
      <c r="C5372" s="855" t="s">
        <v>5232</v>
      </c>
      <c r="D5372" s="316" t="s">
        <v>4133</v>
      </c>
      <c r="E5372" s="855" t="n">
        <v>0.0001</v>
      </c>
      <c r="F5372" s="857" t="n">
        <v>87990</v>
      </c>
      <c r="G5372" s="615" t="n">
        <f aca="false">F5372*E5372</f>
        <v>8.799</v>
      </c>
      <c r="H5372" s="433"/>
    </row>
    <row r="5373" customFormat="false" ht="30" hidden="false" customHeight="false" outlineLevel="0" collapsed="false">
      <c r="A5373" s="571"/>
      <c r="B5373" s="433"/>
      <c r="C5373" s="855" t="s">
        <v>5233</v>
      </c>
      <c r="D5373" s="316" t="s">
        <v>4133</v>
      </c>
      <c r="E5373" s="855" t="n">
        <v>0.0001</v>
      </c>
      <c r="F5373" s="857" t="n">
        <v>71395</v>
      </c>
      <c r="G5373" s="615" t="n">
        <f aca="false">F5373*E5373</f>
        <v>7.1395</v>
      </c>
      <c r="H5373" s="433"/>
    </row>
    <row r="5374" customFormat="false" ht="30" hidden="false" customHeight="false" outlineLevel="0" collapsed="false">
      <c r="A5374" s="571"/>
      <c r="B5374" s="433"/>
      <c r="C5374" s="855" t="s">
        <v>5234</v>
      </c>
      <c r="D5374" s="316" t="s">
        <v>4133</v>
      </c>
      <c r="E5374" s="855" t="n">
        <v>0.0001</v>
      </c>
      <c r="F5374" s="857" t="n">
        <v>53450</v>
      </c>
      <c r="G5374" s="615" t="n">
        <f aca="false">F5374*E5374</f>
        <v>5.345</v>
      </c>
      <c r="H5374" s="433"/>
    </row>
    <row r="5375" customFormat="false" ht="30" hidden="false" customHeight="false" outlineLevel="0" collapsed="false">
      <c r="A5375" s="571"/>
      <c r="B5375" s="433"/>
      <c r="C5375" s="855" t="s">
        <v>5236</v>
      </c>
      <c r="D5375" s="316" t="s">
        <v>4133</v>
      </c>
      <c r="E5375" s="855" t="n">
        <v>0.0001</v>
      </c>
      <c r="F5375" s="857" t="n">
        <v>141060</v>
      </c>
      <c r="G5375" s="615" t="n">
        <f aca="false">F5375*E5375</f>
        <v>14.106</v>
      </c>
      <c r="H5375" s="433"/>
    </row>
    <row r="5376" customFormat="false" ht="30" hidden="false" customHeight="false" outlineLevel="0" collapsed="false">
      <c r="A5376" s="571"/>
      <c r="B5376" s="433"/>
      <c r="C5376" s="855" t="s">
        <v>5237</v>
      </c>
      <c r="D5376" s="316" t="s">
        <v>4133</v>
      </c>
      <c r="E5376" s="855" t="n">
        <v>0.0001</v>
      </c>
      <c r="F5376" s="857" t="n">
        <v>49050</v>
      </c>
      <c r="G5376" s="615" t="n">
        <f aca="false">F5376*E5376</f>
        <v>4.905</v>
      </c>
      <c r="H5376" s="433"/>
    </row>
    <row r="5377" customFormat="false" ht="15" hidden="false" customHeight="false" outlineLevel="0" collapsed="false">
      <c r="A5377" s="571"/>
      <c r="B5377" s="433"/>
      <c r="C5377" s="855" t="s">
        <v>4378</v>
      </c>
      <c r="D5377" s="316" t="s">
        <v>4133</v>
      </c>
      <c r="E5377" s="855" t="n">
        <v>0.005</v>
      </c>
      <c r="F5377" s="857" t="n">
        <v>45000</v>
      </c>
      <c r="G5377" s="615" t="n">
        <f aca="false">F5377*E5377</f>
        <v>225</v>
      </c>
      <c r="H5377" s="433"/>
    </row>
    <row r="5378" customFormat="false" ht="15" hidden="false" customHeight="false" outlineLevel="0" collapsed="false">
      <c r="A5378" s="571"/>
      <c r="B5378" s="433"/>
      <c r="C5378" s="855" t="s">
        <v>5281</v>
      </c>
      <c r="D5378" s="316" t="s">
        <v>4133</v>
      </c>
      <c r="E5378" s="855" t="n">
        <v>0.015</v>
      </c>
      <c r="F5378" s="857" t="n">
        <v>13000</v>
      </c>
      <c r="G5378" s="615" t="n">
        <f aca="false">F5378*E5378</f>
        <v>195</v>
      </c>
      <c r="H5378" s="433"/>
    </row>
    <row r="5379" customFormat="false" ht="15" hidden="false" customHeight="false" outlineLevel="0" collapsed="false">
      <c r="A5379" s="571"/>
      <c r="B5379" s="433"/>
      <c r="C5379" s="855" t="s">
        <v>5240</v>
      </c>
      <c r="D5379" s="316" t="s">
        <v>4578</v>
      </c>
      <c r="E5379" s="855" t="n">
        <v>0.002</v>
      </c>
      <c r="F5379" s="857" t="n">
        <v>225000</v>
      </c>
      <c r="G5379" s="615" t="n">
        <f aca="false">F5379*E5379</f>
        <v>450</v>
      </c>
      <c r="H5379" s="433"/>
    </row>
    <row r="5380" customFormat="false" ht="15" hidden="false" customHeight="false" outlineLevel="0" collapsed="false">
      <c r="A5380" s="571"/>
      <c r="B5380" s="433"/>
      <c r="C5380" s="855" t="s">
        <v>5241</v>
      </c>
      <c r="D5380" s="316" t="s">
        <v>4141</v>
      </c>
      <c r="E5380" s="860" t="n">
        <v>0.001</v>
      </c>
      <c r="F5380" s="857" t="n">
        <v>1500</v>
      </c>
      <c r="G5380" s="615" t="n">
        <f aca="false">F5380*E5380</f>
        <v>1.5</v>
      </c>
      <c r="H5380" s="433"/>
    </row>
    <row r="5381" customFormat="false" ht="15" hidden="false" customHeight="false" outlineLevel="0" collapsed="false">
      <c r="A5381" s="571"/>
      <c r="B5381" s="433"/>
      <c r="C5381" s="855" t="s">
        <v>4347</v>
      </c>
      <c r="D5381" s="316" t="s">
        <v>4348</v>
      </c>
      <c r="E5381" s="855" t="n">
        <v>1</v>
      </c>
      <c r="F5381" s="857" t="n">
        <v>130</v>
      </c>
      <c r="G5381" s="615" t="n">
        <f aca="false">F5381*E5381</f>
        <v>130</v>
      </c>
      <c r="H5381" s="433"/>
    </row>
    <row r="5382" customFormat="false" ht="15" hidden="false" customHeight="false" outlineLevel="0" collapsed="false">
      <c r="A5382" s="571"/>
      <c r="B5382" s="433"/>
      <c r="C5382" s="867" t="s">
        <v>4497</v>
      </c>
      <c r="D5382" s="868" t="s">
        <v>4348</v>
      </c>
      <c r="E5382" s="869" t="n">
        <v>0.003</v>
      </c>
      <c r="F5382" s="870" t="n">
        <v>550000</v>
      </c>
      <c r="G5382" s="615" t="n">
        <f aca="false">F5382*E5382</f>
        <v>1650</v>
      </c>
      <c r="H5382" s="433"/>
    </row>
    <row r="5383" customFormat="false" ht="15" hidden="false" customHeight="false" outlineLevel="0" collapsed="false">
      <c r="A5383" s="571"/>
      <c r="B5383" s="433"/>
      <c r="C5383" s="855" t="s">
        <v>4122</v>
      </c>
      <c r="D5383" s="316" t="s">
        <v>4359</v>
      </c>
      <c r="E5383" s="855" t="n">
        <v>0.1</v>
      </c>
      <c r="F5383" s="871" t="n">
        <v>720</v>
      </c>
      <c r="G5383" s="615" t="n">
        <f aca="false">F5383*E5383</f>
        <v>72</v>
      </c>
      <c r="H5383" s="433"/>
    </row>
    <row r="5384" customFormat="false" ht="15" hidden="false" customHeight="false" outlineLevel="0" collapsed="false">
      <c r="A5384" s="571"/>
      <c r="B5384" s="433"/>
      <c r="C5384" s="855" t="s">
        <v>4515</v>
      </c>
      <c r="D5384" s="316" t="s">
        <v>4133</v>
      </c>
      <c r="E5384" s="855" t="n">
        <v>0.01</v>
      </c>
      <c r="F5384" s="857" t="n">
        <v>2700</v>
      </c>
      <c r="G5384" s="615" t="n">
        <f aca="false">F5384*E5384</f>
        <v>27</v>
      </c>
      <c r="H5384" s="433"/>
    </row>
    <row r="5385" customFormat="false" ht="15" hidden="false" customHeight="false" outlineLevel="0" collapsed="false">
      <c r="A5385" s="571"/>
      <c r="B5385" s="433"/>
      <c r="C5385" s="532" t="s">
        <v>5239</v>
      </c>
      <c r="D5385" s="679" t="s">
        <v>4141</v>
      </c>
      <c r="E5385" s="866" t="n">
        <v>0.003</v>
      </c>
      <c r="F5385" s="681" t="n">
        <v>23500</v>
      </c>
      <c r="G5385" s="615" t="n">
        <f aca="false">F5385*E5385</f>
        <v>70.5</v>
      </c>
      <c r="H5385" s="433"/>
    </row>
    <row r="5386" customFormat="false" ht="15" hidden="false" customHeight="false" outlineLevel="0" collapsed="false">
      <c r="A5386" s="571"/>
      <c r="B5386" s="433"/>
      <c r="C5386" s="861" t="s">
        <v>4124</v>
      </c>
      <c r="D5386" s="316" t="s">
        <v>4125</v>
      </c>
      <c r="E5386" s="855" t="n">
        <v>0.1</v>
      </c>
      <c r="F5386" s="857" t="n">
        <v>170</v>
      </c>
      <c r="G5386" s="615" t="n">
        <f aca="false">F5386*E5386</f>
        <v>17</v>
      </c>
      <c r="H5386" s="433"/>
    </row>
    <row r="5387" customFormat="false" ht="30" hidden="false" customHeight="false" outlineLevel="0" collapsed="false">
      <c r="A5387" s="571" t="s">
        <v>1074</v>
      </c>
      <c r="B5387" s="433" t="s">
        <v>3324</v>
      </c>
      <c r="C5387" s="41"/>
      <c r="D5387" s="874"/>
      <c r="E5387" s="41"/>
      <c r="F5387" s="875"/>
      <c r="G5387" s="826" t="n">
        <f aca="false">SUM(G5388:G5409)</f>
        <v>9700.125</v>
      </c>
      <c r="H5387" s="433" t="s">
        <v>5282</v>
      </c>
    </row>
    <row r="5388" customFormat="false" ht="15" hidden="false" customHeight="false" outlineLevel="0" collapsed="false">
      <c r="A5388" s="571"/>
      <c r="B5388" s="433"/>
      <c r="C5388" s="855" t="s">
        <v>4604</v>
      </c>
      <c r="D5388" s="316" t="s">
        <v>4359</v>
      </c>
      <c r="E5388" s="855" t="n">
        <v>0.026</v>
      </c>
      <c r="F5388" s="115" t="n">
        <v>18000</v>
      </c>
      <c r="G5388" s="615" t="n">
        <f aca="false">F5388*E5388</f>
        <v>468</v>
      </c>
      <c r="H5388" s="433"/>
    </row>
    <row r="5389" customFormat="false" ht="15" hidden="false" customHeight="false" outlineLevel="0" collapsed="false">
      <c r="A5389" s="571"/>
      <c r="B5389" s="433"/>
      <c r="C5389" s="878" t="s">
        <v>4552</v>
      </c>
      <c r="D5389" s="877" t="s">
        <v>4133</v>
      </c>
      <c r="E5389" s="860" t="n">
        <v>0.0125</v>
      </c>
      <c r="F5389" s="115" t="n">
        <v>7500</v>
      </c>
      <c r="G5389" s="615" t="n">
        <f aca="false">F5389*E5389</f>
        <v>93.75</v>
      </c>
      <c r="H5389" s="433"/>
    </row>
    <row r="5390" customFormat="false" ht="15" hidden="false" customHeight="false" outlineLevel="0" collapsed="false">
      <c r="A5390" s="571"/>
      <c r="B5390" s="433"/>
      <c r="C5390" s="878" t="s">
        <v>4154</v>
      </c>
      <c r="D5390" s="316" t="s">
        <v>4359</v>
      </c>
      <c r="E5390" s="855" t="n">
        <v>0.07</v>
      </c>
      <c r="F5390" s="115" t="n">
        <v>18000</v>
      </c>
      <c r="G5390" s="615" t="n">
        <f aca="false">F5390*E5390</f>
        <v>1260</v>
      </c>
      <c r="H5390" s="433"/>
    </row>
    <row r="5391" customFormat="false" ht="15" hidden="false" customHeight="false" outlineLevel="0" collapsed="false">
      <c r="A5391" s="571"/>
      <c r="B5391" s="433"/>
      <c r="C5391" s="855" t="s">
        <v>4582</v>
      </c>
      <c r="D5391" s="316" t="s">
        <v>4359</v>
      </c>
      <c r="E5391" s="855" t="n">
        <v>0.005</v>
      </c>
      <c r="F5391" s="115" t="n">
        <v>7275</v>
      </c>
      <c r="G5391" s="615" t="n">
        <f aca="false">F5391*E5391</f>
        <v>36.375</v>
      </c>
      <c r="H5391" s="433"/>
    </row>
    <row r="5392" customFormat="false" ht="15" hidden="false" customHeight="false" outlineLevel="0" collapsed="false">
      <c r="A5392" s="571"/>
      <c r="B5392" s="433"/>
      <c r="C5392" s="861" t="s">
        <v>4317</v>
      </c>
      <c r="D5392" s="316" t="s">
        <v>4359</v>
      </c>
      <c r="E5392" s="855" t="n">
        <v>0.1</v>
      </c>
      <c r="F5392" s="115" t="n">
        <v>21000</v>
      </c>
      <c r="G5392" s="615" t="n">
        <f aca="false">F5392*E5392</f>
        <v>2100</v>
      </c>
      <c r="H5392" s="433"/>
    </row>
    <row r="5393" customFormat="false" ht="30" hidden="false" customHeight="false" outlineLevel="0" collapsed="false">
      <c r="A5393" s="571"/>
      <c r="B5393" s="433"/>
      <c r="C5393" s="532" t="s">
        <v>5238</v>
      </c>
      <c r="D5393" s="679" t="s">
        <v>4141</v>
      </c>
      <c r="E5393" s="865" t="n">
        <v>0.1</v>
      </c>
      <c r="F5393" s="617" t="n">
        <v>1400</v>
      </c>
      <c r="G5393" s="615" t="n">
        <f aca="false">F5393*E5393</f>
        <v>140</v>
      </c>
      <c r="H5393" s="433"/>
    </row>
    <row r="5394" customFormat="false" ht="15" hidden="false" customHeight="false" outlineLevel="0" collapsed="false">
      <c r="A5394" s="571"/>
      <c r="B5394" s="433"/>
      <c r="C5394" s="861" t="s">
        <v>4214</v>
      </c>
      <c r="D5394" s="316" t="s">
        <v>4133</v>
      </c>
      <c r="E5394" s="855" t="n">
        <v>0.01</v>
      </c>
      <c r="F5394" s="115" t="n">
        <v>35000</v>
      </c>
      <c r="G5394" s="615" t="n">
        <f aca="false">F5394*E5394</f>
        <v>350</v>
      </c>
      <c r="H5394" s="433"/>
    </row>
    <row r="5395" customFormat="false" ht="15" hidden="false" customHeight="false" outlineLevel="0" collapsed="false">
      <c r="A5395" s="571"/>
      <c r="B5395" s="433"/>
      <c r="C5395" s="855" t="s">
        <v>4627</v>
      </c>
      <c r="D5395" s="316" t="s">
        <v>4133</v>
      </c>
      <c r="E5395" s="855" t="n">
        <v>0.005</v>
      </c>
      <c r="F5395" s="115" t="n">
        <v>6400</v>
      </c>
      <c r="G5395" s="615" t="n">
        <f aca="false">F5395*E5395</f>
        <v>32</v>
      </c>
      <c r="H5395" s="433"/>
    </row>
    <row r="5396" customFormat="false" ht="15" hidden="false" customHeight="false" outlineLevel="0" collapsed="false">
      <c r="A5396" s="571"/>
      <c r="B5396" s="433"/>
      <c r="C5396" s="861" t="s">
        <v>5283</v>
      </c>
      <c r="D5396" s="316" t="s">
        <v>4133</v>
      </c>
      <c r="E5396" s="855" t="n">
        <v>0.05</v>
      </c>
      <c r="F5396" s="115" t="n">
        <v>48500</v>
      </c>
      <c r="G5396" s="615" t="n">
        <f aca="false">F5396*E5396</f>
        <v>2425</v>
      </c>
      <c r="H5396" s="433"/>
    </row>
    <row r="5397" customFormat="false" ht="15" hidden="false" customHeight="false" outlineLevel="0" collapsed="false">
      <c r="A5397" s="571"/>
      <c r="B5397" s="433"/>
      <c r="C5397" s="861" t="s">
        <v>4205</v>
      </c>
      <c r="D5397" s="316" t="s">
        <v>4359</v>
      </c>
      <c r="E5397" s="855" t="n">
        <v>0.01</v>
      </c>
      <c r="F5397" s="115" t="n">
        <v>14000</v>
      </c>
      <c r="G5397" s="615" t="n">
        <f aca="false">F5397*E5397</f>
        <v>140</v>
      </c>
      <c r="H5397" s="433"/>
    </row>
    <row r="5398" customFormat="false" ht="15" hidden="false" customHeight="false" outlineLevel="0" collapsed="false">
      <c r="A5398" s="571"/>
      <c r="B5398" s="433"/>
      <c r="C5398" s="861" t="s">
        <v>5223</v>
      </c>
      <c r="D5398" s="316" t="s">
        <v>4359</v>
      </c>
      <c r="E5398" s="855" t="n">
        <v>0.01</v>
      </c>
      <c r="F5398" s="857" t="n">
        <v>1000</v>
      </c>
      <c r="G5398" s="615" t="n">
        <f aca="false">F5398*E5398</f>
        <v>10</v>
      </c>
      <c r="H5398" s="433"/>
    </row>
    <row r="5399" customFormat="false" ht="30" hidden="false" customHeight="false" outlineLevel="0" collapsed="false">
      <c r="A5399" s="571"/>
      <c r="B5399" s="433"/>
      <c r="C5399" s="855" t="s">
        <v>5284</v>
      </c>
      <c r="D5399" s="316" t="s">
        <v>4133</v>
      </c>
      <c r="E5399" s="855" t="n">
        <v>0.0001</v>
      </c>
      <c r="F5399" s="857" t="n">
        <v>60000</v>
      </c>
      <c r="G5399" s="615" t="n">
        <f aca="false">F5399*E5399</f>
        <v>6</v>
      </c>
      <c r="H5399" s="433"/>
    </row>
    <row r="5400" customFormat="false" ht="15" hidden="false" customHeight="false" outlineLevel="0" collapsed="false">
      <c r="A5400" s="571"/>
      <c r="B5400" s="433"/>
      <c r="C5400" s="855" t="s">
        <v>5281</v>
      </c>
      <c r="D5400" s="316" t="s">
        <v>4133</v>
      </c>
      <c r="E5400" s="855" t="n">
        <v>0.015</v>
      </c>
      <c r="F5400" s="857" t="n">
        <v>13000</v>
      </c>
      <c r="G5400" s="615" t="n">
        <f aca="false">F5400*E5400</f>
        <v>195</v>
      </c>
      <c r="H5400" s="433"/>
    </row>
    <row r="5401" customFormat="false" ht="15" hidden="false" customHeight="false" outlineLevel="0" collapsed="false">
      <c r="A5401" s="571"/>
      <c r="B5401" s="433"/>
      <c r="C5401" s="855" t="s">
        <v>5240</v>
      </c>
      <c r="D5401" s="316" t="s">
        <v>4578</v>
      </c>
      <c r="E5401" s="855" t="n">
        <v>0.002</v>
      </c>
      <c r="F5401" s="857" t="n">
        <v>225000</v>
      </c>
      <c r="G5401" s="615" t="n">
        <f aca="false">F5401*E5401</f>
        <v>450</v>
      </c>
      <c r="H5401" s="433"/>
    </row>
    <row r="5402" customFormat="false" ht="15" hidden="false" customHeight="false" outlineLevel="0" collapsed="false">
      <c r="A5402" s="571"/>
      <c r="B5402" s="433"/>
      <c r="C5402" s="855" t="s">
        <v>5241</v>
      </c>
      <c r="D5402" s="316" t="s">
        <v>4141</v>
      </c>
      <c r="E5402" s="860" t="n">
        <v>0.001</v>
      </c>
      <c r="F5402" s="857" t="n">
        <v>1500</v>
      </c>
      <c r="G5402" s="615" t="n">
        <f aca="false">F5402*E5402</f>
        <v>1.5</v>
      </c>
      <c r="H5402" s="433"/>
    </row>
    <row r="5403" customFormat="false" ht="15" hidden="false" customHeight="false" outlineLevel="0" collapsed="false">
      <c r="A5403" s="571"/>
      <c r="B5403" s="433"/>
      <c r="C5403" s="855" t="s">
        <v>4347</v>
      </c>
      <c r="D5403" s="316" t="s">
        <v>4348</v>
      </c>
      <c r="E5403" s="855" t="n">
        <v>1</v>
      </c>
      <c r="F5403" s="857" t="n">
        <v>130</v>
      </c>
      <c r="G5403" s="615" t="n">
        <f aca="false">F5403*E5403</f>
        <v>130</v>
      </c>
      <c r="H5403" s="433"/>
    </row>
    <row r="5404" customFormat="false" ht="15" hidden="false" customHeight="false" outlineLevel="0" collapsed="false">
      <c r="A5404" s="571"/>
      <c r="B5404" s="433"/>
      <c r="C5404" s="855" t="s">
        <v>4122</v>
      </c>
      <c r="D5404" s="316" t="s">
        <v>4359</v>
      </c>
      <c r="E5404" s="855" t="n">
        <v>0.1</v>
      </c>
      <c r="F5404" s="871" t="n">
        <v>720</v>
      </c>
      <c r="G5404" s="615" t="n">
        <f aca="false">F5404*E5404</f>
        <v>72</v>
      </c>
      <c r="H5404" s="433"/>
    </row>
    <row r="5405" customFormat="false" ht="15" hidden="false" customHeight="false" outlineLevel="0" collapsed="false">
      <c r="A5405" s="571"/>
      <c r="B5405" s="433"/>
      <c r="C5405" s="867" t="s">
        <v>4497</v>
      </c>
      <c r="D5405" s="868" t="s">
        <v>4348</v>
      </c>
      <c r="E5405" s="869" t="n">
        <v>0.003</v>
      </c>
      <c r="F5405" s="870" t="n">
        <v>550000</v>
      </c>
      <c r="G5405" s="615" t="n">
        <f aca="false">F5405*E5405</f>
        <v>1650</v>
      </c>
      <c r="H5405" s="433"/>
    </row>
    <row r="5406" customFormat="false" ht="15" hidden="false" customHeight="false" outlineLevel="0" collapsed="false">
      <c r="A5406" s="571"/>
      <c r="B5406" s="433"/>
      <c r="C5406" s="855" t="s">
        <v>4515</v>
      </c>
      <c r="D5406" s="316" t="s">
        <v>4133</v>
      </c>
      <c r="E5406" s="855" t="n">
        <v>0.01</v>
      </c>
      <c r="F5406" s="857" t="n">
        <v>2700</v>
      </c>
      <c r="G5406" s="615" t="n">
        <f aca="false">F5406*E5406</f>
        <v>27</v>
      </c>
      <c r="H5406" s="433"/>
    </row>
    <row r="5407" customFormat="false" ht="15" hidden="false" customHeight="false" outlineLevel="0" collapsed="false">
      <c r="A5407" s="571"/>
      <c r="B5407" s="433"/>
      <c r="C5407" s="861" t="s">
        <v>4124</v>
      </c>
      <c r="D5407" s="316" t="s">
        <v>4125</v>
      </c>
      <c r="E5407" s="855" t="n">
        <v>0.1</v>
      </c>
      <c r="F5407" s="857" t="n">
        <v>170</v>
      </c>
      <c r="G5407" s="615" t="n">
        <f aca="false">F5407*E5407</f>
        <v>17</v>
      </c>
      <c r="H5407" s="433"/>
    </row>
    <row r="5408" customFormat="false" ht="15" hidden="false" customHeight="false" outlineLevel="0" collapsed="false">
      <c r="A5408" s="571"/>
      <c r="B5408" s="433"/>
      <c r="C5408" s="532" t="s">
        <v>5239</v>
      </c>
      <c r="D5408" s="679" t="s">
        <v>4141</v>
      </c>
      <c r="E5408" s="866" t="n">
        <v>0.003</v>
      </c>
      <c r="F5408" s="681" t="n">
        <v>23500</v>
      </c>
      <c r="G5408" s="615" t="n">
        <f aca="false">F5408*E5408</f>
        <v>70.5</v>
      </c>
      <c r="H5408" s="433"/>
    </row>
    <row r="5409" customFormat="false" ht="15" hidden="false" customHeight="false" outlineLevel="0" collapsed="false">
      <c r="A5409" s="571"/>
      <c r="B5409" s="433"/>
      <c r="C5409" s="860" t="s">
        <v>4509</v>
      </c>
      <c r="D5409" s="877" t="s">
        <v>4348</v>
      </c>
      <c r="E5409" s="860" t="n">
        <v>1</v>
      </c>
      <c r="F5409" s="857" t="n">
        <v>26</v>
      </c>
      <c r="G5409" s="615" t="n">
        <f aca="false">F5409*E5409</f>
        <v>26</v>
      </c>
      <c r="H5409" s="433"/>
    </row>
    <row r="5410" customFormat="false" ht="15" hidden="false" customHeight="false" outlineLevel="0" collapsed="false">
      <c r="A5410" s="571" t="s">
        <v>1076</v>
      </c>
      <c r="B5410" s="433" t="s">
        <v>3310</v>
      </c>
      <c r="C5410" s="41"/>
      <c r="D5410" s="874"/>
      <c r="E5410" s="41"/>
      <c r="F5410" s="875"/>
      <c r="G5410" s="826" t="n">
        <f aca="false">SUM(G5411:G5431)</f>
        <v>12857.87</v>
      </c>
      <c r="H5410" s="433" t="s">
        <v>5259</v>
      </c>
    </row>
    <row r="5411" customFormat="false" ht="15" hidden="false" customHeight="false" outlineLevel="0" collapsed="false">
      <c r="A5411" s="571"/>
      <c r="B5411" s="433"/>
      <c r="C5411" s="21" t="s">
        <v>4317</v>
      </c>
      <c r="D5411" s="877" t="s">
        <v>4359</v>
      </c>
      <c r="E5411" s="855" t="n">
        <v>0.15</v>
      </c>
      <c r="F5411" s="115" t="n">
        <v>21000</v>
      </c>
      <c r="G5411" s="716" t="n">
        <f aca="false">F5411*E5411</f>
        <v>3150</v>
      </c>
      <c r="H5411" s="433"/>
    </row>
    <row r="5412" customFormat="false" ht="15" hidden="false" customHeight="false" outlineLevel="0" collapsed="false">
      <c r="A5412" s="571"/>
      <c r="B5412" s="433"/>
      <c r="C5412" s="860" t="s">
        <v>5228</v>
      </c>
      <c r="D5412" s="316" t="s">
        <v>4133</v>
      </c>
      <c r="E5412" s="855" t="n">
        <v>0.0011</v>
      </c>
      <c r="F5412" s="115" t="n">
        <v>19000</v>
      </c>
      <c r="G5412" s="716" t="n">
        <f aca="false">F5412*E5412</f>
        <v>20.9</v>
      </c>
      <c r="H5412" s="433"/>
    </row>
    <row r="5413" customFormat="false" ht="15" hidden="false" customHeight="false" outlineLevel="0" collapsed="false">
      <c r="A5413" s="571"/>
      <c r="B5413" s="433"/>
      <c r="C5413" s="878" t="s">
        <v>4154</v>
      </c>
      <c r="D5413" s="877" t="s">
        <v>4359</v>
      </c>
      <c r="E5413" s="855" t="n">
        <v>0.048</v>
      </c>
      <c r="F5413" s="115" t="n">
        <v>18000</v>
      </c>
      <c r="G5413" s="716" t="n">
        <f aca="false">F5413*E5413</f>
        <v>864</v>
      </c>
      <c r="H5413" s="433"/>
    </row>
    <row r="5414" customFormat="false" ht="15" hidden="false" customHeight="false" outlineLevel="0" collapsed="false">
      <c r="A5414" s="571"/>
      <c r="B5414" s="433"/>
      <c r="C5414" s="878" t="s">
        <v>5260</v>
      </c>
      <c r="D5414" s="877" t="s">
        <v>4133</v>
      </c>
      <c r="E5414" s="855" t="n">
        <v>0.00136</v>
      </c>
      <c r="F5414" s="115" t="n">
        <v>24000</v>
      </c>
      <c r="G5414" s="716" t="n">
        <f aca="false">F5414*E5414</f>
        <v>32.64</v>
      </c>
      <c r="H5414" s="433"/>
    </row>
    <row r="5415" customFormat="false" ht="15" hidden="false" customHeight="false" outlineLevel="0" collapsed="false">
      <c r="A5415" s="571"/>
      <c r="B5415" s="433"/>
      <c r="C5415" s="532" t="s">
        <v>5240</v>
      </c>
      <c r="D5415" s="679" t="s">
        <v>4578</v>
      </c>
      <c r="E5415" s="858" t="n">
        <v>0.003</v>
      </c>
      <c r="F5415" s="617" t="n">
        <v>225000</v>
      </c>
      <c r="G5415" s="716" t="n">
        <f aca="false">F5415*E5415</f>
        <v>675</v>
      </c>
      <c r="H5415" s="433"/>
    </row>
    <row r="5416" customFormat="false" ht="15" hidden="false" customHeight="false" outlineLevel="0" collapsed="false">
      <c r="A5416" s="571"/>
      <c r="B5416" s="433"/>
      <c r="C5416" s="532" t="s">
        <v>4251</v>
      </c>
      <c r="D5416" s="679" t="s">
        <v>4578</v>
      </c>
      <c r="E5416" s="858" t="n">
        <v>0.003</v>
      </c>
      <c r="F5416" s="617" t="n">
        <v>275000</v>
      </c>
      <c r="G5416" s="716" t="n">
        <f aca="false">F5416*E5416</f>
        <v>825</v>
      </c>
      <c r="H5416" s="433"/>
    </row>
    <row r="5417" customFormat="false" ht="15" hidden="false" customHeight="false" outlineLevel="0" collapsed="false">
      <c r="A5417" s="571"/>
      <c r="B5417" s="433"/>
      <c r="C5417" s="21" t="s">
        <v>4250</v>
      </c>
      <c r="D5417" s="316" t="s">
        <v>4359</v>
      </c>
      <c r="E5417" s="819" t="n">
        <v>0.1</v>
      </c>
      <c r="F5417" s="617" t="n">
        <v>42000</v>
      </c>
      <c r="G5417" s="716" t="n">
        <f aca="false">F5417*E5417</f>
        <v>4200</v>
      </c>
      <c r="H5417" s="433"/>
    </row>
    <row r="5418" customFormat="false" ht="15" hidden="false" customHeight="false" outlineLevel="0" collapsed="false">
      <c r="A5418" s="571"/>
      <c r="B5418" s="433"/>
      <c r="C5418" s="881" t="s">
        <v>4266</v>
      </c>
      <c r="D5418" s="882" t="s">
        <v>4133</v>
      </c>
      <c r="E5418" s="614" t="n">
        <v>0.005</v>
      </c>
      <c r="F5418" s="883" t="n">
        <v>24000</v>
      </c>
      <c r="G5418" s="716" t="n">
        <f aca="false">F5418*E5418</f>
        <v>120</v>
      </c>
      <c r="H5418" s="433"/>
    </row>
    <row r="5419" customFormat="false" ht="30" hidden="false" customHeight="false" outlineLevel="0" collapsed="false">
      <c r="A5419" s="571"/>
      <c r="B5419" s="433"/>
      <c r="C5419" s="860" t="s">
        <v>5261</v>
      </c>
      <c r="D5419" s="877" t="s">
        <v>4133</v>
      </c>
      <c r="E5419" s="855" t="n">
        <v>0.0001</v>
      </c>
      <c r="F5419" s="115" t="n">
        <v>53760</v>
      </c>
      <c r="G5419" s="716" t="n">
        <f aca="false">F5419*E5419</f>
        <v>5.376</v>
      </c>
      <c r="H5419" s="433"/>
    </row>
    <row r="5420" customFormat="false" ht="30" hidden="false" customHeight="false" outlineLevel="0" collapsed="false">
      <c r="A5420" s="571"/>
      <c r="B5420" s="433"/>
      <c r="C5420" s="532" t="s">
        <v>5238</v>
      </c>
      <c r="D5420" s="679" t="s">
        <v>4141</v>
      </c>
      <c r="E5420" s="858" t="n">
        <v>0.001</v>
      </c>
      <c r="F5420" s="617" t="n">
        <v>1400</v>
      </c>
      <c r="G5420" s="716" t="n">
        <f aca="false">F5420*E5420</f>
        <v>1.4</v>
      </c>
      <c r="H5420" s="433"/>
    </row>
    <row r="5421" customFormat="false" ht="15" hidden="false" customHeight="false" outlineLevel="0" collapsed="false">
      <c r="A5421" s="571"/>
      <c r="B5421" s="433"/>
      <c r="C5421" s="861" t="s">
        <v>4214</v>
      </c>
      <c r="D5421" s="316" t="s">
        <v>4133</v>
      </c>
      <c r="E5421" s="855" t="n">
        <v>0.01</v>
      </c>
      <c r="F5421" s="115" t="n">
        <v>35000</v>
      </c>
      <c r="G5421" s="615" t="n">
        <f aca="false">F5421*E5421</f>
        <v>350</v>
      </c>
      <c r="H5421" s="433"/>
    </row>
    <row r="5422" customFormat="false" ht="15" hidden="false" customHeight="false" outlineLevel="0" collapsed="false">
      <c r="A5422" s="571"/>
      <c r="B5422" s="433"/>
      <c r="C5422" s="878" t="s">
        <v>4604</v>
      </c>
      <c r="D5422" s="877" t="s">
        <v>4359</v>
      </c>
      <c r="E5422" s="855" t="n">
        <v>0.0205</v>
      </c>
      <c r="F5422" s="115" t="n">
        <v>18000</v>
      </c>
      <c r="G5422" s="716" t="n">
        <f aca="false">F5422*E5422</f>
        <v>369</v>
      </c>
      <c r="H5422" s="433"/>
    </row>
    <row r="5423" customFormat="false" ht="15" hidden="false" customHeight="false" outlineLevel="0" collapsed="false">
      <c r="A5423" s="571"/>
      <c r="B5423" s="433"/>
      <c r="C5423" s="861" t="s">
        <v>4673</v>
      </c>
      <c r="D5423" s="877" t="s">
        <v>4133</v>
      </c>
      <c r="E5423" s="855" t="n">
        <v>0.002</v>
      </c>
      <c r="F5423" s="115" t="n">
        <v>106777</v>
      </c>
      <c r="G5423" s="716" t="n">
        <f aca="false">F5423*E5423</f>
        <v>213.554</v>
      </c>
      <c r="H5423" s="433"/>
    </row>
    <row r="5424" customFormat="false" ht="18" hidden="false" customHeight="true" outlineLevel="0" collapsed="false">
      <c r="A5424" s="571"/>
      <c r="B5424" s="433"/>
      <c r="C5424" s="878" t="s">
        <v>4158</v>
      </c>
      <c r="D5424" s="877" t="s">
        <v>4133</v>
      </c>
      <c r="E5424" s="855" t="n">
        <v>0.01</v>
      </c>
      <c r="F5424" s="115" t="n">
        <v>6400</v>
      </c>
      <c r="G5424" s="716" t="n">
        <f aca="false">F5424*E5424</f>
        <v>64</v>
      </c>
      <c r="H5424" s="433"/>
    </row>
    <row r="5425" customFormat="false" ht="15" hidden="false" customHeight="false" outlineLevel="0" collapsed="false">
      <c r="A5425" s="571"/>
      <c r="B5425" s="433"/>
      <c r="C5425" s="867" t="s">
        <v>4497</v>
      </c>
      <c r="D5425" s="868" t="s">
        <v>4348</v>
      </c>
      <c r="E5425" s="603" t="n">
        <v>0.003</v>
      </c>
      <c r="F5425" s="604" t="n">
        <v>550000</v>
      </c>
      <c r="G5425" s="716" t="n">
        <f aca="false">F5425*E5425</f>
        <v>1650</v>
      </c>
      <c r="H5425" s="433"/>
    </row>
    <row r="5426" customFormat="false" ht="15" hidden="false" customHeight="false" outlineLevel="0" collapsed="false">
      <c r="A5426" s="571"/>
      <c r="B5426" s="433"/>
      <c r="C5426" s="867" t="s">
        <v>4122</v>
      </c>
      <c r="D5426" s="868" t="s">
        <v>4123</v>
      </c>
      <c r="E5426" s="869" t="n">
        <v>0.1</v>
      </c>
      <c r="F5426" s="871" t="n">
        <v>720</v>
      </c>
      <c r="G5426" s="716" t="n">
        <f aca="false">F5426*E5426</f>
        <v>72</v>
      </c>
      <c r="H5426" s="433"/>
    </row>
    <row r="5427" customFormat="false" ht="15" hidden="false" customHeight="false" outlineLevel="0" collapsed="false">
      <c r="A5427" s="571"/>
      <c r="B5427" s="433"/>
      <c r="C5427" s="855" t="s">
        <v>5241</v>
      </c>
      <c r="D5427" s="868" t="s">
        <v>4121</v>
      </c>
      <c r="E5427" s="869" t="n">
        <v>0.001</v>
      </c>
      <c r="F5427" s="870" t="n">
        <v>1500</v>
      </c>
      <c r="G5427" s="716" t="n">
        <f aca="false">F5427*E5427</f>
        <v>1.5</v>
      </c>
      <c r="H5427" s="433"/>
    </row>
    <row r="5428" customFormat="false" ht="15" hidden="false" customHeight="false" outlineLevel="0" collapsed="false">
      <c r="A5428" s="571"/>
      <c r="B5428" s="433"/>
      <c r="C5428" s="872" t="s">
        <v>4124</v>
      </c>
      <c r="D5428" s="868" t="s">
        <v>4125</v>
      </c>
      <c r="E5428" s="869" t="n">
        <v>0.1</v>
      </c>
      <c r="F5428" s="871" t="n">
        <v>170</v>
      </c>
      <c r="G5428" s="716" t="n">
        <f aca="false">F5428*E5428</f>
        <v>17</v>
      </c>
      <c r="H5428" s="433"/>
    </row>
    <row r="5429" customFormat="false" ht="15" hidden="false" customHeight="false" outlineLevel="0" collapsed="false">
      <c r="A5429" s="571"/>
      <c r="B5429" s="433"/>
      <c r="C5429" s="872" t="s">
        <v>4347</v>
      </c>
      <c r="D5429" s="868" t="s">
        <v>4348</v>
      </c>
      <c r="E5429" s="869" t="n">
        <v>1</v>
      </c>
      <c r="F5429" s="871" t="n">
        <v>130</v>
      </c>
      <c r="G5429" s="716" t="n">
        <f aca="false">F5429*E5429</f>
        <v>130</v>
      </c>
      <c r="H5429" s="433"/>
    </row>
    <row r="5430" customFormat="false" ht="15" hidden="false" customHeight="false" outlineLevel="0" collapsed="false">
      <c r="A5430" s="571"/>
      <c r="B5430" s="433"/>
      <c r="C5430" s="532" t="s">
        <v>5239</v>
      </c>
      <c r="D5430" s="679" t="s">
        <v>4141</v>
      </c>
      <c r="E5430" s="866" t="n">
        <v>0.003</v>
      </c>
      <c r="F5430" s="681" t="n">
        <v>23500</v>
      </c>
      <c r="G5430" s="716" t="n">
        <f aca="false">F5430*E5430</f>
        <v>70.5</v>
      </c>
      <c r="H5430" s="433"/>
    </row>
    <row r="5431" customFormat="false" ht="15" hidden="false" customHeight="false" outlineLevel="0" collapsed="false">
      <c r="A5431" s="571"/>
      <c r="B5431" s="433"/>
      <c r="C5431" s="860" t="s">
        <v>4509</v>
      </c>
      <c r="D5431" s="877" t="s">
        <v>4348</v>
      </c>
      <c r="E5431" s="860" t="n">
        <v>1</v>
      </c>
      <c r="F5431" s="857" t="n">
        <v>26</v>
      </c>
      <c r="G5431" s="716" t="n">
        <f aca="false">F5431*E5431</f>
        <v>26</v>
      </c>
      <c r="H5431" s="433"/>
    </row>
    <row r="5432" customFormat="false" ht="45" hidden="false" customHeight="false" outlineLevel="0" collapsed="false">
      <c r="A5432" s="571" t="s">
        <v>1077</v>
      </c>
      <c r="B5432" s="488" t="s">
        <v>3325</v>
      </c>
      <c r="C5432" s="41"/>
      <c r="D5432" s="874"/>
      <c r="E5432" s="41"/>
      <c r="F5432" s="875"/>
      <c r="G5432" s="826" t="n">
        <f aca="false">SUM(G5433:G5458)</f>
        <v>23189.577</v>
      </c>
      <c r="H5432" s="433" t="s">
        <v>5285</v>
      </c>
    </row>
    <row r="5433" customFormat="false" ht="15" hidden="false" customHeight="false" outlineLevel="0" collapsed="false">
      <c r="A5433" s="571"/>
      <c r="B5433" s="433"/>
      <c r="C5433" s="21" t="s">
        <v>4604</v>
      </c>
      <c r="D5433" s="868" t="s">
        <v>4359</v>
      </c>
      <c r="E5433" s="860" t="n">
        <v>0.01</v>
      </c>
      <c r="F5433" s="890" t="n">
        <v>18000</v>
      </c>
      <c r="G5433" s="865" t="n">
        <f aca="false">F5433*E5433</f>
        <v>180</v>
      </c>
      <c r="H5433" s="433"/>
    </row>
    <row r="5434" customFormat="false" ht="15" hidden="false" customHeight="false" outlineLevel="0" collapsed="false">
      <c r="A5434" s="571"/>
      <c r="B5434" s="433"/>
      <c r="C5434" s="878" t="s">
        <v>5260</v>
      </c>
      <c r="D5434" s="877" t="s">
        <v>4133</v>
      </c>
      <c r="E5434" s="855" t="n">
        <v>0.0228</v>
      </c>
      <c r="F5434" s="891" t="n">
        <v>24000</v>
      </c>
      <c r="G5434" s="865" t="n">
        <f aca="false">F5434*E5434</f>
        <v>547.2</v>
      </c>
      <c r="H5434" s="433"/>
    </row>
    <row r="5435" customFormat="false" ht="15" hidden="false" customHeight="false" outlineLevel="0" collapsed="false">
      <c r="A5435" s="571"/>
      <c r="B5435" s="433"/>
      <c r="C5435" s="881" t="s">
        <v>4266</v>
      </c>
      <c r="D5435" s="882" t="s">
        <v>4133</v>
      </c>
      <c r="E5435" s="614" t="n">
        <v>0.0005</v>
      </c>
      <c r="F5435" s="838" t="n">
        <v>24000</v>
      </c>
      <c r="G5435" s="865" t="n">
        <f aca="false">F5435*E5435</f>
        <v>12</v>
      </c>
      <c r="H5435" s="433"/>
    </row>
    <row r="5436" customFormat="false" ht="30" hidden="false" customHeight="false" outlineLevel="0" collapsed="false">
      <c r="A5436" s="571"/>
      <c r="B5436" s="433"/>
      <c r="C5436" s="532" t="s">
        <v>5238</v>
      </c>
      <c r="D5436" s="679" t="s">
        <v>4141</v>
      </c>
      <c r="E5436" s="858" t="n">
        <v>0.001</v>
      </c>
      <c r="F5436" s="661" t="n">
        <v>1400</v>
      </c>
      <c r="G5436" s="865" t="n">
        <f aca="false">F5436*E5436</f>
        <v>1.4</v>
      </c>
      <c r="H5436" s="433"/>
    </row>
    <row r="5437" customFormat="false" ht="15" hidden="false" customHeight="false" outlineLevel="0" collapsed="false">
      <c r="A5437" s="571"/>
      <c r="B5437" s="433"/>
      <c r="C5437" s="41" t="s">
        <v>4758</v>
      </c>
      <c r="D5437" s="877" t="s">
        <v>4359</v>
      </c>
      <c r="E5437" s="855" t="n">
        <v>0.1</v>
      </c>
      <c r="F5437" s="891" t="n">
        <v>14000</v>
      </c>
      <c r="G5437" s="865" t="n">
        <f aca="false">F5437*E5437</f>
        <v>1400</v>
      </c>
      <c r="H5437" s="433"/>
    </row>
    <row r="5438" customFormat="false" ht="15" hidden="false" customHeight="false" outlineLevel="0" collapsed="false">
      <c r="A5438" s="571"/>
      <c r="B5438" s="433"/>
      <c r="C5438" s="21" t="s">
        <v>4317</v>
      </c>
      <c r="D5438" s="877" t="s">
        <v>4359</v>
      </c>
      <c r="E5438" s="855" t="n">
        <v>0.5</v>
      </c>
      <c r="F5438" s="891" t="n">
        <v>21000</v>
      </c>
      <c r="G5438" s="865" t="n">
        <f aca="false">F5438*E5438</f>
        <v>10500</v>
      </c>
      <c r="H5438" s="433"/>
    </row>
    <row r="5439" customFormat="false" ht="15" hidden="false" customHeight="false" outlineLevel="0" collapsed="false">
      <c r="A5439" s="571"/>
      <c r="B5439" s="433"/>
      <c r="C5439" s="21" t="s">
        <v>5007</v>
      </c>
      <c r="D5439" s="877" t="s">
        <v>4133</v>
      </c>
      <c r="E5439" s="855" t="n">
        <v>0.04</v>
      </c>
      <c r="F5439" s="891" t="n">
        <v>42000</v>
      </c>
      <c r="G5439" s="865" t="n">
        <f aca="false">F5439*E5439</f>
        <v>1680</v>
      </c>
      <c r="H5439" s="433"/>
    </row>
    <row r="5440" customFormat="false" ht="15" hidden="false" customHeight="false" outlineLevel="0" collapsed="false">
      <c r="A5440" s="571"/>
      <c r="B5440" s="433"/>
      <c r="C5440" s="855" t="s">
        <v>4216</v>
      </c>
      <c r="D5440" s="316" t="s">
        <v>4133</v>
      </c>
      <c r="E5440" s="855" t="n">
        <v>0.012</v>
      </c>
      <c r="F5440" s="891" t="n">
        <v>21000</v>
      </c>
      <c r="G5440" s="865" t="n">
        <f aca="false">F5440*E5440</f>
        <v>252</v>
      </c>
      <c r="H5440" s="433"/>
    </row>
    <row r="5441" customFormat="false" ht="15" hidden="false" customHeight="false" outlineLevel="0" collapsed="false">
      <c r="A5441" s="571"/>
      <c r="B5441" s="433"/>
      <c r="C5441" s="21" t="s">
        <v>4250</v>
      </c>
      <c r="D5441" s="316" t="s">
        <v>4359</v>
      </c>
      <c r="E5441" s="855" t="n">
        <v>0.1</v>
      </c>
      <c r="F5441" s="891" t="n">
        <v>42000</v>
      </c>
      <c r="G5441" s="865" t="n">
        <f aca="false">F5441*E5441</f>
        <v>4200</v>
      </c>
      <c r="H5441" s="433"/>
    </row>
    <row r="5442" customFormat="false" ht="15" hidden="false" customHeight="false" outlineLevel="0" collapsed="false">
      <c r="A5442" s="571"/>
      <c r="B5442" s="433"/>
      <c r="C5442" s="860" t="s">
        <v>5279</v>
      </c>
      <c r="D5442" s="877" t="s">
        <v>4359</v>
      </c>
      <c r="E5442" s="855" t="n">
        <v>0.03</v>
      </c>
      <c r="F5442" s="891" t="n">
        <v>21000</v>
      </c>
      <c r="G5442" s="865" t="n">
        <f aca="false">F5442*E5442</f>
        <v>630</v>
      </c>
      <c r="H5442" s="433"/>
    </row>
    <row r="5443" customFormat="false" ht="15" hidden="false" customHeight="false" outlineLevel="0" collapsed="false">
      <c r="A5443" s="571"/>
      <c r="B5443" s="433"/>
      <c r="C5443" s="855" t="s">
        <v>4205</v>
      </c>
      <c r="D5443" s="877" t="s">
        <v>4359</v>
      </c>
      <c r="E5443" s="855" t="n">
        <v>0.008</v>
      </c>
      <c r="F5443" s="891" t="n">
        <v>14000</v>
      </c>
      <c r="G5443" s="865" t="n">
        <f aca="false">F5443*E5443</f>
        <v>112</v>
      </c>
      <c r="H5443" s="433"/>
    </row>
    <row r="5444" customFormat="false" ht="15" hidden="false" customHeight="false" outlineLevel="0" collapsed="false">
      <c r="A5444" s="571"/>
      <c r="B5444" s="433"/>
      <c r="C5444" s="860" t="s">
        <v>4147</v>
      </c>
      <c r="D5444" s="877" t="s">
        <v>4359</v>
      </c>
      <c r="E5444" s="855" t="n">
        <v>0.001</v>
      </c>
      <c r="F5444" s="891" t="n">
        <v>18000</v>
      </c>
      <c r="G5444" s="865" t="n">
        <f aca="false">F5444*E5444</f>
        <v>18</v>
      </c>
      <c r="H5444" s="433"/>
    </row>
    <row r="5445" customFormat="false" ht="18" hidden="false" customHeight="true" outlineLevel="0" collapsed="false">
      <c r="A5445" s="571"/>
      <c r="B5445" s="433"/>
      <c r="C5445" s="860" t="s">
        <v>5228</v>
      </c>
      <c r="D5445" s="877" t="s">
        <v>4133</v>
      </c>
      <c r="E5445" s="855" t="n">
        <v>0.001</v>
      </c>
      <c r="F5445" s="891" t="n">
        <v>19000</v>
      </c>
      <c r="G5445" s="865" t="n">
        <f aca="false">F5445*E5445</f>
        <v>19</v>
      </c>
      <c r="H5445" s="433"/>
    </row>
    <row r="5446" customFormat="false" ht="15" hidden="false" customHeight="false" outlineLevel="0" collapsed="false">
      <c r="A5446" s="571"/>
      <c r="B5446" s="433"/>
      <c r="C5446" s="860" t="s">
        <v>4158</v>
      </c>
      <c r="D5446" s="877" t="s">
        <v>4133</v>
      </c>
      <c r="E5446" s="855" t="n">
        <v>0.003</v>
      </c>
      <c r="F5446" s="891" t="n">
        <v>6400</v>
      </c>
      <c r="G5446" s="865" t="n">
        <f aca="false">F5446*E5446</f>
        <v>19.2</v>
      </c>
      <c r="H5446" s="433"/>
    </row>
    <row r="5447" customFormat="false" ht="15" hidden="false" customHeight="false" outlineLevel="0" collapsed="false">
      <c r="A5447" s="571"/>
      <c r="B5447" s="433"/>
      <c r="C5447" s="860" t="s">
        <v>5091</v>
      </c>
      <c r="D5447" s="877" t="s">
        <v>4359</v>
      </c>
      <c r="E5447" s="855" t="n">
        <v>0.001</v>
      </c>
      <c r="F5447" s="891" t="n">
        <v>18000</v>
      </c>
      <c r="G5447" s="865" t="n">
        <f aca="false">F5447*E5447</f>
        <v>18</v>
      </c>
      <c r="H5447" s="433"/>
    </row>
    <row r="5448" customFormat="false" ht="15" hidden="false" customHeight="false" outlineLevel="0" collapsed="false">
      <c r="A5448" s="571"/>
      <c r="B5448" s="433"/>
      <c r="C5448" s="532" t="s">
        <v>5240</v>
      </c>
      <c r="D5448" s="679" t="s">
        <v>4578</v>
      </c>
      <c r="E5448" s="858" t="n">
        <v>0.003</v>
      </c>
      <c r="F5448" s="617" t="n">
        <v>225000</v>
      </c>
      <c r="G5448" s="716" t="n">
        <f aca="false">F5448*E5448</f>
        <v>675</v>
      </c>
      <c r="H5448" s="433"/>
    </row>
    <row r="5449" customFormat="false" ht="15" hidden="false" customHeight="false" outlineLevel="0" collapsed="false">
      <c r="A5449" s="571"/>
      <c r="B5449" s="433"/>
      <c r="C5449" s="532" t="s">
        <v>4251</v>
      </c>
      <c r="D5449" s="679" t="s">
        <v>4578</v>
      </c>
      <c r="E5449" s="858" t="n">
        <v>0.003</v>
      </c>
      <c r="F5449" s="617" t="n">
        <v>275000</v>
      </c>
      <c r="G5449" s="716" t="n">
        <f aca="false">F5449*E5449</f>
        <v>825</v>
      </c>
      <c r="H5449" s="433"/>
    </row>
    <row r="5450" customFormat="false" ht="15" hidden="false" customHeight="false" outlineLevel="0" collapsed="false">
      <c r="A5450" s="571"/>
      <c r="B5450" s="433"/>
      <c r="C5450" s="855" t="s">
        <v>4673</v>
      </c>
      <c r="D5450" s="316" t="s">
        <v>4133</v>
      </c>
      <c r="E5450" s="855" t="n">
        <v>0.001</v>
      </c>
      <c r="F5450" s="115" t="n">
        <v>106777</v>
      </c>
      <c r="G5450" s="615" t="n">
        <f aca="false">F5450*E5450</f>
        <v>106.777</v>
      </c>
      <c r="H5450" s="433"/>
    </row>
    <row r="5451" customFormat="false" ht="15" hidden="false" customHeight="false" outlineLevel="0" collapsed="false">
      <c r="A5451" s="571"/>
      <c r="B5451" s="433"/>
      <c r="C5451" s="867" t="s">
        <v>4497</v>
      </c>
      <c r="D5451" s="868" t="s">
        <v>4348</v>
      </c>
      <c r="E5451" s="603" t="n">
        <v>0.003</v>
      </c>
      <c r="F5451" s="604" t="n">
        <v>550000</v>
      </c>
      <c r="G5451" s="716" t="n">
        <f aca="false">F5451*E5451</f>
        <v>1650</v>
      </c>
      <c r="H5451" s="433"/>
    </row>
    <row r="5452" customFormat="false" ht="15" hidden="false" customHeight="false" outlineLevel="0" collapsed="false">
      <c r="A5452" s="571"/>
      <c r="B5452" s="433"/>
      <c r="C5452" s="867" t="s">
        <v>4122</v>
      </c>
      <c r="D5452" s="868" t="s">
        <v>4123</v>
      </c>
      <c r="E5452" s="603" t="n">
        <v>0.1</v>
      </c>
      <c r="F5452" s="607" t="n">
        <v>720</v>
      </c>
      <c r="G5452" s="716" t="n">
        <f aca="false">F5452*E5452</f>
        <v>72</v>
      </c>
      <c r="H5452" s="433"/>
    </row>
    <row r="5453" customFormat="false" ht="15" hidden="false" customHeight="false" outlineLevel="0" collapsed="false">
      <c r="A5453" s="571"/>
      <c r="B5453" s="433"/>
      <c r="C5453" s="860" t="s">
        <v>5241</v>
      </c>
      <c r="D5453" s="868" t="s">
        <v>4121</v>
      </c>
      <c r="E5453" s="603" t="n">
        <v>0.001</v>
      </c>
      <c r="F5453" s="604" t="n">
        <v>1500</v>
      </c>
      <c r="G5453" s="716" t="n">
        <f aca="false">F5453*E5453</f>
        <v>1.5</v>
      </c>
      <c r="H5453" s="433"/>
    </row>
    <row r="5454" customFormat="false" ht="15" hidden="false" customHeight="false" outlineLevel="0" collapsed="false">
      <c r="A5454" s="571"/>
      <c r="B5454" s="433"/>
      <c r="C5454" s="872" t="s">
        <v>4124</v>
      </c>
      <c r="D5454" s="868" t="s">
        <v>4125</v>
      </c>
      <c r="E5454" s="603" t="n">
        <v>0.1</v>
      </c>
      <c r="F5454" s="607" t="n">
        <v>170</v>
      </c>
      <c r="G5454" s="716" t="n">
        <f aca="false">F5454*E5454</f>
        <v>17</v>
      </c>
      <c r="H5454" s="433"/>
    </row>
    <row r="5455" customFormat="false" ht="15" hidden="false" customHeight="false" outlineLevel="0" collapsed="false">
      <c r="A5455" s="571"/>
      <c r="B5455" s="433"/>
      <c r="C5455" s="872" t="s">
        <v>4347</v>
      </c>
      <c r="D5455" s="868" t="s">
        <v>4348</v>
      </c>
      <c r="E5455" s="603" t="n">
        <v>1</v>
      </c>
      <c r="F5455" s="607" t="n">
        <v>130</v>
      </c>
      <c r="G5455" s="716" t="n">
        <f aca="false">F5455*E5455</f>
        <v>130</v>
      </c>
      <c r="H5455" s="433"/>
    </row>
    <row r="5456" customFormat="false" ht="15" hidden="false" customHeight="false" outlineLevel="0" collapsed="false">
      <c r="A5456" s="571"/>
      <c r="B5456" s="433"/>
      <c r="C5456" s="532" t="s">
        <v>5239</v>
      </c>
      <c r="D5456" s="679" t="s">
        <v>4141</v>
      </c>
      <c r="E5456" s="858" t="n">
        <v>0.003</v>
      </c>
      <c r="F5456" s="617" t="n">
        <v>23500</v>
      </c>
      <c r="G5456" s="716" t="n">
        <f aca="false">F5456*E5456</f>
        <v>70.5</v>
      </c>
      <c r="H5456" s="433"/>
    </row>
    <row r="5457" customFormat="false" ht="15" hidden="false" customHeight="false" outlineLevel="0" collapsed="false">
      <c r="A5457" s="571"/>
      <c r="B5457" s="433"/>
      <c r="C5457" s="860" t="s">
        <v>4509</v>
      </c>
      <c r="D5457" s="877" t="s">
        <v>4348</v>
      </c>
      <c r="E5457" s="860" t="n">
        <v>1</v>
      </c>
      <c r="F5457" s="857" t="n">
        <v>26</v>
      </c>
      <c r="G5457" s="716" t="n">
        <f aca="false">F5457*E5457</f>
        <v>26</v>
      </c>
      <c r="H5457" s="433"/>
    </row>
    <row r="5458" customFormat="false" ht="15" hidden="false" customHeight="false" outlineLevel="0" collapsed="false">
      <c r="A5458" s="571"/>
      <c r="B5458" s="433"/>
      <c r="C5458" s="860" t="s">
        <v>4515</v>
      </c>
      <c r="D5458" s="877" t="s">
        <v>4133</v>
      </c>
      <c r="E5458" s="860" t="n">
        <v>0.01</v>
      </c>
      <c r="F5458" s="857" t="n">
        <v>2700</v>
      </c>
      <c r="G5458" s="716" t="n">
        <f aca="false">F5458*E5458</f>
        <v>27</v>
      </c>
      <c r="H5458" s="433"/>
    </row>
    <row r="5459" customFormat="false" ht="45" hidden="false" customHeight="false" outlineLevel="0" collapsed="false">
      <c r="A5459" s="571" t="s">
        <v>1079</v>
      </c>
      <c r="B5459" s="488" t="s">
        <v>3314</v>
      </c>
      <c r="C5459" s="41"/>
      <c r="D5459" s="874"/>
      <c r="E5459" s="41"/>
      <c r="F5459" s="875"/>
      <c r="G5459" s="826" t="n">
        <f aca="false">SUM(G5460:G5480)</f>
        <v>16177.83815</v>
      </c>
      <c r="H5459" s="433" t="s">
        <v>5286</v>
      </c>
    </row>
    <row r="5460" customFormat="false" ht="15" hidden="false" customHeight="false" outlineLevel="0" collapsed="false">
      <c r="A5460" s="571"/>
      <c r="B5460" s="433"/>
      <c r="C5460" s="860" t="s">
        <v>4250</v>
      </c>
      <c r="D5460" s="316" t="s">
        <v>4359</v>
      </c>
      <c r="E5460" s="855" t="n">
        <v>0.16</v>
      </c>
      <c r="F5460" s="115" t="n">
        <v>42000</v>
      </c>
      <c r="G5460" s="615" t="n">
        <f aca="false">F5460*E5460</f>
        <v>6720</v>
      </c>
      <c r="H5460" s="888"/>
    </row>
    <row r="5461" customFormat="false" ht="15" hidden="false" customHeight="false" outlineLevel="0" collapsed="false">
      <c r="A5461" s="571"/>
      <c r="B5461" s="433"/>
      <c r="C5461" s="860" t="s">
        <v>5279</v>
      </c>
      <c r="D5461" s="316" t="s">
        <v>4359</v>
      </c>
      <c r="E5461" s="855" t="n">
        <v>0.06</v>
      </c>
      <c r="F5461" s="115" t="n">
        <v>21000</v>
      </c>
      <c r="G5461" s="615" t="n">
        <f aca="false">F5461*E5461</f>
        <v>1260</v>
      </c>
      <c r="H5461" s="888"/>
    </row>
    <row r="5462" customFormat="false" ht="15" hidden="false" customHeight="false" outlineLevel="0" collapsed="false">
      <c r="A5462" s="571"/>
      <c r="B5462" s="433"/>
      <c r="C5462" s="855" t="s">
        <v>4378</v>
      </c>
      <c r="D5462" s="316" t="s">
        <v>4133</v>
      </c>
      <c r="E5462" s="855" t="n">
        <v>0.015</v>
      </c>
      <c r="F5462" s="115" t="n">
        <v>45000</v>
      </c>
      <c r="G5462" s="615" t="n">
        <f aca="false">F5462*E5462</f>
        <v>675</v>
      </c>
      <c r="H5462" s="888"/>
    </row>
    <row r="5463" customFormat="false" ht="15" hidden="false" customHeight="false" outlineLevel="0" collapsed="false">
      <c r="A5463" s="571"/>
      <c r="B5463" s="433"/>
      <c r="C5463" s="855" t="s">
        <v>4673</v>
      </c>
      <c r="D5463" s="316" t="s">
        <v>4133</v>
      </c>
      <c r="E5463" s="855" t="n">
        <v>0.00095</v>
      </c>
      <c r="F5463" s="115" t="n">
        <v>106777</v>
      </c>
      <c r="G5463" s="615" t="n">
        <f aca="false">F5463*E5463</f>
        <v>101.43815</v>
      </c>
      <c r="H5463" s="888"/>
    </row>
    <row r="5464" customFormat="false" ht="15" hidden="false" customHeight="false" outlineLevel="0" collapsed="false">
      <c r="A5464" s="571"/>
      <c r="B5464" s="433"/>
      <c r="C5464" s="860" t="s">
        <v>4154</v>
      </c>
      <c r="D5464" s="316" t="s">
        <v>4359</v>
      </c>
      <c r="E5464" s="855" t="n">
        <v>0.06</v>
      </c>
      <c r="F5464" s="115" t="n">
        <v>18000</v>
      </c>
      <c r="G5464" s="615" t="n">
        <f aca="false">F5464*E5464</f>
        <v>1080</v>
      </c>
      <c r="H5464" s="888"/>
    </row>
    <row r="5465" customFormat="false" ht="15" hidden="false" customHeight="false" outlineLevel="0" collapsed="false">
      <c r="A5465" s="571"/>
      <c r="B5465" s="433"/>
      <c r="C5465" s="855" t="s">
        <v>5252</v>
      </c>
      <c r="D5465" s="316" t="s">
        <v>4133</v>
      </c>
      <c r="E5465" s="855" t="n">
        <v>0.01</v>
      </c>
      <c r="F5465" s="115" t="n">
        <v>19000</v>
      </c>
      <c r="G5465" s="615" t="n">
        <f aca="false">F5465*E5465</f>
        <v>190</v>
      </c>
      <c r="H5465" s="888"/>
    </row>
    <row r="5466" customFormat="false" ht="15" hidden="false" customHeight="false" outlineLevel="0" collapsed="false">
      <c r="A5466" s="571"/>
      <c r="B5466" s="433"/>
      <c r="C5466" s="855" t="s">
        <v>4216</v>
      </c>
      <c r="D5466" s="316" t="s">
        <v>4133</v>
      </c>
      <c r="E5466" s="855" t="n">
        <v>0.01</v>
      </c>
      <c r="F5466" s="115" t="n">
        <v>21000</v>
      </c>
      <c r="G5466" s="615" t="n">
        <f aca="false">F5466*E5466</f>
        <v>210</v>
      </c>
      <c r="H5466" s="888"/>
    </row>
    <row r="5467" customFormat="false" ht="15" hidden="false" customHeight="false" outlineLevel="0" collapsed="false">
      <c r="A5467" s="571"/>
      <c r="B5467" s="433"/>
      <c r="C5467" s="860" t="s">
        <v>4317</v>
      </c>
      <c r="D5467" s="877" t="s">
        <v>4359</v>
      </c>
      <c r="E5467" s="855" t="n">
        <v>0.1</v>
      </c>
      <c r="F5467" s="115" t="n">
        <v>21000</v>
      </c>
      <c r="G5467" s="615" t="n">
        <f aca="false">F5467*E5467</f>
        <v>2100</v>
      </c>
      <c r="H5467" s="888"/>
    </row>
    <row r="5468" customFormat="false" ht="30" hidden="false" customHeight="false" outlineLevel="0" collapsed="false">
      <c r="A5468" s="571"/>
      <c r="B5468" s="433"/>
      <c r="C5468" s="860" t="s">
        <v>5268</v>
      </c>
      <c r="D5468" s="316" t="s">
        <v>4133</v>
      </c>
      <c r="E5468" s="855" t="n">
        <v>0.0001</v>
      </c>
      <c r="F5468" s="115" t="n">
        <v>60000</v>
      </c>
      <c r="G5468" s="615" t="n">
        <f aca="false">F5468*E5468</f>
        <v>6</v>
      </c>
      <c r="H5468" s="433"/>
    </row>
    <row r="5469" customFormat="false" ht="15" hidden="false" customHeight="false" outlineLevel="0" collapsed="false">
      <c r="A5469" s="571"/>
      <c r="B5469" s="433"/>
      <c r="C5469" s="855" t="s">
        <v>4205</v>
      </c>
      <c r="D5469" s="316" t="s">
        <v>4359</v>
      </c>
      <c r="E5469" s="855" t="n">
        <v>0.06</v>
      </c>
      <c r="F5469" s="115" t="n">
        <v>14000</v>
      </c>
      <c r="G5469" s="615" t="n">
        <f aca="false">F5469*E5469</f>
        <v>840</v>
      </c>
      <c r="H5469" s="888"/>
    </row>
    <row r="5470" customFormat="false" ht="15" hidden="false" customHeight="false" outlineLevel="0" collapsed="false">
      <c r="A5470" s="571"/>
      <c r="B5470" s="433"/>
      <c r="C5470" s="884" t="s">
        <v>4497</v>
      </c>
      <c r="D5470" s="679" t="s">
        <v>4348</v>
      </c>
      <c r="E5470" s="603" t="n">
        <v>0.003</v>
      </c>
      <c r="F5470" s="604" t="n">
        <v>550000</v>
      </c>
      <c r="G5470" s="615" t="n">
        <f aca="false">F5470*E5470</f>
        <v>1650</v>
      </c>
      <c r="H5470" s="888"/>
    </row>
    <row r="5471" customFormat="false" ht="15" hidden="false" customHeight="false" outlineLevel="0" collapsed="false">
      <c r="A5471" s="571"/>
      <c r="B5471" s="433"/>
      <c r="C5471" s="884" t="s">
        <v>4122</v>
      </c>
      <c r="D5471" s="679" t="s">
        <v>4123</v>
      </c>
      <c r="E5471" s="614" t="n">
        <v>0.1</v>
      </c>
      <c r="F5471" s="607" t="n">
        <v>720</v>
      </c>
      <c r="G5471" s="615" t="n">
        <f aca="false">F5471*E5471</f>
        <v>72</v>
      </c>
      <c r="H5471" s="888"/>
    </row>
    <row r="5472" customFormat="false" ht="30" hidden="false" customHeight="false" outlineLevel="0" collapsed="false">
      <c r="A5472" s="571"/>
      <c r="B5472" s="433"/>
      <c r="C5472" s="532" t="s">
        <v>5238</v>
      </c>
      <c r="D5472" s="679" t="s">
        <v>4141</v>
      </c>
      <c r="E5472" s="858" t="n">
        <v>0.001</v>
      </c>
      <c r="F5472" s="617" t="n">
        <v>1400</v>
      </c>
      <c r="G5472" s="615" t="n">
        <f aca="false">F5472*E5472</f>
        <v>1.4</v>
      </c>
      <c r="H5472" s="888"/>
    </row>
    <row r="5473" customFormat="false" ht="15" hidden="false" customHeight="false" outlineLevel="0" collapsed="false">
      <c r="A5473" s="571"/>
      <c r="B5473" s="433"/>
      <c r="C5473" s="855" t="s">
        <v>5241</v>
      </c>
      <c r="D5473" s="679" t="s">
        <v>4121</v>
      </c>
      <c r="E5473" s="614" t="n">
        <v>0.001</v>
      </c>
      <c r="F5473" s="617" t="n">
        <v>1500</v>
      </c>
      <c r="G5473" s="615" t="n">
        <f aca="false">F5473*E5473</f>
        <v>1.5</v>
      </c>
      <c r="H5473" s="888"/>
    </row>
    <row r="5474" customFormat="false" ht="15" hidden="false" customHeight="false" outlineLevel="0" collapsed="false">
      <c r="A5474" s="571"/>
      <c r="B5474" s="433"/>
      <c r="C5474" s="855" t="s">
        <v>5240</v>
      </c>
      <c r="D5474" s="316" t="s">
        <v>4578</v>
      </c>
      <c r="E5474" s="855" t="n">
        <v>0.002</v>
      </c>
      <c r="F5474" s="857" t="n">
        <v>225000</v>
      </c>
      <c r="G5474" s="615" t="n">
        <f aca="false">F5474*E5474</f>
        <v>450</v>
      </c>
      <c r="H5474" s="888"/>
    </row>
    <row r="5475" customFormat="false" ht="15" hidden="false" customHeight="false" outlineLevel="0" collapsed="false">
      <c r="A5475" s="571"/>
      <c r="B5475" s="433"/>
      <c r="C5475" s="532" t="s">
        <v>4251</v>
      </c>
      <c r="D5475" s="679" t="s">
        <v>4578</v>
      </c>
      <c r="E5475" s="866" t="n">
        <v>0.002</v>
      </c>
      <c r="F5475" s="681" t="n">
        <v>275000</v>
      </c>
      <c r="G5475" s="716" t="n">
        <f aca="false">F5475*E5475</f>
        <v>550</v>
      </c>
      <c r="H5475" s="888"/>
    </row>
    <row r="5476" customFormat="false" ht="15" hidden="false" customHeight="false" outlineLevel="0" collapsed="false">
      <c r="A5476" s="571"/>
      <c r="B5476" s="433"/>
      <c r="C5476" s="855" t="s">
        <v>4515</v>
      </c>
      <c r="D5476" s="316" t="s">
        <v>4133</v>
      </c>
      <c r="E5476" s="855" t="n">
        <v>0.01</v>
      </c>
      <c r="F5476" s="857" t="n">
        <v>2700</v>
      </c>
      <c r="G5476" s="615" t="n">
        <f aca="false">F5476*E5476</f>
        <v>27</v>
      </c>
      <c r="H5476" s="888"/>
    </row>
    <row r="5477" customFormat="false" ht="15" hidden="false" customHeight="false" outlineLevel="0" collapsed="false">
      <c r="A5477" s="571"/>
      <c r="B5477" s="433"/>
      <c r="C5477" s="885" t="s">
        <v>4124</v>
      </c>
      <c r="D5477" s="679" t="s">
        <v>4125</v>
      </c>
      <c r="E5477" s="709" t="n">
        <v>0.1</v>
      </c>
      <c r="F5477" s="886" t="n">
        <v>170</v>
      </c>
      <c r="G5477" s="615" t="n">
        <f aca="false">F5477*E5477</f>
        <v>17</v>
      </c>
      <c r="H5477" s="888"/>
    </row>
    <row r="5478" customFormat="false" ht="15" hidden="false" customHeight="false" outlineLevel="0" collapsed="false">
      <c r="A5478" s="571"/>
      <c r="B5478" s="433"/>
      <c r="C5478" s="885" t="s">
        <v>4347</v>
      </c>
      <c r="D5478" s="679" t="s">
        <v>4348</v>
      </c>
      <c r="E5478" s="709" t="n">
        <v>1</v>
      </c>
      <c r="F5478" s="886" t="n">
        <v>130</v>
      </c>
      <c r="G5478" s="615" t="n">
        <f aca="false">F5478*E5478</f>
        <v>130</v>
      </c>
      <c r="H5478" s="888"/>
    </row>
    <row r="5479" customFormat="false" ht="15" hidden="false" customHeight="false" outlineLevel="0" collapsed="false">
      <c r="A5479" s="571"/>
      <c r="B5479" s="433"/>
      <c r="C5479" s="532" t="s">
        <v>5239</v>
      </c>
      <c r="D5479" s="679" t="s">
        <v>4141</v>
      </c>
      <c r="E5479" s="866" t="n">
        <v>0.003</v>
      </c>
      <c r="F5479" s="681" t="n">
        <v>23500</v>
      </c>
      <c r="G5479" s="615" t="n">
        <f aca="false">F5479*E5479</f>
        <v>70.5</v>
      </c>
      <c r="H5479" s="888"/>
    </row>
    <row r="5480" customFormat="false" ht="15" hidden="false" customHeight="false" outlineLevel="0" collapsed="false">
      <c r="A5480" s="571"/>
      <c r="B5480" s="433"/>
      <c r="C5480" s="855" t="s">
        <v>4509</v>
      </c>
      <c r="D5480" s="316" t="s">
        <v>4348</v>
      </c>
      <c r="E5480" s="855" t="n">
        <v>1</v>
      </c>
      <c r="F5480" s="857" t="n">
        <v>26</v>
      </c>
      <c r="G5480" s="615" t="n">
        <f aca="false">F5480*E5480</f>
        <v>26</v>
      </c>
      <c r="H5480" s="888"/>
    </row>
    <row r="5481" customFormat="false" ht="15" hidden="false" customHeight="false" outlineLevel="0" collapsed="false">
      <c r="A5481" s="571" t="s">
        <v>1080</v>
      </c>
      <c r="B5481" s="433" t="s">
        <v>5287</v>
      </c>
      <c r="C5481" s="41"/>
      <c r="D5481" s="874"/>
      <c r="E5481" s="41"/>
      <c r="F5481" s="875"/>
      <c r="G5481" s="826" t="n">
        <f aca="false">SUM(G5482:G5504)</f>
        <v>16588.1705</v>
      </c>
      <c r="H5481" s="433" t="s">
        <v>5264</v>
      </c>
    </row>
    <row r="5482" customFormat="false" ht="15" hidden="false" customHeight="false" outlineLevel="0" collapsed="false">
      <c r="A5482" s="571"/>
      <c r="B5482" s="433"/>
      <c r="C5482" s="41" t="s">
        <v>4604</v>
      </c>
      <c r="D5482" s="316" t="s">
        <v>4359</v>
      </c>
      <c r="E5482" s="855" t="n">
        <v>0.00144</v>
      </c>
      <c r="F5482" s="115" t="n">
        <v>18000</v>
      </c>
      <c r="G5482" s="615" t="n">
        <f aca="false">F5482*E5482</f>
        <v>25.92</v>
      </c>
      <c r="H5482" s="433"/>
    </row>
    <row r="5483" customFormat="false" ht="15" hidden="false" customHeight="false" outlineLevel="0" collapsed="false">
      <c r="A5483" s="571"/>
      <c r="B5483" s="433"/>
      <c r="C5483" s="41" t="s">
        <v>4317</v>
      </c>
      <c r="D5483" s="316" t="s">
        <v>4359</v>
      </c>
      <c r="E5483" s="855" t="n">
        <v>0.15</v>
      </c>
      <c r="F5483" s="115" t="n">
        <v>21000</v>
      </c>
      <c r="G5483" s="615" t="n">
        <f aca="false">F5483*E5483</f>
        <v>3150</v>
      </c>
      <c r="H5483" s="433"/>
    </row>
    <row r="5484" customFormat="false" ht="15" hidden="false" customHeight="false" outlineLevel="0" collapsed="false">
      <c r="A5484" s="571"/>
      <c r="B5484" s="433"/>
      <c r="C5484" s="41" t="s">
        <v>4205</v>
      </c>
      <c r="D5484" s="316" t="s">
        <v>4359</v>
      </c>
      <c r="E5484" s="855" t="n">
        <v>0.015</v>
      </c>
      <c r="F5484" s="115" t="n">
        <v>14000</v>
      </c>
      <c r="G5484" s="615" t="n">
        <f aca="false">F5484*E5484</f>
        <v>210</v>
      </c>
      <c r="H5484" s="433"/>
    </row>
    <row r="5485" customFormat="false" ht="15" hidden="false" customHeight="false" outlineLevel="0" collapsed="false">
      <c r="A5485" s="571"/>
      <c r="B5485" s="433"/>
      <c r="C5485" s="855" t="s">
        <v>5228</v>
      </c>
      <c r="D5485" s="316" t="s">
        <v>4133</v>
      </c>
      <c r="E5485" s="855" t="n">
        <v>0.01</v>
      </c>
      <c r="F5485" s="115" t="n">
        <v>19000</v>
      </c>
      <c r="G5485" s="615" t="n">
        <f aca="false">F5485*E5485</f>
        <v>190</v>
      </c>
      <c r="H5485" s="433"/>
    </row>
    <row r="5486" customFormat="false" ht="15" hidden="false" customHeight="false" outlineLevel="0" collapsed="false">
      <c r="A5486" s="571"/>
      <c r="B5486" s="433"/>
      <c r="C5486" s="860" t="s">
        <v>4250</v>
      </c>
      <c r="D5486" s="316" t="s">
        <v>4359</v>
      </c>
      <c r="E5486" s="855" t="n">
        <v>0.2</v>
      </c>
      <c r="F5486" s="115" t="n">
        <v>42000</v>
      </c>
      <c r="G5486" s="615" t="n">
        <f aca="false">F5486*E5486</f>
        <v>8400</v>
      </c>
      <c r="H5486" s="433"/>
    </row>
    <row r="5487" customFormat="false" ht="15" hidden="false" customHeight="false" outlineLevel="0" collapsed="false">
      <c r="A5487" s="571"/>
      <c r="B5487" s="433"/>
      <c r="C5487" s="855" t="s">
        <v>4673</v>
      </c>
      <c r="D5487" s="316" t="s">
        <v>4133</v>
      </c>
      <c r="E5487" s="855" t="n">
        <v>0.002</v>
      </c>
      <c r="F5487" s="115" t="n">
        <v>106777</v>
      </c>
      <c r="G5487" s="615" t="n">
        <f aca="false">F5487*E5487</f>
        <v>213.554</v>
      </c>
      <c r="H5487" s="433"/>
    </row>
    <row r="5488" customFormat="false" ht="15" hidden="false" customHeight="false" outlineLevel="0" collapsed="false">
      <c r="A5488" s="571"/>
      <c r="B5488" s="433"/>
      <c r="C5488" s="860" t="s">
        <v>4158</v>
      </c>
      <c r="D5488" s="316" t="s">
        <v>4133</v>
      </c>
      <c r="E5488" s="855" t="n">
        <v>0.001</v>
      </c>
      <c r="F5488" s="115" t="n">
        <v>6400</v>
      </c>
      <c r="G5488" s="615" t="n">
        <f aca="false">F5488*E5488</f>
        <v>6.4</v>
      </c>
      <c r="H5488" s="433"/>
    </row>
    <row r="5489" customFormat="false" ht="15" hidden="false" customHeight="false" outlineLevel="0" collapsed="false">
      <c r="A5489" s="571"/>
      <c r="B5489" s="433"/>
      <c r="C5489" s="860" t="s">
        <v>4154</v>
      </c>
      <c r="D5489" s="316" t="s">
        <v>4359</v>
      </c>
      <c r="E5489" s="855" t="n">
        <v>0.02</v>
      </c>
      <c r="F5489" s="115" t="n">
        <v>18000</v>
      </c>
      <c r="G5489" s="615" t="n">
        <f aca="false">F5489*E5489</f>
        <v>360</v>
      </c>
      <c r="H5489" s="433"/>
    </row>
    <row r="5490" customFormat="false" ht="15" hidden="false" customHeight="false" outlineLevel="0" collapsed="false">
      <c r="A5490" s="571"/>
      <c r="B5490" s="433"/>
      <c r="C5490" s="878" t="s">
        <v>5260</v>
      </c>
      <c r="D5490" s="877" t="s">
        <v>4133</v>
      </c>
      <c r="E5490" s="855" t="n">
        <v>0.00228</v>
      </c>
      <c r="F5490" s="115" t="n">
        <v>24000</v>
      </c>
      <c r="G5490" s="615" t="n">
        <f aca="false">F5490*E5490</f>
        <v>54.72</v>
      </c>
      <c r="H5490" s="433"/>
    </row>
    <row r="5491" customFormat="false" ht="15" hidden="false" customHeight="false" outlineLevel="0" collapsed="false">
      <c r="A5491" s="571"/>
      <c r="B5491" s="433"/>
      <c r="C5491" s="881" t="s">
        <v>4266</v>
      </c>
      <c r="D5491" s="882" t="s">
        <v>4133</v>
      </c>
      <c r="E5491" s="614" t="n">
        <v>0.005</v>
      </c>
      <c r="F5491" s="883" t="n">
        <v>24000</v>
      </c>
      <c r="G5491" s="615" t="n">
        <f aca="false">F5491*E5491</f>
        <v>120</v>
      </c>
      <c r="H5491" s="433"/>
    </row>
    <row r="5492" customFormat="false" ht="30" hidden="false" customHeight="false" outlineLevel="0" collapsed="false">
      <c r="A5492" s="571"/>
      <c r="B5492" s="433"/>
      <c r="C5492" s="532" t="s">
        <v>5238</v>
      </c>
      <c r="D5492" s="679" t="s">
        <v>4141</v>
      </c>
      <c r="E5492" s="819" t="n">
        <v>0.01</v>
      </c>
      <c r="F5492" s="617" t="n">
        <v>1400</v>
      </c>
      <c r="G5492" s="615" t="n">
        <f aca="false">F5492*E5492</f>
        <v>14</v>
      </c>
      <c r="H5492" s="433"/>
    </row>
    <row r="5493" customFormat="false" ht="15" hidden="false" customHeight="false" outlineLevel="0" collapsed="false">
      <c r="A5493" s="571"/>
      <c r="B5493" s="433"/>
      <c r="C5493" s="41" t="s">
        <v>4758</v>
      </c>
      <c r="D5493" s="316" t="s">
        <v>4359</v>
      </c>
      <c r="E5493" s="855" t="n">
        <v>0.007</v>
      </c>
      <c r="F5493" s="115" t="n">
        <v>14000</v>
      </c>
      <c r="G5493" s="615" t="n">
        <f aca="false">F5493*E5493</f>
        <v>98</v>
      </c>
      <c r="H5493" s="433"/>
    </row>
    <row r="5494" customFormat="false" ht="15" hidden="false" customHeight="false" outlineLevel="0" collapsed="false">
      <c r="A5494" s="571"/>
      <c r="B5494" s="433"/>
      <c r="C5494" s="855" t="s">
        <v>4216</v>
      </c>
      <c r="D5494" s="316" t="s">
        <v>4133</v>
      </c>
      <c r="E5494" s="855" t="n">
        <v>0.012</v>
      </c>
      <c r="F5494" s="115" t="n">
        <v>21000</v>
      </c>
      <c r="G5494" s="615" t="n">
        <f aca="false">F5494*E5494</f>
        <v>252</v>
      </c>
      <c r="H5494" s="433"/>
    </row>
    <row r="5495" customFormat="false" ht="30" hidden="false" customHeight="false" outlineLevel="0" collapsed="false">
      <c r="A5495" s="571"/>
      <c r="B5495" s="433"/>
      <c r="C5495" s="860" t="s">
        <v>5265</v>
      </c>
      <c r="D5495" s="316" t="s">
        <v>4133</v>
      </c>
      <c r="E5495" s="855" t="n">
        <v>0.0001</v>
      </c>
      <c r="F5495" s="115" t="n">
        <v>130765</v>
      </c>
      <c r="G5495" s="615" t="n">
        <f aca="false">F5495*E5495</f>
        <v>13.0765</v>
      </c>
      <c r="H5495" s="433"/>
    </row>
    <row r="5496" customFormat="false" ht="15" hidden="false" customHeight="false" outlineLevel="0" collapsed="false">
      <c r="A5496" s="571"/>
      <c r="B5496" s="433"/>
      <c r="C5496" s="532" t="s">
        <v>5240</v>
      </c>
      <c r="D5496" s="679" t="s">
        <v>4578</v>
      </c>
      <c r="E5496" s="858" t="n">
        <v>0.003</v>
      </c>
      <c r="F5496" s="617" t="n">
        <v>225000</v>
      </c>
      <c r="G5496" s="615" t="n">
        <f aca="false">F5496*E5496</f>
        <v>675</v>
      </c>
      <c r="H5496" s="433"/>
    </row>
    <row r="5497" customFormat="false" ht="15" hidden="false" customHeight="false" outlineLevel="0" collapsed="false">
      <c r="A5497" s="571"/>
      <c r="B5497" s="433"/>
      <c r="C5497" s="532" t="s">
        <v>4251</v>
      </c>
      <c r="D5497" s="679" t="s">
        <v>4578</v>
      </c>
      <c r="E5497" s="858" t="n">
        <v>0.003</v>
      </c>
      <c r="F5497" s="617" t="n">
        <v>275000</v>
      </c>
      <c r="G5497" s="615" t="n">
        <f aca="false">F5497*E5497</f>
        <v>825</v>
      </c>
      <c r="H5497" s="433"/>
    </row>
    <row r="5498" customFormat="false" ht="15" hidden="false" customHeight="false" outlineLevel="0" collapsed="false">
      <c r="A5498" s="571"/>
      <c r="B5498" s="433"/>
      <c r="C5498" s="867" t="s">
        <v>4497</v>
      </c>
      <c r="D5498" s="868" t="s">
        <v>4348</v>
      </c>
      <c r="E5498" s="603" t="n">
        <v>0.003</v>
      </c>
      <c r="F5498" s="604" t="n">
        <v>550000</v>
      </c>
      <c r="G5498" s="615" t="n">
        <f aca="false">F5498*E5498</f>
        <v>1650</v>
      </c>
      <c r="H5498" s="433"/>
    </row>
    <row r="5499" customFormat="false" ht="15" hidden="false" customHeight="false" outlineLevel="0" collapsed="false">
      <c r="A5499" s="571"/>
      <c r="B5499" s="433"/>
      <c r="C5499" s="867" t="s">
        <v>4122</v>
      </c>
      <c r="D5499" s="868" t="s">
        <v>4123</v>
      </c>
      <c r="E5499" s="869" t="n">
        <v>0.1</v>
      </c>
      <c r="F5499" s="871" t="n">
        <v>720</v>
      </c>
      <c r="G5499" s="615" t="n">
        <f aca="false">F5499*E5499</f>
        <v>72</v>
      </c>
      <c r="H5499" s="433"/>
    </row>
    <row r="5500" customFormat="false" ht="15" hidden="false" customHeight="false" outlineLevel="0" collapsed="false">
      <c r="A5500" s="571"/>
      <c r="B5500" s="433"/>
      <c r="C5500" s="855" t="s">
        <v>5241</v>
      </c>
      <c r="D5500" s="868" t="s">
        <v>4121</v>
      </c>
      <c r="E5500" s="869" t="n">
        <v>0.01</v>
      </c>
      <c r="F5500" s="870" t="n">
        <v>1500</v>
      </c>
      <c r="G5500" s="615" t="n">
        <f aca="false">F5500*E5500</f>
        <v>15</v>
      </c>
      <c r="H5500" s="433"/>
    </row>
    <row r="5501" customFormat="false" ht="15" hidden="false" customHeight="false" outlineLevel="0" collapsed="false">
      <c r="A5501" s="571"/>
      <c r="B5501" s="433"/>
      <c r="C5501" s="532" t="s">
        <v>5239</v>
      </c>
      <c r="D5501" s="679" t="s">
        <v>4141</v>
      </c>
      <c r="E5501" s="866" t="n">
        <v>0.003</v>
      </c>
      <c r="F5501" s="681" t="n">
        <v>23500</v>
      </c>
      <c r="G5501" s="615" t="n">
        <f aca="false">F5501*E5501</f>
        <v>70.5</v>
      </c>
      <c r="H5501" s="433"/>
    </row>
    <row r="5502" customFormat="false" ht="15" hidden="false" customHeight="false" outlineLevel="0" collapsed="false">
      <c r="A5502" s="571"/>
      <c r="B5502" s="433"/>
      <c r="C5502" s="872" t="s">
        <v>4124</v>
      </c>
      <c r="D5502" s="868" t="s">
        <v>4125</v>
      </c>
      <c r="E5502" s="869" t="n">
        <v>0.1</v>
      </c>
      <c r="F5502" s="871" t="n">
        <v>170</v>
      </c>
      <c r="G5502" s="615" t="n">
        <f aca="false">F5502*E5502</f>
        <v>17</v>
      </c>
      <c r="H5502" s="433"/>
    </row>
    <row r="5503" customFormat="false" ht="15" hidden="false" customHeight="false" outlineLevel="0" collapsed="false">
      <c r="A5503" s="571"/>
      <c r="B5503" s="433"/>
      <c r="C5503" s="872" t="s">
        <v>4347</v>
      </c>
      <c r="D5503" s="868" t="s">
        <v>4348</v>
      </c>
      <c r="E5503" s="869" t="n">
        <v>1</v>
      </c>
      <c r="F5503" s="871" t="n">
        <v>130</v>
      </c>
      <c r="G5503" s="615" t="n">
        <f aca="false">F5503*E5503</f>
        <v>130</v>
      </c>
      <c r="H5503" s="433"/>
    </row>
    <row r="5504" customFormat="false" ht="15" hidden="false" customHeight="false" outlineLevel="0" collapsed="false">
      <c r="A5504" s="571"/>
      <c r="B5504" s="433"/>
      <c r="C5504" s="855" t="s">
        <v>4509</v>
      </c>
      <c r="D5504" s="316" t="s">
        <v>4348</v>
      </c>
      <c r="E5504" s="855" t="n">
        <v>1</v>
      </c>
      <c r="F5504" s="115" t="n">
        <v>26</v>
      </c>
      <c r="G5504" s="615" t="n">
        <f aca="false">F5504*E5504</f>
        <v>26</v>
      </c>
      <c r="H5504" s="433"/>
    </row>
    <row r="5505" customFormat="false" ht="15" hidden="false" customHeight="false" outlineLevel="0" collapsed="false">
      <c r="A5505" s="571" t="s">
        <v>1081</v>
      </c>
      <c r="B5505" s="488" t="s">
        <v>3309</v>
      </c>
      <c r="C5505" s="41"/>
      <c r="D5505" s="874"/>
      <c r="E5505" s="41"/>
      <c r="F5505" s="875"/>
      <c r="G5505" s="826" t="n">
        <f aca="false">SUM(G5506:G5523)</f>
        <v>14813.0055</v>
      </c>
      <c r="H5505" s="889" t="s">
        <v>5251</v>
      </c>
    </row>
    <row r="5506" customFormat="false" ht="15" hidden="false" customHeight="false" outlineLevel="0" collapsed="false">
      <c r="A5506" s="571"/>
      <c r="B5506" s="433"/>
      <c r="C5506" s="860" t="s">
        <v>4250</v>
      </c>
      <c r="D5506" s="316" t="s">
        <v>4359</v>
      </c>
      <c r="E5506" s="855" t="n">
        <v>0.12</v>
      </c>
      <c r="F5506" s="115" t="n">
        <v>42000</v>
      </c>
      <c r="G5506" s="615" t="n">
        <f aca="false">F5506*E5506</f>
        <v>5040</v>
      </c>
      <c r="H5506" s="433"/>
    </row>
    <row r="5507" customFormat="false" ht="15" hidden="false" customHeight="false" outlineLevel="0" collapsed="false">
      <c r="A5507" s="571"/>
      <c r="B5507" s="433"/>
      <c r="C5507" s="855" t="s">
        <v>5252</v>
      </c>
      <c r="D5507" s="316" t="s">
        <v>4133</v>
      </c>
      <c r="E5507" s="855" t="n">
        <v>0.005</v>
      </c>
      <c r="F5507" s="115" t="n">
        <v>19000</v>
      </c>
      <c r="G5507" s="615" t="n">
        <f aca="false">F5507*E5507</f>
        <v>95</v>
      </c>
      <c r="H5507" s="433"/>
    </row>
    <row r="5508" customFormat="false" ht="15" hidden="false" customHeight="false" outlineLevel="0" collapsed="false">
      <c r="A5508" s="571"/>
      <c r="B5508" s="433"/>
      <c r="C5508" s="860" t="s">
        <v>4154</v>
      </c>
      <c r="D5508" s="316" t="s">
        <v>4359</v>
      </c>
      <c r="E5508" s="855" t="n">
        <v>0.147</v>
      </c>
      <c r="F5508" s="115" t="n">
        <v>18000</v>
      </c>
      <c r="G5508" s="615" t="n">
        <f aca="false">F5508*E5508</f>
        <v>2646</v>
      </c>
      <c r="H5508" s="433"/>
    </row>
    <row r="5509" customFormat="false" ht="30" hidden="false" customHeight="false" outlineLevel="0" collapsed="false">
      <c r="A5509" s="571"/>
      <c r="B5509" s="433"/>
      <c r="C5509" s="532" t="s">
        <v>5238</v>
      </c>
      <c r="D5509" s="679" t="s">
        <v>4141</v>
      </c>
      <c r="E5509" s="819" t="n">
        <v>0.1</v>
      </c>
      <c r="F5509" s="617" t="n">
        <v>1400</v>
      </c>
      <c r="G5509" s="615" t="n">
        <f aca="false">F5509*E5509</f>
        <v>140</v>
      </c>
      <c r="H5509" s="433"/>
    </row>
    <row r="5510" customFormat="false" ht="45" hidden="false" customHeight="false" outlineLevel="0" collapsed="false">
      <c r="A5510" s="571"/>
      <c r="B5510" s="433"/>
      <c r="C5510" s="860" t="s">
        <v>5253</v>
      </c>
      <c r="D5510" s="877" t="s">
        <v>4133</v>
      </c>
      <c r="E5510" s="855" t="n">
        <v>0.0001</v>
      </c>
      <c r="F5510" s="115" t="n">
        <v>41555</v>
      </c>
      <c r="G5510" s="615" t="n">
        <f aca="false">F5510*E5510</f>
        <v>4.1555</v>
      </c>
      <c r="H5510" s="532"/>
    </row>
    <row r="5511" customFormat="false" ht="15" hidden="false" customHeight="false" outlineLevel="0" collapsed="false">
      <c r="A5511" s="571"/>
      <c r="B5511" s="433"/>
      <c r="C5511" s="860" t="s">
        <v>4628</v>
      </c>
      <c r="D5511" s="877" t="s">
        <v>4133</v>
      </c>
      <c r="E5511" s="855" t="n">
        <v>0.03</v>
      </c>
      <c r="F5511" s="115" t="n">
        <v>18000</v>
      </c>
      <c r="G5511" s="615" t="n">
        <f aca="false">F5511*E5511</f>
        <v>540</v>
      </c>
      <c r="H5511" s="532"/>
    </row>
    <row r="5512" customFormat="false" ht="15" hidden="false" customHeight="false" outlineLevel="0" collapsed="false">
      <c r="A5512" s="571"/>
      <c r="B5512" s="433"/>
      <c r="C5512" s="878" t="s">
        <v>4524</v>
      </c>
      <c r="D5512" s="877" t="s">
        <v>4133</v>
      </c>
      <c r="E5512" s="855" t="n">
        <v>0.95</v>
      </c>
      <c r="F5512" s="115" t="n">
        <v>2625</v>
      </c>
      <c r="G5512" s="615" t="n">
        <f aca="false">F5512*E5512</f>
        <v>2493.75</v>
      </c>
      <c r="H5512" s="532"/>
    </row>
    <row r="5513" customFormat="false" ht="15" hidden="false" customHeight="true" outlineLevel="0" collapsed="false">
      <c r="A5513" s="571"/>
      <c r="B5513" s="433"/>
      <c r="C5513" s="878" t="s">
        <v>5260</v>
      </c>
      <c r="D5513" s="877" t="s">
        <v>4133</v>
      </c>
      <c r="E5513" s="855" t="n">
        <v>0.0136</v>
      </c>
      <c r="F5513" s="115" t="n">
        <v>24000</v>
      </c>
      <c r="G5513" s="615" t="n">
        <f aca="false">F5513*E5513</f>
        <v>326.4</v>
      </c>
      <c r="H5513" s="433"/>
    </row>
    <row r="5514" customFormat="false" ht="30" hidden="false" customHeight="false" outlineLevel="0" collapsed="false">
      <c r="A5514" s="571"/>
      <c r="B5514" s="433"/>
      <c r="C5514" s="855" t="s">
        <v>5257</v>
      </c>
      <c r="D5514" s="316" t="s">
        <v>4133</v>
      </c>
      <c r="E5514" s="855" t="n">
        <v>0.01</v>
      </c>
      <c r="F5514" s="115" t="n">
        <v>56000</v>
      </c>
      <c r="G5514" s="615" t="n">
        <f aca="false">F5514*E5514</f>
        <v>560</v>
      </c>
      <c r="H5514" s="433"/>
    </row>
    <row r="5515" customFormat="false" ht="30" hidden="false" customHeight="false" outlineLevel="0" collapsed="false">
      <c r="A5515" s="571"/>
      <c r="B5515" s="433"/>
      <c r="C5515" s="855" t="s">
        <v>5258</v>
      </c>
      <c r="D5515" s="316" t="s">
        <v>4133</v>
      </c>
      <c r="E5515" s="855" t="n">
        <v>0.01</v>
      </c>
      <c r="F5515" s="115" t="n">
        <v>60200</v>
      </c>
      <c r="G5515" s="615" t="n">
        <f aca="false">F5515*E5515</f>
        <v>602</v>
      </c>
      <c r="H5515" s="433"/>
    </row>
    <row r="5516" customFormat="false" ht="15" hidden="false" customHeight="false" outlineLevel="0" collapsed="false">
      <c r="A5516" s="571"/>
      <c r="B5516" s="433"/>
      <c r="C5516" s="532" t="s">
        <v>5240</v>
      </c>
      <c r="D5516" s="679" t="s">
        <v>4578</v>
      </c>
      <c r="E5516" s="866" t="n">
        <v>0.002</v>
      </c>
      <c r="F5516" s="681" t="n">
        <v>225000</v>
      </c>
      <c r="G5516" s="615" t="n">
        <f aca="false">F5516*E5516</f>
        <v>450</v>
      </c>
      <c r="H5516" s="433"/>
    </row>
    <row r="5517" customFormat="false" ht="15" hidden="false" customHeight="false" outlineLevel="0" collapsed="false">
      <c r="A5517" s="571"/>
      <c r="B5517" s="433"/>
      <c r="C5517" s="867" t="s">
        <v>4497</v>
      </c>
      <c r="D5517" s="868" t="s">
        <v>4348</v>
      </c>
      <c r="E5517" s="869" t="n">
        <v>0.003</v>
      </c>
      <c r="F5517" s="870" t="n">
        <v>550000</v>
      </c>
      <c r="G5517" s="615" t="n">
        <f aca="false">F5517*E5517</f>
        <v>1650</v>
      </c>
      <c r="H5517" s="433"/>
    </row>
    <row r="5518" customFormat="false" ht="15" hidden="false" customHeight="false" outlineLevel="0" collapsed="false">
      <c r="A5518" s="571"/>
      <c r="B5518" s="433"/>
      <c r="C5518" s="867" t="s">
        <v>4122</v>
      </c>
      <c r="D5518" s="868" t="s">
        <v>4123</v>
      </c>
      <c r="E5518" s="869" t="n">
        <v>0.01</v>
      </c>
      <c r="F5518" s="871" t="n">
        <v>720</v>
      </c>
      <c r="G5518" s="615" t="n">
        <f aca="false">F5518*E5518</f>
        <v>7.2</v>
      </c>
      <c r="H5518" s="433"/>
    </row>
    <row r="5519" customFormat="false" ht="15" hidden="false" customHeight="false" outlineLevel="0" collapsed="false">
      <c r="A5519" s="571"/>
      <c r="B5519" s="433"/>
      <c r="C5519" s="855" t="s">
        <v>5241</v>
      </c>
      <c r="D5519" s="868" t="s">
        <v>4121</v>
      </c>
      <c r="E5519" s="869" t="n">
        <v>0.01</v>
      </c>
      <c r="F5519" s="870" t="n">
        <v>1500</v>
      </c>
      <c r="G5519" s="615" t="n">
        <f aca="false">F5519*E5519</f>
        <v>15</v>
      </c>
      <c r="H5519" s="433"/>
    </row>
    <row r="5520" customFormat="false" ht="15" hidden="false" customHeight="false" outlineLevel="0" collapsed="false">
      <c r="A5520" s="571"/>
      <c r="B5520" s="433"/>
      <c r="C5520" s="872" t="s">
        <v>4124</v>
      </c>
      <c r="D5520" s="868" t="s">
        <v>4125</v>
      </c>
      <c r="E5520" s="869" t="n">
        <v>0.1</v>
      </c>
      <c r="F5520" s="871" t="n">
        <v>170</v>
      </c>
      <c r="G5520" s="615" t="n">
        <f aca="false">F5520*E5520</f>
        <v>17</v>
      </c>
      <c r="H5520" s="433"/>
    </row>
    <row r="5521" customFormat="false" ht="15" hidden="false" customHeight="false" outlineLevel="0" collapsed="false">
      <c r="A5521" s="571"/>
      <c r="B5521" s="433"/>
      <c r="C5521" s="872" t="s">
        <v>4347</v>
      </c>
      <c r="D5521" s="868" t="s">
        <v>4348</v>
      </c>
      <c r="E5521" s="869" t="n">
        <v>1</v>
      </c>
      <c r="F5521" s="871" t="n">
        <v>130</v>
      </c>
      <c r="G5521" s="615" t="n">
        <f aca="false">F5521*E5521</f>
        <v>130</v>
      </c>
      <c r="H5521" s="433"/>
    </row>
    <row r="5522" customFormat="false" ht="15" hidden="false" customHeight="false" outlineLevel="0" collapsed="false">
      <c r="A5522" s="571"/>
      <c r="B5522" s="433"/>
      <c r="C5522" s="532" t="s">
        <v>5239</v>
      </c>
      <c r="D5522" s="679" t="s">
        <v>4141</v>
      </c>
      <c r="E5522" s="866" t="n">
        <v>0.003</v>
      </c>
      <c r="F5522" s="681" t="n">
        <v>23500</v>
      </c>
      <c r="G5522" s="615" t="n">
        <f aca="false">F5522*E5522</f>
        <v>70.5</v>
      </c>
      <c r="H5522" s="433"/>
    </row>
    <row r="5523" customFormat="false" ht="15" hidden="false" customHeight="false" outlineLevel="0" collapsed="false">
      <c r="A5523" s="571"/>
      <c r="B5523" s="433"/>
      <c r="C5523" s="855" t="s">
        <v>4509</v>
      </c>
      <c r="D5523" s="316" t="s">
        <v>4348</v>
      </c>
      <c r="E5523" s="855" t="n">
        <v>1</v>
      </c>
      <c r="F5523" s="857" t="n">
        <v>26</v>
      </c>
      <c r="G5523" s="615" t="n">
        <f aca="false">F5523*E5523</f>
        <v>26</v>
      </c>
      <c r="H5523" s="433"/>
    </row>
    <row r="5524" customFormat="false" ht="30" hidden="false" customHeight="false" outlineLevel="0" collapsed="false">
      <c r="A5524" s="571" t="s">
        <v>1082</v>
      </c>
      <c r="B5524" s="488" t="s">
        <v>3315</v>
      </c>
      <c r="C5524" s="41"/>
      <c r="D5524" s="874"/>
      <c r="E5524" s="41"/>
      <c r="F5524" s="875"/>
      <c r="G5524" s="826" t="n">
        <f aca="false">SUM(G5525:G5549)</f>
        <v>17326.924</v>
      </c>
      <c r="H5524" s="433" t="s">
        <v>5288</v>
      </c>
    </row>
    <row r="5525" customFormat="false" ht="15" hidden="false" customHeight="false" outlineLevel="0" collapsed="false">
      <c r="A5525" s="571"/>
      <c r="B5525" s="433"/>
      <c r="C5525" s="860" t="s">
        <v>4250</v>
      </c>
      <c r="D5525" s="316" t="s">
        <v>4359</v>
      </c>
      <c r="E5525" s="855" t="n">
        <v>0.12</v>
      </c>
      <c r="F5525" s="115" t="n">
        <v>42000</v>
      </c>
      <c r="G5525" s="615" t="n">
        <f aca="false">F5525*E5525</f>
        <v>5040</v>
      </c>
      <c r="H5525" s="433"/>
    </row>
    <row r="5526" customFormat="false" ht="15" hidden="false" customHeight="false" outlineLevel="0" collapsed="false">
      <c r="A5526" s="571"/>
      <c r="B5526" s="433"/>
      <c r="C5526" s="855" t="s">
        <v>4604</v>
      </c>
      <c r="D5526" s="316" t="s">
        <v>4359</v>
      </c>
      <c r="E5526" s="855" t="n">
        <v>0.09</v>
      </c>
      <c r="F5526" s="115" t="n">
        <v>18000</v>
      </c>
      <c r="G5526" s="615" t="n">
        <f aca="false">F5526*E5526</f>
        <v>1620</v>
      </c>
      <c r="H5526" s="433"/>
    </row>
    <row r="5527" customFormat="false" ht="15" hidden="false" customHeight="false" outlineLevel="0" collapsed="false">
      <c r="A5527" s="571"/>
      <c r="B5527" s="433"/>
      <c r="C5527" s="855" t="s">
        <v>4147</v>
      </c>
      <c r="D5527" s="316" t="s">
        <v>4359</v>
      </c>
      <c r="E5527" s="855" t="n">
        <v>0.006</v>
      </c>
      <c r="F5527" s="115" t="n">
        <v>18000</v>
      </c>
      <c r="G5527" s="615" t="n">
        <f aca="false">F5527*E5527</f>
        <v>108</v>
      </c>
      <c r="H5527" s="433"/>
    </row>
    <row r="5528" customFormat="false" ht="15" hidden="false" customHeight="false" outlineLevel="0" collapsed="false">
      <c r="A5528" s="571"/>
      <c r="B5528" s="433"/>
      <c r="C5528" s="855" t="s">
        <v>4365</v>
      </c>
      <c r="D5528" s="316" t="s">
        <v>4133</v>
      </c>
      <c r="E5528" s="855" t="n">
        <v>0.002</v>
      </c>
      <c r="F5528" s="115" t="n">
        <v>18000</v>
      </c>
      <c r="G5528" s="615" t="n">
        <f aca="false">F5528*E5528</f>
        <v>36</v>
      </c>
      <c r="H5528" s="433"/>
    </row>
    <row r="5529" customFormat="false" ht="15" hidden="false" customHeight="false" outlineLevel="0" collapsed="false">
      <c r="A5529" s="571"/>
      <c r="B5529" s="433"/>
      <c r="C5529" s="855" t="s">
        <v>4673</v>
      </c>
      <c r="D5529" s="316" t="s">
        <v>4133</v>
      </c>
      <c r="E5529" s="855" t="n">
        <v>0.002</v>
      </c>
      <c r="F5529" s="115" t="n">
        <v>106777</v>
      </c>
      <c r="G5529" s="615" t="n">
        <f aca="false">F5529*E5529</f>
        <v>213.554</v>
      </c>
      <c r="H5529" s="433"/>
    </row>
    <row r="5530" customFormat="false" ht="15" hidden="false" customHeight="false" outlineLevel="0" collapsed="false">
      <c r="A5530" s="571"/>
      <c r="B5530" s="433"/>
      <c r="C5530" s="860" t="s">
        <v>5279</v>
      </c>
      <c r="D5530" s="316" t="s">
        <v>4359</v>
      </c>
      <c r="E5530" s="855" t="n">
        <v>0.2</v>
      </c>
      <c r="F5530" s="115" t="n">
        <v>21000</v>
      </c>
      <c r="G5530" s="615" t="n">
        <f aca="false">F5530*E5530</f>
        <v>4200</v>
      </c>
      <c r="H5530" s="433"/>
    </row>
    <row r="5531" customFormat="false" ht="15" hidden="false" customHeight="false" outlineLevel="0" collapsed="false">
      <c r="A5531" s="571"/>
      <c r="B5531" s="433"/>
      <c r="C5531" s="860" t="s">
        <v>4154</v>
      </c>
      <c r="D5531" s="316" t="s">
        <v>4359</v>
      </c>
      <c r="E5531" s="855" t="n">
        <v>0.006</v>
      </c>
      <c r="F5531" s="115" t="n">
        <v>18000</v>
      </c>
      <c r="G5531" s="615" t="n">
        <f aca="false">F5531*E5531</f>
        <v>108</v>
      </c>
      <c r="H5531" s="433"/>
    </row>
    <row r="5532" customFormat="false" ht="15" hidden="false" customHeight="false" outlineLevel="0" collapsed="false">
      <c r="A5532" s="571"/>
      <c r="B5532" s="433"/>
      <c r="C5532" s="855" t="s">
        <v>5252</v>
      </c>
      <c r="D5532" s="316" t="s">
        <v>4133</v>
      </c>
      <c r="E5532" s="855" t="n">
        <v>0.002</v>
      </c>
      <c r="F5532" s="115" t="n">
        <v>19000</v>
      </c>
      <c r="G5532" s="615" t="n">
        <f aca="false">F5532*E5532</f>
        <v>38</v>
      </c>
      <c r="H5532" s="433"/>
    </row>
    <row r="5533" customFormat="false" ht="15" hidden="false" customHeight="false" outlineLevel="0" collapsed="false">
      <c r="A5533" s="571"/>
      <c r="B5533" s="433"/>
      <c r="C5533" s="860" t="s">
        <v>4317</v>
      </c>
      <c r="D5533" s="877" t="s">
        <v>4359</v>
      </c>
      <c r="E5533" s="855" t="n">
        <v>0.1</v>
      </c>
      <c r="F5533" s="115" t="n">
        <v>21000</v>
      </c>
      <c r="G5533" s="615" t="n">
        <f aca="false">F5533*E5533</f>
        <v>2100</v>
      </c>
      <c r="H5533" s="433"/>
    </row>
    <row r="5534" customFormat="false" ht="15" hidden="false" customHeight="false" outlineLevel="0" collapsed="false">
      <c r="A5534" s="571"/>
      <c r="B5534" s="433"/>
      <c r="C5534" s="855" t="s">
        <v>4132</v>
      </c>
      <c r="D5534" s="316" t="s">
        <v>4133</v>
      </c>
      <c r="E5534" s="855" t="n">
        <v>0.005</v>
      </c>
      <c r="F5534" s="115" t="n">
        <v>4320</v>
      </c>
      <c r="G5534" s="615" t="n">
        <f aca="false">F5534*E5534</f>
        <v>21.6</v>
      </c>
      <c r="H5534" s="433"/>
    </row>
    <row r="5535" customFormat="false" ht="15" hidden="false" customHeight="false" outlineLevel="0" collapsed="false">
      <c r="A5535" s="571"/>
      <c r="B5535" s="433"/>
      <c r="C5535" s="855" t="s">
        <v>4758</v>
      </c>
      <c r="D5535" s="316" t="s">
        <v>4359</v>
      </c>
      <c r="E5535" s="855" t="n">
        <v>0.08</v>
      </c>
      <c r="F5535" s="115" t="n">
        <v>14000</v>
      </c>
      <c r="G5535" s="615" t="n">
        <f aca="false">F5535*E5535</f>
        <v>1120</v>
      </c>
      <c r="H5535" s="433"/>
    </row>
    <row r="5536" customFormat="false" ht="15" hidden="false" customHeight="false" outlineLevel="0" collapsed="false">
      <c r="A5536" s="571"/>
      <c r="B5536" s="433"/>
      <c r="C5536" s="860" t="s">
        <v>4158</v>
      </c>
      <c r="D5536" s="316" t="s">
        <v>4133</v>
      </c>
      <c r="E5536" s="855" t="n">
        <v>0.015</v>
      </c>
      <c r="F5536" s="115" t="n">
        <v>6400</v>
      </c>
      <c r="G5536" s="615" t="n">
        <f aca="false">F5536*E5536</f>
        <v>96</v>
      </c>
      <c r="H5536" s="433"/>
    </row>
    <row r="5537" customFormat="false" ht="30" hidden="false" customHeight="false" outlineLevel="0" collapsed="false">
      <c r="A5537" s="571"/>
      <c r="B5537" s="433"/>
      <c r="C5537" s="881" t="s">
        <v>4227</v>
      </c>
      <c r="D5537" s="882" t="s">
        <v>4133</v>
      </c>
      <c r="E5537" s="614" t="n">
        <v>0.01</v>
      </c>
      <c r="F5537" s="883" t="n">
        <v>2500</v>
      </c>
      <c r="G5537" s="615" t="n">
        <f aca="false">F5537*E5537</f>
        <v>25</v>
      </c>
      <c r="H5537" s="433"/>
    </row>
    <row r="5538" customFormat="false" ht="15" hidden="false" customHeight="false" outlineLevel="0" collapsed="false">
      <c r="A5538" s="571"/>
      <c r="B5538" s="433"/>
      <c r="C5538" s="881" t="s">
        <v>4266</v>
      </c>
      <c r="D5538" s="882" t="s">
        <v>4133</v>
      </c>
      <c r="E5538" s="614" t="n">
        <v>0.001</v>
      </c>
      <c r="F5538" s="883" t="n">
        <v>24000</v>
      </c>
      <c r="G5538" s="615" t="n">
        <f aca="false">F5538*E5538</f>
        <v>24</v>
      </c>
      <c r="H5538" s="433"/>
    </row>
    <row r="5539" customFormat="false" ht="30" hidden="false" customHeight="false" outlineLevel="0" collapsed="false">
      <c r="A5539" s="571"/>
      <c r="B5539" s="433"/>
      <c r="C5539" s="860" t="s">
        <v>5268</v>
      </c>
      <c r="D5539" s="316" t="s">
        <v>4133</v>
      </c>
      <c r="E5539" s="855" t="n">
        <v>0.0001</v>
      </c>
      <c r="F5539" s="115" t="n">
        <v>60000</v>
      </c>
      <c r="G5539" s="615" t="n">
        <f aca="false">F5539*E5539</f>
        <v>6</v>
      </c>
      <c r="H5539" s="433"/>
    </row>
    <row r="5540" customFormat="false" ht="30" hidden="false" customHeight="false" outlineLevel="0" collapsed="false">
      <c r="A5540" s="571"/>
      <c r="B5540" s="433"/>
      <c r="C5540" s="532" t="s">
        <v>5238</v>
      </c>
      <c r="D5540" s="679" t="s">
        <v>4141</v>
      </c>
      <c r="E5540" s="865" t="n">
        <v>0.1</v>
      </c>
      <c r="F5540" s="681" t="n">
        <v>1400</v>
      </c>
      <c r="G5540" s="615" t="n">
        <f aca="false">F5540*E5540</f>
        <v>140</v>
      </c>
      <c r="H5540" s="433"/>
    </row>
    <row r="5541" customFormat="false" ht="15" hidden="false" customHeight="false" outlineLevel="0" collapsed="false">
      <c r="A5541" s="571"/>
      <c r="B5541" s="433"/>
      <c r="C5541" s="855" t="s">
        <v>5241</v>
      </c>
      <c r="D5541" s="679" t="s">
        <v>4121</v>
      </c>
      <c r="E5541" s="709" t="n">
        <v>0.01</v>
      </c>
      <c r="F5541" s="681" t="n">
        <v>1500</v>
      </c>
      <c r="G5541" s="615" t="n">
        <f aca="false">F5541*E5541</f>
        <v>15</v>
      </c>
      <c r="H5541" s="433"/>
    </row>
    <row r="5542" customFormat="false" ht="15" hidden="false" customHeight="false" outlineLevel="0" collapsed="false">
      <c r="A5542" s="571"/>
      <c r="B5542" s="433"/>
      <c r="C5542" s="855" t="s">
        <v>5240</v>
      </c>
      <c r="D5542" s="316" t="s">
        <v>4578</v>
      </c>
      <c r="E5542" s="855" t="n">
        <v>0.002</v>
      </c>
      <c r="F5542" s="857" t="n">
        <v>225000</v>
      </c>
      <c r="G5542" s="615" t="n">
        <f aca="false">F5542*E5542</f>
        <v>450</v>
      </c>
      <c r="H5542" s="433"/>
    </row>
    <row r="5543" customFormat="false" ht="15" hidden="false" customHeight="false" outlineLevel="0" collapsed="false">
      <c r="A5543" s="571"/>
      <c r="B5543" s="433"/>
      <c r="C5543" s="867" t="s">
        <v>4497</v>
      </c>
      <c r="D5543" s="868" t="s">
        <v>4348</v>
      </c>
      <c r="E5543" s="869" t="n">
        <v>0.003</v>
      </c>
      <c r="F5543" s="870" t="n">
        <v>550000</v>
      </c>
      <c r="G5543" s="615" t="n">
        <f aca="false">F5543*E5543</f>
        <v>1650</v>
      </c>
      <c r="H5543" s="433"/>
    </row>
    <row r="5544" customFormat="false" ht="15" hidden="false" customHeight="false" outlineLevel="0" collapsed="false">
      <c r="A5544" s="571"/>
      <c r="B5544" s="433"/>
      <c r="C5544" s="884" t="s">
        <v>4122</v>
      </c>
      <c r="D5544" s="679" t="s">
        <v>4123</v>
      </c>
      <c r="E5544" s="709" t="n">
        <v>0.1</v>
      </c>
      <c r="F5544" s="871" t="n">
        <v>720</v>
      </c>
      <c r="G5544" s="615" t="n">
        <f aca="false">F5544*E5544</f>
        <v>72</v>
      </c>
      <c r="H5544" s="433"/>
    </row>
    <row r="5545" customFormat="false" ht="15" hidden="false" customHeight="false" outlineLevel="0" collapsed="false">
      <c r="A5545" s="571"/>
      <c r="B5545" s="433"/>
      <c r="C5545" s="885" t="s">
        <v>4124</v>
      </c>
      <c r="D5545" s="679" t="s">
        <v>4125</v>
      </c>
      <c r="E5545" s="709" t="n">
        <v>0.1</v>
      </c>
      <c r="F5545" s="886" t="n">
        <v>170</v>
      </c>
      <c r="G5545" s="615" t="n">
        <f aca="false">F5545*E5545</f>
        <v>17</v>
      </c>
      <c r="H5545" s="433"/>
    </row>
    <row r="5546" customFormat="false" ht="15" hidden="false" customHeight="false" outlineLevel="0" collapsed="false">
      <c r="A5546" s="571"/>
      <c r="B5546" s="433"/>
      <c r="C5546" s="885" t="s">
        <v>4347</v>
      </c>
      <c r="D5546" s="679" t="s">
        <v>4348</v>
      </c>
      <c r="E5546" s="709" t="n">
        <v>1</v>
      </c>
      <c r="F5546" s="886" t="n">
        <v>130</v>
      </c>
      <c r="G5546" s="615" t="n">
        <f aca="false">F5546*E5546</f>
        <v>130</v>
      </c>
      <c r="H5546" s="433"/>
    </row>
    <row r="5547" customFormat="false" ht="15" hidden="false" customHeight="false" outlineLevel="0" collapsed="false">
      <c r="A5547" s="571"/>
      <c r="B5547" s="433"/>
      <c r="C5547" s="532" t="s">
        <v>5239</v>
      </c>
      <c r="D5547" s="679" t="s">
        <v>4141</v>
      </c>
      <c r="E5547" s="866" t="n">
        <v>0.003</v>
      </c>
      <c r="F5547" s="681" t="n">
        <v>23500</v>
      </c>
      <c r="G5547" s="615" t="n">
        <f aca="false">F5547*E5547</f>
        <v>70.5</v>
      </c>
      <c r="H5547" s="433"/>
    </row>
    <row r="5548" customFormat="false" ht="15" hidden="false" customHeight="false" outlineLevel="0" collapsed="false">
      <c r="A5548" s="571"/>
      <c r="B5548" s="433"/>
      <c r="C5548" s="885" t="s">
        <v>4515</v>
      </c>
      <c r="D5548" s="679" t="s">
        <v>4133</v>
      </c>
      <c r="E5548" s="709" t="n">
        <v>0.0001</v>
      </c>
      <c r="F5548" s="886" t="n">
        <v>2700</v>
      </c>
      <c r="G5548" s="615" t="n">
        <f aca="false">F5548*E5548</f>
        <v>0.27</v>
      </c>
      <c r="H5548" s="433"/>
    </row>
    <row r="5549" customFormat="false" ht="15" hidden="false" customHeight="false" outlineLevel="0" collapsed="false">
      <c r="A5549" s="571"/>
      <c r="B5549" s="433"/>
      <c r="C5549" s="855" t="s">
        <v>4509</v>
      </c>
      <c r="D5549" s="316" t="s">
        <v>4348</v>
      </c>
      <c r="E5549" s="855" t="n">
        <v>1</v>
      </c>
      <c r="F5549" s="857" t="n">
        <v>26</v>
      </c>
      <c r="G5549" s="615" t="n">
        <f aca="false">F5549*E5549</f>
        <v>26</v>
      </c>
      <c r="H5549" s="433"/>
    </row>
    <row r="5550" customFormat="false" ht="30" hidden="false" customHeight="false" outlineLevel="0" collapsed="false">
      <c r="A5550" s="571" t="s">
        <v>1084</v>
      </c>
      <c r="B5550" s="488" t="s">
        <v>3311</v>
      </c>
      <c r="C5550" s="41"/>
      <c r="D5550" s="874"/>
      <c r="E5550" s="41"/>
      <c r="F5550" s="875"/>
      <c r="G5550" s="826" t="n">
        <f aca="false">SUM(G5551:G5566)</f>
        <v>12990.17</v>
      </c>
      <c r="H5550" s="856" t="s">
        <v>5262</v>
      </c>
    </row>
    <row r="5551" customFormat="false" ht="15" hidden="false" customHeight="false" outlineLevel="0" collapsed="false">
      <c r="A5551" s="571"/>
      <c r="B5551" s="433"/>
      <c r="C5551" s="21" t="s">
        <v>4604</v>
      </c>
      <c r="D5551" s="877" t="s">
        <v>4359</v>
      </c>
      <c r="E5551" s="860" t="n">
        <v>0.032</v>
      </c>
      <c r="F5551" s="115" t="n">
        <v>18000</v>
      </c>
      <c r="G5551" s="716" t="n">
        <f aca="false">F5551*E5551</f>
        <v>576</v>
      </c>
      <c r="H5551" s="433"/>
    </row>
    <row r="5552" customFormat="false" ht="15" hidden="false" customHeight="false" outlineLevel="0" collapsed="false">
      <c r="A5552" s="571"/>
      <c r="B5552" s="433"/>
      <c r="C5552" s="21" t="s">
        <v>4317</v>
      </c>
      <c r="D5552" s="877" t="s">
        <v>4359</v>
      </c>
      <c r="E5552" s="860" t="n">
        <v>0.2</v>
      </c>
      <c r="F5552" s="115" t="n">
        <v>21000</v>
      </c>
      <c r="G5552" s="716" t="n">
        <f aca="false">F5552*E5552</f>
        <v>4200</v>
      </c>
      <c r="H5552" s="433"/>
    </row>
    <row r="5553" customFormat="false" ht="15" hidden="false" customHeight="false" outlineLevel="0" collapsed="false">
      <c r="A5553" s="571"/>
      <c r="B5553" s="433"/>
      <c r="C5553" s="21" t="s">
        <v>4250</v>
      </c>
      <c r="D5553" s="316" t="s">
        <v>4359</v>
      </c>
      <c r="E5553" s="860" t="n">
        <v>0.12</v>
      </c>
      <c r="F5553" s="115" t="n">
        <v>42000</v>
      </c>
      <c r="G5553" s="716" t="n">
        <f aca="false">F5553*E5553</f>
        <v>5040</v>
      </c>
      <c r="H5553" s="433"/>
    </row>
    <row r="5554" customFormat="false" ht="15" hidden="false" customHeight="false" outlineLevel="0" collapsed="false">
      <c r="A5554" s="571"/>
      <c r="B5554" s="433"/>
      <c r="C5554" s="860" t="s">
        <v>5228</v>
      </c>
      <c r="D5554" s="316" t="s">
        <v>4133</v>
      </c>
      <c r="E5554" s="860" t="n">
        <v>0.02</v>
      </c>
      <c r="F5554" s="115" t="n">
        <v>19000</v>
      </c>
      <c r="G5554" s="716" t="n">
        <f aca="false">F5554*E5554</f>
        <v>380</v>
      </c>
      <c r="H5554" s="433"/>
    </row>
    <row r="5555" customFormat="false" ht="15" hidden="false" customHeight="false" outlineLevel="0" collapsed="false">
      <c r="A5555" s="571"/>
      <c r="B5555" s="433"/>
      <c r="C5555" s="860" t="s">
        <v>4158</v>
      </c>
      <c r="D5555" s="877" t="s">
        <v>4133</v>
      </c>
      <c r="E5555" s="860" t="n">
        <v>0.003</v>
      </c>
      <c r="F5555" s="115" t="n">
        <v>6400</v>
      </c>
      <c r="G5555" s="716" t="n">
        <f aca="false">F5555*E5555</f>
        <v>19.2</v>
      </c>
      <c r="H5555" s="433"/>
    </row>
    <row r="5556" customFormat="false" ht="15" hidden="false" customHeight="false" outlineLevel="0" collapsed="false">
      <c r="A5556" s="571"/>
      <c r="B5556" s="433"/>
      <c r="C5556" s="860" t="s">
        <v>5091</v>
      </c>
      <c r="D5556" s="877" t="s">
        <v>4359</v>
      </c>
      <c r="E5556" s="860" t="n">
        <v>0.01</v>
      </c>
      <c r="F5556" s="115" t="n">
        <v>18000</v>
      </c>
      <c r="G5556" s="716" t="n">
        <f aca="false">F5556*E5556</f>
        <v>180</v>
      </c>
      <c r="H5556" s="433"/>
    </row>
    <row r="5557" customFormat="false" ht="15" hidden="false" customHeight="false" outlineLevel="0" collapsed="false">
      <c r="A5557" s="571"/>
      <c r="B5557" s="433"/>
      <c r="C5557" s="860" t="s">
        <v>5263</v>
      </c>
      <c r="D5557" s="877" t="s">
        <v>4133</v>
      </c>
      <c r="E5557" s="860" t="n">
        <v>0.0001</v>
      </c>
      <c r="F5557" s="115" t="n">
        <v>40000</v>
      </c>
      <c r="G5557" s="716" t="n">
        <f aca="false">F5557*E5557</f>
        <v>4</v>
      </c>
      <c r="H5557" s="433"/>
    </row>
    <row r="5558" customFormat="false" ht="15" hidden="false" customHeight="false" outlineLevel="0" collapsed="false">
      <c r="A5558" s="571"/>
      <c r="B5558" s="433"/>
      <c r="C5558" s="532" t="s">
        <v>5240</v>
      </c>
      <c r="D5558" s="679" t="s">
        <v>4578</v>
      </c>
      <c r="E5558" s="866" t="n">
        <v>0.003</v>
      </c>
      <c r="F5558" s="617" t="n">
        <v>225000</v>
      </c>
      <c r="G5558" s="716" t="n">
        <f aca="false">F5558*E5558</f>
        <v>675</v>
      </c>
      <c r="H5558" s="433"/>
    </row>
    <row r="5559" customFormat="false" ht="15" hidden="false" customHeight="false" outlineLevel="0" collapsed="false">
      <c r="A5559" s="571"/>
      <c r="B5559" s="433"/>
      <c r="C5559" s="867" t="s">
        <v>4497</v>
      </c>
      <c r="D5559" s="868" t="s">
        <v>4348</v>
      </c>
      <c r="E5559" s="869" t="n">
        <v>0.003</v>
      </c>
      <c r="F5559" s="870" t="n">
        <v>550000</v>
      </c>
      <c r="G5559" s="716" t="n">
        <f aca="false">F5559*E5559</f>
        <v>1650</v>
      </c>
      <c r="H5559" s="433"/>
    </row>
    <row r="5560" customFormat="false" ht="15" hidden="false" customHeight="false" outlineLevel="0" collapsed="false">
      <c r="A5560" s="571"/>
      <c r="B5560" s="433"/>
      <c r="C5560" s="867" t="s">
        <v>4122</v>
      </c>
      <c r="D5560" s="868" t="s">
        <v>4123</v>
      </c>
      <c r="E5560" s="869" t="n">
        <v>0.01</v>
      </c>
      <c r="F5560" s="871" t="n">
        <v>720</v>
      </c>
      <c r="G5560" s="716" t="n">
        <f aca="false">F5560*E5560</f>
        <v>7.2</v>
      </c>
      <c r="H5560" s="433"/>
    </row>
    <row r="5561" customFormat="false" ht="15" hidden="false" customHeight="false" outlineLevel="0" collapsed="false">
      <c r="A5561" s="571"/>
      <c r="B5561" s="433"/>
      <c r="C5561" s="860" t="s">
        <v>5241</v>
      </c>
      <c r="D5561" s="868" t="s">
        <v>4121</v>
      </c>
      <c r="E5561" s="869" t="n">
        <v>0.01</v>
      </c>
      <c r="F5561" s="870" t="n">
        <v>1500</v>
      </c>
      <c r="G5561" s="716" t="n">
        <f aca="false">F5561*E5561</f>
        <v>15</v>
      </c>
      <c r="H5561" s="433"/>
    </row>
    <row r="5562" customFormat="false" ht="15" hidden="false" customHeight="false" outlineLevel="0" collapsed="false">
      <c r="A5562" s="571"/>
      <c r="B5562" s="433"/>
      <c r="C5562" s="872" t="s">
        <v>4124</v>
      </c>
      <c r="D5562" s="868" t="s">
        <v>4125</v>
      </c>
      <c r="E5562" s="869" t="n">
        <v>0.1</v>
      </c>
      <c r="F5562" s="871" t="n">
        <v>170</v>
      </c>
      <c r="G5562" s="716" t="n">
        <f aca="false">F5562*E5562</f>
        <v>17</v>
      </c>
      <c r="H5562" s="433"/>
    </row>
    <row r="5563" customFormat="false" ht="15" hidden="false" customHeight="false" outlineLevel="0" collapsed="false">
      <c r="A5563" s="571"/>
      <c r="B5563" s="433"/>
      <c r="C5563" s="872" t="s">
        <v>4347</v>
      </c>
      <c r="D5563" s="868" t="s">
        <v>4348</v>
      </c>
      <c r="E5563" s="869" t="n">
        <v>1</v>
      </c>
      <c r="F5563" s="871" t="n">
        <v>130</v>
      </c>
      <c r="G5563" s="716" t="n">
        <f aca="false">F5563*E5563</f>
        <v>130</v>
      </c>
      <c r="H5563" s="433"/>
    </row>
    <row r="5564" customFormat="false" ht="15" hidden="false" customHeight="false" outlineLevel="0" collapsed="false">
      <c r="A5564" s="571"/>
      <c r="B5564" s="433"/>
      <c r="C5564" s="532" t="s">
        <v>5239</v>
      </c>
      <c r="D5564" s="679" t="s">
        <v>4141</v>
      </c>
      <c r="E5564" s="866" t="n">
        <v>0.003</v>
      </c>
      <c r="F5564" s="681" t="n">
        <v>23500</v>
      </c>
      <c r="G5564" s="716" t="n">
        <f aca="false">F5564*E5564</f>
        <v>70.5</v>
      </c>
      <c r="H5564" s="433"/>
    </row>
    <row r="5565" customFormat="false" ht="15" hidden="false" customHeight="false" outlineLevel="0" collapsed="false">
      <c r="A5565" s="571"/>
      <c r="B5565" s="433"/>
      <c r="C5565" s="860" t="s">
        <v>4509</v>
      </c>
      <c r="D5565" s="877" t="s">
        <v>4348</v>
      </c>
      <c r="E5565" s="860" t="n">
        <v>1</v>
      </c>
      <c r="F5565" s="857" t="n">
        <v>26</v>
      </c>
      <c r="G5565" s="716" t="n">
        <f aca="false">F5565*E5565</f>
        <v>26</v>
      </c>
      <c r="H5565" s="433"/>
    </row>
    <row r="5566" customFormat="false" ht="15" hidden="false" customHeight="false" outlineLevel="0" collapsed="false">
      <c r="A5566" s="571"/>
      <c r="B5566" s="433"/>
      <c r="C5566" s="860" t="s">
        <v>4515</v>
      </c>
      <c r="D5566" s="877" t="s">
        <v>4133</v>
      </c>
      <c r="E5566" s="860" t="n">
        <v>0.0001</v>
      </c>
      <c r="F5566" s="857" t="n">
        <v>2700</v>
      </c>
      <c r="G5566" s="716" t="n">
        <f aca="false">F5566*E5566</f>
        <v>0.27</v>
      </c>
      <c r="H5566" s="433"/>
    </row>
    <row r="5567" customFormat="false" ht="30" hidden="false" customHeight="false" outlineLevel="0" collapsed="false">
      <c r="A5567" s="571" t="s">
        <v>1085</v>
      </c>
      <c r="B5567" s="488" t="s">
        <v>3313</v>
      </c>
      <c r="C5567" s="41"/>
      <c r="D5567" s="874"/>
      <c r="E5567" s="41"/>
      <c r="F5567" s="875"/>
      <c r="G5567" s="826" t="n">
        <f aca="false">SUM(G5568:G5586)</f>
        <v>10565.19</v>
      </c>
      <c r="H5567" s="433" t="s">
        <v>5289</v>
      </c>
    </row>
    <row r="5568" customFormat="false" ht="16.5" hidden="false" customHeight="true" outlineLevel="0" collapsed="false">
      <c r="A5568" s="571"/>
      <c r="B5568" s="433"/>
      <c r="C5568" s="878" t="s">
        <v>5260</v>
      </c>
      <c r="D5568" s="877" t="s">
        <v>4133</v>
      </c>
      <c r="E5568" s="855" t="n">
        <v>0.00228</v>
      </c>
      <c r="F5568" s="115" t="n">
        <v>24000</v>
      </c>
      <c r="G5568" s="716" t="n">
        <f aca="false">F5568*E5568</f>
        <v>54.72</v>
      </c>
      <c r="H5568" s="433"/>
    </row>
    <row r="5569" customFormat="false" ht="15" hidden="false" customHeight="false" outlineLevel="0" collapsed="false">
      <c r="A5569" s="571"/>
      <c r="B5569" s="433"/>
      <c r="C5569" s="881" t="s">
        <v>4266</v>
      </c>
      <c r="D5569" s="882" t="s">
        <v>4133</v>
      </c>
      <c r="E5569" s="614" t="n">
        <v>0.002</v>
      </c>
      <c r="F5569" s="883" t="n">
        <v>24000</v>
      </c>
      <c r="G5569" s="716" t="n">
        <f aca="false">F5569*E5569</f>
        <v>48</v>
      </c>
      <c r="H5569" s="433"/>
    </row>
    <row r="5570" customFormat="false" ht="30" hidden="false" customHeight="false" outlineLevel="0" collapsed="false">
      <c r="A5570" s="571"/>
      <c r="B5570" s="433"/>
      <c r="C5570" s="532" t="s">
        <v>5238</v>
      </c>
      <c r="D5570" s="679" t="s">
        <v>4141</v>
      </c>
      <c r="E5570" s="819" t="n">
        <v>0.01</v>
      </c>
      <c r="F5570" s="617" t="n">
        <v>1400</v>
      </c>
      <c r="G5570" s="716" t="n">
        <f aca="false">F5570*E5570</f>
        <v>14</v>
      </c>
      <c r="H5570" s="433"/>
    </row>
    <row r="5571" customFormat="false" ht="15" hidden="false" customHeight="false" outlineLevel="0" collapsed="false">
      <c r="A5571" s="571"/>
      <c r="B5571" s="433"/>
      <c r="C5571" s="41" t="s">
        <v>4758</v>
      </c>
      <c r="D5571" s="316" t="s">
        <v>4359</v>
      </c>
      <c r="E5571" s="855" t="n">
        <v>0.007</v>
      </c>
      <c r="F5571" s="115" t="n">
        <v>14000</v>
      </c>
      <c r="G5571" s="716" t="n">
        <f aca="false">F5571*E5571</f>
        <v>98</v>
      </c>
      <c r="H5571" s="433"/>
    </row>
    <row r="5572" customFormat="false" ht="15" hidden="false" customHeight="false" outlineLevel="0" collapsed="false">
      <c r="A5572" s="571"/>
      <c r="B5572" s="433"/>
      <c r="C5572" s="21" t="s">
        <v>4317</v>
      </c>
      <c r="D5572" s="877" t="s">
        <v>4359</v>
      </c>
      <c r="E5572" s="855" t="n">
        <v>0.15</v>
      </c>
      <c r="F5572" s="115" t="n">
        <v>21000</v>
      </c>
      <c r="G5572" s="716" t="n">
        <f aca="false">F5572*E5572</f>
        <v>3150</v>
      </c>
      <c r="H5572" s="433"/>
    </row>
    <row r="5573" customFormat="false" ht="15" hidden="false" customHeight="false" outlineLevel="0" collapsed="false">
      <c r="A5573" s="571"/>
      <c r="B5573" s="433"/>
      <c r="C5573" s="21" t="s">
        <v>4250</v>
      </c>
      <c r="D5573" s="316" t="s">
        <v>4359</v>
      </c>
      <c r="E5573" s="855" t="n">
        <v>0.1</v>
      </c>
      <c r="F5573" s="115" t="n">
        <v>42000</v>
      </c>
      <c r="G5573" s="716" t="n">
        <f aca="false">F5573*E5573</f>
        <v>4200</v>
      </c>
      <c r="H5573" s="433"/>
    </row>
    <row r="5574" customFormat="false" ht="15" hidden="false" customHeight="false" outlineLevel="0" collapsed="false">
      <c r="A5574" s="571"/>
      <c r="B5574" s="433"/>
      <c r="C5574" s="860" t="s">
        <v>5228</v>
      </c>
      <c r="D5574" s="316" t="s">
        <v>4133</v>
      </c>
      <c r="E5574" s="855" t="n">
        <v>0.02</v>
      </c>
      <c r="F5574" s="115" t="n">
        <v>19000</v>
      </c>
      <c r="G5574" s="716" t="n">
        <f aca="false">F5574*E5574</f>
        <v>380</v>
      </c>
      <c r="H5574" s="433"/>
    </row>
    <row r="5575" customFormat="false" ht="15" hidden="false" customHeight="false" outlineLevel="0" collapsed="false">
      <c r="A5575" s="571"/>
      <c r="B5575" s="433"/>
      <c r="C5575" s="860" t="s">
        <v>4158</v>
      </c>
      <c r="D5575" s="877" t="s">
        <v>4133</v>
      </c>
      <c r="E5575" s="855" t="n">
        <v>0.003</v>
      </c>
      <c r="F5575" s="115" t="n">
        <v>6400</v>
      </c>
      <c r="G5575" s="716" t="n">
        <f aca="false">F5575*E5575</f>
        <v>19.2</v>
      </c>
      <c r="H5575" s="433"/>
    </row>
    <row r="5576" customFormat="false" ht="15" hidden="false" customHeight="false" outlineLevel="0" collapsed="false">
      <c r="A5576" s="571"/>
      <c r="B5576" s="433"/>
      <c r="C5576" s="860" t="s">
        <v>5091</v>
      </c>
      <c r="D5576" s="877" t="s">
        <v>4359</v>
      </c>
      <c r="E5576" s="855" t="n">
        <v>0.01</v>
      </c>
      <c r="F5576" s="115" t="n">
        <v>18000</v>
      </c>
      <c r="G5576" s="716" t="n">
        <f aca="false">F5576*E5576</f>
        <v>180</v>
      </c>
      <c r="H5576" s="433"/>
    </row>
    <row r="5577" customFormat="false" ht="15" hidden="false" customHeight="false" outlineLevel="0" collapsed="false">
      <c r="A5577" s="571"/>
      <c r="B5577" s="433"/>
      <c r="C5577" s="860" t="s">
        <v>5263</v>
      </c>
      <c r="D5577" s="877" t="s">
        <v>4133</v>
      </c>
      <c r="E5577" s="855" t="n">
        <v>0.0001</v>
      </c>
      <c r="F5577" s="115" t="n">
        <v>40000</v>
      </c>
      <c r="G5577" s="716" t="n">
        <f aca="false">F5577*E5577</f>
        <v>4</v>
      </c>
      <c r="H5577" s="433"/>
    </row>
    <row r="5578" customFormat="false" ht="15" hidden="false" customHeight="false" outlineLevel="0" collapsed="false">
      <c r="A5578" s="571"/>
      <c r="B5578" s="433"/>
      <c r="C5578" s="532" t="s">
        <v>5240</v>
      </c>
      <c r="D5578" s="679" t="s">
        <v>4578</v>
      </c>
      <c r="E5578" s="858" t="n">
        <v>0.002</v>
      </c>
      <c r="F5578" s="617" t="n">
        <v>225000</v>
      </c>
      <c r="G5578" s="716" t="n">
        <f aca="false">F5578*E5578</f>
        <v>450</v>
      </c>
      <c r="H5578" s="433"/>
    </row>
    <row r="5579" customFormat="false" ht="15" hidden="false" customHeight="false" outlineLevel="0" collapsed="false">
      <c r="A5579" s="571"/>
      <c r="B5579" s="433"/>
      <c r="C5579" s="867" t="s">
        <v>4497</v>
      </c>
      <c r="D5579" s="868" t="s">
        <v>4348</v>
      </c>
      <c r="E5579" s="869" t="n">
        <v>0.003</v>
      </c>
      <c r="F5579" s="870" t="n">
        <v>550000</v>
      </c>
      <c r="G5579" s="716" t="n">
        <f aca="false">F5579*E5579</f>
        <v>1650</v>
      </c>
      <c r="H5579" s="433"/>
    </row>
    <row r="5580" customFormat="false" ht="15" hidden="false" customHeight="false" outlineLevel="0" collapsed="false">
      <c r="A5580" s="571"/>
      <c r="B5580" s="433"/>
      <c r="C5580" s="867" t="s">
        <v>4122</v>
      </c>
      <c r="D5580" s="868" t="s">
        <v>4123</v>
      </c>
      <c r="E5580" s="869" t="n">
        <v>0.1</v>
      </c>
      <c r="F5580" s="871" t="n">
        <v>720</v>
      </c>
      <c r="G5580" s="716" t="n">
        <f aca="false">F5580*E5580</f>
        <v>72</v>
      </c>
      <c r="H5580" s="433"/>
    </row>
    <row r="5581" customFormat="false" ht="15" hidden="false" customHeight="false" outlineLevel="0" collapsed="false">
      <c r="A5581" s="571"/>
      <c r="B5581" s="433"/>
      <c r="C5581" s="860" t="s">
        <v>5241</v>
      </c>
      <c r="D5581" s="868" t="s">
        <v>4121</v>
      </c>
      <c r="E5581" s="869" t="n">
        <v>0.001</v>
      </c>
      <c r="F5581" s="870" t="n">
        <v>1500</v>
      </c>
      <c r="G5581" s="716" t="n">
        <f aca="false">F5581*E5581</f>
        <v>1.5</v>
      </c>
      <c r="H5581" s="433"/>
    </row>
    <row r="5582" customFormat="false" ht="15" hidden="false" customHeight="false" outlineLevel="0" collapsed="false">
      <c r="A5582" s="571"/>
      <c r="B5582" s="433"/>
      <c r="C5582" s="872" t="s">
        <v>4124</v>
      </c>
      <c r="D5582" s="868" t="s">
        <v>4125</v>
      </c>
      <c r="E5582" s="869" t="n">
        <v>0.1</v>
      </c>
      <c r="F5582" s="871" t="n">
        <v>170</v>
      </c>
      <c r="G5582" s="716" t="n">
        <f aca="false">F5582*E5582</f>
        <v>17</v>
      </c>
      <c r="H5582" s="433"/>
    </row>
    <row r="5583" customFormat="false" ht="15" hidden="false" customHeight="false" outlineLevel="0" collapsed="false">
      <c r="A5583" s="571"/>
      <c r="B5583" s="433"/>
      <c r="C5583" s="872" t="s">
        <v>4347</v>
      </c>
      <c r="D5583" s="868" t="s">
        <v>4348</v>
      </c>
      <c r="E5583" s="869" t="n">
        <v>1</v>
      </c>
      <c r="F5583" s="871" t="n">
        <v>130</v>
      </c>
      <c r="G5583" s="716" t="n">
        <f aca="false">F5583*E5583</f>
        <v>130</v>
      </c>
      <c r="H5583" s="433"/>
    </row>
    <row r="5584" customFormat="false" ht="15" hidden="false" customHeight="false" outlineLevel="0" collapsed="false">
      <c r="A5584" s="571"/>
      <c r="B5584" s="433"/>
      <c r="C5584" s="532" t="s">
        <v>5239</v>
      </c>
      <c r="D5584" s="679" t="s">
        <v>4141</v>
      </c>
      <c r="E5584" s="866" t="n">
        <v>0.003</v>
      </c>
      <c r="F5584" s="681" t="n">
        <v>23500</v>
      </c>
      <c r="G5584" s="716" t="n">
        <f aca="false">F5584*E5584</f>
        <v>70.5</v>
      </c>
      <c r="H5584" s="433"/>
    </row>
    <row r="5585" customFormat="false" ht="15" hidden="false" customHeight="false" outlineLevel="0" collapsed="false">
      <c r="A5585" s="571"/>
      <c r="B5585" s="433"/>
      <c r="C5585" s="860" t="s">
        <v>4509</v>
      </c>
      <c r="D5585" s="877" t="s">
        <v>4348</v>
      </c>
      <c r="E5585" s="860" t="n">
        <v>1</v>
      </c>
      <c r="F5585" s="857" t="n">
        <v>26</v>
      </c>
      <c r="G5585" s="716" t="n">
        <f aca="false">F5585*E5585</f>
        <v>26</v>
      </c>
      <c r="H5585" s="433"/>
    </row>
    <row r="5586" customFormat="false" ht="15" hidden="false" customHeight="false" outlineLevel="0" collapsed="false">
      <c r="A5586" s="571"/>
      <c r="B5586" s="433"/>
      <c r="C5586" s="860" t="s">
        <v>4515</v>
      </c>
      <c r="D5586" s="877" t="s">
        <v>4133</v>
      </c>
      <c r="E5586" s="860" t="n">
        <v>0.0001</v>
      </c>
      <c r="F5586" s="857" t="n">
        <v>2700</v>
      </c>
      <c r="G5586" s="716" t="n">
        <f aca="false">F5586*E5586</f>
        <v>0.27</v>
      </c>
      <c r="H5586" s="433"/>
    </row>
    <row r="5587" customFormat="false" ht="15" hidden="false" customHeight="false" outlineLevel="0" collapsed="false">
      <c r="A5587" s="571" t="s">
        <v>1087</v>
      </c>
      <c r="B5587" s="433" t="s">
        <v>3308</v>
      </c>
      <c r="C5587" s="41"/>
      <c r="D5587" s="874"/>
      <c r="E5587" s="41"/>
      <c r="F5587" s="875"/>
      <c r="G5587" s="826" t="n">
        <f aca="false">SUM(G5588:G5611)</f>
        <v>9285.682</v>
      </c>
      <c r="H5587" s="433" t="s">
        <v>5276</v>
      </c>
    </row>
    <row r="5588" customFormat="false" ht="15" hidden="false" customHeight="false" outlineLevel="0" collapsed="false">
      <c r="A5588" s="571"/>
      <c r="B5588" s="433"/>
      <c r="C5588" s="855" t="s">
        <v>4317</v>
      </c>
      <c r="D5588" s="316" t="s">
        <v>4359</v>
      </c>
      <c r="E5588" s="855" t="n">
        <v>0.2</v>
      </c>
      <c r="F5588" s="115" t="n">
        <v>21000</v>
      </c>
      <c r="G5588" s="615" t="n">
        <f aca="false">F5588*E5588</f>
        <v>4200</v>
      </c>
      <c r="H5588" s="433"/>
    </row>
    <row r="5589" customFormat="false" ht="15" hidden="false" customHeight="false" outlineLevel="0" collapsed="false">
      <c r="A5589" s="571"/>
      <c r="B5589" s="433"/>
      <c r="C5589" s="855" t="s">
        <v>4147</v>
      </c>
      <c r="D5589" s="316" t="s">
        <v>4359</v>
      </c>
      <c r="E5589" s="855" t="n">
        <v>0.05</v>
      </c>
      <c r="F5589" s="115" t="n">
        <v>18000</v>
      </c>
      <c r="G5589" s="615" t="n">
        <f aca="false">F5589*E5589</f>
        <v>900</v>
      </c>
      <c r="H5589" s="433"/>
    </row>
    <row r="5590" customFormat="false" ht="15" hidden="false" customHeight="false" outlineLevel="0" collapsed="false">
      <c r="A5590" s="571"/>
      <c r="B5590" s="433"/>
      <c r="C5590" s="855" t="s">
        <v>5243</v>
      </c>
      <c r="D5590" s="316" t="s">
        <v>4133</v>
      </c>
      <c r="E5590" s="855" t="n">
        <v>0.005</v>
      </c>
      <c r="F5590" s="115" t="n">
        <v>2241</v>
      </c>
      <c r="G5590" s="615" t="n">
        <f aca="false">F5590*E5590</f>
        <v>11.205</v>
      </c>
      <c r="H5590" s="433"/>
    </row>
    <row r="5591" customFormat="false" ht="15" hidden="false" customHeight="false" outlineLevel="0" collapsed="false">
      <c r="A5591" s="571"/>
      <c r="B5591" s="433"/>
      <c r="C5591" s="855" t="s">
        <v>4584</v>
      </c>
      <c r="D5591" s="316" t="s">
        <v>4133</v>
      </c>
      <c r="E5591" s="855" t="n">
        <v>0.0505</v>
      </c>
      <c r="F5591" s="115" t="n">
        <v>21000</v>
      </c>
      <c r="G5591" s="615" t="n">
        <f aca="false">F5591*E5591</f>
        <v>1060.5</v>
      </c>
      <c r="H5591" s="433"/>
    </row>
    <row r="5592" customFormat="false" ht="15" hidden="false" customHeight="false" outlineLevel="0" collapsed="false">
      <c r="A5592" s="571"/>
      <c r="B5592" s="433"/>
      <c r="C5592" s="860" t="s">
        <v>4189</v>
      </c>
      <c r="D5592" s="316" t="s">
        <v>4359</v>
      </c>
      <c r="E5592" s="855" t="n">
        <v>0.0025</v>
      </c>
      <c r="F5592" s="115" t="n">
        <v>1800</v>
      </c>
      <c r="G5592" s="615" t="n">
        <f aca="false">F5592*E5592</f>
        <v>4.5</v>
      </c>
      <c r="H5592" s="433"/>
    </row>
    <row r="5593" customFormat="false" ht="14.25" hidden="false" customHeight="true" outlineLevel="0" collapsed="false">
      <c r="A5593" s="571"/>
      <c r="B5593" s="433"/>
      <c r="C5593" s="860" t="s">
        <v>4158</v>
      </c>
      <c r="D5593" s="316" t="s">
        <v>4133</v>
      </c>
      <c r="E5593" s="855" t="n">
        <v>0.003</v>
      </c>
      <c r="F5593" s="115" t="n">
        <v>6400</v>
      </c>
      <c r="G5593" s="615" t="n">
        <f aca="false">F5593*E5593</f>
        <v>19.2</v>
      </c>
      <c r="H5593" s="433"/>
    </row>
    <row r="5594" customFormat="false" ht="30" hidden="false" customHeight="false" outlineLevel="0" collapsed="false">
      <c r="A5594" s="571"/>
      <c r="B5594" s="433"/>
      <c r="C5594" s="855" t="s">
        <v>5244</v>
      </c>
      <c r="D5594" s="316" t="s">
        <v>4133</v>
      </c>
      <c r="E5594" s="855" t="n">
        <v>0.001</v>
      </c>
      <c r="F5594" s="115" t="n">
        <v>19000</v>
      </c>
      <c r="G5594" s="615" t="n">
        <f aca="false">F5594*E5594</f>
        <v>19</v>
      </c>
      <c r="H5594" s="433"/>
    </row>
    <row r="5595" customFormat="false" ht="15" hidden="false" customHeight="false" outlineLevel="0" collapsed="false">
      <c r="A5595" s="571"/>
      <c r="B5595" s="433"/>
      <c r="C5595" s="855" t="s">
        <v>4673</v>
      </c>
      <c r="D5595" s="877" t="s">
        <v>4133</v>
      </c>
      <c r="E5595" s="855" t="n">
        <v>0.001</v>
      </c>
      <c r="F5595" s="115" t="n">
        <v>106777</v>
      </c>
      <c r="G5595" s="615" t="n">
        <f aca="false">F5595*E5595</f>
        <v>106.777</v>
      </c>
      <c r="H5595" s="433"/>
    </row>
    <row r="5596" customFormat="false" ht="15" hidden="false" customHeight="false" outlineLevel="0" collapsed="false">
      <c r="A5596" s="571"/>
      <c r="B5596" s="433"/>
      <c r="C5596" s="860" t="s">
        <v>5241</v>
      </c>
      <c r="D5596" s="877" t="s">
        <v>4141</v>
      </c>
      <c r="E5596" s="855" t="n">
        <v>0.01</v>
      </c>
      <c r="F5596" s="115" t="n">
        <v>1500</v>
      </c>
      <c r="G5596" s="615" t="n">
        <f aca="false">F5596*E5596</f>
        <v>15</v>
      </c>
      <c r="H5596" s="433"/>
    </row>
    <row r="5597" customFormat="false" ht="15" hidden="false" customHeight="false" outlineLevel="0" collapsed="false">
      <c r="A5597" s="571"/>
      <c r="B5597" s="433"/>
      <c r="C5597" s="855" t="s">
        <v>5245</v>
      </c>
      <c r="D5597" s="316" t="s">
        <v>4133</v>
      </c>
      <c r="E5597" s="855" t="n">
        <v>0.0001</v>
      </c>
      <c r="F5597" s="115" t="n">
        <v>58000</v>
      </c>
      <c r="G5597" s="615" t="n">
        <f aca="false">F5597*E5597</f>
        <v>5.8</v>
      </c>
      <c r="H5597" s="433"/>
    </row>
    <row r="5598" customFormat="false" ht="15" hidden="false" customHeight="false" outlineLevel="0" collapsed="false">
      <c r="A5598" s="571"/>
      <c r="B5598" s="433"/>
      <c r="C5598" s="855" t="s">
        <v>5246</v>
      </c>
      <c r="D5598" s="316" t="s">
        <v>4133</v>
      </c>
      <c r="E5598" s="855" t="n">
        <v>0.0001</v>
      </c>
      <c r="F5598" s="115" t="n">
        <v>58000</v>
      </c>
      <c r="G5598" s="615" t="n">
        <f aca="false">F5598*E5598</f>
        <v>5.8</v>
      </c>
      <c r="H5598" s="433"/>
    </row>
    <row r="5599" customFormat="false" ht="15" hidden="false" customHeight="false" outlineLevel="0" collapsed="false">
      <c r="A5599" s="571"/>
      <c r="B5599" s="433"/>
      <c r="C5599" s="855" t="s">
        <v>5247</v>
      </c>
      <c r="D5599" s="316" t="s">
        <v>4133</v>
      </c>
      <c r="E5599" s="855" t="n">
        <v>0.0001</v>
      </c>
      <c r="F5599" s="115" t="n">
        <v>58000</v>
      </c>
      <c r="G5599" s="615" t="n">
        <f aca="false">F5599*E5599</f>
        <v>5.8</v>
      </c>
      <c r="H5599" s="433"/>
    </row>
    <row r="5600" customFormat="false" ht="18" hidden="false" customHeight="true" outlineLevel="0" collapsed="false">
      <c r="A5600" s="571"/>
      <c r="B5600" s="433"/>
      <c r="C5600" s="855" t="s">
        <v>5248</v>
      </c>
      <c r="D5600" s="316" t="s">
        <v>4133</v>
      </c>
      <c r="E5600" s="855" t="n">
        <v>0.0001</v>
      </c>
      <c r="F5600" s="115" t="n">
        <v>58000</v>
      </c>
      <c r="G5600" s="615" t="n">
        <f aca="false">F5600*E5600</f>
        <v>5.8</v>
      </c>
      <c r="H5600" s="433"/>
    </row>
    <row r="5601" customFormat="false" ht="30.75" hidden="false" customHeight="true" outlineLevel="0" collapsed="false">
      <c r="A5601" s="571"/>
      <c r="B5601" s="433"/>
      <c r="C5601" s="855" t="s">
        <v>5249</v>
      </c>
      <c r="D5601" s="316" t="s">
        <v>4133</v>
      </c>
      <c r="E5601" s="855" t="n">
        <v>0.0001</v>
      </c>
      <c r="F5601" s="115" t="n">
        <v>58000</v>
      </c>
      <c r="G5601" s="615" t="n">
        <f aca="false">F5601*E5601</f>
        <v>5.8</v>
      </c>
      <c r="H5601" s="433"/>
    </row>
    <row r="5602" customFormat="false" ht="29.25" hidden="false" customHeight="true" outlineLevel="0" collapsed="false">
      <c r="A5602" s="571"/>
      <c r="B5602" s="433"/>
      <c r="C5602" s="855" t="s">
        <v>5250</v>
      </c>
      <c r="D5602" s="316" t="s">
        <v>4133</v>
      </c>
      <c r="E5602" s="855" t="n">
        <v>0.0001</v>
      </c>
      <c r="F5602" s="115" t="n">
        <v>58000</v>
      </c>
      <c r="G5602" s="615" t="n">
        <f aca="false">F5602*E5602</f>
        <v>5.8</v>
      </c>
      <c r="H5602" s="433"/>
    </row>
    <row r="5603" customFormat="false" ht="15" hidden="false" customHeight="false" outlineLevel="0" collapsed="false">
      <c r="A5603" s="571"/>
      <c r="B5603" s="433"/>
      <c r="C5603" s="855" t="s">
        <v>5240</v>
      </c>
      <c r="D5603" s="316" t="s">
        <v>4578</v>
      </c>
      <c r="E5603" s="855" t="n">
        <v>0.002</v>
      </c>
      <c r="F5603" s="857" t="n">
        <v>225000</v>
      </c>
      <c r="G5603" s="615" t="n">
        <f aca="false">F5603*E5603</f>
        <v>450</v>
      </c>
      <c r="H5603" s="433"/>
    </row>
    <row r="5604" customFormat="false" ht="15" hidden="false" customHeight="false" outlineLevel="0" collapsed="false">
      <c r="A5604" s="571"/>
      <c r="B5604" s="433"/>
      <c r="C5604" s="532" t="s">
        <v>4251</v>
      </c>
      <c r="D5604" s="679" t="s">
        <v>4578</v>
      </c>
      <c r="E5604" s="866" t="n">
        <v>0.002</v>
      </c>
      <c r="F5604" s="681" t="n">
        <v>275000</v>
      </c>
      <c r="G5604" s="615" t="n">
        <f aca="false">F5604*E5604</f>
        <v>550</v>
      </c>
      <c r="H5604" s="433"/>
    </row>
    <row r="5605" customFormat="false" ht="30" hidden="false" customHeight="false" outlineLevel="0" collapsed="false">
      <c r="A5605" s="571"/>
      <c r="B5605" s="433"/>
      <c r="C5605" s="532" t="s">
        <v>5238</v>
      </c>
      <c r="D5605" s="679" t="s">
        <v>4141</v>
      </c>
      <c r="E5605" s="865" t="n">
        <v>0.01</v>
      </c>
      <c r="F5605" s="681" t="n">
        <v>1400</v>
      </c>
      <c r="G5605" s="615" t="n">
        <f aca="false">F5605*E5605</f>
        <v>14</v>
      </c>
      <c r="H5605" s="433"/>
    </row>
    <row r="5606" customFormat="false" ht="15" hidden="false" customHeight="false" outlineLevel="0" collapsed="false">
      <c r="A5606" s="571"/>
      <c r="B5606" s="433"/>
      <c r="C5606" s="867" t="s">
        <v>4497</v>
      </c>
      <c r="D5606" s="868" t="s">
        <v>4348</v>
      </c>
      <c r="E5606" s="869" t="n">
        <v>0.003</v>
      </c>
      <c r="F5606" s="870" t="n">
        <v>550000</v>
      </c>
      <c r="G5606" s="615" t="n">
        <f aca="false">F5606*E5606</f>
        <v>1650</v>
      </c>
      <c r="H5606" s="433"/>
    </row>
    <row r="5607" customFormat="false" ht="15" hidden="false" customHeight="false" outlineLevel="0" collapsed="false">
      <c r="A5607" s="571"/>
      <c r="B5607" s="433"/>
      <c r="C5607" s="884" t="s">
        <v>4122</v>
      </c>
      <c r="D5607" s="679" t="s">
        <v>4123</v>
      </c>
      <c r="E5607" s="709" t="n">
        <v>0.01</v>
      </c>
      <c r="F5607" s="871" t="n">
        <v>720</v>
      </c>
      <c r="G5607" s="615" t="n">
        <f aca="false">F5607*E5607</f>
        <v>7.2</v>
      </c>
      <c r="H5607" s="433"/>
    </row>
    <row r="5608" customFormat="false" ht="15" hidden="false" customHeight="false" outlineLevel="0" collapsed="false">
      <c r="A5608" s="571"/>
      <c r="B5608" s="433"/>
      <c r="C5608" s="885" t="s">
        <v>4124</v>
      </c>
      <c r="D5608" s="679" t="s">
        <v>4125</v>
      </c>
      <c r="E5608" s="709" t="n">
        <v>0.1</v>
      </c>
      <c r="F5608" s="886" t="n">
        <v>170</v>
      </c>
      <c r="G5608" s="615" t="n">
        <f aca="false">F5608*E5608</f>
        <v>17</v>
      </c>
      <c r="H5608" s="433"/>
    </row>
    <row r="5609" customFormat="false" ht="15" hidden="false" customHeight="false" outlineLevel="0" collapsed="false">
      <c r="A5609" s="571"/>
      <c r="B5609" s="433"/>
      <c r="C5609" s="885" t="s">
        <v>4347</v>
      </c>
      <c r="D5609" s="679" t="s">
        <v>4348</v>
      </c>
      <c r="E5609" s="709" t="n">
        <v>1</v>
      </c>
      <c r="F5609" s="886" t="n">
        <v>130</v>
      </c>
      <c r="G5609" s="615" t="n">
        <f aca="false">F5609*E5609</f>
        <v>130</v>
      </c>
      <c r="H5609" s="433"/>
    </row>
    <row r="5610" customFormat="false" ht="15" hidden="false" customHeight="false" outlineLevel="0" collapsed="false">
      <c r="A5610" s="571"/>
      <c r="B5610" s="433"/>
      <c r="C5610" s="532" t="s">
        <v>5239</v>
      </c>
      <c r="D5610" s="679" t="s">
        <v>4141</v>
      </c>
      <c r="E5610" s="866" t="n">
        <v>0.003</v>
      </c>
      <c r="F5610" s="681" t="n">
        <v>23500</v>
      </c>
      <c r="G5610" s="615" t="n">
        <f aca="false">F5610*E5610</f>
        <v>70.5</v>
      </c>
      <c r="H5610" s="433"/>
    </row>
    <row r="5611" customFormat="false" ht="15.75" hidden="false" customHeight="true" outlineLevel="0" collapsed="false">
      <c r="A5611" s="571"/>
      <c r="B5611" s="433"/>
      <c r="C5611" s="855" t="s">
        <v>4509</v>
      </c>
      <c r="D5611" s="316" t="s">
        <v>4348</v>
      </c>
      <c r="E5611" s="855" t="n">
        <v>1</v>
      </c>
      <c r="F5611" s="857" t="n">
        <v>26</v>
      </c>
      <c r="G5611" s="615" t="n">
        <f aca="false">F5611*E5611</f>
        <v>26</v>
      </c>
      <c r="H5611" s="433"/>
    </row>
    <row r="5612" customFormat="false" ht="15" hidden="false" customHeight="false" outlineLevel="0" collapsed="false">
      <c r="A5612" s="350" t="s">
        <v>5290</v>
      </c>
      <c r="B5612" s="346" t="s">
        <v>3326</v>
      </c>
      <c r="C5612" s="811"/>
      <c r="D5612" s="790"/>
      <c r="E5612" s="790"/>
      <c r="F5612" s="519"/>
      <c r="G5612" s="753"/>
      <c r="H5612" s="346"/>
    </row>
    <row r="5613" customFormat="false" ht="15" hidden="false" customHeight="false" outlineLevel="0" collapsed="false">
      <c r="A5613" s="571" t="s">
        <v>5291</v>
      </c>
      <c r="B5613" s="433" t="s">
        <v>3307</v>
      </c>
      <c r="C5613" s="476"/>
      <c r="D5613" s="820"/>
      <c r="E5613" s="820"/>
      <c r="F5613" s="697"/>
      <c r="G5613" s="826" t="n">
        <f aca="false">SUM(G5614:G5630)</f>
        <v>4584.1605</v>
      </c>
      <c r="H5613" s="889" t="s">
        <v>5227</v>
      </c>
    </row>
    <row r="5614" customFormat="false" ht="15" hidden="false" customHeight="false" outlineLevel="0" collapsed="false">
      <c r="A5614" s="571"/>
      <c r="B5614" s="433"/>
      <c r="C5614" s="855" t="s">
        <v>4317</v>
      </c>
      <c r="D5614" s="316" t="s">
        <v>4359</v>
      </c>
      <c r="E5614" s="855" t="n">
        <v>0.1</v>
      </c>
      <c r="F5614" s="115" t="n">
        <v>21000</v>
      </c>
      <c r="G5614" s="615" t="n">
        <f aca="false">F5614*E5614</f>
        <v>2100</v>
      </c>
      <c r="H5614" s="433"/>
    </row>
    <row r="5615" customFormat="false" ht="15" hidden="false" customHeight="false" outlineLevel="0" collapsed="false">
      <c r="A5615" s="571"/>
      <c r="B5615" s="433"/>
      <c r="C5615" s="855" t="s">
        <v>4147</v>
      </c>
      <c r="D5615" s="316" t="s">
        <v>4359</v>
      </c>
      <c r="E5615" s="855" t="n">
        <v>0.002</v>
      </c>
      <c r="F5615" s="115" t="n">
        <v>18000</v>
      </c>
      <c r="G5615" s="615" t="n">
        <f aca="false">F5615*E5615</f>
        <v>36</v>
      </c>
      <c r="H5615" s="433"/>
    </row>
    <row r="5616" customFormat="false" ht="15" hidden="false" customHeight="false" outlineLevel="0" collapsed="false">
      <c r="A5616" s="571"/>
      <c r="B5616" s="433"/>
      <c r="C5616" s="855" t="s">
        <v>5228</v>
      </c>
      <c r="D5616" s="316" t="s">
        <v>4133</v>
      </c>
      <c r="E5616" s="855" t="n">
        <v>0.002</v>
      </c>
      <c r="F5616" s="115" t="n">
        <v>19000</v>
      </c>
      <c r="G5616" s="615" t="n">
        <f aca="false">F5616*E5616</f>
        <v>38</v>
      </c>
      <c r="H5616" s="433"/>
    </row>
    <row r="5617" customFormat="false" ht="30" hidden="false" customHeight="false" outlineLevel="0" collapsed="false">
      <c r="A5617" s="571"/>
      <c r="B5617" s="433"/>
      <c r="C5617" s="855" t="s">
        <v>5229</v>
      </c>
      <c r="D5617" s="316" t="s">
        <v>4133</v>
      </c>
      <c r="E5617" s="855" t="n">
        <v>0.0001</v>
      </c>
      <c r="F5617" s="115" t="n">
        <v>71490</v>
      </c>
      <c r="G5617" s="615" t="n">
        <f aca="false">F5617*E5617</f>
        <v>7.149</v>
      </c>
      <c r="H5617" s="433"/>
    </row>
    <row r="5618" customFormat="false" ht="30" hidden="false" customHeight="false" outlineLevel="0" collapsed="false">
      <c r="A5618" s="571"/>
      <c r="B5618" s="433"/>
      <c r="C5618" s="855" t="s">
        <v>5230</v>
      </c>
      <c r="D5618" s="316" t="s">
        <v>4133</v>
      </c>
      <c r="E5618" s="855" t="n">
        <v>0.0001</v>
      </c>
      <c r="F5618" s="115" t="n">
        <v>74815</v>
      </c>
      <c r="G5618" s="615" t="n">
        <f aca="false">F5618*E5618</f>
        <v>7.4815</v>
      </c>
      <c r="H5618" s="433"/>
    </row>
    <row r="5619" customFormat="false" ht="45" hidden="false" customHeight="false" outlineLevel="0" collapsed="false">
      <c r="A5619" s="571"/>
      <c r="B5619" s="433"/>
      <c r="C5619" s="855" t="s">
        <v>5231</v>
      </c>
      <c r="D5619" s="316" t="s">
        <v>4133</v>
      </c>
      <c r="E5619" s="855" t="n">
        <v>0.0001</v>
      </c>
      <c r="F5619" s="857" t="n">
        <v>75465</v>
      </c>
      <c r="G5619" s="615" t="n">
        <f aca="false">F5619*E5619</f>
        <v>7.5465</v>
      </c>
      <c r="H5619" s="433"/>
    </row>
    <row r="5620" customFormat="false" ht="30" hidden="false" customHeight="false" outlineLevel="0" collapsed="false">
      <c r="A5620" s="571"/>
      <c r="B5620" s="433"/>
      <c r="C5620" s="855" t="s">
        <v>5232</v>
      </c>
      <c r="D5620" s="316" t="s">
        <v>4133</v>
      </c>
      <c r="E5620" s="855" t="n">
        <v>0.0001</v>
      </c>
      <c r="F5620" s="857" t="n">
        <v>87990</v>
      </c>
      <c r="G5620" s="615" t="n">
        <f aca="false">F5620*E5620</f>
        <v>8.799</v>
      </c>
      <c r="H5620" s="433"/>
    </row>
    <row r="5621" customFormat="false" ht="30" hidden="false" customHeight="false" outlineLevel="0" collapsed="false">
      <c r="A5621" s="571"/>
      <c r="B5621" s="433"/>
      <c r="C5621" s="855" t="s">
        <v>5233</v>
      </c>
      <c r="D5621" s="316" t="s">
        <v>4133</v>
      </c>
      <c r="E5621" s="855" t="n">
        <v>0.0001</v>
      </c>
      <c r="F5621" s="857" t="n">
        <v>71395</v>
      </c>
      <c r="G5621" s="615" t="n">
        <f aca="false">F5621*E5621</f>
        <v>7.1395</v>
      </c>
      <c r="H5621" s="433"/>
    </row>
    <row r="5622" customFormat="false" ht="30" hidden="false" customHeight="false" outlineLevel="0" collapsed="false">
      <c r="A5622" s="571"/>
      <c r="B5622" s="433"/>
      <c r="C5622" s="855" t="s">
        <v>5234</v>
      </c>
      <c r="D5622" s="316" t="s">
        <v>4133</v>
      </c>
      <c r="E5622" s="855" t="n">
        <v>0.0001</v>
      </c>
      <c r="F5622" s="857" t="n">
        <v>53450</v>
      </c>
      <c r="G5622" s="615" t="n">
        <f aca="false">F5622*E5622</f>
        <v>5.345</v>
      </c>
      <c r="H5622" s="433"/>
    </row>
    <row r="5623" customFormat="false" ht="15" hidden="false" customHeight="false" outlineLevel="0" collapsed="false">
      <c r="A5623" s="571"/>
      <c r="B5623" s="433"/>
      <c r="C5623" s="855" t="s">
        <v>5240</v>
      </c>
      <c r="D5623" s="316" t="s">
        <v>4578</v>
      </c>
      <c r="E5623" s="855" t="n">
        <v>0.002</v>
      </c>
      <c r="F5623" s="857" t="n">
        <v>225000</v>
      </c>
      <c r="G5623" s="615" t="n">
        <f aca="false">F5623*E5623</f>
        <v>450</v>
      </c>
      <c r="H5623" s="433"/>
    </row>
    <row r="5624" customFormat="false" ht="15" hidden="false" customHeight="false" outlineLevel="0" collapsed="false">
      <c r="A5624" s="571"/>
      <c r="B5624" s="433"/>
      <c r="C5624" s="855" t="s">
        <v>5241</v>
      </c>
      <c r="D5624" s="316" t="s">
        <v>4141</v>
      </c>
      <c r="E5624" s="860" t="n">
        <v>0.01</v>
      </c>
      <c r="F5624" s="857" t="n">
        <v>1500</v>
      </c>
      <c r="G5624" s="615" t="n">
        <f aca="false">F5624*E5624</f>
        <v>15</v>
      </c>
      <c r="H5624" s="433"/>
    </row>
    <row r="5625" customFormat="false" ht="15" hidden="false" customHeight="false" outlineLevel="0" collapsed="false">
      <c r="A5625" s="571"/>
      <c r="B5625" s="433"/>
      <c r="C5625" s="855" t="s">
        <v>4347</v>
      </c>
      <c r="D5625" s="316" t="s">
        <v>4348</v>
      </c>
      <c r="E5625" s="855" t="n">
        <v>1</v>
      </c>
      <c r="F5625" s="857" t="n">
        <v>130</v>
      </c>
      <c r="G5625" s="615" t="n">
        <f aca="false">F5625*E5625</f>
        <v>130</v>
      </c>
      <c r="H5625" s="433"/>
    </row>
    <row r="5626" customFormat="false" ht="15" hidden="false" customHeight="false" outlineLevel="0" collapsed="false">
      <c r="A5626" s="571"/>
      <c r="B5626" s="433"/>
      <c r="C5626" s="867" t="s">
        <v>4497</v>
      </c>
      <c r="D5626" s="868" t="s">
        <v>4348</v>
      </c>
      <c r="E5626" s="869" t="n">
        <v>0.003</v>
      </c>
      <c r="F5626" s="870" t="n">
        <v>550000</v>
      </c>
      <c r="G5626" s="615" t="n">
        <f aca="false">F5626*E5626</f>
        <v>1650</v>
      </c>
      <c r="H5626" s="433"/>
    </row>
    <row r="5627" customFormat="false" ht="15" hidden="false" customHeight="false" outlineLevel="0" collapsed="false">
      <c r="A5627" s="571"/>
      <c r="B5627" s="433"/>
      <c r="C5627" s="855" t="s">
        <v>4122</v>
      </c>
      <c r="D5627" s="316" t="s">
        <v>4359</v>
      </c>
      <c r="E5627" s="855" t="n">
        <v>0.01</v>
      </c>
      <c r="F5627" s="871" t="n">
        <v>720</v>
      </c>
      <c r="G5627" s="615" t="n">
        <f aca="false">F5627*E5627</f>
        <v>7.2</v>
      </c>
      <c r="H5627" s="433"/>
    </row>
    <row r="5628" customFormat="false" ht="15" hidden="false" customHeight="false" outlineLevel="0" collapsed="false">
      <c r="A5628" s="571"/>
      <c r="B5628" s="433"/>
      <c r="C5628" s="855" t="s">
        <v>4515</v>
      </c>
      <c r="D5628" s="316" t="s">
        <v>4133</v>
      </c>
      <c r="E5628" s="855" t="n">
        <v>0.01</v>
      </c>
      <c r="F5628" s="857" t="n">
        <v>2700</v>
      </c>
      <c r="G5628" s="615" t="n">
        <f aca="false">F5628*E5628</f>
        <v>27</v>
      </c>
      <c r="H5628" s="433"/>
    </row>
    <row r="5629" customFormat="false" ht="15" hidden="false" customHeight="false" outlineLevel="0" collapsed="false">
      <c r="A5629" s="571"/>
      <c r="B5629" s="433"/>
      <c r="C5629" s="532" t="s">
        <v>5239</v>
      </c>
      <c r="D5629" s="679" t="s">
        <v>4141</v>
      </c>
      <c r="E5629" s="866" t="n">
        <v>0.003</v>
      </c>
      <c r="F5629" s="681" t="n">
        <v>23500</v>
      </c>
      <c r="G5629" s="615" t="n">
        <f aca="false">F5629*E5629</f>
        <v>70.5</v>
      </c>
      <c r="H5629" s="433"/>
    </row>
    <row r="5630" customFormat="false" ht="15" hidden="false" customHeight="false" outlineLevel="0" collapsed="false">
      <c r="A5630" s="571"/>
      <c r="B5630" s="433"/>
      <c r="C5630" s="861" t="s">
        <v>4124</v>
      </c>
      <c r="D5630" s="316" t="s">
        <v>4125</v>
      </c>
      <c r="E5630" s="855" t="n">
        <v>0.1</v>
      </c>
      <c r="F5630" s="857" t="n">
        <v>170</v>
      </c>
      <c r="G5630" s="615" t="n">
        <f aca="false">F5630*E5630</f>
        <v>17</v>
      </c>
      <c r="H5630" s="433"/>
    </row>
    <row r="5631" customFormat="false" ht="15" hidden="false" customHeight="false" outlineLevel="0" collapsed="false">
      <c r="A5631" s="350" t="s">
        <v>5292</v>
      </c>
      <c r="B5631" s="346" t="s">
        <v>3327</v>
      </c>
      <c r="C5631" s="892"/>
      <c r="D5631" s="387"/>
      <c r="E5631" s="892"/>
      <c r="F5631" s="893"/>
      <c r="G5631" s="713"/>
      <c r="H5631" s="887"/>
    </row>
    <row r="5632" customFormat="false" ht="15" hidden="false" customHeight="false" outlineLevel="0" collapsed="false">
      <c r="A5632" s="571" t="s">
        <v>5293</v>
      </c>
      <c r="B5632" s="433" t="s">
        <v>3307</v>
      </c>
      <c r="C5632" s="41"/>
      <c r="D5632" s="874"/>
      <c r="E5632" s="41"/>
      <c r="F5632" s="875"/>
      <c r="G5632" s="826" t="n">
        <f aca="false">SUM(G5633:G5649)</f>
        <v>4584.1605</v>
      </c>
      <c r="H5632" s="889" t="s">
        <v>5227</v>
      </c>
    </row>
    <row r="5633" customFormat="false" ht="15" hidden="false" customHeight="false" outlineLevel="0" collapsed="false">
      <c r="A5633" s="571"/>
      <c r="B5633" s="433"/>
      <c r="C5633" s="855" t="s">
        <v>4317</v>
      </c>
      <c r="D5633" s="316" t="s">
        <v>4359</v>
      </c>
      <c r="E5633" s="855" t="n">
        <v>0.1</v>
      </c>
      <c r="F5633" s="115" t="n">
        <v>21000</v>
      </c>
      <c r="G5633" s="615" t="n">
        <f aca="false">F5633*E5633</f>
        <v>2100</v>
      </c>
      <c r="H5633" s="433"/>
    </row>
    <row r="5634" customFormat="false" ht="15" hidden="false" customHeight="false" outlineLevel="0" collapsed="false">
      <c r="A5634" s="571"/>
      <c r="B5634" s="433"/>
      <c r="C5634" s="855" t="s">
        <v>4147</v>
      </c>
      <c r="D5634" s="316" t="s">
        <v>4359</v>
      </c>
      <c r="E5634" s="855" t="n">
        <v>0.002</v>
      </c>
      <c r="F5634" s="115" t="n">
        <v>18000</v>
      </c>
      <c r="G5634" s="615" t="n">
        <f aca="false">F5634*E5634</f>
        <v>36</v>
      </c>
      <c r="H5634" s="433"/>
    </row>
    <row r="5635" customFormat="false" ht="15" hidden="false" customHeight="false" outlineLevel="0" collapsed="false">
      <c r="A5635" s="571"/>
      <c r="B5635" s="433"/>
      <c r="C5635" s="855" t="s">
        <v>5228</v>
      </c>
      <c r="D5635" s="316" t="s">
        <v>4133</v>
      </c>
      <c r="E5635" s="855" t="n">
        <v>0.002</v>
      </c>
      <c r="F5635" s="115" t="n">
        <v>19000</v>
      </c>
      <c r="G5635" s="615" t="n">
        <f aca="false">F5635*E5635</f>
        <v>38</v>
      </c>
      <c r="H5635" s="433"/>
    </row>
    <row r="5636" customFormat="false" ht="30" hidden="false" customHeight="false" outlineLevel="0" collapsed="false">
      <c r="A5636" s="571"/>
      <c r="B5636" s="433"/>
      <c r="C5636" s="855" t="s">
        <v>5229</v>
      </c>
      <c r="D5636" s="316" t="s">
        <v>4133</v>
      </c>
      <c r="E5636" s="855" t="n">
        <v>0.0001</v>
      </c>
      <c r="F5636" s="115" t="n">
        <v>71490</v>
      </c>
      <c r="G5636" s="615" t="n">
        <f aca="false">F5636*E5636</f>
        <v>7.149</v>
      </c>
      <c r="H5636" s="433"/>
    </row>
    <row r="5637" customFormat="false" ht="30" hidden="false" customHeight="false" outlineLevel="0" collapsed="false">
      <c r="A5637" s="571"/>
      <c r="B5637" s="433"/>
      <c r="C5637" s="855" t="s">
        <v>5230</v>
      </c>
      <c r="D5637" s="316" t="s">
        <v>4133</v>
      </c>
      <c r="E5637" s="855" t="n">
        <v>0.0001</v>
      </c>
      <c r="F5637" s="115" t="n">
        <v>74815</v>
      </c>
      <c r="G5637" s="615" t="n">
        <f aca="false">F5637*E5637</f>
        <v>7.4815</v>
      </c>
      <c r="H5637" s="433"/>
    </row>
    <row r="5638" customFormat="false" ht="45" hidden="false" customHeight="false" outlineLevel="0" collapsed="false">
      <c r="A5638" s="571"/>
      <c r="B5638" s="433"/>
      <c r="C5638" s="855" t="s">
        <v>5231</v>
      </c>
      <c r="D5638" s="316" t="s">
        <v>4133</v>
      </c>
      <c r="E5638" s="855" t="n">
        <v>0.0001</v>
      </c>
      <c r="F5638" s="857" t="n">
        <v>75465</v>
      </c>
      <c r="G5638" s="615" t="n">
        <f aca="false">F5638*E5638</f>
        <v>7.5465</v>
      </c>
      <c r="H5638" s="433"/>
    </row>
    <row r="5639" customFormat="false" ht="30" hidden="false" customHeight="false" outlineLevel="0" collapsed="false">
      <c r="A5639" s="571"/>
      <c r="B5639" s="433"/>
      <c r="C5639" s="855" t="s">
        <v>5232</v>
      </c>
      <c r="D5639" s="316" t="s">
        <v>4133</v>
      </c>
      <c r="E5639" s="855" t="n">
        <v>0.0001</v>
      </c>
      <c r="F5639" s="857" t="n">
        <v>87990</v>
      </c>
      <c r="G5639" s="615" t="n">
        <f aca="false">F5639*E5639</f>
        <v>8.799</v>
      </c>
      <c r="H5639" s="433"/>
    </row>
    <row r="5640" customFormat="false" ht="30" hidden="false" customHeight="false" outlineLevel="0" collapsed="false">
      <c r="A5640" s="571"/>
      <c r="B5640" s="433"/>
      <c r="C5640" s="855" t="s">
        <v>5233</v>
      </c>
      <c r="D5640" s="316" t="s">
        <v>4133</v>
      </c>
      <c r="E5640" s="855" t="n">
        <v>0.0001</v>
      </c>
      <c r="F5640" s="857" t="n">
        <v>71395</v>
      </c>
      <c r="G5640" s="615" t="n">
        <f aca="false">F5640*E5640</f>
        <v>7.1395</v>
      </c>
      <c r="H5640" s="433"/>
    </row>
    <row r="5641" customFormat="false" ht="30" hidden="false" customHeight="false" outlineLevel="0" collapsed="false">
      <c r="A5641" s="571"/>
      <c r="B5641" s="433"/>
      <c r="C5641" s="855" t="s">
        <v>5234</v>
      </c>
      <c r="D5641" s="316" t="s">
        <v>4133</v>
      </c>
      <c r="E5641" s="855" t="n">
        <v>0.0001</v>
      </c>
      <c r="F5641" s="857" t="n">
        <v>53450</v>
      </c>
      <c r="G5641" s="615" t="n">
        <f aca="false">F5641*E5641</f>
        <v>5.345</v>
      </c>
      <c r="H5641" s="433"/>
    </row>
    <row r="5642" customFormat="false" ht="15" hidden="false" customHeight="false" outlineLevel="0" collapsed="false">
      <c r="A5642" s="571"/>
      <c r="B5642" s="433"/>
      <c r="C5642" s="855" t="s">
        <v>5240</v>
      </c>
      <c r="D5642" s="316" t="s">
        <v>4578</v>
      </c>
      <c r="E5642" s="855" t="n">
        <v>0.002</v>
      </c>
      <c r="F5642" s="857" t="n">
        <v>225000</v>
      </c>
      <c r="G5642" s="615" t="n">
        <f aca="false">F5642*E5642</f>
        <v>450</v>
      </c>
      <c r="H5642" s="433"/>
    </row>
    <row r="5643" customFormat="false" ht="15" hidden="false" customHeight="false" outlineLevel="0" collapsed="false">
      <c r="A5643" s="571"/>
      <c r="B5643" s="433"/>
      <c r="C5643" s="855" t="s">
        <v>5241</v>
      </c>
      <c r="D5643" s="316" t="s">
        <v>4141</v>
      </c>
      <c r="E5643" s="860" t="n">
        <v>0.01</v>
      </c>
      <c r="F5643" s="857" t="n">
        <v>1500</v>
      </c>
      <c r="G5643" s="615" t="n">
        <f aca="false">F5643*E5643</f>
        <v>15</v>
      </c>
      <c r="H5643" s="433"/>
    </row>
    <row r="5644" customFormat="false" ht="15" hidden="false" customHeight="false" outlineLevel="0" collapsed="false">
      <c r="A5644" s="571"/>
      <c r="B5644" s="433"/>
      <c r="C5644" s="855" t="s">
        <v>4347</v>
      </c>
      <c r="D5644" s="316" t="s">
        <v>4348</v>
      </c>
      <c r="E5644" s="855" t="n">
        <v>1</v>
      </c>
      <c r="F5644" s="857" t="n">
        <v>130</v>
      </c>
      <c r="G5644" s="615" t="n">
        <f aca="false">F5644*E5644</f>
        <v>130</v>
      </c>
      <c r="H5644" s="433"/>
    </row>
    <row r="5645" customFormat="false" ht="15.75" hidden="false" customHeight="true" outlineLevel="0" collapsed="false">
      <c r="A5645" s="571"/>
      <c r="B5645" s="433"/>
      <c r="C5645" s="867" t="s">
        <v>4497</v>
      </c>
      <c r="D5645" s="868" t="s">
        <v>4348</v>
      </c>
      <c r="E5645" s="869" t="n">
        <v>0.003</v>
      </c>
      <c r="F5645" s="870" t="n">
        <v>550000</v>
      </c>
      <c r="G5645" s="615" t="n">
        <f aca="false">F5645*E5645</f>
        <v>1650</v>
      </c>
      <c r="H5645" s="433"/>
    </row>
    <row r="5646" customFormat="false" ht="15" hidden="false" customHeight="false" outlineLevel="0" collapsed="false">
      <c r="A5646" s="571"/>
      <c r="B5646" s="433"/>
      <c r="C5646" s="855" t="s">
        <v>4122</v>
      </c>
      <c r="D5646" s="316" t="s">
        <v>4359</v>
      </c>
      <c r="E5646" s="855" t="n">
        <v>0.01</v>
      </c>
      <c r="F5646" s="871" t="n">
        <v>720</v>
      </c>
      <c r="G5646" s="615" t="n">
        <f aca="false">F5646*E5646</f>
        <v>7.2</v>
      </c>
      <c r="H5646" s="433"/>
    </row>
    <row r="5647" customFormat="false" ht="15" hidden="false" customHeight="false" outlineLevel="0" collapsed="false">
      <c r="A5647" s="571"/>
      <c r="B5647" s="433"/>
      <c r="C5647" s="855" t="s">
        <v>4515</v>
      </c>
      <c r="D5647" s="316" t="s">
        <v>4133</v>
      </c>
      <c r="E5647" s="855" t="n">
        <v>0.01</v>
      </c>
      <c r="F5647" s="857" t="n">
        <v>2700</v>
      </c>
      <c r="G5647" s="615" t="n">
        <f aca="false">F5647*E5647</f>
        <v>27</v>
      </c>
      <c r="H5647" s="433"/>
    </row>
    <row r="5648" customFormat="false" ht="15" hidden="false" customHeight="false" outlineLevel="0" collapsed="false">
      <c r="A5648" s="571"/>
      <c r="B5648" s="433"/>
      <c r="C5648" s="532" t="s">
        <v>5239</v>
      </c>
      <c r="D5648" s="679" t="s">
        <v>4141</v>
      </c>
      <c r="E5648" s="866" t="n">
        <v>0.003</v>
      </c>
      <c r="F5648" s="681" t="n">
        <v>23500</v>
      </c>
      <c r="G5648" s="615" t="n">
        <f aca="false">F5648*E5648</f>
        <v>70.5</v>
      </c>
      <c r="H5648" s="433"/>
    </row>
    <row r="5649" customFormat="false" ht="15" hidden="false" customHeight="false" outlineLevel="0" collapsed="false">
      <c r="A5649" s="571"/>
      <c r="B5649" s="433"/>
      <c r="C5649" s="861" t="s">
        <v>4124</v>
      </c>
      <c r="D5649" s="316" t="s">
        <v>4125</v>
      </c>
      <c r="E5649" s="855" t="n">
        <v>0.1</v>
      </c>
      <c r="F5649" s="857" t="n">
        <v>170</v>
      </c>
      <c r="G5649" s="615" t="n">
        <f aca="false">F5649*E5649</f>
        <v>17</v>
      </c>
      <c r="H5649" s="433"/>
    </row>
    <row r="5650" customFormat="false" ht="28.5" hidden="false" customHeight="false" outlineLevel="0" collapsed="false">
      <c r="A5650" s="350" t="s">
        <v>5294</v>
      </c>
      <c r="B5650" s="346" t="s">
        <v>3328</v>
      </c>
      <c r="C5650" s="601"/>
      <c r="D5650" s="600"/>
      <c r="E5650" s="600"/>
      <c r="F5650" s="364"/>
      <c r="G5650" s="713"/>
      <c r="H5650" s="887"/>
    </row>
    <row r="5651" customFormat="false" ht="30" hidden="false" customHeight="false" outlineLevel="0" collapsed="false">
      <c r="A5651" s="571" t="s">
        <v>1096</v>
      </c>
      <c r="B5651" s="488" t="s">
        <v>3329</v>
      </c>
      <c r="C5651" s="476"/>
      <c r="D5651" s="820"/>
      <c r="E5651" s="820"/>
      <c r="F5651" s="697"/>
      <c r="G5651" s="826" t="n">
        <f aca="false">SUM(G5652:G5664)</f>
        <v>680.815</v>
      </c>
      <c r="H5651" s="433" t="s">
        <v>5295</v>
      </c>
    </row>
    <row r="5652" customFormat="false" ht="15" hidden="false" customHeight="false" outlineLevel="0" collapsed="false">
      <c r="A5652" s="571"/>
      <c r="B5652" s="433"/>
      <c r="C5652" s="855" t="s">
        <v>5296</v>
      </c>
      <c r="D5652" s="316" t="s">
        <v>4133</v>
      </c>
      <c r="E5652" s="855" t="n">
        <v>0.02022</v>
      </c>
      <c r="F5652" s="115" t="n">
        <v>4500</v>
      </c>
      <c r="G5652" s="894" t="n">
        <f aca="false">F5652*E5652</f>
        <v>90.99</v>
      </c>
      <c r="H5652" s="433"/>
    </row>
    <row r="5653" customFormat="false" ht="15" hidden="false" customHeight="false" outlineLevel="0" collapsed="false">
      <c r="A5653" s="571"/>
      <c r="B5653" s="433"/>
      <c r="C5653" s="855" t="s">
        <v>5297</v>
      </c>
      <c r="D5653" s="316" t="s">
        <v>4133</v>
      </c>
      <c r="E5653" s="855" t="n">
        <v>0.013</v>
      </c>
      <c r="F5653" s="857" t="n">
        <v>5000</v>
      </c>
      <c r="G5653" s="894" t="n">
        <f aca="false">F5653*E5653</f>
        <v>65</v>
      </c>
      <c r="H5653" s="433"/>
    </row>
    <row r="5654" customFormat="false" ht="15" hidden="false" customHeight="false" outlineLevel="0" collapsed="false">
      <c r="A5654" s="571"/>
      <c r="B5654" s="433"/>
      <c r="C5654" s="861" t="s">
        <v>4300</v>
      </c>
      <c r="D5654" s="316" t="s">
        <v>4133</v>
      </c>
      <c r="E5654" s="855" t="n">
        <v>0.001</v>
      </c>
      <c r="F5654" s="857" t="n">
        <v>11500</v>
      </c>
      <c r="G5654" s="894" t="n">
        <f aca="false">F5654*E5654</f>
        <v>11.5</v>
      </c>
      <c r="H5654" s="433"/>
    </row>
    <row r="5655" customFormat="false" ht="15" hidden="false" customHeight="false" outlineLevel="0" collapsed="false">
      <c r="A5655" s="571"/>
      <c r="B5655" s="433"/>
      <c r="C5655" s="861" t="s">
        <v>4147</v>
      </c>
      <c r="D5655" s="316" t="s">
        <v>4359</v>
      </c>
      <c r="E5655" s="855" t="n">
        <v>0.006</v>
      </c>
      <c r="F5655" s="857" t="n">
        <v>6500</v>
      </c>
      <c r="G5655" s="894" t="n">
        <f aca="false">F5655*E5655</f>
        <v>39</v>
      </c>
      <c r="H5655" s="433"/>
    </row>
    <row r="5656" customFormat="false" ht="15" hidden="false" customHeight="false" outlineLevel="0" collapsed="false">
      <c r="A5656" s="571"/>
      <c r="B5656" s="433"/>
      <c r="C5656" s="861" t="s">
        <v>4270</v>
      </c>
      <c r="D5656" s="316" t="s">
        <v>4359</v>
      </c>
      <c r="E5656" s="855" t="n">
        <v>0.002</v>
      </c>
      <c r="F5656" s="857" t="n">
        <v>1200</v>
      </c>
      <c r="G5656" s="894" t="n">
        <f aca="false">F5656*E5656</f>
        <v>2.4</v>
      </c>
      <c r="H5656" s="433"/>
    </row>
    <row r="5657" customFormat="false" ht="15" hidden="false" customHeight="false" outlineLevel="0" collapsed="false">
      <c r="A5657" s="571"/>
      <c r="B5657" s="433"/>
      <c r="C5657" s="108" t="s">
        <v>4163</v>
      </c>
      <c r="D5657" s="316" t="s">
        <v>4138</v>
      </c>
      <c r="E5657" s="879" t="n">
        <v>0.1</v>
      </c>
      <c r="F5657" s="607" t="n">
        <v>1500</v>
      </c>
      <c r="G5657" s="894" t="n">
        <f aca="false">F5657*E5657</f>
        <v>150</v>
      </c>
      <c r="H5657" s="433"/>
    </row>
    <row r="5658" customFormat="false" ht="15" hidden="false" customHeight="false" outlineLevel="0" collapsed="false">
      <c r="A5658" s="571"/>
      <c r="B5658" s="433"/>
      <c r="C5658" s="895" t="s">
        <v>4183</v>
      </c>
      <c r="D5658" s="602" t="s">
        <v>4133</v>
      </c>
      <c r="E5658" s="624" t="n">
        <v>0.001</v>
      </c>
      <c r="F5658" s="607" t="n">
        <v>8100</v>
      </c>
      <c r="G5658" s="894" t="n">
        <f aca="false">F5658*E5658</f>
        <v>8.1</v>
      </c>
      <c r="H5658" s="433"/>
    </row>
    <row r="5659" customFormat="false" ht="15" hidden="false" customHeight="false" outlineLevel="0" collapsed="false">
      <c r="A5659" s="571"/>
      <c r="B5659" s="433"/>
      <c r="C5659" s="855" t="s">
        <v>4277</v>
      </c>
      <c r="D5659" s="316" t="s">
        <v>4133</v>
      </c>
      <c r="E5659" s="855" t="n">
        <v>0.0015</v>
      </c>
      <c r="F5659" s="115" t="n">
        <v>2550</v>
      </c>
      <c r="G5659" s="894" t="n">
        <f aca="false">F5659*E5659</f>
        <v>3.825</v>
      </c>
      <c r="H5659" s="433"/>
    </row>
    <row r="5660" customFormat="false" ht="15" hidden="false" customHeight="false" outlineLevel="0" collapsed="false">
      <c r="A5660" s="571"/>
      <c r="B5660" s="433"/>
      <c r="C5660" s="855" t="s">
        <v>5241</v>
      </c>
      <c r="D5660" s="316" t="s">
        <v>4141</v>
      </c>
      <c r="E5660" s="860" t="n">
        <v>0.02</v>
      </c>
      <c r="F5660" s="857" t="n">
        <v>1500</v>
      </c>
      <c r="G5660" s="894" t="n">
        <f aca="false">F5660*E5660</f>
        <v>30</v>
      </c>
      <c r="H5660" s="433"/>
    </row>
    <row r="5661" customFormat="false" ht="15.75" hidden="false" customHeight="true" outlineLevel="0" collapsed="false">
      <c r="A5661" s="571"/>
      <c r="B5661" s="433"/>
      <c r="C5661" s="855" t="s">
        <v>4347</v>
      </c>
      <c r="D5661" s="316" t="s">
        <v>4348</v>
      </c>
      <c r="E5661" s="855" t="n">
        <v>1</v>
      </c>
      <c r="F5661" s="857" t="n">
        <v>130</v>
      </c>
      <c r="G5661" s="894" t="n">
        <f aca="false">F5661*E5661</f>
        <v>130</v>
      </c>
      <c r="H5661" s="433"/>
    </row>
    <row r="5662" customFormat="false" ht="15" hidden="false" customHeight="false" outlineLevel="0" collapsed="false">
      <c r="A5662" s="571"/>
      <c r="B5662" s="433"/>
      <c r="C5662" s="855" t="s">
        <v>4122</v>
      </c>
      <c r="D5662" s="316" t="s">
        <v>4359</v>
      </c>
      <c r="E5662" s="855" t="n">
        <v>0.1</v>
      </c>
      <c r="F5662" s="871" t="n">
        <v>720</v>
      </c>
      <c r="G5662" s="894" t="n">
        <f aca="false">F5662*E5662</f>
        <v>72</v>
      </c>
      <c r="H5662" s="433"/>
    </row>
    <row r="5663" customFormat="false" ht="15" hidden="false" customHeight="false" outlineLevel="0" collapsed="false">
      <c r="A5663" s="571"/>
      <c r="B5663" s="433"/>
      <c r="C5663" s="861" t="s">
        <v>4124</v>
      </c>
      <c r="D5663" s="316" t="s">
        <v>4125</v>
      </c>
      <c r="E5663" s="855" t="n">
        <v>0.3</v>
      </c>
      <c r="F5663" s="115" t="n">
        <v>170</v>
      </c>
      <c r="G5663" s="894" t="n">
        <f aca="false">F5663*E5663</f>
        <v>51</v>
      </c>
      <c r="H5663" s="433"/>
    </row>
    <row r="5664" customFormat="false" ht="15" hidden="false" customHeight="false" outlineLevel="0" collapsed="false">
      <c r="A5664" s="571"/>
      <c r="B5664" s="433"/>
      <c r="C5664" s="855" t="s">
        <v>4515</v>
      </c>
      <c r="D5664" s="316" t="s">
        <v>4133</v>
      </c>
      <c r="E5664" s="855" t="n">
        <v>0.01</v>
      </c>
      <c r="F5664" s="115" t="n">
        <v>2700</v>
      </c>
      <c r="G5664" s="894" t="n">
        <f aca="false">F5664*E5664</f>
        <v>27</v>
      </c>
      <c r="H5664" s="433"/>
    </row>
    <row r="5665" customFormat="false" ht="15" hidden="false" customHeight="false" outlineLevel="0" collapsed="false">
      <c r="A5665" s="571" t="s">
        <v>1098</v>
      </c>
      <c r="B5665" s="488" t="s">
        <v>3307</v>
      </c>
      <c r="C5665" s="41"/>
      <c r="D5665" s="874"/>
      <c r="E5665" s="41"/>
      <c r="F5665" s="875"/>
      <c r="G5665" s="896" t="n">
        <f aca="false">SUM(G5666:G5684)</f>
        <v>6154.9375</v>
      </c>
      <c r="H5665" s="889" t="s">
        <v>5227</v>
      </c>
    </row>
    <row r="5666" customFormat="false" ht="15" hidden="false" customHeight="false" outlineLevel="0" collapsed="false">
      <c r="A5666" s="571"/>
      <c r="B5666" s="433"/>
      <c r="C5666" s="855" t="s">
        <v>4604</v>
      </c>
      <c r="D5666" s="316" t="s">
        <v>4359</v>
      </c>
      <c r="E5666" s="855" t="n">
        <v>0.02</v>
      </c>
      <c r="F5666" s="115" t="n">
        <v>18000</v>
      </c>
      <c r="G5666" s="894" t="n">
        <f aca="false">F5666*E5666</f>
        <v>360</v>
      </c>
      <c r="H5666" s="433"/>
    </row>
    <row r="5667" customFormat="false" ht="15" hidden="false" customHeight="false" outlineLevel="0" collapsed="false">
      <c r="A5667" s="571"/>
      <c r="B5667" s="433"/>
      <c r="C5667" s="855" t="s">
        <v>4317</v>
      </c>
      <c r="D5667" s="316" t="s">
        <v>4359</v>
      </c>
      <c r="E5667" s="855" t="n">
        <v>0.15</v>
      </c>
      <c r="F5667" s="115" t="n">
        <v>21000</v>
      </c>
      <c r="G5667" s="894" t="n">
        <f aca="false">F5667*E5667</f>
        <v>3150</v>
      </c>
      <c r="H5667" s="433"/>
    </row>
    <row r="5668" customFormat="false" ht="15" hidden="false" customHeight="false" outlineLevel="0" collapsed="false">
      <c r="A5668" s="571"/>
      <c r="B5668" s="433"/>
      <c r="C5668" s="855" t="s">
        <v>4147</v>
      </c>
      <c r="D5668" s="316" t="s">
        <v>4359</v>
      </c>
      <c r="E5668" s="855" t="n">
        <v>0.005</v>
      </c>
      <c r="F5668" s="115" t="n">
        <v>18000</v>
      </c>
      <c r="G5668" s="894" t="n">
        <f aca="false">F5668*E5668</f>
        <v>90</v>
      </c>
      <c r="H5668" s="433"/>
    </row>
    <row r="5669" customFormat="false" ht="15" hidden="false" customHeight="false" outlineLevel="0" collapsed="false">
      <c r="A5669" s="571"/>
      <c r="B5669" s="433"/>
      <c r="C5669" s="855" t="s">
        <v>5228</v>
      </c>
      <c r="D5669" s="316" t="s">
        <v>4133</v>
      </c>
      <c r="E5669" s="855" t="n">
        <v>0.002</v>
      </c>
      <c r="F5669" s="115" t="n">
        <v>19000</v>
      </c>
      <c r="G5669" s="894" t="n">
        <f aca="false">F5669*E5669</f>
        <v>38</v>
      </c>
      <c r="H5669" s="433"/>
    </row>
    <row r="5670" customFormat="false" ht="15" hidden="false" customHeight="false" outlineLevel="0" collapsed="false">
      <c r="A5670" s="571"/>
      <c r="B5670" s="433"/>
      <c r="C5670" s="855" t="s">
        <v>4673</v>
      </c>
      <c r="D5670" s="316" t="s">
        <v>4133</v>
      </c>
      <c r="E5670" s="855" t="n">
        <v>0.001</v>
      </c>
      <c r="F5670" s="115" t="n">
        <v>106777</v>
      </c>
      <c r="G5670" s="894" t="n">
        <f aca="false">F5670*E5670</f>
        <v>106.777</v>
      </c>
      <c r="H5670" s="433"/>
    </row>
    <row r="5671" customFormat="false" ht="30" hidden="false" customHeight="false" outlineLevel="0" collapsed="false">
      <c r="A5671" s="571"/>
      <c r="B5671" s="433"/>
      <c r="C5671" s="855" t="s">
        <v>5229</v>
      </c>
      <c r="D5671" s="316" t="s">
        <v>4133</v>
      </c>
      <c r="E5671" s="855" t="n">
        <v>0.0001</v>
      </c>
      <c r="F5671" s="115" t="n">
        <v>71490</v>
      </c>
      <c r="G5671" s="894" t="n">
        <f aca="false">F5671*E5671</f>
        <v>7.149</v>
      </c>
      <c r="H5671" s="433"/>
    </row>
    <row r="5672" customFormat="false" ht="30" hidden="false" customHeight="false" outlineLevel="0" collapsed="false">
      <c r="A5672" s="571"/>
      <c r="B5672" s="433"/>
      <c r="C5672" s="855" t="s">
        <v>5230</v>
      </c>
      <c r="D5672" s="316" t="s">
        <v>4133</v>
      </c>
      <c r="E5672" s="855" t="n">
        <v>0.0001</v>
      </c>
      <c r="F5672" s="857" t="n">
        <v>74815</v>
      </c>
      <c r="G5672" s="894" t="n">
        <f aca="false">F5672*E5672</f>
        <v>7.4815</v>
      </c>
      <c r="H5672" s="433"/>
    </row>
    <row r="5673" customFormat="false" ht="45" hidden="false" customHeight="false" outlineLevel="0" collapsed="false">
      <c r="A5673" s="571"/>
      <c r="B5673" s="433"/>
      <c r="C5673" s="855" t="s">
        <v>5231</v>
      </c>
      <c r="D5673" s="316" t="s">
        <v>4133</v>
      </c>
      <c r="E5673" s="855" t="n">
        <v>0.0001</v>
      </c>
      <c r="F5673" s="857" t="n">
        <v>75465</v>
      </c>
      <c r="G5673" s="894" t="n">
        <f aca="false">F5673*E5673</f>
        <v>7.5465</v>
      </c>
      <c r="H5673" s="433"/>
    </row>
    <row r="5674" customFormat="false" ht="30" hidden="false" customHeight="false" outlineLevel="0" collapsed="false">
      <c r="A5674" s="571"/>
      <c r="B5674" s="433"/>
      <c r="C5674" s="855" t="s">
        <v>5232</v>
      </c>
      <c r="D5674" s="316" t="s">
        <v>4133</v>
      </c>
      <c r="E5674" s="855" t="n">
        <v>0.0001</v>
      </c>
      <c r="F5674" s="857" t="n">
        <v>87990</v>
      </c>
      <c r="G5674" s="894" t="n">
        <f aca="false">F5674*E5674</f>
        <v>8.799</v>
      </c>
      <c r="H5674" s="433"/>
    </row>
    <row r="5675" customFormat="false" ht="30" hidden="false" customHeight="false" outlineLevel="0" collapsed="false">
      <c r="A5675" s="571"/>
      <c r="B5675" s="433"/>
      <c r="C5675" s="855" t="s">
        <v>5233</v>
      </c>
      <c r="D5675" s="316" t="s">
        <v>4133</v>
      </c>
      <c r="E5675" s="855" t="n">
        <v>0.0001</v>
      </c>
      <c r="F5675" s="857" t="n">
        <v>71395</v>
      </c>
      <c r="G5675" s="894" t="n">
        <f aca="false">F5675*E5675</f>
        <v>7.1395</v>
      </c>
      <c r="H5675" s="433"/>
    </row>
    <row r="5676" customFormat="false" ht="30" hidden="false" customHeight="false" outlineLevel="0" collapsed="false">
      <c r="A5676" s="571"/>
      <c r="B5676" s="433"/>
      <c r="C5676" s="855" t="s">
        <v>5234</v>
      </c>
      <c r="D5676" s="316" t="s">
        <v>4133</v>
      </c>
      <c r="E5676" s="855" t="n">
        <v>0.0001</v>
      </c>
      <c r="F5676" s="857" t="n">
        <v>53450</v>
      </c>
      <c r="G5676" s="894" t="n">
        <f aca="false">F5676*E5676</f>
        <v>5.345</v>
      </c>
      <c r="H5676" s="433"/>
    </row>
    <row r="5677" customFormat="false" ht="15" hidden="false" customHeight="false" outlineLevel="0" collapsed="false">
      <c r="A5677" s="571"/>
      <c r="B5677" s="433"/>
      <c r="C5677" s="855" t="s">
        <v>5240</v>
      </c>
      <c r="D5677" s="316" t="s">
        <v>4578</v>
      </c>
      <c r="E5677" s="855" t="n">
        <v>0.002</v>
      </c>
      <c r="F5677" s="857" t="n">
        <v>225000</v>
      </c>
      <c r="G5677" s="894" t="n">
        <f aca="false">F5677*E5677</f>
        <v>450</v>
      </c>
      <c r="H5677" s="433"/>
    </row>
    <row r="5678" customFormat="false" ht="15" hidden="false" customHeight="false" outlineLevel="0" collapsed="false">
      <c r="A5678" s="571"/>
      <c r="B5678" s="433"/>
      <c r="C5678" s="855" t="s">
        <v>5241</v>
      </c>
      <c r="D5678" s="316" t="s">
        <v>4141</v>
      </c>
      <c r="E5678" s="860" t="n">
        <v>0.01</v>
      </c>
      <c r="F5678" s="857" t="n">
        <v>1500</v>
      </c>
      <c r="G5678" s="894" t="n">
        <f aca="false">F5678*E5678</f>
        <v>15</v>
      </c>
      <c r="H5678" s="433"/>
    </row>
    <row r="5679" customFormat="false" ht="15" hidden="false" customHeight="false" outlineLevel="0" collapsed="false">
      <c r="A5679" s="571"/>
      <c r="B5679" s="433"/>
      <c r="C5679" s="855" t="s">
        <v>4347</v>
      </c>
      <c r="D5679" s="316" t="s">
        <v>4348</v>
      </c>
      <c r="E5679" s="855" t="n">
        <v>1</v>
      </c>
      <c r="F5679" s="857" t="n">
        <v>130</v>
      </c>
      <c r="G5679" s="894" t="n">
        <f aca="false">F5679*E5679</f>
        <v>130</v>
      </c>
      <c r="H5679" s="433"/>
    </row>
    <row r="5680" customFormat="false" ht="15" hidden="false" customHeight="false" outlineLevel="0" collapsed="false">
      <c r="A5680" s="571"/>
      <c r="B5680" s="433"/>
      <c r="C5680" s="867" t="s">
        <v>4497</v>
      </c>
      <c r="D5680" s="868" t="s">
        <v>4348</v>
      </c>
      <c r="E5680" s="869" t="n">
        <v>0.003</v>
      </c>
      <c r="F5680" s="870" t="n">
        <v>550000</v>
      </c>
      <c r="G5680" s="894" t="n">
        <f aca="false">F5680*E5680</f>
        <v>1650</v>
      </c>
      <c r="H5680" s="433"/>
    </row>
    <row r="5681" customFormat="false" ht="15" hidden="false" customHeight="false" outlineLevel="0" collapsed="false">
      <c r="A5681" s="571"/>
      <c r="B5681" s="433"/>
      <c r="C5681" s="855" t="s">
        <v>4122</v>
      </c>
      <c r="D5681" s="316" t="s">
        <v>4359</v>
      </c>
      <c r="E5681" s="855" t="n">
        <v>0.01</v>
      </c>
      <c r="F5681" s="871" t="n">
        <v>720</v>
      </c>
      <c r="G5681" s="894" t="n">
        <f aca="false">F5681*E5681</f>
        <v>7.2</v>
      </c>
      <c r="H5681" s="433"/>
    </row>
    <row r="5682" customFormat="false" ht="15" hidden="false" customHeight="false" outlineLevel="0" collapsed="false">
      <c r="A5682" s="571"/>
      <c r="B5682" s="433"/>
      <c r="C5682" s="855" t="s">
        <v>4515</v>
      </c>
      <c r="D5682" s="316" t="s">
        <v>4133</v>
      </c>
      <c r="E5682" s="855" t="n">
        <v>0.01</v>
      </c>
      <c r="F5682" s="857" t="n">
        <v>2700</v>
      </c>
      <c r="G5682" s="894" t="n">
        <f aca="false">F5682*E5682</f>
        <v>27</v>
      </c>
      <c r="H5682" s="433"/>
    </row>
    <row r="5683" customFormat="false" ht="15" hidden="false" customHeight="false" outlineLevel="0" collapsed="false">
      <c r="A5683" s="571"/>
      <c r="B5683" s="433"/>
      <c r="C5683" s="532" t="s">
        <v>5239</v>
      </c>
      <c r="D5683" s="679" t="s">
        <v>4141</v>
      </c>
      <c r="E5683" s="866" t="n">
        <v>0.003</v>
      </c>
      <c r="F5683" s="681" t="n">
        <v>23500</v>
      </c>
      <c r="G5683" s="894" t="n">
        <f aca="false">F5683*E5683</f>
        <v>70.5</v>
      </c>
      <c r="H5683" s="433"/>
    </row>
    <row r="5684" customFormat="false" ht="15" hidden="false" customHeight="false" outlineLevel="0" collapsed="false">
      <c r="A5684" s="571"/>
      <c r="B5684" s="433"/>
      <c r="C5684" s="861" t="s">
        <v>4124</v>
      </c>
      <c r="D5684" s="316" t="s">
        <v>4125</v>
      </c>
      <c r="E5684" s="855" t="n">
        <v>0.1</v>
      </c>
      <c r="F5684" s="857" t="n">
        <v>170</v>
      </c>
      <c r="G5684" s="894" t="n">
        <f aca="false">F5684*E5684</f>
        <v>17</v>
      </c>
      <c r="H5684" s="433"/>
    </row>
    <row r="5685" customFormat="false" ht="30" hidden="false" customHeight="false" outlineLevel="0" collapsed="false">
      <c r="A5685" s="571" t="s">
        <v>1099</v>
      </c>
      <c r="B5685" s="488" t="s">
        <v>3324</v>
      </c>
      <c r="C5685" s="41"/>
      <c r="D5685" s="874"/>
      <c r="E5685" s="41"/>
      <c r="F5685" s="875"/>
      <c r="G5685" s="896" t="n">
        <f aca="false">SUM(G5686:G5703)</f>
        <v>7910.2</v>
      </c>
      <c r="H5685" s="433" t="s">
        <v>5282</v>
      </c>
    </row>
    <row r="5686" customFormat="false" ht="15" hidden="false" customHeight="false" outlineLevel="0" collapsed="false">
      <c r="A5686" s="571"/>
      <c r="B5686" s="433"/>
      <c r="C5686" s="855" t="s">
        <v>4604</v>
      </c>
      <c r="D5686" s="316" t="s">
        <v>4359</v>
      </c>
      <c r="E5686" s="855" t="n">
        <v>0.026</v>
      </c>
      <c r="F5686" s="115" t="n">
        <v>18000</v>
      </c>
      <c r="G5686" s="894" t="n">
        <f aca="false">F5686*E5686</f>
        <v>468</v>
      </c>
      <c r="H5686" s="433"/>
    </row>
    <row r="5687" customFormat="false" ht="15" hidden="false" customHeight="false" outlineLevel="0" collapsed="false">
      <c r="A5687" s="571"/>
      <c r="B5687" s="433"/>
      <c r="C5687" s="878" t="s">
        <v>4154</v>
      </c>
      <c r="D5687" s="316" t="s">
        <v>4359</v>
      </c>
      <c r="E5687" s="855" t="n">
        <v>0.007</v>
      </c>
      <c r="F5687" s="115" t="n">
        <v>18000</v>
      </c>
      <c r="G5687" s="894" t="n">
        <f aca="false">F5687*E5687</f>
        <v>126</v>
      </c>
      <c r="H5687" s="433"/>
    </row>
    <row r="5688" customFormat="false" ht="15" hidden="false" customHeight="false" outlineLevel="0" collapsed="false">
      <c r="A5688" s="571"/>
      <c r="B5688" s="433"/>
      <c r="C5688" s="861" t="s">
        <v>4317</v>
      </c>
      <c r="D5688" s="316" t="s">
        <v>4359</v>
      </c>
      <c r="E5688" s="855" t="n">
        <v>0.1</v>
      </c>
      <c r="F5688" s="115" t="n">
        <v>21000</v>
      </c>
      <c r="G5688" s="894" t="n">
        <f aca="false">F5688*E5688</f>
        <v>2100</v>
      </c>
      <c r="H5688" s="433"/>
    </row>
    <row r="5689" customFormat="false" ht="30" hidden="false" customHeight="false" outlineLevel="0" collapsed="false">
      <c r="A5689" s="571"/>
      <c r="B5689" s="433"/>
      <c r="C5689" s="532" t="s">
        <v>5238</v>
      </c>
      <c r="D5689" s="679" t="s">
        <v>4141</v>
      </c>
      <c r="E5689" s="865" t="n">
        <v>0.01</v>
      </c>
      <c r="F5689" s="617" t="n">
        <v>1400</v>
      </c>
      <c r="G5689" s="894" t="n">
        <f aca="false">F5689*E5689</f>
        <v>14</v>
      </c>
      <c r="H5689" s="433"/>
    </row>
    <row r="5690" customFormat="false" ht="15" hidden="false" customHeight="false" outlineLevel="0" collapsed="false">
      <c r="A5690" s="571"/>
      <c r="B5690" s="433"/>
      <c r="C5690" s="861" t="s">
        <v>4214</v>
      </c>
      <c r="D5690" s="316" t="s">
        <v>4133</v>
      </c>
      <c r="E5690" s="855" t="n">
        <v>0.01</v>
      </c>
      <c r="F5690" s="115" t="n">
        <v>35000</v>
      </c>
      <c r="G5690" s="894" t="n">
        <f aca="false">F5690*E5690</f>
        <v>350</v>
      </c>
      <c r="H5690" s="433"/>
    </row>
    <row r="5691" customFormat="false" ht="15" hidden="false" customHeight="false" outlineLevel="0" collapsed="false">
      <c r="A5691" s="571"/>
      <c r="B5691" s="433"/>
      <c r="C5691" s="855" t="s">
        <v>4627</v>
      </c>
      <c r="D5691" s="316" t="s">
        <v>4133</v>
      </c>
      <c r="E5691" s="855" t="n">
        <v>0.005</v>
      </c>
      <c r="F5691" s="115" t="n">
        <v>6400</v>
      </c>
      <c r="G5691" s="894" t="n">
        <f aca="false">F5691*E5691</f>
        <v>32</v>
      </c>
      <c r="H5691" s="433"/>
    </row>
    <row r="5692" customFormat="false" ht="15" hidden="false" customHeight="false" outlineLevel="0" collapsed="false">
      <c r="A5692" s="571"/>
      <c r="B5692" s="433"/>
      <c r="C5692" s="861" t="s">
        <v>5283</v>
      </c>
      <c r="D5692" s="316" t="s">
        <v>4133</v>
      </c>
      <c r="E5692" s="855" t="n">
        <v>0.05</v>
      </c>
      <c r="F5692" s="115" t="n">
        <v>48500</v>
      </c>
      <c r="G5692" s="894" t="n">
        <f aca="false">F5692*E5692</f>
        <v>2425</v>
      </c>
      <c r="H5692" s="433"/>
    </row>
    <row r="5693" customFormat="false" ht="15" hidden="false" customHeight="false" outlineLevel="0" collapsed="false">
      <c r="A5693" s="571"/>
      <c r="B5693" s="433"/>
      <c r="C5693" s="861" t="s">
        <v>5223</v>
      </c>
      <c r="D5693" s="316" t="s">
        <v>4359</v>
      </c>
      <c r="E5693" s="855" t="n">
        <v>0.01</v>
      </c>
      <c r="F5693" s="115" t="n">
        <v>1000</v>
      </c>
      <c r="G5693" s="894" t="n">
        <f aca="false">F5693*E5693</f>
        <v>10</v>
      </c>
      <c r="H5693" s="433"/>
    </row>
    <row r="5694" customFormat="false" ht="30" hidden="false" customHeight="false" outlineLevel="0" collapsed="false">
      <c r="A5694" s="571"/>
      <c r="B5694" s="433"/>
      <c r="C5694" s="855" t="s">
        <v>5284</v>
      </c>
      <c r="D5694" s="316" t="s">
        <v>4133</v>
      </c>
      <c r="E5694" s="855" t="n">
        <v>0.0001</v>
      </c>
      <c r="F5694" s="115" t="n">
        <v>60000</v>
      </c>
      <c r="G5694" s="894" t="n">
        <f aca="false">F5694*E5694</f>
        <v>6</v>
      </c>
      <c r="H5694" s="433"/>
    </row>
    <row r="5695" customFormat="false" ht="15" hidden="false" customHeight="false" outlineLevel="0" collapsed="false">
      <c r="A5695" s="571"/>
      <c r="B5695" s="433"/>
      <c r="C5695" s="855" t="s">
        <v>5240</v>
      </c>
      <c r="D5695" s="316" t="s">
        <v>4578</v>
      </c>
      <c r="E5695" s="855" t="n">
        <v>0.002</v>
      </c>
      <c r="F5695" s="857" t="n">
        <v>225000</v>
      </c>
      <c r="G5695" s="894" t="n">
        <f aca="false">F5695*E5695</f>
        <v>450</v>
      </c>
      <c r="H5695" s="433"/>
    </row>
    <row r="5696" customFormat="false" ht="15" hidden="false" customHeight="false" outlineLevel="0" collapsed="false">
      <c r="A5696" s="571"/>
      <c r="B5696" s="433"/>
      <c r="C5696" s="855" t="s">
        <v>5241</v>
      </c>
      <c r="D5696" s="316" t="s">
        <v>4141</v>
      </c>
      <c r="E5696" s="860" t="n">
        <v>0.001</v>
      </c>
      <c r="F5696" s="857" t="n">
        <v>1500</v>
      </c>
      <c r="G5696" s="894" t="n">
        <f aca="false">F5696*E5696</f>
        <v>1.5</v>
      </c>
      <c r="H5696" s="433"/>
    </row>
    <row r="5697" customFormat="false" ht="15" hidden="false" customHeight="false" outlineLevel="0" collapsed="false">
      <c r="A5697" s="571"/>
      <c r="B5697" s="433"/>
      <c r="C5697" s="855" t="s">
        <v>4347</v>
      </c>
      <c r="D5697" s="316" t="s">
        <v>4348</v>
      </c>
      <c r="E5697" s="855" t="n">
        <v>1</v>
      </c>
      <c r="F5697" s="857" t="n">
        <v>130</v>
      </c>
      <c r="G5697" s="894" t="n">
        <f aca="false">F5697*E5697</f>
        <v>130</v>
      </c>
      <c r="H5697" s="433"/>
    </row>
    <row r="5698" customFormat="false" ht="15" hidden="false" customHeight="false" outlineLevel="0" collapsed="false">
      <c r="A5698" s="571"/>
      <c r="B5698" s="433"/>
      <c r="C5698" s="855" t="s">
        <v>4122</v>
      </c>
      <c r="D5698" s="316" t="s">
        <v>4359</v>
      </c>
      <c r="E5698" s="855" t="n">
        <v>0.01</v>
      </c>
      <c r="F5698" s="871" t="n">
        <v>720</v>
      </c>
      <c r="G5698" s="894" t="n">
        <f aca="false">F5698*E5698</f>
        <v>7.2</v>
      </c>
      <c r="H5698" s="433"/>
    </row>
    <row r="5699" customFormat="false" ht="15" hidden="false" customHeight="false" outlineLevel="0" collapsed="false">
      <c r="A5699" s="571"/>
      <c r="B5699" s="433"/>
      <c r="C5699" s="867" t="s">
        <v>4497</v>
      </c>
      <c r="D5699" s="868" t="s">
        <v>4348</v>
      </c>
      <c r="E5699" s="869" t="n">
        <v>0.003</v>
      </c>
      <c r="F5699" s="870" t="n">
        <v>550000</v>
      </c>
      <c r="G5699" s="894" t="n">
        <f aca="false">F5699*E5699</f>
        <v>1650</v>
      </c>
      <c r="H5699" s="433"/>
    </row>
    <row r="5700" customFormat="false" ht="15" hidden="false" customHeight="false" outlineLevel="0" collapsed="false">
      <c r="A5700" s="571"/>
      <c r="B5700" s="433"/>
      <c r="C5700" s="855" t="s">
        <v>4515</v>
      </c>
      <c r="D5700" s="316" t="s">
        <v>4133</v>
      </c>
      <c r="E5700" s="855" t="n">
        <v>0.01</v>
      </c>
      <c r="F5700" s="857" t="n">
        <v>2700</v>
      </c>
      <c r="G5700" s="894" t="n">
        <f aca="false">F5700*E5700</f>
        <v>27</v>
      </c>
      <c r="H5700" s="433"/>
    </row>
    <row r="5701" customFormat="false" ht="15" hidden="false" customHeight="false" outlineLevel="0" collapsed="false">
      <c r="A5701" s="571"/>
      <c r="B5701" s="433"/>
      <c r="C5701" s="861" t="s">
        <v>4124</v>
      </c>
      <c r="D5701" s="316" t="s">
        <v>4125</v>
      </c>
      <c r="E5701" s="855" t="n">
        <v>0.1</v>
      </c>
      <c r="F5701" s="857" t="n">
        <v>170</v>
      </c>
      <c r="G5701" s="894" t="n">
        <f aca="false">F5701*E5701</f>
        <v>17</v>
      </c>
      <c r="H5701" s="433"/>
    </row>
    <row r="5702" customFormat="false" ht="15" hidden="false" customHeight="false" outlineLevel="0" collapsed="false">
      <c r="A5702" s="571"/>
      <c r="B5702" s="433"/>
      <c r="C5702" s="532" t="s">
        <v>5239</v>
      </c>
      <c r="D5702" s="679" t="s">
        <v>4141</v>
      </c>
      <c r="E5702" s="866" t="n">
        <v>0.003</v>
      </c>
      <c r="F5702" s="681" t="n">
        <v>23500</v>
      </c>
      <c r="G5702" s="894" t="n">
        <f aca="false">F5702*E5702</f>
        <v>70.5</v>
      </c>
      <c r="H5702" s="433"/>
    </row>
    <row r="5703" customFormat="false" ht="15" hidden="false" customHeight="false" outlineLevel="0" collapsed="false">
      <c r="A5703" s="571"/>
      <c r="B5703" s="433"/>
      <c r="C5703" s="860" t="s">
        <v>4509</v>
      </c>
      <c r="D5703" s="877" t="s">
        <v>4348</v>
      </c>
      <c r="E5703" s="860" t="n">
        <v>1</v>
      </c>
      <c r="F5703" s="857" t="n">
        <v>26</v>
      </c>
      <c r="G5703" s="894" t="n">
        <f aca="false">F5703*E5703</f>
        <v>26</v>
      </c>
      <c r="H5703" s="433"/>
    </row>
    <row r="5704" customFormat="false" ht="15" hidden="false" customHeight="false" outlineLevel="0" collapsed="false">
      <c r="A5704" s="571" t="s">
        <v>1100</v>
      </c>
      <c r="B5704" s="433" t="s">
        <v>3310</v>
      </c>
      <c r="C5704" s="41"/>
      <c r="D5704" s="874"/>
      <c r="E5704" s="41"/>
      <c r="F5704" s="875"/>
      <c r="G5704" s="896" t="n">
        <f aca="false">SUM(G5705:G5721)</f>
        <v>11010.693</v>
      </c>
      <c r="H5704" s="433" t="s">
        <v>5259</v>
      </c>
    </row>
    <row r="5705" customFormat="false" ht="15" hidden="false" customHeight="false" outlineLevel="0" collapsed="false">
      <c r="A5705" s="571"/>
      <c r="B5705" s="433"/>
      <c r="C5705" s="21" t="s">
        <v>4317</v>
      </c>
      <c r="D5705" s="877" t="s">
        <v>4359</v>
      </c>
      <c r="E5705" s="855" t="n">
        <v>0.15</v>
      </c>
      <c r="F5705" s="115" t="n">
        <v>21000</v>
      </c>
      <c r="G5705" s="897" t="n">
        <f aca="false">F5705*E5705</f>
        <v>3150</v>
      </c>
      <c r="H5705" s="433"/>
    </row>
    <row r="5706" customFormat="false" ht="15" hidden="false" customHeight="false" outlineLevel="0" collapsed="false">
      <c r="A5706" s="571"/>
      <c r="B5706" s="433"/>
      <c r="C5706" s="860" t="s">
        <v>5228</v>
      </c>
      <c r="D5706" s="316" t="s">
        <v>4133</v>
      </c>
      <c r="E5706" s="855" t="n">
        <v>0.011</v>
      </c>
      <c r="F5706" s="115" t="n">
        <v>19000</v>
      </c>
      <c r="G5706" s="897" t="n">
        <f aca="false">F5706*E5706</f>
        <v>209</v>
      </c>
      <c r="H5706" s="433"/>
    </row>
    <row r="5707" customFormat="false" ht="15" hidden="false" customHeight="false" outlineLevel="0" collapsed="false">
      <c r="A5707" s="571"/>
      <c r="B5707" s="433"/>
      <c r="C5707" s="878" t="s">
        <v>4154</v>
      </c>
      <c r="D5707" s="877" t="s">
        <v>4359</v>
      </c>
      <c r="E5707" s="855" t="n">
        <v>0.0038</v>
      </c>
      <c r="F5707" s="115" t="n">
        <v>18000</v>
      </c>
      <c r="G5707" s="897" t="n">
        <f aca="false">F5707*E5707</f>
        <v>68.4</v>
      </c>
      <c r="H5707" s="433"/>
    </row>
    <row r="5708" customFormat="false" ht="15" hidden="false" customHeight="false" outlineLevel="0" collapsed="false">
      <c r="A5708" s="571"/>
      <c r="B5708" s="433"/>
      <c r="C5708" s="878" t="s">
        <v>5260</v>
      </c>
      <c r="D5708" s="877" t="s">
        <v>4133</v>
      </c>
      <c r="E5708" s="855" t="n">
        <v>0.00136</v>
      </c>
      <c r="F5708" s="115" t="n">
        <v>24000</v>
      </c>
      <c r="G5708" s="897" t="n">
        <f aca="false">F5708*E5708</f>
        <v>32.64</v>
      </c>
      <c r="H5708" s="433"/>
    </row>
    <row r="5709" customFormat="false" ht="15" hidden="false" customHeight="false" outlineLevel="0" collapsed="false">
      <c r="A5709" s="571"/>
      <c r="B5709" s="433"/>
      <c r="C5709" s="532" t="s">
        <v>4251</v>
      </c>
      <c r="D5709" s="679" t="s">
        <v>4578</v>
      </c>
      <c r="E5709" s="858" t="n">
        <v>0.003</v>
      </c>
      <c r="F5709" s="617" t="n">
        <v>275000</v>
      </c>
      <c r="G5709" s="897" t="n">
        <f aca="false">F5709*E5709</f>
        <v>825</v>
      </c>
      <c r="H5709" s="433"/>
    </row>
    <row r="5710" customFormat="false" ht="15" hidden="false" customHeight="false" outlineLevel="0" collapsed="false">
      <c r="A5710" s="571"/>
      <c r="B5710" s="433"/>
      <c r="C5710" s="21" t="s">
        <v>4250</v>
      </c>
      <c r="D5710" s="316" t="s">
        <v>4359</v>
      </c>
      <c r="E5710" s="819" t="n">
        <v>0.1</v>
      </c>
      <c r="F5710" s="617" t="n">
        <v>42000</v>
      </c>
      <c r="G5710" s="897" t="n">
        <f aca="false">F5710*E5710</f>
        <v>4200</v>
      </c>
      <c r="H5710" s="433"/>
    </row>
    <row r="5711" customFormat="false" ht="30" hidden="false" customHeight="false" outlineLevel="0" collapsed="false">
      <c r="A5711" s="571"/>
      <c r="B5711" s="433"/>
      <c r="C5711" s="860" t="s">
        <v>5261</v>
      </c>
      <c r="D5711" s="877" t="s">
        <v>4133</v>
      </c>
      <c r="E5711" s="855" t="n">
        <v>0.0001</v>
      </c>
      <c r="F5711" s="115" t="n">
        <v>53760</v>
      </c>
      <c r="G5711" s="897" t="n">
        <f aca="false">F5711*E5711</f>
        <v>5.376</v>
      </c>
      <c r="H5711" s="433"/>
    </row>
    <row r="5712" customFormat="false" ht="15" hidden="false" customHeight="false" outlineLevel="0" collapsed="false">
      <c r="A5712" s="571"/>
      <c r="B5712" s="433"/>
      <c r="C5712" s="878" t="s">
        <v>4604</v>
      </c>
      <c r="D5712" s="877" t="s">
        <v>4359</v>
      </c>
      <c r="E5712" s="855" t="n">
        <v>0.0205</v>
      </c>
      <c r="F5712" s="115" t="n">
        <v>18000</v>
      </c>
      <c r="G5712" s="897" t="n">
        <f aca="false">F5712*E5712</f>
        <v>369</v>
      </c>
      <c r="H5712" s="433"/>
    </row>
    <row r="5713" customFormat="false" ht="15" hidden="false" customHeight="false" outlineLevel="0" collapsed="false">
      <c r="A5713" s="571"/>
      <c r="B5713" s="433"/>
      <c r="C5713" s="861" t="s">
        <v>4673</v>
      </c>
      <c r="D5713" s="877" t="s">
        <v>4133</v>
      </c>
      <c r="E5713" s="855" t="n">
        <v>0.001</v>
      </c>
      <c r="F5713" s="115" t="n">
        <v>106777</v>
      </c>
      <c r="G5713" s="897" t="n">
        <f aca="false">F5713*E5713</f>
        <v>106.777</v>
      </c>
      <c r="H5713" s="433"/>
    </row>
    <row r="5714" customFormat="false" ht="15" hidden="false" customHeight="false" outlineLevel="0" collapsed="false">
      <c r="A5714" s="571"/>
      <c r="B5714" s="433"/>
      <c r="C5714" s="878" t="s">
        <v>4158</v>
      </c>
      <c r="D5714" s="877" t="s">
        <v>4133</v>
      </c>
      <c r="E5714" s="855" t="n">
        <v>0.01</v>
      </c>
      <c r="F5714" s="115" t="n">
        <v>6400</v>
      </c>
      <c r="G5714" s="897" t="n">
        <f aca="false">F5714*E5714</f>
        <v>64</v>
      </c>
      <c r="H5714" s="433"/>
    </row>
    <row r="5715" customFormat="false" ht="15" hidden="false" customHeight="false" outlineLevel="0" collapsed="false">
      <c r="A5715" s="571"/>
      <c r="B5715" s="433"/>
      <c r="C5715" s="867" t="s">
        <v>4497</v>
      </c>
      <c r="D5715" s="868" t="s">
        <v>4348</v>
      </c>
      <c r="E5715" s="603" t="n">
        <v>0.003</v>
      </c>
      <c r="F5715" s="604" t="n">
        <v>550000</v>
      </c>
      <c r="G5715" s="897" t="n">
        <f aca="false">F5715*E5715</f>
        <v>1650</v>
      </c>
      <c r="H5715" s="433"/>
    </row>
    <row r="5716" customFormat="false" ht="15" hidden="false" customHeight="false" outlineLevel="0" collapsed="false">
      <c r="A5716" s="571"/>
      <c r="B5716" s="433"/>
      <c r="C5716" s="867" t="s">
        <v>4122</v>
      </c>
      <c r="D5716" s="868" t="s">
        <v>4123</v>
      </c>
      <c r="E5716" s="603" t="n">
        <v>0.1</v>
      </c>
      <c r="F5716" s="607" t="n">
        <v>720</v>
      </c>
      <c r="G5716" s="897" t="n">
        <f aca="false">F5716*E5716</f>
        <v>72</v>
      </c>
      <c r="H5716" s="433"/>
    </row>
    <row r="5717" customFormat="false" ht="15" hidden="false" customHeight="false" outlineLevel="0" collapsed="false">
      <c r="A5717" s="571"/>
      <c r="B5717" s="433"/>
      <c r="C5717" s="855" t="s">
        <v>5241</v>
      </c>
      <c r="D5717" s="868" t="s">
        <v>4121</v>
      </c>
      <c r="E5717" s="869" t="n">
        <v>0.01</v>
      </c>
      <c r="F5717" s="870" t="n">
        <v>1500</v>
      </c>
      <c r="G5717" s="897" t="n">
        <f aca="false">F5717*E5717</f>
        <v>15</v>
      </c>
      <c r="H5717" s="433"/>
    </row>
    <row r="5718" customFormat="false" ht="15" hidden="false" customHeight="false" outlineLevel="0" collapsed="false">
      <c r="A5718" s="571"/>
      <c r="B5718" s="433"/>
      <c r="C5718" s="872" t="s">
        <v>4124</v>
      </c>
      <c r="D5718" s="868" t="s">
        <v>4125</v>
      </c>
      <c r="E5718" s="869" t="n">
        <v>0.1</v>
      </c>
      <c r="F5718" s="871" t="n">
        <v>170</v>
      </c>
      <c r="G5718" s="897" t="n">
        <f aca="false">F5718*E5718</f>
        <v>17</v>
      </c>
      <c r="H5718" s="433"/>
    </row>
    <row r="5719" customFormat="false" ht="15" hidden="false" customHeight="false" outlineLevel="0" collapsed="false">
      <c r="A5719" s="571"/>
      <c r="B5719" s="433"/>
      <c r="C5719" s="872" t="s">
        <v>4347</v>
      </c>
      <c r="D5719" s="868" t="s">
        <v>4348</v>
      </c>
      <c r="E5719" s="869" t="n">
        <v>1</v>
      </c>
      <c r="F5719" s="871" t="n">
        <v>130</v>
      </c>
      <c r="G5719" s="897" t="n">
        <f aca="false">F5719*E5719</f>
        <v>130</v>
      </c>
      <c r="H5719" s="433"/>
    </row>
    <row r="5720" customFormat="false" ht="15" hidden="false" customHeight="false" outlineLevel="0" collapsed="false">
      <c r="A5720" s="571"/>
      <c r="B5720" s="433"/>
      <c r="C5720" s="532" t="s">
        <v>5239</v>
      </c>
      <c r="D5720" s="679" t="s">
        <v>4141</v>
      </c>
      <c r="E5720" s="866" t="n">
        <v>0.003</v>
      </c>
      <c r="F5720" s="681" t="n">
        <v>23500</v>
      </c>
      <c r="G5720" s="897" t="n">
        <f aca="false">F5720*E5720</f>
        <v>70.5</v>
      </c>
      <c r="H5720" s="433"/>
    </row>
    <row r="5721" customFormat="false" ht="15" hidden="false" customHeight="false" outlineLevel="0" collapsed="false">
      <c r="A5721" s="571"/>
      <c r="B5721" s="433"/>
      <c r="C5721" s="860" t="s">
        <v>4509</v>
      </c>
      <c r="D5721" s="877" t="s">
        <v>4348</v>
      </c>
      <c r="E5721" s="860" t="n">
        <v>1</v>
      </c>
      <c r="F5721" s="857" t="n">
        <v>26</v>
      </c>
      <c r="G5721" s="897" t="n">
        <f aca="false">F5721*E5721</f>
        <v>26</v>
      </c>
      <c r="H5721" s="433"/>
    </row>
    <row r="5722" customFormat="false" ht="45" hidden="false" customHeight="false" outlineLevel="0" collapsed="false">
      <c r="A5722" s="571" t="s">
        <v>1101</v>
      </c>
      <c r="B5722" s="488" t="s">
        <v>3330</v>
      </c>
      <c r="C5722" s="41"/>
      <c r="D5722" s="874"/>
      <c r="E5722" s="41"/>
      <c r="F5722" s="875"/>
      <c r="G5722" s="896" t="n">
        <f aca="false">SUM(G5723:G5746)</f>
        <v>21407.5156</v>
      </c>
      <c r="H5722" s="433" t="s">
        <v>5285</v>
      </c>
    </row>
    <row r="5723" customFormat="false" ht="15" hidden="false" customHeight="false" outlineLevel="0" collapsed="false">
      <c r="A5723" s="571"/>
      <c r="B5723" s="433"/>
      <c r="C5723" s="21" t="s">
        <v>4604</v>
      </c>
      <c r="D5723" s="877" t="s">
        <v>4359</v>
      </c>
      <c r="E5723" s="860" t="n">
        <v>0.1</v>
      </c>
      <c r="F5723" s="115" t="n">
        <v>18000</v>
      </c>
      <c r="G5723" s="897" t="n">
        <f aca="false">F5723*E5723</f>
        <v>1800</v>
      </c>
      <c r="H5723" s="433"/>
    </row>
    <row r="5724" customFormat="false" ht="15" hidden="false" customHeight="false" outlineLevel="0" collapsed="false">
      <c r="A5724" s="571"/>
      <c r="B5724" s="433"/>
      <c r="C5724" s="878" t="s">
        <v>5260</v>
      </c>
      <c r="D5724" s="877" t="s">
        <v>4133</v>
      </c>
      <c r="E5724" s="860" t="n">
        <v>0.0028</v>
      </c>
      <c r="F5724" s="115" t="n">
        <v>24000</v>
      </c>
      <c r="G5724" s="897" t="n">
        <f aca="false">F5724*E5724</f>
        <v>67.2</v>
      </c>
      <c r="H5724" s="433"/>
    </row>
    <row r="5725" customFormat="false" ht="15" hidden="false" customHeight="false" outlineLevel="0" collapsed="false">
      <c r="A5725" s="571"/>
      <c r="B5725" s="433"/>
      <c r="C5725" s="881" t="s">
        <v>4266</v>
      </c>
      <c r="D5725" s="882" t="s">
        <v>4133</v>
      </c>
      <c r="E5725" s="614" t="n">
        <v>0.005</v>
      </c>
      <c r="F5725" s="883" t="n">
        <v>24000</v>
      </c>
      <c r="G5725" s="897" t="n">
        <f aca="false">F5725*E5725</f>
        <v>120</v>
      </c>
      <c r="H5725" s="433"/>
    </row>
    <row r="5726" customFormat="false" ht="30" hidden="false" customHeight="false" outlineLevel="0" collapsed="false">
      <c r="A5726" s="571"/>
      <c r="B5726" s="433"/>
      <c r="C5726" s="532" t="s">
        <v>5238</v>
      </c>
      <c r="D5726" s="679" t="s">
        <v>4141</v>
      </c>
      <c r="E5726" s="865" t="n">
        <v>0.1</v>
      </c>
      <c r="F5726" s="617" t="n">
        <v>1400</v>
      </c>
      <c r="G5726" s="897" t="n">
        <f aca="false">F5726*E5726</f>
        <v>140</v>
      </c>
      <c r="H5726" s="433"/>
    </row>
    <row r="5727" customFormat="false" ht="15" hidden="false" customHeight="false" outlineLevel="0" collapsed="false">
      <c r="A5727" s="571"/>
      <c r="B5727" s="433"/>
      <c r="C5727" s="41" t="s">
        <v>4758</v>
      </c>
      <c r="D5727" s="316" t="s">
        <v>4359</v>
      </c>
      <c r="E5727" s="855" t="n">
        <v>0.007</v>
      </c>
      <c r="F5727" s="115" t="n">
        <v>14000</v>
      </c>
      <c r="G5727" s="897" t="n">
        <f aca="false">F5727*E5727</f>
        <v>98</v>
      </c>
      <c r="H5727" s="433"/>
    </row>
    <row r="5728" customFormat="false" ht="15" hidden="false" customHeight="false" outlineLevel="0" collapsed="false">
      <c r="A5728" s="571"/>
      <c r="B5728" s="433"/>
      <c r="C5728" s="21" t="s">
        <v>4317</v>
      </c>
      <c r="D5728" s="877" t="s">
        <v>4359</v>
      </c>
      <c r="E5728" s="860" t="n">
        <v>0.25</v>
      </c>
      <c r="F5728" s="115" t="n">
        <v>21000</v>
      </c>
      <c r="G5728" s="897" t="n">
        <f aca="false">F5728*E5728</f>
        <v>5250</v>
      </c>
      <c r="H5728" s="433"/>
    </row>
    <row r="5729" customFormat="false" ht="15" hidden="false" customHeight="false" outlineLevel="0" collapsed="false">
      <c r="A5729" s="571"/>
      <c r="B5729" s="433"/>
      <c r="C5729" s="855" t="s">
        <v>4216</v>
      </c>
      <c r="D5729" s="316" t="s">
        <v>4133</v>
      </c>
      <c r="E5729" s="855" t="n">
        <v>0.012</v>
      </c>
      <c r="F5729" s="115" t="n">
        <v>21000</v>
      </c>
      <c r="G5729" s="897" t="n">
        <f aca="false">F5729*E5729</f>
        <v>252</v>
      </c>
      <c r="H5729" s="433"/>
    </row>
    <row r="5730" customFormat="false" ht="15" hidden="false" customHeight="false" outlineLevel="0" collapsed="false">
      <c r="A5730" s="571"/>
      <c r="B5730" s="433"/>
      <c r="C5730" s="21" t="s">
        <v>4250</v>
      </c>
      <c r="D5730" s="316" t="s">
        <v>4359</v>
      </c>
      <c r="E5730" s="860" t="n">
        <v>0.2</v>
      </c>
      <c r="F5730" s="115" t="n">
        <v>42000</v>
      </c>
      <c r="G5730" s="897" t="n">
        <f aca="false">F5730*E5730</f>
        <v>8400</v>
      </c>
      <c r="H5730" s="433"/>
    </row>
    <row r="5731" customFormat="false" ht="15" hidden="false" customHeight="false" outlineLevel="0" collapsed="false">
      <c r="A5731" s="571"/>
      <c r="B5731" s="433"/>
      <c r="C5731" s="855" t="s">
        <v>4205</v>
      </c>
      <c r="D5731" s="316" t="s">
        <v>4359</v>
      </c>
      <c r="E5731" s="855" t="n">
        <v>0.085</v>
      </c>
      <c r="F5731" s="115" t="n">
        <v>14000</v>
      </c>
      <c r="G5731" s="897" t="n">
        <f aca="false">F5731*E5731</f>
        <v>1190</v>
      </c>
      <c r="H5731" s="433"/>
    </row>
    <row r="5732" customFormat="false" ht="15" hidden="false" customHeight="false" outlineLevel="0" collapsed="false">
      <c r="A5732" s="571"/>
      <c r="B5732" s="433"/>
      <c r="C5732" s="860" t="s">
        <v>4147</v>
      </c>
      <c r="D5732" s="877" t="s">
        <v>4359</v>
      </c>
      <c r="E5732" s="860" t="n">
        <v>0.001</v>
      </c>
      <c r="F5732" s="115" t="n">
        <v>18000</v>
      </c>
      <c r="G5732" s="897" t="n">
        <f aca="false">F5732*E5732</f>
        <v>18</v>
      </c>
      <c r="H5732" s="433"/>
    </row>
    <row r="5733" customFormat="false" ht="15" hidden="false" customHeight="false" outlineLevel="0" collapsed="false">
      <c r="A5733" s="571"/>
      <c r="B5733" s="433"/>
      <c r="C5733" s="860" t="s">
        <v>5228</v>
      </c>
      <c r="D5733" s="316" t="s">
        <v>4133</v>
      </c>
      <c r="E5733" s="860" t="n">
        <v>0.02</v>
      </c>
      <c r="F5733" s="115" t="n">
        <v>19000</v>
      </c>
      <c r="G5733" s="897" t="n">
        <f aca="false">F5733*E5733</f>
        <v>380</v>
      </c>
      <c r="H5733" s="433"/>
    </row>
    <row r="5734" customFormat="false" ht="15" hidden="false" customHeight="false" outlineLevel="0" collapsed="false">
      <c r="A5734" s="571"/>
      <c r="B5734" s="433"/>
      <c r="C5734" s="860" t="s">
        <v>4158</v>
      </c>
      <c r="D5734" s="877" t="s">
        <v>4133</v>
      </c>
      <c r="E5734" s="855" t="n">
        <v>0.003</v>
      </c>
      <c r="F5734" s="115" t="n">
        <v>6400</v>
      </c>
      <c r="G5734" s="897" t="n">
        <f aca="false">F5734*E5734</f>
        <v>19.2</v>
      </c>
      <c r="H5734" s="433"/>
    </row>
    <row r="5735" customFormat="false" ht="15" hidden="false" customHeight="false" outlineLevel="0" collapsed="false">
      <c r="A5735" s="571"/>
      <c r="B5735" s="433"/>
      <c r="C5735" s="860" t="s">
        <v>5091</v>
      </c>
      <c r="D5735" s="877" t="s">
        <v>4359</v>
      </c>
      <c r="E5735" s="855" t="n">
        <v>0.01</v>
      </c>
      <c r="F5735" s="115" t="n">
        <v>18000</v>
      </c>
      <c r="G5735" s="897" t="n">
        <f aca="false">F5735*E5735</f>
        <v>180</v>
      </c>
      <c r="H5735" s="433"/>
    </row>
    <row r="5736" customFormat="false" ht="15" hidden="false" customHeight="false" outlineLevel="0" collapsed="false">
      <c r="A5736" s="571"/>
      <c r="B5736" s="433"/>
      <c r="C5736" s="860" t="s">
        <v>5263</v>
      </c>
      <c r="D5736" s="877" t="s">
        <v>4133</v>
      </c>
      <c r="E5736" s="855" t="n">
        <v>0.0001</v>
      </c>
      <c r="F5736" s="115" t="n">
        <v>123456</v>
      </c>
      <c r="G5736" s="897" t="n">
        <f aca="false">F5736*E5736</f>
        <v>12.3456</v>
      </c>
      <c r="H5736" s="433"/>
    </row>
    <row r="5737" customFormat="false" ht="15" hidden="false" customHeight="false" outlineLevel="0" collapsed="false">
      <c r="A5737" s="571"/>
      <c r="B5737" s="433"/>
      <c r="C5737" s="532" t="s">
        <v>5240</v>
      </c>
      <c r="D5737" s="679" t="s">
        <v>4578</v>
      </c>
      <c r="E5737" s="858" t="n">
        <v>0.003</v>
      </c>
      <c r="F5737" s="617" t="n">
        <v>225000</v>
      </c>
      <c r="G5737" s="897" t="n">
        <f aca="false">F5737*E5737</f>
        <v>675</v>
      </c>
      <c r="H5737" s="433"/>
    </row>
    <row r="5738" customFormat="false" ht="15" hidden="false" customHeight="false" outlineLevel="0" collapsed="false">
      <c r="A5738" s="571"/>
      <c r="B5738" s="433"/>
      <c r="C5738" s="532" t="s">
        <v>4251</v>
      </c>
      <c r="D5738" s="679" t="s">
        <v>4578</v>
      </c>
      <c r="E5738" s="858" t="n">
        <v>0.003</v>
      </c>
      <c r="F5738" s="617" t="n">
        <v>275000</v>
      </c>
      <c r="G5738" s="897" t="n">
        <f aca="false">F5738*E5738</f>
        <v>825</v>
      </c>
      <c r="H5738" s="433"/>
    </row>
    <row r="5739" customFormat="false" ht="15" hidden="false" customHeight="false" outlineLevel="0" collapsed="false">
      <c r="A5739" s="571"/>
      <c r="B5739" s="433"/>
      <c r="C5739" s="867" t="s">
        <v>4497</v>
      </c>
      <c r="D5739" s="868" t="s">
        <v>4348</v>
      </c>
      <c r="E5739" s="603" t="n">
        <v>0.003</v>
      </c>
      <c r="F5739" s="604" t="n">
        <v>550000</v>
      </c>
      <c r="G5739" s="897" t="n">
        <f aca="false">F5739*E5739</f>
        <v>1650</v>
      </c>
      <c r="H5739" s="433"/>
    </row>
    <row r="5740" customFormat="false" ht="15" hidden="false" customHeight="false" outlineLevel="0" collapsed="false">
      <c r="A5740" s="571"/>
      <c r="B5740" s="433"/>
      <c r="C5740" s="867" t="s">
        <v>4122</v>
      </c>
      <c r="D5740" s="868" t="s">
        <v>4123</v>
      </c>
      <c r="E5740" s="869" t="n">
        <v>0.1</v>
      </c>
      <c r="F5740" s="871" t="n">
        <v>720</v>
      </c>
      <c r="G5740" s="897" t="n">
        <f aca="false">F5740*E5740</f>
        <v>72</v>
      </c>
      <c r="H5740" s="433"/>
    </row>
    <row r="5741" customFormat="false" ht="15" hidden="false" customHeight="false" outlineLevel="0" collapsed="false">
      <c r="A5741" s="571"/>
      <c r="B5741" s="433"/>
      <c r="C5741" s="860" t="s">
        <v>5241</v>
      </c>
      <c r="D5741" s="868" t="s">
        <v>4121</v>
      </c>
      <c r="E5741" s="869" t="n">
        <v>0.01</v>
      </c>
      <c r="F5741" s="870" t="n">
        <v>1500</v>
      </c>
      <c r="G5741" s="897" t="n">
        <f aca="false">F5741*E5741</f>
        <v>15</v>
      </c>
      <c r="H5741" s="433"/>
    </row>
    <row r="5742" customFormat="false" ht="15" hidden="false" customHeight="false" outlineLevel="0" collapsed="false">
      <c r="A5742" s="571"/>
      <c r="B5742" s="433"/>
      <c r="C5742" s="872" t="s">
        <v>4124</v>
      </c>
      <c r="D5742" s="868" t="s">
        <v>4125</v>
      </c>
      <c r="E5742" s="869" t="n">
        <v>0.1</v>
      </c>
      <c r="F5742" s="871" t="n">
        <v>170</v>
      </c>
      <c r="G5742" s="897" t="n">
        <f aca="false">F5742*E5742</f>
        <v>17</v>
      </c>
      <c r="H5742" s="433"/>
    </row>
    <row r="5743" customFormat="false" ht="15" hidden="false" customHeight="false" outlineLevel="0" collapsed="false">
      <c r="A5743" s="571"/>
      <c r="B5743" s="433"/>
      <c r="C5743" s="872" t="s">
        <v>4347</v>
      </c>
      <c r="D5743" s="868" t="s">
        <v>4348</v>
      </c>
      <c r="E5743" s="869" t="n">
        <v>1</v>
      </c>
      <c r="F5743" s="871" t="n">
        <v>130</v>
      </c>
      <c r="G5743" s="897" t="n">
        <f aca="false">F5743*E5743</f>
        <v>130</v>
      </c>
      <c r="H5743" s="433"/>
    </row>
    <row r="5744" customFormat="false" ht="15" hidden="false" customHeight="false" outlineLevel="0" collapsed="false">
      <c r="A5744" s="571"/>
      <c r="B5744" s="433"/>
      <c r="C5744" s="532" t="s">
        <v>5239</v>
      </c>
      <c r="D5744" s="679" t="s">
        <v>4141</v>
      </c>
      <c r="E5744" s="866" t="n">
        <v>0.003</v>
      </c>
      <c r="F5744" s="681" t="n">
        <v>23500</v>
      </c>
      <c r="G5744" s="897" t="n">
        <f aca="false">F5744*E5744</f>
        <v>70.5</v>
      </c>
      <c r="H5744" s="433"/>
    </row>
    <row r="5745" customFormat="false" ht="15" hidden="false" customHeight="false" outlineLevel="0" collapsed="false">
      <c r="A5745" s="571"/>
      <c r="B5745" s="433"/>
      <c r="C5745" s="860" t="s">
        <v>4509</v>
      </c>
      <c r="D5745" s="877" t="s">
        <v>4348</v>
      </c>
      <c r="E5745" s="860" t="n">
        <v>1</v>
      </c>
      <c r="F5745" s="857" t="n">
        <v>26</v>
      </c>
      <c r="G5745" s="897" t="n">
        <f aca="false">F5745*E5745</f>
        <v>26</v>
      </c>
      <c r="H5745" s="433"/>
    </row>
    <row r="5746" customFormat="false" ht="15" hidden="false" customHeight="false" outlineLevel="0" collapsed="false">
      <c r="A5746" s="571"/>
      <c r="B5746" s="433"/>
      <c r="C5746" s="860" t="s">
        <v>4515</v>
      </c>
      <c r="D5746" s="877" t="s">
        <v>4133</v>
      </c>
      <c r="E5746" s="860" t="n">
        <v>0.0001</v>
      </c>
      <c r="F5746" s="857" t="n">
        <v>2700</v>
      </c>
      <c r="G5746" s="898" t="n">
        <f aca="false">F5746*E5746</f>
        <v>0.27</v>
      </c>
      <c r="H5746" s="433"/>
    </row>
    <row r="5747" customFormat="false" ht="30" hidden="false" customHeight="false" outlineLevel="0" collapsed="false">
      <c r="A5747" s="571" t="s">
        <v>1102</v>
      </c>
      <c r="B5747" s="488" t="s">
        <v>3311</v>
      </c>
      <c r="C5747" s="21"/>
      <c r="D5747" s="874"/>
      <c r="E5747" s="41"/>
      <c r="F5747" s="875"/>
      <c r="G5747" s="896" t="n">
        <f aca="false">SUM(G5748:G5764)</f>
        <v>14949.17</v>
      </c>
      <c r="H5747" s="433" t="s">
        <v>5267</v>
      </c>
    </row>
    <row r="5748" customFormat="false" ht="15" hidden="false" customHeight="false" outlineLevel="0" collapsed="false">
      <c r="A5748" s="571"/>
      <c r="B5748" s="433"/>
      <c r="C5748" s="21" t="s">
        <v>4604</v>
      </c>
      <c r="D5748" s="877" t="s">
        <v>4359</v>
      </c>
      <c r="E5748" s="855" t="n">
        <v>0.2</v>
      </c>
      <c r="F5748" s="115" t="n">
        <v>18000</v>
      </c>
      <c r="G5748" s="897" t="n">
        <f aca="false">F5748*E5748</f>
        <v>3600</v>
      </c>
      <c r="H5748" s="433"/>
    </row>
    <row r="5749" customFormat="false" ht="15" hidden="false" customHeight="false" outlineLevel="0" collapsed="false">
      <c r="A5749" s="571"/>
      <c r="B5749" s="433"/>
      <c r="C5749" s="21" t="s">
        <v>4317</v>
      </c>
      <c r="D5749" s="877" t="s">
        <v>4359</v>
      </c>
      <c r="E5749" s="855" t="n">
        <v>0.15</v>
      </c>
      <c r="F5749" s="115" t="n">
        <v>21000</v>
      </c>
      <c r="G5749" s="897" t="n">
        <f aca="false">F5749*E5749</f>
        <v>3150</v>
      </c>
      <c r="H5749" s="433"/>
    </row>
    <row r="5750" customFormat="false" ht="15" hidden="false" customHeight="false" outlineLevel="0" collapsed="false">
      <c r="A5750" s="571"/>
      <c r="B5750" s="433"/>
      <c r="C5750" s="21" t="s">
        <v>4250</v>
      </c>
      <c r="D5750" s="316" t="s">
        <v>4359</v>
      </c>
      <c r="E5750" s="855" t="n">
        <v>0.1</v>
      </c>
      <c r="F5750" s="115" t="n">
        <v>42000</v>
      </c>
      <c r="G5750" s="897" t="n">
        <f aca="false">F5750*E5750</f>
        <v>4200</v>
      </c>
      <c r="H5750" s="433"/>
    </row>
    <row r="5751" customFormat="false" ht="15" hidden="false" customHeight="false" outlineLevel="0" collapsed="false">
      <c r="A5751" s="571"/>
      <c r="B5751" s="433"/>
      <c r="C5751" s="860" t="s">
        <v>5228</v>
      </c>
      <c r="D5751" s="316" t="s">
        <v>4133</v>
      </c>
      <c r="E5751" s="855" t="n">
        <v>0.02</v>
      </c>
      <c r="F5751" s="115" t="n">
        <v>19000</v>
      </c>
      <c r="G5751" s="897" t="n">
        <f aca="false">F5751*E5751</f>
        <v>380</v>
      </c>
      <c r="H5751" s="433"/>
    </row>
    <row r="5752" customFormat="false" ht="15" hidden="false" customHeight="false" outlineLevel="0" collapsed="false">
      <c r="A5752" s="571"/>
      <c r="B5752" s="433"/>
      <c r="C5752" s="860" t="s">
        <v>4158</v>
      </c>
      <c r="D5752" s="877" t="s">
        <v>4133</v>
      </c>
      <c r="E5752" s="855" t="n">
        <v>0.003</v>
      </c>
      <c r="F5752" s="115" t="n">
        <v>6400</v>
      </c>
      <c r="G5752" s="897" t="n">
        <f aca="false">F5752*E5752</f>
        <v>19.2</v>
      </c>
      <c r="H5752" s="433"/>
    </row>
    <row r="5753" customFormat="false" ht="15" hidden="false" customHeight="false" outlineLevel="0" collapsed="false">
      <c r="A5753" s="571"/>
      <c r="B5753" s="433"/>
      <c r="C5753" s="860" t="s">
        <v>5091</v>
      </c>
      <c r="D5753" s="877" t="s">
        <v>4359</v>
      </c>
      <c r="E5753" s="855" t="n">
        <v>0.01</v>
      </c>
      <c r="F5753" s="115" t="n">
        <v>18000</v>
      </c>
      <c r="G5753" s="897" t="n">
        <f aca="false">F5753*E5753</f>
        <v>180</v>
      </c>
      <c r="H5753" s="433"/>
    </row>
    <row r="5754" customFormat="false" ht="15" hidden="false" customHeight="false" outlineLevel="0" collapsed="false">
      <c r="A5754" s="571"/>
      <c r="B5754" s="433"/>
      <c r="C5754" s="860" t="s">
        <v>5263</v>
      </c>
      <c r="D5754" s="877" t="s">
        <v>4133</v>
      </c>
      <c r="E5754" s="855" t="n">
        <v>0.0001</v>
      </c>
      <c r="F5754" s="115" t="n">
        <v>40000</v>
      </c>
      <c r="G5754" s="897" t="n">
        <f aca="false">F5754*E5754</f>
        <v>4</v>
      </c>
      <c r="H5754" s="433"/>
    </row>
    <row r="5755" customFormat="false" ht="15" hidden="false" customHeight="false" outlineLevel="0" collapsed="false">
      <c r="A5755" s="571"/>
      <c r="B5755" s="433"/>
      <c r="C5755" s="532" t="s">
        <v>5240</v>
      </c>
      <c r="D5755" s="679" t="s">
        <v>4578</v>
      </c>
      <c r="E5755" s="858" t="n">
        <v>0.003</v>
      </c>
      <c r="F5755" s="617" t="n">
        <v>225000</v>
      </c>
      <c r="G5755" s="897" t="n">
        <f aca="false">F5755*E5755</f>
        <v>675</v>
      </c>
      <c r="H5755" s="433"/>
    </row>
    <row r="5756" customFormat="false" ht="15" hidden="false" customHeight="false" outlineLevel="0" collapsed="false">
      <c r="A5756" s="571"/>
      <c r="B5756" s="433"/>
      <c r="C5756" s="532" t="s">
        <v>4251</v>
      </c>
      <c r="D5756" s="679" t="s">
        <v>4578</v>
      </c>
      <c r="E5756" s="858" t="n">
        <v>0.003</v>
      </c>
      <c r="F5756" s="617" t="n">
        <v>275000</v>
      </c>
      <c r="G5756" s="897" t="n">
        <f aca="false">F5756*E5756</f>
        <v>825</v>
      </c>
      <c r="H5756" s="433"/>
    </row>
    <row r="5757" customFormat="false" ht="15" hidden="false" customHeight="false" outlineLevel="0" collapsed="false">
      <c r="A5757" s="571"/>
      <c r="B5757" s="433"/>
      <c r="C5757" s="867" t="s">
        <v>4497</v>
      </c>
      <c r="D5757" s="868" t="s">
        <v>4348</v>
      </c>
      <c r="E5757" s="603" t="n">
        <v>0.003</v>
      </c>
      <c r="F5757" s="604" t="n">
        <v>550000</v>
      </c>
      <c r="G5757" s="897" t="n">
        <f aca="false">F5757*E5757</f>
        <v>1650</v>
      </c>
      <c r="H5757" s="433"/>
    </row>
    <row r="5758" customFormat="false" ht="15" hidden="false" customHeight="false" outlineLevel="0" collapsed="false">
      <c r="A5758" s="571"/>
      <c r="B5758" s="433"/>
      <c r="C5758" s="867" t="s">
        <v>4122</v>
      </c>
      <c r="D5758" s="868" t="s">
        <v>4123</v>
      </c>
      <c r="E5758" s="603" t="n">
        <v>0.01</v>
      </c>
      <c r="F5758" s="607" t="n">
        <v>720</v>
      </c>
      <c r="G5758" s="897" t="n">
        <f aca="false">F5758*E5758</f>
        <v>7.2</v>
      </c>
      <c r="H5758" s="433"/>
    </row>
    <row r="5759" customFormat="false" ht="15" hidden="false" customHeight="false" outlineLevel="0" collapsed="false">
      <c r="A5759" s="571"/>
      <c r="B5759" s="433"/>
      <c r="C5759" s="860" t="s">
        <v>5241</v>
      </c>
      <c r="D5759" s="868" t="s">
        <v>4121</v>
      </c>
      <c r="E5759" s="869" t="n">
        <v>0.01</v>
      </c>
      <c r="F5759" s="870" t="n">
        <v>1500</v>
      </c>
      <c r="G5759" s="897" t="n">
        <f aca="false">F5759*E5759</f>
        <v>15</v>
      </c>
      <c r="H5759" s="433"/>
    </row>
    <row r="5760" customFormat="false" ht="15" hidden="false" customHeight="false" outlineLevel="0" collapsed="false">
      <c r="A5760" s="571"/>
      <c r="B5760" s="433"/>
      <c r="C5760" s="872" t="s">
        <v>4124</v>
      </c>
      <c r="D5760" s="868" t="s">
        <v>4125</v>
      </c>
      <c r="E5760" s="869" t="n">
        <v>0.1</v>
      </c>
      <c r="F5760" s="871" t="n">
        <v>170</v>
      </c>
      <c r="G5760" s="897" t="n">
        <f aca="false">F5760*E5760</f>
        <v>17</v>
      </c>
      <c r="H5760" s="433"/>
    </row>
    <row r="5761" customFormat="false" ht="15" hidden="false" customHeight="false" outlineLevel="0" collapsed="false">
      <c r="A5761" s="571"/>
      <c r="B5761" s="433"/>
      <c r="C5761" s="872" t="s">
        <v>4347</v>
      </c>
      <c r="D5761" s="868" t="s">
        <v>4348</v>
      </c>
      <c r="E5761" s="869" t="n">
        <v>1</v>
      </c>
      <c r="F5761" s="871" t="n">
        <v>130</v>
      </c>
      <c r="G5761" s="897" t="n">
        <f aca="false">F5761*E5761</f>
        <v>130</v>
      </c>
      <c r="H5761" s="433"/>
    </row>
    <row r="5762" customFormat="false" ht="15" hidden="false" customHeight="false" outlineLevel="0" collapsed="false">
      <c r="A5762" s="571"/>
      <c r="B5762" s="433"/>
      <c r="C5762" s="532" t="s">
        <v>5239</v>
      </c>
      <c r="D5762" s="679" t="s">
        <v>4141</v>
      </c>
      <c r="E5762" s="866" t="n">
        <v>0.003</v>
      </c>
      <c r="F5762" s="681" t="n">
        <v>23500</v>
      </c>
      <c r="G5762" s="897" t="n">
        <f aca="false">F5762*E5762</f>
        <v>70.5</v>
      </c>
      <c r="H5762" s="433"/>
    </row>
    <row r="5763" customFormat="false" ht="15" hidden="false" customHeight="false" outlineLevel="0" collapsed="false">
      <c r="A5763" s="571"/>
      <c r="B5763" s="433"/>
      <c r="C5763" s="860" t="s">
        <v>4509</v>
      </c>
      <c r="D5763" s="877" t="s">
        <v>4348</v>
      </c>
      <c r="E5763" s="860" t="n">
        <v>1</v>
      </c>
      <c r="F5763" s="857" t="n">
        <v>26</v>
      </c>
      <c r="G5763" s="897" t="n">
        <f aca="false">F5763*E5763</f>
        <v>26</v>
      </c>
      <c r="H5763" s="433"/>
    </row>
    <row r="5764" customFormat="false" ht="15" hidden="false" customHeight="false" outlineLevel="0" collapsed="false">
      <c r="A5764" s="571"/>
      <c r="B5764" s="433"/>
      <c r="C5764" s="860" t="s">
        <v>4515</v>
      </c>
      <c r="D5764" s="877" t="s">
        <v>4133</v>
      </c>
      <c r="E5764" s="860" t="n">
        <v>0.0001</v>
      </c>
      <c r="F5764" s="115" t="n">
        <v>2700</v>
      </c>
      <c r="G5764" s="897" t="n">
        <f aca="false">F5764*E5764</f>
        <v>0.27</v>
      </c>
      <c r="H5764" s="433"/>
    </row>
    <row r="5765" customFormat="false" ht="15" hidden="false" customHeight="false" outlineLevel="0" collapsed="false">
      <c r="A5765" s="571" t="s">
        <v>1103</v>
      </c>
      <c r="B5765" s="494" t="s">
        <v>3331</v>
      </c>
      <c r="C5765" s="41"/>
      <c r="D5765" s="874"/>
      <c r="E5765" s="41"/>
      <c r="F5765" s="875"/>
      <c r="G5765" s="896" t="n">
        <f aca="false">SUM(G5766:G5785)</f>
        <v>19958.7305</v>
      </c>
      <c r="H5765" s="433" t="s">
        <v>5264</v>
      </c>
    </row>
    <row r="5766" customFormat="false" ht="15" hidden="false" customHeight="false" outlineLevel="0" collapsed="false">
      <c r="A5766" s="571"/>
      <c r="B5766" s="433"/>
      <c r="C5766" s="41" t="s">
        <v>4604</v>
      </c>
      <c r="D5766" s="316" t="s">
        <v>4359</v>
      </c>
      <c r="E5766" s="855" t="n">
        <v>0.144</v>
      </c>
      <c r="F5766" s="115" t="n">
        <v>18000</v>
      </c>
      <c r="G5766" s="894" t="n">
        <f aca="false">F5766*E5766</f>
        <v>2592</v>
      </c>
      <c r="H5766" s="433"/>
    </row>
    <row r="5767" customFormat="false" ht="15" hidden="false" customHeight="false" outlineLevel="0" collapsed="false">
      <c r="A5767" s="571"/>
      <c r="B5767" s="433"/>
      <c r="C5767" s="41" t="s">
        <v>4317</v>
      </c>
      <c r="D5767" s="316" t="s">
        <v>4359</v>
      </c>
      <c r="E5767" s="855" t="n">
        <v>0.15</v>
      </c>
      <c r="F5767" s="115" t="n">
        <v>21000</v>
      </c>
      <c r="G5767" s="894" t="n">
        <f aca="false">F5767*E5767</f>
        <v>3150</v>
      </c>
      <c r="H5767" s="433"/>
    </row>
    <row r="5768" customFormat="false" ht="15" hidden="false" customHeight="false" outlineLevel="0" collapsed="false">
      <c r="A5768" s="571"/>
      <c r="B5768" s="433"/>
      <c r="C5768" s="41" t="s">
        <v>4205</v>
      </c>
      <c r="D5768" s="316" t="s">
        <v>4359</v>
      </c>
      <c r="E5768" s="855" t="n">
        <v>0.15</v>
      </c>
      <c r="F5768" s="115" t="n">
        <v>14000</v>
      </c>
      <c r="G5768" s="894" t="n">
        <f aca="false">F5768*E5768</f>
        <v>2100</v>
      </c>
      <c r="H5768" s="433"/>
    </row>
    <row r="5769" customFormat="false" ht="15" hidden="false" customHeight="false" outlineLevel="0" collapsed="false">
      <c r="A5769" s="571"/>
      <c r="B5769" s="433"/>
      <c r="C5769" s="855" t="s">
        <v>5228</v>
      </c>
      <c r="D5769" s="316" t="s">
        <v>4133</v>
      </c>
      <c r="E5769" s="855" t="n">
        <v>0.01</v>
      </c>
      <c r="F5769" s="115" t="n">
        <v>19000</v>
      </c>
      <c r="G5769" s="894" t="n">
        <f aca="false">F5769*E5769</f>
        <v>190</v>
      </c>
      <c r="H5769" s="433"/>
    </row>
    <row r="5770" customFormat="false" ht="15" hidden="false" customHeight="false" outlineLevel="0" collapsed="false">
      <c r="A5770" s="571"/>
      <c r="B5770" s="433"/>
      <c r="C5770" s="860" t="s">
        <v>4250</v>
      </c>
      <c r="D5770" s="316" t="s">
        <v>4359</v>
      </c>
      <c r="E5770" s="855" t="n">
        <v>0.1</v>
      </c>
      <c r="F5770" s="115" t="n">
        <v>42000</v>
      </c>
      <c r="G5770" s="894" t="n">
        <f aca="false">F5770*E5770</f>
        <v>4200</v>
      </c>
      <c r="H5770" s="433"/>
    </row>
    <row r="5771" customFormat="false" ht="15" hidden="false" customHeight="false" outlineLevel="0" collapsed="false">
      <c r="A5771" s="571"/>
      <c r="B5771" s="433"/>
      <c r="C5771" s="855" t="s">
        <v>4673</v>
      </c>
      <c r="D5771" s="316" t="s">
        <v>4133</v>
      </c>
      <c r="E5771" s="855" t="n">
        <v>0.002</v>
      </c>
      <c r="F5771" s="115" t="n">
        <v>106777</v>
      </c>
      <c r="G5771" s="894" t="n">
        <f aca="false">F5771*E5771</f>
        <v>213.554</v>
      </c>
      <c r="H5771" s="433"/>
    </row>
    <row r="5772" customFormat="false" ht="15" hidden="false" customHeight="false" outlineLevel="0" collapsed="false">
      <c r="A5772" s="571"/>
      <c r="B5772" s="433"/>
      <c r="C5772" s="855" t="s">
        <v>4171</v>
      </c>
      <c r="D5772" s="316" t="s">
        <v>4133</v>
      </c>
      <c r="E5772" s="855" t="n">
        <v>0.001</v>
      </c>
      <c r="F5772" s="115" t="n">
        <v>18000</v>
      </c>
      <c r="G5772" s="894" t="n">
        <f aca="false">F5772*E5772</f>
        <v>18</v>
      </c>
      <c r="H5772" s="433"/>
    </row>
    <row r="5773" customFormat="false" ht="15" hidden="false" customHeight="false" outlineLevel="0" collapsed="false">
      <c r="A5773" s="571"/>
      <c r="B5773" s="433"/>
      <c r="C5773" s="860" t="s">
        <v>5279</v>
      </c>
      <c r="D5773" s="316" t="s">
        <v>4359</v>
      </c>
      <c r="E5773" s="855" t="n">
        <v>0.2</v>
      </c>
      <c r="F5773" s="115" t="n">
        <v>21000</v>
      </c>
      <c r="G5773" s="894" t="n">
        <f aca="false">F5773*E5773</f>
        <v>4200</v>
      </c>
      <c r="H5773" s="433"/>
    </row>
    <row r="5774" customFormat="false" ht="15" hidden="false" customHeight="false" outlineLevel="0" collapsed="false">
      <c r="A5774" s="571"/>
      <c r="B5774" s="433"/>
      <c r="C5774" s="860" t="s">
        <v>4158</v>
      </c>
      <c r="D5774" s="316" t="s">
        <v>4133</v>
      </c>
      <c r="E5774" s="855" t="n">
        <v>0.001</v>
      </c>
      <c r="F5774" s="115" t="n">
        <v>6400</v>
      </c>
      <c r="G5774" s="894" t="n">
        <f aca="false">F5774*E5774</f>
        <v>6.4</v>
      </c>
      <c r="H5774" s="433"/>
    </row>
    <row r="5775" customFormat="false" ht="15" hidden="false" customHeight="false" outlineLevel="0" collapsed="false">
      <c r="A5775" s="571"/>
      <c r="B5775" s="433"/>
      <c r="C5775" s="860" t="s">
        <v>4154</v>
      </c>
      <c r="D5775" s="316" t="s">
        <v>4359</v>
      </c>
      <c r="E5775" s="855" t="n">
        <v>0.02</v>
      </c>
      <c r="F5775" s="115" t="n">
        <v>18000</v>
      </c>
      <c r="G5775" s="894" t="n">
        <f aca="false">F5775*E5775</f>
        <v>360</v>
      </c>
      <c r="H5775" s="433"/>
    </row>
    <row r="5776" customFormat="false" ht="30" hidden="false" customHeight="false" outlineLevel="0" collapsed="false">
      <c r="A5776" s="571"/>
      <c r="B5776" s="433"/>
      <c r="C5776" s="855" t="s">
        <v>5265</v>
      </c>
      <c r="D5776" s="316" t="s">
        <v>4133</v>
      </c>
      <c r="E5776" s="855" t="n">
        <v>0.0001</v>
      </c>
      <c r="F5776" s="115" t="n">
        <v>130765</v>
      </c>
      <c r="G5776" s="894" t="n">
        <f aca="false">F5776*E5776</f>
        <v>13.0765</v>
      </c>
      <c r="H5776" s="433"/>
    </row>
    <row r="5777" customFormat="false" ht="15" hidden="false" customHeight="false" outlineLevel="0" collapsed="false">
      <c r="A5777" s="571"/>
      <c r="B5777" s="433"/>
      <c r="C5777" s="532" t="s">
        <v>5240</v>
      </c>
      <c r="D5777" s="679" t="s">
        <v>4578</v>
      </c>
      <c r="E5777" s="866" t="n">
        <v>0.002</v>
      </c>
      <c r="F5777" s="617" t="n">
        <v>225000</v>
      </c>
      <c r="G5777" s="894" t="n">
        <f aca="false">F5777*E5777</f>
        <v>450</v>
      </c>
      <c r="H5777" s="433"/>
    </row>
    <row r="5778" customFormat="false" ht="15" hidden="false" customHeight="false" outlineLevel="0" collapsed="false">
      <c r="A5778" s="571"/>
      <c r="B5778" s="433"/>
      <c r="C5778" s="532" t="s">
        <v>4251</v>
      </c>
      <c r="D5778" s="679" t="s">
        <v>4578</v>
      </c>
      <c r="E5778" s="866" t="n">
        <v>0.002</v>
      </c>
      <c r="F5778" s="681" t="n">
        <v>275000</v>
      </c>
      <c r="G5778" s="894" t="n">
        <f aca="false">F5778*E5778</f>
        <v>550</v>
      </c>
      <c r="H5778" s="433"/>
    </row>
    <row r="5779" customFormat="false" ht="15" hidden="false" customHeight="false" outlineLevel="0" collapsed="false">
      <c r="A5779" s="571"/>
      <c r="B5779" s="433"/>
      <c r="C5779" s="867" t="s">
        <v>4497</v>
      </c>
      <c r="D5779" s="868" t="s">
        <v>4348</v>
      </c>
      <c r="E5779" s="869" t="n">
        <v>0.003</v>
      </c>
      <c r="F5779" s="870" t="n">
        <v>550000</v>
      </c>
      <c r="G5779" s="894" t="n">
        <f aca="false">F5779*E5779</f>
        <v>1650</v>
      </c>
      <c r="H5779" s="433"/>
    </row>
    <row r="5780" customFormat="false" ht="15" hidden="false" customHeight="false" outlineLevel="0" collapsed="false">
      <c r="A5780" s="571"/>
      <c r="B5780" s="433"/>
      <c r="C5780" s="867" t="s">
        <v>4122</v>
      </c>
      <c r="D5780" s="868" t="s">
        <v>4123</v>
      </c>
      <c r="E5780" s="869" t="n">
        <v>0.01</v>
      </c>
      <c r="F5780" s="871" t="n">
        <v>720</v>
      </c>
      <c r="G5780" s="894" t="n">
        <f aca="false">F5780*E5780</f>
        <v>7.2</v>
      </c>
      <c r="H5780" s="433"/>
    </row>
    <row r="5781" customFormat="false" ht="15" hidden="false" customHeight="false" outlineLevel="0" collapsed="false">
      <c r="A5781" s="571"/>
      <c r="B5781" s="433"/>
      <c r="C5781" s="855" t="s">
        <v>5241</v>
      </c>
      <c r="D5781" s="868" t="s">
        <v>4121</v>
      </c>
      <c r="E5781" s="869" t="n">
        <v>0.01</v>
      </c>
      <c r="F5781" s="870" t="n">
        <v>1500</v>
      </c>
      <c r="G5781" s="894" t="n">
        <f aca="false">F5781*E5781</f>
        <v>15</v>
      </c>
      <c r="H5781" s="433"/>
    </row>
    <row r="5782" customFormat="false" ht="15" hidden="false" customHeight="false" outlineLevel="0" collapsed="false">
      <c r="A5782" s="571"/>
      <c r="B5782" s="433"/>
      <c r="C5782" s="532" t="s">
        <v>5239</v>
      </c>
      <c r="D5782" s="679" t="s">
        <v>4141</v>
      </c>
      <c r="E5782" s="866" t="n">
        <v>0.003</v>
      </c>
      <c r="F5782" s="681" t="n">
        <v>23500</v>
      </c>
      <c r="G5782" s="894" t="n">
        <f aca="false">F5782*E5782</f>
        <v>70.5</v>
      </c>
      <c r="H5782" s="433"/>
    </row>
    <row r="5783" customFormat="false" ht="15" hidden="false" customHeight="false" outlineLevel="0" collapsed="false">
      <c r="A5783" s="571"/>
      <c r="B5783" s="433"/>
      <c r="C5783" s="872" t="s">
        <v>4124</v>
      </c>
      <c r="D5783" s="868" t="s">
        <v>4125</v>
      </c>
      <c r="E5783" s="869" t="n">
        <v>0.1</v>
      </c>
      <c r="F5783" s="871" t="n">
        <v>170</v>
      </c>
      <c r="G5783" s="894" t="n">
        <f aca="false">F5783*E5783</f>
        <v>17</v>
      </c>
      <c r="H5783" s="433"/>
    </row>
    <row r="5784" customFormat="false" ht="15" hidden="false" customHeight="false" outlineLevel="0" collapsed="false">
      <c r="A5784" s="571"/>
      <c r="B5784" s="433"/>
      <c r="C5784" s="872" t="s">
        <v>4347</v>
      </c>
      <c r="D5784" s="868" t="s">
        <v>4348</v>
      </c>
      <c r="E5784" s="869" t="n">
        <v>1</v>
      </c>
      <c r="F5784" s="871" t="n">
        <v>130</v>
      </c>
      <c r="G5784" s="894" t="n">
        <f aca="false">F5784*E5784</f>
        <v>130</v>
      </c>
      <c r="H5784" s="433"/>
    </row>
    <row r="5785" customFormat="false" ht="15" hidden="false" customHeight="false" outlineLevel="0" collapsed="false">
      <c r="A5785" s="571"/>
      <c r="B5785" s="433"/>
      <c r="C5785" s="855" t="s">
        <v>4509</v>
      </c>
      <c r="D5785" s="316" t="s">
        <v>4348</v>
      </c>
      <c r="E5785" s="855" t="n">
        <v>1</v>
      </c>
      <c r="F5785" s="857" t="n">
        <v>26</v>
      </c>
      <c r="G5785" s="894" t="n">
        <f aca="false">F5785*E5785</f>
        <v>26</v>
      </c>
      <c r="H5785" s="433"/>
    </row>
    <row r="5786" customFormat="false" ht="30" hidden="false" customHeight="false" outlineLevel="0" collapsed="false">
      <c r="A5786" s="571" t="s">
        <v>1105</v>
      </c>
      <c r="B5786" s="433" t="s">
        <v>3309</v>
      </c>
      <c r="C5786" s="41"/>
      <c r="D5786" s="874"/>
      <c r="E5786" s="41"/>
      <c r="F5786" s="875"/>
      <c r="G5786" s="896" t="n">
        <f aca="false">SUM(G5787:G5805)</f>
        <v>14954.6555</v>
      </c>
      <c r="H5786" s="889" t="s">
        <v>5298</v>
      </c>
    </row>
    <row r="5787" customFormat="false" ht="15" hidden="false" customHeight="false" outlineLevel="0" collapsed="false">
      <c r="A5787" s="571"/>
      <c r="B5787" s="433"/>
      <c r="C5787" s="860" t="s">
        <v>4250</v>
      </c>
      <c r="D5787" s="316" t="s">
        <v>4359</v>
      </c>
      <c r="E5787" s="855" t="n">
        <v>0.1</v>
      </c>
      <c r="F5787" s="115" t="n">
        <v>42000</v>
      </c>
      <c r="G5787" s="894" t="n">
        <f aca="false">F5787*E5787</f>
        <v>4200</v>
      </c>
      <c r="H5787" s="433"/>
    </row>
    <row r="5788" customFormat="false" ht="15" hidden="false" customHeight="false" outlineLevel="0" collapsed="false">
      <c r="A5788" s="571"/>
      <c r="B5788" s="433"/>
      <c r="C5788" s="855" t="s">
        <v>4205</v>
      </c>
      <c r="D5788" s="316" t="s">
        <v>4359</v>
      </c>
      <c r="E5788" s="855" t="n">
        <v>0.1</v>
      </c>
      <c r="F5788" s="115" t="n">
        <v>14000</v>
      </c>
      <c r="G5788" s="894" t="n">
        <f aca="false">F5788*E5788</f>
        <v>1400</v>
      </c>
      <c r="H5788" s="433"/>
    </row>
    <row r="5789" customFormat="false" ht="15" hidden="false" customHeight="false" outlineLevel="0" collapsed="false">
      <c r="A5789" s="571"/>
      <c r="B5789" s="433"/>
      <c r="C5789" s="855" t="s">
        <v>5252</v>
      </c>
      <c r="D5789" s="316" t="s">
        <v>4133</v>
      </c>
      <c r="E5789" s="855" t="n">
        <v>0.005</v>
      </c>
      <c r="F5789" s="115" t="n">
        <v>19000</v>
      </c>
      <c r="G5789" s="894" t="n">
        <f aca="false">F5789*E5789</f>
        <v>95</v>
      </c>
      <c r="H5789" s="433"/>
    </row>
    <row r="5790" customFormat="false" ht="15" hidden="false" customHeight="false" outlineLevel="0" collapsed="false">
      <c r="A5790" s="571"/>
      <c r="B5790" s="433"/>
      <c r="C5790" s="860" t="s">
        <v>4154</v>
      </c>
      <c r="D5790" s="316" t="s">
        <v>4359</v>
      </c>
      <c r="E5790" s="855" t="n">
        <v>0.147</v>
      </c>
      <c r="F5790" s="115" t="n">
        <v>18000</v>
      </c>
      <c r="G5790" s="894" t="n">
        <f aca="false">F5790*E5790</f>
        <v>2646</v>
      </c>
      <c r="H5790" s="433"/>
    </row>
    <row r="5791" customFormat="false" ht="15" hidden="false" customHeight="false" outlineLevel="0" collapsed="false">
      <c r="A5791" s="571"/>
      <c r="B5791" s="433"/>
      <c r="C5791" s="860" t="s">
        <v>4317</v>
      </c>
      <c r="D5791" s="877" t="s">
        <v>4359</v>
      </c>
      <c r="E5791" s="860" t="n">
        <v>0.15</v>
      </c>
      <c r="F5791" s="115" t="n">
        <v>21000</v>
      </c>
      <c r="G5791" s="894" t="n">
        <f aca="false">F5791*E5791</f>
        <v>3150</v>
      </c>
      <c r="H5791" s="433"/>
    </row>
    <row r="5792" customFormat="false" ht="30" hidden="false" customHeight="false" outlineLevel="0" collapsed="false">
      <c r="A5792" s="571"/>
      <c r="B5792" s="433"/>
      <c r="C5792" s="532" t="s">
        <v>5238</v>
      </c>
      <c r="D5792" s="679" t="s">
        <v>4141</v>
      </c>
      <c r="E5792" s="865" t="n">
        <v>0.1</v>
      </c>
      <c r="F5792" s="617" t="n">
        <v>1400</v>
      </c>
      <c r="G5792" s="894" t="n">
        <f aca="false">F5792*E5792</f>
        <v>140</v>
      </c>
      <c r="H5792" s="433"/>
    </row>
    <row r="5793" customFormat="false" ht="30" hidden="false" customHeight="false" outlineLevel="0" collapsed="false">
      <c r="A5793" s="571"/>
      <c r="B5793" s="433"/>
      <c r="C5793" s="855" t="s">
        <v>5257</v>
      </c>
      <c r="D5793" s="316" t="s">
        <v>4133</v>
      </c>
      <c r="E5793" s="855" t="n">
        <v>0.001</v>
      </c>
      <c r="F5793" s="115" t="n">
        <v>56000</v>
      </c>
      <c r="G5793" s="894" t="n">
        <f aca="false">F5793*E5793</f>
        <v>56</v>
      </c>
      <c r="H5793" s="433"/>
    </row>
    <row r="5794" customFormat="false" ht="30" hidden="false" customHeight="false" outlineLevel="0" collapsed="false">
      <c r="A5794" s="571"/>
      <c r="B5794" s="433"/>
      <c r="C5794" s="855" t="s">
        <v>5258</v>
      </c>
      <c r="D5794" s="316" t="s">
        <v>4133</v>
      </c>
      <c r="E5794" s="855" t="n">
        <v>0.001</v>
      </c>
      <c r="F5794" s="115" t="n">
        <v>60200</v>
      </c>
      <c r="G5794" s="894" t="n">
        <f aca="false">F5794*E5794</f>
        <v>60.2</v>
      </c>
      <c r="H5794" s="433"/>
    </row>
    <row r="5795" customFormat="false" ht="45" hidden="false" customHeight="false" outlineLevel="0" collapsed="false">
      <c r="A5795" s="571"/>
      <c r="B5795" s="433"/>
      <c r="C5795" s="860" t="s">
        <v>5253</v>
      </c>
      <c r="D5795" s="877" t="s">
        <v>4133</v>
      </c>
      <c r="E5795" s="860" t="n">
        <v>0.0001</v>
      </c>
      <c r="F5795" s="115" t="n">
        <v>41555</v>
      </c>
      <c r="G5795" s="894" t="n">
        <f aca="false">F5795*E5795</f>
        <v>4.1555</v>
      </c>
      <c r="H5795" s="433"/>
    </row>
    <row r="5796" customFormat="false" ht="15" hidden="false" customHeight="false" outlineLevel="0" collapsed="false">
      <c r="A5796" s="571"/>
      <c r="B5796" s="433"/>
      <c r="C5796" s="860" t="s">
        <v>4628</v>
      </c>
      <c r="D5796" s="877" t="s">
        <v>4133</v>
      </c>
      <c r="E5796" s="860" t="n">
        <v>0.03</v>
      </c>
      <c r="F5796" s="115" t="n">
        <v>18000</v>
      </c>
      <c r="G5796" s="894" t="n">
        <f aca="false">F5796*E5796</f>
        <v>540</v>
      </c>
      <c r="H5796" s="433"/>
    </row>
    <row r="5797" customFormat="false" ht="15" hidden="false" customHeight="false" outlineLevel="0" collapsed="false">
      <c r="A5797" s="571"/>
      <c r="B5797" s="433"/>
      <c r="C5797" s="878" t="s">
        <v>5260</v>
      </c>
      <c r="D5797" s="877" t="s">
        <v>4133</v>
      </c>
      <c r="E5797" s="860" t="n">
        <v>0.0136</v>
      </c>
      <c r="F5797" s="115" t="n">
        <v>24000</v>
      </c>
      <c r="G5797" s="894" t="n">
        <f aca="false">F5797*E5797</f>
        <v>326.4</v>
      </c>
      <c r="H5797" s="433"/>
    </row>
    <row r="5798" customFormat="false" ht="15" hidden="false" customHeight="false" outlineLevel="0" collapsed="false">
      <c r="A5798" s="571"/>
      <c r="B5798" s="433"/>
      <c r="C5798" s="532" t="s">
        <v>5240</v>
      </c>
      <c r="D5798" s="679" t="s">
        <v>4578</v>
      </c>
      <c r="E5798" s="866" t="n">
        <v>0.002</v>
      </c>
      <c r="F5798" s="617" t="n">
        <v>225000</v>
      </c>
      <c r="G5798" s="894" t="n">
        <f aca="false">F5798*E5798</f>
        <v>450</v>
      </c>
      <c r="H5798" s="433"/>
    </row>
    <row r="5799" customFormat="false" ht="15" hidden="false" customHeight="false" outlineLevel="0" collapsed="false">
      <c r="A5799" s="571"/>
      <c r="B5799" s="433"/>
      <c r="C5799" s="867" t="s">
        <v>4497</v>
      </c>
      <c r="D5799" s="868" t="s">
        <v>4348</v>
      </c>
      <c r="E5799" s="869" t="n">
        <v>0.003</v>
      </c>
      <c r="F5799" s="604" t="n">
        <v>550000</v>
      </c>
      <c r="G5799" s="894" t="n">
        <f aca="false">F5799*E5799</f>
        <v>1650</v>
      </c>
      <c r="H5799" s="433"/>
    </row>
    <row r="5800" customFormat="false" ht="15" hidden="false" customHeight="false" outlineLevel="0" collapsed="false">
      <c r="A5800" s="571"/>
      <c r="B5800" s="433"/>
      <c r="C5800" s="867" t="s">
        <v>4122</v>
      </c>
      <c r="D5800" s="868" t="s">
        <v>4123</v>
      </c>
      <c r="E5800" s="869" t="n">
        <v>0.01</v>
      </c>
      <c r="F5800" s="871" t="n">
        <v>720</v>
      </c>
      <c r="G5800" s="894" t="n">
        <f aca="false">F5800*E5800</f>
        <v>7.2</v>
      </c>
      <c r="H5800" s="433"/>
    </row>
    <row r="5801" customFormat="false" ht="15" hidden="false" customHeight="false" outlineLevel="0" collapsed="false">
      <c r="A5801" s="571"/>
      <c r="B5801" s="433"/>
      <c r="C5801" s="855" t="s">
        <v>5241</v>
      </c>
      <c r="D5801" s="868" t="s">
        <v>4121</v>
      </c>
      <c r="E5801" s="869" t="n">
        <v>0.001</v>
      </c>
      <c r="F5801" s="870" t="n">
        <v>1500</v>
      </c>
      <c r="G5801" s="894" t="n">
        <f aca="false">F5801*E5801</f>
        <v>1.5</v>
      </c>
      <c r="H5801" s="433"/>
    </row>
    <row r="5802" customFormat="false" ht="15" hidden="false" customHeight="false" outlineLevel="0" collapsed="false">
      <c r="A5802" s="571"/>
      <c r="B5802" s="433"/>
      <c r="C5802" s="872" t="s">
        <v>4124</v>
      </c>
      <c r="D5802" s="868" t="s">
        <v>4125</v>
      </c>
      <c r="E5802" s="869" t="n">
        <v>0.01</v>
      </c>
      <c r="F5802" s="871" t="n">
        <v>170</v>
      </c>
      <c r="G5802" s="894" t="n">
        <f aca="false">F5802*E5802</f>
        <v>1.7</v>
      </c>
      <c r="H5802" s="433"/>
    </row>
    <row r="5803" customFormat="false" ht="15" hidden="false" customHeight="false" outlineLevel="0" collapsed="false">
      <c r="A5803" s="571"/>
      <c r="B5803" s="433"/>
      <c r="C5803" s="872" t="s">
        <v>4347</v>
      </c>
      <c r="D5803" s="868" t="s">
        <v>4348</v>
      </c>
      <c r="E5803" s="869" t="n">
        <v>1</v>
      </c>
      <c r="F5803" s="871" t="n">
        <v>130</v>
      </c>
      <c r="G5803" s="894" t="n">
        <f aca="false">F5803*E5803</f>
        <v>130</v>
      </c>
      <c r="H5803" s="433"/>
    </row>
    <row r="5804" customFormat="false" ht="15" hidden="false" customHeight="false" outlineLevel="0" collapsed="false">
      <c r="A5804" s="571"/>
      <c r="B5804" s="433"/>
      <c r="C5804" s="532" t="s">
        <v>5239</v>
      </c>
      <c r="D5804" s="679" t="s">
        <v>4141</v>
      </c>
      <c r="E5804" s="866" t="n">
        <v>0.003</v>
      </c>
      <c r="F5804" s="681" t="n">
        <v>23500</v>
      </c>
      <c r="G5804" s="894" t="n">
        <f aca="false">F5804*E5804</f>
        <v>70.5</v>
      </c>
      <c r="H5804" s="433"/>
    </row>
    <row r="5805" customFormat="false" ht="15" hidden="false" customHeight="false" outlineLevel="0" collapsed="false">
      <c r="A5805" s="571"/>
      <c r="B5805" s="433"/>
      <c r="C5805" s="855" t="s">
        <v>4509</v>
      </c>
      <c r="D5805" s="316" t="s">
        <v>4348</v>
      </c>
      <c r="E5805" s="855" t="n">
        <v>1</v>
      </c>
      <c r="F5805" s="857" t="n">
        <v>26</v>
      </c>
      <c r="G5805" s="894" t="n">
        <f aca="false">F5805*E5805</f>
        <v>26</v>
      </c>
      <c r="H5805" s="433"/>
    </row>
    <row r="5806" customFormat="false" ht="45" hidden="false" customHeight="false" outlineLevel="0" collapsed="false">
      <c r="A5806" s="571" t="s">
        <v>1106</v>
      </c>
      <c r="B5806" s="488" t="s">
        <v>3314</v>
      </c>
      <c r="C5806" s="41"/>
      <c r="D5806" s="874"/>
      <c r="E5806" s="41"/>
      <c r="F5806" s="875"/>
      <c r="G5806" s="896" t="n">
        <f aca="false">SUM(G5807:G5821)</f>
        <v>11806.177</v>
      </c>
      <c r="H5806" s="433" t="s">
        <v>5267</v>
      </c>
    </row>
    <row r="5807" customFormat="false" ht="15" hidden="false" customHeight="false" outlineLevel="0" collapsed="false">
      <c r="A5807" s="571"/>
      <c r="B5807" s="433"/>
      <c r="C5807" s="860" t="s">
        <v>4250</v>
      </c>
      <c r="D5807" s="316" t="s">
        <v>4359</v>
      </c>
      <c r="E5807" s="855" t="n">
        <v>0.134</v>
      </c>
      <c r="F5807" s="115" t="n">
        <v>42000</v>
      </c>
      <c r="G5807" s="894" t="n">
        <f aca="false">F5807*E5807</f>
        <v>5628</v>
      </c>
      <c r="H5807" s="433"/>
    </row>
    <row r="5808" customFormat="false" ht="15" hidden="false" customHeight="false" outlineLevel="0" collapsed="false">
      <c r="A5808" s="571"/>
      <c r="B5808" s="433"/>
      <c r="C5808" s="855" t="s">
        <v>4673</v>
      </c>
      <c r="D5808" s="316" t="s">
        <v>4133</v>
      </c>
      <c r="E5808" s="855" t="n">
        <v>0.001</v>
      </c>
      <c r="F5808" s="115" t="n">
        <v>106777</v>
      </c>
      <c r="G5808" s="894" t="n">
        <f aca="false">F5808*E5808</f>
        <v>106.777</v>
      </c>
      <c r="H5808" s="433"/>
    </row>
    <row r="5809" customFormat="false" ht="15" hidden="false" customHeight="false" outlineLevel="0" collapsed="false">
      <c r="A5809" s="571"/>
      <c r="B5809" s="433"/>
      <c r="C5809" s="855" t="s">
        <v>5252</v>
      </c>
      <c r="D5809" s="316" t="s">
        <v>4133</v>
      </c>
      <c r="E5809" s="855" t="n">
        <v>0.01</v>
      </c>
      <c r="F5809" s="115" t="n">
        <v>19000</v>
      </c>
      <c r="G5809" s="894" t="n">
        <f aca="false">F5809*E5809</f>
        <v>190</v>
      </c>
      <c r="H5809" s="433"/>
    </row>
    <row r="5810" customFormat="false" ht="15" hidden="false" customHeight="false" outlineLevel="0" collapsed="false">
      <c r="A5810" s="571"/>
      <c r="B5810" s="433"/>
      <c r="C5810" s="860" t="s">
        <v>4317</v>
      </c>
      <c r="D5810" s="877" t="s">
        <v>4359</v>
      </c>
      <c r="E5810" s="855" t="n">
        <v>0.15</v>
      </c>
      <c r="F5810" s="115" t="n">
        <v>21000</v>
      </c>
      <c r="G5810" s="894" t="n">
        <f aca="false">F5810*E5810</f>
        <v>3150</v>
      </c>
      <c r="H5810" s="433"/>
    </row>
    <row r="5811" customFormat="false" ht="30" hidden="false" customHeight="false" outlineLevel="0" collapsed="false">
      <c r="A5811" s="571"/>
      <c r="B5811" s="433"/>
      <c r="C5811" s="855" t="s">
        <v>5268</v>
      </c>
      <c r="D5811" s="316" t="s">
        <v>4133</v>
      </c>
      <c r="E5811" s="855" t="n">
        <v>0.0001</v>
      </c>
      <c r="F5811" s="115" t="n">
        <v>60000</v>
      </c>
      <c r="G5811" s="894" t="n">
        <f aca="false">F5811*E5811</f>
        <v>6</v>
      </c>
      <c r="H5811" s="433"/>
    </row>
    <row r="5812" customFormat="false" ht="15" hidden="false" customHeight="false" outlineLevel="0" collapsed="false">
      <c r="A5812" s="571"/>
      <c r="B5812" s="433"/>
      <c r="C5812" s="855" t="s">
        <v>4205</v>
      </c>
      <c r="D5812" s="316" t="s">
        <v>4359</v>
      </c>
      <c r="E5812" s="855" t="n">
        <v>0.01</v>
      </c>
      <c r="F5812" s="115" t="n">
        <v>14000</v>
      </c>
      <c r="G5812" s="894" t="n">
        <f aca="false">F5812*E5812</f>
        <v>140</v>
      </c>
      <c r="H5812" s="433"/>
    </row>
    <row r="5813" customFormat="false" ht="15" hidden="false" customHeight="false" outlineLevel="0" collapsed="false">
      <c r="A5813" s="571"/>
      <c r="B5813" s="433"/>
      <c r="C5813" s="855" t="s">
        <v>5299</v>
      </c>
      <c r="D5813" s="316" t="s">
        <v>4133</v>
      </c>
      <c r="E5813" s="855" t="n">
        <v>0.005</v>
      </c>
      <c r="F5813" s="115" t="n">
        <v>2000</v>
      </c>
      <c r="G5813" s="894" t="n">
        <f aca="false">F5813*E5813</f>
        <v>10</v>
      </c>
      <c r="H5813" s="433"/>
    </row>
    <row r="5814" customFormat="false" ht="15" hidden="false" customHeight="false" outlineLevel="0" collapsed="false">
      <c r="A5814" s="571"/>
      <c r="B5814" s="433"/>
      <c r="C5814" s="855" t="s">
        <v>5241</v>
      </c>
      <c r="D5814" s="679" t="s">
        <v>4121</v>
      </c>
      <c r="E5814" s="614" t="n">
        <v>0.01</v>
      </c>
      <c r="F5814" s="617" t="n">
        <v>1500</v>
      </c>
      <c r="G5814" s="894" t="n">
        <f aca="false">F5814*E5814</f>
        <v>15</v>
      </c>
      <c r="H5814" s="433"/>
    </row>
    <row r="5815" customFormat="false" ht="15" hidden="false" customHeight="false" outlineLevel="0" collapsed="false">
      <c r="A5815" s="571"/>
      <c r="B5815" s="433"/>
      <c r="C5815" s="855" t="s">
        <v>5240</v>
      </c>
      <c r="D5815" s="316" t="s">
        <v>4578</v>
      </c>
      <c r="E5815" s="855" t="n">
        <v>0.003</v>
      </c>
      <c r="F5815" s="115" t="n">
        <v>225000</v>
      </c>
      <c r="G5815" s="894" t="n">
        <f aca="false">F5815*E5815</f>
        <v>675</v>
      </c>
      <c r="H5815" s="433"/>
    </row>
    <row r="5816" customFormat="false" ht="15" hidden="false" customHeight="false" outlineLevel="0" collapsed="false">
      <c r="A5816" s="571"/>
      <c r="B5816" s="433"/>
      <c r="C5816" s="867" t="s">
        <v>4497</v>
      </c>
      <c r="D5816" s="868" t="s">
        <v>4348</v>
      </c>
      <c r="E5816" s="603" t="n">
        <v>0.003</v>
      </c>
      <c r="F5816" s="604" t="n">
        <v>550000</v>
      </c>
      <c r="G5816" s="894" t="n">
        <f aca="false">F5816*E5816</f>
        <v>1650</v>
      </c>
      <c r="H5816" s="433"/>
    </row>
    <row r="5817" customFormat="false" ht="15" hidden="false" customHeight="false" outlineLevel="0" collapsed="false">
      <c r="A5817" s="571"/>
      <c r="B5817" s="433"/>
      <c r="C5817" s="884" t="s">
        <v>4122</v>
      </c>
      <c r="D5817" s="679" t="s">
        <v>4123</v>
      </c>
      <c r="E5817" s="614" t="n">
        <v>0.01</v>
      </c>
      <c r="F5817" s="607" t="n">
        <v>720</v>
      </c>
      <c r="G5817" s="894" t="n">
        <f aca="false">F5817*E5817</f>
        <v>7.2</v>
      </c>
      <c r="H5817" s="433"/>
    </row>
    <row r="5818" customFormat="false" ht="15" hidden="false" customHeight="false" outlineLevel="0" collapsed="false">
      <c r="A5818" s="571"/>
      <c r="B5818" s="433"/>
      <c r="C5818" s="885" t="s">
        <v>4124</v>
      </c>
      <c r="D5818" s="679" t="s">
        <v>4125</v>
      </c>
      <c r="E5818" s="614" t="n">
        <v>0.01</v>
      </c>
      <c r="F5818" s="883" t="n">
        <v>170</v>
      </c>
      <c r="G5818" s="894" t="n">
        <f aca="false">F5818*E5818</f>
        <v>1.7</v>
      </c>
      <c r="H5818" s="433"/>
    </row>
    <row r="5819" customFormat="false" ht="15" hidden="false" customHeight="false" outlineLevel="0" collapsed="false">
      <c r="A5819" s="571"/>
      <c r="B5819" s="433"/>
      <c r="C5819" s="532" t="s">
        <v>5239</v>
      </c>
      <c r="D5819" s="679" t="s">
        <v>4141</v>
      </c>
      <c r="E5819" s="858" t="n">
        <v>0.003</v>
      </c>
      <c r="F5819" s="617" t="n">
        <v>23500</v>
      </c>
      <c r="G5819" s="894" t="n">
        <f aca="false">F5819*E5819</f>
        <v>70.5</v>
      </c>
      <c r="H5819" s="433"/>
    </row>
    <row r="5820" customFormat="false" ht="15" hidden="false" customHeight="false" outlineLevel="0" collapsed="false">
      <c r="A5820" s="571"/>
      <c r="B5820" s="433"/>
      <c r="C5820" s="885" t="s">
        <v>4347</v>
      </c>
      <c r="D5820" s="679" t="s">
        <v>4348</v>
      </c>
      <c r="E5820" s="614" t="n">
        <v>1</v>
      </c>
      <c r="F5820" s="883" t="n">
        <v>130</v>
      </c>
      <c r="G5820" s="894" t="n">
        <f aca="false">F5820*E5820</f>
        <v>130</v>
      </c>
      <c r="H5820" s="433"/>
    </row>
    <row r="5821" customFormat="false" ht="15" hidden="false" customHeight="false" outlineLevel="0" collapsed="false">
      <c r="A5821" s="571"/>
      <c r="B5821" s="433"/>
      <c r="C5821" s="855" t="s">
        <v>4509</v>
      </c>
      <c r="D5821" s="316" t="s">
        <v>4348</v>
      </c>
      <c r="E5821" s="855" t="n">
        <v>1</v>
      </c>
      <c r="F5821" s="115" t="n">
        <v>26</v>
      </c>
      <c r="G5821" s="894" t="n">
        <f aca="false">F5821*E5821</f>
        <v>26</v>
      </c>
      <c r="H5821" s="433"/>
    </row>
    <row r="5822" customFormat="false" ht="30" hidden="false" customHeight="false" outlineLevel="0" collapsed="false">
      <c r="A5822" s="571" t="s">
        <v>1107</v>
      </c>
      <c r="B5822" s="488" t="s">
        <v>3315</v>
      </c>
      <c r="C5822" s="41"/>
      <c r="D5822" s="874"/>
      <c r="E5822" s="41"/>
      <c r="F5822" s="875"/>
      <c r="G5822" s="896" t="n">
        <f aca="false">SUM(G5823:G5847)</f>
        <v>14061.224</v>
      </c>
      <c r="H5822" s="433" t="s">
        <v>5288</v>
      </c>
    </row>
    <row r="5823" customFormat="false" ht="15" hidden="false" customHeight="false" outlineLevel="0" collapsed="false">
      <c r="A5823" s="571"/>
      <c r="B5823" s="433"/>
      <c r="C5823" s="860" t="s">
        <v>4250</v>
      </c>
      <c r="D5823" s="316" t="s">
        <v>4359</v>
      </c>
      <c r="E5823" s="855" t="n">
        <v>0.1</v>
      </c>
      <c r="F5823" s="115" t="n">
        <v>42000</v>
      </c>
      <c r="G5823" s="894" t="n">
        <f aca="false">F5823*E5823</f>
        <v>4200</v>
      </c>
      <c r="H5823" s="433"/>
    </row>
    <row r="5824" customFormat="false" ht="15" hidden="false" customHeight="false" outlineLevel="0" collapsed="false">
      <c r="A5824" s="571"/>
      <c r="B5824" s="433"/>
      <c r="C5824" s="855" t="s">
        <v>4604</v>
      </c>
      <c r="D5824" s="316" t="s">
        <v>4359</v>
      </c>
      <c r="E5824" s="855" t="n">
        <v>0.09</v>
      </c>
      <c r="F5824" s="115" t="n">
        <v>18000</v>
      </c>
      <c r="G5824" s="894" t="n">
        <f aca="false">F5824*E5824</f>
        <v>1620</v>
      </c>
      <c r="H5824" s="433"/>
    </row>
    <row r="5825" customFormat="false" ht="15" hidden="false" customHeight="false" outlineLevel="0" collapsed="false">
      <c r="A5825" s="571"/>
      <c r="B5825" s="433"/>
      <c r="C5825" s="855" t="s">
        <v>4147</v>
      </c>
      <c r="D5825" s="316" t="s">
        <v>4359</v>
      </c>
      <c r="E5825" s="855" t="n">
        <v>0.006</v>
      </c>
      <c r="F5825" s="115" t="n">
        <v>18000</v>
      </c>
      <c r="G5825" s="894" t="n">
        <f aca="false">F5825*E5825</f>
        <v>108</v>
      </c>
      <c r="H5825" s="433"/>
    </row>
    <row r="5826" customFormat="false" ht="15" hidden="false" customHeight="false" outlineLevel="0" collapsed="false">
      <c r="A5826" s="571"/>
      <c r="B5826" s="433"/>
      <c r="C5826" s="855" t="s">
        <v>4365</v>
      </c>
      <c r="D5826" s="316" t="s">
        <v>4133</v>
      </c>
      <c r="E5826" s="855" t="n">
        <v>0.002</v>
      </c>
      <c r="F5826" s="115" t="n">
        <v>18000</v>
      </c>
      <c r="G5826" s="894" t="n">
        <f aca="false">F5826*E5826</f>
        <v>36</v>
      </c>
      <c r="H5826" s="433"/>
    </row>
    <row r="5827" customFormat="false" ht="15" hidden="false" customHeight="false" outlineLevel="0" collapsed="false">
      <c r="A5827" s="571"/>
      <c r="B5827" s="433"/>
      <c r="C5827" s="855" t="s">
        <v>4673</v>
      </c>
      <c r="D5827" s="316" t="s">
        <v>4133</v>
      </c>
      <c r="E5827" s="855" t="n">
        <v>0.002</v>
      </c>
      <c r="F5827" s="857" t="n">
        <v>106777</v>
      </c>
      <c r="G5827" s="894" t="n">
        <f aca="false">F5827*E5827</f>
        <v>213.554</v>
      </c>
      <c r="H5827" s="433"/>
    </row>
    <row r="5828" customFormat="false" ht="15" hidden="false" customHeight="false" outlineLevel="0" collapsed="false">
      <c r="A5828" s="571"/>
      <c r="B5828" s="433"/>
      <c r="C5828" s="860" t="s">
        <v>4154</v>
      </c>
      <c r="D5828" s="316" t="s">
        <v>4359</v>
      </c>
      <c r="E5828" s="855" t="n">
        <v>0.006</v>
      </c>
      <c r="F5828" s="115" t="n">
        <v>18000</v>
      </c>
      <c r="G5828" s="894" t="n">
        <f aca="false">F5828*E5828</f>
        <v>108</v>
      </c>
      <c r="H5828" s="433"/>
    </row>
    <row r="5829" customFormat="false" ht="15" hidden="false" customHeight="false" outlineLevel="0" collapsed="false">
      <c r="A5829" s="571"/>
      <c r="B5829" s="433"/>
      <c r="C5829" s="855" t="s">
        <v>5252</v>
      </c>
      <c r="D5829" s="316" t="s">
        <v>4133</v>
      </c>
      <c r="E5829" s="855" t="n">
        <v>0.002</v>
      </c>
      <c r="F5829" s="115" t="n">
        <v>19000</v>
      </c>
      <c r="G5829" s="894" t="n">
        <f aca="false">F5829*E5829</f>
        <v>38</v>
      </c>
      <c r="H5829" s="433"/>
    </row>
    <row r="5830" customFormat="false" ht="15" hidden="false" customHeight="false" outlineLevel="0" collapsed="false">
      <c r="A5830" s="571"/>
      <c r="B5830" s="433"/>
      <c r="C5830" s="860" t="s">
        <v>4317</v>
      </c>
      <c r="D5830" s="877" t="s">
        <v>4359</v>
      </c>
      <c r="E5830" s="860" t="n">
        <v>0.2</v>
      </c>
      <c r="F5830" s="115" t="n">
        <v>21000</v>
      </c>
      <c r="G5830" s="894" t="n">
        <f aca="false">F5830*E5830</f>
        <v>4200</v>
      </c>
      <c r="H5830" s="433"/>
    </row>
    <row r="5831" customFormat="false" ht="15" hidden="false" customHeight="false" outlineLevel="0" collapsed="false">
      <c r="A5831" s="571"/>
      <c r="B5831" s="433"/>
      <c r="C5831" s="855" t="s">
        <v>4132</v>
      </c>
      <c r="D5831" s="316" t="s">
        <v>4133</v>
      </c>
      <c r="E5831" s="855" t="n">
        <v>0.005</v>
      </c>
      <c r="F5831" s="115" t="n">
        <v>18000</v>
      </c>
      <c r="G5831" s="894" t="n">
        <f aca="false">F5831*E5831</f>
        <v>90</v>
      </c>
      <c r="H5831" s="433"/>
    </row>
    <row r="5832" customFormat="false" ht="15" hidden="false" customHeight="false" outlineLevel="0" collapsed="false">
      <c r="A5832" s="571"/>
      <c r="B5832" s="433"/>
      <c r="C5832" s="855" t="s">
        <v>4758</v>
      </c>
      <c r="D5832" s="316" t="s">
        <v>4359</v>
      </c>
      <c r="E5832" s="855" t="n">
        <v>0.008</v>
      </c>
      <c r="F5832" s="115" t="n">
        <v>14000</v>
      </c>
      <c r="G5832" s="894" t="n">
        <f aca="false">F5832*E5832</f>
        <v>112</v>
      </c>
      <c r="H5832" s="433"/>
    </row>
    <row r="5833" customFormat="false" ht="15" hidden="false" customHeight="false" outlineLevel="0" collapsed="false">
      <c r="A5833" s="571"/>
      <c r="B5833" s="433"/>
      <c r="C5833" s="860" t="s">
        <v>4158</v>
      </c>
      <c r="D5833" s="316" t="s">
        <v>4133</v>
      </c>
      <c r="E5833" s="855" t="n">
        <v>0.015</v>
      </c>
      <c r="F5833" s="115" t="n">
        <v>6400</v>
      </c>
      <c r="G5833" s="894" t="n">
        <f aca="false">F5833*E5833</f>
        <v>96</v>
      </c>
      <c r="H5833" s="433"/>
    </row>
    <row r="5834" customFormat="false" ht="30" hidden="false" customHeight="false" outlineLevel="0" collapsed="false">
      <c r="A5834" s="571"/>
      <c r="B5834" s="433"/>
      <c r="C5834" s="881" t="s">
        <v>4227</v>
      </c>
      <c r="D5834" s="882" t="s">
        <v>4133</v>
      </c>
      <c r="E5834" s="614" t="n">
        <v>0.01</v>
      </c>
      <c r="F5834" s="883" t="n">
        <v>2500</v>
      </c>
      <c r="G5834" s="894" t="n">
        <f aca="false">F5834*E5834</f>
        <v>25</v>
      </c>
      <c r="H5834" s="433"/>
    </row>
    <row r="5835" customFormat="false" ht="15" hidden="false" customHeight="false" outlineLevel="0" collapsed="false">
      <c r="A5835" s="571"/>
      <c r="B5835" s="433"/>
      <c r="C5835" s="881" t="s">
        <v>4266</v>
      </c>
      <c r="D5835" s="882" t="s">
        <v>4133</v>
      </c>
      <c r="E5835" s="614" t="n">
        <v>0.01</v>
      </c>
      <c r="F5835" s="883" t="n">
        <v>24000</v>
      </c>
      <c r="G5835" s="894" t="n">
        <f aca="false">F5835*E5835</f>
        <v>240</v>
      </c>
      <c r="H5835" s="433"/>
    </row>
    <row r="5836" customFormat="false" ht="30" hidden="false" customHeight="false" outlineLevel="0" collapsed="false">
      <c r="A5836" s="571"/>
      <c r="B5836" s="433"/>
      <c r="C5836" s="855" t="s">
        <v>5268</v>
      </c>
      <c r="D5836" s="316" t="s">
        <v>4133</v>
      </c>
      <c r="E5836" s="855" t="n">
        <v>0.0001</v>
      </c>
      <c r="F5836" s="115" t="n">
        <v>60000</v>
      </c>
      <c r="G5836" s="894" t="n">
        <f aca="false">F5836*E5836</f>
        <v>6</v>
      </c>
      <c r="H5836" s="433"/>
    </row>
    <row r="5837" customFormat="false" ht="15" hidden="false" customHeight="false" outlineLevel="0" collapsed="false">
      <c r="A5837" s="571"/>
      <c r="B5837" s="433"/>
      <c r="C5837" s="867" t="s">
        <v>4497</v>
      </c>
      <c r="D5837" s="868" t="s">
        <v>4348</v>
      </c>
      <c r="E5837" s="869" t="n">
        <v>0.003</v>
      </c>
      <c r="F5837" s="870" t="n">
        <v>550000</v>
      </c>
      <c r="G5837" s="894" t="n">
        <f aca="false">F5837*E5837</f>
        <v>1650</v>
      </c>
      <c r="H5837" s="433"/>
    </row>
    <row r="5838" customFormat="false" ht="15" hidden="false" customHeight="false" outlineLevel="0" collapsed="false">
      <c r="A5838" s="571"/>
      <c r="B5838" s="433"/>
      <c r="C5838" s="884" t="s">
        <v>4122</v>
      </c>
      <c r="D5838" s="679" t="s">
        <v>4123</v>
      </c>
      <c r="E5838" s="709" t="n">
        <v>0.1</v>
      </c>
      <c r="F5838" s="871" t="n">
        <v>720</v>
      </c>
      <c r="G5838" s="894" t="n">
        <f aca="false">F5838*E5838</f>
        <v>72</v>
      </c>
      <c r="H5838" s="433"/>
    </row>
    <row r="5839" customFormat="false" ht="30" hidden="false" customHeight="false" outlineLevel="0" collapsed="false">
      <c r="A5839" s="571"/>
      <c r="B5839" s="433"/>
      <c r="C5839" s="532" t="s">
        <v>5238</v>
      </c>
      <c r="D5839" s="679" t="s">
        <v>4141</v>
      </c>
      <c r="E5839" s="866" t="n">
        <v>0.001</v>
      </c>
      <c r="F5839" s="681" t="n">
        <v>1400</v>
      </c>
      <c r="G5839" s="894" t="n">
        <f aca="false">F5839*E5839</f>
        <v>1.4</v>
      </c>
      <c r="H5839" s="433"/>
    </row>
    <row r="5840" customFormat="false" ht="15" hidden="false" customHeight="false" outlineLevel="0" collapsed="false">
      <c r="A5840" s="571"/>
      <c r="B5840" s="433"/>
      <c r="C5840" s="855" t="s">
        <v>5241</v>
      </c>
      <c r="D5840" s="679" t="s">
        <v>4121</v>
      </c>
      <c r="E5840" s="709" t="n">
        <v>0.001</v>
      </c>
      <c r="F5840" s="681" t="n">
        <v>1500</v>
      </c>
      <c r="G5840" s="894" t="n">
        <f aca="false">F5840*E5840</f>
        <v>1.5</v>
      </c>
      <c r="H5840" s="433"/>
    </row>
    <row r="5841" customFormat="false" ht="15" hidden="false" customHeight="false" outlineLevel="0" collapsed="false">
      <c r="A5841" s="571"/>
      <c r="B5841" s="433"/>
      <c r="C5841" s="855" t="s">
        <v>5240</v>
      </c>
      <c r="D5841" s="316" t="s">
        <v>4578</v>
      </c>
      <c r="E5841" s="855" t="n">
        <v>0.002</v>
      </c>
      <c r="F5841" s="857" t="n">
        <v>225000</v>
      </c>
      <c r="G5841" s="894" t="n">
        <f aca="false">F5841*E5841</f>
        <v>450</v>
      </c>
      <c r="H5841" s="433"/>
    </row>
    <row r="5842" customFormat="false" ht="15" hidden="false" customHeight="false" outlineLevel="0" collapsed="false">
      <c r="A5842" s="571"/>
      <c r="B5842" s="433"/>
      <c r="C5842" s="532" t="s">
        <v>4251</v>
      </c>
      <c r="D5842" s="679" t="s">
        <v>4578</v>
      </c>
      <c r="E5842" s="866" t="n">
        <v>0.002</v>
      </c>
      <c r="F5842" s="681" t="n">
        <v>275000</v>
      </c>
      <c r="G5842" s="894" t="n">
        <f aca="false">F5842*E5842</f>
        <v>550</v>
      </c>
      <c r="H5842" s="433"/>
    </row>
    <row r="5843" customFormat="false" ht="15" hidden="false" customHeight="false" outlineLevel="0" collapsed="false">
      <c r="A5843" s="571"/>
      <c r="B5843" s="433"/>
      <c r="C5843" s="885" t="s">
        <v>4124</v>
      </c>
      <c r="D5843" s="679" t="s">
        <v>4125</v>
      </c>
      <c r="E5843" s="709" t="n">
        <v>0.1</v>
      </c>
      <c r="F5843" s="886" t="n">
        <v>170</v>
      </c>
      <c r="G5843" s="894" t="n">
        <f aca="false">F5843*E5843</f>
        <v>17</v>
      </c>
      <c r="H5843" s="433"/>
    </row>
    <row r="5844" customFormat="false" ht="15" hidden="false" customHeight="false" outlineLevel="0" collapsed="false">
      <c r="A5844" s="571"/>
      <c r="B5844" s="433"/>
      <c r="C5844" s="885" t="s">
        <v>4347</v>
      </c>
      <c r="D5844" s="679" t="s">
        <v>4348</v>
      </c>
      <c r="E5844" s="709" t="n">
        <v>1</v>
      </c>
      <c r="F5844" s="886" t="n">
        <v>130</v>
      </c>
      <c r="G5844" s="894" t="n">
        <f aca="false">F5844*E5844</f>
        <v>130</v>
      </c>
      <c r="H5844" s="433"/>
    </row>
    <row r="5845" customFormat="false" ht="15" hidden="false" customHeight="false" outlineLevel="0" collapsed="false">
      <c r="A5845" s="571"/>
      <c r="B5845" s="433"/>
      <c r="C5845" s="532" t="s">
        <v>5239</v>
      </c>
      <c r="D5845" s="679" t="s">
        <v>4141</v>
      </c>
      <c r="E5845" s="866" t="n">
        <v>0.003</v>
      </c>
      <c r="F5845" s="681" t="n">
        <v>23500</v>
      </c>
      <c r="G5845" s="894" t="n">
        <f aca="false">F5845*E5845</f>
        <v>70.5</v>
      </c>
      <c r="H5845" s="433"/>
    </row>
    <row r="5846" customFormat="false" ht="15" hidden="false" customHeight="false" outlineLevel="0" collapsed="false">
      <c r="A5846" s="571"/>
      <c r="B5846" s="433"/>
      <c r="C5846" s="885" t="s">
        <v>4515</v>
      </c>
      <c r="D5846" s="679" t="s">
        <v>4133</v>
      </c>
      <c r="E5846" s="709" t="n">
        <v>0.0001</v>
      </c>
      <c r="F5846" s="886" t="n">
        <v>2700</v>
      </c>
      <c r="G5846" s="894" t="n">
        <f aca="false">F5846*E5846</f>
        <v>0.27</v>
      </c>
      <c r="H5846" s="433"/>
    </row>
    <row r="5847" customFormat="false" ht="15" hidden="false" customHeight="false" outlineLevel="0" collapsed="false">
      <c r="A5847" s="571"/>
      <c r="B5847" s="433"/>
      <c r="C5847" s="855" t="s">
        <v>4509</v>
      </c>
      <c r="D5847" s="316" t="s">
        <v>4348</v>
      </c>
      <c r="E5847" s="855" t="n">
        <v>1</v>
      </c>
      <c r="F5847" s="857" t="n">
        <v>26</v>
      </c>
      <c r="G5847" s="894" t="n">
        <f aca="false">F5847*E5847</f>
        <v>26</v>
      </c>
      <c r="H5847" s="433"/>
    </row>
    <row r="5848" customFormat="false" ht="28.5" hidden="false" customHeight="false" outlineLevel="0" collapsed="false">
      <c r="A5848" s="350" t="s">
        <v>5300</v>
      </c>
      <c r="B5848" s="346" t="s">
        <v>3333</v>
      </c>
      <c r="C5848" s="601"/>
      <c r="D5848" s="600"/>
      <c r="E5848" s="600"/>
      <c r="F5848" s="364"/>
      <c r="G5848" s="713"/>
      <c r="H5848" s="887"/>
    </row>
    <row r="5849" customFormat="false" ht="15" hidden="false" customHeight="false" outlineLevel="0" collapsed="false">
      <c r="A5849" s="571" t="s">
        <v>1110</v>
      </c>
      <c r="B5849" s="433" t="s">
        <v>3307</v>
      </c>
      <c r="C5849" s="476"/>
      <c r="D5849" s="820"/>
      <c r="E5849" s="820"/>
      <c r="F5849" s="697"/>
      <c r="G5849" s="826" t="n">
        <f aca="false">SUM(G5850:G5869)</f>
        <v>6463.5145</v>
      </c>
      <c r="H5849" s="889" t="s">
        <v>5227</v>
      </c>
    </row>
    <row r="5850" customFormat="false" ht="15" hidden="false" customHeight="false" outlineLevel="0" collapsed="false">
      <c r="A5850" s="380"/>
      <c r="B5850" s="433"/>
      <c r="C5850" s="855" t="s">
        <v>4317</v>
      </c>
      <c r="D5850" s="316" t="s">
        <v>4359</v>
      </c>
      <c r="E5850" s="855" t="n">
        <v>0.14</v>
      </c>
      <c r="F5850" s="115" t="n">
        <v>21000</v>
      </c>
      <c r="G5850" s="615" t="n">
        <f aca="false">F5850*E5850</f>
        <v>2940</v>
      </c>
      <c r="H5850" s="433"/>
    </row>
    <row r="5851" customFormat="false" ht="15" hidden="false" customHeight="false" outlineLevel="0" collapsed="false">
      <c r="A5851" s="571"/>
      <c r="B5851" s="433"/>
      <c r="C5851" s="855" t="s">
        <v>4147</v>
      </c>
      <c r="D5851" s="316" t="s">
        <v>4359</v>
      </c>
      <c r="E5851" s="855" t="n">
        <v>0.005</v>
      </c>
      <c r="F5851" s="115" t="n">
        <v>18000</v>
      </c>
      <c r="G5851" s="615" t="n">
        <f aca="false">F5851*E5851</f>
        <v>90</v>
      </c>
      <c r="H5851" s="433"/>
    </row>
    <row r="5852" customFormat="false" ht="15" hidden="false" customHeight="false" outlineLevel="0" collapsed="false">
      <c r="A5852" s="571"/>
      <c r="B5852" s="433"/>
      <c r="C5852" s="855" t="s">
        <v>5228</v>
      </c>
      <c r="D5852" s="316" t="s">
        <v>4133</v>
      </c>
      <c r="E5852" s="855" t="n">
        <v>0.02</v>
      </c>
      <c r="F5852" s="115" t="n">
        <v>19000</v>
      </c>
      <c r="G5852" s="615" t="n">
        <f aca="false">F5852*E5852</f>
        <v>380</v>
      </c>
      <c r="H5852" s="433"/>
    </row>
    <row r="5853" customFormat="false" ht="15" hidden="false" customHeight="false" outlineLevel="0" collapsed="false">
      <c r="A5853" s="571"/>
      <c r="B5853" s="433"/>
      <c r="C5853" s="855" t="s">
        <v>4673</v>
      </c>
      <c r="D5853" s="316" t="s">
        <v>4133</v>
      </c>
      <c r="E5853" s="855" t="n">
        <v>0.002</v>
      </c>
      <c r="F5853" s="115" t="n">
        <v>106777</v>
      </c>
      <c r="G5853" s="615" t="n">
        <f aca="false">F5853*E5853</f>
        <v>213.554</v>
      </c>
      <c r="H5853" s="433"/>
    </row>
    <row r="5854" customFormat="false" ht="30" hidden="false" customHeight="false" outlineLevel="0" collapsed="false">
      <c r="A5854" s="571"/>
      <c r="B5854" s="433"/>
      <c r="C5854" s="532" t="s">
        <v>5238</v>
      </c>
      <c r="D5854" s="679" t="s">
        <v>4141</v>
      </c>
      <c r="E5854" s="865" t="n">
        <v>0.1</v>
      </c>
      <c r="F5854" s="617" t="n">
        <v>1400</v>
      </c>
      <c r="G5854" s="615" t="n">
        <f aca="false">F5854*E5854</f>
        <v>140</v>
      </c>
      <c r="H5854" s="433"/>
    </row>
    <row r="5855" customFormat="false" ht="30" hidden="false" customHeight="false" outlineLevel="0" collapsed="false">
      <c r="A5855" s="571"/>
      <c r="B5855" s="433"/>
      <c r="C5855" s="855" t="s">
        <v>5229</v>
      </c>
      <c r="D5855" s="316" t="s">
        <v>4133</v>
      </c>
      <c r="E5855" s="855" t="n">
        <v>0.0001</v>
      </c>
      <c r="F5855" s="115" t="n">
        <v>71490</v>
      </c>
      <c r="G5855" s="615" t="n">
        <f aca="false">F5855*E5855</f>
        <v>7.149</v>
      </c>
      <c r="H5855" s="433"/>
    </row>
    <row r="5856" customFormat="false" ht="30" hidden="false" customHeight="false" outlineLevel="0" collapsed="false">
      <c r="A5856" s="571"/>
      <c r="B5856" s="433"/>
      <c r="C5856" s="855" t="s">
        <v>5230</v>
      </c>
      <c r="D5856" s="316" t="s">
        <v>4133</v>
      </c>
      <c r="E5856" s="855" t="n">
        <v>0.0001</v>
      </c>
      <c r="F5856" s="857" t="n">
        <v>74815</v>
      </c>
      <c r="G5856" s="615" t="n">
        <f aca="false">F5856*E5856</f>
        <v>7.4815</v>
      </c>
      <c r="H5856" s="433"/>
    </row>
    <row r="5857" customFormat="false" ht="45" hidden="false" customHeight="false" outlineLevel="0" collapsed="false">
      <c r="A5857" s="571"/>
      <c r="B5857" s="433"/>
      <c r="C5857" s="855" t="s">
        <v>5231</v>
      </c>
      <c r="D5857" s="316" t="s">
        <v>4133</v>
      </c>
      <c r="E5857" s="855" t="n">
        <v>0.0001</v>
      </c>
      <c r="F5857" s="857" t="n">
        <v>75465</v>
      </c>
      <c r="G5857" s="615" t="n">
        <f aca="false">F5857*E5857</f>
        <v>7.5465</v>
      </c>
      <c r="H5857" s="433"/>
    </row>
    <row r="5858" customFormat="false" ht="30" hidden="false" customHeight="false" outlineLevel="0" collapsed="false">
      <c r="A5858" s="571"/>
      <c r="B5858" s="433"/>
      <c r="C5858" s="855" t="s">
        <v>5232</v>
      </c>
      <c r="D5858" s="316" t="s">
        <v>4133</v>
      </c>
      <c r="E5858" s="855" t="n">
        <v>0.0001</v>
      </c>
      <c r="F5858" s="857" t="n">
        <v>87990</v>
      </c>
      <c r="G5858" s="615" t="n">
        <f aca="false">F5858*E5858</f>
        <v>8.799</v>
      </c>
      <c r="H5858" s="433"/>
    </row>
    <row r="5859" customFormat="false" ht="30" hidden="false" customHeight="false" outlineLevel="0" collapsed="false">
      <c r="A5859" s="571"/>
      <c r="B5859" s="433"/>
      <c r="C5859" s="855" t="s">
        <v>5233</v>
      </c>
      <c r="D5859" s="316" t="s">
        <v>4133</v>
      </c>
      <c r="E5859" s="855" t="n">
        <v>0.0001</v>
      </c>
      <c r="F5859" s="857" t="n">
        <v>71395</v>
      </c>
      <c r="G5859" s="615" t="n">
        <f aca="false">F5859*E5859</f>
        <v>7.1395</v>
      </c>
      <c r="H5859" s="433"/>
    </row>
    <row r="5860" customFormat="false" ht="30" hidden="false" customHeight="false" outlineLevel="0" collapsed="false">
      <c r="A5860" s="571"/>
      <c r="B5860" s="433"/>
      <c r="C5860" s="855" t="s">
        <v>5234</v>
      </c>
      <c r="D5860" s="316" t="s">
        <v>4133</v>
      </c>
      <c r="E5860" s="855" t="n">
        <v>0.0001</v>
      </c>
      <c r="F5860" s="857" t="n">
        <v>53450</v>
      </c>
      <c r="G5860" s="615" t="n">
        <f aca="false">F5860*E5860</f>
        <v>5.345</v>
      </c>
      <c r="H5860" s="433"/>
    </row>
    <row r="5861" customFormat="false" ht="15" hidden="false" customHeight="false" outlineLevel="0" collapsed="false">
      <c r="A5861" s="571"/>
      <c r="B5861" s="433"/>
      <c r="C5861" s="855" t="s">
        <v>4378</v>
      </c>
      <c r="D5861" s="316" t="s">
        <v>4133</v>
      </c>
      <c r="E5861" s="855" t="n">
        <v>0.005</v>
      </c>
      <c r="F5861" s="857" t="n">
        <v>45000</v>
      </c>
      <c r="G5861" s="615" t="n">
        <f aca="false">F5861*E5861</f>
        <v>225</v>
      </c>
      <c r="H5861" s="433"/>
    </row>
    <row r="5862" customFormat="false" ht="15" hidden="false" customHeight="false" outlineLevel="0" collapsed="false">
      <c r="A5862" s="571"/>
      <c r="B5862" s="433"/>
      <c r="C5862" s="855" t="s">
        <v>5240</v>
      </c>
      <c r="D5862" s="316" t="s">
        <v>4578</v>
      </c>
      <c r="E5862" s="855" t="n">
        <v>0.002</v>
      </c>
      <c r="F5862" s="857" t="n">
        <v>225000</v>
      </c>
      <c r="G5862" s="615" t="n">
        <f aca="false">F5862*E5862</f>
        <v>450</v>
      </c>
      <c r="H5862" s="433"/>
    </row>
    <row r="5863" customFormat="false" ht="15" hidden="false" customHeight="false" outlineLevel="0" collapsed="false">
      <c r="A5863" s="571"/>
      <c r="B5863" s="433"/>
      <c r="C5863" s="855" t="s">
        <v>5241</v>
      </c>
      <c r="D5863" s="316" t="s">
        <v>4141</v>
      </c>
      <c r="E5863" s="860" t="n">
        <v>0.01</v>
      </c>
      <c r="F5863" s="857" t="n">
        <v>1500</v>
      </c>
      <c r="G5863" s="615" t="n">
        <f aca="false">F5863*E5863</f>
        <v>15</v>
      </c>
      <c r="H5863" s="433"/>
    </row>
    <row r="5864" customFormat="false" ht="15" hidden="false" customHeight="false" outlineLevel="0" collapsed="false">
      <c r="A5864" s="571"/>
      <c r="B5864" s="433"/>
      <c r="C5864" s="855" t="s">
        <v>4347</v>
      </c>
      <c r="D5864" s="316" t="s">
        <v>4348</v>
      </c>
      <c r="E5864" s="855" t="n">
        <v>1</v>
      </c>
      <c r="F5864" s="857" t="n">
        <v>130</v>
      </c>
      <c r="G5864" s="615" t="n">
        <f aca="false">F5864*E5864</f>
        <v>130</v>
      </c>
      <c r="H5864" s="433"/>
    </row>
    <row r="5865" customFormat="false" ht="15" hidden="false" customHeight="false" outlineLevel="0" collapsed="false">
      <c r="A5865" s="571"/>
      <c r="B5865" s="433"/>
      <c r="C5865" s="867" t="s">
        <v>4497</v>
      </c>
      <c r="D5865" s="868" t="s">
        <v>4348</v>
      </c>
      <c r="E5865" s="869" t="n">
        <v>0.003</v>
      </c>
      <c r="F5865" s="870" t="n">
        <v>550000</v>
      </c>
      <c r="G5865" s="615" t="n">
        <f aca="false">F5865*E5865</f>
        <v>1650</v>
      </c>
      <c r="H5865" s="433"/>
    </row>
    <row r="5866" customFormat="false" ht="15" hidden="false" customHeight="false" outlineLevel="0" collapsed="false">
      <c r="A5866" s="571"/>
      <c r="B5866" s="433"/>
      <c r="C5866" s="855" t="s">
        <v>4122</v>
      </c>
      <c r="D5866" s="316" t="s">
        <v>4359</v>
      </c>
      <c r="E5866" s="855" t="n">
        <v>0.1</v>
      </c>
      <c r="F5866" s="871" t="n">
        <v>720</v>
      </c>
      <c r="G5866" s="615" t="n">
        <f aca="false">F5866*E5866</f>
        <v>72</v>
      </c>
      <c r="H5866" s="433"/>
    </row>
    <row r="5867" customFormat="false" ht="15" hidden="false" customHeight="false" outlineLevel="0" collapsed="false">
      <c r="A5867" s="571"/>
      <c r="B5867" s="433"/>
      <c r="C5867" s="855" t="s">
        <v>4515</v>
      </c>
      <c r="D5867" s="316" t="s">
        <v>4133</v>
      </c>
      <c r="E5867" s="855" t="n">
        <v>0.01</v>
      </c>
      <c r="F5867" s="857" t="n">
        <v>2700</v>
      </c>
      <c r="G5867" s="615" t="n">
        <f aca="false">F5867*E5867</f>
        <v>27</v>
      </c>
      <c r="H5867" s="433"/>
    </row>
    <row r="5868" customFormat="false" ht="15" hidden="false" customHeight="false" outlineLevel="0" collapsed="false">
      <c r="A5868" s="571"/>
      <c r="B5868" s="433"/>
      <c r="C5868" s="532" t="s">
        <v>5239</v>
      </c>
      <c r="D5868" s="679" t="s">
        <v>4141</v>
      </c>
      <c r="E5868" s="866" t="n">
        <v>0.003</v>
      </c>
      <c r="F5868" s="681" t="n">
        <v>23500</v>
      </c>
      <c r="G5868" s="615" t="n">
        <f aca="false">F5868*E5868</f>
        <v>70.5</v>
      </c>
      <c r="H5868" s="433"/>
    </row>
    <row r="5869" customFormat="false" ht="15" hidden="false" customHeight="false" outlineLevel="0" collapsed="false">
      <c r="A5869" s="571"/>
      <c r="B5869" s="433"/>
      <c r="C5869" s="861" t="s">
        <v>4124</v>
      </c>
      <c r="D5869" s="316" t="s">
        <v>4125</v>
      </c>
      <c r="E5869" s="855" t="n">
        <v>0.1</v>
      </c>
      <c r="F5869" s="857" t="n">
        <v>170</v>
      </c>
      <c r="G5869" s="615" t="n">
        <f aca="false">F5869*E5869</f>
        <v>17</v>
      </c>
      <c r="H5869" s="433"/>
    </row>
    <row r="5870" customFormat="false" ht="14.25" hidden="false" customHeight="true" outlineLevel="0" collapsed="false">
      <c r="A5870" s="571" t="s">
        <v>1111</v>
      </c>
      <c r="B5870" s="488" t="s">
        <v>5301</v>
      </c>
      <c r="C5870" s="41"/>
      <c r="D5870" s="874"/>
      <c r="E5870" s="41"/>
      <c r="F5870" s="875"/>
      <c r="G5870" s="826" t="n">
        <f aca="false">SUM(G5871:G5887)</f>
        <v>9293.5</v>
      </c>
      <c r="H5870" s="433" t="s">
        <v>5282</v>
      </c>
    </row>
    <row r="5871" customFormat="false" ht="15" hidden="false" customHeight="false" outlineLevel="0" collapsed="false">
      <c r="A5871" s="571"/>
      <c r="B5871" s="433"/>
      <c r="C5871" s="855" t="s">
        <v>4604</v>
      </c>
      <c r="D5871" s="316" t="s">
        <v>4359</v>
      </c>
      <c r="E5871" s="855" t="n">
        <v>0.026</v>
      </c>
      <c r="F5871" s="115" t="n">
        <v>18000</v>
      </c>
      <c r="G5871" s="615" t="n">
        <f aca="false">F5871*E5871</f>
        <v>468</v>
      </c>
      <c r="H5871" s="433"/>
    </row>
    <row r="5872" customFormat="false" ht="15" hidden="false" customHeight="false" outlineLevel="0" collapsed="false">
      <c r="A5872" s="571"/>
      <c r="B5872" s="433"/>
      <c r="C5872" s="878" t="s">
        <v>4154</v>
      </c>
      <c r="D5872" s="316" t="s">
        <v>4359</v>
      </c>
      <c r="E5872" s="855" t="n">
        <v>0.07</v>
      </c>
      <c r="F5872" s="115" t="n">
        <v>18000</v>
      </c>
      <c r="G5872" s="615" t="n">
        <f aca="false">F5872*E5872</f>
        <v>1260</v>
      </c>
      <c r="H5872" s="433"/>
    </row>
    <row r="5873" customFormat="false" ht="15" hidden="false" customHeight="false" outlineLevel="0" collapsed="false">
      <c r="A5873" s="571"/>
      <c r="B5873" s="433"/>
      <c r="C5873" s="861" t="s">
        <v>4317</v>
      </c>
      <c r="D5873" s="316" t="s">
        <v>4359</v>
      </c>
      <c r="E5873" s="855" t="n">
        <v>0.1</v>
      </c>
      <c r="F5873" s="115" t="n">
        <v>21000</v>
      </c>
      <c r="G5873" s="615" t="n">
        <f aca="false">F5873*E5873</f>
        <v>2100</v>
      </c>
      <c r="H5873" s="433"/>
    </row>
    <row r="5874" customFormat="false" ht="15" hidden="false" customHeight="false" outlineLevel="0" collapsed="false">
      <c r="A5874" s="571"/>
      <c r="B5874" s="433"/>
      <c r="C5874" s="861" t="s">
        <v>4214</v>
      </c>
      <c r="D5874" s="316" t="s">
        <v>4133</v>
      </c>
      <c r="E5874" s="855" t="n">
        <v>0.01</v>
      </c>
      <c r="F5874" s="115" t="n">
        <v>35000</v>
      </c>
      <c r="G5874" s="615" t="n">
        <f aca="false">F5874*E5874</f>
        <v>350</v>
      </c>
      <c r="H5874" s="433"/>
    </row>
    <row r="5875" customFormat="false" ht="15" hidden="false" customHeight="false" outlineLevel="0" collapsed="false">
      <c r="A5875" s="571"/>
      <c r="B5875" s="433"/>
      <c r="C5875" s="855" t="s">
        <v>4627</v>
      </c>
      <c r="D5875" s="316" t="s">
        <v>4133</v>
      </c>
      <c r="E5875" s="855" t="n">
        <v>0.005</v>
      </c>
      <c r="F5875" s="115" t="n">
        <v>6400</v>
      </c>
      <c r="G5875" s="615" t="n">
        <f aca="false">F5875*E5875</f>
        <v>32</v>
      </c>
      <c r="H5875" s="433"/>
    </row>
    <row r="5876" customFormat="false" ht="15" hidden="false" customHeight="false" outlineLevel="0" collapsed="false">
      <c r="A5876" s="571"/>
      <c r="B5876" s="433"/>
      <c r="C5876" s="861" t="s">
        <v>5283</v>
      </c>
      <c r="D5876" s="316" t="s">
        <v>4133</v>
      </c>
      <c r="E5876" s="855" t="n">
        <v>0.05</v>
      </c>
      <c r="F5876" s="115" t="n">
        <v>48500</v>
      </c>
      <c r="G5876" s="615" t="n">
        <f aca="false">F5876*E5876</f>
        <v>2425</v>
      </c>
      <c r="H5876" s="433"/>
    </row>
    <row r="5877" customFormat="false" ht="30" hidden="false" customHeight="false" outlineLevel="0" collapsed="false">
      <c r="A5877" s="571"/>
      <c r="B5877" s="433"/>
      <c r="C5877" s="855" t="s">
        <v>5284</v>
      </c>
      <c r="D5877" s="316" t="s">
        <v>4133</v>
      </c>
      <c r="E5877" s="855" t="n">
        <v>0.0001</v>
      </c>
      <c r="F5877" s="115" t="n">
        <v>60000</v>
      </c>
      <c r="G5877" s="615" t="n">
        <f aca="false">F5877*E5877</f>
        <v>6</v>
      </c>
      <c r="H5877" s="433"/>
    </row>
    <row r="5878" customFormat="false" ht="15" hidden="false" customHeight="false" outlineLevel="0" collapsed="false">
      <c r="A5878" s="571"/>
      <c r="B5878" s="433"/>
      <c r="C5878" s="855" t="s">
        <v>5281</v>
      </c>
      <c r="D5878" s="316" t="s">
        <v>4133</v>
      </c>
      <c r="E5878" s="855" t="n">
        <v>0.015</v>
      </c>
      <c r="F5878" s="115" t="n">
        <v>13000</v>
      </c>
      <c r="G5878" s="615" t="n">
        <f aca="false">F5878*E5878</f>
        <v>195</v>
      </c>
      <c r="H5878" s="433"/>
    </row>
    <row r="5879" customFormat="false" ht="15" hidden="false" customHeight="false" outlineLevel="0" collapsed="false">
      <c r="A5879" s="571"/>
      <c r="B5879" s="433"/>
      <c r="C5879" s="855" t="s">
        <v>5240</v>
      </c>
      <c r="D5879" s="316" t="s">
        <v>4578</v>
      </c>
      <c r="E5879" s="855" t="n">
        <v>0.002</v>
      </c>
      <c r="F5879" s="115" t="n">
        <v>225000</v>
      </c>
      <c r="G5879" s="615" t="n">
        <f aca="false">F5879*E5879</f>
        <v>450</v>
      </c>
      <c r="H5879" s="433"/>
    </row>
    <row r="5880" customFormat="false" ht="15" hidden="false" customHeight="false" outlineLevel="0" collapsed="false">
      <c r="A5880" s="571"/>
      <c r="B5880" s="433"/>
      <c r="C5880" s="855" t="s">
        <v>5241</v>
      </c>
      <c r="D5880" s="316" t="s">
        <v>4141</v>
      </c>
      <c r="E5880" s="860" t="n">
        <v>0.01</v>
      </c>
      <c r="F5880" s="115" t="n">
        <v>1500</v>
      </c>
      <c r="G5880" s="615" t="n">
        <f aca="false">F5880*E5880</f>
        <v>15</v>
      </c>
      <c r="H5880" s="433"/>
    </row>
    <row r="5881" customFormat="false" ht="15" hidden="false" customHeight="false" outlineLevel="0" collapsed="false">
      <c r="A5881" s="571"/>
      <c r="B5881" s="433"/>
      <c r="C5881" s="855" t="s">
        <v>4347</v>
      </c>
      <c r="D5881" s="316" t="s">
        <v>4348</v>
      </c>
      <c r="E5881" s="855" t="n">
        <v>1</v>
      </c>
      <c r="F5881" s="115" t="n">
        <v>130</v>
      </c>
      <c r="G5881" s="615" t="n">
        <f aca="false">F5881*E5881</f>
        <v>130</v>
      </c>
      <c r="H5881" s="433"/>
    </row>
    <row r="5882" customFormat="false" ht="15" hidden="false" customHeight="false" outlineLevel="0" collapsed="false">
      <c r="A5882" s="571"/>
      <c r="B5882" s="433"/>
      <c r="C5882" s="867" t="s">
        <v>4497</v>
      </c>
      <c r="D5882" s="868" t="s">
        <v>4348</v>
      </c>
      <c r="E5882" s="869" t="n">
        <v>0.003</v>
      </c>
      <c r="F5882" s="604" t="n">
        <v>550000</v>
      </c>
      <c r="G5882" s="615" t="n">
        <f aca="false">F5882*E5882</f>
        <v>1650</v>
      </c>
      <c r="H5882" s="433"/>
    </row>
    <row r="5883" customFormat="false" ht="15" hidden="false" customHeight="false" outlineLevel="0" collapsed="false">
      <c r="A5883" s="571"/>
      <c r="B5883" s="433"/>
      <c r="C5883" s="855" t="s">
        <v>4122</v>
      </c>
      <c r="D5883" s="316" t="s">
        <v>4359</v>
      </c>
      <c r="E5883" s="855" t="n">
        <v>0.1</v>
      </c>
      <c r="F5883" s="607" t="n">
        <v>720</v>
      </c>
      <c r="G5883" s="615" t="n">
        <f aca="false">F5883*E5883</f>
        <v>72</v>
      </c>
      <c r="H5883" s="433"/>
    </row>
    <row r="5884" customFormat="false" ht="15" hidden="false" customHeight="false" outlineLevel="0" collapsed="false">
      <c r="A5884" s="571"/>
      <c r="B5884" s="433"/>
      <c r="C5884" s="855" t="s">
        <v>4515</v>
      </c>
      <c r="D5884" s="316" t="s">
        <v>4133</v>
      </c>
      <c r="E5884" s="855" t="n">
        <v>0.01</v>
      </c>
      <c r="F5884" s="115" t="n">
        <v>2700</v>
      </c>
      <c r="G5884" s="615" t="n">
        <f aca="false">F5884*E5884</f>
        <v>27</v>
      </c>
      <c r="H5884" s="433"/>
    </row>
    <row r="5885" customFormat="false" ht="15" hidden="false" customHeight="false" outlineLevel="0" collapsed="false">
      <c r="A5885" s="571"/>
      <c r="B5885" s="433"/>
      <c r="C5885" s="861" t="s">
        <v>4124</v>
      </c>
      <c r="D5885" s="316" t="s">
        <v>4125</v>
      </c>
      <c r="E5885" s="855" t="n">
        <v>0.1</v>
      </c>
      <c r="F5885" s="115" t="n">
        <v>170</v>
      </c>
      <c r="G5885" s="615" t="n">
        <f aca="false">F5885*E5885</f>
        <v>17</v>
      </c>
      <c r="H5885" s="433"/>
    </row>
    <row r="5886" customFormat="false" ht="15" hidden="false" customHeight="false" outlineLevel="0" collapsed="false">
      <c r="A5886" s="571"/>
      <c r="B5886" s="433"/>
      <c r="C5886" s="532" t="s">
        <v>5239</v>
      </c>
      <c r="D5886" s="679" t="s">
        <v>4141</v>
      </c>
      <c r="E5886" s="866" t="n">
        <v>0.003</v>
      </c>
      <c r="F5886" s="617" t="n">
        <v>23500</v>
      </c>
      <c r="G5886" s="615" t="n">
        <f aca="false">F5886*E5886</f>
        <v>70.5</v>
      </c>
      <c r="H5886" s="433"/>
    </row>
    <row r="5887" customFormat="false" ht="15" hidden="false" customHeight="false" outlineLevel="0" collapsed="false">
      <c r="A5887" s="571"/>
      <c r="B5887" s="433"/>
      <c r="C5887" s="860" t="s">
        <v>4509</v>
      </c>
      <c r="D5887" s="877" t="s">
        <v>4348</v>
      </c>
      <c r="E5887" s="860" t="n">
        <v>1</v>
      </c>
      <c r="F5887" s="115" t="n">
        <v>26</v>
      </c>
      <c r="G5887" s="615" t="n">
        <f aca="false">F5887*E5887</f>
        <v>26</v>
      </c>
      <c r="H5887" s="433"/>
    </row>
    <row r="5888" customFormat="false" ht="15.75" hidden="false" customHeight="true" outlineLevel="0" collapsed="false">
      <c r="A5888" s="571" t="s">
        <v>1112</v>
      </c>
      <c r="B5888" s="433" t="s">
        <v>3310</v>
      </c>
      <c r="C5888" s="41"/>
      <c r="D5888" s="874"/>
      <c r="E5888" s="41"/>
      <c r="F5888" s="875"/>
      <c r="G5888" s="826" t="n">
        <f aca="false">SUM(G5889:G5907)</f>
        <v>12432.293</v>
      </c>
      <c r="H5888" s="433" t="s">
        <v>5259</v>
      </c>
    </row>
    <row r="5889" customFormat="false" ht="15" hidden="false" customHeight="false" outlineLevel="0" collapsed="false">
      <c r="A5889" s="571"/>
      <c r="B5889" s="433"/>
      <c r="C5889" s="21" t="s">
        <v>4317</v>
      </c>
      <c r="D5889" s="877" t="s">
        <v>4359</v>
      </c>
      <c r="E5889" s="860" t="n">
        <v>0.1</v>
      </c>
      <c r="F5889" s="115" t="n">
        <v>21000</v>
      </c>
      <c r="G5889" s="716" t="n">
        <f aca="false">F5889*E5889</f>
        <v>2100</v>
      </c>
      <c r="H5889" s="433"/>
    </row>
    <row r="5890" customFormat="false" ht="15" hidden="false" customHeight="false" outlineLevel="0" collapsed="false">
      <c r="A5890" s="571"/>
      <c r="B5890" s="433"/>
      <c r="C5890" s="860" t="s">
        <v>5228</v>
      </c>
      <c r="D5890" s="316" t="s">
        <v>4133</v>
      </c>
      <c r="E5890" s="860" t="n">
        <v>0.01</v>
      </c>
      <c r="F5890" s="115" t="n">
        <v>19000</v>
      </c>
      <c r="G5890" s="716" t="n">
        <f aca="false">F5890*E5890</f>
        <v>190</v>
      </c>
      <c r="H5890" s="433"/>
    </row>
    <row r="5891" customFormat="false" ht="15" hidden="false" customHeight="false" outlineLevel="0" collapsed="false">
      <c r="A5891" s="571"/>
      <c r="B5891" s="433"/>
      <c r="C5891" s="878" t="s">
        <v>4154</v>
      </c>
      <c r="D5891" s="877" t="s">
        <v>4359</v>
      </c>
      <c r="E5891" s="860" t="n">
        <v>0.11</v>
      </c>
      <c r="F5891" s="115" t="n">
        <v>18000</v>
      </c>
      <c r="G5891" s="716" t="n">
        <f aca="false">F5891*E5891</f>
        <v>1980</v>
      </c>
      <c r="H5891" s="433"/>
    </row>
    <row r="5892" customFormat="false" ht="15" hidden="false" customHeight="false" outlineLevel="0" collapsed="false">
      <c r="A5892" s="571"/>
      <c r="B5892" s="433"/>
      <c r="C5892" s="878" t="s">
        <v>5260</v>
      </c>
      <c r="D5892" s="877" t="s">
        <v>4133</v>
      </c>
      <c r="E5892" s="860" t="n">
        <v>0.00136</v>
      </c>
      <c r="F5892" s="115" t="n">
        <v>24000</v>
      </c>
      <c r="G5892" s="716" t="n">
        <f aca="false">F5892*E5892</f>
        <v>32.64</v>
      </c>
      <c r="H5892" s="433"/>
    </row>
    <row r="5893" customFormat="false" ht="15" hidden="false" customHeight="false" outlineLevel="0" collapsed="false">
      <c r="A5893" s="571"/>
      <c r="B5893" s="433"/>
      <c r="C5893" s="532" t="s">
        <v>4251</v>
      </c>
      <c r="D5893" s="679" t="s">
        <v>4578</v>
      </c>
      <c r="E5893" s="866" t="n">
        <v>0.002</v>
      </c>
      <c r="F5893" s="617" t="n">
        <v>275000</v>
      </c>
      <c r="G5893" s="716" t="n">
        <f aca="false">F5893*E5893</f>
        <v>550</v>
      </c>
      <c r="H5893" s="433"/>
    </row>
    <row r="5894" customFormat="false" ht="15" hidden="false" customHeight="false" outlineLevel="0" collapsed="false">
      <c r="A5894" s="571"/>
      <c r="B5894" s="433"/>
      <c r="C5894" s="21" t="s">
        <v>4250</v>
      </c>
      <c r="D5894" s="316" t="s">
        <v>4359</v>
      </c>
      <c r="E5894" s="899" t="n">
        <v>0.1</v>
      </c>
      <c r="F5894" s="617" t="n">
        <v>42000</v>
      </c>
      <c r="G5894" s="716" t="n">
        <f aca="false">F5894*E5894</f>
        <v>4200</v>
      </c>
      <c r="H5894" s="433"/>
    </row>
    <row r="5895" customFormat="false" ht="30" hidden="false" customHeight="false" outlineLevel="0" collapsed="false">
      <c r="A5895" s="571"/>
      <c r="B5895" s="433"/>
      <c r="C5895" s="860" t="s">
        <v>5261</v>
      </c>
      <c r="D5895" s="877" t="s">
        <v>4133</v>
      </c>
      <c r="E5895" s="860" t="n">
        <v>0.0001</v>
      </c>
      <c r="F5895" s="115" t="n">
        <v>53760</v>
      </c>
      <c r="G5895" s="716" t="n">
        <f aca="false">F5895*E5895</f>
        <v>5.376</v>
      </c>
      <c r="H5895" s="433"/>
    </row>
    <row r="5896" customFormat="false" ht="15" hidden="false" customHeight="false" outlineLevel="0" collapsed="false">
      <c r="A5896" s="571"/>
      <c r="B5896" s="433"/>
      <c r="C5896" s="21" t="s">
        <v>5007</v>
      </c>
      <c r="D5896" s="877" t="s">
        <v>4133</v>
      </c>
      <c r="E5896" s="860" t="n">
        <v>0.02</v>
      </c>
      <c r="F5896" s="115" t="n">
        <v>42000</v>
      </c>
      <c r="G5896" s="716" t="n">
        <f aca="false">F5896*E5896</f>
        <v>840</v>
      </c>
      <c r="H5896" s="433"/>
    </row>
    <row r="5897" customFormat="false" ht="15" hidden="false" customHeight="false" outlineLevel="0" collapsed="false">
      <c r="A5897" s="571"/>
      <c r="B5897" s="433"/>
      <c r="C5897" s="878" t="s">
        <v>4604</v>
      </c>
      <c r="D5897" s="877" t="s">
        <v>4359</v>
      </c>
      <c r="E5897" s="860" t="n">
        <v>0.0205</v>
      </c>
      <c r="F5897" s="115" t="n">
        <v>18000</v>
      </c>
      <c r="G5897" s="716" t="n">
        <f aca="false">F5897*E5897</f>
        <v>369</v>
      </c>
      <c r="H5897" s="433"/>
    </row>
    <row r="5898" customFormat="false" ht="15" hidden="false" customHeight="false" outlineLevel="0" collapsed="false">
      <c r="A5898" s="571"/>
      <c r="B5898" s="433"/>
      <c r="C5898" s="861" t="s">
        <v>4673</v>
      </c>
      <c r="D5898" s="877" t="s">
        <v>4133</v>
      </c>
      <c r="E5898" s="860" t="n">
        <v>0.001</v>
      </c>
      <c r="F5898" s="115" t="n">
        <v>106777</v>
      </c>
      <c r="G5898" s="716" t="n">
        <f aca="false">F5898*E5898</f>
        <v>106.777</v>
      </c>
      <c r="H5898" s="433"/>
    </row>
    <row r="5899" customFormat="false" ht="15" hidden="false" customHeight="false" outlineLevel="0" collapsed="false">
      <c r="A5899" s="571"/>
      <c r="B5899" s="433"/>
      <c r="C5899" s="878" t="s">
        <v>4158</v>
      </c>
      <c r="D5899" s="877" t="s">
        <v>4133</v>
      </c>
      <c r="E5899" s="860" t="n">
        <v>0.01</v>
      </c>
      <c r="F5899" s="115" t="n">
        <v>6400</v>
      </c>
      <c r="G5899" s="716" t="n">
        <f aca="false">F5899*E5899</f>
        <v>64</v>
      </c>
      <c r="H5899" s="433"/>
    </row>
    <row r="5900" customFormat="false" ht="15" hidden="false" customHeight="false" outlineLevel="0" collapsed="false">
      <c r="A5900" s="571"/>
      <c r="B5900" s="433"/>
      <c r="C5900" s="867" t="s">
        <v>4497</v>
      </c>
      <c r="D5900" s="868" t="s">
        <v>4348</v>
      </c>
      <c r="E5900" s="869" t="n">
        <v>0.003</v>
      </c>
      <c r="F5900" s="604" t="n">
        <v>550000</v>
      </c>
      <c r="G5900" s="716" t="n">
        <f aca="false">F5900*E5900</f>
        <v>1650</v>
      </c>
      <c r="H5900" s="433"/>
    </row>
    <row r="5901" customFormat="false" ht="15" hidden="false" customHeight="false" outlineLevel="0" collapsed="false">
      <c r="A5901" s="571"/>
      <c r="B5901" s="433"/>
      <c r="C5901" s="867" t="s">
        <v>4122</v>
      </c>
      <c r="D5901" s="868" t="s">
        <v>4123</v>
      </c>
      <c r="E5901" s="869" t="n">
        <v>0.1</v>
      </c>
      <c r="F5901" s="607" t="n">
        <v>720</v>
      </c>
      <c r="G5901" s="716" t="n">
        <f aca="false">F5901*E5901</f>
        <v>72</v>
      </c>
      <c r="H5901" s="433"/>
    </row>
    <row r="5902" customFormat="false" ht="15" hidden="false" customHeight="false" outlineLevel="0" collapsed="false">
      <c r="A5902" s="571"/>
      <c r="B5902" s="433"/>
      <c r="C5902" s="855" t="s">
        <v>5241</v>
      </c>
      <c r="D5902" s="868" t="s">
        <v>4121</v>
      </c>
      <c r="E5902" s="869" t="n">
        <v>0.01</v>
      </c>
      <c r="F5902" s="604" t="n">
        <v>1500</v>
      </c>
      <c r="G5902" s="716" t="n">
        <f aca="false">F5902*E5902</f>
        <v>15</v>
      </c>
      <c r="H5902" s="433"/>
    </row>
    <row r="5903" customFormat="false" ht="15" hidden="false" customHeight="false" outlineLevel="0" collapsed="false">
      <c r="A5903" s="571"/>
      <c r="B5903" s="433"/>
      <c r="C5903" s="872" t="s">
        <v>4124</v>
      </c>
      <c r="D5903" s="868" t="s">
        <v>4125</v>
      </c>
      <c r="E5903" s="869" t="n">
        <v>0.1</v>
      </c>
      <c r="F5903" s="607" t="n">
        <v>170</v>
      </c>
      <c r="G5903" s="716" t="n">
        <f aca="false">F5903*E5903</f>
        <v>17</v>
      </c>
      <c r="H5903" s="433"/>
    </row>
    <row r="5904" customFormat="false" ht="15" hidden="false" customHeight="false" outlineLevel="0" collapsed="false">
      <c r="A5904" s="571"/>
      <c r="B5904" s="433"/>
      <c r="C5904" s="872" t="s">
        <v>4347</v>
      </c>
      <c r="D5904" s="868" t="s">
        <v>4348</v>
      </c>
      <c r="E5904" s="869" t="n">
        <v>1</v>
      </c>
      <c r="F5904" s="607" t="n">
        <v>130</v>
      </c>
      <c r="G5904" s="716" t="n">
        <f aca="false">F5904*E5904</f>
        <v>130</v>
      </c>
      <c r="H5904" s="433"/>
    </row>
    <row r="5905" customFormat="false" ht="15" hidden="false" customHeight="false" outlineLevel="0" collapsed="false">
      <c r="A5905" s="571"/>
      <c r="B5905" s="433"/>
      <c r="C5905" s="532" t="s">
        <v>5239</v>
      </c>
      <c r="D5905" s="679" t="s">
        <v>4141</v>
      </c>
      <c r="E5905" s="866" t="n">
        <v>0.003</v>
      </c>
      <c r="F5905" s="617" t="n">
        <v>23500</v>
      </c>
      <c r="G5905" s="716" t="n">
        <f aca="false">F5905*E5905</f>
        <v>70.5</v>
      </c>
      <c r="H5905" s="433"/>
    </row>
    <row r="5906" customFormat="false" ht="30" hidden="false" customHeight="false" outlineLevel="0" collapsed="false">
      <c r="A5906" s="571"/>
      <c r="B5906" s="433"/>
      <c r="C5906" s="532" t="s">
        <v>5238</v>
      </c>
      <c r="D5906" s="679" t="s">
        <v>4141</v>
      </c>
      <c r="E5906" s="865" t="n">
        <v>0.01</v>
      </c>
      <c r="F5906" s="617" t="n">
        <v>1400</v>
      </c>
      <c r="G5906" s="716" t="n">
        <f aca="false">F5906*E5906</f>
        <v>14</v>
      </c>
      <c r="H5906" s="433"/>
    </row>
    <row r="5907" customFormat="false" ht="15" hidden="false" customHeight="false" outlineLevel="0" collapsed="false">
      <c r="A5907" s="571"/>
      <c r="B5907" s="433"/>
      <c r="C5907" s="860" t="s">
        <v>4509</v>
      </c>
      <c r="D5907" s="877" t="s">
        <v>4348</v>
      </c>
      <c r="E5907" s="860" t="n">
        <v>1</v>
      </c>
      <c r="F5907" s="115" t="n">
        <v>26</v>
      </c>
      <c r="G5907" s="716" t="n">
        <f aca="false">F5907*E5907</f>
        <v>26</v>
      </c>
      <c r="H5907" s="433"/>
    </row>
    <row r="5908" customFormat="false" ht="45" hidden="false" customHeight="false" outlineLevel="0" collapsed="false">
      <c r="A5908" s="571" t="s">
        <v>1113</v>
      </c>
      <c r="B5908" s="488" t="s">
        <v>3314</v>
      </c>
      <c r="C5908" s="41"/>
      <c r="D5908" s="874"/>
      <c r="E5908" s="41"/>
      <c r="F5908" s="875"/>
      <c r="G5908" s="826" t="n">
        <f aca="false">SUM(G5909:G5924)</f>
        <v>10583.054</v>
      </c>
      <c r="H5908" s="433" t="s">
        <v>5267</v>
      </c>
    </row>
    <row r="5909" customFormat="false" ht="15" hidden="false" customHeight="false" outlineLevel="0" collapsed="false">
      <c r="A5909" s="571"/>
      <c r="B5909" s="433"/>
      <c r="C5909" s="860" t="s">
        <v>4250</v>
      </c>
      <c r="D5909" s="316" t="s">
        <v>4359</v>
      </c>
      <c r="E5909" s="855" t="n">
        <v>0.134</v>
      </c>
      <c r="F5909" s="115" t="n">
        <v>42000</v>
      </c>
      <c r="G5909" s="615" t="n">
        <f aca="false">F5909*E5909</f>
        <v>5628</v>
      </c>
      <c r="H5909" s="433"/>
    </row>
    <row r="5910" customFormat="false" ht="15" hidden="false" customHeight="false" outlineLevel="0" collapsed="false">
      <c r="A5910" s="571"/>
      <c r="B5910" s="433"/>
      <c r="C5910" s="855" t="s">
        <v>4604</v>
      </c>
      <c r="D5910" s="316" t="s">
        <v>4359</v>
      </c>
      <c r="E5910" s="855" t="n">
        <v>0.002</v>
      </c>
      <c r="F5910" s="115" t="n">
        <v>18000</v>
      </c>
      <c r="G5910" s="615" t="n">
        <f aca="false">F5910*E5910</f>
        <v>36</v>
      </c>
      <c r="H5910" s="433"/>
    </row>
    <row r="5911" customFormat="false" ht="15" hidden="false" customHeight="false" outlineLevel="0" collapsed="false">
      <c r="A5911" s="571"/>
      <c r="B5911" s="433"/>
      <c r="C5911" s="855" t="s">
        <v>4673</v>
      </c>
      <c r="D5911" s="316" t="s">
        <v>4133</v>
      </c>
      <c r="E5911" s="855" t="n">
        <v>0.002</v>
      </c>
      <c r="F5911" s="115" t="n">
        <v>106777</v>
      </c>
      <c r="G5911" s="615" t="n">
        <f aca="false">F5911*E5911</f>
        <v>213.554</v>
      </c>
      <c r="H5911" s="433"/>
    </row>
    <row r="5912" customFormat="false" ht="15" hidden="false" customHeight="false" outlineLevel="0" collapsed="false">
      <c r="A5912" s="571"/>
      <c r="B5912" s="433"/>
      <c r="C5912" s="855" t="s">
        <v>5252</v>
      </c>
      <c r="D5912" s="316" t="s">
        <v>4133</v>
      </c>
      <c r="E5912" s="855" t="n">
        <v>0.001</v>
      </c>
      <c r="F5912" s="115" t="n">
        <v>19000</v>
      </c>
      <c r="G5912" s="615" t="n">
        <f aca="false">F5912*E5912</f>
        <v>19</v>
      </c>
      <c r="H5912" s="433"/>
    </row>
    <row r="5913" customFormat="false" ht="15" hidden="false" customHeight="false" outlineLevel="0" collapsed="false">
      <c r="A5913" s="571"/>
      <c r="B5913" s="433"/>
      <c r="C5913" s="860" t="s">
        <v>4317</v>
      </c>
      <c r="D5913" s="877" t="s">
        <v>4359</v>
      </c>
      <c r="E5913" s="860" t="n">
        <v>0.1</v>
      </c>
      <c r="F5913" s="115" t="n">
        <v>21000</v>
      </c>
      <c r="G5913" s="615" t="n">
        <f aca="false">F5913*E5913</f>
        <v>2100</v>
      </c>
      <c r="H5913" s="433"/>
    </row>
    <row r="5914" customFormat="false" ht="30" hidden="false" customHeight="false" outlineLevel="0" collapsed="false">
      <c r="A5914" s="571"/>
      <c r="B5914" s="433"/>
      <c r="C5914" s="855" t="s">
        <v>5268</v>
      </c>
      <c r="D5914" s="316" t="s">
        <v>4133</v>
      </c>
      <c r="E5914" s="855" t="n">
        <v>0.0001</v>
      </c>
      <c r="F5914" s="115" t="n">
        <v>60000</v>
      </c>
      <c r="G5914" s="615" t="n">
        <f aca="false">F5914*E5914</f>
        <v>6</v>
      </c>
      <c r="H5914" s="433"/>
    </row>
    <row r="5915" customFormat="false" ht="15" hidden="false" customHeight="false" outlineLevel="0" collapsed="false">
      <c r="A5915" s="571"/>
      <c r="B5915" s="433"/>
      <c r="C5915" s="855" t="s">
        <v>4205</v>
      </c>
      <c r="D5915" s="316" t="s">
        <v>4359</v>
      </c>
      <c r="E5915" s="855" t="n">
        <v>0.01</v>
      </c>
      <c r="F5915" s="115" t="n">
        <v>14000</v>
      </c>
      <c r="G5915" s="615" t="n">
        <f aca="false">F5915*E5915</f>
        <v>140</v>
      </c>
      <c r="H5915" s="433"/>
    </row>
    <row r="5916" customFormat="false" ht="15" hidden="false" customHeight="false" outlineLevel="0" collapsed="false">
      <c r="A5916" s="571"/>
      <c r="B5916" s="433"/>
      <c r="C5916" s="855" t="s">
        <v>5299</v>
      </c>
      <c r="D5916" s="316" t="s">
        <v>4133</v>
      </c>
      <c r="E5916" s="855" t="n">
        <v>0.005</v>
      </c>
      <c r="F5916" s="115" t="n">
        <v>2000</v>
      </c>
      <c r="G5916" s="615" t="n">
        <f aca="false">F5916*E5916</f>
        <v>10</v>
      </c>
      <c r="H5916" s="433"/>
    </row>
    <row r="5917" customFormat="false" ht="15" hidden="false" customHeight="false" outlineLevel="0" collapsed="false">
      <c r="A5917" s="571"/>
      <c r="B5917" s="433"/>
      <c r="C5917" s="855" t="s">
        <v>5241</v>
      </c>
      <c r="D5917" s="679" t="s">
        <v>4121</v>
      </c>
      <c r="E5917" s="709" t="n">
        <v>0.01</v>
      </c>
      <c r="F5917" s="617" t="n">
        <v>1500</v>
      </c>
      <c r="G5917" s="615" t="n">
        <f aca="false">F5917*E5917</f>
        <v>15</v>
      </c>
      <c r="H5917" s="433"/>
    </row>
    <row r="5918" customFormat="false" ht="15" hidden="false" customHeight="false" outlineLevel="0" collapsed="false">
      <c r="A5918" s="571"/>
      <c r="B5918" s="433"/>
      <c r="C5918" s="855" t="s">
        <v>5240</v>
      </c>
      <c r="D5918" s="316" t="s">
        <v>4578</v>
      </c>
      <c r="E5918" s="855" t="n">
        <v>0.002</v>
      </c>
      <c r="F5918" s="115" t="n">
        <v>225000</v>
      </c>
      <c r="G5918" s="615" t="n">
        <f aca="false">F5918*E5918</f>
        <v>450</v>
      </c>
      <c r="H5918" s="433"/>
    </row>
    <row r="5919" customFormat="false" ht="17.25" hidden="false" customHeight="true" outlineLevel="0" collapsed="false">
      <c r="A5919" s="571"/>
      <c r="B5919" s="433"/>
      <c r="C5919" s="867" t="s">
        <v>4497</v>
      </c>
      <c r="D5919" s="868" t="s">
        <v>4348</v>
      </c>
      <c r="E5919" s="869" t="n">
        <v>0.003</v>
      </c>
      <c r="F5919" s="604" t="n">
        <v>550000</v>
      </c>
      <c r="G5919" s="615" t="n">
        <f aca="false">F5919*E5919</f>
        <v>1650</v>
      </c>
      <c r="H5919" s="433"/>
    </row>
    <row r="5920" customFormat="false" ht="15" hidden="false" customHeight="false" outlineLevel="0" collapsed="false">
      <c r="A5920" s="571"/>
      <c r="B5920" s="433"/>
      <c r="C5920" s="884" t="s">
        <v>4122</v>
      </c>
      <c r="D5920" s="679" t="s">
        <v>4123</v>
      </c>
      <c r="E5920" s="709" t="n">
        <v>0.1</v>
      </c>
      <c r="F5920" s="607" t="n">
        <v>720</v>
      </c>
      <c r="G5920" s="615" t="n">
        <f aca="false">F5920*E5920</f>
        <v>72</v>
      </c>
      <c r="H5920" s="433"/>
    </row>
    <row r="5921" customFormat="false" ht="15" hidden="false" customHeight="false" outlineLevel="0" collapsed="false">
      <c r="A5921" s="571"/>
      <c r="B5921" s="433"/>
      <c r="C5921" s="885" t="s">
        <v>4124</v>
      </c>
      <c r="D5921" s="679" t="s">
        <v>4125</v>
      </c>
      <c r="E5921" s="709" t="n">
        <v>0.1</v>
      </c>
      <c r="F5921" s="883" t="n">
        <v>170</v>
      </c>
      <c r="G5921" s="615" t="n">
        <f aca="false">F5921*E5921</f>
        <v>17</v>
      </c>
      <c r="H5921" s="433"/>
    </row>
    <row r="5922" customFormat="false" ht="15" hidden="false" customHeight="false" outlineLevel="0" collapsed="false">
      <c r="A5922" s="571"/>
      <c r="B5922" s="433"/>
      <c r="C5922" s="532" t="s">
        <v>5239</v>
      </c>
      <c r="D5922" s="679" t="s">
        <v>4141</v>
      </c>
      <c r="E5922" s="866" t="n">
        <v>0.003</v>
      </c>
      <c r="F5922" s="617" t="n">
        <v>23500</v>
      </c>
      <c r="G5922" s="615" t="n">
        <f aca="false">F5922*E5922</f>
        <v>70.5</v>
      </c>
      <c r="H5922" s="433"/>
    </row>
    <row r="5923" customFormat="false" ht="15" hidden="false" customHeight="false" outlineLevel="0" collapsed="false">
      <c r="A5923" s="571"/>
      <c r="B5923" s="433"/>
      <c r="C5923" s="885" t="s">
        <v>4347</v>
      </c>
      <c r="D5923" s="679" t="s">
        <v>4348</v>
      </c>
      <c r="E5923" s="709" t="n">
        <v>1</v>
      </c>
      <c r="F5923" s="883" t="n">
        <v>130</v>
      </c>
      <c r="G5923" s="615" t="n">
        <f aca="false">F5923*E5923</f>
        <v>130</v>
      </c>
      <c r="H5923" s="433"/>
    </row>
    <row r="5924" customFormat="false" ht="15" hidden="false" customHeight="false" outlineLevel="0" collapsed="false">
      <c r="A5924" s="571"/>
      <c r="B5924" s="433"/>
      <c r="C5924" s="855" t="s">
        <v>4509</v>
      </c>
      <c r="D5924" s="316" t="s">
        <v>4348</v>
      </c>
      <c r="E5924" s="855" t="n">
        <v>1</v>
      </c>
      <c r="F5924" s="115" t="n">
        <v>26</v>
      </c>
      <c r="G5924" s="615" t="n">
        <f aca="false">F5924*E5924</f>
        <v>26</v>
      </c>
      <c r="H5924" s="433"/>
    </row>
    <row r="5925" customFormat="false" ht="30" hidden="false" customHeight="false" outlineLevel="0" collapsed="false">
      <c r="A5925" s="571" t="s">
        <v>1114</v>
      </c>
      <c r="B5925" s="433" t="s">
        <v>3309</v>
      </c>
      <c r="C5925" s="41"/>
      <c r="D5925" s="874"/>
      <c r="E5925" s="41"/>
      <c r="F5925" s="875"/>
      <c r="G5925" s="826" t="n">
        <f aca="false">SUM(G5926:G5940)</f>
        <v>9396.3555</v>
      </c>
      <c r="H5925" s="889" t="s">
        <v>5298</v>
      </c>
    </row>
    <row r="5926" customFormat="false" ht="15" hidden="false" customHeight="false" outlineLevel="0" collapsed="false">
      <c r="A5926" s="571"/>
      <c r="B5926" s="433"/>
      <c r="C5926" s="860" t="s">
        <v>4250</v>
      </c>
      <c r="D5926" s="316" t="s">
        <v>4359</v>
      </c>
      <c r="E5926" s="855" t="n">
        <v>0.1</v>
      </c>
      <c r="F5926" s="115" t="n">
        <v>42000</v>
      </c>
      <c r="G5926" s="615" t="n">
        <f aca="false">F5926*E5926</f>
        <v>4200</v>
      </c>
      <c r="H5926" s="433"/>
    </row>
    <row r="5927" customFormat="false" ht="15" hidden="false" customHeight="false" outlineLevel="0" collapsed="false">
      <c r="A5927" s="571"/>
      <c r="B5927" s="433"/>
      <c r="C5927" s="855" t="s">
        <v>5252</v>
      </c>
      <c r="D5927" s="316" t="s">
        <v>4133</v>
      </c>
      <c r="E5927" s="855" t="n">
        <v>0.005</v>
      </c>
      <c r="F5927" s="115" t="n">
        <v>19000</v>
      </c>
      <c r="G5927" s="615" t="n">
        <f aca="false">F5927*E5927</f>
        <v>95</v>
      </c>
      <c r="H5927" s="433"/>
    </row>
    <row r="5928" customFormat="false" ht="15" hidden="false" customHeight="false" outlineLevel="0" collapsed="false">
      <c r="A5928" s="571"/>
      <c r="B5928" s="433"/>
      <c r="C5928" s="860" t="s">
        <v>4154</v>
      </c>
      <c r="D5928" s="316" t="s">
        <v>4359</v>
      </c>
      <c r="E5928" s="855" t="n">
        <v>0.0147</v>
      </c>
      <c r="F5928" s="115" t="n">
        <v>18000</v>
      </c>
      <c r="G5928" s="615" t="n">
        <f aca="false">F5928*E5928</f>
        <v>264.6</v>
      </c>
      <c r="H5928" s="433"/>
    </row>
    <row r="5929" customFormat="false" ht="15" hidden="false" customHeight="false" outlineLevel="0" collapsed="false">
      <c r="A5929" s="571"/>
      <c r="B5929" s="433"/>
      <c r="C5929" s="860" t="s">
        <v>4317</v>
      </c>
      <c r="D5929" s="877" t="s">
        <v>4359</v>
      </c>
      <c r="E5929" s="860" t="n">
        <v>0.1</v>
      </c>
      <c r="F5929" s="115" t="n">
        <v>21000</v>
      </c>
      <c r="G5929" s="615" t="n">
        <f aca="false">F5929*E5929</f>
        <v>2100</v>
      </c>
      <c r="H5929" s="433"/>
    </row>
    <row r="5930" customFormat="false" ht="45" hidden="false" customHeight="false" outlineLevel="0" collapsed="false">
      <c r="A5930" s="571"/>
      <c r="B5930" s="433"/>
      <c r="C5930" s="860" t="s">
        <v>5253</v>
      </c>
      <c r="D5930" s="877" t="s">
        <v>4133</v>
      </c>
      <c r="E5930" s="860" t="n">
        <v>0.0001</v>
      </c>
      <c r="F5930" s="115" t="n">
        <v>41555</v>
      </c>
      <c r="G5930" s="615" t="n">
        <f aca="false">F5930*E5930</f>
        <v>4.1555</v>
      </c>
      <c r="H5930" s="433"/>
    </row>
    <row r="5931" customFormat="false" ht="15" hidden="false" customHeight="false" outlineLevel="0" collapsed="false">
      <c r="A5931" s="571"/>
      <c r="B5931" s="433"/>
      <c r="C5931" s="860" t="s">
        <v>4628</v>
      </c>
      <c r="D5931" s="877" t="s">
        <v>4133</v>
      </c>
      <c r="E5931" s="860" t="n">
        <v>0.003</v>
      </c>
      <c r="F5931" s="115" t="n">
        <v>18000</v>
      </c>
      <c r="G5931" s="615" t="n">
        <f aca="false">F5931*E5931</f>
        <v>54</v>
      </c>
      <c r="H5931" s="433"/>
    </row>
    <row r="5932" customFormat="false" ht="15" hidden="false" customHeight="false" outlineLevel="0" collapsed="false">
      <c r="A5932" s="571"/>
      <c r="B5932" s="433"/>
      <c r="C5932" s="878" t="s">
        <v>5260</v>
      </c>
      <c r="D5932" s="877" t="s">
        <v>4133</v>
      </c>
      <c r="E5932" s="860" t="n">
        <v>0.0136</v>
      </c>
      <c r="F5932" s="115" t="n">
        <v>24000</v>
      </c>
      <c r="G5932" s="615" t="n">
        <f aca="false">F5932*E5932</f>
        <v>326.4</v>
      </c>
      <c r="H5932" s="433"/>
    </row>
    <row r="5933" customFormat="false" ht="15" hidden="false" customHeight="false" outlineLevel="0" collapsed="false">
      <c r="A5933" s="571"/>
      <c r="B5933" s="433"/>
      <c r="C5933" s="532" t="s">
        <v>5240</v>
      </c>
      <c r="D5933" s="679" t="s">
        <v>4578</v>
      </c>
      <c r="E5933" s="866" t="n">
        <v>0.002</v>
      </c>
      <c r="F5933" s="617" t="n">
        <v>225000</v>
      </c>
      <c r="G5933" s="615" t="n">
        <f aca="false">F5933*E5933</f>
        <v>450</v>
      </c>
      <c r="H5933" s="433"/>
    </row>
    <row r="5934" customFormat="false" ht="15" hidden="false" customHeight="false" outlineLevel="0" collapsed="false">
      <c r="A5934" s="571"/>
      <c r="B5934" s="433"/>
      <c r="C5934" s="867" t="s">
        <v>4497</v>
      </c>
      <c r="D5934" s="868" t="s">
        <v>4348</v>
      </c>
      <c r="E5934" s="869" t="n">
        <v>0.003</v>
      </c>
      <c r="F5934" s="604" t="n">
        <v>550000</v>
      </c>
      <c r="G5934" s="615" t="n">
        <f aca="false">F5934*E5934</f>
        <v>1650</v>
      </c>
      <c r="H5934" s="433"/>
    </row>
    <row r="5935" customFormat="false" ht="15" hidden="false" customHeight="false" outlineLevel="0" collapsed="false">
      <c r="A5935" s="571"/>
      <c r="B5935" s="433"/>
      <c r="C5935" s="867" t="s">
        <v>4122</v>
      </c>
      <c r="D5935" s="868" t="s">
        <v>4123</v>
      </c>
      <c r="E5935" s="869" t="n">
        <v>0.01</v>
      </c>
      <c r="F5935" s="607" t="n">
        <v>720</v>
      </c>
      <c r="G5935" s="615" t="n">
        <f aca="false">F5935*E5935</f>
        <v>7.2</v>
      </c>
      <c r="H5935" s="433"/>
    </row>
    <row r="5936" customFormat="false" ht="15" hidden="false" customHeight="false" outlineLevel="0" collapsed="false">
      <c r="A5936" s="571"/>
      <c r="B5936" s="433"/>
      <c r="C5936" s="855" t="s">
        <v>5241</v>
      </c>
      <c r="D5936" s="868" t="s">
        <v>4121</v>
      </c>
      <c r="E5936" s="869" t="n">
        <v>0.001</v>
      </c>
      <c r="F5936" s="604" t="n">
        <v>1500</v>
      </c>
      <c r="G5936" s="615" t="n">
        <f aca="false">F5936*E5936</f>
        <v>1.5</v>
      </c>
      <c r="H5936" s="433"/>
    </row>
    <row r="5937" customFormat="false" ht="15" hidden="false" customHeight="false" outlineLevel="0" collapsed="false">
      <c r="A5937" s="571"/>
      <c r="B5937" s="433"/>
      <c r="C5937" s="872" t="s">
        <v>4124</v>
      </c>
      <c r="D5937" s="868" t="s">
        <v>4125</v>
      </c>
      <c r="E5937" s="869" t="n">
        <v>0.1</v>
      </c>
      <c r="F5937" s="607" t="n">
        <v>170</v>
      </c>
      <c r="G5937" s="615" t="n">
        <f aca="false">F5937*E5937</f>
        <v>17</v>
      </c>
      <c r="H5937" s="433"/>
    </row>
    <row r="5938" customFormat="false" ht="15" hidden="false" customHeight="false" outlineLevel="0" collapsed="false">
      <c r="A5938" s="571"/>
      <c r="B5938" s="433"/>
      <c r="C5938" s="872" t="s">
        <v>4347</v>
      </c>
      <c r="D5938" s="868" t="s">
        <v>4348</v>
      </c>
      <c r="E5938" s="869" t="n">
        <v>1</v>
      </c>
      <c r="F5938" s="607" t="n">
        <v>130</v>
      </c>
      <c r="G5938" s="615" t="n">
        <f aca="false">F5938*E5938</f>
        <v>130</v>
      </c>
      <c r="H5938" s="433"/>
    </row>
    <row r="5939" customFormat="false" ht="15" hidden="false" customHeight="false" outlineLevel="0" collapsed="false">
      <c r="A5939" s="571"/>
      <c r="B5939" s="433"/>
      <c r="C5939" s="532" t="s">
        <v>5239</v>
      </c>
      <c r="D5939" s="679" t="s">
        <v>4141</v>
      </c>
      <c r="E5939" s="866" t="n">
        <v>0.003</v>
      </c>
      <c r="F5939" s="617" t="n">
        <v>23500</v>
      </c>
      <c r="G5939" s="615" t="n">
        <f aca="false">F5939*E5939</f>
        <v>70.5</v>
      </c>
      <c r="H5939" s="433"/>
    </row>
    <row r="5940" customFormat="false" ht="15" hidden="false" customHeight="false" outlineLevel="0" collapsed="false">
      <c r="A5940" s="571"/>
      <c r="B5940" s="433"/>
      <c r="C5940" s="855" t="s">
        <v>4509</v>
      </c>
      <c r="D5940" s="316" t="s">
        <v>4348</v>
      </c>
      <c r="E5940" s="855" t="n">
        <v>1</v>
      </c>
      <c r="F5940" s="115" t="n">
        <v>26</v>
      </c>
      <c r="G5940" s="615" t="n">
        <f aca="false">F5940*E5940</f>
        <v>26</v>
      </c>
      <c r="H5940" s="433"/>
    </row>
    <row r="5941" customFormat="false" ht="30" hidden="false" customHeight="false" outlineLevel="0" collapsed="false">
      <c r="A5941" s="571" t="s">
        <v>1115</v>
      </c>
      <c r="B5941" s="488" t="s">
        <v>3334</v>
      </c>
      <c r="C5941" s="41"/>
      <c r="D5941" s="874"/>
      <c r="E5941" s="41"/>
      <c r="F5941" s="875"/>
      <c r="G5941" s="826" t="n">
        <f aca="false">SUM(G5942:G5957)</f>
        <v>10875.17</v>
      </c>
      <c r="H5941" s="856" t="s">
        <v>5262</v>
      </c>
    </row>
    <row r="5942" customFormat="false" ht="15" hidden="false" customHeight="false" outlineLevel="0" collapsed="false">
      <c r="A5942" s="571"/>
      <c r="B5942" s="433"/>
      <c r="C5942" s="21" t="s">
        <v>4604</v>
      </c>
      <c r="D5942" s="877" t="s">
        <v>4359</v>
      </c>
      <c r="E5942" s="860" t="n">
        <v>0.032</v>
      </c>
      <c r="F5942" s="115" t="n">
        <v>18000</v>
      </c>
      <c r="G5942" s="716" t="n">
        <f aca="false">F5942*E5942</f>
        <v>576</v>
      </c>
      <c r="H5942" s="433"/>
    </row>
    <row r="5943" customFormat="false" ht="15" hidden="false" customHeight="false" outlineLevel="0" collapsed="false">
      <c r="A5943" s="571"/>
      <c r="B5943" s="433"/>
      <c r="C5943" s="21" t="s">
        <v>4317</v>
      </c>
      <c r="D5943" s="877" t="s">
        <v>4359</v>
      </c>
      <c r="E5943" s="860" t="n">
        <v>0.15</v>
      </c>
      <c r="F5943" s="115" t="n">
        <v>21000</v>
      </c>
      <c r="G5943" s="716" t="n">
        <f aca="false">F5943*E5943</f>
        <v>3150</v>
      </c>
      <c r="H5943" s="433"/>
    </row>
    <row r="5944" customFormat="false" ht="15" hidden="false" customHeight="false" outlineLevel="0" collapsed="false">
      <c r="A5944" s="571"/>
      <c r="B5944" s="433"/>
      <c r="C5944" s="21" t="s">
        <v>4250</v>
      </c>
      <c r="D5944" s="316" t="s">
        <v>4359</v>
      </c>
      <c r="E5944" s="860" t="n">
        <v>0.1</v>
      </c>
      <c r="F5944" s="115" t="n">
        <v>42000</v>
      </c>
      <c r="G5944" s="716" t="n">
        <f aca="false">F5944*E5944</f>
        <v>4200</v>
      </c>
      <c r="H5944" s="433"/>
    </row>
    <row r="5945" customFormat="false" ht="15" hidden="false" customHeight="false" outlineLevel="0" collapsed="false">
      <c r="A5945" s="571"/>
      <c r="B5945" s="433"/>
      <c r="C5945" s="860" t="s">
        <v>5228</v>
      </c>
      <c r="D5945" s="316" t="s">
        <v>4133</v>
      </c>
      <c r="E5945" s="860" t="n">
        <v>0.02</v>
      </c>
      <c r="F5945" s="115" t="n">
        <v>19000</v>
      </c>
      <c r="G5945" s="716" t="n">
        <f aca="false">F5945*E5945</f>
        <v>380</v>
      </c>
      <c r="H5945" s="433"/>
    </row>
    <row r="5946" customFormat="false" ht="15" hidden="false" customHeight="false" outlineLevel="0" collapsed="false">
      <c r="A5946" s="571"/>
      <c r="B5946" s="433"/>
      <c r="C5946" s="860" t="s">
        <v>4158</v>
      </c>
      <c r="D5946" s="877" t="s">
        <v>4133</v>
      </c>
      <c r="E5946" s="860" t="n">
        <v>0.003</v>
      </c>
      <c r="F5946" s="115" t="n">
        <v>6400</v>
      </c>
      <c r="G5946" s="716" t="n">
        <f aca="false">F5946*E5946</f>
        <v>19.2</v>
      </c>
      <c r="H5946" s="433"/>
    </row>
    <row r="5947" customFormat="false" ht="15" hidden="false" customHeight="false" outlineLevel="0" collapsed="false">
      <c r="A5947" s="571"/>
      <c r="B5947" s="433"/>
      <c r="C5947" s="860" t="s">
        <v>5091</v>
      </c>
      <c r="D5947" s="877" t="s">
        <v>4359</v>
      </c>
      <c r="E5947" s="860" t="n">
        <v>0.01</v>
      </c>
      <c r="F5947" s="115" t="n">
        <v>18000</v>
      </c>
      <c r="G5947" s="716" t="n">
        <f aca="false">F5947*E5947</f>
        <v>180</v>
      </c>
      <c r="H5947" s="433"/>
    </row>
    <row r="5948" customFormat="false" ht="15" hidden="false" customHeight="false" outlineLevel="0" collapsed="false">
      <c r="A5948" s="571"/>
      <c r="B5948" s="433"/>
      <c r="C5948" s="860" t="s">
        <v>5263</v>
      </c>
      <c r="D5948" s="877" t="s">
        <v>4133</v>
      </c>
      <c r="E5948" s="860" t="n">
        <v>0.0001</v>
      </c>
      <c r="F5948" s="115" t="n">
        <v>40000</v>
      </c>
      <c r="G5948" s="716" t="n">
        <f aca="false">F5948*E5948</f>
        <v>4</v>
      </c>
      <c r="H5948" s="433"/>
    </row>
    <row r="5949" customFormat="false" ht="15" hidden="false" customHeight="false" outlineLevel="0" collapsed="false">
      <c r="A5949" s="571"/>
      <c r="B5949" s="433"/>
      <c r="C5949" s="532" t="s">
        <v>5240</v>
      </c>
      <c r="D5949" s="679" t="s">
        <v>4578</v>
      </c>
      <c r="E5949" s="866" t="n">
        <v>0.002</v>
      </c>
      <c r="F5949" s="617" t="n">
        <v>225000</v>
      </c>
      <c r="G5949" s="716" t="n">
        <f aca="false">F5949*E5949</f>
        <v>450</v>
      </c>
      <c r="H5949" s="433"/>
    </row>
    <row r="5950" customFormat="false" ht="15" hidden="false" customHeight="false" outlineLevel="0" collapsed="false">
      <c r="A5950" s="571"/>
      <c r="B5950" s="433"/>
      <c r="C5950" s="867" t="s">
        <v>4497</v>
      </c>
      <c r="D5950" s="868" t="s">
        <v>4348</v>
      </c>
      <c r="E5950" s="869" t="n">
        <v>0.003</v>
      </c>
      <c r="F5950" s="604" t="n">
        <v>550000</v>
      </c>
      <c r="G5950" s="716" t="n">
        <f aca="false">F5950*E5950</f>
        <v>1650</v>
      </c>
      <c r="H5950" s="433"/>
    </row>
    <row r="5951" customFormat="false" ht="17.25" hidden="false" customHeight="true" outlineLevel="0" collapsed="false">
      <c r="A5951" s="571"/>
      <c r="B5951" s="433"/>
      <c r="C5951" s="867" t="s">
        <v>4122</v>
      </c>
      <c r="D5951" s="868" t="s">
        <v>4123</v>
      </c>
      <c r="E5951" s="869" t="n">
        <v>0.01</v>
      </c>
      <c r="F5951" s="607" t="n">
        <v>720</v>
      </c>
      <c r="G5951" s="716" t="n">
        <f aca="false">F5951*E5951</f>
        <v>7.2</v>
      </c>
      <c r="H5951" s="433"/>
    </row>
    <row r="5952" customFormat="false" ht="15" hidden="false" customHeight="false" outlineLevel="0" collapsed="false">
      <c r="A5952" s="571"/>
      <c r="B5952" s="433"/>
      <c r="C5952" s="860" t="s">
        <v>5241</v>
      </c>
      <c r="D5952" s="868" t="s">
        <v>4121</v>
      </c>
      <c r="E5952" s="869" t="n">
        <v>0.01</v>
      </c>
      <c r="F5952" s="604" t="n">
        <v>1500</v>
      </c>
      <c r="G5952" s="716" t="n">
        <f aca="false">F5952*E5952</f>
        <v>15</v>
      </c>
      <c r="H5952" s="433"/>
    </row>
    <row r="5953" customFormat="false" ht="15" hidden="false" customHeight="false" outlineLevel="0" collapsed="false">
      <c r="A5953" s="571"/>
      <c r="B5953" s="433"/>
      <c r="C5953" s="872" t="s">
        <v>4124</v>
      </c>
      <c r="D5953" s="868" t="s">
        <v>4125</v>
      </c>
      <c r="E5953" s="869" t="n">
        <v>0.1</v>
      </c>
      <c r="F5953" s="607" t="n">
        <v>170</v>
      </c>
      <c r="G5953" s="716" t="n">
        <f aca="false">F5953*E5953</f>
        <v>17</v>
      </c>
      <c r="H5953" s="433"/>
    </row>
    <row r="5954" customFormat="false" ht="15" hidden="false" customHeight="false" outlineLevel="0" collapsed="false">
      <c r="A5954" s="571"/>
      <c r="B5954" s="433"/>
      <c r="C5954" s="872" t="s">
        <v>4347</v>
      </c>
      <c r="D5954" s="868" t="s">
        <v>4348</v>
      </c>
      <c r="E5954" s="869" t="n">
        <v>1</v>
      </c>
      <c r="F5954" s="607" t="n">
        <v>130</v>
      </c>
      <c r="G5954" s="716" t="n">
        <f aca="false">F5954*E5954</f>
        <v>130</v>
      </c>
      <c r="H5954" s="433"/>
    </row>
    <row r="5955" customFormat="false" ht="15" hidden="false" customHeight="false" outlineLevel="0" collapsed="false">
      <c r="A5955" s="571"/>
      <c r="B5955" s="433"/>
      <c r="C5955" s="532" t="s">
        <v>5239</v>
      </c>
      <c r="D5955" s="679" t="s">
        <v>4141</v>
      </c>
      <c r="E5955" s="866" t="n">
        <v>0.003</v>
      </c>
      <c r="F5955" s="617" t="n">
        <v>23500</v>
      </c>
      <c r="G5955" s="716" t="n">
        <f aca="false">F5955*E5955</f>
        <v>70.5</v>
      </c>
      <c r="H5955" s="433"/>
    </row>
    <row r="5956" customFormat="false" ht="15" hidden="false" customHeight="false" outlineLevel="0" collapsed="false">
      <c r="A5956" s="571"/>
      <c r="B5956" s="433"/>
      <c r="C5956" s="860" t="s">
        <v>4509</v>
      </c>
      <c r="D5956" s="877" t="s">
        <v>4348</v>
      </c>
      <c r="E5956" s="860" t="n">
        <v>1</v>
      </c>
      <c r="F5956" s="115" t="n">
        <v>26</v>
      </c>
      <c r="G5956" s="716" t="n">
        <f aca="false">F5956*E5956</f>
        <v>26</v>
      </c>
      <c r="H5956" s="433"/>
    </row>
    <row r="5957" customFormat="false" ht="15" hidden="false" customHeight="false" outlineLevel="0" collapsed="false">
      <c r="A5957" s="571"/>
      <c r="B5957" s="433"/>
      <c r="C5957" s="860" t="s">
        <v>4515</v>
      </c>
      <c r="D5957" s="877" t="s">
        <v>4133</v>
      </c>
      <c r="E5957" s="860" t="n">
        <v>0.0001</v>
      </c>
      <c r="F5957" s="115" t="n">
        <v>2700</v>
      </c>
      <c r="G5957" s="716" t="n">
        <f aca="false">F5957*E5957</f>
        <v>0.27</v>
      </c>
      <c r="H5957" s="433"/>
    </row>
    <row r="5958" customFormat="false" ht="30" hidden="false" customHeight="false" outlineLevel="0" collapsed="false">
      <c r="A5958" s="571" t="s">
        <v>1117</v>
      </c>
      <c r="B5958" s="488" t="s">
        <v>3313</v>
      </c>
      <c r="C5958" s="855"/>
      <c r="D5958" s="316"/>
      <c r="E5958" s="855"/>
      <c r="F5958" s="115"/>
      <c r="G5958" s="826" t="n">
        <f aca="false">SUM(G5959:G5980)</f>
        <v>10223.79675</v>
      </c>
      <c r="H5958" s="433" t="s">
        <v>5302</v>
      </c>
    </row>
    <row r="5959" customFormat="false" ht="15" hidden="false" customHeight="false" outlineLevel="0" collapsed="false">
      <c r="A5959" s="571"/>
      <c r="B5959" s="433"/>
      <c r="C5959" s="21" t="s">
        <v>4604</v>
      </c>
      <c r="D5959" s="877" t="s">
        <v>4359</v>
      </c>
      <c r="E5959" s="860" t="n">
        <v>0.05</v>
      </c>
      <c r="F5959" s="115" t="n">
        <v>18000</v>
      </c>
      <c r="G5959" s="716" t="n">
        <f aca="false">F5959*E5959</f>
        <v>900</v>
      </c>
      <c r="H5959" s="433"/>
    </row>
    <row r="5960" customFormat="false" ht="15" hidden="false" customHeight="false" outlineLevel="0" collapsed="false">
      <c r="A5960" s="571"/>
      <c r="B5960" s="433"/>
      <c r="C5960" s="878" t="s">
        <v>5260</v>
      </c>
      <c r="D5960" s="877" t="s">
        <v>4133</v>
      </c>
      <c r="E5960" s="860" t="n">
        <v>0.00875</v>
      </c>
      <c r="F5960" s="115" t="n">
        <v>24000</v>
      </c>
      <c r="G5960" s="716" t="n">
        <f aca="false">F5960*E5960</f>
        <v>210</v>
      </c>
      <c r="H5960" s="433"/>
    </row>
    <row r="5961" customFormat="false" ht="15" hidden="false" customHeight="false" outlineLevel="0" collapsed="false">
      <c r="A5961" s="571"/>
      <c r="B5961" s="433"/>
      <c r="C5961" s="881" t="s">
        <v>4266</v>
      </c>
      <c r="D5961" s="882" t="s">
        <v>4133</v>
      </c>
      <c r="E5961" s="614" t="n">
        <v>0.002</v>
      </c>
      <c r="F5961" s="883" t="n">
        <v>24000</v>
      </c>
      <c r="G5961" s="716" t="n">
        <f aca="false">F5961*E5961</f>
        <v>48</v>
      </c>
      <c r="H5961" s="433"/>
    </row>
    <row r="5962" customFormat="false" ht="30" hidden="false" customHeight="false" outlineLevel="0" collapsed="false">
      <c r="A5962" s="571"/>
      <c r="B5962" s="433"/>
      <c r="C5962" s="532" t="s">
        <v>5238</v>
      </c>
      <c r="D5962" s="679" t="s">
        <v>4141</v>
      </c>
      <c r="E5962" s="865" t="n">
        <v>0.1</v>
      </c>
      <c r="F5962" s="617" t="n">
        <v>1400</v>
      </c>
      <c r="G5962" s="716" t="n">
        <f aca="false">F5962*E5962</f>
        <v>140</v>
      </c>
      <c r="H5962" s="433"/>
    </row>
    <row r="5963" customFormat="false" ht="15" hidden="false" customHeight="false" outlineLevel="0" collapsed="false">
      <c r="A5963" s="571"/>
      <c r="B5963" s="433"/>
      <c r="C5963" s="21" t="s">
        <v>4254</v>
      </c>
      <c r="D5963" s="877" t="s">
        <v>4133</v>
      </c>
      <c r="E5963" s="860" t="n">
        <v>0.00595</v>
      </c>
      <c r="F5963" s="115" t="n">
        <v>5265</v>
      </c>
      <c r="G5963" s="716" t="n">
        <f aca="false">F5963*E5963</f>
        <v>31.32675</v>
      </c>
      <c r="H5963" s="433"/>
    </row>
    <row r="5964" customFormat="false" ht="15" hidden="false" customHeight="false" outlineLevel="0" collapsed="false">
      <c r="A5964" s="571"/>
      <c r="B5964" s="433"/>
      <c r="C5964" s="21" t="s">
        <v>4250</v>
      </c>
      <c r="D5964" s="877" t="s">
        <v>4359</v>
      </c>
      <c r="E5964" s="860" t="n">
        <v>0.1</v>
      </c>
      <c r="F5964" s="115" t="n">
        <v>42000</v>
      </c>
      <c r="G5964" s="716" t="n">
        <f aca="false">F5964*E5964</f>
        <v>4200</v>
      </c>
      <c r="H5964" s="433"/>
    </row>
    <row r="5965" customFormat="false" ht="15" hidden="false" customHeight="false" outlineLevel="0" collapsed="false">
      <c r="A5965" s="571"/>
      <c r="B5965" s="433"/>
      <c r="C5965" s="41" t="s">
        <v>4758</v>
      </c>
      <c r="D5965" s="316" t="s">
        <v>4359</v>
      </c>
      <c r="E5965" s="855" t="n">
        <v>0.035</v>
      </c>
      <c r="F5965" s="115" t="n">
        <v>14000</v>
      </c>
      <c r="G5965" s="716" t="n">
        <f aca="false">F5965*E5965</f>
        <v>490</v>
      </c>
      <c r="H5965" s="433"/>
    </row>
    <row r="5966" customFormat="false" ht="15" hidden="false" customHeight="false" outlineLevel="0" collapsed="false">
      <c r="A5966" s="571"/>
      <c r="B5966" s="433"/>
      <c r="C5966" s="860" t="s">
        <v>4628</v>
      </c>
      <c r="D5966" s="877" t="s">
        <v>4133</v>
      </c>
      <c r="E5966" s="860" t="n">
        <v>0.04</v>
      </c>
      <c r="F5966" s="115" t="n">
        <v>18000</v>
      </c>
      <c r="G5966" s="716" t="n">
        <f aca="false">F5966*E5966</f>
        <v>720</v>
      </c>
      <c r="H5966" s="433"/>
    </row>
    <row r="5967" customFormat="false" ht="15" hidden="false" customHeight="false" outlineLevel="0" collapsed="false">
      <c r="A5967" s="571"/>
      <c r="B5967" s="433"/>
      <c r="C5967" s="860" t="s">
        <v>4171</v>
      </c>
      <c r="D5967" s="877" t="s">
        <v>4359</v>
      </c>
      <c r="E5967" s="860" t="n">
        <v>0.002</v>
      </c>
      <c r="F5967" s="115" t="n">
        <v>18000</v>
      </c>
      <c r="G5967" s="716" t="n">
        <f aca="false">F5967*E5967</f>
        <v>36</v>
      </c>
      <c r="H5967" s="433"/>
    </row>
    <row r="5968" customFormat="false" ht="15" hidden="false" customHeight="false" outlineLevel="0" collapsed="false">
      <c r="A5968" s="571"/>
      <c r="B5968" s="433"/>
      <c r="C5968" s="860" t="s">
        <v>5228</v>
      </c>
      <c r="D5968" s="316" t="s">
        <v>4133</v>
      </c>
      <c r="E5968" s="860" t="n">
        <v>0.02</v>
      </c>
      <c r="F5968" s="115" t="n">
        <v>19000</v>
      </c>
      <c r="G5968" s="716" t="n">
        <f aca="false">F5968*E5968</f>
        <v>380</v>
      </c>
      <c r="H5968" s="433"/>
    </row>
    <row r="5969" customFormat="false" ht="15" hidden="false" customHeight="false" outlineLevel="0" collapsed="false">
      <c r="A5969" s="571"/>
      <c r="B5969" s="433"/>
      <c r="C5969" s="860" t="s">
        <v>4158</v>
      </c>
      <c r="D5969" s="877" t="s">
        <v>4133</v>
      </c>
      <c r="E5969" s="860" t="n">
        <v>0.1</v>
      </c>
      <c r="F5969" s="115" t="n">
        <v>6400</v>
      </c>
      <c r="G5969" s="716" t="n">
        <f aca="false">F5969*E5969</f>
        <v>640</v>
      </c>
      <c r="H5969" s="433"/>
    </row>
    <row r="5970" customFormat="false" ht="15" hidden="false" customHeight="false" outlineLevel="0" collapsed="false">
      <c r="A5970" s="571"/>
      <c r="B5970" s="433"/>
      <c r="C5970" s="860" t="s">
        <v>5091</v>
      </c>
      <c r="D5970" s="877" t="s">
        <v>4359</v>
      </c>
      <c r="E5970" s="860" t="n">
        <v>0.004</v>
      </c>
      <c r="F5970" s="115" t="n">
        <v>18000</v>
      </c>
      <c r="G5970" s="716" t="n">
        <f aca="false">F5970*E5970</f>
        <v>72</v>
      </c>
      <c r="H5970" s="433"/>
    </row>
    <row r="5971" customFormat="false" ht="15" hidden="false" customHeight="false" outlineLevel="0" collapsed="false">
      <c r="A5971" s="571"/>
      <c r="B5971" s="433"/>
      <c r="C5971" s="860" t="s">
        <v>5263</v>
      </c>
      <c r="D5971" s="877" t="s">
        <v>4133</v>
      </c>
      <c r="E5971" s="860" t="n">
        <v>0.0001</v>
      </c>
      <c r="F5971" s="115" t="n">
        <v>40000</v>
      </c>
      <c r="G5971" s="716" t="n">
        <f aca="false">F5971*E5971</f>
        <v>4</v>
      </c>
      <c r="H5971" s="433"/>
    </row>
    <row r="5972" customFormat="false" ht="15" hidden="false" customHeight="false" outlineLevel="0" collapsed="false">
      <c r="A5972" s="571"/>
      <c r="B5972" s="433"/>
      <c r="C5972" s="532" t="s">
        <v>5240</v>
      </c>
      <c r="D5972" s="679" t="s">
        <v>4578</v>
      </c>
      <c r="E5972" s="866" t="n">
        <v>0.002</v>
      </c>
      <c r="F5972" s="681" t="n">
        <v>225000</v>
      </c>
      <c r="G5972" s="716" t="n">
        <f aca="false">F5972*E5972</f>
        <v>450</v>
      </c>
      <c r="H5972" s="433"/>
    </row>
    <row r="5973" customFormat="false" ht="15" hidden="false" customHeight="false" outlineLevel="0" collapsed="false">
      <c r="A5973" s="571"/>
      <c r="B5973" s="433"/>
      <c r="C5973" s="867" t="s">
        <v>4497</v>
      </c>
      <c r="D5973" s="868" t="s">
        <v>4348</v>
      </c>
      <c r="E5973" s="869" t="n">
        <v>0.003</v>
      </c>
      <c r="F5973" s="870" t="n">
        <v>550000</v>
      </c>
      <c r="G5973" s="716" t="n">
        <f aca="false">F5973*E5973</f>
        <v>1650</v>
      </c>
      <c r="H5973" s="433"/>
    </row>
    <row r="5974" customFormat="false" ht="15" hidden="false" customHeight="false" outlineLevel="0" collapsed="false">
      <c r="A5974" s="571"/>
      <c r="B5974" s="433"/>
      <c r="C5974" s="867" t="s">
        <v>4122</v>
      </c>
      <c r="D5974" s="868" t="s">
        <v>4123</v>
      </c>
      <c r="E5974" s="869" t="n">
        <v>0.01</v>
      </c>
      <c r="F5974" s="871" t="n">
        <v>720</v>
      </c>
      <c r="G5974" s="716" t="n">
        <f aca="false">F5974*E5974</f>
        <v>7.2</v>
      </c>
      <c r="H5974" s="433"/>
    </row>
    <row r="5975" customFormat="false" ht="15" hidden="false" customHeight="false" outlineLevel="0" collapsed="false">
      <c r="A5975" s="571"/>
      <c r="B5975" s="433"/>
      <c r="C5975" s="860" t="s">
        <v>5241</v>
      </c>
      <c r="D5975" s="868" t="s">
        <v>4121</v>
      </c>
      <c r="E5975" s="869" t="n">
        <v>0.001</v>
      </c>
      <c r="F5975" s="870" t="n">
        <v>1500</v>
      </c>
      <c r="G5975" s="716" t="n">
        <f aca="false">F5975*E5975</f>
        <v>1.5</v>
      </c>
      <c r="H5975" s="433"/>
    </row>
    <row r="5976" customFormat="false" ht="15" hidden="false" customHeight="false" outlineLevel="0" collapsed="false">
      <c r="A5976" s="571"/>
      <c r="B5976" s="433"/>
      <c r="C5976" s="872" t="s">
        <v>4124</v>
      </c>
      <c r="D5976" s="868" t="s">
        <v>4125</v>
      </c>
      <c r="E5976" s="869" t="n">
        <v>0.1</v>
      </c>
      <c r="F5976" s="871" t="n">
        <v>170</v>
      </c>
      <c r="G5976" s="716" t="n">
        <f aca="false">F5976*E5976</f>
        <v>17</v>
      </c>
      <c r="H5976" s="433"/>
    </row>
    <row r="5977" customFormat="false" ht="15" hidden="false" customHeight="false" outlineLevel="0" collapsed="false">
      <c r="A5977" s="571"/>
      <c r="B5977" s="433"/>
      <c r="C5977" s="872" t="s">
        <v>4347</v>
      </c>
      <c r="D5977" s="868" t="s">
        <v>4348</v>
      </c>
      <c r="E5977" s="869" t="n">
        <v>1</v>
      </c>
      <c r="F5977" s="871" t="n">
        <v>130</v>
      </c>
      <c r="G5977" s="716" t="n">
        <f aca="false">F5977*E5977</f>
        <v>130</v>
      </c>
      <c r="H5977" s="433"/>
    </row>
    <row r="5978" customFormat="false" ht="15" hidden="false" customHeight="false" outlineLevel="0" collapsed="false">
      <c r="A5978" s="571"/>
      <c r="B5978" s="433"/>
      <c r="C5978" s="532" t="s">
        <v>5239</v>
      </c>
      <c r="D5978" s="679" t="s">
        <v>4141</v>
      </c>
      <c r="E5978" s="866" t="n">
        <v>0.003</v>
      </c>
      <c r="F5978" s="681" t="n">
        <v>23500</v>
      </c>
      <c r="G5978" s="716" t="n">
        <f aca="false">F5978*E5978</f>
        <v>70.5</v>
      </c>
      <c r="H5978" s="433"/>
    </row>
    <row r="5979" customFormat="false" ht="15" hidden="false" customHeight="false" outlineLevel="0" collapsed="false">
      <c r="A5979" s="571"/>
      <c r="B5979" s="433"/>
      <c r="C5979" s="860" t="s">
        <v>4509</v>
      </c>
      <c r="D5979" s="877" t="s">
        <v>4348</v>
      </c>
      <c r="E5979" s="860" t="n">
        <v>1</v>
      </c>
      <c r="F5979" s="857" t="n">
        <v>26</v>
      </c>
      <c r="G5979" s="716" t="n">
        <f aca="false">F5979*E5979</f>
        <v>26</v>
      </c>
      <c r="H5979" s="433"/>
    </row>
    <row r="5980" customFormat="false" ht="15" hidden="false" customHeight="false" outlineLevel="0" collapsed="false">
      <c r="A5980" s="571"/>
      <c r="B5980" s="433"/>
      <c r="C5980" s="860" t="s">
        <v>4515</v>
      </c>
      <c r="D5980" s="877" t="s">
        <v>4133</v>
      </c>
      <c r="E5980" s="860" t="n">
        <v>0.0001</v>
      </c>
      <c r="F5980" s="857" t="n">
        <v>2700</v>
      </c>
      <c r="G5980" s="716" t="n">
        <f aca="false">F5980*E5980</f>
        <v>0.27</v>
      </c>
      <c r="H5980" s="433"/>
    </row>
    <row r="5981" customFormat="false" ht="15" hidden="false" customHeight="false" outlineLevel="0" collapsed="false">
      <c r="A5981" s="571" t="s">
        <v>1118</v>
      </c>
      <c r="B5981" s="433" t="s">
        <v>3308</v>
      </c>
      <c r="C5981" s="860"/>
      <c r="D5981" s="877"/>
      <c r="E5981" s="860"/>
      <c r="F5981" s="857"/>
      <c r="G5981" s="826" t="n">
        <f aca="false">SUM(G5982:G6001)</f>
        <v>5208.505</v>
      </c>
      <c r="H5981" s="433" t="s">
        <v>5276</v>
      </c>
    </row>
    <row r="5982" customFormat="false" ht="15" hidden="false" customHeight="false" outlineLevel="0" collapsed="false">
      <c r="A5982" s="571"/>
      <c r="B5982" s="433"/>
      <c r="C5982" s="855" t="s">
        <v>4317</v>
      </c>
      <c r="D5982" s="316" t="s">
        <v>4359</v>
      </c>
      <c r="E5982" s="855" t="n">
        <v>0.1</v>
      </c>
      <c r="F5982" s="115" t="n">
        <v>21000</v>
      </c>
      <c r="G5982" s="615" t="n">
        <f aca="false">F5982*E5982</f>
        <v>2100</v>
      </c>
      <c r="H5982" s="433"/>
    </row>
    <row r="5983" customFormat="false" ht="15" hidden="false" customHeight="false" outlineLevel="0" collapsed="false">
      <c r="A5983" s="571"/>
      <c r="B5983" s="433"/>
      <c r="C5983" s="855" t="s">
        <v>4147</v>
      </c>
      <c r="D5983" s="316" t="s">
        <v>4359</v>
      </c>
      <c r="E5983" s="855" t="n">
        <v>0.004</v>
      </c>
      <c r="F5983" s="115" t="n">
        <v>18000</v>
      </c>
      <c r="G5983" s="615" t="n">
        <f aca="false">F5983*E5983</f>
        <v>72</v>
      </c>
      <c r="H5983" s="433"/>
    </row>
    <row r="5984" customFormat="false" ht="15" hidden="false" customHeight="false" outlineLevel="0" collapsed="false">
      <c r="A5984" s="571"/>
      <c r="B5984" s="433"/>
      <c r="C5984" s="855" t="s">
        <v>5243</v>
      </c>
      <c r="D5984" s="316" t="s">
        <v>4133</v>
      </c>
      <c r="E5984" s="855" t="n">
        <v>0.005</v>
      </c>
      <c r="F5984" s="115" t="n">
        <v>2241</v>
      </c>
      <c r="G5984" s="615" t="n">
        <f aca="false">F5984*E5984</f>
        <v>11.205</v>
      </c>
      <c r="H5984" s="433"/>
    </row>
    <row r="5985" customFormat="false" ht="15" hidden="false" customHeight="false" outlineLevel="0" collapsed="false">
      <c r="A5985" s="571"/>
      <c r="B5985" s="433"/>
      <c r="C5985" s="860" t="s">
        <v>4189</v>
      </c>
      <c r="D5985" s="316" t="s">
        <v>4359</v>
      </c>
      <c r="E5985" s="855" t="n">
        <v>0.0025</v>
      </c>
      <c r="F5985" s="115" t="n">
        <v>1800</v>
      </c>
      <c r="G5985" s="615" t="n">
        <f aca="false">F5985*E5985</f>
        <v>4.5</v>
      </c>
      <c r="H5985" s="433"/>
    </row>
    <row r="5986" customFormat="false" ht="30" hidden="false" customHeight="false" outlineLevel="0" collapsed="false">
      <c r="A5986" s="571"/>
      <c r="B5986" s="433"/>
      <c r="C5986" s="855" t="s">
        <v>5244</v>
      </c>
      <c r="D5986" s="316" t="s">
        <v>4133</v>
      </c>
      <c r="E5986" s="855" t="n">
        <v>0.001</v>
      </c>
      <c r="F5986" s="115" t="n">
        <v>19000</v>
      </c>
      <c r="G5986" s="615" t="n">
        <f aca="false">F5986*E5986</f>
        <v>19</v>
      </c>
      <c r="H5986" s="433"/>
    </row>
    <row r="5987" customFormat="false" ht="15" hidden="false" customHeight="false" outlineLevel="0" collapsed="false">
      <c r="A5987" s="571"/>
      <c r="B5987" s="433"/>
      <c r="C5987" s="855" t="s">
        <v>5241</v>
      </c>
      <c r="D5987" s="316" t="s">
        <v>4141</v>
      </c>
      <c r="E5987" s="860" t="n">
        <v>0.001</v>
      </c>
      <c r="F5987" s="115" t="n">
        <v>1500</v>
      </c>
      <c r="G5987" s="615" t="n">
        <f aca="false">F5987*E5987</f>
        <v>1.5</v>
      </c>
      <c r="H5987" s="433"/>
    </row>
    <row r="5988" customFormat="false" ht="15" hidden="false" customHeight="false" outlineLevel="0" collapsed="false">
      <c r="A5988" s="571"/>
      <c r="B5988" s="433"/>
      <c r="C5988" s="855" t="s">
        <v>5245</v>
      </c>
      <c r="D5988" s="316" t="s">
        <v>4133</v>
      </c>
      <c r="E5988" s="855" t="n">
        <v>0.0001</v>
      </c>
      <c r="F5988" s="115" t="n">
        <v>58000</v>
      </c>
      <c r="G5988" s="615" t="n">
        <f aca="false">F5988*E5988</f>
        <v>5.8</v>
      </c>
      <c r="H5988" s="433"/>
    </row>
    <row r="5989" customFormat="false" ht="15" hidden="false" customHeight="false" outlineLevel="0" collapsed="false">
      <c r="A5989" s="571"/>
      <c r="B5989" s="433"/>
      <c r="C5989" s="855" t="s">
        <v>5246</v>
      </c>
      <c r="D5989" s="316" t="s">
        <v>4133</v>
      </c>
      <c r="E5989" s="855" t="n">
        <v>0.0001</v>
      </c>
      <c r="F5989" s="115" t="n">
        <v>58000</v>
      </c>
      <c r="G5989" s="615" t="n">
        <f aca="false">F5989*E5989</f>
        <v>5.8</v>
      </c>
      <c r="H5989" s="433"/>
    </row>
    <row r="5990" customFormat="false" ht="15" hidden="false" customHeight="false" outlineLevel="0" collapsed="false">
      <c r="A5990" s="571"/>
      <c r="B5990" s="433"/>
      <c r="C5990" s="855" t="s">
        <v>5247</v>
      </c>
      <c r="D5990" s="316" t="s">
        <v>4133</v>
      </c>
      <c r="E5990" s="855" t="n">
        <v>0.0001</v>
      </c>
      <c r="F5990" s="115" t="n">
        <v>58000</v>
      </c>
      <c r="G5990" s="615" t="n">
        <f aca="false">F5990*E5990</f>
        <v>5.8</v>
      </c>
      <c r="H5990" s="433"/>
    </row>
    <row r="5991" customFormat="false" ht="15" hidden="false" customHeight="false" outlineLevel="0" collapsed="false">
      <c r="A5991" s="571"/>
      <c r="B5991" s="433"/>
      <c r="C5991" s="855" t="s">
        <v>5248</v>
      </c>
      <c r="D5991" s="316" t="s">
        <v>4133</v>
      </c>
      <c r="E5991" s="855" t="n">
        <v>0.0001</v>
      </c>
      <c r="F5991" s="115" t="n">
        <v>58000</v>
      </c>
      <c r="G5991" s="615" t="n">
        <f aca="false">F5991*E5991</f>
        <v>5.8</v>
      </c>
      <c r="H5991" s="433"/>
    </row>
    <row r="5992" customFormat="false" ht="15" hidden="false" customHeight="false" outlineLevel="0" collapsed="false">
      <c r="A5992" s="571"/>
      <c r="B5992" s="433"/>
      <c r="C5992" s="855" t="s">
        <v>5249</v>
      </c>
      <c r="D5992" s="316" t="s">
        <v>4133</v>
      </c>
      <c r="E5992" s="855" t="n">
        <v>0.0001</v>
      </c>
      <c r="F5992" s="115" t="n">
        <v>58000</v>
      </c>
      <c r="G5992" s="615" t="n">
        <f aca="false">F5992*E5992</f>
        <v>5.8</v>
      </c>
      <c r="H5992" s="433"/>
    </row>
    <row r="5993" customFormat="false" ht="15" hidden="false" customHeight="false" outlineLevel="0" collapsed="false">
      <c r="A5993" s="571"/>
      <c r="B5993" s="433"/>
      <c r="C5993" s="855" t="s">
        <v>5250</v>
      </c>
      <c r="D5993" s="316" t="s">
        <v>4133</v>
      </c>
      <c r="E5993" s="855" t="n">
        <v>0.0001</v>
      </c>
      <c r="F5993" s="115" t="n">
        <v>58000</v>
      </c>
      <c r="G5993" s="615" t="n">
        <f aca="false">F5993*E5993</f>
        <v>5.8</v>
      </c>
      <c r="H5993" s="433"/>
    </row>
    <row r="5994" customFormat="false" ht="15" hidden="false" customHeight="false" outlineLevel="0" collapsed="false">
      <c r="A5994" s="571"/>
      <c r="B5994" s="433"/>
      <c r="C5994" s="855" t="s">
        <v>5240</v>
      </c>
      <c r="D5994" s="316" t="s">
        <v>4578</v>
      </c>
      <c r="E5994" s="855" t="n">
        <v>0.002</v>
      </c>
      <c r="F5994" s="857" t="n">
        <v>225000</v>
      </c>
      <c r="G5994" s="615" t="n">
        <f aca="false">F5994*E5994</f>
        <v>450</v>
      </c>
      <c r="H5994" s="433"/>
    </row>
    <row r="5995" customFormat="false" ht="15" hidden="false" customHeight="false" outlineLevel="0" collapsed="false">
      <c r="A5995" s="571"/>
      <c r="B5995" s="433"/>
      <c r="C5995" s="532" t="s">
        <v>4251</v>
      </c>
      <c r="D5995" s="679" t="s">
        <v>4578</v>
      </c>
      <c r="E5995" s="866" t="n">
        <v>0.002</v>
      </c>
      <c r="F5995" s="681" t="n">
        <v>275000</v>
      </c>
      <c r="G5995" s="615" t="n">
        <f aca="false">F5995*E5995</f>
        <v>550</v>
      </c>
      <c r="H5995" s="433"/>
    </row>
    <row r="5996" customFormat="false" ht="15" hidden="false" customHeight="false" outlineLevel="0" collapsed="false">
      <c r="A5996" s="571"/>
      <c r="B5996" s="433"/>
      <c r="C5996" s="532" t="s">
        <v>5239</v>
      </c>
      <c r="D5996" s="679" t="s">
        <v>4141</v>
      </c>
      <c r="E5996" s="866" t="n">
        <v>0.003</v>
      </c>
      <c r="F5996" s="681" t="n">
        <v>23500</v>
      </c>
      <c r="G5996" s="615" t="n">
        <f aca="false">F5996*E5996</f>
        <v>70.5</v>
      </c>
      <c r="H5996" s="433"/>
    </row>
    <row r="5997" customFormat="false" ht="15" hidden="false" customHeight="false" outlineLevel="0" collapsed="false">
      <c r="A5997" s="571"/>
      <c r="B5997" s="433"/>
      <c r="C5997" s="867" t="s">
        <v>4497</v>
      </c>
      <c r="D5997" s="868" t="s">
        <v>4348</v>
      </c>
      <c r="E5997" s="869" t="n">
        <v>0.003</v>
      </c>
      <c r="F5997" s="870" t="n">
        <v>550000</v>
      </c>
      <c r="G5997" s="615" t="n">
        <f aca="false">F5997*E5997</f>
        <v>1650</v>
      </c>
      <c r="H5997" s="433"/>
    </row>
    <row r="5998" customFormat="false" ht="15" hidden="false" customHeight="false" outlineLevel="0" collapsed="false">
      <c r="A5998" s="571"/>
      <c r="B5998" s="433"/>
      <c r="C5998" s="884" t="s">
        <v>4122</v>
      </c>
      <c r="D5998" s="679" t="s">
        <v>4123</v>
      </c>
      <c r="E5998" s="709" t="n">
        <v>0.1</v>
      </c>
      <c r="F5998" s="871" t="n">
        <v>720</v>
      </c>
      <c r="G5998" s="615" t="n">
        <f aca="false">F5998*E5998</f>
        <v>72</v>
      </c>
      <c r="H5998" s="433"/>
    </row>
    <row r="5999" customFormat="false" ht="15" hidden="false" customHeight="false" outlineLevel="0" collapsed="false">
      <c r="A5999" s="571"/>
      <c r="B5999" s="433"/>
      <c r="C5999" s="885" t="s">
        <v>4124</v>
      </c>
      <c r="D5999" s="679" t="s">
        <v>4125</v>
      </c>
      <c r="E5999" s="709" t="n">
        <v>0.1</v>
      </c>
      <c r="F5999" s="886" t="n">
        <v>170</v>
      </c>
      <c r="G5999" s="615" t="n">
        <f aca="false">F5999*E5999</f>
        <v>17</v>
      </c>
      <c r="H5999" s="433"/>
    </row>
    <row r="6000" customFormat="false" ht="15" hidden="false" customHeight="false" outlineLevel="0" collapsed="false">
      <c r="A6000" s="571"/>
      <c r="B6000" s="433"/>
      <c r="C6000" s="885" t="s">
        <v>4347</v>
      </c>
      <c r="D6000" s="679" t="s">
        <v>4348</v>
      </c>
      <c r="E6000" s="709" t="n">
        <v>1</v>
      </c>
      <c r="F6000" s="886" t="n">
        <v>130</v>
      </c>
      <c r="G6000" s="615" t="n">
        <f aca="false">F6000*E6000</f>
        <v>130</v>
      </c>
      <c r="H6000" s="433"/>
    </row>
    <row r="6001" customFormat="false" ht="15" hidden="false" customHeight="false" outlineLevel="0" collapsed="false">
      <c r="A6001" s="571"/>
      <c r="B6001" s="433"/>
      <c r="C6001" s="855" t="s">
        <v>4509</v>
      </c>
      <c r="D6001" s="316" t="s">
        <v>4348</v>
      </c>
      <c r="E6001" s="855" t="n">
        <v>1</v>
      </c>
      <c r="F6001" s="857" t="n">
        <v>26</v>
      </c>
      <c r="G6001" s="615" t="n">
        <f aca="false">F6001*E6001</f>
        <v>26</v>
      </c>
      <c r="H6001" s="433"/>
    </row>
    <row r="6002" customFormat="false" ht="28.5" hidden="false" customHeight="false" outlineLevel="0" collapsed="false">
      <c r="A6002" s="350" t="s">
        <v>5303</v>
      </c>
      <c r="B6002" s="346" t="s">
        <v>3170</v>
      </c>
      <c r="C6002" s="601"/>
      <c r="D6002" s="600"/>
      <c r="E6002" s="600"/>
      <c r="F6002" s="364"/>
      <c r="G6002" s="713"/>
      <c r="H6002" s="887"/>
    </row>
    <row r="6003" customFormat="false" ht="15" hidden="false" customHeight="false" outlineLevel="0" collapsed="false">
      <c r="A6003" s="571" t="s">
        <v>1120</v>
      </c>
      <c r="B6003" s="433" t="s">
        <v>3307</v>
      </c>
      <c r="C6003" s="476"/>
      <c r="D6003" s="820"/>
      <c r="E6003" s="820"/>
      <c r="F6003" s="697"/>
      <c r="G6003" s="826" t="n">
        <f aca="false">SUM(G6004:G6021)</f>
        <v>4832.9605</v>
      </c>
      <c r="H6003" s="433" t="s">
        <v>5227</v>
      </c>
    </row>
    <row r="6004" customFormat="false" ht="15" hidden="false" customHeight="false" outlineLevel="0" collapsed="false">
      <c r="A6004" s="380"/>
      <c r="B6004" s="433"/>
      <c r="C6004" s="855" t="s">
        <v>4317</v>
      </c>
      <c r="D6004" s="316" t="s">
        <v>4359</v>
      </c>
      <c r="E6004" s="860" t="n">
        <v>0.1</v>
      </c>
      <c r="F6004" s="115" t="n">
        <v>21000</v>
      </c>
      <c r="G6004" s="615" t="n">
        <f aca="false">F6004*E6004</f>
        <v>2100</v>
      </c>
      <c r="H6004" s="433"/>
    </row>
    <row r="6005" customFormat="false" ht="15" hidden="false" customHeight="false" outlineLevel="0" collapsed="false">
      <c r="A6005" s="707"/>
      <c r="B6005" s="433"/>
      <c r="C6005" s="855" t="s">
        <v>4147</v>
      </c>
      <c r="D6005" s="316" t="s">
        <v>4359</v>
      </c>
      <c r="E6005" s="855" t="n">
        <v>0.003</v>
      </c>
      <c r="F6005" s="115" t="n">
        <v>18000</v>
      </c>
      <c r="G6005" s="615" t="n">
        <f aca="false">F6005*E6005</f>
        <v>54</v>
      </c>
      <c r="H6005" s="433"/>
    </row>
    <row r="6006" customFormat="false" ht="15" hidden="false" customHeight="false" outlineLevel="0" collapsed="false">
      <c r="A6006" s="571"/>
      <c r="B6006" s="433"/>
      <c r="C6006" s="855" t="s">
        <v>5228</v>
      </c>
      <c r="D6006" s="316" t="s">
        <v>4133</v>
      </c>
      <c r="E6006" s="855" t="n">
        <v>0.01</v>
      </c>
      <c r="F6006" s="115" t="n">
        <v>19000</v>
      </c>
      <c r="G6006" s="615" t="n">
        <f aca="false">F6006*E6006</f>
        <v>190</v>
      </c>
      <c r="H6006" s="433"/>
    </row>
    <row r="6007" customFormat="false" ht="30" hidden="false" customHeight="false" outlineLevel="0" collapsed="false">
      <c r="A6007" s="571"/>
      <c r="B6007" s="433"/>
      <c r="C6007" s="532" t="s">
        <v>5238</v>
      </c>
      <c r="D6007" s="679" t="s">
        <v>4141</v>
      </c>
      <c r="E6007" s="865" t="n">
        <v>0.01</v>
      </c>
      <c r="F6007" s="617" t="n">
        <v>1400</v>
      </c>
      <c r="G6007" s="615" t="n">
        <f aca="false">F6007*E6007</f>
        <v>14</v>
      </c>
      <c r="H6007" s="433"/>
    </row>
    <row r="6008" customFormat="false" ht="30" hidden="false" customHeight="false" outlineLevel="0" collapsed="false">
      <c r="A6008" s="571"/>
      <c r="B6008" s="433"/>
      <c r="C6008" s="855" t="s">
        <v>5229</v>
      </c>
      <c r="D6008" s="316" t="s">
        <v>4133</v>
      </c>
      <c r="E6008" s="855" t="n">
        <v>0.0001</v>
      </c>
      <c r="F6008" s="115" t="n">
        <v>71490</v>
      </c>
      <c r="G6008" s="615" t="n">
        <f aca="false">F6008*E6008</f>
        <v>7.149</v>
      </c>
      <c r="H6008" s="433"/>
    </row>
    <row r="6009" customFormat="false" ht="30" hidden="false" customHeight="false" outlineLevel="0" collapsed="false">
      <c r="A6009" s="571"/>
      <c r="B6009" s="433"/>
      <c r="C6009" s="855" t="s">
        <v>5230</v>
      </c>
      <c r="D6009" s="316" t="s">
        <v>4133</v>
      </c>
      <c r="E6009" s="855" t="n">
        <v>0.0001</v>
      </c>
      <c r="F6009" s="857" t="n">
        <v>74815</v>
      </c>
      <c r="G6009" s="615" t="n">
        <f aca="false">F6009*E6009</f>
        <v>7.4815</v>
      </c>
      <c r="H6009" s="433"/>
    </row>
    <row r="6010" customFormat="false" ht="45" hidden="false" customHeight="false" outlineLevel="0" collapsed="false">
      <c r="A6010" s="571"/>
      <c r="B6010" s="433"/>
      <c r="C6010" s="855" t="s">
        <v>5231</v>
      </c>
      <c r="D6010" s="316" t="s">
        <v>4133</v>
      </c>
      <c r="E6010" s="855" t="n">
        <v>0.0001</v>
      </c>
      <c r="F6010" s="857" t="n">
        <v>75465</v>
      </c>
      <c r="G6010" s="615" t="n">
        <f aca="false">F6010*E6010</f>
        <v>7.5465</v>
      </c>
      <c r="H6010" s="433"/>
    </row>
    <row r="6011" customFormat="false" ht="30" hidden="false" customHeight="false" outlineLevel="0" collapsed="false">
      <c r="A6011" s="571"/>
      <c r="B6011" s="433"/>
      <c r="C6011" s="855" t="s">
        <v>5232</v>
      </c>
      <c r="D6011" s="316" t="s">
        <v>4133</v>
      </c>
      <c r="E6011" s="855" t="n">
        <v>0.0001</v>
      </c>
      <c r="F6011" s="857" t="n">
        <v>87990</v>
      </c>
      <c r="G6011" s="615" t="n">
        <f aca="false">F6011*E6011</f>
        <v>8.799</v>
      </c>
      <c r="H6011" s="433"/>
    </row>
    <row r="6012" customFormat="false" ht="30" hidden="false" customHeight="false" outlineLevel="0" collapsed="false">
      <c r="A6012" s="571"/>
      <c r="B6012" s="433"/>
      <c r="C6012" s="855" t="s">
        <v>5233</v>
      </c>
      <c r="D6012" s="316" t="s">
        <v>4133</v>
      </c>
      <c r="E6012" s="855" t="n">
        <v>0.0001</v>
      </c>
      <c r="F6012" s="857" t="n">
        <v>71395</v>
      </c>
      <c r="G6012" s="615" t="n">
        <f aca="false">F6012*E6012</f>
        <v>7.1395</v>
      </c>
      <c r="H6012" s="433"/>
    </row>
    <row r="6013" customFormat="false" ht="30" hidden="false" customHeight="false" outlineLevel="0" collapsed="false">
      <c r="A6013" s="571"/>
      <c r="B6013" s="433"/>
      <c r="C6013" s="855" t="s">
        <v>5234</v>
      </c>
      <c r="D6013" s="316" t="s">
        <v>4133</v>
      </c>
      <c r="E6013" s="855" t="n">
        <v>0.0001</v>
      </c>
      <c r="F6013" s="857" t="n">
        <v>53450</v>
      </c>
      <c r="G6013" s="615" t="n">
        <f aca="false">F6013*E6013</f>
        <v>5.345</v>
      </c>
      <c r="H6013" s="433"/>
    </row>
    <row r="6014" customFormat="false" ht="15" hidden="false" customHeight="false" outlineLevel="0" collapsed="false">
      <c r="A6014" s="571"/>
      <c r="B6014" s="433"/>
      <c r="C6014" s="855" t="s">
        <v>5240</v>
      </c>
      <c r="D6014" s="316" t="s">
        <v>4578</v>
      </c>
      <c r="E6014" s="855" t="n">
        <v>0.002</v>
      </c>
      <c r="F6014" s="857" t="n">
        <v>225000</v>
      </c>
      <c r="G6014" s="615" t="n">
        <f aca="false">F6014*E6014</f>
        <v>450</v>
      </c>
      <c r="H6014" s="433"/>
    </row>
    <row r="6015" customFormat="false" ht="15" hidden="false" customHeight="false" outlineLevel="0" collapsed="false">
      <c r="A6015" s="571"/>
      <c r="B6015" s="433"/>
      <c r="C6015" s="855" t="s">
        <v>5241</v>
      </c>
      <c r="D6015" s="316" t="s">
        <v>4141</v>
      </c>
      <c r="E6015" s="860" t="n">
        <v>0.01</v>
      </c>
      <c r="F6015" s="857" t="n">
        <v>1500</v>
      </c>
      <c r="G6015" s="615" t="n">
        <f aca="false">F6015*E6015</f>
        <v>15</v>
      </c>
      <c r="H6015" s="433"/>
    </row>
    <row r="6016" customFormat="false" ht="15" hidden="false" customHeight="false" outlineLevel="0" collapsed="false">
      <c r="A6016" s="571"/>
      <c r="B6016" s="433"/>
      <c r="C6016" s="867" t="s">
        <v>4497</v>
      </c>
      <c r="D6016" s="868" t="s">
        <v>4348</v>
      </c>
      <c r="E6016" s="869" t="n">
        <v>0.003</v>
      </c>
      <c r="F6016" s="870" t="n">
        <v>550000</v>
      </c>
      <c r="G6016" s="615" t="n">
        <f aca="false">F6016*E6016</f>
        <v>1650</v>
      </c>
      <c r="H6016" s="433"/>
    </row>
    <row r="6017" customFormat="false" ht="15" hidden="false" customHeight="false" outlineLevel="0" collapsed="false">
      <c r="A6017" s="571"/>
      <c r="B6017" s="433"/>
      <c r="C6017" s="855" t="s">
        <v>4347</v>
      </c>
      <c r="D6017" s="316" t="s">
        <v>4348</v>
      </c>
      <c r="E6017" s="855" t="n">
        <v>1</v>
      </c>
      <c r="F6017" s="857" t="n">
        <v>130</v>
      </c>
      <c r="G6017" s="615" t="n">
        <f aca="false">F6017*E6017</f>
        <v>130</v>
      </c>
      <c r="H6017" s="433"/>
    </row>
    <row r="6018" customFormat="false" ht="15" hidden="false" customHeight="false" outlineLevel="0" collapsed="false">
      <c r="A6018" s="571"/>
      <c r="B6018" s="433"/>
      <c r="C6018" s="855" t="s">
        <v>4122</v>
      </c>
      <c r="D6018" s="316" t="s">
        <v>4359</v>
      </c>
      <c r="E6018" s="855" t="n">
        <v>0.1</v>
      </c>
      <c r="F6018" s="857" t="n">
        <v>720</v>
      </c>
      <c r="G6018" s="615" t="n">
        <f aca="false">F6018*E6018</f>
        <v>72</v>
      </c>
      <c r="H6018" s="433"/>
    </row>
    <row r="6019" customFormat="false" ht="15" hidden="false" customHeight="false" outlineLevel="0" collapsed="false">
      <c r="A6019" s="571"/>
      <c r="B6019" s="433"/>
      <c r="C6019" s="532" t="s">
        <v>5239</v>
      </c>
      <c r="D6019" s="679" t="s">
        <v>4141</v>
      </c>
      <c r="E6019" s="866" t="n">
        <v>0.003</v>
      </c>
      <c r="F6019" s="681" t="n">
        <v>23500</v>
      </c>
      <c r="G6019" s="615" t="n">
        <f aca="false">F6019*E6019</f>
        <v>70.5</v>
      </c>
      <c r="H6019" s="433"/>
    </row>
    <row r="6020" customFormat="false" ht="15" hidden="false" customHeight="false" outlineLevel="0" collapsed="false">
      <c r="A6020" s="571"/>
      <c r="B6020" s="433"/>
      <c r="C6020" s="855" t="s">
        <v>4515</v>
      </c>
      <c r="D6020" s="316" t="s">
        <v>4133</v>
      </c>
      <c r="E6020" s="855" t="n">
        <v>0.01</v>
      </c>
      <c r="F6020" s="857" t="n">
        <v>2700</v>
      </c>
      <c r="G6020" s="615" t="n">
        <f aca="false">F6020*E6020</f>
        <v>27</v>
      </c>
      <c r="H6020" s="433"/>
    </row>
    <row r="6021" customFormat="false" ht="15" hidden="false" customHeight="false" outlineLevel="0" collapsed="false">
      <c r="A6021" s="571"/>
      <c r="B6021" s="433"/>
      <c r="C6021" s="861" t="s">
        <v>4124</v>
      </c>
      <c r="D6021" s="316" t="s">
        <v>4125</v>
      </c>
      <c r="E6021" s="855" t="n">
        <v>0.1</v>
      </c>
      <c r="F6021" s="857" t="n">
        <v>170</v>
      </c>
      <c r="G6021" s="615" t="n">
        <f aca="false">F6021*E6021</f>
        <v>17</v>
      </c>
      <c r="H6021" s="433"/>
    </row>
    <row r="6022" customFormat="false" ht="15" hidden="false" customHeight="false" outlineLevel="0" collapsed="false">
      <c r="A6022" s="350" t="s">
        <v>5304</v>
      </c>
      <c r="B6022" s="346" t="s">
        <v>3213</v>
      </c>
      <c r="C6022" s="892"/>
      <c r="D6022" s="387"/>
      <c r="E6022" s="892"/>
      <c r="F6022" s="893"/>
      <c r="G6022" s="713"/>
      <c r="H6022" s="887"/>
    </row>
    <row r="6023" customFormat="false" ht="15" hidden="false" customHeight="false" outlineLevel="0" collapsed="false">
      <c r="A6023" s="571" t="s">
        <v>1123</v>
      </c>
      <c r="B6023" s="433" t="s">
        <v>3307</v>
      </c>
      <c r="C6023" s="41"/>
      <c r="D6023" s="874"/>
      <c r="E6023" s="41"/>
      <c r="F6023" s="875"/>
      <c r="G6023" s="826" t="n">
        <f aca="false">SUM(G6024:G6043)</f>
        <v>6195.9305</v>
      </c>
      <c r="H6023" s="433" t="s">
        <v>5227</v>
      </c>
    </row>
    <row r="6024" customFormat="false" ht="15" hidden="false" customHeight="false" outlineLevel="0" collapsed="false">
      <c r="A6024" s="380"/>
      <c r="B6024" s="433"/>
      <c r="C6024" s="855" t="s">
        <v>4604</v>
      </c>
      <c r="D6024" s="316" t="s">
        <v>4359</v>
      </c>
      <c r="E6024" s="855" t="n">
        <v>0.001</v>
      </c>
      <c r="F6024" s="115" t="n">
        <v>18000</v>
      </c>
      <c r="G6024" s="615" t="n">
        <f aca="false">F6024*E6024</f>
        <v>18</v>
      </c>
      <c r="H6024" s="433"/>
    </row>
    <row r="6025" customFormat="false" ht="15" hidden="false" customHeight="false" outlineLevel="0" collapsed="false">
      <c r="A6025" s="707"/>
      <c r="B6025" s="433"/>
      <c r="C6025" s="855" t="s">
        <v>4317</v>
      </c>
      <c r="D6025" s="316" t="s">
        <v>4359</v>
      </c>
      <c r="E6025" s="860" t="n">
        <v>0.1</v>
      </c>
      <c r="F6025" s="115" t="n">
        <v>21000</v>
      </c>
      <c r="G6025" s="615" t="n">
        <f aca="false">F6025*E6025</f>
        <v>2100</v>
      </c>
      <c r="H6025" s="433"/>
    </row>
    <row r="6026" customFormat="false" ht="15" hidden="false" customHeight="false" outlineLevel="0" collapsed="false">
      <c r="A6026" s="571"/>
      <c r="B6026" s="433"/>
      <c r="C6026" s="855" t="s">
        <v>4147</v>
      </c>
      <c r="D6026" s="316" t="s">
        <v>4359</v>
      </c>
      <c r="E6026" s="855" t="n">
        <v>0.015</v>
      </c>
      <c r="F6026" s="115" t="n">
        <v>18000</v>
      </c>
      <c r="G6026" s="615" t="n">
        <f aca="false">F6026*E6026</f>
        <v>270</v>
      </c>
      <c r="H6026" s="433"/>
    </row>
    <row r="6027" customFormat="false" ht="15" hidden="false" customHeight="false" outlineLevel="0" collapsed="false">
      <c r="A6027" s="571"/>
      <c r="B6027" s="900"/>
      <c r="C6027" s="855" t="s">
        <v>5228</v>
      </c>
      <c r="D6027" s="316" t="s">
        <v>4133</v>
      </c>
      <c r="E6027" s="855" t="n">
        <v>0.01</v>
      </c>
      <c r="F6027" s="115" t="n">
        <v>19000</v>
      </c>
      <c r="G6027" s="615" t="n">
        <f aca="false">F6027*E6027</f>
        <v>190</v>
      </c>
      <c r="H6027" s="433"/>
    </row>
    <row r="6028" customFormat="false" ht="15" hidden="false" customHeight="false" outlineLevel="0" collapsed="false">
      <c r="A6028" s="571"/>
      <c r="B6028" s="433"/>
      <c r="C6028" s="855" t="s">
        <v>4673</v>
      </c>
      <c r="D6028" s="316" t="s">
        <v>4133</v>
      </c>
      <c r="E6028" s="855" t="n">
        <v>0.01</v>
      </c>
      <c r="F6028" s="115" t="n">
        <v>106777</v>
      </c>
      <c r="G6028" s="615" t="n">
        <f aca="false">F6028*E6028</f>
        <v>1067.77</v>
      </c>
      <c r="H6028" s="433"/>
    </row>
    <row r="6029" customFormat="false" ht="30" hidden="false" customHeight="false" outlineLevel="0" collapsed="false">
      <c r="A6029" s="571"/>
      <c r="B6029" s="433"/>
      <c r="C6029" s="532" t="s">
        <v>5238</v>
      </c>
      <c r="D6029" s="679" t="s">
        <v>4141</v>
      </c>
      <c r="E6029" s="865" t="n">
        <v>0.1</v>
      </c>
      <c r="F6029" s="681" t="n">
        <v>1400</v>
      </c>
      <c r="G6029" s="615" t="n">
        <f aca="false">F6029*E6029</f>
        <v>140</v>
      </c>
      <c r="H6029" s="433"/>
    </row>
    <row r="6030" customFormat="false" ht="30" hidden="false" customHeight="false" outlineLevel="0" collapsed="false">
      <c r="A6030" s="571"/>
      <c r="B6030" s="433"/>
      <c r="C6030" s="855" t="s">
        <v>5229</v>
      </c>
      <c r="D6030" s="316" t="s">
        <v>4133</v>
      </c>
      <c r="E6030" s="855" t="n">
        <v>0.0001</v>
      </c>
      <c r="F6030" s="857" t="n">
        <v>71490</v>
      </c>
      <c r="G6030" s="615" t="n">
        <f aca="false">F6030*E6030</f>
        <v>7.149</v>
      </c>
      <c r="H6030" s="433"/>
    </row>
    <row r="6031" customFormat="false" ht="30" hidden="false" customHeight="false" outlineLevel="0" collapsed="false">
      <c r="A6031" s="571"/>
      <c r="B6031" s="433"/>
      <c r="C6031" s="855" t="s">
        <v>5230</v>
      </c>
      <c r="D6031" s="316" t="s">
        <v>4133</v>
      </c>
      <c r="E6031" s="855" t="n">
        <v>0.0001</v>
      </c>
      <c r="F6031" s="857" t="n">
        <v>74815</v>
      </c>
      <c r="G6031" s="615" t="n">
        <f aca="false">F6031*E6031</f>
        <v>7.4815</v>
      </c>
      <c r="H6031" s="433"/>
    </row>
    <row r="6032" customFormat="false" ht="45" hidden="false" customHeight="false" outlineLevel="0" collapsed="false">
      <c r="A6032" s="571"/>
      <c r="B6032" s="433"/>
      <c r="C6032" s="855" t="s">
        <v>5231</v>
      </c>
      <c r="D6032" s="316" t="s">
        <v>4133</v>
      </c>
      <c r="E6032" s="855" t="n">
        <v>0.0001</v>
      </c>
      <c r="F6032" s="857" t="n">
        <v>75465</v>
      </c>
      <c r="G6032" s="615" t="n">
        <f aca="false">F6032*E6032</f>
        <v>7.5465</v>
      </c>
      <c r="H6032" s="433"/>
    </row>
    <row r="6033" customFormat="false" ht="30" hidden="false" customHeight="false" outlineLevel="0" collapsed="false">
      <c r="A6033" s="571"/>
      <c r="B6033" s="433"/>
      <c r="C6033" s="855" t="s">
        <v>5232</v>
      </c>
      <c r="D6033" s="316" t="s">
        <v>4133</v>
      </c>
      <c r="E6033" s="855" t="n">
        <v>0.0001</v>
      </c>
      <c r="F6033" s="857" t="n">
        <v>87990</v>
      </c>
      <c r="G6033" s="615" t="n">
        <f aca="false">F6033*E6033</f>
        <v>8.799</v>
      </c>
      <c r="H6033" s="433"/>
    </row>
    <row r="6034" customFormat="false" ht="30" hidden="false" customHeight="false" outlineLevel="0" collapsed="false">
      <c r="A6034" s="571"/>
      <c r="B6034" s="433"/>
      <c r="C6034" s="855" t="s">
        <v>5233</v>
      </c>
      <c r="D6034" s="316" t="s">
        <v>4133</v>
      </c>
      <c r="E6034" s="855" t="n">
        <v>0.0001</v>
      </c>
      <c r="F6034" s="857" t="n">
        <v>71395</v>
      </c>
      <c r="G6034" s="615" t="n">
        <f aca="false">F6034*E6034</f>
        <v>7.1395</v>
      </c>
      <c r="H6034" s="433"/>
    </row>
    <row r="6035" customFormat="false" ht="30" hidden="false" customHeight="false" outlineLevel="0" collapsed="false">
      <c r="A6035" s="571"/>
      <c r="B6035" s="433"/>
      <c r="C6035" s="855" t="s">
        <v>5234</v>
      </c>
      <c r="D6035" s="316" t="s">
        <v>4133</v>
      </c>
      <c r="E6035" s="855" t="n">
        <v>0.0001</v>
      </c>
      <c r="F6035" s="857" t="n">
        <v>53450</v>
      </c>
      <c r="G6035" s="615" t="n">
        <f aca="false">F6035*E6035</f>
        <v>5.345</v>
      </c>
      <c r="H6035" s="433"/>
    </row>
    <row r="6036" customFormat="false" ht="15" hidden="false" customHeight="false" outlineLevel="0" collapsed="false">
      <c r="A6036" s="571"/>
      <c r="B6036" s="433"/>
      <c r="C6036" s="855" t="s">
        <v>5240</v>
      </c>
      <c r="D6036" s="316" t="s">
        <v>4578</v>
      </c>
      <c r="E6036" s="855" t="n">
        <v>0.002</v>
      </c>
      <c r="F6036" s="857" t="n">
        <v>225000</v>
      </c>
      <c r="G6036" s="615" t="n">
        <f aca="false">F6036*E6036</f>
        <v>450</v>
      </c>
      <c r="H6036" s="433"/>
    </row>
    <row r="6037" customFormat="false" ht="15" hidden="false" customHeight="false" outlineLevel="0" collapsed="false">
      <c r="A6037" s="571"/>
      <c r="B6037" s="433"/>
      <c r="C6037" s="855" t="s">
        <v>5241</v>
      </c>
      <c r="D6037" s="316" t="s">
        <v>4141</v>
      </c>
      <c r="E6037" s="860" t="n">
        <v>0.01</v>
      </c>
      <c r="F6037" s="857" t="n">
        <v>1500</v>
      </c>
      <c r="G6037" s="615" t="n">
        <f aca="false">F6037*E6037</f>
        <v>15</v>
      </c>
      <c r="H6037" s="433"/>
    </row>
    <row r="6038" customFormat="false" ht="15" hidden="false" customHeight="false" outlineLevel="0" collapsed="false">
      <c r="A6038" s="571"/>
      <c r="B6038" s="433"/>
      <c r="C6038" s="855" t="s">
        <v>4347</v>
      </c>
      <c r="D6038" s="316" t="s">
        <v>4348</v>
      </c>
      <c r="E6038" s="855" t="n">
        <v>1</v>
      </c>
      <c r="F6038" s="857" t="n">
        <v>130</v>
      </c>
      <c r="G6038" s="615" t="n">
        <f aca="false">F6038*E6038</f>
        <v>130</v>
      </c>
      <c r="H6038" s="433"/>
    </row>
    <row r="6039" customFormat="false" ht="15" hidden="false" customHeight="false" outlineLevel="0" collapsed="false">
      <c r="A6039" s="571"/>
      <c r="B6039" s="433"/>
      <c r="C6039" s="867" t="s">
        <v>4497</v>
      </c>
      <c r="D6039" s="868" t="s">
        <v>4348</v>
      </c>
      <c r="E6039" s="869" t="n">
        <v>0.003</v>
      </c>
      <c r="F6039" s="870" t="n">
        <v>550000</v>
      </c>
      <c r="G6039" s="615" t="n">
        <f aca="false">F6039*E6039</f>
        <v>1650</v>
      </c>
      <c r="H6039" s="433"/>
    </row>
    <row r="6040" customFormat="false" ht="15" hidden="false" customHeight="false" outlineLevel="0" collapsed="false">
      <c r="A6040" s="571"/>
      <c r="B6040" s="433"/>
      <c r="C6040" s="855" t="s">
        <v>4122</v>
      </c>
      <c r="D6040" s="316" t="s">
        <v>4359</v>
      </c>
      <c r="E6040" s="855" t="n">
        <v>0.01</v>
      </c>
      <c r="F6040" s="857" t="n">
        <v>720</v>
      </c>
      <c r="G6040" s="615" t="n">
        <f aca="false">F6040*E6040</f>
        <v>7.2</v>
      </c>
      <c r="H6040" s="433"/>
    </row>
    <row r="6041" customFormat="false" ht="15" hidden="false" customHeight="false" outlineLevel="0" collapsed="false">
      <c r="A6041" s="571"/>
      <c r="B6041" s="433"/>
      <c r="C6041" s="855" t="s">
        <v>4515</v>
      </c>
      <c r="D6041" s="316" t="s">
        <v>4133</v>
      </c>
      <c r="E6041" s="855" t="n">
        <v>0.01</v>
      </c>
      <c r="F6041" s="115" t="n">
        <v>2700</v>
      </c>
      <c r="G6041" s="615" t="n">
        <f aca="false">F6041*E6041</f>
        <v>27</v>
      </c>
      <c r="H6041" s="433"/>
    </row>
    <row r="6042" customFormat="false" ht="15" hidden="false" customHeight="false" outlineLevel="0" collapsed="false">
      <c r="A6042" s="571"/>
      <c r="B6042" s="433"/>
      <c r="C6042" s="532" t="s">
        <v>5239</v>
      </c>
      <c r="D6042" s="679" t="s">
        <v>4141</v>
      </c>
      <c r="E6042" s="866" t="n">
        <v>0.003</v>
      </c>
      <c r="F6042" s="681" t="n">
        <v>23500</v>
      </c>
      <c r="G6042" s="615" t="n">
        <f aca="false">F6042*E6042</f>
        <v>70.5</v>
      </c>
      <c r="H6042" s="433"/>
    </row>
    <row r="6043" customFormat="false" ht="15" hidden="false" customHeight="false" outlineLevel="0" collapsed="false">
      <c r="A6043" s="571"/>
      <c r="B6043" s="433"/>
      <c r="C6043" s="861" t="s">
        <v>4124</v>
      </c>
      <c r="D6043" s="316" t="s">
        <v>4125</v>
      </c>
      <c r="E6043" s="855" t="n">
        <v>0.1</v>
      </c>
      <c r="F6043" s="857" t="n">
        <v>170</v>
      </c>
      <c r="G6043" s="615" t="n">
        <f aca="false">F6043*E6043</f>
        <v>17</v>
      </c>
      <c r="H6043" s="433"/>
    </row>
    <row r="6044" customFormat="false" ht="15" hidden="false" customHeight="false" outlineLevel="0" collapsed="false">
      <c r="A6044" s="571" t="s">
        <v>1124</v>
      </c>
      <c r="B6044" s="433" t="s">
        <v>3309</v>
      </c>
      <c r="C6044" s="41"/>
      <c r="D6044" s="874"/>
      <c r="E6044" s="41"/>
      <c r="F6044" s="875"/>
      <c r="G6044" s="826" t="n">
        <f aca="false">SUM(G6045:G6059)</f>
        <v>7584.3555</v>
      </c>
      <c r="H6044" s="433" t="s">
        <v>5305</v>
      </c>
    </row>
    <row r="6045" customFormat="false" ht="15" hidden="false" customHeight="false" outlineLevel="0" collapsed="false">
      <c r="A6045" s="571"/>
      <c r="B6045" s="433"/>
      <c r="C6045" s="860" t="s">
        <v>4250</v>
      </c>
      <c r="D6045" s="316" t="s">
        <v>4359</v>
      </c>
      <c r="E6045" s="855" t="n">
        <v>0.1</v>
      </c>
      <c r="F6045" s="115" t="n">
        <v>42000</v>
      </c>
      <c r="G6045" s="615" t="n">
        <f aca="false">F6045*E6045</f>
        <v>4200</v>
      </c>
      <c r="H6045" s="433"/>
    </row>
    <row r="6046" customFormat="false" ht="15" hidden="false" customHeight="false" outlineLevel="0" collapsed="false">
      <c r="A6046" s="571"/>
      <c r="B6046" s="433"/>
      <c r="C6046" s="855" t="s">
        <v>4604</v>
      </c>
      <c r="D6046" s="316" t="s">
        <v>4359</v>
      </c>
      <c r="E6046" s="855" t="n">
        <v>0.016</v>
      </c>
      <c r="F6046" s="115" t="n">
        <v>18000</v>
      </c>
      <c r="G6046" s="615" t="n">
        <f aca="false">F6046*E6046</f>
        <v>288</v>
      </c>
      <c r="H6046" s="433"/>
    </row>
    <row r="6047" customFormat="false" ht="15" hidden="false" customHeight="false" outlineLevel="0" collapsed="false">
      <c r="A6047" s="571"/>
      <c r="B6047" s="433"/>
      <c r="C6047" s="855" t="s">
        <v>5252</v>
      </c>
      <c r="D6047" s="316" t="s">
        <v>4133</v>
      </c>
      <c r="E6047" s="855" t="n">
        <v>0.005</v>
      </c>
      <c r="F6047" s="115" t="n">
        <v>19000</v>
      </c>
      <c r="G6047" s="615" t="n">
        <f aca="false">F6047*E6047</f>
        <v>95</v>
      </c>
      <c r="H6047" s="433"/>
    </row>
    <row r="6048" customFormat="false" ht="15" hidden="false" customHeight="false" outlineLevel="0" collapsed="false">
      <c r="A6048" s="571"/>
      <c r="B6048" s="433"/>
      <c r="C6048" s="860" t="s">
        <v>4154</v>
      </c>
      <c r="D6048" s="316" t="s">
        <v>4359</v>
      </c>
      <c r="E6048" s="855" t="n">
        <v>0.0147</v>
      </c>
      <c r="F6048" s="115" t="n">
        <v>18000</v>
      </c>
      <c r="G6048" s="615" t="n">
        <f aca="false">F6048*E6048</f>
        <v>264.6</v>
      </c>
      <c r="H6048" s="433"/>
    </row>
    <row r="6049" customFormat="false" ht="45" hidden="false" customHeight="false" outlineLevel="0" collapsed="false">
      <c r="A6049" s="571"/>
      <c r="B6049" s="433"/>
      <c r="C6049" s="860" t="s">
        <v>5253</v>
      </c>
      <c r="D6049" s="877" t="s">
        <v>4133</v>
      </c>
      <c r="E6049" s="860" t="n">
        <v>0.0001</v>
      </c>
      <c r="F6049" s="115" t="n">
        <v>41555</v>
      </c>
      <c r="G6049" s="615" t="n">
        <f aca="false">F6049*E6049</f>
        <v>4.1555</v>
      </c>
      <c r="H6049" s="433"/>
    </row>
    <row r="6050" customFormat="false" ht="15" hidden="false" customHeight="false" outlineLevel="0" collapsed="false">
      <c r="A6050" s="571"/>
      <c r="B6050" s="433"/>
      <c r="C6050" s="860" t="s">
        <v>4628</v>
      </c>
      <c r="D6050" s="877" t="s">
        <v>4133</v>
      </c>
      <c r="E6050" s="860" t="n">
        <v>0.003</v>
      </c>
      <c r="F6050" s="115" t="n">
        <v>18000</v>
      </c>
      <c r="G6050" s="615" t="n">
        <f aca="false">F6050*E6050</f>
        <v>54</v>
      </c>
      <c r="H6050" s="433"/>
    </row>
    <row r="6051" customFormat="false" ht="15" hidden="false" customHeight="false" outlineLevel="0" collapsed="false">
      <c r="A6051" s="571"/>
      <c r="B6051" s="433"/>
      <c r="C6051" s="878" t="s">
        <v>5260</v>
      </c>
      <c r="D6051" s="877" t="s">
        <v>4133</v>
      </c>
      <c r="E6051" s="860" t="n">
        <v>0.0136</v>
      </c>
      <c r="F6051" s="115" t="n">
        <v>24000</v>
      </c>
      <c r="G6051" s="615" t="n">
        <f aca="false">F6051*E6051</f>
        <v>326.4</v>
      </c>
      <c r="H6051" s="433"/>
    </row>
    <row r="6052" customFormat="false" ht="15" hidden="false" customHeight="false" outlineLevel="0" collapsed="false">
      <c r="A6052" s="571"/>
      <c r="B6052" s="433"/>
      <c r="C6052" s="532" t="s">
        <v>5240</v>
      </c>
      <c r="D6052" s="679" t="s">
        <v>4578</v>
      </c>
      <c r="E6052" s="866" t="n">
        <v>0.002</v>
      </c>
      <c r="F6052" s="617" t="n">
        <v>225000</v>
      </c>
      <c r="G6052" s="615" t="n">
        <f aca="false">F6052*E6052</f>
        <v>450</v>
      </c>
      <c r="H6052" s="433"/>
    </row>
    <row r="6053" customFormat="false" ht="15" hidden="false" customHeight="false" outlineLevel="0" collapsed="false">
      <c r="A6053" s="571"/>
      <c r="B6053" s="433"/>
      <c r="C6053" s="867" t="s">
        <v>4497</v>
      </c>
      <c r="D6053" s="868" t="s">
        <v>4348</v>
      </c>
      <c r="E6053" s="869" t="n">
        <v>0.003</v>
      </c>
      <c r="F6053" s="604" t="n">
        <v>550000</v>
      </c>
      <c r="G6053" s="615" t="n">
        <f aca="false">F6053*E6053</f>
        <v>1650</v>
      </c>
      <c r="H6053" s="433"/>
    </row>
    <row r="6054" customFormat="false" ht="15" hidden="false" customHeight="false" outlineLevel="0" collapsed="false">
      <c r="A6054" s="571"/>
      <c r="B6054" s="433"/>
      <c r="C6054" s="867" t="s">
        <v>4122</v>
      </c>
      <c r="D6054" s="868" t="s">
        <v>4123</v>
      </c>
      <c r="E6054" s="869" t="n">
        <v>0.01</v>
      </c>
      <c r="F6054" s="607" t="n">
        <v>720</v>
      </c>
      <c r="G6054" s="615" t="n">
        <f aca="false">F6054*E6054</f>
        <v>7.2</v>
      </c>
      <c r="H6054" s="433"/>
    </row>
    <row r="6055" customFormat="false" ht="15" hidden="false" customHeight="false" outlineLevel="0" collapsed="false">
      <c r="A6055" s="571"/>
      <c r="B6055" s="433"/>
      <c r="C6055" s="855" t="s">
        <v>5241</v>
      </c>
      <c r="D6055" s="868" t="s">
        <v>4121</v>
      </c>
      <c r="E6055" s="869" t="n">
        <v>0.001</v>
      </c>
      <c r="F6055" s="604" t="n">
        <v>1500</v>
      </c>
      <c r="G6055" s="615" t="n">
        <f aca="false">F6055*E6055</f>
        <v>1.5</v>
      </c>
      <c r="H6055" s="433"/>
    </row>
    <row r="6056" customFormat="false" ht="15" hidden="false" customHeight="false" outlineLevel="0" collapsed="false">
      <c r="A6056" s="571"/>
      <c r="B6056" s="433"/>
      <c r="C6056" s="532" t="s">
        <v>5239</v>
      </c>
      <c r="D6056" s="679" t="s">
        <v>4141</v>
      </c>
      <c r="E6056" s="866" t="n">
        <v>0.003</v>
      </c>
      <c r="F6056" s="617" t="n">
        <v>23500</v>
      </c>
      <c r="G6056" s="615" t="n">
        <f aca="false">F6056*E6056</f>
        <v>70.5</v>
      </c>
      <c r="H6056" s="433"/>
    </row>
    <row r="6057" customFormat="false" ht="15" hidden="false" customHeight="false" outlineLevel="0" collapsed="false">
      <c r="A6057" s="571"/>
      <c r="B6057" s="433"/>
      <c r="C6057" s="872" t="s">
        <v>4124</v>
      </c>
      <c r="D6057" s="868" t="s">
        <v>4125</v>
      </c>
      <c r="E6057" s="869" t="n">
        <v>0.1</v>
      </c>
      <c r="F6057" s="607" t="n">
        <v>170</v>
      </c>
      <c r="G6057" s="615" t="n">
        <f aca="false">F6057*E6057</f>
        <v>17</v>
      </c>
      <c r="H6057" s="433"/>
    </row>
    <row r="6058" customFormat="false" ht="15" hidden="false" customHeight="false" outlineLevel="0" collapsed="false">
      <c r="A6058" s="571"/>
      <c r="B6058" s="433"/>
      <c r="C6058" s="872" t="s">
        <v>4347</v>
      </c>
      <c r="D6058" s="868" t="s">
        <v>4348</v>
      </c>
      <c r="E6058" s="869" t="n">
        <v>1</v>
      </c>
      <c r="F6058" s="607" t="n">
        <v>130</v>
      </c>
      <c r="G6058" s="615" t="n">
        <f aca="false">F6058*E6058</f>
        <v>130</v>
      </c>
      <c r="H6058" s="433"/>
    </row>
    <row r="6059" customFormat="false" ht="15" hidden="false" customHeight="false" outlineLevel="0" collapsed="false">
      <c r="A6059" s="571"/>
      <c r="B6059" s="433"/>
      <c r="C6059" s="855" t="s">
        <v>4509</v>
      </c>
      <c r="D6059" s="316" t="s">
        <v>4348</v>
      </c>
      <c r="E6059" s="855" t="n">
        <v>1</v>
      </c>
      <c r="F6059" s="115" t="n">
        <v>26</v>
      </c>
      <c r="G6059" s="615" t="n">
        <f aca="false">F6059*E6059</f>
        <v>26</v>
      </c>
      <c r="H6059" s="433"/>
    </row>
    <row r="6060" customFormat="false" ht="15" hidden="false" customHeight="false" outlineLevel="0" collapsed="false">
      <c r="A6060" s="571" t="s">
        <v>1125</v>
      </c>
      <c r="B6060" s="433" t="s">
        <v>3335</v>
      </c>
      <c r="C6060" s="41"/>
      <c r="D6060" s="874"/>
      <c r="E6060" s="41"/>
      <c r="F6060" s="875"/>
      <c r="G6060" s="826" t="n">
        <f aca="false">SUM(G6061:G6075)</f>
        <v>6494.5</v>
      </c>
      <c r="H6060" s="433" t="s">
        <v>5267</v>
      </c>
    </row>
    <row r="6061" customFormat="false" ht="15" hidden="false" customHeight="false" outlineLevel="0" collapsed="false">
      <c r="A6061" s="571"/>
      <c r="B6061" s="433"/>
      <c r="C6061" s="855" t="s">
        <v>4604</v>
      </c>
      <c r="D6061" s="316" t="s">
        <v>4359</v>
      </c>
      <c r="E6061" s="855" t="n">
        <v>0.002</v>
      </c>
      <c r="F6061" s="115" t="n">
        <v>18000</v>
      </c>
      <c r="G6061" s="615" t="n">
        <f aca="false">F6061*E6061</f>
        <v>36</v>
      </c>
      <c r="H6061" s="433"/>
    </row>
    <row r="6062" customFormat="false" ht="15" hidden="false" customHeight="false" outlineLevel="0" collapsed="false">
      <c r="A6062" s="571"/>
      <c r="B6062" s="433"/>
      <c r="C6062" s="855" t="s">
        <v>5252</v>
      </c>
      <c r="D6062" s="316" t="s">
        <v>4133</v>
      </c>
      <c r="E6062" s="855" t="n">
        <v>0.01</v>
      </c>
      <c r="F6062" s="115" t="n">
        <v>19000</v>
      </c>
      <c r="G6062" s="615" t="n">
        <f aca="false">F6062*E6062</f>
        <v>190</v>
      </c>
      <c r="H6062" s="433"/>
    </row>
    <row r="6063" customFormat="false" ht="15" hidden="false" customHeight="false" outlineLevel="0" collapsed="false">
      <c r="A6063" s="571"/>
      <c r="B6063" s="433"/>
      <c r="C6063" s="860" t="s">
        <v>4317</v>
      </c>
      <c r="D6063" s="877" t="s">
        <v>4359</v>
      </c>
      <c r="E6063" s="860" t="n">
        <v>0.1</v>
      </c>
      <c r="F6063" s="115" t="n">
        <v>21000</v>
      </c>
      <c r="G6063" s="615" t="n">
        <f aca="false">F6063*E6063</f>
        <v>2100</v>
      </c>
      <c r="H6063" s="433"/>
    </row>
    <row r="6064" customFormat="false" ht="30" hidden="false" customHeight="false" outlineLevel="0" collapsed="false">
      <c r="A6064" s="571"/>
      <c r="B6064" s="433"/>
      <c r="C6064" s="855" t="s">
        <v>5268</v>
      </c>
      <c r="D6064" s="316" t="s">
        <v>4133</v>
      </c>
      <c r="E6064" s="855" t="n">
        <v>0.0001</v>
      </c>
      <c r="F6064" s="115" t="n">
        <v>60000</v>
      </c>
      <c r="G6064" s="615" t="n">
        <f aca="false">F6064*E6064</f>
        <v>6</v>
      </c>
      <c r="H6064" s="433"/>
    </row>
    <row r="6065" customFormat="false" ht="15" hidden="false" customHeight="false" outlineLevel="0" collapsed="false">
      <c r="A6065" s="571"/>
      <c r="B6065" s="433"/>
      <c r="C6065" s="855" t="s">
        <v>5299</v>
      </c>
      <c r="D6065" s="316" t="s">
        <v>4133</v>
      </c>
      <c r="E6065" s="855" t="n">
        <v>0.005</v>
      </c>
      <c r="F6065" s="115" t="n">
        <v>2000</v>
      </c>
      <c r="G6065" s="615" t="n">
        <f aca="false">F6065*E6065</f>
        <v>10</v>
      </c>
      <c r="H6065" s="433"/>
    </row>
    <row r="6066" customFormat="false" ht="15" hidden="false" customHeight="false" outlineLevel="0" collapsed="false">
      <c r="A6066" s="571"/>
      <c r="B6066" s="433"/>
      <c r="C6066" s="884" t="s">
        <v>4497</v>
      </c>
      <c r="D6066" s="679" t="s">
        <v>4348</v>
      </c>
      <c r="E6066" s="869" t="n">
        <v>0.003</v>
      </c>
      <c r="F6066" s="870" t="n">
        <v>550000</v>
      </c>
      <c r="G6066" s="615" t="n">
        <f aca="false">F6066*E6066</f>
        <v>1650</v>
      </c>
      <c r="H6066" s="433"/>
    </row>
    <row r="6067" customFormat="false" ht="15" hidden="false" customHeight="false" outlineLevel="0" collapsed="false">
      <c r="A6067" s="571"/>
      <c r="B6067" s="433"/>
      <c r="C6067" s="884" t="s">
        <v>4122</v>
      </c>
      <c r="D6067" s="679" t="s">
        <v>4123</v>
      </c>
      <c r="E6067" s="709" t="n">
        <v>0.1</v>
      </c>
      <c r="F6067" s="886" t="n">
        <v>720</v>
      </c>
      <c r="G6067" s="615" t="n">
        <f aca="false">F6067*E6067</f>
        <v>72</v>
      </c>
      <c r="H6067" s="433"/>
    </row>
    <row r="6068" customFormat="false" ht="15" hidden="false" customHeight="false" outlineLevel="0" collapsed="false">
      <c r="A6068" s="571"/>
      <c r="B6068" s="433"/>
      <c r="C6068" s="855" t="s">
        <v>5241</v>
      </c>
      <c r="D6068" s="679" t="s">
        <v>4121</v>
      </c>
      <c r="E6068" s="709" t="n">
        <v>0.01</v>
      </c>
      <c r="F6068" s="681" t="n">
        <v>1500</v>
      </c>
      <c r="G6068" s="615" t="n">
        <f aca="false">F6068*E6068</f>
        <v>15</v>
      </c>
      <c r="H6068" s="433"/>
    </row>
    <row r="6069" customFormat="false" ht="15" hidden="false" customHeight="false" outlineLevel="0" collapsed="false">
      <c r="A6069" s="571"/>
      <c r="B6069" s="433"/>
      <c r="C6069" s="855" t="s">
        <v>5240</v>
      </c>
      <c r="D6069" s="316" t="s">
        <v>4578</v>
      </c>
      <c r="E6069" s="855" t="n">
        <v>0.002</v>
      </c>
      <c r="F6069" s="857" t="n">
        <v>225000</v>
      </c>
      <c r="G6069" s="615" t="n">
        <f aca="false">F6069*E6069</f>
        <v>450</v>
      </c>
      <c r="H6069" s="433"/>
    </row>
    <row r="6070" customFormat="false" ht="15" hidden="false" customHeight="false" outlineLevel="0" collapsed="false">
      <c r="A6070" s="571"/>
      <c r="B6070" s="433"/>
      <c r="C6070" s="884" t="s">
        <v>4497</v>
      </c>
      <c r="D6070" s="679" t="s">
        <v>4348</v>
      </c>
      <c r="E6070" s="869" t="n">
        <v>0.003</v>
      </c>
      <c r="F6070" s="870" t="n">
        <v>550000</v>
      </c>
      <c r="G6070" s="615" t="n">
        <f aca="false">F6070*E6070</f>
        <v>1650</v>
      </c>
      <c r="H6070" s="433"/>
    </row>
    <row r="6071" customFormat="false" ht="15" hidden="false" customHeight="false" outlineLevel="0" collapsed="false">
      <c r="A6071" s="571"/>
      <c r="B6071" s="433"/>
      <c r="C6071" s="884" t="s">
        <v>4122</v>
      </c>
      <c r="D6071" s="679" t="s">
        <v>4123</v>
      </c>
      <c r="E6071" s="709" t="n">
        <v>0.1</v>
      </c>
      <c r="F6071" s="886" t="n">
        <v>720</v>
      </c>
      <c r="G6071" s="615" t="n">
        <f aca="false">F6071*E6071</f>
        <v>72</v>
      </c>
      <c r="H6071" s="433"/>
    </row>
    <row r="6072" customFormat="false" ht="15" hidden="false" customHeight="false" outlineLevel="0" collapsed="false">
      <c r="A6072" s="571"/>
      <c r="B6072" s="433"/>
      <c r="C6072" s="532" t="s">
        <v>5239</v>
      </c>
      <c r="D6072" s="679" t="s">
        <v>4141</v>
      </c>
      <c r="E6072" s="866" t="n">
        <v>0.003</v>
      </c>
      <c r="F6072" s="681" t="n">
        <v>23500</v>
      </c>
      <c r="G6072" s="615" t="n">
        <f aca="false">F6072*E6072</f>
        <v>70.5</v>
      </c>
      <c r="H6072" s="433"/>
    </row>
    <row r="6073" customFormat="false" ht="15" hidden="false" customHeight="false" outlineLevel="0" collapsed="false">
      <c r="A6073" s="571"/>
      <c r="B6073" s="433"/>
      <c r="C6073" s="885" t="s">
        <v>4124</v>
      </c>
      <c r="D6073" s="679" t="s">
        <v>4125</v>
      </c>
      <c r="E6073" s="709" t="n">
        <v>0.1</v>
      </c>
      <c r="F6073" s="886" t="n">
        <v>170</v>
      </c>
      <c r="G6073" s="615" t="n">
        <f aca="false">F6073*E6073</f>
        <v>17</v>
      </c>
      <c r="H6073" s="433"/>
    </row>
    <row r="6074" customFormat="false" ht="15" hidden="false" customHeight="false" outlineLevel="0" collapsed="false">
      <c r="A6074" s="571"/>
      <c r="B6074" s="433"/>
      <c r="C6074" s="885" t="s">
        <v>4347</v>
      </c>
      <c r="D6074" s="679" t="s">
        <v>4348</v>
      </c>
      <c r="E6074" s="709" t="n">
        <v>1</v>
      </c>
      <c r="F6074" s="883" t="n">
        <v>130</v>
      </c>
      <c r="G6074" s="615" t="n">
        <f aca="false">F6074*E6074</f>
        <v>130</v>
      </c>
      <c r="H6074" s="433"/>
    </row>
    <row r="6075" customFormat="false" ht="15" hidden="false" customHeight="false" outlineLevel="0" collapsed="false">
      <c r="A6075" s="571"/>
      <c r="B6075" s="433"/>
      <c r="C6075" s="855" t="s">
        <v>4509</v>
      </c>
      <c r="D6075" s="316" t="s">
        <v>4348</v>
      </c>
      <c r="E6075" s="855" t="n">
        <v>1</v>
      </c>
      <c r="F6075" s="115" t="n">
        <v>26</v>
      </c>
      <c r="G6075" s="615" t="n">
        <f aca="false">F6075*E6075</f>
        <v>26</v>
      </c>
      <c r="H6075" s="433"/>
    </row>
    <row r="6076" customFormat="false" ht="15" hidden="false" customHeight="false" outlineLevel="0" collapsed="false">
      <c r="A6076" s="571" t="s">
        <v>1127</v>
      </c>
      <c r="B6076" s="433" t="s">
        <v>3331</v>
      </c>
      <c r="C6076" s="41"/>
      <c r="D6076" s="874"/>
      <c r="E6076" s="41"/>
      <c r="F6076" s="875"/>
      <c r="G6076" s="826" t="n">
        <f aca="false">SUM(G6077:G6091)</f>
        <v>6840.4305</v>
      </c>
      <c r="H6076" s="433" t="s">
        <v>5306</v>
      </c>
    </row>
    <row r="6077" customFormat="false" ht="15" hidden="false" customHeight="false" outlineLevel="0" collapsed="false">
      <c r="A6077" s="571"/>
      <c r="B6077" s="433"/>
      <c r="C6077" s="855" t="s">
        <v>5228</v>
      </c>
      <c r="D6077" s="316" t="s">
        <v>4133</v>
      </c>
      <c r="E6077" s="855" t="n">
        <v>0.001</v>
      </c>
      <c r="F6077" s="115" t="n">
        <v>19000</v>
      </c>
      <c r="G6077" s="615" t="n">
        <f aca="false">F6077*E6077</f>
        <v>19</v>
      </c>
      <c r="H6077" s="433"/>
    </row>
    <row r="6078" customFormat="false" ht="15" hidden="false" customHeight="false" outlineLevel="0" collapsed="false">
      <c r="A6078" s="571"/>
      <c r="B6078" s="433"/>
      <c r="C6078" s="860" t="s">
        <v>4250</v>
      </c>
      <c r="D6078" s="316" t="s">
        <v>4359</v>
      </c>
      <c r="E6078" s="855" t="n">
        <v>0.1</v>
      </c>
      <c r="F6078" s="115" t="n">
        <v>42000</v>
      </c>
      <c r="G6078" s="615" t="n">
        <f aca="false">F6078*E6078</f>
        <v>4200</v>
      </c>
      <c r="H6078" s="433"/>
    </row>
    <row r="6079" customFormat="false" ht="15" hidden="false" customHeight="false" outlineLevel="0" collapsed="false">
      <c r="A6079" s="571"/>
      <c r="B6079" s="433"/>
      <c r="C6079" s="855" t="s">
        <v>4673</v>
      </c>
      <c r="D6079" s="316" t="s">
        <v>4133</v>
      </c>
      <c r="E6079" s="855" t="n">
        <v>0.002</v>
      </c>
      <c r="F6079" s="115" t="n">
        <v>106777</v>
      </c>
      <c r="G6079" s="615" t="n">
        <f aca="false">F6079*E6079</f>
        <v>213.554</v>
      </c>
      <c r="H6079" s="433"/>
    </row>
    <row r="6080" customFormat="false" ht="15" hidden="false" customHeight="false" outlineLevel="0" collapsed="false">
      <c r="A6080" s="571"/>
      <c r="B6080" s="433"/>
      <c r="C6080" s="860" t="s">
        <v>4158</v>
      </c>
      <c r="D6080" s="316" t="s">
        <v>4133</v>
      </c>
      <c r="E6080" s="855" t="n">
        <v>0.001</v>
      </c>
      <c r="F6080" s="115" t="n">
        <v>6400</v>
      </c>
      <c r="G6080" s="615" t="n">
        <f aca="false">F6080*E6080</f>
        <v>6.4</v>
      </c>
      <c r="H6080" s="433"/>
    </row>
    <row r="6081" customFormat="false" ht="15" hidden="false" customHeight="true" outlineLevel="0" collapsed="false">
      <c r="A6081" s="571"/>
      <c r="B6081" s="433"/>
      <c r="C6081" s="855" t="s">
        <v>4148</v>
      </c>
      <c r="D6081" s="316" t="s">
        <v>4133</v>
      </c>
      <c r="E6081" s="855" t="n">
        <v>0.001</v>
      </c>
      <c r="F6081" s="115" t="n">
        <v>2000</v>
      </c>
      <c r="G6081" s="615" t="n">
        <f aca="false">F6081*E6081</f>
        <v>2</v>
      </c>
      <c r="H6081" s="433"/>
    </row>
    <row r="6082" customFormat="false" ht="15" hidden="false" customHeight="false" outlineLevel="0" collapsed="false">
      <c r="A6082" s="571"/>
      <c r="B6082" s="433"/>
      <c r="C6082" s="860" t="s">
        <v>4154</v>
      </c>
      <c r="D6082" s="316" t="s">
        <v>4359</v>
      </c>
      <c r="E6082" s="855" t="n">
        <v>0.002</v>
      </c>
      <c r="F6082" s="115" t="n">
        <v>18000</v>
      </c>
      <c r="G6082" s="615" t="n">
        <f aca="false">F6082*E6082</f>
        <v>36</v>
      </c>
      <c r="H6082" s="433"/>
    </row>
    <row r="6083" customFormat="false" ht="30" hidden="false" customHeight="false" outlineLevel="0" collapsed="false">
      <c r="A6083" s="571"/>
      <c r="B6083" s="433"/>
      <c r="C6083" s="855" t="s">
        <v>5265</v>
      </c>
      <c r="D6083" s="316" t="s">
        <v>4133</v>
      </c>
      <c r="E6083" s="855" t="n">
        <v>0.0001</v>
      </c>
      <c r="F6083" s="115" t="n">
        <v>130765</v>
      </c>
      <c r="G6083" s="615" t="n">
        <f aca="false">F6083*E6083</f>
        <v>13.0765</v>
      </c>
      <c r="H6083" s="433"/>
    </row>
    <row r="6084" customFormat="false" ht="15" hidden="false" customHeight="false" outlineLevel="0" collapsed="false">
      <c r="A6084" s="571"/>
      <c r="B6084" s="433"/>
      <c r="C6084" s="532" t="s">
        <v>5240</v>
      </c>
      <c r="D6084" s="679" t="s">
        <v>4578</v>
      </c>
      <c r="E6084" s="866" t="n">
        <v>0.002</v>
      </c>
      <c r="F6084" s="617" t="n">
        <v>225000</v>
      </c>
      <c r="G6084" s="615" t="n">
        <f aca="false">F6084*E6084</f>
        <v>450</v>
      </c>
      <c r="H6084" s="433"/>
    </row>
    <row r="6085" customFormat="false" ht="15" hidden="false" customHeight="false" outlineLevel="0" collapsed="false">
      <c r="A6085" s="571"/>
      <c r="B6085" s="433"/>
      <c r="C6085" s="867" t="s">
        <v>4497</v>
      </c>
      <c r="D6085" s="868" t="s">
        <v>4348</v>
      </c>
      <c r="E6085" s="869" t="n">
        <v>0.003</v>
      </c>
      <c r="F6085" s="870" t="n">
        <v>550000</v>
      </c>
      <c r="G6085" s="615" t="n">
        <f aca="false">F6085*E6085</f>
        <v>1650</v>
      </c>
      <c r="H6085" s="433"/>
    </row>
    <row r="6086" customFormat="false" ht="15" hidden="false" customHeight="false" outlineLevel="0" collapsed="false">
      <c r="A6086" s="571"/>
      <c r="B6086" s="433"/>
      <c r="C6086" s="867" t="s">
        <v>4122</v>
      </c>
      <c r="D6086" s="868" t="s">
        <v>4123</v>
      </c>
      <c r="E6086" s="869" t="n">
        <v>0.01</v>
      </c>
      <c r="F6086" s="871" t="n">
        <v>720</v>
      </c>
      <c r="G6086" s="615" t="n">
        <f aca="false">F6086*E6086</f>
        <v>7.2</v>
      </c>
      <c r="H6086" s="433"/>
    </row>
    <row r="6087" customFormat="false" ht="15" hidden="false" customHeight="false" outlineLevel="0" collapsed="false">
      <c r="A6087" s="571"/>
      <c r="B6087" s="433"/>
      <c r="C6087" s="855" t="s">
        <v>5241</v>
      </c>
      <c r="D6087" s="868" t="s">
        <v>4121</v>
      </c>
      <c r="E6087" s="869" t="n">
        <v>0.01</v>
      </c>
      <c r="F6087" s="870" t="n">
        <v>1500</v>
      </c>
      <c r="G6087" s="615" t="n">
        <f aca="false">F6087*E6087</f>
        <v>15</v>
      </c>
      <c r="H6087" s="433"/>
    </row>
    <row r="6088" customFormat="false" ht="15" hidden="false" customHeight="false" outlineLevel="0" collapsed="false">
      <c r="A6088" s="571"/>
      <c r="B6088" s="433"/>
      <c r="C6088" s="532" t="s">
        <v>5239</v>
      </c>
      <c r="D6088" s="679" t="s">
        <v>4141</v>
      </c>
      <c r="E6088" s="866" t="n">
        <v>0.003</v>
      </c>
      <c r="F6088" s="681" t="n">
        <v>23500</v>
      </c>
      <c r="G6088" s="615" t="n">
        <f aca="false">F6088*E6088</f>
        <v>70.5</v>
      </c>
      <c r="H6088" s="433"/>
    </row>
    <row r="6089" customFormat="false" ht="15" hidden="false" customHeight="false" outlineLevel="0" collapsed="false">
      <c r="A6089" s="571"/>
      <c r="B6089" s="433"/>
      <c r="C6089" s="872" t="s">
        <v>4124</v>
      </c>
      <c r="D6089" s="868" t="s">
        <v>4125</v>
      </c>
      <c r="E6089" s="869" t="n">
        <v>0.01</v>
      </c>
      <c r="F6089" s="871" t="n">
        <v>170</v>
      </c>
      <c r="G6089" s="615" t="n">
        <f aca="false">F6089*E6089</f>
        <v>1.7</v>
      </c>
      <c r="H6089" s="433"/>
    </row>
    <row r="6090" customFormat="false" ht="15" hidden="false" customHeight="false" outlineLevel="0" collapsed="false">
      <c r="A6090" s="571"/>
      <c r="B6090" s="433"/>
      <c r="C6090" s="872" t="s">
        <v>4347</v>
      </c>
      <c r="D6090" s="868" t="s">
        <v>4348</v>
      </c>
      <c r="E6090" s="869" t="n">
        <v>1</v>
      </c>
      <c r="F6090" s="871" t="n">
        <v>130</v>
      </c>
      <c r="G6090" s="615" t="n">
        <f aca="false">F6090*E6090</f>
        <v>130</v>
      </c>
      <c r="H6090" s="433"/>
    </row>
    <row r="6091" customFormat="false" ht="15" hidden="false" customHeight="false" outlineLevel="0" collapsed="false">
      <c r="A6091" s="571"/>
      <c r="B6091" s="433"/>
      <c r="C6091" s="855" t="s">
        <v>4509</v>
      </c>
      <c r="D6091" s="316" t="s">
        <v>4348</v>
      </c>
      <c r="E6091" s="855" t="n">
        <v>1</v>
      </c>
      <c r="F6091" s="857" t="n">
        <v>26</v>
      </c>
      <c r="G6091" s="615" t="n">
        <f aca="false">F6091*E6091</f>
        <v>26</v>
      </c>
      <c r="H6091" s="433"/>
    </row>
    <row r="6092" customFormat="false" ht="15" hidden="false" customHeight="false" outlineLevel="0" collapsed="false">
      <c r="A6092" s="350" t="s">
        <v>5307</v>
      </c>
      <c r="B6092" s="346" t="s">
        <v>1129</v>
      </c>
      <c r="C6092" s="892"/>
      <c r="D6092" s="387"/>
      <c r="E6092" s="892"/>
      <c r="F6092" s="893"/>
      <c r="G6092" s="713"/>
      <c r="H6092" s="887"/>
    </row>
    <row r="6093" customFormat="false" ht="18.75" hidden="false" customHeight="true" outlineLevel="0" collapsed="false">
      <c r="A6093" s="571" t="s">
        <v>1130</v>
      </c>
      <c r="B6093" s="433" t="s">
        <v>3307</v>
      </c>
      <c r="C6093" s="41"/>
      <c r="D6093" s="874"/>
      <c r="E6093" s="41"/>
      <c r="F6093" s="875"/>
      <c r="G6093" s="826" t="n">
        <f aca="false">SUM(G6094:G6111)</f>
        <v>7527.0605</v>
      </c>
      <c r="H6093" s="433" t="s">
        <v>5227</v>
      </c>
    </row>
    <row r="6094" customFormat="false" ht="15" hidden="false" customHeight="false" outlineLevel="0" collapsed="false">
      <c r="A6094" s="380"/>
      <c r="B6094" s="433"/>
      <c r="C6094" s="855" t="s">
        <v>4604</v>
      </c>
      <c r="D6094" s="316" t="s">
        <v>4359</v>
      </c>
      <c r="E6094" s="855" t="n">
        <v>0.01</v>
      </c>
      <c r="F6094" s="115" t="n">
        <v>18000</v>
      </c>
      <c r="G6094" s="615" t="n">
        <f aca="false">F6094*E6094</f>
        <v>180</v>
      </c>
      <c r="H6094" s="433"/>
    </row>
    <row r="6095" customFormat="false" ht="15" hidden="false" customHeight="false" outlineLevel="0" collapsed="false">
      <c r="A6095" s="707"/>
      <c r="B6095" s="433"/>
      <c r="C6095" s="855" t="s">
        <v>4317</v>
      </c>
      <c r="D6095" s="316" t="s">
        <v>4359</v>
      </c>
      <c r="E6095" s="860" t="n">
        <v>0.1</v>
      </c>
      <c r="F6095" s="115" t="n">
        <v>21000</v>
      </c>
      <c r="G6095" s="615" t="n">
        <f aca="false">F6095*E6095</f>
        <v>2100</v>
      </c>
      <c r="H6095" s="433"/>
    </row>
    <row r="6096" customFormat="false" ht="15.75" hidden="false" customHeight="true" outlineLevel="0" collapsed="false">
      <c r="A6096" s="571"/>
      <c r="B6096" s="433"/>
      <c r="C6096" s="855" t="s">
        <v>4147</v>
      </c>
      <c r="D6096" s="316" t="s">
        <v>4359</v>
      </c>
      <c r="E6096" s="855" t="n">
        <v>0.15</v>
      </c>
      <c r="F6096" s="115" t="n">
        <v>18000</v>
      </c>
      <c r="G6096" s="615" t="n">
        <f aca="false">F6096*E6096</f>
        <v>2700</v>
      </c>
      <c r="H6096" s="433"/>
    </row>
    <row r="6097" customFormat="false" ht="15" hidden="false" customHeight="false" outlineLevel="0" collapsed="false">
      <c r="A6097" s="571"/>
      <c r="B6097" s="433"/>
      <c r="C6097" s="855" t="s">
        <v>5228</v>
      </c>
      <c r="D6097" s="316" t="s">
        <v>4133</v>
      </c>
      <c r="E6097" s="855" t="n">
        <v>0.01</v>
      </c>
      <c r="F6097" s="115" t="n">
        <v>19000</v>
      </c>
      <c r="G6097" s="615" t="n">
        <f aca="false">F6097*E6097</f>
        <v>190</v>
      </c>
      <c r="H6097" s="433"/>
    </row>
    <row r="6098" customFormat="false" ht="30" hidden="false" customHeight="false" outlineLevel="0" collapsed="false">
      <c r="A6098" s="571"/>
      <c r="B6098" s="433"/>
      <c r="C6098" s="855" t="s">
        <v>5229</v>
      </c>
      <c r="D6098" s="316" t="s">
        <v>4133</v>
      </c>
      <c r="E6098" s="855" t="n">
        <v>0.0001</v>
      </c>
      <c r="F6098" s="115" t="n">
        <v>71490</v>
      </c>
      <c r="G6098" s="615" t="n">
        <f aca="false">F6098*E6098</f>
        <v>7.149</v>
      </c>
      <c r="H6098" s="433"/>
    </row>
    <row r="6099" customFormat="false" ht="30" hidden="false" customHeight="false" outlineLevel="0" collapsed="false">
      <c r="A6099" s="571"/>
      <c r="B6099" s="433"/>
      <c r="C6099" s="855" t="s">
        <v>5230</v>
      </c>
      <c r="D6099" s="316" t="s">
        <v>4133</v>
      </c>
      <c r="E6099" s="855" t="n">
        <v>0.0001</v>
      </c>
      <c r="F6099" s="115" t="n">
        <v>74815</v>
      </c>
      <c r="G6099" s="615" t="n">
        <f aca="false">F6099*E6099</f>
        <v>7.4815</v>
      </c>
      <c r="H6099" s="433"/>
    </row>
    <row r="6100" customFormat="false" ht="45" hidden="false" customHeight="false" outlineLevel="0" collapsed="false">
      <c r="A6100" s="571"/>
      <c r="B6100" s="433"/>
      <c r="C6100" s="855" t="s">
        <v>5231</v>
      </c>
      <c r="D6100" s="316" t="s">
        <v>4133</v>
      </c>
      <c r="E6100" s="855" t="n">
        <v>0.0001</v>
      </c>
      <c r="F6100" s="115" t="n">
        <v>75465</v>
      </c>
      <c r="G6100" s="615" t="n">
        <f aca="false">F6100*E6100</f>
        <v>7.5465</v>
      </c>
      <c r="H6100" s="433"/>
    </row>
    <row r="6101" customFormat="false" ht="30" hidden="false" customHeight="false" outlineLevel="0" collapsed="false">
      <c r="A6101" s="571"/>
      <c r="B6101" s="433"/>
      <c r="C6101" s="855" t="s">
        <v>5232</v>
      </c>
      <c r="D6101" s="316" t="s">
        <v>4133</v>
      </c>
      <c r="E6101" s="855" t="n">
        <v>0.0001</v>
      </c>
      <c r="F6101" s="115" t="n">
        <v>87990</v>
      </c>
      <c r="G6101" s="615" t="n">
        <f aca="false">F6101*E6101</f>
        <v>8.799</v>
      </c>
      <c r="H6101" s="433"/>
    </row>
    <row r="6102" customFormat="false" ht="30" hidden="false" customHeight="false" outlineLevel="0" collapsed="false">
      <c r="A6102" s="571"/>
      <c r="B6102" s="433"/>
      <c r="C6102" s="855" t="s">
        <v>5233</v>
      </c>
      <c r="D6102" s="316" t="s">
        <v>4133</v>
      </c>
      <c r="E6102" s="855" t="n">
        <v>0.0001</v>
      </c>
      <c r="F6102" s="115" t="n">
        <v>71395</v>
      </c>
      <c r="G6102" s="615" t="n">
        <f aca="false">F6102*E6102</f>
        <v>7.1395</v>
      </c>
      <c r="H6102" s="433"/>
    </row>
    <row r="6103" customFormat="false" ht="30" hidden="false" customHeight="false" outlineLevel="0" collapsed="false">
      <c r="A6103" s="571"/>
      <c r="B6103" s="433"/>
      <c r="C6103" s="855" t="s">
        <v>5234</v>
      </c>
      <c r="D6103" s="316" t="s">
        <v>4133</v>
      </c>
      <c r="E6103" s="855" t="n">
        <v>0.0001</v>
      </c>
      <c r="F6103" s="115" t="n">
        <v>53450</v>
      </c>
      <c r="G6103" s="615" t="n">
        <f aca="false">F6103*E6103</f>
        <v>5.345</v>
      </c>
      <c r="H6103" s="433"/>
    </row>
    <row r="6104" customFormat="false" ht="15" hidden="false" customHeight="false" outlineLevel="0" collapsed="false">
      <c r="A6104" s="571"/>
      <c r="B6104" s="433"/>
      <c r="C6104" s="855" t="s">
        <v>5240</v>
      </c>
      <c r="D6104" s="316" t="s">
        <v>4578</v>
      </c>
      <c r="E6104" s="855" t="n">
        <v>0.002</v>
      </c>
      <c r="F6104" s="115" t="n">
        <v>225000</v>
      </c>
      <c r="G6104" s="615" t="n">
        <f aca="false">F6104*E6104</f>
        <v>450</v>
      </c>
      <c r="H6104" s="433"/>
    </row>
    <row r="6105" customFormat="false" ht="15" hidden="false" customHeight="false" outlineLevel="0" collapsed="false">
      <c r="A6105" s="571"/>
      <c r="B6105" s="433"/>
      <c r="C6105" s="855" t="s">
        <v>5241</v>
      </c>
      <c r="D6105" s="316" t="s">
        <v>4141</v>
      </c>
      <c r="E6105" s="860" t="n">
        <v>0.001</v>
      </c>
      <c r="F6105" s="115" t="n">
        <v>1500</v>
      </c>
      <c r="G6105" s="615" t="n">
        <f aca="false">F6105*E6105</f>
        <v>1.5</v>
      </c>
      <c r="H6105" s="433"/>
    </row>
    <row r="6106" customFormat="false" ht="15" hidden="false" customHeight="false" outlineLevel="0" collapsed="false">
      <c r="A6106" s="571"/>
      <c r="B6106" s="433"/>
      <c r="C6106" s="867" t="s">
        <v>4497</v>
      </c>
      <c r="D6106" s="868" t="s">
        <v>4348</v>
      </c>
      <c r="E6106" s="869" t="n">
        <v>0.003</v>
      </c>
      <c r="F6106" s="870" t="n">
        <v>550000</v>
      </c>
      <c r="G6106" s="615" t="n">
        <f aca="false">F6106*E6106</f>
        <v>1650</v>
      </c>
      <c r="H6106" s="433"/>
    </row>
    <row r="6107" customFormat="false" ht="15" hidden="false" customHeight="false" outlineLevel="0" collapsed="false">
      <c r="A6107" s="571"/>
      <c r="B6107" s="433"/>
      <c r="C6107" s="855" t="s">
        <v>4347</v>
      </c>
      <c r="D6107" s="316" t="s">
        <v>4348</v>
      </c>
      <c r="E6107" s="855" t="n">
        <v>1</v>
      </c>
      <c r="F6107" s="857" t="n">
        <v>130</v>
      </c>
      <c r="G6107" s="615" t="n">
        <f aca="false">F6107*E6107</f>
        <v>130</v>
      </c>
      <c r="H6107" s="433"/>
    </row>
    <row r="6108" customFormat="false" ht="15" hidden="false" customHeight="false" outlineLevel="0" collapsed="false">
      <c r="A6108" s="571"/>
      <c r="B6108" s="433"/>
      <c r="C6108" s="855" t="s">
        <v>4122</v>
      </c>
      <c r="D6108" s="316" t="s">
        <v>4359</v>
      </c>
      <c r="E6108" s="855" t="n">
        <v>0.01</v>
      </c>
      <c r="F6108" s="857" t="n">
        <v>720</v>
      </c>
      <c r="G6108" s="615" t="n">
        <f aca="false">F6108*E6108</f>
        <v>7.2</v>
      </c>
      <c r="H6108" s="433"/>
    </row>
    <row r="6109" customFormat="false" ht="15" hidden="false" customHeight="false" outlineLevel="0" collapsed="false">
      <c r="A6109" s="571"/>
      <c r="B6109" s="433"/>
      <c r="C6109" s="532" t="s">
        <v>5239</v>
      </c>
      <c r="D6109" s="679" t="s">
        <v>4141</v>
      </c>
      <c r="E6109" s="866" t="n">
        <v>0.003</v>
      </c>
      <c r="F6109" s="681" t="n">
        <v>23500</v>
      </c>
      <c r="G6109" s="615" t="n">
        <f aca="false">F6109*E6109</f>
        <v>70.5</v>
      </c>
      <c r="H6109" s="433"/>
    </row>
    <row r="6110" customFormat="false" ht="15" hidden="false" customHeight="false" outlineLevel="0" collapsed="false">
      <c r="A6110" s="571"/>
      <c r="B6110" s="433"/>
      <c r="C6110" s="855" t="s">
        <v>4515</v>
      </c>
      <c r="D6110" s="316" t="s">
        <v>4133</v>
      </c>
      <c r="E6110" s="855" t="n">
        <v>0.001</v>
      </c>
      <c r="F6110" s="857" t="n">
        <v>2700</v>
      </c>
      <c r="G6110" s="615" t="n">
        <f aca="false">F6110*E6110</f>
        <v>2.7</v>
      </c>
      <c r="H6110" s="433"/>
    </row>
    <row r="6111" customFormat="false" ht="15" hidden="false" customHeight="true" outlineLevel="0" collapsed="false">
      <c r="A6111" s="571"/>
      <c r="B6111" s="433"/>
      <c r="C6111" s="861" t="s">
        <v>4124</v>
      </c>
      <c r="D6111" s="316" t="s">
        <v>4125</v>
      </c>
      <c r="E6111" s="855" t="n">
        <v>0.01</v>
      </c>
      <c r="F6111" s="115" t="n">
        <v>170</v>
      </c>
      <c r="G6111" s="615" t="n">
        <f aca="false">F6111*E6111</f>
        <v>1.7</v>
      </c>
      <c r="H6111" s="433"/>
    </row>
    <row r="6112" customFormat="false" ht="15" hidden="false" customHeight="false" outlineLevel="0" collapsed="false">
      <c r="A6112" s="571" t="s">
        <v>1131</v>
      </c>
      <c r="B6112" s="433" t="s">
        <v>3331</v>
      </c>
      <c r="C6112" s="41"/>
      <c r="D6112" s="874"/>
      <c r="E6112" s="41"/>
      <c r="F6112" s="875"/>
      <c r="G6112" s="826" t="n">
        <f aca="false">SUM(G6113:G6126)</f>
        <v>6624.9765</v>
      </c>
      <c r="H6112" s="433" t="s">
        <v>5306</v>
      </c>
    </row>
    <row r="6113" customFormat="false" ht="15" hidden="false" customHeight="false" outlineLevel="0" collapsed="false">
      <c r="A6113" s="571"/>
      <c r="B6113" s="433"/>
      <c r="C6113" s="855" t="s">
        <v>5228</v>
      </c>
      <c r="D6113" s="316" t="s">
        <v>4133</v>
      </c>
      <c r="E6113" s="855" t="n">
        <v>0.001</v>
      </c>
      <c r="F6113" s="115" t="n">
        <v>19000</v>
      </c>
      <c r="G6113" s="615" t="n">
        <f aca="false">F6113*E6113</f>
        <v>19</v>
      </c>
      <c r="H6113" s="433"/>
    </row>
    <row r="6114" customFormat="false" ht="15" hidden="false" customHeight="false" outlineLevel="0" collapsed="false">
      <c r="A6114" s="571"/>
      <c r="B6114" s="433"/>
      <c r="C6114" s="860" t="s">
        <v>4250</v>
      </c>
      <c r="D6114" s="316" t="s">
        <v>4359</v>
      </c>
      <c r="E6114" s="855" t="n">
        <v>0.1</v>
      </c>
      <c r="F6114" s="115" t="n">
        <v>42000</v>
      </c>
      <c r="G6114" s="615" t="n">
        <f aca="false">F6114*E6114</f>
        <v>4200</v>
      </c>
      <c r="H6114" s="433"/>
    </row>
    <row r="6115" customFormat="false" ht="15" hidden="false" customHeight="false" outlineLevel="0" collapsed="false">
      <c r="A6115" s="571"/>
      <c r="B6115" s="433"/>
      <c r="C6115" s="855" t="s">
        <v>4171</v>
      </c>
      <c r="D6115" s="316" t="s">
        <v>4133</v>
      </c>
      <c r="E6115" s="855" t="n">
        <v>0.001</v>
      </c>
      <c r="F6115" s="115" t="n">
        <v>18000</v>
      </c>
      <c r="G6115" s="615" t="n">
        <f aca="false">F6115*E6115</f>
        <v>18</v>
      </c>
      <c r="H6115" s="433"/>
    </row>
    <row r="6116" customFormat="false" ht="15" hidden="false" customHeight="false" outlineLevel="0" collapsed="false">
      <c r="A6116" s="571"/>
      <c r="B6116" s="433"/>
      <c r="C6116" s="855" t="s">
        <v>4148</v>
      </c>
      <c r="D6116" s="316" t="s">
        <v>4133</v>
      </c>
      <c r="E6116" s="855" t="n">
        <v>0.001</v>
      </c>
      <c r="F6116" s="115" t="n">
        <v>2000</v>
      </c>
      <c r="G6116" s="615" t="n">
        <f aca="false">F6116*E6116</f>
        <v>2</v>
      </c>
      <c r="H6116" s="433"/>
    </row>
    <row r="6117" customFormat="false" ht="15" hidden="false" customHeight="false" outlineLevel="0" collapsed="false">
      <c r="A6117" s="571"/>
      <c r="B6117" s="433"/>
      <c r="C6117" s="860" t="s">
        <v>4154</v>
      </c>
      <c r="D6117" s="316" t="s">
        <v>4359</v>
      </c>
      <c r="E6117" s="855" t="n">
        <v>0.002</v>
      </c>
      <c r="F6117" s="115" t="n">
        <v>18000</v>
      </c>
      <c r="G6117" s="615" t="n">
        <f aca="false">F6117*E6117</f>
        <v>36</v>
      </c>
      <c r="H6117" s="433"/>
    </row>
    <row r="6118" customFormat="false" ht="30" hidden="false" customHeight="false" outlineLevel="0" collapsed="false">
      <c r="A6118" s="571"/>
      <c r="B6118" s="433"/>
      <c r="C6118" s="855" t="s">
        <v>5265</v>
      </c>
      <c r="D6118" s="316" t="s">
        <v>4133</v>
      </c>
      <c r="E6118" s="855" t="n">
        <v>0.0001</v>
      </c>
      <c r="F6118" s="115" t="n">
        <v>130765</v>
      </c>
      <c r="G6118" s="615" t="n">
        <f aca="false">F6118*E6118</f>
        <v>13.0765</v>
      </c>
      <c r="H6118" s="433"/>
    </row>
    <row r="6119" customFormat="false" ht="15" hidden="false" customHeight="false" outlineLevel="0" collapsed="false">
      <c r="A6119" s="571"/>
      <c r="B6119" s="433"/>
      <c r="C6119" s="532" t="s">
        <v>5240</v>
      </c>
      <c r="D6119" s="679" t="s">
        <v>4578</v>
      </c>
      <c r="E6119" s="866" t="n">
        <v>0.002</v>
      </c>
      <c r="F6119" s="617" t="n">
        <v>225000</v>
      </c>
      <c r="G6119" s="615" t="n">
        <f aca="false">F6119*E6119</f>
        <v>450</v>
      </c>
      <c r="H6119" s="433"/>
    </row>
    <row r="6120" customFormat="false" ht="15" hidden="false" customHeight="false" outlineLevel="0" collapsed="false">
      <c r="A6120" s="571"/>
      <c r="B6120" s="433"/>
      <c r="C6120" s="867" t="s">
        <v>4497</v>
      </c>
      <c r="D6120" s="868" t="s">
        <v>4348</v>
      </c>
      <c r="E6120" s="869" t="n">
        <v>0.003</v>
      </c>
      <c r="F6120" s="604" t="n">
        <v>550000</v>
      </c>
      <c r="G6120" s="615" t="n">
        <f aca="false">F6120*E6120</f>
        <v>1650</v>
      </c>
      <c r="H6120" s="433"/>
    </row>
    <row r="6121" customFormat="false" ht="15" hidden="false" customHeight="false" outlineLevel="0" collapsed="false">
      <c r="A6121" s="571"/>
      <c r="B6121" s="433"/>
      <c r="C6121" s="867" t="s">
        <v>4122</v>
      </c>
      <c r="D6121" s="868" t="s">
        <v>4123</v>
      </c>
      <c r="E6121" s="869" t="n">
        <v>0.01</v>
      </c>
      <c r="F6121" s="607" t="n">
        <v>720</v>
      </c>
      <c r="G6121" s="615" t="n">
        <f aca="false">F6121*E6121</f>
        <v>7.2</v>
      </c>
      <c r="H6121" s="433"/>
    </row>
    <row r="6122" customFormat="false" ht="15" hidden="false" customHeight="false" outlineLevel="0" collapsed="false">
      <c r="A6122" s="571"/>
      <c r="B6122" s="433"/>
      <c r="C6122" s="855" t="s">
        <v>5241</v>
      </c>
      <c r="D6122" s="868" t="s">
        <v>4121</v>
      </c>
      <c r="E6122" s="869" t="n">
        <v>0.001</v>
      </c>
      <c r="F6122" s="604" t="n">
        <v>1500</v>
      </c>
      <c r="G6122" s="615" t="n">
        <f aca="false">F6122*E6122</f>
        <v>1.5</v>
      </c>
      <c r="H6122" s="433"/>
    </row>
    <row r="6123" customFormat="false" ht="15" hidden="false" customHeight="false" outlineLevel="0" collapsed="false">
      <c r="A6123" s="571"/>
      <c r="B6123" s="433"/>
      <c r="C6123" s="532" t="s">
        <v>5239</v>
      </c>
      <c r="D6123" s="679" t="s">
        <v>4141</v>
      </c>
      <c r="E6123" s="866" t="n">
        <v>0.003</v>
      </c>
      <c r="F6123" s="617" t="n">
        <v>23500</v>
      </c>
      <c r="G6123" s="615" t="n">
        <f aca="false">F6123*E6123</f>
        <v>70.5</v>
      </c>
      <c r="H6123" s="433"/>
    </row>
    <row r="6124" customFormat="false" ht="15" hidden="false" customHeight="false" outlineLevel="0" collapsed="false">
      <c r="A6124" s="571"/>
      <c r="B6124" s="433"/>
      <c r="C6124" s="872" t="s">
        <v>4124</v>
      </c>
      <c r="D6124" s="868" t="s">
        <v>4125</v>
      </c>
      <c r="E6124" s="869" t="n">
        <v>0.01</v>
      </c>
      <c r="F6124" s="607" t="n">
        <v>170</v>
      </c>
      <c r="G6124" s="615" t="n">
        <f aca="false">F6124*E6124</f>
        <v>1.7</v>
      </c>
      <c r="H6124" s="433"/>
    </row>
    <row r="6125" customFormat="false" ht="15" hidden="false" customHeight="false" outlineLevel="0" collapsed="false">
      <c r="A6125" s="571"/>
      <c r="B6125" s="433"/>
      <c r="C6125" s="872" t="s">
        <v>4347</v>
      </c>
      <c r="D6125" s="868" t="s">
        <v>4348</v>
      </c>
      <c r="E6125" s="869" t="n">
        <v>1</v>
      </c>
      <c r="F6125" s="607" t="n">
        <v>130</v>
      </c>
      <c r="G6125" s="615" t="n">
        <f aca="false">F6125*E6125</f>
        <v>130</v>
      </c>
      <c r="H6125" s="433"/>
    </row>
    <row r="6126" customFormat="false" ht="15" hidden="false" customHeight="false" outlineLevel="0" collapsed="false">
      <c r="A6126" s="571"/>
      <c r="B6126" s="433"/>
      <c r="C6126" s="855" t="s">
        <v>4509</v>
      </c>
      <c r="D6126" s="316" t="s">
        <v>4348</v>
      </c>
      <c r="E6126" s="855" t="n">
        <v>1</v>
      </c>
      <c r="F6126" s="115" t="n">
        <v>26</v>
      </c>
      <c r="G6126" s="615" t="n">
        <f aca="false">F6126*E6126</f>
        <v>26</v>
      </c>
      <c r="H6126" s="433"/>
    </row>
    <row r="6127" customFormat="false" ht="15" hidden="false" customHeight="false" outlineLevel="0" collapsed="false">
      <c r="A6127" s="571" t="s">
        <v>1132</v>
      </c>
      <c r="B6127" s="433" t="s">
        <v>3309</v>
      </c>
      <c r="C6127" s="41"/>
      <c r="D6127" s="874"/>
      <c r="E6127" s="41"/>
      <c r="F6127" s="875"/>
      <c r="G6127" s="826" t="n">
        <f aca="false">SUM(G6128:G6142)</f>
        <v>7282.4555</v>
      </c>
      <c r="H6127" s="433" t="s">
        <v>5305</v>
      </c>
    </row>
    <row r="6128" customFormat="false" ht="15" hidden="false" customHeight="false" outlineLevel="0" collapsed="false">
      <c r="A6128" s="571"/>
      <c r="B6128" s="433"/>
      <c r="C6128" s="855" t="s">
        <v>4250</v>
      </c>
      <c r="D6128" s="316" t="s">
        <v>4359</v>
      </c>
      <c r="E6128" s="855" t="n">
        <v>0.1</v>
      </c>
      <c r="F6128" s="115" t="n">
        <v>42000</v>
      </c>
      <c r="G6128" s="615" t="n">
        <f aca="false">F6128*E6128</f>
        <v>4200</v>
      </c>
      <c r="H6128" s="433"/>
    </row>
    <row r="6129" customFormat="false" ht="15" hidden="false" customHeight="false" outlineLevel="0" collapsed="false">
      <c r="A6129" s="571"/>
      <c r="B6129" s="433"/>
      <c r="C6129" s="855" t="s">
        <v>5252</v>
      </c>
      <c r="D6129" s="316" t="s">
        <v>4133</v>
      </c>
      <c r="E6129" s="855" t="n">
        <v>0.005</v>
      </c>
      <c r="F6129" s="115" t="n">
        <v>19000</v>
      </c>
      <c r="G6129" s="615" t="n">
        <f aca="false">F6129*E6129</f>
        <v>95</v>
      </c>
      <c r="H6129" s="433"/>
    </row>
    <row r="6130" customFormat="false" ht="15" hidden="false" customHeight="false" outlineLevel="0" collapsed="false">
      <c r="A6130" s="571"/>
      <c r="B6130" s="433"/>
      <c r="C6130" s="860" t="s">
        <v>4154</v>
      </c>
      <c r="D6130" s="316" t="s">
        <v>4359</v>
      </c>
      <c r="E6130" s="855" t="n">
        <v>0.0147</v>
      </c>
      <c r="F6130" s="115" t="n">
        <v>18000</v>
      </c>
      <c r="G6130" s="615" t="n">
        <f aca="false">F6130*E6130</f>
        <v>264.6</v>
      </c>
      <c r="H6130" s="433"/>
    </row>
    <row r="6131" customFormat="false" ht="30" hidden="false" customHeight="false" outlineLevel="0" collapsed="false">
      <c r="A6131" s="571"/>
      <c r="B6131" s="433"/>
      <c r="C6131" s="532" t="s">
        <v>5238</v>
      </c>
      <c r="D6131" s="679" t="s">
        <v>4141</v>
      </c>
      <c r="E6131" s="866" t="n">
        <v>0.001</v>
      </c>
      <c r="F6131" s="617" t="n">
        <v>1400</v>
      </c>
      <c r="G6131" s="615" t="n">
        <f aca="false">F6131*E6131</f>
        <v>1.4</v>
      </c>
      <c r="H6131" s="433"/>
    </row>
    <row r="6132" customFormat="false" ht="45" hidden="false" customHeight="false" outlineLevel="0" collapsed="false">
      <c r="A6132" s="571"/>
      <c r="B6132" s="433"/>
      <c r="C6132" s="860" t="s">
        <v>5253</v>
      </c>
      <c r="D6132" s="877" t="s">
        <v>4133</v>
      </c>
      <c r="E6132" s="860" t="n">
        <v>0.0001</v>
      </c>
      <c r="F6132" s="115" t="n">
        <v>41555</v>
      </c>
      <c r="G6132" s="615" t="n">
        <f aca="false">F6132*E6132</f>
        <v>4.1555</v>
      </c>
      <c r="H6132" s="433"/>
    </row>
    <row r="6133" customFormat="false" ht="15" hidden="false" customHeight="false" outlineLevel="0" collapsed="false">
      <c r="A6133" s="571"/>
      <c r="B6133" s="433"/>
      <c r="C6133" s="860" t="s">
        <v>4628</v>
      </c>
      <c r="D6133" s="877" t="s">
        <v>4133</v>
      </c>
      <c r="E6133" s="860" t="n">
        <v>0.003</v>
      </c>
      <c r="F6133" s="115" t="n">
        <v>18000</v>
      </c>
      <c r="G6133" s="615" t="n">
        <f aca="false">F6133*E6133</f>
        <v>54</v>
      </c>
      <c r="H6133" s="433"/>
    </row>
    <row r="6134" customFormat="false" ht="15" hidden="false" customHeight="false" outlineLevel="0" collapsed="false">
      <c r="A6134" s="571"/>
      <c r="B6134" s="433"/>
      <c r="C6134" s="878" t="s">
        <v>5260</v>
      </c>
      <c r="D6134" s="877" t="s">
        <v>4133</v>
      </c>
      <c r="E6134" s="860" t="n">
        <v>0.0136</v>
      </c>
      <c r="F6134" s="115" t="n">
        <v>24000</v>
      </c>
      <c r="G6134" s="615" t="n">
        <f aca="false">F6134*E6134</f>
        <v>326.4</v>
      </c>
      <c r="H6134" s="433"/>
    </row>
    <row r="6135" customFormat="false" ht="15" hidden="false" customHeight="false" outlineLevel="0" collapsed="false">
      <c r="A6135" s="571"/>
      <c r="B6135" s="433"/>
      <c r="C6135" s="532" t="s">
        <v>5240</v>
      </c>
      <c r="D6135" s="679" t="s">
        <v>4578</v>
      </c>
      <c r="E6135" s="866" t="n">
        <v>0.002</v>
      </c>
      <c r="F6135" s="617" t="n">
        <v>225000</v>
      </c>
      <c r="G6135" s="615" t="n">
        <f aca="false">F6135*E6135</f>
        <v>450</v>
      </c>
      <c r="H6135" s="433"/>
    </row>
    <row r="6136" customFormat="false" ht="15" hidden="false" customHeight="false" outlineLevel="0" collapsed="false">
      <c r="A6136" s="571"/>
      <c r="B6136" s="433"/>
      <c r="C6136" s="867" t="s">
        <v>4497</v>
      </c>
      <c r="D6136" s="868" t="s">
        <v>4348</v>
      </c>
      <c r="E6136" s="869" t="n">
        <v>0.003</v>
      </c>
      <c r="F6136" s="604" t="n">
        <v>550000</v>
      </c>
      <c r="G6136" s="615" t="n">
        <f aca="false">F6136*E6136</f>
        <v>1650</v>
      </c>
      <c r="H6136" s="433"/>
    </row>
    <row r="6137" customFormat="false" ht="15" hidden="false" customHeight="false" outlineLevel="0" collapsed="false">
      <c r="A6137" s="571"/>
      <c r="B6137" s="433"/>
      <c r="C6137" s="867" t="s">
        <v>4122</v>
      </c>
      <c r="D6137" s="868" t="s">
        <v>4123</v>
      </c>
      <c r="E6137" s="869" t="n">
        <v>0.01</v>
      </c>
      <c r="F6137" s="871" t="n">
        <v>720</v>
      </c>
      <c r="G6137" s="615" t="n">
        <f aca="false">F6137*E6137</f>
        <v>7.2</v>
      </c>
      <c r="H6137" s="433"/>
    </row>
    <row r="6138" customFormat="false" ht="15" hidden="false" customHeight="false" outlineLevel="0" collapsed="false">
      <c r="A6138" s="571"/>
      <c r="B6138" s="433"/>
      <c r="C6138" s="855" t="s">
        <v>5241</v>
      </c>
      <c r="D6138" s="868" t="s">
        <v>4121</v>
      </c>
      <c r="E6138" s="869" t="n">
        <v>0.001</v>
      </c>
      <c r="F6138" s="870" t="n">
        <v>1500</v>
      </c>
      <c r="G6138" s="615" t="n">
        <f aca="false">F6138*E6138</f>
        <v>1.5</v>
      </c>
      <c r="H6138" s="433"/>
    </row>
    <row r="6139" customFormat="false" ht="15" hidden="false" customHeight="false" outlineLevel="0" collapsed="false">
      <c r="A6139" s="571"/>
      <c r="B6139" s="433"/>
      <c r="C6139" s="872" t="s">
        <v>4124</v>
      </c>
      <c r="D6139" s="868" t="s">
        <v>4125</v>
      </c>
      <c r="E6139" s="869" t="n">
        <v>0.01</v>
      </c>
      <c r="F6139" s="871" t="n">
        <v>170</v>
      </c>
      <c r="G6139" s="615" t="n">
        <f aca="false">F6139*E6139</f>
        <v>1.7</v>
      </c>
      <c r="H6139" s="433"/>
    </row>
    <row r="6140" customFormat="false" ht="15" hidden="false" customHeight="false" outlineLevel="0" collapsed="false">
      <c r="A6140" s="571"/>
      <c r="B6140" s="433"/>
      <c r="C6140" s="532" t="s">
        <v>5239</v>
      </c>
      <c r="D6140" s="679" t="s">
        <v>4141</v>
      </c>
      <c r="E6140" s="866" t="n">
        <v>0.003</v>
      </c>
      <c r="F6140" s="681" t="n">
        <v>23500</v>
      </c>
      <c r="G6140" s="615" t="n">
        <f aca="false">F6140*E6140</f>
        <v>70.5</v>
      </c>
      <c r="H6140" s="433"/>
    </row>
    <row r="6141" customFormat="false" ht="15" hidden="false" customHeight="false" outlineLevel="0" collapsed="false">
      <c r="A6141" s="571"/>
      <c r="B6141" s="433"/>
      <c r="C6141" s="872" t="s">
        <v>4347</v>
      </c>
      <c r="D6141" s="868" t="s">
        <v>4348</v>
      </c>
      <c r="E6141" s="869" t="n">
        <v>1</v>
      </c>
      <c r="F6141" s="871" t="n">
        <v>130</v>
      </c>
      <c r="G6141" s="615" t="n">
        <f aca="false">F6141*E6141</f>
        <v>130</v>
      </c>
      <c r="H6141" s="433"/>
    </row>
    <row r="6142" customFormat="false" ht="15" hidden="false" customHeight="false" outlineLevel="0" collapsed="false">
      <c r="A6142" s="571"/>
      <c r="B6142" s="433"/>
      <c r="C6142" s="855" t="s">
        <v>4509</v>
      </c>
      <c r="D6142" s="316" t="s">
        <v>4348</v>
      </c>
      <c r="E6142" s="855" t="n">
        <v>1</v>
      </c>
      <c r="F6142" s="857" t="n">
        <v>26</v>
      </c>
      <c r="G6142" s="615" t="n">
        <f aca="false">F6142*E6142</f>
        <v>26</v>
      </c>
      <c r="H6142" s="433"/>
    </row>
    <row r="6143" customFormat="false" ht="15" hidden="false" customHeight="false" outlineLevel="0" collapsed="false">
      <c r="A6143" s="350" t="s">
        <v>5308</v>
      </c>
      <c r="B6143" s="346" t="s">
        <v>3337</v>
      </c>
      <c r="C6143" s="892"/>
      <c r="D6143" s="387"/>
      <c r="E6143" s="892"/>
      <c r="F6143" s="893"/>
      <c r="G6143" s="713"/>
      <c r="H6143" s="887"/>
    </row>
    <row r="6144" customFormat="false" ht="15" hidden="false" customHeight="false" outlineLevel="0" collapsed="false">
      <c r="A6144" s="571" t="s">
        <v>5309</v>
      </c>
      <c r="B6144" s="433" t="s">
        <v>3307</v>
      </c>
      <c r="C6144" s="41"/>
      <c r="D6144" s="874"/>
      <c r="E6144" s="41"/>
      <c r="F6144" s="875"/>
      <c r="G6144" s="826" t="n">
        <f aca="false">SUM(G6145:G6161)</f>
        <v>4813.6605</v>
      </c>
      <c r="H6144" s="433" t="s">
        <v>5227</v>
      </c>
    </row>
    <row r="6145" customFormat="false" ht="15" hidden="false" customHeight="false" outlineLevel="0" collapsed="false">
      <c r="A6145" s="380"/>
      <c r="B6145" s="433"/>
      <c r="C6145" s="855" t="s">
        <v>4317</v>
      </c>
      <c r="D6145" s="316" t="s">
        <v>4359</v>
      </c>
      <c r="E6145" s="860" t="n">
        <v>0.1</v>
      </c>
      <c r="F6145" s="115" t="n">
        <v>21000</v>
      </c>
      <c r="G6145" s="615" t="n">
        <f aca="false">F6145*E6145</f>
        <v>2100</v>
      </c>
      <c r="H6145" s="433"/>
    </row>
    <row r="6146" customFormat="false" ht="15" hidden="false" customHeight="false" outlineLevel="0" collapsed="false">
      <c r="A6146" s="707"/>
      <c r="B6146" s="433"/>
      <c r="C6146" s="855" t="s">
        <v>4147</v>
      </c>
      <c r="D6146" s="316" t="s">
        <v>4359</v>
      </c>
      <c r="E6146" s="855" t="n">
        <v>0.005</v>
      </c>
      <c r="F6146" s="115" t="n">
        <v>18000</v>
      </c>
      <c r="G6146" s="615" t="n">
        <f aca="false">F6146*E6146</f>
        <v>90</v>
      </c>
      <c r="H6146" s="433"/>
    </row>
    <row r="6147" customFormat="false" ht="15" hidden="false" customHeight="false" outlineLevel="0" collapsed="false">
      <c r="A6147" s="571"/>
      <c r="B6147" s="433"/>
      <c r="C6147" s="855" t="s">
        <v>5228</v>
      </c>
      <c r="D6147" s="316" t="s">
        <v>4133</v>
      </c>
      <c r="E6147" s="855" t="n">
        <v>0.001</v>
      </c>
      <c r="F6147" s="115" t="n">
        <v>19000</v>
      </c>
      <c r="G6147" s="615" t="n">
        <f aca="false">F6147*E6147</f>
        <v>19</v>
      </c>
      <c r="H6147" s="433"/>
    </row>
    <row r="6148" customFormat="false" ht="30" hidden="false" customHeight="false" outlineLevel="0" collapsed="false">
      <c r="A6148" s="571"/>
      <c r="B6148" s="433"/>
      <c r="C6148" s="855" t="s">
        <v>5229</v>
      </c>
      <c r="D6148" s="316" t="s">
        <v>4133</v>
      </c>
      <c r="E6148" s="855" t="n">
        <v>0.0001</v>
      </c>
      <c r="F6148" s="115" t="n">
        <v>71490</v>
      </c>
      <c r="G6148" s="615" t="n">
        <f aca="false">F6148*E6148</f>
        <v>7.149</v>
      </c>
      <c r="H6148" s="433"/>
    </row>
    <row r="6149" customFormat="false" ht="30" hidden="false" customHeight="false" outlineLevel="0" collapsed="false">
      <c r="A6149" s="571"/>
      <c r="B6149" s="433"/>
      <c r="C6149" s="855" t="s">
        <v>5230</v>
      </c>
      <c r="D6149" s="316" t="s">
        <v>4133</v>
      </c>
      <c r="E6149" s="855" t="n">
        <v>0.0001</v>
      </c>
      <c r="F6149" s="115" t="n">
        <v>74815</v>
      </c>
      <c r="G6149" s="615" t="n">
        <f aca="false">F6149*E6149</f>
        <v>7.4815</v>
      </c>
      <c r="H6149" s="433"/>
    </row>
    <row r="6150" customFormat="false" ht="45" hidden="false" customHeight="false" outlineLevel="0" collapsed="false">
      <c r="A6150" s="571"/>
      <c r="B6150" s="433"/>
      <c r="C6150" s="855" t="s">
        <v>5231</v>
      </c>
      <c r="D6150" s="316" t="s">
        <v>4133</v>
      </c>
      <c r="E6150" s="855" t="n">
        <v>0.0001</v>
      </c>
      <c r="F6150" s="857" t="n">
        <v>75465</v>
      </c>
      <c r="G6150" s="615" t="n">
        <f aca="false">F6150*E6150</f>
        <v>7.5465</v>
      </c>
      <c r="H6150" s="433"/>
    </row>
    <row r="6151" customFormat="false" ht="30" hidden="false" customHeight="false" outlineLevel="0" collapsed="false">
      <c r="A6151" s="571"/>
      <c r="B6151" s="433"/>
      <c r="C6151" s="855" t="s">
        <v>5232</v>
      </c>
      <c r="D6151" s="316" t="s">
        <v>4133</v>
      </c>
      <c r="E6151" s="855" t="n">
        <v>0.0001</v>
      </c>
      <c r="F6151" s="857" t="n">
        <v>87990</v>
      </c>
      <c r="G6151" s="615" t="n">
        <f aca="false">F6151*E6151</f>
        <v>8.799</v>
      </c>
      <c r="H6151" s="433"/>
    </row>
    <row r="6152" customFormat="false" ht="30" hidden="false" customHeight="false" outlineLevel="0" collapsed="false">
      <c r="A6152" s="571"/>
      <c r="B6152" s="433"/>
      <c r="C6152" s="855" t="s">
        <v>5233</v>
      </c>
      <c r="D6152" s="316" t="s">
        <v>4133</v>
      </c>
      <c r="E6152" s="855" t="n">
        <v>0.0001</v>
      </c>
      <c r="F6152" s="857" t="n">
        <v>71395</v>
      </c>
      <c r="G6152" s="615" t="n">
        <f aca="false">F6152*E6152</f>
        <v>7.1395</v>
      </c>
      <c r="H6152" s="433"/>
    </row>
    <row r="6153" customFormat="false" ht="30" hidden="false" customHeight="false" outlineLevel="0" collapsed="false">
      <c r="A6153" s="571"/>
      <c r="B6153" s="433"/>
      <c r="C6153" s="855" t="s">
        <v>5234</v>
      </c>
      <c r="D6153" s="316" t="s">
        <v>4133</v>
      </c>
      <c r="E6153" s="855" t="n">
        <v>0.0001</v>
      </c>
      <c r="F6153" s="857" t="n">
        <v>53450</v>
      </c>
      <c r="G6153" s="615" t="n">
        <f aca="false">F6153*E6153</f>
        <v>5.345</v>
      </c>
      <c r="H6153" s="433"/>
    </row>
    <row r="6154" customFormat="false" ht="15" hidden="false" customHeight="false" outlineLevel="0" collapsed="false">
      <c r="A6154" s="571"/>
      <c r="B6154" s="433"/>
      <c r="C6154" s="855" t="s">
        <v>4378</v>
      </c>
      <c r="D6154" s="316" t="s">
        <v>4133</v>
      </c>
      <c r="E6154" s="855" t="n">
        <v>0.005</v>
      </c>
      <c r="F6154" s="857" t="n">
        <v>45000</v>
      </c>
      <c r="G6154" s="615" t="n">
        <f aca="false">F6154*E6154</f>
        <v>225</v>
      </c>
      <c r="H6154" s="433"/>
    </row>
    <row r="6155" customFormat="false" ht="15" hidden="false" customHeight="false" outlineLevel="0" collapsed="false">
      <c r="A6155" s="571"/>
      <c r="B6155" s="433"/>
      <c r="C6155" s="855" t="s">
        <v>5240</v>
      </c>
      <c r="D6155" s="316" t="s">
        <v>4578</v>
      </c>
      <c r="E6155" s="855" t="n">
        <v>0.002</v>
      </c>
      <c r="F6155" s="857" t="n">
        <v>225000</v>
      </c>
      <c r="G6155" s="615" t="n">
        <f aca="false">F6155*E6155</f>
        <v>450</v>
      </c>
      <c r="H6155" s="433"/>
    </row>
    <row r="6156" customFormat="false" ht="15" hidden="false" customHeight="false" outlineLevel="0" collapsed="false">
      <c r="A6156" s="571"/>
      <c r="B6156" s="433"/>
      <c r="C6156" s="855" t="s">
        <v>5241</v>
      </c>
      <c r="D6156" s="316" t="s">
        <v>4141</v>
      </c>
      <c r="E6156" s="855" t="n">
        <v>0.001</v>
      </c>
      <c r="F6156" s="857" t="n">
        <v>1500</v>
      </c>
      <c r="G6156" s="615" t="n">
        <f aca="false">F6156*E6156</f>
        <v>1.5</v>
      </c>
      <c r="H6156" s="433"/>
    </row>
    <row r="6157" customFormat="false" ht="15" hidden="false" customHeight="false" outlineLevel="0" collapsed="false">
      <c r="A6157" s="571"/>
      <c r="B6157" s="433"/>
      <c r="C6157" s="532" t="s">
        <v>5239</v>
      </c>
      <c r="D6157" s="679" t="s">
        <v>4141</v>
      </c>
      <c r="E6157" s="866" t="n">
        <v>0.003</v>
      </c>
      <c r="F6157" s="681" t="n">
        <v>23500</v>
      </c>
      <c r="G6157" s="615" t="n">
        <f aca="false">F6157*E6157</f>
        <v>70.5</v>
      </c>
      <c r="H6157" s="433"/>
    </row>
    <row r="6158" customFormat="false" ht="15" hidden="false" customHeight="false" outlineLevel="0" collapsed="false">
      <c r="A6158" s="571"/>
      <c r="B6158" s="433"/>
      <c r="C6158" s="867" t="s">
        <v>4497</v>
      </c>
      <c r="D6158" s="868" t="s">
        <v>4348</v>
      </c>
      <c r="E6158" s="869" t="n">
        <v>0.003</v>
      </c>
      <c r="F6158" s="870" t="n">
        <v>550000</v>
      </c>
      <c r="G6158" s="615" t="n">
        <f aca="false">F6158*E6158</f>
        <v>1650</v>
      </c>
      <c r="H6158" s="433"/>
    </row>
    <row r="6159" customFormat="false" ht="15" hidden="false" customHeight="false" outlineLevel="0" collapsed="false">
      <c r="A6159" s="571"/>
      <c r="B6159" s="433"/>
      <c r="C6159" s="855" t="s">
        <v>4347</v>
      </c>
      <c r="D6159" s="316" t="s">
        <v>4348</v>
      </c>
      <c r="E6159" s="855" t="n">
        <v>1</v>
      </c>
      <c r="F6159" s="857" t="n">
        <v>130</v>
      </c>
      <c r="G6159" s="615" t="n">
        <f aca="false">F6159*E6159</f>
        <v>130</v>
      </c>
      <c r="H6159" s="433"/>
    </row>
    <row r="6160" customFormat="false" ht="15" hidden="false" customHeight="false" outlineLevel="0" collapsed="false">
      <c r="A6160" s="571"/>
      <c r="B6160" s="433"/>
      <c r="C6160" s="855" t="s">
        <v>4122</v>
      </c>
      <c r="D6160" s="316" t="s">
        <v>4359</v>
      </c>
      <c r="E6160" s="855" t="n">
        <v>0.01</v>
      </c>
      <c r="F6160" s="115" t="n">
        <v>720</v>
      </c>
      <c r="G6160" s="615" t="n">
        <f aca="false">F6160*E6160</f>
        <v>7.2</v>
      </c>
      <c r="H6160" s="433"/>
    </row>
    <row r="6161" customFormat="false" ht="15" hidden="false" customHeight="false" outlineLevel="0" collapsed="false">
      <c r="A6161" s="571"/>
      <c r="B6161" s="433"/>
      <c r="C6161" s="855" t="s">
        <v>4515</v>
      </c>
      <c r="D6161" s="316" t="s">
        <v>4133</v>
      </c>
      <c r="E6161" s="855" t="n">
        <v>0.01</v>
      </c>
      <c r="F6161" s="115" t="n">
        <v>2700</v>
      </c>
      <c r="G6161" s="615" t="n">
        <f aca="false">F6161*E6161</f>
        <v>27</v>
      </c>
      <c r="H6161" s="433"/>
    </row>
    <row r="6162" customFormat="false" ht="15" hidden="false" customHeight="false" outlineLevel="0" collapsed="false">
      <c r="A6162" s="350" t="s">
        <v>5310</v>
      </c>
      <c r="B6162" s="346" t="s">
        <v>3338</v>
      </c>
      <c r="C6162" s="601"/>
      <c r="D6162" s="600"/>
      <c r="E6162" s="600"/>
      <c r="F6162" s="364"/>
      <c r="G6162" s="713"/>
      <c r="H6162" s="887"/>
    </row>
    <row r="6163" customFormat="false" ht="15" hidden="false" customHeight="false" outlineLevel="0" collapsed="false">
      <c r="A6163" s="571" t="s">
        <v>1138</v>
      </c>
      <c r="B6163" s="433" t="s">
        <v>3307</v>
      </c>
      <c r="C6163" s="476"/>
      <c r="D6163" s="820"/>
      <c r="E6163" s="820"/>
      <c r="F6163" s="697"/>
      <c r="G6163" s="826" t="n">
        <f aca="false">SUM(G6164:G6183)</f>
        <v>11670.9305</v>
      </c>
      <c r="H6163" s="433" t="s">
        <v>5227</v>
      </c>
    </row>
    <row r="6164" customFormat="false" ht="15" hidden="false" customHeight="false" outlineLevel="0" collapsed="false">
      <c r="A6164" s="380"/>
      <c r="B6164" s="433"/>
      <c r="C6164" s="855" t="s">
        <v>4604</v>
      </c>
      <c r="D6164" s="316" t="s">
        <v>4359</v>
      </c>
      <c r="E6164" s="855" t="n">
        <v>0.001</v>
      </c>
      <c r="F6164" s="115" t="n">
        <v>18000</v>
      </c>
      <c r="G6164" s="615" t="n">
        <f aca="false">F6164*E6164</f>
        <v>18</v>
      </c>
      <c r="H6164" s="433"/>
    </row>
    <row r="6165" customFormat="false" ht="15" hidden="false" customHeight="false" outlineLevel="0" collapsed="false">
      <c r="A6165" s="707"/>
      <c r="B6165" s="433"/>
      <c r="C6165" s="855" t="s">
        <v>4317</v>
      </c>
      <c r="D6165" s="316" t="s">
        <v>4359</v>
      </c>
      <c r="E6165" s="855" t="n">
        <v>0.35</v>
      </c>
      <c r="F6165" s="115" t="n">
        <v>21000</v>
      </c>
      <c r="G6165" s="615" t="n">
        <f aca="false">F6165*E6165</f>
        <v>7350</v>
      </c>
      <c r="H6165" s="433"/>
    </row>
    <row r="6166" customFormat="false" ht="15" hidden="false" customHeight="false" outlineLevel="0" collapsed="false">
      <c r="A6166" s="571"/>
      <c r="B6166" s="433"/>
      <c r="C6166" s="855" t="s">
        <v>4147</v>
      </c>
      <c r="D6166" s="316" t="s">
        <v>4359</v>
      </c>
      <c r="E6166" s="855" t="n">
        <v>0.015</v>
      </c>
      <c r="F6166" s="115" t="n">
        <v>18000</v>
      </c>
      <c r="G6166" s="615" t="n">
        <f aca="false">F6166*E6166</f>
        <v>270</v>
      </c>
      <c r="H6166" s="433"/>
    </row>
    <row r="6167" customFormat="false" ht="15" hidden="false" customHeight="false" outlineLevel="0" collapsed="false">
      <c r="A6167" s="571"/>
      <c r="B6167" s="433"/>
      <c r="C6167" s="855" t="s">
        <v>5228</v>
      </c>
      <c r="D6167" s="316" t="s">
        <v>4133</v>
      </c>
      <c r="E6167" s="855" t="n">
        <v>0.01</v>
      </c>
      <c r="F6167" s="115" t="n">
        <v>19000</v>
      </c>
      <c r="G6167" s="615" t="n">
        <f aca="false">F6167*E6167</f>
        <v>190</v>
      </c>
      <c r="H6167" s="433"/>
    </row>
    <row r="6168" customFormat="false" ht="15" hidden="false" customHeight="false" outlineLevel="0" collapsed="false">
      <c r="A6168" s="571"/>
      <c r="B6168" s="433"/>
      <c r="C6168" s="855" t="s">
        <v>4673</v>
      </c>
      <c r="D6168" s="316" t="s">
        <v>4133</v>
      </c>
      <c r="E6168" s="855" t="n">
        <v>0.01</v>
      </c>
      <c r="F6168" s="115" t="n">
        <v>106777</v>
      </c>
      <c r="G6168" s="615" t="n">
        <f aca="false">F6168*E6168</f>
        <v>1067.77</v>
      </c>
      <c r="H6168" s="433"/>
    </row>
    <row r="6169" customFormat="false" ht="30" hidden="false" customHeight="false" outlineLevel="0" collapsed="false">
      <c r="A6169" s="571"/>
      <c r="B6169" s="433"/>
      <c r="C6169" s="532" t="s">
        <v>5238</v>
      </c>
      <c r="D6169" s="679" t="s">
        <v>4141</v>
      </c>
      <c r="E6169" s="819" t="n">
        <v>0.1</v>
      </c>
      <c r="F6169" s="617" t="n">
        <v>1400</v>
      </c>
      <c r="G6169" s="615" t="n">
        <f aca="false">F6169*E6169</f>
        <v>140</v>
      </c>
      <c r="H6169" s="433"/>
    </row>
    <row r="6170" customFormat="false" ht="30" hidden="false" customHeight="false" outlineLevel="0" collapsed="false">
      <c r="A6170" s="571"/>
      <c r="B6170" s="433"/>
      <c r="C6170" s="855" t="s">
        <v>5229</v>
      </c>
      <c r="D6170" s="316" t="s">
        <v>4133</v>
      </c>
      <c r="E6170" s="855" t="n">
        <v>0.0001</v>
      </c>
      <c r="F6170" s="115" t="n">
        <v>71490</v>
      </c>
      <c r="G6170" s="615" t="n">
        <f aca="false">F6170*E6170</f>
        <v>7.149</v>
      </c>
      <c r="H6170" s="433"/>
    </row>
    <row r="6171" customFormat="false" ht="30" hidden="false" customHeight="false" outlineLevel="0" collapsed="false">
      <c r="A6171" s="571"/>
      <c r="B6171" s="433"/>
      <c r="C6171" s="855" t="s">
        <v>5230</v>
      </c>
      <c r="D6171" s="316" t="s">
        <v>4133</v>
      </c>
      <c r="E6171" s="855" t="n">
        <v>0.0001</v>
      </c>
      <c r="F6171" s="857" t="n">
        <v>74815</v>
      </c>
      <c r="G6171" s="615" t="n">
        <f aca="false">F6171*E6171</f>
        <v>7.4815</v>
      </c>
      <c r="H6171" s="433"/>
    </row>
    <row r="6172" customFormat="false" ht="45" hidden="false" customHeight="false" outlineLevel="0" collapsed="false">
      <c r="A6172" s="571"/>
      <c r="B6172" s="433"/>
      <c r="C6172" s="855" t="s">
        <v>5231</v>
      </c>
      <c r="D6172" s="316" t="s">
        <v>4133</v>
      </c>
      <c r="E6172" s="855" t="n">
        <v>0.0001</v>
      </c>
      <c r="F6172" s="857" t="n">
        <v>75465</v>
      </c>
      <c r="G6172" s="615" t="n">
        <f aca="false">F6172*E6172</f>
        <v>7.5465</v>
      </c>
      <c r="H6172" s="433"/>
    </row>
    <row r="6173" customFormat="false" ht="30" hidden="false" customHeight="false" outlineLevel="0" collapsed="false">
      <c r="A6173" s="571"/>
      <c r="B6173" s="433"/>
      <c r="C6173" s="855" t="s">
        <v>5232</v>
      </c>
      <c r="D6173" s="316" t="s">
        <v>4133</v>
      </c>
      <c r="E6173" s="855" t="n">
        <v>0.0001</v>
      </c>
      <c r="F6173" s="857" t="n">
        <v>87990</v>
      </c>
      <c r="G6173" s="615" t="n">
        <f aca="false">F6173*E6173</f>
        <v>8.799</v>
      </c>
      <c r="H6173" s="433"/>
    </row>
    <row r="6174" customFormat="false" ht="30" hidden="false" customHeight="false" outlineLevel="0" collapsed="false">
      <c r="A6174" s="571"/>
      <c r="B6174" s="433"/>
      <c r="C6174" s="855" t="s">
        <v>5233</v>
      </c>
      <c r="D6174" s="316" t="s">
        <v>4133</v>
      </c>
      <c r="E6174" s="855" t="n">
        <v>0.0001</v>
      </c>
      <c r="F6174" s="115" t="n">
        <v>71395</v>
      </c>
      <c r="G6174" s="615" t="n">
        <f aca="false">F6174*E6174</f>
        <v>7.1395</v>
      </c>
      <c r="H6174" s="433"/>
    </row>
    <row r="6175" customFormat="false" ht="30" hidden="false" customHeight="false" outlineLevel="0" collapsed="false">
      <c r="A6175" s="571"/>
      <c r="B6175" s="433"/>
      <c r="C6175" s="855" t="s">
        <v>5234</v>
      </c>
      <c r="D6175" s="316" t="s">
        <v>4133</v>
      </c>
      <c r="E6175" s="855" t="n">
        <v>0.0001</v>
      </c>
      <c r="F6175" s="115" t="n">
        <v>53450</v>
      </c>
      <c r="G6175" s="615" t="n">
        <f aca="false">F6175*E6175</f>
        <v>5.345</v>
      </c>
      <c r="H6175" s="433"/>
    </row>
    <row r="6176" customFormat="false" ht="15" hidden="false" customHeight="false" outlineLevel="0" collapsed="false">
      <c r="A6176" s="571"/>
      <c r="B6176" s="433"/>
      <c r="C6176" s="855" t="s">
        <v>5240</v>
      </c>
      <c r="D6176" s="316" t="s">
        <v>4578</v>
      </c>
      <c r="E6176" s="855" t="n">
        <v>0.003</v>
      </c>
      <c r="F6176" s="115" t="n">
        <v>225000</v>
      </c>
      <c r="G6176" s="615" t="n">
        <f aca="false">F6176*E6176</f>
        <v>675</v>
      </c>
      <c r="H6176" s="433"/>
    </row>
    <row r="6177" customFormat="false" ht="15" hidden="false" customHeight="false" outlineLevel="0" collapsed="false">
      <c r="A6177" s="571"/>
      <c r="B6177" s="433"/>
      <c r="C6177" s="855" t="s">
        <v>5241</v>
      </c>
      <c r="D6177" s="316" t="s">
        <v>4141</v>
      </c>
      <c r="E6177" s="855" t="n">
        <v>0.01</v>
      </c>
      <c r="F6177" s="115" t="n">
        <v>1500</v>
      </c>
      <c r="G6177" s="615" t="n">
        <f aca="false">F6177*E6177</f>
        <v>15</v>
      </c>
      <c r="H6177" s="433"/>
    </row>
    <row r="6178" customFormat="false" ht="15" hidden="false" customHeight="false" outlineLevel="0" collapsed="false">
      <c r="A6178" s="571"/>
      <c r="B6178" s="433"/>
      <c r="C6178" s="855" t="s">
        <v>4347</v>
      </c>
      <c r="D6178" s="316" t="s">
        <v>4348</v>
      </c>
      <c r="E6178" s="855" t="n">
        <v>1</v>
      </c>
      <c r="F6178" s="115" t="n">
        <v>130</v>
      </c>
      <c r="G6178" s="615" t="n">
        <f aca="false">F6178*E6178</f>
        <v>130</v>
      </c>
      <c r="H6178" s="433"/>
    </row>
    <row r="6179" customFormat="false" ht="15" hidden="false" customHeight="false" outlineLevel="0" collapsed="false">
      <c r="A6179" s="571"/>
      <c r="B6179" s="433"/>
      <c r="C6179" s="867" t="s">
        <v>4497</v>
      </c>
      <c r="D6179" s="868" t="s">
        <v>4348</v>
      </c>
      <c r="E6179" s="603" t="n">
        <v>0.003</v>
      </c>
      <c r="F6179" s="604" t="n">
        <v>550000</v>
      </c>
      <c r="G6179" s="615" t="n">
        <f aca="false">F6179*E6179</f>
        <v>1650</v>
      </c>
      <c r="H6179" s="433"/>
    </row>
    <row r="6180" customFormat="false" ht="15" hidden="false" customHeight="false" outlineLevel="0" collapsed="false">
      <c r="A6180" s="571"/>
      <c r="B6180" s="433"/>
      <c r="C6180" s="855" t="s">
        <v>4122</v>
      </c>
      <c r="D6180" s="316" t="s">
        <v>4359</v>
      </c>
      <c r="E6180" s="855" t="n">
        <v>0.01</v>
      </c>
      <c r="F6180" s="115" t="n">
        <v>720</v>
      </c>
      <c r="G6180" s="615" t="n">
        <f aca="false">F6180*E6180</f>
        <v>7.2</v>
      </c>
      <c r="H6180" s="433"/>
    </row>
    <row r="6181" customFormat="false" ht="15" hidden="false" customHeight="false" outlineLevel="0" collapsed="false">
      <c r="A6181" s="571"/>
      <c r="B6181" s="433"/>
      <c r="C6181" s="855" t="s">
        <v>4515</v>
      </c>
      <c r="D6181" s="316" t="s">
        <v>4133</v>
      </c>
      <c r="E6181" s="855" t="n">
        <v>0.01</v>
      </c>
      <c r="F6181" s="115" t="n">
        <v>2700</v>
      </c>
      <c r="G6181" s="615" t="n">
        <f aca="false">F6181*E6181</f>
        <v>27</v>
      </c>
      <c r="H6181" s="433"/>
    </row>
    <row r="6182" customFormat="false" ht="15" hidden="false" customHeight="false" outlineLevel="0" collapsed="false">
      <c r="A6182" s="571"/>
      <c r="B6182" s="433"/>
      <c r="C6182" s="532" t="s">
        <v>5239</v>
      </c>
      <c r="D6182" s="679" t="s">
        <v>4141</v>
      </c>
      <c r="E6182" s="858" t="n">
        <v>0.003</v>
      </c>
      <c r="F6182" s="617" t="n">
        <v>23500</v>
      </c>
      <c r="G6182" s="615" t="n">
        <f aca="false">F6182*E6182</f>
        <v>70.5</v>
      </c>
      <c r="H6182" s="433"/>
    </row>
    <row r="6183" customFormat="false" ht="15" hidden="false" customHeight="false" outlineLevel="0" collapsed="false">
      <c r="A6183" s="571"/>
      <c r="B6183" s="433"/>
      <c r="C6183" s="861" t="s">
        <v>4124</v>
      </c>
      <c r="D6183" s="316" t="s">
        <v>4125</v>
      </c>
      <c r="E6183" s="855" t="n">
        <v>0.1</v>
      </c>
      <c r="F6183" s="115" t="n">
        <v>170</v>
      </c>
      <c r="G6183" s="615" t="n">
        <f aca="false">F6183*E6183</f>
        <v>17</v>
      </c>
      <c r="H6183" s="433"/>
    </row>
    <row r="6184" customFormat="false" ht="30" hidden="false" customHeight="false" outlineLevel="0" collapsed="false">
      <c r="A6184" s="571" t="s">
        <v>1139</v>
      </c>
      <c r="B6184" s="488" t="s">
        <v>3313</v>
      </c>
      <c r="C6184" s="855"/>
      <c r="D6184" s="316"/>
      <c r="E6184" s="855"/>
      <c r="F6184" s="115"/>
      <c r="G6184" s="613" t="n">
        <f aca="false">SUM(G6185:G6203)</f>
        <v>6945.19675</v>
      </c>
      <c r="H6184" s="901" t="s">
        <v>5311</v>
      </c>
    </row>
    <row r="6185" customFormat="false" ht="15" hidden="false" customHeight="false" outlineLevel="0" collapsed="false">
      <c r="A6185" s="571"/>
      <c r="B6185" s="433"/>
      <c r="C6185" s="21" t="s">
        <v>4604</v>
      </c>
      <c r="D6185" s="877" t="s">
        <v>4359</v>
      </c>
      <c r="E6185" s="855" t="n">
        <v>0.005</v>
      </c>
      <c r="F6185" s="115" t="n">
        <v>18000</v>
      </c>
      <c r="G6185" s="716" t="n">
        <f aca="false">F6185*E6185</f>
        <v>90</v>
      </c>
      <c r="H6185" s="433"/>
    </row>
    <row r="6186" customFormat="false" ht="21" hidden="false" customHeight="true" outlineLevel="0" collapsed="false">
      <c r="A6186" s="571"/>
      <c r="B6186" s="433"/>
      <c r="C6186" s="881" t="s">
        <v>4266</v>
      </c>
      <c r="D6186" s="882" t="s">
        <v>4133</v>
      </c>
      <c r="E6186" s="614" t="n">
        <v>0.002</v>
      </c>
      <c r="F6186" s="883" t="n">
        <v>24000</v>
      </c>
      <c r="G6186" s="716" t="n">
        <f aca="false">F6186*E6186</f>
        <v>48</v>
      </c>
      <c r="H6186" s="433"/>
    </row>
    <row r="6187" customFormat="false" ht="30" hidden="false" customHeight="false" outlineLevel="0" collapsed="false">
      <c r="A6187" s="571"/>
      <c r="B6187" s="433"/>
      <c r="C6187" s="532" t="s">
        <v>5238</v>
      </c>
      <c r="D6187" s="679" t="s">
        <v>4141</v>
      </c>
      <c r="E6187" s="819" t="n">
        <v>0.001</v>
      </c>
      <c r="F6187" s="617" t="n">
        <v>1400</v>
      </c>
      <c r="G6187" s="716" t="n">
        <f aca="false">F6187*E6187</f>
        <v>1.4</v>
      </c>
      <c r="H6187" s="433"/>
    </row>
    <row r="6188" customFormat="false" ht="15" hidden="false" customHeight="false" outlineLevel="0" collapsed="false">
      <c r="A6188" s="571"/>
      <c r="B6188" s="433"/>
      <c r="C6188" s="21" t="s">
        <v>4254</v>
      </c>
      <c r="D6188" s="877" t="s">
        <v>4133</v>
      </c>
      <c r="E6188" s="855" t="n">
        <v>0.00595</v>
      </c>
      <c r="F6188" s="115" t="n">
        <v>5265</v>
      </c>
      <c r="G6188" s="716" t="n">
        <f aca="false">F6188*E6188</f>
        <v>31.32675</v>
      </c>
      <c r="H6188" s="433"/>
    </row>
    <row r="6189" customFormat="false" ht="15" hidden="false" customHeight="false" outlineLevel="0" collapsed="false">
      <c r="A6189" s="571"/>
      <c r="B6189" s="433"/>
      <c r="C6189" s="21" t="s">
        <v>4250</v>
      </c>
      <c r="D6189" s="877" t="s">
        <v>4359</v>
      </c>
      <c r="E6189" s="855" t="n">
        <v>0.1</v>
      </c>
      <c r="F6189" s="115" t="n">
        <v>42000</v>
      </c>
      <c r="G6189" s="716" t="n">
        <f aca="false">F6189*E6189</f>
        <v>4200</v>
      </c>
      <c r="H6189" s="433"/>
    </row>
    <row r="6190" customFormat="false" ht="15" hidden="false" customHeight="false" outlineLevel="0" collapsed="false">
      <c r="A6190" s="571"/>
      <c r="B6190" s="433"/>
      <c r="C6190" s="860" t="s">
        <v>4628</v>
      </c>
      <c r="D6190" s="877" t="s">
        <v>4133</v>
      </c>
      <c r="E6190" s="855" t="n">
        <v>0.004</v>
      </c>
      <c r="F6190" s="115" t="n">
        <v>18000</v>
      </c>
      <c r="G6190" s="716" t="n">
        <f aca="false">F6190*E6190</f>
        <v>72</v>
      </c>
      <c r="H6190" s="433"/>
    </row>
    <row r="6191" customFormat="false" ht="15" hidden="false" customHeight="false" outlineLevel="0" collapsed="false">
      <c r="A6191" s="571"/>
      <c r="B6191" s="433"/>
      <c r="C6191" s="860" t="s">
        <v>4171</v>
      </c>
      <c r="D6191" s="877" t="s">
        <v>4359</v>
      </c>
      <c r="E6191" s="855" t="n">
        <v>0.002</v>
      </c>
      <c r="F6191" s="115" t="n">
        <v>18000</v>
      </c>
      <c r="G6191" s="716" t="n">
        <f aca="false">F6191*E6191</f>
        <v>36</v>
      </c>
      <c r="H6191" s="433"/>
    </row>
    <row r="6192" customFormat="false" ht="15" hidden="false" customHeight="false" outlineLevel="0" collapsed="false">
      <c r="A6192" s="571"/>
      <c r="B6192" s="433"/>
      <c r="C6192" s="860" t="s">
        <v>5228</v>
      </c>
      <c r="D6192" s="316" t="s">
        <v>4133</v>
      </c>
      <c r="E6192" s="855" t="n">
        <v>0.002</v>
      </c>
      <c r="F6192" s="115" t="n">
        <v>19000</v>
      </c>
      <c r="G6192" s="716" t="n">
        <f aca="false">F6192*E6192</f>
        <v>38</v>
      </c>
      <c r="H6192" s="433"/>
    </row>
    <row r="6193" customFormat="false" ht="15" hidden="false" customHeight="false" outlineLevel="0" collapsed="false">
      <c r="A6193" s="571"/>
      <c r="B6193" s="433"/>
      <c r="C6193" s="860" t="s">
        <v>5091</v>
      </c>
      <c r="D6193" s="877" t="s">
        <v>4359</v>
      </c>
      <c r="E6193" s="855" t="n">
        <v>0.004</v>
      </c>
      <c r="F6193" s="115" t="n">
        <v>18000</v>
      </c>
      <c r="G6193" s="716" t="n">
        <f aca="false">F6193*E6193</f>
        <v>72</v>
      </c>
      <c r="H6193" s="433"/>
    </row>
    <row r="6194" customFormat="false" ht="15" hidden="false" customHeight="false" outlineLevel="0" collapsed="false">
      <c r="A6194" s="571"/>
      <c r="B6194" s="433"/>
      <c r="C6194" s="860" t="s">
        <v>5263</v>
      </c>
      <c r="D6194" s="877" t="s">
        <v>4133</v>
      </c>
      <c r="E6194" s="855" t="n">
        <v>0.0001</v>
      </c>
      <c r="F6194" s="115" t="n">
        <v>40000</v>
      </c>
      <c r="G6194" s="716" t="n">
        <f aca="false">F6194*E6194</f>
        <v>4</v>
      </c>
      <c r="H6194" s="433"/>
    </row>
    <row r="6195" customFormat="false" ht="15" hidden="false" customHeight="false" outlineLevel="0" collapsed="false">
      <c r="A6195" s="571"/>
      <c r="B6195" s="433"/>
      <c r="C6195" s="532" t="s">
        <v>5240</v>
      </c>
      <c r="D6195" s="679" t="s">
        <v>4578</v>
      </c>
      <c r="E6195" s="858" t="n">
        <v>0.002</v>
      </c>
      <c r="F6195" s="617" t="n">
        <v>225000</v>
      </c>
      <c r="G6195" s="716" t="n">
        <f aca="false">F6195*E6195</f>
        <v>450</v>
      </c>
      <c r="H6195" s="433"/>
    </row>
    <row r="6196" customFormat="false" ht="15" hidden="false" customHeight="false" outlineLevel="0" collapsed="false">
      <c r="A6196" s="571"/>
      <c r="B6196" s="433"/>
      <c r="C6196" s="867" t="s">
        <v>4497</v>
      </c>
      <c r="D6196" s="868" t="s">
        <v>4348</v>
      </c>
      <c r="E6196" s="603" t="n">
        <v>0.003</v>
      </c>
      <c r="F6196" s="604" t="n">
        <v>550000</v>
      </c>
      <c r="G6196" s="716" t="n">
        <f aca="false">F6196*E6196</f>
        <v>1650</v>
      </c>
      <c r="H6196" s="433"/>
    </row>
    <row r="6197" customFormat="false" ht="15" hidden="false" customHeight="false" outlineLevel="0" collapsed="false">
      <c r="A6197" s="571"/>
      <c r="B6197" s="433"/>
      <c r="C6197" s="867" t="s">
        <v>4122</v>
      </c>
      <c r="D6197" s="868" t="s">
        <v>4123</v>
      </c>
      <c r="E6197" s="603" t="n">
        <v>0.01</v>
      </c>
      <c r="F6197" s="607" t="n">
        <v>720</v>
      </c>
      <c r="G6197" s="716" t="n">
        <f aca="false">F6197*E6197</f>
        <v>7.2</v>
      </c>
      <c r="H6197" s="433"/>
    </row>
    <row r="6198" customFormat="false" ht="15" hidden="false" customHeight="false" outlineLevel="0" collapsed="false">
      <c r="A6198" s="571"/>
      <c r="B6198" s="433"/>
      <c r="C6198" s="860" t="s">
        <v>5241</v>
      </c>
      <c r="D6198" s="868" t="s">
        <v>4121</v>
      </c>
      <c r="E6198" s="603" t="n">
        <v>0.001</v>
      </c>
      <c r="F6198" s="604" t="n">
        <v>1500</v>
      </c>
      <c r="G6198" s="716" t="n">
        <f aca="false">F6198*E6198</f>
        <v>1.5</v>
      </c>
      <c r="H6198" s="433"/>
    </row>
    <row r="6199" customFormat="false" ht="15" hidden="false" customHeight="false" outlineLevel="0" collapsed="false">
      <c r="A6199" s="571"/>
      <c r="B6199" s="433"/>
      <c r="C6199" s="872" t="s">
        <v>4124</v>
      </c>
      <c r="D6199" s="868" t="s">
        <v>4125</v>
      </c>
      <c r="E6199" s="603" t="n">
        <v>0.1</v>
      </c>
      <c r="F6199" s="607" t="n">
        <v>170</v>
      </c>
      <c r="G6199" s="716" t="n">
        <f aca="false">F6199*E6199</f>
        <v>17</v>
      </c>
      <c r="H6199" s="433"/>
    </row>
    <row r="6200" customFormat="false" ht="15" hidden="false" customHeight="false" outlineLevel="0" collapsed="false">
      <c r="A6200" s="571"/>
      <c r="B6200" s="433"/>
      <c r="C6200" s="872" t="s">
        <v>4347</v>
      </c>
      <c r="D6200" s="868" t="s">
        <v>4348</v>
      </c>
      <c r="E6200" s="869" t="n">
        <v>1</v>
      </c>
      <c r="F6200" s="871" t="n">
        <v>130</v>
      </c>
      <c r="G6200" s="716" t="n">
        <f aca="false">F6200*E6200</f>
        <v>130</v>
      </c>
      <c r="H6200" s="433"/>
    </row>
    <row r="6201" customFormat="false" ht="15" hidden="false" customHeight="false" outlineLevel="0" collapsed="false">
      <c r="A6201" s="571"/>
      <c r="B6201" s="433"/>
      <c r="C6201" s="532" t="s">
        <v>5239</v>
      </c>
      <c r="D6201" s="679" t="s">
        <v>4141</v>
      </c>
      <c r="E6201" s="866" t="n">
        <v>0.003</v>
      </c>
      <c r="F6201" s="681" t="n">
        <v>23500</v>
      </c>
      <c r="G6201" s="716" t="n">
        <f aca="false">F6201*E6201</f>
        <v>70.5</v>
      </c>
      <c r="H6201" s="433"/>
    </row>
    <row r="6202" customFormat="false" ht="15" hidden="false" customHeight="false" outlineLevel="0" collapsed="false">
      <c r="A6202" s="571"/>
      <c r="B6202" s="433"/>
      <c r="C6202" s="860" t="s">
        <v>4509</v>
      </c>
      <c r="D6202" s="877" t="s">
        <v>4348</v>
      </c>
      <c r="E6202" s="860" t="n">
        <v>1</v>
      </c>
      <c r="F6202" s="857" t="n">
        <v>26</v>
      </c>
      <c r="G6202" s="716" t="n">
        <f aca="false">F6202*E6202</f>
        <v>26</v>
      </c>
      <c r="H6202" s="433"/>
    </row>
    <row r="6203" customFormat="false" ht="15" hidden="false" customHeight="false" outlineLevel="0" collapsed="false">
      <c r="A6203" s="571"/>
      <c r="B6203" s="433"/>
      <c r="C6203" s="860" t="s">
        <v>4515</v>
      </c>
      <c r="D6203" s="877" t="s">
        <v>4133</v>
      </c>
      <c r="E6203" s="860" t="n">
        <v>0.0001</v>
      </c>
      <c r="F6203" s="857" t="n">
        <v>2700</v>
      </c>
      <c r="G6203" s="716" t="n">
        <f aca="false">F6203*E6203</f>
        <v>0.27</v>
      </c>
      <c r="H6203" s="433"/>
    </row>
    <row r="6204" customFormat="false" ht="15" hidden="false" customHeight="false" outlineLevel="0" collapsed="false">
      <c r="A6204" s="571" t="s">
        <v>1140</v>
      </c>
      <c r="B6204" s="433" t="s">
        <v>3309</v>
      </c>
      <c r="C6204" s="41"/>
      <c r="D6204" s="874"/>
      <c r="E6204" s="41"/>
      <c r="F6204" s="875"/>
      <c r="G6204" s="826" t="n">
        <f aca="false">SUM(G6205:G6217)</f>
        <v>11072.1555</v>
      </c>
      <c r="H6204" s="433" t="s">
        <v>5305</v>
      </c>
    </row>
    <row r="6205" customFormat="false" ht="15" hidden="false" customHeight="false" outlineLevel="0" collapsed="false">
      <c r="A6205" s="571"/>
      <c r="B6205" s="433"/>
      <c r="C6205" s="855" t="s">
        <v>4250</v>
      </c>
      <c r="D6205" s="316" t="s">
        <v>4359</v>
      </c>
      <c r="E6205" s="855" t="n">
        <v>0.2</v>
      </c>
      <c r="F6205" s="115" t="n">
        <v>42000</v>
      </c>
      <c r="G6205" s="615" t="n">
        <f aca="false">F6205*E6205</f>
        <v>8400</v>
      </c>
      <c r="H6205" s="433"/>
    </row>
    <row r="6206" customFormat="false" ht="15" hidden="false" customHeight="false" outlineLevel="0" collapsed="false">
      <c r="A6206" s="571"/>
      <c r="B6206" s="433"/>
      <c r="C6206" s="855" t="s">
        <v>5252</v>
      </c>
      <c r="D6206" s="316" t="s">
        <v>4133</v>
      </c>
      <c r="E6206" s="855" t="n">
        <v>0.001</v>
      </c>
      <c r="F6206" s="115" t="n">
        <v>19000</v>
      </c>
      <c r="G6206" s="615" t="n">
        <f aca="false">F6206*E6206</f>
        <v>19</v>
      </c>
      <c r="H6206" s="433"/>
    </row>
    <row r="6207" customFormat="false" ht="15" hidden="false" customHeight="false" outlineLevel="0" collapsed="false">
      <c r="A6207" s="571"/>
      <c r="B6207" s="433"/>
      <c r="C6207" s="860" t="s">
        <v>4154</v>
      </c>
      <c r="D6207" s="316" t="s">
        <v>4359</v>
      </c>
      <c r="E6207" s="855" t="n">
        <v>0.00147</v>
      </c>
      <c r="F6207" s="115" t="n">
        <v>18000</v>
      </c>
      <c r="G6207" s="615" t="n">
        <f aca="false">F6207*E6207</f>
        <v>26.46</v>
      </c>
      <c r="H6207" s="433"/>
    </row>
    <row r="6208" customFormat="false" ht="45" hidden="false" customHeight="false" outlineLevel="0" collapsed="false">
      <c r="A6208" s="571"/>
      <c r="B6208" s="433"/>
      <c r="C6208" s="860" t="s">
        <v>5253</v>
      </c>
      <c r="D6208" s="877" t="s">
        <v>4133</v>
      </c>
      <c r="E6208" s="855" t="n">
        <v>0.0001</v>
      </c>
      <c r="F6208" s="115" t="n">
        <v>41555</v>
      </c>
      <c r="G6208" s="615" t="n">
        <f aca="false">F6208*E6208</f>
        <v>4.1555</v>
      </c>
      <c r="H6208" s="433"/>
    </row>
    <row r="6209" customFormat="false" ht="15" hidden="false" customHeight="false" outlineLevel="0" collapsed="false">
      <c r="A6209" s="571"/>
      <c r="B6209" s="433"/>
      <c r="C6209" s="860" t="s">
        <v>4628</v>
      </c>
      <c r="D6209" s="877" t="s">
        <v>4133</v>
      </c>
      <c r="E6209" s="855" t="n">
        <v>0.003</v>
      </c>
      <c r="F6209" s="115" t="n">
        <v>18000</v>
      </c>
      <c r="G6209" s="615" t="n">
        <f aca="false">F6209*E6209</f>
        <v>54</v>
      </c>
      <c r="H6209" s="433"/>
    </row>
    <row r="6210" customFormat="false" ht="15" hidden="false" customHeight="false" outlineLevel="0" collapsed="false">
      <c r="A6210" s="571"/>
      <c r="B6210" s="433"/>
      <c r="C6210" s="878" t="s">
        <v>5260</v>
      </c>
      <c r="D6210" s="877" t="s">
        <v>4133</v>
      </c>
      <c r="E6210" s="855" t="n">
        <v>0.00136</v>
      </c>
      <c r="F6210" s="115" t="n">
        <v>24000</v>
      </c>
      <c r="G6210" s="615" t="n">
        <f aca="false">F6210*E6210</f>
        <v>32.64</v>
      </c>
      <c r="H6210" s="433"/>
    </row>
    <row r="6211" customFormat="false" ht="15" hidden="false" customHeight="false" outlineLevel="0" collapsed="false">
      <c r="A6211" s="571"/>
      <c r="B6211" s="433"/>
      <c r="C6211" s="532" t="s">
        <v>5240</v>
      </c>
      <c r="D6211" s="679" t="s">
        <v>4578</v>
      </c>
      <c r="E6211" s="858" t="n">
        <v>0.003</v>
      </c>
      <c r="F6211" s="617" t="n">
        <v>225000</v>
      </c>
      <c r="G6211" s="615" t="n">
        <f aca="false">F6211*E6211</f>
        <v>675</v>
      </c>
      <c r="H6211" s="433"/>
    </row>
    <row r="6212" customFormat="false" ht="15" hidden="false" customHeight="false" outlineLevel="0" collapsed="false">
      <c r="A6212" s="571"/>
      <c r="B6212" s="433"/>
      <c r="C6212" s="867" t="s">
        <v>4497</v>
      </c>
      <c r="D6212" s="868" t="s">
        <v>4348</v>
      </c>
      <c r="E6212" s="869" t="n">
        <v>0.003</v>
      </c>
      <c r="F6212" s="870" t="n">
        <v>550000</v>
      </c>
      <c r="G6212" s="615" t="n">
        <f aca="false">F6212*E6212</f>
        <v>1650</v>
      </c>
      <c r="H6212" s="433"/>
    </row>
    <row r="6213" customFormat="false" ht="15" hidden="false" customHeight="false" outlineLevel="0" collapsed="false">
      <c r="A6213" s="571"/>
      <c r="B6213" s="433"/>
      <c r="C6213" s="867" t="s">
        <v>4122</v>
      </c>
      <c r="D6213" s="868" t="s">
        <v>4123</v>
      </c>
      <c r="E6213" s="869" t="n">
        <v>0.01</v>
      </c>
      <c r="F6213" s="871" t="n">
        <v>720</v>
      </c>
      <c r="G6213" s="615" t="n">
        <f aca="false">F6213*E6213</f>
        <v>7.2</v>
      </c>
      <c r="H6213" s="433"/>
    </row>
    <row r="6214" customFormat="false" ht="15" hidden="false" customHeight="false" outlineLevel="0" collapsed="false">
      <c r="A6214" s="571"/>
      <c r="B6214" s="433"/>
      <c r="C6214" s="855" t="s">
        <v>5241</v>
      </c>
      <c r="D6214" s="868" t="s">
        <v>4121</v>
      </c>
      <c r="E6214" s="869" t="n">
        <v>0.001</v>
      </c>
      <c r="F6214" s="870" t="n">
        <v>1500</v>
      </c>
      <c r="G6214" s="615" t="n">
        <f aca="false">F6214*E6214</f>
        <v>1.5</v>
      </c>
      <c r="H6214" s="433"/>
    </row>
    <row r="6215" customFormat="false" ht="15" hidden="false" customHeight="false" outlineLevel="0" collapsed="false">
      <c r="A6215" s="571"/>
      <c r="B6215" s="433"/>
      <c r="C6215" s="532" t="s">
        <v>5239</v>
      </c>
      <c r="D6215" s="679" t="s">
        <v>4141</v>
      </c>
      <c r="E6215" s="866" t="n">
        <v>0.003</v>
      </c>
      <c r="F6215" s="681" t="n">
        <v>23500</v>
      </c>
      <c r="G6215" s="615" t="n">
        <f aca="false">F6215*E6215</f>
        <v>70.5</v>
      </c>
      <c r="H6215" s="433"/>
    </row>
    <row r="6216" customFormat="false" ht="15" hidden="false" customHeight="false" outlineLevel="0" collapsed="false">
      <c r="A6216" s="571"/>
      <c r="B6216" s="433"/>
      <c r="C6216" s="872" t="s">
        <v>4124</v>
      </c>
      <c r="D6216" s="868" t="s">
        <v>4125</v>
      </c>
      <c r="E6216" s="869" t="n">
        <v>0.01</v>
      </c>
      <c r="F6216" s="871" t="n">
        <v>170</v>
      </c>
      <c r="G6216" s="615" t="n">
        <f aca="false">F6216*E6216</f>
        <v>1.7</v>
      </c>
      <c r="H6216" s="433"/>
    </row>
    <row r="6217" customFormat="false" ht="15" hidden="false" customHeight="false" outlineLevel="0" collapsed="false">
      <c r="A6217" s="571"/>
      <c r="B6217" s="433"/>
      <c r="C6217" s="872" t="s">
        <v>4347</v>
      </c>
      <c r="D6217" s="868" t="s">
        <v>4348</v>
      </c>
      <c r="E6217" s="869" t="n">
        <v>1</v>
      </c>
      <c r="F6217" s="871" t="n">
        <v>130</v>
      </c>
      <c r="G6217" s="615" t="n">
        <f aca="false">F6217*E6217</f>
        <v>130</v>
      </c>
      <c r="H6217" s="433"/>
    </row>
    <row r="6218" customFormat="false" ht="15" hidden="false" customHeight="false" outlineLevel="0" collapsed="false">
      <c r="A6218" s="350" t="s">
        <v>5312</v>
      </c>
      <c r="B6218" s="346" t="s">
        <v>3339</v>
      </c>
      <c r="C6218" s="601"/>
      <c r="D6218" s="600"/>
      <c r="E6218" s="600"/>
      <c r="F6218" s="364"/>
      <c r="G6218" s="713"/>
      <c r="H6218" s="887"/>
    </row>
    <row r="6219" customFormat="false" ht="15" hidden="false" customHeight="false" outlineLevel="0" collapsed="false">
      <c r="A6219" s="571" t="s">
        <v>1143</v>
      </c>
      <c r="B6219" s="433" t="s">
        <v>3336</v>
      </c>
      <c r="C6219" s="476"/>
      <c r="D6219" s="820"/>
      <c r="E6219" s="820"/>
      <c r="F6219" s="697"/>
      <c r="G6219" s="826" t="n">
        <f aca="false">SUM(G6220:G6239)</f>
        <v>16559.9555</v>
      </c>
      <c r="H6219" s="433" t="s">
        <v>5305</v>
      </c>
    </row>
    <row r="6220" customFormat="false" ht="15" hidden="false" customHeight="false" outlineLevel="0" collapsed="false">
      <c r="A6220" s="380"/>
      <c r="B6220" s="433"/>
      <c r="C6220" s="860" t="s">
        <v>4250</v>
      </c>
      <c r="D6220" s="316" t="s">
        <v>4359</v>
      </c>
      <c r="E6220" s="855" t="n">
        <v>0.1</v>
      </c>
      <c r="F6220" s="115" t="n">
        <v>42000</v>
      </c>
      <c r="G6220" s="615" t="n">
        <f aca="false">F6220*E6220</f>
        <v>4200</v>
      </c>
      <c r="H6220" s="433"/>
    </row>
    <row r="6221" customFormat="false" ht="15" hidden="false" customHeight="false" outlineLevel="0" collapsed="false">
      <c r="A6221" s="707"/>
      <c r="B6221" s="433"/>
      <c r="C6221" s="855" t="s">
        <v>4604</v>
      </c>
      <c r="D6221" s="316" t="s">
        <v>4359</v>
      </c>
      <c r="E6221" s="855" t="n">
        <v>0.075</v>
      </c>
      <c r="F6221" s="115" t="n">
        <v>18000</v>
      </c>
      <c r="G6221" s="615" t="n">
        <f aca="false">F6221*E6221</f>
        <v>1350</v>
      </c>
      <c r="H6221" s="433"/>
    </row>
    <row r="6222" customFormat="false" ht="17.25" hidden="false" customHeight="true" outlineLevel="0" collapsed="false">
      <c r="A6222" s="571"/>
      <c r="B6222" s="433"/>
      <c r="C6222" s="855" t="s">
        <v>4205</v>
      </c>
      <c r="D6222" s="316" t="s">
        <v>4359</v>
      </c>
      <c r="E6222" s="855" t="n">
        <v>0.0375</v>
      </c>
      <c r="F6222" s="115" t="n">
        <v>14000</v>
      </c>
      <c r="G6222" s="615" t="n">
        <f aca="false">F6222*E6222</f>
        <v>525</v>
      </c>
      <c r="H6222" s="433"/>
    </row>
    <row r="6223" customFormat="false" ht="15" hidden="false" customHeight="false" outlineLevel="0" collapsed="false">
      <c r="A6223" s="571"/>
      <c r="B6223" s="433"/>
      <c r="C6223" s="855" t="s">
        <v>5252</v>
      </c>
      <c r="D6223" s="316" t="s">
        <v>4133</v>
      </c>
      <c r="E6223" s="855" t="n">
        <v>0.01</v>
      </c>
      <c r="F6223" s="115" t="n">
        <v>19000</v>
      </c>
      <c r="G6223" s="615" t="n">
        <f aca="false">F6223*E6223</f>
        <v>190</v>
      </c>
      <c r="H6223" s="433"/>
    </row>
    <row r="6224" customFormat="false" ht="15" hidden="false" customHeight="false" outlineLevel="0" collapsed="false">
      <c r="A6224" s="571"/>
      <c r="B6224" s="433"/>
      <c r="C6224" s="860" t="s">
        <v>4154</v>
      </c>
      <c r="D6224" s="316" t="s">
        <v>4359</v>
      </c>
      <c r="E6224" s="855" t="n">
        <v>0.147</v>
      </c>
      <c r="F6224" s="115" t="n">
        <v>18000</v>
      </c>
      <c r="G6224" s="615" t="n">
        <f aca="false">F6224*E6224</f>
        <v>2646</v>
      </c>
      <c r="H6224" s="433"/>
    </row>
    <row r="6225" customFormat="false" ht="15" hidden="false" customHeight="false" outlineLevel="0" collapsed="false">
      <c r="A6225" s="571"/>
      <c r="B6225" s="433"/>
      <c r="C6225" s="860" t="s">
        <v>4317</v>
      </c>
      <c r="D6225" s="877" t="s">
        <v>4359</v>
      </c>
      <c r="E6225" s="855" t="n">
        <v>0.15</v>
      </c>
      <c r="F6225" s="115" t="n">
        <v>21000</v>
      </c>
      <c r="G6225" s="615" t="n">
        <f aca="false">F6225*E6225</f>
        <v>3150</v>
      </c>
      <c r="H6225" s="433"/>
    </row>
    <row r="6226" customFormat="false" ht="15" hidden="false" customHeight="false" outlineLevel="0" collapsed="false">
      <c r="A6226" s="571"/>
      <c r="B6226" s="433"/>
      <c r="C6226" s="860" t="s">
        <v>4148</v>
      </c>
      <c r="D6226" s="877" t="s">
        <v>4133</v>
      </c>
      <c r="E6226" s="855" t="n">
        <v>0.037</v>
      </c>
      <c r="F6226" s="115" t="n">
        <v>2000</v>
      </c>
      <c r="G6226" s="615" t="n">
        <f aca="false">F6226*E6226</f>
        <v>74</v>
      </c>
      <c r="H6226" s="433"/>
    </row>
    <row r="6227" customFormat="false" ht="30" hidden="false" customHeight="false" outlineLevel="0" collapsed="false">
      <c r="A6227" s="571"/>
      <c r="B6227" s="433"/>
      <c r="C6227" s="532" t="s">
        <v>5238</v>
      </c>
      <c r="D6227" s="679" t="s">
        <v>4141</v>
      </c>
      <c r="E6227" s="819" t="n">
        <v>0.001</v>
      </c>
      <c r="F6227" s="617" t="n">
        <v>1400</v>
      </c>
      <c r="G6227" s="615" t="n">
        <f aca="false">F6227*E6227</f>
        <v>1.4</v>
      </c>
      <c r="H6227" s="433"/>
    </row>
    <row r="6228" customFormat="false" ht="30" hidden="false" customHeight="false" outlineLevel="0" collapsed="false">
      <c r="A6228" s="571"/>
      <c r="B6228" s="433"/>
      <c r="C6228" s="855" t="s">
        <v>5257</v>
      </c>
      <c r="D6228" s="316" t="s">
        <v>4133</v>
      </c>
      <c r="E6228" s="855" t="n">
        <v>0.01</v>
      </c>
      <c r="F6228" s="115" t="n">
        <v>56000</v>
      </c>
      <c r="G6228" s="615" t="n">
        <f aca="false">F6228*E6228</f>
        <v>560</v>
      </c>
      <c r="H6228" s="433"/>
    </row>
    <row r="6229" customFormat="false" ht="30" hidden="false" customHeight="false" outlineLevel="0" collapsed="false">
      <c r="A6229" s="571"/>
      <c r="B6229" s="433"/>
      <c r="C6229" s="855" t="s">
        <v>5258</v>
      </c>
      <c r="D6229" s="316" t="s">
        <v>4133</v>
      </c>
      <c r="E6229" s="855" t="n">
        <v>0.01</v>
      </c>
      <c r="F6229" s="115" t="n">
        <v>60200</v>
      </c>
      <c r="G6229" s="615" t="n">
        <f aca="false">F6229*E6229</f>
        <v>602</v>
      </c>
      <c r="H6229" s="433"/>
    </row>
    <row r="6230" customFormat="false" ht="45" hidden="false" customHeight="false" outlineLevel="0" collapsed="false">
      <c r="A6230" s="571"/>
      <c r="B6230" s="433"/>
      <c r="C6230" s="860" t="s">
        <v>5253</v>
      </c>
      <c r="D6230" s="877" t="s">
        <v>4133</v>
      </c>
      <c r="E6230" s="855" t="n">
        <v>0.0001</v>
      </c>
      <c r="F6230" s="115" t="n">
        <v>41555</v>
      </c>
      <c r="G6230" s="615" t="n">
        <f aca="false">F6230*E6230</f>
        <v>4.1555</v>
      </c>
      <c r="H6230" s="433"/>
    </row>
    <row r="6231" customFormat="false" ht="15" hidden="false" customHeight="false" outlineLevel="0" collapsed="false">
      <c r="A6231" s="571"/>
      <c r="B6231" s="433"/>
      <c r="C6231" s="860" t="s">
        <v>4628</v>
      </c>
      <c r="D6231" s="877" t="s">
        <v>4133</v>
      </c>
      <c r="E6231" s="855" t="n">
        <v>0.03</v>
      </c>
      <c r="F6231" s="115" t="n">
        <v>18000</v>
      </c>
      <c r="G6231" s="615" t="n">
        <f aca="false">F6231*E6231</f>
        <v>540</v>
      </c>
      <c r="H6231" s="433"/>
    </row>
    <row r="6232" customFormat="false" ht="15" hidden="false" customHeight="false" outlineLevel="0" collapsed="false">
      <c r="A6232" s="571"/>
      <c r="B6232" s="433"/>
      <c r="C6232" s="878" t="s">
        <v>5260</v>
      </c>
      <c r="D6232" s="877" t="s">
        <v>4133</v>
      </c>
      <c r="E6232" s="855" t="n">
        <v>0.0136</v>
      </c>
      <c r="F6232" s="115" t="n">
        <v>24000</v>
      </c>
      <c r="G6232" s="615" t="n">
        <f aca="false">F6232*E6232</f>
        <v>326.4</v>
      </c>
      <c r="H6232" s="433"/>
    </row>
    <row r="6233" customFormat="false" ht="15" hidden="false" customHeight="false" outlineLevel="0" collapsed="false">
      <c r="A6233" s="571"/>
      <c r="B6233" s="433"/>
      <c r="C6233" s="532" t="s">
        <v>5240</v>
      </c>
      <c r="D6233" s="679" t="s">
        <v>4578</v>
      </c>
      <c r="E6233" s="858" t="n">
        <v>0.002</v>
      </c>
      <c r="F6233" s="617" t="n">
        <v>225000</v>
      </c>
      <c r="G6233" s="615" t="n">
        <f aca="false">F6233*E6233</f>
        <v>450</v>
      </c>
      <c r="H6233" s="433"/>
    </row>
    <row r="6234" customFormat="false" ht="15" hidden="false" customHeight="false" outlineLevel="0" collapsed="false">
      <c r="A6234" s="571"/>
      <c r="B6234" s="433"/>
      <c r="C6234" s="867" t="s">
        <v>4497</v>
      </c>
      <c r="D6234" s="868" t="s">
        <v>4348</v>
      </c>
      <c r="E6234" s="603" t="n">
        <v>0.003</v>
      </c>
      <c r="F6234" s="604" t="n">
        <v>550000</v>
      </c>
      <c r="G6234" s="615" t="n">
        <f aca="false">F6234*E6234</f>
        <v>1650</v>
      </c>
      <c r="H6234" s="433"/>
    </row>
    <row r="6235" customFormat="false" ht="15" hidden="false" customHeight="false" outlineLevel="0" collapsed="false">
      <c r="A6235" s="571"/>
      <c r="B6235" s="433"/>
      <c r="C6235" s="867" t="s">
        <v>4122</v>
      </c>
      <c r="D6235" s="868" t="s">
        <v>4123</v>
      </c>
      <c r="E6235" s="709" t="n">
        <v>0.1</v>
      </c>
      <c r="F6235" s="886" t="n">
        <v>720</v>
      </c>
      <c r="G6235" s="615" t="n">
        <f aca="false">F6235*E6235</f>
        <v>72</v>
      </c>
      <c r="H6235" s="433"/>
    </row>
    <row r="6236" customFormat="false" ht="15" hidden="false" customHeight="false" outlineLevel="0" collapsed="false">
      <c r="A6236" s="571"/>
      <c r="B6236" s="433"/>
      <c r="C6236" s="855" t="s">
        <v>5241</v>
      </c>
      <c r="D6236" s="868" t="s">
        <v>4121</v>
      </c>
      <c r="E6236" s="869" t="n">
        <v>0.001</v>
      </c>
      <c r="F6236" s="870" t="n">
        <v>1500</v>
      </c>
      <c r="G6236" s="615" t="n">
        <f aca="false">F6236*E6236</f>
        <v>1.5</v>
      </c>
      <c r="H6236" s="433"/>
    </row>
    <row r="6237" customFormat="false" ht="15" hidden="false" customHeight="false" outlineLevel="0" collapsed="false">
      <c r="A6237" s="571"/>
      <c r="B6237" s="433"/>
      <c r="C6237" s="532" t="s">
        <v>5239</v>
      </c>
      <c r="D6237" s="679" t="s">
        <v>4141</v>
      </c>
      <c r="E6237" s="866" t="n">
        <v>0.003</v>
      </c>
      <c r="F6237" s="681" t="n">
        <v>23500</v>
      </c>
      <c r="G6237" s="615" t="n">
        <f aca="false">F6237*E6237</f>
        <v>70.5</v>
      </c>
      <c r="H6237" s="433"/>
    </row>
    <row r="6238" customFormat="false" ht="15" hidden="false" customHeight="false" outlineLevel="0" collapsed="false">
      <c r="A6238" s="571"/>
      <c r="B6238" s="433"/>
      <c r="C6238" s="872" t="s">
        <v>4124</v>
      </c>
      <c r="D6238" s="868" t="s">
        <v>4125</v>
      </c>
      <c r="E6238" s="869" t="n">
        <v>0.1</v>
      </c>
      <c r="F6238" s="871" t="n">
        <v>170</v>
      </c>
      <c r="G6238" s="615" t="n">
        <f aca="false">F6238*E6238</f>
        <v>17</v>
      </c>
      <c r="H6238" s="433"/>
    </row>
    <row r="6239" customFormat="false" ht="15" hidden="false" customHeight="false" outlineLevel="0" collapsed="false">
      <c r="A6239" s="571"/>
      <c r="B6239" s="433"/>
      <c r="C6239" s="872" t="s">
        <v>4347</v>
      </c>
      <c r="D6239" s="868" t="s">
        <v>4348</v>
      </c>
      <c r="E6239" s="603" t="n">
        <v>1</v>
      </c>
      <c r="F6239" s="607" t="n">
        <v>130</v>
      </c>
      <c r="G6239" s="615" t="n">
        <f aca="false">F6239*E6239</f>
        <v>130</v>
      </c>
      <c r="H6239" s="433"/>
    </row>
    <row r="6240" customFormat="false" ht="15" hidden="false" customHeight="false" outlineLevel="0" collapsed="false">
      <c r="A6240" s="571" t="s">
        <v>1144</v>
      </c>
      <c r="B6240" s="433" t="s">
        <v>3310</v>
      </c>
      <c r="C6240" s="41"/>
      <c r="D6240" s="874"/>
      <c r="E6240" s="41"/>
      <c r="F6240" s="875"/>
      <c r="G6240" s="826" t="n">
        <f aca="false">SUM(G6241:G6261)</f>
        <v>20263.993</v>
      </c>
      <c r="H6240" s="433" t="s">
        <v>5259</v>
      </c>
    </row>
    <row r="6241" customFormat="false" ht="15" hidden="false" customHeight="false" outlineLevel="0" collapsed="false">
      <c r="A6241" s="571"/>
      <c r="B6241" s="433"/>
      <c r="C6241" s="21" t="s">
        <v>4317</v>
      </c>
      <c r="D6241" s="877" t="s">
        <v>4359</v>
      </c>
      <c r="E6241" s="855" t="n">
        <v>0.15</v>
      </c>
      <c r="F6241" s="115" t="n">
        <v>21000</v>
      </c>
      <c r="G6241" s="716" t="n">
        <f aca="false">F6241*E6241</f>
        <v>3150</v>
      </c>
      <c r="H6241" s="433"/>
    </row>
    <row r="6242" customFormat="false" ht="15" hidden="false" customHeight="false" outlineLevel="0" collapsed="false">
      <c r="A6242" s="571"/>
      <c r="B6242" s="433"/>
      <c r="C6242" s="860" t="s">
        <v>5228</v>
      </c>
      <c r="D6242" s="316" t="s">
        <v>4133</v>
      </c>
      <c r="E6242" s="855" t="n">
        <v>0.01</v>
      </c>
      <c r="F6242" s="115" t="n">
        <v>19000</v>
      </c>
      <c r="G6242" s="716" t="n">
        <f aca="false">F6242*E6242</f>
        <v>190</v>
      </c>
      <c r="H6242" s="433"/>
    </row>
    <row r="6243" customFormat="false" ht="15" hidden="false" customHeight="false" outlineLevel="0" collapsed="false">
      <c r="A6243" s="571"/>
      <c r="B6243" s="433"/>
      <c r="C6243" s="878" t="s">
        <v>4154</v>
      </c>
      <c r="D6243" s="877" t="s">
        <v>4359</v>
      </c>
      <c r="E6243" s="855" t="n">
        <v>0.0051</v>
      </c>
      <c r="F6243" s="115" t="n">
        <v>18000</v>
      </c>
      <c r="G6243" s="716" t="n">
        <f aca="false">F6243*E6243</f>
        <v>91.8</v>
      </c>
      <c r="H6243" s="433"/>
    </row>
    <row r="6244" customFormat="false" ht="15" hidden="false" customHeight="false" outlineLevel="0" collapsed="false">
      <c r="A6244" s="571"/>
      <c r="B6244" s="433"/>
      <c r="C6244" s="878" t="s">
        <v>5260</v>
      </c>
      <c r="D6244" s="877" t="s">
        <v>4133</v>
      </c>
      <c r="E6244" s="855" t="n">
        <v>0.00136</v>
      </c>
      <c r="F6244" s="115" t="n">
        <v>24000</v>
      </c>
      <c r="G6244" s="716" t="n">
        <f aca="false">F6244*E6244</f>
        <v>32.64</v>
      </c>
      <c r="H6244" s="433"/>
    </row>
    <row r="6245" customFormat="false" ht="15" hidden="false" customHeight="false" outlineLevel="0" collapsed="false">
      <c r="A6245" s="571"/>
      <c r="B6245" s="433"/>
      <c r="C6245" s="532" t="s">
        <v>4251</v>
      </c>
      <c r="D6245" s="679" t="s">
        <v>4578</v>
      </c>
      <c r="E6245" s="858" t="n">
        <v>0.002</v>
      </c>
      <c r="F6245" s="617" t="n">
        <v>275000</v>
      </c>
      <c r="G6245" s="716" t="n">
        <f aca="false">F6245*E6245</f>
        <v>550</v>
      </c>
      <c r="H6245" s="433"/>
    </row>
    <row r="6246" customFormat="false" ht="15" hidden="false" customHeight="false" outlineLevel="0" collapsed="false">
      <c r="A6246" s="571"/>
      <c r="B6246" s="433"/>
      <c r="C6246" s="532" t="s">
        <v>5279</v>
      </c>
      <c r="D6246" s="679" t="s">
        <v>4359</v>
      </c>
      <c r="E6246" s="627" t="n">
        <v>0.2</v>
      </c>
      <c r="F6246" s="617" t="n">
        <v>21000</v>
      </c>
      <c r="G6246" s="716" t="n">
        <f aca="false">F6246*E6246</f>
        <v>4200</v>
      </c>
      <c r="H6246" s="433"/>
    </row>
    <row r="6247" customFormat="false" ht="15" hidden="false" customHeight="false" outlineLevel="0" collapsed="false">
      <c r="A6247" s="571"/>
      <c r="B6247" s="433"/>
      <c r="C6247" s="532" t="s">
        <v>4205</v>
      </c>
      <c r="D6247" s="679" t="s">
        <v>4359</v>
      </c>
      <c r="E6247" s="627" t="n">
        <v>0.085</v>
      </c>
      <c r="F6247" s="617" t="n">
        <v>14000</v>
      </c>
      <c r="G6247" s="716" t="n">
        <f aca="false">F6247*E6247</f>
        <v>1190</v>
      </c>
      <c r="H6247" s="433"/>
    </row>
    <row r="6248" customFormat="false" ht="15" hidden="false" customHeight="false" outlineLevel="0" collapsed="false">
      <c r="A6248" s="571"/>
      <c r="B6248" s="433"/>
      <c r="C6248" s="21" t="s">
        <v>4250</v>
      </c>
      <c r="D6248" s="316" t="s">
        <v>4359</v>
      </c>
      <c r="E6248" s="627" t="n">
        <v>0.1</v>
      </c>
      <c r="F6248" s="617" t="n">
        <v>42000</v>
      </c>
      <c r="G6248" s="716" t="n">
        <f aca="false">F6248*E6248</f>
        <v>4200</v>
      </c>
      <c r="H6248" s="433"/>
    </row>
    <row r="6249" customFormat="false" ht="30" hidden="false" customHeight="false" outlineLevel="0" collapsed="false">
      <c r="A6249" s="571"/>
      <c r="B6249" s="433"/>
      <c r="C6249" s="532" t="s">
        <v>5238</v>
      </c>
      <c r="D6249" s="679" t="s">
        <v>4141</v>
      </c>
      <c r="E6249" s="858" t="n">
        <v>0.001</v>
      </c>
      <c r="F6249" s="617" t="n">
        <v>1400</v>
      </c>
      <c r="G6249" s="716" t="n">
        <f aca="false">F6249*E6249</f>
        <v>1.4</v>
      </c>
      <c r="H6249" s="433"/>
    </row>
    <row r="6250" customFormat="false" ht="30" hidden="false" customHeight="false" outlineLevel="0" collapsed="false">
      <c r="A6250" s="571"/>
      <c r="B6250" s="433"/>
      <c r="C6250" s="860" t="s">
        <v>5261</v>
      </c>
      <c r="D6250" s="877" t="s">
        <v>4133</v>
      </c>
      <c r="E6250" s="855" t="n">
        <v>0.0001</v>
      </c>
      <c r="F6250" s="115" t="n">
        <v>53760</v>
      </c>
      <c r="G6250" s="716" t="n">
        <f aca="false">F6250*E6250</f>
        <v>5.376</v>
      </c>
      <c r="H6250" s="433"/>
    </row>
    <row r="6251" customFormat="false" ht="15" hidden="false" customHeight="false" outlineLevel="0" collapsed="false">
      <c r="A6251" s="571"/>
      <c r="B6251" s="433"/>
      <c r="C6251" s="21" t="s">
        <v>5007</v>
      </c>
      <c r="D6251" s="877" t="s">
        <v>4133</v>
      </c>
      <c r="E6251" s="855" t="n">
        <v>0.0175</v>
      </c>
      <c r="F6251" s="115" t="n">
        <v>42000</v>
      </c>
      <c r="G6251" s="716" t="n">
        <f aca="false">F6251*E6251</f>
        <v>735</v>
      </c>
      <c r="H6251" s="433"/>
    </row>
    <row r="6252" customFormat="false" ht="15" hidden="false" customHeight="false" outlineLevel="0" collapsed="false">
      <c r="A6252" s="571"/>
      <c r="B6252" s="433"/>
      <c r="C6252" s="878" t="s">
        <v>4604</v>
      </c>
      <c r="D6252" s="877" t="s">
        <v>4359</v>
      </c>
      <c r="E6252" s="855" t="n">
        <v>0.21</v>
      </c>
      <c r="F6252" s="115" t="n">
        <v>18000</v>
      </c>
      <c r="G6252" s="716" t="n">
        <f aca="false">F6252*E6252</f>
        <v>3780</v>
      </c>
      <c r="H6252" s="433"/>
    </row>
    <row r="6253" customFormat="false" ht="15" hidden="false" customHeight="false" outlineLevel="0" collapsed="false">
      <c r="A6253" s="571"/>
      <c r="B6253" s="433"/>
      <c r="C6253" s="861" t="s">
        <v>4673</v>
      </c>
      <c r="D6253" s="877" t="s">
        <v>4133</v>
      </c>
      <c r="E6253" s="855" t="n">
        <v>0.001</v>
      </c>
      <c r="F6253" s="115" t="n">
        <v>106777</v>
      </c>
      <c r="G6253" s="716" t="n">
        <f aca="false">F6253*E6253</f>
        <v>106.777</v>
      </c>
      <c r="H6253" s="433"/>
    </row>
    <row r="6254" customFormat="false" ht="15" hidden="false" customHeight="false" outlineLevel="0" collapsed="false">
      <c r="A6254" s="571"/>
      <c r="B6254" s="433"/>
      <c r="C6254" s="878" t="s">
        <v>4158</v>
      </c>
      <c r="D6254" s="877" t="s">
        <v>4133</v>
      </c>
      <c r="E6254" s="855" t="n">
        <v>0.01</v>
      </c>
      <c r="F6254" s="115" t="n">
        <v>6400</v>
      </c>
      <c r="G6254" s="716" t="n">
        <f aca="false">F6254*E6254</f>
        <v>64</v>
      </c>
      <c r="H6254" s="433"/>
    </row>
    <row r="6255" customFormat="false" ht="15" hidden="false" customHeight="false" outlineLevel="0" collapsed="false">
      <c r="A6255" s="571"/>
      <c r="B6255" s="433"/>
      <c r="C6255" s="867" t="s">
        <v>4497</v>
      </c>
      <c r="D6255" s="868" t="s">
        <v>4348</v>
      </c>
      <c r="E6255" s="603" t="n">
        <v>0.003</v>
      </c>
      <c r="F6255" s="604" t="n">
        <v>550000</v>
      </c>
      <c r="G6255" s="716" t="n">
        <f aca="false">F6255*E6255</f>
        <v>1650</v>
      </c>
      <c r="H6255" s="433"/>
    </row>
    <row r="6256" customFormat="false" ht="15" hidden="false" customHeight="false" outlineLevel="0" collapsed="false">
      <c r="A6256" s="571"/>
      <c r="B6256" s="433"/>
      <c r="C6256" s="867" t="s">
        <v>4122</v>
      </c>
      <c r="D6256" s="868" t="s">
        <v>4123</v>
      </c>
      <c r="E6256" s="603" t="n">
        <v>0.1</v>
      </c>
      <c r="F6256" s="607" t="n">
        <v>720</v>
      </c>
      <c r="G6256" s="716" t="n">
        <f aca="false">F6256*E6256</f>
        <v>72</v>
      </c>
      <c r="H6256" s="433"/>
    </row>
    <row r="6257" customFormat="false" ht="15.75" hidden="false" customHeight="true" outlineLevel="0" collapsed="false">
      <c r="A6257" s="571"/>
      <c r="B6257" s="433"/>
      <c r="C6257" s="855" t="s">
        <v>5241</v>
      </c>
      <c r="D6257" s="868" t="s">
        <v>4121</v>
      </c>
      <c r="E6257" s="869" t="n">
        <v>0.001</v>
      </c>
      <c r="F6257" s="870" t="n">
        <v>1500</v>
      </c>
      <c r="G6257" s="716" t="n">
        <f aca="false">F6257*E6257</f>
        <v>1.5</v>
      </c>
      <c r="H6257" s="433"/>
    </row>
    <row r="6258" customFormat="false" ht="15" hidden="false" customHeight="false" outlineLevel="0" collapsed="false">
      <c r="A6258" s="571"/>
      <c r="B6258" s="433"/>
      <c r="C6258" s="872" t="s">
        <v>4124</v>
      </c>
      <c r="D6258" s="868" t="s">
        <v>4125</v>
      </c>
      <c r="E6258" s="869" t="n">
        <v>0.1</v>
      </c>
      <c r="F6258" s="871" t="n">
        <v>170</v>
      </c>
      <c r="G6258" s="716" t="n">
        <f aca="false">F6258*E6258</f>
        <v>17</v>
      </c>
      <c r="H6258" s="433"/>
    </row>
    <row r="6259" customFormat="false" ht="15" hidden="false" customHeight="false" outlineLevel="0" collapsed="false">
      <c r="A6259" s="571"/>
      <c r="B6259" s="433"/>
      <c r="C6259" s="532" t="s">
        <v>5239</v>
      </c>
      <c r="D6259" s="679" t="s">
        <v>4141</v>
      </c>
      <c r="E6259" s="866" t="n">
        <v>0.003</v>
      </c>
      <c r="F6259" s="681" t="n">
        <v>23500</v>
      </c>
      <c r="G6259" s="716" t="n">
        <f aca="false">F6259*E6259</f>
        <v>70.5</v>
      </c>
      <c r="H6259" s="433"/>
    </row>
    <row r="6260" customFormat="false" ht="15" hidden="false" customHeight="false" outlineLevel="0" collapsed="false">
      <c r="A6260" s="571"/>
      <c r="B6260" s="433"/>
      <c r="C6260" s="872" t="s">
        <v>4347</v>
      </c>
      <c r="D6260" s="868" t="s">
        <v>4348</v>
      </c>
      <c r="E6260" s="869" t="n">
        <v>1</v>
      </c>
      <c r="F6260" s="871" t="n">
        <v>130</v>
      </c>
      <c r="G6260" s="716" t="n">
        <f aca="false">F6260*E6260</f>
        <v>130</v>
      </c>
      <c r="H6260" s="433"/>
    </row>
    <row r="6261" customFormat="false" ht="15" hidden="false" customHeight="false" outlineLevel="0" collapsed="false">
      <c r="A6261" s="571"/>
      <c r="B6261" s="433"/>
      <c r="C6261" s="860" t="s">
        <v>4509</v>
      </c>
      <c r="D6261" s="877" t="s">
        <v>4348</v>
      </c>
      <c r="E6261" s="860" t="n">
        <v>1</v>
      </c>
      <c r="F6261" s="857" t="n">
        <v>26</v>
      </c>
      <c r="G6261" s="716" t="n">
        <f aca="false">F6261*E6261</f>
        <v>26</v>
      </c>
      <c r="H6261" s="433"/>
    </row>
    <row r="6262" customFormat="false" ht="45" hidden="false" customHeight="false" outlineLevel="0" collapsed="false">
      <c r="A6262" s="571" t="s">
        <v>1145</v>
      </c>
      <c r="B6262" s="488" t="s">
        <v>3330</v>
      </c>
      <c r="C6262" s="41"/>
      <c r="D6262" s="874"/>
      <c r="E6262" s="41"/>
      <c r="F6262" s="875"/>
      <c r="G6262" s="826" t="n">
        <f aca="false">SUM(G6263:G6287)</f>
        <v>22888.59</v>
      </c>
      <c r="H6262" s="433" t="s">
        <v>5285</v>
      </c>
    </row>
    <row r="6263" customFormat="false" ht="15" hidden="false" customHeight="false" outlineLevel="0" collapsed="false">
      <c r="A6263" s="571"/>
      <c r="B6263" s="433"/>
      <c r="C6263" s="21" t="s">
        <v>4604</v>
      </c>
      <c r="D6263" s="877" t="s">
        <v>4359</v>
      </c>
      <c r="E6263" s="860" t="n">
        <v>0.105</v>
      </c>
      <c r="F6263" s="115" t="n">
        <v>18000</v>
      </c>
      <c r="G6263" s="716" t="n">
        <f aca="false">F6263*E6263</f>
        <v>1890</v>
      </c>
      <c r="H6263" s="433"/>
    </row>
    <row r="6264" customFormat="false" ht="15" hidden="false" customHeight="false" outlineLevel="0" collapsed="false">
      <c r="A6264" s="571"/>
      <c r="B6264" s="433"/>
      <c r="C6264" s="878" t="s">
        <v>5260</v>
      </c>
      <c r="D6264" s="877" t="s">
        <v>4133</v>
      </c>
      <c r="E6264" s="860" t="n">
        <v>0.00228</v>
      </c>
      <c r="F6264" s="115" t="n">
        <v>24000</v>
      </c>
      <c r="G6264" s="716" t="n">
        <f aca="false">F6264*E6264</f>
        <v>54.72</v>
      </c>
      <c r="H6264" s="433"/>
    </row>
    <row r="6265" customFormat="false" ht="15" hidden="false" customHeight="false" outlineLevel="0" collapsed="false">
      <c r="A6265" s="571"/>
      <c r="B6265" s="433"/>
      <c r="C6265" s="881" t="s">
        <v>4266</v>
      </c>
      <c r="D6265" s="882" t="s">
        <v>4133</v>
      </c>
      <c r="E6265" s="614" t="n">
        <v>0.005</v>
      </c>
      <c r="F6265" s="883" t="n">
        <v>24000</v>
      </c>
      <c r="G6265" s="716" t="n">
        <f aca="false">F6265*E6265</f>
        <v>120</v>
      </c>
      <c r="H6265" s="433"/>
    </row>
    <row r="6266" customFormat="false" ht="30" hidden="false" customHeight="false" outlineLevel="0" collapsed="false">
      <c r="A6266" s="571"/>
      <c r="B6266" s="900"/>
      <c r="C6266" s="532" t="s">
        <v>5238</v>
      </c>
      <c r="D6266" s="679" t="s">
        <v>4141</v>
      </c>
      <c r="E6266" s="866" t="n">
        <v>0.001</v>
      </c>
      <c r="F6266" s="617" t="n">
        <v>1400</v>
      </c>
      <c r="G6266" s="716" t="n">
        <f aca="false">F6266*E6266</f>
        <v>1.4</v>
      </c>
      <c r="H6266" s="433"/>
    </row>
    <row r="6267" customFormat="false" ht="15" hidden="false" customHeight="false" outlineLevel="0" collapsed="false">
      <c r="A6267" s="571"/>
      <c r="B6267" s="433"/>
      <c r="C6267" s="41" t="s">
        <v>4758</v>
      </c>
      <c r="D6267" s="316" t="s">
        <v>4359</v>
      </c>
      <c r="E6267" s="855" t="n">
        <v>0.007</v>
      </c>
      <c r="F6267" s="115" t="n">
        <v>14000</v>
      </c>
      <c r="G6267" s="716" t="n">
        <f aca="false">F6267*E6267</f>
        <v>98</v>
      </c>
      <c r="H6267" s="433"/>
    </row>
    <row r="6268" customFormat="false" ht="15" hidden="false" customHeight="false" outlineLevel="0" collapsed="false">
      <c r="A6268" s="571"/>
      <c r="B6268" s="433"/>
      <c r="C6268" s="21" t="s">
        <v>4317</v>
      </c>
      <c r="D6268" s="877" t="s">
        <v>4359</v>
      </c>
      <c r="E6268" s="860" t="n">
        <v>0.15</v>
      </c>
      <c r="F6268" s="115" t="n">
        <v>21000</v>
      </c>
      <c r="G6268" s="716" t="n">
        <f aca="false">F6268*E6268</f>
        <v>3150</v>
      </c>
      <c r="H6268" s="433"/>
    </row>
    <row r="6269" customFormat="false" ht="15" hidden="false" customHeight="false" outlineLevel="0" collapsed="false">
      <c r="A6269" s="571"/>
      <c r="B6269" s="433"/>
      <c r="C6269" s="855" t="s">
        <v>4216</v>
      </c>
      <c r="D6269" s="316" t="s">
        <v>4133</v>
      </c>
      <c r="E6269" s="855" t="n">
        <v>0.012</v>
      </c>
      <c r="F6269" s="115" t="n">
        <v>18000</v>
      </c>
      <c r="G6269" s="716" t="n">
        <f aca="false">F6269*E6269</f>
        <v>216</v>
      </c>
      <c r="H6269" s="433"/>
    </row>
    <row r="6270" customFormat="false" ht="15" hidden="false" customHeight="false" outlineLevel="0" collapsed="false">
      <c r="A6270" s="571"/>
      <c r="B6270" s="433"/>
      <c r="C6270" s="21" t="s">
        <v>4250</v>
      </c>
      <c r="D6270" s="877" t="s">
        <v>4359</v>
      </c>
      <c r="E6270" s="860" t="n">
        <v>0.2</v>
      </c>
      <c r="F6270" s="115" t="n">
        <v>42000</v>
      </c>
      <c r="G6270" s="716" t="n">
        <f aca="false">F6270*E6270</f>
        <v>8400</v>
      </c>
      <c r="H6270" s="433"/>
    </row>
    <row r="6271" customFormat="false" ht="15" hidden="false" customHeight="false" outlineLevel="0" collapsed="false">
      <c r="A6271" s="571"/>
      <c r="B6271" s="433"/>
      <c r="C6271" s="860" t="s">
        <v>5279</v>
      </c>
      <c r="D6271" s="877" t="s">
        <v>4359</v>
      </c>
      <c r="E6271" s="860" t="n">
        <v>0.2</v>
      </c>
      <c r="F6271" s="115" t="n">
        <v>21000</v>
      </c>
      <c r="G6271" s="716" t="n">
        <f aca="false">F6271*E6271</f>
        <v>4200</v>
      </c>
      <c r="H6271" s="433"/>
    </row>
    <row r="6272" customFormat="false" ht="15" hidden="false" customHeight="false" outlineLevel="0" collapsed="false">
      <c r="A6272" s="571"/>
      <c r="B6272" s="433"/>
      <c r="C6272" s="855" t="s">
        <v>4205</v>
      </c>
      <c r="D6272" s="316" t="s">
        <v>4359</v>
      </c>
      <c r="E6272" s="855" t="n">
        <v>0.085</v>
      </c>
      <c r="F6272" s="115" t="n">
        <v>14000</v>
      </c>
      <c r="G6272" s="716" t="n">
        <f aca="false">F6272*E6272</f>
        <v>1190</v>
      </c>
      <c r="H6272" s="433"/>
    </row>
    <row r="6273" customFormat="false" ht="15" hidden="false" customHeight="false" outlineLevel="0" collapsed="false">
      <c r="A6273" s="571"/>
      <c r="B6273" s="433"/>
      <c r="C6273" s="860" t="s">
        <v>4147</v>
      </c>
      <c r="D6273" s="877" t="s">
        <v>4359</v>
      </c>
      <c r="E6273" s="860" t="n">
        <v>0.001</v>
      </c>
      <c r="F6273" s="115" t="n">
        <v>18000</v>
      </c>
      <c r="G6273" s="716" t="n">
        <f aca="false">F6273*E6273</f>
        <v>18</v>
      </c>
      <c r="H6273" s="433"/>
    </row>
    <row r="6274" customFormat="false" ht="15" hidden="false" customHeight="false" outlineLevel="0" collapsed="false">
      <c r="A6274" s="571"/>
      <c r="B6274" s="433"/>
      <c r="C6274" s="860" t="s">
        <v>5228</v>
      </c>
      <c r="D6274" s="316" t="s">
        <v>4133</v>
      </c>
      <c r="E6274" s="860" t="n">
        <v>0.02</v>
      </c>
      <c r="F6274" s="115" t="n">
        <v>19000</v>
      </c>
      <c r="G6274" s="716" t="n">
        <f aca="false">F6274*E6274</f>
        <v>380</v>
      </c>
      <c r="H6274" s="433"/>
    </row>
    <row r="6275" customFormat="false" ht="15" hidden="false" customHeight="false" outlineLevel="0" collapsed="false">
      <c r="A6275" s="571"/>
      <c r="B6275" s="433"/>
      <c r="C6275" s="860" t="s">
        <v>4158</v>
      </c>
      <c r="D6275" s="877" t="s">
        <v>4133</v>
      </c>
      <c r="E6275" s="860" t="n">
        <v>0.003</v>
      </c>
      <c r="F6275" s="115" t="n">
        <v>6400</v>
      </c>
      <c r="G6275" s="716" t="n">
        <f aca="false">F6275*E6275</f>
        <v>19.2</v>
      </c>
      <c r="H6275" s="433"/>
    </row>
    <row r="6276" customFormat="false" ht="15" hidden="false" customHeight="false" outlineLevel="0" collapsed="false">
      <c r="A6276" s="571"/>
      <c r="B6276" s="433"/>
      <c r="C6276" s="860" t="s">
        <v>5091</v>
      </c>
      <c r="D6276" s="877" t="s">
        <v>4359</v>
      </c>
      <c r="E6276" s="860" t="n">
        <v>0.01</v>
      </c>
      <c r="F6276" s="115" t="n">
        <v>18000</v>
      </c>
      <c r="G6276" s="716" t="n">
        <f aca="false">F6276*E6276</f>
        <v>180</v>
      </c>
      <c r="H6276" s="433"/>
    </row>
    <row r="6277" customFormat="false" ht="15" hidden="false" customHeight="false" outlineLevel="0" collapsed="false">
      <c r="A6277" s="571"/>
      <c r="B6277" s="433"/>
      <c r="C6277" s="860" t="s">
        <v>5263</v>
      </c>
      <c r="D6277" s="877" t="s">
        <v>4133</v>
      </c>
      <c r="E6277" s="860" t="n">
        <v>0.0001</v>
      </c>
      <c r="F6277" s="115" t="n">
        <v>40000</v>
      </c>
      <c r="G6277" s="716" t="n">
        <f aca="false">F6277*E6277</f>
        <v>4</v>
      </c>
      <c r="H6277" s="433"/>
    </row>
    <row r="6278" customFormat="false" ht="15" hidden="false" customHeight="false" outlineLevel="0" collapsed="false">
      <c r="A6278" s="571"/>
      <c r="B6278" s="433"/>
      <c r="C6278" s="532" t="s">
        <v>5240</v>
      </c>
      <c r="D6278" s="679" t="s">
        <v>4578</v>
      </c>
      <c r="E6278" s="866" t="n">
        <v>0.002</v>
      </c>
      <c r="F6278" s="617" t="n">
        <v>225000</v>
      </c>
      <c r="G6278" s="716" t="n">
        <f aca="false">F6278*E6278</f>
        <v>450</v>
      </c>
      <c r="H6278" s="433"/>
    </row>
    <row r="6279" customFormat="false" ht="15" hidden="false" customHeight="false" outlineLevel="0" collapsed="false">
      <c r="A6279" s="571"/>
      <c r="B6279" s="433"/>
      <c r="C6279" s="532" t="s">
        <v>4251</v>
      </c>
      <c r="D6279" s="679" t="s">
        <v>4578</v>
      </c>
      <c r="E6279" s="866" t="n">
        <v>0.002</v>
      </c>
      <c r="F6279" s="617" t="n">
        <v>275000</v>
      </c>
      <c r="G6279" s="716" t="n">
        <f aca="false">F6279*E6279</f>
        <v>550</v>
      </c>
      <c r="H6279" s="433"/>
    </row>
    <row r="6280" customFormat="false" ht="15" hidden="false" customHeight="false" outlineLevel="0" collapsed="false">
      <c r="A6280" s="571"/>
      <c r="B6280" s="433"/>
      <c r="C6280" s="867" t="s">
        <v>4497</v>
      </c>
      <c r="D6280" s="868" t="s">
        <v>4348</v>
      </c>
      <c r="E6280" s="869" t="n">
        <v>0.003</v>
      </c>
      <c r="F6280" s="604" t="n">
        <v>550000</v>
      </c>
      <c r="G6280" s="716" t="n">
        <f aca="false">F6280*E6280</f>
        <v>1650</v>
      </c>
      <c r="H6280" s="433"/>
    </row>
    <row r="6281" customFormat="false" ht="15" hidden="false" customHeight="false" outlineLevel="0" collapsed="false">
      <c r="A6281" s="571"/>
      <c r="B6281" s="433"/>
      <c r="C6281" s="867" t="s">
        <v>4122</v>
      </c>
      <c r="D6281" s="868" t="s">
        <v>4123</v>
      </c>
      <c r="E6281" s="869" t="n">
        <v>0.1</v>
      </c>
      <c r="F6281" s="607" t="n">
        <v>720</v>
      </c>
      <c r="G6281" s="716" t="n">
        <f aca="false">F6281*E6281</f>
        <v>72</v>
      </c>
      <c r="H6281" s="433"/>
    </row>
    <row r="6282" customFormat="false" ht="15" hidden="false" customHeight="false" outlineLevel="0" collapsed="false">
      <c r="A6282" s="571"/>
      <c r="B6282" s="433"/>
      <c r="C6282" s="860" t="s">
        <v>5241</v>
      </c>
      <c r="D6282" s="868" t="s">
        <v>4121</v>
      </c>
      <c r="E6282" s="869" t="n">
        <v>0.001</v>
      </c>
      <c r="F6282" s="604" t="n">
        <v>1500</v>
      </c>
      <c r="G6282" s="716" t="n">
        <f aca="false">F6282*E6282</f>
        <v>1.5</v>
      </c>
      <c r="H6282" s="433"/>
    </row>
    <row r="6283" customFormat="false" ht="15" hidden="false" customHeight="false" outlineLevel="0" collapsed="false">
      <c r="A6283" s="571"/>
      <c r="B6283" s="433"/>
      <c r="C6283" s="872" t="s">
        <v>4124</v>
      </c>
      <c r="D6283" s="868" t="s">
        <v>4125</v>
      </c>
      <c r="E6283" s="869" t="n">
        <v>0.1</v>
      </c>
      <c r="F6283" s="607" t="n">
        <v>170</v>
      </c>
      <c r="G6283" s="716" t="n">
        <f aca="false">F6283*E6283</f>
        <v>17</v>
      </c>
      <c r="H6283" s="433"/>
    </row>
    <row r="6284" customFormat="false" ht="15" hidden="false" customHeight="false" outlineLevel="0" collapsed="false">
      <c r="A6284" s="571"/>
      <c r="B6284" s="433"/>
      <c r="C6284" s="872" t="s">
        <v>4347</v>
      </c>
      <c r="D6284" s="868" t="s">
        <v>4348</v>
      </c>
      <c r="E6284" s="869" t="n">
        <v>1</v>
      </c>
      <c r="F6284" s="607" t="n">
        <v>130</v>
      </c>
      <c r="G6284" s="716" t="n">
        <f aca="false">F6284*E6284</f>
        <v>130</v>
      </c>
      <c r="H6284" s="433"/>
    </row>
    <row r="6285" customFormat="false" ht="15" hidden="false" customHeight="false" outlineLevel="0" collapsed="false">
      <c r="A6285" s="571"/>
      <c r="B6285" s="433"/>
      <c r="C6285" s="532" t="s">
        <v>5239</v>
      </c>
      <c r="D6285" s="679" t="s">
        <v>4141</v>
      </c>
      <c r="E6285" s="866" t="n">
        <v>0.003</v>
      </c>
      <c r="F6285" s="617" t="n">
        <v>23500</v>
      </c>
      <c r="G6285" s="716" t="n">
        <f aca="false">F6285*E6285</f>
        <v>70.5</v>
      </c>
      <c r="H6285" s="433"/>
    </row>
    <row r="6286" customFormat="false" ht="15" hidden="false" customHeight="false" outlineLevel="0" collapsed="false">
      <c r="A6286" s="571"/>
      <c r="B6286" s="433"/>
      <c r="C6286" s="860" t="s">
        <v>4509</v>
      </c>
      <c r="D6286" s="877" t="s">
        <v>4348</v>
      </c>
      <c r="E6286" s="860" t="n">
        <v>1</v>
      </c>
      <c r="F6286" s="115" t="n">
        <v>26</v>
      </c>
      <c r="G6286" s="716" t="n">
        <f aca="false">F6286*E6286</f>
        <v>26</v>
      </c>
      <c r="H6286" s="433"/>
    </row>
    <row r="6287" customFormat="false" ht="15" hidden="false" customHeight="false" outlineLevel="0" collapsed="false">
      <c r="A6287" s="571"/>
      <c r="B6287" s="433"/>
      <c r="C6287" s="860" t="s">
        <v>4515</v>
      </c>
      <c r="D6287" s="877" t="s">
        <v>4133</v>
      </c>
      <c r="E6287" s="860" t="n">
        <v>0.0001</v>
      </c>
      <c r="F6287" s="115" t="n">
        <v>2700</v>
      </c>
      <c r="G6287" s="716" t="n">
        <f aca="false">F6287*E6287</f>
        <v>0.27</v>
      </c>
      <c r="H6287" s="433"/>
    </row>
    <row r="6288" customFormat="false" ht="30" hidden="false" customHeight="false" outlineLevel="0" collapsed="false">
      <c r="A6288" s="571" t="s">
        <v>1146</v>
      </c>
      <c r="B6288" s="488" t="s">
        <v>5313</v>
      </c>
      <c r="C6288" s="41"/>
      <c r="D6288" s="874"/>
      <c r="E6288" s="41"/>
      <c r="F6288" s="875"/>
      <c r="G6288" s="826" t="n">
        <f aca="false">SUM(G6289:G6305)</f>
        <v>24163.97</v>
      </c>
      <c r="H6288" s="856" t="s">
        <v>5262</v>
      </c>
    </row>
    <row r="6289" customFormat="false" ht="15" hidden="false" customHeight="false" outlineLevel="0" collapsed="false">
      <c r="A6289" s="571"/>
      <c r="B6289" s="433"/>
      <c r="C6289" s="21" t="s">
        <v>4604</v>
      </c>
      <c r="D6289" s="877" t="s">
        <v>4359</v>
      </c>
      <c r="E6289" s="860" t="n">
        <v>0.3</v>
      </c>
      <c r="F6289" s="115" t="n">
        <v>18000</v>
      </c>
      <c r="G6289" s="716" t="n">
        <f aca="false">F6289*E6289</f>
        <v>5400</v>
      </c>
      <c r="H6289" s="433"/>
    </row>
    <row r="6290" customFormat="false" ht="15" hidden="false" customHeight="false" outlineLevel="0" collapsed="false">
      <c r="A6290" s="571"/>
      <c r="B6290" s="433"/>
      <c r="C6290" s="21" t="s">
        <v>4317</v>
      </c>
      <c r="D6290" s="877" t="s">
        <v>4359</v>
      </c>
      <c r="E6290" s="860" t="n">
        <v>0.15</v>
      </c>
      <c r="F6290" s="115" t="n">
        <v>21000</v>
      </c>
      <c r="G6290" s="716" t="n">
        <f aca="false">F6290*E6290</f>
        <v>3150</v>
      </c>
      <c r="H6290" s="433"/>
    </row>
    <row r="6291" customFormat="false" ht="15" hidden="false" customHeight="false" outlineLevel="0" collapsed="false">
      <c r="A6291" s="571"/>
      <c r="B6291" s="433"/>
      <c r="C6291" s="21" t="s">
        <v>4250</v>
      </c>
      <c r="D6291" s="877" t="s">
        <v>4359</v>
      </c>
      <c r="E6291" s="860" t="n">
        <v>0.1</v>
      </c>
      <c r="F6291" s="115" t="n">
        <v>42000</v>
      </c>
      <c r="G6291" s="716" t="n">
        <f aca="false">F6291*E6291</f>
        <v>4200</v>
      </c>
      <c r="H6291" s="433"/>
    </row>
    <row r="6292" customFormat="false" ht="15" hidden="false" customHeight="false" outlineLevel="0" collapsed="false">
      <c r="A6292" s="571"/>
      <c r="B6292" s="433"/>
      <c r="C6292" s="860" t="s">
        <v>5279</v>
      </c>
      <c r="D6292" s="877" t="s">
        <v>4359</v>
      </c>
      <c r="E6292" s="860" t="n">
        <v>0.4</v>
      </c>
      <c r="F6292" s="115" t="n">
        <v>21000</v>
      </c>
      <c r="G6292" s="716" t="n">
        <f aca="false">F6292*E6292</f>
        <v>8400</v>
      </c>
      <c r="H6292" s="433"/>
    </row>
    <row r="6293" customFormat="false" ht="15" hidden="false" customHeight="false" outlineLevel="0" collapsed="false">
      <c r="A6293" s="571"/>
      <c r="B6293" s="433"/>
      <c r="C6293" s="860" t="s">
        <v>5228</v>
      </c>
      <c r="D6293" s="316" t="s">
        <v>4133</v>
      </c>
      <c r="E6293" s="860" t="n">
        <v>0.02</v>
      </c>
      <c r="F6293" s="115" t="n">
        <v>19000</v>
      </c>
      <c r="G6293" s="716" t="n">
        <f aca="false">F6293*E6293</f>
        <v>380</v>
      </c>
      <c r="H6293" s="433"/>
    </row>
    <row r="6294" customFormat="false" ht="15" hidden="false" customHeight="false" outlineLevel="0" collapsed="false">
      <c r="A6294" s="571"/>
      <c r="B6294" s="433"/>
      <c r="C6294" s="860" t="s">
        <v>4158</v>
      </c>
      <c r="D6294" s="877" t="s">
        <v>4133</v>
      </c>
      <c r="E6294" s="860" t="n">
        <v>0.003</v>
      </c>
      <c r="F6294" s="115" t="n">
        <v>6400</v>
      </c>
      <c r="G6294" s="716" t="n">
        <f aca="false">F6294*E6294</f>
        <v>19.2</v>
      </c>
      <c r="H6294" s="433"/>
    </row>
    <row r="6295" customFormat="false" ht="15" hidden="false" customHeight="false" outlineLevel="0" collapsed="false">
      <c r="A6295" s="571"/>
      <c r="B6295" s="433"/>
      <c r="C6295" s="860" t="s">
        <v>5091</v>
      </c>
      <c r="D6295" s="877" t="s">
        <v>4359</v>
      </c>
      <c r="E6295" s="860" t="n">
        <v>0.01</v>
      </c>
      <c r="F6295" s="115" t="n">
        <v>18000</v>
      </c>
      <c r="G6295" s="716" t="n">
        <f aca="false">F6295*E6295</f>
        <v>180</v>
      </c>
      <c r="H6295" s="433"/>
    </row>
    <row r="6296" customFormat="false" ht="15" hidden="false" customHeight="false" outlineLevel="0" collapsed="false">
      <c r="A6296" s="571"/>
      <c r="B6296" s="433"/>
      <c r="C6296" s="860" t="s">
        <v>5263</v>
      </c>
      <c r="D6296" s="877" t="s">
        <v>4133</v>
      </c>
      <c r="E6296" s="860" t="n">
        <v>0.0001</v>
      </c>
      <c r="F6296" s="115" t="n">
        <v>40000</v>
      </c>
      <c r="G6296" s="716" t="n">
        <f aca="false">F6296*E6296</f>
        <v>4</v>
      </c>
      <c r="H6296" s="433"/>
    </row>
    <row r="6297" customFormat="false" ht="15" hidden="false" customHeight="false" outlineLevel="0" collapsed="false">
      <c r="A6297" s="571"/>
      <c r="B6297" s="433"/>
      <c r="C6297" s="532" t="s">
        <v>5240</v>
      </c>
      <c r="D6297" s="679" t="s">
        <v>4578</v>
      </c>
      <c r="E6297" s="866" t="n">
        <v>0.002</v>
      </c>
      <c r="F6297" s="617" t="n">
        <v>225000</v>
      </c>
      <c r="G6297" s="716" t="n">
        <f aca="false">F6297*E6297</f>
        <v>450</v>
      </c>
      <c r="H6297" s="433"/>
    </row>
    <row r="6298" customFormat="false" ht="15" hidden="false" customHeight="false" outlineLevel="0" collapsed="false">
      <c r="A6298" s="571"/>
      <c r="B6298" s="433"/>
      <c r="C6298" s="867" t="s">
        <v>4497</v>
      </c>
      <c r="D6298" s="868" t="s">
        <v>4348</v>
      </c>
      <c r="E6298" s="869" t="n">
        <v>0.003</v>
      </c>
      <c r="F6298" s="870" t="n">
        <v>550000</v>
      </c>
      <c r="G6298" s="716" t="n">
        <f aca="false">F6298*E6298</f>
        <v>1650</v>
      </c>
      <c r="H6298" s="433"/>
    </row>
    <row r="6299" customFormat="false" ht="15" hidden="false" customHeight="false" outlineLevel="0" collapsed="false">
      <c r="A6299" s="571"/>
      <c r="B6299" s="433"/>
      <c r="C6299" s="867" t="s">
        <v>4122</v>
      </c>
      <c r="D6299" s="868" t="s">
        <v>4123</v>
      </c>
      <c r="E6299" s="869" t="n">
        <v>0.1</v>
      </c>
      <c r="F6299" s="871" t="n">
        <v>720</v>
      </c>
      <c r="G6299" s="716" t="n">
        <f aca="false">F6299*E6299</f>
        <v>72</v>
      </c>
      <c r="H6299" s="433"/>
    </row>
    <row r="6300" customFormat="false" ht="15" hidden="false" customHeight="false" outlineLevel="0" collapsed="false">
      <c r="A6300" s="571"/>
      <c r="B6300" s="433"/>
      <c r="C6300" s="860" t="s">
        <v>5241</v>
      </c>
      <c r="D6300" s="868" t="s">
        <v>4121</v>
      </c>
      <c r="E6300" s="869" t="n">
        <v>0.01</v>
      </c>
      <c r="F6300" s="870" t="n">
        <v>1500</v>
      </c>
      <c r="G6300" s="716" t="n">
        <f aca="false">F6300*E6300</f>
        <v>15</v>
      </c>
      <c r="H6300" s="433"/>
    </row>
    <row r="6301" customFormat="false" ht="15" hidden="false" customHeight="false" outlineLevel="0" collapsed="false">
      <c r="A6301" s="571"/>
      <c r="B6301" s="433"/>
      <c r="C6301" s="872" t="s">
        <v>4124</v>
      </c>
      <c r="D6301" s="868" t="s">
        <v>4125</v>
      </c>
      <c r="E6301" s="869" t="n">
        <v>0.1</v>
      </c>
      <c r="F6301" s="871" t="n">
        <v>170</v>
      </c>
      <c r="G6301" s="716" t="n">
        <f aca="false">F6301*E6301</f>
        <v>17</v>
      </c>
      <c r="H6301" s="433"/>
    </row>
    <row r="6302" customFormat="false" ht="15" hidden="false" customHeight="false" outlineLevel="0" collapsed="false">
      <c r="A6302" s="571"/>
      <c r="B6302" s="433"/>
      <c r="C6302" s="532" t="s">
        <v>5239</v>
      </c>
      <c r="D6302" s="679" t="s">
        <v>4141</v>
      </c>
      <c r="E6302" s="866" t="n">
        <v>0.003</v>
      </c>
      <c r="F6302" s="681" t="n">
        <v>23500</v>
      </c>
      <c r="G6302" s="716" t="n">
        <f aca="false">F6302*E6302</f>
        <v>70.5</v>
      </c>
      <c r="H6302" s="433"/>
    </row>
    <row r="6303" customFormat="false" ht="15" hidden="false" customHeight="false" outlineLevel="0" collapsed="false">
      <c r="A6303" s="571"/>
      <c r="B6303" s="433"/>
      <c r="C6303" s="872" t="s">
        <v>4347</v>
      </c>
      <c r="D6303" s="868" t="s">
        <v>4348</v>
      </c>
      <c r="E6303" s="869" t="n">
        <v>1</v>
      </c>
      <c r="F6303" s="871" t="n">
        <v>130</v>
      </c>
      <c r="G6303" s="716" t="n">
        <f aca="false">F6303*E6303</f>
        <v>130</v>
      </c>
      <c r="H6303" s="433"/>
    </row>
    <row r="6304" customFormat="false" ht="15" hidden="false" customHeight="false" outlineLevel="0" collapsed="false">
      <c r="A6304" s="571"/>
      <c r="B6304" s="433"/>
      <c r="C6304" s="860" t="s">
        <v>4509</v>
      </c>
      <c r="D6304" s="877" t="s">
        <v>4348</v>
      </c>
      <c r="E6304" s="860" t="n">
        <v>1</v>
      </c>
      <c r="F6304" s="857" t="n">
        <v>26</v>
      </c>
      <c r="G6304" s="716" t="n">
        <f aca="false">F6304*E6304</f>
        <v>26</v>
      </c>
      <c r="H6304" s="433"/>
    </row>
    <row r="6305" customFormat="false" ht="15" hidden="false" customHeight="false" outlineLevel="0" collapsed="false">
      <c r="A6305" s="571"/>
      <c r="B6305" s="433"/>
      <c r="C6305" s="860" t="s">
        <v>4515</v>
      </c>
      <c r="D6305" s="877" t="s">
        <v>4133</v>
      </c>
      <c r="E6305" s="860" t="n">
        <v>0.0001</v>
      </c>
      <c r="F6305" s="857" t="n">
        <v>2700</v>
      </c>
      <c r="G6305" s="716" t="n">
        <f aca="false">F6305*E6305</f>
        <v>0.27</v>
      </c>
      <c r="H6305" s="433"/>
    </row>
    <row r="6306" customFormat="false" ht="15" hidden="false" customHeight="false" outlineLevel="0" collapsed="false">
      <c r="A6306" s="571" t="s">
        <v>1147</v>
      </c>
      <c r="B6306" s="488" t="s">
        <v>3340</v>
      </c>
      <c r="C6306" s="41"/>
      <c r="D6306" s="874"/>
      <c r="E6306" s="41"/>
      <c r="F6306" s="875"/>
      <c r="G6306" s="826" t="n">
        <f aca="false">SUM(G6307:G6324)</f>
        <v>13020.0765</v>
      </c>
      <c r="H6306" s="433" t="s">
        <v>5306</v>
      </c>
    </row>
    <row r="6307" customFormat="false" ht="15" hidden="false" customHeight="false" outlineLevel="0" collapsed="false">
      <c r="A6307" s="571"/>
      <c r="B6307" s="433"/>
      <c r="C6307" s="41" t="s">
        <v>4604</v>
      </c>
      <c r="D6307" s="316" t="s">
        <v>4359</v>
      </c>
      <c r="E6307" s="855" t="n">
        <v>0.1</v>
      </c>
      <c r="F6307" s="115" t="n">
        <v>18000</v>
      </c>
      <c r="G6307" s="615" t="n">
        <f aca="false">F6307*E6307</f>
        <v>1800</v>
      </c>
      <c r="H6307" s="433"/>
    </row>
    <row r="6308" customFormat="false" ht="15" hidden="false" customHeight="false" outlineLevel="0" collapsed="false">
      <c r="A6308" s="571"/>
      <c r="B6308" s="433"/>
      <c r="C6308" s="41" t="s">
        <v>4317</v>
      </c>
      <c r="D6308" s="316" t="s">
        <v>4359</v>
      </c>
      <c r="E6308" s="855" t="n">
        <v>0.15</v>
      </c>
      <c r="F6308" s="115" t="n">
        <v>21000</v>
      </c>
      <c r="G6308" s="615" t="n">
        <f aca="false">F6308*E6308</f>
        <v>3150</v>
      </c>
      <c r="H6308" s="433"/>
    </row>
    <row r="6309" customFormat="false" ht="15" hidden="false" customHeight="false" outlineLevel="0" collapsed="false">
      <c r="A6309" s="571"/>
      <c r="B6309" s="433"/>
      <c r="C6309" s="41" t="s">
        <v>4205</v>
      </c>
      <c r="D6309" s="316" t="s">
        <v>4359</v>
      </c>
      <c r="E6309" s="855" t="n">
        <v>0.01</v>
      </c>
      <c r="F6309" s="115" t="n">
        <v>14000</v>
      </c>
      <c r="G6309" s="615" t="n">
        <f aca="false">F6309*E6309</f>
        <v>140</v>
      </c>
      <c r="H6309" s="433"/>
    </row>
    <row r="6310" customFormat="false" ht="15" hidden="false" customHeight="false" outlineLevel="0" collapsed="false">
      <c r="A6310" s="571"/>
      <c r="B6310" s="433"/>
      <c r="C6310" s="855" t="s">
        <v>5228</v>
      </c>
      <c r="D6310" s="316" t="s">
        <v>4133</v>
      </c>
      <c r="E6310" s="855" t="n">
        <v>0.01</v>
      </c>
      <c r="F6310" s="115" t="n">
        <v>19000</v>
      </c>
      <c r="G6310" s="615" t="n">
        <f aca="false">F6310*E6310</f>
        <v>190</v>
      </c>
      <c r="H6310" s="433"/>
    </row>
    <row r="6311" customFormat="false" ht="15" hidden="false" customHeight="false" outlineLevel="0" collapsed="false">
      <c r="A6311" s="571"/>
      <c r="B6311" s="433"/>
      <c r="C6311" s="860" t="s">
        <v>4250</v>
      </c>
      <c r="D6311" s="316" t="s">
        <v>4359</v>
      </c>
      <c r="E6311" s="855" t="n">
        <v>0.1</v>
      </c>
      <c r="F6311" s="115" t="n">
        <v>42000</v>
      </c>
      <c r="G6311" s="615" t="n">
        <f aca="false">F6311*E6311</f>
        <v>4200</v>
      </c>
      <c r="H6311" s="433"/>
    </row>
    <row r="6312" customFormat="false" ht="15" hidden="false" customHeight="false" outlineLevel="0" collapsed="false">
      <c r="A6312" s="571"/>
      <c r="B6312" s="433"/>
      <c r="C6312" s="855" t="s">
        <v>4171</v>
      </c>
      <c r="D6312" s="316" t="s">
        <v>4133</v>
      </c>
      <c r="E6312" s="855" t="n">
        <v>0.01</v>
      </c>
      <c r="F6312" s="115" t="n">
        <v>18000</v>
      </c>
      <c r="G6312" s="615" t="n">
        <f aca="false">F6312*E6312</f>
        <v>180</v>
      </c>
      <c r="H6312" s="433"/>
    </row>
    <row r="6313" customFormat="false" ht="15" hidden="false" customHeight="false" outlineLevel="0" collapsed="false">
      <c r="A6313" s="571"/>
      <c r="B6313" s="433"/>
      <c r="C6313" s="855" t="s">
        <v>4148</v>
      </c>
      <c r="D6313" s="316" t="s">
        <v>4133</v>
      </c>
      <c r="E6313" s="855" t="n">
        <v>0.01</v>
      </c>
      <c r="F6313" s="115" t="n">
        <v>2000</v>
      </c>
      <c r="G6313" s="615" t="n">
        <f aca="false">F6313*E6313</f>
        <v>20</v>
      </c>
      <c r="H6313" s="433"/>
    </row>
    <row r="6314" customFormat="false" ht="15" hidden="false" customHeight="false" outlineLevel="0" collapsed="false">
      <c r="A6314" s="571"/>
      <c r="B6314" s="433"/>
      <c r="C6314" s="860" t="s">
        <v>4154</v>
      </c>
      <c r="D6314" s="316" t="s">
        <v>4359</v>
      </c>
      <c r="E6314" s="855" t="n">
        <v>0.02</v>
      </c>
      <c r="F6314" s="115" t="n">
        <v>18000</v>
      </c>
      <c r="G6314" s="615" t="n">
        <f aca="false">F6314*E6314</f>
        <v>360</v>
      </c>
      <c r="H6314" s="433"/>
    </row>
    <row r="6315" customFormat="false" ht="30" hidden="false" customHeight="false" outlineLevel="0" collapsed="false">
      <c r="A6315" s="571"/>
      <c r="B6315" s="433"/>
      <c r="C6315" s="855" t="s">
        <v>5265</v>
      </c>
      <c r="D6315" s="316" t="s">
        <v>4133</v>
      </c>
      <c r="E6315" s="855" t="n">
        <v>0.0001</v>
      </c>
      <c r="F6315" s="115" t="n">
        <v>130765</v>
      </c>
      <c r="G6315" s="615" t="n">
        <f aca="false">F6315*E6315</f>
        <v>13.0765</v>
      </c>
      <c r="H6315" s="433"/>
    </row>
    <row r="6316" customFormat="false" ht="15" hidden="false" customHeight="false" outlineLevel="0" collapsed="false">
      <c r="A6316" s="571"/>
      <c r="B6316" s="433"/>
      <c r="C6316" s="532" t="s">
        <v>5240</v>
      </c>
      <c r="D6316" s="679" t="s">
        <v>4578</v>
      </c>
      <c r="E6316" s="866" t="n">
        <v>0.002</v>
      </c>
      <c r="F6316" s="617" t="n">
        <v>225000</v>
      </c>
      <c r="G6316" s="615" t="n">
        <f aca="false">F6316*E6316</f>
        <v>450</v>
      </c>
      <c r="H6316" s="433"/>
    </row>
    <row r="6317" customFormat="false" ht="15" hidden="false" customHeight="false" outlineLevel="0" collapsed="false">
      <c r="A6317" s="571"/>
      <c r="B6317" s="433"/>
      <c r="C6317" s="532" t="s">
        <v>4251</v>
      </c>
      <c r="D6317" s="679" t="s">
        <v>4578</v>
      </c>
      <c r="E6317" s="866" t="n">
        <v>0.002</v>
      </c>
      <c r="F6317" s="617" t="n">
        <v>275000</v>
      </c>
      <c r="G6317" s="615" t="n">
        <f aca="false">F6317*E6317</f>
        <v>550</v>
      </c>
      <c r="H6317" s="433"/>
    </row>
    <row r="6318" customFormat="false" ht="15" hidden="false" customHeight="false" outlineLevel="0" collapsed="false">
      <c r="A6318" s="571"/>
      <c r="B6318" s="433"/>
      <c r="C6318" s="867" t="s">
        <v>4497</v>
      </c>
      <c r="D6318" s="868" t="s">
        <v>4348</v>
      </c>
      <c r="E6318" s="869" t="n">
        <v>0.003</v>
      </c>
      <c r="F6318" s="870" t="n">
        <v>550000</v>
      </c>
      <c r="G6318" s="615" t="n">
        <f aca="false">F6318*E6318</f>
        <v>1650</v>
      </c>
      <c r="H6318" s="433"/>
    </row>
    <row r="6319" customFormat="false" ht="15" hidden="false" customHeight="false" outlineLevel="0" collapsed="false">
      <c r="A6319" s="571"/>
      <c r="B6319" s="433"/>
      <c r="C6319" s="867" t="s">
        <v>4122</v>
      </c>
      <c r="D6319" s="868" t="s">
        <v>4123</v>
      </c>
      <c r="E6319" s="869" t="n">
        <v>0.1</v>
      </c>
      <c r="F6319" s="871" t="n">
        <v>720</v>
      </c>
      <c r="G6319" s="615" t="n">
        <f aca="false">F6319*E6319</f>
        <v>72</v>
      </c>
      <c r="H6319" s="433"/>
    </row>
    <row r="6320" customFormat="false" ht="15" hidden="false" customHeight="false" outlineLevel="0" collapsed="false">
      <c r="A6320" s="571"/>
      <c r="B6320" s="433"/>
      <c r="C6320" s="855" t="s">
        <v>5241</v>
      </c>
      <c r="D6320" s="868" t="s">
        <v>4121</v>
      </c>
      <c r="E6320" s="869" t="n">
        <v>0.001</v>
      </c>
      <c r="F6320" s="870" t="n">
        <v>1500</v>
      </c>
      <c r="G6320" s="615" t="n">
        <f aca="false">F6320*E6320</f>
        <v>1.5</v>
      </c>
      <c r="H6320" s="433"/>
    </row>
    <row r="6321" customFormat="false" ht="15" hidden="false" customHeight="false" outlineLevel="0" collapsed="false">
      <c r="A6321" s="571"/>
      <c r="B6321" s="433"/>
      <c r="C6321" s="532" t="s">
        <v>5239</v>
      </c>
      <c r="D6321" s="679" t="s">
        <v>4141</v>
      </c>
      <c r="E6321" s="866" t="n">
        <v>0.003</v>
      </c>
      <c r="F6321" s="681" t="n">
        <v>23500</v>
      </c>
      <c r="G6321" s="615" t="n">
        <f aca="false">F6321*E6321</f>
        <v>70.5</v>
      </c>
      <c r="H6321" s="433"/>
    </row>
    <row r="6322" customFormat="false" ht="15" hidden="false" customHeight="false" outlineLevel="0" collapsed="false">
      <c r="A6322" s="571"/>
      <c r="B6322" s="433"/>
      <c r="C6322" s="872" t="s">
        <v>4124</v>
      </c>
      <c r="D6322" s="868" t="s">
        <v>4125</v>
      </c>
      <c r="E6322" s="869" t="n">
        <v>0.1</v>
      </c>
      <c r="F6322" s="871" t="n">
        <v>170</v>
      </c>
      <c r="G6322" s="615" t="n">
        <f aca="false">F6322*E6322</f>
        <v>17</v>
      </c>
      <c r="H6322" s="433"/>
    </row>
    <row r="6323" customFormat="false" ht="15" hidden="false" customHeight="false" outlineLevel="0" collapsed="false">
      <c r="A6323" s="571"/>
      <c r="B6323" s="433"/>
      <c r="C6323" s="872" t="s">
        <v>4347</v>
      </c>
      <c r="D6323" s="868" t="s">
        <v>4348</v>
      </c>
      <c r="E6323" s="869" t="n">
        <v>1</v>
      </c>
      <c r="F6323" s="871" t="n">
        <v>130</v>
      </c>
      <c r="G6323" s="615" t="n">
        <f aca="false">F6323*E6323</f>
        <v>130</v>
      </c>
      <c r="H6323" s="433"/>
    </row>
    <row r="6324" customFormat="false" ht="15" hidden="false" customHeight="false" outlineLevel="0" collapsed="false">
      <c r="A6324" s="571"/>
      <c r="B6324" s="433"/>
      <c r="C6324" s="855" t="s">
        <v>4509</v>
      </c>
      <c r="D6324" s="316" t="s">
        <v>4348</v>
      </c>
      <c r="E6324" s="855" t="n">
        <v>1</v>
      </c>
      <c r="F6324" s="857" t="n">
        <v>26</v>
      </c>
      <c r="G6324" s="615" t="n">
        <f aca="false">F6324*E6324</f>
        <v>26</v>
      </c>
      <c r="H6324" s="433"/>
    </row>
    <row r="6325" customFormat="false" ht="30" hidden="false" customHeight="false" outlineLevel="0" collapsed="false">
      <c r="A6325" s="571" t="s">
        <v>1148</v>
      </c>
      <c r="B6325" s="488" t="s">
        <v>3313</v>
      </c>
      <c r="C6325" s="855"/>
      <c r="D6325" s="316"/>
      <c r="E6325" s="855"/>
      <c r="F6325" s="115"/>
      <c r="G6325" s="613" t="n">
        <f aca="false">SUM(G6326:G6347)</f>
        <v>16205.02</v>
      </c>
      <c r="H6325" s="433" t="s">
        <v>5314</v>
      </c>
    </row>
    <row r="6326" customFormat="false" ht="15" hidden="false" customHeight="false" outlineLevel="0" collapsed="false">
      <c r="A6326" s="571"/>
      <c r="B6326" s="433"/>
      <c r="C6326" s="21" t="s">
        <v>4604</v>
      </c>
      <c r="D6326" s="877" t="s">
        <v>4359</v>
      </c>
      <c r="E6326" s="860" t="n">
        <v>0.05</v>
      </c>
      <c r="F6326" s="115" t="n">
        <v>18000</v>
      </c>
      <c r="G6326" s="716" t="n">
        <f aca="false">F6326*E6326</f>
        <v>900</v>
      </c>
      <c r="H6326" s="433"/>
    </row>
    <row r="6327" customFormat="false" ht="15" hidden="false" customHeight="false" outlineLevel="0" collapsed="false">
      <c r="A6327" s="571"/>
      <c r="B6327" s="433"/>
      <c r="C6327" s="878" t="s">
        <v>5260</v>
      </c>
      <c r="D6327" s="877" t="s">
        <v>4133</v>
      </c>
      <c r="E6327" s="860" t="n">
        <v>0.00228</v>
      </c>
      <c r="F6327" s="115" t="n">
        <v>24000</v>
      </c>
      <c r="G6327" s="716" t="n">
        <f aca="false">F6327*E6327</f>
        <v>54.72</v>
      </c>
      <c r="H6327" s="433"/>
    </row>
    <row r="6328" customFormat="false" ht="15" hidden="false" customHeight="false" outlineLevel="0" collapsed="false">
      <c r="A6328" s="571"/>
      <c r="B6328" s="433"/>
      <c r="C6328" s="881" t="s">
        <v>4266</v>
      </c>
      <c r="D6328" s="882" t="s">
        <v>4133</v>
      </c>
      <c r="E6328" s="614" t="n">
        <v>0.002</v>
      </c>
      <c r="F6328" s="883" t="n">
        <v>24000</v>
      </c>
      <c r="G6328" s="716" t="n">
        <f aca="false">F6328*E6328</f>
        <v>48</v>
      </c>
      <c r="H6328" s="433"/>
    </row>
    <row r="6329" customFormat="false" ht="30" hidden="false" customHeight="false" outlineLevel="0" collapsed="false">
      <c r="A6329" s="571"/>
      <c r="B6329" s="433"/>
      <c r="C6329" s="532" t="s">
        <v>5238</v>
      </c>
      <c r="D6329" s="679" t="s">
        <v>4141</v>
      </c>
      <c r="E6329" s="865" t="n">
        <v>0.001</v>
      </c>
      <c r="F6329" s="617" t="n">
        <v>1400</v>
      </c>
      <c r="G6329" s="716" t="n">
        <f aca="false">F6329*E6329</f>
        <v>1.4</v>
      </c>
      <c r="H6329" s="433"/>
    </row>
    <row r="6330" customFormat="false" ht="15" hidden="false" customHeight="false" outlineLevel="0" collapsed="false">
      <c r="A6330" s="571"/>
      <c r="B6330" s="433"/>
      <c r="C6330" s="41" t="s">
        <v>4758</v>
      </c>
      <c r="D6330" s="316" t="s">
        <v>4359</v>
      </c>
      <c r="E6330" s="855" t="n">
        <v>0.007</v>
      </c>
      <c r="F6330" s="115" t="n">
        <v>14000</v>
      </c>
      <c r="G6330" s="716" t="n">
        <f aca="false">F6330*E6330</f>
        <v>98</v>
      </c>
      <c r="H6330" s="433"/>
    </row>
    <row r="6331" customFormat="false" ht="15" hidden="false" customHeight="false" outlineLevel="0" collapsed="false">
      <c r="A6331" s="571"/>
      <c r="B6331" s="433"/>
      <c r="C6331" s="21" t="s">
        <v>4317</v>
      </c>
      <c r="D6331" s="877" t="s">
        <v>4359</v>
      </c>
      <c r="E6331" s="860" t="n">
        <v>0.15</v>
      </c>
      <c r="F6331" s="115" t="n">
        <v>21000</v>
      </c>
      <c r="G6331" s="716" t="n">
        <f aca="false">F6331*E6331</f>
        <v>3150</v>
      </c>
      <c r="H6331" s="433"/>
    </row>
    <row r="6332" customFormat="false" ht="15" hidden="false" customHeight="false" outlineLevel="0" collapsed="false">
      <c r="A6332" s="571"/>
      <c r="B6332" s="433"/>
      <c r="C6332" s="21" t="s">
        <v>4250</v>
      </c>
      <c r="D6332" s="877" t="s">
        <v>4359</v>
      </c>
      <c r="E6332" s="860" t="n">
        <v>0.1</v>
      </c>
      <c r="F6332" s="115" t="n">
        <v>42000</v>
      </c>
      <c r="G6332" s="716" t="n">
        <f aca="false">F6332*E6332</f>
        <v>4200</v>
      </c>
      <c r="H6332" s="433"/>
    </row>
    <row r="6333" customFormat="false" ht="15" hidden="false" customHeight="false" outlineLevel="0" collapsed="false">
      <c r="A6333" s="571"/>
      <c r="B6333" s="433"/>
      <c r="C6333" s="860" t="s">
        <v>5279</v>
      </c>
      <c r="D6333" s="877" t="s">
        <v>4359</v>
      </c>
      <c r="E6333" s="860" t="n">
        <v>0.2</v>
      </c>
      <c r="F6333" s="115" t="n">
        <v>21000</v>
      </c>
      <c r="G6333" s="716" t="n">
        <f aca="false">F6333*E6333</f>
        <v>4200</v>
      </c>
      <c r="H6333" s="433"/>
    </row>
    <row r="6334" customFormat="false" ht="15" hidden="false" customHeight="false" outlineLevel="0" collapsed="false">
      <c r="A6334" s="571"/>
      <c r="B6334" s="433"/>
      <c r="C6334" s="860" t="s">
        <v>5228</v>
      </c>
      <c r="D6334" s="316" t="s">
        <v>4133</v>
      </c>
      <c r="E6334" s="860" t="n">
        <v>0.02</v>
      </c>
      <c r="F6334" s="115" t="n">
        <v>19000</v>
      </c>
      <c r="G6334" s="716" t="n">
        <f aca="false">F6334*E6334</f>
        <v>380</v>
      </c>
      <c r="H6334" s="433"/>
    </row>
    <row r="6335" customFormat="false" ht="15" hidden="false" customHeight="false" outlineLevel="0" collapsed="false">
      <c r="A6335" s="571"/>
      <c r="B6335" s="433"/>
      <c r="C6335" s="860" t="s">
        <v>4158</v>
      </c>
      <c r="D6335" s="877" t="s">
        <v>4133</v>
      </c>
      <c r="E6335" s="860" t="n">
        <v>0.003</v>
      </c>
      <c r="F6335" s="115" t="n">
        <v>6400</v>
      </c>
      <c r="G6335" s="716" t="n">
        <f aca="false">F6335*E6335</f>
        <v>19.2</v>
      </c>
      <c r="H6335" s="433"/>
    </row>
    <row r="6336" customFormat="false" ht="15" hidden="false" customHeight="false" outlineLevel="0" collapsed="false">
      <c r="A6336" s="571"/>
      <c r="B6336" s="433"/>
      <c r="C6336" s="860" t="s">
        <v>5091</v>
      </c>
      <c r="D6336" s="877" t="s">
        <v>4359</v>
      </c>
      <c r="E6336" s="860" t="n">
        <v>0.01</v>
      </c>
      <c r="F6336" s="115" t="n">
        <v>18000</v>
      </c>
      <c r="G6336" s="716" t="n">
        <f aca="false">F6336*E6336</f>
        <v>180</v>
      </c>
      <c r="H6336" s="433"/>
    </row>
    <row r="6337" customFormat="false" ht="15" hidden="false" customHeight="false" outlineLevel="0" collapsed="false">
      <c r="A6337" s="571"/>
      <c r="B6337" s="433"/>
      <c r="C6337" s="860" t="s">
        <v>5263</v>
      </c>
      <c r="D6337" s="877" t="s">
        <v>4133</v>
      </c>
      <c r="E6337" s="860" t="n">
        <v>0.0001</v>
      </c>
      <c r="F6337" s="857" t="n">
        <v>40000</v>
      </c>
      <c r="G6337" s="716" t="n">
        <f aca="false">F6337*E6337</f>
        <v>4</v>
      </c>
      <c r="H6337" s="433"/>
    </row>
    <row r="6338" customFormat="false" ht="15" hidden="false" customHeight="false" outlineLevel="0" collapsed="false">
      <c r="A6338" s="571"/>
      <c r="B6338" s="433"/>
      <c r="C6338" s="532" t="s">
        <v>5240</v>
      </c>
      <c r="D6338" s="679" t="s">
        <v>4578</v>
      </c>
      <c r="E6338" s="866" t="n">
        <v>0.002</v>
      </c>
      <c r="F6338" s="681" t="n">
        <v>225000</v>
      </c>
      <c r="G6338" s="716" t="n">
        <f aca="false">F6338*E6338</f>
        <v>450</v>
      </c>
      <c r="H6338" s="433"/>
    </row>
    <row r="6339" customFormat="false" ht="15" hidden="false" customHeight="false" outlineLevel="0" collapsed="false">
      <c r="A6339" s="571"/>
      <c r="B6339" s="433"/>
      <c r="C6339" s="532" t="s">
        <v>4251</v>
      </c>
      <c r="D6339" s="679" t="s">
        <v>4578</v>
      </c>
      <c r="E6339" s="866" t="n">
        <v>0.002</v>
      </c>
      <c r="F6339" s="681" t="n">
        <v>275000</v>
      </c>
      <c r="G6339" s="716" t="n">
        <f aca="false">F6339*E6339</f>
        <v>550</v>
      </c>
      <c r="H6339" s="433"/>
    </row>
    <row r="6340" customFormat="false" ht="15" hidden="false" customHeight="false" outlineLevel="0" collapsed="false">
      <c r="A6340" s="571"/>
      <c r="B6340" s="433"/>
      <c r="C6340" s="867" t="s">
        <v>4497</v>
      </c>
      <c r="D6340" s="868" t="s">
        <v>4348</v>
      </c>
      <c r="E6340" s="869" t="n">
        <v>0.003</v>
      </c>
      <c r="F6340" s="870" t="n">
        <v>550000</v>
      </c>
      <c r="G6340" s="716" t="n">
        <f aca="false">F6340*E6340</f>
        <v>1650</v>
      </c>
      <c r="H6340" s="433"/>
    </row>
    <row r="6341" customFormat="false" ht="15" hidden="false" customHeight="false" outlineLevel="0" collapsed="false">
      <c r="A6341" s="571"/>
      <c r="B6341" s="433"/>
      <c r="C6341" s="867" t="s">
        <v>4122</v>
      </c>
      <c r="D6341" s="868" t="s">
        <v>4123</v>
      </c>
      <c r="E6341" s="869" t="n">
        <v>0.1</v>
      </c>
      <c r="F6341" s="871" t="n">
        <v>720</v>
      </c>
      <c r="G6341" s="716" t="n">
        <f aca="false">F6341*E6341</f>
        <v>72</v>
      </c>
      <c r="H6341" s="433"/>
    </row>
    <row r="6342" customFormat="false" ht="15" hidden="false" customHeight="false" outlineLevel="0" collapsed="false">
      <c r="A6342" s="571"/>
      <c r="B6342" s="433"/>
      <c r="C6342" s="860" t="s">
        <v>5241</v>
      </c>
      <c r="D6342" s="868" t="s">
        <v>4121</v>
      </c>
      <c r="E6342" s="869" t="n">
        <v>0.001</v>
      </c>
      <c r="F6342" s="870" t="n">
        <v>1500</v>
      </c>
      <c r="G6342" s="716" t="n">
        <f aca="false">F6342*E6342</f>
        <v>1.5</v>
      </c>
      <c r="H6342" s="433"/>
    </row>
    <row r="6343" customFormat="false" ht="15" hidden="false" customHeight="false" outlineLevel="0" collapsed="false">
      <c r="A6343" s="571"/>
      <c r="B6343" s="433"/>
      <c r="C6343" s="872" t="s">
        <v>4124</v>
      </c>
      <c r="D6343" s="868" t="s">
        <v>4125</v>
      </c>
      <c r="E6343" s="869" t="n">
        <v>0.1</v>
      </c>
      <c r="F6343" s="871" t="n">
        <v>170</v>
      </c>
      <c r="G6343" s="716" t="n">
        <f aca="false">F6343*E6343</f>
        <v>17</v>
      </c>
      <c r="H6343" s="433"/>
    </row>
    <row r="6344" customFormat="false" ht="15" hidden="false" customHeight="false" outlineLevel="0" collapsed="false">
      <c r="A6344" s="571"/>
      <c r="B6344" s="433"/>
      <c r="C6344" s="872" t="s">
        <v>4347</v>
      </c>
      <c r="D6344" s="868" t="s">
        <v>4348</v>
      </c>
      <c r="E6344" s="869" t="n">
        <v>1</v>
      </c>
      <c r="F6344" s="871" t="n">
        <v>130</v>
      </c>
      <c r="G6344" s="716" t="n">
        <f aca="false">F6344*E6344</f>
        <v>130</v>
      </c>
      <c r="H6344" s="433"/>
    </row>
    <row r="6345" customFormat="false" ht="15" hidden="false" customHeight="false" outlineLevel="0" collapsed="false">
      <c r="A6345" s="571"/>
      <c r="B6345" s="433"/>
      <c r="C6345" s="532" t="s">
        <v>5239</v>
      </c>
      <c r="D6345" s="679" t="s">
        <v>4141</v>
      </c>
      <c r="E6345" s="866" t="n">
        <v>0.003</v>
      </c>
      <c r="F6345" s="681" t="n">
        <v>23500</v>
      </c>
      <c r="G6345" s="716" t="n">
        <f aca="false">F6345*E6345</f>
        <v>70.5</v>
      </c>
      <c r="H6345" s="433"/>
    </row>
    <row r="6346" customFormat="false" ht="15" hidden="false" customHeight="false" outlineLevel="0" collapsed="false">
      <c r="A6346" s="571"/>
      <c r="B6346" s="433"/>
      <c r="C6346" s="860" t="s">
        <v>4509</v>
      </c>
      <c r="D6346" s="877" t="s">
        <v>4348</v>
      </c>
      <c r="E6346" s="860" t="n">
        <v>1</v>
      </c>
      <c r="F6346" s="115" t="n">
        <v>26</v>
      </c>
      <c r="G6346" s="716" t="n">
        <f aca="false">F6346*E6346</f>
        <v>26</v>
      </c>
      <c r="H6346" s="433"/>
    </row>
    <row r="6347" customFormat="false" ht="15" hidden="false" customHeight="false" outlineLevel="0" collapsed="false">
      <c r="A6347" s="571"/>
      <c r="B6347" s="433"/>
      <c r="C6347" s="860" t="s">
        <v>4515</v>
      </c>
      <c r="D6347" s="877" t="s">
        <v>4133</v>
      </c>
      <c r="E6347" s="860" t="n">
        <v>0.001</v>
      </c>
      <c r="F6347" s="115" t="n">
        <v>2700</v>
      </c>
      <c r="G6347" s="716" t="n">
        <f aca="false">F6347*E6347</f>
        <v>2.7</v>
      </c>
      <c r="H6347" s="433"/>
    </row>
    <row r="6348" customFormat="false" ht="15" hidden="false" customHeight="false" outlineLevel="0" collapsed="false">
      <c r="A6348" s="571" t="s">
        <v>1149</v>
      </c>
      <c r="B6348" s="433" t="s">
        <v>3307</v>
      </c>
      <c r="C6348" s="41"/>
      <c r="D6348" s="874"/>
      <c r="E6348" s="41"/>
      <c r="F6348" s="875"/>
      <c r="G6348" s="826" t="n">
        <f aca="false">SUM(G6349:G6369)</f>
        <v>9818.141</v>
      </c>
      <c r="H6348" s="433" t="s">
        <v>5315</v>
      </c>
    </row>
    <row r="6349" customFormat="false" ht="15" hidden="false" customHeight="false" outlineLevel="0" collapsed="false">
      <c r="A6349" s="571"/>
      <c r="B6349" s="433"/>
      <c r="C6349" s="855" t="s">
        <v>4604</v>
      </c>
      <c r="D6349" s="316" t="s">
        <v>4359</v>
      </c>
      <c r="E6349" s="855" t="n">
        <v>0.05</v>
      </c>
      <c r="F6349" s="115" t="n">
        <v>18000</v>
      </c>
      <c r="G6349" s="615" t="n">
        <f aca="false">F6349*E6349</f>
        <v>900</v>
      </c>
      <c r="H6349" s="433"/>
    </row>
    <row r="6350" customFormat="false" ht="15" hidden="false" customHeight="false" outlineLevel="0" collapsed="false">
      <c r="A6350" s="571"/>
      <c r="B6350" s="433"/>
      <c r="C6350" s="855" t="s">
        <v>4317</v>
      </c>
      <c r="D6350" s="316" t="s">
        <v>4359</v>
      </c>
      <c r="E6350" s="855" t="n">
        <v>0.25</v>
      </c>
      <c r="F6350" s="115" t="n">
        <v>21000</v>
      </c>
      <c r="G6350" s="615" t="n">
        <f aca="false">F6350*E6350</f>
        <v>5250</v>
      </c>
      <c r="H6350" s="433"/>
    </row>
    <row r="6351" customFormat="false" ht="15" hidden="false" customHeight="false" outlineLevel="0" collapsed="false">
      <c r="A6351" s="571"/>
      <c r="B6351" s="433"/>
      <c r="C6351" s="855" t="s">
        <v>5228</v>
      </c>
      <c r="D6351" s="316" t="s">
        <v>4133</v>
      </c>
      <c r="E6351" s="855" t="n">
        <v>0.038</v>
      </c>
      <c r="F6351" s="115" t="n">
        <v>19000</v>
      </c>
      <c r="G6351" s="615" t="n">
        <f aca="false">F6351*E6351</f>
        <v>722</v>
      </c>
      <c r="H6351" s="433"/>
    </row>
    <row r="6352" customFormat="false" ht="15" hidden="false" customHeight="false" outlineLevel="0" collapsed="false">
      <c r="A6352" s="571"/>
      <c r="B6352" s="433"/>
      <c r="C6352" s="860" t="s">
        <v>4378</v>
      </c>
      <c r="D6352" s="316" t="s">
        <v>4133</v>
      </c>
      <c r="E6352" s="855" t="n">
        <v>0.01</v>
      </c>
      <c r="F6352" s="115" t="n">
        <v>45000</v>
      </c>
      <c r="G6352" s="615" t="n">
        <f aca="false">F6352*E6352</f>
        <v>450</v>
      </c>
      <c r="H6352" s="433"/>
    </row>
    <row r="6353" customFormat="false" ht="30" hidden="false" customHeight="false" outlineLevel="0" collapsed="false">
      <c r="A6353" s="571"/>
      <c r="B6353" s="433"/>
      <c r="C6353" s="532" t="s">
        <v>5238</v>
      </c>
      <c r="D6353" s="679" t="s">
        <v>4141</v>
      </c>
      <c r="E6353" s="866" t="n">
        <v>0.001</v>
      </c>
      <c r="F6353" s="617" t="n">
        <v>1400</v>
      </c>
      <c r="G6353" s="615" t="n">
        <f aca="false">F6353*E6353</f>
        <v>1.4</v>
      </c>
      <c r="H6353" s="433"/>
    </row>
    <row r="6354" customFormat="false" ht="30" hidden="false" customHeight="false" outlineLevel="0" collapsed="false">
      <c r="A6354" s="571"/>
      <c r="B6354" s="433"/>
      <c r="C6354" s="855" t="s">
        <v>5229</v>
      </c>
      <c r="D6354" s="316" t="s">
        <v>4133</v>
      </c>
      <c r="E6354" s="855" t="n">
        <v>0.0001</v>
      </c>
      <c r="F6354" s="115" t="n">
        <v>71490</v>
      </c>
      <c r="G6354" s="615" t="n">
        <f aca="false">F6354*E6354</f>
        <v>7.149</v>
      </c>
      <c r="H6354" s="433"/>
    </row>
    <row r="6355" customFormat="false" ht="30" hidden="false" customHeight="false" outlineLevel="0" collapsed="false">
      <c r="A6355" s="571"/>
      <c r="B6355" s="433"/>
      <c r="C6355" s="855" t="s">
        <v>5230</v>
      </c>
      <c r="D6355" s="316" t="s">
        <v>4133</v>
      </c>
      <c r="E6355" s="855" t="n">
        <v>0.0001</v>
      </c>
      <c r="F6355" s="857" t="n">
        <v>74815</v>
      </c>
      <c r="G6355" s="615" t="n">
        <f aca="false">F6355*E6355</f>
        <v>7.4815</v>
      </c>
      <c r="H6355" s="433"/>
    </row>
    <row r="6356" customFormat="false" ht="45" hidden="false" customHeight="false" outlineLevel="0" collapsed="false">
      <c r="A6356" s="571"/>
      <c r="B6356" s="433"/>
      <c r="C6356" s="855" t="s">
        <v>5231</v>
      </c>
      <c r="D6356" s="316" t="s">
        <v>4133</v>
      </c>
      <c r="E6356" s="855" t="n">
        <v>0.0001</v>
      </c>
      <c r="F6356" s="857" t="n">
        <v>75465</v>
      </c>
      <c r="G6356" s="615" t="n">
        <f aca="false">F6356*E6356</f>
        <v>7.5465</v>
      </c>
      <c r="H6356" s="433"/>
    </row>
    <row r="6357" customFormat="false" ht="30" hidden="false" customHeight="false" outlineLevel="0" collapsed="false">
      <c r="A6357" s="571"/>
      <c r="B6357" s="433"/>
      <c r="C6357" s="855" t="s">
        <v>5232</v>
      </c>
      <c r="D6357" s="316" t="s">
        <v>4133</v>
      </c>
      <c r="E6357" s="855" t="n">
        <v>0.0001</v>
      </c>
      <c r="F6357" s="857" t="n">
        <v>87990</v>
      </c>
      <c r="G6357" s="615" t="n">
        <f aca="false">F6357*E6357</f>
        <v>8.799</v>
      </c>
      <c r="H6357" s="433"/>
    </row>
    <row r="6358" customFormat="false" ht="30" hidden="false" customHeight="false" outlineLevel="0" collapsed="false">
      <c r="A6358" s="571"/>
      <c r="B6358" s="433"/>
      <c r="C6358" s="855" t="s">
        <v>5233</v>
      </c>
      <c r="D6358" s="316" t="s">
        <v>4133</v>
      </c>
      <c r="E6358" s="855" t="n">
        <v>0.0001</v>
      </c>
      <c r="F6358" s="857" t="n">
        <v>71395</v>
      </c>
      <c r="G6358" s="615" t="n">
        <f aca="false">F6358*E6358</f>
        <v>7.1395</v>
      </c>
      <c r="H6358" s="433"/>
    </row>
    <row r="6359" customFormat="false" ht="30" hidden="false" customHeight="false" outlineLevel="0" collapsed="false">
      <c r="A6359" s="571"/>
      <c r="B6359" s="433"/>
      <c r="C6359" s="855" t="s">
        <v>5234</v>
      </c>
      <c r="D6359" s="316" t="s">
        <v>4133</v>
      </c>
      <c r="E6359" s="855" t="n">
        <v>0.0001</v>
      </c>
      <c r="F6359" s="857" t="n">
        <v>53450</v>
      </c>
      <c r="G6359" s="615" t="n">
        <f aca="false">F6359*E6359</f>
        <v>5.345</v>
      </c>
      <c r="H6359" s="433"/>
    </row>
    <row r="6360" customFormat="false" ht="30" hidden="false" customHeight="false" outlineLevel="0" collapsed="false">
      <c r="A6360" s="571"/>
      <c r="B6360" s="433"/>
      <c r="C6360" s="855" t="s">
        <v>5235</v>
      </c>
      <c r="D6360" s="316" t="s">
        <v>4133</v>
      </c>
      <c r="E6360" s="855" t="n">
        <v>0.0001</v>
      </c>
      <c r="F6360" s="902" t="n">
        <v>56745</v>
      </c>
      <c r="G6360" s="819" t="n">
        <f aca="false">F6360*E6360</f>
        <v>5.6745</v>
      </c>
      <c r="H6360" s="433"/>
    </row>
    <row r="6361" customFormat="false" ht="30" hidden="false" customHeight="false" outlineLevel="0" collapsed="false">
      <c r="A6361" s="571"/>
      <c r="B6361" s="433"/>
      <c r="C6361" s="855" t="s">
        <v>5236</v>
      </c>
      <c r="D6361" s="316" t="s">
        <v>4133</v>
      </c>
      <c r="E6361" s="855" t="n">
        <v>0.0001</v>
      </c>
      <c r="F6361" s="902" t="n">
        <v>141060</v>
      </c>
      <c r="G6361" s="819" t="n">
        <f aca="false">F6361*E6361</f>
        <v>14.106</v>
      </c>
      <c r="H6361" s="433"/>
    </row>
    <row r="6362" customFormat="false" ht="15" hidden="false" customHeight="false" outlineLevel="0" collapsed="false">
      <c r="A6362" s="571"/>
      <c r="B6362" s="433"/>
      <c r="C6362" s="855" t="s">
        <v>5240</v>
      </c>
      <c r="D6362" s="316" t="s">
        <v>5274</v>
      </c>
      <c r="E6362" s="855" t="n">
        <v>0.002</v>
      </c>
      <c r="F6362" s="857" t="n">
        <v>225000</v>
      </c>
      <c r="G6362" s="615" t="n">
        <f aca="false">F6362*E6362</f>
        <v>450</v>
      </c>
      <c r="H6362" s="433"/>
    </row>
    <row r="6363" customFormat="false" ht="15" hidden="false" customHeight="false" outlineLevel="0" collapsed="false">
      <c r="A6363" s="571"/>
      <c r="B6363" s="433"/>
      <c r="C6363" s="867" t="s">
        <v>4497</v>
      </c>
      <c r="D6363" s="868" t="s">
        <v>4348</v>
      </c>
      <c r="E6363" s="869" t="n">
        <v>0.003</v>
      </c>
      <c r="F6363" s="870" t="n">
        <v>550000</v>
      </c>
      <c r="G6363" s="615" t="n">
        <f aca="false">F6363*E6363</f>
        <v>1650</v>
      </c>
      <c r="H6363" s="433"/>
    </row>
    <row r="6364" customFormat="false" ht="15" hidden="false" customHeight="false" outlineLevel="0" collapsed="false">
      <c r="A6364" s="571"/>
      <c r="B6364" s="433"/>
      <c r="C6364" s="855" t="s">
        <v>5241</v>
      </c>
      <c r="D6364" s="316" t="s">
        <v>4141</v>
      </c>
      <c r="E6364" s="860" t="n">
        <v>0.01</v>
      </c>
      <c r="F6364" s="857" t="n">
        <v>1500</v>
      </c>
      <c r="G6364" s="615" t="n">
        <f aca="false">F6364*E6364</f>
        <v>15</v>
      </c>
      <c r="H6364" s="433"/>
    </row>
    <row r="6365" customFormat="false" ht="15" hidden="false" customHeight="false" outlineLevel="0" collapsed="false">
      <c r="A6365" s="571"/>
      <c r="B6365" s="433"/>
      <c r="C6365" s="855" t="s">
        <v>4347</v>
      </c>
      <c r="D6365" s="316" t="s">
        <v>4348</v>
      </c>
      <c r="E6365" s="855" t="n">
        <v>1</v>
      </c>
      <c r="F6365" s="857" t="n">
        <v>130</v>
      </c>
      <c r="G6365" s="615" t="n">
        <f aca="false">F6365*E6365</f>
        <v>130</v>
      </c>
      <c r="H6365" s="433"/>
    </row>
    <row r="6366" customFormat="false" ht="15" hidden="false" customHeight="false" outlineLevel="0" collapsed="false">
      <c r="A6366" s="571"/>
      <c r="B6366" s="433"/>
      <c r="C6366" s="532" t="s">
        <v>5239</v>
      </c>
      <c r="D6366" s="679" t="s">
        <v>4141</v>
      </c>
      <c r="E6366" s="866" t="n">
        <v>0.003</v>
      </c>
      <c r="F6366" s="681" t="n">
        <v>23500</v>
      </c>
      <c r="G6366" s="615" t="n">
        <f aca="false">F6366*E6366</f>
        <v>70.5</v>
      </c>
      <c r="H6366" s="433"/>
    </row>
    <row r="6367" customFormat="false" ht="15" hidden="false" customHeight="false" outlineLevel="0" collapsed="false">
      <c r="A6367" s="571"/>
      <c r="B6367" s="433"/>
      <c r="C6367" s="855" t="s">
        <v>4122</v>
      </c>
      <c r="D6367" s="316" t="s">
        <v>4359</v>
      </c>
      <c r="E6367" s="855" t="n">
        <v>0.1</v>
      </c>
      <c r="F6367" s="857" t="n">
        <v>720</v>
      </c>
      <c r="G6367" s="615" t="n">
        <f aca="false">F6367*E6367</f>
        <v>72</v>
      </c>
      <c r="H6367" s="433"/>
    </row>
    <row r="6368" customFormat="false" ht="15" hidden="false" customHeight="false" outlineLevel="0" collapsed="false">
      <c r="A6368" s="571"/>
      <c r="B6368" s="433"/>
      <c r="C6368" s="855" t="s">
        <v>4515</v>
      </c>
      <c r="D6368" s="316" t="s">
        <v>4133</v>
      </c>
      <c r="E6368" s="855" t="n">
        <v>0.01</v>
      </c>
      <c r="F6368" s="857" t="n">
        <v>2700</v>
      </c>
      <c r="G6368" s="615" t="n">
        <f aca="false">F6368*E6368</f>
        <v>27</v>
      </c>
      <c r="H6368" s="433"/>
    </row>
    <row r="6369" customFormat="false" ht="15" hidden="false" customHeight="false" outlineLevel="0" collapsed="false">
      <c r="A6369" s="571"/>
      <c r="B6369" s="433"/>
      <c r="C6369" s="861" t="s">
        <v>4124</v>
      </c>
      <c r="D6369" s="316" t="s">
        <v>4125</v>
      </c>
      <c r="E6369" s="855" t="n">
        <v>0.1</v>
      </c>
      <c r="F6369" s="857" t="n">
        <v>170</v>
      </c>
      <c r="G6369" s="615" t="n">
        <f aca="false">F6369*E6369</f>
        <v>17</v>
      </c>
      <c r="H6369" s="433"/>
    </row>
    <row r="6370" customFormat="false" ht="30" hidden="false" customHeight="false" outlineLevel="0" collapsed="false">
      <c r="A6370" s="571" t="s">
        <v>1150</v>
      </c>
      <c r="B6370" s="433" t="s">
        <v>3315</v>
      </c>
      <c r="C6370" s="41"/>
      <c r="D6370" s="874"/>
      <c r="E6370" s="41"/>
      <c r="F6370" s="875"/>
      <c r="G6370" s="826" t="n">
        <f aca="false">SUM(G6371:G6396)</f>
        <v>15516.324</v>
      </c>
      <c r="H6370" s="433" t="s">
        <v>5288</v>
      </c>
    </row>
    <row r="6371" customFormat="false" ht="15" hidden="false" customHeight="false" outlineLevel="0" collapsed="false">
      <c r="A6371" s="571"/>
      <c r="B6371" s="433"/>
      <c r="C6371" s="860" t="s">
        <v>4250</v>
      </c>
      <c r="D6371" s="316" t="s">
        <v>4359</v>
      </c>
      <c r="E6371" s="855" t="n">
        <v>0.1</v>
      </c>
      <c r="F6371" s="115" t="n">
        <v>42000</v>
      </c>
      <c r="G6371" s="615" t="n">
        <f aca="false">F6371*E6371</f>
        <v>4200</v>
      </c>
      <c r="H6371" s="433"/>
    </row>
    <row r="6372" customFormat="false" ht="15" hidden="false" customHeight="false" outlineLevel="0" collapsed="false">
      <c r="A6372" s="571"/>
      <c r="B6372" s="433"/>
      <c r="C6372" s="855" t="s">
        <v>4604</v>
      </c>
      <c r="D6372" s="316" t="s">
        <v>4359</v>
      </c>
      <c r="E6372" s="855" t="n">
        <v>0.09</v>
      </c>
      <c r="F6372" s="115" t="n">
        <v>18000</v>
      </c>
      <c r="G6372" s="615" t="n">
        <f aca="false">F6372*E6372</f>
        <v>1620</v>
      </c>
      <c r="H6372" s="433"/>
    </row>
    <row r="6373" customFormat="false" ht="15" hidden="false" customHeight="false" outlineLevel="0" collapsed="false">
      <c r="A6373" s="571"/>
      <c r="B6373" s="433"/>
      <c r="C6373" s="855" t="s">
        <v>4147</v>
      </c>
      <c r="D6373" s="316" t="s">
        <v>4359</v>
      </c>
      <c r="E6373" s="855" t="n">
        <v>0.01</v>
      </c>
      <c r="F6373" s="115" t="n">
        <v>18000</v>
      </c>
      <c r="G6373" s="615" t="n">
        <f aca="false">F6373*E6373</f>
        <v>180</v>
      </c>
      <c r="H6373" s="433"/>
    </row>
    <row r="6374" customFormat="false" ht="15" hidden="false" customHeight="false" outlineLevel="0" collapsed="false">
      <c r="A6374" s="571"/>
      <c r="B6374" s="433"/>
      <c r="C6374" s="855" t="s">
        <v>4365</v>
      </c>
      <c r="D6374" s="316" t="s">
        <v>4133</v>
      </c>
      <c r="E6374" s="855" t="n">
        <v>0.002</v>
      </c>
      <c r="F6374" s="115" t="n">
        <v>18000</v>
      </c>
      <c r="G6374" s="615" t="n">
        <f aca="false">F6374*E6374</f>
        <v>36</v>
      </c>
      <c r="H6374" s="433"/>
    </row>
    <row r="6375" customFormat="false" ht="15" hidden="false" customHeight="false" outlineLevel="0" collapsed="false">
      <c r="A6375" s="571"/>
      <c r="B6375" s="433"/>
      <c r="C6375" s="860" t="s">
        <v>5279</v>
      </c>
      <c r="D6375" s="316" t="s">
        <v>4359</v>
      </c>
      <c r="E6375" s="855" t="n">
        <v>0.05</v>
      </c>
      <c r="F6375" s="115" t="n">
        <v>21000</v>
      </c>
      <c r="G6375" s="615" t="n">
        <f aca="false">F6375*E6375</f>
        <v>1050</v>
      </c>
      <c r="H6375" s="433"/>
    </row>
    <row r="6376" customFormat="false" ht="15" hidden="false" customHeight="false" outlineLevel="0" collapsed="false">
      <c r="A6376" s="571"/>
      <c r="B6376" s="433"/>
      <c r="C6376" s="855" t="s">
        <v>4673</v>
      </c>
      <c r="D6376" s="316" t="s">
        <v>4133</v>
      </c>
      <c r="E6376" s="855" t="n">
        <v>0.002</v>
      </c>
      <c r="F6376" s="115" t="n">
        <v>106777</v>
      </c>
      <c r="G6376" s="615" t="n">
        <f aca="false">F6376*E6376</f>
        <v>213.554</v>
      </c>
      <c r="H6376" s="433"/>
    </row>
    <row r="6377" customFormat="false" ht="15" hidden="false" customHeight="false" outlineLevel="0" collapsed="false">
      <c r="A6377" s="571"/>
      <c r="B6377" s="433"/>
      <c r="C6377" s="860" t="s">
        <v>4154</v>
      </c>
      <c r="D6377" s="316" t="s">
        <v>4359</v>
      </c>
      <c r="E6377" s="855" t="n">
        <v>0.006</v>
      </c>
      <c r="F6377" s="115" t="n">
        <v>18000</v>
      </c>
      <c r="G6377" s="615" t="n">
        <f aca="false">F6377*E6377</f>
        <v>108</v>
      </c>
      <c r="H6377" s="433"/>
    </row>
    <row r="6378" customFormat="false" ht="15" hidden="false" customHeight="false" outlineLevel="0" collapsed="false">
      <c r="A6378" s="571"/>
      <c r="B6378" s="433"/>
      <c r="C6378" s="855" t="s">
        <v>5252</v>
      </c>
      <c r="D6378" s="316" t="s">
        <v>4133</v>
      </c>
      <c r="E6378" s="855" t="n">
        <v>0.002</v>
      </c>
      <c r="F6378" s="115" t="n">
        <v>19000</v>
      </c>
      <c r="G6378" s="615" t="n">
        <f aca="false">F6378*E6378</f>
        <v>38</v>
      </c>
      <c r="H6378" s="433"/>
    </row>
    <row r="6379" customFormat="false" ht="15" hidden="false" customHeight="false" outlineLevel="0" collapsed="false">
      <c r="A6379" s="571"/>
      <c r="B6379" s="433"/>
      <c r="C6379" s="860" t="s">
        <v>4317</v>
      </c>
      <c r="D6379" s="877" t="s">
        <v>4359</v>
      </c>
      <c r="E6379" s="860" t="n">
        <v>0.15</v>
      </c>
      <c r="F6379" s="115" t="n">
        <v>21000</v>
      </c>
      <c r="G6379" s="615" t="n">
        <f aca="false">F6379*E6379</f>
        <v>3150</v>
      </c>
      <c r="H6379" s="433"/>
    </row>
    <row r="6380" customFormat="false" ht="15" hidden="false" customHeight="false" outlineLevel="0" collapsed="false">
      <c r="A6380" s="571"/>
      <c r="B6380" s="433"/>
      <c r="C6380" s="855" t="s">
        <v>4132</v>
      </c>
      <c r="D6380" s="316" t="s">
        <v>4133</v>
      </c>
      <c r="E6380" s="855" t="n">
        <v>0.005</v>
      </c>
      <c r="F6380" s="115" t="n">
        <v>18000</v>
      </c>
      <c r="G6380" s="615" t="n">
        <f aca="false">F6380*E6380</f>
        <v>90</v>
      </c>
      <c r="H6380" s="433"/>
    </row>
    <row r="6381" customFormat="false" ht="15" hidden="false" customHeight="false" outlineLevel="0" collapsed="false">
      <c r="A6381" s="571"/>
      <c r="B6381" s="433"/>
      <c r="C6381" s="860" t="s">
        <v>4158</v>
      </c>
      <c r="D6381" s="316" t="s">
        <v>4133</v>
      </c>
      <c r="E6381" s="855" t="n">
        <v>0.02</v>
      </c>
      <c r="F6381" s="115" t="n">
        <v>6400</v>
      </c>
      <c r="G6381" s="615" t="n">
        <f aca="false">F6381*E6381</f>
        <v>128</v>
      </c>
      <c r="H6381" s="433"/>
    </row>
    <row r="6382" customFormat="false" ht="30" hidden="false" customHeight="false" outlineLevel="0" collapsed="false">
      <c r="A6382" s="571"/>
      <c r="B6382" s="433"/>
      <c r="C6382" s="881" t="s">
        <v>4227</v>
      </c>
      <c r="D6382" s="882" t="s">
        <v>4133</v>
      </c>
      <c r="E6382" s="614" t="n">
        <v>0.01</v>
      </c>
      <c r="F6382" s="883" t="n">
        <v>24000</v>
      </c>
      <c r="G6382" s="615" t="n">
        <f aca="false">F6382*E6382</f>
        <v>240</v>
      </c>
      <c r="H6382" s="433"/>
    </row>
    <row r="6383" customFormat="false" ht="15" hidden="false" customHeight="false" outlineLevel="0" collapsed="false">
      <c r="A6383" s="571"/>
      <c r="B6383" s="433"/>
      <c r="C6383" s="881" t="s">
        <v>4266</v>
      </c>
      <c r="D6383" s="882" t="s">
        <v>4133</v>
      </c>
      <c r="E6383" s="614" t="n">
        <v>0.001</v>
      </c>
      <c r="F6383" s="883" t="n">
        <v>24000</v>
      </c>
      <c r="G6383" s="615" t="n">
        <f aca="false">F6383*E6383</f>
        <v>24</v>
      </c>
      <c r="H6383" s="433"/>
    </row>
    <row r="6384" customFormat="false" ht="30" hidden="false" customHeight="false" outlineLevel="0" collapsed="false">
      <c r="A6384" s="571"/>
      <c r="B6384" s="433"/>
      <c r="C6384" s="855" t="s">
        <v>5268</v>
      </c>
      <c r="D6384" s="316" t="s">
        <v>4133</v>
      </c>
      <c r="E6384" s="855" t="n">
        <v>0.0001</v>
      </c>
      <c r="F6384" s="115" t="n">
        <v>60000</v>
      </c>
      <c r="G6384" s="615" t="n">
        <f aca="false">F6384*E6384</f>
        <v>6</v>
      </c>
      <c r="H6384" s="433"/>
    </row>
    <row r="6385" customFormat="false" ht="15" hidden="false" customHeight="false" outlineLevel="0" collapsed="false">
      <c r="A6385" s="571"/>
      <c r="B6385" s="433"/>
      <c r="C6385" s="867" t="s">
        <v>4497</v>
      </c>
      <c r="D6385" s="868" t="s">
        <v>4348</v>
      </c>
      <c r="E6385" s="869" t="n">
        <v>0.003</v>
      </c>
      <c r="F6385" s="870" t="n">
        <v>550000</v>
      </c>
      <c r="G6385" s="615" t="n">
        <f aca="false">F6385*E6385</f>
        <v>1650</v>
      </c>
      <c r="H6385" s="433"/>
    </row>
    <row r="6386" customFormat="false" ht="15" hidden="false" customHeight="false" outlineLevel="0" collapsed="false">
      <c r="A6386" s="571"/>
      <c r="B6386" s="433"/>
      <c r="C6386" s="884" t="s">
        <v>4122</v>
      </c>
      <c r="D6386" s="679" t="s">
        <v>4123</v>
      </c>
      <c r="E6386" s="709" t="n">
        <v>0.1</v>
      </c>
      <c r="F6386" s="886" t="n">
        <v>720</v>
      </c>
      <c r="G6386" s="615" t="n">
        <f aca="false">F6386*E6386</f>
        <v>72</v>
      </c>
      <c r="H6386" s="433"/>
    </row>
    <row r="6387" customFormat="false" ht="30" hidden="false" customHeight="false" outlineLevel="0" collapsed="false">
      <c r="A6387" s="571"/>
      <c r="B6387" s="433"/>
      <c r="C6387" s="532" t="s">
        <v>5238</v>
      </c>
      <c r="D6387" s="679" t="s">
        <v>4141</v>
      </c>
      <c r="E6387" s="899" t="n">
        <v>0.2</v>
      </c>
      <c r="F6387" s="681" t="n">
        <v>1400</v>
      </c>
      <c r="G6387" s="615" t="n">
        <f aca="false">F6387*E6387</f>
        <v>280</v>
      </c>
      <c r="H6387" s="433"/>
    </row>
    <row r="6388" customFormat="false" ht="15" hidden="false" customHeight="false" outlineLevel="0" collapsed="false">
      <c r="A6388" s="571"/>
      <c r="B6388" s="433"/>
      <c r="C6388" s="855" t="s">
        <v>5241</v>
      </c>
      <c r="D6388" s="679" t="s">
        <v>4121</v>
      </c>
      <c r="E6388" s="709" t="n">
        <v>0.01</v>
      </c>
      <c r="F6388" s="681" t="n">
        <v>1500</v>
      </c>
      <c r="G6388" s="615" t="n">
        <f aca="false">F6388*E6388</f>
        <v>15</v>
      </c>
      <c r="H6388" s="433"/>
    </row>
    <row r="6389" customFormat="false" ht="15" hidden="false" customHeight="false" outlineLevel="0" collapsed="false">
      <c r="A6389" s="571"/>
      <c r="B6389" s="433"/>
      <c r="C6389" s="855" t="s">
        <v>5240</v>
      </c>
      <c r="D6389" s="316" t="s">
        <v>4578</v>
      </c>
      <c r="E6389" s="855" t="n">
        <v>0.002</v>
      </c>
      <c r="F6389" s="857" t="n">
        <v>225000</v>
      </c>
      <c r="G6389" s="615" t="n">
        <f aca="false">F6389*E6389</f>
        <v>450</v>
      </c>
      <c r="H6389" s="433"/>
    </row>
    <row r="6390" customFormat="false" ht="15" hidden="false" customHeight="false" outlineLevel="0" collapsed="false">
      <c r="A6390" s="571"/>
      <c r="B6390" s="433"/>
      <c r="C6390" s="884" t="s">
        <v>4497</v>
      </c>
      <c r="D6390" s="679" t="s">
        <v>4348</v>
      </c>
      <c r="E6390" s="869" t="n">
        <v>0.003</v>
      </c>
      <c r="F6390" s="870" t="n">
        <v>550000</v>
      </c>
      <c r="G6390" s="615" t="n">
        <f aca="false">F6390*E6390</f>
        <v>1650</v>
      </c>
      <c r="H6390" s="433"/>
    </row>
    <row r="6391" customFormat="false" ht="15" hidden="false" customHeight="false" outlineLevel="0" collapsed="false">
      <c r="A6391" s="571"/>
      <c r="B6391" s="433"/>
      <c r="C6391" s="884" t="s">
        <v>4122</v>
      </c>
      <c r="D6391" s="679" t="s">
        <v>4123</v>
      </c>
      <c r="E6391" s="709" t="n">
        <v>0.1</v>
      </c>
      <c r="F6391" s="886" t="n">
        <v>720</v>
      </c>
      <c r="G6391" s="615" t="n">
        <f aca="false">F6391*E6391</f>
        <v>72</v>
      </c>
      <c r="H6391" s="433"/>
    </row>
    <row r="6392" customFormat="false" ht="15" hidden="false" customHeight="false" outlineLevel="0" collapsed="false">
      <c r="A6392" s="571"/>
      <c r="B6392" s="433"/>
      <c r="C6392" s="885" t="s">
        <v>4124</v>
      </c>
      <c r="D6392" s="679" t="s">
        <v>4125</v>
      </c>
      <c r="E6392" s="709" t="n">
        <v>0.1</v>
      </c>
      <c r="F6392" s="886" t="n">
        <v>170</v>
      </c>
      <c r="G6392" s="615" t="n">
        <f aca="false">F6392*E6392</f>
        <v>17</v>
      </c>
      <c r="H6392" s="433"/>
    </row>
    <row r="6393" customFormat="false" ht="15" hidden="false" customHeight="false" outlineLevel="0" collapsed="false">
      <c r="A6393" s="571"/>
      <c r="B6393" s="433"/>
      <c r="C6393" s="885" t="s">
        <v>4347</v>
      </c>
      <c r="D6393" s="679" t="s">
        <v>4348</v>
      </c>
      <c r="E6393" s="709" t="n">
        <v>1</v>
      </c>
      <c r="F6393" s="886" t="n">
        <v>130</v>
      </c>
      <c r="G6393" s="615" t="n">
        <f aca="false">F6393*E6393</f>
        <v>130</v>
      </c>
      <c r="H6393" s="433"/>
    </row>
    <row r="6394" customFormat="false" ht="15" hidden="false" customHeight="false" outlineLevel="0" collapsed="false">
      <c r="A6394" s="571"/>
      <c r="B6394" s="433"/>
      <c r="C6394" s="532" t="s">
        <v>5239</v>
      </c>
      <c r="D6394" s="679" t="s">
        <v>4141</v>
      </c>
      <c r="E6394" s="866" t="n">
        <v>0.003</v>
      </c>
      <c r="F6394" s="681" t="n">
        <v>23500</v>
      </c>
      <c r="G6394" s="615" t="n">
        <f aca="false">F6394*E6394</f>
        <v>70.5</v>
      </c>
      <c r="H6394" s="433"/>
    </row>
    <row r="6395" customFormat="false" ht="15" hidden="false" customHeight="false" outlineLevel="0" collapsed="false">
      <c r="A6395" s="571"/>
      <c r="B6395" s="433"/>
      <c r="C6395" s="885" t="s">
        <v>4515</v>
      </c>
      <c r="D6395" s="679" t="s">
        <v>4133</v>
      </c>
      <c r="E6395" s="709" t="n">
        <v>0.0001</v>
      </c>
      <c r="F6395" s="886" t="n">
        <v>2700</v>
      </c>
      <c r="G6395" s="615" t="n">
        <f aca="false">F6395*E6395</f>
        <v>0.27</v>
      </c>
      <c r="H6395" s="433"/>
    </row>
    <row r="6396" customFormat="false" ht="15" hidden="false" customHeight="false" outlineLevel="0" collapsed="false">
      <c r="A6396" s="571"/>
      <c r="B6396" s="433"/>
      <c r="C6396" s="855" t="s">
        <v>4509</v>
      </c>
      <c r="D6396" s="316" t="s">
        <v>4348</v>
      </c>
      <c r="E6396" s="855" t="n">
        <v>1</v>
      </c>
      <c r="F6396" s="857" t="n">
        <v>26</v>
      </c>
      <c r="G6396" s="615" t="n">
        <f aca="false">F6396*E6396</f>
        <v>26</v>
      </c>
      <c r="H6396" s="433"/>
    </row>
    <row r="6397" customFormat="false" ht="45" hidden="false" customHeight="false" outlineLevel="0" collapsed="false">
      <c r="A6397" s="571" t="s">
        <v>1151</v>
      </c>
      <c r="B6397" s="488" t="s">
        <v>3314</v>
      </c>
      <c r="C6397" s="41"/>
      <c r="D6397" s="874"/>
      <c r="E6397" s="41"/>
      <c r="F6397" s="875"/>
      <c r="G6397" s="826" t="n">
        <f aca="false">SUM(G6398:G6417)</f>
        <v>14376.785</v>
      </c>
      <c r="H6397" s="433" t="s">
        <v>5316</v>
      </c>
    </row>
    <row r="6398" customFormat="false" ht="15" hidden="false" customHeight="false" outlineLevel="0" collapsed="false">
      <c r="A6398" s="571"/>
      <c r="B6398" s="433"/>
      <c r="C6398" s="860" t="s">
        <v>4250</v>
      </c>
      <c r="D6398" s="316" t="s">
        <v>4359</v>
      </c>
      <c r="E6398" s="855" t="n">
        <v>0.1</v>
      </c>
      <c r="F6398" s="115" t="n">
        <v>42000</v>
      </c>
      <c r="G6398" s="615" t="n">
        <f aca="false">F6398*E6398</f>
        <v>4200</v>
      </c>
      <c r="H6398" s="433"/>
    </row>
    <row r="6399" customFormat="false" ht="15" hidden="false" customHeight="false" outlineLevel="0" collapsed="false">
      <c r="A6399" s="571"/>
      <c r="B6399" s="433"/>
      <c r="C6399" s="860" t="s">
        <v>5279</v>
      </c>
      <c r="D6399" s="316" t="s">
        <v>4359</v>
      </c>
      <c r="E6399" s="855" t="n">
        <v>0.06</v>
      </c>
      <c r="F6399" s="115" t="n">
        <v>21000</v>
      </c>
      <c r="G6399" s="615" t="n">
        <f aca="false">F6399*E6399</f>
        <v>1260</v>
      </c>
      <c r="H6399" s="433"/>
    </row>
    <row r="6400" customFormat="false" ht="15" hidden="false" customHeight="false" outlineLevel="0" collapsed="false">
      <c r="A6400" s="571"/>
      <c r="B6400" s="433"/>
      <c r="C6400" s="855" t="s">
        <v>4604</v>
      </c>
      <c r="D6400" s="316" t="s">
        <v>4359</v>
      </c>
      <c r="E6400" s="855" t="n">
        <v>0.052</v>
      </c>
      <c r="F6400" s="115" t="n">
        <v>18000</v>
      </c>
      <c r="G6400" s="615" t="n">
        <f aca="false">F6400*E6400</f>
        <v>936</v>
      </c>
      <c r="H6400" s="433"/>
    </row>
    <row r="6401" customFormat="false" ht="15" hidden="false" customHeight="false" outlineLevel="0" collapsed="false">
      <c r="A6401" s="571"/>
      <c r="B6401" s="433"/>
      <c r="C6401" s="855" t="s">
        <v>4673</v>
      </c>
      <c r="D6401" s="316" t="s">
        <v>4133</v>
      </c>
      <c r="E6401" s="855" t="n">
        <v>0.005</v>
      </c>
      <c r="F6401" s="115" t="n">
        <v>106777</v>
      </c>
      <c r="G6401" s="615" t="n">
        <f aca="false">F6401*E6401</f>
        <v>533.885</v>
      </c>
      <c r="H6401" s="433"/>
    </row>
    <row r="6402" customFormat="false" ht="15" hidden="false" customHeight="false" outlineLevel="0" collapsed="false">
      <c r="A6402" s="571"/>
      <c r="B6402" s="433"/>
      <c r="C6402" s="855" t="s">
        <v>5252</v>
      </c>
      <c r="D6402" s="316" t="s">
        <v>4133</v>
      </c>
      <c r="E6402" s="855" t="n">
        <v>0.01</v>
      </c>
      <c r="F6402" s="115" t="n">
        <v>19000</v>
      </c>
      <c r="G6402" s="615" t="n">
        <f aca="false">F6402*E6402</f>
        <v>190</v>
      </c>
      <c r="H6402" s="433"/>
    </row>
    <row r="6403" customFormat="false" ht="15" hidden="false" customHeight="false" outlineLevel="0" collapsed="false">
      <c r="A6403" s="571"/>
      <c r="B6403" s="433"/>
      <c r="C6403" s="860" t="s">
        <v>4317</v>
      </c>
      <c r="D6403" s="877" t="s">
        <v>4359</v>
      </c>
      <c r="E6403" s="860" t="n">
        <v>0.15</v>
      </c>
      <c r="F6403" s="115" t="n">
        <v>21000</v>
      </c>
      <c r="G6403" s="615" t="n">
        <f aca="false">F6403*E6403</f>
        <v>3150</v>
      </c>
      <c r="H6403" s="433"/>
    </row>
    <row r="6404" customFormat="false" ht="15" hidden="false" customHeight="false" outlineLevel="0" collapsed="false">
      <c r="A6404" s="571"/>
      <c r="B6404" s="433"/>
      <c r="C6404" s="860" t="s">
        <v>4154</v>
      </c>
      <c r="D6404" s="877" t="s">
        <v>4359</v>
      </c>
      <c r="E6404" s="860" t="n">
        <v>0.006</v>
      </c>
      <c r="F6404" s="115" t="n">
        <v>18000</v>
      </c>
      <c r="G6404" s="615" t="n">
        <f aca="false">F6404*E6404</f>
        <v>108</v>
      </c>
      <c r="H6404" s="433"/>
    </row>
    <row r="6405" customFormat="false" ht="30" hidden="false" customHeight="false" outlineLevel="0" collapsed="false">
      <c r="A6405" s="571"/>
      <c r="B6405" s="433"/>
      <c r="C6405" s="855" t="s">
        <v>5268</v>
      </c>
      <c r="D6405" s="316" t="s">
        <v>4133</v>
      </c>
      <c r="E6405" s="855" t="n">
        <v>0.0001</v>
      </c>
      <c r="F6405" s="115" t="n">
        <v>60000</v>
      </c>
      <c r="G6405" s="615" t="n">
        <f aca="false">F6405*E6405</f>
        <v>6</v>
      </c>
      <c r="H6405" s="433"/>
    </row>
    <row r="6406" customFormat="false" ht="15" hidden="false" customHeight="false" outlineLevel="0" collapsed="false">
      <c r="A6406" s="571"/>
      <c r="B6406" s="433"/>
      <c r="C6406" s="855" t="s">
        <v>4205</v>
      </c>
      <c r="D6406" s="316" t="s">
        <v>4359</v>
      </c>
      <c r="E6406" s="855" t="n">
        <v>0.06</v>
      </c>
      <c r="F6406" s="115" t="n">
        <v>14000</v>
      </c>
      <c r="G6406" s="615" t="n">
        <f aca="false">F6406*E6406</f>
        <v>840</v>
      </c>
      <c r="H6406" s="433"/>
    </row>
    <row r="6407" customFormat="false" ht="15" hidden="false" customHeight="false" outlineLevel="0" collapsed="false">
      <c r="A6407" s="571"/>
      <c r="B6407" s="433"/>
      <c r="C6407" s="855" t="s">
        <v>4216</v>
      </c>
      <c r="D6407" s="316" t="s">
        <v>4133</v>
      </c>
      <c r="E6407" s="855" t="n">
        <v>0.001</v>
      </c>
      <c r="F6407" s="115" t="n">
        <v>21000</v>
      </c>
      <c r="G6407" s="615" t="n">
        <f aca="false">F6407*E6407</f>
        <v>21</v>
      </c>
      <c r="H6407" s="433"/>
    </row>
    <row r="6408" customFormat="false" ht="15" hidden="false" customHeight="false" outlineLevel="0" collapsed="false">
      <c r="A6408" s="571"/>
      <c r="B6408" s="433"/>
      <c r="C6408" s="41" t="s">
        <v>4758</v>
      </c>
      <c r="D6408" s="316" t="s">
        <v>4359</v>
      </c>
      <c r="E6408" s="855" t="n">
        <v>0.05</v>
      </c>
      <c r="F6408" s="115" t="n">
        <v>14000</v>
      </c>
      <c r="G6408" s="615" t="n">
        <f aca="false">F6408*E6408</f>
        <v>700</v>
      </c>
      <c r="H6408" s="433"/>
    </row>
    <row r="6409" customFormat="false" ht="15" hidden="false" customHeight="false" outlineLevel="0" collapsed="false">
      <c r="A6409" s="571"/>
      <c r="B6409" s="433"/>
      <c r="C6409" s="867" t="s">
        <v>4497</v>
      </c>
      <c r="D6409" s="868" t="s">
        <v>4348</v>
      </c>
      <c r="E6409" s="869" t="n">
        <v>0.003</v>
      </c>
      <c r="F6409" s="604" t="n">
        <v>550000</v>
      </c>
      <c r="G6409" s="615" t="n">
        <f aca="false">F6409*E6409</f>
        <v>1650</v>
      </c>
      <c r="H6409" s="433"/>
    </row>
    <row r="6410" customFormat="false" ht="15" hidden="false" customHeight="false" outlineLevel="0" collapsed="false">
      <c r="A6410" s="571"/>
      <c r="B6410" s="433"/>
      <c r="C6410" s="884" t="s">
        <v>4122</v>
      </c>
      <c r="D6410" s="679" t="s">
        <v>4123</v>
      </c>
      <c r="E6410" s="709" t="n">
        <v>0.1</v>
      </c>
      <c r="F6410" s="883" t="n">
        <v>720</v>
      </c>
      <c r="G6410" s="615" t="n">
        <f aca="false">F6410*E6410</f>
        <v>72</v>
      </c>
      <c r="H6410" s="433"/>
    </row>
    <row r="6411" customFormat="false" ht="30" hidden="false" customHeight="false" outlineLevel="0" collapsed="false">
      <c r="A6411" s="571"/>
      <c r="B6411" s="433"/>
      <c r="C6411" s="532" t="s">
        <v>5238</v>
      </c>
      <c r="D6411" s="679" t="s">
        <v>4141</v>
      </c>
      <c r="E6411" s="865" t="n">
        <v>0.001</v>
      </c>
      <c r="F6411" s="681" t="n">
        <v>1400</v>
      </c>
      <c r="G6411" s="615" t="n">
        <f aca="false">F6411*E6411</f>
        <v>1.4</v>
      </c>
      <c r="H6411" s="433"/>
    </row>
    <row r="6412" customFormat="false" ht="15" hidden="false" customHeight="false" outlineLevel="0" collapsed="false">
      <c r="A6412" s="571"/>
      <c r="B6412" s="433"/>
      <c r="C6412" s="855" t="s">
        <v>5241</v>
      </c>
      <c r="D6412" s="679" t="s">
        <v>4121</v>
      </c>
      <c r="E6412" s="709" t="n">
        <v>0.01</v>
      </c>
      <c r="F6412" s="681" t="n">
        <v>1500</v>
      </c>
      <c r="G6412" s="615" t="n">
        <f aca="false">F6412*E6412</f>
        <v>15</v>
      </c>
      <c r="H6412" s="433"/>
    </row>
    <row r="6413" customFormat="false" ht="15" hidden="false" customHeight="false" outlineLevel="0" collapsed="false">
      <c r="A6413" s="571"/>
      <c r="B6413" s="433"/>
      <c r="C6413" s="855" t="s">
        <v>5240</v>
      </c>
      <c r="D6413" s="316" t="s">
        <v>4578</v>
      </c>
      <c r="E6413" s="855" t="n">
        <v>0.002</v>
      </c>
      <c r="F6413" s="857" t="n">
        <v>225000</v>
      </c>
      <c r="G6413" s="615" t="n">
        <f aca="false">F6413*E6413</f>
        <v>450</v>
      </c>
      <c r="H6413" s="433"/>
    </row>
    <row r="6414" customFormat="false" ht="15" hidden="false" customHeight="false" outlineLevel="0" collapsed="false">
      <c r="A6414" s="571"/>
      <c r="B6414" s="433"/>
      <c r="C6414" s="885" t="s">
        <v>4124</v>
      </c>
      <c r="D6414" s="679" t="s">
        <v>4125</v>
      </c>
      <c r="E6414" s="709" t="n">
        <v>0.1</v>
      </c>
      <c r="F6414" s="886" t="n">
        <v>170</v>
      </c>
      <c r="G6414" s="615" t="n">
        <f aca="false">F6414*E6414</f>
        <v>17</v>
      </c>
      <c r="H6414" s="433"/>
    </row>
    <row r="6415" customFormat="false" ht="15" hidden="false" customHeight="false" outlineLevel="0" collapsed="false">
      <c r="A6415" s="571"/>
      <c r="B6415" s="433"/>
      <c r="C6415" s="532" t="s">
        <v>5239</v>
      </c>
      <c r="D6415" s="679" t="s">
        <v>4141</v>
      </c>
      <c r="E6415" s="866" t="n">
        <v>0.003</v>
      </c>
      <c r="F6415" s="681" t="n">
        <v>23500</v>
      </c>
      <c r="G6415" s="615" t="n">
        <f aca="false">F6415*E6415</f>
        <v>70.5</v>
      </c>
      <c r="H6415" s="433"/>
    </row>
    <row r="6416" customFormat="false" ht="15" hidden="false" customHeight="false" outlineLevel="0" collapsed="false">
      <c r="A6416" s="571"/>
      <c r="B6416" s="433"/>
      <c r="C6416" s="885" t="s">
        <v>4347</v>
      </c>
      <c r="D6416" s="679" t="s">
        <v>4348</v>
      </c>
      <c r="E6416" s="709" t="n">
        <v>1</v>
      </c>
      <c r="F6416" s="886" t="n">
        <v>130</v>
      </c>
      <c r="G6416" s="615" t="n">
        <f aca="false">F6416*E6416</f>
        <v>130</v>
      </c>
      <c r="H6416" s="433"/>
    </row>
    <row r="6417" customFormat="false" ht="27.75" hidden="false" customHeight="true" outlineLevel="0" collapsed="false">
      <c r="A6417" s="571"/>
      <c r="B6417" s="433"/>
      <c r="C6417" s="855" t="s">
        <v>4509</v>
      </c>
      <c r="D6417" s="316" t="s">
        <v>4348</v>
      </c>
      <c r="E6417" s="855" t="n">
        <v>1</v>
      </c>
      <c r="F6417" s="115" t="n">
        <v>26</v>
      </c>
      <c r="G6417" s="615" t="n">
        <f aca="false">F6417*E6417</f>
        <v>26</v>
      </c>
      <c r="H6417" s="433"/>
    </row>
    <row r="6418" customFormat="false" ht="15" hidden="false" customHeight="false" outlineLevel="0" collapsed="false">
      <c r="A6418" s="571" t="s">
        <v>1152</v>
      </c>
      <c r="B6418" s="488" t="s">
        <v>3324</v>
      </c>
      <c r="C6418" s="41"/>
      <c r="D6418" s="874"/>
      <c r="E6418" s="41"/>
      <c r="F6418" s="875"/>
      <c r="G6418" s="826" t="n">
        <f aca="false">SUM(G6419:G6440)</f>
        <v>8441.025</v>
      </c>
      <c r="H6418" s="433"/>
    </row>
    <row r="6419" customFormat="false" ht="30" hidden="false" customHeight="false" outlineLevel="0" collapsed="false">
      <c r="A6419" s="571"/>
      <c r="B6419" s="433"/>
      <c r="C6419" s="855" t="s">
        <v>4604</v>
      </c>
      <c r="D6419" s="316" t="s">
        <v>4359</v>
      </c>
      <c r="E6419" s="855" t="n">
        <v>0.026</v>
      </c>
      <c r="F6419" s="115" t="n">
        <v>18000</v>
      </c>
      <c r="G6419" s="615" t="n">
        <f aca="false">F6419*E6419</f>
        <v>468</v>
      </c>
      <c r="H6419" s="433" t="s">
        <v>5282</v>
      </c>
    </row>
    <row r="6420" customFormat="false" ht="15" hidden="false" customHeight="false" outlineLevel="0" collapsed="false">
      <c r="A6420" s="571"/>
      <c r="B6420" s="433"/>
      <c r="C6420" s="878" t="s">
        <v>4552</v>
      </c>
      <c r="D6420" s="877" t="s">
        <v>4133</v>
      </c>
      <c r="E6420" s="860" t="n">
        <v>0.0125</v>
      </c>
      <c r="F6420" s="115" t="n">
        <v>7500</v>
      </c>
      <c r="G6420" s="615" t="n">
        <f aca="false">F6420*E6420</f>
        <v>93.75</v>
      </c>
      <c r="H6420" s="433"/>
    </row>
    <row r="6421" customFormat="false" ht="15" hidden="false" customHeight="false" outlineLevel="0" collapsed="false">
      <c r="A6421" s="571"/>
      <c r="B6421" s="433"/>
      <c r="C6421" s="878" t="s">
        <v>4154</v>
      </c>
      <c r="D6421" s="316" t="s">
        <v>4359</v>
      </c>
      <c r="E6421" s="855" t="n">
        <v>0.007</v>
      </c>
      <c r="F6421" s="115" t="n">
        <v>18000</v>
      </c>
      <c r="G6421" s="615" t="n">
        <f aca="false">F6421*E6421</f>
        <v>126</v>
      </c>
      <c r="H6421" s="433"/>
    </row>
    <row r="6422" customFormat="false" ht="15" hidden="false" customHeight="false" outlineLevel="0" collapsed="false">
      <c r="A6422" s="571"/>
      <c r="B6422" s="433"/>
      <c r="C6422" s="855" t="s">
        <v>4582</v>
      </c>
      <c r="D6422" s="316" t="s">
        <v>4359</v>
      </c>
      <c r="E6422" s="855" t="n">
        <v>0.005</v>
      </c>
      <c r="F6422" s="115" t="n">
        <v>7275</v>
      </c>
      <c r="G6422" s="615" t="n">
        <f aca="false">F6422*E6422</f>
        <v>36.375</v>
      </c>
      <c r="H6422" s="433"/>
    </row>
    <row r="6423" customFormat="false" ht="15" hidden="false" customHeight="false" outlineLevel="0" collapsed="false">
      <c r="A6423" s="571"/>
      <c r="B6423" s="433"/>
      <c r="C6423" s="861" t="s">
        <v>4317</v>
      </c>
      <c r="D6423" s="316" t="s">
        <v>4359</v>
      </c>
      <c r="E6423" s="855" t="n">
        <v>0.1</v>
      </c>
      <c r="F6423" s="115" t="n">
        <v>21000</v>
      </c>
      <c r="G6423" s="615" t="n">
        <f aca="false">F6423*E6423</f>
        <v>2100</v>
      </c>
      <c r="H6423" s="433"/>
    </row>
    <row r="6424" customFormat="false" ht="15" hidden="false" customHeight="false" outlineLevel="0" collapsed="false">
      <c r="A6424" s="571"/>
      <c r="B6424" s="433"/>
      <c r="C6424" s="861" t="s">
        <v>4214</v>
      </c>
      <c r="D6424" s="316" t="s">
        <v>4133</v>
      </c>
      <c r="E6424" s="855" t="n">
        <v>0.01</v>
      </c>
      <c r="F6424" s="115" t="n">
        <v>35000</v>
      </c>
      <c r="G6424" s="615" t="n">
        <f aca="false">F6424*E6424</f>
        <v>350</v>
      </c>
      <c r="H6424" s="433"/>
    </row>
    <row r="6425" customFormat="false" ht="15" hidden="false" customHeight="false" outlineLevel="0" collapsed="false">
      <c r="A6425" s="571"/>
      <c r="B6425" s="433"/>
      <c r="C6425" s="855" t="s">
        <v>4627</v>
      </c>
      <c r="D6425" s="316" t="s">
        <v>4133</v>
      </c>
      <c r="E6425" s="855" t="n">
        <v>0.005</v>
      </c>
      <c r="F6425" s="115" t="n">
        <v>6400</v>
      </c>
      <c r="G6425" s="615" t="n">
        <f aca="false">F6425*E6425</f>
        <v>32</v>
      </c>
      <c r="H6425" s="433"/>
    </row>
    <row r="6426" customFormat="false" ht="15" hidden="false" customHeight="false" outlineLevel="0" collapsed="false">
      <c r="A6426" s="571"/>
      <c r="B6426" s="433"/>
      <c r="C6426" s="861" t="s">
        <v>5283</v>
      </c>
      <c r="D6426" s="316" t="s">
        <v>4133</v>
      </c>
      <c r="E6426" s="855" t="n">
        <v>0.05</v>
      </c>
      <c r="F6426" s="115" t="n">
        <v>48500</v>
      </c>
      <c r="G6426" s="615" t="n">
        <f aca="false">F6426*E6426</f>
        <v>2425</v>
      </c>
      <c r="H6426" s="433"/>
    </row>
    <row r="6427" customFormat="false" ht="15" hidden="false" customHeight="false" outlineLevel="0" collapsed="false">
      <c r="A6427" s="571"/>
      <c r="B6427" s="433"/>
      <c r="C6427" s="861" t="s">
        <v>4205</v>
      </c>
      <c r="D6427" s="316" t="s">
        <v>4359</v>
      </c>
      <c r="E6427" s="855" t="n">
        <v>0.01</v>
      </c>
      <c r="F6427" s="115" t="n">
        <v>14000</v>
      </c>
      <c r="G6427" s="615" t="n">
        <f aca="false">F6427*E6427</f>
        <v>140</v>
      </c>
      <c r="H6427" s="433"/>
    </row>
    <row r="6428" customFormat="false" ht="15" hidden="false" customHeight="false" outlineLevel="0" collapsed="false">
      <c r="A6428" s="571"/>
      <c r="B6428" s="433"/>
      <c r="C6428" s="861" t="s">
        <v>5223</v>
      </c>
      <c r="D6428" s="316" t="s">
        <v>4359</v>
      </c>
      <c r="E6428" s="855" t="n">
        <v>0.01</v>
      </c>
      <c r="F6428" s="115" t="n">
        <v>1000</v>
      </c>
      <c r="G6428" s="615" t="n">
        <f aca="false">F6428*E6428</f>
        <v>10</v>
      </c>
      <c r="H6428" s="433"/>
    </row>
    <row r="6429" customFormat="false" ht="30" hidden="false" customHeight="false" outlineLevel="0" collapsed="false">
      <c r="A6429" s="571"/>
      <c r="B6429" s="433"/>
      <c r="C6429" s="532" t="s">
        <v>5238</v>
      </c>
      <c r="D6429" s="679" t="s">
        <v>4141</v>
      </c>
      <c r="E6429" s="866" t="n">
        <v>0.001</v>
      </c>
      <c r="F6429" s="681" t="n">
        <v>1400</v>
      </c>
      <c r="G6429" s="615" t="n">
        <f aca="false">F6429*E6429</f>
        <v>1.4</v>
      </c>
      <c r="H6429" s="433"/>
    </row>
    <row r="6430" customFormat="false" ht="30" hidden="false" customHeight="false" outlineLevel="0" collapsed="false">
      <c r="A6430" s="571"/>
      <c r="B6430" s="433"/>
      <c r="C6430" s="855" t="s">
        <v>5284</v>
      </c>
      <c r="D6430" s="316" t="s">
        <v>4133</v>
      </c>
      <c r="E6430" s="855" t="n">
        <v>0.0001</v>
      </c>
      <c r="F6430" s="857" t="n">
        <v>60000</v>
      </c>
      <c r="G6430" s="615" t="n">
        <f aca="false">F6430*E6430</f>
        <v>6</v>
      </c>
      <c r="H6430" s="433"/>
    </row>
    <row r="6431" customFormat="false" ht="15" hidden="false" customHeight="false" outlineLevel="0" collapsed="false">
      <c r="A6431" s="571"/>
      <c r="B6431" s="433"/>
      <c r="C6431" s="855" t="s">
        <v>5281</v>
      </c>
      <c r="D6431" s="316" t="s">
        <v>4133</v>
      </c>
      <c r="E6431" s="855" t="n">
        <v>0.015</v>
      </c>
      <c r="F6431" s="857" t="n">
        <v>13000</v>
      </c>
      <c r="G6431" s="615" t="n">
        <f aca="false">F6431*E6431</f>
        <v>195</v>
      </c>
      <c r="H6431" s="433"/>
    </row>
    <row r="6432" customFormat="false" ht="15" hidden="false" customHeight="false" outlineLevel="0" collapsed="false">
      <c r="A6432" s="571"/>
      <c r="B6432" s="433"/>
      <c r="C6432" s="855" t="s">
        <v>5240</v>
      </c>
      <c r="D6432" s="316" t="s">
        <v>4578</v>
      </c>
      <c r="E6432" s="855" t="n">
        <v>0.002</v>
      </c>
      <c r="F6432" s="857" t="n">
        <v>225000</v>
      </c>
      <c r="G6432" s="615" t="n">
        <f aca="false">F6432*E6432</f>
        <v>450</v>
      </c>
      <c r="H6432" s="433"/>
    </row>
    <row r="6433" customFormat="false" ht="15" hidden="false" customHeight="false" outlineLevel="0" collapsed="false">
      <c r="A6433" s="571"/>
      <c r="B6433" s="433"/>
      <c r="C6433" s="855" t="s">
        <v>5241</v>
      </c>
      <c r="D6433" s="316" t="s">
        <v>4141</v>
      </c>
      <c r="E6433" s="860" t="n">
        <v>0.01</v>
      </c>
      <c r="F6433" s="857" t="n">
        <v>1500</v>
      </c>
      <c r="G6433" s="615" t="n">
        <f aca="false">F6433*E6433</f>
        <v>15</v>
      </c>
      <c r="H6433" s="433"/>
    </row>
    <row r="6434" customFormat="false" ht="15" hidden="false" customHeight="false" outlineLevel="0" collapsed="false">
      <c r="A6434" s="571"/>
      <c r="B6434" s="433"/>
      <c r="C6434" s="855" t="s">
        <v>4347</v>
      </c>
      <c r="D6434" s="316" t="s">
        <v>4348</v>
      </c>
      <c r="E6434" s="855" t="n">
        <v>1</v>
      </c>
      <c r="F6434" s="857" t="n">
        <v>130</v>
      </c>
      <c r="G6434" s="615" t="n">
        <f aca="false">F6434*E6434</f>
        <v>130</v>
      </c>
      <c r="H6434" s="433"/>
    </row>
    <row r="6435" customFormat="false" ht="15" hidden="false" customHeight="false" outlineLevel="0" collapsed="false">
      <c r="A6435" s="571"/>
      <c r="B6435" s="433"/>
      <c r="C6435" s="855" t="s">
        <v>4122</v>
      </c>
      <c r="D6435" s="316" t="s">
        <v>4359</v>
      </c>
      <c r="E6435" s="855" t="n">
        <v>0.1</v>
      </c>
      <c r="F6435" s="857" t="n">
        <v>720</v>
      </c>
      <c r="G6435" s="615" t="n">
        <f aca="false">F6435*E6435</f>
        <v>72</v>
      </c>
      <c r="H6435" s="433"/>
    </row>
    <row r="6436" customFormat="false" ht="15" hidden="false" customHeight="false" outlineLevel="0" collapsed="false">
      <c r="A6436" s="571"/>
      <c r="B6436" s="433"/>
      <c r="C6436" s="867" t="s">
        <v>4497</v>
      </c>
      <c r="D6436" s="868" t="s">
        <v>4348</v>
      </c>
      <c r="E6436" s="869" t="n">
        <v>0.003</v>
      </c>
      <c r="F6436" s="870" t="n">
        <v>550000</v>
      </c>
      <c r="G6436" s="615" t="n">
        <f aca="false">F6436*E6436</f>
        <v>1650</v>
      </c>
      <c r="H6436" s="433"/>
    </row>
    <row r="6437" customFormat="false" ht="15" hidden="false" customHeight="false" outlineLevel="0" collapsed="false">
      <c r="A6437" s="571"/>
      <c r="B6437" s="433"/>
      <c r="C6437" s="855" t="s">
        <v>4515</v>
      </c>
      <c r="D6437" s="316" t="s">
        <v>4133</v>
      </c>
      <c r="E6437" s="855" t="n">
        <v>0.01</v>
      </c>
      <c r="F6437" s="857" t="n">
        <v>2700</v>
      </c>
      <c r="G6437" s="615" t="n">
        <f aca="false">F6437*E6437</f>
        <v>27</v>
      </c>
      <c r="H6437" s="433"/>
    </row>
    <row r="6438" customFormat="false" ht="15.75" hidden="false" customHeight="true" outlineLevel="0" collapsed="false">
      <c r="A6438" s="571"/>
      <c r="B6438" s="433"/>
      <c r="C6438" s="532" t="s">
        <v>5239</v>
      </c>
      <c r="D6438" s="679" t="s">
        <v>4141</v>
      </c>
      <c r="E6438" s="866" t="n">
        <v>0.003</v>
      </c>
      <c r="F6438" s="681" t="n">
        <v>23500</v>
      </c>
      <c r="G6438" s="615" t="n">
        <f aca="false">F6438*E6438</f>
        <v>70.5</v>
      </c>
      <c r="H6438" s="433"/>
    </row>
    <row r="6439" customFormat="false" ht="15" hidden="false" customHeight="false" outlineLevel="0" collapsed="false">
      <c r="A6439" s="571"/>
      <c r="B6439" s="433"/>
      <c r="C6439" s="861" t="s">
        <v>4124</v>
      </c>
      <c r="D6439" s="316" t="s">
        <v>4125</v>
      </c>
      <c r="E6439" s="855" t="n">
        <v>0.1</v>
      </c>
      <c r="F6439" s="857" t="n">
        <v>170</v>
      </c>
      <c r="G6439" s="615" t="n">
        <f aca="false">F6439*E6439</f>
        <v>17</v>
      </c>
      <c r="H6439" s="433"/>
    </row>
    <row r="6440" customFormat="false" ht="15" hidden="false" customHeight="false" outlineLevel="0" collapsed="false">
      <c r="A6440" s="571"/>
      <c r="B6440" s="433"/>
      <c r="C6440" s="860" t="s">
        <v>4509</v>
      </c>
      <c r="D6440" s="877" t="s">
        <v>4348</v>
      </c>
      <c r="E6440" s="860" t="n">
        <v>1</v>
      </c>
      <c r="F6440" s="857" t="n">
        <v>26</v>
      </c>
      <c r="G6440" s="615" t="n">
        <f aca="false">F6440*E6440</f>
        <v>26</v>
      </c>
      <c r="H6440" s="433"/>
    </row>
    <row r="6441" customFormat="false" ht="15" hidden="false" customHeight="false" outlineLevel="0" collapsed="false">
      <c r="A6441" s="571" t="s">
        <v>1153</v>
      </c>
      <c r="B6441" s="433" t="s">
        <v>3308</v>
      </c>
      <c r="C6441" s="41"/>
      <c r="D6441" s="874"/>
      <c r="E6441" s="41"/>
      <c r="F6441" s="875"/>
      <c r="G6441" s="826" t="n">
        <f aca="false">SUM(G6442:G6463)</f>
        <v>8792.3289</v>
      </c>
      <c r="H6441" s="433" t="s">
        <v>5315</v>
      </c>
    </row>
    <row r="6442" customFormat="false" ht="15" hidden="false" customHeight="false" outlineLevel="0" collapsed="false">
      <c r="A6442" s="571"/>
      <c r="B6442" s="433"/>
      <c r="C6442" s="855" t="s">
        <v>4604</v>
      </c>
      <c r="D6442" s="316" t="s">
        <v>4359</v>
      </c>
      <c r="E6442" s="855" t="n">
        <v>0.05</v>
      </c>
      <c r="F6442" s="115" t="n">
        <v>18000</v>
      </c>
      <c r="G6442" s="615" t="n">
        <f aca="false">F6442*E6442</f>
        <v>900</v>
      </c>
      <c r="H6442" s="888"/>
    </row>
    <row r="6443" customFormat="false" ht="15" hidden="false" customHeight="false" outlineLevel="0" collapsed="false">
      <c r="A6443" s="571"/>
      <c r="B6443" s="433"/>
      <c r="C6443" s="855" t="s">
        <v>4317</v>
      </c>
      <c r="D6443" s="316" t="s">
        <v>4359</v>
      </c>
      <c r="E6443" s="855" t="n">
        <v>0.1</v>
      </c>
      <c r="F6443" s="115" t="n">
        <v>21000</v>
      </c>
      <c r="G6443" s="615" t="n">
        <f aca="false">F6443*E6443</f>
        <v>2100</v>
      </c>
      <c r="H6443" s="888"/>
    </row>
    <row r="6444" customFormat="false" ht="15" hidden="false" customHeight="false" outlineLevel="0" collapsed="false">
      <c r="A6444" s="571"/>
      <c r="B6444" s="433"/>
      <c r="C6444" s="855" t="s">
        <v>5228</v>
      </c>
      <c r="D6444" s="316" t="s">
        <v>4133</v>
      </c>
      <c r="E6444" s="855" t="n">
        <v>0.036</v>
      </c>
      <c r="F6444" s="115" t="n">
        <v>19000</v>
      </c>
      <c r="G6444" s="615" t="n">
        <f aca="false">F6444*E6444</f>
        <v>684</v>
      </c>
      <c r="H6444" s="888"/>
    </row>
    <row r="6445" customFormat="false" ht="15" hidden="false" customHeight="false" outlineLevel="0" collapsed="false">
      <c r="A6445" s="571"/>
      <c r="B6445" s="433"/>
      <c r="C6445" s="855" t="s">
        <v>4673</v>
      </c>
      <c r="D6445" s="316" t="s">
        <v>4133</v>
      </c>
      <c r="E6445" s="855" t="n">
        <v>0.0057</v>
      </c>
      <c r="F6445" s="115" t="n">
        <v>106777</v>
      </c>
      <c r="G6445" s="615" t="n">
        <f aca="false">F6445*E6445</f>
        <v>608.6289</v>
      </c>
      <c r="H6445" s="888"/>
    </row>
    <row r="6446" customFormat="false" ht="15" hidden="false" customHeight="false" outlineLevel="0" collapsed="false">
      <c r="A6446" s="571"/>
      <c r="B6446" s="433"/>
      <c r="C6446" s="855" t="s">
        <v>4378</v>
      </c>
      <c r="D6446" s="316" t="s">
        <v>4133</v>
      </c>
      <c r="E6446" s="855" t="n">
        <v>0.0092</v>
      </c>
      <c r="F6446" s="115" t="n">
        <v>45000</v>
      </c>
      <c r="G6446" s="615" t="n">
        <f aca="false">F6446*E6446</f>
        <v>414</v>
      </c>
      <c r="H6446" s="888"/>
    </row>
    <row r="6447" customFormat="false" ht="15" hidden="false" customHeight="false" outlineLevel="0" collapsed="false">
      <c r="A6447" s="571"/>
      <c r="B6447" s="433"/>
      <c r="C6447" s="855" t="s">
        <v>5007</v>
      </c>
      <c r="D6447" s="316" t="s">
        <v>4359</v>
      </c>
      <c r="E6447" s="855" t="n">
        <v>0.025</v>
      </c>
      <c r="F6447" s="115" t="n">
        <v>42000</v>
      </c>
      <c r="G6447" s="615" t="n">
        <f aca="false">F6447*E6447</f>
        <v>1050</v>
      </c>
      <c r="H6447" s="888"/>
    </row>
    <row r="6448" customFormat="false" ht="15.75" hidden="false" customHeight="true" outlineLevel="0" collapsed="false">
      <c r="A6448" s="571"/>
      <c r="B6448" s="433"/>
      <c r="C6448" s="855" t="s">
        <v>5317</v>
      </c>
      <c r="D6448" s="316" t="s">
        <v>4133</v>
      </c>
      <c r="E6448" s="855" t="n">
        <v>0.001</v>
      </c>
      <c r="F6448" s="115" t="n">
        <v>35000</v>
      </c>
      <c r="G6448" s="615" t="n">
        <f aca="false">F6448*E6448</f>
        <v>35</v>
      </c>
      <c r="H6448" s="888"/>
    </row>
    <row r="6449" customFormat="false" ht="30" hidden="false" customHeight="false" outlineLevel="0" collapsed="false">
      <c r="A6449" s="571"/>
      <c r="B6449" s="433"/>
      <c r="C6449" s="433" t="s">
        <v>5238</v>
      </c>
      <c r="D6449" s="606" t="s">
        <v>4141</v>
      </c>
      <c r="E6449" s="858" t="n">
        <v>0.001</v>
      </c>
      <c r="F6449" s="617" t="n">
        <v>1400</v>
      </c>
      <c r="G6449" s="615" t="n">
        <f aca="false">F6449*E6449</f>
        <v>1.4</v>
      </c>
      <c r="H6449" s="888"/>
    </row>
    <row r="6450" customFormat="false" ht="30" hidden="false" customHeight="false" outlineLevel="0" collapsed="false">
      <c r="A6450" s="571"/>
      <c r="B6450" s="433"/>
      <c r="C6450" s="855" t="s">
        <v>5318</v>
      </c>
      <c r="D6450" s="316" t="s">
        <v>4133</v>
      </c>
      <c r="E6450" s="855" t="n">
        <v>0.0001</v>
      </c>
      <c r="F6450" s="115" t="n">
        <v>58000</v>
      </c>
      <c r="G6450" s="615" t="n">
        <f aca="false">F6450*E6450</f>
        <v>5.8</v>
      </c>
      <c r="H6450" s="888"/>
    </row>
    <row r="6451" customFormat="false" ht="30" hidden="false" customHeight="false" outlineLevel="0" collapsed="false">
      <c r="A6451" s="571"/>
      <c r="B6451" s="433"/>
      <c r="C6451" s="855" t="s">
        <v>5319</v>
      </c>
      <c r="D6451" s="316" t="s">
        <v>4133</v>
      </c>
      <c r="E6451" s="855" t="n">
        <v>0.0001</v>
      </c>
      <c r="F6451" s="115" t="n">
        <v>58000</v>
      </c>
      <c r="G6451" s="615" t="n">
        <f aca="false">F6451*E6451</f>
        <v>5.8</v>
      </c>
      <c r="H6451" s="888"/>
    </row>
    <row r="6452" customFormat="false" ht="30" hidden="false" customHeight="false" outlineLevel="0" collapsed="false">
      <c r="A6452" s="571"/>
      <c r="B6452" s="433"/>
      <c r="C6452" s="855" t="s">
        <v>5320</v>
      </c>
      <c r="D6452" s="316" t="s">
        <v>4133</v>
      </c>
      <c r="E6452" s="855" t="n">
        <v>0.0001</v>
      </c>
      <c r="F6452" s="115" t="n">
        <v>58000</v>
      </c>
      <c r="G6452" s="615" t="n">
        <f aca="false">F6452*E6452</f>
        <v>5.8</v>
      </c>
      <c r="H6452" s="888"/>
    </row>
    <row r="6453" customFormat="false" ht="30" hidden="false" customHeight="false" outlineLevel="0" collapsed="false">
      <c r="A6453" s="571"/>
      <c r="B6453" s="433"/>
      <c r="C6453" s="855" t="s">
        <v>5321</v>
      </c>
      <c r="D6453" s="316" t="s">
        <v>4133</v>
      </c>
      <c r="E6453" s="855" t="n">
        <v>0.0001</v>
      </c>
      <c r="F6453" s="115" t="n">
        <v>58000</v>
      </c>
      <c r="G6453" s="615" t="n">
        <f aca="false">F6453*E6453</f>
        <v>5.8</v>
      </c>
      <c r="H6453" s="888"/>
    </row>
    <row r="6454" customFormat="false" ht="30" hidden="false" customHeight="false" outlineLevel="0" collapsed="false">
      <c r="A6454" s="571"/>
      <c r="B6454" s="433"/>
      <c r="C6454" s="855" t="s">
        <v>5322</v>
      </c>
      <c r="D6454" s="316" t="s">
        <v>4133</v>
      </c>
      <c r="E6454" s="855" t="n">
        <v>0.0001</v>
      </c>
      <c r="F6454" s="115" t="n">
        <v>58000</v>
      </c>
      <c r="G6454" s="615" t="n">
        <f aca="false">F6454*E6454</f>
        <v>5.8</v>
      </c>
      <c r="H6454" s="888"/>
    </row>
    <row r="6455" customFormat="false" ht="30" hidden="false" customHeight="false" outlineLevel="0" collapsed="false">
      <c r="A6455" s="571"/>
      <c r="B6455" s="433"/>
      <c r="C6455" s="855" t="s">
        <v>5323</v>
      </c>
      <c r="D6455" s="316" t="s">
        <v>4133</v>
      </c>
      <c r="E6455" s="855" t="n">
        <v>0.0001</v>
      </c>
      <c r="F6455" s="857" t="n">
        <v>58000</v>
      </c>
      <c r="G6455" s="615" t="n">
        <f aca="false">F6455*E6455</f>
        <v>5.8</v>
      </c>
      <c r="H6455" s="888"/>
    </row>
    <row r="6456" customFormat="false" ht="15" hidden="false" customHeight="false" outlineLevel="0" collapsed="false">
      <c r="A6456" s="571"/>
      <c r="B6456" s="433"/>
      <c r="C6456" s="855" t="s">
        <v>5240</v>
      </c>
      <c r="D6456" s="316" t="s">
        <v>4578</v>
      </c>
      <c r="E6456" s="855" t="n">
        <v>0.002</v>
      </c>
      <c r="F6456" s="857" t="n">
        <v>225000</v>
      </c>
      <c r="G6456" s="615" t="n">
        <f aca="false">F6456*E6456</f>
        <v>450</v>
      </c>
      <c r="H6456" s="888"/>
    </row>
    <row r="6457" customFormat="false" ht="15" hidden="false" customHeight="false" outlineLevel="0" collapsed="false">
      <c r="A6457" s="571"/>
      <c r="B6457" s="433"/>
      <c r="C6457" s="532" t="s">
        <v>4251</v>
      </c>
      <c r="D6457" s="679" t="s">
        <v>4578</v>
      </c>
      <c r="E6457" s="866" t="n">
        <v>0.002</v>
      </c>
      <c r="F6457" s="681" t="n">
        <v>275000</v>
      </c>
      <c r="G6457" s="615" t="n">
        <f aca="false">F6457*E6457</f>
        <v>550</v>
      </c>
      <c r="H6457" s="888"/>
    </row>
    <row r="6458" customFormat="false" ht="15" hidden="false" customHeight="false" outlineLevel="0" collapsed="false">
      <c r="A6458" s="571"/>
      <c r="B6458" s="433"/>
      <c r="C6458" s="855" t="s">
        <v>5241</v>
      </c>
      <c r="D6458" s="316" t="s">
        <v>4141</v>
      </c>
      <c r="E6458" s="860" t="n">
        <v>0.01</v>
      </c>
      <c r="F6458" s="857" t="n">
        <v>1500</v>
      </c>
      <c r="G6458" s="615" t="n">
        <f aca="false">F6458*E6458</f>
        <v>15</v>
      </c>
      <c r="H6458" s="888"/>
    </row>
    <row r="6459" customFormat="false" ht="15" hidden="false" customHeight="false" outlineLevel="0" collapsed="false">
      <c r="A6459" s="571"/>
      <c r="B6459" s="433"/>
      <c r="C6459" s="867" t="s">
        <v>4497</v>
      </c>
      <c r="D6459" s="868" t="s">
        <v>4348</v>
      </c>
      <c r="E6459" s="869" t="n">
        <v>0.003</v>
      </c>
      <c r="F6459" s="870" t="n">
        <v>550000</v>
      </c>
      <c r="G6459" s="615" t="n">
        <f aca="false">F6459*E6459</f>
        <v>1650</v>
      </c>
      <c r="H6459" s="888"/>
    </row>
    <row r="6460" customFormat="false" ht="15" hidden="false" customHeight="false" outlineLevel="0" collapsed="false">
      <c r="A6460" s="571"/>
      <c r="B6460" s="433"/>
      <c r="C6460" s="855" t="s">
        <v>4347</v>
      </c>
      <c r="D6460" s="316" t="s">
        <v>4348</v>
      </c>
      <c r="E6460" s="855" t="n">
        <v>1</v>
      </c>
      <c r="F6460" s="857" t="n">
        <v>130</v>
      </c>
      <c r="G6460" s="615" t="n">
        <f aca="false">F6460*E6460</f>
        <v>130</v>
      </c>
      <c r="H6460" s="888"/>
    </row>
    <row r="6461" customFormat="false" ht="15" hidden="false" customHeight="false" outlineLevel="0" collapsed="false">
      <c r="A6461" s="571"/>
      <c r="B6461" s="433"/>
      <c r="C6461" s="532" t="s">
        <v>5239</v>
      </c>
      <c r="D6461" s="679" t="s">
        <v>4141</v>
      </c>
      <c r="E6461" s="866" t="n">
        <v>0.003</v>
      </c>
      <c r="F6461" s="681" t="n">
        <v>23500</v>
      </c>
      <c r="G6461" s="615" t="n">
        <f aca="false">F6461*E6461</f>
        <v>70.5</v>
      </c>
      <c r="H6461" s="888"/>
    </row>
    <row r="6462" customFormat="false" ht="15" hidden="false" customHeight="false" outlineLevel="0" collapsed="false">
      <c r="A6462" s="571"/>
      <c r="B6462" s="433"/>
      <c r="C6462" s="855" t="s">
        <v>4122</v>
      </c>
      <c r="D6462" s="316" t="s">
        <v>4359</v>
      </c>
      <c r="E6462" s="855" t="n">
        <v>0.1</v>
      </c>
      <c r="F6462" s="857" t="n">
        <v>720</v>
      </c>
      <c r="G6462" s="615" t="n">
        <f aca="false">F6462*E6462</f>
        <v>72</v>
      </c>
      <c r="H6462" s="888"/>
    </row>
    <row r="6463" customFormat="false" ht="15" hidden="false" customHeight="false" outlineLevel="0" collapsed="false">
      <c r="A6463" s="571"/>
      <c r="B6463" s="433"/>
      <c r="C6463" s="855" t="s">
        <v>4515</v>
      </c>
      <c r="D6463" s="316" t="s">
        <v>4133</v>
      </c>
      <c r="E6463" s="855" t="n">
        <v>0.01</v>
      </c>
      <c r="F6463" s="115" t="n">
        <v>2700</v>
      </c>
      <c r="G6463" s="615" t="n">
        <f aca="false">F6463*E6463</f>
        <v>27</v>
      </c>
      <c r="H6463" s="888"/>
    </row>
    <row r="6464" customFormat="false" ht="42.75" hidden="false" customHeight="false" outlineLevel="0" collapsed="false">
      <c r="A6464" s="350" t="s">
        <v>1155</v>
      </c>
      <c r="B6464" s="346" t="s">
        <v>3341</v>
      </c>
      <c r="C6464" s="601"/>
      <c r="D6464" s="600"/>
      <c r="E6464" s="600"/>
      <c r="F6464" s="364"/>
      <c r="G6464" s="713"/>
      <c r="H6464" s="887"/>
    </row>
    <row r="6465" customFormat="false" ht="30" hidden="false" customHeight="false" outlineLevel="0" collapsed="false">
      <c r="A6465" s="571" t="s">
        <v>1157</v>
      </c>
      <c r="B6465" s="433" t="s">
        <v>3342</v>
      </c>
      <c r="C6465" s="476"/>
      <c r="D6465" s="820"/>
      <c r="E6465" s="820"/>
      <c r="F6465" s="697"/>
      <c r="G6465" s="826" t="n">
        <f aca="false">SUM(G6466:G6471)</f>
        <v>302</v>
      </c>
      <c r="H6465" s="433" t="s">
        <v>5324</v>
      </c>
    </row>
    <row r="6466" customFormat="false" ht="15" hidden="false" customHeight="false" outlineLevel="0" collapsed="false">
      <c r="A6466" s="707"/>
      <c r="B6466" s="433"/>
      <c r="C6466" s="855" t="s">
        <v>5241</v>
      </c>
      <c r="D6466" s="316" t="s">
        <v>4141</v>
      </c>
      <c r="E6466" s="860" t="n">
        <v>0.002</v>
      </c>
      <c r="F6466" s="857" t="n">
        <v>1500</v>
      </c>
      <c r="G6466" s="615" t="n">
        <f aca="false">F6466*E6466</f>
        <v>3</v>
      </c>
      <c r="H6466" s="433"/>
    </row>
    <row r="6467" customFormat="false" ht="15" hidden="false" customHeight="false" outlineLevel="0" collapsed="false">
      <c r="A6467" s="571"/>
      <c r="B6467" s="433"/>
      <c r="C6467" s="855" t="s">
        <v>4509</v>
      </c>
      <c r="D6467" s="316" t="s">
        <v>4348</v>
      </c>
      <c r="E6467" s="855" t="n">
        <v>1</v>
      </c>
      <c r="F6467" s="857" t="n">
        <v>26</v>
      </c>
      <c r="G6467" s="615" t="n">
        <f aca="false">F6467*E6467</f>
        <v>26</v>
      </c>
      <c r="H6467" s="433"/>
    </row>
    <row r="6468" customFormat="false" ht="15" hidden="false" customHeight="false" outlineLevel="0" collapsed="false">
      <c r="A6468" s="571"/>
      <c r="B6468" s="433"/>
      <c r="C6468" s="855" t="s">
        <v>4347</v>
      </c>
      <c r="D6468" s="316" t="s">
        <v>4348</v>
      </c>
      <c r="E6468" s="855" t="n">
        <v>1</v>
      </c>
      <c r="F6468" s="857" t="n">
        <v>130</v>
      </c>
      <c r="G6468" s="615" t="n">
        <f aca="false">F6468*E6468</f>
        <v>130</v>
      </c>
      <c r="H6468" s="433"/>
    </row>
    <row r="6469" customFormat="false" ht="15" hidden="false" customHeight="false" outlineLevel="0" collapsed="false">
      <c r="A6469" s="571"/>
      <c r="B6469" s="433"/>
      <c r="C6469" s="855" t="s">
        <v>4122</v>
      </c>
      <c r="D6469" s="316" t="s">
        <v>4359</v>
      </c>
      <c r="E6469" s="855" t="n">
        <v>0.1</v>
      </c>
      <c r="F6469" s="115" t="n">
        <v>720</v>
      </c>
      <c r="G6469" s="615" t="n">
        <f aca="false">F6469*E6469</f>
        <v>72</v>
      </c>
      <c r="H6469" s="433"/>
    </row>
    <row r="6470" customFormat="false" ht="15" hidden="false" customHeight="false" outlineLevel="0" collapsed="false">
      <c r="A6470" s="571"/>
      <c r="B6470" s="433"/>
      <c r="C6470" s="855" t="s">
        <v>4515</v>
      </c>
      <c r="D6470" s="316" t="s">
        <v>4133</v>
      </c>
      <c r="E6470" s="855" t="n">
        <v>0.02</v>
      </c>
      <c r="F6470" s="115" t="n">
        <v>2700</v>
      </c>
      <c r="G6470" s="615" t="n">
        <f aca="false">F6470*E6470</f>
        <v>54</v>
      </c>
      <c r="H6470" s="433"/>
    </row>
    <row r="6471" customFormat="false" ht="15" hidden="false" customHeight="false" outlineLevel="0" collapsed="false">
      <c r="A6471" s="571"/>
      <c r="B6471" s="433"/>
      <c r="C6471" s="861" t="s">
        <v>4124</v>
      </c>
      <c r="D6471" s="316" t="s">
        <v>4125</v>
      </c>
      <c r="E6471" s="855" t="n">
        <v>0.1</v>
      </c>
      <c r="F6471" s="115" t="n">
        <v>170</v>
      </c>
      <c r="G6471" s="615" t="n">
        <f aca="false">F6471*E6471</f>
        <v>17</v>
      </c>
      <c r="H6471" s="433"/>
    </row>
    <row r="6472" customFormat="false" ht="30" hidden="false" customHeight="false" outlineLevel="0" collapsed="false">
      <c r="A6472" s="571" t="s">
        <v>1158</v>
      </c>
      <c r="B6472" s="433" t="s">
        <v>3343</v>
      </c>
      <c r="C6472" s="41"/>
      <c r="D6472" s="874"/>
      <c r="E6472" s="41"/>
      <c r="F6472" s="875"/>
      <c r="G6472" s="826" t="n">
        <f aca="false">SUM(G6473:G6480)</f>
        <v>1784.8</v>
      </c>
      <c r="H6472" s="889" t="s">
        <v>5325</v>
      </c>
    </row>
    <row r="6473" customFormat="false" ht="15" hidden="false" customHeight="false" outlineLevel="0" collapsed="false">
      <c r="A6473" s="571"/>
      <c r="B6473" s="433"/>
      <c r="C6473" s="855" t="s">
        <v>5326</v>
      </c>
      <c r="D6473" s="316" t="s">
        <v>4141</v>
      </c>
      <c r="E6473" s="903" t="n">
        <v>0.01</v>
      </c>
      <c r="F6473" s="115" t="n">
        <v>148000</v>
      </c>
      <c r="G6473" s="615" t="n">
        <f aca="false">E6473*F6473</f>
        <v>1480</v>
      </c>
      <c r="H6473" s="433"/>
    </row>
    <row r="6474" customFormat="false" ht="30" hidden="false" customHeight="false" outlineLevel="0" collapsed="false">
      <c r="A6474" s="571"/>
      <c r="B6474" s="433"/>
      <c r="C6474" s="532" t="s">
        <v>5238</v>
      </c>
      <c r="D6474" s="679" t="s">
        <v>4141</v>
      </c>
      <c r="E6474" s="866" t="n">
        <v>0.002</v>
      </c>
      <c r="F6474" s="617" t="n">
        <v>1400</v>
      </c>
      <c r="G6474" s="615" t="n">
        <f aca="false">E6474*F6474</f>
        <v>2.8</v>
      </c>
      <c r="H6474" s="433"/>
    </row>
    <row r="6475" customFormat="false" ht="15" hidden="false" customHeight="false" outlineLevel="0" collapsed="false">
      <c r="A6475" s="571"/>
      <c r="B6475" s="433"/>
      <c r="C6475" s="855" t="s">
        <v>5241</v>
      </c>
      <c r="D6475" s="316" t="s">
        <v>4141</v>
      </c>
      <c r="E6475" s="860" t="n">
        <v>0.002</v>
      </c>
      <c r="F6475" s="115" t="n">
        <v>1500</v>
      </c>
      <c r="G6475" s="615" t="n">
        <f aca="false">E6475*F6475</f>
        <v>3</v>
      </c>
      <c r="H6475" s="433"/>
    </row>
    <row r="6476" customFormat="false" ht="15" hidden="false" customHeight="false" outlineLevel="0" collapsed="false">
      <c r="A6476" s="571"/>
      <c r="B6476" s="433"/>
      <c r="C6476" s="855" t="s">
        <v>4509</v>
      </c>
      <c r="D6476" s="316" t="s">
        <v>4348</v>
      </c>
      <c r="E6476" s="855" t="n">
        <v>1</v>
      </c>
      <c r="F6476" s="115" t="n">
        <v>26</v>
      </c>
      <c r="G6476" s="615" t="n">
        <f aca="false">E6476*F6476</f>
        <v>26</v>
      </c>
      <c r="H6476" s="433"/>
    </row>
    <row r="6477" customFormat="false" ht="15" hidden="false" customHeight="false" outlineLevel="0" collapsed="false">
      <c r="A6477" s="571"/>
      <c r="B6477" s="433"/>
      <c r="C6477" s="855" t="s">
        <v>4347</v>
      </c>
      <c r="D6477" s="316" t="s">
        <v>4348</v>
      </c>
      <c r="E6477" s="855" t="n">
        <v>1</v>
      </c>
      <c r="F6477" s="115" t="n">
        <v>130</v>
      </c>
      <c r="G6477" s="615" t="n">
        <f aca="false">E6477*F6477</f>
        <v>130</v>
      </c>
      <c r="H6477" s="433"/>
    </row>
    <row r="6478" customFormat="false" ht="15" hidden="false" customHeight="false" outlineLevel="0" collapsed="false">
      <c r="A6478" s="571"/>
      <c r="B6478" s="433"/>
      <c r="C6478" s="855" t="s">
        <v>4122</v>
      </c>
      <c r="D6478" s="316" t="s">
        <v>4359</v>
      </c>
      <c r="E6478" s="855" t="n">
        <v>0.1</v>
      </c>
      <c r="F6478" s="857" t="n">
        <v>720</v>
      </c>
      <c r="G6478" s="615" t="n">
        <f aca="false">E6478*F6478</f>
        <v>72</v>
      </c>
      <c r="H6478" s="433"/>
    </row>
    <row r="6479" customFormat="false" ht="15" hidden="false" customHeight="false" outlineLevel="0" collapsed="false">
      <c r="A6479" s="571"/>
      <c r="B6479" s="433"/>
      <c r="C6479" s="855" t="s">
        <v>4515</v>
      </c>
      <c r="D6479" s="316" t="s">
        <v>4133</v>
      </c>
      <c r="E6479" s="855" t="n">
        <v>0.02</v>
      </c>
      <c r="F6479" s="857" t="n">
        <v>2700</v>
      </c>
      <c r="G6479" s="615" t="n">
        <f aca="false">E6479*F6479</f>
        <v>54</v>
      </c>
      <c r="H6479" s="433"/>
    </row>
    <row r="6480" customFormat="false" ht="12.75" hidden="false" customHeight="true" outlineLevel="0" collapsed="false">
      <c r="A6480" s="571"/>
      <c r="B6480" s="433"/>
      <c r="C6480" s="861" t="s">
        <v>4124</v>
      </c>
      <c r="D6480" s="316" t="s">
        <v>4125</v>
      </c>
      <c r="E6480" s="855" t="n">
        <v>0.1</v>
      </c>
      <c r="F6480" s="857" t="n">
        <v>170</v>
      </c>
      <c r="G6480" s="615" t="n">
        <f aca="false">E6480*F6480</f>
        <v>17</v>
      </c>
      <c r="H6480" s="433"/>
    </row>
    <row r="6481" customFormat="false" ht="45" hidden="false" customHeight="false" outlineLevel="0" collapsed="false">
      <c r="A6481" s="571" t="s">
        <v>1160</v>
      </c>
      <c r="B6481" s="433" t="s">
        <v>3344</v>
      </c>
      <c r="C6481" s="41"/>
      <c r="D6481" s="874"/>
      <c r="E6481" s="41"/>
      <c r="F6481" s="904"/>
      <c r="G6481" s="826" t="n">
        <f aca="false">SUM(G6482:G6496)</f>
        <v>24573.75</v>
      </c>
      <c r="H6481" s="433" t="s">
        <v>5324</v>
      </c>
    </row>
    <row r="6482" customFormat="false" ht="24.75" hidden="false" customHeight="true" outlineLevel="0" collapsed="false">
      <c r="A6482" s="571"/>
      <c r="B6482" s="433"/>
      <c r="C6482" s="855" t="s">
        <v>5327</v>
      </c>
      <c r="D6482" s="316" t="s">
        <v>4133</v>
      </c>
      <c r="E6482" s="855" t="n">
        <v>0.01</v>
      </c>
      <c r="F6482" s="115" t="n">
        <v>188425</v>
      </c>
      <c r="G6482" s="615" t="n">
        <f aca="false">F6482*E6482</f>
        <v>1884.25</v>
      </c>
      <c r="H6482" s="433"/>
    </row>
    <row r="6483" customFormat="false" ht="15" hidden="false" customHeight="false" outlineLevel="0" collapsed="false">
      <c r="A6483" s="571"/>
      <c r="B6483" s="433"/>
      <c r="C6483" s="855" t="s">
        <v>5328</v>
      </c>
      <c r="D6483" s="316" t="s">
        <v>4359</v>
      </c>
      <c r="E6483" s="855" t="n">
        <v>0.4</v>
      </c>
      <c r="F6483" s="115" t="n">
        <v>42000</v>
      </c>
      <c r="G6483" s="615" t="n">
        <f aca="false">F6483*E6483</f>
        <v>16800</v>
      </c>
      <c r="H6483" s="433"/>
    </row>
    <row r="6484" customFormat="false" ht="15" hidden="false" customHeight="false" outlineLevel="0" collapsed="false">
      <c r="A6484" s="571"/>
      <c r="B6484" s="433"/>
      <c r="C6484" s="855" t="s">
        <v>4317</v>
      </c>
      <c r="D6484" s="316" t="s">
        <v>4359</v>
      </c>
      <c r="E6484" s="855" t="n">
        <v>0.1</v>
      </c>
      <c r="F6484" s="115" t="n">
        <v>21000</v>
      </c>
      <c r="G6484" s="615" t="n">
        <f aca="false">F6484*E6484</f>
        <v>2100</v>
      </c>
      <c r="H6484" s="433"/>
    </row>
    <row r="6485" customFormat="false" ht="30" hidden="false" customHeight="false" outlineLevel="0" collapsed="false">
      <c r="A6485" s="571"/>
      <c r="B6485" s="433"/>
      <c r="C6485" s="881" t="s">
        <v>4227</v>
      </c>
      <c r="D6485" s="882" t="s">
        <v>4133</v>
      </c>
      <c r="E6485" s="603" t="n">
        <v>0.001</v>
      </c>
      <c r="F6485" s="607" t="n">
        <v>24000</v>
      </c>
      <c r="G6485" s="615" t="n">
        <f aca="false">F6485*E6485</f>
        <v>24</v>
      </c>
      <c r="H6485" s="433"/>
    </row>
    <row r="6486" customFormat="false" ht="15" hidden="false" customHeight="false" outlineLevel="0" collapsed="false">
      <c r="A6486" s="571"/>
      <c r="B6486" s="433"/>
      <c r="C6486" s="881" t="s">
        <v>4266</v>
      </c>
      <c r="D6486" s="882" t="s">
        <v>4133</v>
      </c>
      <c r="E6486" s="603" t="n">
        <v>0.001</v>
      </c>
      <c r="F6486" s="607" t="n">
        <v>24000</v>
      </c>
      <c r="G6486" s="615" t="n">
        <f aca="false">F6486*E6486</f>
        <v>24</v>
      </c>
      <c r="H6486" s="433"/>
    </row>
    <row r="6487" customFormat="false" ht="15" hidden="false" customHeight="false" outlineLevel="0" collapsed="false">
      <c r="A6487" s="571"/>
      <c r="B6487" s="433"/>
      <c r="C6487" s="433" t="s">
        <v>4287</v>
      </c>
      <c r="D6487" s="606" t="s">
        <v>4578</v>
      </c>
      <c r="E6487" s="603" t="n">
        <v>0.001</v>
      </c>
      <c r="F6487" s="617" t="n">
        <v>225000</v>
      </c>
      <c r="G6487" s="615" t="n">
        <f aca="false">F6487*E6487</f>
        <v>225</v>
      </c>
      <c r="H6487" s="433"/>
    </row>
    <row r="6488" customFormat="false" ht="15" hidden="false" customHeight="false" outlineLevel="0" collapsed="false">
      <c r="A6488" s="571"/>
      <c r="B6488" s="433"/>
      <c r="C6488" s="433" t="s">
        <v>4251</v>
      </c>
      <c r="D6488" s="606" t="s">
        <v>4578</v>
      </c>
      <c r="E6488" s="603" t="n">
        <v>0.001</v>
      </c>
      <c r="F6488" s="617" t="n">
        <v>275000</v>
      </c>
      <c r="G6488" s="615" t="n">
        <f aca="false">F6488*E6488</f>
        <v>275</v>
      </c>
      <c r="H6488" s="433"/>
    </row>
    <row r="6489" customFormat="false" ht="15" hidden="false" customHeight="false" outlineLevel="0" collapsed="false">
      <c r="A6489" s="571"/>
      <c r="B6489" s="433"/>
      <c r="C6489" s="859" t="s">
        <v>4497</v>
      </c>
      <c r="D6489" s="602" t="s">
        <v>4348</v>
      </c>
      <c r="E6489" s="603" t="n">
        <v>0.005</v>
      </c>
      <c r="F6489" s="604" t="n">
        <v>550000</v>
      </c>
      <c r="G6489" s="615" t="n">
        <f aca="false">F6489*E6489</f>
        <v>2750</v>
      </c>
      <c r="H6489" s="433"/>
    </row>
    <row r="6490" customFormat="false" ht="15" hidden="false" customHeight="false" outlineLevel="0" collapsed="false">
      <c r="A6490" s="571"/>
      <c r="B6490" s="433"/>
      <c r="C6490" s="855" t="s">
        <v>5241</v>
      </c>
      <c r="D6490" s="316" t="s">
        <v>4141</v>
      </c>
      <c r="E6490" s="860" t="n">
        <v>0.002</v>
      </c>
      <c r="F6490" s="857" t="n">
        <v>1500</v>
      </c>
      <c r="G6490" s="615" t="n">
        <f aca="false">F6490*E6490</f>
        <v>3</v>
      </c>
      <c r="H6490" s="433"/>
    </row>
    <row r="6491" customFormat="false" ht="15" hidden="false" customHeight="false" outlineLevel="0" collapsed="false">
      <c r="A6491" s="571"/>
      <c r="B6491" s="433"/>
      <c r="C6491" s="855" t="s">
        <v>4509</v>
      </c>
      <c r="D6491" s="316" t="s">
        <v>4348</v>
      </c>
      <c r="E6491" s="855" t="n">
        <v>1</v>
      </c>
      <c r="F6491" s="857" t="n">
        <v>26</v>
      </c>
      <c r="G6491" s="615" t="n">
        <f aca="false">F6491*E6491</f>
        <v>26</v>
      </c>
      <c r="H6491" s="433"/>
    </row>
    <row r="6492" customFormat="false" ht="15" hidden="false" customHeight="false" outlineLevel="0" collapsed="false">
      <c r="A6492" s="571"/>
      <c r="B6492" s="433"/>
      <c r="C6492" s="855" t="s">
        <v>4347</v>
      </c>
      <c r="D6492" s="316" t="s">
        <v>4348</v>
      </c>
      <c r="E6492" s="855" t="n">
        <v>1</v>
      </c>
      <c r="F6492" s="857" t="n">
        <v>130</v>
      </c>
      <c r="G6492" s="615" t="n">
        <f aca="false">F6492*E6492</f>
        <v>130</v>
      </c>
      <c r="H6492" s="433"/>
    </row>
    <row r="6493" customFormat="false" ht="15" hidden="false" customHeight="false" outlineLevel="0" collapsed="false">
      <c r="A6493" s="571"/>
      <c r="B6493" s="433"/>
      <c r="C6493" s="855" t="s">
        <v>4122</v>
      </c>
      <c r="D6493" s="316" t="s">
        <v>4359</v>
      </c>
      <c r="E6493" s="855" t="n">
        <v>0.2</v>
      </c>
      <c r="F6493" s="857" t="n">
        <v>720</v>
      </c>
      <c r="G6493" s="615" t="n">
        <f aca="false">F6493*E6493</f>
        <v>144</v>
      </c>
      <c r="H6493" s="433"/>
    </row>
    <row r="6494" customFormat="false" ht="15" hidden="false" customHeight="false" outlineLevel="0" collapsed="false">
      <c r="A6494" s="571"/>
      <c r="B6494" s="433"/>
      <c r="C6494" s="855" t="s">
        <v>4515</v>
      </c>
      <c r="D6494" s="316" t="s">
        <v>4133</v>
      </c>
      <c r="E6494" s="855" t="n">
        <v>0.02</v>
      </c>
      <c r="F6494" s="857" t="n">
        <v>2700</v>
      </c>
      <c r="G6494" s="615" t="n">
        <f aca="false">F6494*E6494</f>
        <v>54</v>
      </c>
      <c r="H6494" s="433"/>
    </row>
    <row r="6495" customFormat="false" ht="15" hidden="false" customHeight="false" outlineLevel="0" collapsed="false">
      <c r="A6495" s="571"/>
      <c r="B6495" s="433"/>
      <c r="C6495" s="433" t="s">
        <v>5239</v>
      </c>
      <c r="D6495" s="606" t="s">
        <v>4141</v>
      </c>
      <c r="E6495" s="858" t="n">
        <v>0.005</v>
      </c>
      <c r="F6495" s="681" t="n">
        <v>23500</v>
      </c>
      <c r="G6495" s="615" t="n">
        <f aca="false">F6495*E6495</f>
        <v>117.5</v>
      </c>
      <c r="H6495" s="433"/>
    </row>
    <row r="6496" customFormat="false" ht="15" hidden="false" customHeight="false" outlineLevel="0" collapsed="false">
      <c r="A6496" s="571"/>
      <c r="B6496" s="433"/>
      <c r="C6496" s="861" t="s">
        <v>4124</v>
      </c>
      <c r="D6496" s="316" t="s">
        <v>4125</v>
      </c>
      <c r="E6496" s="855" t="n">
        <v>0.1</v>
      </c>
      <c r="F6496" s="857" t="n">
        <v>170</v>
      </c>
      <c r="G6496" s="615" t="n">
        <f aca="false">F6496*E6496</f>
        <v>17</v>
      </c>
      <c r="H6496" s="433"/>
    </row>
    <row r="6497" customFormat="false" ht="30" hidden="false" customHeight="false" outlineLevel="0" collapsed="false">
      <c r="A6497" s="571" t="s">
        <v>1162</v>
      </c>
      <c r="B6497" s="433" t="s">
        <v>3345</v>
      </c>
      <c r="C6497" s="41"/>
      <c r="D6497" s="874"/>
      <c r="E6497" s="41"/>
      <c r="F6497" s="904"/>
      <c r="G6497" s="826" t="n">
        <f aca="false">SUM(G6498:G6509)</f>
        <v>2975.27</v>
      </c>
      <c r="H6497" s="889" t="s">
        <v>5329</v>
      </c>
    </row>
    <row r="6498" customFormat="false" ht="15" hidden="false" customHeight="false" outlineLevel="0" collapsed="false">
      <c r="A6498" s="571"/>
      <c r="B6498" s="433"/>
      <c r="C6498" s="855" t="s">
        <v>4604</v>
      </c>
      <c r="D6498" s="316" t="s">
        <v>4359</v>
      </c>
      <c r="E6498" s="855" t="n">
        <v>0.05</v>
      </c>
      <c r="F6498" s="115" t="n">
        <v>18000</v>
      </c>
      <c r="G6498" s="615" t="n">
        <f aca="false">F6498*E6498</f>
        <v>900</v>
      </c>
      <c r="H6498" s="905"/>
    </row>
    <row r="6499" customFormat="false" ht="15" hidden="false" customHeight="false" outlineLevel="0" collapsed="false">
      <c r="A6499" s="571"/>
      <c r="B6499" s="433"/>
      <c r="C6499" s="860" t="s">
        <v>4655</v>
      </c>
      <c r="D6499" s="316" t="s">
        <v>4359</v>
      </c>
      <c r="E6499" s="855" t="n">
        <v>0.01</v>
      </c>
      <c r="F6499" s="115"/>
      <c r="G6499" s="615" t="n">
        <f aca="false">F6499*E6499</f>
        <v>0</v>
      </c>
      <c r="H6499" s="433"/>
    </row>
    <row r="6500" customFormat="false" ht="15" hidden="false" customHeight="false" outlineLevel="0" collapsed="false">
      <c r="A6500" s="571"/>
      <c r="B6500" s="433"/>
      <c r="C6500" s="860" t="s">
        <v>4147</v>
      </c>
      <c r="D6500" s="877" t="s">
        <v>4359</v>
      </c>
      <c r="E6500" s="860" t="n">
        <v>0.005</v>
      </c>
      <c r="F6500" s="115" t="n">
        <v>18000</v>
      </c>
      <c r="G6500" s="615" t="n">
        <f aca="false">F6500*E6500</f>
        <v>90</v>
      </c>
      <c r="H6500" s="433"/>
    </row>
    <row r="6501" customFormat="false" ht="15" hidden="false" customHeight="false" outlineLevel="0" collapsed="false">
      <c r="A6501" s="571"/>
      <c r="B6501" s="433"/>
      <c r="C6501" s="861" t="s">
        <v>4212</v>
      </c>
      <c r="D6501" s="316" t="s">
        <v>4133</v>
      </c>
      <c r="E6501" s="855" t="n">
        <v>0.002</v>
      </c>
      <c r="F6501" s="115" t="n">
        <v>16650</v>
      </c>
      <c r="G6501" s="615" t="n">
        <f aca="false">F6501*E6501</f>
        <v>33.3</v>
      </c>
      <c r="H6501" s="433"/>
    </row>
    <row r="6502" customFormat="false" ht="15" hidden="false" customHeight="false" outlineLevel="0" collapsed="false">
      <c r="A6502" s="571"/>
      <c r="B6502" s="433"/>
      <c r="C6502" s="855" t="s">
        <v>5241</v>
      </c>
      <c r="D6502" s="316" t="s">
        <v>4141</v>
      </c>
      <c r="E6502" s="860" t="n">
        <v>0.001</v>
      </c>
      <c r="F6502" s="857" t="n">
        <v>1500</v>
      </c>
      <c r="G6502" s="615" t="n">
        <f aca="false">F6502*E6502</f>
        <v>1.5</v>
      </c>
      <c r="H6502" s="433"/>
    </row>
    <row r="6503" customFormat="false" ht="15" hidden="false" customHeight="false" outlineLevel="0" collapsed="false">
      <c r="A6503" s="571"/>
      <c r="B6503" s="433"/>
      <c r="C6503" s="433" t="s">
        <v>5239</v>
      </c>
      <c r="D6503" s="606" t="s">
        <v>4141</v>
      </c>
      <c r="E6503" s="858" t="n">
        <v>0.003</v>
      </c>
      <c r="F6503" s="681" t="n">
        <v>23500</v>
      </c>
      <c r="G6503" s="615" t="n">
        <f aca="false">F6503*E6503</f>
        <v>70.5</v>
      </c>
      <c r="H6503" s="433"/>
    </row>
    <row r="6504" customFormat="false" ht="15" hidden="false" customHeight="false" outlineLevel="0" collapsed="false">
      <c r="A6504" s="571"/>
      <c r="B6504" s="433"/>
      <c r="C6504" s="855" t="s">
        <v>4509</v>
      </c>
      <c r="D6504" s="316" t="s">
        <v>4348</v>
      </c>
      <c r="E6504" s="855" t="n">
        <v>1</v>
      </c>
      <c r="F6504" s="857" t="n">
        <v>26</v>
      </c>
      <c r="G6504" s="615" t="n">
        <f aca="false">F6504*E6504</f>
        <v>26</v>
      </c>
      <c r="H6504" s="433"/>
    </row>
    <row r="6505" customFormat="false" ht="15" hidden="false" customHeight="false" outlineLevel="0" collapsed="false">
      <c r="A6505" s="571"/>
      <c r="B6505" s="433"/>
      <c r="C6505" s="855" t="s">
        <v>4347</v>
      </c>
      <c r="D6505" s="316" t="s">
        <v>4348</v>
      </c>
      <c r="E6505" s="855" t="n">
        <v>1</v>
      </c>
      <c r="F6505" s="857" t="n">
        <v>130</v>
      </c>
      <c r="G6505" s="615" t="n">
        <f aca="false">F6505*E6505</f>
        <v>130</v>
      </c>
      <c r="H6505" s="433"/>
    </row>
    <row r="6506" customFormat="false" ht="15" hidden="false" customHeight="false" outlineLevel="0" collapsed="false">
      <c r="A6506" s="571"/>
      <c r="B6506" s="433"/>
      <c r="C6506" s="867" t="s">
        <v>4497</v>
      </c>
      <c r="D6506" s="868" t="s">
        <v>4348</v>
      </c>
      <c r="E6506" s="869" t="n">
        <v>0.003</v>
      </c>
      <c r="F6506" s="870" t="n">
        <v>550000</v>
      </c>
      <c r="G6506" s="615" t="n">
        <f aca="false">F6506*E6506</f>
        <v>1650</v>
      </c>
      <c r="H6506" s="433"/>
    </row>
    <row r="6507" customFormat="false" ht="15" hidden="false" customHeight="false" outlineLevel="0" collapsed="false">
      <c r="A6507" s="571"/>
      <c r="B6507" s="433"/>
      <c r="C6507" s="855" t="s">
        <v>4122</v>
      </c>
      <c r="D6507" s="316" t="s">
        <v>4359</v>
      </c>
      <c r="E6507" s="855" t="n">
        <v>0.1</v>
      </c>
      <c r="F6507" s="857" t="n">
        <v>720</v>
      </c>
      <c r="G6507" s="615" t="n">
        <f aca="false">F6507*E6507</f>
        <v>72</v>
      </c>
      <c r="H6507" s="433"/>
    </row>
    <row r="6508" customFormat="false" ht="15" hidden="false" customHeight="false" outlineLevel="0" collapsed="false">
      <c r="A6508" s="571"/>
      <c r="B6508" s="433"/>
      <c r="C6508" s="855" t="s">
        <v>4515</v>
      </c>
      <c r="D6508" s="316" t="s">
        <v>4133</v>
      </c>
      <c r="E6508" s="855" t="n">
        <v>0.0001</v>
      </c>
      <c r="F6508" s="857" t="n">
        <v>2700</v>
      </c>
      <c r="G6508" s="615" t="n">
        <f aca="false">F6508*E6508</f>
        <v>0.27</v>
      </c>
      <c r="H6508" s="433"/>
    </row>
    <row r="6509" customFormat="false" ht="15" hidden="false" customHeight="false" outlineLevel="0" collapsed="false">
      <c r="A6509" s="571"/>
      <c r="B6509" s="433"/>
      <c r="C6509" s="861" t="s">
        <v>4124</v>
      </c>
      <c r="D6509" s="316" t="s">
        <v>4125</v>
      </c>
      <c r="E6509" s="855" t="n">
        <v>0.01</v>
      </c>
      <c r="F6509" s="857" t="n">
        <v>170</v>
      </c>
      <c r="G6509" s="615" t="n">
        <f aca="false">F6509*E6509</f>
        <v>1.7</v>
      </c>
      <c r="H6509" s="433"/>
    </row>
    <row r="6510" customFormat="false" ht="15" hidden="false" customHeight="false" outlineLevel="0" collapsed="false">
      <c r="A6510" s="350" t="s">
        <v>5330</v>
      </c>
      <c r="B6510" s="346" t="s">
        <v>3346</v>
      </c>
      <c r="C6510" s="892"/>
      <c r="D6510" s="387"/>
      <c r="E6510" s="892"/>
      <c r="F6510" s="893"/>
      <c r="G6510" s="713"/>
      <c r="H6510" s="887"/>
    </row>
    <row r="6511" customFormat="false" ht="15" hidden="false" customHeight="false" outlineLevel="0" collapsed="false">
      <c r="A6511" s="571" t="s">
        <v>1166</v>
      </c>
      <c r="B6511" s="433" t="s">
        <v>3317</v>
      </c>
      <c r="C6511" s="41"/>
      <c r="D6511" s="874"/>
      <c r="E6511" s="41"/>
      <c r="F6511" s="875"/>
      <c r="G6511" s="826" t="n">
        <f aca="false">SUM(G6512:G6529)</f>
        <v>7768.73815</v>
      </c>
      <c r="H6511" s="433" t="s">
        <v>5272</v>
      </c>
    </row>
    <row r="6512" customFormat="false" ht="16.5" hidden="false" customHeight="true" outlineLevel="0" collapsed="false">
      <c r="A6512" s="380"/>
      <c r="B6512" s="433"/>
      <c r="C6512" s="860" t="s">
        <v>4250</v>
      </c>
      <c r="D6512" s="316" t="s">
        <v>4359</v>
      </c>
      <c r="E6512" s="855" t="n">
        <v>0.1</v>
      </c>
      <c r="F6512" s="115" t="n">
        <v>42000</v>
      </c>
      <c r="G6512" s="615" t="n">
        <f aca="false">F6512*E6512</f>
        <v>4200</v>
      </c>
      <c r="H6512" s="433"/>
    </row>
    <row r="6513" customFormat="false" ht="15" hidden="false" customHeight="false" outlineLevel="0" collapsed="false">
      <c r="A6513" s="571"/>
      <c r="B6513" s="433"/>
      <c r="C6513" s="855" t="s">
        <v>4378</v>
      </c>
      <c r="D6513" s="316" t="s">
        <v>4133</v>
      </c>
      <c r="E6513" s="855" t="n">
        <v>0.0015</v>
      </c>
      <c r="F6513" s="115" t="n">
        <v>45000</v>
      </c>
      <c r="G6513" s="615" t="n">
        <f aca="false">F6513*E6513</f>
        <v>67.5</v>
      </c>
      <c r="H6513" s="433"/>
    </row>
    <row r="6514" customFormat="false" ht="15" hidden="false" customHeight="false" outlineLevel="0" collapsed="false">
      <c r="A6514" s="571"/>
      <c r="B6514" s="433"/>
      <c r="C6514" s="855" t="s">
        <v>4673</v>
      </c>
      <c r="D6514" s="316" t="s">
        <v>4133</v>
      </c>
      <c r="E6514" s="855" t="n">
        <v>0.00095</v>
      </c>
      <c r="F6514" s="115" t="n">
        <v>106777</v>
      </c>
      <c r="G6514" s="615" t="n">
        <f aca="false">F6514*E6514</f>
        <v>101.43815</v>
      </c>
      <c r="H6514" s="433"/>
    </row>
    <row r="6515" customFormat="false" ht="15" hidden="false" customHeight="false" outlineLevel="0" collapsed="false">
      <c r="A6515" s="571"/>
      <c r="B6515" s="433"/>
      <c r="C6515" s="860" t="s">
        <v>4154</v>
      </c>
      <c r="D6515" s="316" t="s">
        <v>4359</v>
      </c>
      <c r="E6515" s="855" t="n">
        <v>0.006</v>
      </c>
      <c r="F6515" s="115" t="n">
        <v>18000</v>
      </c>
      <c r="G6515" s="615" t="n">
        <f aca="false">F6515*E6515</f>
        <v>108</v>
      </c>
      <c r="H6515" s="433"/>
    </row>
    <row r="6516" customFormat="false" ht="15" hidden="false" customHeight="false" outlineLevel="0" collapsed="false">
      <c r="A6516" s="571"/>
      <c r="B6516" s="433"/>
      <c r="C6516" s="855" t="s">
        <v>5252</v>
      </c>
      <c r="D6516" s="316" t="s">
        <v>4133</v>
      </c>
      <c r="E6516" s="855" t="n">
        <v>0.001</v>
      </c>
      <c r="F6516" s="115" t="n">
        <v>19000</v>
      </c>
      <c r="G6516" s="615" t="n">
        <f aca="false">F6516*E6516</f>
        <v>19</v>
      </c>
      <c r="H6516" s="433"/>
    </row>
    <row r="6517" customFormat="false" ht="15" hidden="false" customHeight="false" outlineLevel="0" collapsed="false">
      <c r="A6517" s="571"/>
      <c r="B6517" s="433"/>
      <c r="C6517" s="855" t="s">
        <v>4216</v>
      </c>
      <c r="D6517" s="316" t="s">
        <v>4133</v>
      </c>
      <c r="E6517" s="855" t="n">
        <v>0.001</v>
      </c>
      <c r="F6517" s="115" t="n">
        <v>21000</v>
      </c>
      <c r="G6517" s="615" t="n">
        <f aca="false">F6517*E6517</f>
        <v>21</v>
      </c>
      <c r="H6517" s="433"/>
    </row>
    <row r="6518" customFormat="false" ht="30" hidden="false" customHeight="false" outlineLevel="0" collapsed="false">
      <c r="A6518" s="571"/>
      <c r="B6518" s="433"/>
      <c r="C6518" s="855" t="s">
        <v>5268</v>
      </c>
      <c r="D6518" s="316" t="s">
        <v>4133</v>
      </c>
      <c r="E6518" s="855" t="n">
        <v>0.0001</v>
      </c>
      <c r="F6518" s="115" t="n">
        <v>60000</v>
      </c>
      <c r="G6518" s="615" t="n">
        <f aca="false">F6518*E6518</f>
        <v>6</v>
      </c>
      <c r="H6518" s="433"/>
    </row>
    <row r="6519" customFormat="false" ht="15" hidden="false" customHeight="false" outlineLevel="0" collapsed="false">
      <c r="A6519" s="571"/>
      <c r="B6519" s="433"/>
      <c r="C6519" s="855" t="s">
        <v>4205</v>
      </c>
      <c r="D6519" s="316" t="s">
        <v>4359</v>
      </c>
      <c r="E6519" s="855" t="n">
        <v>0.06</v>
      </c>
      <c r="F6519" s="115" t="n">
        <v>14000</v>
      </c>
      <c r="G6519" s="615" t="n">
        <f aca="false">F6519*E6519</f>
        <v>840</v>
      </c>
      <c r="H6519" s="433"/>
    </row>
    <row r="6520" customFormat="false" ht="15" hidden="false" customHeight="false" outlineLevel="0" collapsed="false">
      <c r="A6520" s="571"/>
      <c r="B6520" s="433"/>
      <c r="C6520" s="867" t="s">
        <v>4497</v>
      </c>
      <c r="D6520" s="868" t="s">
        <v>4348</v>
      </c>
      <c r="E6520" s="869" t="n">
        <v>0.003</v>
      </c>
      <c r="F6520" s="604" t="n">
        <v>550000</v>
      </c>
      <c r="G6520" s="615" t="n">
        <f aca="false">F6520*E6520</f>
        <v>1650</v>
      </c>
      <c r="H6520" s="433"/>
    </row>
    <row r="6521" customFormat="false" ht="15" hidden="false" customHeight="false" outlineLevel="0" collapsed="false">
      <c r="A6521" s="571"/>
      <c r="B6521" s="433"/>
      <c r="C6521" s="884" t="s">
        <v>4122</v>
      </c>
      <c r="D6521" s="679" t="s">
        <v>4123</v>
      </c>
      <c r="E6521" s="709" t="n">
        <v>0.1</v>
      </c>
      <c r="F6521" s="883" t="n">
        <v>720</v>
      </c>
      <c r="G6521" s="615" t="n">
        <f aca="false">F6521*E6521</f>
        <v>72</v>
      </c>
      <c r="H6521" s="433"/>
    </row>
    <row r="6522" customFormat="false" ht="30" hidden="false" customHeight="false" outlineLevel="0" collapsed="false">
      <c r="A6522" s="571"/>
      <c r="B6522" s="433"/>
      <c r="C6522" s="532" t="s">
        <v>5238</v>
      </c>
      <c r="D6522" s="679" t="s">
        <v>4141</v>
      </c>
      <c r="E6522" s="866" t="n">
        <v>0.001</v>
      </c>
      <c r="F6522" s="617" t="n">
        <v>1400</v>
      </c>
      <c r="G6522" s="615" t="n">
        <f aca="false">F6522*E6522</f>
        <v>1.4</v>
      </c>
      <c r="H6522" s="433"/>
    </row>
    <row r="6523" customFormat="false" ht="15" hidden="false" customHeight="false" outlineLevel="0" collapsed="false">
      <c r="A6523" s="571"/>
      <c r="B6523" s="433"/>
      <c r="C6523" s="855" t="s">
        <v>5241</v>
      </c>
      <c r="D6523" s="679" t="s">
        <v>4121</v>
      </c>
      <c r="E6523" s="709" t="n">
        <v>0.001</v>
      </c>
      <c r="F6523" s="617" t="n">
        <v>1500</v>
      </c>
      <c r="G6523" s="615" t="n">
        <f aca="false">F6523*E6523</f>
        <v>1.5</v>
      </c>
      <c r="H6523" s="433"/>
    </row>
    <row r="6524" customFormat="false" ht="15" hidden="false" customHeight="false" outlineLevel="0" collapsed="false">
      <c r="A6524" s="571"/>
      <c r="B6524" s="433"/>
      <c r="C6524" s="855" t="s">
        <v>5240</v>
      </c>
      <c r="D6524" s="316" t="s">
        <v>4578</v>
      </c>
      <c r="E6524" s="855" t="n">
        <v>0.002</v>
      </c>
      <c r="F6524" s="857" t="n">
        <v>225000</v>
      </c>
      <c r="G6524" s="615" t="n">
        <f aca="false">F6524*E6524</f>
        <v>450</v>
      </c>
      <c r="H6524" s="433"/>
    </row>
    <row r="6525" customFormat="false" ht="15" hidden="false" customHeight="false" outlineLevel="0" collapsed="false">
      <c r="A6525" s="571"/>
      <c r="B6525" s="433"/>
      <c r="C6525" s="860" t="s">
        <v>4515</v>
      </c>
      <c r="D6525" s="316" t="s">
        <v>4133</v>
      </c>
      <c r="E6525" s="855" t="n">
        <v>0.001</v>
      </c>
      <c r="F6525" s="857" t="n">
        <v>2700</v>
      </c>
      <c r="G6525" s="615" t="n">
        <f aca="false">F6525*E6525</f>
        <v>2.7</v>
      </c>
      <c r="H6525" s="433" t="n">
        <v>2700</v>
      </c>
    </row>
    <row r="6526" customFormat="false" ht="15" hidden="false" customHeight="false" outlineLevel="0" collapsed="false">
      <c r="A6526" s="571"/>
      <c r="B6526" s="433"/>
      <c r="C6526" s="885" t="s">
        <v>4124</v>
      </c>
      <c r="D6526" s="679" t="s">
        <v>4125</v>
      </c>
      <c r="E6526" s="709" t="n">
        <v>0.01</v>
      </c>
      <c r="F6526" s="886" t="n">
        <v>170</v>
      </c>
      <c r="G6526" s="615" t="n">
        <f aca="false">F6526*E6526</f>
        <v>1.7</v>
      </c>
      <c r="H6526" s="433"/>
    </row>
    <row r="6527" customFormat="false" ht="15" hidden="false" customHeight="false" outlineLevel="0" collapsed="false">
      <c r="A6527" s="571"/>
      <c r="B6527" s="433"/>
      <c r="C6527" s="885" t="s">
        <v>4347</v>
      </c>
      <c r="D6527" s="679" t="s">
        <v>4348</v>
      </c>
      <c r="E6527" s="709" t="n">
        <v>1</v>
      </c>
      <c r="F6527" s="886" t="n">
        <v>130</v>
      </c>
      <c r="G6527" s="615" t="n">
        <f aca="false">F6527*E6527</f>
        <v>130</v>
      </c>
      <c r="H6527" s="433"/>
    </row>
    <row r="6528" customFormat="false" ht="15" hidden="false" customHeight="false" outlineLevel="0" collapsed="false">
      <c r="A6528" s="571"/>
      <c r="B6528" s="433"/>
      <c r="C6528" s="881" t="s">
        <v>5239</v>
      </c>
      <c r="D6528" s="606" t="s">
        <v>4141</v>
      </c>
      <c r="E6528" s="614" t="n">
        <v>0.003</v>
      </c>
      <c r="F6528" s="886" t="n">
        <v>23500</v>
      </c>
      <c r="G6528" s="615" t="n">
        <f aca="false">F6528*E6528</f>
        <v>70.5</v>
      </c>
      <c r="H6528" s="433"/>
    </row>
    <row r="6529" customFormat="false" ht="15" hidden="false" customHeight="false" outlineLevel="0" collapsed="false">
      <c r="A6529" s="571"/>
      <c r="B6529" s="433"/>
      <c r="C6529" s="855" t="s">
        <v>4509</v>
      </c>
      <c r="D6529" s="316" t="s">
        <v>4348</v>
      </c>
      <c r="E6529" s="855" t="n">
        <v>1</v>
      </c>
      <c r="F6529" s="115" t="n">
        <v>26</v>
      </c>
      <c r="G6529" s="615" t="n">
        <f aca="false">F6529*E6529</f>
        <v>26</v>
      </c>
      <c r="H6529" s="433"/>
    </row>
    <row r="6530" customFormat="false" ht="16.5" hidden="false" customHeight="true" outlineLevel="0" collapsed="false">
      <c r="A6530" s="571" t="s">
        <v>1168</v>
      </c>
      <c r="B6530" s="433" t="s">
        <v>3307</v>
      </c>
      <c r="C6530" s="41"/>
      <c r="D6530" s="874"/>
      <c r="E6530" s="41"/>
      <c r="F6530" s="875"/>
      <c r="G6530" s="826" t="n">
        <f aca="false">SUM(G6531:G6550)</f>
        <v>6727.1455</v>
      </c>
      <c r="H6530" s="433" t="s">
        <v>5227</v>
      </c>
    </row>
    <row r="6531" customFormat="false" ht="15" hidden="false" customHeight="false" outlineLevel="0" collapsed="false">
      <c r="A6531" s="571"/>
      <c r="B6531" s="433"/>
      <c r="C6531" s="855" t="s">
        <v>4604</v>
      </c>
      <c r="D6531" s="316" t="s">
        <v>4359</v>
      </c>
      <c r="E6531" s="855" t="n">
        <v>0.02</v>
      </c>
      <c r="F6531" s="115" t="n">
        <v>18000</v>
      </c>
      <c r="G6531" s="615" t="n">
        <f aca="false">F6531*E6531</f>
        <v>360</v>
      </c>
      <c r="H6531" s="433"/>
    </row>
    <row r="6532" customFormat="false" ht="15" hidden="false" customHeight="false" outlineLevel="0" collapsed="false">
      <c r="A6532" s="571"/>
      <c r="B6532" s="433"/>
      <c r="C6532" s="855" t="s">
        <v>4317</v>
      </c>
      <c r="D6532" s="316" t="s">
        <v>4359</v>
      </c>
      <c r="E6532" s="855" t="n">
        <v>0.14</v>
      </c>
      <c r="F6532" s="115" t="n">
        <v>21000</v>
      </c>
      <c r="G6532" s="615" t="n">
        <f aca="false">F6532*E6532</f>
        <v>2940</v>
      </c>
      <c r="H6532" s="433"/>
    </row>
    <row r="6533" customFormat="false" ht="15" hidden="false" customHeight="false" outlineLevel="0" collapsed="false">
      <c r="A6533" s="571"/>
      <c r="B6533" s="433"/>
      <c r="C6533" s="855" t="s">
        <v>4147</v>
      </c>
      <c r="D6533" s="316" t="s">
        <v>4359</v>
      </c>
      <c r="E6533" s="855" t="n">
        <v>0.005</v>
      </c>
      <c r="F6533" s="115" t="n">
        <v>18000</v>
      </c>
      <c r="G6533" s="615" t="n">
        <f aca="false">F6533*E6533</f>
        <v>90</v>
      </c>
      <c r="H6533" s="433"/>
    </row>
    <row r="6534" customFormat="false" ht="15" hidden="false" customHeight="false" outlineLevel="0" collapsed="false">
      <c r="A6534" s="571"/>
      <c r="B6534" s="433"/>
      <c r="C6534" s="855" t="s">
        <v>5228</v>
      </c>
      <c r="D6534" s="316" t="s">
        <v>4133</v>
      </c>
      <c r="E6534" s="855" t="n">
        <v>0.02</v>
      </c>
      <c r="F6534" s="115" t="n">
        <v>19000</v>
      </c>
      <c r="G6534" s="615" t="n">
        <f aca="false">F6534*E6534</f>
        <v>380</v>
      </c>
      <c r="H6534" s="433"/>
    </row>
    <row r="6535" customFormat="false" ht="15" hidden="false" customHeight="false" outlineLevel="0" collapsed="false">
      <c r="A6535" s="571"/>
      <c r="B6535" s="433"/>
      <c r="C6535" s="855" t="s">
        <v>4673</v>
      </c>
      <c r="D6535" s="316" t="s">
        <v>4133</v>
      </c>
      <c r="E6535" s="855" t="n">
        <v>0.005</v>
      </c>
      <c r="F6535" s="115" t="n">
        <v>106777</v>
      </c>
      <c r="G6535" s="615" t="n">
        <f aca="false">F6535*E6535</f>
        <v>533.885</v>
      </c>
      <c r="H6535" s="433"/>
    </row>
    <row r="6536" customFormat="false" ht="30" hidden="false" customHeight="false" outlineLevel="0" collapsed="false">
      <c r="A6536" s="571"/>
      <c r="B6536" s="433"/>
      <c r="C6536" s="532" t="s">
        <v>5238</v>
      </c>
      <c r="D6536" s="679" t="s">
        <v>4141</v>
      </c>
      <c r="E6536" s="865" t="n">
        <v>0.001</v>
      </c>
      <c r="F6536" s="617" t="n">
        <v>1400</v>
      </c>
      <c r="G6536" s="615" t="n">
        <f aca="false">F6536*E6536</f>
        <v>1.4</v>
      </c>
      <c r="H6536" s="433"/>
    </row>
    <row r="6537" customFormat="false" ht="30" hidden="false" customHeight="false" outlineLevel="0" collapsed="false">
      <c r="A6537" s="571"/>
      <c r="B6537" s="433"/>
      <c r="C6537" s="855" t="s">
        <v>5229</v>
      </c>
      <c r="D6537" s="316" t="s">
        <v>4133</v>
      </c>
      <c r="E6537" s="855" t="n">
        <v>0.0001</v>
      </c>
      <c r="F6537" s="857" t="n">
        <v>71490</v>
      </c>
      <c r="G6537" s="615" t="n">
        <f aca="false">F6537*E6537</f>
        <v>7.149</v>
      </c>
      <c r="H6537" s="433"/>
    </row>
    <row r="6538" customFormat="false" ht="30" hidden="false" customHeight="false" outlineLevel="0" collapsed="false">
      <c r="A6538" s="571"/>
      <c r="B6538" s="433"/>
      <c r="C6538" s="855" t="s">
        <v>5230</v>
      </c>
      <c r="D6538" s="316" t="s">
        <v>4133</v>
      </c>
      <c r="E6538" s="855" t="n">
        <v>0.0001</v>
      </c>
      <c r="F6538" s="857" t="n">
        <v>74815</v>
      </c>
      <c r="G6538" s="615" t="n">
        <f aca="false">F6538*E6538</f>
        <v>7.4815</v>
      </c>
      <c r="H6538" s="433"/>
    </row>
    <row r="6539" customFormat="false" ht="45" hidden="false" customHeight="false" outlineLevel="0" collapsed="false">
      <c r="A6539" s="571"/>
      <c r="B6539" s="433"/>
      <c r="C6539" s="855" t="s">
        <v>5231</v>
      </c>
      <c r="D6539" s="316" t="s">
        <v>4133</v>
      </c>
      <c r="E6539" s="855" t="n">
        <v>0.0001</v>
      </c>
      <c r="F6539" s="857" t="n">
        <v>75465</v>
      </c>
      <c r="G6539" s="615" t="n">
        <f aca="false">F6539*E6539</f>
        <v>7.5465</v>
      </c>
      <c r="H6539" s="433"/>
    </row>
    <row r="6540" customFormat="false" ht="30" hidden="false" customHeight="false" outlineLevel="0" collapsed="false">
      <c r="A6540" s="571"/>
      <c r="B6540" s="433"/>
      <c r="C6540" s="855" t="s">
        <v>5232</v>
      </c>
      <c r="D6540" s="316" t="s">
        <v>4133</v>
      </c>
      <c r="E6540" s="855" t="n">
        <v>0.0001</v>
      </c>
      <c r="F6540" s="857" t="n">
        <v>87990</v>
      </c>
      <c r="G6540" s="615" t="n">
        <f aca="false">F6540*E6540</f>
        <v>8.799</v>
      </c>
      <c r="H6540" s="433"/>
    </row>
    <row r="6541" customFormat="false" ht="30" hidden="false" customHeight="false" outlineLevel="0" collapsed="false">
      <c r="A6541" s="571"/>
      <c r="B6541" s="433"/>
      <c r="C6541" s="855" t="s">
        <v>5233</v>
      </c>
      <c r="D6541" s="316" t="s">
        <v>4133</v>
      </c>
      <c r="E6541" s="855" t="n">
        <v>0.0001</v>
      </c>
      <c r="F6541" s="857" t="n">
        <v>71395</v>
      </c>
      <c r="G6541" s="615" t="n">
        <f aca="false">F6541*E6541</f>
        <v>7.1395</v>
      </c>
      <c r="H6541" s="433"/>
    </row>
    <row r="6542" customFormat="false" ht="30" hidden="false" customHeight="false" outlineLevel="0" collapsed="false">
      <c r="A6542" s="571"/>
      <c r="B6542" s="433"/>
      <c r="C6542" s="855" t="s">
        <v>5234</v>
      </c>
      <c r="D6542" s="316" t="s">
        <v>4133</v>
      </c>
      <c r="E6542" s="855" t="n">
        <v>0.0001</v>
      </c>
      <c r="F6542" s="857" t="n">
        <v>53450</v>
      </c>
      <c r="G6542" s="615" t="n">
        <f aca="false">F6542*E6542</f>
        <v>5.345</v>
      </c>
      <c r="H6542" s="433"/>
    </row>
    <row r="6543" customFormat="false" ht="15" hidden="false" customHeight="false" outlineLevel="0" collapsed="false">
      <c r="A6543" s="571"/>
      <c r="B6543" s="433"/>
      <c r="C6543" s="855" t="s">
        <v>5240</v>
      </c>
      <c r="D6543" s="316" t="s">
        <v>4578</v>
      </c>
      <c r="E6543" s="855" t="n">
        <v>0.002</v>
      </c>
      <c r="F6543" s="857" t="n">
        <v>225000</v>
      </c>
      <c r="G6543" s="615" t="n">
        <f aca="false">F6543*E6543</f>
        <v>450</v>
      </c>
      <c r="H6543" s="433"/>
    </row>
    <row r="6544" customFormat="false" ht="15" hidden="false" customHeight="false" outlineLevel="0" collapsed="false">
      <c r="A6544" s="571"/>
      <c r="B6544" s="433"/>
      <c r="C6544" s="867" t="s">
        <v>4497</v>
      </c>
      <c r="D6544" s="868" t="s">
        <v>4348</v>
      </c>
      <c r="E6544" s="869" t="n">
        <v>0.003</v>
      </c>
      <c r="F6544" s="870" t="n">
        <v>550000</v>
      </c>
      <c r="G6544" s="615" t="n">
        <f aca="false">F6544*E6544</f>
        <v>1650</v>
      </c>
      <c r="H6544" s="433"/>
    </row>
    <row r="6545" customFormat="false" ht="15" hidden="false" customHeight="false" outlineLevel="0" collapsed="false">
      <c r="A6545" s="571"/>
      <c r="B6545" s="433"/>
      <c r="C6545" s="881" t="s">
        <v>5239</v>
      </c>
      <c r="D6545" s="606" t="s">
        <v>4141</v>
      </c>
      <c r="E6545" s="614" t="n">
        <v>0.003</v>
      </c>
      <c r="F6545" s="886" t="n">
        <v>23500</v>
      </c>
      <c r="G6545" s="615" t="n">
        <f aca="false">F6545*E6545</f>
        <v>70.5</v>
      </c>
      <c r="H6545" s="433"/>
    </row>
    <row r="6546" customFormat="false" ht="15" hidden="false" customHeight="false" outlineLevel="0" collapsed="false">
      <c r="A6546" s="571"/>
      <c r="B6546" s="433"/>
      <c r="C6546" s="855" t="s">
        <v>5241</v>
      </c>
      <c r="D6546" s="316" t="s">
        <v>4141</v>
      </c>
      <c r="E6546" s="860" t="n">
        <v>0.001</v>
      </c>
      <c r="F6546" s="857" t="n">
        <v>1500</v>
      </c>
      <c r="G6546" s="615" t="n">
        <f aca="false">F6546*E6546</f>
        <v>1.5</v>
      </c>
      <c r="H6546" s="433"/>
    </row>
    <row r="6547" customFormat="false" ht="15" hidden="false" customHeight="false" outlineLevel="0" collapsed="false">
      <c r="A6547" s="571"/>
      <c r="B6547" s="433"/>
      <c r="C6547" s="855" t="s">
        <v>4347</v>
      </c>
      <c r="D6547" s="316" t="s">
        <v>4348</v>
      </c>
      <c r="E6547" s="855" t="n">
        <v>1</v>
      </c>
      <c r="F6547" s="857" t="n">
        <v>130</v>
      </c>
      <c r="G6547" s="615" t="n">
        <f aca="false">F6547*E6547</f>
        <v>130</v>
      </c>
      <c r="H6547" s="433"/>
    </row>
    <row r="6548" customFormat="false" ht="15" hidden="false" customHeight="false" outlineLevel="0" collapsed="false">
      <c r="A6548" s="571"/>
      <c r="B6548" s="433"/>
      <c r="C6548" s="855" t="s">
        <v>4122</v>
      </c>
      <c r="D6548" s="316" t="s">
        <v>4359</v>
      </c>
      <c r="E6548" s="855" t="n">
        <v>0.1</v>
      </c>
      <c r="F6548" s="857" t="n">
        <v>720</v>
      </c>
      <c r="G6548" s="615" t="n">
        <f aca="false">F6548*E6548</f>
        <v>72</v>
      </c>
      <c r="H6548" s="433"/>
    </row>
    <row r="6549" customFormat="false" ht="15" hidden="false" customHeight="false" outlineLevel="0" collapsed="false">
      <c r="A6549" s="571"/>
      <c r="B6549" s="433"/>
      <c r="C6549" s="855" t="s">
        <v>4515</v>
      </c>
      <c r="D6549" s="316" t="s">
        <v>4133</v>
      </c>
      <c r="E6549" s="855" t="n">
        <v>0.001</v>
      </c>
      <c r="F6549" s="857" t="n">
        <v>2700</v>
      </c>
      <c r="G6549" s="615" t="n">
        <f aca="false">F6549*E6549</f>
        <v>2.7</v>
      </c>
      <c r="H6549" s="433"/>
    </row>
    <row r="6550" customFormat="false" ht="15" hidden="false" customHeight="false" outlineLevel="0" collapsed="false">
      <c r="A6550" s="571"/>
      <c r="B6550" s="433"/>
      <c r="C6550" s="861" t="s">
        <v>4124</v>
      </c>
      <c r="D6550" s="316" t="s">
        <v>4125</v>
      </c>
      <c r="E6550" s="855" t="n">
        <v>0.01</v>
      </c>
      <c r="F6550" s="857" t="n">
        <v>170</v>
      </c>
      <c r="G6550" s="615" t="n">
        <f aca="false">F6550*E6550</f>
        <v>1.7</v>
      </c>
      <c r="H6550" s="433"/>
    </row>
    <row r="6551" customFormat="false" ht="15" hidden="false" customHeight="false" outlineLevel="0" collapsed="false">
      <c r="A6551" s="571" t="s">
        <v>1169</v>
      </c>
      <c r="B6551" s="433" t="s">
        <v>3347</v>
      </c>
      <c r="C6551" s="41"/>
      <c r="D6551" s="874"/>
      <c r="E6551" s="41"/>
      <c r="F6551" s="875"/>
      <c r="G6551" s="826" t="n">
        <f aca="false">SUM(G6552:G6566)</f>
        <v>6999.0005</v>
      </c>
      <c r="H6551" s="433" t="s">
        <v>5306</v>
      </c>
    </row>
    <row r="6552" customFormat="false" ht="15" hidden="false" customHeight="false" outlineLevel="0" collapsed="false">
      <c r="A6552" s="571"/>
      <c r="B6552" s="433"/>
      <c r="C6552" s="41" t="s">
        <v>4604</v>
      </c>
      <c r="D6552" s="316" t="s">
        <v>4359</v>
      </c>
      <c r="E6552" s="855" t="n">
        <v>0.01</v>
      </c>
      <c r="F6552" s="115" t="n">
        <v>18000</v>
      </c>
      <c r="G6552" s="615" t="n">
        <f aca="false">F6552*E6552</f>
        <v>180</v>
      </c>
      <c r="H6552" s="433"/>
    </row>
    <row r="6553" customFormat="false" ht="15" hidden="false" customHeight="false" outlineLevel="0" collapsed="false">
      <c r="A6553" s="571"/>
      <c r="B6553" s="433"/>
      <c r="C6553" s="855" t="s">
        <v>5228</v>
      </c>
      <c r="D6553" s="316" t="s">
        <v>4133</v>
      </c>
      <c r="E6553" s="855" t="n">
        <v>0.001</v>
      </c>
      <c r="F6553" s="115" t="n">
        <v>19000</v>
      </c>
      <c r="G6553" s="615" t="n">
        <f aca="false">F6553*E6553</f>
        <v>19</v>
      </c>
      <c r="H6553" s="433"/>
    </row>
    <row r="6554" customFormat="false" ht="15" hidden="false" customHeight="false" outlineLevel="0" collapsed="false">
      <c r="A6554" s="571"/>
      <c r="B6554" s="433"/>
      <c r="C6554" s="860" t="s">
        <v>4250</v>
      </c>
      <c r="D6554" s="316" t="s">
        <v>4359</v>
      </c>
      <c r="E6554" s="855" t="n">
        <v>0.1</v>
      </c>
      <c r="F6554" s="115" t="n">
        <v>42000</v>
      </c>
      <c r="G6554" s="615" t="n">
        <f aca="false">F6554*E6554</f>
        <v>4200</v>
      </c>
      <c r="H6554" s="433"/>
    </row>
    <row r="6555" customFormat="false" ht="15" hidden="false" customHeight="false" outlineLevel="0" collapsed="false">
      <c r="A6555" s="571"/>
      <c r="B6555" s="433"/>
      <c r="C6555" s="855" t="s">
        <v>4673</v>
      </c>
      <c r="D6555" s="316" t="s">
        <v>4133</v>
      </c>
      <c r="E6555" s="855" t="n">
        <v>0.002</v>
      </c>
      <c r="F6555" s="115" t="n">
        <v>106777</v>
      </c>
      <c r="G6555" s="615" t="n">
        <f aca="false">F6555*E6555</f>
        <v>213.554</v>
      </c>
      <c r="H6555" s="433"/>
    </row>
    <row r="6556" customFormat="false" ht="15" hidden="false" customHeight="false" outlineLevel="0" collapsed="false">
      <c r="A6556" s="571"/>
      <c r="B6556" s="433"/>
      <c r="C6556" s="855" t="s">
        <v>4148</v>
      </c>
      <c r="D6556" s="316" t="s">
        <v>4133</v>
      </c>
      <c r="E6556" s="855" t="n">
        <v>0.001</v>
      </c>
      <c r="F6556" s="115" t="n">
        <v>2000</v>
      </c>
      <c r="G6556" s="615" t="n">
        <f aca="false">F6556*E6556</f>
        <v>2</v>
      </c>
      <c r="H6556" s="433"/>
    </row>
    <row r="6557" customFormat="false" ht="15" hidden="false" customHeight="false" outlineLevel="0" collapsed="false">
      <c r="A6557" s="571"/>
      <c r="B6557" s="433"/>
      <c r="C6557" s="860" t="s">
        <v>4154</v>
      </c>
      <c r="D6557" s="316" t="s">
        <v>4359</v>
      </c>
      <c r="E6557" s="855" t="n">
        <v>0.002</v>
      </c>
      <c r="F6557" s="115" t="n">
        <v>18000</v>
      </c>
      <c r="G6557" s="615" t="n">
        <f aca="false">F6557*E6557</f>
        <v>36</v>
      </c>
      <c r="H6557" s="433"/>
    </row>
    <row r="6558" customFormat="false" ht="30" hidden="false" customHeight="false" outlineLevel="0" collapsed="false">
      <c r="A6558" s="571"/>
      <c r="B6558" s="433"/>
      <c r="C6558" s="855" t="s">
        <v>5265</v>
      </c>
      <c r="D6558" s="316" t="s">
        <v>4133</v>
      </c>
      <c r="E6558" s="855" t="n">
        <v>0.0001</v>
      </c>
      <c r="F6558" s="115" t="n">
        <v>130765</v>
      </c>
      <c r="G6558" s="615" t="n">
        <f aca="false">F6558*E6558</f>
        <v>13.0765</v>
      </c>
      <c r="H6558" s="433"/>
    </row>
    <row r="6559" customFormat="false" ht="15" hidden="false" customHeight="false" outlineLevel="0" collapsed="false">
      <c r="A6559" s="571"/>
      <c r="B6559" s="433"/>
      <c r="C6559" s="532" t="s">
        <v>5240</v>
      </c>
      <c r="D6559" s="679" t="s">
        <v>4578</v>
      </c>
      <c r="E6559" s="866" t="n">
        <v>0.002</v>
      </c>
      <c r="F6559" s="617" t="n">
        <v>225000</v>
      </c>
      <c r="G6559" s="615" t="n">
        <f aca="false">F6559*E6559</f>
        <v>450</v>
      </c>
      <c r="H6559" s="433"/>
    </row>
    <row r="6560" customFormat="false" ht="15" hidden="false" customHeight="false" outlineLevel="0" collapsed="false">
      <c r="A6560" s="571"/>
      <c r="B6560" s="433"/>
      <c r="C6560" s="867" t="s">
        <v>4122</v>
      </c>
      <c r="D6560" s="868" t="s">
        <v>4123</v>
      </c>
      <c r="E6560" s="869" t="n">
        <v>0.01</v>
      </c>
      <c r="F6560" s="607" t="n">
        <v>720</v>
      </c>
      <c r="G6560" s="615" t="n">
        <f aca="false">F6560*E6560</f>
        <v>7.2</v>
      </c>
      <c r="H6560" s="433"/>
    </row>
    <row r="6561" customFormat="false" ht="15" hidden="false" customHeight="false" outlineLevel="0" collapsed="false">
      <c r="A6561" s="571"/>
      <c r="B6561" s="433"/>
      <c r="C6561" s="855" t="s">
        <v>5241</v>
      </c>
      <c r="D6561" s="868" t="s">
        <v>4121</v>
      </c>
      <c r="E6561" s="869" t="n">
        <v>0.001</v>
      </c>
      <c r="F6561" s="604" t="n">
        <v>1500</v>
      </c>
      <c r="G6561" s="615" t="n">
        <f aca="false">F6561*E6561</f>
        <v>1.5</v>
      </c>
      <c r="H6561" s="433"/>
    </row>
    <row r="6562" customFormat="false" ht="15" hidden="false" customHeight="false" outlineLevel="0" collapsed="false">
      <c r="A6562" s="571"/>
      <c r="B6562" s="433"/>
      <c r="C6562" s="867" t="s">
        <v>4497</v>
      </c>
      <c r="D6562" s="868" t="s">
        <v>4348</v>
      </c>
      <c r="E6562" s="869" t="n">
        <v>0.003</v>
      </c>
      <c r="F6562" s="604" t="n">
        <v>550000</v>
      </c>
      <c r="G6562" s="615" t="n">
        <f aca="false">F6562*E6562</f>
        <v>1650</v>
      </c>
      <c r="H6562" s="433"/>
    </row>
    <row r="6563" customFormat="false" ht="15" hidden="false" customHeight="false" outlineLevel="0" collapsed="false">
      <c r="A6563" s="571"/>
      <c r="B6563" s="433"/>
      <c r="C6563" s="881" t="s">
        <v>5239</v>
      </c>
      <c r="D6563" s="606" t="s">
        <v>4141</v>
      </c>
      <c r="E6563" s="614" t="n">
        <v>0.003</v>
      </c>
      <c r="F6563" s="883" t="n">
        <v>23500</v>
      </c>
      <c r="G6563" s="615" t="n">
        <f aca="false">F6563*E6563</f>
        <v>70.5</v>
      </c>
      <c r="H6563" s="433"/>
    </row>
    <row r="6564" customFormat="false" ht="15" hidden="false" customHeight="false" outlineLevel="0" collapsed="false">
      <c r="A6564" s="571"/>
      <c r="B6564" s="433"/>
      <c r="C6564" s="872" t="s">
        <v>4124</v>
      </c>
      <c r="D6564" s="868" t="s">
        <v>4125</v>
      </c>
      <c r="E6564" s="869" t="n">
        <v>0.001</v>
      </c>
      <c r="F6564" s="607" t="n">
        <v>170</v>
      </c>
      <c r="G6564" s="615" t="n">
        <f aca="false">F6564*E6564</f>
        <v>0.17</v>
      </c>
      <c r="H6564" s="433"/>
    </row>
    <row r="6565" customFormat="false" ht="15" hidden="false" customHeight="false" outlineLevel="0" collapsed="false">
      <c r="A6565" s="571"/>
      <c r="B6565" s="433"/>
      <c r="C6565" s="872" t="s">
        <v>4347</v>
      </c>
      <c r="D6565" s="868" t="s">
        <v>4348</v>
      </c>
      <c r="E6565" s="869" t="n">
        <v>1</v>
      </c>
      <c r="F6565" s="607" t="n">
        <v>130</v>
      </c>
      <c r="G6565" s="615" t="n">
        <f aca="false">F6565*E6565</f>
        <v>130</v>
      </c>
      <c r="H6565" s="433"/>
    </row>
    <row r="6566" customFormat="false" ht="15" hidden="false" customHeight="false" outlineLevel="0" collapsed="false">
      <c r="A6566" s="571"/>
      <c r="B6566" s="433"/>
      <c r="C6566" s="855" t="s">
        <v>4509</v>
      </c>
      <c r="D6566" s="316" t="s">
        <v>4348</v>
      </c>
      <c r="E6566" s="855" t="n">
        <v>1</v>
      </c>
      <c r="F6566" s="115" t="n">
        <v>26</v>
      </c>
      <c r="G6566" s="615" t="n">
        <f aca="false">F6566*E6566</f>
        <v>26</v>
      </c>
      <c r="H6566" s="433"/>
    </row>
    <row r="6567" customFormat="false" ht="15" hidden="false" customHeight="false" outlineLevel="0" collapsed="false">
      <c r="A6567" s="571" t="s">
        <v>1171</v>
      </c>
      <c r="B6567" s="433" t="s">
        <v>3309</v>
      </c>
      <c r="C6567" s="41"/>
      <c r="D6567" s="874"/>
      <c r="E6567" s="41"/>
      <c r="F6567" s="875"/>
      <c r="G6567" s="826" t="n">
        <f aca="false">SUM(G6568:G6582)</f>
        <v>6665.033</v>
      </c>
      <c r="H6567" s="433"/>
    </row>
    <row r="6568" customFormat="false" ht="15" hidden="false" customHeight="false" outlineLevel="0" collapsed="false">
      <c r="A6568" s="571"/>
      <c r="B6568" s="433"/>
      <c r="C6568" s="860" t="s">
        <v>4250</v>
      </c>
      <c r="D6568" s="316" t="s">
        <v>4359</v>
      </c>
      <c r="E6568" s="855" t="n">
        <v>0.1</v>
      </c>
      <c r="F6568" s="115" t="n">
        <v>42000</v>
      </c>
      <c r="G6568" s="615" t="n">
        <f aca="false">F6568*E6568</f>
        <v>4200</v>
      </c>
      <c r="H6568" s="433"/>
    </row>
    <row r="6569" customFormat="false" ht="15" hidden="false" customHeight="false" outlineLevel="0" collapsed="false">
      <c r="A6569" s="571"/>
      <c r="B6569" s="433"/>
      <c r="C6569" s="855" t="s">
        <v>5252</v>
      </c>
      <c r="D6569" s="316" t="s">
        <v>4133</v>
      </c>
      <c r="E6569" s="855" t="n">
        <v>0.001</v>
      </c>
      <c r="F6569" s="115" t="n">
        <v>19000</v>
      </c>
      <c r="G6569" s="615" t="n">
        <f aca="false">F6569*E6569</f>
        <v>19</v>
      </c>
      <c r="H6569" s="433"/>
    </row>
    <row r="6570" customFormat="false" ht="15" hidden="false" customHeight="false" outlineLevel="0" collapsed="false">
      <c r="A6570" s="571"/>
      <c r="B6570" s="433"/>
      <c r="C6570" s="855" t="s">
        <v>4154</v>
      </c>
      <c r="D6570" s="316" t="s">
        <v>4359</v>
      </c>
      <c r="E6570" s="855" t="n">
        <v>0.001</v>
      </c>
      <c r="F6570" s="115" t="n">
        <v>18000</v>
      </c>
      <c r="G6570" s="615" t="n">
        <f aca="false">F6570*E6570</f>
        <v>18</v>
      </c>
      <c r="H6570" s="433"/>
    </row>
    <row r="6571" customFormat="false" ht="30" hidden="false" customHeight="false" outlineLevel="0" collapsed="false">
      <c r="A6571" s="571"/>
      <c r="B6571" s="433"/>
      <c r="C6571" s="532" t="s">
        <v>5238</v>
      </c>
      <c r="D6571" s="679" t="s">
        <v>4141</v>
      </c>
      <c r="E6571" s="866" t="n">
        <v>0.001</v>
      </c>
      <c r="F6571" s="617" t="n">
        <v>1400</v>
      </c>
      <c r="G6571" s="615" t="n">
        <f aca="false">F6571*E6571</f>
        <v>1.4</v>
      </c>
      <c r="H6571" s="433"/>
    </row>
    <row r="6572" customFormat="false" ht="45" hidden="false" customHeight="false" outlineLevel="0" collapsed="false">
      <c r="A6572" s="571"/>
      <c r="B6572" s="433"/>
      <c r="C6572" s="860" t="s">
        <v>5253</v>
      </c>
      <c r="D6572" s="877" t="s">
        <v>4133</v>
      </c>
      <c r="E6572" s="860" t="n">
        <v>0.0001</v>
      </c>
      <c r="F6572" s="115" t="n">
        <v>41555</v>
      </c>
      <c r="G6572" s="615" t="n">
        <f aca="false">F6572*E6572</f>
        <v>4.1555</v>
      </c>
      <c r="H6572" s="433"/>
    </row>
    <row r="6573" customFormat="false" ht="15" hidden="false" customHeight="false" outlineLevel="0" collapsed="false">
      <c r="A6573" s="571"/>
      <c r="B6573" s="433"/>
      <c r="C6573" s="860" t="s">
        <v>4628</v>
      </c>
      <c r="D6573" s="877" t="s">
        <v>4133</v>
      </c>
      <c r="E6573" s="860" t="n">
        <v>0.003</v>
      </c>
      <c r="F6573" s="115" t="n">
        <v>18000</v>
      </c>
      <c r="G6573" s="615" t="n">
        <f aca="false">F6573*E6573</f>
        <v>54</v>
      </c>
      <c r="H6573" s="433"/>
    </row>
    <row r="6574" customFormat="false" ht="16.5" hidden="false" customHeight="true" outlineLevel="0" collapsed="false">
      <c r="A6574" s="571"/>
      <c r="B6574" s="433"/>
      <c r="C6574" s="878" t="s">
        <v>4524</v>
      </c>
      <c r="D6574" s="877" t="s">
        <v>4133</v>
      </c>
      <c r="E6574" s="860" t="n">
        <v>0.0095</v>
      </c>
      <c r="F6574" s="115" t="n">
        <v>2625</v>
      </c>
      <c r="G6574" s="615" t="n">
        <f aca="false">F6574*E6574</f>
        <v>24.9375</v>
      </c>
      <c r="H6574" s="433"/>
    </row>
    <row r="6575" customFormat="false" ht="15" hidden="false" customHeight="false" outlineLevel="0" collapsed="false">
      <c r="A6575" s="571"/>
      <c r="B6575" s="433"/>
      <c r="C6575" s="878" t="s">
        <v>5260</v>
      </c>
      <c r="D6575" s="877" t="s">
        <v>4133</v>
      </c>
      <c r="E6575" s="860" t="n">
        <v>0.00136</v>
      </c>
      <c r="F6575" s="115" t="n">
        <v>24000</v>
      </c>
      <c r="G6575" s="615" t="n">
        <f aca="false">F6575*E6575</f>
        <v>32.64</v>
      </c>
      <c r="H6575" s="433"/>
    </row>
    <row r="6576" customFormat="false" ht="15" hidden="false" customHeight="false" outlineLevel="0" collapsed="false">
      <c r="A6576" s="571"/>
      <c r="B6576" s="433"/>
      <c r="C6576" s="532" t="s">
        <v>5240</v>
      </c>
      <c r="D6576" s="679" t="s">
        <v>4578</v>
      </c>
      <c r="E6576" s="866" t="n">
        <v>0.002</v>
      </c>
      <c r="F6576" s="617" t="n">
        <v>225000</v>
      </c>
      <c r="G6576" s="615" t="n">
        <f aca="false">F6576*E6576</f>
        <v>450</v>
      </c>
      <c r="H6576" s="433"/>
    </row>
    <row r="6577" customFormat="false" ht="15" hidden="false" customHeight="false" outlineLevel="0" collapsed="false">
      <c r="A6577" s="571"/>
      <c r="B6577" s="433"/>
      <c r="C6577" s="867" t="s">
        <v>4122</v>
      </c>
      <c r="D6577" s="868" t="s">
        <v>4123</v>
      </c>
      <c r="E6577" s="869" t="n">
        <v>0.01</v>
      </c>
      <c r="F6577" s="607" t="n">
        <v>720</v>
      </c>
      <c r="G6577" s="615" t="n">
        <f aca="false">F6577*E6577</f>
        <v>7.2</v>
      </c>
      <c r="H6577" s="433"/>
    </row>
    <row r="6578" customFormat="false" ht="15" hidden="false" customHeight="false" outlineLevel="0" collapsed="false">
      <c r="A6578" s="571"/>
      <c r="B6578" s="433"/>
      <c r="C6578" s="881" t="s">
        <v>5239</v>
      </c>
      <c r="D6578" s="606" t="s">
        <v>4141</v>
      </c>
      <c r="E6578" s="614" t="n">
        <v>0.003</v>
      </c>
      <c r="F6578" s="886" t="n">
        <v>23500</v>
      </c>
      <c r="G6578" s="615" t="n">
        <f aca="false">F6578*E6578</f>
        <v>70.5</v>
      </c>
      <c r="H6578" s="433"/>
    </row>
    <row r="6579" customFormat="false" ht="15" hidden="false" customHeight="false" outlineLevel="0" collapsed="false">
      <c r="A6579" s="571"/>
      <c r="B6579" s="433"/>
      <c r="C6579" s="867" t="s">
        <v>4497</v>
      </c>
      <c r="D6579" s="868" t="s">
        <v>4348</v>
      </c>
      <c r="E6579" s="869" t="n">
        <v>0.003</v>
      </c>
      <c r="F6579" s="870" t="n">
        <v>550000</v>
      </c>
      <c r="G6579" s="615" t="n">
        <f aca="false">F6579*E6579</f>
        <v>1650</v>
      </c>
      <c r="H6579" s="433"/>
    </row>
    <row r="6580" customFormat="false" ht="15" hidden="false" customHeight="false" outlineLevel="0" collapsed="false">
      <c r="A6580" s="571"/>
      <c r="B6580" s="433"/>
      <c r="C6580" s="855" t="s">
        <v>5241</v>
      </c>
      <c r="D6580" s="868" t="s">
        <v>4121</v>
      </c>
      <c r="E6580" s="869" t="n">
        <v>0.001</v>
      </c>
      <c r="F6580" s="870" t="n">
        <v>1500</v>
      </c>
      <c r="G6580" s="615" t="n">
        <f aca="false">F6580*E6580</f>
        <v>1.5</v>
      </c>
      <c r="H6580" s="433"/>
    </row>
    <row r="6581" customFormat="false" ht="15" hidden="false" customHeight="false" outlineLevel="0" collapsed="false">
      <c r="A6581" s="571"/>
      <c r="B6581" s="433"/>
      <c r="C6581" s="872" t="s">
        <v>4124</v>
      </c>
      <c r="D6581" s="868" t="s">
        <v>4125</v>
      </c>
      <c r="E6581" s="869" t="n">
        <v>0.01</v>
      </c>
      <c r="F6581" s="871" t="n">
        <v>170</v>
      </c>
      <c r="G6581" s="615" t="n">
        <f aca="false">F6581*E6581</f>
        <v>1.7</v>
      </c>
      <c r="H6581" s="433"/>
    </row>
    <row r="6582" customFormat="false" ht="15" hidden="false" customHeight="false" outlineLevel="0" collapsed="false">
      <c r="A6582" s="571"/>
      <c r="B6582" s="433"/>
      <c r="C6582" s="872" t="s">
        <v>4347</v>
      </c>
      <c r="D6582" s="868" t="s">
        <v>4348</v>
      </c>
      <c r="E6582" s="869" t="n">
        <v>1</v>
      </c>
      <c r="F6582" s="871" t="n">
        <v>130</v>
      </c>
      <c r="G6582" s="615" t="n">
        <f aca="false">F6582*E6582</f>
        <v>130</v>
      </c>
      <c r="H6582" s="433"/>
    </row>
    <row r="6583" customFormat="false" ht="28.5" hidden="false" customHeight="false" outlineLevel="0" collapsed="false">
      <c r="A6583" s="350" t="s">
        <v>5331</v>
      </c>
      <c r="B6583" s="346" t="s">
        <v>3348</v>
      </c>
      <c r="C6583" s="892"/>
      <c r="D6583" s="387"/>
      <c r="E6583" s="892"/>
      <c r="F6583" s="893"/>
      <c r="G6583" s="713"/>
      <c r="H6583" s="887"/>
    </row>
    <row r="6584" customFormat="false" ht="15" hidden="false" customHeight="false" outlineLevel="0" collapsed="false">
      <c r="A6584" s="571" t="s">
        <v>1174</v>
      </c>
      <c r="B6584" s="433" t="s">
        <v>3307</v>
      </c>
      <c r="C6584" s="41"/>
      <c r="D6584" s="874"/>
      <c r="E6584" s="41"/>
      <c r="F6584" s="875"/>
      <c r="G6584" s="826" t="n">
        <f aca="false">SUM(G6585:G6605)</f>
        <v>8408.2455</v>
      </c>
      <c r="H6584" s="889" t="s">
        <v>5332</v>
      </c>
    </row>
    <row r="6585" customFormat="false" ht="15" hidden="false" customHeight="false" outlineLevel="0" collapsed="false">
      <c r="A6585" s="380"/>
      <c r="B6585" s="433"/>
      <c r="C6585" s="855" t="s">
        <v>4604</v>
      </c>
      <c r="D6585" s="316" t="s">
        <v>4359</v>
      </c>
      <c r="E6585" s="855" t="n">
        <v>0.012</v>
      </c>
      <c r="F6585" s="115" t="n">
        <v>18000</v>
      </c>
      <c r="G6585" s="615" t="n">
        <f aca="false">F6585*E6585</f>
        <v>216</v>
      </c>
      <c r="H6585" s="433"/>
    </row>
    <row r="6586" customFormat="false" ht="15" hidden="false" customHeight="false" outlineLevel="0" collapsed="false">
      <c r="A6586" s="707"/>
      <c r="B6586" s="433"/>
      <c r="C6586" s="855" t="s">
        <v>4317</v>
      </c>
      <c r="D6586" s="316" t="s">
        <v>4359</v>
      </c>
      <c r="E6586" s="855" t="n">
        <v>0.24</v>
      </c>
      <c r="F6586" s="115" t="n">
        <v>21000</v>
      </c>
      <c r="G6586" s="615" t="n">
        <f aca="false">F6586*E6586</f>
        <v>5040</v>
      </c>
      <c r="H6586" s="433"/>
    </row>
    <row r="6587" customFormat="false" ht="15" hidden="false" customHeight="false" outlineLevel="0" collapsed="false">
      <c r="A6587" s="571"/>
      <c r="B6587" s="433"/>
      <c r="C6587" s="855" t="s">
        <v>4147</v>
      </c>
      <c r="D6587" s="316" t="s">
        <v>4359</v>
      </c>
      <c r="E6587" s="855" t="n">
        <v>0.005</v>
      </c>
      <c r="F6587" s="115" t="n">
        <v>18000</v>
      </c>
      <c r="G6587" s="615" t="n">
        <f aca="false">F6587*E6587</f>
        <v>90</v>
      </c>
      <c r="H6587" s="433"/>
    </row>
    <row r="6588" customFormat="false" ht="15" hidden="false" customHeight="false" outlineLevel="0" collapsed="false">
      <c r="A6588" s="571"/>
      <c r="B6588" s="433"/>
      <c r="C6588" s="855" t="s">
        <v>5228</v>
      </c>
      <c r="D6588" s="316" t="s">
        <v>4133</v>
      </c>
      <c r="E6588" s="855" t="n">
        <v>0.002</v>
      </c>
      <c r="F6588" s="115" t="n">
        <v>19000</v>
      </c>
      <c r="G6588" s="615" t="n">
        <f aca="false">F6588*E6588</f>
        <v>38</v>
      </c>
      <c r="H6588" s="433"/>
    </row>
    <row r="6589" customFormat="false" ht="15" hidden="false" customHeight="false" outlineLevel="0" collapsed="false">
      <c r="A6589" s="571"/>
      <c r="B6589" s="433"/>
      <c r="C6589" s="855" t="s">
        <v>4673</v>
      </c>
      <c r="D6589" s="316" t="s">
        <v>4133</v>
      </c>
      <c r="E6589" s="855" t="n">
        <v>0.005</v>
      </c>
      <c r="F6589" s="115" t="n">
        <v>106777</v>
      </c>
      <c r="G6589" s="615" t="n">
        <f aca="false">F6589*E6589</f>
        <v>533.885</v>
      </c>
      <c r="H6589" s="433"/>
    </row>
    <row r="6590" customFormat="false" ht="30" hidden="false" customHeight="false" outlineLevel="0" collapsed="false">
      <c r="A6590" s="571"/>
      <c r="B6590" s="433"/>
      <c r="C6590" s="532" t="s">
        <v>5238</v>
      </c>
      <c r="D6590" s="679" t="s">
        <v>4141</v>
      </c>
      <c r="E6590" s="866" t="n">
        <v>0.001</v>
      </c>
      <c r="F6590" s="617" t="n">
        <v>1400</v>
      </c>
      <c r="G6590" s="615" t="n">
        <f aca="false">F6590*E6590</f>
        <v>1.4</v>
      </c>
      <c r="H6590" s="433"/>
    </row>
    <row r="6591" customFormat="false" ht="30" hidden="false" customHeight="false" outlineLevel="0" collapsed="false">
      <c r="A6591" s="571"/>
      <c r="B6591" s="433"/>
      <c r="C6591" s="855" t="s">
        <v>5229</v>
      </c>
      <c r="D6591" s="316" t="s">
        <v>4133</v>
      </c>
      <c r="E6591" s="855" t="n">
        <v>0.0001</v>
      </c>
      <c r="F6591" s="857" t="n">
        <v>71490</v>
      </c>
      <c r="G6591" s="615" t="n">
        <f aca="false">F6591*E6591</f>
        <v>7.149</v>
      </c>
      <c r="H6591" s="433"/>
    </row>
    <row r="6592" customFormat="false" ht="30" hidden="false" customHeight="false" outlineLevel="0" collapsed="false">
      <c r="A6592" s="571"/>
      <c r="B6592" s="433"/>
      <c r="C6592" s="855" t="s">
        <v>5230</v>
      </c>
      <c r="D6592" s="316" t="s">
        <v>4133</v>
      </c>
      <c r="E6592" s="855" t="n">
        <v>0.0001</v>
      </c>
      <c r="F6592" s="857" t="n">
        <v>74815</v>
      </c>
      <c r="G6592" s="615" t="n">
        <f aca="false">F6592*E6592</f>
        <v>7.4815</v>
      </c>
      <c r="H6592" s="433"/>
    </row>
    <row r="6593" customFormat="false" ht="45" hidden="false" customHeight="false" outlineLevel="0" collapsed="false">
      <c r="A6593" s="571"/>
      <c r="B6593" s="433"/>
      <c r="C6593" s="855" t="s">
        <v>5231</v>
      </c>
      <c r="D6593" s="316" t="s">
        <v>4133</v>
      </c>
      <c r="E6593" s="855" t="n">
        <v>0.0001</v>
      </c>
      <c r="F6593" s="857" t="n">
        <v>75465</v>
      </c>
      <c r="G6593" s="615" t="n">
        <f aca="false">F6593*E6593</f>
        <v>7.5465</v>
      </c>
      <c r="H6593" s="433"/>
    </row>
    <row r="6594" customFormat="false" ht="30" hidden="false" customHeight="false" outlineLevel="0" collapsed="false">
      <c r="A6594" s="571"/>
      <c r="B6594" s="433"/>
      <c r="C6594" s="855" t="s">
        <v>5232</v>
      </c>
      <c r="D6594" s="316" t="s">
        <v>4133</v>
      </c>
      <c r="E6594" s="855" t="n">
        <v>0.0001</v>
      </c>
      <c r="F6594" s="857" t="n">
        <v>87990</v>
      </c>
      <c r="G6594" s="615" t="n">
        <f aca="false">F6594*E6594</f>
        <v>8.799</v>
      </c>
      <c r="H6594" s="433"/>
    </row>
    <row r="6595" customFormat="false" ht="30" hidden="false" customHeight="false" outlineLevel="0" collapsed="false">
      <c r="A6595" s="571"/>
      <c r="B6595" s="433"/>
      <c r="C6595" s="855" t="s">
        <v>5233</v>
      </c>
      <c r="D6595" s="316" t="s">
        <v>4133</v>
      </c>
      <c r="E6595" s="855" t="n">
        <v>0.0001</v>
      </c>
      <c r="F6595" s="857" t="n">
        <v>71395</v>
      </c>
      <c r="G6595" s="615" t="n">
        <f aca="false">F6595*E6595</f>
        <v>7.1395</v>
      </c>
      <c r="H6595" s="433"/>
    </row>
    <row r="6596" customFormat="false" ht="30" hidden="false" customHeight="false" outlineLevel="0" collapsed="false">
      <c r="A6596" s="571"/>
      <c r="B6596" s="433"/>
      <c r="C6596" s="855" t="s">
        <v>5234</v>
      </c>
      <c r="D6596" s="316" t="s">
        <v>4133</v>
      </c>
      <c r="E6596" s="855" t="n">
        <v>0.0001</v>
      </c>
      <c r="F6596" s="857" t="n">
        <v>53450</v>
      </c>
      <c r="G6596" s="615" t="n">
        <f aca="false">F6596*E6596</f>
        <v>5.345</v>
      </c>
      <c r="H6596" s="433"/>
    </row>
    <row r="6597" customFormat="false" ht="15" hidden="false" customHeight="false" outlineLevel="0" collapsed="false">
      <c r="A6597" s="571"/>
      <c r="B6597" s="433"/>
      <c r="C6597" s="855" t="s">
        <v>5240</v>
      </c>
      <c r="D6597" s="316" t="s">
        <v>4578</v>
      </c>
      <c r="E6597" s="855" t="n">
        <v>0.002</v>
      </c>
      <c r="F6597" s="857" t="n">
        <v>225000</v>
      </c>
      <c r="G6597" s="615" t="n">
        <f aca="false">F6597*E6597</f>
        <v>450</v>
      </c>
      <c r="H6597" s="433"/>
    </row>
    <row r="6598" customFormat="false" ht="15" hidden="false" customHeight="false" outlineLevel="0" collapsed="false">
      <c r="A6598" s="571"/>
      <c r="B6598" s="433"/>
      <c r="C6598" s="855" t="s">
        <v>5241</v>
      </c>
      <c r="D6598" s="316" t="s">
        <v>4141</v>
      </c>
      <c r="E6598" s="855" t="n">
        <v>0.002</v>
      </c>
      <c r="F6598" s="857" t="n">
        <v>1500</v>
      </c>
      <c r="G6598" s="615" t="n">
        <f aca="false">F6598*E6598</f>
        <v>3</v>
      </c>
      <c r="H6598" s="433"/>
    </row>
    <row r="6599" customFormat="false" ht="15" hidden="false" customHeight="false" outlineLevel="0" collapsed="false">
      <c r="A6599" s="571"/>
      <c r="B6599" s="433"/>
      <c r="C6599" s="855" t="s">
        <v>5239</v>
      </c>
      <c r="D6599" s="606" t="s">
        <v>4141</v>
      </c>
      <c r="E6599" s="855" t="n">
        <v>0.003</v>
      </c>
      <c r="F6599" s="857" t="n">
        <v>23500</v>
      </c>
      <c r="G6599" s="615" t="n">
        <f aca="false">F6599*E6599</f>
        <v>70.5</v>
      </c>
      <c r="H6599" s="433"/>
    </row>
    <row r="6600" customFormat="false" ht="15" hidden="false" customHeight="false" outlineLevel="0" collapsed="false">
      <c r="A6600" s="571"/>
      <c r="B6600" s="433"/>
      <c r="C6600" s="855" t="s">
        <v>4509</v>
      </c>
      <c r="D6600" s="316" t="s">
        <v>4348</v>
      </c>
      <c r="E6600" s="855" t="n">
        <v>1</v>
      </c>
      <c r="F6600" s="857" t="n">
        <v>26</v>
      </c>
      <c r="G6600" s="615" t="n">
        <f aca="false">F6600*E6600</f>
        <v>26</v>
      </c>
      <c r="H6600" s="433"/>
    </row>
    <row r="6601" customFormat="false" ht="15" hidden="false" customHeight="false" outlineLevel="0" collapsed="false">
      <c r="A6601" s="571"/>
      <c r="B6601" s="433"/>
      <c r="C6601" s="855" t="s">
        <v>4347</v>
      </c>
      <c r="D6601" s="316" t="s">
        <v>4348</v>
      </c>
      <c r="E6601" s="855" t="n">
        <v>1</v>
      </c>
      <c r="F6601" s="857" t="n">
        <v>130</v>
      </c>
      <c r="G6601" s="615" t="n">
        <f aca="false">F6601*E6601</f>
        <v>130</v>
      </c>
      <c r="H6601" s="433"/>
    </row>
    <row r="6602" customFormat="false" ht="15" hidden="false" customHeight="false" outlineLevel="0" collapsed="false">
      <c r="A6602" s="571"/>
      <c r="B6602" s="433"/>
      <c r="C6602" s="855" t="s">
        <v>4122</v>
      </c>
      <c r="D6602" s="316" t="s">
        <v>4359</v>
      </c>
      <c r="E6602" s="855" t="n">
        <v>0.1</v>
      </c>
      <c r="F6602" s="857" t="n">
        <v>720</v>
      </c>
      <c r="G6602" s="615" t="n">
        <f aca="false">F6602*E6602</f>
        <v>72</v>
      </c>
      <c r="H6602" s="433"/>
    </row>
    <row r="6603" customFormat="false" ht="15" hidden="false" customHeight="false" outlineLevel="0" collapsed="false">
      <c r="A6603" s="571"/>
      <c r="B6603" s="433"/>
      <c r="C6603" s="855" t="s">
        <v>4515</v>
      </c>
      <c r="D6603" s="316" t="s">
        <v>4133</v>
      </c>
      <c r="E6603" s="855" t="n">
        <v>0.01</v>
      </c>
      <c r="F6603" s="857" t="n">
        <v>2700</v>
      </c>
      <c r="G6603" s="615" t="n">
        <f aca="false">F6603*E6603</f>
        <v>27</v>
      </c>
      <c r="H6603" s="433"/>
    </row>
    <row r="6604" customFormat="false" ht="15" hidden="false" customHeight="false" outlineLevel="0" collapsed="false">
      <c r="A6604" s="571"/>
      <c r="B6604" s="433"/>
      <c r="C6604" s="867" t="s">
        <v>4497</v>
      </c>
      <c r="D6604" s="868" t="s">
        <v>4348</v>
      </c>
      <c r="E6604" s="869" t="n">
        <v>0.003</v>
      </c>
      <c r="F6604" s="604" t="n">
        <v>550000</v>
      </c>
      <c r="G6604" s="615" t="n">
        <f aca="false">F6604*E6604</f>
        <v>1650</v>
      </c>
      <c r="H6604" s="433"/>
    </row>
    <row r="6605" customFormat="false" ht="15" hidden="false" customHeight="false" outlineLevel="0" collapsed="false">
      <c r="A6605" s="571"/>
      <c r="B6605" s="433"/>
      <c r="C6605" s="861" t="s">
        <v>4124</v>
      </c>
      <c r="D6605" s="316" t="s">
        <v>4125</v>
      </c>
      <c r="E6605" s="855" t="n">
        <v>0.1</v>
      </c>
      <c r="F6605" s="115" t="n">
        <v>170</v>
      </c>
      <c r="G6605" s="615" t="n">
        <f aca="false">F6605*E6605</f>
        <v>17</v>
      </c>
      <c r="H6605" s="433"/>
    </row>
    <row r="6606" customFormat="false" ht="15" hidden="false" customHeight="false" outlineLevel="0" collapsed="false">
      <c r="A6606" s="571" t="s">
        <v>1175</v>
      </c>
      <c r="B6606" s="433" t="s">
        <v>3308</v>
      </c>
      <c r="C6606" s="41"/>
      <c r="D6606" s="874"/>
      <c r="E6606" s="41"/>
      <c r="F6606" s="875"/>
      <c r="G6606" s="826" t="n">
        <f aca="false">SUM(G6607:G6631)</f>
        <v>5631.479</v>
      </c>
      <c r="H6606" s="433" t="s">
        <v>5276</v>
      </c>
    </row>
    <row r="6607" customFormat="false" ht="15" hidden="false" customHeight="false" outlineLevel="0" collapsed="false">
      <c r="A6607" s="571"/>
      <c r="B6607" s="433"/>
      <c r="C6607" s="855" t="s">
        <v>4604</v>
      </c>
      <c r="D6607" s="316" t="s">
        <v>4359</v>
      </c>
      <c r="E6607" s="855" t="n">
        <v>0.001</v>
      </c>
      <c r="F6607" s="115" t="n">
        <v>18000</v>
      </c>
      <c r="G6607" s="615" t="n">
        <f aca="false">F6607*E6607</f>
        <v>18</v>
      </c>
      <c r="H6607" s="433"/>
    </row>
    <row r="6608" customFormat="false" ht="15" hidden="false" customHeight="false" outlineLevel="0" collapsed="false">
      <c r="A6608" s="571"/>
      <c r="B6608" s="433"/>
      <c r="C6608" s="855" t="s">
        <v>4317</v>
      </c>
      <c r="D6608" s="316" t="s">
        <v>4359</v>
      </c>
      <c r="E6608" s="855" t="n">
        <v>0.05</v>
      </c>
      <c r="F6608" s="115" t="n">
        <v>21000</v>
      </c>
      <c r="G6608" s="615" t="n">
        <f aca="false">F6608*E6608</f>
        <v>1050</v>
      </c>
      <c r="H6608" s="433"/>
    </row>
    <row r="6609" customFormat="false" ht="15" hidden="false" customHeight="false" outlineLevel="0" collapsed="false">
      <c r="A6609" s="571"/>
      <c r="B6609" s="433"/>
      <c r="C6609" s="855" t="s">
        <v>4147</v>
      </c>
      <c r="D6609" s="316" t="s">
        <v>4359</v>
      </c>
      <c r="E6609" s="855" t="n">
        <v>0.004</v>
      </c>
      <c r="F6609" s="115" t="n">
        <v>18000</v>
      </c>
      <c r="G6609" s="615" t="n">
        <f aca="false">F6609*E6609</f>
        <v>72</v>
      </c>
      <c r="H6609" s="433"/>
    </row>
    <row r="6610" customFormat="false" ht="15" hidden="false" customHeight="false" outlineLevel="0" collapsed="false">
      <c r="A6610" s="571"/>
      <c r="B6610" s="433"/>
      <c r="C6610" s="855" t="s">
        <v>5243</v>
      </c>
      <c r="D6610" s="316" t="s">
        <v>4133</v>
      </c>
      <c r="E6610" s="855" t="n">
        <v>0.005</v>
      </c>
      <c r="F6610" s="115" t="n">
        <v>2241</v>
      </c>
      <c r="G6610" s="615" t="n">
        <f aca="false">F6610*E6610</f>
        <v>11.205</v>
      </c>
      <c r="H6610" s="433"/>
    </row>
    <row r="6611" customFormat="false" ht="15" hidden="false" customHeight="false" outlineLevel="0" collapsed="false">
      <c r="A6611" s="571"/>
      <c r="B6611" s="433"/>
      <c r="C6611" s="855" t="s">
        <v>4584</v>
      </c>
      <c r="D6611" s="316" t="s">
        <v>4133</v>
      </c>
      <c r="E6611" s="855" t="n">
        <v>0.0505</v>
      </c>
      <c r="F6611" s="115" t="n">
        <v>21000</v>
      </c>
      <c r="G6611" s="615" t="n">
        <f aca="false">F6611*E6611</f>
        <v>1060.5</v>
      </c>
      <c r="H6611" s="433"/>
    </row>
    <row r="6612" customFormat="false" ht="15" hidden="false" customHeight="false" outlineLevel="0" collapsed="false">
      <c r="A6612" s="571"/>
      <c r="B6612" s="433"/>
      <c r="C6612" s="860" t="s">
        <v>4189</v>
      </c>
      <c r="D6612" s="316" t="s">
        <v>4359</v>
      </c>
      <c r="E6612" s="855" t="n">
        <v>0.0025</v>
      </c>
      <c r="F6612" s="115" t="n">
        <v>1800</v>
      </c>
      <c r="G6612" s="615" t="n">
        <f aca="false">F6612*E6612</f>
        <v>4.5</v>
      </c>
      <c r="H6612" s="433"/>
    </row>
    <row r="6613" customFormat="false" ht="30" hidden="false" customHeight="false" outlineLevel="0" collapsed="false">
      <c r="A6613" s="571"/>
      <c r="B6613" s="433"/>
      <c r="C6613" s="855" t="s">
        <v>5244</v>
      </c>
      <c r="D6613" s="316" t="s">
        <v>4133</v>
      </c>
      <c r="E6613" s="855" t="n">
        <v>0.001</v>
      </c>
      <c r="F6613" s="115" t="n">
        <v>19000</v>
      </c>
      <c r="G6613" s="615" t="n">
        <f aca="false">F6613*E6613</f>
        <v>19</v>
      </c>
      <c r="H6613" s="433"/>
    </row>
    <row r="6614" customFormat="false" ht="15" hidden="false" customHeight="false" outlineLevel="0" collapsed="false">
      <c r="A6614" s="571"/>
      <c r="B6614" s="433"/>
      <c r="C6614" s="855" t="s">
        <v>4753</v>
      </c>
      <c r="D6614" s="316" t="s">
        <v>4133</v>
      </c>
      <c r="E6614" s="879" t="n">
        <v>0.00748</v>
      </c>
      <c r="F6614" s="115" t="n">
        <v>24000</v>
      </c>
      <c r="G6614" s="615" t="n">
        <f aca="false">F6614*E6614</f>
        <v>179.52</v>
      </c>
      <c r="H6614" s="433"/>
    </row>
    <row r="6615" customFormat="false" ht="15" hidden="false" customHeight="false" outlineLevel="0" collapsed="false">
      <c r="A6615" s="571"/>
      <c r="B6615" s="433"/>
      <c r="C6615" s="855" t="s">
        <v>4673</v>
      </c>
      <c r="D6615" s="316" t="s">
        <v>4133</v>
      </c>
      <c r="E6615" s="855" t="n">
        <v>0.002</v>
      </c>
      <c r="F6615" s="115" t="n">
        <v>106777</v>
      </c>
      <c r="G6615" s="615" t="n">
        <f aca="false">F6615*E6615</f>
        <v>213.554</v>
      </c>
      <c r="H6615" s="433"/>
    </row>
    <row r="6616" customFormat="false" ht="30" hidden="false" customHeight="false" outlineLevel="0" collapsed="false">
      <c r="A6616" s="571"/>
      <c r="B6616" s="433"/>
      <c r="C6616" s="532" t="s">
        <v>5238</v>
      </c>
      <c r="D6616" s="679" t="s">
        <v>4141</v>
      </c>
      <c r="E6616" s="866" t="n">
        <v>0.001</v>
      </c>
      <c r="F6616" s="617" t="n">
        <v>1400</v>
      </c>
      <c r="G6616" s="615" t="n">
        <f aca="false">F6616*E6616</f>
        <v>1.4</v>
      </c>
      <c r="H6616" s="433"/>
    </row>
    <row r="6617" customFormat="false" ht="15" hidden="false" customHeight="false" outlineLevel="0" collapsed="false">
      <c r="A6617" s="571"/>
      <c r="B6617" s="433"/>
      <c r="C6617" s="855" t="s">
        <v>5241</v>
      </c>
      <c r="D6617" s="316" t="s">
        <v>4141</v>
      </c>
      <c r="E6617" s="860" t="n">
        <v>0.001</v>
      </c>
      <c r="F6617" s="857" t="n">
        <v>1500</v>
      </c>
      <c r="G6617" s="615" t="n">
        <f aca="false">F6617*E6617</f>
        <v>1.5</v>
      </c>
      <c r="H6617" s="433"/>
    </row>
    <row r="6618" customFormat="false" ht="15" hidden="false" customHeight="false" outlineLevel="0" collapsed="false">
      <c r="A6618" s="571"/>
      <c r="B6618" s="433"/>
      <c r="C6618" s="855" t="s">
        <v>5245</v>
      </c>
      <c r="D6618" s="316" t="s">
        <v>4133</v>
      </c>
      <c r="E6618" s="855" t="n">
        <v>0.0001</v>
      </c>
      <c r="F6618" s="115" t="n">
        <v>58000</v>
      </c>
      <c r="G6618" s="615" t="n">
        <f aca="false">F6618*E6618</f>
        <v>5.8</v>
      </c>
      <c r="H6618" s="433"/>
    </row>
    <row r="6619" customFormat="false" ht="15" hidden="false" customHeight="false" outlineLevel="0" collapsed="false">
      <c r="A6619" s="571"/>
      <c r="B6619" s="433"/>
      <c r="C6619" s="855" t="s">
        <v>5246</v>
      </c>
      <c r="D6619" s="316" t="s">
        <v>4133</v>
      </c>
      <c r="E6619" s="855" t="n">
        <v>0.0001</v>
      </c>
      <c r="F6619" s="115" t="n">
        <v>58000</v>
      </c>
      <c r="G6619" s="615" t="n">
        <f aca="false">F6619*E6619</f>
        <v>5.8</v>
      </c>
      <c r="H6619" s="433"/>
    </row>
    <row r="6620" customFormat="false" ht="15" hidden="false" customHeight="false" outlineLevel="0" collapsed="false">
      <c r="A6620" s="571"/>
      <c r="B6620" s="433"/>
      <c r="C6620" s="855" t="s">
        <v>5247</v>
      </c>
      <c r="D6620" s="316" t="s">
        <v>4133</v>
      </c>
      <c r="E6620" s="855" t="n">
        <v>0.0001</v>
      </c>
      <c r="F6620" s="115" t="n">
        <v>58000</v>
      </c>
      <c r="G6620" s="615" t="n">
        <f aca="false">F6620*E6620</f>
        <v>5.8</v>
      </c>
      <c r="H6620" s="433"/>
    </row>
    <row r="6621" customFormat="false" ht="15" hidden="false" customHeight="false" outlineLevel="0" collapsed="false">
      <c r="A6621" s="571"/>
      <c r="B6621" s="433"/>
      <c r="C6621" s="855" t="s">
        <v>5248</v>
      </c>
      <c r="D6621" s="316" t="s">
        <v>4133</v>
      </c>
      <c r="E6621" s="855" t="n">
        <v>0.0001</v>
      </c>
      <c r="F6621" s="115" t="n">
        <v>58000</v>
      </c>
      <c r="G6621" s="615" t="n">
        <f aca="false">F6621*E6621</f>
        <v>5.8</v>
      </c>
      <c r="H6621" s="433"/>
    </row>
    <row r="6622" customFormat="false" ht="15" hidden="false" customHeight="false" outlineLevel="0" collapsed="false">
      <c r="A6622" s="571"/>
      <c r="B6622" s="433"/>
      <c r="C6622" s="855" t="s">
        <v>5249</v>
      </c>
      <c r="D6622" s="316" t="s">
        <v>4133</v>
      </c>
      <c r="E6622" s="855" t="n">
        <v>0.0001</v>
      </c>
      <c r="F6622" s="115" t="n">
        <v>58000</v>
      </c>
      <c r="G6622" s="615" t="n">
        <f aca="false">F6622*E6622</f>
        <v>5.8</v>
      </c>
      <c r="H6622" s="433"/>
    </row>
    <row r="6623" customFormat="false" ht="15" hidden="false" customHeight="false" outlineLevel="0" collapsed="false">
      <c r="A6623" s="571"/>
      <c r="B6623" s="433"/>
      <c r="C6623" s="855" t="s">
        <v>5250</v>
      </c>
      <c r="D6623" s="316" t="s">
        <v>4133</v>
      </c>
      <c r="E6623" s="855" t="n">
        <v>0.0001</v>
      </c>
      <c r="F6623" s="115" t="n">
        <v>58000</v>
      </c>
      <c r="G6623" s="615" t="n">
        <f aca="false">F6623*E6623</f>
        <v>5.8</v>
      </c>
      <c r="H6623" s="433"/>
    </row>
    <row r="6624" customFormat="false" ht="15" hidden="false" customHeight="false" outlineLevel="0" collapsed="false">
      <c r="A6624" s="571"/>
      <c r="B6624" s="433"/>
      <c r="C6624" s="855" t="s">
        <v>5240</v>
      </c>
      <c r="D6624" s="316" t="s">
        <v>4578</v>
      </c>
      <c r="E6624" s="855" t="n">
        <v>0.002</v>
      </c>
      <c r="F6624" s="857" t="n">
        <v>225000</v>
      </c>
      <c r="G6624" s="615" t="n">
        <f aca="false">F6624*E6624</f>
        <v>450</v>
      </c>
      <c r="H6624" s="433"/>
    </row>
    <row r="6625" customFormat="false" ht="15" hidden="false" customHeight="false" outlineLevel="0" collapsed="false">
      <c r="A6625" s="571"/>
      <c r="B6625" s="433"/>
      <c r="C6625" s="532" t="s">
        <v>4251</v>
      </c>
      <c r="D6625" s="679" t="s">
        <v>4578</v>
      </c>
      <c r="E6625" s="866" t="n">
        <v>0.002</v>
      </c>
      <c r="F6625" s="681" t="n">
        <v>275000</v>
      </c>
      <c r="G6625" s="615" t="n">
        <f aca="false">F6625*E6625</f>
        <v>550</v>
      </c>
      <c r="H6625" s="433"/>
    </row>
    <row r="6626" customFormat="false" ht="15" hidden="false" customHeight="false" outlineLevel="0" collapsed="false">
      <c r="A6626" s="571"/>
      <c r="B6626" s="433"/>
      <c r="C6626" s="867" t="s">
        <v>4497</v>
      </c>
      <c r="D6626" s="868" t="s">
        <v>4348</v>
      </c>
      <c r="E6626" s="869" t="n">
        <v>0.003</v>
      </c>
      <c r="F6626" s="870" t="n">
        <v>550000</v>
      </c>
      <c r="G6626" s="615" t="n">
        <f aca="false">F6626*E6626</f>
        <v>1650</v>
      </c>
      <c r="H6626" s="433"/>
    </row>
    <row r="6627" customFormat="false" ht="15" hidden="false" customHeight="false" outlineLevel="0" collapsed="false">
      <c r="A6627" s="571"/>
      <c r="B6627" s="433"/>
      <c r="C6627" s="884" t="s">
        <v>4122</v>
      </c>
      <c r="D6627" s="679" t="s">
        <v>4123</v>
      </c>
      <c r="E6627" s="709" t="n">
        <v>0.1</v>
      </c>
      <c r="F6627" s="886" t="n">
        <v>720</v>
      </c>
      <c r="G6627" s="615" t="n">
        <f aca="false">F6627*E6627</f>
        <v>72</v>
      </c>
      <c r="H6627" s="433"/>
    </row>
    <row r="6628" customFormat="false" ht="15" hidden="false" customHeight="false" outlineLevel="0" collapsed="false">
      <c r="A6628" s="571"/>
      <c r="B6628" s="433"/>
      <c r="C6628" s="885" t="s">
        <v>4124</v>
      </c>
      <c r="D6628" s="679" t="s">
        <v>4125</v>
      </c>
      <c r="E6628" s="709" t="n">
        <v>0.1</v>
      </c>
      <c r="F6628" s="886" t="n">
        <v>170</v>
      </c>
      <c r="G6628" s="615" t="n">
        <f aca="false">F6628*E6628</f>
        <v>17</v>
      </c>
      <c r="H6628" s="433"/>
    </row>
    <row r="6629" customFormat="false" ht="15" hidden="false" customHeight="false" outlineLevel="0" collapsed="false">
      <c r="A6629" s="571"/>
      <c r="B6629" s="433"/>
      <c r="C6629" s="855" t="s">
        <v>5239</v>
      </c>
      <c r="D6629" s="606" t="s">
        <v>4141</v>
      </c>
      <c r="E6629" s="855" t="n">
        <v>0.003</v>
      </c>
      <c r="F6629" s="857" t="n">
        <v>23500</v>
      </c>
      <c r="G6629" s="615" t="n">
        <f aca="false">F6629*E6629</f>
        <v>70.5</v>
      </c>
      <c r="H6629" s="433"/>
    </row>
    <row r="6630" customFormat="false" ht="15" hidden="false" customHeight="false" outlineLevel="0" collapsed="false">
      <c r="A6630" s="571"/>
      <c r="B6630" s="433"/>
      <c r="C6630" s="885" t="s">
        <v>4347</v>
      </c>
      <c r="D6630" s="679" t="s">
        <v>4348</v>
      </c>
      <c r="E6630" s="709" t="n">
        <v>1</v>
      </c>
      <c r="F6630" s="886" t="n">
        <v>130</v>
      </c>
      <c r="G6630" s="615" t="n">
        <f aca="false">F6630*E6630</f>
        <v>130</v>
      </c>
      <c r="H6630" s="433"/>
    </row>
    <row r="6631" customFormat="false" ht="15" hidden="false" customHeight="false" outlineLevel="0" collapsed="false">
      <c r="A6631" s="571"/>
      <c r="B6631" s="433"/>
      <c r="C6631" s="855" t="s">
        <v>4509</v>
      </c>
      <c r="D6631" s="316" t="s">
        <v>4348</v>
      </c>
      <c r="E6631" s="855" t="n">
        <v>1</v>
      </c>
      <c r="F6631" s="857" t="n">
        <v>26</v>
      </c>
      <c r="G6631" s="615" t="n">
        <f aca="false">F6631*E6631</f>
        <v>26</v>
      </c>
      <c r="H6631" s="433"/>
    </row>
    <row r="6632" customFormat="false" ht="42.75" hidden="false" customHeight="false" outlineLevel="0" collapsed="false">
      <c r="A6632" s="350" t="s">
        <v>5333</v>
      </c>
      <c r="B6632" s="346" t="s">
        <v>3349</v>
      </c>
      <c r="C6632" s="892"/>
      <c r="D6632" s="387"/>
      <c r="E6632" s="892"/>
      <c r="F6632" s="893"/>
      <c r="G6632" s="713"/>
      <c r="H6632" s="887"/>
    </row>
    <row r="6633" customFormat="false" ht="18" hidden="false" customHeight="true" outlineLevel="0" collapsed="false">
      <c r="A6633" s="571" t="s">
        <v>1178</v>
      </c>
      <c r="B6633" s="433" t="s">
        <v>3350</v>
      </c>
      <c r="C6633" s="855"/>
      <c r="D6633" s="316"/>
      <c r="E6633" s="855"/>
      <c r="F6633" s="115"/>
      <c r="G6633" s="826" t="n">
        <f aca="false">SUM(G6634:G6649)</f>
        <v>4403.795</v>
      </c>
      <c r="H6633" s="889" t="s">
        <v>5334</v>
      </c>
    </row>
    <row r="6634" customFormat="false" ht="30" hidden="false" customHeight="false" outlineLevel="0" collapsed="false">
      <c r="A6634" s="380"/>
      <c r="B6634" s="433"/>
      <c r="C6634" s="855" t="s">
        <v>5335</v>
      </c>
      <c r="D6634" s="316" t="s">
        <v>4133</v>
      </c>
      <c r="E6634" s="855" t="n">
        <v>0.0001</v>
      </c>
      <c r="F6634" s="115" t="n">
        <v>513950</v>
      </c>
      <c r="G6634" s="615" t="n">
        <f aca="false">F6634*E6634</f>
        <v>51.395</v>
      </c>
      <c r="H6634" s="433"/>
    </row>
    <row r="6635" customFormat="false" ht="15" hidden="false" customHeight="false" outlineLevel="0" collapsed="false">
      <c r="A6635" s="707"/>
      <c r="B6635" s="433"/>
      <c r="C6635" s="860" t="s">
        <v>5328</v>
      </c>
      <c r="D6635" s="316" t="s">
        <v>4359</v>
      </c>
      <c r="E6635" s="855" t="n">
        <v>0.038</v>
      </c>
      <c r="F6635" s="115" t="n">
        <v>42000</v>
      </c>
      <c r="G6635" s="615" t="n">
        <f aca="false">F6635*E6635</f>
        <v>1596</v>
      </c>
      <c r="H6635" s="433"/>
    </row>
    <row r="6636" customFormat="false" ht="30" hidden="false" customHeight="false" outlineLevel="0" collapsed="false">
      <c r="A6636" s="571"/>
      <c r="B6636" s="433"/>
      <c r="C6636" s="855" t="s">
        <v>5336</v>
      </c>
      <c r="D6636" s="316" t="s">
        <v>4133</v>
      </c>
      <c r="E6636" s="855" t="n">
        <v>0.01</v>
      </c>
      <c r="F6636" s="115" t="n">
        <v>18000</v>
      </c>
      <c r="G6636" s="615" t="n">
        <f aca="false">F6636*E6636</f>
        <v>180</v>
      </c>
      <c r="H6636" s="433"/>
    </row>
    <row r="6637" customFormat="false" ht="15" hidden="false" customHeight="false" outlineLevel="0" collapsed="false">
      <c r="A6637" s="571"/>
      <c r="B6637" s="433"/>
      <c r="C6637" s="855" t="s">
        <v>5337</v>
      </c>
      <c r="D6637" s="316" t="s">
        <v>4133</v>
      </c>
      <c r="E6637" s="855" t="n">
        <v>0.0001</v>
      </c>
      <c r="F6637" s="115" t="n">
        <v>830000</v>
      </c>
      <c r="G6637" s="615" t="n">
        <f aca="false">F6637*E6637</f>
        <v>83</v>
      </c>
      <c r="H6637" s="433"/>
    </row>
    <row r="6638" customFormat="false" ht="30" hidden="false" customHeight="false" outlineLevel="0" collapsed="false">
      <c r="A6638" s="571"/>
      <c r="B6638" s="433"/>
      <c r="C6638" s="881" t="s">
        <v>4227</v>
      </c>
      <c r="D6638" s="882" t="s">
        <v>4133</v>
      </c>
      <c r="E6638" s="603" t="n">
        <v>0.001</v>
      </c>
      <c r="F6638" s="607" t="n">
        <v>24000</v>
      </c>
      <c r="G6638" s="615" t="n">
        <f aca="false">F6638*E6638</f>
        <v>24</v>
      </c>
      <c r="H6638" s="433"/>
    </row>
    <row r="6639" customFormat="false" ht="15" hidden="false" customHeight="false" outlineLevel="0" collapsed="false">
      <c r="A6639" s="571"/>
      <c r="B6639" s="433"/>
      <c r="C6639" s="881" t="s">
        <v>4266</v>
      </c>
      <c r="D6639" s="882" t="s">
        <v>4133</v>
      </c>
      <c r="E6639" s="603" t="n">
        <v>0.001</v>
      </c>
      <c r="F6639" s="607" t="n">
        <v>24000</v>
      </c>
      <c r="G6639" s="615" t="n">
        <f aca="false">F6639*E6639</f>
        <v>24</v>
      </c>
      <c r="H6639" s="433"/>
    </row>
    <row r="6640" customFormat="false" ht="30" hidden="false" customHeight="false" outlineLevel="0" collapsed="false">
      <c r="A6640" s="571"/>
      <c r="B6640" s="433"/>
      <c r="C6640" s="532" t="s">
        <v>5238</v>
      </c>
      <c r="D6640" s="679" t="s">
        <v>4141</v>
      </c>
      <c r="E6640" s="866" t="n">
        <v>0.001</v>
      </c>
      <c r="F6640" s="617" t="n">
        <v>1400</v>
      </c>
      <c r="G6640" s="615" t="n">
        <f aca="false">F6640*E6640</f>
        <v>1.4</v>
      </c>
      <c r="H6640" s="433"/>
    </row>
    <row r="6641" customFormat="false" ht="15" hidden="false" customHeight="false" outlineLevel="0" collapsed="false">
      <c r="A6641" s="571"/>
      <c r="B6641" s="433"/>
      <c r="C6641" s="532" t="s">
        <v>4287</v>
      </c>
      <c r="D6641" s="679" t="s">
        <v>4578</v>
      </c>
      <c r="E6641" s="869" t="n">
        <v>0.002</v>
      </c>
      <c r="F6641" s="617" t="n">
        <v>225000</v>
      </c>
      <c r="G6641" s="615" t="n">
        <f aca="false">F6641*E6641</f>
        <v>450</v>
      </c>
      <c r="H6641" s="433"/>
    </row>
    <row r="6642" customFormat="false" ht="15" hidden="false" customHeight="false" outlineLevel="0" collapsed="false">
      <c r="A6642" s="571"/>
      <c r="B6642" s="433"/>
      <c r="C6642" s="867" t="s">
        <v>4497</v>
      </c>
      <c r="D6642" s="868" t="s">
        <v>4348</v>
      </c>
      <c r="E6642" s="869" t="n">
        <v>0.003</v>
      </c>
      <c r="F6642" s="604" t="n">
        <v>550000</v>
      </c>
      <c r="G6642" s="615" t="n">
        <f aca="false">F6642*E6642</f>
        <v>1650</v>
      </c>
      <c r="H6642" s="433"/>
    </row>
    <row r="6643" customFormat="false" ht="15" hidden="false" customHeight="false" outlineLevel="0" collapsed="false">
      <c r="A6643" s="571"/>
      <c r="B6643" s="433"/>
      <c r="C6643" s="855" t="s">
        <v>5241</v>
      </c>
      <c r="D6643" s="316" t="s">
        <v>4141</v>
      </c>
      <c r="E6643" s="860" t="n">
        <v>0.001</v>
      </c>
      <c r="F6643" s="115" t="n">
        <v>1500</v>
      </c>
      <c r="G6643" s="615" t="n">
        <f aca="false">F6643*E6643</f>
        <v>1.5</v>
      </c>
      <c r="H6643" s="433"/>
    </row>
    <row r="6644" customFormat="false" ht="15" hidden="false" customHeight="false" outlineLevel="0" collapsed="false">
      <c r="A6644" s="571"/>
      <c r="B6644" s="433"/>
      <c r="C6644" s="855" t="s">
        <v>4509</v>
      </c>
      <c r="D6644" s="316" t="s">
        <v>4348</v>
      </c>
      <c r="E6644" s="855" t="n">
        <v>1</v>
      </c>
      <c r="F6644" s="115" t="n">
        <v>26</v>
      </c>
      <c r="G6644" s="615" t="n">
        <f aca="false">F6644*E6644</f>
        <v>26</v>
      </c>
      <c r="H6644" s="433"/>
    </row>
    <row r="6645" customFormat="false" ht="15" hidden="false" customHeight="false" outlineLevel="0" collapsed="false">
      <c r="A6645" s="571"/>
      <c r="B6645" s="433"/>
      <c r="C6645" s="855" t="s">
        <v>4347</v>
      </c>
      <c r="D6645" s="316" t="s">
        <v>4348</v>
      </c>
      <c r="E6645" s="855" t="n">
        <v>1</v>
      </c>
      <c r="F6645" s="115" t="n">
        <v>130</v>
      </c>
      <c r="G6645" s="615" t="n">
        <f aca="false">F6645*E6645</f>
        <v>130</v>
      </c>
      <c r="H6645" s="433"/>
    </row>
    <row r="6646" customFormat="false" ht="15" hidden="false" customHeight="false" outlineLevel="0" collapsed="false">
      <c r="A6646" s="571"/>
      <c r="B6646" s="433"/>
      <c r="C6646" s="855" t="s">
        <v>4122</v>
      </c>
      <c r="D6646" s="316" t="s">
        <v>4359</v>
      </c>
      <c r="E6646" s="855" t="n">
        <v>0.1</v>
      </c>
      <c r="F6646" s="857" t="n">
        <v>720</v>
      </c>
      <c r="G6646" s="615" t="n">
        <f aca="false">F6646*E6646</f>
        <v>72</v>
      </c>
      <c r="H6646" s="433"/>
    </row>
    <row r="6647" customFormat="false" ht="15" hidden="false" customHeight="false" outlineLevel="0" collapsed="false">
      <c r="A6647" s="571"/>
      <c r="B6647" s="433"/>
      <c r="C6647" s="855" t="s">
        <v>5239</v>
      </c>
      <c r="D6647" s="606" t="s">
        <v>4141</v>
      </c>
      <c r="E6647" s="855" t="n">
        <v>0.003</v>
      </c>
      <c r="F6647" s="857" t="n">
        <v>23500</v>
      </c>
      <c r="G6647" s="615" t="n">
        <f aca="false">F6647*E6647</f>
        <v>70.5</v>
      </c>
      <c r="H6647" s="433"/>
    </row>
    <row r="6648" customFormat="false" ht="15" hidden="false" customHeight="false" outlineLevel="0" collapsed="false">
      <c r="A6648" s="571"/>
      <c r="B6648" s="433"/>
      <c r="C6648" s="855" t="s">
        <v>4515</v>
      </c>
      <c r="D6648" s="316" t="s">
        <v>4133</v>
      </c>
      <c r="E6648" s="855" t="n">
        <v>0.01</v>
      </c>
      <c r="F6648" s="857" t="n">
        <v>2700</v>
      </c>
      <c r="G6648" s="615" t="n">
        <f aca="false">F6648*E6648</f>
        <v>27</v>
      </c>
      <c r="H6648" s="433"/>
    </row>
    <row r="6649" customFormat="false" ht="15" hidden="false" customHeight="false" outlineLevel="0" collapsed="false">
      <c r="A6649" s="571"/>
      <c r="B6649" s="433"/>
      <c r="C6649" s="861" t="s">
        <v>4124</v>
      </c>
      <c r="D6649" s="316" t="s">
        <v>4125</v>
      </c>
      <c r="E6649" s="855" t="n">
        <v>0.1</v>
      </c>
      <c r="F6649" s="857" t="n">
        <v>170</v>
      </c>
      <c r="G6649" s="615" t="n">
        <f aca="false">F6649*E6649</f>
        <v>17</v>
      </c>
      <c r="H6649" s="433"/>
    </row>
    <row r="6650" customFormat="false" ht="15" hidden="false" customHeight="false" outlineLevel="0" collapsed="false">
      <c r="A6650" s="350" t="s">
        <v>5338</v>
      </c>
      <c r="B6650" s="346" t="s">
        <v>3351</v>
      </c>
      <c r="C6650" s="892"/>
      <c r="D6650" s="387"/>
      <c r="E6650" s="892"/>
      <c r="F6650" s="893"/>
      <c r="G6650" s="713"/>
      <c r="H6650" s="887"/>
    </row>
    <row r="6651" customFormat="false" ht="15" hidden="false" customHeight="false" outlineLevel="0" collapsed="false">
      <c r="A6651" s="571" t="s">
        <v>1182</v>
      </c>
      <c r="B6651" s="433" t="s">
        <v>3307</v>
      </c>
      <c r="C6651" s="41"/>
      <c r="D6651" s="874"/>
      <c r="E6651" s="41"/>
      <c r="F6651" s="875"/>
      <c r="G6651" s="826" t="n">
        <f aca="false">SUM(G6652:G6670)</f>
        <v>4622.4605</v>
      </c>
      <c r="H6651" s="433" t="s">
        <v>5227</v>
      </c>
    </row>
    <row r="6652" customFormat="false" ht="15" hidden="false" customHeight="false" outlineLevel="0" collapsed="false">
      <c r="A6652" s="380"/>
      <c r="B6652" s="433"/>
      <c r="C6652" s="855" t="s">
        <v>4604</v>
      </c>
      <c r="D6652" s="316" t="s">
        <v>4359</v>
      </c>
      <c r="E6652" s="855" t="n">
        <v>0.002</v>
      </c>
      <c r="F6652" s="115" t="n">
        <v>18000</v>
      </c>
      <c r="G6652" s="615" t="n">
        <f aca="false">F6652*E6652</f>
        <v>36</v>
      </c>
      <c r="H6652" s="433"/>
    </row>
    <row r="6653" customFormat="false" ht="15" hidden="false" customHeight="false" outlineLevel="0" collapsed="false">
      <c r="A6653" s="707"/>
      <c r="B6653" s="433"/>
      <c r="C6653" s="855" t="s">
        <v>4317</v>
      </c>
      <c r="D6653" s="316" t="s">
        <v>4359</v>
      </c>
      <c r="E6653" s="855" t="n">
        <v>0.1</v>
      </c>
      <c r="F6653" s="115" t="n">
        <v>21000</v>
      </c>
      <c r="G6653" s="615" t="n">
        <f aca="false">F6653*E6653</f>
        <v>2100</v>
      </c>
      <c r="H6653" s="433"/>
    </row>
    <row r="6654" customFormat="false" ht="15" hidden="false" customHeight="false" outlineLevel="0" collapsed="false">
      <c r="A6654" s="571"/>
      <c r="B6654" s="433"/>
      <c r="C6654" s="855" t="s">
        <v>4147</v>
      </c>
      <c r="D6654" s="316" t="s">
        <v>4359</v>
      </c>
      <c r="E6654" s="855" t="n">
        <v>0.005</v>
      </c>
      <c r="F6654" s="115" t="n">
        <v>18000</v>
      </c>
      <c r="G6654" s="615" t="n">
        <f aca="false">F6654*E6654</f>
        <v>90</v>
      </c>
      <c r="H6654" s="433"/>
    </row>
    <row r="6655" customFormat="false" ht="15" hidden="false" customHeight="false" outlineLevel="0" collapsed="false">
      <c r="A6655" s="571"/>
      <c r="B6655" s="433"/>
      <c r="C6655" s="855" t="s">
        <v>5228</v>
      </c>
      <c r="D6655" s="316" t="s">
        <v>4133</v>
      </c>
      <c r="E6655" s="855" t="n">
        <v>0.002</v>
      </c>
      <c r="F6655" s="115" t="n">
        <v>19000</v>
      </c>
      <c r="G6655" s="615" t="n">
        <f aca="false">F6655*E6655</f>
        <v>38</v>
      </c>
      <c r="H6655" s="433"/>
    </row>
    <row r="6656" customFormat="false" ht="30" hidden="false" customHeight="false" outlineLevel="0" collapsed="false">
      <c r="A6656" s="571"/>
      <c r="B6656" s="433"/>
      <c r="C6656" s="532" t="s">
        <v>5238</v>
      </c>
      <c r="D6656" s="679" t="s">
        <v>4141</v>
      </c>
      <c r="E6656" s="866" t="n">
        <v>0.001</v>
      </c>
      <c r="F6656" s="617" t="n">
        <v>1400</v>
      </c>
      <c r="G6656" s="615" t="n">
        <f aca="false">F6656*E6656</f>
        <v>1.4</v>
      </c>
      <c r="H6656" s="433"/>
    </row>
    <row r="6657" customFormat="false" ht="30" hidden="false" customHeight="false" outlineLevel="0" collapsed="false">
      <c r="A6657" s="571"/>
      <c r="B6657" s="433"/>
      <c r="C6657" s="855" t="s">
        <v>5229</v>
      </c>
      <c r="D6657" s="316" t="s">
        <v>4133</v>
      </c>
      <c r="E6657" s="855" t="n">
        <v>0.0001</v>
      </c>
      <c r="F6657" s="115" t="n">
        <v>71490</v>
      </c>
      <c r="G6657" s="615" t="n">
        <f aca="false">F6657*E6657</f>
        <v>7.149</v>
      </c>
      <c r="H6657" s="433"/>
    </row>
    <row r="6658" customFormat="false" ht="30" hidden="false" customHeight="false" outlineLevel="0" collapsed="false">
      <c r="A6658" s="571"/>
      <c r="B6658" s="433"/>
      <c r="C6658" s="855" t="s">
        <v>5230</v>
      </c>
      <c r="D6658" s="316" t="s">
        <v>4133</v>
      </c>
      <c r="E6658" s="855" t="n">
        <v>0.0001</v>
      </c>
      <c r="F6658" s="857" t="n">
        <v>74815</v>
      </c>
      <c r="G6658" s="615" t="n">
        <f aca="false">F6658*E6658</f>
        <v>7.4815</v>
      </c>
      <c r="H6658" s="433"/>
    </row>
    <row r="6659" customFormat="false" ht="45" hidden="false" customHeight="false" outlineLevel="0" collapsed="false">
      <c r="A6659" s="571"/>
      <c r="B6659" s="433"/>
      <c r="C6659" s="855" t="s">
        <v>5231</v>
      </c>
      <c r="D6659" s="316" t="s">
        <v>4133</v>
      </c>
      <c r="E6659" s="855" t="n">
        <v>0.0001</v>
      </c>
      <c r="F6659" s="857" t="n">
        <v>75465</v>
      </c>
      <c r="G6659" s="615" t="n">
        <f aca="false">F6659*E6659</f>
        <v>7.5465</v>
      </c>
      <c r="H6659" s="433"/>
    </row>
    <row r="6660" customFormat="false" ht="30" hidden="false" customHeight="false" outlineLevel="0" collapsed="false">
      <c r="A6660" s="571"/>
      <c r="B6660" s="433"/>
      <c r="C6660" s="855" t="s">
        <v>5232</v>
      </c>
      <c r="D6660" s="316" t="s">
        <v>4133</v>
      </c>
      <c r="E6660" s="855" t="n">
        <v>0.0001</v>
      </c>
      <c r="F6660" s="857" t="n">
        <v>87990</v>
      </c>
      <c r="G6660" s="615" t="n">
        <f aca="false">F6660*E6660</f>
        <v>8.799</v>
      </c>
      <c r="H6660" s="433"/>
    </row>
    <row r="6661" customFormat="false" ht="30" hidden="false" customHeight="false" outlineLevel="0" collapsed="false">
      <c r="A6661" s="571"/>
      <c r="B6661" s="433"/>
      <c r="C6661" s="855" t="s">
        <v>5233</v>
      </c>
      <c r="D6661" s="316" t="s">
        <v>4133</v>
      </c>
      <c r="E6661" s="855" t="n">
        <v>0.0001</v>
      </c>
      <c r="F6661" s="857" t="n">
        <v>71395</v>
      </c>
      <c r="G6661" s="615" t="n">
        <f aca="false">F6661*E6661</f>
        <v>7.1395</v>
      </c>
      <c r="H6661" s="433"/>
    </row>
    <row r="6662" customFormat="false" ht="30" hidden="false" customHeight="false" outlineLevel="0" collapsed="false">
      <c r="A6662" s="571"/>
      <c r="B6662" s="433"/>
      <c r="C6662" s="855" t="s">
        <v>5234</v>
      </c>
      <c r="D6662" s="316" t="s">
        <v>4133</v>
      </c>
      <c r="E6662" s="855" t="n">
        <v>0.0001</v>
      </c>
      <c r="F6662" s="857" t="n">
        <v>53450</v>
      </c>
      <c r="G6662" s="615" t="n">
        <f aca="false">F6662*E6662</f>
        <v>5.345</v>
      </c>
      <c r="H6662" s="433"/>
    </row>
    <row r="6663" customFormat="false" ht="15" hidden="false" customHeight="false" outlineLevel="0" collapsed="false">
      <c r="A6663" s="571"/>
      <c r="B6663" s="433"/>
      <c r="C6663" s="855" t="s">
        <v>5240</v>
      </c>
      <c r="D6663" s="316" t="s">
        <v>4578</v>
      </c>
      <c r="E6663" s="855" t="n">
        <v>0.002</v>
      </c>
      <c r="F6663" s="857" t="n">
        <v>225000</v>
      </c>
      <c r="G6663" s="615" t="n">
        <f aca="false">F6663*E6663</f>
        <v>450</v>
      </c>
      <c r="H6663" s="433"/>
    </row>
    <row r="6664" customFormat="false" ht="15" hidden="false" customHeight="false" outlineLevel="0" collapsed="false">
      <c r="A6664" s="571"/>
      <c r="B6664" s="433"/>
      <c r="C6664" s="855" t="s">
        <v>5241</v>
      </c>
      <c r="D6664" s="316" t="s">
        <v>4141</v>
      </c>
      <c r="E6664" s="860" t="n">
        <v>0.001</v>
      </c>
      <c r="F6664" s="857" t="n">
        <v>1500</v>
      </c>
      <c r="G6664" s="615" t="n">
        <f aca="false">F6664*E6664</f>
        <v>1.5</v>
      </c>
      <c r="H6664" s="433"/>
    </row>
    <row r="6665" customFormat="false" ht="15" hidden="false" customHeight="false" outlineLevel="0" collapsed="false">
      <c r="A6665" s="571"/>
      <c r="B6665" s="433"/>
      <c r="C6665" s="855" t="s">
        <v>4347</v>
      </c>
      <c r="D6665" s="316" t="s">
        <v>4348</v>
      </c>
      <c r="E6665" s="855" t="n">
        <v>1</v>
      </c>
      <c r="F6665" s="857" t="n">
        <v>130</v>
      </c>
      <c r="G6665" s="615" t="n">
        <f aca="false">F6665*E6665</f>
        <v>130</v>
      </c>
      <c r="H6665" s="433"/>
    </row>
    <row r="6666" customFormat="false" ht="15" hidden="false" customHeight="false" outlineLevel="0" collapsed="false">
      <c r="A6666" s="571"/>
      <c r="B6666" s="433"/>
      <c r="C6666" s="855" t="s">
        <v>4122</v>
      </c>
      <c r="D6666" s="316" t="s">
        <v>4359</v>
      </c>
      <c r="E6666" s="855" t="n">
        <v>0.01</v>
      </c>
      <c r="F6666" s="857" t="n">
        <v>720</v>
      </c>
      <c r="G6666" s="615" t="n">
        <f aca="false">F6666*E6666</f>
        <v>7.2</v>
      </c>
      <c r="H6666" s="433"/>
    </row>
    <row r="6667" customFormat="false" ht="15" hidden="false" customHeight="false" outlineLevel="0" collapsed="false">
      <c r="A6667" s="571"/>
      <c r="B6667" s="433"/>
      <c r="C6667" s="855" t="s">
        <v>4515</v>
      </c>
      <c r="D6667" s="316" t="s">
        <v>4133</v>
      </c>
      <c r="E6667" s="855" t="n">
        <v>0.001</v>
      </c>
      <c r="F6667" s="857" t="n">
        <v>2700</v>
      </c>
      <c r="G6667" s="615" t="n">
        <f aca="false">F6667*E6667</f>
        <v>2.7</v>
      </c>
      <c r="H6667" s="433"/>
    </row>
    <row r="6668" customFormat="false" ht="15" hidden="false" customHeight="false" outlineLevel="0" collapsed="false">
      <c r="A6668" s="571"/>
      <c r="B6668" s="433"/>
      <c r="C6668" s="433" t="s">
        <v>5239</v>
      </c>
      <c r="D6668" s="606" t="s">
        <v>4141</v>
      </c>
      <c r="E6668" s="858" t="n">
        <v>0.003</v>
      </c>
      <c r="F6668" s="681" t="n">
        <v>23500</v>
      </c>
      <c r="G6668" s="615" t="n">
        <f aca="false">F6668*E6668</f>
        <v>70.5</v>
      </c>
      <c r="H6668" s="433"/>
    </row>
    <row r="6669" customFormat="false" ht="15" hidden="false" customHeight="false" outlineLevel="0" collapsed="false">
      <c r="A6669" s="571"/>
      <c r="B6669" s="433"/>
      <c r="C6669" s="867" t="s">
        <v>4497</v>
      </c>
      <c r="D6669" s="868" t="s">
        <v>4348</v>
      </c>
      <c r="E6669" s="869" t="n">
        <v>0.003</v>
      </c>
      <c r="F6669" s="870" t="n">
        <v>550000</v>
      </c>
      <c r="G6669" s="615" t="n">
        <f aca="false">F6669*E6669</f>
        <v>1650</v>
      </c>
      <c r="H6669" s="433"/>
    </row>
    <row r="6670" customFormat="false" ht="15" hidden="false" customHeight="false" outlineLevel="0" collapsed="false">
      <c r="A6670" s="571"/>
      <c r="B6670" s="433"/>
      <c r="C6670" s="861" t="s">
        <v>4124</v>
      </c>
      <c r="D6670" s="316" t="s">
        <v>4125</v>
      </c>
      <c r="E6670" s="855" t="n">
        <v>0.01</v>
      </c>
      <c r="F6670" s="857" t="n">
        <v>170</v>
      </c>
      <c r="G6670" s="615" t="n">
        <f aca="false">F6670*E6670</f>
        <v>1.7</v>
      </c>
      <c r="H6670" s="433"/>
    </row>
    <row r="6671" customFormat="false" ht="28.5" hidden="false" customHeight="false" outlineLevel="0" collapsed="false">
      <c r="A6671" s="350" t="s">
        <v>5339</v>
      </c>
      <c r="B6671" s="346" t="s">
        <v>3352</v>
      </c>
      <c r="C6671" s="601"/>
      <c r="D6671" s="600"/>
      <c r="E6671" s="600"/>
      <c r="F6671" s="364"/>
      <c r="G6671" s="713"/>
      <c r="H6671" s="887"/>
    </row>
    <row r="6672" customFormat="false" ht="15" hidden="false" customHeight="false" outlineLevel="0" collapsed="false">
      <c r="A6672" s="571" t="s">
        <v>1185</v>
      </c>
      <c r="B6672" s="433" t="s">
        <v>3307</v>
      </c>
      <c r="C6672" s="476"/>
      <c r="D6672" s="820"/>
      <c r="E6672" s="820"/>
      <c r="F6672" s="697"/>
      <c r="G6672" s="826" t="n">
        <f aca="false">SUM(G6673:G6693)</f>
        <v>6923.2455</v>
      </c>
      <c r="H6672" s="433" t="s">
        <v>5227</v>
      </c>
    </row>
    <row r="6673" customFormat="false" ht="15" hidden="false" customHeight="false" outlineLevel="0" collapsed="false">
      <c r="A6673" s="380"/>
      <c r="B6673" s="433"/>
      <c r="C6673" s="855" t="s">
        <v>4604</v>
      </c>
      <c r="D6673" s="316" t="s">
        <v>4359</v>
      </c>
      <c r="E6673" s="855" t="n">
        <v>0.05</v>
      </c>
      <c r="F6673" s="115" t="n">
        <v>18000</v>
      </c>
      <c r="G6673" s="615" t="n">
        <f aca="false">F6673*E6673</f>
        <v>900</v>
      </c>
      <c r="H6673" s="888"/>
    </row>
    <row r="6674" customFormat="false" ht="15" hidden="false" customHeight="false" outlineLevel="0" collapsed="false">
      <c r="A6674" s="707"/>
      <c r="B6674" s="433"/>
      <c r="C6674" s="855" t="s">
        <v>4317</v>
      </c>
      <c r="D6674" s="316" t="s">
        <v>4359</v>
      </c>
      <c r="E6674" s="855" t="n">
        <v>0.1</v>
      </c>
      <c r="F6674" s="115" t="n">
        <v>21000</v>
      </c>
      <c r="G6674" s="615" t="n">
        <f aca="false">F6674*E6674</f>
        <v>2100</v>
      </c>
      <c r="H6674" s="888"/>
    </row>
    <row r="6675" customFormat="false" ht="15" hidden="false" customHeight="false" outlineLevel="0" collapsed="false">
      <c r="A6675" s="571"/>
      <c r="B6675" s="433"/>
      <c r="C6675" s="855" t="s">
        <v>4147</v>
      </c>
      <c r="D6675" s="316" t="s">
        <v>4359</v>
      </c>
      <c r="E6675" s="855" t="n">
        <v>0.05</v>
      </c>
      <c r="F6675" s="115" t="n">
        <v>18000</v>
      </c>
      <c r="G6675" s="615" t="n">
        <f aca="false">F6675*E6675</f>
        <v>900</v>
      </c>
      <c r="H6675" s="888"/>
    </row>
    <row r="6676" customFormat="false" ht="15" hidden="false" customHeight="false" outlineLevel="0" collapsed="false">
      <c r="A6676" s="571"/>
      <c r="B6676" s="433"/>
      <c r="C6676" s="855" t="s">
        <v>5228</v>
      </c>
      <c r="D6676" s="316" t="s">
        <v>4133</v>
      </c>
      <c r="E6676" s="855" t="n">
        <v>0.001</v>
      </c>
      <c r="F6676" s="115" t="n">
        <v>19000</v>
      </c>
      <c r="G6676" s="615" t="n">
        <f aca="false">F6676*E6676</f>
        <v>19</v>
      </c>
      <c r="H6676" s="888"/>
    </row>
    <row r="6677" customFormat="false" ht="17.25" hidden="false" customHeight="true" outlineLevel="0" collapsed="false">
      <c r="A6677" s="571"/>
      <c r="B6677" s="433"/>
      <c r="C6677" s="855" t="s">
        <v>4673</v>
      </c>
      <c r="D6677" s="316" t="s">
        <v>4133</v>
      </c>
      <c r="E6677" s="855" t="n">
        <v>0.005</v>
      </c>
      <c r="F6677" s="115" t="n">
        <v>106777</v>
      </c>
      <c r="G6677" s="615" t="n">
        <f aca="false">F6677*E6677</f>
        <v>533.885</v>
      </c>
      <c r="H6677" s="888"/>
    </row>
    <row r="6678" customFormat="false" ht="15" hidden="false" customHeight="false" outlineLevel="0" collapsed="false">
      <c r="A6678" s="571"/>
      <c r="B6678" s="433"/>
      <c r="C6678" s="861" t="s">
        <v>4672</v>
      </c>
      <c r="D6678" s="316" t="s">
        <v>4359</v>
      </c>
      <c r="E6678" s="855" t="n">
        <v>0.03</v>
      </c>
      <c r="F6678" s="115" t="n">
        <v>3730</v>
      </c>
      <c r="G6678" s="615" t="n">
        <f aca="false">F6678*E6678</f>
        <v>111.9</v>
      </c>
      <c r="H6678" s="888"/>
    </row>
    <row r="6679" customFormat="false" ht="30" hidden="false" customHeight="false" outlineLevel="0" collapsed="false">
      <c r="A6679" s="571"/>
      <c r="B6679" s="433"/>
      <c r="C6679" s="532" t="s">
        <v>5238</v>
      </c>
      <c r="D6679" s="679" t="s">
        <v>4141</v>
      </c>
      <c r="E6679" s="866" t="n">
        <v>0.001</v>
      </c>
      <c r="F6679" s="681" t="n">
        <v>1400</v>
      </c>
      <c r="G6679" s="615" t="n">
        <f aca="false">F6679*E6679</f>
        <v>1.4</v>
      </c>
      <c r="H6679" s="888"/>
    </row>
    <row r="6680" customFormat="false" ht="30" hidden="false" customHeight="false" outlineLevel="0" collapsed="false">
      <c r="A6680" s="571"/>
      <c r="B6680" s="433"/>
      <c r="C6680" s="855" t="s">
        <v>5229</v>
      </c>
      <c r="D6680" s="316" t="s">
        <v>4133</v>
      </c>
      <c r="E6680" s="855" t="n">
        <v>0.0001</v>
      </c>
      <c r="F6680" s="857" t="n">
        <v>71490</v>
      </c>
      <c r="G6680" s="615" t="n">
        <f aca="false">F6680*E6680</f>
        <v>7.149</v>
      </c>
      <c r="H6680" s="888"/>
    </row>
    <row r="6681" customFormat="false" ht="30" hidden="false" customHeight="false" outlineLevel="0" collapsed="false">
      <c r="A6681" s="571"/>
      <c r="B6681" s="433"/>
      <c r="C6681" s="855" t="s">
        <v>5230</v>
      </c>
      <c r="D6681" s="316" t="s">
        <v>4133</v>
      </c>
      <c r="E6681" s="855" t="n">
        <v>0.0001</v>
      </c>
      <c r="F6681" s="857" t="n">
        <v>74815</v>
      </c>
      <c r="G6681" s="615" t="n">
        <f aca="false">F6681*E6681</f>
        <v>7.4815</v>
      </c>
      <c r="H6681" s="888"/>
    </row>
    <row r="6682" customFormat="false" ht="45" hidden="false" customHeight="false" outlineLevel="0" collapsed="false">
      <c r="A6682" s="571"/>
      <c r="B6682" s="433"/>
      <c r="C6682" s="855" t="s">
        <v>5231</v>
      </c>
      <c r="D6682" s="316" t="s">
        <v>4133</v>
      </c>
      <c r="E6682" s="855" t="n">
        <v>0.0001</v>
      </c>
      <c r="F6682" s="857" t="n">
        <v>75465</v>
      </c>
      <c r="G6682" s="615" t="n">
        <f aca="false">F6682*E6682</f>
        <v>7.5465</v>
      </c>
      <c r="H6682" s="888"/>
    </row>
    <row r="6683" customFormat="false" ht="30" hidden="false" customHeight="false" outlineLevel="0" collapsed="false">
      <c r="A6683" s="571"/>
      <c r="B6683" s="433"/>
      <c r="C6683" s="855" t="s">
        <v>5232</v>
      </c>
      <c r="D6683" s="316" t="s">
        <v>4133</v>
      </c>
      <c r="E6683" s="855" t="n">
        <v>0.0001</v>
      </c>
      <c r="F6683" s="857" t="n">
        <v>87990</v>
      </c>
      <c r="G6683" s="615" t="n">
        <f aca="false">F6683*E6683</f>
        <v>8.799</v>
      </c>
      <c r="H6683" s="888"/>
    </row>
    <row r="6684" customFormat="false" ht="30" hidden="false" customHeight="false" outlineLevel="0" collapsed="false">
      <c r="A6684" s="571"/>
      <c r="B6684" s="433"/>
      <c r="C6684" s="855" t="s">
        <v>5233</v>
      </c>
      <c r="D6684" s="316" t="s">
        <v>4133</v>
      </c>
      <c r="E6684" s="855" t="n">
        <v>0.0001</v>
      </c>
      <c r="F6684" s="857" t="n">
        <v>71395</v>
      </c>
      <c r="G6684" s="615" t="n">
        <f aca="false">F6684*E6684</f>
        <v>7.1395</v>
      </c>
      <c r="H6684" s="888"/>
    </row>
    <row r="6685" customFormat="false" ht="30" hidden="false" customHeight="false" outlineLevel="0" collapsed="false">
      <c r="A6685" s="571"/>
      <c r="B6685" s="433"/>
      <c r="C6685" s="855" t="s">
        <v>5234</v>
      </c>
      <c r="D6685" s="316" t="s">
        <v>4133</v>
      </c>
      <c r="E6685" s="855" t="n">
        <v>0.0001</v>
      </c>
      <c r="F6685" s="857" t="n">
        <v>53450</v>
      </c>
      <c r="G6685" s="615" t="n">
        <f aca="false">F6685*E6685</f>
        <v>5.345</v>
      </c>
      <c r="H6685" s="888"/>
    </row>
    <row r="6686" customFormat="false" ht="15" hidden="false" customHeight="false" outlineLevel="0" collapsed="false">
      <c r="A6686" s="571"/>
      <c r="B6686" s="433"/>
      <c r="C6686" s="855" t="s">
        <v>5240</v>
      </c>
      <c r="D6686" s="316" t="s">
        <v>5274</v>
      </c>
      <c r="E6686" s="855" t="n">
        <v>0.002</v>
      </c>
      <c r="F6686" s="857" t="n">
        <v>225000</v>
      </c>
      <c r="G6686" s="615" t="n">
        <f aca="false">F6686*E6686</f>
        <v>450</v>
      </c>
      <c r="H6686" s="888"/>
    </row>
    <row r="6687" customFormat="false" ht="15" hidden="false" customHeight="false" outlineLevel="0" collapsed="false">
      <c r="A6687" s="571"/>
      <c r="B6687" s="433"/>
      <c r="C6687" s="855" t="s">
        <v>5241</v>
      </c>
      <c r="D6687" s="316" t="s">
        <v>4141</v>
      </c>
      <c r="E6687" s="860" t="n">
        <v>0.001</v>
      </c>
      <c r="F6687" s="857" t="n">
        <v>1500</v>
      </c>
      <c r="G6687" s="615" t="n">
        <f aca="false">F6687*E6687</f>
        <v>1.5</v>
      </c>
      <c r="H6687" s="888"/>
    </row>
    <row r="6688" customFormat="false" ht="15" hidden="false" customHeight="false" outlineLevel="0" collapsed="false">
      <c r="A6688" s="571"/>
      <c r="B6688" s="433"/>
      <c r="C6688" s="867" t="s">
        <v>4497</v>
      </c>
      <c r="D6688" s="868" t="s">
        <v>4348</v>
      </c>
      <c r="E6688" s="869" t="n">
        <v>0.003</v>
      </c>
      <c r="F6688" s="870" t="n">
        <v>550000</v>
      </c>
      <c r="G6688" s="615" t="n">
        <f aca="false">F6688*E6688</f>
        <v>1650</v>
      </c>
      <c r="H6688" s="888"/>
    </row>
    <row r="6689" customFormat="false" ht="15" hidden="false" customHeight="false" outlineLevel="0" collapsed="false">
      <c r="A6689" s="571"/>
      <c r="B6689" s="433"/>
      <c r="C6689" s="855" t="s">
        <v>4347</v>
      </c>
      <c r="D6689" s="316" t="s">
        <v>4348</v>
      </c>
      <c r="E6689" s="855" t="n">
        <v>1</v>
      </c>
      <c r="F6689" s="857" t="n">
        <v>130</v>
      </c>
      <c r="G6689" s="615" t="n">
        <f aca="false">F6689*E6689</f>
        <v>130</v>
      </c>
      <c r="H6689" s="888"/>
    </row>
    <row r="6690" customFormat="false" ht="15" hidden="false" customHeight="false" outlineLevel="0" collapsed="false">
      <c r="A6690" s="571"/>
      <c r="B6690" s="433"/>
      <c r="C6690" s="855" t="s">
        <v>4122</v>
      </c>
      <c r="D6690" s="316" t="s">
        <v>4359</v>
      </c>
      <c r="E6690" s="855" t="n">
        <v>0.01</v>
      </c>
      <c r="F6690" s="857" t="n">
        <v>720</v>
      </c>
      <c r="G6690" s="615" t="n">
        <f aca="false">F6690*E6690</f>
        <v>7.2</v>
      </c>
      <c r="H6690" s="888"/>
    </row>
    <row r="6691" customFormat="false" ht="15" hidden="false" customHeight="false" outlineLevel="0" collapsed="false">
      <c r="A6691" s="571"/>
      <c r="B6691" s="433"/>
      <c r="C6691" s="855" t="s">
        <v>4515</v>
      </c>
      <c r="D6691" s="316" t="s">
        <v>4133</v>
      </c>
      <c r="E6691" s="855" t="n">
        <v>0.001</v>
      </c>
      <c r="F6691" s="857" t="n">
        <v>2700</v>
      </c>
      <c r="G6691" s="615" t="n">
        <f aca="false">F6691*E6691</f>
        <v>2.7</v>
      </c>
      <c r="H6691" s="888"/>
    </row>
    <row r="6692" customFormat="false" ht="15" hidden="false" customHeight="false" outlineLevel="0" collapsed="false">
      <c r="A6692" s="571"/>
      <c r="B6692" s="433"/>
      <c r="C6692" s="433" t="s">
        <v>5239</v>
      </c>
      <c r="D6692" s="606" t="s">
        <v>4141</v>
      </c>
      <c r="E6692" s="858" t="n">
        <v>0.003</v>
      </c>
      <c r="F6692" s="617" t="n">
        <v>23500</v>
      </c>
      <c r="G6692" s="615" t="n">
        <f aca="false">F6692*E6692</f>
        <v>70.5</v>
      </c>
      <c r="H6692" s="433"/>
    </row>
    <row r="6693" customFormat="false" ht="15" hidden="false" customHeight="false" outlineLevel="0" collapsed="false">
      <c r="A6693" s="571"/>
      <c r="B6693" s="433"/>
      <c r="C6693" s="861" t="s">
        <v>4124</v>
      </c>
      <c r="D6693" s="316" t="s">
        <v>4125</v>
      </c>
      <c r="E6693" s="855" t="n">
        <v>0.01</v>
      </c>
      <c r="F6693" s="115" t="n">
        <v>170</v>
      </c>
      <c r="G6693" s="615" t="n">
        <f aca="false">F6693*E6693</f>
        <v>1.7</v>
      </c>
      <c r="H6693" s="888"/>
    </row>
    <row r="6694" customFormat="false" ht="15" hidden="false" customHeight="false" outlineLevel="0" collapsed="false">
      <c r="A6694" s="571" t="s">
        <v>1186</v>
      </c>
      <c r="B6694" s="433" t="s">
        <v>3309</v>
      </c>
      <c r="C6694" s="41"/>
      <c r="D6694" s="874"/>
      <c r="E6694" s="41"/>
      <c r="F6694" s="875"/>
      <c r="G6694" s="826" t="n">
        <f aca="false">SUM(G6695:G6711)</f>
        <v>9601.893</v>
      </c>
      <c r="H6694" s="433" t="s">
        <v>5305</v>
      </c>
    </row>
    <row r="6695" customFormat="false" ht="15" hidden="false" customHeight="false" outlineLevel="0" collapsed="false">
      <c r="A6695" s="571"/>
      <c r="B6695" s="433"/>
      <c r="C6695" s="860" t="s">
        <v>4250</v>
      </c>
      <c r="D6695" s="316" t="s">
        <v>4359</v>
      </c>
      <c r="E6695" s="855" t="n">
        <v>0.1</v>
      </c>
      <c r="F6695" s="115" t="n">
        <v>42000</v>
      </c>
      <c r="G6695" s="615" t="n">
        <f aca="false">F6695*E6695</f>
        <v>4200</v>
      </c>
      <c r="H6695" s="433"/>
    </row>
    <row r="6696" customFormat="false" ht="15" hidden="false" customHeight="false" outlineLevel="0" collapsed="false">
      <c r="A6696" s="571"/>
      <c r="B6696" s="433"/>
      <c r="C6696" s="855" t="s">
        <v>4604</v>
      </c>
      <c r="D6696" s="316" t="s">
        <v>4359</v>
      </c>
      <c r="E6696" s="855" t="n">
        <v>0.005</v>
      </c>
      <c r="F6696" s="115" t="n">
        <v>18000</v>
      </c>
      <c r="G6696" s="615" t="n">
        <f aca="false">F6696*E6696</f>
        <v>90</v>
      </c>
      <c r="H6696" s="433"/>
    </row>
    <row r="6697" customFormat="false" ht="44.25" hidden="false" customHeight="true" outlineLevel="0" collapsed="false">
      <c r="A6697" s="571"/>
      <c r="B6697" s="433"/>
      <c r="C6697" s="855" t="s">
        <v>4205</v>
      </c>
      <c r="D6697" s="316" t="s">
        <v>4359</v>
      </c>
      <c r="E6697" s="855" t="n">
        <v>0.05</v>
      </c>
      <c r="F6697" s="115" t="n">
        <v>14000</v>
      </c>
      <c r="G6697" s="615" t="n">
        <f aca="false">F6697*E6697</f>
        <v>700</v>
      </c>
      <c r="H6697" s="433"/>
    </row>
    <row r="6698" customFormat="false" ht="15" hidden="false" customHeight="false" outlineLevel="0" collapsed="false">
      <c r="A6698" s="571"/>
      <c r="B6698" s="433"/>
      <c r="C6698" s="855" t="s">
        <v>5252</v>
      </c>
      <c r="D6698" s="316" t="s">
        <v>4133</v>
      </c>
      <c r="E6698" s="855" t="n">
        <v>0.002</v>
      </c>
      <c r="F6698" s="115" t="n">
        <v>19000</v>
      </c>
      <c r="G6698" s="615" t="n">
        <f aca="false">F6698*E6698</f>
        <v>38</v>
      </c>
      <c r="H6698" s="433"/>
    </row>
    <row r="6699" customFormat="false" ht="21" hidden="false" customHeight="true" outlineLevel="0" collapsed="false">
      <c r="A6699" s="571"/>
      <c r="B6699" s="433"/>
      <c r="C6699" s="855" t="s">
        <v>4154</v>
      </c>
      <c r="D6699" s="316" t="s">
        <v>4359</v>
      </c>
      <c r="E6699" s="855" t="n">
        <v>0.1</v>
      </c>
      <c r="F6699" s="115" t="n">
        <v>18000</v>
      </c>
      <c r="G6699" s="615" t="n">
        <f aca="false">F6699*E6699</f>
        <v>1800</v>
      </c>
      <c r="H6699" s="433"/>
    </row>
    <row r="6700" customFormat="false" ht="15" hidden="false" customHeight="true" outlineLevel="0" collapsed="false">
      <c r="A6700" s="571"/>
      <c r="B6700" s="433"/>
      <c r="C6700" s="532" t="s">
        <v>5238</v>
      </c>
      <c r="D6700" s="679" t="s">
        <v>4141</v>
      </c>
      <c r="E6700" s="866" t="n">
        <v>0.001</v>
      </c>
      <c r="F6700" s="617" t="n">
        <v>1400</v>
      </c>
      <c r="G6700" s="615" t="n">
        <f aca="false">F6700*E6700</f>
        <v>1.4</v>
      </c>
      <c r="H6700" s="433"/>
    </row>
    <row r="6701" customFormat="false" ht="15" hidden="false" customHeight="true" outlineLevel="0" collapsed="false">
      <c r="A6701" s="571"/>
      <c r="B6701" s="433"/>
      <c r="C6701" s="860" t="s">
        <v>5253</v>
      </c>
      <c r="D6701" s="877" t="s">
        <v>4133</v>
      </c>
      <c r="E6701" s="860" t="n">
        <v>0.0001</v>
      </c>
      <c r="F6701" s="115" t="n">
        <v>41555</v>
      </c>
      <c r="G6701" s="615" t="n">
        <f aca="false">F6701*E6701</f>
        <v>4.1555</v>
      </c>
      <c r="H6701" s="433"/>
    </row>
    <row r="6702" customFormat="false" ht="15" hidden="false" customHeight="true" outlineLevel="0" collapsed="false">
      <c r="A6702" s="571"/>
      <c r="B6702" s="433"/>
      <c r="C6702" s="878" t="s">
        <v>4524</v>
      </c>
      <c r="D6702" s="877" t="s">
        <v>4133</v>
      </c>
      <c r="E6702" s="860" t="n">
        <v>0.0095</v>
      </c>
      <c r="F6702" s="115" t="n">
        <v>2625</v>
      </c>
      <c r="G6702" s="615" t="n">
        <f aca="false">F6702*E6702</f>
        <v>24.9375</v>
      </c>
      <c r="H6702" s="433"/>
    </row>
    <row r="6703" customFormat="false" ht="15" hidden="false" customHeight="true" outlineLevel="0" collapsed="false">
      <c r="A6703" s="571"/>
      <c r="B6703" s="433"/>
      <c r="C6703" s="878" t="s">
        <v>5260</v>
      </c>
      <c r="D6703" s="877" t="s">
        <v>4133</v>
      </c>
      <c r="E6703" s="860" t="n">
        <v>0.0136</v>
      </c>
      <c r="F6703" s="115" t="n">
        <v>24000</v>
      </c>
      <c r="G6703" s="615" t="n">
        <f aca="false">F6703*E6703</f>
        <v>326.4</v>
      </c>
      <c r="H6703" s="433"/>
    </row>
    <row r="6704" customFormat="false" ht="15" hidden="false" customHeight="true" outlineLevel="0" collapsed="false">
      <c r="A6704" s="571"/>
      <c r="B6704" s="433"/>
      <c r="C6704" s="532" t="s">
        <v>5240</v>
      </c>
      <c r="D6704" s="679" t="s">
        <v>4578</v>
      </c>
      <c r="E6704" s="866" t="n">
        <v>0.002</v>
      </c>
      <c r="F6704" s="617" t="n">
        <v>225000</v>
      </c>
      <c r="G6704" s="615" t="n">
        <f aca="false">F6704*E6704</f>
        <v>450</v>
      </c>
      <c r="H6704" s="433"/>
    </row>
    <row r="6705" customFormat="false" ht="15" hidden="false" customHeight="true" outlineLevel="0" collapsed="false">
      <c r="A6705" s="571"/>
      <c r="B6705" s="433"/>
      <c r="C6705" s="867" t="s">
        <v>4497</v>
      </c>
      <c r="D6705" s="868" t="s">
        <v>4348</v>
      </c>
      <c r="E6705" s="869" t="n">
        <v>0.003</v>
      </c>
      <c r="F6705" s="604" t="n">
        <v>550000</v>
      </c>
      <c r="G6705" s="615" t="n">
        <f aca="false">F6705*E6705</f>
        <v>1650</v>
      </c>
      <c r="H6705" s="433"/>
    </row>
    <row r="6706" customFormat="false" ht="15" hidden="false" customHeight="false" outlineLevel="0" collapsed="false">
      <c r="A6706" s="571"/>
      <c r="B6706" s="433"/>
      <c r="C6706" s="867" t="s">
        <v>4122</v>
      </c>
      <c r="D6706" s="868" t="s">
        <v>4123</v>
      </c>
      <c r="E6706" s="869" t="n">
        <v>0.1</v>
      </c>
      <c r="F6706" s="607" t="n">
        <v>720</v>
      </c>
      <c r="G6706" s="615" t="n">
        <f aca="false">F6706*E6706</f>
        <v>72</v>
      </c>
      <c r="H6706" s="433"/>
    </row>
    <row r="6707" customFormat="false" ht="14.25" hidden="false" customHeight="true" outlineLevel="0" collapsed="false">
      <c r="A6707" s="571"/>
      <c r="B6707" s="433"/>
      <c r="C6707" s="855" t="s">
        <v>5241</v>
      </c>
      <c r="D6707" s="868" t="s">
        <v>4121</v>
      </c>
      <c r="E6707" s="869" t="n">
        <v>0.001</v>
      </c>
      <c r="F6707" s="604" t="n">
        <v>1500</v>
      </c>
      <c r="G6707" s="615" t="n">
        <f aca="false">F6707*E6707</f>
        <v>1.5</v>
      </c>
      <c r="H6707" s="433"/>
    </row>
    <row r="6708" customFormat="false" ht="14.25" hidden="false" customHeight="true" outlineLevel="0" collapsed="false">
      <c r="A6708" s="571"/>
      <c r="B6708" s="433"/>
      <c r="C6708" s="433" t="s">
        <v>5239</v>
      </c>
      <c r="D6708" s="606" t="s">
        <v>4141</v>
      </c>
      <c r="E6708" s="858" t="n">
        <v>0.003</v>
      </c>
      <c r="F6708" s="617" t="n">
        <v>23500</v>
      </c>
      <c r="G6708" s="615" t="n">
        <f aca="false">F6708*E6708</f>
        <v>70.5</v>
      </c>
      <c r="H6708" s="433"/>
    </row>
    <row r="6709" customFormat="false" ht="14.25" hidden="false" customHeight="true" outlineLevel="0" collapsed="false">
      <c r="A6709" s="571"/>
      <c r="B6709" s="433"/>
      <c r="C6709" s="872" t="s">
        <v>4124</v>
      </c>
      <c r="D6709" s="868" t="s">
        <v>4125</v>
      </c>
      <c r="E6709" s="869" t="n">
        <v>0.1</v>
      </c>
      <c r="F6709" s="607" t="n">
        <v>170</v>
      </c>
      <c r="G6709" s="615" t="n">
        <f aca="false">F6709*E6709</f>
        <v>17</v>
      </c>
      <c r="H6709" s="433"/>
    </row>
    <row r="6710" customFormat="false" ht="23.25" hidden="false" customHeight="true" outlineLevel="0" collapsed="false">
      <c r="A6710" s="571"/>
      <c r="B6710" s="433"/>
      <c r="C6710" s="872" t="s">
        <v>4347</v>
      </c>
      <c r="D6710" s="868" t="s">
        <v>4348</v>
      </c>
      <c r="E6710" s="869" t="n">
        <v>1</v>
      </c>
      <c r="F6710" s="607" t="n">
        <v>130</v>
      </c>
      <c r="G6710" s="615" t="n">
        <f aca="false">F6710*E6710</f>
        <v>130</v>
      </c>
      <c r="H6710" s="433"/>
    </row>
    <row r="6711" customFormat="false" ht="14.25" hidden="false" customHeight="true" outlineLevel="0" collapsed="false">
      <c r="A6711" s="571"/>
      <c r="B6711" s="433"/>
      <c r="C6711" s="855" t="s">
        <v>4509</v>
      </c>
      <c r="D6711" s="316" t="s">
        <v>4348</v>
      </c>
      <c r="E6711" s="855" t="n">
        <v>1</v>
      </c>
      <c r="F6711" s="115" t="n">
        <v>26</v>
      </c>
      <c r="G6711" s="615" t="n">
        <f aca="false">F6711*E6711</f>
        <v>26</v>
      </c>
      <c r="H6711" s="433"/>
    </row>
    <row r="6712" customFormat="false" ht="14.25" hidden="false" customHeight="true" outlineLevel="0" collapsed="false">
      <c r="A6712" s="571" t="s">
        <v>1187</v>
      </c>
      <c r="B6712" s="433" t="s">
        <v>3310</v>
      </c>
      <c r="C6712" s="41"/>
      <c r="D6712" s="874"/>
      <c r="E6712" s="41"/>
      <c r="F6712" s="875"/>
      <c r="G6712" s="826" t="n">
        <f aca="false">SUM(G6713:G6731)</f>
        <v>10315.493</v>
      </c>
      <c r="H6712" s="433" t="s">
        <v>5227</v>
      </c>
    </row>
    <row r="6713" customFormat="false" ht="14.25" hidden="false" customHeight="true" outlineLevel="0" collapsed="false">
      <c r="A6713" s="571"/>
      <c r="B6713" s="433"/>
      <c r="C6713" s="21" t="s">
        <v>4317</v>
      </c>
      <c r="D6713" s="877" t="s">
        <v>4359</v>
      </c>
      <c r="E6713" s="860" t="n">
        <v>0.1</v>
      </c>
      <c r="F6713" s="115" t="n">
        <v>21000</v>
      </c>
      <c r="G6713" s="716" t="n">
        <f aca="false">F6713*E6713</f>
        <v>2100</v>
      </c>
      <c r="H6713" s="433"/>
    </row>
    <row r="6714" customFormat="false" ht="14.25" hidden="false" customHeight="true" outlineLevel="0" collapsed="false">
      <c r="A6714" s="571"/>
      <c r="B6714" s="433"/>
      <c r="C6714" s="860" t="s">
        <v>5228</v>
      </c>
      <c r="D6714" s="316" t="s">
        <v>4133</v>
      </c>
      <c r="E6714" s="860" t="n">
        <v>0.001</v>
      </c>
      <c r="F6714" s="115" t="n">
        <v>19000</v>
      </c>
      <c r="G6714" s="716" t="n">
        <f aca="false">F6714*E6714</f>
        <v>19</v>
      </c>
      <c r="H6714" s="433"/>
    </row>
    <row r="6715" customFormat="false" ht="14.25" hidden="false" customHeight="true" outlineLevel="0" collapsed="false">
      <c r="A6715" s="571"/>
      <c r="B6715" s="433"/>
      <c r="C6715" s="878" t="s">
        <v>4154</v>
      </c>
      <c r="D6715" s="877" t="s">
        <v>4359</v>
      </c>
      <c r="E6715" s="860" t="n">
        <v>0.011</v>
      </c>
      <c r="F6715" s="115" t="n">
        <v>18000</v>
      </c>
      <c r="G6715" s="716" t="n">
        <f aca="false">F6715*E6715</f>
        <v>198</v>
      </c>
      <c r="H6715" s="433"/>
    </row>
    <row r="6716" customFormat="false" ht="14.25" hidden="false" customHeight="true" outlineLevel="0" collapsed="false">
      <c r="A6716" s="571"/>
      <c r="B6716" s="433"/>
      <c r="C6716" s="878" t="s">
        <v>5260</v>
      </c>
      <c r="D6716" s="877" t="s">
        <v>4133</v>
      </c>
      <c r="E6716" s="860" t="n">
        <v>0.00136</v>
      </c>
      <c r="F6716" s="115" t="n">
        <v>24000</v>
      </c>
      <c r="G6716" s="716" t="n">
        <f aca="false">F6716*E6716</f>
        <v>32.64</v>
      </c>
      <c r="H6716" s="433"/>
    </row>
    <row r="6717" customFormat="false" ht="15" hidden="false" customHeight="false" outlineLevel="0" collapsed="false">
      <c r="A6717" s="571"/>
      <c r="B6717" s="433"/>
      <c r="C6717" s="532" t="s">
        <v>4251</v>
      </c>
      <c r="D6717" s="679" t="s">
        <v>4578</v>
      </c>
      <c r="E6717" s="866" t="n">
        <v>0.002</v>
      </c>
      <c r="F6717" s="617" t="n">
        <v>275000</v>
      </c>
      <c r="G6717" s="716" t="n">
        <f aca="false">F6717*E6717</f>
        <v>550</v>
      </c>
      <c r="H6717" s="433"/>
    </row>
    <row r="6718" customFormat="false" ht="15" hidden="false" customHeight="false" outlineLevel="0" collapsed="false">
      <c r="A6718" s="571"/>
      <c r="B6718" s="433"/>
      <c r="C6718" s="21" t="s">
        <v>4250</v>
      </c>
      <c r="D6718" s="316" t="s">
        <v>4359</v>
      </c>
      <c r="E6718" s="899" t="n">
        <v>0.1</v>
      </c>
      <c r="F6718" s="617" t="n">
        <v>42000</v>
      </c>
      <c r="G6718" s="716" t="n">
        <f aca="false">F6718*E6718</f>
        <v>4200</v>
      </c>
      <c r="H6718" s="433"/>
    </row>
    <row r="6719" customFormat="false" ht="30" hidden="false" customHeight="false" outlineLevel="0" collapsed="false">
      <c r="A6719" s="571"/>
      <c r="B6719" s="433"/>
      <c r="C6719" s="532" t="s">
        <v>5238</v>
      </c>
      <c r="D6719" s="679" t="s">
        <v>4141</v>
      </c>
      <c r="E6719" s="866" t="n">
        <v>0.001</v>
      </c>
      <c r="F6719" s="617" t="n">
        <v>1400</v>
      </c>
      <c r="G6719" s="716" t="n">
        <f aca="false">F6719*E6719</f>
        <v>1.4</v>
      </c>
      <c r="H6719" s="433"/>
    </row>
    <row r="6720" customFormat="false" ht="30" hidden="false" customHeight="false" outlineLevel="0" collapsed="false">
      <c r="A6720" s="571"/>
      <c r="B6720" s="433"/>
      <c r="C6720" s="860" t="s">
        <v>5261</v>
      </c>
      <c r="D6720" s="877" t="s">
        <v>4133</v>
      </c>
      <c r="E6720" s="860" t="n">
        <v>0.0001</v>
      </c>
      <c r="F6720" s="115" t="n">
        <v>53760</v>
      </c>
      <c r="G6720" s="716" t="n">
        <f aca="false">F6720*E6720</f>
        <v>5.376</v>
      </c>
      <c r="H6720" s="433"/>
    </row>
    <row r="6721" customFormat="false" ht="15" hidden="false" customHeight="false" outlineLevel="0" collapsed="false">
      <c r="A6721" s="571"/>
      <c r="B6721" s="433"/>
      <c r="C6721" s="21" t="s">
        <v>5007</v>
      </c>
      <c r="D6721" s="877" t="s">
        <v>4133</v>
      </c>
      <c r="E6721" s="860" t="n">
        <v>0.02</v>
      </c>
      <c r="F6721" s="115" t="n">
        <v>42000</v>
      </c>
      <c r="G6721" s="716" t="n">
        <f aca="false">F6721*E6721</f>
        <v>840</v>
      </c>
      <c r="H6721" s="433"/>
    </row>
    <row r="6722" customFormat="false" ht="15" hidden="false" customHeight="false" outlineLevel="0" collapsed="false">
      <c r="A6722" s="571"/>
      <c r="B6722" s="433"/>
      <c r="C6722" s="878" t="s">
        <v>4604</v>
      </c>
      <c r="D6722" s="877" t="s">
        <v>4359</v>
      </c>
      <c r="E6722" s="860" t="n">
        <v>0.0205</v>
      </c>
      <c r="F6722" s="115" t="n">
        <v>18000</v>
      </c>
      <c r="G6722" s="716" t="n">
        <f aca="false">F6722*E6722</f>
        <v>369</v>
      </c>
      <c r="H6722" s="433"/>
    </row>
    <row r="6723" customFormat="false" ht="15" hidden="false" customHeight="false" outlineLevel="0" collapsed="false">
      <c r="A6723" s="571"/>
      <c r="B6723" s="433"/>
      <c r="C6723" s="861" t="s">
        <v>4673</v>
      </c>
      <c r="D6723" s="877" t="s">
        <v>4133</v>
      </c>
      <c r="E6723" s="860" t="n">
        <v>0.001</v>
      </c>
      <c r="F6723" s="115" t="n">
        <v>106777</v>
      </c>
      <c r="G6723" s="716" t="n">
        <f aca="false">F6723*E6723</f>
        <v>106.777</v>
      </c>
      <c r="H6723" s="433"/>
    </row>
    <row r="6724" customFormat="false" ht="15" hidden="false" customHeight="false" outlineLevel="0" collapsed="false">
      <c r="A6724" s="571"/>
      <c r="B6724" s="433"/>
      <c r="C6724" s="878" t="s">
        <v>4158</v>
      </c>
      <c r="D6724" s="877" t="s">
        <v>4133</v>
      </c>
      <c r="E6724" s="860" t="n">
        <v>0.001</v>
      </c>
      <c r="F6724" s="115" t="n">
        <v>6400</v>
      </c>
      <c r="G6724" s="716" t="n">
        <f aca="false">F6724*E6724</f>
        <v>6.4</v>
      </c>
      <c r="H6724" s="433"/>
    </row>
    <row r="6725" customFormat="false" ht="15" hidden="false" customHeight="false" outlineLevel="0" collapsed="false">
      <c r="A6725" s="571"/>
      <c r="B6725" s="433"/>
      <c r="C6725" s="867" t="s">
        <v>4497</v>
      </c>
      <c r="D6725" s="868" t="s">
        <v>4348</v>
      </c>
      <c r="E6725" s="869" t="n">
        <v>0.003</v>
      </c>
      <c r="F6725" s="870" t="n">
        <v>550000</v>
      </c>
      <c r="G6725" s="716" t="n">
        <f aca="false">F6725*E6725</f>
        <v>1650</v>
      </c>
      <c r="H6725" s="433"/>
    </row>
    <row r="6726" customFormat="false" ht="15" hidden="false" customHeight="false" outlineLevel="0" collapsed="false">
      <c r="A6726" s="571"/>
      <c r="B6726" s="433"/>
      <c r="C6726" s="867" t="s">
        <v>4122</v>
      </c>
      <c r="D6726" s="868" t="s">
        <v>4123</v>
      </c>
      <c r="E6726" s="869" t="n">
        <v>0.01</v>
      </c>
      <c r="F6726" s="871" t="n">
        <v>720</v>
      </c>
      <c r="G6726" s="716" t="n">
        <f aca="false">F6726*E6726</f>
        <v>7.2</v>
      </c>
      <c r="H6726" s="433"/>
    </row>
    <row r="6727" customFormat="false" ht="15" hidden="false" customHeight="false" outlineLevel="0" collapsed="false">
      <c r="A6727" s="571"/>
      <c r="B6727" s="433"/>
      <c r="C6727" s="867" t="s">
        <v>5241</v>
      </c>
      <c r="D6727" s="868" t="s">
        <v>4121</v>
      </c>
      <c r="E6727" s="869" t="n">
        <v>0.001</v>
      </c>
      <c r="F6727" s="870" t="n">
        <v>1500</v>
      </c>
      <c r="G6727" s="716" t="n">
        <f aca="false">F6727*E6727</f>
        <v>1.5</v>
      </c>
      <c r="H6727" s="433"/>
    </row>
    <row r="6728" customFormat="false" ht="15" hidden="false" customHeight="false" outlineLevel="0" collapsed="false">
      <c r="A6728" s="571"/>
      <c r="B6728" s="433"/>
      <c r="C6728" s="872" t="s">
        <v>4124</v>
      </c>
      <c r="D6728" s="868" t="s">
        <v>4125</v>
      </c>
      <c r="E6728" s="869" t="n">
        <v>0.01</v>
      </c>
      <c r="F6728" s="871" t="n">
        <v>170</v>
      </c>
      <c r="G6728" s="716" t="n">
        <f aca="false">F6728*E6728</f>
        <v>1.7</v>
      </c>
      <c r="H6728" s="433"/>
    </row>
    <row r="6729" customFormat="false" ht="15" hidden="false" customHeight="false" outlineLevel="0" collapsed="false">
      <c r="A6729" s="571"/>
      <c r="B6729" s="433"/>
      <c r="C6729" s="872" t="s">
        <v>4347</v>
      </c>
      <c r="D6729" s="868" t="s">
        <v>4348</v>
      </c>
      <c r="E6729" s="869" t="n">
        <v>1</v>
      </c>
      <c r="F6729" s="871" t="n">
        <v>130</v>
      </c>
      <c r="G6729" s="716" t="n">
        <f aca="false">F6729*E6729</f>
        <v>130</v>
      </c>
      <c r="H6729" s="433"/>
    </row>
    <row r="6730" customFormat="false" ht="15" hidden="false" customHeight="false" outlineLevel="0" collapsed="false">
      <c r="A6730" s="571"/>
      <c r="B6730" s="433"/>
      <c r="C6730" s="433" t="s">
        <v>5239</v>
      </c>
      <c r="D6730" s="606" t="s">
        <v>4141</v>
      </c>
      <c r="E6730" s="819" t="n">
        <v>0.003</v>
      </c>
      <c r="F6730" s="617" t="n">
        <v>23500</v>
      </c>
      <c r="G6730" s="716" t="n">
        <f aca="false">F6730*E6730</f>
        <v>70.5</v>
      </c>
      <c r="H6730" s="433"/>
    </row>
    <row r="6731" customFormat="false" ht="15" hidden="false" customHeight="false" outlineLevel="0" collapsed="false">
      <c r="A6731" s="571"/>
      <c r="B6731" s="433"/>
      <c r="C6731" s="860" t="s">
        <v>4509</v>
      </c>
      <c r="D6731" s="877" t="s">
        <v>4348</v>
      </c>
      <c r="E6731" s="860" t="n">
        <v>1</v>
      </c>
      <c r="F6731" s="115" t="n">
        <v>26</v>
      </c>
      <c r="G6731" s="716" t="n">
        <f aca="false">F6731*E6731</f>
        <v>26</v>
      </c>
      <c r="H6731" s="433"/>
    </row>
    <row r="6732" customFormat="false" ht="15" hidden="false" customHeight="false" outlineLevel="0" collapsed="false">
      <c r="A6732" s="571" t="s">
        <v>1188</v>
      </c>
      <c r="B6732" s="433" t="s">
        <v>3308</v>
      </c>
      <c r="C6732" s="41"/>
      <c r="D6732" s="874"/>
      <c r="E6732" s="41"/>
      <c r="F6732" s="875"/>
      <c r="G6732" s="826" t="n">
        <f aca="false">SUM(G6733:G6755)</f>
        <v>5938.632</v>
      </c>
      <c r="H6732" s="433" t="s">
        <v>5276</v>
      </c>
    </row>
    <row r="6733" customFormat="false" ht="15" hidden="false" customHeight="false" outlineLevel="0" collapsed="false">
      <c r="A6733" s="571"/>
      <c r="B6733" s="433"/>
      <c r="C6733" s="855" t="s">
        <v>4317</v>
      </c>
      <c r="D6733" s="316" t="s">
        <v>4359</v>
      </c>
      <c r="E6733" s="855" t="n">
        <v>0.146</v>
      </c>
      <c r="F6733" s="115" t="n">
        <v>21000</v>
      </c>
      <c r="G6733" s="615" t="n">
        <f aca="false">F6733*E6733</f>
        <v>3066</v>
      </c>
      <c r="H6733" s="433"/>
    </row>
    <row r="6734" customFormat="false" ht="15" hidden="false" customHeight="false" outlineLevel="0" collapsed="false">
      <c r="A6734" s="571"/>
      <c r="B6734" s="433"/>
      <c r="C6734" s="855" t="s">
        <v>4147</v>
      </c>
      <c r="D6734" s="316" t="s">
        <v>4359</v>
      </c>
      <c r="E6734" s="855" t="n">
        <v>0.004</v>
      </c>
      <c r="F6734" s="115" t="n">
        <v>18000</v>
      </c>
      <c r="G6734" s="615" t="n">
        <f aca="false">F6734*E6734</f>
        <v>72</v>
      </c>
      <c r="H6734" s="433"/>
    </row>
    <row r="6735" customFormat="false" ht="15" hidden="false" customHeight="false" outlineLevel="0" collapsed="false">
      <c r="A6735" s="571"/>
      <c r="B6735" s="433"/>
      <c r="C6735" s="855" t="s">
        <v>5243</v>
      </c>
      <c r="D6735" s="316" t="s">
        <v>4133</v>
      </c>
      <c r="E6735" s="855" t="n">
        <v>0.005</v>
      </c>
      <c r="F6735" s="115" t="n">
        <v>2241</v>
      </c>
      <c r="G6735" s="615" t="n">
        <f aca="false">F6735*E6735</f>
        <v>11.205</v>
      </c>
      <c r="H6735" s="433"/>
    </row>
    <row r="6736" customFormat="false" ht="15" hidden="false" customHeight="false" outlineLevel="0" collapsed="false">
      <c r="A6736" s="571"/>
      <c r="B6736" s="433"/>
      <c r="C6736" s="855" t="s">
        <v>4584</v>
      </c>
      <c r="D6736" s="316" t="s">
        <v>4133</v>
      </c>
      <c r="E6736" s="855" t="n">
        <v>0.00505</v>
      </c>
      <c r="F6736" s="115" t="n">
        <v>21000</v>
      </c>
      <c r="G6736" s="615" t="n">
        <f aca="false">F6736*E6736</f>
        <v>106.05</v>
      </c>
      <c r="H6736" s="433"/>
    </row>
    <row r="6737" customFormat="false" ht="15" hidden="false" customHeight="false" outlineLevel="0" collapsed="false">
      <c r="A6737" s="571"/>
      <c r="B6737" s="433"/>
      <c r="C6737" s="860" t="s">
        <v>4189</v>
      </c>
      <c r="D6737" s="316" t="s">
        <v>4359</v>
      </c>
      <c r="E6737" s="855" t="n">
        <v>0.0025</v>
      </c>
      <c r="F6737" s="115" t="n">
        <v>1800</v>
      </c>
      <c r="G6737" s="615" t="n">
        <f aca="false">F6737*E6737</f>
        <v>4.5</v>
      </c>
      <c r="H6737" s="433"/>
    </row>
    <row r="6738" customFormat="false" ht="18.75" hidden="false" customHeight="true" outlineLevel="0" collapsed="false">
      <c r="A6738" s="571"/>
      <c r="B6738" s="433"/>
      <c r="C6738" s="532" t="s">
        <v>5238</v>
      </c>
      <c r="D6738" s="679" t="s">
        <v>4141</v>
      </c>
      <c r="E6738" s="866" t="n">
        <v>0.001</v>
      </c>
      <c r="F6738" s="617" t="n">
        <v>1400</v>
      </c>
      <c r="G6738" s="615" t="n">
        <f aca="false">F6738*E6738</f>
        <v>1.4</v>
      </c>
      <c r="H6738" s="433"/>
    </row>
    <row r="6739" customFormat="false" ht="30" hidden="false" customHeight="false" outlineLevel="0" collapsed="false">
      <c r="A6739" s="571"/>
      <c r="B6739" s="433"/>
      <c r="C6739" s="855" t="s">
        <v>5244</v>
      </c>
      <c r="D6739" s="316" t="s">
        <v>4133</v>
      </c>
      <c r="E6739" s="855" t="n">
        <v>0.001</v>
      </c>
      <c r="F6739" s="115" t="n">
        <v>19000</v>
      </c>
      <c r="G6739" s="615" t="n">
        <f aca="false">F6739*E6739</f>
        <v>19</v>
      </c>
      <c r="H6739" s="433"/>
    </row>
    <row r="6740" customFormat="false" ht="15" hidden="false" customHeight="false" outlineLevel="0" collapsed="false">
      <c r="A6740" s="571"/>
      <c r="B6740" s="433"/>
      <c r="C6740" s="855" t="s">
        <v>4753</v>
      </c>
      <c r="D6740" s="316" t="s">
        <v>4133</v>
      </c>
      <c r="E6740" s="879" t="n">
        <v>0.0075</v>
      </c>
      <c r="F6740" s="115" t="n">
        <v>24000</v>
      </c>
      <c r="G6740" s="615" t="n">
        <f aca="false">F6740*E6740</f>
        <v>180</v>
      </c>
      <c r="H6740" s="433"/>
    </row>
    <row r="6741" customFormat="false" ht="15" hidden="false" customHeight="false" outlineLevel="0" collapsed="false">
      <c r="A6741" s="571"/>
      <c r="B6741" s="433"/>
      <c r="C6741" s="855" t="s">
        <v>4673</v>
      </c>
      <c r="D6741" s="316" t="s">
        <v>4133</v>
      </c>
      <c r="E6741" s="855" t="n">
        <v>0.001</v>
      </c>
      <c r="F6741" s="115" t="n">
        <v>106777</v>
      </c>
      <c r="G6741" s="615" t="n">
        <f aca="false">F6741*E6741</f>
        <v>106.777</v>
      </c>
      <c r="H6741" s="433"/>
    </row>
    <row r="6742" customFormat="false" ht="15" hidden="false" customHeight="false" outlineLevel="0" collapsed="false">
      <c r="A6742" s="571"/>
      <c r="B6742" s="433"/>
      <c r="C6742" s="855" t="s">
        <v>5241</v>
      </c>
      <c r="D6742" s="316" t="s">
        <v>4141</v>
      </c>
      <c r="E6742" s="860" t="n">
        <v>0.001</v>
      </c>
      <c r="F6742" s="857" t="n">
        <v>1500</v>
      </c>
      <c r="G6742" s="615" t="n">
        <f aca="false">F6742*E6742</f>
        <v>1.5</v>
      </c>
      <c r="H6742" s="433"/>
    </row>
    <row r="6743" customFormat="false" ht="15" hidden="false" customHeight="false" outlineLevel="0" collapsed="false">
      <c r="A6743" s="571"/>
      <c r="B6743" s="433"/>
      <c r="C6743" s="855" t="s">
        <v>5245</v>
      </c>
      <c r="D6743" s="316" t="s">
        <v>4133</v>
      </c>
      <c r="E6743" s="855" t="n">
        <v>0.0001</v>
      </c>
      <c r="F6743" s="115" t="n">
        <v>58000</v>
      </c>
      <c r="G6743" s="615" t="n">
        <f aca="false">F6743*E6743</f>
        <v>5.8</v>
      </c>
      <c r="H6743" s="433"/>
    </row>
    <row r="6744" customFormat="false" ht="15" hidden="false" customHeight="false" outlineLevel="0" collapsed="false">
      <c r="A6744" s="571"/>
      <c r="B6744" s="433"/>
      <c r="C6744" s="855" t="s">
        <v>5246</v>
      </c>
      <c r="D6744" s="316" t="s">
        <v>4133</v>
      </c>
      <c r="E6744" s="855" t="n">
        <v>0.0001</v>
      </c>
      <c r="F6744" s="115" t="n">
        <v>58000</v>
      </c>
      <c r="G6744" s="615" t="n">
        <f aca="false">F6744*E6744</f>
        <v>5.8</v>
      </c>
      <c r="H6744" s="433"/>
    </row>
    <row r="6745" customFormat="false" ht="15" hidden="false" customHeight="false" outlineLevel="0" collapsed="false">
      <c r="A6745" s="571"/>
      <c r="B6745" s="433"/>
      <c r="C6745" s="855" t="s">
        <v>5247</v>
      </c>
      <c r="D6745" s="316" t="s">
        <v>4133</v>
      </c>
      <c r="E6745" s="855" t="n">
        <v>0.0001</v>
      </c>
      <c r="F6745" s="115" t="n">
        <v>58000</v>
      </c>
      <c r="G6745" s="615" t="n">
        <f aca="false">F6745*E6745</f>
        <v>5.8</v>
      </c>
      <c r="H6745" s="433"/>
    </row>
    <row r="6746" customFormat="false" ht="15" hidden="false" customHeight="false" outlineLevel="0" collapsed="false">
      <c r="A6746" s="571"/>
      <c r="B6746" s="433"/>
      <c r="C6746" s="855" t="s">
        <v>5248</v>
      </c>
      <c r="D6746" s="316" t="s">
        <v>4133</v>
      </c>
      <c r="E6746" s="855" t="n">
        <v>0.0001</v>
      </c>
      <c r="F6746" s="115" t="n">
        <v>58000</v>
      </c>
      <c r="G6746" s="615" t="n">
        <f aca="false">F6746*E6746</f>
        <v>5.8</v>
      </c>
      <c r="H6746" s="433"/>
    </row>
    <row r="6747" customFormat="false" ht="15" hidden="false" customHeight="false" outlineLevel="0" collapsed="false">
      <c r="A6747" s="571"/>
      <c r="B6747" s="433"/>
      <c r="C6747" s="855" t="s">
        <v>5249</v>
      </c>
      <c r="D6747" s="316" t="s">
        <v>4133</v>
      </c>
      <c r="E6747" s="855" t="n">
        <v>0.0001</v>
      </c>
      <c r="F6747" s="115" t="n">
        <v>58000</v>
      </c>
      <c r="G6747" s="615" t="n">
        <f aca="false">F6747*E6747</f>
        <v>5.8</v>
      </c>
      <c r="H6747" s="433"/>
    </row>
    <row r="6748" customFormat="false" ht="15" hidden="false" customHeight="false" outlineLevel="0" collapsed="false">
      <c r="A6748" s="571"/>
      <c r="B6748" s="433"/>
      <c r="C6748" s="855" t="s">
        <v>5250</v>
      </c>
      <c r="D6748" s="316" t="s">
        <v>4133</v>
      </c>
      <c r="E6748" s="855" t="n">
        <v>0.0001</v>
      </c>
      <c r="F6748" s="115" t="n">
        <v>58000</v>
      </c>
      <c r="G6748" s="615" t="n">
        <f aca="false">F6748*E6748</f>
        <v>5.8</v>
      </c>
      <c r="H6748" s="433"/>
    </row>
    <row r="6749" customFormat="false" ht="15" hidden="false" customHeight="false" outlineLevel="0" collapsed="false">
      <c r="A6749" s="571"/>
      <c r="B6749" s="433"/>
      <c r="C6749" s="855" t="s">
        <v>5240</v>
      </c>
      <c r="D6749" s="316" t="s">
        <v>4578</v>
      </c>
      <c r="E6749" s="855" t="n">
        <v>0.002</v>
      </c>
      <c r="F6749" s="857" t="n">
        <v>225000</v>
      </c>
      <c r="G6749" s="615" t="n">
        <f aca="false">F6749*E6749</f>
        <v>450</v>
      </c>
      <c r="H6749" s="433"/>
    </row>
    <row r="6750" customFormat="false" ht="15" hidden="false" customHeight="false" outlineLevel="0" collapsed="false">
      <c r="A6750" s="571"/>
      <c r="B6750" s="433"/>
      <c r="C6750" s="867" t="s">
        <v>4497</v>
      </c>
      <c r="D6750" s="868" t="s">
        <v>4348</v>
      </c>
      <c r="E6750" s="869" t="n">
        <v>0.003</v>
      </c>
      <c r="F6750" s="870" t="n">
        <v>550000</v>
      </c>
      <c r="G6750" s="615" t="n">
        <f aca="false">F6750*E6750</f>
        <v>1650</v>
      </c>
      <c r="H6750" s="433"/>
    </row>
    <row r="6751" customFormat="false" ht="15" hidden="false" customHeight="false" outlineLevel="0" collapsed="false">
      <c r="A6751" s="571"/>
      <c r="B6751" s="433"/>
      <c r="C6751" s="884" t="s">
        <v>4122</v>
      </c>
      <c r="D6751" s="679" t="s">
        <v>4123</v>
      </c>
      <c r="E6751" s="709" t="n">
        <v>0.01</v>
      </c>
      <c r="F6751" s="886" t="n">
        <v>720</v>
      </c>
      <c r="G6751" s="615" t="n">
        <f aca="false">F6751*E6751</f>
        <v>7.2</v>
      </c>
      <c r="H6751" s="433"/>
    </row>
    <row r="6752" customFormat="false" ht="15" hidden="false" customHeight="false" outlineLevel="0" collapsed="false">
      <c r="A6752" s="571"/>
      <c r="B6752" s="433"/>
      <c r="C6752" s="885" t="s">
        <v>4124</v>
      </c>
      <c r="D6752" s="679" t="s">
        <v>4125</v>
      </c>
      <c r="E6752" s="709" t="n">
        <v>0.01</v>
      </c>
      <c r="F6752" s="886" t="n">
        <v>170</v>
      </c>
      <c r="G6752" s="615" t="n">
        <f aca="false">F6752*E6752</f>
        <v>1.7</v>
      </c>
      <c r="H6752" s="433"/>
    </row>
    <row r="6753" customFormat="false" ht="15" hidden="false" customHeight="false" outlineLevel="0" collapsed="false">
      <c r="A6753" s="571"/>
      <c r="B6753" s="433"/>
      <c r="C6753" s="885" t="s">
        <v>4347</v>
      </c>
      <c r="D6753" s="679" t="s">
        <v>4348</v>
      </c>
      <c r="E6753" s="709" t="n">
        <v>1</v>
      </c>
      <c r="F6753" s="883" t="n">
        <v>130</v>
      </c>
      <c r="G6753" s="615" t="n">
        <f aca="false">F6753*E6753</f>
        <v>130</v>
      </c>
      <c r="H6753" s="433"/>
    </row>
    <row r="6754" customFormat="false" ht="15" hidden="false" customHeight="false" outlineLevel="0" collapsed="false">
      <c r="A6754" s="571"/>
      <c r="B6754" s="433"/>
      <c r="C6754" s="433" t="s">
        <v>5239</v>
      </c>
      <c r="D6754" s="606" t="s">
        <v>4141</v>
      </c>
      <c r="E6754" s="819" t="n">
        <v>0.003</v>
      </c>
      <c r="F6754" s="617" t="n">
        <v>23500</v>
      </c>
      <c r="G6754" s="615" t="n">
        <f aca="false">F6754*E6754</f>
        <v>70.5</v>
      </c>
      <c r="H6754" s="433"/>
    </row>
    <row r="6755" customFormat="false" ht="16.5" hidden="false" customHeight="true" outlineLevel="0" collapsed="false">
      <c r="A6755" s="571"/>
      <c r="B6755" s="433"/>
      <c r="C6755" s="855" t="s">
        <v>4509</v>
      </c>
      <c r="D6755" s="316" t="s">
        <v>4348</v>
      </c>
      <c r="E6755" s="855" t="n">
        <v>1</v>
      </c>
      <c r="F6755" s="115" t="n">
        <v>26</v>
      </c>
      <c r="G6755" s="615" t="n">
        <f aca="false">F6755*E6755</f>
        <v>26</v>
      </c>
      <c r="H6755" s="433"/>
    </row>
    <row r="6756" customFormat="false" ht="30" hidden="false" customHeight="false" outlineLevel="0" collapsed="false">
      <c r="A6756" s="571" t="s">
        <v>1189</v>
      </c>
      <c r="B6756" s="433" t="s">
        <v>3324</v>
      </c>
      <c r="C6756" s="41"/>
      <c r="D6756" s="874"/>
      <c r="E6756" s="41"/>
      <c r="F6756" s="875"/>
      <c r="G6756" s="826" t="n">
        <f aca="false">SUM(G6757:G6774)</f>
        <v>6913.9</v>
      </c>
      <c r="H6756" s="433" t="s">
        <v>5282</v>
      </c>
    </row>
    <row r="6757" customFormat="false" ht="15" hidden="false" customHeight="false" outlineLevel="0" collapsed="false">
      <c r="A6757" s="571"/>
      <c r="B6757" s="433"/>
      <c r="C6757" s="855" t="s">
        <v>4604</v>
      </c>
      <c r="D6757" s="316" t="s">
        <v>4359</v>
      </c>
      <c r="E6757" s="855" t="n">
        <v>0.026</v>
      </c>
      <c r="F6757" s="115" t="n">
        <v>18000</v>
      </c>
      <c r="G6757" s="615" t="n">
        <f aca="false">F6757*E6757</f>
        <v>468</v>
      </c>
      <c r="H6757" s="433"/>
    </row>
    <row r="6758" customFormat="false" ht="15" hidden="false" customHeight="false" outlineLevel="0" collapsed="false">
      <c r="A6758" s="571"/>
      <c r="B6758" s="433"/>
      <c r="C6758" s="861" t="s">
        <v>4154</v>
      </c>
      <c r="D6758" s="316" t="s">
        <v>4359</v>
      </c>
      <c r="E6758" s="855" t="n">
        <v>0.07</v>
      </c>
      <c r="F6758" s="115" t="n">
        <v>18000</v>
      </c>
      <c r="G6758" s="615" t="n">
        <f aca="false">F6758*E6758</f>
        <v>1260</v>
      </c>
      <c r="H6758" s="433"/>
    </row>
    <row r="6759" customFormat="false" ht="15" hidden="false" customHeight="false" outlineLevel="0" collapsed="false">
      <c r="A6759" s="571"/>
      <c r="B6759" s="433"/>
      <c r="C6759" s="861" t="s">
        <v>4317</v>
      </c>
      <c r="D6759" s="316" t="s">
        <v>4359</v>
      </c>
      <c r="E6759" s="855" t="n">
        <v>0.1</v>
      </c>
      <c r="F6759" s="115" t="n">
        <v>21000</v>
      </c>
      <c r="G6759" s="615" t="n">
        <f aca="false">F6759*E6759</f>
        <v>2100</v>
      </c>
      <c r="H6759" s="433"/>
    </row>
    <row r="6760" customFormat="false" ht="15" hidden="false" customHeight="false" outlineLevel="0" collapsed="false">
      <c r="A6760" s="571"/>
      <c r="B6760" s="433"/>
      <c r="C6760" s="861" t="s">
        <v>4214</v>
      </c>
      <c r="D6760" s="316" t="s">
        <v>4133</v>
      </c>
      <c r="E6760" s="855" t="n">
        <v>0.01</v>
      </c>
      <c r="F6760" s="115" t="n">
        <v>35000</v>
      </c>
      <c r="G6760" s="615" t="n">
        <f aca="false">F6760*E6760</f>
        <v>350</v>
      </c>
      <c r="H6760" s="433"/>
    </row>
    <row r="6761" customFormat="false" ht="15" hidden="false" customHeight="false" outlineLevel="0" collapsed="false">
      <c r="A6761" s="571"/>
      <c r="B6761" s="433"/>
      <c r="C6761" s="855" t="s">
        <v>4627</v>
      </c>
      <c r="D6761" s="316" t="s">
        <v>4133</v>
      </c>
      <c r="E6761" s="855" t="n">
        <v>0.005</v>
      </c>
      <c r="F6761" s="115" t="n">
        <v>6400</v>
      </c>
      <c r="G6761" s="615" t="n">
        <f aca="false">F6761*E6761</f>
        <v>32</v>
      </c>
      <c r="H6761" s="433"/>
    </row>
    <row r="6762" customFormat="false" ht="15" hidden="false" customHeight="false" outlineLevel="0" collapsed="false">
      <c r="A6762" s="571"/>
      <c r="B6762" s="433"/>
      <c r="C6762" s="861" t="s">
        <v>5283</v>
      </c>
      <c r="D6762" s="316" t="s">
        <v>4133</v>
      </c>
      <c r="E6762" s="855" t="n">
        <v>0.005</v>
      </c>
      <c r="F6762" s="115" t="n">
        <v>48500</v>
      </c>
      <c r="G6762" s="615" t="n">
        <f aca="false">F6762*E6762</f>
        <v>242.5</v>
      </c>
      <c r="H6762" s="433"/>
    </row>
    <row r="6763" customFormat="false" ht="15" hidden="false" customHeight="false" outlineLevel="0" collapsed="false">
      <c r="A6763" s="571"/>
      <c r="B6763" s="433"/>
      <c r="C6763" s="861" t="s">
        <v>5223</v>
      </c>
      <c r="D6763" s="316" t="s">
        <v>4359</v>
      </c>
      <c r="E6763" s="855" t="n">
        <v>0.01</v>
      </c>
      <c r="F6763" s="115" t="n">
        <v>1000</v>
      </c>
      <c r="G6763" s="615" t="n">
        <f aca="false">F6763*E6763</f>
        <v>10</v>
      </c>
      <c r="H6763" s="433"/>
    </row>
    <row r="6764" customFormat="false" ht="30" hidden="false" customHeight="false" outlineLevel="0" collapsed="false">
      <c r="A6764" s="571"/>
      <c r="B6764" s="433"/>
      <c r="C6764" s="532" t="s">
        <v>5238</v>
      </c>
      <c r="D6764" s="679" t="s">
        <v>4141</v>
      </c>
      <c r="E6764" s="866" t="n">
        <v>0.001</v>
      </c>
      <c r="F6764" s="681" t="n">
        <v>1400</v>
      </c>
      <c r="G6764" s="615" t="n">
        <f aca="false">F6764*E6764</f>
        <v>1.4</v>
      </c>
      <c r="H6764" s="433"/>
    </row>
    <row r="6765" customFormat="false" ht="30" hidden="false" customHeight="false" outlineLevel="0" collapsed="false">
      <c r="A6765" s="571"/>
      <c r="B6765" s="433"/>
      <c r="C6765" s="855" t="s">
        <v>5284</v>
      </c>
      <c r="D6765" s="316" t="s">
        <v>4133</v>
      </c>
      <c r="E6765" s="855" t="n">
        <v>0.0001</v>
      </c>
      <c r="F6765" s="857" t="n">
        <v>60000</v>
      </c>
      <c r="G6765" s="615" t="n">
        <f aca="false">F6765*E6765</f>
        <v>6</v>
      </c>
      <c r="H6765" s="433"/>
    </row>
    <row r="6766" customFormat="false" ht="15" hidden="false" customHeight="false" outlineLevel="0" collapsed="false">
      <c r="A6766" s="571"/>
      <c r="B6766" s="433"/>
      <c r="C6766" s="855" t="s">
        <v>5240</v>
      </c>
      <c r="D6766" s="316" t="s">
        <v>4578</v>
      </c>
      <c r="E6766" s="855" t="n">
        <v>0.002</v>
      </c>
      <c r="F6766" s="857" t="n">
        <v>225000</v>
      </c>
      <c r="G6766" s="615" t="n">
        <f aca="false">F6766*E6766</f>
        <v>450</v>
      </c>
      <c r="H6766" s="433"/>
    </row>
    <row r="6767" customFormat="false" ht="15" hidden="false" customHeight="false" outlineLevel="0" collapsed="false">
      <c r="A6767" s="571"/>
      <c r="B6767" s="433"/>
      <c r="C6767" s="867" t="s">
        <v>4497</v>
      </c>
      <c r="D6767" s="868" t="s">
        <v>4348</v>
      </c>
      <c r="E6767" s="869" t="n">
        <v>0.003</v>
      </c>
      <c r="F6767" s="870" t="n">
        <v>550000</v>
      </c>
      <c r="G6767" s="615" t="n">
        <f aca="false">F6767*E6767</f>
        <v>1650</v>
      </c>
      <c r="H6767" s="433"/>
    </row>
    <row r="6768" customFormat="false" ht="15" hidden="false" customHeight="false" outlineLevel="0" collapsed="false">
      <c r="A6768" s="571"/>
      <c r="B6768" s="433"/>
      <c r="C6768" s="855" t="s">
        <v>5241</v>
      </c>
      <c r="D6768" s="316" t="s">
        <v>4141</v>
      </c>
      <c r="E6768" s="860" t="n">
        <v>0.001</v>
      </c>
      <c r="F6768" s="857" t="n">
        <v>1500</v>
      </c>
      <c r="G6768" s="615" t="n">
        <f aca="false">F6768*E6768</f>
        <v>1.5</v>
      </c>
      <c r="H6768" s="433"/>
    </row>
    <row r="6769" customFormat="false" ht="15" hidden="false" customHeight="false" outlineLevel="0" collapsed="false">
      <c r="A6769" s="571"/>
      <c r="B6769" s="433"/>
      <c r="C6769" s="855" t="s">
        <v>4347</v>
      </c>
      <c r="D6769" s="316" t="s">
        <v>4348</v>
      </c>
      <c r="E6769" s="855" t="n">
        <v>1</v>
      </c>
      <c r="F6769" s="857" t="n">
        <v>130</v>
      </c>
      <c r="G6769" s="615" t="n">
        <f aca="false">F6769*E6769</f>
        <v>130</v>
      </c>
      <c r="H6769" s="433"/>
    </row>
    <row r="6770" customFormat="false" ht="15" hidden="false" customHeight="false" outlineLevel="0" collapsed="false">
      <c r="A6770" s="571"/>
      <c r="B6770" s="433"/>
      <c r="C6770" s="855" t="s">
        <v>4122</v>
      </c>
      <c r="D6770" s="316" t="s">
        <v>4359</v>
      </c>
      <c r="E6770" s="855" t="n">
        <v>0.1</v>
      </c>
      <c r="F6770" s="857" t="n">
        <v>720</v>
      </c>
      <c r="G6770" s="615" t="n">
        <f aca="false">F6770*E6770</f>
        <v>72</v>
      </c>
      <c r="H6770" s="433"/>
    </row>
    <row r="6771" customFormat="false" ht="15" hidden="false" customHeight="false" outlineLevel="0" collapsed="false">
      <c r="A6771" s="571"/>
      <c r="B6771" s="433"/>
      <c r="C6771" s="433" t="s">
        <v>5239</v>
      </c>
      <c r="D6771" s="606" t="s">
        <v>4141</v>
      </c>
      <c r="E6771" s="858" t="n">
        <v>0.003</v>
      </c>
      <c r="F6771" s="681" t="n">
        <v>23500</v>
      </c>
      <c r="G6771" s="615" t="n">
        <f aca="false">F6771*E6771</f>
        <v>70.5</v>
      </c>
      <c r="H6771" s="433"/>
    </row>
    <row r="6772" customFormat="false" ht="15" hidden="false" customHeight="false" outlineLevel="0" collapsed="false">
      <c r="A6772" s="571"/>
      <c r="B6772" s="433"/>
      <c r="C6772" s="855" t="s">
        <v>4515</v>
      </c>
      <c r="D6772" s="316" t="s">
        <v>4133</v>
      </c>
      <c r="E6772" s="855" t="n">
        <v>0.01</v>
      </c>
      <c r="F6772" s="857" t="n">
        <v>2700</v>
      </c>
      <c r="G6772" s="615" t="n">
        <f aca="false">F6772*E6772</f>
        <v>27</v>
      </c>
      <c r="H6772" s="433"/>
    </row>
    <row r="6773" customFormat="false" ht="15" hidden="false" customHeight="false" outlineLevel="0" collapsed="false">
      <c r="A6773" s="571"/>
      <c r="B6773" s="433"/>
      <c r="C6773" s="861" t="s">
        <v>4124</v>
      </c>
      <c r="D6773" s="316" t="s">
        <v>4125</v>
      </c>
      <c r="E6773" s="855" t="n">
        <v>0.1</v>
      </c>
      <c r="F6773" s="857" t="n">
        <v>170</v>
      </c>
      <c r="G6773" s="615" t="n">
        <f aca="false">F6773*E6773</f>
        <v>17</v>
      </c>
      <c r="H6773" s="433"/>
    </row>
    <row r="6774" customFormat="false" ht="15" hidden="false" customHeight="false" outlineLevel="0" collapsed="false">
      <c r="A6774" s="571"/>
      <c r="B6774" s="433"/>
      <c r="C6774" s="860" t="s">
        <v>4509</v>
      </c>
      <c r="D6774" s="877" t="s">
        <v>4348</v>
      </c>
      <c r="E6774" s="860" t="n">
        <v>1</v>
      </c>
      <c r="F6774" s="857" t="n">
        <v>26</v>
      </c>
      <c r="G6774" s="615" t="n">
        <f aca="false">F6774*E6774</f>
        <v>26</v>
      </c>
      <c r="H6774" s="433"/>
    </row>
    <row r="6775" customFormat="false" ht="28.5" hidden="false" customHeight="false" outlineLevel="0" collapsed="false">
      <c r="A6775" s="350" t="s">
        <v>1190</v>
      </c>
      <c r="B6775" s="346" t="s">
        <v>3353</v>
      </c>
      <c r="C6775" s="906"/>
      <c r="D6775" s="907"/>
      <c r="E6775" s="906"/>
      <c r="F6775" s="908"/>
      <c r="G6775" s="753"/>
      <c r="H6775" s="346"/>
    </row>
    <row r="6776" customFormat="false" ht="15" hidden="false" customHeight="false" outlineLevel="0" collapsed="false">
      <c r="A6776" s="571" t="s">
        <v>1192</v>
      </c>
      <c r="B6776" s="433" t="s">
        <v>3307</v>
      </c>
      <c r="C6776" s="41"/>
      <c r="D6776" s="874"/>
      <c r="E6776" s="41"/>
      <c r="F6776" s="875"/>
      <c r="G6776" s="826" t="n">
        <f aca="false">SUM(G6777:G6798)</f>
        <v>7703.7565</v>
      </c>
      <c r="H6776" s="889" t="s">
        <v>5227</v>
      </c>
    </row>
    <row r="6777" customFormat="false" ht="15" hidden="false" customHeight="false" outlineLevel="0" collapsed="false">
      <c r="A6777" s="380"/>
      <c r="B6777" s="433"/>
      <c r="C6777" s="855" t="s">
        <v>4604</v>
      </c>
      <c r="D6777" s="316" t="s">
        <v>4359</v>
      </c>
      <c r="E6777" s="855" t="n">
        <v>0.02</v>
      </c>
      <c r="F6777" s="115" t="n">
        <v>18000</v>
      </c>
      <c r="G6777" s="615" t="n">
        <f aca="false">F6777*E6777</f>
        <v>360</v>
      </c>
      <c r="H6777" s="433"/>
    </row>
    <row r="6778" customFormat="false" ht="15" hidden="false" customHeight="false" outlineLevel="0" collapsed="false">
      <c r="A6778" s="707"/>
      <c r="B6778" s="433"/>
      <c r="C6778" s="855" t="s">
        <v>4317</v>
      </c>
      <c r="D6778" s="316" t="s">
        <v>4359</v>
      </c>
      <c r="E6778" s="855" t="n">
        <v>0.2</v>
      </c>
      <c r="F6778" s="115" t="n">
        <v>21000</v>
      </c>
      <c r="G6778" s="615" t="n">
        <f aca="false">F6778*E6778</f>
        <v>4200</v>
      </c>
      <c r="H6778" s="433"/>
    </row>
    <row r="6779" customFormat="false" ht="15" hidden="false" customHeight="false" outlineLevel="0" collapsed="false">
      <c r="A6779" s="571"/>
      <c r="B6779" s="433"/>
      <c r="C6779" s="855" t="s">
        <v>4147</v>
      </c>
      <c r="D6779" s="316" t="s">
        <v>4359</v>
      </c>
      <c r="E6779" s="855" t="n">
        <v>0.005</v>
      </c>
      <c r="F6779" s="115" t="n">
        <v>18000</v>
      </c>
      <c r="G6779" s="615" t="n">
        <f aca="false">F6779*E6779</f>
        <v>90</v>
      </c>
      <c r="H6779" s="433"/>
    </row>
    <row r="6780" customFormat="false" ht="15" hidden="false" customHeight="false" outlineLevel="0" collapsed="false">
      <c r="A6780" s="571"/>
      <c r="B6780" s="433"/>
      <c r="C6780" s="855" t="s">
        <v>5228</v>
      </c>
      <c r="D6780" s="316" t="s">
        <v>4133</v>
      </c>
      <c r="E6780" s="855" t="n">
        <v>0.002</v>
      </c>
      <c r="F6780" s="115" t="n">
        <v>19000</v>
      </c>
      <c r="G6780" s="615" t="n">
        <f aca="false">F6780*E6780</f>
        <v>38</v>
      </c>
      <c r="H6780" s="433"/>
    </row>
    <row r="6781" customFormat="false" ht="15" hidden="false" customHeight="false" outlineLevel="0" collapsed="false">
      <c r="A6781" s="571"/>
      <c r="B6781" s="433"/>
      <c r="C6781" s="855" t="s">
        <v>4673</v>
      </c>
      <c r="D6781" s="316" t="s">
        <v>4133</v>
      </c>
      <c r="E6781" s="855" t="n">
        <v>0.005</v>
      </c>
      <c r="F6781" s="115" t="n">
        <v>106777</v>
      </c>
      <c r="G6781" s="615" t="n">
        <f aca="false">F6781*E6781</f>
        <v>533.885</v>
      </c>
      <c r="H6781" s="433"/>
    </row>
    <row r="6782" customFormat="false" ht="30" hidden="false" customHeight="false" outlineLevel="0" collapsed="false">
      <c r="A6782" s="571"/>
      <c r="B6782" s="433"/>
      <c r="C6782" s="532" t="s">
        <v>5238</v>
      </c>
      <c r="D6782" s="679" t="s">
        <v>4141</v>
      </c>
      <c r="E6782" s="866" t="n">
        <v>0.001</v>
      </c>
      <c r="F6782" s="617" t="n">
        <v>1400</v>
      </c>
      <c r="G6782" s="615" t="n">
        <f aca="false">F6782*E6782</f>
        <v>1.4</v>
      </c>
      <c r="H6782" s="433"/>
    </row>
    <row r="6783" customFormat="false" ht="30" hidden="false" customHeight="false" outlineLevel="0" collapsed="false">
      <c r="A6783" s="571"/>
      <c r="B6783" s="433"/>
      <c r="C6783" s="855" t="s">
        <v>5229</v>
      </c>
      <c r="D6783" s="316" t="s">
        <v>4133</v>
      </c>
      <c r="E6783" s="855" t="n">
        <v>0.0001</v>
      </c>
      <c r="F6783" s="115" t="n">
        <v>71490</v>
      </c>
      <c r="G6783" s="615" t="n">
        <f aca="false">F6783*E6783</f>
        <v>7.149</v>
      </c>
      <c r="H6783" s="433"/>
    </row>
    <row r="6784" customFormat="false" ht="30" hidden="false" customHeight="false" outlineLevel="0" collapsed="false">
      <c r="A6784" s="571"/>
      <c r="B6784" s="433"/>
      <c r="C6784" s="855" t="s">
        <v>5230</v>
      </c>
      <c r="D6784" s="316" t="s">
        <v>4133</v>
      </c>
      <c r="E6784" s="855" t="n">
        <v>0.0001</v>
      </c>
      <c r="F6784" s="857" t="n">
        <v>74815</v>
      </c>
      <c r="G6784" s="615" t="n">
        <f aca="false">F6784*E6784</f>
        <v>7.4815</v>
      </c>
      <c r="H6784" s="433"/>
    </row>
    <row r="6785" customFormat="false" ht="45" hidden="false" customHeight="false" outlineLevel="0" collapsed="false">
      <c r="A6785" s="571"/>
      <c r="B6785" s="433"/>
      <c r="C6785" s="855" t="s">
        <v>5231</v>
      </c>
      <c r="D6785" s="316" t="s">
        <v>4133</v>
      </c>
      <c r="E6785" s="855" t="n">
        <v>0.0001</v>
      </c>
      <c r="F6785" s="857" t="n">
        <v>75465</v>
      </c>
      <c r="G6785" s="615" t="n">
        <f aca="false">F6785*E6785</f>
        <v>7.5465</v>
      </c>
      <c r="H6785" s="433"/>
    </row>
    <row r="6786" customFormat="false" ht="30" hidden="false" customHeight="false" outlineLevel="0" collapsed="false">
      <c r="A6786" s="571"/>
      <c r="B6786" s="433"/>
      <c r="C6786" s="855" t="s">
        <v>5232</v>
      </c>
      <c r="D6786" s="316" t="s">
        <v>4133</v>
      </c>
      <c r="E6786" s="855" t="n">
        <v>0.0001</v>
      </c>
      <c r="F6786" s="857" t="n">
        <v>87990</v>
      </c>
      <c r="G6786" s="615" t="n">
        <f aca="false">F6786*E6786</f>
        <v>8.799</v>
      </c>
      <c r="H6786" s="433"/>
    </row>
    <row r="6787" customFormat="false" ht="30" hidden="false" customHeight="false" outlineLevel="0" collapsed="false">
      <c r="A6787" s="571"/>
      <c r="B6787" s="433"/>
      <c r="C6787" s="855" t="s">
        <v>5233</v>
      </c>
      <c r="D6787" s="316" t="s">
        <v>4133</v>
      </c>
      <c r="E6787" s="855" t="n">
        <v>0.0001</v>
      </c>
      <c r="F6787" s="857" t="n">
        <v>71395</v>
      </c>
      <c r="G6787" s="615" t="n">
        <f aca="false">F6787*E6787</f>
        <v>7.1395</v>
      </c>
      <c r="H6787" s="433"/>
    </row>
    <row r="6788" customFormat="false" ht="30" hidden="false" customHeight="false" outlineLevel="0" collapsed="false">
      <c r="A6788" s="571"/>
      <c r="B6788" s="433"/>
      <c r="C6788" s="855" t="s">
        <v>5234</v>
      </c>
      <c r="D6788" s="316" t="s">
        <v>4133</v>
      </c>
      <c r="E6788" s="855" t="n">
        <v>0.0001</v>
      </c>
      <c r="F6788" s="857" t="n">
        <v>53450</v>
      </c>
      <c r="G6788" s="615" t="n">
        <f aca="false">F6788*E6788</f>
        <v>5.345</v>
      </c>
      <c r="H6788" s="433"/>
    </row>
    <row r="6789" customFormat="false" ht="30" hidden="false" customHeight="false" outlineLevel="0" collapsed="false">
      <c r="A6789" s="571"/>
      <c r="B6789" s="433"/>
      <c r="C6789" s="855" t="s">
        <v>5236</v>
      </c>
      <c r="D6789" s="316" t="s">
        <v>4133</v>
      </c>
      <c r="E6789" s="855" t="n">
        <v>0.0001</v>
      </c>
      <c r="F6789" s="857" t="n">
        <v>141060</v>
      </c>
      <c r="G6789" s="615" t="n">
        <f aca="false">F6789*E6789</f>
        <v>14.106</v>
      </c>
      <c r="H6789" s="433"/>
    </row>
    <row r="6790" customFormat="false" ht="30" hidden="false" customHeight="false" outlineLevel="0" collapsed="false">
      <c r="A6790" s="571"/>
      <c r="B6790" s="433"/>
      <c r="C6790" s="855" t="s">
        <v>5237</v>
      </c>
      <c r="D6790" s="316" t="s">
        <v>4133</v>
      </c>
      <c r="E6790" s="855" t="n">
        <v>0.0001</v>
      </c>
      <c r="F6790" s="857" t="n">
        <v>49050</v>
      </c>
      <c r="G6790" s="615" t="n">
        <f aca="false">F6790*E6790</f>
        <v>4.905</v>
      </c>
      <c r="H6790" s="433"/>
    </row>
    <row r="6791" customFormat="false" ht="15" hidden="false" customHeight="false" outlineLevel="0" collapsed="false">
      <c r="A6791" s="571"/>
      <c r="B6791" s="433"/>
      <c r="C6791" s="855" t="s">
        <v>5240</v>
      </c>
      <c r="D6791" s="316" t="s">
        <v>4578</v>
      </c>
      <c r="E6791" s="855" t="n">
        <v>0.002</v>
      </c>
      <c r="F6791" s="857" t="n">
        <v>225000</v>
      </c>
      <c r="G6791" s="615" t="n">
        <f aca="false">F6791*E6791</f>
        <v>450</v>
      </c>
      <c r="H6791" s="433"/>
    </row>
    <row r="6792" customFormat="false" ht="15" hidden="false" customHeight="false" outlineLevel="0" collapsed="false">
      <c r="A6792" s="571"/>
      <c r="B6792" s="433"/>
      <c r="C6792" s="855" t="s">
        <v>5241</v>
      </c>
      <c r="D6792" s="316" t="s">
        <v>4141</v>
      </c>
      <c r="E6792" s="860" t="n">
        <v>0.001</v>
      </c>
      <c r="F6792" s="857" t="n">
        <v>1500</v>
      </c>
      <c r="G6792" s="615" t="n">
        <f aca="false">F6792*E6792</f>
        <v>1.5</v>
      </c>
      <c r="H6792" s="433"/>
    </row>
    <row r="6793" customFormat="false" ht="15" hidden="false" customHeight="false" outlineLevel="0" collapsed="false">
      <c r="A6793" s="571"/>
      <c r="B6793" s="433"/>
      <c r="C6793" s="867" t="s">
        <v>4497</v>
      </c>
      <c r="D6793" s="868" t="s">
        <v>4348</v>
      </c>
      <c r="E6793" s="869" t="n">
        <v>0.003</v>
      </c>
      <c r="F6793" s="870" t="n">
        <v>550000</v>
      </c>
      <c r="G6793" s="615" t="n">
        <f aca="false">F6793*E6793</f>
        <v>1650</v>
      </c>
      <c r="H6793" s="433"/>
    </row>
    <row r="6794" customFormat="false" ht="15" hidden="false" customHeight="false" outlineLevel="0" collapsed="false">
      <c r="A6794" s="571"/>
      <c r="B6794" s="433"/>
      <c r="C6794" s="855" t="s">
        <v>4347</v>
      </c>
      <c r="D6794" s="316" t="s">
        <v>4348</v>
      </c>
      <c r="E6794" s="855" t="n">
        <v>1</v>
      </c>
      <c r="F6794" s="857" t="n">
        <v>130</v>
      </c>
      <c r="G6794" s="615" t="n">
        <f aca="false">F6794*E6794</f>
        <v>130</v>
      </c>
      <c r="H6794" s="433"/>
    </row>
    <row r="6795" customFormat="false" ht="15" hidden="false" customHeight="false" outlineLevel="0" collapsed="false">
      <c r="A6795" s="571"/>
      <c r="B6795" s="433"/>
      <c r="C6795" s="855" t="s">
        <v>4122</v>
      </c>
      <c r="D6795" s="316" t="s">
        <v>4359</v>
      </c>
      <c r="E6795" s="855" t="n">
        <v>0.1</v>
      </c>
      <c r="F6795" s="857" t="n">
        <v>720</v>
      </c>
      <c r="G6795" s="615" t="n">
        <f aca="false">F6795*E6795</f>
        <v>72</v>
      </c>
      <c r="H6795" s="433"/>
    </row>
    <row r="6796" customFormat="false" ht="15" hidden="false" customHeight="false" outlineLevel="0" collapsed="false">
      <c r="A6796" s="571"/>
      <c r="B6796" s="433"/>
      <c r="C6796" s="855" t="s">
        <v>4515</v>
      </c>
      <c r="D6796" s="316" t="s">
        <v>4133</v>
      </c>
      <c r="E6796" s="855" t="n">
        <v>0.01</v>
      </c>
      <c r="F6796" s="857" t="n">
        <v>2700</v>
      </c>
      <c r="G6796" s="615" t="n">
        <f aca="false">F6796*E6796</f>
        <v>27</v>
      </c>
      <c r="H6796" s="433"/>
    </row>
    <row r="6797" customFormat="false" ht="15" hidden="false" customHeight="false" outlineLevel="0" collapsed="false">
      <c r="A6797" s="571"/>
      <c r="B6797" s="433"/>
      <c r="C6797" s="433" t="s">
        <v>5239</v>
      </c>
      <c r="D6797" s="606" t="s">
        <v>4141</v>
      </c>
      <c r="E6797" s="858" t="n">
        <v>0.003</v>
      </c>
      <c r="F6797" s="681" t="n">
        <v>23500</v>
      </c>
      <c r="G6797" s="615" t="n">
        <f aca="false">F6797*E6797</f>
        <v>70.5</v>
      </c>
      <c r="H6797" s="433"/>
    </row>
    <row r="6798" customFormat="false" ht="15" hidden="false" customHeight="false" outlineLevel="0" collapsed="false">
      <c r="A6798" s="571"/>
      <c r="B6798" s="433"/>
      <c r="C6798" s="861" t="s">
        <v>4124</v>
      </c>
      <c r="D6798" s="316" t="s">
        <v>4125</v>
      </c>
      <c r="E6798" s="855" t="n">
        <v>0.1</v>
      </c>
      <c r="F6798" s="857" t="n">
        <v>170</v>
      </c>
      <c r="G6798" s="615" t="n">
        <f aca="false">F6798*E6798</f>
        <v>17</v>
      </c>
      <c r="H6798" s="433"/>
    </row>
    <row r="6799" customFormat="false" ht="42.75" hidden="false" customHeight="false" outlineLevel="0" collapsed="false">
      <c r="A6799" s="350" t="s">
        <v>1193</v>
      </c>
      <c r="B6799" s="346" t="s">
        <v>5340</v>
      </c>
      <c r="C6799" s="892"/>
      <c r="D6799" s="387"/>
      <c r="E6799" s="892"/>
      <c r="F6799" s="893"/>
      <c r="G6799" s="713"/>
      <c r="H6799" s="887"/>
    </row>
    <row r="6800" customFormat="false" ht="15" hidden="false" customHeight="false" outlineLevel="0" collapsed="false">
      <c r="A6800" s="571" t="s">
        <v>1195</v>
      </c>
      <c r="B6800" s="433" t="s">
        <v>3307</v>
      </c>
      <c r="C6800" s="41"/>
      <c r="D6800" s="874"/>
      <c r="E6800" s="41"/>
      <c r="F6800" s="875"/>
      <c r="G6800" s="826" t="n">
        <f aca="false">SUM(G6801:G6821)</f>
        <v>6923.2455</v>
      </c>
      <c r="H6800" s="433" t="s">
        <v>5227</v>
      </c>
    </row>
    <row r="6801" customFormat="false" ht="15" hidden="false" customHeight="false" outlineLevel="0" collapsed="false">
      <c r="A6801" s="380"/>
      <c r="B6801" s="433"/>
      <c r="C6801" s="855" t="s">
        <v>4604</v>
      </c>
      <c r="D6801" s="316" t="s">
        <v>4359</v>
      </c>
      <c r="E6801" s="855" t="n">
        <v>0.05</v>
      </c>
      <c r="F6801" s="115" t="n">
        <v>18000</v>
      </c>
      <c r="G6801" s="615" t="n">
        <f aca="false">F6801*E6801</f>
        <v>900</v>
      </c>
      <c r="H6801" s="433"/>
    </row>
    <row r="6802" customFormat="false" ht="15" hidden="false" customHeight="false" outlineLevel="0" collapsed="false">
      <c r="A6802" s="707"/>
      <c r="B6802" s="433"/>
      <c r="C6802" s="855" t="s">
        <v>4317</v>
      </c>
      <c r="D6802" s="316" t="s">
        <v>4359</v>
      </c>
      <c r="E6802" s="855" t="n">
        <v>0.1</v>
      </c>
      <c r="F6802" s="115" t="n">
        <v>21000</v>
      </c>
      <c r="G6802" s="615" t="n">
        <f aca="false">F6802*E6802</f>
        <v>2100</v>
      </c>
      <c r="H6802" s="433"/>
    </row>
    <row r="6803" customFormat="false" ht="15" hidden="false" customHeight="false" outlineLevel="0" collapsed="false">
      <c r="A6803" s="571"/>
      <c r="B6803" s="433"/>
      <c r="C6803" s="855" t="s">
        <v>4147</v>
      </c>
      <c r="D6803" s="316" t="s">
        <v>4359</v>
      </c>
      <c r="E6803" s="855" t="n">
        <v>0.05</v>
      </c>
      <c r="F6803" s="115" t="n">
        <v>18000</v>
      </c>
      <c r="G6803" s="615" t="n">
        <f aca="false">F6803*E6803</f>
        <v>900</v>
      </c>
      <c r="H6803" s="433"/>
    </row>
    <row r="6804" customFormat="false" ht="15" hidden="false" customHeight="false" outlineLevel="0" collapsed="false">
      <c r="A6804" s="571"/>
      <c r="B6804" s="433"/>
      <c r="C6804" s="855" t="s">
        <v>5228</v>
      </c>
      <c r="D6804" s="316" t="s">
        <v>4133</v>
      </c>
      <c r="E6804" s="855" t="n">
        <v>0.001</v>
      </c>
      <c r="F6804" s="115" t="n">
        <v>19000</v>
      </c>
      <c r="G6804" s="615" t="n">
        <f aca="false">F6804*E6804</f>
        <v>19</v>
      </c>
      <c r="H6804" s="433"/>
    </row>
    <row r="6805" customFormat="false" ht="15" hidden="false" customHeight="false" outlineLevel="0" collapsed="false">
      <c r="A6805" s="571"/>
      <c r="B6805" s="433"/>
      <c r="C6805" s="855" t="s">
        <v>4673</v>
      </c>
      <c r="D6805" s="316" t="s">
        <v>4133</v>
      </c>
      <c r="E6805" s="855" t="n">
        <v>0.005</v>
      </c>
      <c r="F6805" s="115" t="n">
        <v>106777</v>
      </c>
      <c r="G6805" s="615" t="n">
        <f aca="false">F6805*E6805</f>
        <v>533.885</v>
      </c>
      <c r="H6805" s="433"/>
    </row>
    <row r="6806" customFormat="false" ht="15" hidden="false" customHeight="false" outlineLevel="0" collapsed="false">
      <c r="A6806" s="571"/>
      <c r="B6806" s="433"/>
      <c r="C6806" s="861" t="s">
        <v>4672</v>
      </c>
      <c r="D6806" s="316" t="s">
        <v>4359</v>
      </c>
      <c r="E6806" s="855" t="n">
        <v>0.03</v>
      </c>
      <c r="F6806" s="115" t="n">
        <v>3730</v>
      </c>
      <c r="G6806" s="615" t="n">
        <f aca="false">F6806*E6806</f>
        <v>111.9</v>
      </c>
      <c r="H6806" s="433"/>
    </row>
    <row r="6807" customFormat="false" ht="30" hidden="false" customHeight="false" outlineLevel="0" collapsed="false">
      <c r="A6807" s="571"/>
      <c r="B6807" s="433"/>
      <c r="C6807" s="532" t="s">
        <v>5238</v>
      </c>
      <c r="D6807" s="679" t="s">
        <v>4141</v>
      </c>
      <c r="E6807" s="866" t="n">
        <v>0.001</v>
      </c>
      <c r="F6807" s="617" t="n">
        <v>1400</v>
      </c>
      <c r="G6807" s="615" t="n">
        <f aca="false">F6807*E6807</f>
        <v>1.4</v>
      </c>
      <c r="H6807" s="433"/>
    </row>
    <row r="6808" customFormat="false" ht="30" hidden="false" customHeight="false" outlineLevel="0" collapsed="false">
      <c r="A6808" s="571"/>
      <c r="B6808" s="433"/>
      <c r="C6808" s="855" t="s">
        <v>5229</v>
      </c>
      <c r="D6808" s="316" t="s">
        <v>4133</v>
      </c>
      <c r="E6808" s="855" t="n">
        <v>0.0001</v>
      </c>
      <c r="F6808" s="115" t="n">
        <v>71490</v>
      </c>
      <c r="G6808" s="615" t="n">
        <f aca="false">F6808*E6808</f>
        <v>7.149</v>
      </c>
      <c r="H6808" s="433"/>
    </row>
    <row r="6809" customFormat="false" ht="30" hidden="false" customHeight="false" outlineLevel="0" collapsed="false">
      <c r="A6809" s="571"/>
      <c r="B6809" s="433"/>
      <c r="C6809" s="855" t="s">
        <v>5230</v>
      </c>
      <c r="D6809" s="316" t="s">
        <v>4133</v>
      </c>
      <c r="E6809" s="855" t="n">
        <v>0.0001</v>
      </c>
      <c r="F6809" s="857" t="n">
        <v>74815</v>
      </c>
      <c r="G6809" s="615" t="n">
        <f aca="false">F6809*E6809</f>
        <v>7.4815</v>
      </c>
      <c r="H6809" s="433"/>
    </row>
    <row r="6810" customFormat="false" ht="45" hidden="false" customHeight="false" outlineLevel="0" collapsed="false">
      <c r="A6810" s="571"/>
      <c r="B6810" s="433"/>
      <c r="C6810" s="855" t="s">
        <v>5231</v>
      </c>
      <c r="D6810" s="316" t="s">
        <v>4133</v>
      </c>
      <c r="E6810" s="855" t="n">
        <v>0.0001</v>
      </c>
      <c r="F6810" s="857" t="n">
        <v>75465</v>
      </c>
      <c r="G6810" s="615" t="n">
        <f aca="false">F6810*E6810</f>
        <v>7.5465</v>
      </c>
      <c r="H6810" s="433"/>
    </row>
    <row r="6811" customFormat="false" ht="30" hidden="false" customHeight="false" outlineLevel="0" collapsed="false">
      <c r="A6811" s="571"/>
      <c r="B6811" s="433"/>
      <c r="C6811" s="855" t="s">
        <v>5232</v>
      </c>
      <c r="D6811" s="316" t="s">
        <v>4133</v>
      </c>
      <c r="E6811" s="855" t="n">
        <v>0.0001</v>
      </c>
      <c r="F6811" s="857" t="n">
        <v>87990</v>
      </c>
      <c r="G6811" s="615" t="n">
        <f aca="false">F6811*E6811</f>
        <v>8.799</v>
      </c>
      <c r="H6811" s="433"/>
    </row>
    <row r="6812" customFormat="false" ht="30" hidden="false" customHeight="false" outlineLevel="0" collapsed="false">
      <c r="A6812" s="571"/>
      <c r="B6812" s="433"/>
      <c r="C6812" s="855" t="s">
        <v>5233</v>
      </c>
      <c r="D6812" s="316" t="s">
        <v>4133</v>
      </c>
      <c r="E6812" s="855" t="n">
        <v>0.0001</v>
      </c>
      <c r="F6812" s="857" t="n">
        <v>71395</v>
      </c>
      <c r="G6812" s="615" t="n">
        <f aca="false">F6812*E6812</f>
        <v>7.1395</v>
      </c>
      <c r="H6812" s="433"/>
    </row>
    <row r="6813" customFormat="false" ht="30" hidden="false" customHeight="false" outlineLevel="0" collapsed="false">
      <c r="A6813" s="571"/>
      <c r="B6813" s="433"/>
      <c r="C6813" s="855" t="s">
        <v>5234</v>
      </c>
      <c r="D6813" s="316" t="s">
        <v>4133</v>
      </c>
      <c r="E6813" s="855" t="n">
        <v>0.0001</v>
      </c>
      <c r="F6813" s="857" t="n">
        <v>53450</v>
      </c>
      <c r="G6813" s="615" t="n">
        <f aca="false">F6813*E6813</f>
        <v>5.345</v>
      </c>
      <c r="H6813" s="433"/>
    </row>
    <row r="6814" customFormat="false" ht="15" hidden="false" customHeight="false" outlineLevel="0" collapsed="false">
      <c r="A6814" s="571"/>
      <c r="B6814" s="433"/>
      <c r="C6814" s="855" t="s">
        <v>5240</v>
      </c>
      <c r="D6814" s="316" t="s">
        <v>5274</v>
      </c>
      <c r="E6814" s="855" t="n">
        <v>0.002</v>
      </c>
      <c r="F6814" s="857" t="n">
        <v>225000</v>
      </c>
      <c r="G6814" s="615" t="n">
        <f aca="false">F6814*E6814</f>
        <v>450</v>
      </c>
      <c r="H6814" s="433"/>
    </row>
    <row r="6815" customFormat="false" ht="15" hidden="false" customHeight="false" outlineLevel="0" collapsed="false">
      <c r="A6815" s="571"/>
      <c r="B6815" s="433"/>
      <c r="C6815" s="855" t="s">
        <v>5241</v>
      </c>
      <c r="D6815" s="316" t="s">
        <v>4141</v>
      </c>
      <c r="E6815" s="860" t="n">
        <v>0.001</v>
      </c>
      <c r="F6815" s="857" t="n">
        <v>1500</v>
      </c>
      <c r="G6815" s="615" t="n">
        <f aca="false">F6815*E6815</f>
        <v>1.5</v>
      </c>
      <c r="H6815" s="433"/>
    </row>
    <row r="6816" customFormat="false" ht="15" hidden="false" customHeight="false" outlineLevel="0" collapsed="false">
      <c r="A6816" s="571"/>
      <c r="B6816" s="433"/>
      <c r="C6816" s="867" t="s">
        <v>4497</v>
      </c>
      <c r="D6816" s="868" t="s">
        <v>4348</v>
      </c>
      <c r="E6816" s="869" t="n">
        <v>0.003</v>
      </c>
      <c r="F6816" s="870" t="n">
        <v>550000</v>
      </c>
      <c r="G6816" s="615" t="n">
        <f aca="false">F6816*E6816</f>
        <v>1650</v>
      </c>
      <c r="H6816" s="433"/>
    </row>
    <row r="6817" customFormat="false" ht="15" hidden="false" customHeight="false" outlineLevel="0" collapsed="false">
      <c r="A6817" s="571"/>
      <c r="B6817" s="433"/>
      <c r="C6817" s="855" t="s">
        <v>4347</v>
      </c>
      <c r="D6817" s="316" t="s">
        <v>4348</v>
      </c>
      <c r="E6817" s="855" t="n">
        <v>1</v>
      </c>
      <c r="F6817" s="857" t="n">
        <v>130</v>
      </c>
      <c r="G6817" s="615" t="n">
        <f aca="false">F6817*E6817</f>
        <v>130</v>
      </c>
      <c r="H6817" s="433"/>
    </row>
    <row r="6818" customFormat="false" ht="15" hidden="false" customHeight="false" outlineLevel="0" collapsed="false">
      <c r="A6818" s="571"/>
      <c r="B6818" s="433"/>
      <c r="C6818" s="855" t="s">
        <v>4122</v>
      </c>
      <c r="D6818" s="316" t="s">
        <v>4359</v>
      </c>
      <c r="E6818" s="855" t="n">
        <v>0.01</v>
      </c>
      <c r="F6818" s="857" t="n">
        <v>720</v>
      </c>
      <c r="G6818" s="615" t="n">
        <f aca="false">F6818*E6818</f>
        <v>7.2</v>
      </c>
      <c r="H6818" s="433"/>
    </row>
    <row r="6819" customFormat="false" ht="15" hidden="false" customHeight="false" outlineLevel="0" collapsed="false">
      <c r="A6819" s="571"/>
      <c r="B6819" s="433"/>
      <c r="C6819" s="855" t="s">
        <v>4515</v>
      </c>
      <c r="D6819" s="316" t="s">
        <v>4133</v>
      </c>
      <c r="E6819" s="855" t="n">
        <v>0.001</v>
      </c>
      <c r="F6819" s="857" t="n">
        <v>2700</v>
      </c>
      <c r="G6819" s="615" t="n">
        <f aca="false">F6819*E6819</f>
        <v>2.7</v>
      </c>
      <c r="H6819" s="433"/>
    </row>
    <row r="6820" customFormat="false" ht="15" hidden="false" customHeight="false" outlineLevel="0" collapsed="false">
      <c r="A6820" s="571"/>
      <c r="B6820" s="433"/>
      <c r="C6820" s="433" t="s">
        <v>5239</v>
      </c>
      <c r="D6820" s="606" t="s">
        <v>4141</v>
      </c>
      <c r="E6820" s="858" t="n">
        <v>0.003</v>
      </c>
      <c r="F6820" s="681" t="n">
        <v>23500</v>
      </c>
      <c r="G6820" s="615" t="n">
        <f aca="false">F6820*E6820</f>
        <v>70.5</v>
      </c>
      <c r="H6820" s="433"/>
    </row>
    <row r="6821" customFormat="false" ht="15" hidden="false" customHeight="false" outlineLevel="0" collapsed="false">
      <c r="A6821" s="571"/>
      <c r="B6821" s="433"/>
      <c r="C6821" s="861" t="s">
        <v>4124</v>
      </c>
      <c r="D6821" s="316" t="s">
        <v>4125</v>
      </c>
      <c r="E6821" s="855" t="n">
        <v>0.01</v>
      </c>
      <c r="F6821" s="857" t="n">
        <v>170</v>
      </c>
      <c r="G6821" s="615" t="n">
        <f aca="false">F6821*E6821</f>
        <v>1.7</v>
      </c>
      <c r="H6821" s="433"/>
    </row>
    <row r="6822" customFormat="false" ht="15" hidden="false" customHeight="false" outlineLevel="0" collapsed="false">
      <c r="A6822" s="350" t="s">
        <v>1196</v>
      </c>
      <c r="B6822" s="346" t="s">
        <v>3355</v>
      </c>
      <c r="C6822" s="601"/>
      <c r="D6822" s="600"/>
      <c r="E6822" s="600"/>
      <c r="F6822" s="364"/>
      <c r="G6822" s="713"/>
      <c r="H6822" s="600"/>
    </row>
    <row r="6823" customFormat="false" ht="15" hidden="false" customHeight="false" outlineLevel="0" collapsed="false">
      <c r="A6823" s="571" t="s">
        <v>1198</v>
      </c>
      <c r="B6823" s="433" t="s">
        <v>3010</v>
      </c>
      <c r="C6823" s="476"/>
      <c r="D6823" s="820"/>
      <c r="E6823" s="820"/>
      <c r="F6823" s="697"/>
      <c r="G6823" s="826" t="n">
        <f aca="false">SUM(G6824:G6827)</f>
        <v>121.25</v>
      </c>
      <c r="H6823" s="606"/>
    </row>
    <row r="6824" customFormat="false" ht="15" hidden="false" customHeight="false" outlineLevel="0" collapsed="false">
      <c r="A6824" s="571"/>
      <c r="B6824" s="433"/>
      <c r="C6824" s="614" t="s">
        <v>4122</v>
      </c>
      <c r="D6824" s="606" t="s">
        <v>4359</v>
      </c>
      <c r="E6824" s="606" t="n">
        <v>0.1</v>
      </c>
      <c r="F6824" s="361" t="n">
        <v>720</v>
      </c>
      <c r="G6824" s="615" t="n">
        <f aca="false">E6824*F6824</f>
        <v>72</v>
      </c>
      <c r="H6824" s="606"/>
    </row>
    <row r="6825" customFormat="false" ht="15" hidden="false" customHeight="false" outlineLevel="0" collapsed="false">
      <c r="A6825" s="571"/>
      <c r="B6825" s="433"/>
      <c r="C6825" s="614" t="s">
        <v>4515</v>
      </c>
      <c r="D6825" s="606" t="s">
        <v>4133</v>
      </c>
      <c r="E6825" s="606" t="n">
        <v>0.0005</v>
      </c>
      <c r="F6825" s="361" t="n">
        <v>3500</v>
      </c>
      <c r="G6825" s="615" t="n">
        <f aca="false">E6825*F6825</f>
        <v>1.75</v>
      </c>
      <c r="H6825" s="606"/>
    </row>
    <row r="6826" customFormat="false" ht="15" hidden="false" customHeight="false" outlineLevel="0" collapsed="false">
      <c r="A6826" s="571"/>
      <c r="B6826" s="433"/>
      <c r="C6826" s="909" t="s">
        <v>4124</v>
      </c>
      <c r="D6826" s="606" t="s">
        <v>4516</v>
      </c>
      <c r="E6826" s="606" t="n">
        <v>0.5</v>
      </c>
      <c r="F6826" s="361" t="n">
        <v>80</v>
      </c>
      <c r="G6826" s="615" t="n">
        <f aca="false">E6826*F6826</f>
        <v>40</v>
      </c>
      <c r="H6826" s="606"/>
    </row>
    <row r="6827" customFormat="false" ht="15" hidden="false" customHeight="false" outlineLevel="0" collapsed="false">
      <c r="A6827" s="571"/>
      <c r="B6827" s="433"/>
      <c r="C6827" s="614" t="s">
        <v>5341</v>
      </c>
      <c r="D6827" s="606" t="s">
        <v>5342</v>
      </c>
      <c r="E6827" s="606" t="n">
        <v>0.005</v>
      </c>
      <c r="F6827" s="361" t="n">
        <v>1500</v>
      </c>
      <c r="G6827" s="615" t="n">
        <f aca="false">E6827*F6827</f>
        <v>7.5</v>
      </c>
      <c r="H6827" s="606"/>
    </row>
    <row r="6828" customFormat="false" ht="15" hidden="false" customHeight="false" outlineLevel="0" collapsed="false">
      <c r="A6828" s="571" t="s">
        <v>1199</v>
      </c>
      <c r="B6828" s="433" t="s">
        <v>3356</v>
      </c>
      <c r="C6828" s="910"/>
      <c r="D6828" s="606"/>
      <c r="E6828" s="622"/>
      <c r="F6828" s="361"/>
      <c r="G6828" s="826" t="n">
        <f aca="false">SUM(G6829:G6832)</f>
        <v>55.05</v>
      </c>
      <c r="H6828" s="606"/>
    </row>
    <row r="6829" customFormat="false" ht="15" hidden="false" customHeight="false" outlineLevel="0" collapsed="false">
      <c r="A6829" s="571"/>
      <c r="B6829" s="433"/>
      <c r="C6829" s="614" t="s">
        <v>4122</v>
      </c>
      <c r="D6829" s="606" t="s">
        <v>4359</v>
      </c>
      <c r="E6829" s="606" t="n">
        <v>0.01</v>
      </c>
      <c r="F6829" s="361" t="n">
        <v>720</v>
      </c>
      <c r="G6829" s="615" t="n">
        <f aca="false">E6829*F6829</f>
        <v>7.2</v>
      </c>
      <c r="H6829" s="606"/>
    </row>
    <row r="6830" customFormat="false" ht="15" hidden="false" customHeight="false" outlineLevel="0" collapsed="false">
      <c r="A6830" s="571"/>
      <c r="B6830" s="433"/>
      <c r="C6830" s="614" t="s">
        <v>4515</v>
      </c>
      <c r="D6830" s="606" t="s">
        <v>4133</v>
      </c>
      <c r="E6830" s="606" t="n">
        <v>0.0001</v>
      </c>
      <c r="F6830" s="361" t="n">
        <v>3500</v>
      </c>
      <c r="G6830" s="615" t="n">
        <f aca="false">E6830*F6830</f>
        <v>0.35</v>
      </c>
      <c r="H6830" s="606"/>
    </row>
    <row r="6831" customFormat="false" ht="15" hidden="false" customHeight="false" outlineLevel="0" collapsed="false">
      <c r="A6831" s="571"/>
      <c r="B6831" s="433"/>
      <c r="C6831" s="909" t="s">
        <v>4124</v>
      </c>
      <c r="D6831" s="606" t="s">
        <v>4516</v>
      </c>
      <c r="E6831" s="606" t="n">
        <v>0.5</v>
      </c>
      <c r="F6831" s="361" t="n">
        <v>80</v>
      </c>
      <c r="G6831" s="615" t="n">
        <f aca="false">E6831*F6831</f>
        <v>40</v>
      </c>
      <c r="H6831" s="606"/>
    </row>
    <row r="6832" customFormat="false" ht="15" hidden="false" customHeight="false" outlineLevel="0" collapsed="false">
      <c r="A6832" s="571"/>
      <c r="B6832" s="433"/>
      <c r="C6832" s="614" t="s">
        <v>5341</v>
      </c>
      <c r="D6832" s="606" t="s">
        <v>5342</v>
      </c>
      <c r="E6832" s="606" t="n">
        <v>0.005</v>
      </c>
      <c r="F6832" s="361" t="n">
        <v>1500</v>
      </c>
      <c r="G6832" s="615" t="n">
        <f aca="false">E6832*F6832</f>
        <v>7.5</v>
      </c>
      <c r="H6832" s="606"/>
    </row>
    <row r="6833" customFormat="false" ht="15" hidden="false" customHeight="false" outlineLevel="0" collapsed="false">
      <c r="A6833" s="571" t="s">
        <v>1201</v>
      </c>
      <c r="B6833" s="433" t="s">
        <v>3357</v>
      </c>
      <c r="C6833" s="476"/>
      <c r="D6833" s="820"/>
      <c r="E6833" s="820"/>
      <c r="F6833" s="697"/>
      <c r="G6833" s="826" t="n">
        <f aca="false">SUM(G6834:G6842)</f>
        <v>488.681</v>
      </c>
      <c r="H6833" s="606"/>
    </row>
    <row r="6834" customFormat="false" ht="15" hidden="false" customHeight="false" outlineLevel="0" collapsed="false">
      <c r="A6834" s="571"/>
      <c r="B6834" s="433"/>
      <c r="C6834" s="614" t="s">
        <v>4412</v>
      </c>
      <c r="D6834" s="606" t="s">
        <v>4133</v>
      </c>
      <c r="E6834" s="702" t="n">
        <v>0.02</v>
      </c>
      <c r="F6834" s="361" t="n">
        <v>3750</v>
      </c>
      <c r="G6834" s="615" t="n">
        <f aca="false">E6834*F6834</f>
        <v>75</v>
      </c>
      <c r="H6834" s="606"/>
    </row>
    <row r="6835" customFormat="false" ht="15" hidden="false" customHeight="false" outlineLevel="0" collapsed="false">
      <c r="A6835" s="571"/>
      <c r="B6835" s="433"/>
      <c r="C6835" s="614" t="s">
        <v>4413</v>
      </c>
      <c r="D6835" s="606" t="s">
        <v>4133</v>
      </c>
      <c r="E6835" s="702" t="n">
        <v>0.04</v>
      </c>
      <c r="F6835" s="361" t="n">
        <v>3500</v>
      </c>
      <c r="G6835" s="615" t="n">
        <f aca="false">E6835*F6835</f>
        <v>140</v>
      </c>
      <c r="H6835" s="606"/>
    </row>
    <row r="6836" customFormat="false" ht="15" hidden="false" customHeight="false" outlineLevel="0" collapsed="false">
      <c r="A6836" s="571"/>
      <c r="B6836" s="433"/>
      <c r="C6836" s="614" t="s">
        <v>4476</v>
      </c>
      <c r="D6836" s="606" t="s">
        <v>4133</v>
      </c>
      <c r="E6836" s="911" t="n">
        <v>1E-005</v>
      </c>
      <c r="F6836" s="361" t="n">
        <v>355000</v>
      </c>
      <c r="G6836" s="615" t="n">
        <f aca="false">E6836*F6836</f>
        <v>3.55</v>
      </c>
      <c r="H6836" s="606"/>
    </row>
    <row r="6837" customFormat="false" ht="15" hidden="false" customHeight="false" outlineLevel="0" collapsed="false">
      <c r="A6837" s="571"/>
      <c r="B6837" s="433"/>
      <c r="C6837" s="614" t="s">
        <v>4122</v>
      </c>
      <c r="D6837" s="606" t="s">
        <v>4359</v>
      </c>
      <c r="E6837" s="702" t="n">
        <v>0.04</v>
      </c>
      <c r="F6837" s="361" t="n">
        <v>720</v>
      </c>
      <c r="G6837" s="615" t="n">
        <f aca="false">E6837*F6837</f>
        <v>28.8</v>
      </c>
      <c r="H6837" s="606"/>
    </row>
    <row r="6838" customFormat="false" ht="15" hidden="false" customHeight="false" outlineLevel="0" collapsed="false">
      <c r="A6838" s="571"/>
      <c r="B6838" s="433"/>
      <c r="C6838" s="614" t="s">
        <v>4193</v>
      </c>
      <c r="D6838" s="606" t="s">
        <v>4133</v>
      </c>
      <c r="E6838" s="911" t="n">
        <v>1E-005</v>
      </c>
      <c r="F6838" s="361" t="n">
        <v>78100</v>
      </c>
      <c r="G6838" s="615" t="n">
        <f aca="false">E6838*F6838</f>
        <v>0.781</v>
      </c>
      <c r="H6838" s="606"/>
    </row>
    <row r="6839" customFormat="false" ht="15" hidden="false" customHeight="false" outlineLevel="0" collapsed="false">
      <c r="A6839" s="571"/>
      <c r="B6839" s="433"/>
      <c r="C6839" s="614" t="s">
        <v>5341</v>
      </c>
      <c r="D6839" s="606" t="s">
        <v>5342</v>
      </c>
      <c r="E6839" s="705" t="n">
        <v>0.001</v>
      </c>
      <c r="F6839" s="361" t="n">
        <v>1550</v>
      </c>
      <c r="G6839" s="615" t="n">
        <f aca="false">E6839*F6839</f>
        <v>1.55</v>
      </c>
      <c r="H6839" s="606"/>
    </row>
    <row r="6840" customFormat="false" ht="15" hidden="false" customHeight="false" outlineLevel="0" collapsed="false">
      <c r="A6840" s="571"/>
      <c r="B6840" s="433"/>
      <c r="C6840" s="614" t="s">
        <v>4277</v>
      </c>
      <c r="D6840" s="606" t="s">
        <v>4133</v>
      </c>
      <c r="E6840" s="702" t="n">
        <v>0.01</v>
      </c>
      <c r="F6840" s="361" t="n">
        <v>12900</v>
      </c>
      <c r="G6840" s="615" t="n">
        <f aca="false">E6840*F6840</f>
        <v>129</v>
      </c>
      <c r="H6840" s="606"/>
    </row>
    <row r="6841" customFormat="false" ht="15" hidden="false" customHeight="false" outlineLevel="0" collapsed="false">
      <c r="A6841" s="571"/>
      <c r="B6841" s="433"/>
      <c r="C6841" s="614" t="s">
        <v>4549</v>
      </c>
      <c r="D6841" s="606" t="s">
        <v>4359</v>
      </c>
      <c r="E6841" s="702" t="n">
        <v>0.005</v>
      </c>
      <c r="F6841" s="361" t="n">
        <v>5800</v>
      </c>
      <c r="G6841" s="615" t="n">
        <f aca="false">E6841*F6841</f>
        <v>29</v>
      </c>
      <c r="H6841" s="606"/>
    </row>
    <row r="6842" customFormat="false" ht="15" hidden="false" customHeight="false" outlineLevel="0" collapsed="false">
      <c r="A6842" s="571"/>
      <c r="B6842" s="433"/>
      <c r="C6842" s="614" t="s">
        <v>5343</v>
      </c>
      <c r="D6842" s="606" t="s">
        <v>4133</v>
      </c>
      <c r="E6842" s="702" t="n">
        <v>0.01</v>
      </c>
      <c r="F6842" s="361" t="n">
        <v>8100</v>
      </c>
      <c r="G6842" s="615" t="n">
        <f aca="false">E6842*F6842</f>
        <v>81</v>
      </c>
      <c r="H6842" s="606"/>
    </row>
    <row r="6843" customFormat="false" ht="30" hidden="false" customHeight="false" outlineLevel="0" collapsed="false">
      <c r="A6843" s="571" t="s">
        <v>1203</v>
      </c>
      <c r="B6843" s="433" t="s">
        <v>3358</v>
      </c>
      <c r="C6843" s="910"/>
      <c r="D6843" s="606"/>
      <c r="E6843" s="622"/>
      <c r="F6843" s="361"/>
      <c r="G6843" s="826" t="n">
        <f aca="false">SUM(G6844:G6848)</f>
        <v>84.55</v>
      </c>
      <c r="H6843" s="606"/>
    </row>
    <row r="6844" customFormat="false" ht="15" hidden="false" customHeight="false" outlineLevel="0" collapsed="false">
      <c r="A6844" s="571"/>
      <c r="B6844" s="433"/>
      <c r="C6844" s="614" t="s">
        <v>5344</v>
      </c>
      <c r="D6844" s="606" t="s">
        <v>4141</v>
      </c>
      <c r="E6844" s="705" t="n">
        <v>0.001</v>
      </c>
      <c r="F6844" s="361" t="n">
        <v>29500</v>
      </c>
      <c r="G6844" s="615" t="n">
        <f aca="false">E6844*F6844</f>
        <v>29.5</v>
      </c>
      <c r="H6844" s="606"/>
    </row>
    <row r="6845" customFormat="false" ht="15" hidden="false" customHeight="false" outlineLevel="0" collapsed="false">
      <c r="A6845" s="571"/>
      <c r="B6845" s="433"/>
      <c r="C6845" s="614" t="s">
        <v>4122</v>
      </c>
      <c r="D6845" s="606" t="s">
        <v>4359</v>
      </c>
      <c r="E6845" s="702" t="n">
        <v>0.01</v>
      </c>
      <c r="F6845" s="361" t="n">
        <v>720</v>
      </c>
      <c r="G6845" s="615" t="n">
        <f aca="false">E6845*F6845</f>
        <v>7.2</v>
      </c>
      <c r="H6845" s="606"/>
    </row>
    <row r="6846" customFormat="false" ht="15" hidden="false" customHeight="false" outlineLevel="0" collapsed="false">
      <c r="A6846" s="571"/>
      <c r="B6846" s="433"/>
      <c r="C6846" s="614" t="s">
        <v>4515</v>
      </c>
      <c r="D6846" s="606" t="s">
        <v>4133</v>
      </c>
      <c r="E6846" s="702" t="n">
        <v>0.0001</v>
      </c>
      <c r="F6846" s="361" t="n">
        <v>3500</v>
      </c>
      <c r="G6846" s="615" t="n">
        <f aca="false">E6846*F6846</f>
        <v>0.35</v>
      </c>
      <c r="H6846" s="606"/>
    </row>
    <row r="6847" customFormat="false" ht="15" hidden="false" customHeight="false" outlineLevel="0" collapsed="false">
      <c r="A6847" s="571"/>
      <c r="B6847" s="433"/>
      <c r="C6847" s="909" t="s">
        <v>4124</v>
      </c>
      <c r="D6847" s="606" t="s">
        <v>4516</v>
      </c>
      <c r="E6847" s="702" t="n">
        <v>0.5</v>
      </c>
      <c r="F6847" s="361" t="n">
        <v>80</v>
      </c>
      <c r="G6847" s="615" t="n">
        <f aca="false">E6847*F6847</f>
        <v>40</v>
      </c>
      <c r="H6847" s="606"/>
    </row>
    <row r="6848" customFormat="false" ht="15" hidden="false" customHeight="false" outlineLevel="0" collapsed="false">
      <c r="A6848" s="571"/>
      <c r="B6848" s="433"/>
      <c r="C6848" s="614" t="s">
        <v>5341</v>
      </c>
      <c r="D6848" s="606" t="s">
        <v>5342</v>
      </c>
      <c r="E6848" s="702" t="n">
        <v>0.005</v>
      </c>
      <c r="F6848" s="361" t="n">
        <v>1500</v>
      </c>
      <c r="G6848" s="615" t="n">
        <f aca="false">E6848*F6848</f>
        <v>7.5</v>
      </c>
      <c r="H6848" s="606"/>
    </row>
    <row r="6849" customFormat="false" ht="15" hidden="false" customHeight="false" outlineLevel="0" collapsed="false">
      <c r="A6849" s="571" t="s">
        <v>1205</v>
      </c>
      <c r="B6849" s="433" t="s">
        <v>3359</v>
      </c>
      <c r="C6849" s="476"/>
      <c r="D6849" s="820"/>
      <c r="E6849" s="820"/>
      <c r="F6849" s="697"/>
      <c r="G6849" s="826" t="n">
        <f aca="false">SUM(G6850:G6859)</f>
        <v>770.45</v>
      </c>
      <c r="H6849" s="606"/>
    </row>
    <row r="6850" customFormat="false" ht="15" hidden="false" customHeight="false" outlineLevel="0" collapsed="false">
      <c r="A6850" s="571"/>
      <c r="B6850" s="433"/>
      <c r="C6850" s="476" t="s">
        <v>5299</v>
      </c>
      <c r="D6850" s="820" t="s">
        <v>4133</v>
      </c>
      <c r="E6850" s="820" t="n">
        <v>0.01</v>
      </c>
      <c r="F6850" s="697" t="n">
        <v>1800</v>
      </c>
      <c r="G6850" s="615" t="n">
        <f aca="false">E6850*F6850</f>
        <v>18</v>
      </c>
      <c r="H6850" s="606"/>
    </row>
    <row r="6851" customFormat="false" ht="15" hidden="false" customHeight="false" outlineLevel="0" collapsed="false">
      <c r="A6851" s="571"/>
      <c r="B6851" s="433"/>
      <c r="C6851" s="476" t="s">
        <v>4668</v>
      </c>
      <c r="D6851" s="820" t="s">
        <v>4133</v>
      </c>
      <c r="E6851" s="820" t="n">
        <v>0.01</v>
      </c>
      <c r="F6851" s="361" t="n">
        <v>800</v>
      </c>
      <c r="G6851" s="615" t="n">
        <f aca="false">E6851*F6851</f>
        <v>8</v>
      </c>
      <c r="H6851" s="606"/>
    </row>
    <row r="6852" customFormat="false" ht="15" hidden="false" customHeight="false" outlineLevel="0" collapsed="false">
      <c r="A6852" s="571"/>
      <c r="B6852" s="433"/>
      <c r="C6852" s="476" t="s">
        <v>5345</v>
      </c>
      <c r="D6852" s="820" t="s">
        <v>4133</v>
      </c>
      <c r="E6852" s="820" t="n">
        <v>0.045</v>
      </c>
      <c r="F6852" s="361" t="n">
        <v>9500</v>
      </c>
      <c r="G6852" s="615" t="n">
        <f aca="false">E6852*F6852</f>
        <v>427.5</v>
      </c>
      <c r="H6852" s="606"/>
    </row>
    <row r="6853" customFormat="false" ht="15" hidden="false" customHeight="false" outlineLevel="0" collapsed="false">
      <c r="A6853" s="571"/>
      <c r="B6853" s="433"/>
      <c r="C6853" s="476" t="s">
        <v>5346</v>
      </c>
      <c r="D6853" s="820" t="s">
        <v>4359</v>
      </c>
      <c r="E6853" s="820" t="n">
        <v>0.065</v>
      </c>
      <c r="F6853" s="361" t="n">
        <v>3500</v>
      </c>
      <c r="G6853" s="615" t="n">
        <f aca="false">E6853*F6853</f>
        <v>227.5</v>
      </c>
      <c r="H6853" s="606"/>
    </row>
    <row r="6854" customFormat="false" ht="15" hidden="false" customHeight="false" outlineLevel="0" collapsed="false">
      <c r="A6854" s="571"/>
      <c r="B6854" s="433"/>
      <c r="C6854" s="476" t="s">
        <v>5347</v>
      </c>
      <c r="D6854" s="820" t="s">
        <v>5348</v>
      </c>
      <c r="E6854" s="820" t="n">
        <v>0.005</v>
      </c>
      <c r="F6854" s="361" t="n">
        <v>1550</v>
      </c>
      <c r="G6854" s="615" t="n">
        <f aca="false">E6854*F6854</f>
        <v>7.75</v>
      </c>
      <c r="H6854" s="606"/>
    </row>
    <row r="6855" customFormat="false" ht="15" hidden="false" customHeight="false" outlineLevel="0" collapsed="false">
      <c r="A6855" s="571"/>
      <c r="B6855" s="433"/>
      <c r="C6855" s="614" t="s">
        <v>4120</v>
      </c>
      <c r="D6855" s="606" t="s">
        <v>5349</v>
      </c>
      <c r="E6855" s="705" t="n">
        <v>0.003</v>
      </c>
      <c r="F6855" s="361" t="n">
        <v>1550</v>
      </c>
      <c r="G6855" s="615" t="n">
        <f aca="false">E6855*F6855</f>
        <v>4.65</v>
      </c>
      <c r="H6855" s="606"/>
    </row>
    <row r="6856" customFormat="false" ht="15" hidden="false" customHeight="false" outlineLevel="0" collapsed="false">
      <c r="A6856" s="571"/>
      <c r="B6856" s="433"/>
      <c r="C6856" s="614" t="s">
        <v>5344</v>
      </c>
      <c r="D6856" s="606" t="s">
        <v>4141</v>
      </c>
      <c r="E6856" s="622" t="n">
        <v>0.001</v>
      </c>
      <c r="F6856" s="361" t="n">
        <v>29500</v>
      </c>
      <c r="G6856" s="615" t="n">
        <f aca="false">E6856*F6856</f>
        <v>29.5</v>
      </c>
      <c r="H6856" s="606"/>
    </row>
    <row r="6857" customFormat="false" ht="15" hidden="false" customHeight="false" outlineLevel="0" collapsed="false">
      <c r="A6857" s="571"/>
      <c r="B6857" s="433"/>
      <c r="C6857" s="614" t="s">
        <v>4122</v>
      </c>
      <c r="D6857" s="606" t="s">
        <v>4359</v>
      </c>
      <c r="E6857" s="606" t="n">
        <v>0.01</v>
      </c>
      <c r="F6857" s="361" t="n">
        <v>720</v>
      </c>
      <c r="G6857" s="615" t="n">
        <f aca="false">F6857*E6857</f>
        <v>7.2</v>
      </c>
      <c r="H6857" s="606"/>
    </row>
    <row r="6858" customFormat="false" ht="15" hidden="false" customHeight="false" outlineLevel="0" collapsed="false">
      <c r="A6858" s="571"/>
      <c r="B6858" s="433"/>
      <c r="C6858" s="614" t="s">
        <v>4515</v>
      </c>
      <c r="D6858" s="606" t="s">
        <v>4133</v>
      </c>
      <c r="E6858" s="606" t="n">
        <v>0.0001</v>
      </c>
      <c r="F6858" s="361" t="n">
        <v>3500</v>
      </c>
      <c r="G6858" s="615" t="n">
        <f aca="false">F6858*E6858</f>
        <v>0.35</v>
      </c>
      <c r="H6858" s="606"/>
    </row>
    <row r="6859" customFormat="false" ht="15" hidden="false" customHeight="false" outlineLevel="0" collapsed="false">
      <c r="A6859" s="571"/>
      <c r="B6859" s="433"/>
      <c r="C6859" s="909" t="s">
        <v>4124</v>
      </c>
      <c r="D6859" s="606" t="s">
        <v>4516</v>
      </c>
      <c r="E6859" s="606" t="n">
        <v>0.5</v>
      </c>
      <c r="F6859" s="361" t="n">
        <v>80</v>
      </c>
      <c r="G6859" s="615" t="n">
        <f aca="false">F6859*E6859</f>
        <v>40</v>
      </c>
      <c r="H6859" s="606"/>
    </row>
    <row r="6860" customFormat="false" ht="30" hidden="false" customHeight="false" outlineLevel="0" collapsed="false">
      <c r="A6860" s="571" t="s">
        <v>1207</v>
      </c>
      <c r="B6860" s="433" t="s">
        <v>3360</v>
      </c>
      <c r="C6860" s="910"/>
      <c r="D6860" s="606"/>
      <c r="E6860" s="622"/>
      <c r="F6860" s="361"/>
      <c r="G6860" s="826" t="n">
        <f aca="false">SUM(G6861:G6865)</f>
        <v>55.05</v>
      </c>
      <c r="H6860" s="606"/>
    </row>
    <row r="6861" customFormat="false" ht="15" hidden="false" customHeight="false" outlineLevel="0" collapsed="false">
      <c r="A6861" s="571"/>
      <c r="B6861" s="433"/>
      <c r="C6861" s="614" t="s">
        <v>5344</v>
      </c>
      <c r="D6861" s="606" t="s">
        <v>4141</v>
      </c>
      <c r="E6861" s="705" t="n">
        <v>0.001</v>
      </c>
      <c r="F6861" s="361" t="n">
        <v>29500</v>
      </c>
      <c r="G6861" s="615" t="n">
        <f aca="false">E75412*F75412</f>
        <v>0</v>
      </c>
      <c r="H6861" s="606"/>
    </row>
    <row r="6862" customFormat="false" ht="15" hidden="false" customHeight="false" outlineLevel="0" collapsed="false">
      <c r="A6862" s="571"/>
      <c r="B6862" s="433"/>
      <c r="C6862" s="614" t="s">
        <v>4122</v>
      </c>
      <c r="D6862" s="606" t="s">
        <v>4359</v>
      </c>
      <c r="E6862" s="702" t="n">
        <v>0.01</v>
      </c>
      <c r="F6862" s="361" t="n">
        <v>720</v>
      </c>
      <c r="G6862" s="615" t="n">
        <f aca="false">E6862*F6862</f>
        <v>7.2</v>
      </c>
      <c r="H6862" s="606"/>
    </row>
    <row r="6863" customFormat="false" ht="15" hidden="false" customHeight="false" outlineLevel="0" collapsed="false">
      <c r="A6863" s="571"/>
      <c r="B6863" s="433"/>
      <c r="C6863" s="614" t="s">
        <v>4515</v>
      </c>
      <c r="D6863" s="606" t="s">
        <v>4133</v>
      </c>
      <c r="E6863" s="705" t="n">
        <v>0.0001</v>
      </c>
      <c r="F6863" s="361" t="n">
        <v>3500</v>
      </c>
      <c r="G6863" s="615" t="n">
        <f aca="false">E6863*F6863</f>
        <v>0.35</v>
      </c>
      <c r="H6863" s="606"/>
    </row>
    <row r="6864" customFormat="false" ht="15" hidden="false" customHeight="false" outlineLevel="0" collapsed="false">
      <c r="A6864" s="571"/>
      <c r="B6864" s="433"/>
      <c r="C6864" s="909" t="s">
        <v>4124</v>
      </c>
      <c r="D6864" s="606" t="s">
        <v>4516</v>
      </c>
      <c r="E6864" s="702" t="n">
        <v>0.5</v>
      </c>
      <c r="F6864" s="361" t="n">
        <v>80</v>
      </c>
      <c r="G6864" s="615" t="n">
        <f aca="false">E6864*F6864</f>
        <v>40</v>
      </c>
      <c r="H6864" s="606"/>
    </row>
    <row r="6865" customFormat="false" ht="15" hidden="false" customHeight="false" outlineLevel="0" collapsed="false">
      <c r="A6865" s="571"/>
      <c r="B6865" s="433"/>
      <c r="C6865" s="614" t="s">
        <v>5341</v>
      </c>
      <c r="D6865" s="606" t="s">
        <v>5342</v>
      </c>
      <c r="E6865" s="705" t="n">
        <v>0.005</v>
      </c>
      <c r="F6865" s="361" t="n">
        <v>1500</v>
      </c>
      <c r="G6865" s="615" t="n">
        <f aca="false">E6865*F6865</f>
        <v>7.5</v>
      </c>
      <c r="H6865" s="606"/>
    </row>
    <row r="6866" customFormat="false" ht="30" hidden="false" customHeight="false" outlineLevel="0" collapsed="false">
      <c r="A6866" s="571" t="s">
        <v>1209</v>
      </c>
      <c r="B6866" s="433" t="s">
        <v>3361</v>
      </c>
      <c r="C6866" s="476"/>
      <c r="D6866" s="820"/>
      <c r="E6866" s="820"/>
      <c r="F6866" s="361"/>
      <c r="G6866" s="826" t="n">
        <f aca="false">SUM(G6867:G6886)</f>
        <v>6687.51</v>
      </c>
      <c r="H6866" s="606"/>
    </row>
    <row r="6867" customFormat="false" ht="15" hidden="false" customHeight="false" outlineLevel="0" collapsed="false">
      <c r="A6867" s="571"/>
      <c r="B6867" s="433"/>
      <c r="C6867" s="614" t="s">
        <v>4225</v>
      </c>
      <c r="D6867" s="606" t="s">
        <v>4133</v>
      </c>
      <c r="E6867" s="606" t="n">
        <v>0.08</v>
      </c>
      <c r="F6867" s="361" t="n">
        <v>800</v>
      </c>
      <c r="G6867" s="615" t="n">
        <f aca="false">F6867*E6867</f>
        <v>64</v>
      </c>
      <c r="H6867" s="606"/>
    </row>
    <row r="6868" customFormat="false" ht="15" hidden="false" customHeight="false" outlineLevel="0" collapsed="false">
      <c r="A6868" s="571"/>
      <c r="B6868" s="433"/>
      <c r="C6868" s="614" t="s">
        <v>4189</v>
      </c>
      <c r="D6868" s="606" t="s">
        <v>4359</v>
      </c>
      <c r="E6868" s="606" t="n">
        <v>0.0006</v>
      </c>
      <c r="F6868" s="361" t="n">
        <v>130000</v>
      </c>
      <c r="G6868" s="615" t="n">
        <f aca="false">F6868*E6868</f>
        <v>78</v>
      </c>
      <c r="H6868" s="606"/>
    </row>
    <row r="6869" customFormat="false" ht="15" hidden="false" customHeight="false" outlineLevel="0" collapsed="false">
      <c r="A6869" s="571"/>
      <c r="B6869" s="433"/>
      <c r="C6869" s="614" t="s">
        <v>4154</v>
      </c>
      <c r="D6869" s="606" t="s">
        <v>4359</v>
      </c>
      <c r="E6869" s="606" t="n">
        <v>0.007</v>
      </c>
      <c r="F6869" s="361" t="n">
        <v>5800</v>
      </c>
      <c r="G6869" s="615" t="n">
        <f aca="false">F6869*E6869</f>
        <v>40.6</v>
      </c>
      <c r="H6869" s="606"/>
    </row>
    <row r="6870" customFormat="false" ht="15" hidden="false" customHeight="false" outlineLevel="0" collapsed="false">
      <c r="A6870" s="571"/>
      <c r="B6870" s="433"/>
      <c r="C6870" s="614" t="s">
        <v>5059</v>
      </c>
      <c r="D6870" s="606" t="s">
        <v>4359</v>
      </c>
      <c r="E6870" s="606" t="n">
        <v>0.01</v>
      </c>
      <c r="F6870" s="361" t="n">
        <v>1200</v>
      </c>
      <c r="G6870" s="615" t="n">
        <f aca="false">F6870*E6870</f>
        <v>12</v>
      </c>
      <c r="H6870" s="606"/>
    </row>
    <row r="6871" customFormat="false" ht="15" hidden="false" customHeight="false" outlineLevel="0" collapsed="false">
      <c r="A6871" s="571"/>
      <c r="B6871" s="433"/>
      <c r="C6871" s="614" t="s">
        <v>5350</v>
      </c>
      <c r="D6871" s="606" t="s">
        <v>4133</v>
      </c>
      <c r="E6871" s="606" t="n">
        <v>0.042</v>
      </c>
      <c r="F6871" s="361" t="n">
        <v>3500</v>
      </c>
      <c r="G6871" s="615" t="n">
        <f aca="false">F6871*E6871</f>
        <v>147</v>
      </c>
      <c r="H6871" s="606"/>
    </row>
    <row r="6872" customFormat="false" ht="15" hidden="false" customHeight="false" outlineLevel="0" collapsed="false">
      <c r="A6872" s="571"/>
      <c r="B6872" s="433"/>
      <c r="C6872" s="614" t="s">
        <v>4147</v>
      </c>
      <c r="D6872" s="606" t="s">
        <v>4359</v>
      </c>
      <c r="E6872" s="606" t="n">
        <v>0.05</v>
      </c>
      <c r="F6872" s="361" t="n">
        <v>3500</v>
      </c>
      <c r="G6872" s="615" t="n">
        <f aca="false">F6872*E6872</f>
        <v>175</v>
      </c>
      <c r="H6872" s="606"/>
    </row>
    <row r="6873" customFormat="false" ht="30" hidden="false" customHeight="false" outlineLevel="0" collapsed="false">
      <c r="A6873" s="571"/>
      <c r="B6873" s="433"/>
      <c r="C6873" s="614" t="s">
        <v>5351</v>
      </c>
      <c r="D6873" s="606" t="s">
        <v>4133</v>
      </c>
      <c r="E6873" s="606" t="n">
        <v>0.0025</v>
      </c>
      <c r="F6873" s="361" t="n">
        <v>78100</v>
      </c>
      <c r="G6873" s="615" t="n">
        <f aca="false">F6873*E6873</f>
        <v>195.25</v>
      </c>
      <c r="H6873" s="606"/>
    </row>
    <row r="6874" customFormat="false" ht="30" hidden="false" customHeight="false" outlineLevel="0" collapsed="false">
      <c r="A6874" s="571"/>
      <c r="B6874" s="433"/>
      <c r="C6874" s="614" t="s">
        <v>5352</v>
      </c>
      <c r="D6874" s="606" t="s">
        <v>4133</v>
      </c>
      <c r="E6874" s="606" t="n">
        <v>0.06</v>
      </c>
      <c r="F6874" s="361" t="n">
        <v>25500</v>
      </c>
      <c r="G6874" s="615" t="n">
        <f aca="false">F6874*E6874</f>
        <v>1530</v>
      </c>
      <c r="H6874" s="606"/>
    </row>
    <row r="6875" customFormat="false" ht="15" hidden="false" customHeight="false" outlineLevel="0" collapsed="false">
      <c r="A6875" s="571"/>
      <c r="B6875" s="433"/>
      <c r="C6875" s="614" t="s">
        <v>4269</v>
      </c>
      <c r="D6875" s="606" t="s">
        <v>4359</v>
      </c>
      <c r="E6875" s="606" t="n">
        <v>0.25</v>
      </c>
      <c r="F6875" s="361" t="n">
        <v>3000</v>
      </c>
      <c r="G6875" s="615" t="n">
        <f aca="false">F6875*E6875</f>
        <v>750</v>
      </c>
      <c r="H6875" s="606"/>
    </row>
    <row r="6876" customFormat="false" ht="15" hidden="false" customHeight="false" outlineLevel="0" collapsed="false">
      <c r="A6876" s="571"/>
      <c r="B6876" s="433"/>
      <c r="C6876" s="614" t="s">
        <v>4545</v>
      </c>
      <c r="D6876" s="606" t="s">
        <v>4133</v>
      </c>
      <c r="E6876" s="606" t="n">
        <v>0.02</v>
      </c>
      <c r="F6876" s="361" t="n">
        <v>2500</v>
      </c>
      <c r="G6876" s="615" t="n">
        <f aca="false">F6876*E6876</f>
        <v>50</v>
      </c>
      <c r="H6876" s="606"/>
    </row>
    <row r="6877" customFormat="false" ht="30" hidden="false" customHeight="false" outlineLevel="0" collapsed="false">
      <c r="A6877" s="571"/>
      <c r="B6877" s="433"/>
      <c r="C6877" s="614" t="s">
        <v>5353</v>
      </c>
      <c r="D6877" s="606" t="s">
        <v>4359</v>
      </c>
      <c r="E6877" s="606" t="n">
        <v>0.0001</v>
      </c>
      <c r="F6877" s="361" t="n">
        <v>78100</v>
      </c>
      <c r="G6877" s="615" t="n">
        <f aca="false">F6877*E6877</f>
        <v>7.81</v>
      </c>
      <c r="H6877" s="606"/>
    </row>
    <row r="6878" customFormat="false" ht="30" hidden="false" customHeight="false" outlineLevel="0" collapsed="false">
      <c r="A6878" s="571"/>
      <c r="B6878" s="433"/>
      <c r="C6878" s="614" t="s">
        <v>5354</v>
      </c>
      <c r="D6878" s="606" t="s">
        <v>4133</v>
      </c>
      <c r="E6878" s="606" t="n">
        <v>0.06</v>
      </c>
      <c r="F6878" s="361" t="n">
        <v>3000</v>
      </c>
      <c r="G6878" s="615" t="n">
        <f aca="false">F6878*E6878</f>
        <v>180</v>
      </c>
      <c r="H6878" s="606"/>
    </row>
    <row r="6879" customFormat="false" ht="30" hidden="false" customHeight="false" outlineLevel="0" collapsed="false">
      <c r="A6879" s="571"/>
      <c r="B6879" s="433"/>
      <c r="C6879" s="614" t="s">
        <v>5355</v>
      </c>
      <c r="D6879" s="606" t="s">
        <v>4133</v>
      </c>
      <c r="E6879" s="606" t="n">
        <v>0.06</v>
      </c>
      <c r="F6879" s="361" t="n">
        <v>3000</v>
      </c>
      <c r="G6879" s="615" t="n">
        <f aca="false">F6879*E6879</f>
        <v>180</v>
      </c>
      <c r="H6879" s="606"/>
    </row>
    <row r="6880" customFormat="false" ht="15" hidden="false" customHeight="false" outlineLevel="0" collapsed="false">
      <c r="A6880" s="571"/>
      <c r="B6880" s="433"/>
      <c r="C6880" s="614" t="s">
        <v>5356</v>
      </c>
      <c r="D6880" s="606" t="s">
        <v>4133</v>
      </c>
      <c r="E6880" s="606" t="n">
        <v>0.1</v>
      </c>
      <c r="F6880" s="361" t="n">
        <v>6500</v>
      </c>
      <c r="G6880" s="615" t="n">
        <f aca="false">F6880*E6880</f>
        <v>650</v>
      </c>
      <c r="H6880" s="606"/>
    </row>
    <row r="6881" customFormat="false" ht="15" hidden="false" customHeight="false" outlineLevel="0" collapsed="false">
      <c r="A6881" s="571"/>
      <c r="B6881" s="433"/>
      <c r="C6881" s="614" t="s">
        <v>4214</v>
      </c>
      <c r="D6881" s="606" t="s">
        <v>4133</v>
      </c>
      <c r="E6881" s="606" t="n">
        <v>0.07</v>
      </c>
      <c r="F6881" s="361" t="n">
        <v>35000</v>
      </c>
      <c r="G6881" s="615" t="n">
        <f aca="false">F6881*E6881</f>
        <v>2450</v>
      </c>
      <c r="H6881" s="606"/>
    </row>
    <row r="6882" customFormat="false" ht="15" hidden="false" customHeight="false" outlineLevel="0" collapsed="false">
      <c r="A6882" s="571"/>
      <c r="B6882" s="433"/>
      <c r="C6882" s="614" t="s">
        <v>5357</v>
      </c>
      <c r="D6882" s="606" t="s">
        <v>4133</v>
      </c>
      <c r="E6882" s="606" t="n">
        <v>0.0002</v>
      </c>
      <c r="F6882" s="361" t="n">
        <v>590000</v>
      </c>
      <c r="G6882" s="615" t="n">
        <f aca="false">F6882*E6882</f>
        <v>118</v>
      </c>
      <c r="H6882" s="606"/>
    </row>
    <row r="6883" customFormat="false" ht="15" hidden="false" customHeight="false" outlineLevel="0" collapsed="false">
      <c r="A6883" s="571"/>
      <c r="B6883" s="433"/>
      <c r="C6883" s="614" t="s">
        <v>5358</v>
      </c>
      <c r="D6883" s="606" t="s">
        <v>5349</v>
      </c>
      <c r="E6883" s="606" t="n">
        <v>0.003</v>
      </c>
      <c r="F6883" s="361" t="n">
        <v>1500</v>
      </c>
      <c r="G6883" s="615" t="n">
        <f aca="false">F6883*E6883</f>
        <v>4.5</v>
      </c>
      <c r="H6883" s="606"/>
    </row>
    <row r="6884" customFormat="false" ht="30" hidden="false" customHeight="false" outlineLevel="0" collapsed="false">
      <c r="A6884" s="571"/>
      <c r="B6884" s="433"/>
      <c r="C6884" s="614" t="s">
        <v>5359</v>
      </c>
      <c r="D6884" s="606" t="s">
        <v>4359</v>
      </c>
      <c r="E6884" s="606" t="n">
        <v>0.0002</v>
      </c>
      <c r="F6884" s="361" t="n">
        <v>75000</v>
      </c>
      <c r="G6884" s="615" t="n">
        <f aca="false">F6884*E6884</f>
        <v>15</v>
      </c>
      <c r="H6884" s="606"/>
    </row>
    <row r="6885" customFormat="false" ht="15" hidden="false" customHeight="false" outlineLevel="0" collapsed="false">
      <c r="A6885" s="571"/>
      <c r="B6885" s="433"/>
      <c r="C6885" s="614" t="s">
        <v>4515</v>
      </c>
      <c r="D6885" s="606" t="s">
        <v>4133</v>
      </c>
      <c r="E6885" s="606" t="n">
        <v>0.0001</v>
      </c>
      <c r="F6885" s="361" t="n">
        <v>3500</v>
      </c>
      <c r="G6885" s="615" t="n">
        <f aca="false">F6885*E6885</f>
        <v>0.35</v>
      </c>
      <c r="H6885" s="606"/>
    </row>
    <row r="6886" customFormat="false" ht="15" hidden="false" customHeight="false" outlineLevel="0" collapsed="false">
      <c r="A6886" s="571"/>
      <c r="B6886" s="433"/>
      <c r="C6886" s="909" t="s">
        <v>4124</v>
      </c>
      <c r="D6886" s="606" t="s">
        <v>4516</v>
      </c>
      <c r="E6886" s="606" t="n">
        <v>0.5</v>
      </c>
      <c r="F6886" s="361" t="n">
        <v>80</v>
      </c>
      <c r="G6886" s="615" t="n">
        <f aca="false">F6886*E6886</f>
        <v>40</v>
      </c>
      <c r="H6886" s="606"/>
    </row>
    <row r="6887" customFormat="false" ht="45" hidden="false" customHeight="false" outlineLevel="0" collapsed="false">
      <c r="A6887" s="571" t="s">
        <v>1211</v>
      </c>
      <c r="B6887" s="433" t="s">
        <v>3362</v>
      </c>
      <c r="C6887" s="476"/>
      <c r="D6887" s="820"/>
      <c r="E6887" s="820"/>
      <c r="F6887" s="361"/>
      <c r="G6887" s="826" t="n">
        <f aca="false">SUM(G6888:G6907)</f>
        <v>6931.59</v>
      </c>
      <c r="H6887" s="606"/>
    </row>
    <row r="6888" customFormat="false" ht="15" hidden="false" customHeight="false" outlineLevel="0" collapsed="false">
      <c r="A6888" s="571"/>
      <c r="B6888" s="433"/>
      <c r="C6888" s="614" t="s">
        <v>4225</v>
      </c>
      <c r="D6888" s="606" t="s">
        <v>4133</v>
      </c>
      <c r="E6888" s="606" t="n">
        <v>0.08</v>
      </c>
      <c r="F6888" s="361" t="n">
        <v>800</v>
      </c>
      <c r="G6888" s="615" t="n">
        <f aca="false">F6888*E6888</f>
        <v>64</v>
      </c>
      <c r="H6888" s="606"/>
    </row>
    <row r="6889" customFormat="false" ht="15" hidden="false" customHeight="false" outlineLevel="0" collapsed="false">
      <c r="A6889" s="571"/>
      <c r="B6889" s="433"/>
      <c r="C6889" s="614" t="s">
        <v>4189</v>
      </c>
      <c r="D6889" s="606" t="s">
        <v>4359</v>
      </c>
      <c r="E6889" s="606" t="n">
        <v>0.0006</v>
      </c>
      <c r="F6889" s="361" t="n">
        <v>130000</v>
      </c>
      <c r="G6889" s="615" t="n">
        <f aca="false">F6889*E6889</f>
        <v>78</v>
      </c>
      <c r="H6889" s="606"/>
    </row>
    <row r="6890" customFormat="false" ht="15" hidden="false" customHeight="false" outlineLevel="0" collapsed="false">
      <c r="A6890" s="571"/>
      <c r="B6890" s="433"/>
      <c r="C6890" s="614" t="s">
        <v>4154</v>
      </c>
      <c r="D6890" s="606" t="s">
        <v>4359</v>
      </c>
      <c r="E6890" s="606" t="n">
        <v>0.007</v>
      </c>
      <c r="F6890" s="361" t="n">
        <v>5800</v>
      </c>
      <c r="G6890" s="615" t="n">
        <f aca="false">F6890*E6890</f>
        <v>40.6</v>
      </c>
      <c r="H6890" s="606"/>
    </row>
    <row r="6891" customFormat="false" ht="15" hidden="false" customHeight="false" outlineLevel="0" collapsed="false">
      <c r="A6891" s="571"/>
      <c r="B6891" s="433"/>
      <c r="C6891" s="614" t="s">
        <v>5059</v>
      </c>
      <c r="D6891" s="606" t="s">
        <v>4359</v>
      </c>
      <c r="E6891" s="606" t="n">
        <v>0.01</v>
      </c>
      <c r="F6891" s="361" t="n">
        <v>1200</v>
      </c>
      <c r="G6891" s="615" t="n">
        <f aca="false">F6891*E6891</f>
        <v>12</v>
      </c>
      <c r="H6891" s="606"/>
    </row>
    <row r="6892" customFormat="false" ht="15" hidden="false" customHeight="false" outlineLevel="0" collapsed="false">
      <c r="A6892" s="571"/>
      <c r="B6892" s="433"/>
      <c r="C6892" s="614" t="s">
        <v>5350</v>
      </c>
      <c r="D6892" s="606" t="s">
        <v>4133</v>
      </c>
      <c r="E6892" s="606" t="n">
        <v>0.042</v>
      </c>
      <c r="F6892" s="361" t="n">
        <v>3500</v>
      </c>
      <c r="G6892" s="615" t="n">
        <f aca="false">F6892*E6892</f>
        <v>147</v>
      </c>
      <c r="H6892" s="606"/>
    </row>
    <row r="6893" customFormat="false" ht="15" hidden="false" customHeight="false" outlineLevel="0" collapsed="false">
      <c r="A6893" s="571"/>
      <c r="B6893" s="433"/>
      <c r="C6893" s="614" t="s">
        <v>4147</v>
      </c>
      <c r="D6893" s="606" t="s">
        <v>4359</v>
      </c>
      <c r="E6893" s="606" t="n">
        <v>0.05</v>
      </c>
      <c r="F6893" s="361" t="n">
        <v>3500</v>
      </c>
      <c r="G6893" s="615" t="n">
        <f aca="false">F6893*E6893</f>
        <v>175</v>
      </c>
      <c r="H6893" s="606"/>
    </row>
    <row r="6894" customFormat="false" ht="30" hidden="false" customHeight="false" outlineLevel="0" collapsed="false">
      <c r="A6894" s="571"/>
      <c r="B6894" s="433"/>
      <c r="C6894" s="614" t="s">
        <v>5351</v>
      </c>
      <c r="D6894" s="606" t="s">
        <v>4133</v>
      </c>
      <c r="E6894" s="606" t="n">
        <v>0.0025</v>
      </c>
      <c r="F6894" s="361" t="n">
        <v>78100</v>
      </c>
      <c r="G6894" s="615" t="n">
        <f aca="false">F6894*E6894</f>
        <v>195.25</v>
      </c>
      <c r="H6894" s="606"/>
    </row>
    <row r="6895" customFormat="false" ht="30" hidden="false" customHeight="false" outlineLevel="0" collapsed="false">
      <c r="A6895" s="571"/>
      <c r="B6895" s="433"/>
      <c r="C6895" s="614" t="s">
        <v>5352</v>
      </c>
      <c r="D6895" s="606" t="s">
        <v>4133</v>
      </c>
      <c r="E6895" s="606" t="n">
        <v>0.06</v>
      </c>
      <c r="F6895" s="361" t="n">
        <v>29568</v>
      </c>
      <c r="G6895" s="615" t="n">
        <f aca="false">F6895*E6895</f>
        <v>1774.08</v>
      </c>
      <c r="H6895" s="606"/>
    </row>
    <row r="6896" customFormat="false" ht="15" hidden="false" customHeight="false" outlineLevel="0" collapsed="false">
      <c r="A6896" s="571"/>
      <c r="B6896" s="433"/>
      <c r="C6896" s="614" t="s">
        <v>4269</v>
      </c>
      <c r="D6896" s="606" t="s">
        <v>4359</v>
      </c>
      <c r="E6896" s="606" t="n">
        <v>0.25</v>
      </c>
      <c r="F6896" s="361" t="n">
        <v>3000</v>
      </c>
      <c r="G6896" s="615" t="n">
        <f aca="false">F6896*E6896</f>
        <v>750</v>
      </c>
      <c r="H6896" s="606"/>
    </row>
    <row r="6897" customFormat="false" ht="15" hidden="false" customHeight="false" outlineLevel="0" collapsed="false">
      <c r="A6897" s="571"/>
      <c r="B6897" s="433"/>
      <c r="C6897" s="614" t="s">
        <v>4545</v>
      </c>
      <c r="D6897" s="606" t="s">
        <v>4133</v>
      </c>
      <c r="E6897" s="606" t="n">
        <v>0.02</v>
      </c>
      <c r="F6897" s="361" t="n">
        <v>2500</v>
      </c>
      <c r="G6897" s="615" t="n">
        <f aca="false">F6897*E6897</f>
        <v>50</v>
      </c>
      <c r="H6897" s="606"/>
    </row>
    <row r="6898" customFormat="false" ht="30" hidden="false" customHeight="false" outlineLevel="0" collapsed="false">
      <c r="A6898" s="571"/>
      <c r="B6898" s="433"/>
      <c r="C6898" s="614" t="s">
        <v>5353</v>
      </c>
      <c r="D6898" s="606" t="s">
        <v>4359</v>
      </c>
      <c r="E6898" s="606" t="n">
        <v>0.0001</v>
      </c>
      <c r="F6898" s="361" t="n">
        <v>78100</v>
      </c>
      <c r="G6898" s="615" t="n">
        <f aca="false">F6898*E6898</f>
        <v>7.81</v>
      </c>
      <c r="H6898" s="606"/>
    </row>
    <row r="6899" customFormat="false" ht="30" hidden="false" customHeight="false" outlineLevel="0" collapsed="false">
      <c r="A6899" s="571"/>
      <c r="B6899" s="433"/>
      <c r="C6899" s="614" t="s">
        <v>5354</v>
      </c>
      <c r="D6899" s="606" t="s">
        <v>4133</v>
      </c>
      <c r="E6899" s="606" t="n">
        <v>0.06</v>
      </c>
      <c r="F6899" s="361" t="n">
        <v>3000</v>
      </c>
      <c r="G6899" s="615" t="n">
        <f aca="false">F6899*E6899</f>
        <v>180</v>
      </c>
      <c r="H6899" s="606"/>
    </row>
    <row r="6900" customFormat="false" ht="30" hidden="false" customHeight="false" outlineLevel="0" collapsed="false">
      <c r="A6900" s="571"/>
      <c r="B6900" s="433"/>
      <c r="C6900" s="614" t="s">
        <v>5355</v>
      </c>
      <c r="D6900" s="606" t="s">
        <v>4133</v>
      </c>
      <c r="E6900" s="606" t="n">
        <v>0.06</v>
      </c>
      <c r="F6900" s="361" t="n">
        <v>3000</v>
      </c>
      <c r="G6900" s="615" t="n">
        <f aca="false">F6900*E6900</f>
        <v>180</v>
      </c>
      <c r="H6900" s="606"/>
    </row>
    <row r="6901" customFormat="false" ht="15" hidden="false" customHeight="false" outlineLevel="0" collapsed="false">
      <c r="A6901" s="571"/>
      <c r="B6901" s="433"/>
      <c r="C6901" s="614" t="s">
        <v>5356</v>
      </c>
      <c r="D6901" s="606" t="s">
        <v>4133</v>
      </c>
      <c r="E6901" s="606" t="n">
        <v>0.1</v>
      </c>
      <c r="F6901" s="361" t="n">
        <v>6500</v>
      </c>
      <c r="G6901" s="615" t="n">
        <f aca="false">F6901*E6901</f>
        <v>650</v>
      </c>
      <c r="H6901" s="606"/>
    </row>
    <row r="6902" customFormat="false" ht="15" hidden="false" customHeight="false" outlineLevel="0" collapsed="false">
      <c r="A6902" s="571"/>
      <c r="B6902" s="433"/>
      <c r="C6902" s="614" t="s">
        <v>4214</v>
      </c>
      <c r="D6902" s="606" t="s">
        <v>4133</v>
      </c>
      <c r="E6902" s="606" t="n">
        <v>0.07</v>
      </c>
      <c r="F6902" s="361" t="n">
        <v>35000</v>
      </c>
      <c r="G6902" s="615" t="n">
        <f aca="false">F6902*E6902</f>
        <v>2450</v>
      </c>
      <c r="H6902" s="606"/>
    </row>
    <row r="6903" customFormat="false" ht="15" hidden="false" customHeight="false" outlineLevel="0" collapsed="false">
      <c r="A6903" s="571"/>
      <c r="B6903" s="433"/>
      <c r="C6903" s="614" t="s">
        <v>5357</v>
      </c>
      <c r="D6903" s="606" t="s">
        <v>4133</v>
      </c>
      <c r="E6903" s="606" t="n">
        <v>0.0002</v>
      </c>
      <c r="F6903" s="361" t="n">
        <v>590000</v>
      </c>
      <c r="G6903" s="615" t="n">
        <f aca="false">F6903*E6903</f>
        <v>118</v>
      </c>
      <c r="H6903" s="606"/>
    </row>
    <row r="6904" customFormat="false" ht="15" hidden="false" customHeight="false" outlineLevel="0" collapsed="false">
      <c r="A6904" s="571"/>
      <c r="B6904" s="433"/>
      <c r="C6904" s="614" t="s">
        <v>5358</v>
      </c>
      <c r="D6904" s="606" t="s">
        <v>5349</v>
      </c>
      <c r="E6904" s="606" t="n">
        <v>0.003</v>
      </c>
      <c r="F6904" s="361" t="n">
        <v>1500</v>
      </c>
      <c r="G6904" s="615" t="n">
        <f aca="false">F6904*E6904</f>
        <v>4.5</v>
      </c>
      <c r="H6904" s="606"/>
    </row>
    <row r="6905" customFormat="false" ht="30" hidden="false" customHeight="false" outlineLevel="0" collapsed="false">
      <c r="A6905" s="571"/>
      <c r="B6905" s="433"/>
      <c r="C6905" s="614" t="s">
        <v>5359</v>
      </c>
      <c r="D6905" s="606" t="s">
        <v>4359</v>
      </c>
      <c r="E6905" s="606" t="n">
        <v>0.0002</v>
      </c>
      <c r="F6905" s="361" t="n">
        <v>75000</v>
      </c>
      <c r="G6905" s="615" t="n">
        <f aca="false">F6905*E6905</f>
        <v>15</v>
      </c>
      <c r="H6905" s="606"/>
    </row>
    <row r="6906" customFormat="false" ht="15" hidden="false" customHeight="false" outlineLevel="0" collapsed="false">
      <c r="A6906" s="571"/>
      <c r="B6906" s="433"/>
      <c r="C6906" s="614" t="s">
        <v>4515</v>
      </c>
      <c r="D6906" s="606" t="s">
        <v>4133</v>
      </c>
      <c r="E6906" s="606" t="n">
        <v>0.0001</v>
      </c>
      <c r="F6906" s="361" t="n">
        <v>3500</v>
      </c>
      <c r="G6906" s="615" t="n">
        <f aca="false">F6906*E6906</f>
        <v>0.35</v>
      </c>
      <c r="H6906" s="606"/>
    </row>
    <row r="6907" customFormat="false" ht="15" hidden="false" customHeight="false" outlineLevel="0" collapsed="false">
      <c r="A6907" s="571"/>
      <c r="B6907" s="433"/>
      <c r="C6907" s="909" t="s">
        <v>4124</v>
      </c>
      <c r="D6907" s="606" t="s">
        <v>4516</v>
      </c>
      <c r="E6907" s="606" t="n">
        <v>0.5</v>
      </c>
      <c r="F6907" s="361" t="n">
        <v>80</v>
      </c>
      <c r="G6907" s="615" t="n">
        <f aca="false">F6907*E6907</f>
        <v>40</v>
      </c>
      <c r="H6907" s="606"/>
    </row>
    <row r="6908" customFormat="false" ht="15" hidden="false" customHeight="false" outlineLevel="0" collapsed="false">
      <c r="A6908" s="571" t="s">
        <v>1213</v>
      </c>
      <c r="B6908" s="433" t="s">
        <v>3363</v>
      </c>
      <c r="C6908" s="476"/>
      <c r="D6908" s="820"/>
      <c r="E6908" s="820"/>
      <c r="F6908" s="697"/>
      <c r="G6908" s="826" t="n">
        <f aca="false">SUM(G6909:G6928)</f>
        <v>5871.4</v>
      </c>
      <c r="H6908" s="606"/>
    </row>
    <row r="6909" customFormat="false" ht="15" hidden="false" customHeight="false" outlineLevel="0" collapsed="false">
      <c r="A6909" s="571"/>
      <c r="B6909" s="433"/>
      <c r="C6909" s="614" t="s">
        <v>4225</v>
      </c>
      <c r="D6909" s="606" t="s">
        <v>4133</v>
      </c>
      <c r="E6909" s="606" t="n">
        <v>0.08</v>
      </c>
      <c r="F6909" s="361" t="n">
        <v>800</v>
      </c>
      <c r="G6909" s="615" t="n">
        <f aca="false">F6909*E6909</f>
        <v>64</v>
      </c>
      <c r="H6909" s="606"/>
    </row>
    <row r="6910" customFormat="false" ht="15" hidden="false" customHeight="false" outlineLevel="0" collapsed="false">
      <c r="A6910" s="571"/>
      <c r="B6910" s="433"/>
      <c r="C6910" s="614" t="s">
        <v>4189</v>
      </c>
      <c r="D6910" s="606" t="s">
        <v>4359</v>
      </c>
      <c r="E6910" s="606" t="n">
        <v>0.0006</v>
      </c>
      <c r="F6910" s="361" t="n">
        <v>130000</v>
      </c>
      <c r="G6910" s="615" t="n">
        <f aca="false">F6910*E6910</f>
        <v>78</v>
      </c>
      <c r="H6910" s="606"/>
    </row>
    <row r="6911" customFormat="false" ht="15" hidden="false" customHeight="false" outlineLevel="0" collapsed="false">
      <c r="A6911" s="571"/>
      <c r="B6911" s="433"/>
      <c r="C6911" s="614" t="s">
        <v>4147</v>
      </c>
      <c r="D6911" s="606" t="s">
        <v>4359</v>
      </c>
      <c r="E6911" s="606" t="n">
        <v>0.06</v>
      </c>
      <c r="F6911" s="361" t="n">
        <v>1300</v>
      </c>
      <c r="G6911" s="615" t="n">
        <f aca="false">F6911*E6911</f>
        <v>78</v>
      </c>
      <c r="H6911" s="606"/>
    </row>
    <row r="6912" customFormat="false" ht="30" hidden="false" customHeight="false" outlineLevel="0" collapsed="false">
      <c r="A6912" s="571"/>
      <c r="B6912" s="433"/>
      <c r="C6912" s="614" t="s">
        <v>5351</v>
      </c>
      <c r="D6912" s="606" t="s">
        <v>4133</v>
      </c>
      <c r="E6912" s="606" t="n">
        <v>0.0025</v>
      </c>
      <c r="F6912" s="361" t="n">
        <v>78100</v>
      </c>
      <c r="G6912" s="615" t="n">
        <f aca="false">F6912*E6912</f>
        <v>195.25</v>
      </c>
      <c r="H6912" s="606"/>
    </row>
    <row r="6913" customFormat="false" ht="30" hidden="false" customHeight="false" outlineLevel="0" collapsed="false">
      <c r="A6913" s="571"/>
      <c r="B6913" s="433"/>
      <c r="C6913" s="614" t="s">
        <v>5352</v>
      </c>
      <c r="D6913" s="606" t="s">
        <v>4133</v>
      </c>
      <c r="E6913" s="606" t="n">
        <v>0.03</v>
      </c>
      <c r="F6913" s="361" t="n">
        <v>25500</v>
      </c>
      <c r="G6913" s="615" t="n">
        <f aca="false">F6913*E6913</f>
        <v>765</v>
      </c>
      <c r="H6913" s="606"/>
    </row>
    <row r="6914" customFormat="false" ht="15" hidden="false" customHeight="false" outlineLevel="0" collapsed="false">
      <c r="A6914" s="571"/>
      <c r="B6914" s="433"/>
      <c r="C6914" s="614" t="s">
        <v>4545</v>
      </c>
      <c r="D6914" s="606" t="s">
        <v>4133</v>
      </c>
      <c r="E6914" s="606" t="n">
        <v>0.02</v>
      </c>
      <c r="F6914" s="361" t="n">
        <v>2500</v>
      </c>
      <c r="G6914" s="615" t="n">
        <f aca="false">F6914*E6914</f>
        <v>50</v>
      </c>
      <c r="H6914" s="606"/>
    </row>
    <row r="6915" customFormat="false" ht="30" hidden="false" customHeight="false" outlineLevel="0" collapsed="false">
      <c r="A6915" s="571"/>
      <c r="B6915" s="433"/>
      <c r="C6915" s="614" t="s">
        <v>5353</v>
      </c>
      <c r="D6915" s="606" t="s">
        <v>4133</v>
      </c>
      <c r="E6915" s="606" t="n">
        <v>0.001</v>
      </c>
      <c r="F6915" s="361" t="n">
        <v>78100</v>
      </c>
      <c r="G6915" s="615" t="n">
        <f aca="false">F6915*E6915</f>
        <v>78.1</v>
      </c>
      <c r="H6915" s="606"/>
    </row>
    <row r="6916" customFormat="false" ht="30" hidden="false" customHeight="false" outlineLevel="0" collapsed="false">
      <c r="A6916" s="571"/>
      <c r="B6916" s="433"/>
      <c r="C6916" s="614" t="s">
        <v>5354</v>
      </c>
      <c r="D6916" s="606" t="s">
        <v>4133</v>
      </c>
      <c r="E6916" s="606" t="n">
        <v>0.06</v>
      </c>
      <c r="F6916" s="361" t="n">
        <v>3000</v>
      </c>
      <c r="G6916" s="615" t="n">
        <f aca="false">F6916*E6916</f>
        <v>180</v>
      </c>
      <c r="H6916" s="606"/>
    </row>
    <row r="6917" customFormat="false" ht="30" hidden="false" customHeight="false" outlineLevel="0" collapsed="false">
      <c r="A6917" s="571"/>
      <c r="B6917" s="433"/>
      <c r="C6917" s="614" t="s">
        <v>5355</v>
      </c>
      <c r="D6917" s="606" t="s">
        <v>4133</v>
      </c>
      <c r="E6917" s="606" t="n">
        <v>0.06</v>
      </c>
      <c r="F6917" s="361" t="n">
        <v>3000</v>
      </c>
      <c r="G6917" s="615" t="n">
        <f aca="false">F6917*E6917</f>
        <v>180</v>
      </c>
      <c r="H6917" s="606"/>
    </row>
    <row r="6918" customFormat="false" ht="15" hidden="false" customHeight="false" outlineLevel="0" collapsed="false">
      <c r="A6918" s="571"/>
      <c r="B6918" s="433"/>
      <c r="C6918" s="614" t="s">
        <v>5356</v>
      </c>
      <c r="D6918" s="606" t="s">
        <v>4133</v>
      </c>
      <c r="E6918" s="606" t="n">
        <v>0.05</v>
      </c>
      <c r="F6918" s="361" t="n">
        <v>6500</v>
      </c>
      <c r="G6918" s="615" t="n">
        <f aca="false">F6918*E6918</f>
        <v>325</v>
      </c>
      <c r="H6918" s="606"/>
    </row>
    <row r="6919" customFormat="false" ht="15" hidden="false" customHeight="false" outlineLevel="0" collapsed="false">
      <c r="A6919" s="571"/>
      <c r="B6919" s="433"/>
      <c r="C6919" s="614" t="s">
        <v>4214</v>
      </c>
      <c r="D6919" s="606" t="s">
        <v>4133</v>
      </c>
      <c r="E6919" s="606" t="n">
        <v>0.07</v>
      </c>
      <c r="F6919" s="361" t="n">
        <v>35000</v>
      </c>
      <c r="G6919" s="615" t="n">
        <f aca="false">F6919*E6919</f>
        <v>2450</v>
      </c>
      <c r="H6919" s="606"/>
    </row>
    <row r="6920" customFormat="false" ht="15" hidden="false" customHeight="false" outlineLevel="0" collapsed="false">
      <c r="A6920" s="571"/>
      <c r="B6920" s="433"/>
      <c r="C6920" s="614" t="s">
        <v>5357</v>
      </c>
      <c r="D6920" s="606" t="s">
        <v>4133</v>
      </c>
      <c r="E6920" s="606" t="n">
        <v>0.0002</v>
      </c>
      <c r="F6920" s="361" t="n">
        <v>590000</v>
      </c>
      <c r="G6920" s="615" t="n">
        <f aca="false">F6920*E6920</f>
        <v>118</v>
      </c>
      <c r="H6920" s="606"/>
    </row>
    <row r="6921" customFormat="false" ht="15" hidden="false" customHeight="false" outlineLevel="0" collapsed="false">
      <c r="A6921" s="571"/>
      <c r="B6921" s="433"/>
      <c r="C6921" s="614" t="s">
        <v>4515</v>
      </c>
      <c r="D6921" s="606" t="s">
        <v>4133</v>
      </c>
      <c r="E6921" s="606" t="n">
        <v>0.0001</v>
      </c>
      <c r="F6921" s="361" t="n">
        <v>3500</v>
      </c>
      <c r="G6921" s="615" t="n">
        <f aca="false">F6921*E6921</f>
        <v>0.35</v>
      </c>
      <c r="H6921" s="606"/>
    </row>
    <row r="6922" customFormat="false" ht="15" hidden="false" customHeight="false" outlineLevel="0" collapsed="false">
      <c r="A6922" s="571"/>
      <c r="B6922" s="433"/>
      <c r="C6922" s="909" t="s">
        <v>4124</v>
      </c>
      <c r="D6922" s="606" t="s">
        <v>4516</v>
      </c>
      <c r="E6922" s="606" t="n">
        <v>0.0005</v>
      </c>
      <c r="F6922" s="361" t="n">
        <v>80000</v>
      </c>
      <c r="G6922" s="615" t="n">
        <f aca="false">F6922*E6922</f>
        <v>40</v>
      </c>
      <c r="H6922" s="606"/>
    </row>
    <row r="6923" customFormat="false" ht="15" hidden="false" customHeight="false" outlineLevel="0" collapsed="false">
      <c r="A6923" s="571"/>
      <c r="B6923" s="433"/>
      <c r="C6923" s="614" t="s">
        <v>4393</v>
      </c>
      <c r="D6923" s="606" t="s">
        <v>4133</v>
      </c>
      <c r="E6923" s="606" t="n">
        <v>0.06</v>
      </c>
      <c r="F6923" s="361" t="n">
        <v>3500</v>
      </c>
      <c r="G6923" s="615" t="n">
        <f aca="false">F6923*E6923</f>
        <v>210</v>
      </c>
      <c r="H6923" s="606"/>
    </row>
    <row r="6924" customFormat="false" ht="15" hidden="false" customHeight="false" outlineLevel="0" collapsed="false">
      <c r="A6924" s="571"/>
      <c r="B6924" s="433"/>
      <c r="C6924" s="614" t="s">
        <v>5360</v>
      </c>
      <c r="D6924" s="606" t="s">
        <v>4133</v>
      </c>
      <c r="E6924" s="606" t="n">
        <v>0.001</v>
      </c>
      <c r="F6924" s="361" t="n">
        <v>765000</v>
      </c>
      <c r="G6924" s="615" t="n">
        <f aca="false">F6924*E6924</f>
        <v>765</v>
      </c>
      <c r="H6924" s="606"/>
    </row>
    <row r="6925" customFormat="false" ht="15" hidden="false" customHeight="false" outlineLevel="0" collapsed="false">
      <c r="A6925" s="571"/>
      <c r="B6925" s="433"/>
      <c r="C6925" s="614" t="s">
        <v>4239</v>
      </c>
      <c r="D6925" s="606" t="s">
        <v>4133</v>
      </c>
      <c r="E6925" s="606" t="n">
        <v>0.04</v>
      </c>
      <c r="F6925" s="361" t="n">
        <v>2500</v>
      </c>
      <c r="G6925" s="615" t="n">
        <f aca="false">F6925*E6925</f>
        <v>100</v>
      </c>
      <c r="H6925" s="606"/>
    </row>
    <row r="6926" customFormat="false" ht="15" hidden="false" customHeight="false" outlineLevel="0" collapsed="false">
      <c r="A6926" s="571"/>
      <c r="B6926" s="433"/>
      <c r="C6926" s="614" t="s">
        <v>4742</v>
      </c>
      <c r="D6926" s="606" t="s">
        <v>4133</v>
      </c>
      <c r="E6926" s="606" t="n">
        <v>0.05</v>
      </c>
      <c r="F6926" s="361" t="n">
        <v>3000</v>
      </c>
      <c r="G6926" s="615" t="n">
        <f aca="false">F6926*E6926</f>
        <v>150</v>
      </c>
      <c r="H6926" s="606"/>
    </row>
    <row r="6927" customFormat="false" ht="15" hidden="false" customHeight="false" outlineLevel="0" collapsed="false">
      <c r="A6927" s="571"/>
      <c r="B6927" s="433"/>
      <c r="C6927" s="614" t="s">
        <v>4270</v>
      </c>
      <c r="D6927" s="606" t="s">
        <v>4359</v>
      </c>
      <c r="E6927" s="606" t="n">
        <v>0.008</v>
      </c>
      <c r="F6927" s="361" t="n">
        <v>900</v>
      </c>
      <c r="G6927" s="615" t="n">
        <f aca="false">F6927*E6927</f>
        <v>7.2</v>
      </c>
      <c r="H6927" s="606"/>
    </row>
    <row r="6928" customFormat="false" ht="15" hidden="false" customHeight="false" outlineLevel="0" collapsed="false">
      <c r="A6928" s="571"/>
      <c r="B6928" s="433"/>
      <c r="C6928" s="614" t="s">
        <v>5361</v>
      </c>
      <c r="D6928" s="606" t="s">
        <v>4133</v>
      </c>
      <c r="E6928" s="606" t="n">
        <v>0.003</v>
      </c>
      <c r="F6928" s="361" t="n">
        <v>12500</v>
      </c>
      <c r="G6928" s="615" t="n">
        <f aca="false">F6928*E6928</f>
        <v>37.5</v>
      </c>
      <c r="H6928" s="606"/>
    </row>
    <row r="6929" customFormat="false" ht="15" hidden="false" customHeight="false" outlineLevel="0" collapsed="false">
      <c r="A6929" s="571" t="s">
        <v>1215</v>
      </c>
      <c r="B6929" s="433" t="s">
        <v>3364</v>
      </c>
      <c r="C6929" s="476"/>
      <c r="D6929" s="820"/>
      <c r="E6929" s="820"/>
      <c r="F6929" s="697"/>
      <c r="G6929" s="826" t="n">
        <f aca="false">SUM(G6930:G6949)</f>
        <v>5437.51</v>
      </c>
      <c r="H6929" s="606"/>
    </row>
    <row r="6930" customFormat="false" ht="15" hidden="false" customHeight="false" outlineLevel="0" collapsed="false">
      <c r="A6930" s="571"/>
      <c r="B6930" s="433"/>
      <c r="C6930" s="614" t="s">
        <v>4225</v>
      </c>
      <c r="D6930" s="606" t="s">
        <v>4133</v>
      </c>
      <c r="E6930" s="606" t="n">
        <v>0.08</v>
      </c>
      <c r="F6930" s="361" t="n">
        <v>800</v>
      </c>
      <c r="G6930" s="615" t="n">
        <f aca="false">F6930*E6930</f>
        <v>64</v>
      </c>
      <c r="H6930" s="606"/>
    </row>
    <row r="6931" customFormat="false" ht="15" hidden="false" customHeight="false" outlineLevel="0" collapsed="false">
      <c r="A6931" s="571"/>
      <c r="B6931" s="433"/>
      <c r="C6931" s="614" t="s">
        <v>4189</v>
      </c>
      <c r="D6931" s="606" t="s">
        <v>4359</v>
      </c>
      <c r="E6931" s="606" t="n">
        <v>0.0006</v>
      </c>
      <c r="F6931" s="361" t="n">
        <v>130000</v>
      </c>
      <c r="G6931" s="615" t="n">
        <f aca="false">F6931*E6931</f>
        <v>78</v>
      </c>
      <c r="H6931" s="606"/>
    </row>
    <row r="6932" customFormat="false" ht="15" hidden="false" customHeight="false" outlineLevel="0" collapsed="false">
      <c r="A6932" s="571"/>
      <c r="B6932" s="433"/>
      <c r="C6932" s="614" t="s">
        <v>4154</v>
      </c>
      <c r="D6932" s="606" t="s">
        <v>4359</v>
      </c>
      <c r="E6932" s="606" t="n">
        <v>0.007</v>
      </c>
      <c r="F6932" s="361" t="n">
        <v>5800</v>
      </c>
      <c r="G6932" s="615" t="n">
        <f aca="false">F6932*E6932</f>
        <v>40.6</v>
      </c>
      <c r="H6932" s="606"/>
    </row>
    <row r="6933" customFormat="false" ht="15" hidden="false" customHeight="false" outlineLevel="0" collapsed="false">
      <c r="A6933" s="571"/>
      <c r="B6933" s="433"/>
      <c r="C6933" s="614" t="s">
        <v>5059</v>
      </c>
      <c r="D6933" s="606" t="s">
        <v>4359</v>
      </c>
      <c r="E6933" s="606" t="n">
        <v>0.01</v>
      </c>
      <c r="F6933" s="361" t="n">
        <v>1200</v>
      </c>
      <c r="G6933" s="615" t="n">
        <f aca="false">F6933*E6933</f>
        <v>12</v>
      </c>
      <c r="H6933" s="606"/>
    </row>
    <row r="6934" customFormat="false" ht="15" hidden="false" customHeight="false" outlineLevel="0" collapsed="false">
      <c r="A6934" s="571"/>
      <c r="B6934" s="433"/>
      <c r="C6934" s="614" t="s">
        <v>5350</v>
      </c>
      <c r="D6934" s="606" t="s">
        <v>4133</v>
      </c>
      <c r="E6934" s="606" t="n">
        <v>0.042</v>
      </c>
      <c r="F6934" s="361" t="n">
        <v>3500</v>
      </c>
      <c r="G6934" s="615" t="n">
        <f aca="false">F6934*E6934</f>
        <v>147</v>
      </c>
      <c r="H6934" s="606"/>
    </row>
    <row r="6935" customFormat="false" ht="15" hidden="false" customHeight="false" outlineLevel="0" collapsed="false">
      <c r="A6935" s="571"/>
      <c r="B6935" s="433"/>
      <c r="C6935" s="614" t="s">
        <v>4147</v>
      </c>
      <c r="D6935" s="606" t="s">
        <v>4359</v>
      </c>
      <c r="E6935" s="606" t="n">
        <v>0.05</v>
      </c>
      <c r="F6935" s="361" t="n">
        <v>1300</v>
      </c>
      <c r="G6935" s="615" t="n">
        <f aca="false">F6935*E6935</f>
        <v>65</v>
      </c>
      <c r="H6935" s="606"/>
    </row>
    <row r="6936" customFormat="false" ht="30" hidden="false" customHeight="false" outlineLevel="0" collapsed="false">
      <c r="A6936" s="571"/>
      <c r="B6936" s="433"/>
      <c r="C6936" s="614" t="s">
        <v>5351</v>
      </c>
      <c r="D6936" s="606" t="s">
        <v>4133</v>
      </c>
      <c r="E6936" s="606" t="n">
        <v>0.0025</v>
      </c>
      <c r="F6936" s="361" t="n">
        <v>78100</v>
      </c>
      <c r="G6936" s="615" t="n">
        <f aca="false">F6936*E6936</f>
        <v>195.25</v>
      </c>
      <c r="H6936" s="606"/>
    </row>
    <row r="6937" customFormat="false" ht="30" hidden="false" customHeight="false" outlineLevel="0" collapsed="false">
      <c r="A6937" s="571"/>
      <c r="B6937" s="433"/>
      <c r="C6937" s="614" t="s">
        <v>5352</v>
      </c>
      <c r="D6937" s="606" t="s">
        <v>4133</v>
      </c>
      <c r="E6937" s="606" t="n">
        <v>0.03</v>
      </c>
      <c r="F6937" s="361" t="n">
        <v>25500</v>
      </c>
      <c r="G6937" s="615" t="n">
        <f aca="false">F6937*E6937</f>
        <v>765</v>
      </c>
      <c r="H6937" s="606"/>
    </row>
    <row r="6938" customFormat="false" ht="15" hidden="false" customHeight="false" outlineLevel="0" collapsed="false">
      <c r="A6938" s="571"/>
      <c r="B6938" s="433"/>
      <c r="C6938" s="614" t="s">
        <v>4269</v>
      </c>
      <c r="D6938" s="606" t="s">
        <v>4359</v>
      </c>
      <c r="E6938" s="606" t="n">
        <v>0.125</v>
      </c>
      <c r="F6938" s="361" t="n">
        <v>3000</v>
      </c>
      <c r="G6938" s="615" t="n">
        <f aca="false">F6938*E6938</f>
        <v>375</v>
      </c>
      <c r="H6938" s="606"/>
    </row>
    <row r="6939" customFormat="false" ht="15" hidden="false" customHeight="false" outlineLevel="0" collapsed="false">
      <c r="A6939" s="571"/>
      <c r="B6939" s="433"/>
      <c r="C6939" s="614" t="s">
        <v>4545</v>
      </c>
      <c r="D6939" s="606" t="s">
        <v>4133</v>
      </c>
      <c r="E6939" s="606" t="n">
        <v>0.02</v>
      </c>
      <c r="F6939" s="361" t="n">
        <v>2500</v>
      </c>
      <c r="G6939" s="615" t="n">
        <f aca="false">F6939*E6939</f>
        <v>50</v>
      </c>
      <c r="H6939" s="606"/>
    </row>
    <row r="6940" customFormat="false" ht="30" hidden="false" customHeight="false" outlineLevel="0" collapsed="false">
      <c r="A6940" s="571"/>
      <c r="B6940" s="433"/>
      <c r="C6940" s="614" t="s">
        <v>5353</v>
      </c>
      <c r="D6940" s="606" t="s">
        <v>4359</v>
      </c>
      <c r="E6940" s="606" t="n">
        <v>0.0001</v>
      </c>
      <c r="F6940" s="361" t="n">
        <v>78100</v>
      </c>
      <c r="G6940" s="615" t="n">
        <f aca="false">F6940*E6940</f>
        <v>7.81</v>
      </c>
      <c r="H6940" s="606"/>
    </row>
    <row r="6941" customFormat="false" ht="30" hidden="false" customHeight="false" outlineLevel="0" collapsed="false">
      <c r="A6941" s="571"/>
      <c r="B6941" s="433"/>
      <c r="C6941" s="614" t="s">
        <v>5354</v>
      </c>
      <c r="D6941" s="606" t="s">
        <v>4133</v>
      </c>
      <c r="E6941" s="606" t="n">
        <v>0.06</v>
      </c>
      <c r="F6941" s="361" t="n">
        <v>3000</v>
      </c>
      <c r="G6941" s="615" t="n">
        <f aca="false">F6941*E6941</f>
        <v>180</v>
      </c>
      <c r="H6941" s="606"/>
    </row>
    <row r="6942" customFormat="false" ht="30" hidden="false" customHeight="false" outlineLevel="0" collapsed="false">
      <c r="A6942" s="571"/>
      <c r="B6942" s="433"/>
      <c r="C6942" s="614" t="s">
        <v>5355</v>
      </c>
      <c r="D6942" s="606" t="s">
        <v>4133</v>
      </c>
      <c r="E6942" s="606" t="n">
        <v>0.06</v>
      </c>
      <c r="F6942" s="361" t="n">
        <v>3000</v>
      </c>
      <c r="G6942" s="615" t="n">
        <f aca="false">F6942*E6942</f>
        <v>180</v>
      </c>
      <c r="H6942" s="606"/>
    </row>
    <row r="6943" customFormat="false" ht="15" hidden="false" customHeight="false" outlineLevel="0" collapsed="false">
      <c r="A6943" s="571"/>
      <c r="B6943" s="433"/>
      <c r="C6943" s="614" t="s">
        <v>5356</v>
      </c>
      <c r="D6943" s="606" t="s">
        <v>4133</v>
      </c>
      <c r="E6943" s="606" t="n">
        <v>0.1</v>
      </c>
      <c r="F6943" s="361" t="n">
        <v>6500</v>
      </c>
      <c r="G6943" s="615" t="n">
        <f aca="false">F6943*E6943</f>
        <v>650</v>
      </c>
      <c r="H6943" s="606"/>
    </row>
    <row r="6944" customFormat="false" ht="15" hidden="false" customHeight="false" outlineLevel="0" collapsed="false">
      <c r="A6944" s="571"/>
      <c r="B6944" s="433"/>
      <c r="C6944" s="614" t="s">
        <v>4214</v>
      </c>
      <c r="D6944" s="606" t="s">
        <v>4133</v>
      </c>
      <c r="E6944" s="606" t="n">
        <v>0.07</v>
      </c>
      <c r="F6944" s="361" t="n">
        <v>35000</v>
      </c>
      <c r="G6944" s="615" t="n">
        <f aca="false">F6944*E6944</f>
        <v>2450</v>
      </c>
      <c r="H6944" s="606"/>
    </row>
    <row r="6945" customFormat="false" ht="15" hidden="false" customHeight="false" outlineLevel="0" collapsed="false">
      <c r="A6945" s="571"/>
      <c r="B6945" s="433"/>
      <c r="C6945" s="614" t="s">
        <v>5357</v>
      </c>
      <c r="D6945" s="606" t="s">
        <v>4133</v>
      </c>
      <c r="E6945" s="606" t="n">
        <v>0.0002</v>
      </c>
      <c r="F6945" s="361" t="n">
        <v>590000</v>
      </c>
      <c r="G6945" s="615" t="n">
        <f aca="false">F6945*E6945</f>
        <v>118</v>
      </c>
      <c r="H6945" s="606"/>
    </row>
    <row r="6946" customFormat="false" ht="15" hidden="false" customHeight="false" outlineLevel="0" collapsed="false">
      <c r="A6946" s="571"/>
      <c r="B6946" s="433"/>
      <c r="C6946" s="614" t="s">
        <v>5358</v>
      </c>
      <c r="D6946" s="606" t="s">
        <v>5349</v>
      </c>
      <c r="E6946" s="606" t="n">
        <v>0.003</v>
      </c>
      <c r="F6946" s="361" t="n">
        <v>1500</v>
      </c>
      <c r="G6946" s="615" t="n">
        <f aca="false">F6946*E6946</f>
        <v>4.5</v>
      </c>
      <c r="H6946" s="606"/>
    </row>
    <row r="6947" customFormat="false" ht="30" hidden="false" customHeight="false" outlineLevel="0" collapsed="false">
      <c r="A6947" s="571"/>
      <c r="B6947" s="433"/>
      <c r="C6947" s="614" t="s">
        <v>5359</v>
      </c>
      <c r="D6947" s="606" t="s">
        <v>4359</v>
      </c>
      <c r="E6947" s="606" t="n">
        <v>0.0002</v>
      </c>
      <c r="F6947" s="361" t="n">
        <v>75000</v>
      </c>
      <c r="G6947" s="615" t="n">
        <f aca="false">F6947*E6947</f>
        <v>15</v>
      </c>
      <c r="H6947" s="606"/>
    </row>
    <row r="6948" customFormat="false" ht="15" hidden="false" customHeight="false" outlineLevel="0" collapsed="false">
      <c r="A6948" s="571"/>
      <c r="B6948" s="433"/>
      <c r="C6948" s="614" t="s">
        <v>4515</v>
      </c>
      <c r="D6948" s="606" t="s">
        <v>4133</v>
      </c>
      <c r="E6948" s="606" t="n">
        <v>0.0001</v>
      </c>
      <c r="F6948" s="361" t="n">
        <v>3500</v>
      </c>
      <c r="G6948" s="615" t="n">
        <f aca="false">F6948*E6948</f>
        <v>0.35</v>
      </c>
      <c r="H6948" s="606"/>
    </row>
    <row r="6949" customFormat="false" ht="15" hidden="false" customHeight="false" outlineLevel="0" collapsed="false">
      <c r="A6949" s="571"/>
      <c r="B6949" s="433"/>
      <c r="C6949" s="909" t="s">
        <v>4124</v>
      </c>
      <c r="D6949" s="606" t="s">
        <v>4516</v>
      </c>
      <c r="E6949" s="606" t="n">
        <v>0.5</v>
      </c>
      <c r="F6949" s="361" t="n">
        <v>80</v>
      </c>
      <c r="G6949" s="615" t="n">
        <f aca="false">F6949*E6949</f>
        <v>40</v>
      </c>
      <c r="H6949" s="606"/>
    </row>
    <row r="6950" customFormat="false" ht="15" hidden="false" customHeight="false" outlineLevel="0" collapsed="false">
      <c r="A6950" s="571" t="s">
        <v>1217</v>
      </c>
      <c r="B6950" s="433" t="s">
        <v>3365</v>
      </c>
      <c r="C6950" s="476"/>
      <c r="D6950" s="820"/>
      <c r="E6950" s="820"/>
      <c r="F6950" s="697"/>
      <c r="G6950" s="826" t="n">
        <f aca="false">SUM(G6951:G6961)</f>
        <v>5499.87</v>
      </c>
      <c r="H6950" s="606"/>
    </row>
    <row r="6951" customFormat="false" ht="15" hidden="false" customHeight="false" outlineLevel="0" collapsed="false">
      <c r="A6951" s="571"/>
      <c r="B6951" s="433"/>
      <c r="C6951" s="614" t="s">
        <v>4877</v>
      </c>
      <c r="D6951" s="606" t="s">
        <v>4359</v>
      </c>
      <c r="E6951" s="606" t="n">
        <v>0.5</v>
      </c>
      <c r="F6951" s="361" t="n">
        <v>650</v>
      </c>
      <c r="G6951" s="615" t="n">
        <f aca="false">F6951*E6951</f>
        <v>325</v>
      </c>
      <c r="H6951" s="606"/>
    </row>
    <row r="6952" customFormat="false" ht="15" hidden="false" customHeight="false" outlineLevel="0" collapsed="false">
      <c r="A6952" s="571"/>
      <c r="B6952" s="433"/>
      <c r="C6952" s="614" t="s">
        <v>4244</v>
      </c>
      <c r="D6952" s="606" t="s">
        <v>4133</v>
      </c>
      <c r="E6952" s="606" t="n">
        <v>0.0372</v>
      </c>
      <c r="F6952" s="361" t="n">
        <v>3500</v>
      </c>
      <c r="G6952" s="615" t="n">
        <f aca="false">F6952*E6952</f>
        <v>130.2</v>
      </c>
      <c r="H6952" s="606"/>
    </row>
    <row r="6953" customFormat="false" ht="15" hidden="false" customHeight="false" outlineLevel="0" collapsed="false">
      <c r="A6953" s="571"/>
      <c r="B6953" s="433"/>
      <c r="C6953" s="614" t="s">
        <v>5362</v>
      </c>
      <c r="D6953" s="606" t="s">
        <v>4133</v>
      </c>
      <c r="E6953" s="606" t="n">
        <v>0.035</v>
      </c>
      <c r="F6953" s="361" t="n">
        <v>125000</v>
      </c>
      <c r="G6953" s="615" t="n">
        <f aca="false">F6953*E6953</f>
        <v>4375</v>
      </c>
      <c r="H6953" s="606"/>
    </row>
    <row r="6954" customFormat="false" ht="15" hidden="false" customHeight="false" outlineLevel="0" collapsed="false">
      <c r="A6954" s="571"/>
      <c r="B6954" s="433"/>
      <c r="C6954" s="614" t="s">
        <v>4549</v>
      </c>
      <c r="D6954" s="606" t="s">
        <v>4133</v>
      </c>
      <c r="E6954" s="606" t="n">
        <v>0.0025</v>
      </c>
      <c r="F6954" s="361" t="n">
        <v>5800</v>
      </c>
      <c r="G6954" s="615" t="n">
        <f aca="false">F6954*E6954</f>
        <v>14.5</v>
      </c>
      <c r="H6954" s="606"/>
    </row>
    <row r="6955" customFormat="false" ht="15" hidden="false" customHeight="false" outlineLevel="0" collapsed="false">
      <c r="A6955" s="571"/>
      <c r="B6955" s="433"/>
      <c r="C6955" s="614" t="s">
        <v>4122</v>
      </c>
      <c r="D6955" s="606" t="s">
        <v>4359</v>
      </c>
      <c r="E6955" s="606" t="n">
        <v>0.01</v>
      </c>
      <c r="F6955" s="361" t="n">
        <v>720</v>
      </c>
      <c r="G6955" s="615" t="n">
        <f aca="false">F6955*E6955</f>
        <v>7.2</v>
      </c>
      <c r="H6955" s="606"/>
    </row>
    <row r="6956" customFormat="false" ht="15" hidden="false" customHeight="false" outlineLevel="0" collapsed="false">
      <c r="A6956" s="571"/>
      <c r="B6956" s="433"/>
      <c r="C6956" s="614" t="s">
        <v>5363</v>
      </c>
      <c r="D6956" s="606" t="s">
        <v>4133</v>
      </c>
      <c r="E6956" s="606" t="n">
        <v>0.02</v>
      </c>
      <c r="F6956" s="361" t="n">
        <v>28000</v>
      </c>
      <c r="G6956" s="615" t="n">
        <f aca="false">F6956*E6956</f>
        <v>560</v>
      </c>
      <c r="H6956" s="606"/>
    </row>
    <row r="6957" customFormat="false" ht="15" hidden="false" customHeight="false" outlineLevel="0" collapsed="false">
      <c r="A6957" s="571"/>
      <c r="B6957" s="433"/>
      <c r="C6957" s="614" t="s">
        <v>4628</v>
      </c>
      <c r="D6957" s="606" t="s">
        <v>4133</v>
      </c>
      <c r="E6957" s="606" t="n">
        <v>0.04</v>
      </c>
      <c r="F6957" s="361" t="n">
        <v>800</v>
      </c>
      <c r="G6957" s="615" t="n">
        <f aca="false">F6957*E6957</f>
        <v>32</v>
      </c>
      <c r="H6957" s="606"/>
    </row>
    <row r="6958" customFormat="false" ht="15" hidden="false" customHeight="false" outlineLevel="0" collapsed="false">
      <c r="A6958" s="571"/>
      <c r="B6958" s="433"/>
      <c r="C6958" s="614" t="s">
        <v>4515</v>
      </c>
      <c r="D6958" s="606" t="s">
        <v>4133</v>
      </c>
      <c r="E6958" s="606" t="n">
        <v>0.0001</v>
      </c>
      <c r="F6958" s="361" t="n">
        <v>3500</v>
      </c>
      <c r="G6958" s="615" t="n">
        <f aca="false">F6958*E6958</f>
        <v>0.35</v>
      </c>
      <c r="H6958" s="606"/>
    </row>
    <row r="6959" customFormat="false" ht="15" hidden="false" customHeight="false" outlineLevel="0" collapsed="false">
      <c r="A6959" s="571"/>
      <c r="B6959" s="433"/>
      <c r="C6959" s="909" t="s">
        <v>4124</v>
      </c>
      <c r="D6959" s="606" t="s">
        <v>4516</v>
      </c>
      <c r="E6959" s="606" t="n">
        <v>0.5</v>
      </c>
      <c r="F6959" s="361" t="n">
        <v>80</v>
      </c>
      <c r="G6959" s="615" t="n">
        <f aca="false">F6959*E6959</f>
        <v>40</v>
      </c>
      <c r="H6959" s="606"/>
    </row>
    <row r="6960" customFormat="false" ht="30" hidden="false" customHeight="false" outlineLevel="0" collapsed="false">
      <c r="A6960" s="571"/>
      <c r="B6960" s="433"/>
      <c r="C6960" s="614" t="s">
        <v>5364</v>
      </c>
      <c r="D6960" s="606" t="s">
        <v>4133</v>
      </c>
      <c r="E6960" s="606" t="n">
        <v>0.0002</v>
      </c>
      <c r="F6960" s="361" t="n">
        <v>78100</v>
      </c>
      <c r="G6960" s="615" t="n">
        <f aca="false">F6960*E6960</f>
        <v>15.62</v>
      </c>
      <c r="H6960" s="606"/>
    </row>
    <row r="6961" customFormat="false" ht="15" hidden="false" customHeight="false" outlineLevel="0" collapsed="false">
      <c r="A6961" s="571"/>
      <c r="B6961" s="433"/>
      <c r="C6961" s="614" t="s">
        <v>4120</v>
      </c>
      <c r="D6961" s="606" t="s">
        <v>5349</v>
      </c>
      <c r="E6961" s="606" t="n">
        <v>0.003</v>
      </c>
      <c r="F6961" s="361" t="n">
        <v>1500</v>
      </c>
      <c r="G6961" s="615" t="n">
        <f aca="false">F76412*E76412</f>
        <v>0</v>
      </c>
      <c r="H6961" s="606"/>
    </row>
    <row r="6962" customFormat="false" ht="15" hidden="false" customHeight="false" outlineLevel="0" collapsed="false">
      <c r="A6962" s="571" t="s">
        <v>1219</v>
      </c>
      <c r="B6962" s="433" t="s">
        <v>3366</v>
      </c>
      <c r="C6962" s="476"/>
      <c r="D6962" s="820"/>
      <c r="E6962" s="820"/>
      <c r="F6962" s="697"/>
      <c r="G6962" s="826" t="n">
        <f aca="false">SUM(G6963:G6976)</f>
        <v>4323.7</v>
      </c>
      <c r="H6962" s="606"/>
    </row>
    <row r="6963" customFormat="false" ht="15" hidden="false" customHeight="false" outlineLevel="0" collapsed="false">
      <c r="A6963" s="571"/>
      <c r="B6963" s="433"/>
      <c r="C6963" s="614" t="s">
        <v>4225</v>
      </c>
      <c r="D6963" s="606" t="s">
        <v>4133</v>
      </c>
      <c r="E6963" s="606" t="n">
        <v>0.05</v>
      </c>
      <c r="F6963" s="361" t="n">
        <v>800</v>
      </c>
      <c r="G6963" s="615" t="n">
        <f aca="false">F6963*E6963</f>
        <v>40</v>
      </c>
      <c r="H6963" s="606"/>
    </row>
    <row r="6964" customFormat="false" ht="15" hidden="false" customHeight="false" outlineLevel="0" collapsed="false">
      <c r="A6964" s="571"/>
      <c r="B6964" s="433"/>
      <c r="C6964" s="614" t="s">
        <v>4189</v>
      </c>
      <c r="D6964" s="606" t="s">
        <v>4359</v>
      </c>
      <c r="E6964" s="606" t="n">
        <v>0.0004</v>
      </c>
      <c r="F6964" s="361" t="n">
        <v>130000</v>
      </c>
      <c r="G6964" s="615" t="n">
        <f aca="false">F6964*E6964</f>
        <v>52</v>
      </c>
      <c r="H6964" s="606"/>
    </row>
    <row r="6965" customFormat="false" ht="15" hidden="false" customHeight="false" outlineLevel="0" collapsed="false">
      <c r="A6965" s="571"/>
      <c r="B6965" s="433"/>
      <c r="C6965" s="614" t="s">
        <v>4147</v>
      </c>
      <c r="D6965" s="606" t="s">
        <v>4359</v>
      </c>
      <c r="E6965" s="606" t="n">
        <v>0.05</v>
      </c>
      <c r="F6965" s="361" t="n">
        <v>1300</v>
      </c>
      <c r="G6965" s="615" t="n">
        <f aca="false">F6965*E6965</f>
        <v>65</v>
      </c>
      <c r="H6965" s="606"/>
    </row>
    <row r="6966" customFormat="false" ht="30" hidden="false" customHeight="false" outlineLevel="0" collapsed="false">
      <c r="A6966" s="571"/>
      <c r="B6966" s="433"/>
      <c r="C6966" s="614" t="s">
        <v>5351</v>
      </c>
      <c r="D6966" s="606" t="s">
        <v>4133</v>
      </c>
      <c r="E6966" s="606" t="n">
        <v>0.0025</v>
      </c>
      <c r="F6966" s="361" t="n">
        <v>78100</v>
      </c>
      <c r="G6966" s="615" t="n">
        <f aca="false">F6966*E6966</f>
        <v>195.25</v>
      </c>
      <c r="H6966" s="606"/>
    </row>
    <row r="6967" customFormat="false" ht="30" hidden="false" customHeight="false" outlineLevel="0" collapsed="false">
      <c r="A6967" s="571"/>
      <c r="B6967" s="433"/>
      <c r="C6967" s="614" t="s">
        <v>5352</v>
      </c>
      <c r="D6967" s="606" t="s">
        <v>4133</v>
      </c>
      <c r="E6967" s="606" t="n">
        <v>0.05</v>
      </c>
      <c r="F6967" s="361" t="n">
        <v>25500</v>
      </c>
      <c r="G6967" s="615" t="n">
        <f aca="false">F6967*E6967</f>
        <v>1275</v>
      </c>
      <c r="H6967" s="606"/>
    </row>
    <row r="6968" customFormat="false" ht="15" hidden="false" customHeight="false" outlineLevel="0" collapsed="false">
      <c r="A6968" s="571"/>
      <c r="B6968" s="433"/>
      <c r="C6968" s="614" t="s">
        <v>4545</v>
      </c>
      <c r="D6968" s="606" t="s">
        <v>4133</v>
      </c>
      <c r="E6968" s="606" t="n">
        <v>0.02</v>
      </c>
      <c r="F6968" s="361" t="n">
        <v>2500</v>
      </c>
      <c r="G6968" s="615" t="n">
        <f aca="false">F6968*E6968</f>
        <v>50</v>
      </c>
      <c r="H6968" s="606"/>
    </row>
    <row r="6969" customFormat="false" ht="30" hidden="false" customHeight="false" outlineLevel="0" collapsed="false">
      <c r="A6969" s="571"/>
      <c r="B6969" s="433"/>
      <c r="C6969" s="614" t="s">
        <v>5353</v>
      </c>
      <c r="D6969" s="606" t="s">
        <v>4133</v>
      </c>
      <c r="E6969" s="606" t="n">
        <v>0.001</v>
      </c>
      <c r="F6969" s="361" t="n">
        <v>78100</v>
      </c>
      <c r="G6969" s="615" t="n">
        <f aca="false">F6969*E6969</f>
        <v>78.1</v>
      </c>
      <c r="H6969" s="606"/>
    </row>
    <row r="6970" customFormat="false" ht="30" hidden="false" customHeight="false" outlineLevel="0" collapsed="false">
      <c r="A6970" s="571"/>
      <c r="B6970" s="433"/>
      <c r="C6970" s="614" t="s">
        <v>5354</v>
      </c>
      <c r="D6970" s="606" t="s">
        <v>4133</v>
      </c>
      <c r="E6970" s="606" t="n">
        <v>0.06</v>
      </c>
      <c r="F6970" s="361" t="n">
        <v>3000</v>
      </c>
      <c r="G6970" s="615" t="n">
        <f aca="false">F6970*E6970</f>
        <v>180</v>
      </c>
      <c r="H6970" s="606"/>
    </row>
    <row r="6971" customFormat="false" ht="30" hidden="false" customHeight="false" outlineLevel="0" collapsed="false">
      <c r="A6971" s="571"/>
      <c r="B6971" s="433"/>
      <c r="C6971" s="614" t="s">
        <v>5355</v>
      </c>
      <c r="D6971" s="606" t="s">
        <v>4133</v>
      </c>
      <c r="E6971" s="606" t="n">
        <v>0.06</v>
      </c>
      <c r="F6971" s="361" t="n">
        <v>3000</v>
      </c>
      <c r="G6971" s="615" t="n">
        <f aca="false">F6971*E6971</f>
        <v>180</v>
      </c>
      <c r="H6971" s="606"/>
    </row>
    <row r="6972" customFormat="false" ht="15" hidden="false" customHeight="false" outlineLevel="0" collapsed="false">
      <c r="A6972" s="571"/>
      <c r="B6972" s="433"/>
      <c r="C6972" s="614" t="s">
        <v>5356</v>
      </c>
      <c r="D6972" s="606" t="s">
        <v>4133</v>
      </c>
      <c r="E6972" s="606" t="n">
        <v>0.1</v>
      </c>
      <c r="F6972" s="361" t="n">
        <v>6500</v>
      </c>
      <c r="G6972" s="615" t="n">
        <f aca="false">F6972*E6972</f>
        <v>650</v>
      </c>
      <c r="H6972" s="606"/>
    </row>
    <row r="6973" customFormat="false" ht="15" hidden="false" customHeight="false" outlineLevel="0" collapsed="false">
      <c r="A6973" s="571"/>
      <c r="B6973" s="433"/>
      <c r="C6973" s="614" t="s">
        <v>4214</v>
      </c>
      <c r="D6973" s="606" t="s">
        <v>4133</v>
      </c>
      <c r="E6973" s="606" t="n">
        <v>0.04</v>
      </c>
      <c r="F6973" s="361" t="n">
        <v>35000</v>
      </c>
      <c r="G6973" s="615" t="n">
        <f aca="false">F6973*E6973</f>
        <v>1400</v>
      </c>
      <c r="H6973" s="606"/>
    </row>
    <row r="6974" customFormat="false" ht="15" hidden="false" customHeight="false" outlineLevel="0" collapsed="false">
      <c r="A6974" s="571"/>
      <c r="B6974" s="433"/>
      <c r="C6974" s="614" t="s">
        <v>5357</v>
      </c>
      <c r="D6974" s="606" t="s">
        <v>4133</v>
      </c>
      <c r="E6974" s="606" t="n">
        <v>0.0002</v>
      </c>
      <c r="F6974" s="361" t="n">
        <v>590000</v>
      </c>
      <c r="G6974" s="615" t="n">
        <f aca="false">F6974*E6974</f>
        <v>118</v>
      </c>
      <c r="H6974" s="606"/>
    </row>
    <row r="6975" customFormat="false" ht="15" hidden="false" customHeight="false" outlineLevel="0" collapsed="false">
      <c r="A6975" s="571"/>
      <c r="B6975" s="433"/>
      <c r="C6975" s="614" t="s">
        <v>4515</v>
      </c>
      <c r="D6975" s="606" t="s">
        <v>4133</v>
      </c>
      <c r="E6975" s="606" t="n">
        <v>0.0001</v>
      </c>
      <c r="F6975" s="361" t="n">
        <v>3500</v>
      </c>
      <c r="G6975" s="615" t="n">
        <f aca="false">F6975*E6975</f>
        <v>0.35</v>
      </c>
      <c r="H6975" s="606"/>
    </row>
    <row r="6976" customFormat="false" ht="15" hidden="false" customHeight="false" outlineLevel="0" collapsed="false">
      <c r="A6976" s="571"/>
      <c r="B6976" s="433"/>
      <c r="C6976" s="909" t="s">
        <v>4124</v>
      </c>
      <c r="D6976" s="606" t="s">
        <v>4516</v>
      </c>
      <c r="E6976" s="606" t="n">
        <v>0.5</v>
      </c>
      <c r="F6976" s="361" t="n">
        <v>80</v>
      </c>
      <c r="G6976" s="615" t="n">
        <f aca="false">F6976*E6976</f>
        <v>40</v>
      </c>
      <c r="H6976" s="606"/>
    </row>
    <row r="6977" customFormat="false" ht="15" hidden="false" customHeight="false" outlineLevel="0" collapsed="false">
      <c r="A6977" s="571" t="s">
        <v>1221</v>
      </c>
      <c r="B6977" s="433" t="s">
        <v>3367</v>
      </c>
      <c r="C6977" s="476"/>
      <c r="D6977" s="820"/>
      <c r="E6977" s="820"/>
      <c r="F6977" s="697"/>
      <c r="G6977" s="826" t="n">
        <f aca="false">SUM(G6978:G6995)</f>
        <v>5329.45</v>
      </c>
      <c r="H6977" s="606"/>
    </row>
    <row r="6978" customFormat="false" ht="15" hidden="false" customHeight="false" outlineLevel="0" collapsed="false">
      <c r="A6978" s="571"/>
      <c r="B6978" s="433"/>
      <c r="C6978" s="614" t="s">
        <v>4225</v>
      </c>
      <c r="D6978" s="606" t="s">
        <v>4133</v>
      </c>
      <c r="E6978" s="606" t="n">
        <v>0.05</v>
      </c>
      <c r="F6978" s="361" t="n">
        <v>800</v>
      </c>
      <c r="G6978" s="615" t="n">
        <f aca="false">F6978*E6978</f>
        <v>40</v>
      </c>
      <c r="H6978" s="606"/>
    </row>
    <row r="6979" customFormat="false" ht="15" hidden="false" customHeight="false" outlineLevel="0" collapsed="false">
      <c r="A6979" s="571"/>
      <c r="B6979" s="433"/>
      <c r="C6979" s="614" t="s">
        <v>4189</v>
      </c>
      <c r="D6979" s="606" t="s">
        <v>4359</v>
      </c>
      <c r="E6979" s="606" t="n">
        <v>0.0004</v>
      </c>
      <c r="F6979" s="361" t="n">
        <v>130000</v>
      </c>
      <c r="G6979" s="615" t="n">
        <f aca="false">F6979*E6979</f>
        <v>52</v>
      </c>
      <c r="H6979" s="606"/>
    </row>
    <row r="6980" customFormat="false" ht="15" hidden="false" customHeight="false" outlineLevel="0" collapsed="false">
      <c r="A6980" s="571"/>
      <c r="B6980" s="433"/>
      <c r="C6980" s="614" t="s">
        <v>4147</v>
      </c>
      <c r="D6980" s="606" t="s">
        <v>4359</v>
      </c>
      <c r="E6980" s="606" t="n">
        <v>0.05</v>
      </c>
      <c r="F6980" s="361" t="n">
        <v>1300</v>
      </c>
      <c r="G6980" s="615" t="n">
        <f aca="false">F6980*E6980</f>
        <v>65</v>
      </c>
      <c r="H6980" s="606"/>
    </row>
    <row r="6981" customFormat="false" ht="30" hidden="false" customHeight="false" outlineLevel="0" collapsed="false">
      <c r="A6981" s="571"/>
      <c r="B6981" s="433"/>
      <c r="C6981" s="614" t="s">
        <v>5351</v>
      </c>
      <c r="D6981" s="606" t="s">
        <v>4133</v>
      </c>
      <c r="E6981" s="606" t="n">
        <v>0.0025</v>
      </c>
      <c r="F6981" s="361" t="n">
        <v>78100</v>
      </c>
      <c r="G6981" s="615" t="n">
        <f aca="false">F6981*E6981</f>
        <v>195.25</v>
      </c>
      <c r="H6981" s="606"/>
    </row>
    <row r="6982" customFormat="false" ht="30" hidden="false" customHeight="false" outlineLevel="0" collapsed="false">
      <c r="A6982" s="571"/>
      <c r="B6982" s="433"/>
      <c r="C6982" s="614" t="s">
        <v>5352</v>
      </c>
      <c r="D6982" s="606" t="s">
        <v>4133</v>
      </c>
      <c r="E6982" s="606" t="n">
        <v>0.05</v>
      </c>
      <c r="F6982" s="361" t="n">
        <v>25500</v>
      </c>
      <c r="G6982" s="615" t="n">
        <f aca="false">F6982*E6982</f>
        <v>1275</v>
      </c>
      <c r="H6982" s="606"/>
    </row>
    <row r="6983" customFormat="false" ht="15" hidden="false" customHeight="false" outlineLevel="0" collapsed="false">
      <c r="A6983" s="571"/>
      <c r="B6983" s="433"/>
      <c r="C6983" s="614" t="s">
        <v>4545</v>
      </c>
      <c r="D6983" s="606" t="s">
        <v>4133</v>
      </c>
      <c r="E6983" s="606" t="n">
        <v>0.02</v>
      </c>
      <c r="F6983" s="361" t="n">
        <v>2500</v>
      </c>
      <c r="G6983" s="615" t="n">
        <f aca="false">F6983*E6983</f>
        <v>50</v>
      </c>
      <c r="H6983" s="606"/>
    </row>
    <row r="6984" customFormat="false" ht="30" hidden="false" customHeight="false" outlineLevel="0" collapsed="false">
      <c r="A6984" s="571"/>
      <c r="B6984" s="433"/>
      <c r="C6984" s="614" t="s">
        <v>5353</v>
      </c>
      <c r="D6984" s="606" t="s">
        <v>4133</v>
      </c>
      <c r="E6984" s="606" t="n">
        <v>0.001</v>
      </c>
      <c r="F6984" s="361" t="n">
        <v>78100</v>
      </c>
      <c r="G6984" s="615" t="n">
        <f aca="false">F6984*E6984</f>
        <v>78.1</v>
      </c>
      <c r="H6984" s="606"/>
    </row>
    <row r="6985" customFormat="false" ht="30" hidden="false" customHeight="false" outlineLevel="0" collapsed="false">
      <c r="A6985" s="571"/>
      <c r="B6985" s="433"/>
      <c r="C6985" s="614" t="s">
        <v>5354</v>
      </c>
      <c r="D6985" s="606" t="s">
        <v>4133</v>
      </c>
      <c r="E6985" s="606" t="n">
        <v>0.06</v>
      </c>
      <c r="F6985" s="361" t="n">
        <v>3000</v>
      </c>
      <c r="G6985" s="615" t="n">
        <f aca="false">F6985*E6985</f>
        <v>180</v>
      </c>
      <c r="H6985" s="606"/>
    </row>
    <row r="6986" customFormat="false" ht="30" hidden="false" customHeight="false" outlineLevel="0" collapsed="false">
      <c r="A6986" s="571"/>
      <c r="B6986" s="433"/>
      <c r="C6986" s="614" t="s">
        <v>5355</v>
      </c>
      <c r="D6986" s="606" t="s">
        <v>4133</v>
      </c>
      <c r="E6986" s="606" t="n">
        <v>0.06</v>
      </c>
      <c r="F6986" s="361" t="n">
        <v>3000</v>
      </c>
      <c r="G6986" s="615" t="n">
        <f aca="false">F6986*E6986</f>
        <v>180</v>
      </c>
      <c r="H6986" s="606"/>
    </row>
    <row r="6987" customFormat="false" ht="15" hidden="false" customHeight="false" outlineLevel="0" collapsed="false">
      <c r="A6987" s="571"/>
      <c r="B6987" s="433"/>
      <c r="C6987" s="614" t="s">
        <v>5356</v>
      </c>
      <c r="D6987" s="606" t="s">
        <v>4133</v>
      </c>
      <c r="E6987" s="606" t="n">
        <v>0.1</v>
      </c>
      <c r="F6987" s="361" t="n">
        <v>6500</v>
      </c>
      <c r="G6987" s="615" t="n">
        <f aca="false">F6987*E6987</f>
        <v>650</v>
      </c>
      <c r="H6987" s="606"/>
    </row>
    <row r="6988" customFormat="false" ht="15" hidden="false" customHeight="false" outlineLevel="0" collapsed="false">
      <c r="A6988" s="571"/>
      <c r="B6988" s="433"/>
      <c r="C6988" s="614" t="s">
        <v>4214</v>
      </c>
      <c r="D6988" s="606" t="s">
        <v>4133</v>
      </c>
      <c r="E6988" s="606" t="n">
        <v>0.04</v>
      </c>
      <c r="F6988" s="361" t="n">
        <v>35000</v>
      </c>
      <c r="G6988" s="615" t="n">
        <f aca="false">F6988*E6988</f>
        <v>1400</v>
      </c>
      <c r="H6988" s="606"/>
    </row>
    <row r="6989" customFormat="false" ht="15" hidden="false" customHeight="false" outlineLevel="0" collapsed="false">
      <c r="A6989" s="571"/>
      <c r="B6989" s="433"/>
      <c r="C6989" s="614" t="s">
        <v>5357</v>
      </c>
      <c r="D6989" s="606" t="s">
        <v>4133</v>
      </c>
      <c r="E6989" s="606" t="n">
        <v>0.0002</v>
      </c>
      <c r="F6989" s="361" t="n">
        <v>590000</v>
      </c>
      <c r="G6989" s="615" t="n">
        <f aca="false">F6989*E6989</f>
        <v>118</v>
      </c>
      <c r="H6989" s="606"/>
    </row>
    <row r="6990" customFormat="false" ht="15" hidden="false" customHeight="false" outlineLevel="0" collapsed="false">
      <c r="A6990" s="571"/>
      <c r="B6990" s="433"/>
      <c r="C6990" s="614" t="s">
        <v>4515</v>
      </c>
      <c r="D6990" s="606" t="s">
        <v>4133</v>
      </c>
      <c r="E6990" s="606" t="n">
        <v>0.0001</v>
      </c>
      <c r="F6990" s="361" t="n">
        <v>3500</v>
      </c>
      <c r="G6990" s="615" t="n">
        <f aca="false">F6990*E6990</f>
        <v>0.35</v>
      </c>
      <c r="H6990" s="606"/>
    </row>
    <row r="6991" customFormat="false" ht="15" hidden="false" customHeight="false" outlineLevel="0" collapsed="false">
      <c r="A6991" s="571"/>
      <c r="B6991" s="433"/>
      <c r="C6991" s="909" t="s">
        <v>4124</v>
      </c>
      <c r="D6991" s="606" t="s">
        <v>4516</v>
      </c>
      <c r="E6991" s="606" t="n">
        <v>0.5</v>
      </c>
      <c r="F6991" s="361" t="n">
        <v>80</v>
      </c>
      <c r="G6991" s="615" t="n">
        <f aca="false">F6991*E6991</f>
        <v>40</v>
      </c>
      <c r="H6991" s="606"/>
    </row>
    <row r="6992" customFormat="false" ht="15" hidden="false" customHeight="false" outlineLevel="0" collapsed="false">
      <c r="A6992" s="571"/>
      <c r="B6992" s="433"/>
      <c r="C6992" s="614" t="s">
        <v>4120</v>
      </c>
      <c r="D6992" s="606" t="s">
        <v>5349</v>
      </c>
      <c r="E6992" s="705" t="n">
        <v>0.003</v>
      </c>
      <c r="F6992" s="361" t="n">
        <v>1500</v>
      </c>
      <c r="G6992" s="615" t="n">
        <f aca="false">F6992*E6992</f>
        <v>4.5</v>
      </c>
      <c r="H6992" s="606"/>
    </row>
    <row r="6993" customFormat="false" ht="15" hidden="false" customHeight="false" outlineLevel="0" collapsed="false">
      <c r="A6993" s="571"/>
      <c r="B6993" s="433"/>
      <c r="C6993" s="614" t="s">
        <v>4154</v>
      </c>
      <c r="D6993" s="606" t="s">
        <v>4359</v>
      </c>
      <c r="E6993" s="606" t="n">
        <v>0.025</v>
      </c>
      <c r="F6993" s="361" t="n">
        <v>5800</v>
      </c>
      <c r="G6993" s="615" t="n">
        <f aca="false">F6993*E6993</f>
        <v>145</v>
      </c>
      <c r="H6993" s="606"/>
    </row>
    <row r="6994" customFormat="false" ht="15" hidden="false" customHeight="false" outlineLevel="0" collapsed="false">
      <c r="A6994" s="571"/>
      <c r="B6994" s="433"/>
      <c r="C6994" s="614" t="s">
        <v>5365</v>
      </c>
      <c r="D6994" s="606" t="s">
        <v>4133</v>
      </c>
      <c r="E6994" s="606" t="n">
        <v>0.009</v>
      </c>
      <c r="F6994" s="361" t="n">
        <v>6250</v>
      </c>
      <c r="G6994" s="615" t="n">
        <f aca="false">F6994*E6994</f>
        <v>56.25</v>
      </c>
      <c r="H6994" s="606"/>
    </row>
    <row r="6995" customFormat="false" ht="15" hidden="false" customHeight="false" outlineLevel="0" collapsed="false">
      <c r="A6995" s="571"/>
      <c r="B6995" s="433"/>
      <c r="C6995" s="614" t="s">
        <v>5366</v>
      </c>
      <c r="D6995" s="606" t="s">
        <v>4359</v>
      </c>
      <c r="E6995" s="606" t="n">
        <v>0.01</v>
      </c>
      <c r="F6995" s="361" t="n">
        <v>80000</v>
      </c>
      <c r="G6995" s="615" t="n">
        <f aca="false">F6995*E6995</f>
        <v>800</v>
      </c>
      <c r="H6995" s="606"/>
    </row>
    <row r="6996" customFormat="false" ht="15" hidden="false" customHeight="false" outlineLevel="0" collapsed="false">
      <c r="A6996" s="571" t="s">
        <v>1223</v>
      </c>
      <c r="B6996" s="433" t="s">
        <v>3368</v>
      </c>
      <c r="C6996" s="476"/>
      <c r="D6996" s="820"/>
      <c r="E6996" s="820"/>
      <c r="F6996" s="697"/>
      <c r="G6996" s="826" t="n">
        <f aca="false">SUM(G6997:G7014)</f>
        <v>5329.45</v>
      </c>
      <c r="H6996" s="606"/>
    </row>
    <row r="6997" customFormat="false" ht="15" hidden="false" customHeight="false" outlineLevel="0" collapsed="false">
      <c r="A6997" s="571"/>
      <c r="B6997" s="433"/>
      <c r="C6997" s="614" t="s">
        <v>4225</v>
      </c>
      <c r="D6997" s="606" t="s">
        <v>4133</v>
      </c>
      <c r="E6997" s="606" t="n">
        <v>0.05</v>
      </c>
      <c r="F6997" s="361" t="n">
        <v>800</v>
      </c>
      <c r="G6997" s="615" t="n">
        <f aca="false">F6997*E6997</f>
        <v>40</v>
      </c>
      <c r="H6997" s="606"/>
    </row>
    <row r="6998" customFormat="false" ht="15" hidden="false" customHeight="false" outlineLevel="0" collapsed="false">
      <c r="A6998" s="571"/>
      <c r="B6998" s="433"/>
      <c r="C6998" s="614" t="s">
        <v>4189</v>
      </c>
      <c r="D6998" s="606" t="s">
        <v>4359</v>
      </c>
      <c r="E6998" s="606" t="n">
        <v>0.0004</v>
      </c>
      <c r="F6998" s="361" t="n">
        <v>130000</v>
      </c>
      <c r="G6998" s="615" t="n">
        <f aca="false">F6998*E6998</f>
        <v>52</v>
      </c>
      <c r="H6998" s="606"/>
    </row>
    <row r="6999" customFormat="false" ht="15" hidden="false" customHeight="false" outlineLevel="0" collapsed="false">
      <c r="A6999" s="571"/>
      <c r="B6999" s="433"/>
      <c r="C6999" s="614" t="s">
        <v>4147</v>
      </c>
      <c r="D6999" s="606" t="s">
        <v>4359</v>
      </c>
      <c r="E6999" s="606" t="n">
        <v>0.05</v>
      </c>
      <c r="F6999" s="361" t="n">
        <v>1300</v>
      </c>
      <c r="G6999" s="615" t="n">
        <f aca="false">F6999*E6999</f>
        <v>65</v>
      </c>
      <c r="H6999" s="606"/>
    </row>
    <row r="7000" customFormat="false" ht="30" hidden="false" customHeight="false" outlineLevel="0" collapsed="false">
      <c r="A7000" s="571"/>
      <c r="B7000" s="433"/>
      <c r="C7000" s="614" t="s">
        <v>5351</v>
      </c>
      <c r="D7000" s="606" t="s">
        <v>4133</v>
      </c>
      <c r="E7000" s="606" t="n">
        <v>0.0025</v>
      </c>
      <c r="F7000" s="361" t="n">
        <v>78100</v>
      </c>
      <c r="G7000" s="615" t="n">
        <f aca="false">F7000*E7000</f>
        <v>195.25</v>
      </c>
      <c r="H7000" s="606"/>
    </row>
    <row r="7001" customFormat="false" ht="30" hidden="false" customHeight="false" outlineLevel="0" collapsed="false">
      <c r="A7001" s="571"/>
      <c r="B7001" s="433"/>
      <c r="C7001" s="614" t="s">
        <v>5352</v>
      </c>
      <c r="D7001" s="606" t="s">
        <v>4133</v>
      </c>
      <c r="E7001" s="606" t="n">
        <v>0.05</v>
      </c>
      <c r="F7001" s="361" t="n">
        <v>25500</v>
      </c>
      <c r="G7001" s="615" t="n">
        <f aca="false">F7001*E7001</f>
        <v>1275</v>
      </c>
      <c r="H7001" s="606"/>
    </row>
    <row r="7002" customFormat="false" ht="15" hidden="false" customHeight="false" outlineLevel="0" collapsed="false">
      <c r="A7002" s="571"/>
      <c r="B7002" s="433"/>
      <c r="C7002" s="614" t="s">
        <v>4545</v>
      </c>
      <c r="D7002" s="606" t="s">
        <v>4133</v>
      </c>
      <c r="E7002" s="606" t="n">
        <v>0.02</v>
      </c>
      <c r="F7002" s="361" t="n">
        <v>2500</v>
      </c>
      <c r="G7002" s="615" t="n">
        <f aca="false">F7002*E7002</f>
        <v>50</v>
      </c>
      <c r="H7002" s="606"/>
    </row>
    <row r="7003" customFormat="false" ht="30" hidden="false" customHeight="false" outlineLevel="0" collapsed="false">
      <c r="A7003" s="571"/>
      <c r="B7003" s="433"/>
      <c r="C7003" s="614" t="s">
        <v>5353</v>
      </c>
      <c r="D7003" s="606" t="s">
        <v>4133</v>
      </c>
      <c r="E7003" s="606" t="n">
        <v>0.001</v>
      </c>
      <c r="F7003" s="361" t="n">
        <v>78100</v>
      </c>
      <c r="G7003" s="615" t="n">
        <f aca="false">F7003*E7003</f>
        <v>78.1</v>
      </c>
      <c r="H7003" s="606"/>
    </row>
    <row r="7004" customFormat="false" ht="30" hidden="false" customHeight="false" outlineLevel="0" collapsed="false">
      <c r="A7004" s="571"/>
      <c r="B7004" s="433"/>
      <c r="C7004" s="614" t="s">
        <v>5354</v>
      </c>
      <c r="D7004" s="606" t="s">
        <v>4133</v>
      </c>
      <c r="E7004" s="606" t="n">
        <v>0.06</v>
      </c>
      <c r="F7004" s="361" t="n">
        <v>3000</v>
      </c>
      <c r="G7004" s="615" t="n">
        <f aca="false">F7004*E7004</f>
        <v>180</v>
      </c>
      <c r="H7004" s="606"/>
    </row>
    <row r="7005" customFormat="false" ht="30" hidden="false" customHeight="false" outlineLevel="0" collapsed="false">
      <c r="A7005" s="571"/>
      <c r="B7005" s="433"/>
      <c r="C7005" s="614" t="s">
        <v>5355</v>
      </c>
      <c r="D7005" s="606" t="s">
        <v>4133</v>
      </c>
      <c r="E7005" s="606" t="n">
        <v>0.06</v>
      </c>
      <c r="F7005" s="361" t="n">
        <v>3000</v>
      </c>
      <c r="G7005" s="615" t="n">
        <f aca="false">F7005*E7005</f>
        <v>180</v>
      </c>
      <c r="H7005" s="606"/>
    </row>
    <row r="7006" customFormat="false" ht="15" hidden="false" customHeight="false" outlineLevel="0" collapsed="false">
      <c r="A7006" s="571"/>
      <c r="B7006" s="433"/>
      <c r="C7006" s="614" t="s">
        <v>5356</v>
      </c>
      <c r="D7006" s="606" t="s">
        <v>4133</v>
      </c>
      <c r="E7006" s="606" t="n">
        <v>0.1</v>
      </c>
      <c r="F7006" s="361" t="n">
        <v>6500</v>
      </c>
      <c r="G7006" s="615" t="n">
        <f aca="false">F7006*E7006</f>
        <v>650</v>
      </c>
      <c r="H7006" s="606"/>
    </row>
    <row r="7007" customFormat="false" ht="15" hidden="false" customHeight="false" outlineLevel="0" collapsed="false">
      <c r="A7007" s="571"/>
      <c r="B7007" s="433"/>
      <c r="C7007" s="614" t="s">
        <v>4214</v>
      </c>
      <c r="D7007" s="606" t="s">
        <v>4133</v>
      </c>
      <c r="E7007" s="606" t="n">
        <v>0.04</v>
      </c>
      <c r="F7007" s="361" t="n">
        <v>35000</v>
      </c>
      <c r="G7007" s="615" t="n">
        <f aca="false">F7007*E7007</f>
        <v>1400</v>
      </c>
      <c r="H7007" s="606"/>
    </row>
    <row r="7008" customFormat="false" ht="15" hidden="false" customHeight="false" outlineLevel="0" collapsed="false">
      <c r="A7008" s="571"/>
      <c r="B7008" s="433"/>
      <c r="C7008" s="614" t="s">
        <v>5357</v>
      </c>
      <c r="D7008" s="606" t="s">
        <v>4133</v>
      </c>
      <c r="E7008" s="606" t="n">
        <v>0.0002</v>
      </c>
      <c r="F7008" s="361" t="n">
        <v>590000</v>
      </c>
      <c r="G7008" s="615" t="n">
        <f aca="false">F7008*E7008</f>
        <v>118</v>
      </c>
      <c r="H7008" s="606"/>
    </row>
    <row r="7009" customFormat="false" ht="15" hidden="false" customHeight="false" outlineLevel="0" collapsed="false">
      <c r="A7009" s="571"/>
      <c r="B7009" s="433"/>
      <c r="C7009" s="614" t="s">
        <v>4515</v>
      </c>
      <c r="D7009" s="606" t="s">
        <v>4133</v>
      </c>
      <c r="E7009" s="606" t="n">
        <v>0.0001</v>
      </c>
      <c r="F7009" s="361" t="n">
        <v>3500</v>
      </c>
      <c r="G7009" s="615" t="n">
        <f aca="false">F7009*E7009</f>
        <v>0.35</v>
      </c>
      <c r="H7009" s="606"/>
    </row>
    <row r="7010" customFormat="false" ht="15" hidden="false" customHeight="false" outlineLevel="0" collapsed="false">
      <c r="A7010" s="571"/>
      <c r="B7010" s="433"/>
      <c r="C7010" s="909" t="s">
        <v>4124</v>
      </c>
      <c r="D7010" s="606" t="s">
        <v>4516</v>
      </c>
      <c r="E7010" s="606" t="n">
        <v>0.5</v>
      </c>
      <c r="F7010" s="361" t="n">
        <v>80</v>
      </c>
      <c r="G7010" s="615" t="n">
        <f aca="false">F7010*E7010</f>
        <v>40</v>
      </c>
      <c r="H7010" s="606"/>
    </row>
    <row r="7011" customFormat="false" ht="15" hidden="false" customHeight="false" outlineLevel="0" collapsed="false">
      <c r="A7011" s="571"/>
      <c r="B7011" s="433"/>
      <c r="C7011" s="614" t="s">
        <v>4120</v>
      </c>
      <c r="D7011" s="606" t="s">
        <v>5349</v>
      </c>
      <c r="E7011" s="705" t="n">
        <v>0.003</v>
      </c>
      <c r="F7011" s="361" t="n">
        <v>1500</v>
      </c>
      <c r="G7011" s="615" t="n">
        <f aca="false">F7011*E7011</f>
        <v>4.5</v>
      </c>
      <c r="H7011" s="606"/>
    </row>
    <row r="7012" customFormat="false" ht="15" hidden="false" customHeight="false" outlineLevel="0" collapsed="false">
      <c r="A7012" s="571"/>
      <c r="B7012" s="433"/>
      <c r="C7012" s="614" t="s">
        <v>4154</v>
      </c>
      <c r="D7012" s="606" t="s">
        <v>4359</v>
      </c>
      <c r="E7012" s="606" t="n">
        <v>0.025</v>
      </c>
      <c r="F7012" s="361" t="n">
        <v>5800</v>
      </c>
      <c r="G7012" s="615" t="n">
        <f aca="false">F7012*E7012</f>
        <v>145</v>
      </c>
      <c r="H7012" s="606"/>
    </row>
    <row r="7013" customFormat="false" ht="15" hidden="false" customHeight="false" outlineLevel="0" collapsed="false">
      <c r="A7013" s="571"/>
      <c r="B7013" s="433"/>
      <c r="C7013" s="614" t="s">
        <v>5365</v>
      </c>
      <c r="D7013" s="606" t="s">
        <v>4133</v>
      </c>
      <c r="E7013" s="606" t="n">
        <v>0.009</v>
      </c>
      <c r="F7013" s="361" t="n">
        <v>6250</v>
      </c>
      <c r="G7013" s="615" t="n">
        <f aca="false">F7013*E7013</f>
        <v>56.25</v>
      </c>
      <c r="H7013" s="606"/>
    </row>
    <row r="7014" customFormat="false" ht="15" hidden="false" customHeight="false" outlineLevel="0" collapsed="false">
      <c r="A7014" s="571"/>
      <c r="B7014" s="433"/>
      <c r="C7014" s="614" t="s">
        <v>5366</v>
      </c>
      <c r="D7014" s="606" t="s">
        <v>4359</v>
      </c>
      <c r="E7014" s="606" t="n">
        <v>0.01</v>
      </c>
      <c r="F7014" s="361" t="n">
        <v>80000</v>
      </c>
      <c r="G7014" s="615" t="n">
        <f aca="false">F7014*E7014</f>
        <v>800</v>
      </c>
      <c r="H7014" s="606"/>
    </row>
    <row r="7015" customFormat="false" ht="15" hidden="false" customHeight="false" outlineLevel="0" collapsed="false">
      <c r="A7015" s="571" t="s">
        <v>1225</v>
      </c>
      <c r="B7015" s="433" t="s">
        <v>3369</v>
      </c>
      <c r="C7015" s="476"/>
      <c r="D7015" s="820"/>
      <c r="E7015" s="820"/>
      <c r="F7015" s="697"/>
      <c r="G7015" s="826" t="n">
        <f aca="false">SUM(G7016:G7033)</f>
        <v>5329.45</v>
      </c>
      <c r="H7015" s="606"/>
    </row>
    <row r="7016" customFormat="false" ht="15" hidden="false" customHeight="false" outlineLevel="0" collapsed="false">
      <c r="A7016" s="571"/>
      <c r="B7016" s="433"/>
      <c r="C7016" s="614" t="s">
        <v>4225</v>
      </c>
      <c r="D7016" s="606" t="s">
        <v>4133</v>
      </c>
      <c r="E7016" s="606" t="n">
        <v>0.05</v>
      </c>
      <c r="F7016" s="361" t="n">
        <v>800</v>
      </c>
      <c r="G7016" s="615" t="n">
        <f aca="false">F7016*E7016</f>
        <v>40</v>
      </c>
      <c r="H7016" s="606"/>
    </row>
    <row r="7017" customFormat="false" ht="15" hidden="false" customHeight="false" outlineLevel="0" collapsed="false">
      <c r="A7017" s="571"/>
      <c r="B7017" s="433"/>
      <c r="C7017" s="614" t="s">
        <v>4189</v>
      </c>
      <c r="D7017" s="606" t="s">
        <v>4359</v>
      </c>
      <c r="E7017" s="606" t="n">
        <v>0.0004</v>
      </c>
      <c r="F7017" s="361" t="n">
        <v>130000</v>
      </c>
      <c r="G7017" s="615" t="n">
        <f aca="false">F7017*E7017</f>
        <v>52</v>
      </c>
      <c r="H7017" s="606"/>
    </row>
    <row r="7018" customFormat="false" ht="15" hidden="false" customHeight="false" outlineLevel="0" collapsed="false">
      <c r="A7018" s="571"/>
      <c r="B7018" s="433"/>
      <c r="C7018" s="614" t="s">
        <v>4147</v>
      </c>
      <c r="D7018" s="606" t="s">
        <v>4359</v>
      </c>
      <c r="E7018" s="606" t="n">
        <v>0.05</v>
      </c>
      <c r="F7018" s="361" t="n">
        <v>1300</v>
      </c>
      <c r="G7018" s="615" t="n">
        <f aca="false">F7018*E7018</f>
        <v>65</v>
      </c>
      <c r="H7018" s="606"/>
    </row>
    <row r="7019" customFormat="false" ht="30" hidden="false" customHeight="false" outlineLevel="0" collapsed="false">
      <c r="A7019" s="571"/>
      <c r="B7019" s="433"/>
      <c r="C7019" s="614" t="s">
        <v>5351</v>
      </c>
      <c r="D7019" s="606" t="s">
        <v>4133</v>
      </c>
      <c r="E7019" s="606" t="n">
        <v>0.0025</v>
      </c>
      <c r="F7019" s="361" t="n">
        <v>78100</v>
      </c>
      <c r="G7019" s="615" t="n">
        <f aca="false">F7019*E7019</f>
        <v>195.25</v>
      </c>
      <c r="H7019" s="606"/>
    </row>
    <row r="7020" customFormat="false" ht="30" hidden="false" customHeight="false" outlineLevel="0" collapsed="false">
      <c r="A7020" s="571"/>
      <c r="B7020" s="433"/>
      <c r="C7020" s="614" t="s">
        <v>5352</v>
      </c>
      <c r="D7020" s="606" t="s">
        <v>4133</v>
      </c>
      <c r="E7020" s="606" t="n">
        <v>0.05</v>
      </c>
      <c r="F7020" s="361" t="n">
        <v>25500</v>
      </c>
      <c r="G7020" s="615" t="n">
        <f aca="false">F7020*E7020</f>
        <v>1275</v>
      </c>
      <c r="H7020" s="606"/>
    </row>
    <row r="7021" customFormat="false" ht="15" hidden="false" customHeight="false" outlineLevel="0" collapsed="false">
      <c r="A7021" s="571"/>
      <c r="B7021" s="433"/>
      <c r="C7021" s="614" t="s">
        <v>4545</v>
      </c>
      <c r="D7021" s="606" t="s">
        <v>4133</v>
      </c>
      <c r="E7021" s="606" t="n">
        <v>0.02</v>
      </c>
      <c r="F7021" s="361" t="n">
        <v>2500</v>
      </c>
      <c r="G7021" s="615" t="n">
        <f aca="false">F7021*E7021</f>
        <v>50</v>
      </c>
      <c r="H7021" s="606"/>
    </row>
    <row r="7022" customFormat="false" ht="30" hidden="false" customHeight="false" outlineLevel="0" collapsed="false">
      <c r="A7022" s="571"/>
      <c r="B7022" s="433"/>
      <c r="C7022" s="614" t="s">
        <v>5353</v>
      </c>
      <c r="D7022" s="606" t="s">
        <v>4133</v>
      </c>
      <c r="E7022" s="606" t="n">
        <v>0.001</v>
      </c>
      <c r="F7022" s="361" t="n">
        <v>78100</v>
      </c>
      <c r="G7022" s="615" t="n">
        <f aca="false">F7022*E7022</f>
        <v>78.1</v>
      </c>
      <c r="H7022" s="606"/>
    </row>
    <row r="7023" customFormat="false" ht="30" hidden="false" customHeight="false" outlineLevel="0" collapsed="false">
      <c r="A7023" s="571"/>
      <c r="B7023" s="433"/>
      <c r="C7023" s="614" t="s">
        <v>5354</v>
      </c>
      <c r="D7023" s="606" t="s">
        <v>4133</v>
      </c>
      <c r="E7023" s="606" t="n">
        <v>0.06</v>
      </c>
      <c r="F7023" s="361" t="n">
        <v>3000</v>
      </c>
      <c r="G7023" s="615" t="n">
        <f aca="false">F7023*E7023</f>
        <v>180</v>
      </c>
      <c r="H7023" s="606"/>
    </row>
    <row r="7024" customFormat="false" ht="30" hidden="false" customHeight="false" outlineLevel="0" collapsed="false">
      <c r="A7024" s="571"/>
      <c r="B7024" s="433"/>
      <c r="C7024" s="614" t="s">
        <v>5355</v>
      </c>
      <c r="D7024" s="606" t="s">
        <v>4133</v>
      </c>
      <c r="E7024" s="606" t="n">
        <v>0.06</v>
      </c>
      <c r="F7024" s="361" t="n">
        <v>3000</v>
      </c>
      <c r="G7024" s="615" t="n">
        <f aca="false">F7024*E7024</f>
        <v>180</v>
      </c>
      <c r="H7024" s="606"/>
    </row>
    <row r="7025" customFormat="false" ht="15" hidden="false" customHeight="false" outlineLevel="0" collapsed="false">
      <c r="A7025" s="571"/>
      <c r="B7025" s="433"/>
      <c r="C7025" s="614" t="s">
        <v>5356</v>
      </c>
      <c r="D7025" s="606" t="s">
        <v>4133</v>
      </c>
      <c r="E7025" s="606" t="n">
        <v>0.1</v>
      </c>
      <c r="F7025" s="361" t="n">
        <v>6500</v>
      </c>
      <c r="G7025" s="615" t="n">
        <f aca="false">F7025*E7025</f>
        <v>650</v>
      </c>
      <c r="H7025" s="606"/>
    </row>
    <row r="7026" customFormat="false" ht="15" hidden="false" customHeight="false" outlineLevel="0" collapsed="false">
      <c r="A7026" s="571"/>
      <c r="B7026" s="433"/>
      <c r="C7026" s="614" t="s">
        <v>4214</v>
      </c>
      <c r="D7026" s="606" t="s">
        <v>4133</v>
      </c>
      <c r="E7026" s="606" t="n">
        <v>0.04</v>
      </c>
      <c r="F7026" s="361" t="n">
        <v>35000</v>
      </c>
      <c r="G7026" s="615" t="n">
        <f aca="false">F7026*E7026</f>
        <v>1400</v>
      </c>
      <c r="H7026" s="606"/>
    </row>
    <row r="7027" customFormat="false" ht="15" hidden="false" customHeight="false" outlineLevel="0" collapsed="false">
      <c r="A7027" s="571"/>
      <c r="B7027" s="433"/>
      <c r="C7027" s="614" t="s">
        <v>5357</v>
      </c>
      <c r="D7027" s="606" t="s">
        <v>4133</v>
      </c>
      <c r="E7027" s="606" t="n">
        <v>0.0002</v>
      </c>
      <c r="F7027" s="361" t="n">
        <v>590000</v>
      </c>
      <c r="G7027" s="615" t="n">
        <f aca="false">F7027*E7027</f>
        <v>118</v>
      </c>
      <c r="H7027" s="606"/>
    </row>
    <row r="7028" customFormat="false" ht="15" hidden="false" customHeight="false" outlineLevel="0" collapsed="false">
      <c r="A7028" s="571"/>
      <c r="B7028" s="433"/>
      <c r="C7028" s="614" t="s">
        <v>4515</v>
      </c>
      <c r="D7028" s="606" t="s">
        <v>4133</v>
      </c>
      <c r="E7028" s="606" t="n">
        <v>0.0001</v>
      </c>
      <c r="F7028" s="361" t="n">
        <v>3500</v>
      </c>
      <c r="G7028" s="615" t="n">
        <f aca="false">F7028*E7028</f>
        <v>0.35</v>
      </c>
      <c r="H7028" s="606"/>
    </row>
    <row r="7029" customFormat="false" ht="15" hidden="false" customHeight="false" outlineLevel="0" collapsed="false">
      <c r="A7029" s="571"/>
      <c r="B7029" s="433"/>
      <c r="C7029" s="909" t="s">
        <v>4124</v>
      </c>
      <c r="D7029" s="606" t="s">
        <v>4516</v>
      </c>
      <c r="E7029" s="606" t="n">
        <v>0.5</v>
      </c>
      <c r="F7029" s="361" t="n">
        <v>80</v>
      </c>
      <c r="G7029" s="615" t="n">
        <f aca="false">F7029*E7029</f>
        <v>40</v>
      </c>
      <c r="H7029" s="606"/>
    </row>
    <row r="7030" customFormat="false" ht="15" hidden="false" customHeight="false" outlineLevel="0" collapsed="false">
      <c r="A7030" s="571"/>
      <c r="B7030" s="433"/>
      <c r="C7030" s="614" t="s">
        <v>4120</v>
      </c>
      <c r="D7030" s="606" t="s">
        <v>5349</v>
      </c>
      <c r="E7030" s="705" t="n">
        <v>0.003</v>
      </c>
      <c r="F7030" s="361" t="n">
        <v>1500</v>
      </c>
      <c r="G7030" s="615" t="n">
        <f aca="false">F7030*E7030</f>
        <v>4.5</v>
      </c>
      <c r="H7030" s="606"/>
    </row>
    <row r="7031" customFormat="false" ht="15" hidden="false" customHeight="false" outlineLevel="0" collapsed="false">
      <c r="A7031" s="571"/>
      <c r="B7031" s="433"/>
      <c r="C7031" s="614" t="s">
        <v>4154</v>
      </c>
      <c r="D7031" s="606" t="s">
        <v>4359</v>
      </c>
      <c r="E7031" s="606" t="n">
        <v>0.025</v>
      </c>
      <c r="F7031" s="361" t="n">
        <v>5800</v>
      </c>
      <c r="G7031" s="615" t="n">
        <f aca="false">F7031*E7031</f>
        <v>145</v>
      </c>
      <c r="H7031" s="606"/>
    </row>
    <row r="7032" customFormat="false" ht="15" hidden="false" customHeight="false" outlineLevel="0" collapsed="false">
      <c r="A7032" s="571"/>
      <c r="B7032" s="433"/>
      <c r="C7032" s="614" t="s">
        <v>5365</v>
      </c>
      <c r="D7032" s="606" t="s">
        <v>4133</v>
      </c>
      <c r="E7032" s="606" t="n">
        <v>0.009</v>
      </c>
      <c r="F7032" s="361" t="n">
        <v>6250</v>
      </c>
      <c r="G7032" s="615" t="n">
        <f aca="false">F7032*E7032</f>
        <v>56.25</v>
      </c>
      <c r="H7032" s="606"/>
    </row>
    <row r="7033" customFormat="false" ht="15" hidden="false" customHeight="false" outlineLevel="0" collapsed="false">
      <c r="A7033" s="571"/>
      <c r="B7033" s="433"/>
      <c r="C7033" s="614" t="s">
        <v>5366</v>
      </c>
      <c r="D7033" s="606" t="s">
        <v>4359</v>
      </c>
      <c r="E7033" s="606" t="n">
        <v>0.01</v>
      </c>
      <c r="F7033" s="361" t="n">
        <v>80000</v>
      </c>
      <c r="G7033" s="615" t="n">
        <f aca="false">F7033*E7033</f>
        <v>800</v>
      </c>
      <c r="H7033" s="606"/>
    </row>
    <row r="7034" customFormat="false" ht="15" hidden="false" customHeight="false" outlineLevel="0" collapsed="false">
      <c r="A7034" s="571" t="s">
        <v>1227</v>
      </c>
      <c r="B7034" s="433" t="s">
        <v>3370</v>
      </c>
      <c r="C7034" s="476"/>
      <c r="D7034" s="820"/>
      <c r="E7034" s="820"/>
      <c r="F7034" s="697"/>
      <c r="G7034" s="826" t="n">
        <f aca="false">SUM(G7035:G7052)</f>
        <v>5329.45</v>
      </c>
      <c r="H7034" s="606"/>
    </row>
    <row r="7035" customFormat="false" ht="15" hidden="false" customHeight="false" outlineLevel="0" collapsed="false">
      <c r="A7035" s="571"/>
      <c r="B7035" s="433"/>
      <c r="C7035" s="614" t="s">
        <v>4225</v>
      </c>
      <c r="D7035" s="606" t="s">
        <v>4133</v>
      </c>
      <c r="E7035" s="606" t="n">
        <v>0.05</v>
      </c>
      <c r="F7035" s="361" t="n">
        <v>800</v>
      </c>
      <c r="G7035" s="615" t="n">
        <f aca="false">F7035*E7035</f>
        <v>40</v>
      </c>
      <c r="H7035" s="606"/>
    </row>
    <row r="7036" customFormat="false" ht="15" hidden="false" customHeight="false" outlineLevel="0" collapsed="false">
      <c r="A7036" s="571"/>
      <c r="B7036" s="433"/>
      <c r="C7036" s="614" t="s">
        <v>4189</v>
      </c>
      <c r="D7036" s="606" t="s">
        <v>4359</v>
      </c>
      <c r="E7036" s="606" t="n">
        <v>0.0004</v>
      </c>
      <c r="F7036" s="361" t="n">
        <v>130000</v>
      </c>
      <c r="G7036" s="615" t="n">
        <f aca="false">F7036*E7036</f>
        <v>52</v>
      </c>
      <c r="H7036" s="606"/>
    </row>
    <row r="7037" customFormat="false" ht="15" hidden="false" customHeight="false" outlineLevel="0" collapsed="false">
      <c r="A7037" s="571"/>
      <c r="B7037" s="433"/>
      <c r="C7037" s="614" t="s">
        <v>4147</v>
      </c>
      <c r="D7037" s="606" t="s">
        <v>4359</v>
      </c>
      <c r="E7037" s="606" t="n">
        <v>0.05</v>
      </c>
      <c r="F7037" s="361" t="n">
        <v>1300</v>
      </c>
      <c r="G7037" s="615" t="n">
        <f aca="false">F7037*E7037</f>
        <v>65</v>
      </c>
      <c r="H7037" s="606"/>
    </row>
    <row r="7038" customFormat="false" ht="30" hidden="false" customHeight="false" outlineLevel="0" collapsed="false">
      <c r="A7038" s="571"/>
      <c r="B7038" s="433"/>
      <c r="C7038" s="614" t="s">
        <v>5351</v>
      </c>
      <c r="D7038" s="606" t="s">
        <v>4133</v>
      </c>
      <c r="E7038" s="606" t="n">
        <v>0.0025</v>
      </c>
      <c r="F7038" s="361" t="n">
        <v>78100</v>
      </c>
      <c r="G7038" s="615" t="n">
        <f aca="false">F7038*E7038</f>
        <v>195.25</v>
      </c>
      <c r="H7038" s="606"/>
    </row>
    <row r="7039" customFormat="false" ht="30" hidden="false" customHeight="false" outlineLevel="0" collapsed="false">
      <c r="A7039" s="571"/>
      <c r="B7039" s="433"/>
      <c r="C7039" s="614" t="s">
        <v>5352</v>
      </c>
      <c r="D7039" s="606" t="s">
        <v>4133</v>
      </c>
      <c r="E7039" s="606" t="n">
        <v>0.05</v>
      </c>
      <c r="F7039" s="361" t="n">
        <v>25500</v>
      </c>
      <c r="G7039" s="615" t="n">
        <f aca="false">F7039*E7039</f>
        <v>1275</v>
      </c>
      <c r="H7039" s="606"/>
    </row>
    <row r="7040" customFormat="false" ht="15" hidden="false" customHeight="false" outlineLevel="0" collapsed="false">
      <c r="A7040" s="571"/>
      <c r="B7040" s="433"/>
      <c r="C7040" s="614" t="s">
        <v>4545</v>
      </c>
      <c r="D7040" s="606" t="s">
        <v>4133</v>
      </c>
      <c r="E7040" s="606" t="n">
        <v>0.02</v>
      </c>
      <c r="F7040" s="361" t="n">
        <v>2500</v>
      </c>
      <c r="G7040" s="615" t="n">
        <f aca="false">F7040*E7040</f>
        <v>50</v>
      </c>
      <c r="H7040" s="606"/>
    </row>
    <row r="7041" customFormat="false" ht="30" hidden="false" customHeight="false" outlineLevel="0" collapsed="false">
      <c r="A7041" s="571"/>
      <c r="B7041" s="433"/>
      <c r="C7041" s="614" t="s">
        <v>5353</v>
      </c>
      <c r="D7041" s="606" t="s">
        <v>4133</v>
      </c>
      <c r="E7041" s="606" t="n">
        <v>0.001</v>
      </c>
      <c r="F7041" s="361" t="n">
        <v>78100</v>
      </c>
      <c r="G7041" s="615" t="n">
        <f aca="false">F7041*E7041</f>
        <v>78.1</v>
      </c>
      <c r="H7041" s="606"/>
    </row>
    <row r="7042" customFormat="false" ht="30" hidden="false" customHeight="false" outlineLevel="0" collapsed="false">
      <c r="A7042" s="571"/>
      <c r="B7042" s="433"/>
      <c r="C7042" s="614" t="s">
        <v>5354</v>
      </c>
      <c r="D7042" s="606" t="s">
        <v>4133</v>
      </c>
      <c r="E7042" s="606" t="n">
        <v>0.06</v>
      </c>
      <c r="F7042" s="361" t="n">
        <v>3000</v>
      </c>
      <c r="G7042" s="615" t="n">
        <f aca="false">F7042*E7042</f>
        <v>180</v>
      </c>
      <c r="H7042" s="606"/>
    </row>
    <row r="7043" customFormat="false" ht="30" hidden="false" customHeight="false" outlineLevel="0" collapsed="false">
      <c r="A7043" s="571"/>
      <c r="B7043" s="433"/>
      <c r="C7043" s="614" t="s">
        <v>5355</v>
      </c>
      <c r="D7043" s="606" t="s">
        <v>4133</v>
      </c>
      <c r="E7043" s="606" t="n">
        <v>0.06</v>
      </c>
      <c r="F7043" s="361" t="n">
        <v>3000</v>
      </c>
      <c r="G7043" s="615" t="n">
        <f aca="false">F7043*E7043</f>
        <v>180</v>
      </c>
      <c r="H7043" s="606"/>
    </row>
    <row r="7044" customFormat="false" ht="15" hidden="false" customHeight="false" outlineLevel="0" collapsed="false">
      <c r="A7044" s="571"/>
      <c r="B7044" s="433"/>
      <c r="C7044" s="614" t="s">
        <v>5356</v>
      </c>
      <c r="D7044" s="606" t="s">
        <v>4133</v>
      </c>
      <c r="E7044" s="606" t="n">
        <v>0.1</v>
      </c>
      <c r="F7044" s="361" t="n">
        <v>6500</v>
      </c>
      <c r="G7044" s="615" t="n">
        <f aca="false">F7044*E7044</f>
        <v>650</v>
      </c>
      <c r="H7044" s="606"/>
    </row>
    <row r="7045" customFormat="false" ht="15" hidden="false" customHeight="false" outlineLevel="0" collapsed="false">
      <c r="A7045" s="571"/>
      <c r="B7045" s="433"/>
      <c r="C7045" s="614" t="s">
        <v>4214</v>
      </c>
      <c r="D7045" s="606" t="s">
        <v>4133</v>
      </c>
      <c r="E7045" s="606" t="n">
        <v>0.04</v>
      </c>
      <c r="F7045" s="361" t="n">
        <v>35000</v>
      </c>
      <c r="G7045" s="615" t="n">
        <f aca="false">F7045*E7045</f>
        <v>1400</v>
      </c>
      <c r="H7045" s="606"/>
    </row>
    <row r="7046" customFormat="false" ht="15" hidden="false" customHeight="false" outlineLevel="0" collapsed="false">
      <c r="A7046" s="571"/>
      <c r="B7046" s="433"/>
      <c r="C7046" s="614" t="s">
        <v>5357</v>
      </c>
      <c r="D7046" s="606" t="s">
        <v>4133</v>
      </c>
      <c r="E7046" s="606" t="n">
        <v>0.0002</v>
      </c>
      <c r="F7046" s="361" t="n">
        <v>590000</v>
      </c>
      <c r="G7046" s="615" t="n">
        <f aca="false">F7046*E7046</f>
        <v>118</v>
      </c>
      <c r="H7046" s="606"/>
    </row>
    <row r="7047" customFormat="false" ht="15" hidden="false" customHeight="false" outlineLevel="0" collapsed="false">
      <c r="A7047" s="571"/>
      <c r="B7047" s="433"/>
      <c r="C7047" s="614" t="s">
        <v>4515</v>
      </c>
      <c r="D7047" s="606" t="s">
        <v>4133</v>
      </c>
      <c r="E7047" s="606" t="n">
        <v>0.0001</v>
      </c>
      <c r="F7047" s="361" t="n">
        <v>3500</v>
      </c>
      <c r="G7047" s="615" t="n">
        <f aca="false">F7047*E7047</f>
        <v>0.35</v>
      </c>
      <c r="H7047" s="606"/>
    </row>
    <row r="7048" customFormat="false" ht="15" hidden="false" customHeight="false" outlineLevel="0" collapsed="false">
      <c r="A7048" s="571"/>
      <c r="B7048" s="433"/>
      <c r="C7048" s="909" t="s">
        <v>4124</v>
      </c>
      <c r="D7048" s="606" t="s">
        <v>4516</v>
      </c>
      <c r="E7048" s="606" t="n">
        <v>0.5</v>
      </c>
      <c r="F7048" s="361" t="n">
        <v>80</v>
      </c>
      <c r="G7048" s="615" t="n">
        <f aca="false">F7048*E7048</f>
        <v>40</v>
      </c>
      <c r="H7048" s="606"/>
    </row>
    <row r="7049" customFormat="false" ht="15" hidden="false" customHeight="false" outlineLevel="0" collapsed="false">
      <c r="A7049" s="571"/>
      <c r="B7049" s="433"/>
      <c r="C7049" s="614" t="s">
        <v>4120</v>
      </c>
      <c r="D7049" s="606" t="s">
        <v>5349</v>
      </c>
      <c r="E7049" s="705" t="n">
        <v>0.003</v>
      </c>
      <c r="F7049" s="361" t="n">
        <v>1500</v>
      </c>
      <c r="G7049" s="615" t="n">
        <f aca="false">F7049*E7049</f>
        <v>4.5</v>
      </c>
      <c r="H7049" s="606"/>
    </row>
    <row r="7050" customFormat="false" ht="15" hidden="false" customHeight="false" outlineLevel="0" collapsed="false">
      <c r="A7050" s="571"/>
      <c r="B7050" s="433"/>
      <c r="C7050" s="614" t="s">
        <v>4154</v>
      </c>
      <c r="D7050" s="606" t="s">
        <v>4359</v>
      </c>
      <c r="E7050" s="606" t="n">
        <v>0.025</v>
      </c>
      <c r="F7050" s="361" t="n">
        <v>5800</v>
      </c>
      <c r="G7050" s="615" t="n">
        <f aca="false">F7050*E7050</f>
        <v>145</v>
      </c>
      <c r="H7050" s="606"/>
    </row>
    <row r="7051" customFormat="false" ht="15" hidden="false" customHeight="false" outlineLevel="0" collapsed="false">
      <c r="A7051" s="571"/>
      <c r="B7051" s="433"/>
      <c r="C7051" s="614" t="s">
        <v>5365</v>
      </c>
      <c r="D7051" s="606" t="s">
        <v>4133</v>
      </c>
      <c r="E7051" s="606" t="n">
        <v>0.009</v>
      </c>
      <c r="F7051" s="361" t="n">
        <v>6250</v>
      </c>
      <c r="G7051" s="615" t="n">
        <f aca="false">F7051*E7051</f>
        <v>56.25</v>
      </c>
      <c r="H7051" s="606"/>
    </row>
    <row r="7052" customFormat="false" ht="15" hidden="false" customHeight="false" outlineLevel="0" collapsed="false">
      <c r="A7052" s="571"/>
      <c r="B7052" s="433"/>
      <c r="C7052" s="614" t="s">
        <v>5366</v>
      </c>
      <c r="D7052" s="606" t="s">
        <v>4359</v>
      </c>
      <c r="E7052" s="606" t="n">
        <v>0.01</v>
      </c>
      <c r="F7052" s="361" t="n">
        <v>80000</v>
      </c>
      <c r="G7052" s="615" t="n">
        <f aca="false">F7052*E7052</f>
        <v>800</v>
      </c>
      <c r="H7052" s="606"/>
    </row>
    <row r="7053" customFormat="false" ht="15" hidden="false" customHeight="false" outlineLevel="0" collapsed="false">
      <c r="A7053" s="571" t="s">
        <v>1229</v>
      </c>
      <c r="B7053" s="433" t="s">
        <v>3371</v>
      </c>
      <c r="C7053" s="476"/>
      <c r="D7053" s="820"/>
      <c r="E7053" s="820"/>
      <c r="F7053" s="697"/>
      <c r="G7053" s="826" t="n">
        <f aca="false">SUM(G7054:G7071)</f>
        <v>5329.45</v>
      </c>
      <c r="H7053" s="606"/>
    </row>
    <row r="7054" customFormat="false" ht="15" hidden="false" customHeight="false" outlineLevel="0" collapsed="false">
      <c r="A7054" s="571"/>
      <c r="B7054" s="433"/>
      <c r="C7054" s="614" t="s">
        <v>4225</v>
      </c>
      <c r="D7054" s="606" t="s">
        <v>4133</v>
      </c>
      <c r="E7054" s="606" t="n">
        <v>0.05</v>
      </c>
      <c r="F7054" s="361" t="n">
        <v>800</v>
      </c>
      <c r="G7054" s="615" t="n">
        <f aca="false">F7054*E7054</f>
        <v>40</v>
      </c>
      <c r="H7054" s="606"/>
    </row>
    <row r="7055" customFormat="false" ht="15" hidden="false" customHeight="false" outlineLevel="0" collapsed="false">
      <c r="A7055" s="571"/>
      <c r="B7055" s="433"/>
      <c r="C7055" s="614" t="s">
        <v>4189</v>
      </c>
      <c r="D7055" s="606" t="s">
        <v>4359</v>
      </c>
      <c r="E7055" s="606" t="n">
        <v>0.0004</v>
      </c>
      <c r="F7055" s="361" t="n">
        <v>130000</v>
      </c>
      <c r="G7055" s="615" t="n">
        <f aca="false">F7055*E7055</f>
        <v>52</v>
      </c>
      <c r="H7055" s="606"/>
    </row>
    <row r="7056" customFormat="false" ht="15" hidden="false" customHeight="false" outlineLevel="0" collapsed="false">
      <c r="A7056" s="571"/>
      <c r="B7056" s="433"/>
      <c r="C7056" s="614" t="s">
        <v>4147</v>
      </c>
      <c r="D7056" s="606" t="s">
        <v>4359</v>
      </c>
      <c r="E7056" s="606" t="n">
        <v>0.05</v>
      </c>
      <c r="F7056" s="361" t="n">
        <v>1300</v>
      </c>
      <c r="G7056" s="615" t="n">
        <f aca="false">F7056*E7056</f>
        <v>65</v>
      </c>
      <c r="H7056" s="606"/>
    </row>
    <row r="7057" customFormat="false" ht="30" hidden="false" customHeight="false" outlineLevel="0" collapsed="false">
      <c r="A7057" s="571"/>
      <c r="B7057" s="433"/>
      <c r="C7057" s="614" t="s">
        <v>5351</v>
      </c>
      <c r="D7057" s="606" t="s">
        <v>4133</v>
      </c>
      <c r="E7057" s="606" t="n">
        <v>0.0025</v>
      </c>
      <c r="F7057" s="361" t="n">
        <v>78100</v>
      </c>
      <c r="G7057" s="615" t="n">
        <f aca="false">F7057*E7057</f>
        <v>195.25</v>
      </c>
      <c r="H7057" s="606"/>
    </row>
    <row r="7058" customFormat="false" ht="30" hidden="false" customHeight="false" outlineLevel="0" collapsed="false">
      <c r="A7058" s="571"/>
      <c r="B7058" s="433"/>
      <c r="C7058" s="614" t="s">
        <v>5352</v>
      </c>
      <c r="D7058" s="606" t="s">
        <v>4133</v>
      </c>
      <c r="E7058" s="606" t="n">
        <v>0.05</v>
      </c>
      <c r="F7058" s="361" t="n">
        <v>25500</v>
      </c>
      <c r="G7058" s="615" t="n">
        <f aca="false">F7058*E7058</f>
        <v>1275</v>
      </c>
      <c r="H7058" s="606"/>
    </row>
    <row r="7059" customFormat="false" ht="15" hidden="false" customHeight="false" outlineLevel="0" collapsed="false">
      <c r="A7059" s="571"/>
      <c r="B7059" s="433"/>
      <c r="C7059" s="614" t="s">
        <v>4545</v>
      </c>
      <c r="D7059" s="606" t="s">
        <v>4133</v>
      </c>
      <c r="E7059" s="606" t="n">
        <v>0.02</v>
      </c>
      <c r="F7059" s="361" t="n">
        <v>2500</v>
      </c>
      <c r="G7059" s="615" t="n">
        <f aca="false">F7059*E7059</f>
        <v>50</v>
      </c>
      <c r="H7059" s="606"/>
    </row>
    <row r="7060" customFormat="false" ht="30" hidden="false" customHeight="false" outlineLevel="0" collapsed="false">
      <c r="A7060" s="571"/>
      <c r="B7060" s="433"/>
      <c r="C7060" s="614" t="s">
        <v>5353</v>
      </c>
      <c r="D7060" s="606" t="s">
        <v>4133</v>
      </c>
      <c r="E7060" s="606" t="n">
        <v>0.001</v>
      </c>
      <c r="F7060" s="361" t="n">
        <v>78100</v>
      </c>
      <c r="G7060" s="615" t="n">
        <f aca="false">F7060*E7060</f>
        <v>78.1</v>
      </c>
      <c r="H7060" s="606"/>
    </row>
    <row r="7061" customFormat="false" ht="30" hidden="false" customHeight="false" outlineLevel="0" collapsed="false">
      <c r="A7061" s="571"/>
      <c r="B7061" s="433"/>
      <c r="C7061" s="614" t="s">
        <v>5354</v>
      </c>
      <c r="D7061" s="606" t="s">
        <v>4133</v>
      </c>
      <c r="E7061" s="606" t="n">
        <v>0.06</v>
      </c>
      <c r="F7061" s="361" t="n">
        <v>3000</v>
      </c>
      <c r="G7061" s="615" t="n">
        <f aca="false">F7061*E7061</f>
        <v>180</v>
      </c>
      <c r="H7061" s="606"/>
    </row>
    <row r="7062" customFormat="false" ht="30" hidden="false" customHeight="false" outlineLevel="0" collapsed="false">
      <c r="A7062" s="571"/>
      <c r="B7062" s="433"/>
      <c r="C7062" s="614" t="s">
        <v>5355</v>
      </c>
      <c r="D7062" s="606" t="s">
        <v>4133</v>
      </c>
      <c r="E7062" s="606" t="n">
        <v>0.06</v>
      </c>
      <c r="F7062" s="361" t="n">
        <v>3000</v>
      </c>
      <c r="G7062" s="615" t="n">
        <f aca="false">F7062*E7062</f>
        <v>180</v>
      </c>
      <c r="H7062" s="606"/>
    </row>
    <row r="7063" customFormat="false" ht="15" hidden="false" customHeight="false" outlineLevel="0" collapsed="false">
      <c r="A7063" s="571"/>
      <c r="B7063" s="433"/>
      <c r="C7063" s="614" t="s">
        <v>5356</v>
      </c>
      <c r="D7063" s="606" t="s">
        <v>4133</v>
      </c>
      <c r="E7063" s="606" t="n">
        <v>0.1</v>
      </c>
      <c r="F7063" s="361" t="n">
        <v>6500</v>
      </c>
      <c r="G7063" s="615" t="n">
        <f aca="false">F7063*E7063</f>
        <v>650</v>
      </c>
      <c r="H7063" s="606"/>
    </row>
    <row r="7064" customFormat="false" ht="15" hidden="false" customHeight="false" outlineLevel="0" collapsed="false">
      <c r="A7064" s="571"/>
      <c r="B7064" s="433"/>
      <c r="C7064" s="614" t="s">
        <v>4214</v>
      </c>
      <c r="D7064" s="606" t="s">
        <v>4133</v>
      </c>
      <c r="E7064" s="606" t="n">
        <v>0.04</v>
      </c>
      <c r="F7064" s="361" t="n">
        <v>35000</v>
      </c>
      <c r="G7064" s="615" t="n">
        <f aca="false">F7064*E7064</f>
        <v>1400</v>
      </c>
      <c r="H7064" s="606"/>
    </row>
    <row r="7065" customFormat="false" ht="15" hidden="false" customHeight="false" outlineLevel="0" collapsed="false">
      <c r="A7065" s="571"/>
      <c r="B7065" s="433"/>
      <c r="C7065" s="614" t="s">
        <v>5357</v>
      </c>
      <c r="D7065" s="606" t="s">
        <v>4133</v>
      </c>
      <c r="E7065" s="606" t="n">
        <v>0.0002</v>
      </c>
      <c r="F7065" s="361" t="n">
        <v>590000</v>
      </c>
      <c r="G7065" s="615" t="n">
        <f aca="false">F7065*E7065</f>
        <v>118</v>
      </c>
      <c r="H7065" s="606"/>
    </row>
    <row r="7066" customFormat="false" ht="15" hidden="false" customHeight="false" outlineLevel="0" collapsed="false">
      <c r="A7066" s="571"/>
      <c r="B7066" s="433"/>
      <c r="C7066" s="614" t="s">
        <v>4515</v>
      </c>
      <c r="D7066" s="606" t="s">
        <v>4133</v>
      </c>
      <c r="E7066" s="606" t="n">
        <v>0.0001</v>
      </c>
      <c r="F7066" s="361" t="n">
        <v>3500</v>
      </c>
      <c r="G7066" s="615" t="n">
        <f aca="false">F7066*E7066</f>
        <v>0.35</v>
      </c>
      <c r="H7066" s="606"/>
    </row>
    <row r="7067" customFormat="false" ht="15" hidden="false" customHeight="false" outlineLevel="0" collapsed="false">
      <c r="A7067" s="571"/>
      <c r="B7067" s="433"/>
      <c r="C7067" s="909" t="s">
        <v>4124</v>
      </c>
      <c r="D7067" s="606" t="s">
        <v>4516</v>
      </c>
      <c r="E7067" s="606" t="n">
        <v>0.5</v>
      </c>
      <c r="F7067" s="361" t="n">
        <v>80</v>
      </c>
      <c r="G7067" s="615" t="n">
        <f aca="false">F7067*E7067</f>
        <v>40</v>
      </c>
      <c r="H7067" s="606"/>
    </row>
    <row r="7068" customFormat="false" ht="15" hidden="false" customHeight="false" outlineLevel="0" collapsed="false">
      <c r="A7068" s="571"/>
      <c r="B7068" s="433"/>
      <c r="C7068" s="614" t="s">
        <v>4120</v>
      </c>
      <c r="D7068" s="606" t="s">
        <v>5349</v>
      </c>
      <c r="E7068" s="705" t="n">
        <v>0.003</v>
      </c>
      <c r="F7068" s="361" t="n">
        <v>1500</v>
      </c>
      <c r="G7068" s="615" t="n">
        <f aca="false">F7068*E7068</f>
        <v>4.5</v>
      </c>
      <c r="H7068" s="606"/>
    </row>
    <row r="7069" customFormat="false" ht="15" hidden="false" customHeight="false" outlineLevel="0" collapsed="false">
      <c r="A7069" s="571"/>
      <c r="B7069" s="433"/>
      <c r="C7069" s="614" t="s">
        <v>4154</v>
      </c>
      <c r="D7069" s="606" t="s">
        <v>4359</v>
      </c>
      <c r="E7069" s="606" t="n">
        <v>0.025</v>
      </c>
      <c r="F7069" s="361" t="n">
        <v>5800</v>
      </c>
      <c r="G7069" s="615" t="n">
        <f aca="false">F7069*E7069</f>
        <v>145</v>
      </c>
      <c r="H7069" s="606"/>
    </row>
    <row r="7070" customFormat="false" ht="15" hidden="false" customHeight="false" outlineLevel="0" collapsed="false">
      <c r="A7070" s="571"/>
      <c r="B7070" s="433"/>
      <c r="C7070" s="614" t="s">
        <v>5365</v>
      </c>
      <c r="D7070" s="606" t="s">
        <v>4133</v>
      </c>
      <c r="E7070" s="606" t="n">
        <v>0.009</v>
      </c>
      <c r="F7070" s="361" t="n">
        <v>6250</v>
      </c>
      <c r="G7070" s="615" t="n">
        <f aca="false">F7070*E7070</f>
        <v>56.25</v>
      </c>
      <c r="H7070" s="606"/>
    </row>
    <row r="7071" customFormat="false" ht="15" hidden="false" customHeight="false" outlineLevel="0" collapsed="false">
      <c r="A7071" s="571"/>
      <c r="B7071" s="433"/>
      <c r="C7071" s="614" t="s">
        <v>5366</v>
      </c>
      <c r="D7071" s="606" t="s">
        <v>4359</v>
      </c>
      <c r="E7071" s="606" t="n">
        <v>0.01</v>
      </c>
      <c r="F7071" s="361" t="n">
        <v>80000</v>
      </c>
      <c r="G7071" s="615" t="n">
        <f aca="false">F7071*E7071</f>
        <v>800</v>
      </c>
      <c r="H7071" s="606"/>
    </row>
    <row r="7072" customFormat="false" ht="15" hidden="false" customHeight="false" outlineLevel="0" collapsed="false">
      <c r="A7072" s="571" t="s">
        <v>1231</v>
      </c>
      <c r="B7072" s="433" t="s">
        <v>3372</v>
      </c>
      <c r="C7072" s="476"/>
      <c r="D7072" s="820"/>
      <c r="E7072" s="820"/>
      <c r="F7072" s="697"/>
      <c r="G7072" s="826" t="n">
        <f aca="false">SUM(G7073:G7090)</f>
        <v>5329.45</v>
      </c>
      <c r="H7072" s="606"/>
    </row>
    <row r="7073" customFormat="false" ht="15" hidden="false" customHeight="false" outlineLevel="0" collapsed="false">
      <c r="A7073" s="571"/>
      <c r="B7073" s="433"/>
      <c r="C7073" s="614" t="s">
        <v>4225</v>
      </c>
      <c r="D7073" s="606" t="s">
        <v>4133</v>
      </c>
      <c r="E7073" s="606" t="n">
        <v>0.05</v>
      </c>
      <c r="F7073" s="361" t="n">
        <v>800</v>
      </c>
      <c r="G7073" s="615" t="n">
        <f aca="false">F7073*E7073</f>
        <v>40</v>
      </c>
      <c r="H7073" s="606"/>
    </row>
    <row r="7074" customFormat="false" ht="15" hidden="false" customHeight="false" outlineLevel="0" collapsed="false">
      <c r="A7074" s="571"/>
      <c r="B7074" s="433"/>
      <c r="C7074" s="614" t="s">
        <v>4189</v>
      </c>
      <c r="D7074" s="606" t="s">
        <v>4359</v>
      </c>
      <c r="E7074" s="606" t="n">
        <v>0.0004</v>
      </c>
      <c r="F7074" s="361" t="n">
        <v>130000</v>
      </c>
      <c r="G7074" s="615" t="n">
        <f aca="false">F7074*E7074</f>
        <v>52</v>
      </c>
      <c r="H7074" s="606"/>
    </row>
    <row r="7075" customFormat="false" ht="15" hidden="false" customHeight="false" outlineLevel="0" collapsed="false">
      <c r="A7075" s="571"/>
      <c r="B7075" s="433"/>
      <c r="C7075" s="614" t="s">
        <v>4147</v>
      </c>
      <c r="D7075" s="606" t="s">
        <v>4359</v>
      </c>
      <c r="E7075" s="606" t="n">
        <v>0.05</v>
      </c>
      <c r="F7075" s="361" t="n">
        <v>1300</v>
      </c>
      <c r="G7075" s="615" t="n">
        <f aca="false">F7075*E7075</f>
        <v>65</v>
      </c>
      <c r="H7075" s="606"/>
    </row>
    <row r="7076" customFormat="false" ht="30" hidden="false" customHeight="false" outlineLevel="0" collapsed="false">
      <c r="A7076" s="571"/>
      <c r="B7076" s="433"/>
      <c r="C7076" s="614" t="s">
        <v>5351</v>
      </c>
      <c r="D7076" s="606" t="s">
        <v>4133</v>
      </c>
      <c r="E7076" s="606" t="n">
        <v>0.0025</v>
      </c>
      <c r="F7076" s="361" t="n">
        <v>78100</v>
      </c>
      <c r="G7076" s="615" t="n">
        <f aca="false">F7076*E7076</f>
        <v>195.25</v>
      </c>
      <c r="H7076" s="606"/>
    </row>
    <row r="7077" customFormat="false" ht="30" hidden="false" customHeight="false" outlineLevel="0" collapsed="false">
      <c r="A7077" s="571"/>
      <c r="B7077" s="433"/>
      <c r="C7077" s="614" t="s">
        <v>5352</v>
      </c>
      <c r="D7077" s="606" t="s">
        <v>4133</v>
      </c>
      <c r="E7077" s="606" t="n">
        <v>0.05</v>
      </c>
      <c r="F7077" s="361" t="n">
        <v>25500</v>
      </c>
      <c r="G7077" s="615" t="n">
        <f aca="false">F7077*E7077</f>
        <v>1275</v>
      </c>
      <c r="H7077" s="606"/>
    </row>
    <row r="7078" customFormat="false" ht="15" hidden="false" customHeight="false" outlineLevel="0" collapsed="false">
      <c r="A7078" s="571"/>
      <c r="B7078" s="433"/>
      <c r="C7078" s="614" t="s">
        <v>4545</v>
      </c>
      <c r="D7078" s="606" t="s">
        <v>4133</v>
      </c>
      <c r="E7078" s="606" t="n">
        <v>0.02</v>
      </c>
      <c r="F7078" s="361" t="n">
        <v>2500</v>
      </c>
      <c r="G7078" s="615" t="n">
        <f aca="false">F7078*E7078</f>
        <v>50</v>
      </c>
      <c r="H7078" s="606"/>
    </row>
    <row r="7079" customFormat="false" ht="30" hidden="false" customHeight="false" outlineLevel="0" collapsed="false">
      <c r="A7079" s="571"/>
      <c r="B7079" s="433"/>
      <c r="C7079" s="614" t="s">
        <v>5353</v>
      </c>
      <c r="D7079" s="606" t="s">
        <v>4133</v>
      </c>
      <c r="E7079" s="606" t="n">
        <v>0.001</v>
      </c>
      <c r="F7079" s="361" t="n">
        <v>78100</v>
      </c>
      <c r="G7079" s="615" t="n">
        <f aca="false">F7079*E7079</f>
        <v>78.1</v>
      </c>
      <c r="H7079" s="606"/>
    </row>
    <row r="7080" customFormat="false" ht="30" hidden="false" customHeight="false" outlineLevel="0" collapsed="false">
      <c r="A7080" s="571"/>
      <c r="B7080" s="433"/>
      <c r="C7080" s="614" t="s">
        <v>5354</v>
      </c>
      <c r="D7080" s="606" t="s">
        <v>4133</v>
      </c>
      <c r="E7080" s="606" t="n">
        <v>0.06</v>
      </c>
      <c r="F7080" s="361" t="n">
        <v>3000</v>
      </c>
      <c r="G7080" s="615" t="n">
        <f aca="false">F7080*E7080</f>
        <v>180</v>
      </c>
      <c r="H7080" s="606"/>
    </row>
    <row r="7081" customFormat="false" ht="30" hidden="false" customHeight="false" outlineLevel="0" collapsed="false">
      <c r="A7081" s="571"/>
      <c r="B7081" s="433"/>
      <c r="C7081" s="614" t="s">
        <v>5355</v>
      </c>
      <c r="D7081" s="606" t="s">
        <v>4133</v>
      </c>
      <c r="E7081" s="606" t="n">
        <v>0.06</v>
      </c>
      <c r="F7081" s="361" t="n">
        <v>3000</v>
      </c>
      <c r="G7081" s="615" t="n">
        <f aca="false">F7081*E7081</f>
        <v>180</v>
      </c>
      <c r="H7081" s="606"/>
    </row>
    <row r="7082" customFormat="false" ht="15" hidden="false" customHeight="false" outlineLevel="0" collapsed="false">
      <c r="A7082" s="571"/>
      <c r="B7082" s="433"/>
      <c r="C7082" s="614" t="s">
        <v>5356</v>
      </c>
      <c r="D7082" s="606" t="s">
        <v>4133</v>
      </c>
      <c r="E7082" s="606" t="n">
        <v>0.1</v>
      </c>
      <c r="F7082" s="361" t="n">
        <v>6500</v>
      </c>
      <c r="G7082" s="615" t="n">
        <f aca="false">F7082*E7082</f>
        <v>650</v>
      </c>
      <c r="H7082" s="606"/>
    </row>
    <row r="7083" customFormat="false" ht="15" hidden="false" customHeight="false" outlineLevel="0" collapsed="false">
      <c r="A7083" s="571"/>
      <c r="B7083" s="433"/>
      <c r="C7083" s="614" t="s">
        <v>4214</v>
      </c>
      <c r="D7083" s="606" t="s">
        <v>4133</v>
      </c>
      <c r="E7083" s="606" t="n">
        <v>0.04</v>
      </c>
      <c r="F7083" s="361" t="n">
        <v>35000</v>
      </c>
      <c r="G7083" s="615" t="n">
        <f aca="false">F7083*E7083</f>
        <v>1400</v>
      </c>
      <c r="H7083" s="606"/>
    </row>
    <row r="7084" customFormat="false" ht="15" hidden="false" customHeight="false" outlineLevel="0" collapsed="false">
      <c r="A7084" s="571"/>
      <c r="B7084" s="433"/>
      <c r="C7084" s="614" t="s">
        <v>5357</v>
      </c>
      <c r="D7084" s="606" t="s">
        <v>4133</v>
      </c>
      <c r="E7084" s="606" t="n">
        <v>0.0002</v>
      </c>
      <c r="F7084" s="361" t="n">
        <v>590000</v>
      </c>
      <c r="G7084" s="615" t="n">
        <f aca="false">F7084*E7084</f>
        <v>118</v>
      </c>
      <c r="H7084" s="606"/>
    </row>
    <row r="7085" customFormat="false" ht="15" hidden="false" customHeight="false" outlineLevel="0" collapsed="false">
      <c r="A7085" s="571"/>
      <c r="B7085" s="433"/>
      <c r="C7085" s="614" t="s">
        <v>4515</v>
      </c>
      <c r="D7085" s="606" t="s">
        <v>4133</v>
      </c>
      <c r="E7085" s="606" t="n">
        <v>0.0001</v>
      </c>
      <c r="F7085" s="361" t="n">
        <v>3500</v>
      </c>
      <c r="G7085" s="615" t="n">
        <f aca="false">F7085*E7085</f>
        <v>0.35</v>
      </c>
      <c r="H7085" s="606"/>
    </row>
    <row r="7086" customFormat="false" ht="15" hidden="false" customHeight="false" outlineLevel="0" collapsed="false">
      <c r="A7086" s="571"/>
      <c r="B7086" s="433"/>
      <c r="C7086" s="909" t="s">
        <v>4124</v>
      </c>
      <c r="D7086" s="606" t="s">
        <v>4516</v>
      </c>
      <c r="E7086" s="606" t="n">
        <v>0.5</v>
      </c>
      <c r="F7086" s="361" t="n">
        <v>80</v>
      </c>
      <c r="G7086" s="615" t="n">
        <f aca="false">F7086*E7086</f>
        <v>40</v>
      </c>
      <c r="H7086" s="606"/>
    </row>
    <row r="7087" customFormat="false" ht="15" hidden="false" customHeight="false" outlineLevel="0" collapsed="false">
      <c r="A7087" s="571"/>
      <c r="B7087" s="433"/>
      <c r="C7087" s="614" t="s">
        <v>4120</v>
      </c>
      <c r="D7087" s="606" t="s">
        <v>5349</v>
      </c>
      <c r="E7087" s="705" t="n">
        <v>0.003</v>
      </c>
      <c r="F7087" s="361" t="n">
        <v>1500</v>
      </c>
      <c r="G7087" s="615" t="n">
        <f aca="false">F7087*E7087</f>
        <v>4.5</v>
      </c>
      <c r="H7087" s="606"/>
    </row>
    <row r="7088" customFormat="false" ht="15" hidden="false" customHeight="false" outlineLevel="0" collapsed="false">
      <c r="A7088" s="571"/>
      <c r="B7088" s="433"/>
      <c r="C7088" s="614" t="s">
        <v>4154</v>
      </c>
      <c r="D7088" s="606" t="s">
        <v>4359</v>
      </c>
      <c r="E7088" s="606" t="n">
        <v>0.025</v>
      </c>
      <c r="F7088" s="361" t="n">
        <v>5800</v>
      </c>
      <c r="G7088" s="615" t="n">
        <f aca="false">F7088*E7088</f>
        <v>145</v>
      </c>
      <c r="H7088" s="606"/>
    </row>
    <row r="7089" customFormat="false" ht="15" hidden="false" customHeight="false" outlineLevel="0" collapsed="false">
      <c r="A7089" s="571"/>
      <c r="B7089" s="433"/>
      <c r="C7089" s="614" t="s">
        <v>5365</v>
      </c>
      <c r="D7089" s="606" t="s">
        <v>4133</v>
      </c>
      <c r="E7089" s="606" t="n">
        <v>0.009</v>
      </c>
      <c r="F7089" s="361" t="n">
        <v>6250</v>
      </c>
      <c r="G7089" s="615" t="n">
        <f aca="false">F7089*E7089</f>
        <v>56.25</v>
      </c>
      <c r="H7089" s="606"/>
    </row>
    <row r="7090" customFormat="false" ht="15" hidden="false" customHeight="false" outlineLevel="0" collapsed="false">
      <c r="A7090" s="571"/>
      <c r="B7090" s="433"/>
      <c r="C7090" s="614" t="s">
        <v>5366</v>
      </c>
      <c r="D7090" s="606" t="s">
        <v>4359</v>
      </c>
      <c r="E7090" s="606" t="n">
        <v>0.01</v>
      </c>
      <c r="F7090" s="361" t="n">
        <v>80000</v>
      </c>
      <c r="G7090" s="615" t="n">
        <f aca="false">F7090*E7090</f>
        <v>800</v>
      </c>
      <c r="H7090" s="606"/>
    </row>
    <row r="7091" customFormat="false" ht="15" hidden="false" customHeight="false" outlineLevel="0" collapsed="false">
      <c r="A7091" s="571" t="s">
        <v>1233</v>
      </c>
      <c r="B7091" s="433" t="s">
        <v>3373</v>
      </c>
      <c r="C7091" s="910"/>
      <c r="D7091" s="606"/>
      <c r="E7091" s="622"/>
      <c r="F7091" s="361"/>
      <c r="G7091" s="826" t="n">
        <f aca="false">SUM(G7092:G7095)</f>
        <v>77.85</v>
      </c>
      <c r="H7091" s="606"/>
    </row>
    <row r="7092" customFormat="false" ht="15" hidden="false" customHeight="false" outlineLevel="0" collapsed="false">
      <c r="A7092" s="571"/>
      <c r="B7092" s="433"/>
      <c r="C7092" s="614" t="s">
        <v>4122</v>
      </c>
      <c r="D7092" s="606" t="s">
        <v>4359</v>
      </c>
      <c r="E7092" s="606" t="n">
        <v>0.05</v>
      </c>
      <c r="F7092" s="361" t="n">
        <v>720</v>
      </c>
      <c r="G7092" s="615" t="n">
        <f aca="false">E7092*F7092</f>
        <v>36</v>
      </c>
      <c r="H7092" s="606"/>
    </row>
    <row r="7093" customFormat="false" ht="15" hidden="false" customHeight="false" outlineLevel="0" collapsed="false">
      <c r="A7093" s="571"/>
      <c r="B7093" s="433"/>
      <c r="C7093" s="614" t="s">
        <v>4515</v>
      </c>
      <c r="D7093" s="606" t="s">
        <v>4133</v>
      </c>
      <c r="E7093" s="606" t="n">
        <v>0.0001</v>
      </c>
      <c r="F7093" s="361" t="n">
        <v>3500</v>
      </c>
      <c r="G7093" s="615" t="n">
        <f aca="false">E7093*F7093</f>
        <v>0.35</v>
      </c>
      <c r="H7093" s="606"/>
    </row>
    <row r="7094" customFormat="false" ht="15" hidden="false" customHeight="false" outlineLevel="0" collapsed="false">
      <c r="A7094" s="571"/>
      <c r="B7094" s="433"/>
      <c r="C7094" s="909" t="s">
        <v>4124</v>
      </c>
      <c r="D7094" s="606" t="s">
        <v>4516</v>
      </c>
      <c r="E7094" s="606" t="n">
        <v>0.5</v>
      </c>
      <c r="F7094" s="361" t="n">
        <v>80</v>
      </c>
      <c r="G7094" s="615" t="n">
        <f aca="false">E7094*F7094</f>
        <v>40</v>
      </c>
      <c r="H7094" s="606"/>
    </row>
    <row r="7095" customFormat="false" ht="15" hidden="false" customHeight="false" outlineLevel="0" collapsed="false">
      <c r="A7095" s="571"/>
      <c r="B7095" s="433"/>
      <c r="C7095" s="614" t="s">
        <v>5341</v>
      </c>
      <c r="D7095" s="606" t="s">
        <v>5342</v>
      </c>
      <c r="E7095" s="606" t="n">
        <v>0.001</v>
      </c>
      <c r="F7095" s="361" t="n">
        <v>1500</v>
      </c>
      <c r="G7095" s="615" t="n">
        <f aca="false">E7095*F7095</f>
        <v>1.5</v>
      </c>
      <c r="H7095" s="606"/>
    </row>
    <row r="7096" customFormat="false" ht="15" hidden="false" customHeight="false" outlineLevel="0" collapsed="false">
      <c r="A7096" s="571" t="s">
        <v>1235</v>
      </c>
      <c r="B7096" s="433" t="s">
        <v>3374</v>
      </c>
      <c r="C7096" s="910"/>
      <c r="D7096" s="606"/>
      <c r="E7096" s="622"/>
      <c r="F7096" s="361"/>
      <c r="G7096" s="826" t="n">
        <f aca="false">SUM(G7097:G7100)</f>
        <v>77.85</v>
      </c>
      <c r="H7096" s="606"/>
    </row>
    <row r="7097" customFormat="false" ht="15" hidden="false" customHeight="false" outlineLevel="0" collapsed="false">
      <c r="A7097" s="571"/>
      <c r="B7097" s="433"/>
      <c r="C7097" s="614" t="s">
        <v>4122</v>
      </c>
      <c r="D7097" s="606" t="s">
        <v>4359</v>
      </c>
      <c r="E7097" s="606" t="n">
        <v>0.05</v>
      </c>
      <c r="F7097" s="361" t="n">
        <v>720</v>
      </c>
      <c r="G7097" s="615" t="n">
        <f aca="false">E7097*F7097</f>
        <v>36</v>
      </c>
      <c r="H7097" s="606"/>
    </row>
    <row r="7098" customFormat="false" ht="15" hidden="false" customHeight="false" outlineLevel="0" collapsed="false">
      <c r="A7098" s="571"/>
      <c r="B7098" s="433"/>
      <c r="C7098" s="614" t="s">
        <v>4515</v>
      </c>
      <c r="D7098" s="606" t="s">
        <v>4133</v>
      </c>
      <c r="E7098" s="606" t="n">
        <v>0.0001</v>
      </c>
      <c r="F7098" s="361" t="n">
        <v>3500</v>
      </c>
      <c r="G7098" s="615" t="n">
        <f aca="false">E7098*F7098</f>
        <v>0.35</v>
      </c>
      <c r="H7098" s="606"/>
    </row>
    <row r="7099" customFormat="false" ht="15" hidden="false" customHeight="false" outlineLevel="0" collapsed="false">
      <c r="A7099" s="571"/>
      <c r="B7099" s="433"/>
      <c r="C7099" s="909" t="s">
        <v>4124</v>
      </c>
      <c r="D7099" s="606" t="s">
        <v>4516</v>
      </c>
      <c r="E7099" s="606" t="n">
        <v>0.5</v>
      </c>
      <c r="F7099" s="361" t="n">
        <v>80</v>
      </c>
      <c r="G7099" s="615" t="n">
        <f aca="false">E7099*F7099</f>
        <v>40</v>
      </c>
      <c r="H7099" s="606"/>
    </row>
    <row r="7100" customFormat="false" ht="15" hidden="false" customHeight="false" outlineLevel="0" collapsed="false">
      <c r="A7100" s="571"/>
      <c r="B7100" s="433"/>
      <c r="C7100" s="614" t="s">
        <v>5341</v>
      </c>
      <c r="D7100" s="606" t="s">
        <v>5342</v>
      </c>
      <c r="E7100" s="606" t="n">
        <v>0.001</v>
      </c>
      <c r="F7100" s="361" t="n">
        <v>1500</v>
      </c>
      <c r="G7100" s="615" t="n">
        <f aca="false">E7100*F7100</f>
        <v>1.5</v>
      </c>
      <c r="H7100" s="606"/>
    </row>
    <row r="7101" customFormat="false" ht="30" hidden="false" customHeight="false" outlineLevel="0" collapsed="false">
      <c r="A7101" s="571" t="s">
        <v>1237</v>
      </c>
      <c r="B7101" s="433" t="s">
        <v>3375</v>
      </c>
      <c r="C7101" s="910"/>
      <c r="D7101" s="606"/>
      <c r="E7101" s="622"/>
      <c r="F7101" s="361"/>
      <c r="G7101" s="826" t="n">
        <f aca="false">SUM(G7102:G7106)</f>
        <v>84.55</v>
      </c>
      <c r="H7101" s="606"/>
    </row>
    <row r="7102" customFormat="false" ht="15" hidden="false" customHeight="false" outlineLevel="0" collapsed="false">
      <c r="A7102" s="571"/>
      <c r="B7102" s="433"/>
      <c r="C7102" s="614" t="s">
        <v>5344</v>
      </c>
      <c r="D7102" s="606" t="s">
        <v>4141</v>
      </c>
      <c r="E7102" s="705" t="n">
        <v>0.001</v>
      </c>
      <c r="F7102" s="361" t="n">
        <v>29500</v>
      </c>
      <c r="G7102" s="615" t="n">
        <f aca="false">E7102*F7102</f>
        <v>29.5</v>
      </c>
      <c r="H7102" s="606"/>
    </row>
    <row r="7103" customFormat="false" ht="15" hidden="false" customHeight="false" outlineLevel="0" collapsed="false">
      <c r="A7103" s="571"/>
      <c r="B7103" s="433"/>
      <c r="C7103" s="614" t="s">
        <v>4122</v>
      </c>
      <c r="D7103" s="606" t="s">
        <v>4359</v>
      </c>
      <c r="E7103" s="606" t="n">
        <v>0.01</v>
      </c>
      <c r="F7103" s="361" t="n">
        <v>720</v>
      </c>
      <c r="G7103" s="615" t="n">
        <f aca="false">E7103*F7103</f>
        <v>7.2</v>
      </c>
      <c r="H7103" s="606"/>
    </row>
    <row r="7104" customFormat="false" ht="15" hidden="false" customHeight="false" outlineLevel="0" collapsed="false">
      <c r="A7104" s="571"/>
      <c r="B7104" s="433"/>
      <c r="C7104" s="614" t="s">
        <v>4515</v>
      </c>
      <c r="D7104" s="606" t="s">
        <v>4133</v>
      </c>
      <c r="E7104" s="606" t="n">
        <v>0.0001</v>
      </c>
      <c r="F7104" s="361" t="n">
        <v>3500</v>
      </c>
      <c r="G7104" s="615" t="n">
        <f aca="false">E7104*F7104</f>
        <v>0.35</v>
      </c>
      <c r="H7104" s="606"/>
    </row>
    <row r="7105" customFormat="false" ht="15" hidden="false" customHeight="false" outlineLevel="0" collapsed="false">
      <c r="A7105" s="571"/>
      <c r="B7105" s="433"/>
      <c r="C7105" s="909" t="s">
        <v>4124</v>
      </c>
      <c r="D7105" s="606" t="s">
        <v>4516</v>
      </c>
      <c r="E7105" s="606" t="n">
        <v>0.5</v>
      </c>
      <c r="F7105" s="361" t="n">
        <v>80</v>
      </c>
      <c r="G7105" s="615" t="n">
        <f aca="false">E7105*F7105</f>
        <v>40</v>
      </c>
      <c r="H7105" s="606"/>
    </row>
    <row r="7106" customFormat="false" ht="15" hidden="false" customHeight="false" outlineLevel="0" collapsed="false">
      <c r="A7106" s="571"/>
      <c r="B7106" s="433"/>
      <c r="C7106" s="614" t="s">
        <v>5341</v>
      </c>
      <c r="D7106" s="606" t="s">
        <v>5342</v>
      </c>
      <c r="E7106" s="606" t="n">
        <v>0.005</v>
      </c>
      <c r="F7106" s="361" t="n">
        <v>1500</v>
      </c>
      <c r="G7106" s="615" t="n">
        <f aca="false">E7106*F7106</f>
        <v>7.5</v>
      </c>
      <c r="H7106" s="606"/>
    </row>
    <row r="7107" customFormat="false" ht="30" hidden="false" customHeight="false" outlineLevel="0" collapsed="false">
      <c r="A7107" s="571" t="s">
        <v>1238</v>
      </c>
      <c r="B7107" s="433" t="s">
        <v>3376</v>
      </c>
      <c r="C7107" s="476"/>
      <c r="D7107" s="820"/>
      <c r="E7107" s="820"/>
      <c r="F7107" s="361"/>
      <c r="G7107" s="826" t="n">
        <f aca="false">SUM(G7108:G7127)</f>
        <v>5410.95</v>
      </c>
      <c r="H7107" s="606"/>
    </row>
    <row r="7108" customFormat="false" ht="15" hidden="false" customHeight="false" outlineLevel="0" collapsed="false">
      <c r="A7108" s="571"/>
      <c r="B7108" s="433"/>
      <c r="C7108" s="614" t="s">
        <v>4225</v>
      </c>
      <c r="D7108" s="606" t="s">
        <v>4133</v>
      </c>
      <c r="E7108" s="606" t="n">
        <v>0.08</v>
      </c>
      <c r="F7108" s="361" t="n">
        <v>800</v>
      </c>
      <c r="G7108" s="615" t="n">
        <f aca="false">F7108*E7108</f>
        <v>64</v>
      </c>
      <c r="H7108" s="606"/>
    </row>
    <row r="7109" customFormat="false" ht="15" hidden="false" customHeight="false" outlineLevel="0" collapsed="false">
      <c r="A7109" s="571"/>
      <c r="B7109" s="433"/>
      <c r="C7109" s="614" t="s">
        <v>4189</v>
      </c>
      <c r="D7109" s="606" t="s">
        <v>4359</v>
      </c>
      <c r="E7109" s="606" t="n">
        <v>0.0006</v>
      </c>
      <c r="F7109" s="361" t="n">
        <v>130000</v>
      </c>
      <c r="G7109" s="615" t="n">
        <f aca="false">F7109*E7109</f>
        <v>78</v>
      </c>
      <c r="H7109" s="606"/>
    </row>
    <row r="7110" customFormat="false" ht="15" hidden="false" customHeight="false" outlineLevel="0" collapsed="false">
      <c r="A7110" s="571"/>
      <c r="B7110" s="433"/>
      <c r="C7110" s="614" t="s">
        <v>4147</v>
      </c>
      <c r="D7110" s="606" t="s">
        <v>4359</v>
      </c>
      <c r="E7110" s="606" t="n">
        <v>0.05</v>
      </c>
      <c r="F7110" s="361" t="n">
        <v>1300</v>
      </c>
      <c r="G7110" s="615" t="n">
        <f aca="false">F7110*E7110</f>
        <v>65</v>
      </c>
      <c r="H7110" s="606"/>
    </row>
    <row r="7111" customFormat="false" ht="30" hidden="false" customHeight="false" outlineLevel="0" collapsed="false">
      <c r="A7111" s="571"/>
      <c r="B7111" s="433"/>
      <c r="C7111" s="614" t="s">
        <v>5351</v>
      </c>
      <c r="D7111" s="606" t="s">
        <v>4133</v>
      </c>
      <c r="E7111" s="606" t="n">
        <v>0.0025</v>
      </c>
      <c r="F7111" s="361" t="n">
        <v>78100</v>
      </c>
      <c r="G7111" s="615" t="n">
        <f aca="false">F7111*E7111</f>
        <v>195.25</v>
      </c>
      <c r="H7111" s="606"/>
    </row>
    <row r="7112" customFormat="false" ht="30" hidden="false" customHeight="false" outlineLevel="0" collapsed="false">
      <c r="A7112" s="571"/>
      <c r="B7112" s="433"/>
      <c r="C7112" s="614" t="s">
        <v>5352</v>
      </c>
      <c r="D7112" s="606" t="s">
        <v>4133</v>
      </c>
      <c r="E7112" s="606" t="n">
        <v>0.06</v>
      </c>
      <c r="F7112" s="361" t="n">
        <v>25500</v>
      </c>
      <c r="G7112" s="615" t="n">
        <f aca="false">F7112*E7112</f>
        <v>1530</v>
      </c>
      <c r="H7112" s="606"/>
    </row>
    <row r="7113" customFormat="false" ht="15" hidden="false" customHeight="false" outlineLevel="0" collapsed="false">
      <c r="A7113" s="571"/>
      <c r="B7113" s="433"/>
      <c r="C7113" s="614" t="s">
        <v>4545</v>
      </c>
      <c r="D7113" s="606" t="s">
        <v>4133</v>
      </c>
      <c r="E7113" s="606" t="n">
        <v>0.02</v>
      </c>
      <c r="F7113" s="361" t="n">
        <v>2500</v>
      </c>
      <c r="G7113" s="615" t="n">
        <f aca="false">F7113*E7113</f>
        <v>50</v>
      </c>
      <c r="H7113" s="606"/>
    </row>
    <row r="7114" customFormat="false" ht="30" hidden="false" customHeight="false" outlineLevel="0" collapsed="false">
      <c r="A7114" s="571"/>
      <c r="B7114" s="433"/>
      <c r="C7114" s="614" t="s">
        <v>5353</v>
      </c>
      <c r="D7114" s="606" t="s">
        <v>4133</v>
      </c>
      <c r="E7114" s="606" t="n">
        <v>0.001</v>
      </c>
      <c r="F7114" s="361" t="n">
        <v>78100</v>
      </c>
      <c r="G7114" s="615" t="n">
        <f aca="false">F7114*E7114</f>
        <v>78.1</v>
      </c>
      <c r="H7114" s="606"/>
    </row>
    <row r="7115" customFormat="false" ht="30" hidden="false" customHeight="false" outlineLevel="0" collapsed="false">
      <c r="A7115" s="571"/>
      <c r="B7115" s="433"/>
      <c r="C7115" s="614" t="s">
        <v>5354</v>
      </c>
      <c r="D7115" s="606" t="s">
        <v>4133</v>
      </c>
      <c r="E7115" s="606" t="n">
        <v>0.06</v>
      </c>
      <c r="F7115" s="361" t="n">
        <v>3000</v>
      </c>
      <c r="G7115" s="615" t="n">
        <f aca="false">F7115*E7115</f>
        <v>180</v>
      </c>
      <c r="H7115" s="606"/>
    </row>
    <row r="7116" customFormat="false" ht="30" hidden="false" customHeight="false" outlineLevel="0" collapsed="false">
      <c r="A7116" s="571"/>
      <c r="B7116" s="433"/>
      <c r="C7116" s="614" t="s">
        <v>5355</v>
      </c>
      <c r="D7116" s="606" t="s">
        <v>4133</v>
      </c>
      <c r="E7116" s="606" t="n">
        <v>0.06</v>
      </c>
      <c r="F7116" s="361" t="n">
        <v>3000</v>
      </c>
      <c r="G7116" s="615" t="n">
        <f aca="false">F7116*E7116</f>
        <v>180</v>
      </c>
      <c r="H7116" s="606"/>
    </row>
    <row r="7117" customFormat="false" ht="15" hidden="false" customHeight="false" outlineLevel="0" collapsed="false">
      <c r="A7117" s="571"/>
      <c r="B7117" s="433"/>
      <c r="C7117" s="614" t="s">
        <v>5356</v>
      </c>
      <c r="D7117" s="606" t="s">
        <v>4133</v>
      </c>
      <c r="E7117" s="606" t="n">
        <v>0.1</v>
      </c>
      <c r="F7117" s="361" t="n">
        <v>6500</v>
      </c>
      <c r="G7117" s="615" t="n">
        <f aca="false">F7117*E7117</f>
        <v>650</v>
      </c>
      <c r="H7117" s="606"/>
    </row>
    <row r="7118" customFormat="false" ht="15" hidden="false" customHeight="false" outlineLevel="0" collapsed="false">
      <c r="A7118" s="571"/>
      <c r="B7118" s="433"/>
      <c r="C7118" s="614" t="s">
        <v>4214</v>
      </c>
      <c r="D7118" s="606" t="s">
        <v>4133</v>
      </c>
      <c r="E7118" s="606" t="n">
        <v>0.03</v>
      </c>
      <c r="F7118" s="361" t="n">
        <v>35000</v>
      </c>
      <c r="G7118" s="615" t="n">
        <f aca="false">F7118*E7118</f>
        <v>1050</v>
      </c>
      <c r="H7118" s="606"/>
    </row>
    <row r="7119" customFormat="false" ht="15" hidden="false" customHeight="false" outlineLevel="0" collapsed="false">
      <c r="A7119" s="571"/>
      <c r="B7119" s="433"/>
      <c r="C7119" s="614" t="s">
        <v>5357</v>
      </c>
      <c r="D7119" s="606" t="s">
        <v>4133</v>
      </c>
      <c r="E7119" s="606" t="n">
        <v>0.0001</v>
      </c>
      <c r="F7119" s="361" t="n">
        <v>590000</v>
      </c>
      <c r="G7119" s="615" t="n">
        <f aca="false">F7119*E7119</f>
        <v>59</v>
      </c>
      <c r="H7119" s="606"/>
    </row>
    <row r="7120" customFormat="false" ht="15" hidden="false" customHeight="false" outlineLevel="0" collapsed="false">
      <c r="A7120" s="571"/>
      <c r="B7120" s="433"/>
      <c r="C7120" s="614" t="s">
        <v>4515</v>
      </c>
      <c r="D7120" s="606" t="s">
        <v>4133</v>
      </c>
      <c r="E7120" s="606" t="n">
        <v>0.0001</v>
      </c>
      <c r="F7120" s="361" t="n">
        <v>3500</v>
      </c>
      <c r="G7120" s="615" t="n">
        <f aca="false">F7120*E7120</f>
        <v>0.35</v>
      </c>
      <c r="H7120" s="606"/>
    </row>
    <row r="7121" customFormat="false" ht="15" hidden="false" customHeight="false" outlineLevel="0" collapsed="false">
      <c r="A7121" s="571"/>
      <c r="B7121" s="433"/>
      <c r="C7121" s="909" t="s">
        <v>4124</v>
      </c>
      <c r="D7121" s="606" t="s">
        <v>4516</v>
      </c>
      <c r="E7121" s="606" t="n">
        <v>0.5</v>
      </c>
      <c r="F7121" s="361" t="n">
        <v>80</v>
      </c>
      <c r="G7121" s="615" t="n">
        <f aca="false">F7121*E7121</f>
        <v>40</v>
      </c>
      <c r="H7121" s="606"/>
    </row>
    <row r="7122" customFormat="false" ht="15" hidden="false" customHeight="false" outlineLevel="0" collapsed="false">
      <c r="A7122" s="571"/>
      <c r="B7122" s="433"/>
      <c r="C7122" s="614" t="s">
        <v>4393</v>
      </c>
      <c r="D7122" s="606" t="s">
        <v>4133</v>
      </c>
      <c r="E7122" s="606" t="n">
        <v>0.09</v>
      </c>
      <c r="F7122" s="361" t="n">
        <v>3500</v>
      </c>
      <c r="G7122" s="615" t="n">
        <f aca="false">F7122*E7122</f>
        <v>315</v>
      </c>
      <c r="H7122" s="606"/>
    </row>
    <row r="7123" customFormat="false" ht="15" hidden="false" customHeight="false" outlineLevel="0" collapsed="false">
      <c r="A7123" s="571"/>
      <c r="B7123" s="433"/>
      <c r="C7123" s="614" t="s">
        <v>5360</v>
      </c>
      <c r="D7123" s="606" t="s">
        <v>4133</v>
      </c>
      <c r="E7123" s="606" t="n">
        <v>0.001</v>
      </c>
      <c r="F7123" s="361" t="n">
        <v>765000</v>
      </c>
      <c r="G7123" s="615" t="n">
        <f aca="false">F7123*E7123</f>
        <v>765</v>
      </c>
      <c r="H7123" s="606"/>
    </row>
    <row r="7124" customFormat="false" ht="15" hidden="false" customHeight="false" outlineLevel="0" collapsed="false">
      <c r="A7124" s="571"/>
      <c r="B7124" s="433"/>
      <c r="C7124" s="614" t="s">
        <v>4239</v>
      </c>
      <c r="D7124" s="606" t="s">
        <v>4133</v>
      </c>
      <c r="E7124" s="606" t="n">
        <v>0.04</v>
      </c>
      <c r="F7124" s="361" t="n">
        <v>2500</v>
      </c>
      <c r="G7124" s="615" t="n">
        <f aca="false">F7124*E7124</f>
        <v>100</v>
      </c>
      <c r="H7124" s="606"/>
    </row>
    <row r="7125" customFormat="false" ht="15" hidden="false" customHeight="false" outlineLevel="0" collapsed="false">
      <c r="A7125" s="571"/>
      <c r="B7125" s="433"/>
      <c r="C7125" s="614" t="s">
        <v>4742</v>
      </c>
      <c r="D7125" s="606" t="s">
        <v>4133</v>
      </c>
      <c r="E7125" s="606" t="n">
        <v>0.0001</v>
      </c>
      <c r="F7125" s="361" t="n">
        <v>3000</v>
      </c>
      <c r="G7125" s="615" t="n">
        <f aca="false">F7125*E7125</f>
        <v>0.3</v>
      </c>
      <c r="H7125" s="606"/>
    </row>
    <row r="7126" customFormat="false" ht="15" hidden="false" customHeight="false" outlineLevel="0" collapsed="false">
      <c r="A7126" s="571"/>
      <c r="B7126" s="433"/>
      <c r="C7126" s="614" t="s">
        <v>4270</v>
      </c>
      <c r="D7126" s="606" t="s">
        <v>4359</v>
      </c>
      <c r="E7126" s="606" t="n">
        <v>0.008</v>
      </c>
      <c r="F7126" s="361" t="n">
        <v>900</v>
      </c>
      <c r="G7126" s="615" t="n">
        <f aca="false">F7126*E7126</f>
        <v>7.2</v>
      </c>
      <c r="H7126" s="606"/>
    </row>
    <row r="7127" customFormat="false" ht="15" hidden="false" customHeight="false" outlineLevel="0" collapsed="false">
      <c r="A7127" s="571"/>
      <c r="B7127" s="433"/>
      <c r="C7127" s="614" t="s">
        <v>5361</v>
      </c>
      <c r="D7127" s="606" t="s">
        <v>4133</v>
      </c>
      <c r="E7127" s="606" t="n">
        <v>0.0003</v>
      </c>
      <c r="F7127" s="361" t="n">
        <v>12500</v>
      </c>
      <c r="G7127" s="615" t="n">
        <f aca="false">F7127*E7127</f>
        <v>3.75</v>
      </c>
      <c r="H7127" s="606"/>
    </row>
    <row r="7128" customFormat="false" ht="15" hidden="false" customHeight="false" outlineLevel="0" collapsed="false">
      <c r="A7128" s="571" t="s">
        <v>1240</v>
      </c>
      <c r="B7128" s="433" t="s">
        <v>3377</v>
      </c>
      <c r="C7128" s="614"/>
      <c r="D7128" s="606"/>
      <c r="E7128" s="622"/>
      <c r="F7128" s="361"/>
      <c r="G7128" s="826" t="n">
        <f aca="false">SUM(G7129:G7142)</f>
        <v>2176.8</v>
      </c>
      <c r="H7128" s="606"/>
    </row>
    <row r="7129" customFormat="false" ht="15" hidden="false" customHeight="false" outlineLevel="0" collapsed="false">
      <c r="A7129" s="571"/>
      <c r="B7129" s="433"/>
      <c r="C7129" s="614" t="s">
        <v>4205</v>
      </c>
      <c r="D7129" s="606" t="s">
        <v>4359</v>
      </c>
      <c r="E7129" s="606" t="n">
        <v>0.04</v>
      </c>
      <c r="F7129" s="361" t="n">
        <v>8000</v>
      </c>
      <c r="G7129" s="615" t="n">
        <f aca="false">F7129*E7129</f>
        <v>320</v>
      </c>
      <c r="H7129" s="606"/>
    </row>
    <row r="7130" customFormat="false" ht="15" hidden="false" customHeight="false" outlineLevel="0" collapsed="false">
      <c r="A7130" s="571"/>
      <c r="B7130" s="433"/>
      <c r="C7130" s="614" t="s">
        <v>4147</v>
      </c>
      <c r="D7130" s="606" t="s">
        <v>4359</v>
      </c>
      <c r="E7130" s="606" t="n">
        <v>0.05</v>
      </c>
      <c r="F7130" s="361" t="n">
        <v>1300</v>
      </c>
      <c r="G7130" s="615" t="n">
        <f aca="false">F7130*E7130</f>
        <v>65</v>
      </c>
      <c r="H7130" s="606"/>
    </row>
    <row r="7131" customFormat="false" ht="15" hidden="false" customHeight="false" outlineLevel="0" collapsed="false">
      <c r="A7131" s="571"/>
      <c r="B7131" s="433"/>
      <c r="C7131" s="614" t="s">
        <v>4270</v>
      </c>
      <c r="D7131" s="606" t="s">
        <v>4133</v>
      </c>
      <c r="E7131" s="606" t="n">
        <v>0.0025</v>
      </c>
      <c r="F7131" s="361" t="n">
        <v>900</v>
      </c>
      <c r="G7131" s="615" t="n">
        <f aca="false">F7131*E7131</f>
        <v>2.25</v>
      </c>
      <c r="H7131" s="606"/>
    </row>
    <row r="7132" customFormat="false" ht="15" hidden="false" customHeight="false" outlineLevel="0" collapsed="false">
      <c r="A7132" s="571"/>
      <c r="B7132" s="433"/>
      <c r="C7132" s="614" t="s">
        <v>5367</v>
      </c>
      <c r="D7132" s="606" t="s">
        <v>4133</v>
      </c>
      <c r="E7132" s="606" t="n">
        <v>5E-005</v>
      </c>
      <c r="F7132" s="361" t="n">
        <v>781000</v>
      </c>
      <c r="G7132" s="615" t="n">
        <f aca="false">F7132*E7132</f>
        <v>39.05</v>
      </c>
      <c r="H7132" s="606"/>
    </row>
    <row r="7133" customFormat="false" ht="15" hidden="false" customHeight="false" outlineLevel="0" collapsed="false">
      <c r="A7133" s="571"/>
      <c r="B7133" s="433"/>
      <c r="C7133" s="614" t="s">
        <v>4257</v>
      </c>
      <c r="D7133" s="606" t="s">
        <v>4133</v>
      </c>
      <c r="E7133" s="606" t="n">
        <v>0.02</v>
      </c>
      <c r="F7133" s="361" t="n">
        <v>1500</v>
      </c>
      <c r="G7133" s="615" t="n">
        <f aca="false">F7133*E7133</f>
        <v>30</v>
      </c>
      <c r="H7133" s="606"/>
    </row>
    <row r="7134" customFormat="false" ht="15" hidden="false" customHeight="false" outlineLevel="0" collapsed="false">
      <c r="A7134" s="571"/>
      <c r="B7134" s="433"/>
      <c r="C7134" s="614" t="s">
        <v>4225</v>
      </c>
      <c r="D7134" s="606" t="s">
        <v>4359</v>
      </c>
      <c r="E7134" s="606" t="n">
        <v>0.02</v>
      </c>
      <c r="F7134" s="361" t="n">
        <v>800</v>
      </c>
      <c r="G7134" s="615" t="n">
        <f aca="false">F7134*E7134</f>
        <v>16</v>
      </c>
      <c r="H7134" s="606"/>
    </row>
    <row r="7135" customFormat="false" ht="15" hidden="false" customHeight="false" outlineLevel="0" collapsed="false">
      <c r="A7135" s="571"/>
      <c r="B7135" s="433"/>
      <c r="C7135" s="614" t="s">
        <v>5368</v>
      </c>
      <c r="D7135" s="606" t="s">
        <v>4133</v>
      </c>
      <c r="E7135" s="606" t="n">
        <v>0.002</v>
      </c>
      <c r="F7135" s="361" t="n">
        <v>6250</v>
      </c>
      <c r="G7135" s="615" t="n">
        <f aca="false">F7135*E7135</f>
        <v>12.5</v>
      </c>
      <c r="H7135" s="606"/>
    </row>
    <row r="7136" customFormat="false" ht="15" hidden="false" customHeight="false" outlineLevel="0" collapsed="false">
      <c r="A7136" s="571"/>
      <c r="B7136" s="433"/>
      <c r="C7136" s="614" t="s">
        <v>5357</v>
      </c>
      <c r="D7136" s="606" t="s">
        <v>4133</v>
      </c>
      <c r="E7136" s="606" t="n">
        <v>0.002</v>
      </c>
      <c r="F7136" s="361" t="n">
        <v>590000</v>
      </c>
      <c r="G7136" s="615" t="n">
        <f aca="false">F7136*E7136</f>
        <v>1180</v>
      </c>
      <c r="H7136" s="606"/>
    </row>
    <row r="7137" customFormat="false" ht="15" hidden="false" customHeight="false" outlineLevel="0" collapsed="false">
      <c r="A7137" s="571"/>
      <c r="B7137" s="433"/>
      <c r="C7137" s="614" t="s">
        <v>4154</v>
      </c>
      <c r="D7137" s="606" t="s">
        <v>4359</v>
      </c>
      <c r="E7137" s="606" t="n">
        <v>0.05</v>
      </c>
      <c r="F7137" s="361" t="n">
        <v>5800</v>
      </c>
      <c r="G7137" s="615" t="n">
        <f aca="false">F7137*E7137</f>
        <v>290</v>
      </c>
      <c r="H7137" s="606"/>
    </row>
    <row r="7138" customFormat="false" ht="15" hidden="false" customHeight="false" outlineLevel="0" collapsed="false">
      <c r="A7138" s="571"/>
      <c r="B7138" s="433"/>
      <c r="C7138" s="614" t="s">
        <v>4545</v>
      </c>
      <c r="D7138" s="606" t="s">
        <v>4359</v>
      </c>
      <c r="E7138" s="606" t="n">
        <v>0.05</v>
      </c>
      <c r="F7138" s="361" t="n">
        <v>2500</v>
      </c>
      <c r="G7138" s="615" t="n">
        <f aca="false">F7138*E7138</f>
        <v>125</v>
      </c>
      <c r="H7138" s="606"/>
    </row>
    <row r="7139" customFormat="false" ht="15" hidden="false" customHeight="false" outlineLevel="0" collapsed="false">
      <c r="A7139" s="571"/>
      <c r="B7139" s="433"/>
      <c r="C7139" s="614" t="s">
        <v>4270</v>
      </c>
      <c r="D7139" s="606" t="s">
        <v>4359</v>
      </c>
      <c r="E7139" s="606" t="n">
        <v>0.01</v>
      </c>
      <c r="F7139" s="361" t="n">
        <v>900</v>
      </c>
      <c r="G7139" s="615" t="n">
        <f aca="false">F7139*E7139</f>
        <v>9</v>
      </c>
      <c r="H7139" s="606"/>
    </row>
    <row r="7140" customFormat="false" ht="15" hidden="false" customHeight="false" outlineLevel="0" collapsed="false">
      <c r="A7140" s="571"/>
      <c r="B7140" s="433"/>
      <c r="C7140" s="614" t="s">
        <v>4515</v>
      </c>
      <c r="D7140" s="606" t="s">
        <v>4133</v>
      </c>
      <c r="E7140" s="606" t="n">
        <v>0.01</v>
      </c>
      <c r="F7140" s="361" t="n">
        <v>3500</v>
      </c>
      <c r="G7140" s="615" t="n">
        <f aca="false">F7140*E7140</f>
        <v>35</v>
      </c>
      <c r="H7140" s="606"/>
    </row>
    <row r="7141" customFormat="false" ht="30" hidden="false" customHeight="false" outlineLevel="0" collapsed="false">
      <c r="A7141" s="571"/>
      <c r="B7141" s="433"/>
      <c r="C7141" s="614" t="s">
        <v>5244</v>
      </c>
      <c r="D7141" s="606" t="s">
        <v>4133</v>
      </c>
      <c r="E7141" s="606" t="n">
        <v>0.01</v>
      </c>
      <c r="F7141" s="361" t="n">
        <v>1300</v>
      </c>
      <c r="G7141" s="615" t="n">
        <f aca="false">F7141*E7141</f>
        <v>13</v>
      </c>
      <c r="H7141" s="606"/>
    </row>
    <row r="7142" customFormat="false" ht="15" hidden="false" customHeight="false" outlineLevel="0" collapsed="false">
      <c r="A7142" s="571"/>
      <c r="B7142" s="433"/>
      <c r="C7142" s="909" t="s">
        <v>4124</v>
      </c>
      <c r="D7142" s="606" t="s">
        <v>4516</v>
      </c>
      <c r="E7142" s="606" t="n">
        <v>0.5</v>
      </c>
      <c r="F7142" s="361" t="n">
        <v>80</v>
      </c>
      <c r="G7142" s="615" t="n">
        <f aca="false">F7142*E7142</f>
        <v>40</v>
      </c>
      <c r="H7142" s="606"/>
    </row>
    <row r="7143" customFormat="false" ht="15" hidden="false" customHeight="false" outlineLevel="0" collapsed="false">
      <c r="A7143" s="571" t="s">
        <v>1242</v>
      </c>
      <c r="B7143" s="433" t="s">
        <v>3378</v>
      </c>
      <c r="C7143" s="614"/>
      <c r="D7143" s="606"/>
      <c r="E7143" s="622"/>
      <c r="F7143" s="361"/>
      <c r="G7143" s="826" t="n">
        <f aca="false">SUM(G7144:G7157)</f>
        <v>2194.3</v>
      </c>
      <c r="H7143" s="606"/>
    </row>
    <row r="7144" customFormat="false" ht="15" hidden="false" customHeight="false" outlineLevel="0" collapsed="false">
      <c r="A7144" s="571"/>
      <c r="B7144" s="433"/>
      <c r="C7144" s="614" t="s">
        <v>4205</v>
      </c>
      <c r="D7144" s="606" t="s">
        <v>4359</v>
      </c>
      <c r="E7144" s="606" t="n">
        <v>0.004</v>
      </c>
      <c r="F7144" s="361" t="n">
        <v>80000</v>
      </c>
      <c r="G7144" s="615" t="n">
        <f aca="false">F7144*E7144</f>
        <v>320</v>
      </c>
      <c r="H7144" s="606"/>
    </row>
    <row r="7145" customFormat="false" ht="15" hidden="false" customHeight="false" outlineLevel="0" collapsed="false">
      <c r="A7145" s="571"/>
      <c r="B7145" s="433"/>
      <c r="C7145" s="614" t="s">
        <v>4147</v>
      </c>
      <c r="D7145" s="606" t="s">
        <v>4359</v>
      </c>
      <c r="E7145" s="606" t="n">
        <v>0.05</v>
      </c>
      <c r="F7145" s="361" t="n">
        <v>1300</v>
      </c>
      <c r="G7145" s="615" t="n">
        <f aca="false">F7145*E7145</f>
        <v>65</v>
      </c>
      <c r="H7145" s="606"/>
    </row>
    <row r="7146" customFormat="false" ht="15" hidden="false" customHeight="false" outlineLevel="0" collapsed="false">
      <c r="A7146" s="571"/>
      <c r="B7146" s="433"/>
      <c r="C7146" s="614" t="s">
        <v>4270</v>
      </c>
      <c r="D7146" s="606" t="s">
        <v>4133</v>
      </c>
      <c r="E7146" s="606" t="n">
        <v>0.0025</v>
      </c>
      <c r="F7146" s="361" t="n">
        <v>900</v>
      </c>
      <c r="G7146" s="615" t="n">
        <f aca="false">F7146*E7146</f>
        <v>2.25</v>
      </c>
      <c r="H7146" s="606"/>
    </row>
    <row r="7147" customFormat="false" ht="15" hidden="false" customHeight="false" outlineLevel="0" collapsed="false">
      <c r="A7147" s="571"/>
      <c r="B7147" s="433"/>
      <c r="C7147" s="614" t="s">
        <v>5367</v>
      </c>
      <c r="D7147" s="606" t="s">
        <v>4133</v>
      </c>
      <c r="E7147" s="606" t="n">
        <v>5E-005</v>
      </c>
      <c r="F7147" s="361" t="n">
        <v>781000</v>
      </c>
      <c r="G7147" s="615" t="n">
        <f aca="false">F7147*E7147</f>
        <v>39.05</v>
      </c>
      <c r="H7147" s="606"/>
    </row>
    <row r="7148" customFormat="false" ht="15" hidden="false" customHeight="false" outlineLevel="0" collapsed="false">
      <c r="A7148" s="571"/>
      <c r="B7148" s="433"/>
      <c r="C7148" s="614" t="s">
        <v>4257</v>
      </c>
      <c r="D7148" s="606" t="s">
        <v>4133</v>
      </c>
      <c r="E7148" s="606" t="n">
        <v>0.02</v>
      </c>
      <c r="F7148" s="361" t="n">
        <v>1500</v>
      </c>
      <c r="G7148" s="615" t="n">
        <f aca="false">F7148*E7148</f>
        <v>30</v>
      </c>
      <c r="H7148" s="606"/>
    </row>
    <row r="7149" customFormat="false" ht="15" hidden="false" customHeight="false" outlineLevel="0" collapsed="false">
      <c r="A7149" s="571"/>
      <c r="B7149" s="433"/>
      <c r="C7149" s="614" t="s">
        <v>4225</v>
      </c>
      <c r="D7149" s="606" t="s">
        <v>4359</v>
      </c>
      <c r="E7149" s="606" t="n">
        <v>0.02</v>
      </c>
      <c r="F7149" s="361" t="n">
        <v>800</v>
      </c>
      <c r="G7149" s="615" t="n">
        <f aca="false">F7149*E7149</f>
        <v>16</v>
      </c>
      <c r="H7149" s="606"/>
    </row>
    <row r="7150" customFormat="false" ht="15" hidden="false" customHeight="false" outlineLevel="0" collapsed="false">
      <c r="A7150" s="571"/>
      <c r="B7150" s="433"/>
      <c r="C7150" s="614" t="s">
        <v>5369</v>
      </c>
      <c r="D7150" s="606" t="s">
        <v>4133</v>
      </c>
      <c r="E7150" s="606" t="n">
        <v>0.002</v>
      </c>
      <c r="F7150" s="361" t="n">
        <v>15000</v>
      </c>
      <c r="G7150" s="615" t="n">
        <f aca="false">F7150*E7150</f>
        <v>30</v>
      </c>
      <c r="H7150" s="606"/>
    </row>
    <row r="7151" customFormat="false" ht="15" hidden="false" customHeight="false" outlineLevel="0" collapsed="false">
      <c r="A7151" s="571"/>
      <c r="B7151" s="433"/>
      <c r="C7151" s="614" t="s">
        <v>5357</v>
      </c>
      <c r="D7151" s="606" t="s">
        <v>4133</v>
      </c>
      <c r="E7151" s="606" t="n">
        <v>0.002</v>
      </c>
      <c r="F7151" s="361" t="n">
        <v>590000</v>
      </c>
      <c r="G7151" s="615" t="n">
        <f aca="false">F7151*E7151</f>
        <v>1180</v>
      </c>
      <c r="H7151" s="606"/>
    </row>
    <row r="7152" customFormat="false" ht="15" hidden="false" customHeight="false" outlineLevel="0" collapsed="false">
      <c r="A7152" s="571"/>
      <c r="B7152" s="433"/>
      <c r="C7152" s="614" t="s">
        <v>4154</v>
      </c>
      <c r="D7152" s="606" t="s">
        <v>4359</v>
      </c>
      <c r="E7152" s="606" t="n">
        <v>0.05</v>
      </c>
      <c r="F7152" s="361" t="n">
        <v>5800</v>
      </c>
      <c r="G7152" s="615" t="n">
        <f aca="false">F7152*E7152</f>
        <v>290</v>
      </c>
      <c r="H7152" s="606"/>
    </row>
    <row r="7153" customFormat="false" ht="15" hidden="false" customHeight="false" outlineLevel="0" collapsed="false">
      <c r="A7153" s="571"/>
      <c r="B7153" s="433"/>
      <c r="C7153" s="614" t="s">
        <v>4545</v>
      </c>
      <c r="D7153" s="606" t="s">
        <v>4359</v>
      </c>
      <c r="E7153" s="606" t="n">
        <v>0.05</v>
      </c>
      <c r="F7153" s="361" t="n">
        <v>2500</v>
      </c>
      <c r="G7153" s="615" t="n">
        <f aca="false">F7153*E7153</f>
        <v>125</v>
      </c>
      <c r="H7153" s="606"/>
    </row>
    <row r="7154" customFormat="false" ht="15" hidden="false" customHeight="false" outlineLevel="0" collapsed="false">
      <c r="A7154" s="571"/>
      <c r="B7154" s="433"/>
      <c r="C7154" s="614" t="s">
        <v>4270</v>
      </c>
      <c r="D7154" s="606" t="s">
        <v>4359</v>
      </c>
      <c r="E7154" s="606" t="n">
        <v>0.01</v>
      </c>
      <c r="F7154" s="361" t="n">
        <v>900</v>
      </c>
      <c r="G7154" s="615" t="n">
        <f aca="false">F7154*E7154</f>
        <v>9</v>
      </c>
      <c r="H7154" s="606"/>
    </row>
    <row r="7155" customFormat="false" ht="15" hidden="false" customHeight="false" outlineLevel="0" collapsed="false">
      <c r="A7155" s="571"/>
      <c r="B7155" s="433"/>
      <c r="C7155" s="614" t="s">
        <v>4515</v>
      </c>
      <c r="D7155" s="606" t="s">
        <v>4133</v>
      </c>
      <c r="E7155" s="606" t="n">
        <v>0.01</v>
      </c>
      <c r="F7155" s="361" t="n">
        <v>3500</v>
      </c>
      <c r="G7155" s="615" t="n">
        <f aca="false">F7155*E7155</f>
        <v>35</v>
      </c>
      <c r="H7155" s="606"/>
    </row>
    <row r="7156" customFormat="false" ht="30" hidden="false" customHeight="false" outlineLevel="0" collapsed="false">
      <c r="A7156" s="571"/>
      <c r="B7156" s="433"/>
      <c r="C7156" s="614" t="s">
        <v>5244</v>
      </c>
      <c r="D7156" s="606" t="s">
        <v>4133</v>
      </c>
      <c r="E7156" s="606" t="n">
        <v>0.01</v>
      </c>
      <c r="F7156" s="361" t="n">
        <v>1300</v>
      </c>
      <c r="G7156" s="615" t="n">
        <f aca="false">F7156*E7156</f>
        <v>13</v>
      </c>
      <c r="H7156" s="606"/>
    </row>
    <row r="7157" customFormat="false" ht="15" hidden="false" customHeight="false" outlineLevel="0" collapsed="false">
      <c r="A7157" s="571"/>
      <c r="B7157" s="433"/>
      <c r="C7157" s="909" t="s">
        <v>4124</v>
      </c>
      <c r="D7157" s="606" t="s">
        <v>4516</v>
      </c>
      <c r="E7157" s="606" t="n">
        <v>0.5</v>
      </c>
      <c r="F7157" s="361" t="n">
        <v>80</v>
      </c>
      <c r="G7157" s="615" t="n">
        <f aca="false">F7157*E7157</f>
        <v>40</v>
      </c>
      <c r="H7157" s="606"/>
    </row>
    <row r="7158" customFormat="false" ht="15" hidden="false" customHeight="false" outlineLevel="0" collapsed="false">
      <c r="A7158" s="571" t="s">
        <v>1244</v>
      </c>
      <c r="B7158" s="433" t="s">
        <v>3379</v>
      </c>
      <c r="C7158" s="614"/>
      <c r="D7158" s="606"/>
      <c r="E7158" s="622"/>
      <c r="F7158" s="361"/>
      <c r="G7158" s="826" t="n">
        <f aca="false">SUM(G7159:G7172)</f>
        <v>2192.05</v>
      </c>
      <c r="H7158" s="606"/>
    </row>
    <row r="7159" customFormat="false" ht="15" hidden="false" customHeight="false" outlineLevel="0" collapsed="false">
      <c r="A7159" s="571"/>
      <c r="B7159" s="433"/>
      <c r="C7159" s="614" t="s">
        <v>4205</v>
      </c>
      <c r="D7159" s="606" t="s">
        <v>4359</v>
      </c>
      <c r="E7159" s="606" t="n">
        <v>0.04</v>
      </c>
      <c r="F7159" s="361" t="n">
        <v>8000</v>
      </c>
      <c r="G7159" s="615" t="n">
        <f aca="false">F7159*E7159</f>
        <v>320</v>
      </c>
      <c r="H7159" s="606"/>
    </row>
    <row r="7160" customFormat="false" ht="15" hidden="false" customHeight="false" outlineLevel="0" collapsed="false">
      <c r="A7160" s="571"/>
      <c r="B7160" s="433"/>
      <c r="C7160" s="614" t="s">
        <v>4147</v>
      </c>
      <c r="D7160" s="606" t="s">
        <v>4359</v>
      </c>
      <c r="E7160" s="606" t="n">
        <v>0.05</v>
      </c>
      <c r="F7160" s="361" t="n">
        <v>1300</v>
      </c>
      <c r="G7160" s="615" t="n">
        <f aca="false">F7160*E7160</f>
        <v>65</v>
      </c>
      <c r="H7160" s="606"/>
    </row>
    <row r="7161" customFormat="false" ht="15" hidden="false" customHeight="false" outlineLevel="0" collapsed="false">
      <c r="A7161" s="571"/>
      <c r="B7161" s="433"/>
      <c r="C7161" s="614" t="s">
        <v>4270</v>
      </c>
      <c r="D7161" s="606" t="s">
        <v>4133</v>
      </c>
      <c r="E7161" s="606" t="n">
        <v>0.0025</v>
      </c>
      <c r="F7161" s="361" t="n">
        <v>900</v>
      </c>
      <c r="G7161" s="615" t="n">
        <f aca="false">F78412*E78412</f>
        <v>0</v>
      </c>
      <c r="H7161" s="606"/>
    </row>
    <row r="7162" customFormat="false" ht="15" hidden="false" customHeight="false" outlineLevel="0" collapsed="false">
      <c r="A7162" s="571"/>
      <c r="B7162" s="433"/>
      <c r="C7162" s="614" t="s">
        <v>5367</v>
      </c>
      <c r="D7162" s="606" t="s">
        <v>4133</v>
      </c>
      <c r="E7162" s="606" t="n">
        <v>5E-005</v>
      </c>
      <c r="F7162" s="361" t="n">
        <v>781000</v>
      </c>
      <c r="G7162" s="615" t="n">
        <f aca="false">F7162*E7162</f>
        <v>39.05</v>
      </c>
      <c r="H7162" s="606"/>
    </row>
    <row r="7163" customFormat="false" ht="15" hidden="false" customHeight="false" outlineLevel="0" collapsed="false">
      <c r="A7163" s="571"/>
      <c r="B7163" s="433"/>
      <c r="C7163" s="614" t="s">
        <v>4257</v>
      </c>
      <c r="D7163" s="606" t="s">
        <v>4133</v>
      </c>
      <c r="E7163" s="606" t="n">
        <v>0.02</v>
      </c>
      <c r="F7163" s="361" t="n">
        <v>1500</v>
      </c>
      <c r="G7163" s="615" t="n">
        <f aca="false">F7163*E7163</f>
        <v>30</v>
      </c>
      <c r="H7163" s="606"/>
    </row>
    <row r="7164" customFormat="false" ht="15" hidden="false" customHeight="false" outlineLevel="0" collapsed="false">
      <c r="A7164" s="571"/>
      <c r="B7164" s="433"/>
      <c r="C7164" s="614" t="s">
        <v>4225</v>
      </c>
      <c r="D7164" s="606" t="s">
        <v>4359</v>
      </c>
      <c r="E7164" s="606" t="n">
        <v>0.02</v>
      </c>
      <c r="F7164" s="361" t="n">
        <v>800</v>
      </c>
      <c r="G7164" s="615" t="n">
        <f aca="false">F7164*E7164</f>
        <v>16</v>
      </c>
      <c r="H7164" s="606"/>
    </row>
    <row r="7165" customFormat="false" ht="15" hidden="false" customHeight="false" outlineLevel="0" collapsed="false">
      <c r="A7165" s="571"/>
      <c r="B7165" s="433"/>
      <c r="C7165" s="614" t="s">
        <v>5370</v>
      </c>
      <c r="D7165" s="606" t="s">
        <v>4133</v>
      </c>
      <c r="E7165" s="606" t="n">
        <v>0.002</v>
      </c>
      <c r="F7165" s="361" t="n">
        <v>15000</v>
      </c>
      <c r="G7165" s="615" t="n">
        <f aca="false">F7165*E7165</f>
        <v>30</v>
      </c>
      <c r="H7165" s="606"/>
    </row>
    <row r="7166" customFormat="false" ht="15" hidden="false" customHeight="false" outlineLevel="0" collapsed="false">
      <c r="A7166" s="571"/>
      <c r="B7166" s="433"/>
      <c r="C7166" s="614" t="s">
        <v>5357</v>
      </c>
      <c r="D7166" s="606" t="s">
        <v>4133</v>
      </c>
      <c r="E7166" s="606" t="n">
        <v>0.002</v>
      </c>
      <c r="F7166" s="361" t="n">
        <v>590000</v>
      </c>
      <c r="G7166" s="615" t="n">
        <f aca="false">F7166*E7166</f>
        <v>1180</v>
      </c>
      <c r="H7166" s="606"/>
    </row>
    <row r="7167" customFormat="false" ht="15" hidden="false" customHeight="false" outlineLevel="0" collapsed="false">
      <c r="A7167" s="571"/>
      <c r="B7167" s="433"/>
      <c r="C7167" s="614" t="s">
        <v>4154</v>
      </c>
      <c r="D7167" s="606" t="s">
        <v>4359</v>
      </c>
      <c r="E7167" s="606" t="n">
        <v>0.05</v>
      </c>
      <c r="F7167" s="361" t="n">
        <v>5800</v>
      </c>
      <c r="G7167" s="615" t="n">
        <f aca="false">F7167*E7167</f>
        <v>290</v>
      </c>
      <c r="H7167" s="606"/>
    </row>
    <row r="7168" customFormat="false" ht="15" hidden="false" customHeight="false" outlineLevel="0" collapsed="false">
      <c r="A7168" s="571"/>
      <c r="B7168" s="433"/>
      <c r="C7168" s="614" t="s">
        <v>4545</v>
      </c>
      <c r="D7168" s="606" t="s">
        <v>4359</v>
      </c>
      <c r="E7168" s="606" t="n">
        <v>0.05</v>
      </c>
      <c r="F7168" s="361" t="n">
        <v>2500</v>
      </c>
      <c r="G7168" s="615" t="n">
        <f aca="false">F7168*E7168</f>
        <v>125</v>
      </c>
      <c r="H7168" s="606"/>
    </row>
    <row r="7169" customFormat="false" ht="15" hidden="false" customHeight="false" outlineLevel="0" collapsed="false">
      <c r="A7169" s="571"/>
      <c r="B7169" s="433"/>
      <c r="C7169" s="614" t="s">
        <v>4270</v>
      </c>
      <c r="D7169" s="606" t="s">
        <v>4359</v>
      </c>
      <c r="E7169" s="606" t="n">
        <v>0.01</v>
      </c>
      <c r="F7169" s="361" t="n">
        <v>900</v>
      </c>
      <c r="G7169" s="615" t="n">
        <f aca="false">F7169*E7169</f>
        <v>9</v>
      </c>
      <c r="H7169" s="606"/>
    </row>
    <row r="7170" customFormat="false" ht="15" hidden="false" customHeight="false" outlineLevel="0" collapsed="false">
      <c r="A7170" s="571"/>
      <c r="B7170" s="433"/>
      <c r="C7170" s="614" t="s">
        <v>4515</v>
      </c>
      <c r="D7170" s="606" t="s">
        <v>4133</v>
      </c>
      <c r="E7170" s="606" t="n">
        <v>0.01</v>
      </c>
      <c r="F7170" s="361" t="n">
        <v>3500</v>
      </c>
      <c r="G7170" s="615" t="n">
        <f aca="false">F7170*E7170</f>
        <v>35</v>
      </c>
      <c r="H7170" s="606"/>
    </row>
    <row r="7171" customFormat="false" ht="30" hidden="false" customHeight="false" outlineLevel="0" collapsed="false">
      <c r="A7171" s="571"/>
      <c r="B7171" s="433"/>
      <c r="C7171" s="614" t="s">
        <v>5244</v>
      </c>
      <c r="D7171" s="606" t="s">
        <v>4133</v>
      </c>
      <c r="E7171" s="606" t="n">
        <v>0.01</v>
      </c>
      <c r="F7171" s="361" t="n">
        <v>1300</v>
      </c>
      <c r="G7171" s="615" t="n">
        <f aca="false">F7171*E7171</f>
        <v>13</v>
      </c>
      <c r="H7171" s="606"/>
    </row>
    <row r="7172" customFormat="false" ht="15" hidden="false" customHeight="false" outlineLevel="0" collapsed="false">
      <c r="A7172" s="571"/>
      <c r="B7172" s="433"/>
      <c r="C7172" s="909" t="s">
        <v>4124</v>
      </c>
      <c r="D7172" s="606" t="s">
        <v>4516</v>
      </c>
      <c r="E7172" s="606" t="n">
        <v>0.5</v>
      </c>
      <c r="F7172" s="361" t="n">
        <v>80</v>
      </c>
      <c r="G7172" s="615" t="n">
        <f aca="false">F7172*E7172</f>
        <v>40</v>
      </c>
      <c r="H7172" s="606"/>
    </row>
    <row r="7173" customFormat="false" ht="15" hidden="false" customHeight="false" outlineLevel="0" collapsed="false">
      <c r="A7173" s="571" t="s">
        <v>1246</v>
      </c>
      <c r="B7173" s="433" t="s">
        <v>3380</v>
      </c>
      <c r="C7173" s="614"/>
      <c r="D7173" s="606"/>
      <c r="E7173" s="622"/>
      <c r="F7173" s="361"/>
      <c r="G7173" s="826" t="n">
        <f aca="false">SUM(G7174:G7187)</f>
        <v>2194.3</v>
      </c>
      <c r="H7173" s="606"/>
    </row>
    <row r="7174" customFormat="false" ht="15" hidden="false" customHeight="false" outlineLevel="0" collapsed="false">
      <c r="A7174" s="571"/>
      <c r="B7174" s="433"/>
      <c r="C7174" s="614" t="s">
        <v>4205</v>
      </c>
      <c r="D7174" s="606" t="s">
        <v>4359</v>
      </c>
      <c r="E7174" s="606" t="n">
        <v>0.04</v>
      </c>
      <c r="F7174" s="361" t="n">
        <v>8000</v>
      </c>
      <c r="G7174" s="615" t="n">
        <f aca="false">F7174*E7174</f>
        <v>320</v>
      </c>
      <c r="H7174" s="606"/>
    </row>
    <row r="7175" customFormat="false" ht="15" hidden="false" customHeight="false" outlineLevel="0" collapsed="false">
      <c r="A7175" s="571"/>
      <c r="B7175" s="433"/>
      <c r="C7175" s="614" t="s">
        <v>4147</v>
      </c>
      <c r="D7175" s="606" t="s">
        <v>4359</v>
      </c>
      <c r="E7175" s="606" t="n">
        <v>0.05</v>
      </c>
      <c r="F7175" s="361" t="n">
        <v>1300</v>
      </c>
      <c r="G7175" s="615" t="n">
        <f aca="false">F7175*E7175</f>
        <v>65</v>
      </c>
      <c r="H7175" s="606"/>
    </row>
    <row r="7176" customFormat="false" ht="15" hidden="false" customHeight="false" outlineLevel="0" collapsed="false">
      <c r="A7176" s="571"/>
      <c r="B7176" s="433"/>
      <c r="C7176" s="614" t="s">
        <v>4270</v>
      </c>
      <c r="D7176" s="606" t="s">
        <v>4133</v>
      </c>
      <c r="E7176" s="606" t="n">
        <v>0.0025</v>
      </c>
      <c r="F7176" s="361" t="n">
        <v>900</v>
      </c>
      <c r="G7176" s="615" t="n">
        <f aca="false">F7176*E7176</f>
        <v>2.25</v>
      </c>
      <c r="H7176" s="606"/>
    </row>
    <row r="7177" customFormat="false" ht="15" hidden="false" customHeight="false" outlineLevel="0" collapsed="false">
      <c r="A7177" s="571"/>
      <c r="B7177" s="433"/>
      <c r="C7177" s="614" t="s">
        <v>5367</v>
      </c>
      <c r="D7177" s="606" t="s">
        <v>4133</v>
      </c>
      <c r="E7177" s="606" t="n">
        <v>5E-005</v>
      </c>
      <c r="F7177" s="361" t="n">
        <v>781000</v>
      </c>
      <c r="G7177" s="615" t="n">
        <f aca="false">F7177*E7177</f>
        <v>39.05</v>
      </c>
      <c r="H7177" s="606"/>
    </row>
    <row r="7178" customFormat="false" ht="15" hidden="false" customHeight="false" outlineLevel="0" collapsed="false">
      <c r="A7178" s="571"/>
      <c r="B7178" s="433"/>
      <c r="C7178" s="614" t="s">
        <v>4257</v>
      </c>
      <c r="D7178" s="606" t="s">
        <v>4133</v>
      </c>
      <c r="E7178" s="606" t="n">
        <v>0.02</v>
      </c>
      <c r="F7178" s="361" t="n">
        <v>1500</v>
      </c>
      <c r="G7178" s="615" t="n">
        <f aca="false">F7178*E7178</f>
        <v>30</v>
      </c>
      <c r="H7178" s="606"/>
    </row>
    <row r="7179" customFormat="false" ht="15" hidden="false" customHeight="false" outlineLevel="0" collapsed="false">
      <c r="A7179" s="571"/>
      <c r="B7179" s="433"/>
      <c r="C7179" s="614" t="s">
        <v>4225</v>
      </c>
      <c r="D7179" s="606" t="s">
        <v>4359</v>
      </c>
      <c r="E7179" s="606" t="n">
        <v>0.02</v>
      </c>
      <c r="F7179" s="361" t="n">
        <v>800</v>
      </c>
      <c r="G7179" s="615" t="n">
        <f aca="false">F7179*E7179</f>
        <v>16</v>
      </c>
      <c r="H7179" s="606"/>
    </row>
    <row r="7180" customFormat="false" ht="15" hidden="false" customHeight="false" outlineLevel="0" collapsed="false">
      <c r="A7180" s="571"/>
      <c r="B7180" s="433"/>
      <c r="C7180" s="614" t="s">
        <v>5371</v>
      </c>
      <c r="D7180" s="606" t="s">
        <v>4133</v>
      </c>
      <c r="E7180" s="606" t="n">
        <v>0.002</v>
      </c>
      <c r="F7180" s="361" t="n">
        <v>15000</v>
      </c>
      <c r="G7180" s="615" t="n">
        <f aca="false">F7180*E7180</f>
        <v>30</v>
      </c>
      <c r="H7180" s="606"/>
    </row>
    <row r="7181" customFormat="false" ht="15" hidden="false" customHeight="false" outlineLevel="0" collapsed="false">
      <c r="A7181" s="571"/>
      <c r="B7181" s="433"/>
      <c r="C7181" s="614" t="s">
        <v>5357</v>
      </c>
      <c r="D7181" s="606" t="s">
        <v>4133</v>
      </c>
      <c r="E7181" s="606" t="n">
        <v>0.002</v>
      </c>
      <c r="F7181" s="361" t="n">
        <v>590000</v>
      </c>
      <c r="G7181" s="615" t="n">
        <f aca="false">F7181*E7181</f>
        <v>1180</v>
      </c>
      <c r="H7181" s="606"/>
    </row>
    <row r="7182" customFormat="false" ht="15" hidden="false" customHeight="false" outlineLevel="0" collapsed="false">
      <c r="A7182" s="571"/>
      <c r="B7182" s="433"/>
      <c r="C7182" s="614" t="s">
        <v>4154</v>
      </c>
      <c r="D7182" s="606" t="s">
        <v>4359</v>
      </c>
      <c r="E7182" s="606" t="n">
        <v>0.05</v>
      </c>
      <c r="F7182" s="361" t="n">
        <v>5800</v>
      </c>
      <c r="G7182" s="615" t="n">
        <f aca="false">F7182*E7182</f>
        <v>290</v>
      </c>
      <c r="H7182" s="606"/>
    </row>
    <row r="7183" customFormat="false" ht="15" hidden="false" customHeight="false" outlineLevel="0" collapsed="false">
      <c r="A7183" s="571"/>
      <c r="B7183" s="433"/>
      <c r="C7183" s="614" t="s">
        <v>4545</v>
      </c>
      <c r="D7183" s="606" t="s">
        <v>4359</v>
      </c>
      <c r="E7183" s="606" t="n">
        <v>0.05</v>
      </c>
      <c r="F7183" s="361" t="n">
        <v>2500</v>
      </c>
      <c r="G7183" s="615" t="n">
        <f aca="false">F7183*E7183</f>
        <v>125</v>
      </c>
      <c r="H7183" s="606"/>
    </row>
    <row r="7184" customFormat="false" ht="15" hidden="false" customHeight="false" outlineLevel="0" collapsed="false">
      <c r="A7184" s="571"/>
      <c r="B7184" s="433"/>
      <c r="C7184" s="614" t="s">
        <v>4270</v>
      </c>
      <c r="D7184" s="606" t="s">
        <v>4359</v>
      </c>
      <c r="E7184" s="606" t="n">
        <v>0.01</v>
      </c>
      <c r="F7184" s="361" t="n">
        <v>900</v>
      </c>
      <c r="G7184" s="615" t="n">
        <f aca="false">F7184*E7184</f>
        <v>9</v>
      </c>
      <c r="H7184" s="606"/>
    </row>
    <row r="7185" customFormat="false" ht="15" hidden="false" customHeight="false" outlineLevel="0" collapsed="false">
      <c r="A7185" s="571"/>
      <c r="B7185" s="433"/>
      <c r="C7185" s="614" t="s">
        <v>4515</v>
      </c>
      <c r="D7185" s="606" t="s">
        <v>4133</v>
      </c>
      <c r="E7185" s="606" t="n">
        <v>0.01</v>
      </c>
      <c r="F7185" s="361" t="n">
        <v>3500</v>
      </c>
      <c r="G7185" s="615" t="n">
        <f aca="false">F7185*E7185</f>
        <v>35</v>
      </c>
      <c r="H7185" s="606"/>
    </row>
    <row r="7186" customFormat="false" ht="30" hidden="false" customHeight="false" outlineLevel="0" collapsed="false">
      <c r="A7186" s="571"/>
      <c r="B7186" s="433"/>
      <c r="C7186" s="614" t="s">
        <v>5244</v>
      </c>
      <c r="D7186" s="606" t="s">
        <v>4133</v>
      </c>
      <c r="E7186" s="606" t="n">
        <v>0.01</v>
      </c>
      <c r="F7186" s="361" t="n">
        <v>1300</v>
      </c>
      <c r="G7186" s="615" t="n">
        <f aca="false">F7186*E7186</f>
        <v>13</v>
      </c>
      <c r="H7186" s="606"/>
    </row>
    <row r="7187" customFormat="false" ht="15" hidden="false" customHeight="false" outlineLevel="0" collapsed="false">
      <c r="A7187" s="571"/>
      <c r="B7187" s="433"/>
      <c r="C7187" s="909" t="s">
        <v>4124</v>
      </c>
      <c r="D7187" s="606" t="s">
        <v>4516</v>
      </c>
      <c r="E7187" s="606" t="n">
        <v>0.5</v>
      </c>
      <c r="F7187" s="361" t="n">
        <v>80</v>
      </c>
      <c r="G7187" s="615" t="n">
        <f aca="false">F7187*E7187</f>
        <v>40</v>
      </c>
      <c r="H7187" s="606"/>
    </row>
    <row r="7188" customFormat="false" ht="15" hidden="false" customHeight="false" outlineLevel="0" collapsed="false">
      <c r="A7188" s="571" t="s">
        <v>1248</v>
      </c>
      <c r="B7188" s="433" t="s">
        <v>3381</v>
      </c>
      <c r="C7188" s="614"/>
      <c r="D7188" s="606"/>
      <c r="E7188" s="622"/>
      <c r="F7188" s="361"/>
      <c r="G7188" s="826" t="n">
        <f aca="false">SUM(G7189:G7202)</f>
        <v>2176.8</v>
      </c>
      <c r="H7188" s="606"/>
    </row>
    <row r="7189" customFormat="false" ht="15" hidden="false" customHeight="false" outlineLevel="0" collapsed="false">
      <c r="A7189" s="571"/>
      <c r="B7189" s="433"/>
      <c r="C7189" s="614" t="s">
        <v>4205</v>
      </c>
      <c r="D7189" s="606" t="s">
        <v>4359</v>
      </c>
      <c r="E7189" s="606" t="n">
        <v>0.04</v>
      </c>
      <c r="F7189" s="361" t="n">
        <v>8000</v>
      </c>
      <c r="G7189" s="615" t="n">
        <f aca="false">F7189*E7189</f>
        <v>320</v>
      </c>
      <c r="H7189" s="606"/>
    </row>
    <row r="7190" customFormat="false" ht="15" hidden="false" customHeight="false" outlineLevel="0" collapsed="false">
      <c r="A7190" s="571"/>
      <c r="B7190" s="433"/>
      <c r="C7190" s="614" t="s">
        <v>4147</v>
      </c>
      <c r="D7190" s="606" t="s">
        <v>4359</v>
      </c>
      <c r="E7190" s="606" t="n">
        <v>0.05</v>
      </c>
      <c r="F7190" s="361" t="n">
        <v>1300</v>
      </c>
      <c r="G7190" s="615" t="n">
        <f aca="false">F7190*E7190</f>
        <v>65</v>
      </c>
      <c r="H7190" s="606"/>
    </row>
    <row r="7191" customFormat="false" ht="15" hidden="false" customHeight="false" outlineLevel="0" collapsed="false">
      <c r="A7191" s="571"/>
      <c r="B7191" s="433"/>
      <c r="C7191" s="614" t="s">
        <v>4270</v>
      </c>
      <c r="D7191" s="606" t="s">
        <v>4133</v>
      </c>
      <c r="E7191" s="606" t="n">
        <v>0.0025</v>
      </c>
      <c r="F7191" s="361" t="n">
        <v>900</v>
      </c>
      <c r="G7191" s="615" t="n">
        <f aca="false">F7191*E7191</f>
        <v>2.25</v>
      </c>
      <c r="H7191" s="606"/>
    </row>
    <row r="7192" customFormat="false" ht="15" hidden="false" customHeight="false" outlineLevel="0" collapsed="false">
      <c r="A7192" s="571"/>
      <c r="B7192" s="433"/>
      <c r="C7192" s="614" t="s">
        <v>5367</v>
      </c>
      <c r="D7192" s="606" t="s">
        <v>4133</v>
      </c>
      <c r="E7192" s="606" t="n">
        <v>5E-005</v>
      </c>
      <c r="F7192" s="361" t="n">
        <v>781000</v>
      </c>
      <c r="G7192" s="615" t="n">
        <f aca="false">F7192*E7192</f>
        <v>39.05</v>
      </c>
      <c r="H7192" s="606"/>
    </row>
    <row r="7193" customFormat="false" ht="15" hidden="false" customHeight="false" outlineLevel="0" collapsed="false">
      <c r="A7193" s="571"/>
      <c r="B7193" s="433"/>
      <c r="C7193" s="614" t="s">
        <v>4257</v>
      </c>
      <c r="D7193" s="606" t="s">
        <v>4133</v>
      </c>
      <c r="E7193" s="606" t="n">
        <v>0.02</v>
      </c>
      <c r="F7193" s="361" t="n">
        <v>1500</v>
      </c>
      <c r="G7193" s="615" t="n">
        <f aca="false">F7193*E7193</f>
        <v>30</v>
      </c>
      <c r="H7193" s="606"/>
    </row>
    <row r="7194" customFormat="false" ht="15" hidden="false" customHeight="false" outlineLevel="0" collapsed="false">
      <c r="A7194" s="571"/>
      <c r="B7194" s="433"/>
      <c r="C7194" s="614" t="s">
        <v>4225</v>
      </c>
      <c r="D7194" s="606" t="s">
        <v>4359</v>
      </c>
      <c r="E7194" s="606" t="n">
        <v>0.02</v>
      </c>
      <c r="F7194" s="361" t="n">
        <v>800</v>
      </c>
      <c r="G7194" s="615" t="n">
        <f aca="false">F7194*E7194</f>
        <v>16</v>
      </c>
      <c r="H7194" s="606"/>
    </row>
    <row r="7195" customFormat="false" ht="15" hidden="false" customHeight="false" outlineLevel="0" collapsed="false">
      <c r="A7195" s="571"/>
      <c r="B7195" s="433"/>
      <c r="C7195" s="614" t="s">
        <v>5372</v>
      </c>
      <c r="D7195" s="606" t="s">
        <v>4133</v>
      </c>
      <c r="E7195" s="606" t="n">
        <v>0.002</v>
      </c>
      <c r="F7195" s="361" t="n">
        <v>6250</v>
      </c>
      <c r="G7195" s="615" t="n">
        <f aca="false">F7195*E7195</f>
        <v>12.5</v>
      </c>
      <c r="H7195" s="606"/>
    </row>
    <row r="7196" customFormat="false" ht="15" hidden="false" customHeight="false" outlineLevel="0" collapsed="false">
      <c r="A7196" s="571"/>
      <c r="B7196" s="433"/>
      <c r="C7196" s="614" t="s">
        <v>5357</v>
      </c>
      <c r="D7196" s="606" t="s">
        <v>4133</v>
      </c>
      <c r="E7196" s="606" t="n">
        <v>0.002</v>
      </c>
      <c r="F7196" s="361" t="n">
        <v>590000</v>
      </c>
      <c r="G7196" s="615" t="n">
        <f aca="false">F7196*E7196</f>
        <v>1180</v>
      </c>
      <c r="H7196" s="606"/>
    </row>
    <row r="7197" customFormat="false" ht="15" hidden="false" customHeight="false" outlineLevel="0" collapsed="false">
      <c r="A7197" s="571"/>
      <c r="B7197" s="433"/>
      <c r="C7197" s="614" t="s">
        <v>4154</v>
      </c>
      <c r="D7197" s="606" t="s">
        <v>4359</v>
      </c>
      <c r="E7197" s="606" t="n">
        <v>0.05</v>
      </c>
      <c r="F7197" s="361" t="n">
        <v>5800</v>
      </c>
      <c r="G7197" s="615" t="n">
        <f aca="false">F7197*E7197</f>
        <v>290</v>
      </c>
      <c r="H7197" s="606"/>
    </row>
    <row r="7198" customFormat="false" ht="15" hidden="false" customHeight="false" outlineLevel="0" collapsed="false">
      <c r="A7198" s="571"/>
      <c r="B7198" s="433"/>
      <c r="C7198" s="614" t="s">
        <v>4545</v>
      </c>
      <c r="D7198" s="606" t="s">
        <v>4359</v>
      </c>
      <c r="E7198" s="606" t="n">
        <v>0.05</v>
      </c>
      <c r="F7198" s="361" t="n">
        <v>2500</v>
      </c>
      <c r="G7198" s="615" t="n">
        <f aca="false">F7198*E7198</f>
        <v>125</v>
      </c>
      <c r="H7198" s="606"/>
    </row>
    <row r="7199" customFormat="false" ht="15" hidden="false" customHeight="false" outlineLevel="0" collapsed="false">
      <c r="A7199" s="571"/>
      <c r="B7199" s="433"/>
      <c r="C7199" s="614" t="s">
        <v>4270</v>
      </c>
      <c r="D7199" s="606" t="s">
        <v>4359</v>
      </c>
      <c r="E7199" s="606" t="n">
        <v>0.01</v>
      </c>
      <c r="F7199" s="361" t="n">
        <v>900</v>
      </c>
      <c r="G7199" s="615" t="n">
        <f aca="false">F7199*E7199</f>
        <v>9</v>
      </c>
      <c r="H7199" s="606"/>
    </row>
    <row r="7200" customFormat="false" ht="15" hidden="false" customHeight="false" outlineLevel="0" collapsed="false">
      <c r="A7200" s="571"/>
      <c r="B7200" s="433"/>
      <c r="C7200" s="614" t="s">
        <v>4515</v>
      </c>
      <c r="D7200" s="606" t="s">
        <v>4133</v>
      </c>
      <c r="E7200" s="606" t="n">
        <v>0.01</v>
      </c>
      <c r="F7200" s="361" t="n">
        <v>3500</v>
      </c>
      <c r="G7200" s="615" t="n">
        <f aca="false">F7200*E7200</f>
        <v>35</v>
      </c>
      <c r="H7200" s="606"/>
    </row>
    <row r="7201" customFormat="false" ht="30" hidden="false" customHeight="false" outlineLevel="0" collapsed="false">
      <c r="A7201" s="571"/>
      <c r="B7201" s="433"/>
      <c r="C7201" s="614" t="s">
        <v>5244</v>
      </c>
      <c r="D7201" s="606" t="s">
        <v>4133</v>
      </c>
      <c r="E7201" s="606" t="n">
        <v>0.01</v>
      </c>
      <c r="F7201" s="361" t="n">
        <v>1300</v>
      </c>
      <c r="G7201" s="615" t="n">
        <f aca="false">F7201*E7201</f>
        <v>13</v>
      </c>
      <c r="H7201" s="606"/>
    </row>
    <row r="7202" customFormat="false" ht="15" hidden="false" customHeight="false" outlineLevel="0" collapsed="false">
      <c r="A7202" s="571"/>
      <c r="B7202" s="433"/>
      <c r="C7202" s="909" t="s">
        <v>4124</v>
      </c>
      <c r="D7202" s="606" t="s">
        <v>4516</v>
      </c>
      <c r="E7202" s="606" t="n">
        <v>0.5</v>
      </c>
      <c r="F7202" s="361" t="n">
        <v>80</v>
      </c>
      <c r="G7202" s="615" t="n">
        <f aca="false">F7202*E7202</f>
        <v>40</v>
      </c>
      <c r="H7202" s="606"/>
    </row>
    <row r="7203" customFormat="false" ht="15" hidden="false" customHeight="false" outlineLevel="0" collapsed="false">
      <c r="A7203" s="571" t="s">
        <v>1250</v>
      </c>
      <c r="B7203" s="433" t="s">
        <v>3382</v>
      </c>
      <c r="C7203" s="614"/>
      <c r="D7203" s="606"/>
      <c r="E7203" s="622"/>
      <c r="F7203" s="361"/>
      <c r="G7203" s="826" t="n">
        <f aca="false">SUM(G7204:G7217)</f>
        <v>2194.3</v>
      </c>
      <c r="H7203" s="606"/>
    </row>
    <row r="7204" customFormat="false" ht="15" hidden="false" customHeight="false" outlineLevel="0" collapsed="false">
      <c r="A7204" s="571"/>
      <c r="B7204" s="433"/>
      <c r="C7204" s="614" t="s">
        <v>4205</v>
      </c>
      <c r="D7204" s="606" t="s">
        <v>4359</v>
      </c>
      <c r="E7204" s="606" t="n">
        <v>0.04</v>
      </c>
      <c r="F7204" s="361" t="n">
        <v>8000</v>
      </c>
      <c r="G7204" s="615" t="n">
        <f aca="false">F7204*E7204</f>
        <v>320</v>
      </c>
      <c r="H7204" s="606"/>
    </row>
    <row r="7205" customFormat="false" ht="15" hidden="false" customHeight="false" outlineLevel="0" collapsed="false">
      <c r="A7205" s="571"/>
      <c r="B7205" s="433"/>
      <c r="C7205" s="614" t="s">
        <v>4147</v>
      </c>
      <c r="D7205" s="606" t="s">
        <v>4359</v>
      </c>
      <c r="E7205" s="606" t="n">
        <v>0.05</v>
      </c>
      <c r="F7205" s="361" t="n">
        <v>1300</v>
      </c>
      <c r="G7205" s="615" t="n">
        <f aca="false">F7205*E7205</f>
        <v>65</v>
      </c>
      <c r="H7205" s="606"/>
    </row>
    <row r="7206" customFormat="false" ht="15" hidden="false" customHeight="false" outlineLevel="0" collapsed="false">
      <c r="A7206" s="571"/>
      <c r="B7206" s="433"/>
      <c r="C7206" s="614" t="s">
        <v>4270</v>
      </c>
      <c r="D7206" s="606" t="s">
        <v>4133</v>
      </c>
      <c r="E7206" s="606" t="n">
        <v>0.0025</v>
      </c>
      <c r="F7206" s="361" t="n">
        <v>900</v>
      </c>
      <c r="G7206" s="615" t="n">
        <f aca="false">F7206*E7206</f>
        <v>2.25</v>
      </c>
      <c r="H7206" s="606"/>
    </row>
    <row r="7207" customFormat="false" ht="15" hidden="false" customHeight="false" outlineLevel="0" collapsed="false">
      <c r="A7207" s="571"/>
      <c r="B7207" s="433"/>
      <c r="C7207" s="614" t="s">
        <v>5367</v>
      </c>
      <c r="D7207" s="606" t="s">
        <v>4133</v>
      </c>
      <c r="E7207" s="606" t="n">
        <v>5E-005</v>
      </c>
      <c r="F7207" s="361" t="n">
        <v>781000</v>
      </c>
      <c r="G7207" s="615" t="n">
        <f aca="false">F7207*E7207</f>
        <v>39.05</v>
      </c>
      <c r="H7207" s="606"/>
    </row>
    <row r="7208" customFormat="false" ht="15" hidden="false" customHeight="false" outlineLevel="0" collapsed="false">
      <c r="A7208" s="571"/>
      <c r="B7208" s="433"/>
      <c r="C7208" s="614" t="s">
        <v>4257</v>
      </c>
      <c r="D7208" s="606" t="s">
        <v>4133</v>
      </c>
      <c r="E7208" s="606" t="n">
        <v>0.02</v>
      </c>
      <c r="F7208" s="361" t="n">
        <v>1500</v>
      </c>
      <c r="G7208" s="615" t="n">
        <f aca="false">F7208*E7208</f>
        <v>30</v>
      </c>
      <c r="H7208" s="606"/>
    </row>
    <row r="7209" customFormat="false" ht="15" hidden="false" customHeight="false" outlineLevel="0" collapsed="false">
      <c r="A7209" s="571"/>
      <c r="B7209" s="433"/>
      <c r="C7209" s="614" t="s">
        <v>4225</v>
      </c>
      <c r="D7209" s="606" t="s">
        <v>4359</v>
      </c>
      <c r="E7209" s="606" t="n">
        <v>0.02</v>
      </c>
      <c r="F7209" s="361" t="n">
        <v>800</v>
      </c>
      <c r="G7209" s="615" t="n">
        <f aca="false">F7209*E7209</f>
        <v>16</v>
      </c>
      <c r="H7209" s="606"/>
    </row>
    <row r="7210" customFormat="false" ht="15" hidden="false" customHeight="false" outlineLevel="0" collapsed="false">
      <c r="A7210" s="571"/>
      <c r="B7210" s="433"/>
      <c r="C7210" s="614" t="s">
        <v>5373</v>
      </c>
      <c r="D7210" s="606" t="s">
        <v>4133</v>
      </c>
      <c r="E7210" s="606" t="n">
        <v>0.002</v>
      </c>
      <c r="F7210" s="361" t="n">
        <v>15000</v>
      </c>
      <c r="G7210" s="615" t="n">
        <f aca="false">F7210*E7210</f>
        <v>30</v>
      </c>
      <c r="H7210" s="606"/>
    </row>
    <row r="7211" customFormat="false" ht="15" hidden="false" customHeight="false" outlineLevel="0" collapsed="false">
      <c r="A7211" s="571"/>
      <c r="B7211" s="433"/>
      <c r="C7211" s="614" t="s">
        <v>5357</v>
      </c>
      <c r="D7211" s="606" t="s">
        <v>4133</v>
      </c>
      <c r="E7211" s="606" t="n">
        <v>0.002</v>
      </c>
      <c r="F7211" s="361" t="n">
        <v>590000</v>
      </c>
      <c r="G7211" s="615" t="n">
        <f aca="false">F7211*E7211</f>
        <v>1180</v>
      </c>
      <c r="H7211" s="606"/>
    </row>
    <row r="7212" customFormat="false" ht="15" hidden="false" customHeight="false" outlineLevel="0" collapsed="false">
      <c r="A7212" s="571"/>
      <c r="B7212" s="433"/>
      <c r="C7212" s="614" t="s">
        <v>4154</v>
      </c>
      <c r="D7212" s="606" t="s">
        <v>4359</v>
      </c>
      <c r="E7212" s="606" t="n">
        <v>0.05</v>
      </c>
      <c r="F7212" s="361" t="n">
        <v>5800</v>
      </c>
      <c r="G7212" s="615" t="n">
        <f aca="false">F7212*E7212</f>
        <v>290</v>
      </c>
      <c r="H7212" s="606"/>
    </row>
    <row r="7213" customFormat="false" ht="15" hidden="false" customHeight="false" outlineLevel="0" collapsed="false">
      <c r="A7213" s="571"/>
      <c r="B7213" s="433"/>
      <c r="C7213" s="614" t="s">
        <v>4545</v>
      </c>
      <c r="D7213" s="606" t="s">
        <v>4359</v>
      </c>
      <c r="E7213" s="606" t="n">
        <v>0.05</v>
      </c>
      <c r="F7213" s="361" t="n">
        <v>2500</v>
      </c>
      <c r="G7213" s="615" t="n">
        <f aca="false">F7213*E7213</f>
        <v>125</v>
      </c>
      <c r="H7213" s="606"/>
    </row>
    <row r="7214" customFormat="false" ht="15" hidden="false" customHeight="false" outlineLevel="0" collapsed="false">
      <c r="A7214" s="571"/>
      <c r="B7214" s="433"/>
      <c r="C7214" s="614" t="s">
        <v>4270</v>
      </c>
      <c r="D7214" s="606" t="s">
        <v>4359</v>
      </c>
      <c r="E7214" s="606" t="n">
        <v>0.01</v>
      </c>
      <c r="F7214" s="361" t="n">
        <v>900</v>
      </c>
      <c r="G7214" s="615" t="n">
        <f aca="false">F7214*E7214</f>
        <v>9</v>
      </c>
      <c r="H7214" s="606"/>
    </row>
    <row r="7215" customFormat="false" ht="15" hidden="false" customHeight="false" outlineLevel="0" collapsed="false">
      <c r="A7215" s="571"/>
      <c r="B7215" s="433"/>
      <c r="C7215" s="614" t="s">
        <v>4515</v>
      </c>
      <c r="D7215" s="606" t="s">
        <v>4133</v>
      </c>
      <c r="E7215" s="606" t="n">
        <v>0.01</v>
      </c>
      <c r="F7215" s="361" t="n">
        <v>3500</v>
      </c>
      <c r="G7215" s="615" t="n">
        <f aca="false">F7215*E7215</f>
        <v>35</v>
      </c>
      <c r="H7215" s="606"/>
    </row>
    <row r="7216" customFormat="false" ht="30" hidden="false" customHeight="false" outlineLevel="0" collapsed="false">
      <c r="A7216" s="571"/>
      <c r="B7216" s="433"/>
      <c r="C7216" s="614" t="s">
        <v>5244</v>
      </c>
      <c r="D7216" s="606" t="s">
        <v>4133</v>
      </c>
      <c r="E7216" s="606" t="n">
        <v>0.01</v>
      </c>
      <c r="F7216" s="361" t="n">
        <v>1300</v>
      </c>
      <c r="G7216" s="615" t="n">
        <f aca="false">F7216*E7216</f>
        <v>13</v>
      </c>
      <c r="H7216" s="606"/>
    </row>
    <row r="7217" customFormat="false" ht="15" hidden="false" customHeight="false" outlineLevel="0" collapsed="false">
      <c r="A7217" s="571"/>
      <c r="B7217" s="433"/>
      <c r="C7217" s="909" t="s">
        <v>4124</v>
      </c>
      <c r="D7217" s="606" t="s">
        <v>4516</v>
      </c>
      <c r="E7217" s="606" t="n">
        <v>0.5</v>
      </c>
      <c r="F7217" s="361" t="n">
        <v>80</v>
      </c>
      <c r="G7217" s="615" t="n">
        <f aca="false">F7217*E7217</f>
        <v>40</v>
      </c>
      <c r="H7217" s="606"/>
    </row>
    <row r="7218" customFormat="false" ht="15" hidden="false" customHeight="false" outlineLevel="0" collapsed="false">
      <c r="A7218" s="571" t="s">
        <v>1252</v>
      </c>
      <c r="B7218" s="433" t="s">
        <v>3383</v>
      </c>
      <c r="C7218" s="614"/>
      <c r="D7218" s="606"/>
      <c r="E7218" s="622"/>
      <c r="F7218" s="361"/>
      <c r="G7218" s="826" t="n">
        <f aca="false">SUM(G7219:G7232)</f>
        <v>2544.3</v>
      </c>
      <c r="H7218" s="606"/>
    </row>
    <row r="7219" customFormat="false" ht="15" hidden="false" customHeight="false" outlineLevel="0" collapsed="false">
      <c r="A7219" s="571"/>
      <c r="B7219" s="433"/>
      <c r="C7219" s="614" t="s">
        <v>4205</v>
      </c>
      <c r="D7219" s="606" t="s">
        <v>4359</v>
      </c>
      <c r="E7219" s="606" t="n">
        <v>0.07</v>
      </c>
      <c r="F7219" s="361" t="n">
        <v>8000</v>
      </c>
      <c r="G7219" s="615" t="n">
        <f aca="false">F7219*E7219</f>
        <v>560</v>
      </c>
      <c r="H7219" s="606"/>
    </row>
    <row r="7220" customFormat="false" ht="15" hidden="false" customHeight="false" outlineLevel="0" collapsed="false">
      <c r="A7220" s="571"/>
      <c r="B7220" s="433"/>
      <c r="C7220" s="614" t="s">
        <v>4147</v>
      </c>
      <c r="D7220" s="606" t="s">
        <v>4359</v>
      </c>
      <c r="E7220" s="606" t="n">
        <v>0.05</v>
      </c>
      <c r="F7220" s="361" t="n">
        <v>1300</v>
      </c>
      <c r="G7220" s="615" t="n">
        <f aca="false">F7220*E7220</f>
        <v>65</v>
      </c>
      <c r="H7220" s="606"/>
    </row>
    <row r="7221" customFormat="false" ht="15" hidden="false" customHeight="false" outlineLevel="0" collapsed="false">
      <c r="A7221" s="571"/>
      <c r="B7221" s="433"/>
      <c r="C7221" s="614" t="s">
        <v>4270</v>
      </c>
      <c r="D7221" s="606" t="s">
        <v>4133</v>
      </c>
      <c r="E7221" s="606" t="n">
        <v>0.0025</v>
      </c>
      <c r="F7221" s="361" t="n">
        <v>900</v>
      </c>
      <c r="G7221" s="615" t="n">
        <f aca="false">F7221*E7221</f>
        <v>2.25</v>
      </c>
      <c r="H7221" s="606"/>
    </row>
    <row r="7222" customFormat="false" ht="15" hidden="false" customHeight="false" outlineLevel="0" collapsed="false">
      <c r="A7222" s="571"/>
      <c r="B7222" s="433"/>
      <c r="C7222" s="614" t="s">
        <v>5367</v>
      </c>
      <c r="D7222" s="606" t="s">
        <v>4133</v>
      </c>
      <c r="E7222" s="606" t="n">
        <v>5E-005</v>
      </c>
      <c r="F7222" s="361" t="n">
        <v>781000</v>
      </c>
      <c r="G7222" s="615" t="n">
        <f aca="false">F7222*E7222</f>
        <v>39.05</v>
      </c>
      <c r="H7222" s="606"/>
    </row>
    <row r="7223" customFormat="false" ht="15" hidden="false" customHeight="false" outlineLevel="0" collapsed="false">
      <c r="A7223" s="571"/>
      <c r="B7223" s="433"/>
      <c r="C7223" s="614" t="s">
        <v>4257</v>
      </c>
      <c r="D7223" s="606" t="s">
        <v>4133</v>
      </c>
      <c r="E7223" s="606" t="n">
        <v>0.02</v>
      </c>
      <c r="F7223" s="361" t="n">
        <v>1500</v>
      </c>
      <c r="G7223" s="615" t="n">
        <f aca="false">F7223*E7223</f>
        <v>30</v>
      </c>
      <c r="H7223" s="606"/>
    </row>
    <row r="7224" customFormat="false" ht="15" hidden="false" customHeight="false" outlineLevel="0" collapsed="false">
      <c r="A7224" s="571"/>
      <c r="B7224" s="433"/>
      <c r="C7224" s="614" t="s">
        <v>4225</v>
      </c>
      <c r="D7224" s="606" t="s">
        <v>4359</v>
      </c>
      <c r="E7224" s="606" t="n">
        <v>0.02</v>
      </c>
      <c r="F7224" s="361" t="n">
        <v>800</v>
      </c>
      <c r="G7224" s="615" t="n">
        <f aca="false">F7224*E7224</f>
        <v>16</v>
      </c>
      <c r="H7224" s="606"/>
    </row>
    <row r="7225" customFormat="false" ht="15" hidden="false" customHeight="false" outlineLevel="0" collapsed="false">
      <c r="A7225" s="571"/>
      <c r="B7225" s="433"/>
      <c r="C7225" s="614" t="s">
        <v>5374</v>
      </c>
      <c r="D7225" s="606" t="s">
        <v>4133</v>
      </c>
      <c r="E7225" s="606" t="n">
        <v>0.002</v>
      </c>
      <c r="F7225" s="361" t="n">
        <v>70000</v>
      </c>
      <c r="G7225" s="615" t="n">
        <f aca="false">F7225*E7225</f>
        <v>140</v>
      </c>
      <c r="H7225" s="606"/>
    </row>
    <row r="7226" customFormat="false" ht="15" hidden="false" customHeight="false" outlineLevel="0" collapsed="false">
      <c r="A7226" s="571"/>
      <c r="B7226" s="433"/>
      <c r="C7226" s="614" t="s">
        <v>5357</v>
      </c>
      <c r="D7226" s="606" t="s">
        <v>4133</v>
      </c>
      <c r="E7226" s="606" t="n">
        <v>0.002</v>
      </c>
      <c r="F7226" s="361" t="n">
        <v>590000</v>
      </c>
      <c r="G7226" s="615" t="n">
        <f aca="false">F7226*E7226</f>
        <v>1180</v>
      </c>
      <c r="H7226" s="606"/>
    </row>
    <row r="7227" customFormat="false" ht="15" hidden="false" customHeight="false" outlineLevel="0" collapsed="false">
      <c r="A7227" s="571"/>
      <c r="B7227" s="433"/>
      <c r="C7227" s="614" t="s">
        <v>4154</v>
      </c>
      <c r="D7227" s="606" t="s">
        <v>4359</v>
      </c>
      <c r="E7227" s="606" t="n">
        <v>0.05</v>
      </c>
      <c r="F7227" s="361" t="n">
        <v>5800</v>
      </c>
      <c r="G7227" s="615" t="n">
        <f aca="false">F7227*E7227</f>
        <v>290</v>
      </c>
      <c r="H7227" s="606"/>
    </row>
    <row r="7228" customFormat="false" ht="15" hidden="false" customHeight="false" outlineLevel="0" collapsed="false">
      <c r="A7228" s="571"/>
      <c r="B7228" s="433"/>
      <c r="C7228" s="614" t="s">
        <v>4545</v>
      </c>
      <c r="D7228" s="606" t="s">
        <v>4359</v>
      </c>
      <c r="E7228" s="606" t="n">
        <v>0.05</v>
      </c>
      <c r="F7228" s="361" t="n">
        <v>2500</v>
      </c>
      <c r="G7228" s="615" t="n">
        <f aca="false">F7228*E7228</f>
        <v>125</v>
      </c>
      <c r="H7228" s="606"/>
    </row>
    <row r="7229" customFormat="false" ht="15" hidden="false" customHeight="false" outlineLevel="0" collapsed="false">
      <c r="A7229" s="571"/>
      <c r="B7229" s="433"/>
      <c r="C7229" s="614" t="s">
        <v>4270</v>
      </c>
      <c r="D7229" s="606" t="s">
        <v>4359</v>
      </c>
      <c r="E7229" s="606" t="n">
        <v>0.01</v>
      </c>
      <c r="F7229" s="361" t="n">
        <v>900</v>
      </c>
      <c r="G7229" s="615" t="n">
        <f aca="false">F7229*E7229</f>
        <v>9</v>
      </c>
      <c r="H7229" s="606"/>
    </row>
    <row r="7230" customFormat="false" ht="15" hidden="false" customHeight="false" outlineLevel="0" collapsed="false">
      <c r="A7230" s="571"/>
      <c r="B7230" s="433"/>
      <c r="C7230" s="614" t="s">
        <v>4515</v>
      </c>
      <c r="D7230" s="606" t="s">
        <v>4133</v>
      </c>
      <c r="E7230" s="606" t="n">
        <v>0.01</v>
      </c>
      <c r="F7230" s="361" t="n">
        <v>3500</v>
      </c>
      <c r="G7230" s="615" t="n">
        <f aca="false">F7230*E7230</f>
        <v>35</v>
      </c>
      <c r="H7230" s="606"/>
    </row>
    <row r="7231" customFormat="false" ht="30" hidden="false" customHeight="false" outlineLevel="0" collapsed="false">
      <c r="A7231" s="571"/>
      <c r="B7231" s="433"/>
      <c r="C7231" s="614" t="s">
        <v>5244</v>
      </c>
      <c r="D7231" s="606" t="s">
        <v>4133</v>
      </c>
      <c r="E7231" s="606" t="n">
        <v>0.01</v>
      </c>
      <c r="F7231" s="361" t="n">
        <v>1300</v>
      </c>
      <c r="G7231" s="615" t="n">
        <f aca="false">F7231*E7231</f>
        <v>13</v>
      </c>
      <c r="H7231" s="606"/>
    </row>
    <row r="7232" customFormat="false" ht="15" hidden="false" customHeight="false" outlineLevel="0" collapsed="false">
      <c r="A7232" s="571"/>
      <c r="B7232" s="433"/>
      <c r="C7232" s="909" t="s">
        <v>4124</v>
      </c>
      <c r="D7232" s="606" t="s">
        <v>4516</v>
      </c>
      <c r="E7232" s="606" t="n">
        <v>0.5</v>
      </c>
      <c r="F7232" s="361" t="n">
        <v>80</v>
      </c>
      <c r="G7232" s="615" t="n">
        <f aca="false">F7232*E7232</f>
        <v>40</v>
      </c>
      <c r="H7232" s="606"/>
    </row>
    <row r="7233" customFormat="false" ht="15" hidden="false" customHeight="false" outlineLevel="0" collapsed="false">
      <c r="A7233" s="571" t="s">
        <v>1254</v>
      </c>
      <c r="B7233" s="433" t="s">
        <v>3384</v>
      </c>
      <c r="C7233" s="614"/>
      <c r="D7233" s="606"/>
      <c r="E7233" s="622"/>
      <c r="F7233" s="361"/>
      <c r="G7233" s="826" t="n">
        <f aca="false">SUM(G7234:G7247)</f>
        <v>2464.3</v>
      </c>
      <c r="H7233" s="606"/>
    </row>
    <row r="7234" customFormat="false" ht="15" hidden="false" customHeight="false" outlineLevel="0" collapsed="false">
      <c r="A7234" s="571"/>
      <c r="B7234" s="433"/>
      <c r="C7234" s="614" t="s">
        <v>4205</v>
      </c>
      <c r="D7234" s="606" t="s">
        <v>4359</v>
      </c>
      <c r="E7234" s="606" t="n">
        <v>0.06</v>
      </c>
      <c r="F7234" s="361" t="n">
        <v>8000</v>
      </c>
      <c r="G7234" s="615" t="n">
        <f aca="false">F7234*E7234</f>
        <v>480</v>
      </c>
      <c r="H7234" s="606"/>
    </row>
    <row r="7235" customFormat="false" ht="15" hidden="false" customHeight="false" outlineLevel="0" collapsed="false">
      <c r="A7235" s="571"/>
      <c r="B7235" s="433"/>
      <c r="C7235" s="614" t="s">
        <v>4147</v>
      </c>
      <c r="D7235" s="606" t="s">
        <v>4359</v>
      </c>
      <c r="E7235" s="606" t="n">
        <v>0.05</v>
      </c>
      <c r="F7235" s="361" t="n">
        <v>1300</v>
      </c>
      <c r="G7235" s="615" t="n">
        <f aca="false">F7235*E7235</f>
        <v>65</v>
      </c>
      <c r="H7235" s="606"/>
    </row>
    <row r="7236" customFormat="false" ht="15" hidden="false" customHeight="false" outlineLevel="0" collapsed="false">
      <c r="A7236" s="571"/>
      <c r="B7236" s="433"/>
      <c r="C7236" s="614" t="s">
        <v>4270</v>
      </c>
      <c r="D7236" s="606" t="s">
        <v>4133</v>
      </c>
      <c r="E7236" s="606" t="n">
        <v>0.0025</v>
      </c>
      <c r="F7236" s="361" t="n">
        <v>900</v>
      </c>
      <c r="G7236" s="615" t="n">
        <f aca="false">F7236*E7236</f>
        <v>2.25</v>
      </c>
      <c r="H7236" s="606"/>
    </row>
    <row r="7237" customFormat="false" ht="15" hidden="false" customHeight="false" outlineLevel="0" collapsed="false">
      <c r="A7237" s="571"/>
      <c r="B7237" s="433"/>
      <c r="C7237" s="614" t="s">
        <v>5367</v>
      </c>
      <c r="D7237" s="606" t="s">
        <v>4133</v>
      </c>
      <c r="E7237" s="606" t="n">
        <v>5E-005</v>
      </c>
      <c r="F7237" s="361" t="n">
        <v>781000</v>
      </c>
      <c r="G7237" s="615" t="n">
        <f aca="false">F7237*E7237</f>
        <v>39.05</v>
      </c>
      <c r="H7237" s="606"/>
    </row>
    <row r="7238" customFormat="false" ht="15" hidden="false" customHeight="false" outlineLevel="0" collapsed="false">
      <c r="A7238" s="571"/>
      <c r="B7238" s="433"/>
      <c r="C7238" s="614" t="s">
        <v>4257</v>
      </c>
      <c r="D7238" s="606" t="s">
        <v>4133</v>
      </c>
      <c r="E7238" s="606" t="n">
        <v>0.02</v>
      </c>
      <c r="F7238" s="361" t="n">
        <v>1500</v>
      </c>
      <c r="G7238" s="615" t="n">
        <f aca="false">F7238*E7238</f>
        <v>30</v>
      </c>
      <c r="H7238" s="606"/>
    </row>
    <row r="7239" customFormat="false" ht="15" hidden="false" customHeight="false" outlineLevel="0" collapsed="false">
      <c r="A7239" s="571"/>
      <c r="B7239" s="433"/>
      <c r="C7239" s="614" t="s">
        <v>4225</v>
      </c>
      <c r="D7239" s="606" t="s">
        <v>4359</v>
      </c>
      <c r="E7239" s="606" t="n">
        <v>0.02</v>
      </c>
      <c r="F7239" s="361" t="n">
        <v>800</v>
      </c>
      <c r="G7239" s="615" t="n">
        <f aca="false">F7239*E7239</f>
        <v>16</v>
      </c>
      <c r="H7239" s="606"/>
    </row>
    <row r="7240" customFormat="false" ht="15" hidden="false" customHeight="false" outlineLevel="0" collapsed="false">
      <c r="A7240" s="571"/>
      <c r="B7240" s="433"/>
      <c r="C7240" s="614" t="s">
        <v>5375</v>
      </c>
      <c r="D7240" s="606" t="s">
        <v>4133</v>
      </c>
      <c r="E7240" s="606" t="n">
        <v>0.002</v>
      </c>
      <c r="F7240" s="361" t="n">
        <v>70000</v>
      </c>
      <c r="G7240" s="615" t="n">
        <f aca="false">F7240*E7240</f>
        <v>140</v>
      </c>
      <c r="H7240" s="606"/>
    </row>
    <row r="7241" customFormat="false" ht="15" hidden="false" customHeight="false" outlineLevel="0" collapsed="false">
      <c r="A7241" s="571"/>
      <c r="B7241" s="433"/>
      <c r="C7241" s="614" t="s">
        <v>5357</v>
      </c>
      <c r="D7241" s="606" t="s">
        <v>4133</v>
      </c>
      <c r="E7241" s="606" t="n">
        <v>0.002</v>
      </c>
      <c r="F7241" s="361" t="n">
        <v>590000</v>
      </c>
      <c r="G7241" s="615" t="n">
        <f aca="false">F7241*E7241</f>
        <v>1180</v>
      </c>
      <c r="H7241" s="606"/>
    </row>
    <row r="7242" customFormat="false" ht="15" hidden="false" customHeight="false" outlineLevel="0" collapsed="false">
      <c r="A7242" s="571"/>
      <c r="B7242" s="433"/>
      <c r="C7242" s="614" t="s">
        <v>4154</v>
      </c>
      <c r="D7242" s="606" t="s">
        <v>4359</v>
      </c>
      <c r="E7242" s="606" t="n">
        <v>0.05</v>
      </c>
      <c r="F7242" s="361" t="n">
        <v>5800</v>
      </c>
      <c r="G7242" s="615" t="n">
        <f aca="false">F7242*E7242</f>
        <v>290</v>
      </c>
      <c r="H7242" s="606"/>
    </row>
    <row r="7243" customFormat="false" ht="15" hidden="false" customHeight="false" outlineLevel="0" collapsed="false">
      <c r="A7243" s="571"/>
      <c r="B7243" s="433"/>
      <c r="C7243" s="614" t="s">
        <v>4545</v>
      </c>
      <c r="D7243" s="606" t="s">
        <v>4359</v>
      </c>
      <c r="E7243" s="606" t="n">
        <v>0.05</v>
      </c>
      <c r="F7243" s="361" t="n">
        <v>2500</v>
      </c>
      <c r="G7243" s="615" t="n">
        <f aca="false">F7243*E7243</f>
        <v>125</v>
      </c>
      <c r="H7243" s="606"/>
    </row>
    <row r="7244" customFormat="false" ht="15" hidden="false" customHeight="false" outlineLevel="0" collapsed="false">
      <c r="A7244" s="571"/>
      <c r="B7244" s="433"/>
      <c r="C7244" s="614" t="s">
        <v>4270</v>
      </c>
      <c r="D7244" s="606" t="s">
        <v>4359</v>
      </c>
      <c r="E7244" s="606" t="n">
        <v>0.01</v>
      </c>
      <c r="F7244" s="361" t="n">
        <v>900</v>
      </c>
      <c r="G7244" s="615" t="n">
        <f aca="false">F7244*E7244</f>
        <v>9</v>
      </c>
      <c r="H7244" s="606"/>
    </row>
    <row r="7245" customFormat="false" ht="15" hidden="false" customHeight="false" outlineLevel="0" collapsed="false">
      <c r="A7245" s="571"/>
      <c r="B7245" s="433"/>
      <c r="C7245" s="614" t="s">
        <v>4515</v>
      </c>
      <c r="D7245" s="606" t="s">
        <v>4133</v>
      </c>
      <c r="E7245" s="606" t="n">
        <v>0.01</v>
      </c>
      <c r="F7245" s="361" t="n">
        <v>3500</v>
      </c>
      <c r="G7245" s="615" t="n">
        <f aca="false">F7245*E7245</f>
        <v>35</v>
      </c>
      <c r="H7245" s="606"/>
    </row>
    <row r="7246" customFormat="false" ht="30" hidden="false" customHeight="false" outlineLevel="0" collapsed="false">
      <c r="A7246" s="571"/>
      <c r="B7246" s="433"/>
      <c r="C7246" s="614" t="s">
        <v>5244</v>
      </c>
      <c r="D7246" s="606" t="s">
        <v>4133</v>
      </c>
      <c r="E7246" s="606" t="n">
        <v>0.01</v>
      </c>
      <c r="F7246" s="361" t="n">
        <v>1300</v>
      </c>
      <c r="G7246" s="615" t="n">
        <f aca="false">F7246*E7246</f>
        <v>13</v>
      </c>
      <c r="H7246" s="606"/>
    </row>
    <row r="7247" customFormat="false" ht="15" hidden="false" customHeight="false" outlineLevel="0" collapsed="false">
      <c r="A7247" s="571"/>
      <c r="B7247" s="433"/>
      <c r="C7247" s="909" t="s">
        <v>4124</v>
      </c>
      <c r="D7247" s="606" t="s">
        <v>4516</v>
      </c>
      <c r="E7247" s="606" t="n">
        <v>0.5</v>
      </c>
      <c r="F7247" s="361" t="n">
        <v>80</v>
      </c>
      <c r="G7247" s="615" t="n">
        <f aca="false">F7247*E7247</f>
        <v>40</v>
      </c>
      <c r="H7247" s="606"/>
    </row>
    <row r="7248" customFormat="false" ht="15" hidden="false" customHeight="false" outlineLevel="0" collapsed="false">
      <c r="A7248" s="571" t="s">
        <v>1256</v>
      </c>
      <c r="B7248" s="433" t="s">
        <v>3385</v>
      </c>
      <c r="C7248" s="614"/>
      <c r="D7248" s="606"/>
      <c r="E7248" s="622"/>
      <c r="F7248" s="361"/>
      <c r="G7248" s="826" t="n">
        <f aca="false">SUM(G7249:G7262)</f>
        <v>2571.3</v>
      </c>
      <c r="H7248" s="606"/>
    </row>
    <row r="7249" customFormat="false" ht="15" hidden="false" customHeight="false" outlineLevel="0" collapsed="false">
      <c r="A7249" s="571"/>
      <c r="B7249" s="433"/>
      <c r="C7249" s="614" t="s">
        <v>4205</v>
      </c>
      <c r="D7249" s="606" t="s">
        <v>4359</v>
      </c>
      <c r="E7249" s="606" t="n">
        <v>0.075</v>
      </c>
      <c r="F7249" s="361" t="n">
        <v>8000</v>
      </c>
      <c r="G7249" s="615" t="n">
        <f aca="false">F7249*E7249</f>
        <v>600</v>
      </c>
      <c r="H7249" s="606"/>
    </row>
    <row r="7250" customFormat="false" ht="15" hidden="false" customHeight="false" outlineLevel="0" collapsed="false">
      <c r="A7250" s="571"/>
      <c r="B7250" s="433"/>
      <c r="C7250" s="614" t="s">
        <v>4147</v>
      </c>
      <c r="D7250" s="606" t="s">
        <v>4359</v>
      </c>
      <c r="E7250" s="606" t="n">
        <v>0.05</v>
      </c>
      <c r="F7250" s="361" t="n">
        <v>1300</v>
      </c>
      <c r="G7250" s="615" t="n">
        <f aca="false">F7250*E7250</f>
        <v>65</v>
      </c>
      <c r="H7250" s="606"/>
    </row>
    <row r="7251" customFormat="false" ht="15" hidden="false" customHeight="false" outlineLevel="0" collapsed="false">
      <c r="A7251" s="571"/>
      <c r="B7251" s="433"/>
      <c r="C7251" s="614" t="s">
        <v>4270</v>
      </c>
      <c r="D7251" s="606" t="s">
        <v>4133</v>
      </c>
      <c r="E7251" s="606" t="n">
        <v>0.0025</v>
      </c>
      <c r="F7251" s="361" t="n">
        <v>900</v>
      </c>
      <c r="G7251" s="615" t="n">
        <f aca="false">F7251*E7251</f>
        <v>2.25</v>
      </c>
      <c r="H7251" s="606"/>
    </row>
    <row r="7252" customFormat="false" ht="15" hidden="false" customHeight="false" outlineLevel="0" collapsed="false">
      <c r="A7252" s="571"/>
      <c r="B7252" s="433"/>
      <c r="C7252" s="614" t="s">
        <v>5367</v>
      </c>
      <c r="D7252" s="606" t="s">
        <v>4133</v>
      </c>
      <c r="E7252" s="606" t="n">
        <v>5E-005</v>
      </c>
      <c r="F7252" s="361" t="n">
        <v>781000</v>
      </c>
      <c r="G7252" s="615" t="n">
        <f aca="false">F7252*E7252</f>
        <v>39.05</v>
      </c>
      <c r="H7252" s="606"/>
    </row>
    <row r="7253" customFormat="false" ht="15" hidden="false" customHeight="false" outlineLevel="0" collapsed="false">
      <c r="A7253" s="571"/>
      <c r="B7253" s="433"/>
      <c r="C7253" s="614" t="s">
        <v>4257</v>
      </c>
      <c r="D7253" s="606" t="s">
        <v>4133</v>
      </c>
      <c r="E7253" s="606" t="n">
        <v>0.02</v>
      </c>
      <c r="F7253" s="361" t="n">
        <v>1500</v>
      </c>
      <c r="G7253" s="615" t="n">
        <f aca="false">F7253*E7253</f>
        <v>30</v>
      </c>
      <c r="H7253" s="606"/>
    </row>
    <row r="7254" customFormat="false" ht="15" hidden="false" customHeight="false" outlineLevel="0" collapsed="false">
      <c r="A7254" s="571"/>
      <c r="B7254" s="433"/>
      <c r="C7254" s="614" t="s">
        <v>4225</v>
      </c>
      <c r="D7254" s="606" t="s">
        <v>4359</v>
      </c>
      <c r="E7254" s="606" t="n">
        <v>0.02</v>
      </c>
      <c r="F7254" s="361" t="n">
        <v>800</v>
      </c>
      <c r="G7254" s="615" t="n">
        <f aca="false">F7254*E7254</f>
        <v>16</v>
      </c>
      <c r="H7254" s="606"/>
    </row>
    <row r="7255" customFormat="false" ht="15" hidden="false" customHeight="false" outlineLevel="0" collapsed="false">
      <c r="A7255" s="571"/>
      <c r="B7255" s="433"/>
      <c r="C7255" s="614" t="s">
        <v>5376</v>
      </c>
      <c r="D7255" s="606" t="s">
        <v>4133</v>
      </c>
      <c r="E7255" s="606" t="n">
        <v>0.002</v>
      </c>
      <c r="F7255" s="361" t="n">
        <v>70000</v>
      </c>
      <c r="G7255" s="615" t="n">
        <f aca="false">F7255*E7255</f>
        <v>140</v>
      </c>
      <c r="H7255" s="606"/>
    </row>
    <row r="7256" customFormat="false" ht="15" hidden="false" customHeight="false" outlineLevel="0" collapsed="false">
      <c r="A7256" s="571"/>
      <c r="B7256" s="433"/>
      <c r="C7256" s="614" t="s">
        <v>5357</v>
      </c>
      <c r="D7256" s="606" t="s">
        <v>4133</v>
      </c>
      <c r="E7256" s="606" t="n">
        <v>0.002</v>
      </c>
      <c r="F7256" s="361" t="n">
        <v>590000</v>
      </c>
      <c r="G7256" s="615" t="n">
        <f aca="false">F7256*E7256</f>
        <v>1180</v>
      </c>
      <c r="H7256" s="606"/>
    </row>
    <row r="7257" customFormat="false" ht="15" hidden="false" customHeight="false" outlineLevel="0" collapsed="false">
      <c r="A7257" s="571"/>
      <c r="B7257" s="433"/>
      <c r="C7257" s="614" t="s">
        <v>4154</v>
      </c>
      <c r="D7257" s="606" t="s">
        <v>4359</v>
      </c>
      <c r="E7257" s="606" t="n">
        <v>0.05</v>
      </c>
      <c r="F7257" s="361" t="n">
        <v>5800</v>
      </c>
      <c r="G7257" s="615" t="n">
        <f aca="false">F7257*E7257</f>
        <v>290</v>
      </c>
      <c r="H7257" s="606"/>
    </row>
    <row r="7258" customFormat="false" ht="15" hidden="false" customHeight="false" outlineLevel="0" collapsed="false">
      <c r="A7258" s="571"/>
      <c r="B7258" s="433"/>
      <c r="C7258" s="614" t="s">
        <v>4545</v>
      </c>
      <c r="D7258" s="606" t="s">
        <v>4359</v>
      </c>
      <c r="E7258" s="606" t="n">
        <v>0.05</v>
      </c>
      <c r="F7258" s="361" t="n">
        <v>2500</v>
      </c>
      <c r="G7258" s="615" t="n">
        <f aca="false">F7258*E7258</f>
        <v>125</v>
      </c>
      <c r="H7258" s="606"/>
    </row>
    <row r="7259" customFormat="false" ht="15" hidden="false" customHeight="false" outlineLevel="0" collapsed="false">
      <c r="A7259" s="571"/>
      <c r="B7259" s="433"/>
      <c r="C7259" s="614" t="s">
        <v>4270</v>
      </c>
      <c r="D7259" s="606" t="s">
        <v>4359</v>
      </c>
      <c r="E7259" s="606" t="n">
        <v>0.01</v>
      </c>
      <c r="F7259" s="361" t="n">
        <v>900</v>
      </c>
      <c r="G7259" s="615" t="n">
        <f aca="false">F7259*E7259</f>
        <v>9</v>
      </c>
      <c r="H7259" s="606"/>
    </row>
    <row r="7260" customFormat="false" ht="15" hidden="false" customHeight="false" outlineLevel="0" collapsed="false">
      <c r="A7260" s="571"/>
      <c r="B7260" s="433"/>
      <c r="C7260" s="614" t="s">
        <v>4515</v>
      </c>
      <c r="D7260" s="606" t="s">
        <v>4133</v>
      </c>
      <c r="E7260" s="606" t="n">
        <v>0.01</v>
      </c>
      <c r="F7260" s="361" t="n">
        <v>3500</v>
      </c>
      <c r="G7260" s="615" t="n">
        <f aca="false">F7260*E7260</f>
        <v>35</v>
      </c>
      <c r="H7260" s="606"/>
    </row>
    <row r="7261" customFormat="false" ht="30" hidden="false" customHeight="false" outlineLevel="0" collapsed="false">
      <c r="A7261" s="571"/>
      <c r="B7261" s="433"/>
      <c r="C7261" s="614" t="s">
        <v>5244</v>
      </c>
      <c r="D7261" s="606" t="s">
        <v>4133</v>
      </c>
      <c r="E7261" s="606" t="n">
        <v>0.01</v>
      </c>
      <c r="F7261" s="361" t="n">
        <v>1300</v>
      </c>
      <c r="G7261" s="615" t="n">
        <f aca="false">F79412*E79412</f>
        <v>0</v>
      </c>
      <c r="H7261" s="606"/>
    </row>
    <row r="7262" customFormat="false" ht="15" hidden="false" customHeight="false" outlineLevel="0" collapsed="false">
      <c r="A7262" s="571"/>
      <c r="B7262" s="433"/>
      <c r="C7262" s="909" t="s">
        <v>4124</v>
      </c>
      <c r="D7262" s="606" t="s">
        <v>4516</v>
      </c>
      <c r="E7262" s="606" t="n">
        <v>0.5</v>
      </c>
      <c r="F7262" s="361" t="n">
        <v>80</v>
      </c>
      <c r="G7262" s="615" t="n">
        <f aca="false">F7262*E7262</f>
        <v>40</v>
      </c>
      <c r="H7262" s="606"/>
    </row>
    <row r="7263" customFormat="false" ht="15" hidden="false" customHeight="false" outlineLevel="0" collapsed="false">
      <c r="A7263" s="571" t="s">
        <v>1258</v>
      </c>
      <c r="B7263" s="433" t="s">
        <v>3386</v>
      </c>
      <c r="C7263" s="910"/>
      <c r="D7263" s="606"/>
      <c r="E7263" s="622"/>
      <c r="F7263" s="361"/>
      <c r="G7263" s="826" t="n">
        <f aca="false">SUM(G7264:G7268)</f>
        <v>84.55</v>
      </c>
      <c r="H7263" s="606"/>
    </row>
    <row r="7264" customFormat="false" ht="15" hidden="false" customHeight="false" outlineLevel="0" collapsed="false">
      <c r="A7264" s="571"/>
      <c r="B7264" s="433"/>
      <c r="C7264" s="614" t="s">
        <v>5344</v>
      </c>
      <c r="D7264" s="606" t="s">
        <v>4141</v>
      </c>
      <c r="E7264" s="705" t="n">
        <v>0.001</v>
      </c>
      <c r="F7264" s="361" t="n">
        <v>29500</v>
      </c>
      <c r="G7264" s="615" t="n">
        <f aca="false">E7264*F7264</f>
        <v>29.5</v>
      </c>
      <c r="H7264" s="606"/>
    </row>
    <row r="7265" customFormat="false" ht="15" hidden="false" customHeight="false" outlineLevel="0" collapsed="false">
      <c r="A7265" s="571"/>
      <c r="B7265" s="433"/>
      <c r="C7265" s="614" t="s">
        <v>4122</v>
      </c>
      <c r="D7265" s="606" t="s">
        <v>4359</v>
      </c>
      <c r="E7265" s="606" t="n">
        <v>0.01</v>
      </c>
      <c r="F7265" s="361" t="n">
        <v>720</v>
      </c>
      <c r="G7265" s="615" t="n">
        <f aca="false">E7265*F7265</f>
        <v>7.2</v>
      </c>
      <c r="H7265" s="606"/>
    </row>
    <row r="7266" customFormat="false" ht="15" hidden="false" customHeight="false" outlineLevel="0" collapsed="false">
      <c r="A7266" s="571"/>
      <c r="B7266" s="433"/>
      <c r="C7266" s="614" t="s">
        <v>4515</v>
      </c>
      <c r="D7266" s="606" t="s">
        <v>4133</v>
      </c>
      <c r="E7266" s="606" t="n">
        <v>0.0001</v>
      </c>
      <c r="F7266" s="361" t="n">
        <v>3500</v>
      </c>
      <c r="G7266" s="615" t="n">
        <f aca="false">E7266*F7266</f>
        <v>0.35</v>
      </c>
      <c r="H7266" s="606"/>
    </row>
    <row r="7267" customFormat="false" ht="15" hidden="false" customHeight="false" outlineLevel="0" collapsed="false">
      <c r="A7267" s="571"/>
      <c r="B7267" s="433"/>
      <c r="C7267" s="909" t="s">
        <v>4124</v>
      </c>
      <c r="D7267" s="606" t="s">
        <v>4516</v>
      </c>
      <c r="E7267" s="606" t="n">
        <v>0.5</v>
      </c>
      <c r="F7267" s="361" t="n">
        <v>80</v>
      </c>
      <c r="G7267" s="615" t="n">
        <f aca="false">E7267*F7267</f>
        <v>40</v>
      </c>
      <c r="H7267" s="606"/>
    </row>
    <row r="7268" customFormat="false" ht="15" hidden="false" customHeight="false" outlineLevel="0" collapsed="false">
      <c r="A7268" s="571"/>
      <c r="B7268" s="433"/>
      <c r="C7268" s="614" t="s">
        <v>5341</v>
      </c>
      <c r="D7268" s="606" t="s">
        <v>5342</v>
      </c>
      <c r="E7268" s="606" t="n">
        <v>0.005</v>
      </c>
      <c r="F7268" s="361" t="n">
        <v>1500</v>
      </c>
      <c r="G7268" s="615" t="n">
        <f aca="false">E7268*F7268</f>
        <v>7.5</v>
      </c>
      <c r="H7268" s="606"/>
    </row>
    <row r="7269" customFormat="false" ht="15" hidden="false" customHeight="false" outlineLevel="0" collapsed="false">
      <c r="A7269" s="571" t="s">
        <v>1260</v>
      </c>
      <c r="B7269" s="433" t="s">
        <v>3387</v>
      </c>
      <c r="C7269" s="910"/>
      <c r="D7269" s="606"/>
      <c r="E7269" s="622"/>
      <c r="F7269" s="361"/>
      <c r="G7269" s="826" t="n">
        <f aca="false">SUM(G7270:G7274)</f>
        <v>84.55</v>
      </c>
      <c r="H7269" s="606"/>
    </row>
    <row r="7270" customFormat="false" ht="15" hidden="false" customHeight="false" outlineLevel="0" collapsed="false">
      <c r="A7270" s="571"/>
      <c r="B7270" s="433"/>
      <c r="C7270" s="614" t="s">
        <v>5344</v>
      </c>
      <c r="D7270" s="606" t="s">
        <v>4141</v>
      </c>
      <c r="E7270" s="705" t="n">
        <v>0.001</v>
      </c>
      <c r="F7270" s="361" t="n">
        <v>29500</v>
      </c>
      <c r="G7270" s="615" t="n">
        <f aca="false">E7270*F7270</f>
        <v>29.5</v>
      </c>
      <c r="H7270" s="606"/>
    </row>
    <row r="7271" customFormat="false" ht="15" hidden="false" customHeight="false" outlineLevel="0" collapsed="false">
      <c r="A7271" s="571"/>
      <c r="B7271" s="433"/>
      <c r="C7271" s="614" t="s">
        <v>4122</v>
      </c>
      <c r="D7271" s="606" t="s">
        <v>4359</v>
      </c>
      <c r="E7271" s="606" t="n">
        <v>0.01</v>
      </c>
      <c r="F7271" s="361" t="n">
        <v>720</v>
      </c>
      <c r="G7271" s="615" t="n">
        <f aca="false">E7271*F7271</f>
        <v>7.2</v>
      </c>
      <c r="H7271" s="606"/>
    </row>
    <row r="7272" customFormat="false" ht="15" hidden="false" customHeight="false" outlineLevel="0" collapsed="false">
      <c r="A7272" s="571"/>
      <c r="B7272" s="433"/>
      <c r="C7272" s="614" t="s">
        <v>4515</v>
      </c>
      <c r="D7272" s="606" t="s">
        <v>4133</v>
      </c>
      <c r="E7272" s="606" t="n">
        <v>0.0001</v>
      </c>
      <c r="F7272" s="361" t="n">
        <v>3500</v>
      </c>
      <c r="G7272" s="615" t="n">
        <f aca="false">E7272*F7272</f>
        <v>0.35</v>
      </c>
      <c r="H7272" s="606"/>
    </row>
    <row r="7273" customFormat="false" ht="15" hidden="false" customHeight="false" outlineLevel="0" collapsed="false">
      <c r="A7273" s="571"/>
      <c r="B7273" s="433"/>
      <c r="C7273" s="909" t="s">
        <v>4124</v>
      </c>
      <c r="D7273" s="606" t="s">
        <v>4516</v>
      </c>
      <c r="E7273" s="606" t="n">
        <v>0.5</v>
      </c>
      <c r="F7273" s="361" t="n">
        <v>80</v>
      </c>
      <c r="G7273" s="615" t="n">
        <f aca="false">E7273*F7273</f>
        <v>40</v>
      </c>
      <c r="H7273" s="606"/>
    </row>
    <row r="7274" customFormat="false" ht="15" hidden="false" customHeight="false" outlineLevel="0" collapsed="false">
      <c r="A7274" s="571"/>
      <c r="B7274" s="433"/>
      <c r="C7274" s="614" t="s">
        <v>5341</v>
      </c>
      <c r="D7274" s="606" t="s">
        <v>5342</v>
      </c>
      <c r="E7274" s="606" t="n">
        <v>0.005</v>
      </c>
      <c r="F7274" s="361" t="n">
        <v>1500</v>
      </c>
      <c r="G7274" s="615" t="n">
        <f aca="false">E7274*F7274</f>
        <v>7.5</v>
      </c>
      <c r="H7274" s="606"/>
    </row>
    <row r="7275" customFormat="false" ht="15" hidden="false" customHeight="false" outlineLevel="0" collapsed="false">
      <c r="A7275" s="571" t="s">
        <v>1262</v>
      </c>
      <c r="B7275" s="433" t="s">
        <v>3388</v>
      </c>
      <c r="C7275" s="614"/>
      <c r="D7275" s="606"/>
      <c r="E7275" s="622"/>
      <c r="F7275" s="361"/>
      <c r="G7275" s="826" t="n">
        <f aca="false">SUM(G7276:G7287)</f>
        <v>2524.075</v>
      </c>
      <c r="H7275" s="606"/>
    </row>
    <row r="7276" customFormat="false" ht="15" hidden="false" customHeight="false" outlineLevel="0" collapsed="false">
      <c r="A7276" s="571"/>
      <c r="B7276" s="433"/>
      <c r="C7276" s="614" t="s">
        <v>4147</v>
      </c>
      <c r="D7276" s="606" t="s">
        <v>4359</v>
      </c>
      <c r="E7276" s="912" t="n">
        <v>0.02</v>
      </c>
      <c r="F7276" s="361" t="n">
        <v>1300</v>
      </c>
      <c r="G7276" s="615" t="n">
        <f aca="false">F7276*E7276</f>
        <v>26</v>
      </c>
      <c r="H7276" s="606"/>
    </row>
    <row r="7277" customFormat="false" ht="15" hidden="false" customHeight="false" outlineLevel="0" collapsed="false">
      <c r="A7277" s="571"/>
      <c r="B7277" s="433"/>
      <c r="C7277" s="614" t="s">
        <v>4668</v>
      </c>
      <c r="D7277" s="606" t="s">
        <v>4133</v>
      </c>
      <c r="E7277" s="912" t="n">
        <v>0.04</v>
      </c>
      <c r="F7277" s="361" t="n">
        <v>800</v>
      </c>
      <c r="G7277" s="615" t="n">
        <f aca="false">F7277*E7277</f>
        <v>32</v>
      </c>
      <c r="H7277" s="606"/>
    </row>
    <row r="7278" customFormat="false" ht="15" hidden="false" customHeight="false" outlineLevel="0" collapsed="false">
      <c r="A7278" s="571"/>
      <c r="B7278" s="433"/>
      <c r="C7278" s="614" t="s">
        <v>5377</v>
      </c>
      <c r="D7278" s="606" t="s">
        <v>4133</v>
      </c>
      <c r="E7278" s="912" t="n">
        <v>0.05</v>
      </c>
      <c r="F7278" s="361" t="n">
        <v>16500</v>
      </c>
      <c r="G7278" s="615" t="n">
        <f aca="false">F7278*E7278</f>
        <v>825</v>
      </c>
      <c r="H7278" s="606"/>
    </row>
    <row r="7279" customFormat="false" ht="15" hidden="false" customHeight="false" outlineLevel="0" collapsed="false">
      <c r="A7279" s="571"/>
      <c r="B7279" s="433"/>
      <c r="C7279" s="614" t="s">
        <v>5378</v>
      </c>
      <c r="D7279" s="606" t="s">
        <v>4133</v>
      </c>
      <c r="E7279" s="912" t="n">
        <v>0.02</v>
      </c>
      <c r="F7279" s="361" t="n">
        <v>2200</v>
      </c>
      <c r="G7279" s="615" t="n">
        <f aca="false">F7279*E7279</f>
        <v>44</v>
      </c>
      <c r="H7279" s="606"/>
    </row>
    <row r="7280" customFormat="false" ht="15" hidden="false" customHeight="false" outlineLevel="0" collapsed="false">
      <c r="A7280" s="571"/>
      <c r="B7280" s="433"/>
      <c r="C7280" s="614" t="s">
        <v>5379</v>
      </c>
      <c r="D7280" s="606" t="s">
        <v>4133</v>
      </c>
      <c r="E7280" s="911" t="n">
        <v>0.00025</v>
      </c>
      <c r="F7280" s="361" t="n">
        <v>226100</v>
      </c>
      <c r="G7280" s="615" t="n">
        <f aca="false">F7280*E7280</f>
        <v>56.525</v>
      </c>
      <c r="H7280" s="606"/>
    </row>
    <row r="7281" customFormat="false" ht="15" hidden="false" customHeight="false" outlineLevel="0" collapsed="false">
      <c r="A7281" s="571"/>
      <c r="B7281" s="433"/>
      <c r="C7281" s="614" t="s">
        <v>4193</v>
      </c>
      <c r="D7281" s="606" t="s">
        <v>4133</v>
      </c>
      <c r="E7281" s="622" t="n">
        <v>0.0001</v>
      </c>
      <c r="F7281" s="361" t="n">
        <v>55000</v>
      </c>
      <c r="G7281" s="615" t="n">
        <f aca="false">F7281*E7281</f>
        <v>5.5</v>
      </c>
      <c r="H7281" s="606"/>
    </row>
    <row r="7282" customFormat="false" ht="15" hidden="false" customHeight="false" outlineLevel="0" collapsed="false">
      <c r="A7282" s="571"/>
      <c r="B7282" s="433"/>
      <c r="C7282" s="614" t="s">
        <v>4154</v>
      </c>
      <c r="D7282" s="606" t="s">
        <v>4359</v>
      </c>
      <c r="E7282" s="552" t="n">
        <v>0.1</v>
      </c>
      <c r="F7282" s="361" t="n">
        <v>5800</v>
      </c>
      <c r="G7282" s="615" t="n">
        <f aca="false">F7282*E7282</f>
        <v>580</v>
      </c>
      <c r="H7282" s="606"/>
    </row>
    <row r="7283" customFormat="false" ht="15" hidden="false" customHeight="false" outlineLevel="0" collapsed="false">
      <c r="A7283" s="571"/>
      <c r="B7283" s="433"/>
      <c r="C7283" s="614" t="s">
        <v>5380</v>
      </c>
      <c r="D7283" s="606" t="s">
        <v>4133</v>
      </c>
      <c r="E7283" s="552" t="n">
        <v>0.06</v>
      </c>
      <c r="F7283" s="361" t="n">
        <v>15000</v>
      </c>
      <c r="G7283" s="615" t="n">
        <f aca="false">F7283*E7283</f>
        <v>900</v>
      </c>
      <c r="H7283" s="606"/>
    </row>
    <row r="7284" customFormat="false" ht="15" hidden="false" customHeight="false" outlineLevel="0" collapsed="false">
      <c r="A7284" s="571"/>
      <c r="B7284" s="433"/>
      <c r="C7284" s="614" t="s">
        <v>5341</v>
      </c>
      <c r="D7284" s="606" t="s">
        <v>5349</v>
      </c>
      <c r="E7284" s="705" t="n">
        <v>0.005</v>
      </c>
      <c r="F7284" s="361" t="n">
        <v>1500</v>
      </c>
      <c r="G7284" s="615" t="n">
        <f aca="false">F7284*E7284</f>
        <v>7.5</v>
      </c>
      <c r="H7284" s="606"/>
    </row>
    <row r="7285" customFormat="false" ht="15" hidden="false" customHeight="false" outlineLevel="0" collapsed="false">
      <c r="A7285" s="571"/>
      <c r="B7285" s="433"/>
      <c r="C7285" s="614" t="s">
        <v>4122</v>
      </c>
      <c r="D7285" s="606" t="s">
        <v>4359</v>
      </c>
      <c r="E7285" s="606" t="n">
        <v>0.01</v>
      </c>
      <c r="F7285" s="361" t="n">
        <v>720</v>
      </c>
      <c r="G7285" s="615" t="n">
        <f aca="false">F7285*E7285</f>
        <v>7.2</v>
      </c>
      <c r="H7285" s="606"/>
    </row>
    <row r="7286" customFormat="false" ht="15" hidden="false" customHeight="false" outlineLevel="0" collapsed="false">
      <c r="A7286" s="571"/>
      <c r="B7286" s="433"/>
      <c r="C7286" s="614" t="s">
        <v>4515</v>
      </c>
      <c r="D7286" s="606" t="s">
        <v>4133</v>
      </c>
      <c r="E7286" s="606" t="n">
        <v>0.0001</v>
      </c>
      <c r="F7286" s="361" t="n">
        <v>3500</v>
      </c>
      <c r="G7286" s="615" t="n">
        <f aca="false">F7286*E7286</f>
        <v>0.35</v>
      </c>
      <c r="H7286" s="606"/>
    </row>
    <row r="7287" customFormat="false" ht="15" hidden="false" customHeight="false" outlineLevel="0" collapsed="false">
      <c r="A7287" s="571"/>
      <c r="B7287" s="433"/>
      <c r="C7287" s="909" t="s">
        <v>4124</v>
      </c>
      <c r="D7287" s="606" t="s">
        <v>4516</v>
      </c>
      <c r="E7287" s="606" t="n">
        <v>0.5</v>
      </c>
      <c r="F7287" s="361" t="n">
        <v>80</v>
      </c>
      <c r="G7287" s="615" t="n">
        <f aca="false">F7287*E7287</f>
        <v>40</v>
      </c>
      <c r="H7287" s="606"/>
    </row>
    <row r="7288" customFormat="false" ht="30" hidden="false" customHeight="false" outlineLevel="0" collapsed="false">
      <c r="A7288" s="571" t="s">
        <v>1264</v>
      </c>
      <c r="B7288" s="433" t="s">
        <v>3389</v>
      </c>
      <c r="C7288" s="476"/>
      <c r="D7288" s="820"/>
      <c r="E7288" s="820"/>
      <c r="F7288" s="361"/>
      <c r="G7288" s="826" t="n">
        <f aca="false">SUM(G7289:G7306)</f>
        <v>6476.7</v>
      </c>
      <c r="H7288" s="606"/>
    </row>
    <row r="7289" customFormat="false" ht="15" hidden="false" customHeight="false" outlineLevel="0" collapsed="false">
      <c r="A7289" s="571"/>
      <c r="B7289" s="433"/>
      <c r="C7289" s="614" t="s">
        <v>4225</v>
      </c>
      <c r="D7289" s="606" t="s">
        <v>4133</v>
      </c>
      <c r="E7289" s="606" t="n">
        <v>0.08</v>
      </c>
      <c r="F7289" s="361" t="n">
        <v>800</v>
      </c>
      <c r="G7289" s="615" t="n">
        <f aca="false">F7289*E7289</f>
        <v>64</v>
      </c>
      <c r="H7289" s="606"/>
    </row>
    <row r="7290" customFormat="false" ht="15" hidden="false" customHeight="false" outlineLevel="0" collapsed="false">
      <c r="A7290" s="571"/>
      <c r="B7290" s="433"/>
      <c r="C7290" s="614" t="s">
        <v>4189</v>
      </c>
      <c r="D7290" s="606" t="s">
        <v>4359</v>
      </c>
      <c r="E7290" s="606" t="n">
        <v>0.0006</v>
      </c>
      <c r="F7290" s="361" t="n">
        <v>130000</v>
      </c>
      <c r="G7290" s="615" t="n">
        <f aca="false">F7290*E7290</f>
        <v>78</v>
      </c>
      <c r="H7290" s="606"/>
    </row>
    <row r="7291" customFormat="false" ht="15" hidden="false" customHeight="false" outlineLevel="0" collapsed="false">
      <c r="A7291" s="571"/>
      <c r="B7291" s="433"/>
      <c r="C7291" s="614" t="s">
        <v>4147</v>
      </c>
      <c r="D7291" s="606" t="s">
        <v>4359</v>
      </c>
      <c r="E7291" s="606" t="n">
        <v>0.11</v>
      </c>
      <c r="F7291" s="361" t="n">
        <v>1300</v>
      </c>
      <c r="G7291" s="615" t="n">
        <f aca="false">F7291*E7291</f>
        <v>143</v>
      </c>
      <c r="H7291" s="606"/>
    </row>
    <row r="7292" customFormat="false" ht="30" hidden="false" customHeight="false" outlineLevel="0" collapsed="false">
      <c r="A7292" s="571"/>
      <c r="B7292" s="433"/>
      <c r="C7292" s="614" t="s">
        <v>5351</v>
      </c>
      <c r="D7292" s="606" t="s">
        <v>4133</v>
      </c>
      <c r="E7292" s="606" t="n">
        <v>0.0025</v>
      </c>
      <c r="F7292" s="361" t="n">
        <v>78100</v>
      </c>
      <c r="G7292" s="615" t="n">
        <f aca="false">F7292*E7292</f>
        <v>195.25</v>
      </c>
      <c r="H7292" s="606"/>
    </row>
    <row r="7293" customFormat="false" ht="30" hidden="false" customHeight="false" outlineLevel="0" collapsed="false">
      <c r="A7293" s="571"/>
      <c r="B7293" s="433"/>
      <c r="C7293" s="614" t="s">
        <v>5352</v>
      </c>
      <c r="D7293" s="606" t="s">
        <v>4133</v>
      </c>
      <c r="E7293" s="606" t="n">
        <v>0.06</v>
      </c>
      <c r="F7293" s="361" t="n">
        <v>25500</v>
      </c>
      <c r="G7293" s="615" t="n">
        <f aca="false">F7293*E7293</f>
        <v>1530</v>
      </c>
      <c r="H7293" s="606"/>
    </row>
    <row r="7294" customFormat="false" ht="15" hidden="false" customHeight="false" outlineLevel="0" collapsed="false">
      <c r="A7294" s="571"/>
      <c r="B7294" s="433"/>
      <c r="C7294" s="614" t="s">
        <v>4545</v>
      </c>
      <c r="D7294" s="606" t="s">
        <v>4133</v>
      </c>
      <c r="E7294" s="606" t="n">
        <v>0.02</v>
      </c>
      <c r="F7294" s="361" t="n">
        <v>2500</v>
      </c>
      <c r="G7294" s="615" t="n">
        <f aca="false">F7294*E7294</f>
        <v>50</v>
      </c>
      <c r="H7294" s="606"/>
    </row>
    <row r="7295" customFormat="false" ht="30" hidden="false" customHeight="false" outlineLevel="0" collapsed="false">
      <c r="A7295" s="571"/>
      <c r="B7295" s="433"/>
      <c r="C7295" s="614" t="s">
        <v>5381</v>
      </c>
      <c r="D7295" s="606" t="s">
        <v>4133</v>
      </c>
      <c r="E7295" s="606" t="n">
        <v>0.002</v>
      </c>
      <c r="F7295" s="361" t="n">
        <v>78100</v>
      </c>
      <c r="G7295" s="615" t="n">
        <f aca="false">F7295*E7295</f>
        <v>156.2</v>
      </c>
      <c r="H7295" s="606"/>
    </row>
    <row r="7296" customFormat="false" ht="15" hidden="false" customHeight="false" outlineLevel="0" collapsed="false">
      <c r="A7296" s="571"/>
      <c r="B7296" s="433"/>
      <c r="C7296" s="614" t="s">
        <v>5356</v>
      </c>
      <c r="D7296" s="606" t="s">
        <v>4133</v>
      </c>
      <c r="E7296" s="606" t="n">
        <v>0.1</v>
      </c>
      <c r="F7296" s="361" t="n">
        <v>6500</v>
      </c>
      <c r="G7296" s="615" t="n">
        <f aca="false">F7296*E7296</f>
        <v>650</v>
      </c>
      <c r="H7296" s="606"/>
    </row>
    <row r="7297" customFormat="false" ht="15" hidden="false" customHeight="false" outlineLevel="0" collapsed="false">
      <c r="A7297" s="571"/>
      <c r="B7297" s="433"/>
      <c r="C7297" s="614" t="s">
        <v>4214</v>
      </c>
      <c r="D7297" s="606" t="s">
        <v>4133</v>
      </c>
      <c r="E7297" s="606" t="n">
        <v>0.07</v>
      </c>
      <c r="F7297" s="361" t="n">
        <v>35000</v>
      </c>
      <c r="G7297" s="615" t="n">
        <f aca="false">F7297*E7297</f>
        <v>2450</v>
      </c>
      <c r="H7297" s="606"/>
    </row>
    <row r="7298" customFormat="false" ht="15" hidden="false" customHeight="false" outlineLevel="0" collapsed="false">
      <c r="A7298" s="571"/>
      <c r="B7298" s="433"/>
      <c r="C7298" s="614" t="s">
        <v>5357</v>
      </c>
      <c r="D7298" s="606" t="s">
        <v>4133</v>
      </c>
      <c r="E7298" s="606" t="n">
        <v>0.0002</v>
      </c>
      <c r="F7298" s="361" t="n">
        <v>590000</v>
      </c>
      <c r="G7298" s="615" t="n">
        <f aca="false">F7298*E7298</f>
        <v>118</v>
      </c>
      <c r="H7298" s="606"/>
    </row>
    <row r="7299" customFormat="false" ht="15" hidden="false" customHeight="false" outlineLevel="0" collapsed="false">
      <c r="A7299" s="571"/>
      <c r="B7299" s="433"/>
      <c r="C7299" s="614" t="s">
        <v>4154</v>
      </c>
      <c r="D7299" s="606" t="s">
        <v>4359</v>
      </c>
      <c r="E7299" s="606" t="n">
        <v>0.1</v>
      </c>
      <c r="F7299" s="361" t="n">
        <v>5800</v>
      </c>
      <c r="G7299" s="615" t="n">
        <f aca="false">F7299*E7299</f>
        <v>580</v>
      </c>
      <c r="H7299" s="606"/>
    </row>
    <row r="7300" customFormat="false" ht="15" hidden="false" customHeight="false" outlineLevel="0" collapsed="false">
      <c r="A7300" s="571"/>
      <c r="B7300" s="433"/>
      <c r="C7300" s="614" t="s">
        <v>4515</v>
      </c>
      <c r="D7300" s="606" t="s">
        <v>4133</v>
      </c>
      <c r="E7300" s="606" t="n">
        <v>0.0001</v>
      </c>
      <c r="F7300" s="361" t="n">
        <v>3500</v>
      </c>
      <c r="G7300" s="615" t="n">
        <f aca="false">F7300*E7300</f>
        <v>0.35</v>
      </c>
      <c r="H7300" s="606"/>
    </row>
    <row r="7301" customFormat="false" ht="15" hidden="false" customHeight="false" outlineLevel="0" collapsed="false">
      <c r="A7301" s="571"/>
      <c r="B7301" s="433"/>
      <c r="C7301" s="909" t="s">
        <v>4124</v>
      </c>
      <c r="D7301" s="606" t="s">
        <v>4516</v>
      </c>
      <c r="E7301" s="606" t="n">
        <v>0.5</v>
      </c>
      <c r="F7301" s="361" t="n">
        <v>80</v>
      </c>
      <c r="G7301" s="615" t="n">
        <f aca="false">F7301*E7301</f>
        <v>40</v>
      </c>
      <c r="H7301" s="606"/>
    </row>
    <row r="7302" customFormat="false" ht="15" hidden="false" customHeight="false" outlineLevel="0" collapsed="false">
      <c r="A7302" s="571"/>
      <c r="B7302" s="433"/>
      <c r="C7302" s="614" t="s">
        <v>4239</v>
      </c>
      <c r="D7302" s="606" t="s">
        <v>4133</v>
      </c>
      <c r="E7302" s="606" t="n">
        <v>0.04</v>
      </c>
      <c r="F7302" s="361" t="n">
        <v>2500</v>
      </c>
      <c r="G7302" s="615" t="n">
        <f aca="false">F7302*E7302</f>
        <v>100</v>
      </c>
      <c r="H7302" s="606"/>
    </row>
    <row r="7303" customFormat="false" ht="15" hidden="false" customHeight="false" outlineLevel="0" collapsed="false">
      <c r="A7303" s="571"/>
      <c r="B7303" s="433"/>
      <c r="C7303" s="614" t="s">
        <v>4742</v>
      </c>
      <c r="D7303" s="606" t="s">
        <v>4133</v>
      </c>
      <c r="E7303" s="606" t="n">
        <v>0.1</v>
      </c>
      <c r="F7303" s="361" t="n">
        <v>3000</v>
      </c>
      <c r="G7303" s="615" t="n">
        <f aca="false">F7303*E7303</f>
        <v>300</v>
      </c>
      <c r="H7303" s="606"/>
    </row>
    <row r="7304" customFormat="false" ht="15" hidden="false" customHeight="false" outlineLevel="0" collapsed="false">
      <c r="A7304" s="571"/>
      <c r="B7304" s="433"/>
      <c r="C7304" s="614" t="s">
        <v>4270</v>
      </c>
      <c r="D7304" s="606" t="s">
        <v>4359</v>
      </c>
      <c r="E7304" s="606" t="n">
        <v>0.008</v>
      </c>
      <c r="F7304" s="361" t="n">
        <v>900</v>
      </c>
      <c r="G7304" s="615" t="n">
        <f aca="false">F7304*E7304</f>
        <v>7.2</v>
      </c>
      <c r="H7304" s="606"/>
    </row>
    <row r="7305" customFormat="false" ht="15" hidden="false" customHeight="false" outlineLevel="0" collapsed="false">
      <c r="A7305" s="571"/>
      <c r="B7305" s="433"/>
      <c r="C7305" s="614" t="s">
        <v>4122</v>
      </c>
      <c r="D7305" s="606" t="s">
        <v>4359</v>
      </c>
      <c r="E7305" s="606" t="n">
        <v>0.01</v>
      </c>
      <c r="F7305" s="361" t="n">
        <v>720</v>
      </c>
      <c r="G7305" s="615" t="n">
        <f aca="false">F7305*E7305</f>
        <v>7.2</v>
      </c>
      <c r="H7305" s="606"/>
    </row>
    <row r="7306" customFormat="false" ht="15" hidden="false" customHeight="false" outlineLevel="0" collapsed="false">
      <c r="A7306" s="571"/>
      <c r="B7306" s="433"/>
      <c r="C7306" s="614" t="s">
        <v>5341</v>
      </c>
      <c r="D7306" s="606" t="s">
        <v>5349</v>
      </c>
      <c r="E7306" s="912" t="n">
        <v>0.005</v>
      </c>
      <c r="F7306" s="361" t="n">
        <v>1500</v>
      </c>
      <c r="G7306" s="615" t="n">
        <f aca="false">F7306*E7306</f>
        <v>7.5</v>
      </c>
      <c r="H7306" s="606"/>
    </row>
    <row r="7307" customFormat="false" ht="30" hidden="false" customHeight="false" outlineLevel="0" collapsed="false">
      <c r="A7307" s="571" t="s">
        <v>1266</v>
      </c>
      <c r="B7307" s="433" t="s">
        <v>3390</v>
      </c>
      <c r="C7307" s="476"/>
      <c r="D7307" s="820"/>
      <c r="E7307" s="820"/>
      <c r="F7307" s="361"/>
      <c r="G7307" s="826" t="n">
        <f aca="false">SUM(G7308:G7326)</f>
        <v>5739.4</v>
      </c>
      <c r="H7307" s="606"/>
    </row>
    <row r="7308" customFormat="false" ht="15" hidden="false" customHeight="false" outlineLevel="0" collapsed="false">
      <c r="A7308" s="571"/>
      <c r="B7308" s="433"/>
      <c r="C7308" s="614" t="s">
        <v>4225</v>
      </c>
      <c r="D7308" s="606" t="s">
        <v>4133</v>
      </c>
      <c r="E7308" s="606" t="n">
        <v>0.08</v>
      </c>
      <c r="F7308" s="361" t="n">
        <v>800</v>
      </c>
      <c r="G7308" s="615" t="n">
        <f aca="false">F7308*E7308</f>
        <v>64</v>
      </c>
      <c r="H7308" s="606"/>
    </row>
    <row r="7309" customFormat="false" ht="15" hidden="false" customHeight="false" outlineLevel="0" collapsed="false">
      <c r="A7309" s="571"/>
      <c r="B7309" s="433"/>
      <c r="C7309" s="614" t="s">
        <v>4189</v>
      </c>
      <c r="D7309" s="606" t="s">
        <v>4359</v>
      </c>
      <c r="E7309" s="606" t="n">
        <v>0.0006</v>
      </c>
      <c r="F7309" s="361" t="n">
        <v>130000</v>
      </c>
      <c r="G7309" s="615" t="n">
        <f aca="false">F7309*E7309</f>
        <v>78</v>
      </c>
      <c r="H7309" s="606"/>
    </row>
    <row r="7310" customFormat="false" ht="15" hidden="false" customHeight="false" outlineLevel="0" collapsed="false">
      <c r="A7310" s="571"/>
      <c r="B7310" s="433"/>
      <c r="C7310" s="614" t="s">
        <v>4147</v>
      </c>
      <c r="D7310" s="606" t="s">
        <v>4359</v>
      </c>
      <c r="E7310" s="606" t="n">
        <v>0.05</v>
      </c>
      <c r="F7310" s="361" t="n">
        <v>1300</v>
      </c>
      <c r="G7310" s="615" t="n">
        <f aca="false">F7310*E7310</f>
        <v>65</v>
      </c>
      <c r="H7310" s="606"/>
    </row>
    <row r="7311" customFormat="false" ht="30" hidden="false" customHeight="false" outlineLevel="0" collapsed="false">
      <c r="A7311" s="571"/>
      <c r="B7311" s="433"/>
      <c r="C7311" s="614" t="s">
        <v>5351</v>
      </c>
      <c r="D7311" s="606" t="s">
        <v>4133</v>
      </c>
      <c r="E7311" s="606" t="n">
        <v>0.0025</v>
      </c>
      <c r="F7311" s="361" t="n">
        <v>78100</v>
      </c>
      <c r="G7311" s="615" t="n">
        <f aca="false">F7311*E7311</f>
        <v>195.25</v>
      </c>
      <c r="H7311" s="606"/>
    </row>
    <row r="7312" customFormat="false" ht="30" hidden="false" customHeight="false" outlineLevel="0" collapsed="false">
      <c r="A7312" s="571"/>
      <c r="B7312" s="433"/>
      <c r="C7312" s="614" t="s">
        <v>5352</v>
      </c>
      <c r="D7312" s="606" t="s">
        <v>4133</v>
      </c>
      <c r="E7312" s="606" t="n">
        <v>0.03</v>
      </c>
      <c r="F7312" s="361" t="n">
        <v>25500</v>
      </c>
      <c r="G7312" s="615" t="n">
        <f aca="false">F7312*E7312</f>
        <v>765</v>
      </c>
      <c r="H7312" s="606"/>
    </row>
    <row r="7313" customFormat="false" ht="15" hidden="false" customHeight="false" outlineLevel="0" collapsed="false">
      <c r="A7313" s="571"/>
      <c r="B7313" s="433"/>
      <c r="C7313" s="614" t="s">
        <v>4545</v>
      </c>
      <c r="D7313" s="606" t="s">
        <v>4133</v>
      </c>
      <c r="E7313" s="606" t="n">
        <v>0.02</v>
      </c>
      <c r="F7313" s="361" t="n">
        <v>2500</v>
      </c>
      <c r="G7313" s="615" t="n">
        <f aca="false">F7313*E7313</f>
        <v>50</v>
      </c>
      <c r="H7313" s="606"/>
    </row>
    <row r="7314" customFormat="false" ht="30" hidden="false" customHeight="false" outlineLevel="0" collapsed="false">
      <c r="A7314" s="571"/>
      <c r="B7314" s="433"/>
      <c r="C7314" s="614" t="s">
        <v>5353</v>
      </c>
      <c r="D7314" s="606" t="s">
        <v>4133</v>
      </c>
      <c r="E7314" s="606" t="n">
        <v>0.001</v>
      </c>
      <c r="F7314" s="361" t="n">
        <v>78100</v>
      </c>
      <c r="G7314" s="615" t="n">
        <f aca="false">F7314*E7314</f>
        <v>78.1</v>
      </c>
      <c r="H7314" s="606"/>
    </row>
    <row r="7315" customFormat="false" ht="30" hidden="false" customHeight="false" outlineLevel="0" collapsed="false">
      <c r="A7315" s="571"/>
      <c r="B7315" s="433"/>
      <c r="C7315" s="614" t="s">
        <v>5354</v>
      </c>
      <c r="D7315" s="606" t="s">
        <v>4133</v>
      </c>
      <c r="E7315" s="606" t="n">
        <v>0.06</v>
      </c>
      <c r="F7315" s="361" t="n">
        <v>3000</v>
      </c>
      <c r="G7315" s="615" t="n">
        <f aca="false">F7315*E7315</f>
        <v>180</v>
      </c>
      <c r="H7315" s="606"/>
    </row>
    <row r="7316" customFormat="false" ht="30" hidden="false" customHeight="false" outlineLevel="0" collapsed="false">
      <c r="A7316" s="571"/>
      <c r="B7316" s="433"/>
      <c r="C7316" s="614" t="s">
        <v>5355</v>
      </c>
      <c r="D7316" s="606" t="s">
        <v>4133</v>
      </c>
      <c r="E7316" s="606" t="n">
        <v>0.06</v>
      </c>
      <c r="F7316" s="361" t="n">
        <v>3000</v>
      </c>
      <c r="G7316" s="615" t="n">
        <f aca="false">F7316*E7316</f>
        <v>180</v>
      </c>
      <c r="H7316" s="606"/>
    </row>
    <row r="7317" customFormat="false" ht="15" hidden="false" customHeight="false" outlineLevel="0" collapsed="false">
      <c r="A7317" s="571"/>
      <c r="B7317" s="433"/>
      <c r="C7317" s="614" t="s">
        <v>4214</v>
      </c>
      <c r="D7317" s="606" t="s">
        <v>4133</v>
      </c>
      <c r="E7317" s="606" t="n">
        <v>0.07</v>
      </c>
      <c r="F7317" s="361" t="n">
        <v>35000</v>
      </c>
      <c r="G7317" s="615" t="n">
        <f aca="false">F7317*E7317</f>
        <v>2450</v>
      </c>
      <c r="H7317" s="606"/>
    </row>
    <row r="7318" customFormat="false" ht="15" hidden="false" customHeight="false" outlineLevel="0" collapsed="false">
      <c r="A7318" s="571"/>
      <c r="B7318" s="433"/>
      <c r="C7318" s="614" t="s">
        <v>5357</v>
      </c>
      <c r="D7318" s="606" t="s">
        <v>4133</v>
      </c>
      <c r="E7318" s="606" t="n">
        <v>0.0001</v>
      </c>
      <c r="F7318" s="361" t="n">
        <v>590000</v>
      </c>
      <c r="G7318" s="615" t="n">
        <f aca="false">F7318*E7318</f>
        <v>59</v>
      </c>
      <c r="H7318" s="606"/>
    </row>
    <row r="7319" customFormat="false" ht="15" hidden="false" customHeight="false" outlineLevel="0" collapsed="false">
      <c r="A7319" s="571"/>
      <c r="B7319" s="433"/>
      <c r="C7319" s="614" t="s">
        <v>4515</v>
      </c>
      <c r="D7319" s="606" t="s">
        <v>4133</v>
      </c>
      <c r="E7319" s="606" t="n">
        <v>0.0001</v>
      </c>
      <c r="F7319" s="361" t="n">
        <v>3500</v>
      </c>
      <c r="G7319" s="615" t="n">
        <f aca="false">F7319*E7319</f>
        <v>0.35</v>
      </c>
      <c r="H7319" s="606"/>
    </row>
    <row r="7320" customFormat="false" ht="15" hidden="false" customHeight="false" outlineLevel="0" collapsed="false">
      <c r="A7320" s="571"/>
      <c r="B7320" s="433"/>
      <c r="C7320" s="909" t="s">
        <v>4124</v>
      </c>
      <c r="D7320" s="606" t="s">
        <v>4516</v>
      </c>
      <c r="E7320" s="606" t="n">
        <v>0.5</v>
      </c>
      <c r="F7320" s="361" t="n">
        <v>80</v>
      </c>
      <c r="G7320" s="615" t="n">
        <f aca="false">F7320*E7320</f>
        <v>40</v>
      </c>
      <c r="H7320" s="606"/>
    </row>
    <row r="7321" customFormat="false" ht="15" hidden="false" customHeight="false" outlineLevel="0" collapsed="false">
      <c r="A7321" s="571"/>
      <c r="B7321" s="433"/>
      <c r="C7321" s="614" t="s">
        <v>4393</v>
      </c>
      <c r="D7321" s="606" t="s">
        <v>4133</v>
      </c>
      <c r="E7321" s="606" t="n">
        <v>0.11</v>
      </c>
      <c r="F7321" s="361" t="n">
        <v>3500</v>
      </c>
      <c r="G7321" s="615" t="n">
        <f aca="false">F7321*E7321</f>
        <v>385</v>
      </c>
      <c r="H7321" s="606"/>
    </row>
    <row r="7322" customFormat="false" ht="15" hidden="false" customHeight="false" outlineLevel="0" collapsed="false">
      <c r="A7322" s="571"/>
      <c r="B7322" s="433"/>
      <c r="C7322" s="614" t="s">
        <v>5360</v>
      </c>
      <c r="D7322" s="606" t="s">
        <v>4133</v>
      </c>
      <c r="E7322" s="606" t="n">
        <v>0.001</v>
      </c>
      <c r="F7322" s="361" t="n">
        <v>765000</v>
      </c>
      <c r="G7322" s="615" t="n">
        <f aca="false">F7322*E7322</f>
        <v>765</v>
      </c>
      <c r="H7322" s="606"/>
    </row>
    <row r="7323" customFormat="false" ht="15" hidden="false" customHeight="false" outlineLevel="0" collapsed="false">
      <c r="A7323" s="571"/>
      <c r="B7323" s="433"/>
      <c r="C7323" s="614" t="s">
        <v>4239</v>
      </c>
      <c r="D7323" s="606" t="s">
        <v>4133</v>
      </c>
      <c r="E7323" s="606" t="n">
        <v>0.04</v>
      </c>
      <c r="F7323" s="361" t="n">
        <v>2500</v>
      </c>
      <c r="G7323" s="615" t="n">
        <f aca="false">F7323*E7323</f>
        <v>100</v>
      </c>
      <c r="H7323" s="606"/>
    </row>
    <row r="7324" customFormat="false" ht="15" hidden="false" customHeight="false" outlineLevel="0" collapsed="false">
      <c r="A7324" s="571"/>
      <c r="B7324" s="433"/>
      <c r="C7324" s="614" t="s">
        <v>4742</v>
      </c>
      <c r="D7324" s="606" t="s">
        <v>4133</v>
      </c>
      <c r="E7324" s="606" t="n">
        <v>0.08</v>
      </c>
      <c r="F7324" s="361" t="n">
        <v>3000</v>
      </c>
      <c r="G7324" s="615" t="n">
        <f aca="false">F7324*E7324</f>
        <v>240</v>
      </c>
      <c r="H7324" s="606"/>
    </row>
    <row r="7325" customFormat="false" ht="15" hidden="false" customHeight="false" outlineLevel="0" collapsed="false">
      <c r="A7325" s="571"/>
      <c r="B7325" s="433"/>
      <c r="C7325" s="614" t="s">
        <v>4270</v>
      </c>
      <c r="D7325" s="606" t="s">
        <v>4359</v>
      </c>
      <c r="E7325" s="606" t="n">
        <v>0.008</v>
      </c>
      <c r="F7325" s="361" t="n">
        <v>900</v>
      </c>
      <c r="G7325" s="615" t="n">
        <f aca="false">F7325*E7325</f>
        <v>7.2</v>
      </c>
      <c r="H7325" s="606"/>
    </row>
    <row r="7326" customFormat="false" ht="15" hidden="false" customHeight="false" outlineLevel="0" collapsed="false">
      <c r="A7326" s="571"/>
      <c r="B7326" s="433"/>
      <c r="C7326" s="614" t="s">
        <v>5361</v>
      </c>
      <c r="D7326" s="606" t="s">
        <v>4133</v>
      </c>
      <c r="E7326" s="606" t="n">
        <v>0.003</v>
      </c>
      <c r="F7326" s="361" t="n">
        <v>12500</v>
      </c>
      <c r="G7326" s="615" t="n">
        <f aca="false">F7326*E7326</f>
        <v>37.5</v>
      </c>
      <c r="H7326" s="606"/>
    </row>
    <row r="7327" customFormat="false" ht="30" hidden="false" customHeight="false" outlineLevel="0" collapsed="false">
      <c r="A7327" s="571" t="s">
        <v>1268</v>
      </c>
      <c r="B7327" s="433" t="s">
        <v>3391</v>
      </c>
      <c r="C7327" s="476"/>
      <c r="D7327" s="820"/>
      <c r="E7327" s="820"/>
      <c r="F7327" s="361"/>
      <c r="G7327" s="826" t="n">
        <f aca="false">SUM(G7328:G7342)</f>
        <v>5459.2</v>
      </c>
      <c r="H7327" s="606"/>
    </row>
    <row r="7328" customFormat="false" ht="15" hidden="false" customHeight="false" outlineLevel="0" collapsed="false">
      <c r="A7328" s="571"/>
      <c r="B7328" s="433"/>
      <c r="C7328" s="614" t="s">
        <v>4225</v>
      </c>
      <c r="D7328" s="606" t="s">
        <v>4133</v>
      </c>
      <c r="E7328" s="606" t="n">
        <v>0.08</v>
      </c>
      <c r="F7328" s="361" t="n">
        <v>800</v>
      </c>
      <c r="G7328" s="615" t="n">
        <f aca="false">F7328*E7328</f>
        <v>64</v>
      </c>
      <c r="H7328" s="606"/>
    </row>
    <row r="7329" customFormat="false" ht="15" hidden="false" customHeight="false" outlineLevel="0" collapsed="false">
      <c r="A7329" s="571"/>
      <c r="B7329" s="433"/>
      <c r="C7329" s="614" t="s">
        <v>4189</v>
      </c>
      <c r="D7329" s="606" t="s">
        <v>4359</v>
      </c>
      <c r="E7329" s="606" t="n">
        <v>0.0006</v>
      </c>
      <c r="F7329" s="361" t="n">
        <v>130000</v>
      </c>
      <c r="G7329" s="615" t="n">
        <f aca="false">F7329*E7329</f>
        <v>78</v>
      </c>
      <c r="H7329" s="606"/>
    </row>
    <row r="7330" customFormat="false" ht="30" hidden="false" customHeight="false" outlineLevel="0" collapsed="false">
      <c r="A7330" s="571"/>
      <c r="B7330" s="433"/>
      <c r="C7330" s="614" t="s">
        <v>5351</v>
      </c>
      <c r="D7330" s="606" t="s">
        <v>4133</v>
      </c>
      <c r="E7330" s="606" t="n">
        <v>0.0015</v>
      </c>
      <c r="F7330" s="361" t="n">
        <v>78100</v>
      </c>
      <c r="G7330" s="615" t="n">
        <f aca="false">F7330*E7330</f>
        <v>117.15</v>
      </c>
      <c r="H7330" s="606"/>
    </row>
    <row r="7331" customFormat="false" ht="30" hidden="false" customHeight="false" outlineLevel="0" collapsed="false">
      <c r="A7331" s="571"/>
      <c r="B7331" s="433"/>
      <c r="C7331" s="614" t="s">
        <v>5352</v>
      </c>
      <c r="D7331" s="606" t="s">
        <v>4133</v>
      </c>
      <c r="E7331" s="606" t="n">
        <v>0.06</v>
      </c>
      <c r="F7331" s="361" t="n">
        <v>25500</v>
      </c>
      <c r="G7331" s="615" t="n">
        <f aca="false">F7331*E7331</f>
        <v>1530</v>
      </c>
      <c r="H7331" s="606"/>
    </row>
    <row r="7332" customFormat="false" ht="15" hidden="false" customHeight="false" outlineLevel="0" collapsed="false">
      <c r="A7332" s="571"/>
      <c r="B7332" s="433"/>
      <c r="C7332" s="614" t="s">
        <v>4545</v>
      </c>
      <c r="D7332" s="606" t="s">
        <v>4133</v>
      </c>
      <c r="E7332" s="606" t="n">
        <v>0.02</v>
      </c>
      <c r="F7332" s="361" t="n">
        <v>2500</v>
      </c>
      <c r="G7332" s="615" t="n">
        <f aca="false">F7332*E7332</f>
        <v>50</v>
      </c>
      <c r="H7332" s="606"/>
    </row>
    <row r="7333" customFormat="false" ht="30" hidden="false" customHeight="false" outlineLevel="0" collapsed="false">
      <c r="A7333" s="571"/>
      <c r="B7333" s="433"/>
      <c r="C7333" s="614" t="s">
        <v>5354</v>
      </c>
      <c r="D7333" s="606" t="s">
        <v>4133</v>
      </c>
      <c r="E7333" s="606" t="n">
        <v>0.06</v>
      </c>
      <c r="F7333" s="361" t="n">
        <v>3000</v>
      </c>
      <c r="G7333" s="615" t="n">
        <f aca="false">F7333*E7333</f>
        <v>180</v>
      </c>
      <c r="H7333" s="606"/>
    </row>
    <row r="7334" customFormat="false" ht="30" hidden="false" customHeight="false" outlineLevel="0" collapsed="false">
      <c r="A7334" s="571"/>
      <c r="B7334" s="433"/>
      <c r="C7334" s="614" t="s">
        <v>5355</v>
      </c>
      <c r="D7334" s="606" t="s">
        <v>4133</v>
      </c>
      <c r="E7334" s="606" t="n">
        <v>0.06</v>
      </c>
      <c r="F7334" s="361" t="n">
        <v>3000</v>
      </c>
      <c r="G7334" s="615" t="n">
        <f aca="false">F7334*E7334</f>
        <v>180</v>
      </c>
      <c r="H7334" s="606"/>
    </row>
    <row r="7335" customFormat="false" ht="15" hidden="false" customHeight="false" outlineLevel="0" collapsed="false">
      <c r="A7335" s="571"/>
      <c r="B7335" s="433"/>
      <c r="C7335" s="614" t="s">
        <v>4214</v>
      </c>
      <c r="D7335" s="606" t="s">
        <v>4133</v>
      </c>
      <c r="E7335" s="606" t="n">
        <v>0.07</v>
      </c>
      <c r="F7335" s="361" t="n">
        <v>35000</v>
      </c>
      <c r="G7335" s="615" t="n">
        <f aca="false">F7335*E7335</f>
        <v>2450</v>
      </c>
      <c r="H7335" s="606"/>
    </row>
    <row r="7336" customFormat="false" ht="15" hidden="false" customHeight="false" outlineLevel="0" collapsed="false">
      <c r="A7336" s="571"/>
      <c r="B7336" s="433"/>
      <c r="C7336" s="614" t="s">
        <v>4515</v>
      </c>
      <c r="D7336" s="606" t="s">
        <v>4133</v>
      </c>
      <c r="E7336" s="606" t="n">
        <v>0.0001</v>
      </c>
      <c r="F7336" s="361" t="n">
        <v>3500</v>
      </c>
      <c r="G7336" s="615" t="n">
        <f aca="false">F7336*E7336</f>
        <v>0.35</v>
      </c>
      <c r="H7336" s="606"/>
    </row>
    <row r="7337" customFormat="false" ht="15" hidden="false" customHeight="false" outlineLevel="0" collapsed="false">
      <c r="A7337" s="571"/>
      <c r="B7337" s="433"/>
      <c r="C7337" s="909" t="s">
        <v>4124</v>
      </c>
      <c r="D7337" s="606" t="s">
        <v>4516</v>
      </c>
      <c r="E7337" s="606" t="n">
        <v>0.5</v>
      </c>
      <c r="F7337" s="361" t="n">
        <v>80</v>
      </c>
      <c r="G7337" s="615" t="n">
        <f aca="false">F7337*E7337</f>
        <v>40</v>
      </c>
      <c r="H7337" s="606"/>
    </row>
    <row r="7338" customFormat="false" ht="15" hidden="false" customHeight="false" outlineLevel="0" collapsed="false">
      <c r="A7338" s="571"/>
      <c r="B7338" s="433"/>
      <c r="C7338" s="614" t="s">
        <v>4393</v>
      </c>
      <c r="D7338" s="606" t="s">
        <v>4133</v>
      </c>
      <c r="E7338" s="606" t="n">
        <v>0.11</v>
      </c>
      <c r="F7338" s="361" t="n">
        <v>3500</v>
      </c>
      <c r="G7338" s="615" t="n">
        <f aca="false">F7338*E7338</f>
        <v>385</v>
      </c>
      <c r="H7338" s="606"/>
    </row>
    <row r="7339" customFormat="false" ht="15" hidden="false" customHeight="false" outlineLevel="0" collapsed="false">
      <c r="A7339" s="571"/>
      <c r="B7339" s="433"/>
      <c r="C7339" s="614" t="s">
        <v>4239</v>
      </c>
      <c r="D7339" s="606" t="s">
        <v>4133</v>
      </c>
      <c r="E7339" s="606" t="n">
        <v>0.04</v>
      </c>
      <c r="F7339" s="361" t="n">
        <v>2500</v>
      </c>
      <c r="G7339" s="615" t="n">
        <f aca="false">F7339*E7339</f>
        <v>100</v>
      </c>
      <c r="H7339" s="606"/>
    </row>
    <row r="7340" customFormat="false" ht="15" hidden="false" customHeight="false" outlineLevel="0" collapsed="false">
      <c r="A7340" s="571"/>
      <c r="B7340" s="433"/>
      <c r="C7340" s="614" t="s">
        <v>4742</v>
      </c>
      <c r="D7340" s="606" t="s">
        <v>4133</v>
      </c>
      <c r="E7340" s="606" t="n">
        <v>0.08</v>
      </c>
      <c r="F7340" s="361" t="n">
        <v>3000</v>
      </c>
      <c r="G7340" s="615" t="n">
        <f aca="false">F7340*E7340</f>
        <v>240</v>
      </c>
      <c r="H7340" s="606"/>
    </row>
    <row r="7341" customFormat="false" ht="15" hidden="false" customHeight="false" outlineLevel="0" collapsed="false">
      <c r="A7341" s="571"/>
      <c r="B7341" s="433"/>
      <c r="C7341" s="614" t="s">
        <v>4270</v>
      </c>
      <c r="D7341" s="606" t="s">
        <v>4359</v>
      </c>
      <c r="E7341" s="606" t="n">
        <v>0.008</v>
      </c>
      <c r="F7341" s="361" t="n">
        <v>900</v>
      </c>
      <c r="G7341" s="615" t="n">
        <f aca="false">F7341*E7341</f>
        <v>7.2</v>
      </c>
      <c r="H7341" s="606"/>
    </row>
    <row r="7342" customFormat="false" ht="15" hidden="false" customHeight="false" outlineLevel="0" collapsed="false">
      <c r="A7342" s="571"/>
      <c r="B7342" s="433"/>
      <c r="C7342" s="614" t="s">
        <v>5361</v>
      </c>
      <c r="D7342" s="606" t="s">
        <v>4133</v>
      </c>
      <c r="E7342" s="606" t="n">
        <v>0.003</v>
      </c>
      <c r="F7342" s="361" t="n">
        <v>12500</v>
      </c>
      <c r="G7342" s="615" t="n">
        <f aca="false">F7342*E7342</f>
        <v>37.5</v>
      </c>
      <c r="H7342" s="606"/>
    </row>
    <row r="7343" customFormat="false" ht="30" hidden="false" customHeight="false" outlineLevel="0" collapsed="false">
      <c r="A7343" s="571" t="s">
        <v>1270</v>
      </c>
      <c r="B7343" s="433" t="s">
        <v>3392</v>
      </c>
      <c r="C7343" s="614"/>
      <c r="D7343" s="606"/>
      <c r="E7343" s="622"/>
      <c r="F7343" s="361"/>
      <c r="G7343" s="826" t="n">
        <f aca="false">SUM(G7344:G7354)</f>
        <v>497.15</v>
      </c>
      <c r="H7343" s="606"/>
    </row>
    <row r="7344" customFormat="false" ht="30" hidden="false" customHeight="false" outlineLevel="0" collapsed="false">
      <c r="A7344" s="571"/>
      <c r="B7344" s="433"/>
      <c r="C7344" s="614" t="s">
        <v>5381</v>
      </c>
      <c r="D7344" s="606" t="s">
        <v>4359</v>
      </c>
      <c r="E7344" s="622" t="n">
        <v>0.001</v>
      </c>
      <c r="F7344" s="361" t="n">
        <v>78100</v>
      </c>
      <c r="G7344" s="615" t="n">
        <f aca="false">F7344*E7344</f>
        <v>78.1</v>
      </c>
      <c r="H7344" s="606"/>
    </row>
    <row r="7345" customFormat="false" ht="30" hidden="false" customHeight="false" outlineLevel="0" collapsed="false">
      <c r="A7345" s="571"/>
      <c r="B7345" s="433"/>
      <c r="C7345" s="614" t="s">
        <v>5382</v>
      </c>
      <c r="D7345" s="606" t="s">
        <v>4359</v>
      </c>
      <c r="E7345" s="622" t="n">
        <v>0.001</v>
      </c>
      <c r="F7345" s="361" t="n">
        <v>55000</v>
      </c>
      <c r="G7345" s="615" t="n">
        <f aca="false">F7345*E7345</f>
        <v>55</v>
      </c>
      <c r="H7345" s="606"/>
    </row>
    <row r="7346" customFormat="false" ht="15" hidden="false" customHeight="false" outlineLevel="0" collapsed="false">
      <c r="A7346" s="571"/>
      <c r="B7346" s="433"/>
      <c r="C7346" s="614" t="s">
        <v>4339</v>
      </c>
      <c r="D7346" s="606" t="s">
        <v>4133</v>
      </c>
      <c r="E7346" s="622" t="n">
        <v>0.0005</v>
      </c>
      <c r="F7346" s="361" t="n">
        <v>65000</v>
      </c>
      <c r="G7346" s="615" t="n">
        <f aca="false">F7346*E7346</f>
        <v>32.5</v>
      </c>
      <c r="H7346" s="606"/>
    </row>
    <row r="7347" customFormat="false" ht="15" hidden="false" customHeight="false" outlineLevel="0" collapsed="false">
      <c r="A7347" s="571"/>
      <c r="B7347" s="433"/>
      <c r="C7347" s="614" t="s">
        <v>4264</v>
      </c>
      <c r="D7347" s="606" t="s">
        <v>4359</v>
      </c>
      <c r="E7347" s="622" t="n">
        <v>0.001</v>
      </c>
      <c r="F7347" s="361" t="n">
        <v>28000</v>
      </c>
      <c r="G7347" s="615" t="n">
        <f aca="false">F7347*E7347</f>
        <v>28</v>
      </c>
      <c r="H7347" s="606"/>
    </row>
    <row r="7348" customFormat="false" ht="15" hidden="false" customHeight="false" outlineLevel="0" collapsed="false">
      <c r="A7348" s="571"/>
      <c r="B7348" s="433"/>
      <c r="C7348" s="614" t="s">
        <v>5383</v>
      </c>
      <c r="D7348" s="606" t="s">
        <v>4133</v>
      </c>
      <c r="E7348" s="622" t="n">
        <v>0.00025</v>
      </c>
      <c r="F7348" s="361" t="n">
        <v>750000</v>
      </c>
      <c r="G7348" s="615" t="n">
        <f aca="false">F7348*E7348</f>
        <v>187.5</v>
      </c>
      <c r="H7348" s="606"/>
    </row>
    <row r="7349" customFormat="false" ht="15" hidden="false" customHeight="false" outlineLevel="0" collapsed="false">
      <c r="A7349" s="571"/>
      <c r="B7349" s="433"/>
      <c r="C7349" s="614" t="s">
        <v>4154</v>
      </c>
      <c r="D7349" s="606" t="s">
        <v>4359</v>
      </c>
      <c r="E7349" s="622" t="n">
        <v>0.01</v>
      </c>
      <c r="F7349" s="361" t="n">
        <v>5800</v>
      </c>
      <c r="G7349" s="615" t="n">
        <f aca="false">F7349*E7349</f>
        <v>58</v>
      </c>
      <c r="H7349" s="606"/>
    </row>
    <row r="7350" customFormat="false" ht="15" hidden="false" customHeight="false" outlineLevel="0" collapsed="false">
      <c r="A7350" s="571"/>
      <c r="B7350" s="433"/>
      <c r="C7350" s="614" t="s">
        <v>4122</v>
      </c>
      <c r="D7350" s="606" t="s">
        <v>4359</v>
      </c>
      <c r="E7350" s="622" t="n">
        <v>0.01</v>
      </c>
      <c r="F7350" s="361" t="n">
        <v>720</v>
      </c>
      <c r="G7350" s="615" t="n">
        <f aca="false">F7350*E7350</f>
        <v>7.2</v>
      </c>
      <c r="H7350" s="606"/>
    </row>
    <row r="7351" customFormat="false" ht="15" hidden="false" customHeight="false" outlineLevel="0" collapsed="false">
      <c r="A7351" s="571"/>
      <c r="B7351" s="433"/>
      <c r="C7351" s="614" t="s">
        <v>4628</v>
      </c>
      <c r="D7351" s="606" t="s">
        <v>4359</v>
      </c>
      <c r="E7351" s="622" t="n">
        <v>0.01</v>
      </c>
      <c r="F7351" s="361" t="n">
        <v>900</v>
      </c>
      <c r="G7351" s="615" t="n">
        <f aca="false">F7351*E7351</f>
        <v>9</v>
      </c>
      <c r="H7351" s="606"/>
    </row>
    <row r="7352" customFormat="false" ht="15" hidden="false" customHeight="false" outlineLevel="0" collapsed="false">
      <c r="A7352" s="571"/>
      <c r="B7352" s="433"/>
      <c r="C7352" s="614" t="s">
        <v>4515</v>
      </c>
      <c r="D7352" s="606" t="s">
        <v>4133</v>
      </c>
      <c r="E7352" s="622" t="n">
        <v>0.0001</v>
      </c>
      <c r="F7352" s="361" t="n">
        <v>3500</v>
      </c>
      <c r="G7352" s="615" t="n">
        <f aca="false">F7352*E7352</f>
        <v>0.35</v>
      </c>
      <c r="H7352" s="606"/>
    </row>
    <row r="7353" customFormat="false" ht="15" hidden="false" customHeight="false" outlineLevel="0" collapsed="false">
      <c r="A7353" s="571"/>
      <c r="B7353" s="433"/>
      <c r="C7353" s="909" t="s">
        <v>4124</v>
      </c>
      <c r="D7353" s="606" t="s">
        <v>4516</v>
      </c>
      <c r="E7353" s="622" t="n">
        <v>0.5</v>
      </c>
      <c r="F7353" s="361" t="n">
        <v>80</v>
      </c>
      <c r="G7353" s="615" t="n">
        <f aca="false">F7353*E7353</f>
        <v>40</v>
      </c>
      <c r="H7353" s="606"/>
    </row>
    <row r="7354" customFormat="false" ht="15" hidden="false" customHeight="false" outlineLevel="0" collapsed="false">
      <c r="A7354" s="571"/>
      <c r="B7354" s="433"/>
      <c r="C7354" s="614" t="s">
        <v>5341</v>
      </c>
      <c r="D7354" s="606" t="s">
        <v>5349</v>
      </c>
      <c r="E7354" s="622" t="n">
        <v>0.001</v>
      </c>
      <c r="F7354" s="361" t="n">
        <v>1500</v>
      </c>
      <c r="G7354" s="615" t="n">
        <f aca="false">F7354*E7354</f>
        <v>1.5</v>
      </c>
      <c r="H7354" s="606"/>
    </row>
    <row r="7355" customFormat="false" ht="30" hidden="false" customHeight="false" outlineLevel="0" collapsed="false">
      <c r="A7355" s="571" t="s">
        <v>1272</v>
      </c>
      <c r="B7355" s="433" t="s">
        <v>3393</v>
      </c>
      <c r="C7355" s="910"/>
      <c r="D7355" s="606"/>
      <c r="E7355" s="622"/>
      <c r="F7355" s="361"/>
      <c r="G7355" s="826" t="n">
        <f aca="false">SUM(G7356:G7360)</f>
        <v>84.55</v>
      </c>
      <c r="H7355" s="606"/>
    </row>
    <row r="7356" customFormat="false" ht="15" hidden="false" customHeight="false" outlineLevel="0" collapsed="false">
      <c r="A7356" s="571"/>
      <c r="B7356" s="433"/>
      <c r="C7356" s="614" t="s">
        <v>5344</v>
      </c>
      <c r="D7356" s="606" t="s">
        <v>4141</v>
      </c>
      <c r="E7356" s="705" t="n">
        <v>0.001</v>
      </c>
      <c r="F7356" s="361" t="n">
        <v>29500</v>
      </c>
      <c r="G7356" s="615" t="n">
        <f aca="false">E7356*F7356</f>
        <v>29.5</v>
      </c>
      <c r="H7356" s="606"/>
    </row>
    <row r="7357" customFormat="false" ht="15" hidden="false" customHeight="false" outlineLevel="0" collapsed="false">
      <c r="A7357" s="571"/>
      <c r="B7357" s="433"/>
      <c r="C7357" s="614" t="s">
        <v>4122</v>
      </c>
      <c r="D7357" s="606" t="s">
        <v>4359</v>
      </c>
      <c r="E7357" s="606" t="n">
        <v>0.01</v>
      </c>
      <c r="F7357" s="361" t="n">
        <v>720</v>
      </c>
      <c r="G7357" s="615" t="n">
        <f aca="false">E7357*F7357</f>
        <v>7.2</v>
      </c>
      <c r="H7357" s="606"/>
    </row>
    <row r="7358" customFormat="false" ht="15" hidden="false" customHeight="false" outlineLevel="0" collapsed="false">
      <c r="A7358" s="571"/>
      <c r="B7358" s="433"/>
      <c r="C7358" s="614" t="s">
        <v>4515</v>
      </c>
      <c r="D7358" s="606" t="s">
        <v>4133</v>
      </c>
      <c r="E7358" s="606" t="n">
        <v>0.0001</v>
      </c>
      <c r="F7358" s="361" t="n">
        <v>3500</v>
      </c>
      <c r="G7358" s="615" t="n">
        <f aca="false">E7358*F7358</f>
        <v>0.35</v>
      </c>
      <c r="H7358" s="606"/>
    </row>
    <row r="7359" customFormat="false" ht="15" hidden="false" customHeight="false" outlineLevel="0" collapsed="false">
      <c r="A7359" s="571"/>
      <c r="B7359" s="433"/>
      <c r="C7359" s="909" t="s">
        <v>4124</v>
      </c>
      <c r="D7359" s="606" t="s">
        <v>4516</v>
      </c>
      <c r="E7359" s="606" t="n">
        <v>0.5</v>
      </c>
      <c r="F7359" s="361" t="n">
        <v>80</v>
      </c>
      <c r="G7359" s="615" t="n">
        <f aca="false">E7359*F7359</f>
        <v>40</v>
      </c>
      <c r="H7359" s="606"/>
    </row>
    <row r="7360" customFormat="false" ht="15" hidden="false" customHeight="false" outlineLevel="0" collapsed="false">
      <c r="A7360" s="571"/>
      <c r="B7360" s="433"/>
      <c r="C7360" s="614" t="s">
        <v>5341</v>
      </c>
      <c r="D7360" s="606" t="s">
        <v>5342</v>
      </c>
      <c r="E7360" s="606" t="n">
        <v>0.005</v>
      </c>
      <c r="F7360" s="361" t="n">
        <v>1500</v>
      </c>
      <c r="G7360" s="615" t="n">
        <f aca="false">E7360*F7360</f>
        <v>7.5</v>
      </c>
      <c r="H7360" s="606"/>
    </row>
    <row r="7361" customFormat="false" ht="15" hidden="false" customHeight="false" outlineLevel="0" collapsed="false">
      <c r="A7361" s="571" t="s">
        <v>1274</v>
      </c>
      <c r="B7361" s="433" t="s">
        <v>3394</v>
      </c>
      <c r="C7361" s="910"/>
      <c r="D7361" s="606"/>
      <c r="E7361" s="622"/>
      <c r="F7361" s="361"/>
      <c r="G7361" s="826" t="n">
        <f aca="false">SUM(G7362:G7365)</f>
        <v>83.85</v>
      </c>
      <c r="H7361" s="606"/>
    </row>
    <row r="7362" customFormat="false" ht="15" hidden="false" customHeight="false" outlineLevel="0" collapsed="false">
      <c r="A7362" s="571"/>
      <c r="B7362" s="433"/>
      <c r="C7362" s="614" t="s">
        <v>4122</v>
      </c>
      <c r="D7362" s="606" t="s">
        <v>4359</v>
      </c>
      <c r="E7362" s="606" t="n">
        <v>0.05</v>
      </c>
      <c r="F7362" s="361" t="n">
        <v>720</v>
      </c>
      <c r="G7362" s="615" t="n">
        <f aca="false">E7362*F7362</f>
        <v>36</v>
      </c>
      <c r="H7362" s="606"/>
    </row>
    <row r="7363" customFormat="false" ht="15" hidden="false" customHeight="false" outlineLevel="0" collapsed="false">
      <c r="A7363" s="571"/>
      <c r="B7363" s="433"/>
      <c r="C7363" s="614" t="s">
        <v>4515</v>
      </c>
      <c r="D7363" s="606" t="s">
        <v>4133</v>
      </c>
      <c r="E7363" s="606" t="n">
        <v>0.0001</v>
      </c>
      <c r="F7363" s="361" t="n">
        <v>3500</v>
      </c>
      <c r="G7363" s="615" t="n">
        <f aca="false">E7363*F7363</f>
        <v>0.35</v>
      </c>
      <c r="H7363" s="606"/>
    </row>
    <row r="7364" customFormat="false" ht="15" hidden="false" customHeight="false" outlineLevel="0" collapsed="false">
      <c r="A7364" s="571"/>
      <c r="B7364" s="433"/>
      <c r="C7364" s="909" t="s">
        <v>4124</v>
      </c>
      <c r="D7364" s="606" t="s">
        <v>4516</v>
      </c>
      <c r="E7364" s="606" t="n">
        <v>0.5</v>
      </c>
      <c r="F7364" s="361" t="n">
        <v>80</v>
      </c>
      <c r="G7364" s="615" t="n">
        <f aca="false">E7364*F7364</f>
        <v>40</v>
      </c>
      <c r="H7364" s="606"/>
    </row>
    <row r="7365" customFormat="false" ht="15" hidden="false" customHeight="false" outlineLevel="0" collapsed="false">
      <c r="A7365" s="571"/>
      <c r="B7365" s="433"/>
      <c r="C7365" s="614" t="s">
        <v>5341</v>
      </c>
      <c r="D7365" s="606" t="s">
        <v>5342</v>
      </c>
      <c r="E7365" s="606" t="n">
        <v>0.005</v>
      </c>
      <c r="F7365" s="361" t="n">
        <v>1500</v>
      </c>
      <c r="G7365" s="615" t="n">
        <f aca="false">E7365*F7365</f>
        <v>7.5</v>
      </c>
      <c r="H7365" s="606"/>
    </row>
    <row r="7366" customFormat="false" ht="30" hidden="false" customHeight="false" outlineLevel="0" collapsed="false">
      <c r="A7366" s="571" t="s">
        <v>1276</v>
      </c>
      <c r="B7366" s="433" t="s">
        <v>3395</v>
      </c>
      <c r="C7366" s="476"/>
      <c r="D7366" s="820"/>
      <c r="E7366" s="820"/>
      <c r="F7366" s="361"/>
      <c r="G7366" s="826" t="n">
        <f aca="false">SUM(G7367:G7385)</f>
        <v>4680.7</v>
      </c>
      <c r="H7366" s="606"/>
    </row>
    <row r="7367" customFormat="false" ht="15" hidden="false" customHeight="false" outlineLevel="0" collapsed="false">
      <c r="A7367" s="571"/>
      <c r="B7367" s="433"/>
      <c r="C7367" s="614" t="s">
        <v>4225</v>
      </c>
      <c r="D7367" s="606" t="s">
        <v>4133</v>
      </c>
      <c r="E7367" s="606" t="n">
        <v>0.005</v>
      </c>
      <c r="F7367" s="361" t="n">
        <v>8000</v>
      </c>
      <c r="G7367" s="615" t="n">
        <f aca="false">F7367*E7367</f>
        <v>40</v>
      </c>
      <c r="H7367" s="606"/>
    </row>
    <row r="7368" customFormat="false" ht="15" hidden="false" customHeight="false" outlineLevel="0" collapsed="false">
      <c r="A7368" s="571"/>
      <c r="B7368" s="433"/>
      <c r="C7368" s="614" t="s">
        <v>4189</v>
      </c>
      <c r="D7368" s="606" t="s">
        <v>4359</v>
      </c>
      <c r="E7368" s="606" t="n">
        <v>0.0004</v>
      </c>
      <c r="F7368" s="361" t="n">
        <v>130000</v>
      </c>
      <c r="G7368" s="615" t="n">
        <f aca="false">F7368*E7368</f>
        <v>52</v>
      </c>
      <c r="H7368" s="606"/>
    </row>
    <row r="7369" customFormat="false" ht="15" hidden="false" customHeight="false" outlineLevel="0" collapsed="false">
      <c r="A7369" s="571"/>
      <c r="B7369" s="433"/>
      <c r="C7369" s="614" t="s">
        <v>4147</v>
      </c>
      <c r="D7369" s="606" t="s">
        <v>4359</v>
      </c>
      <c r="E7369" s="606" t="n">
        <v>0.05</v>
      </c>
      <c r="F7369" s="361" t="n">
        <v>1300</v>
      </c>
      <c r="G7369" s="615" t="n">
        <f aca="false">F7369*E7369</f>
        <v>65</v>
      </c>
      <c r="H7369" s="606"/>
    </row>
    <row r="7370" customFormat="false" ht="30" hidden="false" customHeight="false" outlineLevel="0" collapsed="false">
      <c r="A7370" s="571"/>
      <c r="B7370" s="433"/>
      <c r="C7370" s="614" t="s">
        <v>5351</v>
      </c>
      <c r="D7370" s="606" t="s">
        <v>4133</v>
      </c>
      <c r="E7370" s="606" t="n">
        <v>0.0025</v>
      </c>
      <c r="F7370" s="361" t="n">
        <v>78100</v>
      </c>
      <c r="G7370" s="615" t="n">
        <f aca="false">F7370*E7370</f>
        <v>195.25</v>
      </c>
      <c r="H7370" s="606"/>
    </row>
    <row r="7371" customFormat="false" ht="30" hidden="false" customHeight="false" outlineLevel="0" collapsed="false">
      <c r="A7371" s="571"/>
      <c r="B7371" s="433"/>
      <c r="C7371" s="614" t="s">
        <v>5352</v>
      </c>
      <c r="D7371" s="606" t="s">
        <v>4133</v>
      </c>
      <c r="E7371" s="606" t="n">
        <v>0.05</v>
      </c>
      <c r="F7371" s="361" t="n">
        <v>25500</v>
      </c>
      <c r="G7371" s="615" t="n">
        <f aca="false">F7371*E7371</f>
        <v>1275</v>
      </c>
      <c r="H7371" s="606"/>
    </row>
    <row r="7372" customFormat="false" ht="15" hidden="false" customHeight="false" outlineLevel="0" collapsed="false">
      <c r="A7372" s="571"/>
      <c r="B7372" s="433"/>
      <c r="C7372" s="614" t="s">
        <v>4545</v>
      </c>
      <c r="D7372" s="606" t="s">
        <v>4133</v>
      </c>
      <c r="E7372" s="606" t="n">
        <v>0.02</v>
      </c>
      <c r="F7372" s="361" t="n">
        <v>2500</v>
      </c>
      <c r="G7372" s="615" t="n">
        <f aca="false">F7372*E7372</f>
        <v>50</v>
      </c>
      <c r="H7372" s="606"/>
    </row>
    <row r="7373" customFormat="false" ht="30" hidden="false" customHeight="false" outlineLevel="0" collapsed="false">
      <c r="A7373" s="571"/>
      <c r="B7373" s="433"/>
      <c r="C7373" s="614" t="s">
        <v>5353</v>
      </c>
      <c r="D7373" s="606" t="s">
        <v>4133</v>
      </c>
      <c r="E7373" s="606" t="n">
        <v>0.001</v>
      </c>
      <c r="F7373" s="361" t="n">
        <v>78100</v>
      </c>
      <c r="G7373" s="615" t="n">
        <f aca="false">F7373*E7373</f>
        <v>78.1</v>
      </c>
      <c r="H7373" s="606"/>
    </row>
    <row r="7374" customFormat="false" ht="30" hidden="false" customHeight="false" outlineLevel="0" collapsed="false">
      <c r="A7374" s="571"/>
      <c r="B7374" s="433"/>
      <c r="C7374" s="614" t="s">
        <v>5354</v>
      </c>
      <c r="D7374" s="606" t="s">
        <v>4133</v>
      </c>
      <c r="E7374" s="606" t="n">
        <v>0.06</v>
      </c>
      <c r="F7374" s="361" t="n">
        <v>3000</v>
      </c>
      <c r="G7374" s="615" t="n">
        <f aca="false">F7374*E7374</f>
        <v>180</v>
      </c>
      <c r="H7374" s="606"/>
    </row>
    <row r="7375" customFormat="false" ht="30" hidden="false" customHeight="false" outlineLevel="0" collapsed="false">
      <c r="A7375" s="571"/>
      <c r="B7375" s="433"/>
      <c r="C7375" s="614" t="s">
        <v>5355</v>
      </c>
      <c r="D7375" s="606" t="s">
        <v>4133</v>
      </c>
      <c r="E7375" s="606" t="n">
        <v>0.06</v>
      </c>
      <c r="F7375" s="361" t="n">
        <v>3000</v>
      </c>
      <c r="G7375" s="615" t="n">
        <f aca="false">F7375*E7375</f>
        <v>180</v>
      </c>
      <c r="H7375" s="606"/>
    </row>
    <row r="7376" customFormat="false" ht="15" hidden="false" customHeight="false" outlineLevel="0" collapsed="false">
      <c r="A7376" s="571"/>
      <c r="B7376" s="433"/>
      <c r="C7376" s="614" t="s">
        <v>5356</v>
      </c>
      <c r="D7376" s="606" t="s">
        <v>4133</v>
      </c>
      <c r="E7376" s="606" t="n">
        <v>0.1</v>
      </c>
      <c r="F7376" s="361" t="n">
        <v>6500</v>
      </c>
      <c r="G7376" s="615" t="n">
        <f aca="false">F7376*E7376</f>
        <v>650</v>
      </c>
      <c r="H7376" s="606"/>
    </row>
    <row r="7377" customFormat="false" ht="15" hidden="false" customHeight="false" outlineLevel="0" collapsed="false">
      <c r="A7377" s="571"/>
      <c r="B7377" s="433"/>
      <c r="C7377" s="614" t="s">
        <v>4214</v>
      </c>
      <c r="D7377" s="606" t="s">
        <v>4133</v>
      </c>
      <c r="E7377" s="606" t="n">
        <v>0.04</v>
      </c>
      <c r="F7377" s="361" t="n">
        <v>35000</v>
      </c>
      <c r="G7377" s="615" t="n">
        <f aca="false">F7377*E7377</f>
        <v>1400</v>
      </c>
      <c r="H7377" s="606"/>
    </row>
    <row r="7378" customFormat="false" ht="15" hidden="false" customHeight="false" outlineLevel="0" collapsed="false">
      <c r="A7378" s="571"/>
      <c r="B7378" s="433"/>
      <c r="C7378" s="614" t="s">
        <v>5357</v>
      </c>
      <c r="D7378" s="606" t="s">
        <v>4133</v>
      </c>
      <c r="E7378" s="606" t="n">
        <v>0.0002</v>
      </c>
      <c r="F7378" s="361" t="n">
        <v>590000</v>
      </c>
      <c r="G7378" s="615" t="n">
        <f aca="false">F7378*E7378</f>
        <v>118</v>
      </c>
      <c r="H7378" s="606"/>
    </row>
    <row r="7379" customFormat="false" ht="15" hidden="false" customHeight="false" outlineLevel="0" collapsed="false">
      <c r="A7379" s="571"/>
      <c r="B7379" s="433"/>
      <c r="C7379" s="614" t="s">
        <v>4515</v>
      </c>
      <c r="D7379" s="606" t="s">
        <v>4133</v>
      </c>
      <c r="E7379" s="606" t="n">
        <v>0.0001</v>
      </c>
      <c r="F7379" s="361" t="n">
        <v>3500</v>
      </c>
      <c r="G7379" s="615" t="n">
        <f aca="false">F7379*E7379</f>
        <v>0.35</v>
      </c>
      <c r="H7379" s="606"/>
    </row>
    <row r="7380" customFormat="false" ht="15" hidden="false" customHeight="false" outlineLevel="0" collapsed="false">
      <c r="A7380" s="571"/>
      <c r="B7380" s="433"/>
      <c r="C7380" s="909" t="s">
        <v>4124</v>
      </c>
      <c r="D7380" s="606" t="s">
        <v>4516</v>
      </c>
      <c r="E7380" s="606" t="n">
        <v>0.5</v>
      </c>
      <c r="F7380" s="361" t="n">
        <v>80</v>
      </c>
      <c r="G7380" s="615" t="n">
        <f aca="false">F7380*E7380</f>
        <v>40</v>
      </c>
      <c r="H7380" s="606"/>
    </row>
    <row r="7381" customFormat="false" ht="15" hidden="false" customHeight="false" outlineLevel="0" collapsed="false">
      <c r="A7381" s="571"/>
      <c r="B7381" s="433"/>
      <c r="C7381" s="709" t="s">
        <v>4120</v>
      </c>
      <c r="D7381" s="679" t="s">
        <v>5349</v>
      </c>
      <c r="E7381" s="725" t="n">
        <v>0.003</v>
      </c>
      <c r="F7381" s="369" t="n">
        <v>1500</v>
      </c>
      <c r="G7381" s="615" t="n">
        <f aca="false">F7381*E7381</f>
        <v>4.5</v>
      </c>
      <c r="H7381" s="606"/>
    </row>
    <row r="7382" customFormat="false" ht="15" hidden="false" customHeight="false" outlineLevel="0" collapsed="false">
      <c r="A7382" s="571"/>
      <c r="B7382" s="433"/>
      <c r="C7382" s="614" t="s">
        <v>4154</v>
      </c>
      <c r="D7382" s="606" t="s">
        <v>4359</v>
      </c>
      <c r="E7382" s="606" t="n">
        <v>0.025</v>
      </c>
      <c r="F7382" s="361" t="n">
        <v>5800</v>
      </c>
      <c r="G7382" s="615" t="n">
        <f aca="false">F7382*E7382</f>
        <v>145</v>
      </c>
      <c r="H7382" s="606"/>
    </row>
    <row r="7383" customFormat="false" ht="15" hidden="false" customHeight="false" outlineLevel="0" collapsed="false">
      <c r="A7383" s="571"/>
      <c r="B7383" s="433"/>
      <c r="C7383" s="614" t="s">
        <v>5384</v>
      </c>
      <c r="D7383" s="606" t="s">
        <v>4133</v>
      </c>
      <c r="E7383" s="606" t="n">
        <v>0.009</v>
      </c>
      <c r="F7383" s="361" t="n">
        <v>6250</v>
      </c>
      <c r="G7383" s="615" t="n">
        <f aca="false">F7383*E7383</f>
        <v>56.25</v>
      </c>
      <c r="H7383" s="606"/>
    </row>
    <row r="7384" customFormat="false" ht="15" hidden="false" customHeight="false" outlineLevel="0" collapsed="false">
      <c r="A7384" s="571"/>
      <c r="B7384" s="433"/>
      <c r="C7384" s="614" t="s">
        <v>5385</v>
      </c>
      <c r="D7384" s="606" t="s">
        <v>4133</v>
      </c>
      <c r="E7384" s="606" t="n">
        <v>0.009</v>
      </c>
      <c r="F7384" s="361" t="n">
        <v>6250</v>
      </c>
      <c r="G7384" s="615" t="n">
        <f aca="false">F7384*E7384</f>
        <v>56.25</v>
      </c>
      <c r="H7384" s="606"/>
    </row>
    <row r="7385" customFormat="false" ht="15" hidden="false" customHeight="false" outlineLevel="0" collapsed="false">
      <c r="A7385" s="571"/>
      <c r="B7385" s="433"/>
      <c r="C7385" s="614" t="s">
        <v>5366</v>
      </c>
      <c r="D7385" s="606" t="s">
        <v>4359</v>
      </c>
      <c r="E7385" s="606" t="n">
        <v>0.01</v>
      </c>
      <c r="F7385" s="361" t="n">
        <v>9500</v>
      </c>
      <c r="G7385" s="615" t="n">
        <f aca="false">F7385*E7385</f>
        <v>95</v>
      </c>
      <c r="H7385" s="606"/>
    </row>
    <row r="7386" customFormat="false" ht="15" hidden="false" customHeight="false" outlineLevel="0" collapsed="false">
      <c r="A7386" s="571" t="s">
        <v>1278</v>
      </c>
      <c r="B7386" s="433" t="s">
        <v>3396</v>
      </c>
      <c r="C7386" s="614"/>
      <c r="D7386" s="606"/>
      <c r="E7386" s="622"/>
      <c r="F7386" s="361"/>
      <c r="G7386" s="826" t="n">
        <f aca="false">SUM(G7387:G7396)</f>
        <v>2308.55</v>
      </c>
      <c r="H7386" s="606"/>
    </row>
    <row r="7387" customFormat="false" ht="15" hidden="false" customHeight="false" outlineLevel="0" collapsed="false">
      <c r="A7387" s="571"/>
      <c r="B7387" s="433"/>
      <c r="C7387" s="614" t="s">
        <v>4264</v>
      </c>
      <c r="D7387" s="606" t="s">
        <v>4359</v>
      </c>
      <c r="E7387" s="705" t="n">
        <v>0.004</v>
      </c>
      <c r="F7387" s="361" t="n">
        <v>28000</v>
      </c>
      <c r="G7387" s="615" t="n">
        <f aca="false">F7387*E7387</f>
        <v>112</v>
      </c>
      <c r="H7387" s="606"/>
    </row>
    <row r="7388" customFormat="false" ht="15" hidden="false" customHeight="false" outlineLevel="0" collapsed="false">
      <c r="A7388" s="571"/>
      <c r="B7388" s="433"/>
      <c r="C7388" s="614" t="s">
        <v>4158</v>
      </c>
      <c r="D7388" s="606" t="s">
        <v>4133</v>
      </c>
      <c r="E7388" s="705" t="n">
        <v>0.002</v>
      </c>
      <c r="F7388" s="361" t="n">
        <v>1500</v>
      </c>
      <c r="G7388" s="615" t="n">
        <f aca="false">F7388*E7388</f>
        <v>3</v>
      </c>
      <c r="H7388" s="606"/>
    </row>
    <row r="7389" customFormat="false" ht="15" hidden="false" customHeight="false" outlineLevel="0" collapsed="false">
      <c r="A7389" s="571"/>
      <c r="B7389" s="433"/>
      <c r="C7389" s="614" t="s">
        <v>5386</v>
      </c>
      <c r="D7389" s="606" t="s">
        <v>4359</v>
      </c>
      <c r="E7389" s="705" t="n">
        <v>0.02</v>
      </c>
      <c r="F7389" s="361" t="n">
        <v>1500</v>
      </c>
      <c r="G7389" s="615" t="n">
        <f aca="false">F7389*E7389</f>
        <v>30</v>
      </c>
      <c r="H7389" s="606"/>
    </row>
    <row r="7390" customFormat="false" ht="15" hidden="false" customHeight="false" outlineLevel="0" collapsed="false">
      <c r="A7390" s="571"/>
      <c r="B7390" s="433"/>
      <c r="C7390" s="614" t="s">
        <v>4159</v>
      </c>
      <c r="D7390" s="606" t="s">
        <v>4359</v>
      </c>
      <c r="E7390" s="705" t="n">
        <v>0.002</v>
      </c>
      <c r="F7390" s="361" t="n">
        <v>550000</v>
      </c>
      <c r="G7390" s="615" t="n">
        <f aca="false">F7390*E7390</f>
        <v>1100</v>
      </c>
      <c r="H7390" s="606"/>
    </row>
    <row r="7391" customFormat="false" ht="15" hidden="false" customHeight="false" outlineLevel="0" collapsed="false">
      <c r="A7391" s="571"/>
      <c r="B7391" s="433"/>
      <c r="C7391" s="614" t="s">
        <v>5387</v>
      </c>
      <c r="D7391" s="606" t="s">
        <v>4133</v>
      </c>
      <c r="E7391" s="702" t="n">
        <v>0.01</v>
      </c>
      <c r="F7391" s="361" t="n">
        <v>75000</v>
      </c>
      <c r="G7391" s="615" t="n">
        <f aca="false">F7391*E7391</f>
        <v>750</v>
      </c>
      <c r="H7391" s="606"/>
    </row>
    <row r="7392" customFormat="false" ht="30" hidden="false" customHeight="false" outlineLevel="0" collapsed="false">
      <c r="A7392" s="571"/>
      <c r="B7392" s="433"/>
      <c r="C7392" s="614" t="s">
        <v>5388</v>
      </c>
      <c r="D7392" s="606" t="s">
        <v>5349</v>
      </c>
      <c r="E7392" s="705" t="n">
        <v>0.004</v>
      </c>
      <c r="F7392" s="361" t="n">
        <v>1500</v>
      </c>
      <c r="G7392" s="615" t="n">
        <f aca="false">F7392*E7392</f>
        <v>6</v>
      </c>
      <c r="H7392" s="606"/>
    </row>
    <row r="7393" customFormat="false" ht="15" hidden="false" customHeight="false" outlineLevel="0" collapsed="false">
      <c r="A7393" s="571"/>
      <c r="B7393" s="433"/>
      <c r="C7393" s="614" t="s">
        <v>4122</v>
      </c>
      <c r="D7393" s="606" t="s">
        <v>4359</v>
      </c>
      <c r="E7393" s="606" t="n">
        <v>0.01</v>
      </c>
      <c r="F7393" s="361" t="n">
        <v>720</v>
      </c>
      <c r="G7393" s="615" t="n">
        <f aca="false">F7393*E7393</f>
        <v>7.2</v>
      </c>
      <c r="H7393" s="606"/>
    </row>
    <row r="7394" customFormat="false" ht="15" hidden="false" customHeight="false" outlineLevel="0" collapsed="false">
      <c r="A7394" s="571"/>
      <c r="B7394" s="433"/>
      <c r="C7394" s="614" t="s">
        <v>4515</v>
      </c>
      <c r="D7394" s="606" t="s">
        <v>4133</v>
      </c>
      <c r="E7394" s="606" t="n">
        <v>0.0001</v>
      </c>
      <c r="F7394" s="361" t="n">
        <v>3500</v>
      </c>
      <c r="G7394" s="615" t="n">
        <f aca="false">F7394*E7394</f>
        <v>0.35</v>
      </c>
      <c r="H7394" s="606"/>
    </row>
    <row r="7395" customFormat="false" ht="15" hidden="false" customHeight="false" outlineLevel="0" collapsed="false">
      <c r="A7395" s="571"/>
      <c r="B7395" s="433"/>
      <c r="C7395" s="909" t="s">
        <v>4124</v>
      </c>
      <c r="D7395" s="606" t="s">
        <v>4516</v>
      </c>
      <c r="E7395" s="606" t="n">
        <v>0.5</v>
      </c>
      <c r="F7395" s="361" t="n">
        <v>80</v>
      </c>
      <c r="G7395" s="615" t="n">
        <f aca="false">F7395*E7395</f>
        <v>40</v>
      </c>
      <c r="H7395" s="606"/>
    </row>
    <row r="7396" customFormat="false" ht="15" hidden="false" customHeight="false" outlineLevel="0" collapsed="false">
      <c r="A7396" s="571"/>
      <c r="B7396" s="433"/>
      <c r="C7396" s="614" t="s">
        <v>4189</v>
      </c>
      <c r="D7396" s="606" t="s">
        <v>4359</v>
      </c>
      <c r="E7396" s="705" t="n">
        <v>0.002</v>
      </c>
      <c r="F7396" s="361" t="n">
        <v>130000</v>
      </c>
      <c r="G7396" s="615" t="n">
        <f aca="false">F7396*E7396</f>
        <v>260</v>
      </c>
      <c r="H7396" s="606"/>
    </row>
    <row r="7397" s="311" customFormat="true" ht="36.75" hidden="false" customHeight="true" outlineLevel="0" collapsed="false">
      <c r="A7397" s="913" t="s">
        <v>1280</v>
      </c>
      <c r="B7397" s="500" t="s">
        <v>3397</v>
      </c>
      <c r="C7397" s="855"/>
      <c r="D7397" s="316"/>
      <c r="E7397" s="855"/>
      <c r="F7397" s="891"/>
      <c r="G7397" s="914" t="n">
        <f aca="false">SUM(G7398:G7423)</f>
        <v>317990.97</v>
      </c>
      <c r="H7397" s="316" t="s">
        <v>5389</v>
      </c>
    </row>
    <row r="7398" s="311" customFormat="true" ht="15" hidden="false" customHeight="true" outlineLevel="0" collapsed="false">
      <c r="A7398" s="915"/>
      <c r="B7398" s="571"/>
      <c r="C7398" s="855" t="s">
        <v>4604</v>
      </c>
      <c r="D7398" s="316" t="s">
        <v>4359</v>
      </c>
      <c r="E7398" s="916" t="n">
        <v>1</v>
      </c>
      <c r="F7398" s="115" t="n">
        <v>18000</v>
      </c>
      <c r="G7398" s="894" t="n">
        <f aca="false">F7398*E7398</f>
        <v>18000</v>
      </c>
      <c r="H7398" s="316"/>
    </row>
    <row r="7399" s="311" customFormat="true" ht="15" hidden="false" customHeight="true" outlineLevel="0" collapsed="false">
      <c r="A7399" s="915"/>
      <c r="B7399" s="571"/>
      <c r="C7399" s="855" t="s">
        <v>5260</v>
      </c>
      <c r="D7399" s="316" t="s">
        <v>4133</v>
      </c>
      <c r="E7399" s="903" t="n">
        <v>0.025</v>
      </c>
      <c r="F7399" s="115" t="n">
        <v>24000</v>
      </c>
      <c r="G7399" s="894" t="n">
        <f aca="false">F7399*E7399</f>
        <v>600</v>
      </c>
      <c r="H7399" s="316"/>
    </row>
    <row r="7400" s="311" customFormat="true" ht="15" hidden="false" customHeight="true" outlineLevel="0" collapsed="false">
      <c r="A7400" s="915"/>
      <c r="B7400" s="571"/>
      <c r="C7400" s="855" t="s">
        <v>4266</v>
      </c>
      <c r="D7400" s="316" t="s">
        <v>4133</v>
      </c>
      <c r="E7400" s="916" t="n">
        <v>0.14</v>
      </c>
      <c r="F7400" s="115" t="n">
        <v>24000</v>
      </c>
      <c r="G7400" s="894" t="n">
        <f aca="false">F7400*E7400</f>
        <v>3360</v>
      </c>
      <c r="H7400" s="316"/>
    </row>
    <row r="7401" s="311" customFormat="true" ht="15" hidden="false" customHeight="true" outlineLevel="0" collapsed="false">
      <c r="A7401" s="915"/>
      <c r="B7401" s="571"/>
      <c r="C7401" s="855" t="s">
        <v>5390</v>
      </c>
      <c r="D7401" s="316" t="s">
        <v>4141</v>
      </c>
      <c r="E7401" s="855" t="n">
        <v>0.1</v>
      </c>
      <c r="F7401" s="115" t="n">
        <v>148000</v>
      </c>
      <c r="G7401" s="894" t="n">
        <f aca="false">F7401*E7401</f>
        <v>14800</v>
      </c>
      <c r="H7401" s="316"/>
    </row>
    <row r="7402" s="311" customFormat="true" ht="15" hidden="false" customHeight="true" outlineLevel="0" collapsed="false">
      <c r="A7402" s="915"/>
      <c r="B7402" s="571"/>
      <c r="C7402" s="855" t="s">
        <v>4758</v>
      </c>
      <c r="D7402" s="316" t="s">
        <v>4359</v>
      </c>
      <c r="E7402" s="855" t="n">
        <v>0.5</v>
      </c>
      <c r="F7402" s="115" t="n">
        <v>14000</v>
      </c>
      <c r="G7402" s="894" t="n">
        <f aca="false">F7402*E7402</f>
        <v>7000</v>
      </c>
      <c r="H7402" s="316"/>
    </row>
    <row r="7403" s="311" customFormat="true" ht="15" hidden="false" customHeight="true" outlineLevel="0" collapsed="false">
      <c r="A7403" s="915"/>
      <c r="B7403" s="571"/>
      <c r="C7403" s="861" t="s">
        <v>4317</v>
      </c>
      <c r="D7403" s="316" t="s">
        <v>4359</v>
      </c>
      <c r="E7403" s="855" t="n">
        <v>2</v>
      </c>
      <c r="F7403" s="115" t="n">
        <v>21000</v>
      </c>
      <c r="G7403" s="894" t="n">
        <f aca="false">F7403*E7403</f>
        <v>42000</v>
      </c>
      <c r="H7403" s="316"/>
    </row>
    <row r="7404" s="311" customFormat="true" ht="15" hidden="false" customHeight="true" outlineLevel="0" collapsed="false">
      <c r="A7404" s="915"/>
      <c r="B7404" s="571"/>
      <c r="C7404" s="855" t="s">
        <v>5007</v>
      </c>
      <c r="D7404" s="316" t="s">
        <v>4133</v>
      </c>
      <c r="E7404" s="916" t="n">
        <v>1.5</v>
      </c>
      <c r="F7404" s="115" t="n">
        <v>42000</v>
      </c>
      <c r="G7404" s="894" t="n">
        <f aca="false">F7404*E7404</f>
        <v>63000</v>
      </c>
      <c r="H7404" s="316"/>
    </row>
    <row r="7405" s="311" customFormat="true" ht="15" hidden="false" customHeight="true" outlineLevel="0" collapsed="false">
      <c r="A7405" s="915"/>
      <c r="B7405" s="571"/>
      <c r="C7405" s="855" t="s">
        <v>4216</v>
      </c>
      <c r="D7405" s="316" t="s">
        <v>4133</v>
      </c>
      <c r="E7405" s="916" t="n">
        <v>0.012</v>
      </c>
      <c r="F7405" s="115" t="n">
        <v>21000</v>
      </c>
      <c r="G7405" s="894" t="n">
        <f aca="false">F7405*E7405</f>
        <v>252</v>
      </c>
      <c r="H7405" s="316"/>
    </row>
    <row r="7406" s="311" customFormat="true" ht="15" hidden="false" customHeight="true" outlineLevel="0" collapsed="false">
      <c r="A7406" s="915"/>
      <c r="B7406" s="571"/>
      <c r="C7406" s="855" t="s">
        <v>4250</v>
      </c>
      <c r="D7406" s="316" t="s">
        <v>4133</v>
      </c>
      <c r="E7406" s="903" t="n">
        <v>3</v>
      </c>
      <c r="F7406" s="115" t="n">
        <v>42000</v>
      </c>
      <c r="G7406" s="894" t="n">
        <f aca="false">F7406*E7406</f>
        <v>126000</v>
      </c>
      <c r="H7406" s="316"/>
    </row>
    <row r="7407" s="311" customFormat="true" ht="15" hidden="false" customHeight="true" outlineLevel="0" collapsed="false">
      <c r="A7407" s="915"/>
      <c r="B7407" s="571"/>
      <c r="C7407" s="855" t="s">
        <v>5279</v>
      </c>
      <c r="D7407" s="316" t="s">
        <v>4359</v>
      </c>
      <c r="E7407" s="916" t="n">
        <v>1.5</v>
      </c>
      <c r="F7407" s="115" t="n">
        <v>21000</v>
      </c>
      <c r="G7407" s="894" t="n">
        <f aca="false">F7407*E7407</f>
        <v>31500</v>
      </c>
      <c r="H7407" s="316"/>
    </row>
    <row r="7408" s="311" customFormat="true" ht="15" hidden="false" customHeight="true" outlineLevel="0" collapsed="false">
      <c r="A7408" s="915"/>
      <c r="B7408" s="571"/>
      <c r="C7408" s="855" t="s">
        <v>4205</v>
      </c>
      <c r="D7408" s="316" t="s">
        <v>4359</v>
      </c>
      <c r="E7408" s="855" t="n">
        <v>0.085</v>
      </c>
      <c r="F7408" s="115" t="n">
        <v>14000</v>
      </c>
      <c r="G7408" s="894" t="n">
        <f aca="false">F7408*E7408</f>
        <v>1190</v>
      </c>
      <c r="H7408" s="316"/>
    </row>
    <row r="7409" s="311" customFormat="true" ht="15" hidden="false" customHeight="true" outlineLevel="0" collapsed="false">
      <c r="A7409" s="915"/>
      <c r="B7409" s="571"/>
      <c r="C7409" s="855" t="s">
        <v>4147</v>
      </c>
      <c r="D7409" s="316" t="s">
        <v>4359</v>
      </c>
      <c r="E7409" s="855" t="n">
        <v>0.01</v>
      </c>
      <c r="F7409" s="115" t="n">
        <v>18000</v>
      </c>
      <c r="G7409" s="894" t="n">
        <f aca="false">F7409*E7409</f>
        <v>180</v>
      </c>
      <c r="H7409" s="316"/>
    </row>
    <row r="7410" s="311" customFormat="true" ht="15" hidden="false" customHeight="true" outlineLevel="0" collapsed="false">
      <c r="A7410" s="915"/>
      <c r="B7410" s="571"/>
      <c r="C7410" s="861" t="s">
        <v>5228</v>
      </c>
      <c r="D7410" s="316" t="s">
        <v>4133</v>
      </c>
      <c r="E7410" s="855" t="n">
        <v>0.01</v>
      </c>
      <c r="F7410" s="115" t="n">
        <v>19000</v>
      </c>
      <c r="G7410" s="894" t="n">
        <f aca="false">F7410*E7410</f>
        <v>190</v>
      </c>
      <c r="H7410" s="316"/>
    </row>
    <row r="7411" s="311" customFormat="true" ht="15" hidden="false" customHeight="true" outlineLevel="0" collapsed="false">
      <c r="A7411" s="915"/>
      <c r="B7411" s="571"/>
      <c r="C7411" s="855" t="s">
        <v>4158</v>
      </c>
      <c r="D7411" s="316" t="s">
        <v>4133</v>
      </c>
      <c r="E7411" s="916" t="n">
        <v>0.003</v>
      </c>
      <c r="F7411" s="115" t="n">
        <v>6400</v>
      </c>
      <c r="G7411" s="894" t="n">
        <f aca="false">F7411*E7411</f>
        <v>19.2</v>
      </c>
      <c r="H7411" s="316"/>
    </row>
    <row r="7412" s="311" customFormat="true" ht="15" hidden="false" customHeight="true" outlineLevel="0" collapsed="false">
      <c r="A7412" s="915"/>
      <c r="B7412" s="571"/>
      <c r="C7412" s="855" t="s">
        <v>5091</v>
      </c>
      <c r="D7412" s="316" t="s">
        <v>4359</v>
      </c>
      <c r="E7412" s="916" t="n">
        <v>0.01</v>
      </c>
      <c r="F7412" s="115" t="n">
        <v>18000</v>
      </c>
      <c r="G7412" s="894" t="n">
        <f aca="false">F7412*E7412</f>
        <v>180</v>
      </c>
      <c r="H7412" s="316"/>
    </row>
    <row r="7413" s="311" customFormat="true" ht="15" hidden="false" customHeight="true" outlineLevel="0" collapsed="false">
      <c r="A7413" s="915"/>
      <c r="B7413" s="571"/>
      <c r="C7413" s="855" t="s">
        <v>5240</v>
      </c>
      <c r="D7413" s="316" t="s">
        <v>4578</v>
      </c>
      <c r="E7413" s="916" t="n">
        <v>0.005</v>
      </c>
      <c r="F7413" s="115" t="n">
        <v>225000</v>
      </c>
      <c r="G7413" s="894" t="n">
        <f aca="false">F7413*E7413</f>
        <v>1125</v>
      </c>
      <c r="H7413" s="316"/>
    </row>
    <row r="7414" s="311" customFormat="true" ht="15" hidden="false" customHeight="true" outlineLevel="0" collapsed="false">
      <c r="A7414" s="915"/>
      <c r="B7414" s="571"/>
      <c r="C7414" s="855" t="s">
        <v>4251</v>
      </c>
      <c r="D7414" s="316" t="s">
        <v>4578</v>
      </c>
      <c r="E7414" s="916" t="n">
        <v>0.005</v>
      </c>
      <c r="F7414" s="115" t="n">
        <v>275000</v>
      </c>
      <c r="G7414" s="894" t="n">
        <f aca="false">F7414*E7414</f>
        <v>1375</v>
      </c>
      <c r="H7414" s="316"/>
    </row>
    <row r="7415" s="311" customFormat="true" ht="15" hidden="false" customHeight="true" outlineLevel="0" collapsed="false">
      <c r="A7415" s="915"/>
      <c r="B7415" s="571"/>
      <c r="C7415" s="855" t="s">
        <v>4673</v>
      </c>
      <c r="D7415" s="316" t="s">
        <v>4133</v>
      </c>
      <c r="E7415" s="855" t="n">
        <v>0.01</v>
      </c>
      <c r="F7415" s="115" t="n">
        <v>106777</v>
      </c>
      <c r="G7415" s="894" t="n">
        <f aca="false">F7415*E7415</f>
        <v>1067.77</v>
      </c>
      <c r="H7415" s="316"/>
    </row>
    <row r="7416" s="311" customFormat="true" ht="15" hidden="false" customHeight="true" outlineLevel="0" collapsed="false">
      <c r="A7416" s="915"/>
      <c r="B7416" s="571"/>
      <c r="C7416" s="855" t="s">
        <v>4497</v>
      </c>
      <c r="D7416" s="316" t="s">
        <v>4348</v>
      </c>
      <c r="E7416" s="855" t="n">
        <v>0.01</v>
      </c>
      <c r="F7416" s="115" t="n">
        <v>550000</v>
      </c>
      <c r="G7416" s="894" t="n">
        <f aca="false">F7416*E7416</f>
        <v>5500</v>
      </c>
      <c r="H7416" s="316"/>
    </row>
    <row r="7417" s="311" customFormat="true" ht="15" hidden="false" customHeight="true" outlineLevel="0" collapsed="false">
      <c r="A7417" s="915"/>
      <c r="B7417" s="571"/>
      <c r="C7417" s="861" t="s">
        <v>4122</v>
      </c>
      <c r="D7417" s="316" t="s">
        <v>4123</v>
      </c>
      <c r="E7417" s="855" t="n">
        <v>0.1</v>
      </c>
      <c r="F7417" s="115" t="n">
        <v>720</v>
      </c>
      <c r="G7417" s="894" t="n">
        <f aca="false">F7417*E7417</f>
        <v>72</v>
      </c>
      <c r="H7417" s="316"/>
    </row>
    <row r="7418" s="311" customFormat="true" ht="15" hidden="false" customHeight="true" outlineLevel="0" collapsed="false">
      <c r="A7418" s="915"/>
      <c r="B7418" s="571"/>
      <c r="C7418" s="855" t="s">
        <v>5241</v>
      </c>
      <c r="D7418" s="316" t="s">
        <v>4121</v>
      </c>
      <c r="E7418" s="916" t="n">
        <v>0.01</v>
      </c>
      <c r="F7418" s="115" t="n">
        <v>1500</v>
      </c>
      <c r="G7418" s="894" t="n">
        <f aca="false">F7418*E7418</f>
        <v>15</v>
      </c>
      <c r="H7418" s="316"/>
    </row>
    <row r="7419" s="311" customFormat="true" ht="15" hidden="false" customHeight="true" outlineLevel="0" collapsed="false">
      <c r="A7419" s="915"/>
      <c r="B7419" s="571"/>
      <c r="C7419" s="855" t="s">
        <v>4124</v>
      </c>
      <c r="D7419" s="316" t="s">
        <v>4125</v>
      </c>
      <c r="E7419" s="916" t="n">
        <v>0.1</v>
      </c>
      <c r="F7419" s="115" t="n">
        <v>170</v>
      </c>
      <c r="G7419" s="894" t="n">
        <f aca="false">F7419*E7419</f>
        <v>17</v>
      </c>
      <c r="H7419" s="316"/>
    </row>
    <row r="7420" s="311" customFormat="true" ht="15" hidden="false" customHeight="true" outlineLevel="0" collapsed="false">
      <c r="A7420" s="915"/>
      <c r="B7420" s="571"/>
      <c r="C7420" s="855" t="s">
        <v>4347</v>
      </c>
      <c r="D7420" s="316" t="s">
        <v>4348</v>
      </c>
      <c r="E7420" s="903" t="n">
        <v>2</v>
      </c>
      <c r="F7420" s="115" t="n">
        <v>130</v>
      </c>
      <c r="G7420" s="894" t="n">
        <f aca="false">F7420*E7420</f>
        <v>260</v>
      </c>
      <c r="H7420" s="316"/>
    </row>
    <row r="7421" s="311" customFormat="true" ht="15" hidden="false" customHeight="true" outlineLevel="0" collapsed="false">
      <c r="A7421" s="915"/>
      <c r="B7421" s="571"/>
      <c r="C7421" s="855" t="s">
        <v>5239</v>
      </c>
      <c r="D7421" s="316" t="s">
        <v>4141</v>
      </c>
      <c r="E7421" s="916" t="n">
        <v>0.01</v>
      </c>
      <c r="F7421" s="115" t="n">
        <v>23500</v>
      </c>
      <c r="G7421" s="894" t="n">
        <f aca="false">F7421*E7421</f>
        <v>235</v>
      </c>
      <c r="H7421" s="316"/>
    </row>
    <row r="7422" s="311" customFormat="true" ht="15" hidden="false" customHeight="true" outlineLevel="0" collapsed="false">
      <c r="A7422" s="915"/>
      <c r="B7422" s="571"/>
      <c r="C7422" s="855" t="s">
        <v>4509</v>
      </c>
      <c r="D7422" s="316" t="s">
        <v>4348</v>
      </c>
      <c r="E7422" s="855" t="n">
        <v>1</v>
      </c>
      <c r="F7422" s="115" t="n">
        <v>26</v>
      </c>
      <c r="G7422" s="894" t="n">
        <f aca="false">F7422*E7422</f>
        <v>26</v>
      </c>
      <c r="H7422" s="316"/>
    </row>
    <row r="7423" s="311" customFormat="true" ht="15" hidden="false" customHeight="true" outlineLevel="0" collapsed="false">
      <c r="A7423" s="915"/>
      <c r="B7423" s="571"/>
      <c r="C7423" s="855" t="s">
        <v>4515</v>
      </c>
      <c r="D7423" s="316" t="s">
        <v>4133</v>
      </c>
      <c r="E7423" s="855" t="n">
        <v>0.01</v>
      </c>
      <c r="F7423" s="115" t="n">
        <v>2700</v>
      </c>
      <c r="G7423" s="894" t="n">
        <f aca="false">F7423*E7423</f>
        <v>27</v>
      </c>
      <c r="H7423" s="316"/>
    </row>
    <row r="7424" customFormat="false" ht="17.25" hidden="false" customHeight="true" outlineLevel="0" collapsed="false">
      <c r="A7424" s="343" t="s">
        <v>3398</v>
      </c>
      <c r="B7424" s="318" t="s">
        <v>3399</v>
      </c>
      <c r="C7424" s="917"/>
      <c r="D7424" s="918"/>
      <c r="E7424" s="918"/>
      <c r="F7424" s="516"/>
      <c r="G7424" s="919"/>
      <c r="H7424" s="918"/>
    </row>
    <row r="7425" s="451" customFormat="true" ht="45" hidden="false" customHeight="false" outlineLevel="0" collapsed="false">
      <c r="A7425" s="707" t="s">
        <v>1284</v>
      </c>
      <c r="B7425" s="796" t="s">
        <v>3400</v>
      </c>
      <c r="C7425" s="796" t="s">
        <v>4611</v>
      </c>
      <c r="D7425" s="737" t="s">
        <v>4359</v>
      </c>
      <c r="E7425" s="737" t="n">
        <v>0.05</v>
      </c>
      <c r="F7425" s="729" t="n">
        <v>720</v>
      </c>
      <c r="G7425" s="765" t="n">
        <f aca="false">E7425*F7425</f>
        <v>36</v>
      </c>
      <c r="H7425" s="679"/>
    </row>
    <row r="7426" customFormat="false" ht="15" hidden="false" customHeight="false" outlineLevel="0" collapsed="false">
      <c r="A7426" s="571"/>
      <c r="B7426" s="500"/>
      <c r="C7426" s="492" t="s">
        <v>5391</v>
      </c>
      <c r="D7426" s="820" t="s">
        <v>4125</v>
      </c>
      <c r="E7426" s="920" t="n">
        <v>2</v>
      </c>
      <c r="F7426" s="697" t="n">
        <v>60</v>
      </c>
      <c r="G7426" s="850" t="n">
        <f aca="false">E7426*F7426</f>
        <v>120</v>
      </c>
      <c r="H7426" s="606"/>
    </row>
    <row r="7427" customFormat="false" ht="15" hidden="false" customHeight="false" outlineLevel="0" collapsed="false">
      <c r="A7427" s="571"/>
      <c r="B7427" s="500"/>
      <c r="C7427" s="492" t="s">
        <v>4515</v>
      </c>
      <c r="D7427" s="606" t="s">
        <v>4133</v>
      </c>
      <c r="E7427" s="820" t="n">
        <v>0.05</v>
      </c>
      <c r="F7427" s="361" t="n">
        <v>350</v>
      </c>
      <c r="G7427" s="850" t="n">
        <f aca="false">E7427*F7427</f>
        <v>17.5</v>
      </c>
      <c r="H7427" s="606"/>
    </row>
    <row r="7428" customFormat="false" ht="15" hidden="false" customHeight="false" outlineLevel="0" collapsed="false">
      <c r="A7428" s="571"/>
      <c r="B7428" s="608" t="s">
        <v>4562</v>
      </c>
      <c r="C7428" s="492"/>
      <c r="D7428" s="820"/>
      <c r="E7428" s="820"/>
      <c r="F7428" s="697"/>
      <c r="G7428" s="826" t="n">
        <f aca="false">SUM(G7425:G7427)</f>
        <v>173.5</v>
      </c>
      <c r="H7428" s="606"/>
    </row>
    <row r="7429" customFormat="false" ht="30" hidden="false" customHeight="false" outlineLevel="0" collapsed="false">
      <c r="A7429" s="571" t="s">
        <v>1286</v>
      </c>
      <c r="B7429" s="492" t="s">
        <v>3401</v>
      </c>
      <c r="C7429" s="492" t="s">
        <v>4611</v>
      </c>
      <c r="D7429" s="820" t="s">
        <v>4359</v>
      </c>
      <c r="E7429" s="920" t="n">
        <v>0.05</v>
      </c>
      <c r="F7429" s="697" t="n">
        <v>720</v>
      </c>
      <c r="G7429" s="850" t="n">
        <f aca="false">E7429*F7429</f>
        <v>36</v>
      </c>
      <c r="H7429" s="606"/>
    </row>
    <row r="7430" customFormat="false" ht="15" hidden="false" customHeight="false" outlineLevel="0" collapsed="false">
      <c r="A7430" s="571"/>
      <c r="B7430" s="608" t="s">
        <v>4562</v>
      </c>
      <c r="C7430" s="492"/>
      <c r="D7430" s="820"/>
      <c r="E7430" s="820"/>
      <c r="F7430" s="697"/>
      <c r="G7430" s="826" t="n">
        <f aca="false">SUM(G7429:G7429)</f>
        <v>36</v>
      </c>
      <c r="H7430" s="606"/>
    </row>
    <row r="7431" customFormat="false" ht="30" hidden="false" customHeight="false" outlineLevel="0" collapsed="false">
      <c r="A7431" s="571" t="s">
        <v>1288</v>
      </c>
      <c r="B7431" s="492" t="s">
        <v>3402</v>
      </c>
      <c r="C7431" s="492" t="s">
        <v>4611</v>
      </c>
      <c r="D7431" s="820" t="s">
        <v>4359</v>
      </c>
      <c r="E7431" s="920" t="n">
        <v>0.05</v>
      </c>
      <c r="F7431" s="697" t="n">
        <v>720</v>
      </c>
      <c r="G7431" s="850" t="n">
        <f aca="false">E7431*F7431</f>
        <v>36</v>
      </c>
      <c r="H7431" s="606"/>
    </row>
    <row r="7432" customFormat="false" ht="15" hidden="false" customHeight="false" outlineLevel="0" collapsed="false">
      <c r="A7432" s="571"/>
      <c r="B7432" s="500"/>
      <c r="C7432" s="492" t="s">
        <v>4515</v>
      </c>
      <c r="D7432" s="606" t="s">
        <v>4133</v>
      </c>
      <c r="E7432" s="820" t="n">
        <v>0.01</v>
      </c>
      <c r="F7432" s="361" t="n">
        <v>350</v>
      </c>
      <c r="G7432" s="850" t="n">
        <f aca="false">E7432*F7432</f>
        <v>3.5</v>
      </c>
      <c r="H7432" s="606"/>
    </row>
    <row r="7433" customFormat="false" ht="15" hidden="false" customHeight="false" outlineLevel="0" collapsed="false">
      <c r="A7433" s="571"/>
      <c r="B7433" s="608" t="s">
        <v>4562</v>
      </c>
      <c r="C7433" s="492"/>
      <c r="D7433" s="820"/>
      <c r="E7433" s="820"/>
      <c r="F7433" s="697"/>
      <c r="G7433" s="826" t="n">
        <f aca="false">SUM(G7431:G7432)</f>
        <v>39.5</v>
      </c>
      <c r="H7433" s="606"/>
    </row>
    <row r="7434" customFormat="false" ht="30" hidden="false" customHeight="false" outlineLevel="0" collapsed="false">
      <c r="A7434" s="571" t="s">
        <v>1290</v>
      </c>
      <c r="B7434" s="492" t="s">
        <v>3403</v>
      </c>
      <c r="C7434" s="492" t="s">
        <v>4611</v>
      </c>
      <c r="D7434" s="820" t="s">
        <v>4359</v>
      </c>
      <c r="E7434" s="920" t="n">
        <v>0.1</v>
      </c>
      <c r="F7434" s="697" t="n">
        <v>720</v>
      </c>
      <c r="G7434" s="850" t="n">
        <f aca="false">E7434*F7434</f>
        <v>72</v>
      </c>
      <c r="H7434" s="606"/>
    </row>
    <row r="7435" customFormat="false" ht="15" hidden="false" customHeight="false" outlineLevel="0" collapsed="false">
      <c r="A7435" s="571"/>
      <c r="B7435" s="500"/>
      <c r="C7435" s="492" t="s">
        <v>5391</v>
      </c>
      <c r="D7435" s="820" t="s">
        <v>4125</v>
      </c>
      <c r="E7435" s="920" t="n">
        <v>1</v>
      </c>
      <c r="F7435" s="697" t="n">
        <v>60</v>
      </c>
      <c r="G7435" s="850" t="n">
        <v>180</v>
      </c>
      <c r="H7435" s="606"/>
    </row>
    <row r="7436" customFormat="false" ht="15" hidden="false" customHeight="false" outlineLevel="0" collapsed="false">
      <c r="A7436" s="571"/>
      <c r="B7436" s="608" t="s">
        <v>4562</v>
      </c>
      <c r="C7436" s="492"/>
      <c r="D7436" s="820"/>
      <c r="E7436" s="820"/>
      <c r="F7436" s="697"/>
      <c r="G7436" s="826" t="n">
        <f aca="false">SUM(G7434:G7435)</f>
        <v>252</v>
      </c>
      <c r="H7436" s="606"/>
    </row>
    <row r="7437" customFormat="false" ht="15" hidden="false" customHeight="false" outlineLevel="0" collapsed="false">
      <c r="A7437" s="571" t="s">
        <v>1292</v>
      </c>
      <c r="B7437" s="492" t="s">
        <v>3404</v>
      </c>
      <c r="C7437" s="492" t="s">
        <v>4611</v>
      </c>
      <c r="D7437" s="820" t="s">
        <v>4359</v>
      </c>
      <c r="E7437" s="820" t="n">
        <v>0.05</v>
      </c>
      <c r="F7437" s="697" t="n">
        <v>720</v>
      </c>
      <c r="G7437" s="850" t="n">
        <f aca="false">E7437*F7437</f>
        <v>36</v>
      </c>
      <c r="H7437" s="606"/>
    </row>
    <row r="7438" customFormat="false" ht="15" hidden="false" customHeight="false" outlineLevel="0" collapsed="false">
      <c r="A7438" s="571"/>
      <c r="B7438" s="500"/>
      <c r="C7438" s="492" t="s">
        <v>4515</v>
      </c>
      <c r="D7438" s="606" t="s">
        <v>4133</v>
      </c>
      <c r="E7438" s="820" t="n">
        <v>0.01</v>
      </c>
      <c r="F7438" s="361" t="n">
        <v>350</v>
      </c>
      <c r="G7438" s="850" t="n">
        <v>105</v>
      </c>
      <c r="H7438" s="606"/>
    </row>
    <row r="7439" customFormat="false" ht="15" hidden="false" customHeight="false" outlineLevel="0" collapsed="false">
      <c r="A7439" s="571"/>
      <c r="B7439" s="608" t="s">
        <v>4562</v>
      </c>
      <c r="C7439" s="492"/>
      <c r="D7439" s="820"/>
      <c r="E7439" s="820"/>
      <c r="F7439" s="697"/>
      <c r="G7439" s="826" t="n">
        <f aca="false">SUM(G7437:G7438)</f>
        <v>141</v>
      </c>
      <c r="H7439" s="606"/>
    </row>
    <row r="7440" customFormat="false" ht="15" hidden="false" customHeight="false" outlineLevel="0" collapsed="false">
      <c r="A7440" s="571" t="s">
        <v>1294</v>
      </c>
      <c r="B7440" s="492" t="s">
        <v>3405</v>
      </c>
      <c r="C7440" s="492" t="s">
        <v>4611</v>
      </c>
      <c r="D7440" s="820" t="s">
        <v>4359</v>
      </c>
      <c r="E7440" s="920" t="n">
        <v>0.1</v>
      </c>
      <c r="F7440" s="697" t="n">
        <v>720</v>
      </c>
      <c r="G7440" s="850" t="n">
        <f aca="false">E7440*F7440</f>
        <v>72</v>
      </c>
      <c r="H7440" s="606"/>
    </row>
    <row r="7441" customFormat="false" ht="15" hidden="false" customHeight="false" outlineLevel="0" collapsed="false">
      <c r="A7441" s="571"/>
      <c r="B7441" s="500"/>
      <c r="C7441" s="492" t="s">
        <v>5391</v>
      </c>
      <c r="D7441" s="820" t="s">
        <v>4125</v>
      </c>
      <c r="E7441" s="920" t="n">
        <v>3</v>
      </c>
      <c r="F7441" s="697" t="n">
        <v>60</v>
      </c>
      <c r="G7441" s="850" t="n">
        <v>180</v>
      </c>
      <c r="H7441" s="606"/>
    </row>
    <row r="7442" customFormat="false" ht="15" hidden="false" customHeight="false" outlineLevel="0" collapsed="false">
      <c r="A7442" s="571"/>
      <c r="B7442" s="500"/>
      <c r="C7442" s="492" t="s">
        <v>4515</v>
      </c>
      <c r="D7442" s="606" t="s">
        <v>4133</v>
      </c>
      <c r="E7442" s="820" t="n">
        <v>0.03</v>
      </c>
      <c r="F7442" s="361" t="n">
        <v>3500</v>
      </c>
      <c r="G7442" s="850" t="n">
        <v>105</v>
      </c>
      <c r="H7442" s="606"/>
    </row>
    <row r="7443" customFormat="false" ht="15" hidden="false" customHeight="false" outlineLevel="0" collapsed="false">
      <c r="A7443" s="571"/>
      <c r="B7443" s="608" t="s">
        <v>4562</v>
      </c>
      <c r="C7443" s="492"/>
      <c r="D7443" s="820"/>
      <c r="E7443" s="820"/>
      <c r="F7443" s="697"/>
      <c r="G7443" s="826" t="n">
        <f aca="false">SUM(G7440:G7442)</f>
        <v>357</v>
      </c>
      <c r="H7443" s="606"/>
    </row>
    <row r="7444" customFormat="false" ht="30" hidden="false" customHeight="false" outlineLevel="0" collapsed="false">
      <c r="A7444" s="571" t="s">
        <v>1296</v>
      </c>
      <c r="B7444" s="492" t="s">
        <v>3406</v>
      </c>
      <c r="C7444" s="492" t="s">
        <v>4611</v>
      </c>
      <c r="D7444" s="820" t="s">
        <v>4359</v>
      </c>
      <c r="E7444" s="820" t="n">
        <v>0.1</v>
      </c>
      <c r="F7444" s="697" t="n">
        <v>720</v>
      </c>
      <c r="G7444" s="850" t="n">
        <f aca="false">E7444*F7444</f>
        <v>72</v>
      </c>
      <c r="H7444" s="606"/>
    </row>
    <row r="7445" customFormat="false" ht="15" hidden="false" customHeight="false" outlineLevel="0" collapsed="false">
      <c r="A7445" s="571"/>
      <c r="B7445" s="500"/>
      <c r="C7445" s="492" t="s">
        <v>5391</v>
      </c>
      <c r="D7445" s="820" t="s">
        <v>4125</v>
      </c>
      <c r="E7445" s="920" t="n">
        <v>3</v>
      </c>
      <c r="F7445" s="697" t="n">
        <v>60</v>
      </c>
      <c r="G7445" s="850" t="n">
        <v>180</v>
      </c>
      <c r="H7445" s="606"/>
    </row>
    <row r="7446" customFormat="false" ht="15" hidden="false" customHeight="false" outlineLevel="0" collapsed="false">
      <c r="A7446" s="571"/>
      <c r="B7446" s="500"/>
      <c r="C7446" s="492" t="s">
        <v>4515</v>
      </c>
      <c r="D7446" s="820" t="s">
        <v>4133</v>
      </c>
      <c r="E7446" s="820" t="n">
        <v>0.03</v>
      </c>
      <c r="F7446" s="361" t="n">
        <v>350</v>
      </c>
      <c r="G7446" s="850" t="n">
        <v>105</v>
      </c>
      <c r="H7446" s="606"/>
    </row>
    <row r="7447" customFormat="false" ht="15" hidden="false" customHeight="false" outlineLevel="0" collapsed="false">
      <c r="A7447" s="571"/>
      <c r="B7447" s="608" t="s">
        <v>4562</v>
      </c>
      <c r="C7447" s="492"/>
      <c r="D7447" s="820"/>
      <c r="E7447" s="820"/>
      <c r="F7447" s="697"/>
      <c r="G7447" s="826" t="n">
        <f aca="false">SUM(G7444:G7446)</f>
        <v>357</v>
      </c>
      <c r="H7447" s="606"/>
    </row>
    <row r="7448" customFormat="false" ht="15" hidden="false" customHeight="false" outlineLevel="0" collapsed="false">
      <c r="A7448" s="571" t="s">
        <v>1298</v>
      </c>
      <c r="B7448" s="492" t="s">
        <v>3407</v>
      </c>
      <c r="C7448" s="492" t="s">
        <v>4611</v>
      </c>
      <c r="D7448" s="820" t="s">
        <v>4359</v>
      </c>
      <c r="E7448" s="820" t="n">
        <v>0.25</v>
      </c>
      <c r="F7448" s="697" t="n">
        <v>720</v>
      </c>
      <c r="G7448" s="850" t="n">
        <f aca="false">E7448*F7448</f>
        <v>180</v>
      </c>
      <c r="H7448" s="606"/>
    </row>
    <row r="7449" customFormat="false" ht="15" hidden="false" customHeight="false" outlineLevel="0" collapsed="false">
      <c r="A7449" s="571"/>
      <c r="B7449" s="608"/>
      <c r="C7449" s="492" t="s">
        <v>5391</v>
      </c>
      <c r="D7449" s="820" t="s">
        <v>4125</v>
      </c>
      <c r="E7449" s="920" t="n">
        <v>3</v>
      </c>
      <c r="F7449" s="697" t="n">
        <v>60</v>
      </c>
      <c r="G7449" s="850" t="n">
        <f aca="false">E7449*F7449</f>
        <v>180</v>
      </c>
      <c r="H7449" s="606"/>
    </row>
    <row r="7450" customFormat="false" ht="15" hidden="false" customHeight="false" outlineLevel="0" collapsed="false">
      <c r="A7450" s="571"/>
      <c r="B7450" s="433"/>
      <c r="C7450" s="492" t="s">
        <v>4515</v>
      </c>
      <c r="D7450" s="820" t="s">
        <v>4133</v>
      </c>
      <c r="E7450" s="820" t="n">
        <v>0.03</v>
      </c>
      <c r="F7450" s="361" t="n">
        <v>350</v>
      </c>
      <c r="G7450" s="850" t="n">
        <f aca="false">E7450*F7450</f>
        <v>10.5</v>
      </c>
      <c r="H7450" s="606"/>
    </row>
    <row r="7451" customFormat="false" ht="15" hidden="false" customHeight="false" outlineLevel="0" collapsed="false">
      <c r="A7451" s="571"/>
      <c r="B7451" s="608" t="s">
        <v>4562</v>
      </c>
      <c r="C7451" s="492"/>
      <c r="D7451" s="820"/>
      <c r="E7451" s="820"/>
      <c r="F7451" s="697"/>
      <c r="G7451" s="826" t="n">
        <f aca="false">SUM(G7448:G7450)</f>
        <v>370.5</v>
      </c>
      <c r="H7451" s="606"/>
    </row>
    <row r="7452" s="451" customFormat="true" ht="48.75" hidden="false" customHeight="true" outlineLevel="0" collapsed="false">
      <c r="A7452" s="707" t="s">
        <v>1300</v>
      </c>
      <c r="B7452" s="796" t="s">
        <v>3408</v>
      </c>
      <c r="C7452" s="796" t="s">
        <v>5392</v>
      </c>
      <c r="D7452" s="737" t="s">
        <v>4348</v>
      </c>
      <c r="E7452" s="737" t="n">
        <v>1</v>
      </c>
      <c r="F7452" s="729" t="n">
        <v>300</v>
      </c>
      <c r="G7452" s="739" t="n">
        <f aca="false">E7452*F7452</f>
        <v>300</v>
      </c>
      <c r="H7452" s="679"/>
    </row>
    <row r="7453" customFormat="false" ht="30" hidden="false" customHeight="false" outlineLevel="0" collapsed="false">
      <c r="A7453" s="571" t="s">
        <v>1302</v>
      </c>
      <c r="B7453" s="492" t="s">
        <v>3409</v>
      </c>
      <c r="C7453" s="492" t="s">
        <v>5392</v>
      </c>
      <c r="D7453" s="820" t="s">
        <v>4348</v>
      </c>
      <c r="E7453" s="820" t="n">
        <v>1</v>
      </c>
      <c r="F7453" s="729" t="n">
        <v>300</v>
      </c>
      <c r="G7453" s="826" t="n">
        <f aca="false">E7453*F7453</f>
        <v>300</v>
      </c>
      <c r="H7453" s="606"/>
    </row>
    <row r="7454" customFormat="false" ht="30" hidden="false" customHeight="false" outlineLevel="0" collapsed="false">
      <c r="A7454" s="571" t="s">
        <v>1304</v>
      </c>
      <c r="B7454" s="492" t="s">
        <v>3410</v>
      </c>
      <c r="C7454" s="492" t="s">
        <v>5392</v>
      </c>
      <c r="D7454" s="820" t="s">
        <v>4348</v>
      </c>
      <c r="E7454" s="820" t="n">
        <v>1</v>
      </c>
      <c r="F7454" s="729" t="n">
        <v>300</v>
      </c>
      <c r="G7454" s="826" t="n">
        <f aca="false">E7454*F7454</f>
        <v>300</v>
      </c>
      <c r="H7454" s="606"/>
    </row>
    <row r="7455" customFormat="false" ht="30" hidden="false" customHeight="false" outlineLevel="0" collapsed="false">
      <c r="A7455" s="571" t="s">
        <v>1306</v>
      </c>
      <c r="B7455" s="492" t="s">
        <v>3411</v>
      </c>
      <c r="C7455" s="492" t="s">
        <v>5392</v>
      </c>
      <c r="D7455" s="820" t="s">
        <v>4348</v>
      </c>
      <c r="E7455" s="820" t="n">
        <v>1</v>
      </c>
      <c r="F7455" s="729" t="n">
        <v>300</v>
      </c>
      <c r="G7455" s="826" t="n">
        <f aca="false">E7455*F7455</f>
        <v>300</v>
      </c>
      <c r="H7455" s="606"/>
    </row>
    <row r="7456" customFormat="false" ht="30" hidden="false" customHeight="false" outlineLevel="0" collapsed="false">
      <c r="A7456" s="571" t="s">
        <v>1308</v>
      </c>
      <c r="B7456" s="492" t="s">
        <v>3412</v>
      </c>
      <c r="C7456" s="492" t="s">
        <v>5392</v>
      </c>
      <c r="D7456" s="820" t="s">
        <v>4348</v>
      </c>
      <c r="E7456" s="820" t="n">
        <v>1</v>
      </c>
      <c r="F7456" s="729" t="n">
        <v>300</v>
      </c>
      <c r="G7456" s="826" t="n">
        <f aca="false">E7456*F7456</f>
        <v>300</v>
      </c>
      <c r="H7456" s="629"/>
    </row>
    <row r="7457" customFormat="false" ht="45" hidden="false" customHeight="false" outlineLevel="0" collapsed="false">
      <c r="A7457" s="571" t="s">
        <v>1310</v>
      </c>
      <c r="B7457" s="498" t="s">
        <v>3413</v>
      </c>
      <c r="C7457" s="492" t="s">
        <v>5393</v>
      </c>
      <c r="D7457" s="820" t="s">
        <v>4348</v>
      </c>
      <c r="E7457" s="820" t="n">
        <v>1</v>
      </c>
      <c r="F7457" s="729" t="n">
        <v>300</v>
      </c>
      <c r="G7457" s="826" t="n">
        <f aca="false">E7457*F7457</f>
        <v>300</v>
      </c>
      <c r="H7457" s="635"/>
    </row>
    <row r="7458" customFormat="false" ht="45" hidden="false" customHeight="false" outlineLevel="0" collapsed="false">
      <c r="A7458" s="571" t="s">
        <v>1312</v>
      </c>
      <c r="B7458" s="492" t="s">
        <v>3414</v>
      </c>
      <c r="C7458" s="492" t="s">
        <v>5393</v>
      </c>
      <c r="D7458" s="820" t="s">
        <v>4348</v>
      </c>
      <c r="E7458" s="820" t="n">
        <v>1</v>
      </c>
      <c r="F7458" s="729" t="n">
        <v>300</v>
      </c>
      <c r="G7458" s="826" t="n">
        <f aca="false">E7458*F7458</f>
        <v>300</v>
      </c>
      <c r="H7458" s="629"/>
    </row>
    <row r="7459" customFormat="false" ht="45" hidden="false" customHeight="false" outlineLevel="0" collapsed="false">
      <c r="A7459" s="571" t="s">
        <v>1314</v>
      </c>
      <c r="B7459" s="492" t="s">
        <v>3415</v>
      </c>
      <c r="C7459" s="492" t="s">
        <v>5393</v>
      </c>
      <c r="D7459" s="820" t="s">
        <v>4348</v>
      </c>
      <c r="E7459" s="820" t="n">
        <v>1</v>
      </c>
      <c r="F7459" s="729" t="n">
        <v>300</v>
      </c>
      <c r="G7459" s="826" t="n">
        <f aca="false">E7459*F7459</f>
        <v>300</v>
      </c>
      <c r="H7459" s="633"/>
    </row>
    <row r="7460" customFormat="false" ht="30" hidden="false" customHeight="false" outlineLevel="0" collapsed="false">
      <c r="A7460" s="571" t="s">
        <v>1316</v>
      </c>
      <c r="B7460" s="921" t="s">
        <v>3416</v>
      </c>
      <c r="C7460" s="492" t="s">
        <v>5392</v>
      </c>
      <c r="D7460" s="820" t="s">
        <v>4348</v>
      </c>
      <c r="E7460" s="820" t="n">
        <v>1</v>
      </c>
      <c r="F7460" s="729" t="n">
        <v>300</v>
      </c>
      <c r="G7460" s="826" t="n">
        <f aca="false">E7460*F7460</f>
        <v>300</v>
      </c>
      <c r="H7460" s="635"/>
    </row>
    <row r="7461" customFormat="false" ht="30" hidden="false" customHeight="false" outlineLevel="0" collapsed="false">
      <c r="A7461" s="571" t="s">
        <v>1318</v>
      </c>
      <c r="B7461" s="489" t="s">
        <v>3417</v>
      </c>
      <c r="C7461" s="492" t="s">
        <v>5394</v>
      </c>
      <c r="D7461" s="820" t="s">
        <v>4348</v>
      </c>
      <c r="E7461" s="820" t="n">
        <v>1</v>
      </c>
      <c r="F7461" s="697" t="n">
        <v>15</v>
      </c>
      <c r="G7461" s="826" t="n">
        <f aca="false">E7461*F7461</f>
        <v>15</v>
      </c>
      <c r="H7461" s="680"/>
    </row>
    <row r="7462" customFormat="false" ht="28.5" hidden="false" customHeight="false" outlineLevel="0" collapsed="false">
      <c r="A7462" s="343" t="s">
        <v>1320</v>
      </c>
      <c r="B7462" s="917" t="s">
        <v>3418</v>
      </c>
      <c r="C7462" s="917"/>
      <c r="D7462" s="918"/>
      <c r="E7462" s="918"/>
      <c r="F7462" s="516"/>
      <c r="G7462" s="919"/>
      <c r="H7462" s="917"/>
    </row>
    <row r="7463" customFormat="false" ht="57" hidden="false" customHeight="false" outlineLevel="0" collapsed="false">
      <c r="A7463" s="350" t="s">
        <v>1322</v>
      </c>
      <c r="B7463" s="510" t="s">
        <v>3419</v>
      </c>
      <c r="C7463" s="510"/>
      <c r="D7463" s="350"/>
      <c r="E7463" s="350"/>
      <c r="F7463" s="519"/>
      <c r="G7463" s="753"/>
      <c r="H7463" s="510"/>
    </row>
    <row r="7464" customFormat="false" ht="15" hidden="false" customHeight="false" outlineLevel="0" collapsed="false">
      <c r="A7464" s="571" t="s">
        <v>5395</v>
      </c>
      <c r="B7464" s="915" t="s">
        <v>3420</v>
      </c>
      <c r="C7464" s="709" t="s">
        <v>5396</v>
      </c>
      <c r="D7464" s="737" t="s">
        <v>4138</v>
      </c>
      <c r="E7464" s="737" t="n">
        <v>0.02</v>
      </c>
      <c r="F7464" s="729" t="n">
        <v>4500</v>
      </c>
      <c r="G7464" s="922" t="n">
        <f aca="false">E7464*F7464</f>
        <v>90</v>
      </c>
      <c r="H7464" s="640"/>
    </row>
    <row r="7465" customFormat="false" ht="15" hidden="false" customHeight="false" outlineLevel="0" collapsed="false">
      <c r="A7465" s="571"/>
      <c r="B7465" s="915"/>
      <c r="C7465" s="709" t="s">
        <v>5397</v>
      </c>
      <c r="D7465" s="737" t="s">
        <v>4138</v>
      </c>
      <c r="E7465" s="737" t="n">
        <v>0.02</v>
      </c>
      <c r="F7465" s="923" t="n">
        <v>6500</v>
      </c>
      <c r="G7465" s="922" t="n">
        <f aca="false">E7465*F7465</f>
        <v>130</v>
      </c>
      <c r="H7465" s="640"/>
    </row>
    <row r="7466" customFormat="false" ht="15" hidden="false" customHeight="false" outlineLevel="0" collapsed="false">
      <c r="A7466" s="571"/>
      <c r="B7466" s="913" t="s">
        <v>4128</v>
      </c>
      <c r="C7466" s="913"/>
      <c r="D7466" s="380"/>
      <c r="E7466" s="380"/>
      <c r="F7466" s="366"/>
      <c r="G7466" s="711" t="n">
        <f aca="false">SUM(G7464:G7465)</f>
        <v>220</v>
      </c>
      <c r="H7466" s="640"/>
    </row>
    <row r="7467" customFormat="false" ht="15" hidden="false" customHeight="false" outlineLevel="0" collapsed="false">
      <c r="A7467" s="571" t="s">
        <v>5398</v>
      </c>
      <c r="B7467" s="532" t="s">
        <v>3421</v>
      </c>
      <c r="C7467" s="709" t="s">
        <v>4171</v>
      </c>
      <c r="D7467" s="679" t="s">
        <v>4359</v>
      </c>
      <c r="E7467" s="679" t="n">
        <v>0.016</v>
      </c>
      <c r="F7467" s="369" t="n">
        <v>2500</v>
      </c>
      <c r="G7467" s="924" t="n">
        <f aca="false">E7467*F7467</f>
        <v>40</v>
      </c>
      <c r="H7467" s="593"/>
    </row>
    <row r="7468" customFormat="false" ht="15" hidden="false" customHeight="false" outlineLevel="0" collapsed="false">
      <c r="A7468" s="571" t="s">
        <v>5399</v>
      </c>
      <c r="B7468" s="532" t="s">
        <v>3422</v>
      </c>
      <c r="C7468" s="709" t="s">
        <v>5400</v>
      </c>
      <c r="D7468" s="679" t="s">
        <v>4133</v>
      </c>
      <c r="E7468" s="679" t="n">
        <v>0.005</v>
      </c>
      <c r="F7468" s="369" t="n">
        <v>20110</v>
      </c>
      <c r="G7468" s="922" t="n">
        <f aca="false">E7468*F7468</f>
        <v>100.55</v>
      </c>
      <c r="H7468" s="593"/>
    </row>
    <row r="7469" customFormat="false" ht="15" hidden="false" customHeight="false" outlineLevel="0" collapsed="false">
      <c r="A7469" s="571"/>
      <c r="B7469" s="522"/>
      <c r="C7469" s="709" t="s">
        <v>5255</v>
      </c>
      <c r="D7469" s="679" t="s">
        <v>4133</v>
      </c>
      <c r="E7469" s="679" t="n">
        <v>0.01</v>
      </c>
      <c r="F7469" s="369" t="n">
        <v>1600</v>
      </c>
      <c r="G7469" s="922" t="n">
        <f aca="false">E7469*F7469</f>
        <v>16</v>
      </c>
      <c r="H7469" s="593"/>
    </row>
    <row r="7470" customFormat="false" ht="15" hidden="false" customHeight="false" outlineLevel="0" collapsed="false">
      <c r="A7470" s="571"/>
      <c r="B7470" s="522"/>
      <c r="C7470" s="709" t="s">
        <v>5401</v>
      </c>
      <c r="D7470" s="679" t="s">
        <v>4133</v>
      </c>
      <c r="E7470" s="679" t="n">
        <v>0.01</v>
      </c>
      <c r="F7470" s="369" t="n">
        <v>4500</v>
      </c>
      <c r="G7470" s="922" t="n">
        <f aca="false">E7470*F7470</f>
        <v>45</v>
      </c>
      <c r="H7470" s="593"/>
    </row>
    <row r="7471" customFormat="false" ht="15" hidden="false" customHeight="false" outlineLevel="0" collapsed="false">
      <c r="A7471" s="571"/>
      <c r="B7471" s="708" t="s">
        <v>4128</v>
      </c>
      <c r="C7471" s="718"/>
      <c r="D7471" s="719"/>
      <c r="E7471" s="719"/>
      <c r="F7471" s="366"/>
      <c r="G7471" s="711" t="n">
        <f aca="false">SUM(G7468:G7470)</f>
        <v>161.55</v>
      </c>
      <c r="H7471" s="618"/>
    </row>
    <row r="7472" customFormat="false" ht="15" hidden="false" customHeight="false" outlineLevel="0" collapsed="false">
      <c r="A7472" s="571" t="s">
        <v>1329</v>
      </c>
      <c r="B7472" s="522" t="s">
        <v>3423</v>
      </c>
      <c r="C7472" s="718"/>
      <c r="D7472" s="719"/>
      <c r="E7472" s="719"/>
      <c r="F7472" s="366"/>
      <c r="G7472" s="711"/>
      <c r="H7472" s="618"/>
    </row>
    <row r="7473" customFormat="false" ht="15" hidden="false" customHeight="false" outlineLevel="0" collapsed="false">
      <c r="A7473" s="571" t="s">
        <v>5402</v>
      </c>
      <c r="B7473" s="522" t="s">
        <v>3424</v>
      </c>
      <c r="C7473" s="718"/>
      <c r="D7473" s="719"/>
      <c r="E7473" s="719"/>
      <c r="F7473" s="366"/>
      <c r="G7473" s="711"/>
      <c r="H7473" s="618"/>
    </row>
    <row r="7474" customFormat="false" ht="15" hidden="false" customHeight="false" outlineLevel="0" collapsed="false">
      <c r="A7474" s="571" t="s">
        <v>5403</v>
      </c>
      <c r="B7474" s="433" t="s">
        <v>3425</v>
      </c>
      <c r="C7474" s="614" t="s">
        <v>4171</v>
      </c>
      <c r="D7474" s="606" t="s">
        <v>4359</v>
      </c>
      <c r="E7474" s="606" t="n">
        <v>0.012</v>
      </c>
      <c r="F7474" s="361" t="n">
        <v>2500</v>
      </c>
      <c r="G7474" s="925" t="n">
        <f aca="false">E7474*F7474</f>
        <v>30</v>
      </c>
      <c r="H7474" s="593"/>
    </row>
    <row r="7475" customFormat="false" ht="15" hidden="false" customHeight="false" outlineLevel="0" collapsed="false">
      <c r="A7475" s="571" t="s">
        <v>5404</v>
      </c>
      <c r="B7475" s="433" t="s">
        <v>3426</v>
      </c>
      <c r="C7475" s="614" t="s">
        <v>5405</v>
      </c>
      <c r="D7475" s="606" t="s">
        <v>4138</v>
      </c>
      <c r="E7475" s="606" t="n">
        <v>0.1</v>
      </c>
      <c r="F7475" s="361" t="n">
        <v>4900</v>
      </c>
      <c r="G7475" s="926" t="n">
        <f aca="false">E7475*F7475</f>
        <v>490</v>
      </c>
      <c r="H7475" s="593"/>
    </row>
    <row r="7476" customFormat="false" ht="15" hidden="false" customHeight="false" outlineLevel="0" collapsed="false">
      <c r="A7476" s="571"/>
      <c r="B7476" s="500"/>
      <c r="C7476" s="614" t="s">
        <v>4933</v>
      </c>
      <c r="D7476" s="606" t="s">
        <v>4138</v>
      </c>
      <c r="E7476" s="606" t="n">
        <v>0.1</v>
      </c>
      <c r="F7476" s="361" t="n">
        <v>4200</v>
      </c>
      <c r="G7476" s="926" t="n">
        <f aca="false">E7476*F7476</f>
        <v>420</v>
      </c>
      <c r="H7476" s="593"/>
    </row>
    <row r="7477" customFormat="false" ht="15" hidden="false" customHeight="false" outlineLevel="0" collapsed="false">
      <c r="A7477" s="571"/>
      <c r="B7477" s="500"/>
      <c r="C7477" s="614" t="s">
        <v>4147</v>
      </c>
      <c r="D7477" s="606" t="s">
        <v>4138</v>
      </c>
      <c r="E7477" s="606" t="n">
        <v>0.01</v>
      </c>
      <c r="F7477" s="361" t="n">
        <v>3500</v>
      </c>
      <c r="G7477" s="926" t="n">
        <f aca="false">E7477*F7477</f>
        <v>35</v>
      </c>
      <c r="H7477" s="593"/>
    </row>
    <row r="7478" customFormat="false" ht="15" hidden="false" customHeight="false" outlineLevel="0" collapsed="false">
      <c r="A7478" s="571"/>
      <c r="B7478" s="608" t="s">
        <v>4128</v>
      </c>
      <c r="C7478" s="609"/>
      <c r="D7478" s="610"/>
      <c r="E7478" s="610"/>
      <c r="F7478" s="612"/>
      <c r="G7478" s="613" t="n">
        <f aca="false">SUM(G7475:G7477)</f>
        <v>945</v>
      </c>
      <c r="H7478" s="610"/>
    </row>
    <row r="7479" customFormat="false" ht="15" hidden="false" customHeight="false" outlineLevel="0" collapsed="false">
      <c r="A7479" s="571" t="s">
        <v>5406</v>
      </c>
      <c r="B7479" s="433" t="s">
        <v>5407</v>
      </c>
      <c r="C7479" s="614" t="s">
        <v>5408</v>
      </c>
      <c r="D7479" s="606" t="s">
        <v>4138</v>
      </c>
      <c r="E7479" s="606" t="n">
        <v>0.01</v>
      </c>
      <c r="F7479" s="361" t="n">
        <v>1500</v>
      </c>
      <c r="G7479" s="926" t="n">
        <f aca="false">E7479*F7479</f>
        <v>15</v>
      </c>
      <c r="H7479" s="593"/>
    </row>
    <row r="7480" customFormat="false" ht="15" hidden="false" customHeight="false" outlineLevel="0" collapsed="false">
      <c r="A7480" s="571"/>
      <c r="B7480" s="433"/>
      <c r="C7480" s="614" t="s">
        <v>4269</v>
      </c>
      <c r="D7480" s="606" t="s">
        <v>4359</v>
      </c>
      <c r="E7480" s="606" t="n">
        <v>0.001</v>
      </c>
      <c r="F7480" s="361" t="n">
        <v>2660</v>
      </c>
      <c r="G7480" s="926" t="n">
        <f aca="false">E7480*F7480</f>
        <v>2.66</v>
      </c>
      <c r="H7480" s="593"/>
    </row>
    <row r="7481" customFormat="false" ht="15" hidden="false" customHeight="false" outlineLevel="0" collapsed="false">
      <c r="A7481" s="571"/>
      <c r="B7481" s="500"/>
      <c r="C7481" s="614" t="s">
        <v>4171</v>
      </c>
      <c r="D7481" s="606" t="s">
        <v>4359</v>
      </c>
      <c r="E7481" s="606" t="n">
        <v>0.08</v>
      </c>
      <c r="F7481" s="361" t="n">
        <v>2500</v>
      </c>
      <c r="G7481" s="926" t="n">
        <f aca="false">E7481*F7481</f>
        <v>200</v>
      </c>
      <c r="H7481" s="593"/>
    </row>
    <row r="7482" customFormat="false" ht="15" hidden="false" customHeight="false" outlineLevel="0" collapsed="false">
      <c r="A7482" s="571"/>
      <c r="B7482" s="500"/>
      <c r="C7482" s="614" t="s">
        <v>4536</v>
      </c>
      <c r="D7482" s="606" t="s">
        <v>4359</v>
      </c>
      <c r="E7482" s="606" t="n">
        <v>0.005</v>
      </c>
      <c r="F7482" s="361" t="n">
        <v>999</v>
      </c>
      <c r="G7482" s="926" t="n">
        <f aca="false">E7482*F7482</f>
        <v>4.995</v>
      </c>
      <c r="H7482" s="593"/>
    </row>
    <row r="7483" customFormat="false" ht="15" hidden="false" customHeight="false" outlineLevel="0" collapsed="false">
      <c r="A7483" s="571"/>
      <c r="B7483" s="500"/>
      <c r="C7483" s="614" t="s">
        <v>5409</v>
      </c>
      <c r="D7483" s="606" t="s">
        <v>4138</v>
      </c>
      <c r="E7483" s="606" t="n">
        <v>1</v>
      </c>
      <c r="F7483" s="361" t="n">
        <v>784</v>
      </c>
      <c r="G7483" s="926" t="n">
        <f aca="false">E7483*F7483</f>
        <v>784</v>
      </c>
      <c r="H7483" s="593"/>
    </row>
    <row r="7484" customFormat="false" ht="15" hidden="false" customHeight="false" outlineLevel="0" collapsed="false">
      <c r="A7484" s="571"/>
      <c r="B7484" s="500"/>
      <c r="C7484" s="614" t="s">
        <v>4154</v>
      </c>
      <c r="D7484" s="606" t="s">
        <v>4359</v>
      </c>
      <c r="E7484" s="606" t="n">
        <v>0.01</v>
      </c>
      <c r="F7484" s="361" t="n">
        <v>5500</v>
      </c>
      <c r="G7484" s="926" t="n">
        <f aca="false">E7484*F7484</f>
        <v>55</v>
      </c>
      <c r="H7484" s="593"/>
    </row>
    <row r="7485" customFormat="false" ht="15" hidden="false" customHeight="false" outlineLevel="0" collapsed="false">
      <c r="A7485" s="571"/>
      <c r="B7485" s="500"/>
      <c r="C7485" s="614" t="s">
        <v>4277</v>
      </c>
      <c r="D7485" s="606" t="s">
        <v>4133</v>
      </c>
      <c r="E7485" s="606" t="n">
        <v>0.007</v>
      </c>
      <c r="F7485" s="361" t="n">
        <v>2882</v>
      </c>
      <c r="G7485" s="926" t="n">
        <f aca="false">E7485*F7485</f>
        <v>20.174</v>
      </c>
      <c r="H7485" s="593"/>
    </row>
    <row r="7486" customFormat="false" ht="15" hidden="false" customHeight="false" outlineLevel="0" collapsed="false">
      <c r="A7486" s="571"/>
      <c r="B7486" s="608" t="s">
        <v>4128</v>
      </c>
      <c r="C7486" s="609"/>
      <c r="D7486" s="610"/>
      <c r="E7486" s="610"/>
      <c r="F7486" s="612"/>
      <c r="G7486" s="613" t="n">
        <f aca="false">SUM(G7479:G7485)</f>
        <v>1081.829</v>
      </c>
      <c r="H7486" s="618"/>
    </row>
    <row r="7487" customFormat="false" ht="15" hidden="false" customHeight="false" outlineLevel="0" collapsed="false">
      <c r="A7487" s="571" t="s">
        <v>5410</v>
      </c>
      <c r="B7487" s="433" t="s">
        <v>5411</v>
      </c>
      <c r="C7487" s="614" t="s">
        <v>4652</v>
      </c>
      <c r="D7487" s="606" t="s">
        <v>4133</v>
      </c>
      <c r="E7487" s="606" t="n">
        <v>0.001</v>
      </c>
      <c r="F7487" s="361" t="n">
        <v>5358</v>
      </c>
      <c r="G7487" s="926" t="n">
        <f aca="false">E7487*F7487</f>
        <v>5.358</v>
      </c>
      <c r="H7487" s="593"/>
    </row>
    <row r="7488" customFormat="false" ht="15" hidden="false" customHeight="false" outlineLevel="0" collapsed="false">
      <c r="A7488" s="571"/>
      <c r="B7488" s="500"/>
      <c r="C7488" s="614" t="s">
        <v>5059</v>
      </c>
      <c r="D7488" s="606" t="s">
        <v>4359</v>
      </c>
      <c r="E7488" s="606" t="n">
        <v>0.005</v>
      </c>
      <c r="F7488" s="361" t="n">
        <v>999</v>
      </c>
      <c r="G7488" s="926" t="n">
        <f aca="false">E7488*F7488</f>
        <v>4.995</v>
      </c>
      <c r="H7488" s="593"/>
    </row>
    <row r="7489" customFormat="false" ht="30" hidden="false" customHeight="false" outlineLevel="0" collapsed="false">
      <c r="A7489" s="571"/>
      <c r="B7489" s="500"/>
      <c r="C7489" s="614" t="s">
        <v>5412</v>
      </c>
      <c r="D7489" s="606" t="s">
        <v>4133</v>
      </c>
      <c r="E7489" s="606" t="n">
        <v>0.005</v>
      </c>
      <c r="F7489" s="361" t="n">
        <v>33320</v>
      </c>
      <c r="G7489" s="926" t="n">
        <f aca="false">E7489*F7489</f>
        <v>166.6</v>
      </c>
      <c r="H7489" s="593"/>
    </row>
    <row r="7490" customFormat="false" ht="15" hidden="false" customHeight="false" outlineLevel="0" collapsed="false">
      <c r="A7490" s="571"/>
      <c r="B7490" s="500"/>
      <c r="C7490" s="614" t="s">
        <v>4236</v>
      </c>
      <c r="D7490" s="606" t="s">
        <v>4133</v>
      </c>
      <c r="E7490" s="606" t="n">
        <v>0.125</v>
      </c>
      <c r="F7490" s="361" t="n">
        <v>1617</v>
      </c>
      <c r="G7490" s="926" t="n">
        <f aca="false">E7490*F7490</f>
        <v>202.125</v>
      </c>
      <c r="H7490" s="593"/>
    </row>
    <row r="7491" customFormat="false" ht="15" hidden="false" customHeight="false" outlineLevel="0" collapsed="false">
      <c r="A7491" s="571"/>
      <c r="B7491" s="500"/>
      <c r="C7491" s="614" t="s">
        <v>5413</v>
      </c>
      <c r="D7491" s="606" t="s">
        <v>4138</v>
      </c>
      <c r="E7491" s="606" t="n">
        <v>1</v>
      </c>
      <c r="F7491" s="361" t="n">
        <v>1500</v>
      </c>
      <c r="G7491" s="926" t="n">
        <f aca="false">E7491*F7491</f>
        <v>1500</v>
      </c>
      <c r="H7491" s="593"/>
    </row>
    <row r="7492" customFormat="false" ht="15" hidden="false" customHeight="false" outlineLevel="0" collapsed="false">
      <c r="A7492" s="571"/>
      <c r="B7492" s="500"/>
      <c r="C7492" s="614" t="s">
        <v>4154</v>
      </c>
      <c r="D7492" s="606" t="s">
        <v>4392</v>
      </c>
      <c r="E7492" s="606" t="n">
        <v>0.001</v>
      </c>
      <c r="F7492" s="361" t="n">
        <v>5500</v>
      </c>
      <c r="G7492" s="926" t="n">
        <f aca="false">E7492*F7492</f>
        <v>5.5</v>
      </c>
      <c r="H7492" s="593"/>
    </row>
    <row r="7493" customFormat="false" ht="15" hidden="false" customHeight="false" outlineLevel="0" collapsed="false">
      <c r="A7493" s="571"/>
      <c r="B7493" s="608" t="s">
        <v>4128</v>
      </c>
      <c r="C7493" s="609"/>
      <c r="D7493" s="610"/>
      <c r="E7493" s="610"/>
      <c r="F7493" s="612"/>
      <c r="G7493" s="613" t="n">
        <f aca="false">SUM(G7487:G7492)</f>
        <v>1884.578</v>
      </c>
      <c r="H7493" s="610"/>
    </row>
    <row r="7494" customFormat="false" ht="15" hidden="false" customHeight="false" outlineLevel="0" collapsed="false">
      <c r="A7494" s="571" t="s">
        <v>5414</v>
      </c>
      <c r="B7494" s="433" t="s">
        <v>3429</v>
      </c>
      <c r="C7494" s="614" t="s">
        <v>5415</v>
      </c>
      <c r="D7494" s="606" t="s">
        <v>4138</v>
      </c>
      <c r="E7494" s="606" t="n">
        <v>1</v>
      </c>
      <c r="F7494" s="361" t="n">
        <v>1500</v>
      </c>
      <c r="G7494" s="926" t="n">
        <f aca="false">E7494*F7494</f>
        <v>1500</v>
      </c>
      <c r="H7494" s="593"/>
    </row>
    <row r="7495" customFormat="false" ht="15" hidden="false" customHeight="false" outlineLevel="0" collapsed="false">
      <c r="A7495" s="571"/>
      <c r="B7495" s="500"/>
      <c r="C7495" s="614" t="s">
        <v>4154</v>
      </c>
      <c r="D7495" s="606" t="s">
        <v>4359</v>
      </c>
      <c r="E7495" s="606" t="n">
        <v>0.002</v>
      </c>
      <c r="F7495" s="361" t="n">
        <v>5500</v>
      </c>
      <c r="G7495" s="926" t="n">
        <f aca="false">E7495*F7495</f>
        <v>11</v>
      </c>
      <c r="H7495" s="593"/>
    </row>
    <row r="7496" customFormat="false" ht="15" hidden="false" customHeight="false" outlineLevel="0" collapsed="false">
      <c r="A7496" s="571"/>
      <c r="B7496" s="500"/>
      <c r="C7496" s="614" t="s">
        <v>4270</v>
      </c>
      <c r="D7496" s="606" t="s">
        <v>4359</v>
      </c>
      <c r="E7496" s="606" t="n">
        <v>0.005</v>
      </c>
      <c r="F7496" s="361" t="n">
        <v>1540</v>
      </c>
      <c r="G7496" s="926" t="n">
        <f aca="false">E7496*F7496</f>
        <v>7.7</v>
      </c>
      <c r="H7496" s="593"/>
    </row>
    <row r="7497" customFormat="false" ht="15" hidden="false" customHeight="false" outlineLevel="0" collapsed="false">
      <c r="A7497" s="571"/>
      <c r="B7497" s="500"/>
      <c r="C7497" s="614" t="s">
        <v>4171</v>
      </c>
      <c r="D7497" s="606" t="s">
        <v>4359</v>
      </c>
      <c r="E7497" s="606" t="n">
        <v>0.01</v>
      </c>
      <c r="F7497" s="361" t="n">
        <v>2500</v>
      </c>
      <c r="G7497" s="926" t="n">
        <f aca="false">E7497*F7497</f>
        <v>25</v>
      </c>
      <c r="H7497" s="593"/>
    </row>
    <row r="7498" customFormat="false" ht="15" hidden="false" customHeight="false" outlineLevel="0" collapsed="false">
      <c r="A7498" s="571"/>
      <c r="B7498" s="500"/>
      <c r="C7498" s="614" t="s">
        <v>5416</v>
      </c>
      <c r="D7498" s="606" t="s">
        <v>4133</v>
      </c>
      <c r="E7498" s="606" t="n">
        <v>0.003</v>
      </c>
      <c r="F7498" s="361" t="n">
        <v>5000</v>
      </c>
      <c r="G7498" s="926" t="n">
        <f aca="false">E7498*F7498</f>
        <v>15</v>
      </c>
      <c r="H7498" s="593"/>
    </row>
    <row r="7499" customFormat="false" ht="15" hidden="false" customHeight="false" outlineLevel="0" collapsed="false">
      <c r="A7499" s="571"/>
      <c r="B7499" s="608" t="s">
        <v>4128</v>
      </c>
      <c r="C7499" s="609"/>
      <c r="D7499" s="610"/>
      <c r="E7499" s="610"/>
      <c r="F7499" s="612"/>
      <c r="G7499" s="613" t="n">
        <f aca="false">SUM(G7494:G7498)</f>
        <v>1558.7</v>
      </c>
      <c r="H7499" s="610"/>
    </row>
    <row r="7500" customFormat="false" ht="15" hidden="false" customHeight="false" outlineLevel="0" collapsed="false">
      <c r="A7500" s="571" t="s">
        <v>5417</v>
      </c>
      <c r="B7500" s="433" t="s">
        <v>3430</v>
      </c>
      <c r="C7500" s="614" t="s">
        <v>5418</v>
      </c>
      <c r="D7500" s="606" t="s">
        <v>4138</v>
      </c>
      <c r="E7500" s="606" t="n">
        <v>0.5</v>
      </c>
      <c r="F7500" s="361" t="n">
        <v>1500</v>
      </c>
      <c r="G7500" s="926" t="n">
        <f aca="false">E7500*F7500</f>
        <v>750</v>
      </c>
      <c r="H7500" s="593"/>
    </row>
    <row r="7501" customFormat="false" ht="15" hidden="false" customHeight="false" outlineLevel="0" collapsed="false">
      <c r="A7501" s="571"/>
      <c r="B7501" s="500"/>
      <c r="C7501" s="614" t="s">
        <v>4171</v>
      </c>
      <c r="D7501" s="606" t="s">
        <v>4359</v>
      </c>
      <c r="E7501" s="606" t="n">
        <v>0.15</v>
      </c>
      <c r="F7501" s="361" t="n">
        <v>2500</v>
      </c>
      <c r="G7501" s="926" t="n">
        <f aca="false">E7501*F7501</f>
        <v>375</v>
      </c>
      <c r="H7501" s="593"/>
    </row>
    <row r="7502" customFormat="false" ht="15" hidden="false" customHeight="false" outlineLevel="0" collapsed="false">
      <c r="A7502" s="571"/>
      <c r="B7502" s="500"/>
      <c r="C7502" s="614" t="s">
        <v>4536</v>
      </c>
      <c r="D7502" s="606" t="s">
        <v>4359</v>
      </c>
      <c r="E7502" s="606" t="n">
        <v>0.2</v>
      </c>
      <c r="F7502" s="361" t="n">
        <v>999</v>
      </c>
      <c r="G7502" s="926" t="n">
        <f aca="false">E7502*F7502</f>
        <v>199.8</v>
      </c>
      <c r="H7502" s="593"/>
    </row>
    <row r="7503" customFormat="false" ht="15" hidden="false" customHeight="false" outlineLevel="0" collapsed="false">
      <c r="A7503" s="571"/>
      <c r="B7503" s="608" t="s">
        <v>4128</v>
      </c>
      <c r="C7503" s="609"/>
      <c r="D7503" s="610"/>
      <c r="E7503" s="610"/>
      <c r="F7503" s="612"/>
      <c r="G7503" s="613" t="n">
        <f aca="false">SUM(G7500:G7502)</f>
        <v>1324.8</v>
      </c>
      <c r="H7503" s="618"/>
    </row>
    <row r="7504" customFormat="false" ht="15" hidden="false" customHeight="false" outlineLevel="0" collapsed="false">
      <c r="A7504" s="571" t="s">
        <v>5419</v>
      </c>
      <c r="B7504" s="433" t="s">
        <v>3431</v>
      </c>
      <c r="C7504" s="614" t="s">
        <v>4628</v>
      </c>
      <c r="D7504" s="606" t="s">
        <v>4133</v>
      </c>
      <c r="E7504" s="606" t="n">
        <v>0.03</v>
      </c>
      <c r="F7504" s="361" t="n">
        <v>2553</v>
      </c>
      <c r="G7504" s="926" t="n">
        <f aca="false">E7504*F7504</f>
        <v>76.59</v>
      </c>
      <c r="H7504" s="593"/>
    </row>
    <row r="7505" customFormat="false" ht="15" hidden="false" customHeight="false" outlineLevel="0" collapsed="false">
      <c r="A7505" s="571"/>
      <c r="B7505" s="500"/>
      <c r="C7505" s="614" t="s">
        <v>5051</v>
      </c>
      <c r="D7505" s="606" t="s">
        <v>4133</v>
      </c>
      <c r="E7505" s="606" t="n">
        <v>0.03</v>
      </c>
      <c r="F7505" s="361" t="n">
        <v>1617</v>
      </c>
      <c r="G7505" s="926" t="n">
        <f aca="false">E7505*F7505</f>
        <v>48.51</v>
      </c>
      <c r="H7505" s="593"/>
    </row>
    <row r="7506" customFormat="false" ht="15" hidden="false" customHeight="false" outlineLevel="0" collapsed="false">
      <c r="A7506" s="571"/>
      <c r="B7506" s="500"/>
      <c r="C7506" s="614" t="s">
        <v>4536</v>
      </c>
      <c r="D7506" s="606" t="s">
        <v>4359</v>
      </c>
      <c r="E7506" s="606" t="n">
        <v>0.01</v>
      </c>
      <c r="F7506" s="361" t="n">
        <v>999</v>
      </c>
      <c r="G7506" s="926" t="n">
        <f aca="false">E7506*F7506</f>
        <v>9.99</v>
      </c>
      <c r="H7506" s="593"/>
    </row>
    <row r="7507" customFormat="false" ht="15" hidden="false" customHeight="false" outlineLevel="0" collapsed="false">
      <c r="A7507" s="571"/>
      <c r="B7507" s="500"/>
      <c r="C7507" s="614" t="s">
        <v>5420</v>
      </c>
      <c r="D7507" s="606" t="s">
        <v>4133</v>
      </c>
      <c r="E7507" s="606" t="n">
        <v>0.1</v>
      </c>
      <c r="F7507" s="361" t="n">
        <v>3640</v>
      </c>
      <c r="G7507" s="926" t="n">
        <f aca="false">E7507*F7507</f>
        <v>364</v>
      </c>
      <c r="H7507" s="593"/>
    </row>
    <row r="7508" customFormat="false" ht="15" hidden="false" customHeight="false" outlineLevel="0" collapsed="false">
      <c r="A7508" s="571"/>
      <c r="B7508" s="500"/>
      <c r="C7508" s="614" t="s">
        <v>5365</v>
      </c>
      <c r="D7508" s="606" t="s">
        <v>4138</v>
      </c>
      <c r="E7508" s="606" t="n">
        <v>1</v>
      </c>
      <c r="F7508" s="361" t="n">
        <v>868</v>
      </c>
      <c r="G7508" s="926" t="n">
        <f aca="false">E7508*F7508</f>
        <v>868</v>
      </c>
      <c r="H7508" s="593"/>
    </row>
    <row r="7509" customFormat="false" ht="15" hidden="false" customHeight="false" outlineLevel="0" collapsed="false">
      <c r="A7509" s="571"/>
      <c r="B7509" s="608" t="s">
        <v>4128</v>
      </c>
      <c r="C7509" s="609"/>
      <c r="D7509" s="610"/>
      <c r="E7509" s="610"/>
      <c r="F7509" s="612"/>
      <c r="G7509" s="613" t="n">
        <f aca="false">SUM(G7504:G7508)</f>
        <v>1367.09</v>
      </c>
      <c r="H7509" s="618"/>
    </row>
    <row r="7510" customFormat="false" ht="15" hidden="false" customHeight="false" outlineLevel="0" collapsed="false">
      <c r="A7510" s="571" t="s">
        <v>1346</v>
      </c>
      <c r="B7510" s="433" t="s">
        <v>3199</v>
      </c>
      <c r="C7510" s="614" t="s">
        <v>5421</v>
      </c>
      <c r="D7510" s="606" t="s">
        <v>4133</v>
      </c>
      <c r="E7510" s="606" t="n">
        <v>0.005</v>
      </c>
      <c r="F7510" s="361" t="n">
        <v>55000</v>
      </c>
      <c r="G7510" s="926" t="n">
        <f aca="false">E7510*F7510</f>
        <v>275</v>
      </c>
      <c r="H7510" s="593"/>
    </row>
    <row r="7511" customFormat="false" ht="15" hidden="false" customHeight="false" outlineLevel="0" collapsed="false">
      <c r="A7511" s="571"/>
      <c r="B7511" s="500"/>
      <c r="C7511" s="614" t="s">
        <v>4204</v>
      </c>
      <c r="D7511" s="606" t="s">
        <v>4133</v>
      </c>
      <c r="E7511" s="606" t="n">
        <v>0.1</v>
      </c>
      <c r="F7511" s="361" t="n">
        <v>2548</v>
      </c>
      <c r="G7511" s="926" t="n">
        <f aca="false">E7511*F7511</f>
        <v>254.8</v>
      </c>
      <c r="H7511" s="593"/>
    </row>
    <row r="7512" customFormat="false" ht="15" hidden="false" customHeight="false" outlineLevel="0" collapsed="false">
      <c r="A7512" s="571"/>
      <c r="B7512" s="500"/>
      <c r="C7512" s="614" t="s">
        <v>4154</v>
      </c>
      <c r="D7512" s="606" t="s">
        <v>4359</v>
      </c>
      <c r="E7512" s="606" t="n">
        <v>0.1</v>
      </c>
      <c r="F7512" s="361" t="n">
        <v>5500</v>
      </c>
      <c r="G7512" s="926" t="n">
        <f aca="false">E7512*F7512</f>
        <v>550</v>
      </c>
      <c r="H7512" s="593"/>
    </row>
    <row r="7513" customFormat="false" ht="15" hidden="false" customHeight="false" outlineLevel="0" collapsed="false">
      <c r="A7513" s="571"/>
      <c r="B7513" s="500"/>
      <c r="C7513" s="614" t="s">
        <v>5422</v>
      </c>
      <c r="D7513" s="606" t="s">
        <v>4138</v>
      </c>
      <c r="E7513" s="606" t="n">
        <v>0.1</v>
      </c>
      <c r="F7513" s="361" t="n">
        <v>798</v>
      </c>
      <c r="G7513" s="926" t="n">
        <f aca="false">E7513*F7513</f>
        <v>79.8</v>
      </c>
      <c r="H7513" s="593"/>
    </row>
    <row r="7514" customFormat="false" ht="15" hidden="false" customHeight="false" outlineLevel="0" collapsed="false">
      <c r="A7514" s="571"/>
      <c r="B7514" s="608" t="s">
        <v>4128</v>
      </c>
      <c r="C7514" s="609"/>
      <c r="D7514" s="610"/>
      <c r="E7514" s="610"/>
      <c r="F7514" s="612"/>
      <c r="G7514" s="613" t="n">
        <f aca="false">SUM(G7510:G7513)</f>
        <v>1159.6</v>
      </c>
      <c r="H7514" s="618"/>
    </row>
    <row r="7515" customFormat="false" ht="15" hidden="false" customHeight="false" outlineLevel="0" collapsed="false">
      <c r="A7515" s="571" t="s">
        <v>5423</v>
      </c>
      <c r="B7515" s="433" t="s">
        <v>5424</v>
      </c>
      <c r="C7515" s="614" t="s">
        <v>5425</v>
      </c>
      <c r="D7515" s="606" t="s">
        <v>4133</v>
      </c>
      <c r="E7515" s="606" t="n">
        <v>0.01</v>
      </c>
      <c r="F7515" s="361" t="n">
        <v>9609</v>
      </c>
      <c r="G7515" s="926" t="n">
        <f aca="false">E7515*F7515</f>
        <v>96.09</v>
      </c>
      <c r="H7515" s="593"/>
    </row>
    <row r="7516" customFormat="false" ht="15" hidden="false" customHeight="false" outlineLevel="0" collapsed="false">
      <c r="A7516" s="571"/>
      <c r="B7516" s="500"/>
      <c r="C7516" s="614" t="s">
        <v>4147</v>
      </c>
      <c r="D7516" s="606" t="s">
        <v>4133</v>
      </c>
      <c r="E7516" s="606" t="n">
        <v>0.001</v>
      </c>
      <c r="F7516" s="361" t="n">
        <v>3500</v>
      </c>
      <c r="G7516" s="926" t="n">
        <f aca="false">E7516*F7516</f>
        <v>3.5</v>
      </c>
      <c r="H7516" s="593"/>
    </row>
    <row r="7517" customFormat="false" ht="15" hidden="false" customHeight="false" outlineLevel="0" collapsed="false">
      <c r="A7517" s="571"/>
      <c r="B7517" s="500"/>
      <c r="C7517" s="614" t="s">
        <v>4236</v>
      </c>
      <c r="D7517" s="606" t="s">
        <v>4133</v>
      </c>
      <c r="E7517" s="606" t="n">
        <v>0.01</v>
      </c>
      <c r="F7517" s="361" t="n">
        <v>1617</v>
      </c>
      <c r="G7517" s="926" t="n">
        <f aca="false">E7517*F7517</f>
        <v>16.17</v>
      </c>
      <c r="H7517" s="593"/>
    </row>
    <row r="7518" customFormat="false" ht="15" hidden="false" customHeight="false" outlineLevel="0" collapsed="false">
      <c r="A7518" s="571"/>
      <c r="B7518" s="500"/>
      <c r="C7518" s="614" t="s">
        <v>5426</v>
      </c>
      <c r="D7518" s="606" t="s">
        <v>4133</v>
      </c>
      <c r="E7518" s="606" t="n">
        <v>0.001</v>
      </c>
      <c r="F7518" s="361" t="n">
        <v>490000</v>
      </c>
      <c r="G7518" s="926" t="n">
        <f aca="false">E7518*F7518</f>
        <v>490</v>
      </c>
      <c r="H7518" s="593"/>
    </row>
    <row r="7519" customFormat="false" ht="15" hidden="false" customHeight="false" outlineLevel="0" collapsed="false">
      <c r="A7519" s="571"/>
      <c r="B7519" s="500"/>
      <c r="C7519" s="614" t="s">
        <v>4171</v>
      </c>
      <c r="D7519" s="606" t="s">
        <v>4359</v>
      </c>
      <c r="E7519" s="606" t="n">
        <v>0.001</v>
      </c>
      <c r="F7519" s="361" t="n">
        <v>2500</v>
      </c>
      <c r="G7519" s="926" t="n">
        <f aca="false">E7519*F7519</f>
        <v>2.5</v>
      </c>
      <c r="H7519" s="593"/>
    </row>
    <row r="7520" customFormat="false" ht="30" hidden="false" customHeight="false" outlineLevel="0" collapsed="false">
      <c r="A7520" s="571"/>
      <c r="B7520" s="500"/>
      <c r="C7520" s="614" t="s">
        <v>5427</v>
      </c>
      <c r="D7520" s="606" t="s">
        <v>4133</v>
      </c>
      <c r="E7520" s="606" t="n">
        <v>0.001</v>
      </c>
      <c r="F7520" s="361" t="n">
        <v>2940</v>
      </c>
      <c r="G7520" s="926" t="n">
        <f aca="false">E7520*F7520</f>
        <v>2.94</v>
      </c>
      <c r="H7520" s="606"/>
    </row>
    <row r="7521" customFormat="false" ht="15" hidden="false" customHeight="false" outlineLevel="0" collapsed="false">
      <c r="A7521" s="571"/>
      <c r="B7521" s="500"/>
      <c r="C7521" s="614" t="s">
        <v>5428</v>
      </c>
      <c r="D7521" s="606" t="s">
        <v>4138</v>
      </c>
      <c r="E7521" s="606" t="n">
        <v>1</v>
      </c>
      <c r="F7521" s="361" t="n">
        <v>1500</v>
      </c>
      <c r="G7521" s="926" t="n">
        <f aca="false">E7521*F7521</f>
        <v>1500</v>
      </c>
      <c r="H7521" s="606"/>
    </row>
    <row r="7522" customFormat="false" ht="15" hidden="false" customHeight="false" outlineLevel="0" collapsed="false">
      <c r="A7522" s="571"/>
      <c r="B7522" s="608" t="s">
        <v>4128</v>
      </c>
      <c r="C7522" s="609"/>
      <c r="D7522" s="610"/>
      <c r="E7522" s="610"/>
      <c r="F7522" s="612"/>
      <c r="G7522" s="613" t="n">
        <f aca="false">SUM(G7515:G7521)</f>
        <v>2111.2</v>
      </c>
      <c r="H7522" s="610"/>
    </row>
    <row r="7523" customFormat="false" ht="15" hidden="false" customHeight="false" outlineLevel="0" collapsed="false">
      <c r="A7523" s="571" t="s">
        <v>5429</v>
      </c>
      <c r="B7523" s="433" t="s">
        <v>3433</v>
      </c>
      <c r="C7523" s="614" t="s">
        <v>5430</v>
      </c>
      <c r="D7523" s="606" t="s">
        <v>4133</v>
      </c>
      <c r="E7523" s="606" t="n">
        <v>0.1</v>
      </c>
      <c r="F7523" s="361" t="n">
        <v>1288</v>
      </c>
      <c r="G7523" s="926" t="n">
        <f aca="false">E7523*F7523</f>
        <v>128.8</v>
      </c>
      <c r="H7523" s="593"/>
    </row>
    <row r="7524" customFormat="false" ht="15" hidden="false" customHeight="false" outlineLevel="0" collapsed="false">
      <c r="A7524" s="571"/>
      <c r="B7524" s="500"/>
      <c r="C7524" s="614" t="s">
        <v>5069</v>
      </c>
      <c r="D7524" s="606" t="s">
        <v>4359</v>
      </c>
      <c r="E7524" s="606" t="n">
        <v>0.1</v>
      </c>
      <c r="F7524" s="361" t="n">
        <v>2500</v>
      </c>
      <c r="G7524" s="926" t="n">
        <f aca="false">E7524*F7524</f>
        <v>250</v>
      </c>
      <c r="H7524" s="593"/>
    </row>
    <row r="7525" customFormat="false" ht="15" hidden="false" customHeight="false" outlineLevel="0" collapsed="false">
      <c r="A7525" s="571"/>
      <c r="B7525" s="500"/>
      <c r="C7525" s="614" t="s">
        <v>4466</v>
      </c>
      <c r="D7525" s="606" t="s">
        <v>4133</v>
      </c>
      <c r="E7525" s="606" t="n">
        <v>0.1</v>
      </c>
      <c r="F7525" s="361" t="n">
        <v>3500</v>
      </c>
      <c r="G7525" s="926" t="n">
        <f aca="false">E7525*F7525</f>
        <v>350</v>
      </c>
      <c r="H7525" s="593"/>
    </row>
    <row r="7526" customFormat="false" ht="15" hidden="false" customHeight="false" outlineLevel="0" collapsed="false">
      <c r="A7526" s="571"/>
      <c r="B7526" s="500"/>
      <c r="C7526" s="614" t="s">
        <v>4668</v>
      </c>
      <c r="D7526" s="606" t="s">
        <v>4133</v>
      </c>
      <c r="E7526" s="606" t="n">
        <v>0.005</v>
      </c>
      <c r="F7526" s="361" t="n">
        <v>2553</v>
      </c>
      <c r="G7526" s="926" t="n">
        <f aca="false">E7526*F7526</f>
        <v>12.765</v>
      </c>
      <c r="H7526" s="593"/>
    </row>
    <row r="7527" customFormat="false" ht="30" hidden="false" customHeight="false" outlineLevel="0" collapsed="false">
      <c r="A7527" s="571"/>
      <c r="B7527" s="500"/>
      <c r="C7527" s="614" t="s">
        <v>5431</v>
      </c>
      <c r="D7527" s="606" t="s">
        <v>4138</v>
      </c>
      <c r="E7527" s="606" t="n">
        <v>1</v>
      </c>
      <c r="F7527" s="361" t="n">
        <v>742</v>
      </c>
      <c r="G7527" s="926" t="n">
        <f aca="false">E7527*F7527</f>
        <v>742</v>
      </c>
      <c r="H7527" s="593"/>
    </row>
    <row r="7528" customFormat="false" ht="15" hidden="false" customHeight="false" outlineLevel="0" collapsed="false">
      <c r="A7528" s="571"/>
      <c r="B7528" s="608" t="s">
        <v>4128</v>
      </c>
      <c r="C7528" s="609"/>
      <c r="D7528" s="610"/>
      <c r="E7528" s="610"/>
      <c r="F7528" s="612"/>
      <c r="G7528" s="613" t="n">
        <f aca="false">SUM(G7523:G7527)</f>
        <v>1483.565</v>
      </c>
      <c r="H7528" s="618"/>
    </row>
    <row r="7529" customFormat="false" ht="15" hidden="false" customHeight="false" outlineLevel="0" collapsed="false">
      <c r="A7529" s="571" t="s">
        <v>5432</v>
      </c>
      <c r="B7529" s="433" t="s">
        <v>3434</v>
      </c>
      <c r="C7529" s="614" t="s">
        <v>5433</v>
      </c>
      <c r="D7529" s="606" t="s">
        <v>4133</v>
      </c>
      <c r="E7529" s="606" t="n">
        <v>0.12</v>
      </c>
      <c r="F7529" s="361" t="n">
        <v>6580</v>
      </c>
      <c r="G7529" s="926" t="n">
        <f aca="false">E7529*F7529</f>
        <v>789.6</v>
      </c>
      <c r="H7529" s="593"/>
    </row>
    <row r="7530" customFormat="false" ht="15" hidden="false" customHeight="false" outlineLevel="0" collapsed="false">
      <c r="A7530" s="571"/>
      <c r="B7530" s="500"/>
      <c r="C7530" s="614" t="s">
        <v>4156</v>
      </c>
      <c r="D7530" s="606" t="s">
        <v>4133</v>
      </c>
      <c r="E7530" s="606" t="n">
        <v>0.05</v>
      </c>
      <c r="F7530" s="361" t="n">
        <v>3500</v>
      </c>
      <c r="G7530" s="926" t="n">
        <f aca="false">E7530*F7530</f>
        <v>175</v>
      </c>
      <c r="H7530" s="593"/>
    </row>
    <row r="7531" customFormat="false" ht="15" hidden="false" customHeight="false" outlineLevel="0" collapsed="false">
      <c r="A7531" s="571"/>
      <c r="B7531" s="500"/>
      <c r="C7531" s="614" t="s">
        <v>5434</v>
      </c>
      <c r="D7531" s="606" t="s">
        <v>4133</v>
      </c>
      <c r="E7531" s="606" t="n">
        <v>0.05</v>
      </c>
      <c r="F7531" s="361" t="n">
        <v>5500</v>
      </c>
      <c r="G7531" s="926" t="n">
        <f aca="false">E7531*F7531</f>
        <v>275</v>
      </c>
      <c r="H7531" s="593"/>
    </row>
    <row r="7532" customFormat="false" ht="15" hidden="false" customHeight="false" outlineLevel="0" collapsed="false">
      <c r="A7532" s="571"/>
      <c r="B7532" s="500"/>
      <c r="C7532" s="614" t="s">
        <v>5435</v>
      </c>
      <c r="D7532" s="606" t="s">
        <v>4359</v>
      </c>
      <c r="E7532" s="606" t="n">
        <v>0.011</v>
      </c>
      <c r="F7532" s="361" t="n">
        <v>1540</v>
      </c>
      <c r="G7532" s="926" t="n">
        <f aca="false">E7532*F7532</f>
        <v>16.94</v>
      </c>
      <c r="H7532" s="593"/>
    </row>
    <row r="7533" customFormat="false" ht="15" hidden="false" customHeight="false" outlineLevel="0" collapsed="false">
      <c r="A7533" s="571"/>
      <c r="B7533" s="500"/>
      <c r="C7533" s="614" t="s">
        <v>5436</v>
      </c>
      <c r="D7533" s="606" t="s">
        <v>5437</v>
      </c>
      <c r="E7533" s="606" t="n">
        <v>1</v>
      </c>
      <c r="F7533" s="361" t="n">
        <v>875</v>
      </c>
      <c r="G7533" s="926" t="n">
        <f aca="false">E7533*F7533</f>
        <v>875</v>
      </c>
      <c r="H7533" s="593"/>
    </row>
    <row r="7534" customFormat="false" ht="15" hidden="false" customHeight="false" outlineLevel="0" collapsed="false">
      <c r="A7534" s="571"/>
      <c r="B7534" s="608" t="s">
        <v>4128</v>
      </c>
      <c r="C7534" s="609"/>
      <c r="D7534" s="610"/>
      <c r="E7534" s="610"/>
      <c r="F7534" s="612"/>
      <c r="G7534" s="613" t="n">
        <f aca="false">SUM(G7529:G7533)</f>
        <v>2131.54</v>
      </c>
      <c r="H7534" s="618"/>
    </row>
    <row r="7535" customFormat="false" ht="15" hidden="false" customHeight="false" outlineLevel="0" collapsed="false">
      <c r="A7535" s="571" t="s">
        <v>5438</v>
      </c>
      <c r="B7535" s="433" t="s">
        <v>3435</v>
      </c>
      <c r="C7535" s="614" t="s">
        <v>5405</v>
      </c>
      <c r="D7535" s="606" t="s">
        <v>4133</v>
      </c>
      <c r="E7535" s="606" t="n">
        <v>0.09</v>
      </c>
      <c r="F7535" s="361" t="n">
        <v>4900</v>
      </c>
      <c r="G7535" s="926" t="n">
        <f aca="false">E7535*F7535</f>
        <v>441</v>
      </c>
      <c r="H7535" s="593"/>
    </row>
    <row r="7536" customFormat="false" ht="17.25" hidden="false" customHeight="true" outlineLevel="0" collapsed="false">
      <c r="A7536" s="571"/>
      <c r="B7536" s="500"/>
      <c r="C7536" s="614" t="s">
        <v>5051</v>
      </c>
      <c r="D7536" s="606" t="s">
        <v>4133</v>
      </c>
      <c r="E7536" s="606" t="n">
        <v>0.02</v>
      </c>
      <c r="F7536" s="361" t="n">
        <v>1617</v>
      </c>
      <c r="G7536" s="926" t="n">
        <f aca="false">E7536*F7536</f>
        <v>32.34</v>
      </c>
      <c r="H7536" s="593"/>
    </row>
    <row r="7537" customFormat="false" ht="15" hidden="false" customHeight="false" outlineLevel="0" collapsed="false">
      <c r="A7537" s="571"/>
      <c r="B7537" s="500"/>
      <c r="C7537" s="614" t="s">
        <v>4466</v>
      </c>
      <c r="D7537" s="606" t="s">
        <v>4133</v>
      </c>
      <c r="E7537" s="606" t="n">
        <v>0.005</v>
      </c>
      <c r="F7537" s="361" t="n">
        <v>3500</v>
      </c>
      <c r="G7537" s="926" t="n">
        <f aca="false">E7537*F7537</f>
        <v>17.5</v>
      </c>
      <c r="H7537" s="593"/>
    </row>
    <row r="7538" customFormat="false" ht="15" hidden="false" customHeight="false" outlineLevel="0" collapsed="false">
      <c r="A7538" s="571"/>
      <c r="B7538" s="500"/>
      <c r="C7538" s="614" t="s">
        <v>5045</v>
      </c>
      <c r="D7538" s="606" t="s">
        <v>4359</v>
      </c>
      <c r="E7538" s="606" t="n">
        <v>0.005</v>
      </c>
      <c r="F7538" s="361" t="n">
        <v>5180</v>
      </c>
      <c r="G7538" s="926" t="n">
        <f aca="false">E7538*F7538</f>
        <v>25.9</v>
      </c>
      <c r="H7538" s="593"/>
    </row>
    <row r="7539" customFormat="false" ht="15" hidden="false" customHeight="false" outlineLevel="0" collapsed="false">
      <c r="A7539" s="571"/>
      <c r="B7539" s="500"/>
      <c r="C7539" s="614" t="s">
        <v>5439</v>
      </c>
      <c r="D7539" s="606" t="s">
        <v>4359</v>
      </c>
      <c r="E7539" s="606" t="n">
        <v>0.003</v>
      </c>
      <c r="F7539" s="361" t="n">
        <v>490000</v>
      </c>
      <c r="G7539" s="926" t="n">
        <f aca="false">E7539*F7539</f>
        <v>1470</v>
      </c>
      <c r="H7539" s="593"/>
    </row>
    <row r="7540" customFormat="false" ht="15" hidden="false" customHeight="false" outlineLevel="0" collapsed="false">
      <c r="A7540" s="571"/>
      <c r="B7540" s="608" t="s">
        <v>4128</v>
      </c>
      <c r="C7540" s="609"/>
      <c r="D7540" s="610"/>
      <c r="E7540" s="610"/>
      <c r="F7540" s="612"/>
      <c r="G7540" s="613" t="n">
        <f aca="false">SUM(G7535:G7539)</f>
        <v>1986.74</v>
      </c>
      <c r="H7540" s="610"/>
    </row>
    <row r="7541" customFormat="false" ht="15" hidden="false" customHeight="false" outlineLevel="0" collapsed="false">
      <c r="A7541" s="571" t="s">
        <v>5440</v>
      </c>
      <c r="B7541" s="433" t="s">
        <v>4238</v>
      </c>
      <c r="C7541" s="614" t="s">
        <v>5441</v>
      </c>
      <c r="D7541" s="606" t="s">
        <v>4133</v>
      </c>
      <c r="E7541" s="606" t="n">
        <v>0.002</v>
      </c>
      <c r="F7541" s="361" t="n">
        <v>801000</v>
      </c>
      <c r="G7541" s="926" t="n">
        <f aca="false">E7541*F7541</f>
        <v>1602</v>
      </c>
      <c r="H7541" s="593"/>
    </row>
    <row r="7542" customFormat="false" ht="15" hidden="false" customHeight="false" outlineLevel="0" collapsed="false">
      <c r="A7542" s="571"/>
      <c r="B7542" s="500"/>
      <c r="C7542" s="614" t="s">
        <v>4147</v>
      </c>
      <c r="D7542" s="606" t="s">
        <v>4133</v>
      </c>
      <c r="E7542" s="606" t="n">
        <v>0.062</v>
      </c>
      <c r="F7542" s="361" t="n">
        <v>3500</v>
      </c>
      <c r="G7542" s="926" t="n">
        <f aca="false">E7542*F7542</f>
        <v>217</v>
      </c>
      <c r="H7542" s="593"/>
    </row>
    <row r="7543" customFormat="false" ht="15" hidden="false" customHeight="false" outlineLevel="0" collapsed="false">
      <c r="A7543" s="571"/>
      <c r="B7543" s="500"/>
      <c r="C7543" s="614" t="s">
        <v>4239</v>
      </c>
      <c r="D7543" s="606" t="s">
        <v>4133</v>
      </c>
      <c r="E7543" s="606" t="n">
        <v>0.06</v>
      </c>
      <c r="F7543" s="361" t="n">
        <v>1330</v>
      </c>
      <c r="G7543" s="926" t="n">
        <f aca="false">E7543*F7543</f>
        <v>79.8</v>
      </c>
      <c r="H7543" s="593"/>
    </row>
    <row r="7544" customFormat="false" ht="15" hidden="false" customHeight="false" outlineLevel="0" collapsed="false">
      <c r="A7544" s="571"/>
      <c r="B7544" s="608" t="s">
        <v>4128</v>
      </c>
      <c r="C7544" s="609"/>
      <c r="D7544" s="610"/>
      <c r="E7544" s="610"/>
      <c r="F7544" s="612"/>
      <c r="G7544" s="613" t="n">
        <f aca="false">SUM(G7541:G7543)</f>
        <v>1898.8</v>
      </c>
      <c r="H7544" s="618"/>
    </row>
    <row r="7545" customFormat="false" ht="15" hidden="false" customHeight="false" outlineLevel="0" collapsed="false">
      <c r="A7545" s="571" t="s">
        <v>5442</v>
      </c>
      <c r="B7545" s="500" t="s">
        <v>3104</v>
      </c>
      <c r="C7545" s="614" t="s">
        <v>5443</v>
      </c>
      <c r="D7545" s="606" t="s">
        <v>4138</v>
      </c>
      <c r="E7545" s="606" t="n">
        <v>1</v>
      </c>
      <c r="F7545" s="927" t="n">
        <v>950</v>
      </c>
      <c r="G7545" s="926" t="n">
        <f aca="false">E7545*F7545</f>
        <v>950</v>
      </c>
      <c r="H7545" s="618"/>
    </row>
    <row r="7546" customFormat="false" ht="15" hidden="false" customHeight="false" outlineLevel="0" collapsed="false">
      <c r="A7546" s="571"/>
      <c r="B7546" s="608"/>
      <c r="C7546" s="614" t="s">
        <v>4244</v>
      </c>
      <c r="D7546" s="606" t="s">
        <v>4138</v>
      </c>
      <c r="E7546" s="606" t="n">
        <v>0.01</v>
      </c>
      <c r="F7546" s="927" t="n">
        <v>4999</v>
      </c>
      <c r="G7546" s="926" t="n">
        <f aca="false">E7546*F7546</f>
        <v>49.99</v>
      </c>
      <c r="H7546" s="618"/>
    </row>
    <row r="7547" customFormat="false" ht="15" hidden="false" customHeight="false" outlineLevel="0" collapsed="false">
      <c r="A7547" s="571"/>
      <c r="B7547" s="608"/>
      <c r="C7547" s="614" t="s">
        <v>4154</v>
      </c>
      <c r="D7547" s="606" t="s">
        <v>4359</v>
      </c>
      <c r="E7547" s="606" t="n">
        <v>0.01</v>
      </c>
      <c r="F7547" s="927" t="n">
        <v>5500</v>
      </c>
      <c r="G7547" s="926" t="n">
        <f aca="false">E7547*F7547</f>
        <v>55</v>
      </c>
      <c r="H7547" s="618"/>
    </row>
    <row r="7548" customFormat="false" ht="15" hidden="false" customHeight="false" outlineLevel="0" collapsed="false">
      <c r="A7548" s="571"/>
      <c r="B7548" s="608"/>
      <c r="C7548" s="614" t="s">
        <v>4269</v>
      </c>
      <c r="D7548" s="606" t="s">
        <v>4359</v>
      </c>
      <c r="E7548" s="606" t="n">
        <v>0.001</v>
      </c>
      <c r="F7548" s="927" t="n">
        <v>2660</v>
      </c>
      <c r="G7548" s="926" t="n">
        <f aca="false">E7548*F7548</f>
        <v>2.66</v>
      </c>
      <c r="H7548" s="618"/>
    </row>
    <row r="7549" customFormat="false" ht="15" hidden="false" customHeight="false" outlineLevel="0" collapsed="false">
      <c r="A7549" s="571"/>
      <c r="B7549" s="608"/>
      <c r="C7549" s="614" t="s">
        <v>4147</v>
      </c>
      <c r="D7549" s="606" t="s">
        <v>4138</v>
      </c>
      <c r="E7549" s="606" t="n">
        <v>0.01</v>
      </c>
      <c r="F7549" s="361" t="n">
        <v>3500</v>
      </c>
      <c r="G7549" s="926" t="n">
        <f aca="false">E7549*F7549</f>
        <v>35</v>
      </c>
      <c r="H7549" s="618"/>
    </row>
    <row r="7550" customFormat="false" ht="15" hidden="false" customHeight="false" outlineLevel="0" collapsed="false">
      <c r="A7550" s="571"/>
      <c r="B7550" s="608"/>
      <c r="C7550" s="614" t="s">
        <v>4277</v>
      </c>
      <c r="D7550" s="606" t="s">
        <v>4133</v>
      </c>
      <c r="E7550" s="606" t="n">
        <v>0.0746</v>
      </c>
      <c r="F7550" s="361" t="n">
        <v>2882</v>
      </c>
      <c r="G7550" s="926" t="n">
        <f aca="false">E7550*F7550</f>
        <v>214.9972</v>
      </c>
      <c r="H7550" s="618"/>
    </row>
    <row r="7551" customFormat="false" ht="15" hidden="false" customHeight="false" outlineLevel="0" collapsed="false">
      <c r="A7551" s="571"/>
      <c r="B7551" s="608" t="s">
        <v>4128</v>
      </c>
      <c r="C7551" s="609"/>
      <c r="D7551" s="610"/>
      <c r="E7551" s="610"/>
      <c r="F7551" s="612"/>
      <c r="G7551" s="613" t="n">
        <f aca="false">SUM(G7545:G7550)</f>
        <v>1307.6472</v>
      </c>
      <c r="H7551" s="618"/>
    </row>
    <row r="7552" customFormat="false" ht="30" hidden="false" customHeight="false" outlineLevel="0" collapsed="false">
      <c r="A7552" s="571" t="s">
        <v>5444</v>
      </c>
      <c r="B7552" s="433" t="s">
        <v>3436</v>
      </c>
      <c r="C7552" s="614" t="s">
        <v>5445</v>
      </c>
      <c r="D7552" s="606" t="s">
        <v>4138</v>
      </c>
      <c r="E7552" s="606" t="n">
        <v>0.2</v>
      </c>
      <c r="F7552" s="361" t="n">
        <v>7700</v>
      </c>
      <c r="G7552" s="926" t="n">
        <f aca="false">E7552*F7552</f>
        <v>1540</v>
      </c>
      <c r="H7552" s="593"/>
    </row>
    <row r="7553" customFormat="false" ht="15" hidden="false" customHeight="false" outlineLevel="0" collapsed="false">
      <c r="A7553" s="571"/>
      <c r="B7553" s="500"/>
      <c r="C7553" s="614" t="s">
        <v>4205</v>
      </c>
      <c r="D7553" s="606" t="s">
        <v>4359</v>
      </c>
      <c r="E7553" s="606" t="n">
        <v>0.01</v>
      </c>
      <c r="F7553" s="361" t="n">
        <v>6300</v>
      </c>
      <c r="G7553" s="926" t="n">
        <f aca="false">E7553*F7553</f>
        <v>63</v>
      </c>
      <c r="H7553" s="593"/>
    </row>
    <row r="7554" customFormat="false" ht="15" hidden="false" customHeight="false" outlineLevel="0" collapsed="false">
      <c r="A7554" s="571"/>
      <c r="B7554" s="500"/>
      <c r="C7554" s="614" t="s">
        <v>4122</v>
      </c>
      <c r="D7554" s="606" t="s">
        <v>4359</v>
      </c>
      <c r="E7554" s="606" t="n">
        <v>0.01</v>
      </c>
      <c r="F7554" s="361" t="n">
        <v>720</v>
      </c>
      <c r="G7554" s="926" t="n">
        <f aca="false">E7554*F7554</f>
        <v>7.2</v>
      </c>
      <c r="H7554" s="593"/>
    </row>
    <row r="7555" customFormat="false" ht="15" hidden="false" customHeight="false" outlineLevel="0" collapsed="false">
      <c r="A7555" s="571"/>
      <c r="B7555" s="500"/>
      <c r="C7555" s="614" t="s">
        <v>4317</v>
      </c>
      <c r="D7555" s="606" t="s">
        <v>4359</v>
      </c>
      <c r="E7555" s="606" t="n">
        <v>0.01</v>
      </c>
      <c r="F7555" s="361" t="n">
        <v>12000</v>
      </c>
      <c r="G7555" s="926" t="n">
        <f aca="false">E7555*F7555</f>
        <v>120</v>
      </c>
      <c r="H7555" s="593"/>
    </row>
    <row r="7556" customFormat="false" ht="15" hidden="false" customHeight="false" outlineLevel="0" collapsed="false">
      <c r="A7556" s="571"/>
      <c r="B7556" s="500"/>
      <c r="C7556" s="614" t="s">
        <v>4485</v>
      </c>
      <c r="D7556" s="606" t="s">
        <v>4133</v>
      </c>
      <c r="E7556" s="606" t="n">
        <v>0.01</v>
      </c>
      <c r="F7556" s="361" t="n">
        <v>5241.6</v>
      </c>
      <c r="G7556" s="926" t="n">
        <f aca="false">E7556*F7556</f>
        <v>52.416</v>
      </c>
      <c r="H7556" s="593"/>
    </row>
    <row r="7557" customFormat="false" ht="15" hidden="false" customHeight="false" outlineLevel="0" collapsed="false">
      <c r="A7557" s="571"/>
      <c r="B7557" s="608" t="s">
        <v>4128</v>
      </c>
      <c r="C7557" s="614"/>
      <c r="D7557" s="606"/>
      <c r="E7557" s="606"/>
      <c r="F7557" s="361"/>
      <c r="G7557" s="613" t="n">
        <f aca="false">SUM(G7552:G7556)</f>
        <v>1782.616</v>
      </c>
      <c r="H7557" s="593"/>
    </row>
    <row r="7558" customFormat="false" ht="15" hidden="false" customHeight="false" outlineLevel="0" collapsed="false">
      <c r="A7558" s="571" t="s">
        <v>5446</v>
      </c>
      <c r="B7558" s="433" t="s">
        <v>3437</v>
      </c>
      <c r="C7558" s="614" t="s">
        <v>5447</v>
      </c>
      <c r="D7558" s="606" t="s">
        <v>5448</v>
      </c>
      <c r="E7558" s="606" t="n">
        <v>0.2</v>
      </c>
      <c r="F7558" s="361" t="n">
        <v>7700</v>
      </c>
      <c r="G7558" s="926" t="n">
        <f aca="false">E7558*F7558</f>
        <v>1540</v>
      </c>
      <c r="H7558" s="593"/>
    </row>
    <row r="7559" customFormat="false" ht="15" hidden="false" customHeight="false" outlineLevel="0" collapsed="false">
      <c r="A7559" s="571"/>
      <c r="B7559" s="500"/>
      <c r="C7559" s="614" t="s">
        <v>4205</v>
      </c>
      <c r="D7559" s="606" t="s">
        <v>4359</v>
      </c>
      <c r="E7559" s="606" t="n">
        <v>0.01</v>
      </c>
      <c r="F7559" s="361" t="n">
        <v>6300</v>
      </c>
      <c r="G7559" s="926" t="n">
        <f aca="false">E7559*F7559</f>
        <v>63</v>
      </c>
      <c r="H7559" s="593"/>
    </row>
    <row r="7560" customFormat="false" ht="15" hidden="false" customHeight="false" outlineLevel="0" collapsed="false">
      <c r="A7560" s="571"/>
      <c r="B7560" s="500"/>
      <c r="C7560" s="614" t="s">
        <v>4122</v>
      </c>
      <c r="D7560" s="606" t="s">
        <v>4359</v>
      </c>
      <c r="E7560" s="606" t="n">
        <v>0.01</v>
      </c>
      <c r="F7560" s="361" t="n">
        <v>720</v>
      </c>
      <c r="G7560" s="926" t="n">
        <f aca="false">E7560*F7560</f>
        <v>7.2</v>
      </c>
      <c r="H7560" s="593"/>
    </row>
    <row r="7561" customFormat="false" ht="15" hidden="false" customHeight="false" outlineLevel="0" collapsed="false">
      <c r="A7561" s="571"/>
      <c r="B7561" s="500"/>
      <c r="C7561" s="614" t="s">
        <v>4317</v>
      </c>
      <c r="D7561" s="606" t="s">
        <v>4359</v>
      </c>
      <c r="E7561" s="606" t="n">
        <v>0.01</v>
      </c>
      <c r="F7561" s="361" t="n">
        <v>12000</v>
      </c>
      <c r="G7561" s="926" t="n">
        <f aca="false">E7561*F7561</f>
        <v>120</v>
      </c>
      <c r="H7561" s="593"/>
    </row>
    <row r="7562" customFormat="false" ht="15" hidden="false" customHeight="false" outlineLevel="0" collapsed="false">
      <c r="A7562" s="571"/>
      <c r="B7562" s="500"/>
      <c r="C7562" s="614" t="s">
        <v>4485</v>
      </c>
      <c r="D7562" s="606" t="s">
        <v>4133</v>
      </c>
      <c r="E7562" s="606" t="n">
        <v>0.01</v>
      </c>
      <c r="F7562" s="361" t="n">
        <v>5241.6</v>
      </c>
      <c r="G7562" s="926" t="n">
        <f aca="false">E7562*F7562</f>
        <v>52.416</v>
      </c>
      <c r="H7562" s="593"/>
    </row>
    <row r="7563" customFormat="false" ht="15" hidden="false" customHeight="false" outlineLevel="0" collapsed="false">
      <c r="A7563" s="571"/>
      <c r="B7563" s="608" t="s">
        <v>4128</v>
      </c>
      <c r="C7563" s="609"/>
      <c r="D7563" s="606"/>
      <c r="E7563" s="606"/>
      <c r="F7563" s="361"/>
      <c r="G7563" s="613" t="n">
        <f aca="false">SUM(G7558:G7562)</f>
        <v>1782.616</v>
      </c>
      <c r="H7563" s="618"/>
    </row>
    <row r="7564" customFormat="false" ht="15" hidden="false" customHeight="false" outlineLevel="0" collapsed="false">
      <c r="A7564" s="571" t="s">
        <v>5449</v>
      </c>
      <c r="B7564" s="433" t="s">
        <v>3438</v>
      </c>
      <c r="C7564" s="614" t="s">
        <v>5450</v>
      </c>
      <c r="D7564" s="606" t="s">
        <v>4133</v>
      </c>
      <c r="E7564" s="606" t="n">
        <v>0.061</v>
      </c>
      <c r="F7564" s="361" t="n">
        <v>1288</v>
      </c>
      <c r="G7564" s="926" t="n">
        <f aca="false">E7564*F7564</f>
        <v>78.568</v>
      </c>
      <c r="H7564" s="593"/>
    </row>
    <row r="7565" customFormat="false" ht="15" hidden="false" customHeight="false" outlineLevel="0" collapsed="false">
      <c r="A7565" s="571"/>
      <c r="B7565" s="500"/>
      <c r="C7565" s="614" t="s">
        <v>4147</v>
      </c>
      <c r="D7565" s="606" t="s">
        <v>4392</v>
      </c>
      <c r="E7565" s="606" t="n">
        <v>0.025</v>
      </c>
      <c r="F7565" s="361" t="n">
        <v>3500</v>
      </c>
      <c r="G7565" s="926" t="n">
        <f aca="false">E7565*F7565</f>
        <v>87.5</v>
      </c>
      <c r="H7565" s="593"/>
    </row>
    <row r="7566" customFormat="false" ht="15" hidden="false" customHeight="false" outlineLevel="0" collapsed="false">
      <c r="A7566" s="571"/>
      <c r="B7566" s="500"/>
      <c r="C7566" s="614" t="s">
        <v>5451</v>
      </c>
      <c r="D7566" s="606" t="s">
        <v>5452</v>
      </c>
      <c r="E7566" s="606" t="n">
        <v>0.1</v>
      </c>
      <c r="F7566" s="361" t="n">
        <v>4900</v>
      </c>
      <c r="G7566" s="926" t="n">
        <f aca="false">E7566*F7566</f>
        <v>490</v>
      </c>
      <c r="H7566" s="593"/>
    </row>
    <row r="7567" customFormat="false" ht="15" hidden="false" customHeight="false" outlineLevel="0" collapsed="false">
      <c r="A7567" s="571"/>
      <c r="B7567" s="500"/>
      <c r="C7567" s="614" t="s">
        <v>4240</v>
      </c>
      <c r="D7567" s="606" t="s">
        <v>4392</v>
      </c>
      <c r="E7567" s="606" t="n">
        <v>0.01</v>
      </c>
      <c r="F7567" s="361" t="n">
        <v>6200</v>
      </c>
      <c r="G7567" s="926" t="n">
        <f aca="false">E7567*F7567</f>
        <v>62</v>
      </c>
      <c r="H7567" s="593"/>
    </row>
    <row r="7568" customFormat="false" ht="15" hidden="false" customHeight="false" outlineLevel="0" collapsed="false">
      <c r="A7568" s="571"/>
      <c r="B7568" s="500"/>
      <c r="C7568" s="614" t="s">
        <v>5453</v>
      </c>
      <c r="D7568" s="606" t="s">
        <v>4138</v>
      </c>
      <c r="E7568" s="606" t="n">
        <v>0.3</v>
      </c>
      <c r="F7568" s="361" t="n">
        <v>4500</v>
      </c>
      <c r="G7568" s="926" t="n">
        <f aca="false">E7568*F7568</f>
        <v>1350</v>
      </c>
      <c r="H7568" s="593"/>
    </row>
    <row r="7569" customFormat="false" ht="15" hidden="false" customHeight="false" outlineLevel="0" collapsed="false">
      <c r="A7569" s="571"/>
      <c r="B7569" s="608" t="s">
        <v>4128</v>
      </c>
      <c r="C7569" s="609"/>
      <c r="D7569" s="610"/>
      <c r="E7569" s="610"/>
      <c r="F7569" s="612"/>
      <c r="G7569" s="613" t="n">
        <f aca="false">SUM(G7564:G7568)</f>
        <v>2068.068</v>
      </c>
      <c r="H7569" s="610"/>
    </row>
    <row r="7570" customFormat="false" ht="15" hidden="false" customHeight="false" outlineLevel="0" collapsed="false">
      <c r="A7570" s="571" t="s">
        <v>5454</v>
      </c>
      <c r="B7570" s="433" t="s">
        <v>3439</v>
      </c>
      <c r="C7570" s="614" t="s">
        <v>5455</v>
      </c>
      <c r="D7570" s="606" t="s">
        <v>4138</v>
      </c>
      <c r="E7570" s="606" t="n">
        <v>1</v>
      </c>
      <c r="F7570" s="361" t="n">
        <v>1738</v>
      </c>
      <c r="G7570" s="926" t="n">
        <f aca="false">E7570*F7570</f>
        <v>1738</v>
      </c>
      <c r="H7570" s="593"/>
    </row>
    <row r="7571" customFormat="false" ht="15" hidden="false" customHeight="false" outlineLevel="0" collapsed="false">
      <c r="A7571" s="571"/>
      <c r="B7571" s="500"/>
      <c r="C7571" s="614" t="s">
        <v>4205</v>
      </c>
      <c r="D7571" s="606" t="s">
        <v>4359</v>
      </c>
      <c r="E7571" s="606" t="n">
        <v>0.01</v>
      </c>
      <c r="F7571" s="361" t="n">
        <v>6300</v>
      </c>
      <c r="G7571" s="926" t="n">
        <f aca="false">E7571*F7571</f>
        <v>63</v>
      </c>
      <c r="H7571" s="593"/>
    </row>
    <row r="7572" customFormat="false" ht="15" hidden="false" customHeight="false" outlineLevel="0" collapsed="false">
      <c r="A7572" s="571"/>
      <c r="B7572" s="500"/>
      <c r="C7572" s="614" t="s">
        <v>4122</v>
      </c>
      <c r="D7572" s="606" t="s">
        <v>4359</v>
      </c>
      <c r="E7572" s="606" t="n">
        <v>0.01</v>
      </c>
      <c r="F7572" s="361" t="n">
        <v>720</v>
      </c>
      <c r="G7572" s="926" t="n">
        <f aca="false">E7572*F7572</f>
        <v>7.2</v>
      </c>
      <c r="H7572" s="593"/>
    </row>
    <row r="7573" customFormat="false" ht="15" hidden="false" customHeight="false" outlineLevel="0" collapsed="false">
      <c r="A7573" s="571"/>
      <c r="B7573" s="500"/>
      <c r="C7573" s="614" t="s">
        <v>4317</v>
      </c>
      <c r="D7573" s="606" t="s">
        <v>4359</v>
      </c>
      <c r="E7573" s="606" t="n">
        <v>0.01</v>
      </c>
      <c r="F7573" s="361" t="n">
        <v>12000</v>
      </c>
      <c r="G7573" s="926" t="n">
        <f aca="false">E7573*F7573</f>
        <v>120</v>
      </c>
      <c r="H7573" s="593"/>
    </row>
    <row r="7574" customFormat="false" ht="15" hidden="false" customHeight="false" outlineLevel="0" collapsed="false">
      <c r="A7574" s="571"/>
      <c r="B7574" s="500"/>
      <c r="C7574" s="614" t="s">
        <v>4485</v>
      </c>
      <c r="D7574" s="606" t="s">
        <v>4133</v>
      </c>
      <c r="E7574" s="606" t="n">
        <v>0.01</v>
      </c>
      <c r="F7574" s="361" t="n">
        <v>5241</v>
      </c>
      <c r="G7574" s="926" t="n">
        <f aca="false">E7574*F7574</f>
        <v>52.41</v>
      </c>
      <c r="H7574" s="593"/>
    </row>
    <row r="7575" customFormat="false" ht="15" hidden="false" customHeight="false" outlineLevel="0" collapsed="false">
      <c r="A7575" s="571"/>
      <c r="B7575" s="608" t="s">
        <v>4128</v>
      </c>
      <c r="C7575" s="609"/>
      <c r="D7575" s="610"/>
      <c r="E7575" s="610"/>
      <c r="F7575" s="612"/>
      <c r="G7575" s="613" t="n">
        <f aca="false">SUM(G7570:G7574)</f>
        <v>1980.61</v>
      </c>
      <c r="H7575" s="618"/>
    </row>
    <row r="7576" customFormat="false" ht="30" hidden="false" customHeight="false" outlineLevel="0" collapsed="false">
      <c r="A7576" s="571" t="s">
        <v>5456</v>
      </c>
      <c r="B7576" s="433" t="s">
        <v>3440</v>
      </c>
      <c r="C7576" s="614" t="s">
        <v>5457</v>
      </c>
      <c r="D7576" s="606" t="s">
        <v>4138</v>
      </c>
      <c r="E7576" s="606" t="n">
        <v>0.5</v>
      </c>
      <c r="F7576" s="361" t="n">
        <v>2800</v>
      </c>
      <c r="G7576" s="926" t="n">
        <f aca="false">E7576*F7576</f>
        <v>1400</v>
      </c>
      <c r="H7576" s="593"/>
    </row>
    <row r="7577" customFormat="false" ht="15" hidden="false" customHeight="false" outlineLevel="0" collapsed="false">
      <c r="A7577" s="571"/>
      <c r="B7577" s="500"/>
      <c r="C7577" s="614" t="s">
        <v>4205</v>
      </c>
      <c r="D7577" s="606" t="s">
        <v>4359</v>
      </c>
      <c r="E7577" s="606" t="n">
        <v>0.01</v>
      </c>
      <c r="F7577" s="361" t="n">
        <v>6300</v>
      </c>
      <c r="G7577" s="926" t="n">
        <f aca="false">E7577*F7577</f>
        <v>63</v>
      </c>
      <c r="H7577" s="593"/>
    </row>
    <row r="7578" customFormat="false" ht="15" hidden="false" customHeight="false" outlineLevel="0" collapsed="false">
      <c r="A7578" s="571"/>
      <c r="B7578" s="500"/>
      <c r="C7578" s="614" t="s">
        <v>4122</v>
      </c>
      <c r="D7578" s="606" t="s">
        <v>4359</v>
      </c>
      <c r="E7578" s="606" t="n">
        <v>0.01</v>
      </c>
      <c r="F7578" s="361" t="n">
        <v>720</v>
      </c>
      <c r="G7578" s="926" t="n">
        <f aca="false">E7578*F7578</f>
        <v>7.2</v>
      </c>
      <c r="H7578" s="593"/>
    </row>
    <row r="7579" customFormat="false" ht="15" hidden="false" customHeight="false" outlineLevel="0" collapsed="false">
      <c r="A7579" s="571"/>
      <c r="B7579" s="500"/>
      <c r="C7579" s="614" t="s">
        <v>4317</v>
      </c>
      <c r="D7579" s="606" t="s">
        <v>4359</v>
      </c>
      <c r="E7579" s="606" t="n">
        <v>0.01</v>
      </c>
      <c r="F7579" s="361" t="n">
        <v>12000</v>
      </c>
      <c r="G7579" s="926" t="n">
        <f aca="false">E7579*F7579</f>
        <v>120</v>
      </c>
      <c r="H7579" s="593"/>
    </row>
    <row r="7580" customFormat="false" ht="15" hidden="false" customHeight="false" outlineLevel="0" collapsed="false">
      <c r="A7580" s="571"/>
      <c r="B7580" s="500"/>
      <c r="C7580" s="614" t="s">
        <v>4485</v>
      </c>
      <c r="D7580" s="606" t="s">
        <v>4133</v>
      </c>
      <c r="E7580" s="606" t="n">
        <v>0.01</v>
      </c>
      <c r="F7580" s="361" t="n">
        <v>5241.6</v>
      </c>
      <c r="G7580" s="926" t="n">
        <f aca="false">E7580*F7580</f>
        <v>52.416</v>
      </c>
      <c r="H7580" s="593"/>
    </row>
    <row r="7581" customFormat="false" ht="15" hidden="false" customHeight="false" outlineLevel="0" collapsed="false">
      <c r="A7581" s="571"/>
      <c r="B7581" s="608" t="s">
        <v>4128</v>
      </c>
      <c r="C7581" s="609"/>
      <c r="D7581" s="610"/>
      <c r="E7581" s="610"/>
      <c r="F7581" s="612"/>
      <c r="G7581" s="613" t="n">
        <f aca="false">SUM(G7576:G7580)</f>
        <v>1642.616</v>
      </c>
      <c r="H7581" s="618"/>
    </row>
    <row r="7582" customFormat="false" ht="30" hidden="false" customHeight="false" outlineLevel="0" collapsed="false">
      <c r="A7582" s="571" t="s">
        <v>5458</v>
      </c>
      <c r="B7582" s="433" t="s">
        <v>3441</v>
      </c>
      <c r="C7582" s="614" t="s">
        <v>5459</v>
      </c>
      <c r="D7582" s="606" t="s">
        <v>4138</v>
      </c>
      <c r="E7582" s="606" t="n">
        <v>0.5</v>
      </c>
      <c r="F7582" s="361" t="n">
        <v>2128</v>
      </c>
      <c r="G7582" s="926" t="n">
        <f aca="false">E7582*F7582</f>
        <v>1064</v>
      </c>
      <c r="H7582" s="593"/>
    </row>
    <row r="7583" customFormat="false" ht="15" hidden="false" customHeight="false" outlineLevel="0" collapsed="false">
      <c r="A7583" s="571"/>
      <c r="B7583" s="500"/>
      <c r="C7583" s="614" t="s">
        <v>4205</v>
      </c>
      <c r="D7583" s="606" t="s">
        <v>4359</v>
      </c>
      <c r="E7583" s="606" t="n">
        <v>0.1</v>
      </c>
      <c r="F7583" s="361" t="n">
        <v>6300</v>
      </c>
      <c r="G7583" s="926" t="n">
        <f aca="false">E7583*F7583</f>
        <v>630</v>
      </c>
      <c r="H7583" s="593"/>
    </row>
    <row r="7584" customFormat="false" ht="15" hidden="false" customHeight="false" outlineLevel="0" collapsed="false">
      <c r="A7584" s="571"/>
      <c r="B7584" s="500"/>
      <c r="C7584" s="614" t="s">
        <v>4122</v>
      </c>
      <c r="D7584" s="606" t="s">
        <v>4359</v>
      </c>
      <c r="E7584" s="606" t="n">
        <v>0.1</v>
      </c>
      <c r="F7584" s="361" t="n">
        <v>720</v>
      </c>
      <c r="G7584" s="926" t="n">
        <f aca="false">E7584*F7584</f>
        <v>72</v>
      </c>
      <c r="H7584" s="593"/>
    </row>
    <row r="7585" customFormat="false" ht="15" hidden="false" customHeight="false" outlineLevel="0" collapsed="false">
      <c r="A7585" s="571"/>
      <c r="B7585" s="500"/>
      <c r="C7585" s="614" t="s">
        <v>4317</v>
      </c>
      <c r="D7585" s="606" t="s">
        <v>4359</v>
      </c>
      <c r="E7585" s="606" t="n">
        <v>0.01</v>
      </c>
      <c r="F7585" s="361" t="n">
        <v>12000</v>
      </c>
      <c r="G7585" s="926" t="n">
        <f aca="false">E7585*F7585</f>
        <v>120</v>
      </c>
      <c r="H7585" s="593"/>
    </row>
    <row r="7586" customFormat="false" ht="15" hidden="false" customHeight="false" outlineLevel="0" collapsed="false">
      <c r="A7586" s="571"/>
      <c r="B7586" s="500"/>
      <c r="C7586" s="614" t="s">
        <v>4485</v>
      </c>
      <c r="D7586" s="606" t="s">
        <v>4133</v>
      </c>
      <c r="E7586" s="606" t="n">
        <v>0.01</v>
      </c>
      <c r="F7586" s="361" t="n">
        <v>5241.6</v>
      </c>
      <c r="G7586" s="926" t="n">
        <f aca="false">E7586*F7586</f>
        <v>52.416</v>
      </c>
      <c r="H7586" s="593"/>
    </row>
    <row r="7587" customFormat="false" ht="15" hidden="false" customHeight="false" outlineLevel="0" collapsed="false">
      <c r="A7587" s="571"/>
      <c r="B7587" s="608" t="s">
        <v>4128</v>
      </c>
      <c r="C7587" s="609"/>
      <c r="D7587" s="610"/>
      <c r="E7587" s="610"/>
      <c r="F7587" s="612"/>
      <c r="G7587" s="613" t="n">
        <f aca="false">SUM(G7582:G7586)</f>
        <v>1938.416</v>
      </c>
      <c r="H7587" s="618"/>
    </row>
    <row r="7588" customFormat="false" ht="30" hidden="false" customHeight="false" outlineLevel="0" collapsed="false">
      <c r="A7588" s="571" t="s">
        <v>5460</v>
      </c>
      <c r="B7588" s="433" t="s">
        <v>3442</v>
      </c>
      <c r="C7588" s="614" t="s">
        <v>5461</v>
      </c>
      <c r="D7588" s="606" t="s">
        <v>4133</v>
      </c>
      <c r="E7588" s="606" t="n">
        <v>0.035</v>
      </c>
      <c r="F7588" s="361" t="n">
        <v>54012</v>
      </c>
      <c r="G7588" s="926" t="n">
        <f aca="false">E7588*F7588</f>
        <v>1890.42</v>
      </c>
      <c r="H7588" s="593"/>
    </row>
    <row r="7589" customFormat="false" ht="15" hidden="false" customHeight="false" outlineLevel="0" collapsed="false">
      <c r="A7589" s="571"/>
      <c r="B7589" s="500"/>
      <c r="C7589" s="614" t="s">
        <v>4205</v>
      </c>
      <c r="D7589" s="606" t="s">
        <v>4359</v>
      </c>
      <c r="E7589" s="606" t="n">
        <v>0.01</v>
      </c>
      <c r="F7589" s="361" t="n">
        <v>6300</v>
      </c>
      <c r="G7589" s="926" t="n">
        <f aca="false">E7589*F7589</f>
        <v>63</v>
      </c>
      <c r="H7589" s="593"/>
    </row>
    <row r="7590" customFormat="false" ht="15" hidden="false" customHeight="false" outlineLevel="0" collapsed="false">
      <c r="A7590" s="571"/>
      <c r="B7590" s="500"/>
      <c r="C7590" s="614" t="s">
        <v>4122</v>
      </c>
      <c r="D7590" s="606" t="s">
        <v>4359</v>
      </c>
      <c r="E7590" s="606" t="n">
        <v>0.01</v>
      </c>
      <c r="F7590" s="361" t="n">
        <v>720</v>
      </c>
      <c r="G7590" s="926" t="n">
        <f aca="false">E7590*F7590</f>
        <v>7.2</v>
      </c>
      <c r="H7590" s="593"/>
    </row>
    <row r="7591" customFormat="false" ht="15" hidden="false" customHeight="false" outlineLevel="0" collapsed="false">
      <c r="A7591" s="571"/>
      <c r="B7591" s="500"/>
      <c r="C7591" s="614" t="s">
        <v>4317</v>
      </c>
      <c r="D7591" s="606" t="s">
        <v>4359</v>
      </c>
      <c r="E7591" s="606" t="n">
        <v>0.01</v>
      </c>
      <c r="F7591" s="361" t="n">
        <v>12000</v>
      </c>
      <c r="G7591" s="926" t="n">
        <f aca="false">E7591*F7591</f>
        <v>120</v>
      </c>
      <c r="H7591" s="593"/>
    </row>
    <row r="7592" customFormat="false" ht="15" hidden="false" customHeight="false" outlineLevel="0" collapsed="false">
      <c r="A7592" s="571"/>
      <c r="B7592" s="608" t="s">
        <v>4128</v>
      </c>
      <c r="C7592" s="609"/>
      <c r="D7592" s="610"/>
      <c r="E7592" s="610"/>
      <c r="F7592" s="612"/>
      <c r="G7592" s="613" t="n">
        <f aca="false">SUM(G7588:G7591)</f>
        <v>2080.62</v>
      </c>
      <c r="H7592" s="618"/>
    </row>
    <row r="7593" customFormat="false" ht="15" hidden="false" customHeight="false" outlineLevel="0" collapsed="false">
      <c r="A7593" s="571" t="s">
        <v>5462</v>
      </c>
      <c r="B7593" s="433" t="s">
        <v>3443</v>
      </c>
      <c r="C7593" s="614" t="s">
        <v>5463</v>
      </c>
      <c r="D7593" s="606" t="s">
        <v>4138</v>
      </c>
      <c r="E7593" s="606" t="n">
        <v>0.5</v>
      </c>
      <c r="F7593" s="361" t="n">
        <v>2324</v>
      </c>
      <c r="G7593" s="926" t="n">
        <f aca="false">E7593*F7593</f>
        <v>1162</v>
      </c>
      <c r="H7593" s="593"/>
    </row>
    <row r="7594" customFormat="false" ht="15" hidden="false" customHeight="false" outlineLevel="0" collapsed="false">
      <c r="A7594" s="571"/>
      <c r="B7594" s="500"/>
      <c r="C7594" s="614" t="s">
        <v>4205</v>
      </c>
      <c r="D7594" s="606" t="s">
        <v>4359</v>
      </c>
      <c r="E7594" s="606" t="n">
        <v>0.1</v>
      </c>
      <c r="F7594" s="361" t="n">
        <v>6300</v>
      </c>
      <c r="G7594" s="926" t="n">
        <f aca="false">E7594*F7594</f>
        <v>630</v>
      </c>
      <c r="H7594" s="593"/>
    </row>
    <row r="7595" customFormat="false" ht="15" hidden="false" customHeight="false" outlineLevel="0" collapsed="false">
      <c r="A7595" s="571"/>
      <c r="B7595" s="500"/>
      <c r="C7595" s="614" t="s">
        <v>4122</v>
      </c>
      <c r="D7595" s="606" t="s">
        <v>4359</v>
      </c>
      <c r="E7595" s="606" t="n">
        <v>0.1</v>
      </c>
      <c r="F7595" s="361" t="n">
        <v>720</v>
      </c>
      <c r="G7595" s="926" t="n">
        <f aca="false">E7595*F7595</f>
        <v>72</v>
      </c>
      <c r="H7595" s="593"/>
    </row>
    <row r="7596" customFormat="false" ht="15" hidden="false" customHeight="false" outlineLevel="0" collapsed="false">
      <c r="A7596" s="571"/>
      <c r="B7596" s="500"/>
      <c r="C7596" s="614" t="s">
        <v>4317</v>
      </c>
      <c r="D7596" s="606" t="s">
        <v>4359</v>
      </c>
      <c r="E7596" s="606" t="n">
        <v>0.01</v>
      </c>
      <c r="F7596" s="361" t="n">
        <v>12000</v>
      </c>
      <c r="G7596" s="926" t="n">
        <f aca="false">E7596*F7596</f>
        <v>120</v>
      </c>
      <c r="H7596" s="593"/>
    </row>
    <row r="7597" customFormat="false" ht="15" hidden="false" customHeight="false" outlineLevel="0" collapsed="false">
      <c r="A7597" s="571"/>
      <c r="B7597" s="608" t="s">
        <v>4128</v>
      </c>
      <c r="C7597" s="609"/>
      <c r="D7597" s="610"/>
      <c r="E7597" s="610"/>
      <c r="F7597" s="612"/>
      <c r="G7597" s="613" t="n">
        <f aca="false">SUM(G7593:G7596)</f>
        <v>1984</v>
      </c>
      <c r="H7597" s="618"/>
    </row>
    <row r="7598" customFormat="false" ht="30" hidden="false" customHeight="false" outlineLevel="0" collapsed="false">
      <c r="A7598" s="571" t="s">
        <v>1369</v>
      </c>
      <c r="B7598" s="433" t="s">
        <v>3444</v>
      </c>
      <c r="C7598" s="614" t="s">
        <v>5464</v>
      </c>
      <c r="D7598" s="606" t="s">
        <v>5448</v>
      </c>
      <c r="E7598" s="606" t="n">
        <v>0.5</v>
      </c>
      <c r="F7598" s="361" t="n">
        <v>2324</v>
      </c>
      <c r="G7598" s="926" t="n">
        <f aca="false">E7598*F7598</f>
        <v>1162</v>
      </c>
      <c r="H7598" s="593"/>
    </row>
    <row r="7599" customFormat="false" ht="15" hidden="false" customHeight="false" outlineLevel="0" collapsed="false">
      <c r="A7599" s="571"/>
      <c r="B7599" s="500"/>
      <c r="C7599" s="614" t="s">
        <v>4205</v>
      </c>
      <c r="D7599" s="606" t="s">
        <v>4359</v>
      </c>
      <c r="E7599" s="606" t="n">
        <v>0.01</v>
      </c>
      <c r="F7599" s="361" t="n">
        <v>6300</v>
      </c>
      <c r="G7599" s="926" t="n">
        <f aca="false">E7599*F7599</f>
        <v>63</v>
      </c>
      <c r="H7599" s="593"/>
    </row>
    <row r="7600" customFormat="false" ht="15" hidden="false" customHeight="false" outlineLevel="0" collapsed="false">
      <c r="A7600" s="571"/>
      <c r="B7600" s="500"/>
      <c r="C7600" s="614" t="s">
        <v>4122</v>
      </c>
      <c r="D7600" s="606" t="s">
        <v>4359</v>
      </c>
      <c r="E7600" s="606" t="n">
        <v>0.01</v>
      </c>
      <c r="F7600" s="361" t="n">
        <v>720</v>
      </c>
      <c r="G7600" s="926" t="n">
        <f aca="false">E7600*F7600</f>
        <v>7.2</v>
      </c>
      <c r="H7600" s="593"/>
    </row>
    <row r="7601" customFormat="false" ht="15" hidden="false" customHeight="false" outlineLevel="0" collapsed="false">
      <c r="A7601" s="571"/>
      <c r="B7601" s="500"/>
      <c r="C7601" s="614" t="s">
        <v>4317</v>
      </c>
      <c r="D7601" s="606" t="s">
        <v>4359</v>
      </c>
      <c r="E7601" s="606" t="n">
        <v>0.01</v>
      </c>
      <c r="F7601" s="361" t="n">
        <v>12000</v>
      </c>
      <c r="G7601" s="926" t="n">
        <f aca="false">E7601*F7601</f>
        <v>120</v>
      </c>
      <c r="H7601" s="593"/>
    </row>
    <row r="7602" customFormat="false" ht="15" hidden="false" customHeight="false" outlineLevel="0" collapsed="false">
      <c r="A7602" s="571"/>
      <c r="B7602" s="500"/>
      <c r="C7602" s="614" t="s">
        <v>4485</v>
      </c>
      <c r="D7602" s="606" t="s">
        <v>4133</v>
      </c>
      <c r="E7602" s="606" t="n">
        <v>0.01</v>
      </c>
      <c r="F7602" s="361" t="n">
        <v>5241.6</v>
      </c>
      <c r="G7602" s="926" t="n">
        <f aca="false">E7602*F7602</f>
        <v>52.416</v>
      </c>
      <c r="H7602" s="593"/>
    </row>
    <row r="7603" customFormat="false" ht="15" hidden="false" customHeight="false" outlineLevel="0" collapsed="false">
      <c r="A7603" s="571"/>
      <c r="B7603" s="500"/>
      <c r="C7603" s="614" t="s">
        <v>5465</v>
      </c>
      <c r="D7603" s="606" t="s">
        <v>4133</v>
      </c>
      <c r="E7603" s="606" t="n">
        <v>0.08</v>
      </c>
      <c r="F7603" s="361" t="n">
        <v>1288</v>
      </c>
      <c r="G7603" s="926" t="n">
        <f aca="false">E7603*F7603</f>
        <v>103.04</v>
      </c>
      <c r="H7603" s="593"/>
    </row>
    <row r="7604" customFormat="false" ht="15" hidden="false" customHeight="false" outlineLevel="0" collapsed="false">
      <c r="A7604" s="571"/>
      <c r="B7604" s="500"/>
      <c r="C7604" s="614" t="s">
        <v>4147</v>
      </c>
      <c r="D7604" s="606" t="s">
        <v>4133</v>
      </c>
      <c r="E7604" s="606" t="n">
        <v>0.002</v>
      </c>
      <c r="F7604" s="361" t="n">
        <v>3500</v>
      </c>
      <c r="G7604" s="926" t="n">
        <f aca="false">E7604*F7604</f>
        <v>7</v>
      </c>
      <c r="H7604" s="593"/>
    </row>
    <row r="7605" customFormat="false" ht="15" hidden="false" customHeight="false" outlineLevel="0" collapsed="false">
      <c r="A7605" s="571"/>
      <c r="B7605" s="500"/>
      <c r="C7605" s="614" t="s">
        <v>5466</v>
      </c>
      <c r="D7605" s="606" t="s">
        <v>4133</v>
      </c>
      <c r="E7605" s="606" t="n">
        <v>0.05</v>
      </c>
      <c r="F7605" s="361" t="n">
        <v>4900</v>
      </c>
      <c r="G7605" s="926" t="n">
        <f aca="false">E7605*F7605</f>
        <v>245</v>
      </c>
      <c r="H7605" s="593"/>
    </row>
    <row r="7606" customFormat="false" ht="15" hidden="false" customHeight="false" outlineLevel="0" collapsed="false">
      <c r="A7606" s="571"/>
      <c r="B7606" s="500"/>
      <c r="C7606" s="614" t="s">
        <v>4240</v>
      </c>
      <c r="D7606" s="606" t="s">
        <v>4133</v>
      </c>
      <c r="E7606" s="606" t="n">
        <v>0.05</v>
      </c>
      <c r="F7606" s="361" t="n">
        <v>6200</v>
      </c>
      <c r="G7606" s="926" t="n">
        <f aca="false">E7606*F7606</f>
        <v>310</v>
      </c>
      <c r="H7606" s="593"/>
    </row>
    <row r="7607" customFormat="false" ht="15" hidden="false" customHeight="false" outlineLevel="0" collapsed="false">
      <c r="A7607" s="571"/>
      <c r="B7607" s="608" t="s">
        <v>4128</v>
      </c>
      <c r="C7607" s="609"/>
      <c r="D7607" s="610"/>
      <c r="E7607" s="610"/>
      <c r="F7607" s="612"/>
      <c r="G7607" s="613" t="n">
        <f aca="false">SUM(G7598:G7606)</f>
        <v>2069.656</v>
      </c>
      <c r="H7607" s="618"/>
    </row>
    <row r="7608" customFormat="false" ht="15" hidden="false" customHeight="false" outlineLevel="0" collapsed="false">
      <c r="A7608" s="571" t="s">
        <v>5467</v>
      </c>
      <c r="B7608" s="433" t="s">
        <v>3445</v>
      </c>
      <c r="C7608" s="614" t="s">
        <v>5468</v>
      </c>
      <c r="D7608" s="606" t="s">
        <v>4138</v>
      </c>
      <c r="E7608" s="606" t="n">
        <v>0.8</v>
      </c>
      <c r="F7608" s="361" t="n">
        <v>2380</v>
      </c>
      <c r="G7608" s="926" t="n">
        <f aca="false">E7608*F7608</f>
        <v>1904</v>
      </c>
      <c r="H7608" s="593"/>
    </row>
    <row r="7609" customFormat="false" ht="15" hidden="false" customHeight="false" outlineLevel="0" collapsed="false">
      <c r="A7609" s="571"/>
      <c r="B7609" s="500"/>
      <c r="C7609" s="614" t="s">
        <v>4205</v>
      </c>
      <c r="D7609" s="606" t="s">
        <v>4359</v>
      </c>
      <c r="E7609" s="606" t="n">
        <v>0.01</v>
      </c>
      <c r="F7609" s="361" t="n">
        <v>6300</v>
      </c>
      <c r="G7609" s="926" t="n">
        <f aca="false">E7609*F7609</f>
        <v>63</v>
      </c>
      <c r="H7609" s="593"/>
    </row>
    <row r="7610" customFormat="false" ht="15" hidden="false" customHeight="false" outlineLevel="0" collapsed="false">
      <c r="A7610" s="571"/>
      <c r="B7610" s="500"/>
      <c r="C7610" s="614" t="s">
        <v>4122</v>
      </c>
      <c r="D7610" s="606" t="s">
        <v>4359</v>
      </c>
      <c r="E7610" s="606" t="n">
        <v>0.01</v>
      </c>
      <c r="F7610" s="361" t="n">
        <v>720</v>
      </c>
      <c r="G7610" s="926" t="n">
        <f aca="false">E7610*F7610</f>
        <v>7.2</v>
      </c>
      <c r="H7610" s="593"/>
    </row>
    <row r="7611" customFormat="false" ht="15" hidden="false" customHeight="false" outlineLevel="0" collapsed="false">
      <c r="A7611" s="571"/>
      <c r="B7611" s="500"/>
      <c r="C7611" s="614" t="s">
        <v>4317</v>
      </c>
      <c r="D7611" s="606" t="s">
        <v>4359</v>
      </c>
      <c r="E7611" s="606" t="n">
        <v>0.01</v>
      </c>
      <c r="F7611" s="361" t="n">
        <v>12000</v>
      </c>
      <c r="G7611" s="926" t="n">
        <f aca="false">E7611*F7611</f>
        <v>120</v>
      </c>
      <c r="H7611" s="593"/>
    </row>
    <row r="7612" customFormat="false" ht="15" hidden="false" customHeight="false" outlineLevel="0" collapsed="false">
      <c r="A7612" s="571"/>
      <c r="B7612" s="500"/>
      <c r="C7612" s="614" t="s">
        <v>4485</v>
      </c>
      <c r="D7612" s="606" t="s">
        <v>4133</v>
      </c>
      <c r="E7612" s="606" t="n">
        <v>0.01</v>
      </c>
      <c r="F7612" s="361" t="n">
        <v>5241.6</v>
      </c>
      <c r="G7612" s="926" t="n">
        <f aca="false">E7612*F7612</f>
        <v>52.416</v>
      </c>
      <c r="H7612" s="593"/>
    </row>
    <row r="7613" customFormat="false" ht="15" hidden="false" customHeight="false" outlineLevel="0" collapsed="false">
      <c r="A7613" s="571"/>
      <c r="B7613" s="608" t="s">
        <v>4128</v>
      </c>
      <c r="C7613" s="609"/>
      <c r="D7613" s="610"/>
      <c r="E7613" s="610"/>
      <c r="F7613" s="612"/>
      <c r="G7613" s="613" t="n">
        <f aca="false">SUM(G7608:G7612)</f>
        <v>2146.616</v>
      </c>
      <c r="H7613" s="618"/>
    </row>
    <row r="7614" customFormat="false" ht="15" hidden="false" customHeight="false" outlineLevel="0" collapsed="false">
      <c r="A7614" s="571" t="s">
        <v>5469</v>
      </c>
      <c r="B7614" s="433" t="s">
        <v>5470</v>
      </c>
      <c r="C7614" s="614" t="s">
        <v>5471</v>
      </c>
      <c r="D7614" s="606" t="s">
        <v>4138</v>
      </c>
      <c r="E7614" s="606" t="n">
        <v>0.8</v>
      </c>
      <c r="F7614" s="361" t="n">
        <v>2324</v>
      </c>
      <c r="G7614" s="926" t="n">
        <f aca="false">E7614*F7614</f>
        <v>1859.2</v>
      </c>
      <c r="H7614" s="593"/>
    </row>
    <row r="7615" customFormat="false" ht="15" hidden="false" customHeight="false" outlineLevel="0" collapsed="false">
      <c r="A7615" s="571"/>
      <c r="B7615" s="500"/>
      <c r="C7615" s="614" t="s">
        <v>4205</v>
      </c>
      <c r="D7615" s="606" t="s">
        <v>4359</v>
      </c>
      <c r="E7615" s="606" t="n">
        <v>0.01</v>
      </c>
      <c r="F7615" s="361" t="n">
        <v>6300</v>
      </c>
      <c r="G7615" s="926" t="n">
        <f aca="false">E7615*F7615</f>
        <v>63</v>
      </c>
      <c r="H7615" s="593"/>
    </row>
    <row r="7616" customFormat="false" ht="15" hidden="false" customHeight="false" outlineLevel="0" collapsed="false">
      <c r="A7616" s="571"/>
      <c r="B7616" s="500"/>
      <c r="C7616" s="614" t="s">
        <v>4122</v>
      </c>
      <c r="D7616" s="606" t="s">
        <v>4359</v>
      </c>
      <c r="E7616" s="606" t="n">
        <v>0.01</v>
      </c>
      <c r="F7616" s="361" t="n">
        <v>720</v>
      </c>
      <c r="G7616" s="926" t="n">
        <f aca="false">E7616*F7616</f>
        <v>7.2</v>
      </c>
      <c r="H7616" s="593"/>
    </row>
    <row r="7617" customFormat="false" ht="15" hidden="false" customHeight="false" outlineLevel="0" collapsed="false">
      <c r="A7617" s="571"/>
      <c r="B7617" s="500"/>
      <c r="C7617" s="614" t="s">
        <v>4317</v>
      </c>
      <c r="D7617" s="606" t="s">
        <v>4359</v>
      </c>
      <c r="E7617" s="606" t="n">
        <v>0.01</v>
      </c>
      <c r="F7617" s="361" t="n">
        <v>12000</v>
      </c>
      <c r="G7617" s="926" t="n">
        <f aca="false">E7617*F7617</f>
        <v>120</v>
      </c>
      <c r="H7617" s="593"/>
    </row>
    <row r="7618" customFormat="false" ht="15" hidden="false" customHeight="false" outlineLevel="0" collapsed="false">
      <c r="A7618" s="571"/>
      <c r="B7618" s="500"/>
      <c r="C7618" s="614" t="s">
        <v>4485</v>
      </c>
      <c r="D7618" s="606" t="s">
        <v>4133</v>
      </c>
      <c r="E7618" s="606" t="n">
        <v>0.01</v>
      </c>
      <c r="F7618" s="361" t="n">
        <v>5241.6</v>
      </c>
      <c r="G7618" s="926" t="n">
        <f aca="false">E7618*F7618</f>
        <v>52.416</v>
      </c>
      <c r="H7618" s="593"/>
    </row>
    <row r="7619" customFormat="false" ht="15" hidden="false" customHeight="false" outlineLevel="0" collapsed="false">
      <c r="A7619" s="571"/>
      <c r="B7619" s="608" t="s">
        <v>4128</v>
      </c>
      <c r="C7619" s="609"/>
      <c r="D7619" s="610"/>
      <c r="E7619" s="610"/>
      <c r="F7619" s="612"/>
      <c r="G7619" s="613" t="n">
        <f aca="false">SUM(G7614:G7618)</f>
        <v>2101.816</v>
      </c>
      <c r="H7619" s="593"/>
    </row>
    <row r="7620" customFormat="false" ht="30" hidden="false" customHeight="false" outlineLevel="0" collapsed="false">
      <c r="A7620" s="571" t="s">
        <v>5472</v>
      </c>
      <c r="B7620" s="433" t="s">
        <v>3447</v>
      </c>
      <c r="C7620" s="614" t="s">
        <v>5473</v>
      </c>
      <c r="D7620" s="606" t="s">
        <v>4138</v>
      </c>
      <c r="E7620" s="606" t="n">
        <v>0.8</v>
      </c>
      <c r="F7620" s="361" t="n">
        <v>2324</v>
      </c>
      <c r="G7620" s="926" t="n">
        <f aca="false">E7620*F7620</f>
        <v>1859.2</v>
      </c>
      <c r="H7620" s="593"/>
    </row>
    <row r="7621" customFormat="false" ht="15" hidden="false" customHeight="false" outlineLevel="0" collapsed="false">
      <c r="A7621" s="571"/>
      <c r="B7621" s="500"/>
      <c r="C7621" s="614" t="s">
        <v>4205</v>
      </c>
      <c r="D7621" s="606" t="s">
        <v>4359</v>
      </c>
      <c r="E7621" s="606" t="n">
        <v>0.01</v>
      </c>
      <c r="F7621" s="361" t="n">
        <v>6300</v>
      </c>
      <c r="G7621" s="926" t="n">
        <f aca="false">E7621*F7621</f>
        <v>63</v>
      </c>
      <c r="H7621" s="593"/>
    </row>
    <row r="7622" customFormat="false" ht="15" hidden="false" customHeight="false" outlineLevel="0" collapsed="false">
      <c r="A7622" s="571"/>
      <c r="B7622" s="500"/>
      <c r="C7622" s="614" t="s">
        <v>4122</v>
      </c>
      <c r="D7622" s="606" t="s">
        <v>4359</v>
      </c>
      <c r="E7622" s="606" t="n">
        <v>0.01</v>
      </c>
      <c r="F7622" s="361" t="n">
        <v>720</v>
      </c>
      <c r="G7622" s="926" t="n">
        <f aca="false">E7622*F7622</f>
        <v>7.2</v>
      </c>
      <c r="H7622" s="593"/>
    </row>
    <row r="7623" customFormat="false" ht="15" hidden="false" customHeight="false" outlineLevel="0" collapsed="false">
      <c r="A7623" s="571"/>
      <c r="B7623" s="500"/>
      <c r="C7623" s="614" t="s">
        <v>4317</v>
      </c>
      <c r="D7623" s="606" t="s">
        <v>4359</v>
      </c>
      <c r="E7623" s="606" t="n">
        <v>0.01</v>
      </c>
      <c r="F7623" s="361" t="n">
        <v>12000</v>
      </c>
      <c r="G7623" s="926" t="n">
        <f aca="false">E7623*F7623</f>
        <v>120</v>
      </c>
      <c r="H7623" s="593"/>
    </row>
    <row r="7624" customFormat="false" ht="15" hidden="false" customHeight="false" outlineLevel="0" collapsed="false">
      <c r="A7624" s="571"/>
      <c r="B7624" s="500"/>
      <c r="C7624" s="614" t="s">
        <v>4485</v>
      </c>
      <c r="D7624" s="606" t="s">
        <v>4133</v>
      </c>
      <c r="E7624" s="606" t="n">
        <v>0.01</v>
      </c>
      <c r="F7624" s="361" t="n">
        <v>5241.6</v>
      </c>
      <c r="G7624" s="926" t="n">
        <f aca="false">E7624*F7624</f>
        <v>52.416</v>
      </c>
      <c r="H7624" s="593"/>
    </row>
    <row r="7625" customFormat="false" ht="15" hidden="false" customHeight="false" outlineLevel="0" collapsed="false">
      <c r="A7625" s="571"/>
      <c r="B7625" s="608" t="s">
        <v>4128</v>
      </c>
      <c r="C7625" s="609"/>
      <c r="D7625" s="610"/>
      <c r="E7625" s="610"/>
      <c r="F7625" s="612"/>
      <c r="G7625" s="613" t="n">
        <f aca="false">SUM(G7620:G7624)</f>
        <v>2101.816</v>
      </c>
      <c r="H7625" s="618"/>
    </row>
    <row r="7626" customFormat="false" ht="30" hidden="false" customHeight="false" outlineLevel="0" collapsed="false">
      <c r="A7626" s="571" t="s">
        <v>5474</v>
      </c>
      <c r="B7626" s="500" t="s">
        <v>3448</v>
      </c>
      <c r="C7626" s="614" t="s">
        <v>5473</v>
      </c>
      <c r="D7626" s="606" t="s">
        <v>4138</v>
      </c>
      <c r="E7626" s="606" t="n">
        <v>0.8</v>
      </c>
      <c r="F7626" s="361" t="n">
        <v>2324</v>
      </c>
      <c r="G7626" s="926" t="n">
        <f aca="false">E7626*F7626</f>
        <v>1859.2</v>
      </c>
      <c r="H7626" s="618"/>
    </row>
    <row r="7627" customFormat="false" ht="15" hidden="false" customHeight="false" outlineLevel="0" collapsed="false">
      <c r="A7627" s="571"/>
      <c r="B7627" s="500"/>
      <c r="C7627" s="614" t="s">
        <v>4205</v>
      </c>
      <c r="D7627" s="606" t="s">
        <v>4359</v>
      </c>
      <c r="E7627" s="606" t="n">
        <v>0.01</v>
      </c>
      <c r="F7627" s="361" t="n">
        <v>6300</v>
      </c>
      <c r="G7627" s="926" t="n">
        <f aca="false">E7627*F7627</f>
        <v>63</v>
      </c>
      <c r="H7627" s="593"/>
    </row>
    <row r="7628" customFormat="false" ht="15" hidden="false" customHeight="false" outlineLevel="0" collapsed="false">
      <c r="A7628" s="571"/>
      <c r="B7628" s="500"/>
      <c r="C7628" s="614" t="s">
        <v>4122</v>
      </c>
      <c r="D7628" s="606" t="s">
        <v>4359</v>
      </c>
      <c r="E7628" s="606" t="n">
        <v>0.01</v>
      </c>
      <c r="F7628" s="361" t="n">
        <v>720</v>
      </c>
      <c r="G7628" s="926" t="n">
        <f aca="false">E7628*F7628</f>
        <v>7.2</v>
      </c>
      <c r="H7628" s="593"/>
    </row>
    <row r="7629" customFormat="false" ht="15" hidden="false" customHeight="false" outlineLevel="0" collapsed="false">
      <c r="A7629" s="571"/>
      <c r="B7629" s="500"/>
      <c r="C7629" s="614" t="s">
        <v>4317</v>
      </c>
      <c r="D7629" s="606" t="s">
        <v>4359</v>
      </c>
      <c r="E7629" s="606" t="n">
        <v>0.01</v>
      </c>
      <c r="F7629" s="361" t="n">
        <v>12000</v>
      </c>
      <c r="G7629" s="926" t="n">
        <f aca="false">E7629*F7629</f>
        <v>120</v>
      </c>
      <c r="H7629" s="593"/>
    </row>
    <row r="7630" customFormat="false" ht="15" hidden="false" customHeight="false" outlineLevel="0" collapsed="false">
      <c r="A7630" s="571"/>
      <c r="B7630" s="500"/>
      <c r="C7630" s="614" t="s">
        <v>4485</v>
      </c>
      <c r="D7630" s="606" t="s">
        <v>4133</v>
      </c>
      <c r="E7630" s="606" t="n">
        <v>0.01</v>
      </c>
      <c r="F7630" s="361" t="n">
        <v>5241.6</v>
      </c>
      <c r="G7630" s="926" t="n">
        <f aca="false">E7630*F7630</f>
        <v>52.416</v>
      </c>
      <c r="H7630" s="593"/>
    </row>
    <row r="7631" customFormat="false" ht="15" hidden="false" customHeight="false" outlineLevel="0" collapsed="false">
      <c r="A7631" s="571"/>
      <c r="B7631" s="608" t="s">
        <v>4128</v>
      </c>
      <c r="C7631" s="609"/>
      <c r="D7631" s="610"/>
      <c r="E7631" s="610"/>
      <c r="F7631" s="612"/>
      <c r="G7631" s="613" t="n">
        <f aca="false">SUM(G7626:G7630)</f>
        <v>2101.816</v>
      </c>
      <c r="H7631" s="618"/>
    </row>
    <row r="7632" customFormat="false" ht="30" hidden="false" customHeight="false" outlineLevel="0" collapsed="false">
      <c r="A7632" s="571" t="s">
        <v>5475</v>
      </c>
      <c r="B7632" s="500" t="s">
        <v>3449</v>
      </c>
      <c r="C7632" s="614" t="s">
        <v>5476</v>
      </c>
      <c r="D7632" s="606" t="s">
        <v>4138</v>
      </c>
      <c r="E7632" s="606" t="n">
        <v>0.13</v>
      </c>
      <c r="F7632" s="927" t="n">
        <v>15680</v>
      </c>
      <c r="G7632" s="926" t="n">
        <f aca="false">E7632*F7632</f>
        <v>2038.4</v>
      </c>
      <c r="H7632" s="618"/>
    </row>
    <row r="7633" customFormat="false" ht="15" hidden="false" customHeight="false" outlineLevel="0" collapsed="false">
      <c r="A7633" s="571"/>
      <c r="B7633" s="608"/>
      <c r="C7633" s="614" t="s">
        <v>4122</v>
      </c>
      <c r="D7633" s="606" t="s">
        <v>4359</v>
      </c>
      <c r="E7633" s="606" t="n">
        <v>0.01</v>
      </c>
      <c r="F7633" s="361" t="n">
        <v>720</v>
      </c>
      <c r="G7633" s="926" t="n">
        <f aca="false">E7633*F7633</f>
        <v>7.2</v>
      </c>
      <c r="H7633" s="618"/>
    </row>
    <row r="7634" customFormat="false" ht="15" hidden="false" customHeight="false" outlineLevel="0" collapsed="false">
      <c r="A7634" s="571"/>
      <c r="B7634" s="608"/>
      <c r="C7634" s="614" t="s">
        <v>4485</v>
      </c>
      <c r="D7634" s="606" t="s">
        <v>4133</v>
      </c>
      <c r="E7634" s="606" t="n">
        <v>0.01</v>
      </c>
      <c r="F7634" s="361" t="n">
        <v>5241.6</v>
      </c>
      <c r="G7634" s="926" t="n">
        <f aca="false">E7634*F7634</f>
        <v>52.416</v>
      </c>
      <c r="H7634" s="618"/>
    </row>
    <row r="7635" customFormat="false" ht="15" hidden="false" customHeight="false" outlineLevel="0" collapsed="false">
      <c r="A7635" s="571"/>
      <c r="B7635" s="608" t="s">
        <v>4128</v>
      </c>
      <c r="C7635" s="609"/>
      <c r="D7635" s="610"/>
      <c r="E7635" s="610"/>
      <c r="F7635" s="612"/>
      <c r="G7635" s="613" t="n">
        <f aca="false">SUM(G7632:G7634)</f>
        <v>2098.016</v>
      </c>
      <c r="H7635" s="618"/>
    </row>
    <row r="7636" customFormat="false" ht="30" hidden="false" customHeight="false" outlineLevel="0" collapsed="false">
      <c r="A7636" s="571" t="s">
        <v>5477</v>
      </c>
      <c r="B7636" s="500" t="s">
        <v>3450</v>
      </c>
      <c r="C7636" s="614" t="s">
        <v>5478</v>
      </c>
      <c r="D7636" s="606" t="s">
        <v>4138</v>
      </c>
      <c r="E7636" s="606" t="n">
        <v>0.5</v>
      </c>
      <c r="F7636" s="927" t="n">
        <v>2128</v>
      </c>
      <c r="G7636" s="926" t="n">
        <f aca="false">E7636*F7636</f>
        <v>1064</v>
      </c>
      <c r="H7636" s="618"/>
    </row>
    <row r="7637" customFormat="false" ht="15" hidden="false" customHeight="false" outlineLevel="0" collapsed="false">
      <c r="A7637" s="571"/>
      <c r="B7637" s="500"/>
      <c r="C7637" s="614" t="s">
        <v>4122</v>
      </c>
      <c r="D7637" s="606" t="s">
        <v>4359</v>
      </c>
      <c r="E7637" s="606" t="n">
        <v>0.1</v>
      </c>
      <c r="F7637" s="361" t="n">
        <v>720</v>
      </c>
      <c r="G7637" s="926" t="n">
        <f aca="false">E7637*F7637</f>
        <v>72</v>
      </c>
      <c r="H7637" s="618"/>
    </row>
    <row r="7638" customFormat="false" ht="15" hidden="false" customHeight="false" outlineLevel="0" collapsed="false">
      <c r="A7638" s="571"/>
      <c r="B7638" s="500"/>
      <c r="C7638" s="614" t="s">
        <v>4485</v>
      </c>
      <c r="D7638" s="606" t="s">
        <v>4133</v>
      </c>
      <c r="E7638" s="606" t="n">
        <v>0.01</v>
      </c>
      <c r="F7638" s="361" t="n">
        <v>5241.6</v>
      </c>
      <c r="G7638" s="926" t="n">
        <f aca="false">E7638*F7638</f>
        <v>52.416</v>
      </c>
      <c r="H7638" s="618"/>
    </row>
    <row r="7639" customFormat="false" ht="15" hidden="false" customHeight="false" outlineLevel="0" collapsed="false">
      <c r="A7639" s="571"/>
      <c r="B7639" s="608" t="s">
        <v>4128</v>
      </c>
      <c r="C7639" s="609"/>
      <c r="D7639" s="610"/>
      <c r="E7639" s="610"/>
      <c r="F7639" s="612"/>
      <c r="G7639" s="613" t="n">
        <f aca="false">SUM(G7636:G7638)</f>
        <v>1188.416</v>
      </c>
      <c r="H7639" s="618"/>
    </row>
    <row r="7640" customFormat="false" ht="30" hidden="false" customHeight="false" outlineLevel="0" collapsed="false">
      <c r="A7640" s="571" t="s">
        <v>5479</v>
      </c>
      <c r="B7640" s="500" t="s">
        <v>3451</v>
      </c>
      <c r="C7640" s="614" t="s">
        <v>5480</v>
      </c>
      <c r="D7640" s="606" t="s">
        <v>4138</v>
      </c>
      <c r="E7640" s="606" t="n">
        <v>0.5</v>
      </c>
      <c r="F7640" s="927" t="n">
        <v>2324</v>
      </c>
      <c r="G7640" s="926" t="n">
        <f aca="false">E7640*F7640</f>
        <v>1162</v>
      </c>
      <c r="H7640" s="618"/>
    </row>
    <row r="7641" customFormat="false" ht="15" hidden="false" customHeight="false" outlineLevel="0" collapsed="false">
      <c r="A7641" s="571"/>
      <c r="B7641" s="500"/>
      <c r="C7641" s="614" t="s">
        <v>4122</v>
      </c>
      <c r="D7641" s="606" t="s">
        <v>4359</v>
      </c>
      <c r="E7641" s="606" t="n">
        <v>0.1</v>
      </c>
      <c r="F7641" s="361" t="n">
        <v>720</v>
      </c>
      <c r="G7641" s="926" t="n">
        <f aca="false">E7641*F7641</f>
        <v>72</v>
      </c>
      <c r="H7641" s="618"/>
    </row>
    <row r="7642" customFormat="false" ht="15" hidden="false" customHeight="false" outlineLevel="0" collapsed="false">
      <c r="A7642" s="571"/>
      <c r="B7642" s="500"/>
      <c r="C7642" s="614" t="s">
        <v>4485</v>
      </c>
      <c r="D7642" s="606" t="s">
        <v>4133</v>
      </c>
      <c r="E7642" s="606" t="n">
        <v>0.01</v>
      </c>
      <c r="F7642" s="361" t="n">
        <v>5241.6</v>
      </c>
      <c r="G7642" s="926" t="n">
        <f aca="false">E7642*F7642</f>
        <v>52.416</v>
      </c>
      <c r="H7642" s="618"/>
    </row>
    <row r="7643" customFormat="false" ht="15" hidden="false" customHeight="false" outlineLevel="0" collapsed="false">
      <c r="A7643" s="571"/>
      <c r="B7643" s="608" t="s">
        <v>4128</v>
      </c>
      <c r="C7643" s="609"/>
      <c r="D7643" s="610"/>
      <c r="E7643" s="610"/>
      <c r="F7643" s="612"/>
      <c r="G7643" s="613" t="n">
        <f aca="false">SUM(G7640:G7642)</f>
        <v>1286.416</v>
      </c>
      <c r="H7643" s="618"/>
    </row>
    <row r="7644" customFormat="false" ht="15" hidden="false" customHeight="false" outlineLevel="0" collapsed="false">
      <c r="A7644" s="571" t="s">
        <v>5481</v>
      </c>
      <c r="B7644" s="433" t="s">
        <v>3452</v>
      </c>
      <c r="C7644" s="614" t="s">
        <v>5482</v>
      </c>
      <c r="D7644" s="606" t="s">
        <v>4138</v>
      </c>
      <c r="E7644" s="606" t="n">
        <v>1</v>
      </c>
      <c r="F7644" s="361" t="n">
        <v>1120</v>
      </c>
      <c r="G7644" s="926" t="n">
        <f aca="false">E7644*F7644</f>
        <v>1120</v>
      </c>
      <c r="H7644" s="593"/>
    </row>
    <row r="7645" customFormat="false" ht="15" hidden="false" customHeight="false" outlineLevel="0" collapsed="false">
      <c r="A7645" s="571"/>
      <c r="B7645" s="500"/>
      <c r="C7645" s="614" t="s">
        <v>4205</v>
      </c>
      <c r="D7645" s="606" t="s">
        <v>4359</v>
      </c>
      <c r="E7645" s="606" t="n">
        <v>0.1</v>
      </c>
      <c r="F7645" s="361" t="n">
        <v>6300</v>
      </c>
      <c r="G7645" s="926" t="n">
        <f aca="false">E7645*F7645</f>
        <v>630</v>
      </c>
      <c r="H7645" s="593"/>
    </row>
    <row r="7646" customFormat="false" ht="15" hidden="false" customHeight="false" outlineLevel="0" collapsed="false">
      <c r="A7646" s="571"/>
      <c r="B7646" s="500"/>
      <c r="C7646" s="614" t="s">
        <v>4122</v>
      </c>
      <c r="D7646" s="606" t="s">
        <v>4359</v>
      </c>
      <c r="E7646" s="606" t="n">
        <v>0.1</v>
      </c>
      <c r="F7646" s="361" t="n">
        <v>720</v>
      </c>
      <c r="G7646" s="926" t="n">
        <f aca="false">E7646*F7646</f>
        <v>72</v>
      </c>
      <c r="H7646" s="593"/>
    </row>
    <row r="7647" customFormat="false" ht="15" hidden="false" customHeight="false" outlineLevel="0" collapsed="false">
      <c r="A7647" s="571"/>
      <c r="B7647" s="500"/>
      <c r="C7647" s="614" t="s">
        <v>4317</v>
      </c>
      <c r="D7647" s="606" t="s">
        <v>4359</v>
      </c>
      <c r="E7647" s="606" t="n">
        <v>0.1</v>
      </c>
      <c r="F7647" s="361" t="n">
        <v>12000</v>
      </c>
      <c r="G7647" s="926" t="n">
        <f aca="false">E7647*F7647</f>
        <v>1200</v>
      </c>
      <c r="H7647" s="593"/>
    </row>
    <row r="7648" customFormat="false" ht="15" hidden="false" customHeight="false" outlineLevel="0" collapsed="false">
      <c r="A7648" s="571"/>
      <c r="B7648" s="500"/>
      <c r="C7648" s="614" t="s">
        <v>4485</v>
      </c>
      <c r="D7648" s="606" t="s">
        <v>4133</v>
      </c>
      <c r="E7648" s="606" t="n">
        <v>0.01</v>
      </c>
      <c r="F7648" s="361" t="n">
        <v>5241.6</v>
      </c>
      <c r="G7648" s="926" t="n">
        <f aca="false">E7648*F7648</f>
        <v>52.416</v>
      </c>
      <c r="H7648" s="593"/>
    </row>
    <row r="7649" customFormat="false" ht="15" hidden="false" customHeight="false" outlineLevel="0" collapsed="false">
      <c r="A7649" s="571"/>
      <c r="B7649" s="608" t="s">
        <v>4128</v>
      </c>
      <c r="C7649" s="609"/>
      <c r="D7649" s="610"/>
      <c r="E7649" s="610"/>
      <c r="F7649" s="612"/>
      <c r="G7649" s="613" t="n">
        <f aca="false">SUM(G7644:G7648)</f>
        <v>3074.416</v>
      </c>
      <c r="H7649" s="618"/>
    </row>
    <row r="7650" customFormat="false" ht="30" hidden="false" customHeight="false" outlineLevel="0" collapsed="false">
      <c r="A7650" s="571" t="s">
        <v>5483</v>
      </c>
      <c r="B7650" s="433" t="s">
        <v>3542</v>
      </c>
      <c r="C7650" s="614" t="s">
        <v>5484</v>
      </c>
      <c r="D7650" s="606" t="s">
        <v>5437</v>
      </c>
      <c r="E7650" s="606" t="n">
        <v>0.25</v>
      </c>
      <c r="F7650" s="361" t="n">
        <v>7700</v>
      </c>
      <c r="G7650" s="926" t="n">
        <f aca="false">E7650*F7650</f>
        <v>1925</v>
      </c>
      <c r="H7650" s="593"/>
    </row>
    <row r="7651" customFormat="false" ht="15" hidden="false" customHeight="false" outlineLevel="0" collapsed="false">
      <c r="A7651" s="571"/>
      <c r="B7651" s="500"/>
      <c r="C7651" s="614" t="s">
        <v>4205</v>
      </c>
      <c r="D7651" s="606" t="s">
        <v>4359</v>
      </c>
      <c r="E7651" s="606" t="n">
        <v>0.01</v>
      </c>
      <c r="F7651" s="361" t="n">
        <v>6300</v>
      </c>
      <c r="G7651" s="926" t="n">
        <f aca="false">E7651*F7651</f>
        <v>63</v>
      </c>
      <c r="H7651" s="593"/>
    </row>
    <row r="7652" customFormat="false" ht="15" hidden="false" customHeight="false" outlineLevel="0" collapsed="false">
      <c r="A7652" s="571"/>
      <c r="B7652" s="500"/>
      <c r="C7652" s="614" t="s">
        <v>4122</v>
      </c>
      <c r="D7652" s="606" t="s">
        <v>4359</v>
      </c>
      <c r="E7652" s="606" t="n">
        <v>0.01</v>
      </c>
      <c r="F7652" s="361" t="n">
        <v>720</v>
      </c>
      <c r="G7652" s="926" t="n">
        <f aca="false">E7652*F7652</f>
        <v>7.2</v>
      </c>
      <c r="H7652" s="593"/>
    </row>
    <row r="7653" customFormat="false" ht="15" hidden="false" customHeight="false" outlineLevel="0" collapsed="false">
      <c r="A7653" s="571"/>
      <c r="B7653" s="500"/>
      <c r="C7653" s="614" t="s">
        <v>4317</v>
      </c>
      <c r="D7653" s="606" t="s">
        <v>4359</v>
      </c>
      <c r="E7653" s="606" t="n">
        <v>0.01</v>
      </c>
      <c r="F7653" s="361" t="n">
        <v>12000</v>
      </c>
      <c r="G7653" s="926" t="n">
        <f aca="false">E7653*F7653</f>
        <v>120</v>
      </c>
      <c r="H7653" s="593"/>
    </row>
    <row r="7654" customFormat="false" ht="15" hidden="false" customHeight="false" outlineLevel="0" collapsed="false">
      <c r="A7654" s="571"/>
      <c r="B7654" s="608" t="s">
        <v>4128</v>
      </c>
      <c r="C7654" s="609"/>
      <c r="D7654" s="610"/>
      <c r="E7654" s="610"/>
      <c r="F7654" s="612"/>
      <c r="G7654" s="613" t="n">
        <f aca="false">SUM(G7650:G7653)</f>
        <v>2115.2</v>
      </c>
      <c r="H7654" s="618"/>
    </row>
    <row r="7655" customFormat="false" ht="30" hidden="false" customHeight="false" outlineLevel="0" collapsed="false">
      <c r="A7655" s="571" t="s">
        <v>5485</v>
      </c>
      <c r="B7655" s="433" t="s">
        <v>3454</v>
      </c>
      <c r="C7655" s="614" t="s">
        <v>5486</v>
      </c>
      <c r="D7655" s="606" t="s">
        <v>5437</v>
      </c>
      <c r="E7655" s="606" t="n">
        <v>0.8</v>
      </c>
      <c r="F7655" s="361" t="n">
        <v>2324</v>
      </c>
      <c r="G7655" s="926" t="n">
        <f aca="false">E7655*F7655</f>
        <v>1859.2</v>
      </c>
      <c r="H7655" s="593"/>
    </row>
    <row r="7656" customFormat="false" ht="15" hidden="false" customHeight="false" outlineLevel="0" collapsed="false">
      <c r="A7656" s="571"/>
      <c r="B7656" s="500"/>
      <c r="C7656" s="614" t="s">
        <v>4205</v>
      </c>
      <c r="D7656" s="606" t="s">
        <v>4359</v>
      </c>
      <c r="E7656" s="606" t="n">
        <v>0.01</v>
      </c>
      <c r="F7656" s="361" t="n">
        <v>6300</v>
      </c>
      <c r="G7656" s="926" t="n">
        <f aca="false">E7656*F7656</f>
        <v>63</v>
      </c>
      <c r="H7656" s="593"/>
    </row>
    <row r="7657" customFormat="false" ht="15" hidden="false" customHeight="false" outlineLevel="0" collapsed="false">
      <c r="A7657" s="571"/>
      <c r="B7657" s="500"/>
      <c r="C7657" s="614" t="s">
        <v>4122</v>
      </c>
      <c r="D7657" s="606" t="s">
        <v>4359</v>
      </c>
      <c r="E7657" s="606" t="n">
        <v>0.01</v>
      </c>
      <c r="F7657" s="361" t="n">
        <v>720</v>
      </c>
      <c r="G7657" s="926" t="n">
        <f aca="false">E7657*F7657</f>
        <v>7.2</v>
      </c>
      <c r="H7657" s="593"/>
    </row>
    <row r="7658" customFormat="false" ht="15" hidden="false" customHeight="false" outlineLevel="0" collapsed="false">
      <c r="A7658" s="571"/>
      <c r="B7658" s="500"/>
      <c r="C7658" s="614" t="s">
        <v>4317</v>
      </c>
      <c r="D7658" s="606" t="s">
        <v>4359</v>
      </c>
      <c r="E7658" s="606" t="n">
        <v>0.01</v>
      </c>
      <c r="F7658" s="361" t="n">
        <v>12000</v>
      </c>
      <c r="G7658" s="926" t="n">
        <f aca="false">E7658*F7658</f>
        <v>120</v>
      </c>
      <c r="H7658" s="593"/>
    </row>
    <row r="7659" customFormat="false" ht="15" hidden="false" customHeight="false" outlineLevel="0" collapsed="false">
      <c r="A7659" s="571"/>
      <c r="B7659" s="500"/>
      <c r="C7659" s="614" t="s">
        <v>4485</v>
      </c>
      <c r="D7659" s="606" t="s">
        <v>4133</v>
      </c>
      <c r="E7659" s="606" t="n">
        <v>0.01</v>
      </c>
      <c r="F7659" s="361" t="n">
        <v>5241.6</v>
      </c>
      <c r="G7659" s="926" t="n">
        <f aca="false">E7659*F7659</f>
        <v>52.416</v>
      </c>
      <c r="H7659" s="593"/>
    </row>
    <row r="7660" customFormat="false" ht="15" hidden="false" customHeight="false" outlineLevel="0" collapsed="false">
      <c r="A7660" s="571"/>
      <c r="B7660" s="608" t="s">
        <v>4128</v>
      </c>
      <c r="C7660" s="609"/>
      <c r="D7660" s="610"/>
      <c r="E7660" s="610"/>
      <c r="F7660" s="612"/>
      <c r="G7660" s="613" t="n">
        <f aca="false">SUM(G7655:G7659)</f>
        <v>2101.816</v>
      </c>
      <c r="H7660" s="618"/>
    </row>
    <row r="7661" customFormat="false" ht="15" hidden="false" customHeight="false" outlineLevel="0" collapsed="false">
      <c r="A7661" s="571" t="s">
        <v>5487</v>
      </c>
      <c r="B7661" s="433" t="s">
        <v>3455</v>
      </c>
      <c r="C7661" s="614" t="s">
        <v>5488</v>
      </c>
      <c r="D7661" s="606" t="s">
        <v>4138</v>
      </c>
      <c r="E7661" s="606" t="n">
        <v>0.75</v>
      </c>
      <c r="F7661" s="361" t="n">
        <v>2128</v>
      </c>
      <c r="G7661" s="926" t="n">
        <f aca="false">E7661*F7661</f>
        <v>1596</v>
      </c>
      <c r="H7661" s="593"/>
    </row>
    <row r="7662" customFormat="false" ht="15" hidden="false" customHeight="false" outlineLevel="0" collapsed="false">
      <c r="A7662" s="571"/>
      <c r="B7662" s="500"/>
      <c r="C7662" s="614" t="s">
        <v>5489</v>
      </c>
      <c r="D7662" s="606" t="s">
        <v>4133</v>
      </c>
      <c r="E7662" s="606" t="n">
        <v>0.001</v>
      </c>
      <c r="F7662" s="361" t="n">
        <v>133000</v>
      </c>
      <c r="G7662" s="926" t="n">
        <f aca="false">E7662*F7662</f>
        <v>133</v>
      </c>
      <c r="H7662" s="593"/>
    </row>
    <row r="7663" customFormat="false" ht="15" hidden="false" customHeight="false" outlineLevel="0" collapsed="false">
      <c r="A7663" s="571"/>
      <c r="B7663" s="500"/>
      <c r="C7663" s="614" t="s">
        <v>5490</v>
      </c>
      <c r="D7663" s="606" t="s">
        <v>4133</v>
      </c>
      <c r="E7663" s="606" t="n">
        <v>0.05</v>
      </c>
      <c r="F7663" s="361" t="n">
        <v>3500</v>
      </c>
      <c r="G7663" s="926" t="n">
        <f aca="false">E7663*F7663</f>
        <v>175</v>
      </c>
      <c r="H7663" s="593"/>
    </row>
    <row r="7664" customFormat="false" ht="15" hidden="false" customHeight="false" outlineLevel="0" collapsed="false">
      <c r="A7664" s="571"/>
      <c r="B7664" s="500"/>
      <c r="C7664" s="614" t="s">
        <v>4240</v>
      </c>
      <c r="D7664" s="606" t="s">
        <v>4133</v>
      </c>
      <c r="E7664" s="606" t="n">
        <v>0.005</v>
      </c>
      <c r="F7664" s="361" t="n">
        <v>6200</v>
      </c>
      <c r="G7664" s="926" t="n">
        <f aca="false">E7664*F7664</f>
        <v>31</v>
      </c>
      <c r="H7664" s="593"/>
    </row>
    <row r="7665" customFormat="false" ht="15" hidden="false" customHeight="false" outlineLevel="0" collapsed="false">
      <c r="A7665" s="571"/>
      <c r="B7665" s="500"/>
      <c r="C7665" s="614" t="s">
        <v>4147</v>
      </c>
      <c r="D7665" s="606" t="s">
        <v>4133</v>
      </c>
      <c r="E7665" s="606" t="n">
        <v>0.033</v>
      </c>
      <c r="F7665" s="361" t="n">
        <v>3500</v>
      </c>
      <c r="G7665" s="926" t="n">
        <f aca="false">E7665*F7665</f>
        <v>115.5</v>
      </c>
      <c r="H7665" s="593"/>
    </row>
    <row r="7666" customFormat="false" ht="15" hidden="false" customHeight="false" outlineLevel="0" collapsed="false">
      <c r="A7666" s="571"/>
      <c r="B7666" s="608" t="s">
        <v>4128</v>
      </c>
      <c r="C7666" s="609"/>
      <c r="D7666" s="610"/>
      <c r="E7666" s="610"/>
      <c r="F7666" s="612"/>
      <c r="G7666" s="613" t="n">
        <f aca="false">SUM(G7661:G7665)</f>
        <v>2050.5</v>
      </c>
      <c r="H7666" s="610"/>
    </row>
    <row r="7667" customFormat="false" ht="15" hidden="false" customHeight="false" outlineLevel="0" collapsed="false">
      <c r="A7667" s="571" t="s">
        <v>5491</v>
      </c>
      <c r="B7667" s="433" t="s">
        <v>3456</v>
      </c>
      <c r="C7667" s="614" t="s">
        <v>5492</v>
      </c>
      <c r="D7667" s="606" t="s">
        <v>4133</v>
      </c>
      <c r="E7667" s="606" t="n">
        <v>0.09</v>
      </c>
      <c r="F7667" s="361" t="n">
        <v>20000</v>
      </c>
      <c r="G7667" s="926" t="n">
        <f aca="false">E7667*F7667</f>
        <v>1800</v>
      </c>
      <c r="H7667" s="593"/>
    </row>
    <row r="7668" customFormat="false" ht="15" hidden="false" customHeight="false" outlineLevel="0" collapsed="false">
      <c r="A7668" s="571"/>
      <c r="B7668" s="500"/>
      <c r="C7668" s="614" t="s">
        <v>5493</v>
      </c>
      <c r="D7668" s="606" t="s">
        <v>4133</v>
      </c>
      <c r="E7668" s="606" t="n">
        <v>0.02</v>
      </c>
      <c r="F7668" s="361" t="n">
        <v>6500</v>
      </c>
      <c r="G7668" s="926" t="n">
        <f aca="false">E7668*F7668</f>
        <v>130</v>
      </c>
      <c r="H7668" s="593"/>
    </row>
    <row r="7669" customFormat="false" ht="15" hidden="false" customHeight="false" outlineLevel="0" collapsed="false">
      <c r="A7669" s="571"/>
      <c r="B7669" s="500"/>
      <c r="C7669" s="614" t="s">
        <v>5494</v>
      </c>
      <c r="D7669" s="606" t="s">
        <v>5452</v>
      </c>
      <c r="E7669" s="606" t="n">
        <v>0.003</v>
      </c>
      <c r="F7669" s="361" t="n">
        <v>2553.6</v>
      </c>
      <c r="G7669" s="926" t="n">
        <f aca="false">E7669*F7669</f>
        <v>7.6608</v>
      </c>
      <c r="H7669" s="593"/>
    </row>
    <row r="7670" customFormat="false" ht="15" hidden="false" customHeight="false" outlineLevel="0" collapsed="false">
      <c r="A7670" s="571"/>
      <c r="B7670" s="500"/>
      <c r="C7670" s="614" t="s">
        <v>4147</v>
      </c>
      <c r="D7670" s="606" t="s">
        <v>4133</v>
      </c>
      <c r="E7670" s="606" t="n">
        <v>0.001</v>
      </c>
      <c r="F7670" s="361" t="n">
        <v>3500</v>
      </c>
      <c r="G7670" s="926" t="n">
        <f aca="false">E7670*F7670</f>
        <v>3.5</v>
      </c>
      <c r="H7670" s="593"/>
    </row>
    <row r="7671" customFormat="false" ht="15" hidden="false" customHeight="false" outlineLevel="0" collapsed="false">
      <c r="A7671" s="571"/>
      <c r="B7671" s="500"/>
      <c r="C7671" s="614" t="s">
        <v>5495</v>
      </c>
      <c r="D7671" s="606" t="s">
        <v>4133</v>
      </c>
      <c r="E7671" s="606" t="n">
        <v>0.003</v>
      </c>
      <c r="F7671" s="361" t="n">
        <v>36600</v>
      </c>
      <c r="G7671" s="926" t="n">
        <f aca="false">E7671*F7671</f>
        <v>109.8</v>
      </c>
      <c r="H7671" s="593"/>
    </row>
    <row r="7672" customFormat="false" ht="15" hidden="false" customHeight="false" outlineLevel="0" collapsed="false">
      <c r="A7672" s="571"/>
      <c r="B7672" s="500"/>
      <c r="C7672" s="614" t="s">
        <v>4536</v>
      </c>
      <c r="D7672" s="606" t="s">
        <v>4359</v>
      </c>
      <c r="E7672" s="606" t="n">
        <v>0.03</v>
      </c>
      <c r="F7672" s="361" t="n">
        <v>999</v>
      </c>
      <c r="G7672" s="926" t="n">
        <f aca="false">E7672*F7672</f>
        <v>29.97</v>
      </c>
      <c r="H7672" s="606"/>
    </row>
    <row r="7673" customFormat="false" ht="15" hidden="false" customHeight="false" outlineLevel="0" collapsed="false">
      <c r="A7673" s="571"/>
      <c r="B7673" s="608" t="s">
        <v>4128</v>
      </c>
      <c r="C7673" s="609"/>
      <c r="D7673" s="610"/>
      <c r="E7673" s="610"/>
      <c r="F7673" s="612"/>
      <c r="G7673" s="613" t="n">
        <f aca="false">SUM(G7667:G7672)</f>
        <v>2080.9308</v>
      </c>
      <c r="H7673" s="610"/>
    </row>
    <row r="7674" customFormat="false" ht="30" hidden="false" customHeight="false" outlineLevel="0" collapsed="false">
      <c r="A7674" s="571" t="s">
        <v>5496</v>
      </c>
      <c r="B7674" s="433" t="s">
        <v>3457</v>
      </c>
      <c r="C7674" s="614" t="s">
        <v>5497</v>
      </c>
      <c r="D7674" s="606" t="s">
        <v>4133</v>
      </c>
      <c r="E7674" s="606" t="n">
        <v>0.5</v>
      </c>
      <c r="F7674" s="361" t="n">
        <v>2324</v>
      </c>
      <c r="G7674" s="926" t="n">
        <f aca="false">E7674*F7674</f>
        <v>1162</v>
      </c>
      <c r="H7674" s="593"/>
    </row>
    <row r="7675" customFormat="false" ht="15" hidden="false" customHeight="false" outlineLevel="0" collapsed="false">
      <c r="A7675" s="571"/>
      <c r="B7675" s="433"/>
      <c r="C7675" s="614" t="s">
        <v>4317</v>
      </c>
      <c r="D7675" s="606" t="s">
        <v>4359</v>
      </c>
      <c r="E7675" s="606" t="n">
        <v>0.05</v>
      </c>
      <c r="F7675" s="361" t="n">
        <v>12000</v>
      </c>
      <c r="G7675" s="926" t="n">
        <f aca="false">E7675*F7675</f>
        <v>600</v>
      </c>
      <c r="H7675" s="593"/>
    </row>
    <row r="7676" customFormat="false" ht="15" hidden="false" customHeight="false" outlineLevel="0" collapsed="false">
      <c r="A7676" s="571"/>
      <c r="B7676" s="608" t="s">
        <v>4128</v>
      </c>
      <c r="C7676" s="609"/>
      <c r="D7676" s="610"/>
      <c r="E7676" s="610"/>
      <c r="F7676" s="612"/>
      <c r="G7676" s="613" t="n">
        <f aca="false">SUM(G7674:G7675)</f>
        <v>1762</v>
      </c>
      <c r="H7676" s="618"/>
    </row>
    <row r="7677" customFormat="false" ht="15" hidden="false" customHeight="false" outlineLevel="0" collapsed="false">
      <c r="A7677" s="571" t="s">
        <v>5498</v>
      </c>
      <c r="B7677" s="433" t="s">
        <v>3458</v>
      </c>
      <c r="C7677" s="614" t="s">
        <v>5499</v>
      </c>
      <c r="D7677" s="606" t="s">
        <v>4133</v>
      </c>
      <c r="E7677" s="606" t="n">
        <v>0.01</v>
      </c>
      <c r="F7677" s="361" t="n">
        <v>63000</v>
      </c>
      <c r="G7677" s="926" t="n">
        <f aca="false">E7677*F7677</f>
        <v>630</v>
      </c>
      <c r="H7677" s="593"/>
    </row>
    <row r="7678" customFormat="false" ht="15" hidden="false" customHeight="false" outlineLevel="0" collapsed="false">
      <c r="A7678" s="571"/>
      <c r="B7678" s="500"/>
      <c r="C7678" s="614" t="s">
        <v>4378</v>
      </c>
      <c r="D7678" s="606" t="s">
        <v>4133</v>
      </c>
      <c r="E7678" s="606" t="n">
        <v>0.02</v>
      </c>
      <c r="F7678" s="361" t="n">
        <v>12740</v>
      </c>
      <c r="G7678" s="926" t="n">
        <f aca="false">E7678*F7678</f>
        <v>254.8</v>
      </c>
      <c r="H7678" s="593"/>
    </row>
    <row r="7679" customFormat="false" ht="15" hidden="false" customHeight="false" outlineLevel="0" collapsed="false">
      <c r="A7679" s="571"/>
      <c r="B7679" s="500"/>
      <c r="C7679" s="614" t="s">
        <v>4266</v>
      </c>
      <c r="D7679" s="606" t="s">
        <v>4359</v>
      </c>
      <c r="E7679" s="606" t="n">
        <v>0.05</v>
      </c>
      <c r="F7679" s="361" t="n">
        <v>1330</v>
      </c>
      <c r="G7679" s="926" t="n">
        <f aca="false">E7679*F7679</f>
        <v>66.5</v>
      </c>
      <c r="H7679" s="593"/>
    </row>
    <row r="7680" customFormat="false" ht="15" hidden="false" customHeight="false" outlineLevel="0" collapsed="false">
      <c r="A7680" s="571"/>
      <c r="B7680" s="500"/>
      <c r="C7680" s="614" t="s">
        <v>4604</v>
      </c>
      <c r="D7680" s="606" t="s">
        <v>4359</v>
      </c>
      <c r="E7680" s="606" t="n">
        <v>0.005</v>
      </c>
      <c r="F7680" s="361" t="n">
        <v>10573</v>
      </c>
      <c r="G7680" s="926" t="n">
        <f aca="false">E7680*F7680</f>
        <v>52.865</v>
      </c>
      <c r="H7680" s="593"/>
    </row>
    <row r="7681" customFormat="false" ht="15" hidden="false" customHeight="false" outlineLevel="0" collapsed="false">
      <c r="A7681" s="571"/>
      <c r="B7681" s="500"/>
      <c r="C7681" s="614" t="s">
        <v>4311</v>
      </c>
      <c r="D7681" s="606" t="s">
        <v>4133</v>
      </c>
      <c r="E7681" s="606" t="n">
        <v>0.05</v>
      </c>
      <c r="F7681" s="361" t="n">
        <v>12600</v>
      </c>
      <c r="G7681" s="926" t="n">
        <f aca="false">E7681*F7681</f>
        <v>630</v>
      </c>
      <c r="H7681" s="593"/>
    </row>
    <row r="7682" customFormat="false" ht="15" hidden="false" customHeight="false" outlineLevel="0" collapsed="false">
      <c r="A7682" s="571"/>
      <c r="B7682" s="500"/>
      <c r="C7682" s="614" t="s">
        <v>4122</v>
      </c>
      <c r="D7682" s="606" t="s">
        <v>4359</v>
      </c>
      <c r="E7682" s="606" t="n">
        <v>0.03</v>
      </c>
      <c r="F7682" s="361" t="n">
        <v>720</v>
      </c>
      <c r="G7682" s="926" t="n">
        <f aca="false">E7682*F7682</f>
        <v>21.6</v>
      </c>
      <c r="H7682" s="606"/>
    </row>
    <row r="7683" customFormat="false" ht="15" hidden="false" customHeight="false" outlineLevel="0" collapsed="false">
      <c r="A7683" s="571"/>
      <c r="B7683" s="500"/>
      <c r="C7683" s="614" t="s">
        <v>4214</v>
      </c>
      <c r="D7683" s="606" t="s">
        <v>4133</v>
      </c>
      <c r="E7683" s="606" t="n">
        <v>0.01</v>
      </c>
      <c r="F7683" s="361" t="n">
        <v>19700</v>
      </c>
      <c r="G7683" s="926" t="n">
        <f aca="false">E7683*F7683</f>
        <v>197</v>
      </c>
      <c r="H7683" s="606"/>
    </row>
    <row r="7684" customFormat="false" ht="15" hidden="false" customHeight="false" outlineLevel="0" collapsed="false">
      <c r="A7684" s="571"/>
      <c r="B7684" s="500"/>
      <c r="C7684" s="614" t="s">
        <v>5405</v>
      </c>
      <c r="D7684" s="606" t="s">
        <v>4133</v>
      </c>
      <c r="E7684" s="606" t="n">
        <v>0.05</v>
      </c>
      <c r="F7684" s="361" t="n">
        <v>4900</v>
      </c>
      <c r="G7684" s="926" t="n">
        <f aca="false">E7684*F7684</f>
        <v>245</v>
      </c>
      <c r="H7684" s="606"/>
    </row>
    <row r="7685" customFormat="false" ht="15" hidden="false" customHeight="false" outlineLevel="0" collapsed="false">
      <c r="A7685" s="571"/>
      <c r="B7685" s="500"/>
      <c r="C7685" s="614" t="s">
        <v>4154</v>
      </c>
      <c r="D7685" s="606" t="s">
        <v>4133</v>
      </c>
      <c r="E7685" s="606" t="n">
        <v>0.01</v>
      </c>
      <c r="F7685" s="361" t="n">
        <v>5500</v>
      </c>
      <c r="G7685" s="926" t="n">
        <f aca="false">E7685*F7685</f>
        <v>55</v>
      </c>
      <c r="H7685" s="606"/>
    </row>
    <row r="7686" customFormat="false" ht="15" hidden="false" customHeight="false" outlineLevel="0" collapsed="false">
      <c r="A7686" s="571"/>
      <c r="B7686" s="608" t="s">
        <v>4128</v>
      </c>
      <c r="C7686" s="609"/>
      <c r="D7686" s="610"/>
      <c r="E7686" s="610"/>
      <c r="F7686" s="612"/>
      <c r="G7686" s="613" t="n">
        <f aca="false">SUM(G7677:G7685)</f>
        <v>2152.765</v>
      </c>
      <c r="H7686" s="610"/>
    </row>
    <row r="7687" customFormat="false" ht="15" hidden="false" customHeight="false" outlineLevel="0" collapsed="false">
      <c r="A7687" s="571" t="s">
        <v>5500</v>
      </c>
      <c r="B7687" s="433" t="s">
        <v>3459</v>
      </c>
      <c r="C7687" s="614" t="s">
        <v>4205</v>
      </c>
      <c r="D7687" s="606" t="s">
        <v>4359</v>
      </c>
      <c r="E7687" s="606" t="n">
        <v>0.1</v>
      </c>
      <c r="F7687" s="361" t="n">
        <v>6300</v>
      </c>
      <c r="G7687" s="926" t="n">
        <f aca="false">E7687*F7687</f>
        <v>630</v>
      </c>
      <c r="H7687" s="593"/>
    </row>
    <row r="7688" customFormat="false" ht="15" hidden="false" customHeight="false" outlineLevel="0" collapsed="false">
      <c r="A7688" s="571"/>
      <c r="B7688" s="500"/>
      <c r="C7688" s="614" t="s">
        <v>5501</v>
      </c>
      <c r="D7688" s="606" t="s">
        <v>4133</v>
      </c>
      <c r="E7688" s="606" t="n">
        <v>0.03</v>
      </c>
      <c r="F7688" s="361" t="n">
        <v>36600</v>
      </c>
      <c r="G7688" s="926" t="n">
        <f aca="false">E7688*F7688</f>
        <v>1098</v>
      </c>
      <c r="H7688" s="593"/>
    </row>
    <row r="7689" customFormat="false" ht="15" hidden="false" customHeight="false" outlineLevel="0" collapsed="false">
      <c r="A7689" s="571"/>
      <c r="B7689" s="500"/>
      <c r="C7689" s="614" t="s">
        <v>4171</v>
      </c>
      <c r="D7689" s="606" t="s">
        <v>4359</v>
      </c>
      <c r="E7689" s="606" t="n">
        <v>0.015</v>
      </c>
      <c r="F7689" s="361" t="n">
        <v>2500</v>
      </c>
      <c r="G7689" s="926" t="n">
        <f aca="false">E7689*F7689</f>
        <v>37.5</v>
      </c>
      <c r="H7689" s="593"/>
    </row>
    <row r="7690" customFormat="false" ht="15" hidden="false" customHeight="false" outlineLevel="0" collapsed="false">
      <c r="A7690" s="571"/>
      <c r="B7690" s="500"/>
      <c r="C7690" s="614" t="s">
        <v>4214</v>
      </c>
      <c r="D7690" s="606" t="s">
        <v>4133</v>
      </c>
      <c r="E7690" s="606" t="n">
        <v>0.02</v>
      </c>
      <c r="F7690" s="361" t="n">
        <v>19700</v>
      </c>
      <c r="G7690" s="926" t="n">
        <f aca="false">E7690*F7690</f>
        <v>394</v>
      </c>
      <c r="H7690" s="593"/>
    </row>
    <row r="7691" customFormat="false" ht="15" hidden="false" customHeight="false" outlineLevel="0" collapsed="false">
      <c r="A7691" s="571"/>
      <c r="B7691" s="608" t="s">
        <v>4128</v>
      </c>
      <c r="C7691" s="609"/>
      <c r="D7691" s="610"/>
      <c r="E7691" s="610"/>
      <c r="F7691" s="612"/>
      <c r="G7691" s="613" t="n">
        <f aca="false">SUM(G7687:G7690)</f>
        <v>2159.5</v>
      </c>
      <c r="H7691" s="618"/>
    </row>
    <row r="7692" customFormat="false" ht="15" hidden="false" customHeight="false" outlineLevel="0" collapsed="false">
      <c r="A7692" s="571" t="s">
        <v>5502</v>
      </c>
      <c r="B7692" s="433" t="s">
        <v>3460</v>
      </c>
      <c r="C7692" s="614" t="s">
        <v>5503</v>
      </c>
      <c r="D7692" s="606" t="s">
        <v>4138</v>
      </c>
      <c r="E7692" s="606" t="n">
        <v>0.65</v>
      </c>
      <c r="F7692" s="361" t="n">
        <v>2128</v>
      </c>
      <c r="G7692" s="926" t="n">
        <f aca="false">E7692*F7692</f>
        <v>1383.2</v>
      </c>
      <c r="H7692" s="593"/>
    </row>
    <row r="7693" customFormat="false" ht="15" hidden="false" customHeight="false" outlineLevel="0" collapsed="false">
      <c r="A7693" s="571"/>
      <c r="B7693" s="500"/>
      <c r="C7693" s="614" t="s">
        <v>5450</v>
      </c>
      <c r="D7693" s="606" t="s">
        <v>4133</v>
      </c>
      <c r="E7693" s="606" t="n">
        <v>0.05</v>
      </c>
      <c r="F7693" s="361" t="n">
        <v>1288</v>
      </c>
      <c r="G7693" s="926" t="n">
        <f aca="false">E7693*F7693</f>
        <v>64.4</v>
      </c>
      <c r="H7693" s="593"/>
    </row>
    <row r="7694" customFormat="false" ht="15" hidden="false" customHeight="false" outlineLevel="0" collapsed="false">
      <c r="A7694" s="571"/>
      <c r="B7694" s="500"/>
      <c r="C7694" s="614" t="s">
        <v>4147</v>
      </c>
      <c r="D7694" s="606" t="s">
        <v>4133</v>
      </c>
      <c r="E7694" s="606" t="n">
        <v>0.1</v>
      </c>
      <c r="F7694" s="361" t="n">
        <v>3500</v>
      </c>
      <c r="G7694" s="926" t="n">
        <f aca="false">E7694*F7694</f>
        <v>350</v>
      </c>
      <c r="H7694" s="593"/>
    </row>
    <row r="7695" customFormat="false" ht="15" hidden="false" customHeight="false" outlineLevel="0" collapsed="false">
      <c r="A7695" s="571"/>
      <c r="B7695" s="500"/>
      <c r="C7695" s="614" t="s">
        <v>5466</v>
      </c>
      <c r="D7695" s="606" t="s">
        <v>4133</v>
      </c>
      <c r="E7695" s="606" t="n">
        <v>0.05</v>
      </c>
      <c r="F7695" s="361" t="n">
        <v>4900</v>
      </c>
      <c r="G7695" s="926" t="n">
        <f aca="false">E7695*F7695</f>
        <v>245</v>
      </c>
      <c r="H7695" s="593"/>
    </row>
    <row r="7696" customFormat="false" ht="15" hidden="false" customHeight="false" outlineLevel="0" collapsed="false">
      <c r="A7696" s="571"/>
      <c r="B7696" s="500"/>
      <c r="C7696" s="614" t="s">
        <v>4240</v>
      </c>
      <c r="D7696" s="606" t="s">
        <v>4133</v>
      </c>
      <c r="E7696" s="606" t="n">
        <v>0.01</v>
      </c>
      <c r="F7696" s="361" t="n">
        <v>6200</v>
      </c>
      <c r="G7696" s="926" t="n">
        <f aca="false">E7696*F7696</f>
        <v>62</v>
      </c>
      <c r="H7696" s="593"/>
    </row>
    <row r="7697" customFormat="false" ht="15" hidden="false" customHeight="false" outlineLevel="0" collapsed="false">
      <c r="A7697" s="571"/>
      <c r="B7697" s="608" t="s">
        <v>4128</v>
      </c>
      <c r="C7697" s="614"/>
      <c r="D7697" s="606"/>
      <c r="E7697" s="606"/>
      <c r="F7697" s="361"/>
      <c r="G7697" s="613" t="n">
        <f aca="false">SUM(G7692:G7696)</f>
        <v>2104.6</v>
      </c>
      <c r="H7697" s="606"/>
    </row>
    <row r="7698" customFormat="false" ht="15" hidden="false" customHeight="false" outlineLevel="0" collapsed="false">
      <c r="A7698" s="571" t="s">
        <v>5504</v>
      </c>
      <c r="B7698" s="433" t="s">
        <v>3461</v>
      </c>
      <c r="C7698" s="614" t="s">
        <v>4317</v>
      </c>
      <c r="D7698" s="606" t="s">
        <v>4359</v>
      </c>
      <c r="E7698" s="606" t="n">
        <v>0.02</v>
      </c>
      <c r="F7698" s="361" t="n">
        <v>12000</v>
      </c>
      <c r="G7698" s="926" t="n">
        <f aca="false">E7698*F7698</f>
        <v>240</v>
      </c>
      <c r="H7698" s="593"/>
    </row>
    <row r="7699" customFormat="false" ht="15" hidden="false" customHeight="false" outlineLevel="0" collapsed="false">
      <c r="A7699" s="571"/>
      <c r="B7699" s="433"/>
      <c r="C7699" s="614" t="s">
        <v>5505</v>
      </c>
      <c r="D7699" s="606" t="s">
        <v>4138</v>
      </c>
      <c r="E7699" s="606" t="n">
        <v>0.8</v>
      </c>
      <c r="F7699" s="361" t="n">
        <v>2324</v>
      </c>
      <c r="G7699" s="926" t="n">
        <f aca="false">E7699*F7699</f>
        <v>1859.2</v>
      </c>
      <c r="H7699" s="593"/>
    </row>
    <row r="7700" customFormat="false" ht="15" hidden="false" customHeight="false" outlineLevel="0" collapsed="false">
      <c r="A7700" s="571"/>
      <c r="B7700" s="608" t="s">
        <v>4128</v>
      </c>
      <c r="C7700" s="609"/>
      <c r="D7700" s="610"/>
      <c r="E7700" s="610"/>
      <c r="F7700" s="612"/>
      <c r="G7700" s="613" t="n">
        <f aca="false">SUM(G7698:G7699)</f>
        <v>2099.2</v>
      </c>
      <c r="H7700" s="618"/>
    </row>
    <row r="7701" customFormat="false" ht="15" hidden="false" customHeight="false" outlineLevel="0" collapsed="false">
      <c r="A7701" s="571" t="s">
        <v>5506</v>
      </c>
      <c r="B7701" s="433" t="s">
        <v>3462</v>
      </c>
      <c r="C7701" s="614" t="s">
        <v>5507</v>
      </c>
      <c r="D7701" s="606" t="s">
        <v>4133</v>
      </c>
      <c r="E7701" s="606" t="n">
        <v>0.005</v>
      </c>
      <c r="F7701" s="361" t="n">
        <v>77767</v>
      </c>
      <c r="G7701" s="926" t="n">
        <f aca="false">E7701*F7701</f>
        <v>388.835</v>
      </c>
      <c r="H7701" s="593"/>
    </row>
    <row r="7702" customFormat="false" ht="15" hidden="false" customHeight="false" outlineLevel="0" collapsed="false">
      <c r="A7702" s="571"/>
      <c r="B7702" s="500"/>
      <c r="C7702" s="614" t="s">
        <v>5508</v>
      </c>
      <c r="D7702" s="606" t="s">
        <v>4133</v>
      </c>
      <c r="E7702" s="606" t="n">
        <v>0.013</v>
      </c>
      <c r="F7702" s="361" t="n">
        <v>3500</v>
      </c>
      <c r="G7702" s="926" t="n">
        <f aca="false">E7702*F7702</f>
        <v>45.5</v>
      </c>
      <c r="H7702" s="593"/>
    </row>
    <row r="7703" customFormat="false" ht="15" hidden="false" customHeight="false" outlineLevel="0" collapsed="false">
      <c r="A7703" s="571"/>
      <c r="B7703" s="500"/>
      <c r="C7703" s="614" t="s">
        <v>4147</v>
      </c>
      <c r="D7703" s="606" t="s">
        <v>4133</v>
      </c>
      <c r="E7703" s="606" t="n">
        <v>0.026</v>
      </c>
      <c r="F7703" s="361" t="n">
        <v>3500</v>
      </c>
      <c r="G7703" s="926" t="n">
        <f aca="false">E7703*F7703</f>
        <v>91</v>
      </c>
      <c r="H7703" s="593"/>
    </row>
    <row r="7704" customFormat="false" ht="15" hidden="false" customHeight="false" outlineLevel="0" collapsed="false">
      <c r="A7704" s="571"/>
      <c r="B7704" s="500"/>
      <c r="C7704" s="614" t="s">
        <v>5059</v>
      </c>
      <c r="D7704" s="606" t="s">
        <v>4359</v>
      </c>
      <c r="E7704" s="606" t="n">
        <v>0.052</v>
      </c>
      <c r="F7704" s="361" t="n">
        <v>999</v>
      </c>
      <c r="G7704" s="926" t="n">
        <f aca="false">E7704*F7704</f>
        <v>51.948</v>
      </c>
      <c r="H7704" s="593"/>
    </row>
    <row r="7705" customFormat="false" ht="15" hidden="false" customHeight="false" outlineLevel="0" collapsed="false">
      <c r="A7705" s="571"/>
      <c r="B7705" s="500"/>
      <c r="C7705" s="614" t="s">
        <v>4648</v>
      </c>
      <c r="D7705" s="606" t="s">
        <v>4133</v>
      </c>
      <c r="E7705" s="606" t="n">
        <v>0.004</v>
      </c>
      <c r="F7705" s="361" t="n">
        <v>350000</v>
      </c>
      <c r="G7705" s="926" t="n">
        <f aca="false">E7705*F7705</f>
        <v>1400</v>
      </c>
      <c r="H7705" s="593"/>
    </row>
    <row r="7706" customFormat="false" ht="15" hidden="false" customHeight="false" outlineLevel="0" collapsed="false">
      <c r="A7706" s="571"/>
      <c r="B7706" s="500"/>
      <c r="C7706" s="614" t="s">
        <v>5509</v>
      </c>
      <c r="D7706" s="606" t="s">
        <v>4138</v>
      </c>
      <c r="E7706" s="606" t="n">
        <v>0.05</v>
      </c>
      <c r="F7706" s="361" t="n">
        <v>15400</v>
      </c>
      <c r="G7706" s="926" t="n">
        <f aca="false">E7706*F7706</f>
        <v>770</v>
      </c>
      <c r="H7706" s="593"/>
    </row>
    <row r="7707" customFormat="false" ht="15" hidden="false" customHeight="false" outlineLevel="0" collapsed="false">
      <c r="A7707" s="571"/>
      <c r="B7707" s="608" t="s">
        <v>4128</v>
      </c>
      <c r="C7707" s="609"/>
      <c r="D7707" s="610"/>
      <c r="E7707" s="610"/>
      <c r="F7707" s="612"/>
      <c r="G7707" s="613" t="n">
        <f aca="false">SUM(G7701:G7706)</f>
        <v>2747.283</v>
      </c>
      <c r="H7707" s="610"/>
    </row>
    <row r="7708" customFormat="false" ht="15" hidden="false" customHeight="false" outlineLevel="0" collapsed="false">
      <c r="A7708" s="571" t="s">
        <v>5510</v>
      </c>
      <c r="B7708" s="433" t="s">
        <v>3463</v>
      </c>
      <c r="C7708" s="614" t="s">
        <v>5511</v>
      </c>
      <c r="D7708" s="606" t="s">
        <v>4138</v>
      </c>
      <c r="E7708" s="606" t="n">
        <v>1</v>
      </c>
      <c r="F7708" s="361" t="n">
        <v>1750</v>
      </c>
      <c r="G7708" s="926" t="n">
        <f aca="false">E7708*F7708</f>
        <v>1750</v>
      </c>
      <c r="H7708" s="593"/>
    </row>
    <row r="7709" customFormat="false" ht="15" hidden="false" customHeight="false" outlineLevel="0" collapsed="false">
      <c r="A7709" s="571"/>
      <c r="B7709" s="500"/>
      <c r="C7709" s="614" t="s">
        <v>4529</v>
      </c>
      <c r="D7709" s="606" t="s">
        <v>4133</v>
      </c>
      <c r="E7709" s="606" t="n">
        <v>0.1</v>
      </c>
      <c r="F7709" s="361" t="n">
        <v>2553.6</v>
      </c>
      <c r="G7709" s="926" t="n">
        <f aca="false">E7709*F7709</f>
        <v>255.36</v>
      </c>
      <c r="H7709" s="593"/>
    </row>
    <row r="7710" customFormat="false" ht="15" hidden="false" customHeight="false" outlineLevel="0" collapsed="false">
      <c r="A7710" s="571"/>
      <c r="B7710" s="500"/>
      <c r="C7710" s="614" t="s">
        <v>4202</v>
      </c>
      <c r="D7710" s="606" t="s">
        <v>4133</v>
      </c>
      <c r="E7710" s="606" t="n">
        <v>0.1</v>
      </c>
      <c r="F7710" s="361" t="n">
        <v>6600</v>
      </c>
      <c r="G7710" s="926" t="n">
        <f aca="false">E7710*F7710</f>
        <v>660</v>
      </c>
      <c r="H7710" s="593"/>
    </row>
    <row r="7711" customFormat="false" ht="15" hidden="false" customHeight="false" outlineLevel="0" collapsed="false">
      <c r="A7711" s="571"/>
      <c r="B7711" s="500"/>
      <c r="C7711" s="614" t="s">
        <v>4154</v>
      </c>
      <c r="D7711" s="606" t="s">
        <v>4133</v>
      </c>
      <c r="E7711" s="606" t="n">
        <v>0.01</v>
      </c>
      <c r="F7711" s="361" t="n">
        <v>5500</v>
      </c>
      <c r="G7711" s="926" t="n">
        <f aca="false">E7711*F7711</f>
        <v>55</v>
      </c>
      <c r="H7711" s="593"/>
    </row>
    <row r="7712" customFormat="false" ht="15" hidden="false" customHeight="false" outlineLevel="0" collapsed="false">
      <c r="A7712" s="571"/>
      <c r="B7712" s="500"/>
      <c r="C7712" s="614" t="s">
        <v>4240</v>
      </c>
      <c r="D7712" s="606" t="s">
        <v>4392</v>
      </c>
      <c r="E7712" s="606" t="n">
        <v>0.012</v>
      </c>
      <c r="F7712" s="361" t="n">
        <v>6200</v>
      </c>
      <c r="G7712" s="926" t="n">
        <f aca="false">E7712*F7712</f>
        <v>74.4</v>
      </c>
      <c r="H7712" s="593"/>
    </row>
    <row r="7713" customFormat="false" ht="15" hidden="false" customHeight="false" outlineLevel="0" collapsed="false">
      <c r="A7713" s="571"/>
      <c r="B7713" s="608" t="s">
        <v>4128</v>
      </c>
      <c r="C7713" s="609"/>
      <c r="D7713" s="610"/>
      <c r="E7713" s="610"/>
      <c r="F7713" s="612"/>
      <c r="G7713" s="613" t="n">
        <f aca="false">SUM(G7708:G7712)</f>
        <v>2794.76</v>
      </c>
      <c r="H7713" s="610"/>
    </row>
    <row r="7714" customFormat="false" ht="15" hidden="false" customHeight="false" outlineLevel="0" collapsed="false">
      <c r="A7714" s="571" t="s">
        <v>5512</v>
      </c>
      <c r="B7714" s="433" t="s">
        <v>3464</v>
      </c>
      <c r="C7714" s="614" t="s">
        <v>4204</v>
      </c>
      <c r="D7714" s="606" t="s">
        <v>4133</v>
      </c>
      <c r="E7714" s="606" t="n">
        <v>0.16</v>
      </c>
      <c r="F7714" s="361" t="n">
        <v>2318</v>
      </c>
      <c r="G7714" s="926" t="n">
        <f aca="false">E7714*F7714</f>
        <v>370.88</v>
      </c>
      <c r="H7714" s="593"/>
    </row>
    <row r="7715" customFormat="false" ht="15" hidden="false" customHeight="false" outlineLevel="0" collapsed="false">
      <c r="A7715" s="571"/>
      <c r="B7715" s="500"/>
      <c r="C7715" s="614" t="s">
        <v>4529</v>
      </c>
      <c r="D7715" s="606" t="s">
        <v>4133</v>
      </c>
      <c r="E7715" s="606" t="n">
        <v>0.011</v>
      </c>
      <c r="F7715" s="361" t="n">
        <v>2553.6</v>
      </c>
      <c r="G7715" s="926" t="n">
        <f aca="false">E7715*F7715</f>
        <v>28.0896</v>
      </c>
      <c r="H7715" s="593"/>
    </row>
    <row r="7716" customFormat="false" ht="15" hidden="false" customHeight="false" outlineLevel="0" collapsed="false">
      <c r="A7716" s="571"/>
      <c r="B7716" s="500"/>
      <c r="C7716" s="614" t="s">
        <v>5513</v>
      </c>
      <c r="D7716" s="606" t="s">
        <v>4133</v>
      </c>
      <c r="E7716" s="606" t="n">
        <v>0.01</v>
      </c>
      <c r="F7716" s="361" t="n">
        <v>85000</v>
      </c>
      <c r="G7716" s="926" t="n">
        <f aca="false">E7716*F7716</f>
        <v>850</v>
      </c>
      <c r="H7716" s="593"/>
    </row>
    <row r="7717" customFormat="false" ht="15" hidden="false" customHeight="false" outlineLevel="0" collapsed="false">
      <c r="A7717" s="571"/>
      <c r="B7717" s="500"/>
      <c r="C7717" s="614" t="s">
        <v>5514</v>
      </c>
      <c r="D7717" s="606" t="s">
        <v>4133</v>
      </c>
      <c r="E7717" s="606" t="n">
        <v>0.001</v>
      </c>
      <c r="F7717" s="361" t="n">
        <v>550000</v>
      </c>
      <c r="G7717" s="926" t="n">
        <f aca="false">E7717*F7717</f>
        <v>550</v>
      </c>
      <c r="H7717" s="593"/>
    </row>
    <row r="7718" customFormat="false" ht="15" hidden="false" customHeight="false" outlineLevel="0" collapsed="false">
      <c r="A7718" s="571"/>
      <c r="B7718" s="500"/>
      <c r="C7718" s="614" t="s">
        <v>4171</v>
      </c>
      <c r="D7718" s="606" t="s">
        <v>4359</v>
      </c>
      <c r="E7718" s="606" t="n">
        <v>0.014</v>
      </c>
      <c r="F7718" s="361" t="n">
        <v>2500</v>
      </c>
      <c r="G7718" s="926" t="n">
        <f aca="false">E7718*F7718</f>
        <v>35</v>
      </c>
      <c r="H7718" s="593"/>
    </row>
    <row r="7719" customFormat="false" ht="15" hidden="false" customHeight="false" outlineLevel="0" collapsed="false">
      <c r="A7719" s="571"/>
      <c r="B7719" s="608" t="s">
        <v>4128</v>
      </c>
      <c r="C7719" s="609"/>
      <c r="D7719" s="610"/>
      <c r="E7719" s="610"/>
      <c r="F7719" s="612"/>
      <c r="G7719" s="613" t="n">
        <f aca="false">SUM(G7714:G7718)</f>
        <v>1833.9696</v>
      </c>
      <c r="H7719" s="610"/>
    </row>
    <row r="7720" customFormat="false" ht="15" hidden="false" customHeight="false" outlineLevel="0" collapsed="false">
      <c r="A7720" s="571" t="s">
        <v>5515</v>
      </c>
      <c r="B7720" s="433" t="s">
        <v>3465</v>
      </c>
      <c r="C7720" s="614" t="s">
        <v>5516</v>
      </c>
      <c r="D7720" s="606" t="s">
        <v>4138</v>
      </c>
      <c r="E7720" s="606" t="n">
        <v>0.1</v>
      </c>
      <c r="F7720" s="361" t="n">
        <v>2324</v>
      </c>
      <c r="G7720" s="926" t="n">
        <f aca="false">E7720*F7720</f>
        <v>232.4</v>
      </c>
      <c r="H7720" s="593"/>
    </row>
    <row r="7721" customFormat="false" ht="15" hidden="false" customHeight="false" outlineLevel="0" collapsed="false">
      <c r="A7721" s="571"/>
      <c r="B7721" s="500"/>
      <c r="C7721" s="614" t="s">
        <v>4147</v>
      </c>
      <c r="D7721" s="606" t="s">
        <v>4133</v>
      </c>
      <c r="E7721" s="606" t="n">
        <v>0.1</v>
      </c>
      <c r="F7721" s="361" t="n">
        <v>3500</v>
      </c>
      <c r="G7721" s="926" t="n">
        <f aca="false">E7721*F7721</f>
        <v>350</v>
      </c>
      <c r="H7721" s="593"/>
    </row>
    <row r="7722" customFormat="false" ht="15" hidden="false" customHeight="false" outlineLevel="0" collapsed="false">
      <c r="A7722" s="571"/>
      <c r="B7722" s="500"/>
      <c r="C7722" s="614" t="s">
        <v>5489</v>
      </c>
      <c r="D7722" s="606" t="s">
        <v>4133</v>
      </c>
      <c r="E7722" s="606" t="n">
        <v>0.01</v>
      </c>
      <c r="F7722" s="361" t="n">
        <v>133000</v>
      </c>
      <c r="G7722" s="926" t="n">
        <f aca="false">E7722*F7722</f>
        <v>1330</v>
      </c>
      <c r="H7722" s="593"/>
    </row>
    <row r="7723" customFormat="false" ht="15" hidden="false" customHeight="false" outlineLevel="0" collapsed="false">
      <c r="A7723" s="571"/>
      <c r="B7723" s="500"/>
      <c r="C7723" s="614" t="s">
        <v>5490</v>
      </c>
      <c r="D7723" s="606" t="s">
        <v>4133</v>
      </c>
      <c r="E7723" s="606" t="n">
        <v>0.1</v>
      </c>
      <c r="F7723" s="361" t="n">
        <v>3150</v>
      </c>
      <c r="G7723" s="926" t="n">
        <f aca="false">E7723*F7723</f>
        <v>315</v>
      </c>
      <c r="H7723" s="593"/>
    </row>
    <row r="7724" customFormat="false" ht="15" hidden="false" customHeight="false" outlineLevel="0" collapsed="false">
      <c r="A7724" s="571"/>
      <c r="B7724" s="608" t="s">
        <v>4128</v>
      </c>
      <c r="C7724" s="609"/>
      <c r="D7724" s="610"/>
      <c r="E7724" s="610"/>
      <c r="F7724" s="612"/>
      <c r="G7724" s="613" t="n">
        <f aca="false">SUM(G7720:G7723)</f>
        <v>2227.4</v>
      </c>
      <c r="H7724" s="618"/>
    </row>
    <row r="7725" customFormat="false" ht="30" hidden="false" customHeight="false" outlineLevel="0" collapsed="false">
      <c r="A7725" s="571" t="s">
        <v>5517</v>
      </c>
      <c r="B7725" s="433" t="s">
        <v>3466</v>
      </c>
      <c r="C7725" s="614" t="s">
        <v>4122</v>
      </c>
      <c r="D7725" s="606" t="s">
        <v>4359</v>
      </c>
      <c r="E7725" s="606" t="n">
        <v>0.047</v>
      </c>
      <c r="F7725" s="361" t="n">
        <v>720</v>
      </c>
      <c r="G7725" s="926" t="n">
        <f aca="false">E7725*F7725</f>
        <v>33.84</v>
      </c>
      <c r="H7725" s="593"/>
    </row>
    <row r="7726" customFormat="false" ht="15" hidden="false" customHeight="false" outlineLevel="0" collapsed="false">
      <c r="A7726" s="571"/>
      <c r="B7726" s="500"/>
      <c r="C7726" s="614" t="s">
        <v>5164</v>
      </c>
      <c r="D7726" s="606" t="s">
        <v>4133</v>
      </c>
      <c r="E7726" s="606" t="n">
        <v>0.05</v>
      </c>
      <c r="F7726" s="361" t="n">
        <v>3150</v>
      </c>
      <c r="G7726" s="926" t="n">
        <f aca="false">E7726*F7726</f>
        <v>157.5</v>
      </c>
      <c r="H7726" s="593"/>
    </row>
    <row r="7727" customFormat="false" ht="15" hidden="false" customHeight="false" outlineLevel="0" collapsed="false">
      <c r="A7727" s="571"/>
      <c r="B7727" s="500"/>
      <c r="C7727" s="614" t="s">
        <v>4147</v>
      </c>
      <c r="D7727" s="606" t="s">
        <v>4133</v>
      </c>
      <c r="E7727" s="606" t="n">
        <v>0.09</v>
      </c>
      <c r="F7727" s="361" t="n">
        <v>3500</v>
      </c>
      <c r="G7727" s="926" t="n">
        <f aca="false">E7727*F7727</f>
        <v>315</v>
      </c>
      <c r="H7727" s="593"/>
    </row>
    <row r="7728" customFormat="false" ht="15" hidden="false" customHeight="false" outlineLevel="0" collapsed="false">
      <c r="A7728" s="571"/>
      <c r="B7728" s="500"/>
      <c r="C7728" s="614" t="s">
        <v>4672</v>
      </c>
      <c r="D7728" s="606" t="s">
        <v>4359</v>
      </c>
      <c r="E7728" s="606" t="n">
        <v>0.015</v>
      </c>
      <c r="F7728" s="361" t="n">
        <v>3730</v>
      </c>
      <c r="G7728" s="926" t="n">
        <f aca="false">E7728*F7728</f>
        <v>55.95</v>
      </c>
      <c r="H7728" s="593"/>
    </row>
    <row r="7729" customFormat="false" ht="15" hidden="false" customHeight="false" outlineLevel="0" collapsed="false">
      <c r="A7729" s="571"/>
      <c r="B7729" s="500"/>
      <c r="C7729" s="614" t="s">
        <v>4205</v>
      </c>
      <c r="D7729" s="606" t="s">
        <v>4359</v>
      </c>
      <c r="E7729" s="606" t="n">
        <v>0.05</v>
      </c>
      <c r="F7729" s="361" t="n">
        <v>6300</v>
      </c>
      <c r="G7729" s="926" t="n">
        <f aca="false">E7729*F7729</f>
        <v>315</v>
      </c>
      <c r="H7729" s="593"/>
    </row>
    <row r="7730" customFormat="false" ht="15" hidden="false" customHeight="false" outlineLevel="0" collapsed="false">
      <c r="A7730" s="571"/>
      <c r="B7730" s="500"/>
      <c r="C7730" s="614" t="s">
        <v>4225</v>
      </c>
      <c r="D7730" s="606" t="s">
        <v>4133</v>
      </c>
      <c r="E7730" s="606" t="n">
        <v>0.04</v>
      </c>
      <c r="F7730" s="361" t="n">
        <v>2553.6</v>
      </c>
      <c r="G7730" s="926" t="n">
        <f aca="false">E7730*F7730</f>
        <v>102.144</v>
      </c>
      <c r="H7730" s="606"/>
    </row>
    <row r="7731" customFormat="false" ht="15" hidden="false" customHeight="false" outlineLevel="0" collapsed="false">
      <c r="A7731" s="571"/>
      <c r="B7731" s="500"/>
      <c r="C7731" s="614" t="s">
        <v>5518</v>
      </c>
      <c r="D7731" s="606" t="s">
        <v>4138</v>
      </c>
      <c r="E7731" s="606" t="n">
        <v>0.5</v>
      </c>
      <c r="F7731" s="361" t="n">
        <v>2324</v>
      </c>
      <c r="G7731" s="926" t="n">
        <f aca="false">E7731*F7731</f>
        <v>1162</v>
      </c>
      <c r="H7731" s="606"/>
    </row>
    <row r="7732" customFormat="false" ht="15" hidden="false" customHeight="false" outlineLevel="0" collapsed="false">
      <c r="A7732" s="571"/>
      <c r="B7732" s="608" t="s">
        <v>4128</v>
      </c>
      <c r="C7732" s="609"/>
      <c r="D7732" s="610"/>
      <c r="E7732" s="610"/>
      <c r="F7732" s="612"/>
      <c r="G7732" s="613" t="n">
        <f aca="false">SUM(G7725:G7731)</f>
        <v>2141.434</v>
      </c>
      <c r="H7732" s="610"/>
    </row>
    <row r="7733" customFormat="false" ht="15" hidden="false" customHeight="false" outlineLevel="0" collapsed="false">
      <c r="A7733" s="571" t="s">
        <v>5519</v>
      </c>
      <c r="B7733" s="500" t="s">
        <v>3467</v>
      </c>
      <c r="C7733" s="614"/>
      <c r="D7733" s="606"/>
      <c r="E7733" s="606"/>
      <c r="F7733" s="361"/>
      <c r="G7733" s="615"/>
      <c r="H7733" s="606"/>
    </row>
    <row r="7734" customFormat="false" ht="15" hidden="false" customHeight="false" outlineLevel="0" collapsed="false">
      <c r="A7734" s="571" t="s">
        <v>5520</v>
      </c>
      <c r="B7734" s="500" t="s">
        <v>3468</v>
      </c>
      <c r="C7734" s="614"/>
      <c r="D7734" s="606"/>
      <c r="E7734" s="606"/>
      <c r="F7734" s="361"/>
      <c r="G7734" s="615"/>
      <c r="H7734" s="606"/>
    </row>
    <row r="7735" customFormat="false" ht="15" hidden="false" customHeight="false" outlineLevel="0" collapsed="false">
      <c r="A7735" s="571" t="s">
        <v>5521</v>
      </c>
      <c r="B7735" s="500" t="s">
        <v>3469</v>
      </c>
      <c r="C7735" s="614" t="s">
        <v>5522</v>
      </c>
      <c r="D7735" s="606" t="s">
        <v>5523</v>
      </c>
      <c r="E7735" s="606" t="n">
        <v>1</v>
      </c>
      <c r="F7735" s="361" t="n">
        <v>2700</v>
      </c>
      <c r="G7735" s="926" t="n">
        <f aca="false">E7735*F7735</f>
        <v>2700</v>
      </c>
      <c r="H7735" s="606"/>
    </row>
    <row r="7736" customFormat="false" ht="15" hidden="false" customHeight="false" outlineLevel="0" collapsed="false">
      <c r="A7736" s="571"/>
      <c r="B7736" s="500"/>
      <c r="C7736" s="614" t="s">
        <v>4645</v>
      </c>
      <c r="D7736" s="606" t="s">
        <v>4133</v>
      </c>
      <c r="E7736" s="606" t="n">
        <v>0.004</v>
      </c>
      <c r="F7736" s="361" t="n">
        <v>33320</v>
      </c>
      <c r="G7736" s="926" t="n">
        <f aca="false">E7736*F7736</f>
        <v>133.28</v>
      </c>
      <c r="H7736" s="606"/>
    </row>
    <row r="7737" customFormat="false" ht="15" hidden="false" customHeight="false" outlineLevel="0" collapsed="false">
      <c r="A7737" s="571"/>
      <c r="B7737" s="500"/>
      <c r="C7737" s="614" t="s">
        <v>5524</v>
      </c>
      <c r="D7737" s="606" t="s">
        <v>4133</v>
      </c>
      <c r="E7737" s="606" t="n">
        <v>0.001</v>
      </c>
      <c r="F7737" s="361" t="n">
        <v>3279.36</v>
      </c>
      <c r="G7737" s="926" t="n">
        <f aca="false">E7737*F7737</f>
        <v>3.27936</v>
      </c>
      <c r="H7737" s="606"/>
    </row>
    <row r="7738" customFormat="false" ht="15" hidden="false" customHeight="false" outlineLevel="0" collapsed="false">
      <c r="A7738" s="571"/>
      <c r="B7738" s="500"/>
      <c r="C7738" s="614" t="s">
        <v>5525</v>
      </c>
      <c r="D7738" s="606" t="s">
        <v>4359</v>
      </c>
      <c r="E7738" s="606" t="n">
        <v>0.5</v>
      </c>
      <c r="F7738" s="361" t="n">
        <v>925</v>
      </c>
      <c r="G7738" s="926" t="n">
        <f aca="false">E7738*F7738</f>
        <v>462.5</v>
      </c>
      <c r="H7738" s="606"/>
    </row>
    <row r="7739" customFormat="false" ht="15" hidden="false" customHeight="false" outlineLevel="0" collapsed="false">
      <c r="A7739" s="571"/>
      <c r="B7739" s="522" t="s">
        <v>4128</v>
      </c>
      <c r="C7739" s="709"/>
      <c r="D7739" s="679"/>
      <c r="E7739" s="679"/>
      <c r="F7739" s="369"/>
      <c r="G7739" s="711" t="n">
        <f aca="false">SUM(G7735:G7738)</f>
        <v>3299.05936</v>
      </c>
      <c r="H7739" s="606"/>
    </row>
    <row r="7740" customFormat="false" ht="28.5" hidden="false" customHeight="false" outlineLevel="0" collapsed="false">
      <c r="A7740" s="350" t="s">
        <v>5526</v>
      </c>
      <c r="B7740" s="467" t="s">
        <v>3470</v>
      </c>
      <c r="C7740" s="510"/>
      <c r="D7740" s="350"/>
      <c r="E7740" s="350"/>
      <c r="F7740" s="519"/>
      <c r="G7740" s="753"/>
      <c r="H7740" s="510"/>
    </row>
    <row r="7741" customFormat="false" ht="30" hidden="false" customHeight="false" outlineLevel="0" collapsed="false">
      <c r="A7741" s="928" t="s">
        <v>5527</v>
      </c>
      <c r="B7741" s="629" t="s">
        <v>5528</v>
      </c>
      <c r="C7741" s="640"/>
      <c r="D7741" s="327"/>
      <c r="E7741" s="327"/>
      <c r="F7741" s="612"/>
      <c r="G7741" s="613"/>
      <c r="H7741" s="640"/>
    </row>
    <row r="7742" customFormat="false" ht="27" hidden="false" customHeight="true" outlineLevel="0" collapsed="false">
      <c r="A7742" s="571" t="s">
        <v>5529</v>
      </c>
      <c r="B7742" s="433" t="s">
        <v>3472</v>
      </c>
      <c r="C7742" s="709" t="s">
        <v>5530</v>
      </c>
      <c r="D7742" s="679" t="s">
        <v>4133</v>
      </c>
      <c r="E7742" s="679" t="n">
        <v>0.004</v>
      </c>
      <c r="F7742" s="369" t="n">
        <v>3000</v>
      </c>
      <c r="G7742" s="922" t="n">
        <f aca="false">E7742*F7742</f>
        <v>12</v>
      </c>
      <c r="H7742" s="606"/>
    </row>
    <row r="7743" customFormat="false" ht="15" hidden="false" customHeight="false" outlineLevel="0" collapsed="false">
      <c r="A7743" s="571"/>
      <c r="B7743" s="500"/>
      <c r="C7743" s="709" t="s">
        <v>4627</v>
      </c>
      <c r="D7743" s="679" t="s">
        <v>4133</v>
      </c>
      <c r="E7743" s="679" t="n">
        <v>0.053</v>
      </c>
      <c r="F7743" s="369" t="n">
        <v>1600</v>
      </c>
      <c r="G7743" s="922" t="n">
        <f aca="false">E7743*F7743</f>
        <v>84.8</v>
      </c>
      <c r="H7743" s="606"/>
    </row>
    <row r="7744" customFormat="false" ht="15" hidden="false" customHeight="false" outlineLevel="0" collapsed="false">
      <c r="A7744" s="571"/>
      <c r="B7744" s="500"/>
      <c r="C7744" s="614" t="s">
        <v>5138</v>
      </c>
      <c r="D7744" s="606" t="s">
        <v>4133</v>
      </c>
      <c r="E7744" s="606" t="n">
        <v>0.021</v>
      </c>
      <c r="F7744" s="361" t="n">
        <v>2500</v>
      </c>
      <c r="G7744" s="926" t="n">
        <f aca="false">E7744*F7744</f>
        <v>52.5</v>
      </c>
      <c r="H7744" s="606"/>
    </row>
    <row r="7745" customFormat="false" ht="15" hidden="false" customHeight="false" outlineLevel="0" collapsed="false">
      <c r="A7745" s="571"/>
      <c r="B7745" s="500"/>
      <c r="C7745" s="614" t="s">
        <v>5531</v>
      </c>
      <c r="D7745" s="606" t="s">
        <v>4133</v>
      </c>
      <c r="E7745" s="606" t="n">
        <v>0.003</v>
      </c>
      <c r="F7745" s="361" t="n">
        <v>5241</v>
      </c>
      <c r="G7745" s="926" t="n">
        <f aca="false">E7745*F7745</f>
        <v>15.723</v>
      </c>
      <c r="H7745" s="606"/>
    </row>
    <row r="7746" customFormat="false" ht="15" hidden="false" customHeight="false" outlineLevel="0" collapsed="false">
      <c r="A7746" s="571"/>
      <c r="B7746" s="608" t="s">
        <v>4128</v>
      </c>
      <c r="C7746" s="609"/>
      <c r="D7746" s="610"/>
      <c r="E7746" s="610"/>
      <c r="F7746" s="612"/>
      <c r="G7746" s="613" t="n">
        <f aca="false">SUM(G7742:G7745)</f>
        <v>165.023</v>
      </c>
      <c r="H7746" s="610"/>
    </row>
    <row r="7747" customFormat="false" ht="30" hidden="false" customHeight="false" outlineLevel="0" collapsed="false">
      <c r="A7747" s="571" t="s">
        <v>5532</v>
      </c>
      <c r="B7747" s="433" t="s">
        <v>3473</v>
      </c>
      <c r="C7747" s="614" t="s">
        <v>5533</v>
      </c>
      <c r="D7747" s="606" t="s">
        <v>4138</v>
      </c>
      <c r="E7747" s="606" t="n">
        <v>0.8</v>
      </c>
      <c r="F7747" s="361" t="n">
        <v>2324</v>
      </c>
      <c r="G7747" s="926" t="n">
        <f aca="false">E7747*F7747</f>
        <v>1859.2</v>
      </c>
      <c r="H7747" s="606"/>
    </row>
    <row r="7748" customFormat="false" ht="15" hidden="false" customHeight="false" outlineLevel="0" collapsed="false">
      <c r="A7748" s="571"/>
      <c r="B7748" s="500"/>
      <c r="C7748" s="614" t="s">
        <v>4205</v>
      </c>
      <c r="D7748" s="606" t="s">
        <v>4359</v>
      </c>
      <c r="E7748" s="606" t="n">
        <v>0.01</v>
      </c>
      <c r="F7748" s="361" t="n">
        <v>6300</v>
      </c>
      <c r="G7748" s="926" t="n">
        <f aca="false">E7748*F7748</f>
        <v>63</v>
      </c>
      <c r="H7748" s="606"/>
    </row>
    <row r="7749" customFormat="false" ht="15" hidden="false" customHeight="false" outlineLevel="0" collapsed="false">
      <c r="A7749" s="571"/>
      <c r="B7749" s="500"/>
      <c r="C7749" s="614" t="s">
        <v>4122</v>
      </c>
      <c r="D7749" s="606" t="s">
        <v>4359</v>
      </c>
      <c r="E7749" s="606" t="n">
        <v>0.025</v>
      </c>
      <c r="F7749" s="361" t="n">
        <v>720</v>
      </c>
      <c r="G7749" s="926" t="n">
        <f aca="false">E7749*F7749</f>
        <v>18</v>
      </c>
      <c r="H7749" s="606"/>
    </row>
    <row r="7750" customFormat="false" ht="15" hidden="false" customHeight="false" outlineLevel="0" collapsed="false">
      <c r="A7750" s="571"/>
      <c r="B7750" s="500"/>
      <c r="C7750" s="614" t="s">
        <v>4317</v>
      </c>
      <c r="D7750" s="606" t="s">
        <v>4359</v>
      </c>
      <c r="E7750" s="606" t="n">
        <v>0.01</v>
      </c>
      <c r="F7750" s="361" t="n">
        <v>12000</v>
      </c>
      <c r="G7750" s="926" t="n">
        <f aca="false">E7750*F7750</f>
        <v>120</v>
      </c>
      <c r="H7750" s="606"/>
    </row>
    <row r="7751" customFormat="false" ht="15" hidden="false" customHeight="false" outlineLevel="0" collapsed="false">
      <c r="A7751" s="571"/>
      <c r="B7751" s="608" t="s">
        <v>4128</v>
      </c>
      <c r="C7751" s="609"/>
      <c r="D7751" s="610"/>
      <c r="E7751" s="610"/>
      <c r="F7751" s="612"/>
      <c r="G7751" s="613" t="n">
        <f aca="false">SUM(G7747:G7750)</f>
        <v>2060.2</v>
      </c>
      <c r="H7751" s="610"/>
    </row>
    <row r="7752" customFormat="false" ht="30" hidden="false" customHeight="false" outlineLevel="0" collapsed="false">
      <c r="A7752" s="571" t="s">
        <v>5534</v>
      </c>
      <c r="B7752" s="433" t="s">
        <v>3436</v>
      </c>
      <c r="C7752" s="614" t="s">
        <v>5535</v>
      </c>
      <c r="D7752" s="606" t="s">
        <v>4138</v>
      </c>
      <c r="E7752" s="606" t="n">
        <v>0.2</v>
      </c>
      <c r="F7752" s="361" t="n">
        <v>7700</v>
      </c>
      <c r="G7752" s="926" t="n">
        <f aca="false">E7752*F7752</f>
        <v>1540</v>
      </c>
      <c r="H7752" s="606"/>
    </row>
    <row r="7753" customFormat="false" ht="15" hidden="false" customHeight="false" outlineLevel="0" collapsed="false">
      <c r="B7753" s="500"/>
      <c r="C7753" s="614" t="s">
        <v>4205</v>
      </c>
      <c r="D7753" s="606" t="s">
        <v>4359</v>
      </c>
      <c r="E7753" s="606" t="n">
        <v>0.01</v>
      </c>
      <c r="F7753" s="361" t="n">
        <v>6300</v>
      </c>
      <c r="G7753" s="926" t="n">
        <f aca="false">E7753*F7753</f>
        <v>63</v>
      </c>
      <c r="H7753" s="606"/>
    </row>
    <row r="7754" customFormat="false" ht="15" hidden="false" customHeight="false" outlineLevel="0" collapsed="false">
      <c r="A7754" s="571"/>
      <c r="B7754" s="500"/>
      <c r="C7754" s="614" t="s">
        <v>4122</v>
      </c>
      <c r="D7754" s="606" t="s">
        <v>4359</v>
      </c>
      <c r="E7754" s="606" t="n">
        <v>0.025</v>
      </c>
      <c r="F7754" s="361" t="n">
        <v>720</v>
      </c>
      <c r="G7754" s="926" t="n">
        <f aca="false">E7754*F7754</f>
        <v>18</v>
      </c>
      <c r="H7754" s="606"/>
    </row>
    <row r="7755" customFormat="false" ht="15" hidden="false" customHeight="false" outlineLevel="0" collapsed="false">
      <c r="A7755" s="571"/>
      <c r="B7755" s="500"/>
      <c r="C7755" s="614" t="s">
        <v>4317</v>
      </c>
      <c r="D7755" s="606" t="s">
        <v>4359</v>
      </c>
      <c r="E7755" s="606" t="n">
        <v>0.01</v>
      </c>
      <c r="F7755" s="361" t="n">
        <v>12000</v>
      </c>
      <c r="G7755" s="926" t="n">
        <f aca="false">E7755*F7755</f>
        <v>120</v>
      </c>
      <c r="H7755" s="606"/>
    </row>
    <row r="7756" customFormat="false" ht="15" hidden="false" customHeight="false" outlineLevel="0" collapsed="false">
      <c r="A7756" s="571"/>
      <c r="B7756" s="608" t="s">
        <v>4128</v>
      </c>
      <c r="C7756" s="609"/>
      <c r="D7756" s="610"/>
      <c r="E7756" s="610"/>
      <c r="F7756" s="612"/>
      <c r="G7756" s="613" t="n">
        <f aca="false">SUM(G7752:G7755)</f>
        <v>1741</v>
      </c>
      <c r="H7756" s="610"/>
    </row>
    <row r="7757" customFormat="false" ht="15" hidden="false" customHeight="false" outlineLevel="0" collapsed="false">
      <c r="A7757" s="571" t="s">
        <v>5536</v>
      </c>
      <c r="B7757" s="433" t="s">
        <v>3437</v>
      </c>
      <c r="C7757" s="614" t="s">
        <v>5447</v>
      </c>
      <c r="D7757" s="606" t="s">
        <v>4138</v>
      </c>
      <c r="E7757" s="606" t="n">
        <v>0.2</v>
      </c>
      <c r="F7757" s="361" t="n">
        <v>7700</v>
      </c>
      <c r="G7757" s="926" t="n">
        <f aca="false">E7757*F7757</f>
        <v>1540</v>
      </c>
      <c r="H7757" s="606"/>
    </row>
    <row r="7758" customFormat="false" ht="15" hidden="false" customHeight="false" outlineLevel="0" collapsed="false">
      <c r="B7758" s="500"/>
      <c r="C7758" s="614" t="s">
        <v>4205</v>
      </c>
      <c r="D7758" s="606" t="s">
        <v>4359</v>
      </c>
      <c r="E7758" s="606" t="n">
        <v>0.01</v>
      </c>
      <c r="F7758" s="361" t="n">
        <v>6300</v>
      </c>
      <c r="G7758" s="926" t="n">
        <f aca="false">E7758*F7758</f>
        <v>63</v>
      </c>
      <c r="H7758" s="606"/>
    </row>
    <row r="7759" customFormat="false" ht="15" hidden="false" customHeight="false" outlineLevel="0" collapsed="false">
      <c r="A7759" s="571"/>
      <c r="B7759" s="500"/>
      <c r="C7759" s="614" t="s">
        <v>4122</v>
      </c>
      <c r="D7759" s="606" t="s">
        <v>4359</v>
      </c>
      <c r="E7759" s="606" t="n">
        <v>0.025</v>
      </c>
      <c r="F7759" s="361" t="n">
        <v>720</v>
      </c>
      <c r="G7759" s="926" t="n">
        <f aca="false">E7759*F7759</f>
        <v>18</v>
      </c>
      <c r="H7759" s="606"/>
    </row>
    <row r="7760" customFormat="false" ht="15" hidden="false" customHeight="false" outlineLevel="0" collapsed="false">
      <c r="A7760" s="571"/>
      <c r="B7760" s="500"/>
      <c r="C7760" s="614" t="s">
        <v>4317</v>
      </c>
      <c r="D7760" s="606" t="s">
        <v>4359</v>
      </c>
      <c r="E7760" s="606" t="n">
        <v>0.01</v>
      </c>
      <c r="F7760" s="361" t="n">
        <v>12000</v>
      </c>
      <c r="G7760" s="926" t="n">
        <f aca="false">E7760*F7760</f>
        <v>120</v>
      </c>
      <c r="H7760" s="606"/>
    </row>
    <row r="7761" customFormat="false" ht="15" hidden="false" customHeight="false" outlineLevel="0" collapsed="false">
      <c r="A7761" s="571"/>
      <c r="B7761" s="608" t="s">
        <v>4128</v>
      </c>
      <c r="C7761" s="609"/>
      <c r="D7761" s="610"/>
      <c r="E7761" s="610"/>
      <c r="F7761" s="612"/>
      <c r="G7761" s="613" t="n">
        <f aca="false">SUM(G7757:G7760)</f>
        <v>1741</v>
      </c>
      <c r="H7761" s="610"/>
    </row>
    <row r="7762" customFormat="false" ht="15" hidden="false" customHeight="false" outlineLevel="0" collapsed="false">
      <c r="A7762" s="571" t="s">
        <v>5537</v>
      </c>
      <c r="B7762" s="433" t="s">
        <v>3474</v>
      </c>
      <c r="C7762" s="614" t="s">
        <v>5538</v>
      </c>
      <c r="D7762" s="606" t="s">
        <v>4138</v>
      </c>
      <c r="E7762" s="606" t="n">
        <v>0.5</v>
      </c>
      <c r="F7762" s="361" t="n">
        <v>1738</v>
      </c>
      <c r="G7762" s="926" t="n">
        <f aca="false">E7762*F7762</f>
        <v>869</v>
      </c>
      <c r="H7762" s="606"/>
    </row>
    <row r="7763" customFormat="false" ht="15" hidden="false" customHeight="false" outlineLevel="0" collapsed="false">
      <c r="B7763" s="500"/>
      <c r="C7763" s="614" t="s">
        <v>4205</v>
      </c>
      <c r="D7763" s="606" t="s">
        <v>4359</v>
      </c>
      <c r="E7763" s="606" t="n">
        <v>0.01</v>
      </c>
      <c r="F7763" s="361" t="n">
        <v>6300</v>
      </c>
      <c r="G7763" s="926" t="n">
        <f aca="false">E7763*F7763</f>
        <v>63</v>
      </c>
      <c r="H7763" s="606"/>
    </row>
    <row r="7764" customFormat="false" ht="15" hidden="false" customHeight="false" outlineLevel="0" collapsed="false">
      <c r="A7764" s="571"/>
      <c r="B7764" s="500"/>
      <c r="C7764" s="614" t="s">
        <v>4122</v>
      </c>
      <c r="D7764" s="606" t="s">
        <v>4359</v>
      </c>
      <c r="E7764" s="606" t="n">
        <v>0.025</v>
      </c>
      <c r="F7764" s="361" t="n">
        <v>720</v>
      </c>
      <c r="G7764" s="926" t="n">
        <f aca="false">E7764*F7764</f>
        <v>18</v>
      </c>
      <c r="H7764" s="606"/>
    </row>
    <row r="7765" customFormat="false" ht="15" hidden="false" customHeight="false" outlineLevel="0" collapsed="false">
      <c r="A7765" s="571"/>
      <c r="B7765" s="500"/>
      <c r="C7765" s="614" t="s">
        <v>4317</v>
      </c>
      <c r="D7765" s="606" t="s">
        <v>4359</v>
      </c>
      <c r="E7765" s="606" t="n">
        <v>0.01</v>
      </c>
      <c r="F7765" s="361" t="n">
        <v>12000</v>
      </c>
      <c r="G7765" s="926" t="n">
        <f aca="false">E7765*F7765</f>
        <v>120</v>
      </c>
      <c r="H7765" s="606"/>
    </row>
    <row r="7766" customFormat="false" ht="15" hidden="false" customHeight="false" outlineLevel="0" collapsed="false">
      <c r="A7766" s="571"/>
      <c r="B7766" s="608" t="s">
        <v>4128</v>
      </c>
      <c r="C7766" s="609"/>
      <c r="D7766" s="610"/>
      <c r="E7766" s="610"/>
      <c r="F7766" s="612"/>
      <c r="G7766" s="613" t="n">
        <f aca="false">SUM(G7762:G7765)</f>
        <v>1070</v>
      </c>
      <c r="H7766" s="610"/>
    </row>
    <row r="7767" customFormat="false" ht="30" hidden="false" customHeight="false" outlineLevel="0" collapsed="false">
      <c r="A7767" s="571"/>
      <c r="B7767" s="433" t="s">
        <v>3475</v>
      </c>
      <c r="C7767" s="614" t="s">
        <v>5539</v>
      </c>
      <c r="D7767" s="606" t="s">
        <v>4138</v>
      </c>
      <c r="E7767" s="606" t="n">
        <v>0.5</v>
      </c>
      <c r="F7767" s="361" t="n">
        <v>2324</v>
      </c>
      <c r="G7767" s="926" t="n">
        <f aca="false">E7767*F7767</f>
        <v>1162</v>
      </c>
      <c r="H7767" s="606"/>
    </row>
    <row r="7768" customFormat="false" ht="15" hidden="false" customHeight="false" outlineLevel="0" collapsed="false">
      <c r="A7768" s="571" t="s">
        <v>5540</v>
      </c>
      <c r="B7768" s="500"/>
      <c r="C7768" s="614" t="s">
        <v>4205</v>
      </c>
      <c r="D7768" s="606" t="s">
        <v>4359</v>
      </c>
      <c r="E7768" s="606" t="n">
        <v>0.01</v>
      </c>
      <c r="F7768" s="361" t="n">
        <v>6300</v>
      </c>
      <c r="G7768" s="926" t="n">
        <f aca="false">E7768*F7768</f>
        <v>63</v>
      </c>
      <c r="H7768" s="606"/>
    </row>
    <row r="7769" customFormat="false" ht="15" hidden="false" customHeight="false" outlineLevel="0" collapsed="false">
      <c r="A7769" s="571"/>
      <c r="B7769" s="500"/>
      <c r="C7769" s="614" t="s">
        <v>4122</v>
      </c>
      <c r="D7769" s="606" t="s">
        <v>4359</v>
      </c>
      <c r="E7769" s="606" t="n">
        <v>0.025</v>
      </c>
      <c r="F7769" s="361" t="n">
        <v>720</v>
      </c>
      <c r="G7769" s="926" t="n">
        <f aca="false">E7769*F7769</f>
        <v>18</v>
      </c>
      <c r="H7769" s="606"/>
    </row>
    <row r="7770" customFormat="false" ht="15" hidden="false" customHeight="false" outlineLevel="0" collapsed="false">
      <c r="A7770" s="571"/>
      <c r="B7770" s="500"/>
      <c r="C7770" s="614" t="s">
        <v>4317</v>
      </c>
      <c r="D7770" s="606" t="s">
        <v>4359</v>
      </c>
      <c r="E7770" s="606" t="n">
        <v>0.01</v>
      </c>
      <c r="F7770" s="361" t="n">
        <v>12000</v>
      </c>
      <c r="G7770" s="926" t="n">
        <f aca="false">E7770*F7770</f>
        <v>120</v>
      </c>
      <c r="H7770" s="606"/>
    </row>
    <row r="7771" customFormat="false" ht="15" hidden="false" customHeight="false" outlineLevel="0" collapsed="false">
      <c r="A7771" s="571"/>
      <c r="B7771" s="608" t="s">
        <v>4128</v>
      </c>
      <c r="C7771" s="609"/>
      <c r="D7771" s="610"/>
      <c r="E7771" s="610"/>
      <c r="F7771" s="612"/>
      <c r="G7771" s="613" t="n">
        <f aca="false">SUM(G7767:G7770)</f>
        <v>1363</v>
      </c>
      <c r="H7771" s="610"/>
    </row>
    <row r="7772" customFormat="false" ht="15" hidden="false" customHeight="false" outlineLevel="0" collapsed="false">
      <c r="A7772" s="571" t="s">
        <v>5541</v>
      </c>
      <c r="B7772" s="433" t="s">
        <v>3476</v>
      </c>
      <c r="C7772" s="614" t="s">
        <v>5463</v>
      </c>
      <c r="D7772" s="606" t="s">
        <v>5448</v>
      </c>
      <c r="E7772" s="606" t="n">
        <v>0.1</v>
      </c>
      <c r="F7772" s="361" t="n">
        <v>2324</v>
      </c>
      <c r="G7772" s="926" t="n">
        <f aca="false">E7772*F7772</f>
        <v>232.4</v>
      </c>
      <c r="H7772" s="606"/>
    </row>
    <row r="7773" customFormat="false" ht="15" hidden="false" customHeight="false" outlineLevel="0" collapsed="false">
      <c r="B7773" s="500"/>
      <c r="C7773" s="614" t="s">
        <v>4205</v>
      </c>
      <c r="D7773" s="606" t="s">
        <v>4359</v>
      </c>
      <c r="E7773" s="606" t="n">
        <v>0.1</v>
      </c>
      <c r="F7773" s="361" t="n">
        <v>6300</v>
      </c>
      <c r="G7773" s="926" t="n">
        <f aca="false">E7773*F7773</f>
        <v>630</v>
      </c>
      <c r="H7773" s="606"/>
    </row>
    <row r="7774" customFormat="false" ht="15" hidden="false" customHeight="false" outlineLevel="0" collapsed="false">
      <c r="A7774" s="571"/>
      <c r="B7774" s="500"/>
      <c r="C7774" s="614" t="s">
        <v>4122</v>
      </c>
      <c r="D7774" s="606" t="s">
        <v>4359</v>
      </c>
      <c r="E7774" s="606" t="n">
        <v>0.1</v>
      </c>
      <c r="F7774" s="361" t="n">
        <v>720</v>
      </c>
      <c r="G7774" s="926" t="n">
        <f aca="false">E7774*F7774</f>
        <v>72</v>
      </c>
      <c r="H7774" s="606"/>
    </row>
    <row r="7775" customFormat="false" ht="15" hidden="false" customHeight="false" outlineLevel="0" collapsed="false">
      <c r="A7775" s="571"/>
      <c r="B7775" s="500"/>
      <c r="C7775" s="614" t="s">
        <v>4317</v>
      </c>
      <c r="D7775" s="606" t="s">
        <v>4359</v>
      </c>
      <c r="E7775" s="606" t="n">
        <v>0.01</v>
      </c>
      <c r="F7775" s="361" t="n">
        <v>12000</v>
      </c>
      <c r="G7775" s="926" t="n">
        <f aca="false">E7775*F7775</f>
        <v>120</v>
      </c>
      <c r="H7775" s="606"/>
    </row>
    <row r="7776" customFormat="false" ht="15" hidden="false" customHeight="false" outlineLevel="0" collapsed="false">
      <c r="A7776" s="571"/>
      <c r="B7776" s="608" t="s">
        <v>4128</v>
      </c>
      <c r="C7776" s="609"/>
      <c r="D7776" s="610"/>
      <c r="E7776" s="610"/>
      <c r="F7776" s="612"/>
      <c r="G7776" s="613" t="n">
        <f aca="false">SUM(G7772:G7775)</f>
        <v>1054.4</v>
      </c>
      <c r="H7776" s="610"/>
    </row>
    <row r="7777" customFormat="false" ht="15" hidden="false" customHeight="false" outlineLevel="0" collapsed="false">
      <c r="A7777" s="571" t="s">
        <v>1433</v>
      </c>
      <c r="B7777" s="433" t="s">
        <v>3445</v>
      </c>
      <c r="C7777" s="614" t="s">
        <v>5542</v>
      </c>
      <c r="D7777" s="606" t="s">
        <v>4138</v>
      </c>
      <c r="E7777" s="606" t="n">
        <v>0.65</v>
      </c>
      <c r="F7777" s="927" t="n">
        <v>2380</v>
      </c>
      <c r="G7777" s="926" t="n">
        <f aca="false">E7777*F7777</f>
        <v>1547</v>
      </c>
      <c r="H7777" s="606"/>
    </row>
    <row r="7778" customFormat="false" ht="15" hidden="false" customHeight="false" outlineLevel="0" collapsed="false">
      <c r="B7778" s="500"/>
      <c r="C7778" s="614" t="s">
        <v>4205</v>
      </c>
      <c r="D7778" s="606" t="s">
        <v>4359</v>
      </c>
      <c r="E7778" s="606" t="n">
        <v>0.01</v>
      </c>
      <c r="F7778" s="927" t="n">
        <v>6300</v>
      </c>
      <c r="G7778" s="926" t="n">
        <f aca="false">E7778*F7778</f>
        <v>63</v>
      </c>
      <c r="H7778" s="606"/>
    </row>
    <row r="7779" customFormat="false" ht="15" hidden="false" customHeight="false" outlineLevel="0" collapsed="false">
      <c r="A7779" s="571"/>
      <c r="B7779" s="500"/>
      <c r="C7779" s="614" t="s">
        <v>4122</v>
      </c>
      <c r="D7779" s="606" t="s">
        <v>4359</v>
      </c>
      <c r="E7779" s="606" t="n">
        <v>0.01</v>
      </c>
      <c r="F7779" s="361" t="n">
        <v>720</v>
      </c>
      <c r="G7779" s="926" t="n">
        <f aca="false">E7779*F7779</f>
        <v>7.2</v>
      </c>
      <c r="H7779" s="606"/>
    </row>
    <row r="7780" customFormat="false" ht="15" hidden="false" customHeight="false" outlineLevel="0" collapsed="false">
      <c r="A7780" s="571"/>
      <c r="B7780" s="500"/>
      <c r="C7780" s="614" t="s">
        <v>4317</v>
      </c>
      <c r="D7780" s="606" t="s">
        <v>4359</v>
      </c>
      <c r="E7780" s="606" t="n">
        <v>0.01</v>
      </c>
      <c r="F7780" s="361" t="n">
        <v>12000</v>
      </c>
      <c r="G7780" s="926" t="n">
        <f aca="false">E7780*F7780</f>
        <v>120</v>
      </c>
      <c r="H7780" s="606"/>
    </row>
    <row r="7781" customFormat="false" ht="15" hidden="false" customHeight="false" outlineLevel="0" collapsed="false">
      <c r="A7781" s="571"/>
      <c r="B7781" s="608" t="s">
        <v>4128</v>
      </c>
      <c r="C7781" s="609"/>
      <c r="D7781" s="610"/>
      <c r="E7781" s="610"/>
      <c r="F7781" s="612"/>
      <c r="G7781" s="613" t="n">
        <f aca="false">SUM(G7777:G7780)</f>
        <v>1737.2</v>
      </c>
      <c r="H7781" s="610"/>
    </row>
    <row r="7782" customFormat="false" ht="30" hidden="false" customHeight="false" outlineLevel="0" collapsed="false">
      <c r="A7782" s="571" t="s">
        <v>5543</v>
      </c>
      <c r="B7782" s="433" t="s">
        <v>3440</v>
      </c>
      <c r="C7782" s="614" t="s">
        <v>5457</v>
      </c>
      <c r="D7782" s="606" t="s">
        <v>4138</v>
      </c>
      <c r="E7782" s="606" t="n">
        <v>0.6</v>
      </c>
      <c r="F7782" s="361" t="n">
        <v>2800</v>
      </c>
      <c r="G7782" s="926" t="n">
        <f aca="false">E7782*F7782</f>
        <v>1680</v>
      </c>
      <c r="H7782" s="606"/>
    </row>
    <row r="7783" customFormat="false" ht="15" hidden="false" customHeight="false" outlineLevel="0" collapsed="false">
      <c r="A7783" s="571"/>
      <c r="B7783" s="500"/>
      <c r="C7783" s="614" t="s">
        <v>4205</v>
      </c>
      <c r="D7783" s="606" t="s">
        <v>4359</v>
      </c>
      <c r="E7783" s="606" t="n">
        <v>0.01</v>
      </c>
      <c r="F7783" s="927" t="n">
        <v>6300</v>
      </c>
      <c r="G7783" s="926" t="n">
        <f aca="false">E7783*F7783</f>
        <v>63</v>
      </c>
      <c r="H7783" s="606"/>
    </row>
    <row r="7784" customFormat="false" ht="15" hidden="false" customHeight="false" outlineLevel="0" collapsed="false">
      <c r="A7784" s="571"/>
      <c r="B7784" s="500"/>
      <c r="C7784" s="614" t="s">
        <v>4122</v>
      </c>
      <c r="D7784" s="606" t="s">
        <v>4359</v>
      </c>
      <c r="E7784" s="606" t="n">
        <v>0.01</v>
      </c>
      <c r="F7784" s="361" t="n">
        <v>720</v>
      </c>
      <c r="G7784" s="926" t="n">
        <f aca="false">E7784*F7784</f>
        <v>7.2</v>
      </c>
      <c r="H7784" s="606"/>
    </row>
    <row r="7785" customFormat="false" ht="15" hidden="false" customHeight="false" outlineLevel="0" collapsed="false">
      <c r="A7785" s="571"/>
      <c r="B7785" s="500"/>
      <c r="C7785" s="614" t="s">
        <v>4317</v>
      </c>
      <c r="D7785" s="606" t="s">
        <v>4359</v>
      </c>
      <c r="E7785" s="606" t="n">
        <v>0.01</v>
      </c>
      <c r="F7785" s="361" t="n">
        <v>12000</v>
      </c>
      <c r="G7785" s="926" t="n">
        <f aca="false">E7785*F7785</f>
        <v>120</v>
      </c>
      <c r="H7785" s="606"/>
    </row>
    <row r="7786" customFormat="false" ht="15" hidden="false" customHeight="false" outlineLevel="0" collapsed="false">
      <c r="A7786" s="571"/>
      <c r="B7786" s="608" t="s">
        <v>4128</v>
      </c>
      <c r="C7786" s="609"/>
      <c r="D7786" s="610"/>
      <c r="E7786" s="610"/>
      <c r="F7786" s="612"/>
      <c r="G7786" s="613" t="n">
        <f aca="false">SUM(G7782:G7785)</f>
        <v>1870.2</v>
      </c>
      <c r="H7786" s="610"/>
    </row>
    <row r="7787" customFormat="false" ht="30" hidden="false" customHeight="false" outlineLevel="0" collapsed="false">
      <c r="A7787" s="571" t="s">
        <v>5544</v>
      </c>
      <c r="B7787" s="433" t="s">
        <v>3444</v>
      </c>
      <c r="C7787" s="614" t="s">
        <v>5464</v>
      </c>
      <c r="D7787" s="606" t="s">
        <v>4138</v>
      </c>
      <c r="E7787" s="606" t="n">
        <v>0.8</v>
      </c>
      <c r="F7787" s="361" t="n">
        <v>2324</v>
      </c>
      <c r="G7787" s="926" t="n">
        <f aca="false">E7787*F7787</f>
        <v>1859.2</v>
      </c>
      <c r="H7787" s="606"/>
    </row>
    <row r="7788" customFormat="false" ht="15" hidden="false" customHeight="false" outlineLevel="0" collapsed="false">
      <c r="B7788" s="500"/>
      <c r="C7788" s="614" t="s">
        <v>4205</v>
      </c>
      <c r="D7788" s="606" t="s">
        <v>4359</v>
      </c>
      <c r="E7788" s="606" t="n">
        <v>0.01</v>
      </c>
      <c r="F7788" s="927" t="n">
        <v>6300</v>
      </c>
      <c r="G7788" s="926" t="n">
        <f aca="false">E7788*F7788</f>
        <v>63</v>
      </c>
      <c r="H7788" s="606"/>
    </row>
    <row r="7789" customFormat="false" ht="15" hidden="false" customHeight="false" outlineLevel="0" collapsed="false">
      <c r="A7789" s="571"/>
      <c r="B7789" s="500"/>
      <c r="C7789" s="614" t="s">
        <v>4122</v>
      </c>
      <c r="D7789" s="606" t="s">
        <v>4359</v>
      </c>
      <c r="E7789" s="606" t="n">
        <v>0.01</v>
      </c>
      <c r="F7789" s="361" t="n">
        <v>720</v>
      </c>
      <c r="G7789" s="926" t="n">
        <f aca="false">E7789*F7789</f>
        <v>7.2</v>
      </c>
      <c r="H7789" s="606"/>
    </row>
    <row r="7790" customFormat="false" ht="15" hidden="false" customHeight="false" outlineLevel="0" collapsed="false">
      <c r="A7790" s="571"/>
      <c r="B7790" s="500"/>
      <c r="C7790" s="614" t="s">
        <v>4317</v>
      </c>
      <c r="D7790" s="606" t="s">
        <v>4359</v>
      </c>
      <c r="E7790" s="606" t="n">
        <v>0.01</v>
      </c>
      <c r="F7790" s="361" t="n">
        <v>12000</v>
      </c>
      <c r="G7790" s="926" t="n">
        <f aca="false">E7790*F7790</f>
        <v>120</v>
      </c>
      <c r="H7790" s="606"/>
    </row>
    <row r="7791" customFormat="false" ht="15" hidden="false" customHeight="false" outlineLevel="0" collapsed="false">
      <c r="A7791" s="571"/>
      <c r="B7791" s="608" t="s">
        <v>4128</v>
      </c>
      <c r="C7791" s="609"/>
      <c r="D7791" s="610"/>
      <c r="E7791" s="610"/>
      <c r="F7791" s="612"/>
      <c r="G7791" s="613" t="n">
        <f aca="false">SUM(G7787:G7790)</f>
        <v>2049.4</v>
      </c>
      <c r="H7791" s="610"/>
    </row>
    <row r="7792" customFormat="false" ht="30" hidden="false" customHeight="false" outlineLevel="0" collapsed="false">
      <c r="A7792" s="571" t="s">
        <v>5545</v>
      </c>
      <c r="B7792" s="433" t="s">
        <v>3441</v>
      </c>
      <c r="C7792" s="614" t="s">
        <v>5459</v>
      </c>
      <c r="D7792" s="606" t="s">
        <v>4138</v>
      </c>
      <c r="E7792" s="606" t="n">
        <v>0.6</v>
      </c>
      <c r="F7792" s="361" t="n">
        <v>2128</v>
      </c>
      <c r="G7792" s="926" t="n">
        <f aca="false">E7792*F7792</f>
        <v>1276.8</v>
      </c>
      <c r="H7792" s="606"/>
    </row>
    <row r="7793" customFormat="false" ht="15" hidden="false" customHeight="false" outlineLevel="0" collapsed="false">
      <c r="B7793" s="500"/>
      <c r="C7793" s="614" t="s">
        <v>4205</v>
      </c>
      <c r="D7793" s="606" t="s">
        <v>4359</v>
      </c>
      <c r="E7793" s="606" t="n">
        <v>0.01</v>
      </c>
      <c r="F7793" s="927" t="n">
        <v>6300</v>
      </c>
      <c r="G7793" s="926" t="n">
        <f aca="false">E7793*F7793</f>
        <v>63</v>
      </c>
      <c r="H7793" s="606"/>
    </row>
    <row r="7794" customFormat="false" ht="15" hidden="false" customHeight="false" outlineLevel="0" collapsed="false">
      <c r="A7794" s="571"/>
      <c r="B7794" s="500"/>
      <c r="C7794" s="614" t="s">
        <v>4122</v>
      </c>
      <c r="D7794" s="606" t="s">
        <v>4359</v>
      </c>
      <c r="E7794" s="606" t="n">
        <v>0.01</v>
      </c>
      <c r="F7794" s="361" t="n">
        <v>720</v>
      </c>
      <c r="G7794" s="926" t="n">
        <f aca="false">E7794*F7794</f>
        <v>7.2</v>
      </c>
      <c r="H7794" s="606"/>
    </row>
    <row r="7795" customFormat="false" ht="15" hidden="false" customHeight="false" outlineLevel="0" collapsed="false">
      <c r="A7795" s="571"/>
      <c r="B7795" s="500"/>
      <c r="C7795" s="614" t="s">
        <v>4317</v>
      </c>
      <c r="D7795" s="606" t="s">
        <v>4359</v>
      </c>
      <c r="E7795" s="606" t="n">
        <v>0.01</v>
      </c>
      <c r="F7795" s="361" t="n">
        <v>12000</v>
      </c>
      <c r="G7795" s="926" t="n">
        <f aca="false">E7795*F7795</f>
        <v>120</v>
      </c>
      <c r="H7795" s="606"/>
    </row>
    <row r="7796" customFormat="false" ht="15" hidden="false" customHeight="false" outlineLevel="0" collapsed="false">
      <c r="A7796" s="571"/>
      <c r="B7796" s="500"/>
      <c r="C7796" s="614" t="s">
        <v>4834</v>
      </c>
      <c r="D7796" s="606" t="s">
        <v>5546</v>
      </c>
      <c r="E7796" s="606" t="n">
        <v>0.001</v>
      </c>
      <c r="F7796" s="927" t="n">
        <v>175080</v>
      </c>
      <c r="G7796" s="926" t="n">
        <f aca="false">E7796*F7796</f>
        <v>175.08</v>
      </c>
      <c r="H7796" s="606"/>
    </row>
    <row r="7797" customFormat="false" ht="15" hidden="false" customHeight="false" outlineLevel="0" collapsed="false">
      <c r="A7797" s="571"/>
      <c r="B7797" s="500"/>
      <c r="C7797" s="614" t="s">
        <v>5547</v>
      </c>
      <c r="D7797" s="606" t="s">
        <v>4525</v>
      </c>
      <c r="E7797" s="606" t="n">
        <v>0.001</v>
      </c>
      <c r="F7797" s="927" t="n">
        <v>50534</v>
      </c>
      <c r="G7797" s="926" t="n">
        <f aca="false">E7797*F7797</f>
        <v>50.534</v>
      </c>
      <c r="H7797" s="606"/>
    </row>
    <row r="7798" customFormat="false" ht="15" hidden="false" customHeight="false" outlineLevel="0" collapsed="false">
      <c r="A7798" s="571"/>
      <c r="B7798" s="500"/>
      <c r="C7798" s="614" t="s">
        <v>5069</v>
      </c>
      <c r="D7798" s="606" t="s">
        <v>4359</v>
      </c>
      <c r="E7798" s="606" t="n">
        <v>0.01</v>
      </c>
      <c r="F7798" s="361" t="n">
        <v>2500</v>
      </c>
      <c r="G7798" s="926" t="n">
        <f aca="false">E7798*F7798</f>
        <v>25</v>
      </c>
      <c r="H7798" s="606"/>
    </row>
    <row r="7799" customFormat="false" ht="15" hidden="false" customHeight="false" outlineLevel="0" collapsed="false">
      <c r="A7799" s="571"/>
      <c r="B7799" s="608" t="s">
        <v>4128</v>
      </c>
      <c r="C7799" s="609"/>
      <c r="D7799" s="610"/>
      <c r="E7799" s="610"/>
      <c r="F7799" s="612"/>
      <c r="G7799" s="613" t="n">
        <f aca="false">SUM(G7792:G7798)</f>
        <v>1717.614</v>
      </c>
      <c r="H7799" s="610"/>
    </row>
    <row r="7800" customFormat="false" ht="15" hidden="false" customHeight="false" outlineLevel="0" collapsed="false">
      <c r="A7800" s="571" t="s">
        <v>5548</v>
      </c>
      <c r="B7800" s="433" t="s">
        <v>3446</v>
      </c>
      <c r="C7800" s="614" t="s">
        <v>5471</v>
      </c>
      <c r="D7800" s="606" t="s">
        <v>4138</v>
      </c>
      <c r="E7800" s="606" t="n">
        <v>0.7</v>
      </c>
      <c r="F7800" s="361" t="n">
        <v>2324</v>
      </c>
      <c r="G7800" s="926" t="n">
        <f aca="false">E7800*F7800</f>
        <v>1626.8</v>
      </c>
      <c r="H7800" s="606"/>
    </row>
    <row r="7801" customFormat="false" ht="15" hidden="false" customHeight="false" outlineLevel="0" collapsed="false">
      <c r="B7801" s="500"/>
      <c r="C7801" s="614" t="s">
        <v>4205</v>
      </c>
      <c r="D7801" s="606" t="s">
        <v>4359</v>
      </c>
      <c r="E7801" s="606" t="n">
        <v>0.01</v>
      </c>
      <c r="F7801" s="927" t="n">
        <v>6300</v>
      </c>
      <c r="G7801" s="926" t="n">
        <f aca="false">E7801*F7801</f>
        <v>63</v>
      </c>
      <c r="H7801" s="606"/>
    </row>
    <row r="7802" customFormat="false" ht="15" hidden="false" customHeight="false" outlineLevel="0" collapsed="false">
      <c r="A7802" s="571"/>
      <c r="B7802" s="500"/>
      <c r="C7802" s="614" t="s">
        <v>4122</v>
      </c>
      <c r="D7802" s="606" t="s">
        <v>4359</v>
      </c>
      <c r="E7802" s="606" t="n">
        <v>0.01</v>
      </c>
      <c r="F7802" s="361" t="n">
        <v>720</v>
      </c>
      <c r="G7802" s="926" t="n">
        <f aca="false">E7802*F7802</f>
        <v>7.2</v>
      </c>
      <c r="H7802" s="606"/>
    </row>
    <row r="7803" customFormat="false" ht="15" hidden="false" customHeight="false" outlineLevel="0" collapsed="false">
      <c r="A7803" s="571"/>
      <c r="B7803" s="500"/>
      <c r="C7803" s="614" t="s">
        <v>4317</v>
      </c>
      <c r="D7803" s="606" t="s">
        <v>4359</v>
      </c>
      <c r="E7803" s="606" t="n">
        <v>0.01</v>
      </c>
      <c r="F7803" s="361" t="n">
        <v>12000</v>
      </c>
      <c r="G7803" s="926" t="n">
        <f aca="false">E7803*F7803</f>
        <v>120</v>
      </c>
      <c r="H7803" s="606"/>
    </row>
    <row r="7804" s="451" customFormat="true" ht="15" hidden="false" customHeight="false" outlineLevel="0" collapsed="false">
      <c r="A7804" s="707"/>
      <c r="B7804" s="500"/>
      <c r="C7804" s="614" t="s">
        <v>4485</v>
      </c>
      <c r="D7804" s="606" t="s">
        <v>4133</v>
      </c>
      <c r="E7804" s="606" t="n">
        <v>0.01</v>
      </c>
      <c r="F7804" s="361" t="n">
        <v>5241</v>
      </c>
      <c r="G7804" s="926" t="n">
        <f aca="false">E7804*F7804</f>
        <v>52.41</v>
      </c>
      <c r="H7804" s="606"/>
    </row>
    <row r="7805" s="451" customFormat="true" ht="15" hidden="false" customHeight="false" outlineLevel="0" collapsed="false">
      <c r="A7805" s="707"/>
      <c r="B7805" s="608" t="s">
        <v>4128</v>
      </c>
      <c r="C7805" s="609"/>
      <c r="D7805" s="610"/>
      <c r="E7805" s="610"/>
      <c r="F7805" s="612"/>
      <c r="G7805" s="613" t="n">
        <f aca="false">SUM(G7800:G7804)</f>
        <v>1869.41</v>
      </c>
      <c r="H7805" s="610"/>
    </row>
    <row r="7806" s="451" customFormat="true" ht="30" hidden="false" customHeight="false" outlineLevel="0" collapsed="false">
      <c r="A7806" s="707" t="s">
        <v>5549</v>
      </c>
      <c r="B7806" s="433" t="s">
        <v>3447</v>
      </c>
      <c r="C7806" s="614" t="s">
        <v>5473</v>
      </c>
      <c r="D7806" s="606" t="s">
        <v>4138</v>
      </c>
      <c r="E7806" s="606" t="n">
        <v>0.7</v>
      </c>
      <c r="F7806" s="361" t="n">
        <v>2324</v>
      </c>
      <c r="G7806" s="926" t="n">
        <f aca="false">E7806*F7806</f>
        <v>1626.8</v>
      </c>
      <c r="H7806" s="606"/>
    </row>
    <row r="7807" s="451" customFormat="true" ht="15" hidden="false" customHeight="false" outlineLevel="0" collapsed="false">
      <c r="A7807" s="798"/>
      <c r="B7807" s="500"/>
      <c r="C7807" s="614" t="s">
        <v>4205</v>
      </c>
      <c r="D7807" s="606" t="s">
        <v>4359</v>
      </c>
      <c r="E7807" s="606" t="n">
        <v>0.01</v>
      </c>
      <c r="F7807" s="927" t="n">
        <v>6300</v>
      </c>
      <c r="G7807" s="926" t="n">
        <f aca="false">E7807*F7807</f>
        <v>63</v>
      </c>
      <c r="H7807" s="606"/>
    </row>
    <row r="7808" s="451" customFormat="true" ht="15" hidden="false" customHeight="false" outlineLevel="0" collapsed="false">
      <c r="A7808" s="707"/>
      <c r="B7808" s="500"/>
      <c r="C7808" s="614" t="s">
        <v>4122</v>
      </c>
      <c r="D7808" s="606" t="s">
        <v>4359</v>
      </c>
      <c r="E7808" s="606" t="n">
        <v>0.01</v>
      </c>
      <c r="F7808" s="361" t="n">
        <v>720</v>
      </c>
      <c r="G7808" s="926" t="n">
        <f aca="false">E7808*F7808</f>
        <v>7.2</v>
      </c>
      <c r="H7808" s="606"/>
    </row>
    <row r="7809" s="451" customFormat="true" ht="15" hidden="false" customHeight="false" outlineLevel="0" collapsed="false">
      <c r="A7809" s="707"/>
      <c r="B7809" s="500"/>
      <c r="C7809" s="614" t="s">
        <v>4317</v>
      </c>
      <c r="D7809" s="606" t="s">
        <v>4359</v>
      </c>
      <c r="E7809" s="606" t="n">
        <v>0.01</v>
      </c>
      <c r="F7809" s="361" t="n">
        <v>12000</v>
      </c>
      <c r="G7809" s="926" t="n">
        <f aca="false">E7809*F7809</f>
        <v>120</v>
      </c>
      <c r="H7809" s="606"/>
    </row>
    <row r="7810" s="451" customFormat="true" ht="15" hidden="false" customHeight="false" outlineLevel="0" collapsed="false">
      <c r="A7810" s="707"/>
      <c r="B7810" s="500"/>
      <c r="C7810" s="614" t="s">
        <v>4485</v>
      </c>
      <c r="D7810" s="606" t="s">
        <v>4133</v>
      </c>
      <c r="E7810" s="606" t="n">
        <v>0.01</v>
      </c>
      <c r="F7810" s="361" t="n">
        <v>5241</v>
      </c>
      <c r="G7810" s="926" t="n">
        <f aca="false">E7810*F7810</f>
        <v>52.41</v>
      </c>
      <c r="H7810" s="606"/>
    </row>
    <row r="7811" s="451" customFormat="true" ht="15" hidden="false" customHeight="false" outlineLevel="0" collapsed="false">
      <c r="A7811" s="707"/>
      <c r="B7811" s="608" t="s">
        <v>4128</v>
      </c>
      <c r="C7811" s="609"/>
      <c r="D7811" s="610"/>
      <c r="E7811" s="610"/>
      <c r="F7811" s="612"/>
      <c r="G7811" s="613" t="n">
        <f aca="false">SUM(G7806:G7810)</f>
        <v>1869.41</v>
      </c>
      <c r="H7811" s="610"/>
    </row>
    <row r="7812" s="451" customFormat="true" ht="15" hidden="false" customHeight="false" outlineLevel="0" collapsed="false">
      <c r="A7812" s="707" t="s">
        <v>5550</v>
      </c>
      <c r="B7812" s="433" t="s">
        <v>3452</v>
      </c>
      <c r="C7812" s="614" t="s">
        <v>5482</v>
      </c>
      <c r="D7812" s="606" t="s">
        <v>4138</v>
      </c>
      <c r="E7812" s="606" t="n">
        <v>1</v>
      </c>
      <c r="F7812" s="361" t="n">
        <v>1120</v>
      </c>
      <c r="G7812" s="926" t="n">
        <f aca="false">E7812*F7812</f>
        <v>1120</v>
      </c>
      <c r="H7812" s="606"/>
    </row>
    <row r="7813" s="451" customFormat="true" ht="15" hidden="false" customHeight="false" outlineLevel="0" collapsed="false">
      <c r="A7813" s="798"/>
      <c r="B7813" s="500"/>
      <c r="C7813" s="614" t="s">
        <v>4205</v>
      </c>
      <c r="D7813" s="606" t="s">
        <v>4359</v>
      </c>
      <c r="E7813" s="606" t="n">
        <v>0.1</v>
      </c>
      <c r="F7813" s="927" t="n">
        <v>6300</v>
      </c>
      <c r="G7813" s="926" t="n">
        <f aca="false">E7813*F7813</f>
        <v>630</v>
      </c>
      <c r="H7813" s="606"/>
    </row>
    <row r="7814" s="451" customFormat="true" ht="15" hidden="false" customHeight="false" outlineLevel="0" collapsed="false">
      <c r="A7814" s="707"/>
      <c r="B7814" s="500"/>
      <c r="C7814" s="614" t="s">
        <v>4122</v>
      </c>
      <c r="D7814" s="606" t="s">
        <v>4359</v>
      </c>
      <c r="E7814" s="606" t="n">
        <v>0.01</v>
      </c>
      <c r="F7814" s="361" t="n">
        <v>720</v>
      </c>
      <c r="G7814" s="926" t="n">
        <f aca="false">E7814*F7814</f>
        <v>7.2</v>
      </c>
      <c r="H7814" s="606"/>
    </row>
    <row r="7815" s="451" customFormat="true" ht="15" hidden="false" customHeight="false" outlineLevel="0" collapsed="false">
      <c r="A7815" s="707"/>
      <c r="B7815" s="500"/>
      <c r="C7815" s="614" t="s">
        <v>4317</v>
      </c>
      <c r="D7815" s="606" t="s">
        <v>4359</v>
      </c>
      <c r="E7815" s="606" t="n">
        <v>0.01</v>
      </c>
      <c r="F7815" s="361" t="n">
        <v>12000</v>
      </c>
      <c r="G7815" s="926" t="n">
        <f aca="false">E7815*F7815</f>
        <v>120</v>
      </c>
      <c r="H7815" s="606"/>
    </row>
    <row r="7816" s="451" customFormat="true" ht="15" hidden="false" customHeight="false" outlineLevel="0" collapsed="false">
      <c r="A7816" s="707"/>
      <c r="B7816" s="608" t="s">
        <v>4128</v>
      </c>
      <c r="C7816" s="609"/>
      <c r="D7816" s="610"/>
      <c r="E7816" s="610"/>
      <c r="F7816" s="612"/>
      <c r="G7816" s="613" t="n">
        <f aca="false">SUM(G7812:G7815)</f>
        <v>1877.2</v>
      </c>
      <c r="H7816" s="610"/>
    </row>
    <row r="7817" s="451" customFormat="true" ht="30" hidden="false" customHeight="false" outlineLevel="0" collapsed="false">
      <c r="A7817" s="707" t="s">
        <v>5551</v>
      </c>
      <c r="B7817" s="433" t="s">
        <v>3453</v>
      </c>
      <c r="C7817" s="614" t="s">
        <v>5552</v>
      </c>
      <c r="D7817" s="606" t="s">
        <v>4138</v>
      </c>
      <c r="E7817" s="606" t="n">
        <v>0.25</v>
      </c>
      <c r="F7817" s="361" t="n">
        <v>7700</v>
      </c>
      <c r="G7817" s="926" t="n">
        <f aca="false">E7817*F7817</f>
        <v>1925</v>
      </c>
      <c r="H7817" s="606"/>
    </row>
    <row r="7818" s="451" customFormat="true" ht="15" hidden="false" customHeight="false" outlineLevel="0" collapsed="false">
      <c r="A7818" s="798"/>
      <c r="B7818" s="500"/>
      <c r="C7818" s="614" t="s">
        <v>4205</v>
      </c>
      <c r="D7818" s="606" t="s">
        <v>4359</v>
      </c>
      <c r="E7818" s="606" t="n">
        <v>0.01</v>
      </c>
      <c r="F7818" s="927" t="n">
        <v>6300</v>
      </c>
      <c r="G7818" s="926" t="n">
        <f aca="false">E7818*F7818</f>
        <v>63</v>
      </c>
      <c r="H7818" s="606"/>
    </row>
    <row r="7819" s="451" customFormat="true" ht="15" hidden="false" customHeight="false" outlineLevel="0" collapsed="false">
      <c r="A7819" s="707"/>
      <c r="B7819" s="500"/>
      <c r="C7819" s="614" t="s">
        <v>4122</v>
      </c>
      <c r="D7819" s="606" t="s">
        <v>4359</v>
      </c>
      <c r="E7819" s="606" t="n">
        <v>0.01</v>
      </c>
      <c r="F7819" s="361" t="n">
        <v>720</v>
      </c>
      <c r="G7819" s="926" t="n">
        <f aca="false">E7819*F7819</f>
        <v>7.2</v>
      </c>
      <c r="H7819" s="606"/>
    </row>
    <row r="7820" s="451" customFormat="true" ht="15" hidden="false" customHeight="false" outlineLevel="0" collapsed="false">
      <c r="A7820" s="707"/>
      <c r="B7820" s="500"/>
      <c r="C7820" s="614" t="s">
        <v>4317</v>
      </c>
      <c r="D7820" s="606" t="s">
        <v>4359</v>
      </c>
      <c r="E7820" s="606" t="n">
        <v>0.01</v>
      </c>
      <c r="F7820" s="361" t="n">
        <v>12000</v>
      </c>
      <c r="G7820" s="926" t="n">
        <f aca="false">E7820*F7820</f>
        <v>120</v>
      </c>
      <c r="H7820" s="606"/>
    </row>
    <row r="7821" s="451" customFormat="true" ht="15" hidden="false" customHeight="false" outlineLevel="0" collapsed="false">
      <c r="A7821" s="707"/>
      <c r="B7821" s="608" t="s">
        <v>4128</v>
      </c>
      <c r="C7821" s="609"/>
      <c r="D7821" s="610"/>
      <c r="E7821" s="610"/>
      <c r="F7821" s="612"/>
      <c r="G7821" s="613" t="n">
        <f aca="false">SUM(G7817:G7820)</f>
        <v>2115.2</v>
      </c>
      <c r="H7821" s="610"/>
    </row>
    <row r="7822" s="451" customFormat="true" ht="15" hidden="false" customHeight="false" outlineLevel="0" collapsed="false">
      <c r="A7822" s="707" t="s">
        <v>5553</v>
      </c>
      <c r="B7822" s="433" t="s">
        <v>3477</v>
      </c>
      <c r="C7822" s="614" t="s">
        <v>4205</v>
      </c>
      <c r="D7822" s="606" t="s">
        <v>4359</v>
      </c>
      <c r="E7822" s="606" t="n">
        <v>0.1</v>
      </c>
      <c r="F7822" s="361" t="n">
        <v>10800</v>
      </c>
      <c r="G7822" s="926" t="n">
        <f aca="false">E7822*F7822</f>
        <v>1080</v>
      </c>
      <c r="H7822" s="606"/>
    </row>
    <row r="7823" s="451" customFormat="true" ht="15" hidden="false" customHeight="false" outlineLevel="0" collapsed="false">
      <c r="A7823" s="798"/>
      <c r="B7823" s="500"/>
      <c r="C7823" s="614" t="s">
        <v>4154</v>
      </c>
      <c r="D7823" s="606" t="s">
        <v>4528</v>
      </c>
      <c r="E7823" s="606" t="n">
        <v>0.1</v>
      </c>
      <c r="F7823" s="361" t="s">
        <v>5554</v>
      </c>
      <c r="G7823" s="926" t="n">
        <f aca="false">E7823*F7823</f>
        <v>69.643</v>
      </c>
      <c r="H7823" s="606"/>
    </row>
    <row r="7824" s="451" customFormat="true" ht="15" hidden="false" customHeight="false" outlineLevel="0" collapsed="false">
      <c r="A7824" s="707"/>
      <c r="B7824" s="500"/>
      <c r="C7824" s="614" t="s">
        <v>5494</v>
      </c>
      <c r="D7824" s="606" t="s">
        <v>4133</v>
      </c>
      <c r="E7824" s="606" t="n">
        <v>0.1</v>
      </c>
      <c r="F7824" s="361" t="n">
        <v>2553.6</v>
      </c>
      <c r="G7824" s="926" t="n">
        <f aca="false">E7824*F7824</f>
        <v>255.36</v>
      </c>
      <c r="H7824" s="606"/>
    </row>
    <row r="7825" s="451" customFormat="true" ht="15" hidden="false" customHeight="false" outlineLevel="0" collapsed="false">
      <c r="A7825" s="707"/>
      <c r="B7825" s="500"/>
      <c r="C7825" s="614" t="s">
        <v>5555</v>
      </c>
      <c r="D7825" s="606" t="s">
        <v>4133</v>
      </c>
      <c r="E7825" s="606" t="n">
        <v>0.04</v>
      </c>
      <c r="F7825" s="361" t="n">
        <v>20000</v>
      </c>
      <c r="G7825" s="926" t="n">
        <f aca="false">E7825*F7825</f>
        <v>800</v>
      </c>
      <c r="H7825" s="606"/>
    </row>
    <row r="7826" s="451" customFormat="true" ht="15" hidden="false" customHeight="false" outlineLevel="0" collapsed="false">
      <c r="A7826" s="707"/>
      <c r="B7826" s="500"/>
      <c r="C7826" s="614" t="s">
        <v>4132</v>
      </c>
      <c r="D7826" s="606" t="s">
        <v>4133</v>
      </c>
      <c r="E7826" s="606" t="n">
        <v>0.1</v>
      </c>
      <c r="F7826" s="361" t="n">
        <v>3000</v>
      </c>
      <c r="G7826" s="926" t="n">
        <f aca="false">E7826*F7826</f>
        <v>300</v>
      </c>
      <c r="H7826" s="606"/>
    </row>
    <row r="7827" s="451" customFormat="true" ht="15" hidden="false" customHeight="false" outlineLevel="0" collapsed="false">
      <c r="A7827" s="707"/>
      <c r="B7827" s="608" t="s">
        <v>4128</v>
      </c>
      <c r="C7827" s="609"/>
      <c r="D7827" s="610"/>
      <c r="E7827" s="610"/>
      <c r="F7827" s="612"/>
      <c r="G7827" s="613" t="n">
        <f aca="false">SUM(G7822:G7826)</f>
        <v>2505.003</v>
      </c>
      <c r="H7827" s="610"/>
    </row>
    <row r="7828" s="451" customFormat="true" ht="15" hidden="false" customHeight="false" outlineLevel="0" collapsed="false">
      <c r="A7828" s="707" t="s">
        <v>5556</v>
      </c>
      <c r="B7828" s="433" t="s">
        <v>3478</v>
      </c>
      <c r="C7828" s="614" t="s">
        <v>5408</v>
      </c>
      <c r="D7828" s="606" t="s">
        <v>4138</v>
      </c>
      <c r="E7828" s="606" t="n">
        <v>1</v>
      </c>
      <c r="F7828" s="361" t="n">
        <v>1500</v>
      </c>
      <c r="G7828" s="926" t="n">
        <f aca="false">E7828*F7828</f>
        <v>1500</v>
      </c>
      <c r="H7828" s="606"/>
    </row>
    <row r="7829" s="451" customFormat="true" ht="15" hidden="false" customHeight="false" outlineLevel="0" collapsed="false">
      <c r="A7829" s="798"/>
      <c r="B7829" s="500"/>
      <c r="C7829" s="614" t="s">
        <v>4171</v>
      </c>
      <c r="D7829" s="606" t="s">
        <v>4359</v>
      </c>
      <c r="E7829" s="606" t="n">
        <v>0.5</v>
      </c>
      <c r="F7829" s="361" t="n">
        <v>2500</v>
      </c>
      <c r="G7829" s="926" t="n">
        <f aca="false">E7829*F7829</f>
        <v>1250</v>
      </c>
      <c r="H7829" s="606"/>
    </row>
    <row r="7830" s="451" customFormat="true" ht="15" hidden="false" customHeight="false" outlineLevel="0" collapsed="false">
      <c r="A7830" s="707"/>
      <c r="B7830" s="500"/>
      <c r="C7830" s="614" t="s">
        <v>4536</v>
      </c>
      <c r="D7830" s="606" t="s">
        <v>4359</v>
      </c>
      <c r="E7830" s="606" t="n">
        <v>0.1</v>
      </c>
      <c r="F7830" s="361" t="n">
        <v>999</v>
      </c>
      <c r="G7830" s="926" t="n">
        <f aca="false">E7830*F7830</f>
        <v>99.9</v>
      </c>
      <c r="H7830" s="606"/>
    </row>
    <row r="7831" s="451" customFormat="true" ht="15" hidden="false" customHeight="false" outlineLevel="0" collapsed="false">
      <c r="A7831" s="707"/>
      <c r="B7831" s="608" t="s">
        <v>4128</v>
      </c>
      <c r="C7831" s="609"/>
      <c r="D7831" s="610"/>
      <c r="E7831" s="610"/>
      <c r="F7831" s="612"/>
      <c r="G7831" s="613" t="n">
        <f aca="false">SUM(G7828:G7830)</f>
        <v>2849.9</v>
      </c>
      <c r="H7831" s="610"/>
    </row>
    <row r="7832" s="451" customFormat="true" ht="30" hidden="false" customHeight="false" outlineLevel="0" collapsed="false">
      <c r="A7832" s="707" t="s">
        <v>5557</v>
      </c>
      <c r="B7832" s="433" t="s">
        <v>3501</v>
      </c>
      <c r="C7832" s="614" t="s">
        <v>5418</v>
      </c>
      <c r="D7832" s="606" t="s">
        <v>4138</v>
      </c>
      <c r="E7832" s="606" t="n">
        <v>1</v>
      </c>
      <c r="F7832" s="361" t="n">
        <v>1500</v>
      </c>
      <c r="G7832" s="926" t="n">
        <f aca="false">E7832*F7832</f>
        <v>1500</v>
      </c>
      <c r="H7832" s="606"/>
    </row>
    <row r="7833" s="451" customFormat="true" ht="15" hidden="false" customHeight="false" outlineLevel="0" collapsed="false">
      <c r="A7833" s="798"/>
      <c r="B7833" s="500"/>
      <c r="C7833" s="614" t="s">
        <v>4171</v>
      </c>
      <c r="D7833" s="606" t="s">
        <v>4359</v>
      </c>
      <c r="E7833" s="606" t="n">
        <v>0.3</v>
      </c>
      <c r="F7833" s="361" t="n">
        <v>2500</v>
      </c>
      <c r="G7833" s="926" t="n">
        <f aca="false">E7833*F7833</f>
        <v>750</v>
      </c>
      <c r="H7833" s="606"/>
    </row>
    <row r="7834" s="451" customFormat="true" ht="15" hidden="false" customHeight="false" outlineLevel="0" collapsed="false">
      <c r="A7834" s="707"/>
      <c r="B7834" s="500"/>
      <c r="C7834" s="614" t="s">
        <v>4536</v>
      </c>
      <c r="D7834" s="606" t="s">
        <v>4359</v>
      </c>
      <c r="E7834" s="606" t="n">
        <v>0.1</v>
      </c>
      <c r="F7834" s="361" t="n">
        <v>999</v>
      </c>
      <c r="G7834" s="926" t="n">
        <f aca="false">E7834*F7834</f>
        <v>99.9</v>
      </c>
      <c r="H7834" s="606"/>
    </row>
    <row r="7835" s="451" customFormat="true" ht="15" hidden="false" customHeight="false" outlineLevel="0" collapsed="false">
      <c r="A7835" s="707"/>
      <c r="B7835" s="608" t="s">
        <v>4128</v>
      </c>
      <c r="C7835" s="609"/>
      <c r="D7835" s="610"/>
      <c r="E7835" s="610"/>
      <c r="F7835" s="612"/>
      <c r="G7835" s="613" t="n">
        <f aca="false">SUM(G7832:G7834)</f>
        <v>2349.9</v>
      </c>
      <c r="H7835" s="610"/>
    </row>
    <row r="7836" s="451" customFormat="true" ht="15" hidden="false" customHeight="false" outlineLevel="0" collapsed="false">
      <c r="A7836" s="707" t="s">
        <v>5558</v>
      </c>
      <c r="B7836" s="433" t="s">
        <v>3480</v>
      </c>
      <c r="C7836" s="614" t="s">
        <v>4154</v>
      </c>
      <c r="D7836" s="606" t="s">
        <v>4133</v>
      </c>
      <c r="E7836" s="606" t="n">
        <v>0.01</v>
      </c>
      <c r="F7836" s="361" t="n">
        <v>5500</v>
      </c>
      <c r="G7836" s="926" t="n">
        <f aca="false">E7836*F7836</f>
        <v>55</v>
      </c>
      <c r="H7836" s="606"/>
    </row>
    <row r="7837" s="451" customFormat="true" ht="15" hidden="false" customHeight="false" outlineLevel="0" collapsed="false">
      <c r="A7837" s="798"/>
      <c r="B7837" s="500"/>
      <c r="C7837" s="614" t="s">
        <v>5373</v>
      </c>
      <c r="D7837" s="606" t="s">
        <v>4138</v>
      </c>
      <c r="E7837" s="606" t="n">
        <v>0.1</v>
      </c>
      <c r="F7837" s="361" t="n">
        <v>950</v>
      </c>
      <c r="G7837" s="926" t="n">
        <f aca="false">E7837*F7837</f>
        <v>95</v>
      </c>
      <c r="H7837" s="606"/>
    </row>
    <row r="7838" s="451" customFormat="true" ht="15" hidden="false" customHeight="false" outlineLevel="0" collapsed="false">
      <c r="A7838" s="707"/>
      <c r="B7838" s="500"/>
      <c r="C7838" s="614" t="s">
        <v>4270</v>
      </c>
      <c r="D7838" s="606" t="s">
        <v>4359</v>
      </c>
      <c r="E7838" s="606" t="n">
        <v>0.1</v>
      </c>
      <c r="F7838" s="361" t="n">
        <v>1540</v>
      </c>
      <c r="G7838" s="926" t="n">
        <f aca="false">E7838*F7838</f>
        <v>154</v>
      </c>
      <c r="H7838" s="606"/>
    </row>
    <row r="7839" s="451" customFormat="true" ht="15" hidden="false" customHeight="false" outlineLevel="0" collapsed="false">
      <c r="A7839" s="707"/>
      <c r="B7839" s="500"/>
      <c r="C7839" s="614" t="s">
        <v>4189</v>
      </c>
      <c r="D7839" s="606" t="s">
        <v>4359</v>
      </c>
      <c r="E7839" s="606" t="n">
        <v>0.05</v>
      </c>
      <c r="F7839" s="361" t="n">
        <v>5180</v>
      </c>
      <c r="G7839" s="926" t="n">
        <f aca="false">E7839*F7839</f>
        <v>259</v>
      </c>
      <c r="H7839" s="606"/>
    </row>
    <row r="7840" s="451" customFormat="true" ht="15" hidden="false" customHeight="false" outlineLevel="0" collapsed="false">
      <c r="A7840" s="707"/>
      <c r="B7840" s="500"/>
      <c r="C7840" s="614" t="s">
        <v>4244</v>
      </c>
      <c r="D7840" s="606" t="s">
        <v>4138</v>
      </c>
      <c r="E7840" s="606" t="n">
        <v>0.1</v>
      </c>
      <c r="F7840" s="927" t="n">
        <v>4999</v>
      </c>
      <c r="G7840" s="926" t="n">
        <f aca="false">E7840*F7840</f>
        <v>499.9</v>
      </c>
      <c r="H7840" s="606"/>
    </row>
    <row r="7841" s="451" customFormat="true" ht="15" hidden="false" customHeight="false" outlineLevel="0" collapsed="false">
      <c r="A7841" s="707"/>
      <c r="B7841" s="500"/>
      <c r="C7841" s="614" t="s">
        <v>4147</v>
      </c>
      <c r="D7841" s="606" t="s">
        <v>4133</v>
      </c>
      <c r="E7841" s="606" t="n">
        <v>0.1</v>
      </c>
      <c r="F7841" s="361" t="n">
        <v>3500</v>
      </c>
      <c r="G7841" s="926" t="n">
        <f aca="false">E7841*F7841</f>
        <v>350</v>
      </c>
      <c r="H7841" s="606"/>
    </row>
    <row r="7842" s="451" customFormat="true" ht="15" hidden="false" customHeight="false" outlineLevel="0" collapsed="false">
      <c r="A7842" s="707"/>
      <c r="B7842" s="500"/>
      <c r="C7842" s="614" t="s">
        <v>4277</v>
      </c>
      <c r="D7842" s="606" t="s">
        <v>4133</v>
      </c>
      <c r="E7842" s="606" t="n">
        <v>0.075</v>
      </c>
      <c r="F7842" s="361" t="n">
        <v>2882</v>
      </c>
      <c r="G7842" s="926" t="n">
        <f aca="false">E7842*F7842</f>
        <v>216.15</v>
      </c>
      <c r="H7842" s="606"/>
    </row>
    <row r="7843" s="451" customFormat="true" ht="15" hidden="false" customHeight="false" outlineLevel="0" collapsed="false">
      <c r="A7843" s="707"/>
      <c r="B7843" s="608" t="s">
        <v>4128</v>
      </c>
      <c r="C7843" s="609"/>
      <c r="D7843" s="610"/>
      <c r="E7843" s="610"/>
      <c r="F7843" s="612"/>
      <c r="G7843" s="613" t="n">
        <f aca="false">SUM(G7836:G7842)</f>
        <v>1629.05</v>
      </c>
      <c r="H7843" s="610"/>
    </row>
    <row r="7844" s="451" customFormat="true" ht="15" hidden="false" customHeight="false" outlineLevel="0" collapsed="false">
      <c r="A7844" s="707" t="s">
        <v>5559</v>
      </c>
      <c r="B7844" s="433" t="s">
        <v>3432</v>
      </c>
      <c r="C7844" s="614" t="s">
        <v>5425</v>
      </c>
      <c r="D7844" s="606" t="s">
        <v>4133</v>
      </c>
      <c r="E7844" s="606" t="n">
        <v>0.01</v>
      </c>
      <c r="F7844" s="361" t="n">
        <v>9609</v>
      </c>
      <c r="G7844" s="926" t="n">
        <f aca="false">E7844*F7844</f>
        <v>96.09</v>
      </c>
      <c r="H7844" s="606"/>
    </row>
    <row r="7845" s="451" customFormat="true" ht="15" hidden="false" customHeight="false" outlineLevel="0" collapsed="false">
      <c r="A7845" s="742"/>
      <c r="B7845" s="500"/>
      <c r="C7845" s="614" t="s">
        <v>4147</v>
      </c>
      <c r="D7845" s="606" t="s">
        <v>4133</v>
      </c>
      <c r="E7845" s="606" t="n">
        <v>0.1</v>
      </c>
      <c r="F7845" s="361" t="n">
        <v>3500</v>
      </c>
      <c r="G7845" s="926" t="n">
        <f aca="false">E7845*F7845</f>
        <v>350</v>
      </c>
      <c r="H7845" s="606"/>
    </row>
    <row r="7846" s="451" customFormat="true" ht="15" hidden="false" customHeight="false" outlineLevel="0" collapsed="false">
      <c r="A7846" s="707"/>
      <c r="B7846" s="500"/>
      <c r="C7846" s="614" t="s">
        <v>4236</v>
      </c>
      <c r="D7846" s="606" t="s">
        <v>4133</v>
      </c>
      <c r="E7846" s="606" t="n">
        <v>0.01</v>
      </c>
      <c r="F7846" s="361" t="n">
        <v>1617</v>
      </c>
      <c r="G7846" s="926" t="n">
        <f aca="false">E7846*F7846</f>
        <v>16.17</v>
      </c>
      <c r="H7846" s="606"/>
    </row>
    <row r="7847" s="451" customFormat="true" ht="15" hidden="false" customHeight="false" outlineLevel="0" collapsed="false">
      <c r="A7847" s="707"/>
      <c r="B7847" s="500"/>
      <c r="C7847" s="614" t="s">
        <v>5426</v>
      </c>
      <c r="D7847" s="606" t="s">
        <v>4133</v>
      </c>
      <c r="E7847" s="606" t="n">
        <v>0.0015</v>
      </c>
      <c r="F7847" s="361" t="n">
        <v>210000</v>
      </c>
      <c r="G7847" s="926" t="n">
        <f aca="false">E7847*F7847</f>
        <v>315</v>
      </c>
      <c r="H7847" s="606"/>
    </row>
    <row r="7848" s="451" customFormat="true" ht="15" hidden="false" customHeight="false" outlineLevel="0" collapsed="false">
      <c r="A7848" s="707"/>
      <c r="B7848" s="500"/>
      <c r="C7848" s="614" t="s">
        <v>4171</v>
      </c>
      <c r="D7848" s="606" t="s">
        <v>4359</v>
      </c>
      <c r="E7848" s="606" t="n">
        <v>0.004</v>
      </c>
      <c r="F7848" s="361" t="n">
        <v>2500</v>
      </c>
      <c r="G7848" s="926" t="n">
        <f aca="false">E7848*F7848</f>
        <v>10</v>
      </c>
      <c r="H7848" s="606"/>
    </row>
    <row r="7849" s="451" customFormat="true" ht="30" hidden="false" customHeight="false" outlineLevel="0" collapsed="false">
      <c r="A7849" s="707"/>
      <c r="B7849" s="500"/>
      <c r="C7849" s="614" t="s">
        <v>5427</v>
      </c>
      <c r="D7849" s="606" t="s">
        <v>4133</v>
      </c>
      <c r="E7849" s="606" t="n">
        <v>0.001</v>
      </c>
      <c r="F7849" s="361" t="n">
        <v>2940</v>
      </c>
      <c r="G7849" s="926" t="n">
        <f aca="false">E7849*F7849</f>
        <v>2.94</v>
      </c>
      <c r="H7849" s="606"/>
    </row>
    <row r="7850" s="451" customFormat="true" ht="15" hidden="false" customHeight="false" outlineLevel="0" collapsed="false">
      <c r="A7850" s="707"/>
      <c r="B7850" s="500"/>
      <c r="C7850" s="614" t="s">
        <v>5428</v>
      </c>
      <c r="D7850" s="606" t="s">
        <v>4138</v>
      </c>
      <c r="E7850" s="606" t="n">
        <v>1</v>
      </c>
      <c r="F7850" s="361" t="n">
        <v>1500</v>
      </c>
      <c r="G7850" s="926" t="n">
        <f aca="false">E7850*F7850</f>
        <v>1500</v>
      </c>
      <c r="H7850" s="606"/>
    </row>
    <row r="7851" s="451" customFormat="true" ht="15" hidden="false" customHeight="false" outlineLevel="0" collapsed="false">
      <c r="A7851" s="707"/>
      <c r="B7851" s="608" t="s">
        <v>4128</v>
      </c>
      <c r="C7851" s="609"/>
      <c r="D7851" s="610"/>
      <c r="E7851" s="610"/>
      <c r="F7851" s="612"/>
      <c r="G7851" s="613" t="n">
        <f aca="false">SUM(G7844:G7850)</f>
        <v>2290.2</v>
      </c>
      <c r="H7851" s="610"/>
    </row>
    <row r="7852" s="451" customFormat="true" ht="15" hidden="false" customHeight="false" outlineLevel="0" collapsed="false">
      <c r="A7852" s="707" t="s">
        <v>5560</v>
      </c>
      <c r="B7852" s="433" t="s">
        <v>3149</v>
      </c>
      <c r="C7852" s="614" t="s">
        <v>4154</v>
      </c>
      <c r="D7852" s="606" t="s">
        <v>4133</v>
      </c>
      <c r="E7852" s="606" t="n">
        <v>0.01</v>
      </c>
      <c r="F7852" s="361" t="n">
        <v>5500</v>
      </c>
      <c r="G7852" s="926" t="n">
        <f aca="false">E7852*F7852</f>
        <v>55</v>
      </c>
      <c r="H7852" s="606"/>
    </row>
    <row r="7853" s="451" customFormat="true" ht="15" hidden="false" customHeight="false" outlineLevel="0" collapsed="false">
      <c r="A7853" s="798"/>
      <c r="B7853" s="500"/>
      <c r="C7853" s="614" t="s">
        <v>5561</v>
      </c>
      <c r="D7853" s="606" t="s">
        <v>4138</v>
      </c>
      <c r="E7853" s="606" t="n">
        <v>1</v>
      </c>
      <c r="F7853" s="361" t="n">
        <v>1000</v>
      </c>
      <c r="G7853" s="926" t="n">
        <f aca="false">E7853*F7853</f>
        <v>1000</v>
      </c>
      <c r="H7853" s="606"/>
    </row>
    <row r="7854" s="451" customFormat="true" ht="15" hidden="false" customHeight="false" outlineLevel="0" collapsed="false">
      <c r="A7854" s="707"/>
      <c r="B7854" s="500"/>
      <c r="C7854" s="614" t="s">
        <v>4270</v>
      </c>
      <c r="D7854" s="606" t="s">
        <v>4359</v>
      </c>
      <c r="E7854" s="606" t="n">
        <v>0.05</v>
      </c>
      <c r="F7854" s="361" t="n">
        <v>1540</v>
      </c>
      <c r="G7854" s="926" t="n">
        <f aca="false">E7854*F7854</f>
        <v>77</v>
      </c>
      <c r="H7854" s="606"/>
    </row>
    <row r="7855" s="451" customFormat="true" ht="15" hidden="false" customHeight="false" outlineLevel="0" collapsed="false">
      <c r="A7855" s="707"/>
      <c r="B7855" s="500"/>
      <c r="C7855" s="614" t="s">
        <v>4189</v>
      </c>
      <c r="D7855" s="606" t="s">
        <v>4359</v>
      </c>
      <c r="E7855" s="606" t="n">
        <v>0.05</v>
      </c>
      <c r="F7855" s="361" t="n">
        <v>5180</v>
      </c>
      <c r="G7855" s="926" t="n">
        <f aca="false">E7855*F7855</f>
        <v>259</v>
      </c>
      <c r="H7855" s="606"/>
    </row>
    <row r="7856" s="451" customFormat="true" ht="15" hidden="false" customHeight="false" outlineLevel="0" collapsed="false">
      <c r="A7856" s="707"/>
      <c r="B7856" s="500"/>
      <c r="C7856" s="614" t="s">
        <v>4269</v>
      </c>
      <c r="D7856" s="606" t="s">
        <v>4359</v>
      </c>
      <c r="E7856" s="606" t="n">
        <v>0.05</v>
      </c>
      <c r="F7856" s="927" t="n">
        <v>2660</v>
      </c>
      <c r="G7856" s="926" t="n">
        <f aca="false">E7856*F7856</f>
        <v>133</v>
      </c>
      <c r="H7856" s="606"/>
    </row>
    <row r="7857" s="451" customFormat="true" ht="15" hidden="false" customHeight="false" outlineLevel="0" collapsed="false">
      <c r="A7857" s="707"/>
      <c r="B7857" s="500"/>
      <c r="C7857" s="614" t="s">
        <v>4277</v>
      </c>
      <c r="D7857" s="606" t="s">
        <v>4133</v>
      </c>
      <c r="E7857" s="606" t="n">
        <v>0.007</v>
      </c>
      <c r="F7857" s="361" t="n">
        <v>2882</v>
      </c>
      <c r="G7857" s="926" t="n">
        <f aca="false">E7857*F7857</f>
        <v>20.174</v>
      </c>
      <c r="H7857" s="606"/>
    </row>
    <row r="7858" s="451" customFormat="true" ht="15" hidden="false" customHeight="false" outlineLevel="0" collapsed="false">
      <c r="A7858" s="707"/>
      <c r="B7858" s="608" t="s">
        <v>4128</v>
      </c>
      <c r="C7858" s="609"/>
      <c r="D7858" s="610"/>
      <c r="E7858" s="610"/>
      <c r="F7858" s="612"/>
      <c r="G7858" s="613" t="n">
        <f aca="false">SUM(G7852:G7857)</f>
        <v>1544.174</v>
      </c>
      <c r="H7858" s="610"/>
    </row>
    <row r="7859" s="451" customFormat="true" ht="15" hidden="false" customHeight="false" outlineLevel="0" collapsed="false">
      <c r="A7859" s="707" t="s">
        <v>5562</v>
      </c>
      <c r="B7859" s="433" t="s">
        <v>3461</v>
      </c>
      <c r="C7859" s="614" t="s">
        <v>4317</v>
      </c>
      <c r="D7859" s="606" t="s">
        <v>4359</v>
      </c>
      <c r="E7859" s="606" t="n">
        <v>0.01</v>
      </c>
      <c r="F7859" s="361" t="n">
        <v>12000</v>
      </c>
      <c r="G7859" s="926" t="n">
        <f aca="false">E7859*F7859</f>
        <v>120</v>
      </c>
      <c r="H7859" s="606"/>
    </row>
    <row r="7860" s="451" customFormat="true" ht="15" hidden="false" customHeight="false" outlineLevel="0" collapsed="false">
      <c r="A7860" s="798"/>
      <c r="B7860" s="433"/>
      <c r="C7860" s="614" t="s">
        <v>5563</v>
      </c>
      <c r="D7860" s="606" t="s">
        <v>4138</v>
      </c>
      <c r="E7860" s="606" t="n">
        <v>0.8</v>
      </c>
      <c r="F7860" s="361" t="n">
        <v>2324</v>
      </c>
      <c r="G7860" s="926" t="n">
        <f aca="false">E7860*F7860</f>
        <v>1859.2</v>
      </c>
      <c r="H7860" s="606"/>
    </row>
    <row r="7861" s="451" customFormat="true" ht="15" hidden="false" customHeight="false" outlineLevel="0" collapsed="false">
      <c r="A7861" s="707"/>
      <c r="B7861" s="608" t="s">
        <v>4128</v>
      </c>
      <c r="C7861" s="609"/>
      <c r="D7861" s="610"/>
      <c r="E7861" s="610"/>
      <c r="F7861" s="612"/>
      <c r="G7861" s="613" t="n">
        <f aca="false">SUM(G7859:G7860)</f>
        <v>1979.2</v>
      </c>
      <c r="H7861" s="610"/>
    </row>
    <row r="7862" s="451" customFormat="true" ht="15" hidden="false" customHeight="false" outlineLevel="0" collapsed="false">
      <c r="A7862" s="707" t="s">
        <v>1449</v>
      </c>
      <c r="B7862" s="433" t="s">
        <v>3462</v>
      </c>
      <c r="C7862" s="614" t="s">
        <v>5507</v>
      </c>
      <c r="D7862" s="606" t="s">
        <v>5564</v>
      </c>
      <c r="E7862" s="606" t="n">
        <v>0.01</v>
      </c>
      <c r="F7862" s="361" t="n">
        <v>77767</v>
      </c>
      <c r="G7862" s="926" t="n">
        <f aca="false">E7862*F7862</f>
        <v>777.67</v>
      </c>
      <c r="H7862" s="606"/>
    </row>
    <row r="7863" s="451" customFormat="true" ht="15" hidden="false" customHeight="false" outlineLevel="0" collapsed="false">
      <c r="A7863" s="798"/>
      <c r="B7863" s="500"/>
      <c r="C7863" s="614" t="s">
        <v>5508</v>
      </c>
      <c r="D7863" s="606" t="s">
        <v>4133</v>
      </c>
      <c r="E7863" s="606" t="n">
        <v>0.001</v>
      </c>
      <c r="F7863" s="361" t="n">
        <v>3500</v>
      </c>
      <c r="G7863" s="926" t="n">
        <f aca="false">E7863*F7863</f>
        <v>3.5</v>
      </c>
      <c r="H7863" s="606"/>
    </row>
    <row r="7864" s="451" customFormat="true" ht="15" hidden="false" customHeight="false" outlineLevel="0" collapsed="false">
      <c r="A7864" s="707"/>
      <c r="B7864" s="500"/>
      <c r="C7864" s="614" t="s">
        <v>4147</v>
      </c>
      <c r="D7864" s="606" t="s">
        <v>4133</v>
      </c>
      <c r="E7864" s="606" t="n">
        <v>0.003</v>
      </c>
      <c r="F7864" s="361" t="n">
        <v>3500</v>
      </c>
      <c r="G7864" s="926" t="n">
        <f aca="false">E7864*F7864</f>
        <v>10.5</v>
      </c>
      <c r="H7864" s="606"/>
    </row>
    <row r="7865" s="451" customFormat="true" ht="15" hidden="false" customHeight="false" outlineLevel="0" collapsed="false">
      <c r="A7865" s="707"/>
      <c r="B7865" s="500"/>
      <c r="C7865" s="614" t="s">
        <v>5059</v>
      </c>
      <c r="D7865" s="606" t="s">
        <v>4359</v>
      </c>
      <c r="E7865" s="606" t="n">
        <v>0.005</v>
      </c>
      <c r="F7865" s="361" t="n">
        <v>999</v>
      </c>
      <c r="G7865" s="926" t="n">
        <f aca="false">E7865*F7865</f>
        <v>4.995</v>
      </c>
      <c r="H7865" s="606"/>
    </row>
    <row r="7866" s="451" customFormat="true" ht="15" hidden="false" customHeight="false" outlineLevel="0" collapsed="false">
      <c r="A7866" s="707"/>
      <c r="B7866" s="500"/>
      <c r="C7866" s="614" t="s">
        <v>4648</v>
      </c>
      <c r="D7866" s="606" t="s">
        <v>4133</v>
      </c>
      <c r="E7866" s="606" t="n">
        <v>0.001</v>
      </c>
      <c r="F7866" s="361" t="n">
        <v>350000</v>
      </c>
      <c r="G7866" s="926" t="n">
        <f aca="false">E7866*F7866</f>
        <v>350</v>
      </c>
      <c r="H7866" s="606"/>
    </row>
    <row r="7867" s="451" customFormat="true" ht="15" hidden="false" customHeight="false" outlineLevel="0" collapsed="false">
      <c r="A7867" s="707"/>
      <c r="B7867" s="500"/>
      <c r="C7867" s="614" t="s">
        <v>5565</v>
      </c>
      <c r="D7867" s="606" t="s">
        <v>4141</v>
      </c>
      <c r="E7867" s="606" t="n">
        <v>0.05</v>
      </c>
      <c r="F7867" s="361" t="n">
        <v>15400</v>
      </c>
      <c r="G7867" s="926" t="n">
        <f aca="false">E7867*F7867</f>
        <v>770</v>
      </c>
      <c r="H7867" s="606"/>
    </row>
    <row r="7868" s="451" customFormat="true" ht="15" hidden="false" customHeight="false" outlineLevel="0" collapsed="false">
      <c r="A7868" s="707"/>
      <c r="B7868" s="608" t="s">
        <v>4128</v>
      </c>
      <c r="C7868" s="609"/>
      <c r="D7868" s="610"/>
      <c r="E7868" s="610"/>
      <c r="F7868" s="612"/>
      <c r="G7868" s="613" t="n">
        <f aca="false">SUM(G7862:G7867)</f>
        <v>1916.665</v>
      </c>
      <c r="H7868" s="610"/>
    </row>
    <row r="7869" s="451" customFormat="true" ht="15" hidden="false" customHeight="false" outlineLevel="0" collapsed="false">
      <c r="A7869" s="707" t="s">
        <v>5566</v>
      </c>
      <c r="B7869" s="433" t="s">
        <v>3463</v>
      </c>
      <c r="C7869" s="614" t="s">
        <v>4529</v>
      </c>
      <c r="D7869" s="606" t="s">
        <v>4133</v>
      </c>
      <c r="E7869" s="606" t="n">
        <v>0.5</v>
      </c>
      <c r="F7869" s="361" t="n">
        <v>2553.6</v>
      </c>
      <c r="G7869" s="926" t="n">
        <f aca="false">E7869*F7869</f>
        <v>1276.8</v>
      </c>
      <c r="H7869" s="606"/>
    </row>
    <row r="7870" s="451" customFormat="true" ht="30" hidden="false" customHeight="false" outlineLevel="0" collapsed="false">
      <c r="A7870" s="798"/>
      <c r="B7870" s="433"/>
      <c r="C7870" s="614" t="s">
        <v>5567</v>
      </c>
      <c r="D7870" s="606" t="s">
        <v>4138</v>
      </c>
      <c r="E7870" s="606" t="n">
        <v>0.1</v>
      </c>
      <c r="F7870" s="361" t="n">
        <v>1750</v>
      </c>
      <c r="G7870" s="926" t="n">
        <f aca="false">E7870*F7870</f>
        <v>175</v>
      </c>
      <c r="H7870" s="606"/>
    </row>
    <row r="7871" s="451" customFormat="true" ht="15" hidden="false" customHeight="false" outlineLevel="0" collapsed="false">
      <c r="A7871" s="798"/>
      <c r="B7871" s="500"/>
      <c r="C7871" s="614" t="s">
        <v>4202</v>
      </c>
      <c r="D7871" s="606" t="s">
        <v>4133</v>
      </c>
      <c r="E7871" s="606" t="n">
        <v>0.005</v>
      </c>
      <c r="F7871" s="361" t="n">
        <v>6600</v>
      </c>
      <c r="G7871" s="926" t="n">
        <f aca="false">E7871*F7871</f>
        <v>33</v>
      </c>
      <c r="H7871" s="606"/>
    </row>
    <row r="7872" s="451" customFormat="true" ht="15" hidden="false" customHeight="false" outlineLevel="0" collapsed="false">
      <c r="A7872" s="707"/>
      <c r="B7872" s="500"/>
      <c r="C7872" s="614" t="s">
        <v>4154</v>
      </c>
      <c r="D7872" s="606" t="s">
        <v>4133</v>
      </c>
      <c r="E7872" s="606" t="n">
        <v>0.1</v>
      </c>
      <c r="F7872" s="361" t="n">
        <v>5500</v>
      </c>
      <c r="G7872" s="926" t="n">
        <f aca="false">E7872*F7872</f>
        <v>550</v>
      </c>
      <c r="H7872" s="606"/>
    </row>
    <row r="7873" s="451" customFormat="true" ht="15" hidden="false" customHeight="false" outlineLevel="0" collapsed="false">
      <c r="A7873" s="707"/>
      <c r="B7873" s="500"/>
      <c r="C7873" s="614" t="s">
        <v>4240</v>
      </c>
      <c r="D7873" s="606" t="s">
        <v>4133</v>
      </c>
      <c r="E7873" s="606" t="n">
        <v>0.012</v>
      </c>
      <c r="F7873" s="361" t="n">
        <v>6200</v>
      </c>
      <c r="G7873" s="926" t="n">
        <f aca="false">E7873*F7873</f>
        <v>74.4</v>
      </c>
      <c r="H7873" s="606"/>
    </row>
    <row r="7874" s="451" customFormat="true" ht="15" hidden="false" customHeight="false" outlineLevel="0" collapsed="false">
      <c r="A7874" s="707"/>
      <c r="B7874" s="608" t="s">
        <v>4128</v>
      </c>
      <c r="C7874" s="609"/>
      <c r="D7874" s="610"/>
      <c r="E7874" s="610"/>
      <c r="F7874" s="612"/>
      <c r="G7874" s="613" t="n">
        <f aca="false">SUM(G7869:G7873)</f>
        <v>2109.2</v>
      </c>
      <c r="H7874" s="610"/>
    </row>
    <row r="7875" s="451" customFormat="true" ht="30" hidden="false" customHeight="false" outlineLevel="0" collapsed="false">
      <c r="A7875" s="707" t="s">
        <v>5568</v>
      </c>
      <c r="B7875" s="433" t="s">
        <v>3466</v>
      </c>
      <c r="C7875" s="614" t="s">
        <v>4122</v>
      </c>
      <c r="D7875" s="606" t="s">
        <v>4359</v>
      </c>
      <c r="E7875" s="606" t="n">
        <v>0.1</v>
      </c>
      <c r="F7875" s="361" t="n">
        <v>720</v>
      </c>
      <c r="G7875" s="926" t="n">
        <f aca="false">E7875*F7875</f>
        <v>72</v>
      </c>
      <c r="H7875" s="606"/>
    </row>
    <row r="7876" s="451" customFormat="true" ht="15" hidden="false" customHeight="false" outlineLevel="0" collapsed="false">
      <c r="A7876" s="798"/>
      <c r="B7876" s="500"/>
      <c r="C7876" s="614" t="s">
        <v>5164</v>
      </c>
      <c r="D7876" s="606" t="s">
        <v>4133</v>
      </c>
      <c r="E7876" s="606" t="n">
        <v>0.1</v>
      </c>
      <c r="F7876" s="361" t="n">
        <v>3150</v>
      </c>
      <c r="G7876" s="926" t="n">
        <f aca="false">E7876*F7876</f>
        <v>315</v>
      </c>
      <c r="H7876" s="606"/>
    </row>
    <row r="7877" s="451" customFormat="true" ht="15" hidden="false" customHeight="false" outlineLevel="0" collapsed="false">
      <c r="A7877" s="707"/>
      <c r="B7877" s="500"/>
      <c r="C7877" s="614" t="s">
        <v>4147</v>
      </c>
      <c r="D7877" s="606" t="s">
        <v>4133</v>
      </c>
      <c r="E7877" s="606" t="n">
        <v>0.1</v>
      </c>
      <c r="F7877" s="361" t="n">
        <v>3500</v>
      </c>
      <c r="G7877" s="926" t="n">
        <f aca="false">E7877*F7877</f>
        <v>350</v>
      </c>
      <c r="H7877" s="606"/>
    </row>
    <row r="7878" s="451" customFormat="true" ht="15" hidden="false" customHeight="false" outlineLevel="0" collapsed="false">
      <c r="A7878" s="707"/>
      <c r="B7878" s="500"/>
      <c r="C7878" s="614" t="s">
        <v>4672</v>
      </c>
      <c r="D7878" s="606" t="s">
        <v>4359</v>
      </c>
      <c r="E7878" s="606" t="n">
        <v>0.1</v>
      </c>
      <c r="F7878" s="361" t="n">
        <v>3730</v>
      </c>
      <c r="G7878" s="926" t="n">
        <f aca="false">E7878*F7878</f>
        <v>373</v>
      </c>
      <c r="H7878" s="606"/>
    </row>
    <row r="7879" s="451" customFormat="true" ht="15" hidden="false" customHeight="false" outlineLevel="0" collapsed="false">
      <c r="A7879" s="707"/>
      <c r="B7879" s="500"/>
      <c r="C7879" s="614" t="s">
        <v>4205</v>
      </c>
      <c r="D7879" s="606" t="s">
        <v>4359</v>
      </c>
      <c r="E7879" s="606" t="n">
        <v>0.1</v>
      </c>
      <c r="F7879" s="361" t="n">
        <v>6300</v>
      </c>
      <c r="G7879" s="926" t="n">
        <f aca="false">E7879*F7879</f>
        <v>630</v>
      </c>
      <c r="H7879" s="606"/>
    </row>
    <row r="7880" s="451" customFormat="true" ht="15" hidden="false" customHeight="false" outlineLevel="0" collapsed="false">
      <c r="A7880" s="707"/>
      <c r="B7880" s="500"/>
      <c r="C7880" s="614" t="s">
        <v>4225</v>
      </c>
      <c r="D7880" s="606" t="s">
        <v>4133</v>
      </c>
      <c r="E7880" s="606" t="n">
        <v>0.1</v>
      </c>
      <c r="F7880" s="361" t="n">
        <v>2553.6</v>
      </c>
      <c r="G7880" s="926" t="n">
        <f aca="false">E7880*F7880</f>
        <v>255.36</v>
      </c>
      <c r="H7880" s="606"/>
    </row>
    <row r="7881" s="451" customFormat="true" ht="15" hidden="false" customHeight="false" outlineLevel="0" collapsed="false">
      <c r="A7881" s="707"/>
      <c r="B7881" s="608" t="s">
        <v>4128</v>
      </c>
      <c r="C7881" s="609"/>
      <c r="D7881" s="610"/>
      <c r="E7881" s="610"/>
      <c r="F7881" s="612"/>
      <c r="G7881" s="613" t="n">
        <f aca="false">SUM(G7875:G7880)</f>
        <v>1995.36</v>
      </c>
      <c r="H7881" s="610"/>
    </row>
    <row r="7882" s="451" customFormat="true" ht="30" hidden="false" customHeight="false" outlineLevel="0" collapsed="false">
      <c r="A7882" s="707" t="s">
        <v>5569</v>
      </c>
      <c r="B7882" s="500" t="s">
        <v>3481</v>
      </c>
      <c r="C7882" s="614" t="s">
        <v>5570</v>
      </c>
      <c r="D7882" s="606" t="s">
        <v>4138</v>
      </c>
      <c r="E7882" s="606" t="n">
        <v>0.07</v>
      </c>
      <c r="F7882" s="929" t="n">
        <v>21300</v>
      </c>
      <c r="G7882" s="926" t="n">
        <f aca="false">E7882*F7882</f>
        <v>1491</v>
      </c>
      <c r="H7882" s="610"/>
    </row>
    <row r="7883" s="451" customFormat="true" ht="15" hidden="false" customHeight="false" outlineLevel="0" collapsed="false">
      <c r="A7883" s="798"/>
      <c r="B7883" s="608"/>
      <c r="C7883" s="614" t="s">
        <v>4205</v>
      </c>
      <c r="D7883" s="606" t="s">
        <v>4359</v>
      </c>
      <c r="E7883" s="606" t="n">
        <v>0.02</v>
      </c>
      <c r="F7883" s="927" t="n">
        <v>6300</v>
      </c>
      <c r="G7883" s="926" t="n">
        <f aca="false">E7883*F7883</f>
        <v>126</v>
      </c>
      <c r="H7883" s="610"/>
    </row>
    <row r="7884" s="451" customFormat="true" ht="15" hidden="false" customHeight="false" outlineLevel="0" collapsed="false">
      <c r="A7884" s="707"/>
      <c r="B7884" s="608"/>
      <c r="C7884" s="614" t="s">
        <v>4122</v>
      </c>
      <c r="D7884" s="606" t="s">
        <v>4359</v>
      </c>
      <c r="E7884" s="606" t="n">
        <v>0.01</v>
      </c>
      <c r="F7884" s="361" t="n">
        <v>720</v>
      </c>
      <c r="G7884" s="926" t="n">
        <f aca="false">E7884*F7884</f>
        <v>7.2</v>
      </c>
      <c r="H7884" s="610"/>
    </row>
    <row r="7885" s="451" customFormat="true" ht="15" hidden="false" customHeight="false" outlineLevel="0" collapsed="false">
      <c r="A7885" s="707"/>
      <c r="B7885" s="608"/>
      <c r="C7885" s="614" t="s">
        <v>4317</v>
      </c>
      <c r="D7885" s="606" t="s">
        <v>4359</v>
      </c>
      <c r="E7885" s="606" t="n">
        <v>0.01</v>
      </c>
      <c r="F7885" s="361" t="n">
        <v>12000</v>
      </c>
      <c r="G7885" s="926" t="n">
        <f aca="false">E7885*F7885</f>
        <v>120</v>
      </c>
      <c r="H7885" s="610"/>
    </row>
    <row r="7886" s="451" customFormat="true" ht="15" hidden="false" customHeight="false" outlineLevel="0" collapsed="false">
      <c r="A7886" s="707"/>
      <c r="B7886" s="608" t="s">
        <v>4128</v>
      </c>
      <c r="C7886" s="609"/>
      <c r="D7886" s="610"/>
      <c r="E7886" s="610"/>
      <c r="F7886" s="612"/>
      <c r="G7886" s="613" t="n">
        <f aca="false">SUM(G7882:G7885)</f>
        <v>1744.2</v>
      </c>
      <c r="H7886" s="610"/>
    </row>
    <row r="7887" s="451" customFormat="true" ht="30" hidden="false" customHeight="false" outlineLevel="0" collapsed="false">
      <c r="A7887" s="707" t="s">
        <v>5571</v>
      </c>
      <c r="B7887" s="500" t="s">
        <v>3482</v>
      </c>
      <c r="C7887" s="614" t="s">
        <v>5572</v>
      </c>
      <c r="D7887" s="606" t="s">
        <v>4138</v>
      </c>
      <c r="E7887" s="606" t="n">
        <v>0.4</v>
      </c>
      <c r="F7887" s="361" t="n">
        <v>4500</v>
      </c>
      <c r="G7887" s="926" t="n">
        <f aca="false">E7887*F7887</f>
        <v>1800</v>
      </c>
      <c r="H7887" s="610"/>
    </row>
    <row r="7888" s="451" customFormat="true" ht="15" hidden="false" customHeight="false" outlineLevel="0" collapsed="false">
      <c r="A7888" s="798"/>
      <c r="B7888" s="608"/>
      <c r="C7888" s="614" t="s">
        <v>4205</v>
      </c>
      <c r="D7888" s="606" t="s">
        <v>4359</v>
      </c>
      <c r="E7888" s="606" t="n">
        <v>0.01</v>
      </c>
      <c r="F7888" s="927" t="n">
        <v>6300</v>
      </c>
      <c r="G7888" s="926" t="n">
        <f aca="false">E7888*F7888</f>
        <v>63</v>
      </c>
      <c r="H7888" s="610"/>
    </row>
    <row r="7889" s="451" customFormat="true" ht="15" hidden="false" customHeight="false" outlineLevel="0" collapsed="false">
      <c r="A7889" s="707"/>
      <c r="B7889" s="608"/>
      <c r="C7889" s="614" t="s">
        <v>4122</v>
      </c>
      <c r="D7889" s="606" t="s">
        <v>4359</v>
      </c>
      <c r="E7889" s="606" t="n">
        <v>0.01</v>
      </c>
      <c r="F7889" s="361" t="n">
        <v>720</v>
      </c>
      <c r="G7889" s="926" t="n">
        <f aca="false">E7889*F7889</f>
        <v>7.2</v>
      </c>
      <c r="H7889" s="610"/>
    </row>
    <row r="7890" s="451" customFormat="true" ht="15" hidden="false" customHeight="false" outlineLevel="0" collapsed="false">
      <c r="A7890" s="707"/>
      <c r="B7890" s="608"/>
      <c r="C7890" s="614" t="s">
        <v>4317</v>
      </c>
      <c r="D7890" s="606" t="s">
        <v>4359</v>
      </c>
      <c r="E7890" s="606" t="n">
        <v>0.01</v>
      </c>
      <c r="F7890" s="361" t="n">
        <v>12000</v>
      </c>
      <c r="G7890" s="926" t="n">
        <f aca="false">E7890*F7890</f>
        <v>120</v>
      </c>
      <c r="H7890" s="610"/>
    </row>
    <row r="7891" s="451" customFormat="true" ht="15" hidden="false" customHeight="false" outlineLevel="0" collapsed="false">
      <c r="A7891" s="707"/>
      <c r="B7891" s="608" t="s">
        <v>4128</v>
      </c>
      <c r="C7891" s="609"/>
      <c r="D7891" s="610"/>
      <c r="E7891" s="610"/>
      <c r="F7891" s="612"/>
      <c r="G7891" s="613" t="n">
        <f aca="false">SUM(G7887:G7890)</f>
        <v>1990.2</v>
      </c>
      <c r="H7891" s="610"/>
    </row>
    <row r="7892" s="451" customFormat="true" ht="30" hidden="false" customHeight="false" outlineLevel="0" collapsed="false">
      <c r="A7892" s="707" t="s">
        <v>5573</v>
      </c>
      <c r="B7892" s="500" t="s">
        <v>3483</v>
      </c>
      <c r="C7892" s="614" t="s">
        <v>5574</v>
      </c>
      <c r="D7892" s="606" t="s">
        <v>4138</v>
      </c>
      <c r="E7892" s="606" t="n">
        <v>1</v>
      </c>
      <c r="F7892" s="927" t="n">
        <v>2128</v>
      </c>
      <c r="G7892" s="926" t="n">
        <f aca="false">E7892*F7892</f>
        <v>2128</v>
      </c>
      <c r="H7892" s="610"/>
    </row>
    <row r="7893" s="451" customFormat="true" ht="15" hidden="false" customHeight="false" outlineLevel="0" collapsed="false">
      <c r="A7893" s="798"/>
      <c r="B7893" s="608"/>
      <c r="C7893" s="614" t="s">
        <v>4122</v>
      </c>
      <c r="D7893" s="606" t="s">
        <v>4359</v>
      </c>
      <c r="E7893" s="606" t="n">
        <v>0.01</v>
      </c>
      <c r="F7893" s="361" t="n">
        <v>720</v>
      </c>
      <c r="G7893" s="926" t="n">
        <f aca="false">E7893*F7893</f>
        <v>7.2</v>
      </c>
      <c r="H7893" s="610"/>
    </row>
    <row r="7894" s="451" customFormat="true" ht="15" hidden="false" customHeight="false" outlineLevel="0" collapsed="false">
      <c r="A7894" s="707"/>
      <c r="B7894" s="608" t="s">
        <v>4128</v>
      </c>
      <c r="C7894" s="609"/>
      <c r="D7894" s="610"/>
      <c r="E7894" s="610"/>
      <c r="F7894" s="612"/>
      <c r="G7894" s="613" t="n">
        <f aca="false">SUM(G7892:G7893)</f>
        <v>2135.2</v>
      </c>
      <c r="H7894" s="610"/>
    </row>
    <row r="7895" s="451" customFormat="true" ht="15" hidden="false" customHeight="false" outlineLevel="0" collapsed="false">
      <c r="A7895" s="707" t="s">
        <v>5575</v>
      </c>
      <c r="B7895" s="500" t="s">
        <v>3484</v>
      </c>
      <c r="C7895" s="614" t="s">
        <v>4171</v>
      </c>
      <c r="D7895" s="606" t="s">
        <v>4359</v>
      </c>
      <c r="E7895" s="606" t="n">
        <v>0.1</v>
      </c>
      <c r="F7895" s="361" t="n">
        <v>2500</v>
      </c>
      <c r="G7895" s="926" t="n">
        <f aca="false">E7895*F7895</f>
        <v>250</v>
      </c>
      <c r="H7895" s="610"/>
    </row>
    <row r="7896" s="451" customFormat="true" ht="15" hidden="false" customHeight="false" outlineLevel="0" collapsed="false">
      <c r="A7896" s="798"/>
      <c r="B7896" s="608"/>
      <c r="C7896" s="614" t="s">
        <v>4317</v>
      </c>
      <c r="D7896" s="606" t="s">
        <v>4359</v>
      </c>
      <c r="E7896" s="606" t="n">
        <v>0.1</v>
      </c>
      <c r="F7896" s="361" t="n">
        <v>12000</v>
      </c>
      <c r="G7896" s="926" t="n">
        <f aca="false">E7896*F7896</f>
        <v>1200</v>
      </c>
      <c r="H7896" s="610"/>
    </row>
    <row r="7897" s="451" customFormat="true" ht="15" hidden="false" customHeight="false" outlineLevel="0" collapsed="false">
      <c r="A7897" s="707"/>
      <c r="B7897" s="608" t="s">
        <v>4128</v>
      </c>
      <c r="C7897" s="609"/>
      <c r="D7897" s="610"/>
      <c r="E7897" s="610"/>
      <c r="F7897" s="612"/>
      <c r="G7897" s="613" t="n">
        <f aca="false">SUM(G7895:G7896)</f>
        <v>1450</v>
      </c>
      <c r="H7897" s="610"/>
    </row>
    <row r="7898" s="451" customFormat="true" ht="30" hidden="false" customHeight="false" outlineLevel="0" collapsed="false">
      <c r="A7898" s="707" t="s">
        <v>5576</v>
      </c>
      <c r="B7898" s="500" t="s">
        <v>3485</v>
      </c>
      <c r="C7898" s="614" t="s">
        <v>5577</v>
      </c>
      <c r="D7898" s="606" t="s">
        <v>4138</v>
      </c>
      <c r="E7898" s="606" t="n">
        <v>0.1</v>
      </c>
      <c r="F7898" s="927" t="n">
        <v>15680</v>
      </c>
      <c r="G7898" s="926" t="n">
        <f aca="false">E7898*F7898</f>
        <v>1568</v>
      </c>
      <c r="H7898" s="610"/>
    </row>
    <row r="7899" s="451" customFormat="true" ht="15" hidden="false" customHeight="false" outlineLevel="0" collapsed="false">
      <c r="A7899" s="798"/>
      <c r="B7899" s="608"/>
      <c r="C7899" s="614" t="s">
        <v>4205</v>
      </c>
      <c r="D7899" s="606" t="s">
        <v>4359</v>
      </c>
      <c r="E7899" s="606" t="n">
        <v>0.01</v>
      </c>
      <c r="F7899" s="927" t="n">
        <v>6300</v>
      </c>
      <c r="G7899" s="926" t="n">
        <f aca="false">E7899*F7899</f>
        <v>63</v>
      </c>
      <c r="H7899" s="610"/>
    </row>
    <row r="7900" s="451" customFormat="true" ht="15" hidden="false" customHeight="false" outlineLevel="0" collapsed="false">
      <c r="A7900" s="707"/>
      <c r="B7900" s="608"/>
      <c r="C7900" s="614" t="s">
        <v>4122</v>
      </c>
      <c r="D7900" s="606" t="s">
        <v>4359</v>
      </c>
      <c r="E7900" s="606" t="n">
        <v>0.01</v>
      </c>
      <c r="F7900" s="361" t="n">
        <v>720</v>
      </c>
      <c r="G7900" s="926" t="n">
        <f aca="false">E7900*F7900</f>
        <v>7.2</v>
      </c>
      <c r="H7900" s="610"/>
    </row>
    <row r="7901" s="451" customFormat="true" ht="15" hidden="false" customHeight="false" outlineLevel="0" collapsed="false">
      <c r="A7901" s="707"/>
      <c r="B7901" s="608"/>
      <c r="C7901" s="614" t="s">
        <v>4317</v>
      </c>
      <c r="D7901" s="606" t="s">
        <v>4359</v>
      </c>
      <c r="E7901" s="606" t="n">
        <v>0.01</v>
      </c>
      <c r="F7901" s="361" t="n">
        <v>12000</v>
      </c>
      <c r="G7901" s="926" t="n">
        <f aca="false">E7901*F7901</f>
        <v>120</v>
      </c>
      <c r="H7901" s="610"/>
    </row>
    <row r="7902" s="451" customFormat="true" ht="15" hidden="false" customHeight="false" outlineLevel="0" collapsed="false">
      <c r="A7902" s="707"/>
      <c r="B7902" s="608" t="s">
        <v>4128</v>
      </c>
      <c r="C7902" s="609"/>
      <c r="D7902" s="610"/>
      <c r="E7902" s="610"/>
      <c r="F7902" s="612"/>
      <c r="G7902" s="613" t="n">
        <f aca="false">SUM(G7898:G7901)</f>
        <v>1758.2</v>
      </c>
      <c r="H7902" s="610"/>
    </row>
    <row r="7903" s="451" customFormat="true" ht="15" hidden="false" customHeight="false" outlineLevel="0" collapsed="false">
      <c r="A7903" s="707" t="s">
        <v>5578</v>
      </c>
      <c r="B7903" s="500" t="s">
        <v>3486</v>
      </c>
      <c r="C7903" s="609"/>
      <c r="D7903" s="610"/>
      <c r="E7903" s="610"/>
      <c r="F7903" s="612"/>
      <c r="G7903" s="613"/>
      <c r="H7903" s="610"/>
    </row>
    <row r="7904" s="451" customFormat="true" ht="15" hidden="false" customHeight="false" outlineLevel="0" collapsed="false">
      <c r="A7904" s="798" t="s">
        <v>5579</v>
      </c>
      <c r="B7904" s="500" t="s">
        <v>3487</v>
      </c>
      <c r="C7904" s="609"/>
      <c r="D7904" s="610"/>
      <c r="E7904" s="610"/>
      <c r="F7904" s="612"/>
      <c r="G7904" s="613"/>
      <c r="H7904" s="610"/>
    </row>
    <row r="7905" s="451" customFormat="true" ht="15" hidden="false" customHeight="false" outlineLevel="0" collapsed="false">
      <c r="A7905" s="707" t="s">
        <v>5580</v>
      </c>
      <c r="B7905" s="500" t="s">
        <v>3488</v>
      </c>
      <c r="C7905" s="614" t="s">
        <v>5522</v>
      </c>
      <c r="D7905" s="606" t="s">
        <v>5523</v>
      </c>
      <c r="E7905" s="606" t="n">
        <v>1</v>
      </c>
      <c r="F7905" s="361" t="n">
        <v>2700</v>
      </c>
      <c r="G7905" s="926" t="n">
        <f aca="false">E7905*F7905</f>
        <v>2700</v>
      </c>
      <c r="H7905" s="610"/>
    </row>
    <row r="7906" s="451" customFormat="true" ht="15" hidden="false" customHeight="false" outlineLevel="0" collapsed="false">
      <c r="A7906" s="707"/>
      <c r="B7906" s="500"/>
      <c r="C7906" s="614" t="s">
        <v>4645</v>
      </c>
      <c r="D7906" s="606" t="s">
        <v>4133</v>
      </c>
      <c r="E7906" s="606" t="n">
        <v>0.004</v>
      </c>
      <c r="F7906" s="361" t="n">
        <v>33320</v>
      </c>
      <c r="G7906" s="926" t="n">
        <f aca="false">E7906*F7906</f>
        <v>133.28</v>
      </c>
      <c r="H7906" s="610"/>
    </row>
    <row r="7907" s="451" customFormat="true" ht="15" hidden="false" customHeight="false" outlineLevel="0" collapsed="false">
      <c r="A7907" s="707"/>
      <c r="B7907" s="608"/>
      <c r="C7907" s="614" t="s">
        <v>5524</v>
      </c>
      <c r="D7907" s="606" t="s">
        <v>4133</v>
      </c>
      <c r="E7907" s="606" t="n">
        <v>0.001</v>
      </c>
      <c r="F7907" s="361" t="n">
        <v>3279.36</v>
      </c>
      <c r="G7907" s="926" t="n">
        <f aca="false">E7907*F7907</f>
        <v>3.27936</v>
      </c>
      <c r="H7907" s="610"/>
    </row>
    <row r="7908" s="451" customFormat="true" ht="15" hidden="false" customHeight="false" outlineLevel="0" collapsed="false">
      <c r="A7908" s="707"/>
      <c r="B7908" s="608"/>
      <c r="C7908" s="614" t="s">
        <v>5525</v>
      </c>
      <c r="D7908" s="606" t="s">
        <v>4359</v>
      </c>
      <c r="E7908" s="606" t="n">
        <v>1</v>
      </c>
      <c r="F7908" s="361" t="n">
        <v>925</v>
      </c>
      <c r="G7908" s="926" t="n">
        <f aca="false">E7908*F7908</f>
        <v>925</v>
      </c>
      <c r="H7908" s="610"/>
    </row>
    <row r="7909" s="451" customFormat="true" ht="15" hidden="false" customHeight="false" outlineLevel="0" collapsed="false">
      <c r="A7909" s="707"/>
      <c r="B7909" s="608" t="s">
        <v>4128</v>
      </c>
      <c r="C7909" s="609"/>
      <c r="D7909" s="610"/>
      <c r="E7909" s="610"/>
      <c r="F7909" s="612"/>
      <c r="G7909" s="925" t="n">
        <f aca="false">SUM(G7905:G7908)</f>
        <v>3761.55936</v>
      </c>
      <c r="H7909" s="610"/>
    </row>
    <row r="7910" s="451" customFormat="true" ht="19.5" hidden="false" customHeight="true" outlineLevel="0" collapsed="false">
      <c r="A7910" s="707" t="s">
        <v>5581</v>
      </c>
      <c r="B7910" s="433" t="s">
        <v>3489</v>
      </c>
      <c r="C7910" s="614" t="s">
        <v>5582</v>
      </c>
      <c r="D7910" s="606" t="s">
        <v>4348</v>
      </c>
      <c r="E7910" s="606" t="n">
        <v>2</v>
      </c>
      <c r="F7910" s="361" t="n">
        <v>4624</v>
      </c>
      <c r="G7910" s="926" t="n">
        <f aca="false">E7910*F7910</f>
        <v>9248</v>
      </c>
      <c r="H7910" s="610"/>
    </row>
    <row r="7911" s="451" customFormat="true" ht="15" hidden="false" customHeight="false" outlineLevel="0" collapsed="false">
      <c r="A7911" s="707"/>
      <c r="B7911" s="888"/>
      <c r="C7911" s="614" t="s">
        <v>4515</v>
      </c>
      <c r="D7911" s="606" t="s">
        <v>4133</v>
      </c>
      <c r="E7911" s="606" t="n">
        <v>0.018</v>
      </c>
      <c r="F7911" s="361" t="n">
        <v>3500</v>
      </c>
      <c r="G7911" s="926" t="n">
        <f aca="false">E7911*F7911</f>
        <v>63</v>
      </c>
      <c r="H7911" s="610"/>
    </row>
    <row r="7912" s="451" customFormat="true" ht="15" hidden="false" customHeight="false" outlineLevel="0" collapsed="false">
      <c r="A7912" s="707"/>
      <c r="B7912" s="888"/>
      <c r="C7912" s="614" t="s">
        <v>4124</v>
      </c>
      <c r="D7912" s="606" t="s">
        <v>4125</v>
      </c>
      <c r="E7912" s="606" t="n">
        <v>0.027</v>
      </c>
      <c r="F7912" s="361" t="n">
        <v>60</v>
      </c>
      <c r="G7912" s="926" t="n">
        <f aca="false">E7912*F7912</f>
        <v>1.62</v>
      </c>
      <c r="H7912" s="610"/>
    </row>
    <row r="7913" s="451" customFormat="true" ht="15" hidden="false" customHeight="false" outlineLevel="0" collapsed="false">
      <c r="A7913" s="707"/>
      <c r="B7913" s="888"/>
      <c r="C7913" s="614" t="s">
        <v>4122</v>
      </c>
      <c r="D7913" s="606" t="s">
        <v>4359</v>
      </c>
      <c r="E7913" s="606" t="n">
        <v>0.03</v>
      </c>
      <c r="F7913" s="361" t="n">
        <v>720</v>
      </c>
      <c r="G7913" s="926" t="n">
        <f aca="false">E7913*F7913</f>
        <v>21.6</v>
      </c>
      <c r="H7913" s="610"/>
    </row>
    <row r="7914" customFormat="false" ht="15" hidden="false" customHeight="false" outlineLevel="0" collapsed="false">
      <c r="A7914" s="571"/>
      <c r="B7914" s="888" t="s">
        <v>4128</v>
      </c>
      <c r="C7914" s="609"/>
      <c r="D7914" s="610"/>
      <c r="E7914" s="610"/>
      <c r="F7914" s="612"/>
      <c r="G7914" s="613" t="n">
        <f aca="false">SUM(G7910:G7913)</f>
        <v>9334.22</v>
      </c>
      <c r="H7914" s="610"/>
    </row>
    <row r="7915" customFormat="false" ht="15" hidden="false" customHeight="false" outlineLevel="0" collapsed="false">
      <c r="A7915" s="571" t="s">
        <v>5583</v>
      </c>
      <c r="B7915" s="433" t="s">
        <v>3490</v>
      </c>
      <c r="C7915" s="614" t="s">
        <v>5584</v>
      </c>
      <c r="D7915" s="606" t="s">
        <v>4348</v>
      </c>
      <c r="E7915" s="606" t="n">
        <v>6</v>
      </c>
      <c r="F7915" s="361" t="n">
        <v>1000</v>
      </c>
      <c r="G7915" s="926" t="n">
        <f aca="false">E7915*F7915</f>
        <v>6000</v>
      </c>
      <c r="H7915" s="610"/>
    </row>
    <row r="7916" customFormat="false" ht="15" hidden="false" customHeight="false" outlineLevel="0" collapsed="false">
      <c r="A7916" s="571"/>
      <c r="B7916" s="888"/>
      <c r="C7916" s="614" t="s">
        <v>4515</v>
      </c>
      <c r="D7916" s="606" t="s">
        <v>4133</v>
      </c>
      <c r="E7916" s="606" t="n">
        <v>0.018</v>
      </c>
      <c r="F7916" s="361" t="n">
        <v>3500</v>
      </c>
      <c r="G7916" s="926" t="n">
        <f aca="false">E7916*F7916</f>
        <v>63</v>
      </c>
      <c r="H7916" s="610"/>
    </row>
    <row r="7917" customFormat="false" ht="15" hidden="false" customHeight="false" outlineLevel="0" collapsed="false">
      <c r="A7917" s="571"/>
      <c r="B7917" s="888"/>
      <c r="C7917" s="614" t="s">
        <v>4124</v>
      </c>
      <c r="D7917" s="606" t="s">
        <v>4125</v>
      </c>
      <c r="E7917" s="606" t="n">
        <v>0.027</v>
      </c>
      <c r="F7917" s="361" t="n">
        <v>60</v>
      </c>
      <c r="G7917" s="926" t="n">
        <f aca="false">E7917*F7917</f>
        <v>1.62</v>
      </c>
      <c r="H7917" s="610"/>
    </row>
    <row r="7918" customFormat="false" ht="15" hidden="false" customHeight="false" outlineLevel="0" collapsed="false">
      <c r="A7918" s="571"/>
      <c r="B7918" s="888"/>
      <c r="C7918" s="614" t="s">
        <v>4122</v>
      </c>
      <c r="D7918" s="606" t="s">
        <v>4359</v>
      </c>
      <c r="E7918" s="606" t="n">
        <v>0.03</v>
      </c>
      <c r="F7918" s="361" t="n">
        <v>720</v>
      </c>
      <c r="G7918" s="926" t="n">
        <f aca="false">E7918*F7918</f>
        <v>21.6</v>
      </c>
      <c r="H7918" s="610"/>
    </row>
    <row r="7919" customFormat="false" ht="15" hidden="false" customHeight="false" outlineLevel="0" collapsed="false">
      <c r="A7919" s="571"/>
      <c r="B7919" s="888" t="s">
        <v>4128</v>
      </c>
      <c r="C7919" s="609"/>
      <c r="D7919" s="610"/>
      <c r="E7919" s="610"/>
      <c r="F7919" s="612"/>
      <c r="G7919" s="613" t="n">
        <f aca="false">SUM(G7915:G7918)</f>
        <v>6086.22</v>
      </c>
      <c r="H7919" s="610"/>
    </row>
    <row r="7920" customFormat="false" ht="30" hidden="false" customHeight="false" outlineLevel="0" collapsed="false">
      <c r="A7920" s="571" t="s">
        <v>5585</v>
      </c>
      <c r="B7920" s="500" t="s">
        <v>3491</v>
      </c>
      <c r="C7920" s="609"/>
      <c r="D7920" s="610"/>
      <c r="E7920" s="610"/>
      <c r="F7920" s="612"/>
      <c r="G7920" s="613"/>
      <c r="H7920" s="610"/>
    </row>
    <row r="7921" customFormat="false" ht="57" hidden="false" customHeight="false" outlineLevel="0" collapsed="false">
      <c r="A7921" s="599" t="s">
        <v>5586</v>
      </c>
      <c r="B7921" s="509" t="s">
        <v>3492</v>
      </c>
      <c r="C7921" s="510"/>
      <c r="D7921" s="350"/>
      <c r="E7921" s="350"/>
      <c r="F7921" s="519"/>
      <c r="G7921" s="753"/>
      <c r="H7921" s="510"/>
    </row>
    <row r="7922" customFormat="false" ht="30" hidden="false" customHeight="false" outlineLevel="0" collapsed="false">
      <c r="A7922" s="578" t="s">
        <v>5587</v>
      </c>
      <c r="B7922" s="433" t="s">
        <v>5588</v>
      </c>
      <c r="C7922" s="709" t="s">
        <v>5396</v>
      </c>
      <c r="D7922" s="737" t="s">
        <v>4138</v>
      </c>
      <c r="E7922" s="737" t="n">
        <v>0.1</v>
      </c>
      <c r="F7922" s="729" t="n">
        <v>4500</v>
      </c>
      <c r="G7922" s="922" t="n">
        <f aca="false">E7922*F7922</f>
        <v>450</v>
      </c>
      <c r="H7922" s="606"/>
    </row>
    <row r="7923" customFormat="false" ht="15" hidden="false" customHeight="false" outlineLevel="0" collapsed="false">
      <c r="A7923" s="571"/>
      <c r="B7923" s="433"/>
      <c r="C7923" s="709" t="s">
        <v>5397</v>
      </c>
      <c r="D7923" s="737" t="s">
        <v>4138</v>
      </c>
      <c r="E7923" s="737" t="n">
        <v>0.1</v>
      </c>
      <c r="F7923" s="923" t="n">
        <v>6500</v>
      </c>
      <c r="G7923" s="922" t="n">
        <f aca="false">E7923*F7923</f>
        <v>650</v>
      </c>
      <c r="H7923" s="606"/>
    </row>
    <row r="7924" customFormat="false" ht="15" hidden="false" customHeight="false" outlineLevel="0" collapsed="false">
      <c r="A7924" s="571"/>
      <c r="B7924" s="888" t="s">
        <v>4128</v>
      </c>
      <c r="C7924" s="718"/>
      <c r="D7924" s="930"/>
      <c r="E7924" s="930"/>
      <c r="F7924" s="931"/>
      <c r="G7924" s="924" t="n">
        <f aca="false">SUM(G7922:G7923)</f>
        <v>1100</v>
      </c>
      <c r="H7924" s="606"/>
    </row>
    <row r="7925" customFormat="false" ht="15" hidden="false" customHeight="false" outlineLevel="0" collapsed="false">
      <c r="A7925" s="571" t="s">
        <v>5589</v>
      </c>
      <c r="B7925" s="433" t="s">
        <v>3494</v>
      </c>
      <c r="C7925" s="709" t="s">
        <v>4171</v>
      </c>
      <c r="D7925" s="679" t="s">
        <v>4359</v>
      </c>
      <c r="E7925" s="679" t="n">
        <v>0.1</v>
      </c>
      <c r="F7925" s="369" t="n">
        <v>2500</v>
      </c>
      <c r="G7925" s="922" t="n">
        <f aca="false">E7925*F7925</f>
        <v>250</v>
      </c>
      <c r="H7925" s="606"/>
    </row>
    <row r="7926" customFormat="false" ht="15" hidden="false" customHeight="false" outlineLevel="0" collapsed="false">
      <c r="A7926" s="571" t="s">
        <v>5590</v>
      </c>
      <c r="B7926" s="433" t="s">
        <v>3495</v>
      </c>
      <c r="C7926" s="709" t="s">
        <v>5400</v>
      </c>
      <c r="D7926" s="679" t="s">
        <v>4133</v>
      </c>
      <c r="E7926" s="679" t="n">
        <v>0.03</v>
      </c>
      <c r="F7926" s="369" t="n">
        <v>20110</v>
      </c>
      <c r="G7926" s="922" t="n">
        <f aca="false">E7926*F7926</f>
        <v>603.3</v>
      </c>
      <c r="H7926" s="606"/>
    </row>
    <row r="7927" customFormat="false" ht="15" hidden="false" customHeight="false" outlineLevel="0" collapsed="false">
      <c r="A7927" s="571"/>
      <c r="B7927" s="500"/>
      <c r="C7927" s="709" t="s">
        <v>5015</v>
      </c>
      <c r="D7927" s="679" t="s">
        <v>4133</v>
      </c>
      <c r="E7927" s="679" t="n">
        <v>0.032</v>
      </c>
      <c r="F7927" s="369" t="n">
        <v>1600</v>
      </c>
      <c r="G7927" s="922" t="n">
        <f aca="false">E7927*F7927</f>
        <v>51.2</v>
      </c>
      <c r="H7927" s="606"/>
    </row>
    <row r="7928" customFormat="false" ht="15" hidden="false" customHeight="false" outlineLevel="0" collapsed="false">
      <c r="A7928" s="571"/>
      <c r="B7928" s="500"/>
      <c r="C7928" s="709" t="s">
        <v>5591</v>
      </c>
      <c r="D7928" s="679" t="s">
        <v>4133</v>
      </c>
      <c r="E7928" s="679" t="n">
        <v>0.02</v>
      </c>
      <c r="F7928" s="369" t="n">
        <v>4500</v>
      </c>
      <c r="G7928" s="922" t="n">
        <f aca="false">E7928*F7928</f>
        <v>90</v>
      </c>
      <c r="H7928" s="606"/>
    </row>
    <row r="7929" customFormat="false" ht="15" hidden="false" customHeight="false" outlineLevel="0" collapsed="false">
      <c r="A7929" s="571"/>
      <c r="B7929" s="500"/>
      <c r="C7929" s="709" t="s">
        <v>4171</v>
      </c>
      <c r="D7929" s="679" t="s">
        <v>4359</v>
      </c>
      <c r="E7929" s="679" t="n">
        <v>0.05</v>
      </c>
      <c r="F7929" s="369" t="n">
        <v>2500</v>
      </c>
      <c r="G7929" s="922" t="n">
        <f aca="false">E7929*F7929</f>
        <v>125</v>
      </c>
      <c r="H7929" s="606"/>
    </row>
    <row r="7930" customFormat="false" ht="15" hidden="false" customHeight="false" outlineLevel="0" collapsed="false">
      <c r="A7930" s="571"/>
      <c r="B7930" s="608" t="s">
        <v>4128</v>
      </c>
      <c r="C7930" s="718"/>
      <c r="D7930" s="719"/>
      <c r="E7930" s="719"/>
      <c r="F7930" s="366"/>
      <c r="G7930" s="711" t="n">
        <f aca="false">SUM(G7926:G7929)</f>
        <v>869.5</v>
      </c>
      <c r="H7930" s="610"/>
    </row>
    <row r="7931" customFormat="false" ht="15" hidden="false" customHeight="false" outlineLevel="0" collapsed="false">
      <c r="A7931" s="571" t="s">
        <v>1477</v>
      </c>
      <c r="B7931" s="433" t="s">
        <v>3496</v>
      </c>
      <c r="C7931" s="709" t="s">
        <v>4171</v>
      </c>
      <c r="D7931" s="679" t="s">
        <v>4359</v>
      </c>
      <c r="E7931" s="679" t="n">
        <v>0.05</v>
      </c>
      <c r="F7931" s="369" t="n">
        <v>2500</v>
      </c>
      <c r="G7931" s="924" t="n">
        <f aca="false">E7931*F7931</f>
        <v>125</v>
      </c>
      <c r="H7931" s="606"/>
    </row>
    <row r="7932" customFormat="false" ht="15" hidden="false" customHeight="false" outlineLevel="0" collapsed="false">
      <c r="A7932" s="571" t="s">
        <v>5592</v>
      </c>
      <c r="B7932" s="433" t="s">
        <v>3497</v>
      </c>
      <c r="C7932" s="709" t="s">
        <v>5405</v>
      </c>
      <c r="D7932" s="679" t="s">
        <v>5452</v>
      </c>
      <c r="E7932" s="679" t="n">
        <v>0.1</v>
      </c>
      <c r="F7932" s="369" t="n">
        <v>4900</v>
      </c>
      <c r="G7932" s="922" t="n">
        <f aca="false">E7932*F7932</f>
        <v>490</v>
      </c>
      <c r="H7932" s="606"/>
    </row>
    <row r="7933" customFormat="false" ht="15" hidden="false" customHeight="false" outlineLevel="0" collapsed="false">
      <c r="A7933" s="571"/>
      <c r="B7933" s="500"/>
      <c r="C7933" s="709" t="s">
        <v>4933</v>
      </c>
      <c r="D7933" s="679" t="s">
        <v>5452</v>
      </c>
      <c r="E7933" s="679" t="n">
        <v>0.1</v>
      </c>
      <c r="F7933" s="369" t="n">
        <v>4200</v>
      </c>
      <c r="G7933" s="922" t="n">
        <f aca="false">E7933*F7933</f>
        <v>420</v>
      </c>
      <c r="H7933" s="606"/>
    </row>
    <row r="7934" customFormat="false" ht="15" hidden="false" customHeight="false" outlineLevel="0" collapsed="false">
      <c r="A7934" s="571"/>
      <c r="B7934" s="500"/>
      <c r="C7934" s="709" t="s">
        <v>4147</v>
      </c>
      <c r="D7934" s="679" t="s">
        <v>4133</v>
      </c>
      <c r="E7934" s="679" t="n">
        <v>0.07</v>
      </c>
      <c r="F7934" s="369" t="n">
        <v>3500</v>
      </c>
      <c r="G7934" s="922" t="n">
        <f aca="false">E7934*F7934</f>
        <v>245</v>
      </c>
      <c r="H7934" s="606"/>
    </row>
    <row r="7935" customFormat="false" ht="15" hidden="false" customHeight="false" outlineLevel="0" collapsed="false">
      <c r="A7935" s="571"/>
      <c r="B7935" s="608" t="s">
        <v>4128</v>
      </c>
      <c r="C7935" s="609"/>
      <c r="D7935" s="610"/>
      <c r="E7935" s="610"/>
      <c r="F7935" s="612"/>
      <c r="G7935" s="613" t="n">
        <f aca="false">SUM(G7932:G7934)</f>
        <v>1155</v>
      </c>
      <c r="H7935" s="610"/>
    </row>
    <row r="7936" customFormat="false" ht="15" hidden="false" customHeight="false" outlineLevel="0" collapsed="false">
      <c r="A7936" s="571" t="s">
        <v>5593</v>
      </c>
      <c r="B7936" s="433" t="s">
        <v>3498</v>
      </c>
      <c r="C7936" s="614" t="s">
        <v>5408</v>
      </c>
      <c r="D7936" s="606" t="s">
        <v>4138</v>
      </c>
      <c r="E7936" s="606" t="n">
        <v>1</v>
      </c>
      <c r="F7936" s="927" t="n">
        <v>1500</v>
      </c>
      <c r="G7936" s="926" t="n">
        <f aca="false">E7936*F7936</f>
        <v>1500</v>
      </c>
      <c r="H7936" s="606"/>
    </row>
    <row r="7937" customFormat="false" ht="15" hidden="false" customHeight="false" outlineLevel="0" collapsed="false">
      <c r="A7937" s="571"/>
      <c r="B7937" s="500"/>
      <c r="C7937" s="614" t="s">
        <v>4171</v>
      </c>
      <c r="D7937" s="606" t="s">
        <v>4359</v>
      </c>
      <c r="E7937" s="606" t="n">
        <v>0.08</v>
      </c>
      <c r="F7937" s="361" t="n">
        <v>2500</v>
      </c>
      <c r="G7937" s="926" t="n">
        <f aca="false">E7937*F7937</f>
        <v>200</v>
      </c>
      <c r="H7937" s="606"/>
    </row>
    <row r="7938" customFormat="false" ht="15" hidden="false" customHeight="false" outlineLevel="0" collapsed="false">
      <c r="A7938" s="571"/>
      <c r="B7938" s="500"/>
      <c r="C7938" s="614" t="s">
        <v>4536</v>
      </c>
      <c r="D7938" s="606" t="s">
        <v>4359</v>
      </c>
      <c r="E7938" s="606" t="n">
        <v>0.05</v>
      </c>
      <c r="F7938" s="361" t="n">
        <v>999</v>
      </c>
      <c r="G7938" s="926" t="n">
        <f aca="false">E7938*F7938</f>
        <v>49.95</v>
      </c>
      <c r="H7938" s="606"/>
    </row>
    <row r="7939" customFormat="false" ht="15" hidden="false" customHeight="false" outlineLevel="0" collapsed="false">
      <c r="A7939" s="571"/>
      <c r="B7939" s="608" t="s">
        <v>4128</v>
      </c>
      <c r="C7939" s="609"/>
      <c r="D7939" s="610"/>
      <c r="E7939" s="610"/>
      <c r="F7939" s="612"/>
      <c r="G7939" s="613" t="n">
        <f aca="false">SUM(G7936:G7938)</f>
        <v>1749.95</v>
      </c>
      <c r="H7939" s="610"/>
    </row>
    <row r="7940" customFormat="false" ht="15" hidden="false" customHeight="false" outlineLevel="0" collapsed="false">
      <c r="A7940" s="571" t="s">
        <v>5594</v>
      </c>
      <c r="B7940" s="433" t="s">
        <v>3499</v>
      </c>
      <c r="C7940" s="614" t="s">
        <v>4652</v>
      </c>
      <c r="D7940" s="606" t="s">
        <v>4133</v>
      </c>
      <c r="E7940" s="606" t="n">
        <v>0.001</v>
      </c>
      <c r="F7940" s="361" t="n">
        <v>5358</v>
      </c>
      <c r="G7940" s="926" t="n">
        <f aca="false">E7940*F7940</f>
        <v>5.358</v>
      </c>
      <c r="H7940" s="606"/>
    </row>
    <row r="7941" customFormat="false" ht="15" hidden="false" customHeight="false" outlineLevel="0" collapsed="false">
      <c r="B7941" s="500"/>
      <c r="C7941" s="614" t="s">
        <v>5059</v>
      </c>
      <c r="D7941" s="606" t="s">
        <v>4359</v>
      </c>
      <c r="E7941" s="606" t="n">
        <v>0.005</v>
      </c>
      <c r="F7941" s="361" t="n">
        <v>999</v>
      </c>
      <c r="G7941" s="926" t="n">
        <f aca="false">E7941*F7941</f>
        <v>4.995</v>
      </c>
      <c r="H7941" s="606"/>
    </row>
    <row r="7942" customFormat="false" ht="30" hidden="false" customHeight="false" outlineLevel="0" collapsed="false">
      <c r="A7942" s="571"/>
      <c r="B7942" s="500"/>
      <c r="C7942" s="614" t="s">
        <v>5412</v>
      </c>
      <c r="D7942" s="606" t="s">
        <v>4133</v>
      </c>
      <c r="E7942" s="606" t="n">
        <v>0.005</v>
      </c>
      <c r="F7942" s="361" t="n">
        <v>33320</v>
      </c>
      <c r="G7942" s="926" t="n">
        <f aca="false">E7942*F7942</f>
        <v>166.6</v>
      </c>
      <c r="H7942" s="606"/>
    </row>
    <row r="7943" customFormat="false" ht="15" hidden="false" customHeight="false" outlineLevel="0" collapsed="false">
      <c r="A7943" s="571"/>
      <c r="B7943" s="500"/>
      <c r="C7943" s="614" t="s">
        <v>4236</v>
      </c>
      <c r="D7943" s="606" t="s">
        <v>4133</v>
      </c>
      <c r="E7943" s="606" t="n">
        <v>0.125</v>
      </c>
      <c r="F7943" s="361" t="n">
        <v>1617</v>
      </c>
      <c r="G7943" s="926" t="n">
        <f aca="false">E7943*F7943</f>
        <v>202.125</v>
      </c>
      <c r="H7943" s="606"/>
    </row>
    <row r="7944" customFormat="false" ht="15" hidden="false" customHeight="false" outlineLevel="0" collapsed="false">
      <c r="A7944" s="571"/>
      <c r="B7944" s="500"/>
      <c r="C7944" s="614" t="s">
        <v>5595</v>
      </c>
      <c r="D7944" s="606" t="s">
        <v>4138</v>
      </c>
      <c r="E7944" s="606" t="n">
        <v>1</v>
      </c>
      <c r="F7944" s="927" t="n">
        <v>1500</v>
      </c>
      <c r="G7944" s="926" t="n">
        <f aca="false">E7944*F7944</f>
        <v>1500</v>
      </c>
      <c r="H7944" s="606"/>
    </row>
    <row r="7945" customFormat="false" ht="15" hidden="false" customHeight="false" outlineLevel="0" collapsed="false">
      <c r="A7945" s="571"/>
      <c r="B7945" s="500"/>
      <c r="C7945" s="614" t="s">
        <v>4154</v>
      </c>
      <c r="D7945" s="606" t="s">
        <v>4133</v>
      </c>
      <c r="E7945" s="606" t="n">
        <v>0.001</v>
      </c>
      <c r="F7945" s="927" t="n">
        <v>5500</v>
      </c>
      <c r="G7945" s="926" t="n">
        <f aca="false">E7945*F7945</f>
        <v>5.5</v>
      </c>
      <c r="H7945" s="606"/>
    </row>
    <row r="7946" customFormat="false" ht="15" hidden="false" customHeight="false" outlineLevel="0" collapsed="false">
      <c r="A7946" s="571"/>
      <c r="B7946" s="608" t="s">
        <v>4128</v>
      </c>
      <c r="C7946" s="609"/>
      <c r="D7946" s="610"/>
      <c r="E7946" s="610"/>
      <c r="F7946" s="612"/>
      <c r="G7946" s="613" t="n">
        <f aca="false">SUM(G7940:G7945)</f>
        <v>1884.578</v>
      </c>
      <c r="H7946" s="610"/>
    </row>
    <row r="7947" customFormat="false" ht="15" hidden="false" customHeight="false" outlineLevel="0" collapsed="false">
      <c r="A7947" s="571" t="s">
        <v>5596</v>
      </c>
      <c r="B7947" s="433" t="s">
        <v>3500</v>
      </c>
      <c r="C7947" s="614" t="s">
        <v>5415</v>
      </c>
      <c r="D7947" s="606" t="s">
        <v>4138</v>
      </c>
      <c r="E7947" s="606" t="n">
        <v>1</v>
      </c>
      <c r="F7947" s="927" t="n">
        <v>1500</v>
      </c>
      <c r="G7947" s="926" t="n">
        <f aca="false">E7947*F7947</f>
        <v>1500</v>
      </c>
      <c r="H7947" s="606"/>
    </row>
    <row r="7948" customFormat="false" ht="15" hidden="false" customHeight="false" outlineLevel="0" collapsed="false">
      <c r="B7948" s="500"/>
      <c r="C7948" s="614" t="s">
        <v>4154</v>
      </c>
      <c r="D7948" s="606" t="s">
        <v>4133</v>
      </c>
      <c r="E7948" s="606" t="n">
        <v>0.0015</v>
      </c>
      <c r="F7948" s="927" t="n">
        <v>5500</v>
      </c>
      <c r="G7948" s="926" t="n">
        <f aca="false">E7948*F7948</f>
        <v>8.25</v>
      </c>
      <c r="H7948" s="606"/>
    </row>
    <row r="7949" customFormat="false" ht="15" hidden="false" customHeight="false" outlineLevel="0" collapsed="false">
      <c r="A7949" s="571"/>
      <c r="B7949" s="500"/>
      <c r="C7949" s="614" t="s">
        <v>4270</v>
      </c>
      <c r="D7949" s="606" t="s">
        <v>4359</v>
      </c>
      <c r="E7949" s="606" t="n">
        <v>0.0005</v>
      </c>
      <c r="F7949" s="361" t="n">
        <v>1540</v>
      </c>
      <c r="G7949" s="926" t="n">
        <f aca="false">E7949*F7949</f>
        <v>0.77</v>
      </c>
      <c r="H7949" s="606"/>
    </row>
    <row r="7950" customFormat="false" ht="15" hidden="false" customHeight="false" outlineLevel="0" collapsed="false">
      <c r="A7950" s="571"/>
      <c r="B7950" s="500"/>
      <c r="C7950" s="614" t="s">
        <v>4171</v>
      </c>
      <c r="D7950" s="606" t="s">
        <v>4359</v>
      </c>
      <c r="E7950" s="606" t="n">
        <v>0.01</v>
      </c>
      <c r="F7950" s="361" t="n">
        <v>2500</v>
      </c>
      <c r="G7950" s="926" t="n">
        <f aca="false">E7950*F7950</f>
        <v>25</v>
      </c>
      <c r="H7950" s="606"/>
    </row>
    <row r="7951" customFormat="false" ht="15" hidden="false" customHeight="false" outlineLevel="0" collapsed="false">
      <c r="A7951" s="571"/>
      <c r="B7951" s="500"/>
      <c r="C7951" s="614" t="s">
        <v>5416</v>
      </c>
      <c r="D7951" s="606" t="s">
        <v>4133</v>
      </c>
      <c r="E7951" s="606" t="n">
        <v>0.003</v>
      </c>
      <c r="F7951" s="927" t="n">
        <v>5000</v>
      </c>
      <c r="G7951" s="926" t="n">
        <f aca="false">E7951*F7951</f>
        <v>15</v>
      </c>
      <c r="H7951" s="606"/>
    </row>
    <row r="7952" customFormat="false" ht="15" hidden="false" customHeight="false" outlineLevel="0" collapsed="false">
      <c r="A7952" s="571"/>
      <c r="B7952" s="608" t="s">
        <v>4128</v>
      </c>
      <c r="C7952" s="609"/>
      <c r="D7952" s="610"/>
      <c r="E7952" s="610"/>
      <c r="F7952" s="612"/>
      <c r="G7952" s="613" t="n">
        <f aca="false">SUM(G7947:G7951)</f>
        <v>1549.02</v>
      </c>
      <c r="H7952" s="610"/>
    </row>
    <row r="7953" customFormat="false" ht="30" hidden="false" customHeight="false" outlineLevel="0" collapsed="false">
      <c r="A7953" s="571" t="s">
        <v>5597</v>
      </c>
      <c r="B7953" s="433" t="s">
        <v>3501</v>
      </c>
      <c r="C7953" s="614" t="s">
        <v>5418</v>
      </c>
      <c r="D7953" s="606" t="s">
        <v>4138</v>
      </c>
      <c r="E7953" s="606" t="n">
        <v>1</v>
      </c>
      <c r="F7953" s="927" t="n">
        <v>1500</v>
      </c>
      <c r="G7953" s="926" t="n">
        <f aca="false">E7953*F7953</f>
        <v>1500</v>
      </c>
      <c r="H7953" s="606"/>
    </row>
    <row r="7954" customFormat="false" ht="15" hidden="false" customHeight="false" outlineLevel="0" collapsed="false">
      <c r="B7954" s="500"/>
      <c r="C7954" s="614" t="s">
        <v>4171</v>
      </c>
      <c r="D7954" s="606" t="s">
        <v>4359</v>
      </c>
      <c r="E7954" s="606" t="n">
        <v>0.08</v>
      </c>
      <c r="F7954" s="361" t="n">
        <v>2500</v>
      </c>
      <c r="G7954" s="926" t="n">
        <f aca="false">E7954*F7954</f>
        <v>200</v>
      </c>
      <c r="H7954" s="606"/>
    </row>
    <row r="7955" customFormat="false" ht="15" hidden="false" customHeight="false" outlineLevel="0" collapsed="false">
      <c r="A7955" s="571"/>
      <c r="B7955" s="500"/>
      <c r="C7955" s="614" t="s">
        <v>4536</v>
      </c>
      <c r="D7955" s="606" t="s">
        <v>4359</v>
      </c>
      <c r="E7955" s="606" t="n">
        <v>0.005</v>
      </c>
      <c r="F7955" s="361" t="n">
        <v>999</v>
      </c>
      <c r="G7955" s="926" t="n">
        <f aca="false">E7955*F7955</f>
        <v>4.995</v>
      </c>
      <c r="H7955" s="606"/>
    </row>
    <row r="7956" customFormat="false" ht="15" hidden="false" customHeight="false" outlineLevel="0" collapsed="false">
      <c r="A7956" s="571"/>
      <c r="B7956" s="608" t="s">
        <v>4128</v>
      </c>
      <c r="C7956" s="609"/>
      <c r="D7956" s="610"/>
      <c r="E7956" s="610"/>
      <c r="F7956" s="612"/>
      <c r="G7956" s="613" t="n">
        <f aca="false">SUM(G7953:G7955)</f>
        <v>1704.995</v>
      </c>
      <c r="H7956" s="610"/>
    </row>
    <row r="7957" customFormat="false" ht="15" hidden="false" customHeight="false" outlineLevel="0" collapsed="false">
      <c r="A7957" s="571" t="s">
        <v>5598</v>
      </c>
      <c r="B7957" s="433" t="s">
        <v>3431</v>
      </c>
      <c r="C7957" s="614" t="s">
        <v>5599</v>
      </c>
      <c r="D7957" s="606" t="s">
        <v>4138</v>
      </c>
      <c r="E7957" s="606" t="n">
        <v>1</v>
      </c>
      <c r="F7957" s="927" t="n">
        <v>868</v>
      </c>
      <c r="G7957" s="926" t="n">
        <f aca="false">E7957*F7957</f>
        <v>868</v>
      </c>
      <c r="H7957" s="606"/>
    </row>
    <row r="7958" customFormat="false" ht="15" hidden="false" customHeight="false" outlineLevel="0" collapsed="false">
      <c r="B7958" s="500"/>
      <c r="C7958" s="614" t="s">
        <v>5420</v>
      </c>
      <c r="D7958" s="606" t="s">
        <v>4133</v>
      </c>
      <c r="E7958" s="606" t="n">
        <v>0.01</v>
      </c>
      <c r="F7958" s="361" t="n">
        <v>3640</v>
      </c>
      <c r="G7958" s="926" t="n">
        <f aca="false">E7958*F7958</f>
        <v>36.4</v>
      </c>
      <c r="H7958" s="606"/>
    </row>
    <row r="7959" customFormat="false" ht="15" hidden="false" customHeight="false" outlineLevel="0" collapsed="false">
      <c r="A7959" s="571"/>
      <c r="B7959" s="500"/>
      <c r="C7959" s="614" t="s">
        <v>4536</v>
      </c>
      <c r="D7959" s="606" t="s">
        <v>4359</v>
      </c>
      <c r="E7959" s="606" t="n">
        <v>0.01</v>
      </c>
      <c r="F7959" s="361" t="n">
        <v>999</v>
      </c>
      <c r="G7959" s="926" t="n">
        <f aca="false">E7959*F7959</f>
        <v>9.99</v>
      </c>
      <c r="H7959" s="606"/>
    </row>
    <row r="7960" customFormat="false" ht="15" hidden="false" customHeight="false" outlineLevel="0" collapsed="false">
      <c r="A7960" s="571"/>
      <c r="B7960" s="500"/>
      <c r="C7960" s="614" t="s">
        <v>4225</v>
      </c>
      <c r="D7960" s="606" t="s">
        <v>4133</v>
      </c>
      <c r="E7960" s="606" t="n">
        <v>0.03</v>
      </c>
      <c r="F7960" s="361" t="n">
        <v>2553.6</v>
      </c>
      <c r="G7960" s="926" t="n">
        <f aca="false">E7960*F7960</f>
        <v>76.608</v>
      </c>
      <c r="H7960" s="606"/>
    </row>
    <row r="7961" customFormat="false" ht="15" hidden="false" customHeight="false" outlineLevel="0" collapsed="false">
      <c r="A7961" s="571"/>
      <c r="B7961" s="500"/>
      <c r="C7961" s="614" t="s">
        <v>5051</v>
      </c>
      <c r="D7961" s="606" t="s">
        <v>4133</v>
      </c>
      <c r="E7961" s="606" t="n">
        <v>0.03</v>
      </c>
      <c r="F7961" s="361" t="n">
        <v>1617</v>
      </c>
      <c r="G7961" s="926" t="n">
        <f aca="false">E7961*F7961</f>
        <v>48.51</v>
      </c>
      <c r="H7961" s="606"/>
    </row>
    <row r="7962" customFormat="false" ht="15" hidden="false" customHeight="false" outlineLevel="0" collapsed="false">
      <c r="A7962" s="571"/>
      <c r="B7962" s="608" t="s">
        <v>4128</v>
      </c>
      <c r="C7962" s="609"/>
      <c r="D7962" s="610"/>
      <c r="E7962" s="610"/>
      <c r="F7962" s="612"/>
      <c r="G7962" s="613" t="n">
        <f aca="false">SUM(G7957:G7961)</f>
        <v>1039.508</v>
      </c>
      <c r="H7962" s="610"/>
    </row>
    <row r="7963" customFormat="false" ht="15" hidden="false" customHeight="false" outlineLevel="0" collapsed="false">
      <c r="A7963" s="571" t="s">
        <v>5600</v>
      </c>
      <c r="B7963" s="433" t="s">
        <v>3199</v>
      </c>
      <c r="C7963" s="614" t="s">
        <v>5421</v>
      </c>
      <c r="D7963" s="606" t="s">
        <v>4133</v>
      </c>
      <c r="E7963" s="606" t="n">
        <v>0.0005</v>
      </c>
      <c r="F7963" s="927" t="n">
        <v>55000</v>
      </c>
      <c r="G7963" s="926" t="n">
        <f aca="false">E7963*F7963</f>
        <v>27.5</v>
      </c>
      <c r="H7963" s="606"/>
    </row>
    <row r="7964" customFormat="false" ht="15" hidden="false" customHeight="false" outlineLevel="0" collapsed="false">
      <c r="B7964" s="500"/>
      <c r="C7964" s="614" t="s">
        <v>4204</v>
      </c>
      <c r="D7964" s="606" t="s">
        <v>4133</v>
      </c>
      <c r="E7964" s="606" t="n">
        <v>0.055</v>
      </c>
      <c r="F7964" s="927" t="n">
        <v>2318</v>
      </c>
      <c r="G7964" s="926" t="n">
        <f aca="false">E7964*F7964</f>
        <v>127.49</v>
      </c>
      <c r="H7964" s="606"/>
    </row>
    <row r="7965" customFormat="false" ht="15" hidden="false" customHeight="false" outlineLevel="0" collapsed="false">
      <c r="A7965" s="571"/>
      <c r="B7965" s="500"/>
      <c r="C7965" s="614" t="s">
        <v>4154</v>
      </c>
      <c r="D7965" s="606" t="s">
        <v>4133</v>
      </c>
      <c r="E7965" s="606" t="n">
        <v>0.0152</v>
      </c>
      <c r="F7965" s="927" t="n">
        <v>5500</v>
      </c>
      <c r="G7965" s="926" t="n">
        <f aca="false">E7965*F7965</f>
        <v>83.6</v>
      </c>
      <c r="H7965" s="606"/>
    </row>
    <row r="7966" customFormat="false" ht="15" hidden="false" customHeight="false" outlineLevel="0" collapsed="false">
      <c r="A7966" s="571"/>
      <c r="B7966" s="500"/>
      <c r="C7966" s="614" t="s">
        <v>5601</v>
      </c>
      <c r="D7966" s="606" t="s">
        <v>4138</v>
      </c>
      <c r="E7966" s="606" t="n">
        <v>1</v>
      </c>
      <c r="F7966" s="927" t="n">
        <v>798</v>
      </c>
      <c r="G7966" s="926" t="n">
        <f aca="false">E7966*F7966</f>
        <v>798</v>
      </c>
      <c r="H7966" s="606"/>
    </row>
    <row r="7967" customFormat="false" ht="15" hidden="false" customHeight="false" outlineLevel="0" collapsed="false">
      <c r="A7967" s="571"/>
      <c r="B7967" s="608" t="s">
        <v>4128</v>
      </c>
      <c r="C7967" s="609"/>
      <c r="D7967" s="610"/>
      <c r="E7967" s="610"/>
      <c r="F7967" s="612"/>
      <c r="G7967" s="613" t="n">
        <f aca="false">SUM(G7963:G7966)</f>
        <v>1036.59</v>
      </c>
      <c r="H7967" s="610"/>
    </row>
    <row r="7968" customFormat="false" ht="15" hidden="false" customHeight="false" outlineLevel="0" collapsed="false">
      <c r="A7968" s="571" t="s">
        <v>5602</v>
      </c>
      <c r="B7968" s="433" t="s">
        <v>3502</v>
      </c>
      <c r="C7968" s="614" t="s">
        <v>5425</v>
      </c>
      <c r="D7968" s="606" t="s">
        <v>4133</v>
      </c>
      <c r="E7968" s="606" t="n">
        <v>0.01</v>
      </c>
      <c r="F7968" s="361" t="n">
        <v>9609</v>
      </c>
      <c r="G7968" s="926" t="n">
        <f aca="false">E7968*F7968</f>
        <v>96.09</v>
      </c>
      <c r="H7968" s="606"/>
    </row>
    <row r="7969" customFormat="false" ht="15" hidden="false" customHeight="false" outlineLevel="0" collapsed="false">
      <c r="B7969" s="500"/>
      <c r="C7969" s="614" t="s">
        <v>4147</v>
      </c>
      <c r="D7969" s="606" t="s">
        <v>4133</v>
      </c>
      <c r="E7969" s="606" t="n">
        <v>0.0152</v>
      </c>
      <c r="F7969" s="361" t="n">
        <v>3500</v>
      </c>
      <c r="G7969" s="926" t="n">
        <f aca="false">E7969*F7969</f>
        <v>53.2</v>
      </c>
      <c r="H7969" s="606"/>
    </row>
    <row r="7970" customFormat="false" ht="15" hidden="false" customHeight="false" outlineLevel="0" collapsed="false">
      <c r="A7970" s="571"/>
      <c r="B7970" s="500"/>
      <c r="C7970" s="614" t="s">
        <v>4236</v>
      </c>
      <c r="D7970" s="606" t="s">
        <v>4133</v>
      </c>
      <c r="E7970" s="606" t="n">
        <v>0.001</v>
      </c>
      <c r="F7970" s="361" t="n">
        <v>1617</v>
      </c>
      <c r="G7970" s="926" t="n">
        <f aca="false">E7970*F7970</f>
        <v>1.617</v>
      </c>
      <c r="H7970" s="606"/>
    </row>
    <row r="7971" customFormat="false" ht="15" hidden="false" customHeight="false" outlineLevel="0" collapsed="false">
      <c r="A7971" s="571"/>
      <c r="B7971" s="500"/>
      <c r="C7971" s="614" t="s">
        <v>5603</v>
      </c>
      <c r="D7971" s="606" t="s">
        <v>4133</v>
      </c>
      <c r="E7971" s="606" t="n">
        <v>0.001</v>
      </c>
      <c r="F7971" s="361" t="n">
        <v>490000</v>
      </c>
      <c r="G7971" s="926" t="n">
        <f aca="false">E7971*F7971</f>
        <v>490</v>
      </c>
      <c r="H7971" s="606"/>
    </row>
    <row r="7972" customFormat="false" ht="15" hidden="false" customHeight="false" outlineLevel="0" collapsed="false">
      <c r="A7972" s="571"/>
      <c r="B7972" s="500"/>
      <c r="C7972" s="614" t="s">
        <v>4171</v>
      </c>
      <c r="D7972" s="606" t="s">
        <v>4359</v>
      </c>
      <c r="E7972" s="606" t="n">
        <v>0.004</v>
      </c>
      <c r="F7972" s="361" t="n">
        <v>2500</v>
      </c>
      <c r="G7972" s="926" t="n">
        <f aca="false">E7972*F7972</f>
        <v>10</v>
      </c>
      <c r="H7972" s="606"/>
    </row>
    <row r="7973" customFormat="false" ht="30" hidden="false" customHeight="false" outlineLevel="0" collapsed="false">
      <c r="A7973" s="571"/>
      <c r="B7973" s="500"/>
      <c r="C7973" s="614" t="s">
        <v>5427</v>
      </c>
      <c r="D7973" s="606" t="s">
        <v>4133</v>
      </c>
      <c r="E7973" s="606" t="n">
        <v>0.001</v>
      </c>
      <c r="F7973" s="927" t="n">
        <v>2940</v>
      </c>
      <c r="G7973" s="926" t="n">
        <f aca="false">E7973*F7973</f>
        <v>2.94</v>
      </c>
      <c r="H7973" s="606"/>
    </row>
    <row r="7974" customFormat="false" ht="15" hidden="false" customHeight="false" outlineLevel="0" collapsed="false">
      <c r="A7974" s="571"/>
      <c r="B7974" s="500"/>
      <c r="C7974" s="614" t="s">
        <v>5428</v>
      </c>
      <c r="D7974" s="606" t="s">
        <v>4138</v>
      </c>
      <c r="E7974" s="606" t="n">
        <v>1</v>
      </c>
      <c r="F7974" s="361" t="n">
        <v>1500</v>
      </c>
      <c r="G7974" s="926" t="n">
        <f aca="false">E7974*F7974</f>
        <v>1500</v>
      </c>
      <c r="H7974" s="606"/>
    </row>
    <row r="7975" customFormat="false" ht="15" hidden="false" customHeight="false" outlineLevel="0" collapsed="false">
      <c r="A7975" s="571"/>
      <c r="B7975" s="608" t="s">
        <v>4128</v>
      </c>
      <c r="C7975" s="609"/>
      <c r="D7975" s="610"/>
      <c r="E7975" s="610"/>
      <c r="F7975" s="612"/>
      <c r="G7975" s="613" t="n">
        <f aca="false">SUM(G7968:G7974)</f>
        <v>2153.847</v>
      </c>
      <c r="H7975" s="610"/>
    </row>
    <row r="7976" customFormat="false" ht="15" hidden="false" customHeight="false" outlineLevel="0" collapsed="false">
      <c r="A7976" s="571" t="s">
        <v>5604</v>
      </c>
      <c r="B7976" s="433" t="s">
        <v>3433</v>
      </c>
      <c r="C7976" s="614" t="s">
        <v>4174</v>
      </c>
      <c r="D7976" s="606" t="s">
        <v>4133</v>
      </c>
      <c r="E7976" s="606" t="n">
        <v>0.1</v>
      </c>
      <c r="F7976" s="361" t="n">
        <v>1288</v>
      </c>
      <c r="G7976" s="926" t="n">
        <f aca="false">E7976*F7976</f>
        <v>128.8</v>
      </c>
      <c r="H7976" s="606"/>
    </row>
    <row r="7977" customFormat="false" ht="15" hidden="false" customHeight="false" outlineLevel="0" collapsed="false">
      <c r="B7977" s="500"/>
      <c r="C7977" s="614" t="s">
        <v>5069</v>
      </c>
      <c r="D7977" s="606" t="s">
        <v>4359</v>
      </c>
      <c r="E7977" s="606" t="n">
        <v>0.1</v>
      </c>
      <c r="F7977" s="361" t="n">
        <v>2500</v>
      </c>
      <c r="G7977" s="926" t="n">
        <f aca="false">E7977*F7977</f>
        <v>250</v>
      </c>
      <c r="H7977" s="606"/>
    </row>
    <row r="7978" customFormat="false" ht="15" hidden="false" customHeight="false" outlineLevel="0" collapsed="false">
      <c r="A7978" s="571"/>
      <c r="B7978" s="500"/>
      <c r="C7978" s="614" t="s">
        <v>4466</v>
      </c>
      <c r="D7978" s="606" t="s">
        <v>4133</v>
      </c>
      <c r="E7978" s="606" t="n">
        <v>0.1</v>
      </c>
      <c r="F7978" s="361" t="n">
        <v>3500</v>
      </c>
      <c r="G7978" s="926" t="n">
        <f aca="false">E7978*F7978</f>
        <v>350</v>
      </c>
      <c r="H7978" s="606"/>
    </row>
    <row r="7979" customFormat="false" ht="15" hidden="false" customHeight="false" outlineLevel="0" collapsed="false">
      <c r="A7979" s="571"/>
      <c r="B7979" s="500"/>
      <c r="C7979" s="614" t="s">
        <v>4188</v>
      </c>
      <c r="D7979" s="606" t="s">
        <v>4133</v>
      </c>
      <c r="E7979" s="606" t="n">
        <v>0.1</v>
      </c>
      <c r="F7979" s="361" t="n">
        <v>2553.6</v>
      </c>
      <c r="G7979" s="926" t="n">
        <f aca="false">E7979*F7979</f>
        <v>255.36</v>
      </c>
      <c r="H7979" s="606"/>
    </row>
    <row r="7980" customFormat="false" ht="15" hidden="false" customHeight="false" outlineLevel="0" collapsed="false">
      <c r="A7980" s="571"/>
      <c r="B7980" s="500"/>
      <c r="C7980" s="614" t="s">
        <v>5605</v>
      </c>
      <c r="D7980" s="606" t="s">
        <v>4138</v>
      </c>
      <c r="E7980" s="606" t="n">
        <v>1</v>
      </c>
      <c r="F7980" s="927" t="n">
        <v>742</v>
      </c>
      <c r="G7980" s="926" t="n">
        <f aca="false">E7980*F7980</f>
        <v>742</v>
      </c>
      <c r="H7980" s="606"/>
    </row>
    <row r="7981" customFormat="false" ht="15" hidden="false" customHeight="false" outlineLevel="0" collapsed="false">
      <c r="A7981" s="571"/>
      <c r="B7981" s="608" t="s">
        <v>4128</v>
      </c>
      <c r="C7981" s="609"/>
      <c r="D7981" s="610"/>
      <c r="E7981" s="610"/>
      <c r="F7981" s="612"/>
      <c r="G7981" s="613" t="n">
        <f aca="false">SUM(G7976:G7980)</f>
        <v>1726.16</v>
      </c>
      <c r="H7981" s="610"/>
    </row>
    <row r="7982" customFormat="false" ht="15" hidden="false" customHeight="false" outlineLevel="0" collapsed="false">
      <c r="A7982" s="571" t="s">
        <v>5606</v>
      </c>
      <c r="B7982" s="433" t="s">
        <v>3434</v>
      </c>
      <c r="C7982" s="614" t="s">
        <v>5433</v>
      </c>
      <c r="D7982" s="606" t="s">
        <v>4133</v>
      </c>
      <c r="E7982" s="606" t="n">
        <v>0.0012</v>
      </c>
      <c r="F7982" s="361" t="n">
        <v>6580</v>
      </c>
      <c r="G7982" s="926" t="n">
        <f aca="false">E7982*F7982</f>
        <v>7.896</v>
      </c>
      <c r="H7982" s="606"/>
    </row>
    <row r="7983" customFormat="false" ht="15" hidden="false" customHeight="false" outlineLevel="0" collapsed="false">
      <c r="B7983" s="500"/>
      <c r="C7983" s="614" t="s">
        <v>4156</v>
      </c>
      <c r="D7983" s="606" t="s">
        <v>4133</v>
      </c>
      <c r="E7983" s="606" t="n">
        <v>0.05</v>
      </c>
      <c r="F7983" s="927" t="n">
        <v>3500</v>
      </c>
      <c r="G7983" s="926" t="n">
        <f aca="false">E7983*F7983</f>
        <v>175</v>
      </c>
      <c r="H7983" s="606"/>
    </row>
    <row r="7984" customFormat="false" ht="15" hidden="false" customHeight="false" outlineLevel="0" collapsed="false">
      <c r="A7984" s="571"/>
      <c r="B7984" s="500"/>
      <c r="C7984" s="614" t="s">
        <v>4549</v>
      </c>
      <c r="D7984" s="606" t="s">
        <v>4133</v>
      </c>
      <c r="E7984" s="606" t="n">
        <v>0.01</v>
      </c>
      <c r="F7984" s="927" t="n">
        <v>5500</v>
      </c>
      <c r="G7984" s="926" t="n">
        <f aca="false">E7984*F7984</f>
        <v>55</v>
      </c>
      <c r="H7984" s="606"/>
    </row>
    <row r="7985" customFormat="false" ht="15" hidden="false" customHeight="false" outlineLevel="0" collapsed="false">
      <c r="A7985" s="571"/>
      <c r="B7985" s="500"/>
      <c r="C7985" s="379" t="s">
        <v>5607</v>
      </c>
      <c r="D7985" s="606" t="s">
        <v>4138</v>
      </c>
      <c r="E7985" s="606" t="n">
        <v>1</v>
      </c>
      <c r="F7985" s="927" t="n">
        <v>875</v>
      </c>
      <c r="G7985" s="926" t="n">
        <f aca="false">E7985*F7985</f>
        <v>875</v>
      </c>
      <c r="H7985" s="606"/>
    </row>
    <row r="7986" customFormat="false" ht="15" hidden="false" customHeight="false" outlineLevel="0" collapsed="false">
      <c r="A7986" s="571"/>
      <c r="B7986" s="500"/>
      <c r="C7986" s="614" t="s">
        <v>4270</v>
      </c>
      <c r="D7986" s="606" t="s">
        <v>4359</v>
      </c>
      <c r="E7986" s="606" t="n">
        <v>0.011</v>
      </c>
      <c r="F7986" s="361" t="n">
        <v>1540</v>
      </c>
      <c r="G7986" s="926" t="n">
        <f aca="false">E7986*F7986</f>
        <v>16.94</v>
      </c>
      <c r="H7986" s="606"/>
    </row>
    <row r="7987" customFormat="false" ht="15" hidden="false" customHeight="false" outlineLevel="0" collapsed="false">
      <c r="A7987" s="571"/>
      <c r="B7987" s="608" t="s">
        <v>4128</v>
      </c>
      <c r="C7987" s="609"/>
      <c r="D7987" s="610"/>
      <c r="E7987" s="610"/>
      <c r="F7987" s="612"/>
      <c r="G7987" s="613" t="n">
        <f aca="false">SUM(G7982:G7986)</f>
        <v>1129.836</v>
      </c>
      <c r="H7987" s="610"/>
    </row>
    <row r="7988" customFormat="false" ht="15" hidden="false" customHeight="false" outlineLevel="0" collapsed="false">
      <c r="A7988" s="571" t="s">
        <v>5608</v>
      </c>
      <c r="B7988" s="433" t="s">
        <v>3435</v>
      </c>
      <c r="C7988" s="614" t="s">
        <v>5405</v>
      </c>
      <c r="D7988" s="606" t="s">
        <v>5452</v>
      </c>
      <c r="E7988" s="606" t="n">
        <v>0.1</v>
      </c>
      <c r="F7988" s="361" t="n">
        <v>4900</v>
      </c>
      <c r="G7988" s="926" t="n">
        <f aca="false">E7988*F7988</f>
        <v>490</v>
      </c>
      <c r="H7988" s="606"/>
    </row>
    <row r="7989" customFormat="false" ht="15" hidden="false" customHeight="false" outlineLevel="0" collapsed="false">
      <c r="B7989" s="500"/>
      <c r="C7989" s="614" t="s">
        <v>5051</v>
      </c>
      <c r="D7989" s="606" t="s">
        <v>4133</v>
      </c>
      <c r="E7989" s="606" t="n">
        <v>0.002</v>
      </c>
      <c r="F7989" s="361" t="n">
        <v>1617</v>
      </c>
      <c r="G7989" s="926" t="n">
        <f aca="false">E7989*F7989</f>
        <v>3.234</v>
      </c>
      <c r="H7989" s="606"/>
    </row>
    <row r="7990" customFormat="false" ht="15" hidden="false" customHeight="false" outlineLevel="0" collapsed="false">
      <c r="A7990" s="571"/>
      <c r="B7990" s="500"/>
      <c r="C7990" s="614" t="s">
        <v>4466</v>
      </c>
      <c r="D7990" s="606" t="s">
        <v>4133</v>
      </c>
      <c r="E7990" s="606" t="n">
        <v>0.005</v>
      </c>
      <c r="F7990" s="361" t="n">
        <v>3500</v>
      </c>
      <c r="G7990" s="926" t="n">
        <f aca="false">E7990*F7990</f>
        <v>17.5</v>
      </c>
      <c r="H7990" s="606"/>
    </row>
    <row r="7991" customFormat="false" ht="15" hidden="false" customHeight="false" outlineLevel="0" collapsed="false">
      <c r="A7991" s="571"/>
      <c r="B7991" s="500"/>
      <c r="C7991" s="614" t="s">
        <v>5045</v>
      </c>
      <c r="D7991" s="606" t="s">
        <v>4359</v>
      </c>
      <c r="E7991" s="606" t="n">
        <v>0.005</v>
      </c>
      <c r="F7991" s="927" t="n">
        <v>5180</v>
      </c>
      <c r="G7991" s="926" t="n">
        <f aca="false">E7991*F7991</f>
        <v>25.9</v>
      </c>
      <c r="H7991" s="606"/>
    </row>
    <row r="7992" customFormat="false" ht="15" hidden="false" customHeight="false" outlineLevel="0" collapsed="false">
      <c r="A7992" s="571"/>
      <c r="B7992" s="500"/>
      <c r="C7992" s="379" t="s">
        <v>5609</v>
      </c>
      <c r="D7992" s="606" t="s">
        <v>4138</v>
      </c>
      <c r="E7992" s="606" t="n">
        <v>1</v>
      </c>
      <c r="F7992" s="927" t="n">
        <v>868</v>
      </c>
      <c r="G7992" s="926" t="n">
        <f aca="false">E7992*F7992</f>
        <v>868</v>
      </c>
      <c r="H7992" s="606"/>
    </row>
    <row r="7993" customFormat="false" ht="15" hidden="false" customHeight="false" outlineLevel="0" collapsed="false">
      <c r="A7993" s="571"/>
      <c r="B7993" s="500"/>
      <c r="C7993" s="614" t="s">
        <v>5603</v>
      </c>
      <c r="D7993" s="606" t="s">
        <v>4133</v>
      </c>
      <c r="E7993" s="606" t="n">
        <v>0.001</v>
      </c>
      <c r="F7993" s="927" t="n">
        <v>490000</v>
      </c>
      <c r="G7993" s="926" t="n">
        <f aca="false">E7993*F7993</f>
        <v>490</v>
      </c>
      <c r="H7993" s="606"/>
    </row>
    <row r="7994" customFormat="false" ht="15" hidden="false" customHeight="false" outlineLevel="0" collapsed="false">
      <c r="A7994" s="571"/>
      <c r="B7994" s="608" t="s">
        <v>4128</v>
      </c>
      <c r="C7994" s="609"/>
      <c r="D7994" s="610"/>
      <c r="E7994" s="610"/>
      <c r="F7994" s="612"/>
      <c r="G7994" s="613" t="n">
        <f aca="false">SUM(G7988:G7993)</f>
        <v>1894.634</v>
      </c>
      <c r="H7994" s="610"/>
    </row>
    <row r="7995" customFormat="false" ht="30" hidden="false" customHeight="false" outlineLevel="0" collapsed="false">
      <c r="A7995" s="571" t="s">
        <v>5610</v>
      </c>
      <c r="B7995" s="433" t="s">
        <v>3436</v>
      </c>
      <c r="C7995" s="379" t="s">
        <v>5611</v>
      </c>
      <c r="D7995" s="606" t="s">
        <v>4138</v>
      </c>
      <c r="E7995" s="606" t="n">
        <v>0.1</v>
      </c>
      <c r="F7995" s="927" t="n">
        <v>7700</v>
      </c>
      <c r="G7995" s="926" t="n">
        <f aca="false">E7995*F7995</f>
        <v>770</v>
      </c>
      <c r="H7995" s="606"/>
    </row>
    <row r="7996" customFormat="false" ht="15" hidden="false" customHeight="false" outlineLevel="0" collapsed="false">
      <c r="B7996" s="500"/>
      <c r="C7996" s="614" t="s">
        <v>4122</v>
      </c>
      <c r="D7996" s="606" t="s">
        <v>4359</v>
      </c>
      <c r="E7996" s="606" t="n">
        <v>0.01</v>
      </c>
      <c r="F7996" s="361" t="n">
        <v>720</v>
      </c>
      <c r="G7996" s="926" t="n">
        <f aca="false">E7996*F7996</f>
        <v>7.2</v>
      </c>
      <c r="H7996" s="606"/>
    </row>
    <row r="7997" customFormat="false" ht="15" hidden="false" customHeight="false" outlineLevel="0" collapsed="false">
      <c r="A7997" s="571"/>
      <c r="B7997" s="500"/>
      <c r="C7997" s="614" t="s">
        <v>4485</v>
      </c>
      <c r="D7997" s="606" t="s">
        <v>4133</v>
      </c>
      <c r="E7997" s="606" t="n">
        <v>0.1</v>
      </c>
      <c r="F7997" s="927" t="n">
        <v>5241.6</v>
      </c>
      <c r="G7997" s="926" t="n">
        <f aca="false">E7997*F7997</f>
        <v>524.16</v>
      </c>
      <c r="H7997" s="606"/>
    </row>
    <row r="7998" customFormat="false" ht="15" hidden="false" customHeight="false" outlineLevel="0" collapsed="false">
      <c r="A7998" s="571"/>
      <c r="B7998" s="500"/>
      <c r="C7998" s="614" t="s">
        <v>4317</v>
      </c>
      <c r="D7998" s="606" t="s">
        <v>4359</v>
      </c>
      <c r="E7998" s="606" t="n">
        <v>0.01</v>
      </c>
      <c r="F7998" s="361" t="n">
        <v>12000</v>
      </c>
      <c r="G7998" s="926" t="n">
        <f aca="false">E7998*F7998</f>
        <v>120</v>
      </c>
      <c r="H7998" s="606"/>
    </row>
    <row r="7999" customFormat="false" ht="15" hidden="false" customHeight="false" outlineLevel="0" collapsed="false">
      <c r="A7999" s="571"/>
      <c r="B7999" s="500"/>
      <c r="C7999" s="614" t="s">
        <v>4205</v>
      </c>
      <c r="D7999" s="606" t="s">
        <v>4359</v>
      </c>
      <c r="E7999" s="606" t="n">
        <v>0.01</v>
      </c>
      <c r="F7999" s="361" t="n">
        <v>6300</v>
      </c>
      <c r="G7999" s="926" t="n">
        <f aca="false">E7999*F7999</f>
        <v>63</v>
      </c>
      <c r="H7999" s="606"/>
    </row>
    <row r="8000" customFormat="false" ht="15" hidden="false" customHeight="false" outlineLevel="0" collapsed="false">
      <c r="A8000" s="571"/>
      <c r="B8000" s="608" t="s">
        <v>4128</v>
      </c>
      <c r="C8000" s="609"/>
      <c r="D8000" s="610"/>
      <c r="E8000" s="610"/>
      <c r="F8000" s="612"/>
      <c r="G8000" s="613" t="n">
        <f aca="false">SUM(G7995:G7999)</f>
        <v>1484.36</v>
      </c>
      <c r="H8000" s="610"/>
    </row>
    <row r="8001" customFormat="false" ht="15" hidden="false" customHeight="false" outlineLevel="0" collapsed="false">
      <c r="A8001" s="571" t="s">
        <v>5612</v>
      </c>
      <c r="B8001" s="433" t="s">
        <v>3437</v>
      </c>
      <c r="C8001" s="379" t="s">
        <v>5613</v>
      </c>
      <c r="D8001" s="606" t="s">
        <v>4138</v>
      </c>
      <c r="E8001" s="606" t="n">
        <v>0.1</v>
      </c>
      <c r="F8001" s="927" t="n">
        <v>7700</v>
      </c>
      <c r="G8001" s="926" t="n">
        <f aca="false">E8001*F8001</f>
        <v>770</v>
      </c>
      <c r="H8001" s="606"/>
    </row>
    <row r="8002" customFormat="false" ht="15" hidden="false" customHeight="false" outlineLevel="0" collapsed="false">
      <c r="B8002" s="500"/>
      <c r="C8002" s="614" t="s">
        <v>4122</v>
      </c>
      <c r="D8002" s="606" t="s">
        <v>4359</v>
      </c>
      <c r="E8002" s="606" t="n">
        <v>0.01</v>
      </c>
      <c r="F8002" s="361" t="n">
        <v>720</v>
      </c>
      <c r="G8002" s="926" t="n">
        <f aca="false">E8002*F8002</f>
        <v>7.2</v>
      </c>
      <c r="H8002" s="606"/>
    </row>
    <row r="8003" customFormat="false" ht="15" hidden="false" customHeight="false" outlineLevel="0" collapsed="false">
      <c r="A8003" s="571"/>
      <c r="B8003" s="500"/>
      <c r="C8003" s="614" t="s">
        <v>4485</v>
      </c>
      <c r="D8003" s="606" t="s">
        <v>4133</v>
      </c>
      <c r="E8003" s="606" t="n">
        <v>0.1</v>
      </c>
      <c r="F8003" s="927" t="n">
        <v>5241.6</v>
      </c>
      <c r="G8003" s="926" t="n">
        <f aca="false">E8003*F8003</f>
        <v>524.16</v>
      </c>
      <c r="H8003" s="606"/>
    </row>
    <row r="8004" customFormat="false" ht="15" hidden="false" customHeight="false" outlineLevel="0" collapsed="false">
      <c r="A8004" s="571"/>
      <c r="B8004" s="500"/>
      <c r="C8004" s="614" t="s">
        <v>4317</v>
      </c>
      <c r="D8004" s="606" t="s">
        <v>4359</v>
      </c>
      <c r="E8004" s="606" t="n">
        <v>0.01</v>
      </c>
      <c r="F8004" s="361" t="n">
        <v>12000</v>
      </c>
      <c r="G8004" s="926" t="n">
        <f aca="false">E8004*F8004</f>
        <v>120</v>
      </c>
      <c r="H8004" s="606"/>
    </row>
    <row r="8005" customFormat="false" ht="15" hidden="false" customHeight="false" outlineLevel="0" collapsed="false">
      <c r="A8005" s="571"/>
      <c r="B8005" s="500"/>
      <c r="C8005" s="614" t="s">
        <v>4205</v>
      </c>
      <c r="D8005" s="606" t="s">
        <v>4359</v>
      </c>
      <c r="E8005" s="606" t="n">
        <v>0.01</v>
      </c>
      <c r="F8005" s="361" t="n">
        <v>6300</v>
      </c>
      <c r="G8005" s="926" t="n">
        <f aca="false">E8005*F8005</f>
        <v>63</v>
      </c>
      <c r="H8005" s="606"/>
    </row>
    <row r="8006" customFormat="false" ht="15" hidden="false" customHeight="false" outlineLevel="0" collapsed="false">
      <c r="A8006" s="571"/>
      <c r="B8006" s="608" t="s">
        <v>4128</v>
      </c>
      <c r="C8006" s="609"/>
      <c r="D8006" s="610"/>
      <c r="E8006" s="610"/>
      <c r="F8006" s="612"/>
      <c r="G8006" s="613" t="n">
        <f aca="false">SUM(G8001:G8005)</f>
        <v>1484.36</v>
      </c>
      <c r="H8006" s="610"/>
    </row>
    <row r="8007" customFormat="false" ht="30" hidden="false" customHeight="false" outlineLevel="0" collapsed="false">
      <c r="A8007" s="571" t="s">
        <v>5614</v>
      </c>
      <c r="B8007" s="433" t="s">
        <v>3438</v>
      </c>
      <c r="C8007" s="379" t="s">
        <v>5572</v>
      </c>
      <c r="D8007" s="606" t="s">
        <v>4138</v>
      </c>
      <c r="E8007" s="606" t="n">
        <v>0.15</v>
      </c>
      <c r="F8007" s="927" t="n">
        <v>4500</v>
      </c>
      <c r="G8007" s="926" t="n">
        <f aca="false">E8007*F8007</f>
        <v>675</v>
      </c>
      <c r="H8007" s="606"/>
    </row>
    <row r="8008" customFormat="false" ht="15" hidden="false" customHeight="false" outlineLevel="0" collapsed="false">
      <c r="B8008" s="500"/>
      <c r="C8008" s="614" t="s">
        <v>4122</v>
      </c>
      <c r="D8008" s="606" t="s">
        <v>4359</v>
      </c>
      <c r="E8008" s="606" t="n">
        <v>0.01</v>
      </c>
      <c r="F8008" s="361" t="n">
        <v>720</v>
      </c>
      <c r="G8008" s="926" t="n">
        <f aca="false">E8008*F8008</f>
        <v>7.2</v>
      </c>
      <c r="H8008" s="606"/>
    </row>
    <row r="8009" customFormat="false" ht="15" hidden="false" customHeight="false" outlineLevel="0" collapsed="false">
      <c r="A8009" s="571"/>
      <c r="B8009" s="500"/>
      <c r="C8009" s="614" t="s">
        <v>4485</v>
      </c>
      <c r="D8009" s="606" t="s">
        <v>4133</v>
      </c>
      <c r="E8009" s="606" t="n">
        <v>0.1</v>
      </c>
      <c r="F8009" s="927" t="n">
        <v>5241.6</v>
      </c>
      <c r="G8009" s="926" t="n">
        <f aca="false">E8009*F8009</f>
        <v>524.16</v>
      </c>
      <c r="H8009" s="606"/>
    </row>
    <row r="8010" customFormat="false" ht="15" hidden="false" customHeight="false" outlineLevel="0" collapsed="false">
      <c r="A8010" s="571"/>
      <c r="B8010" s="608" t="s">
        <v>4128</v>
      </c>
      <c r="C8010" s="609"/>
      <c r="D8010" s="610"/>
      <c r="E8010" s="610"/>
      <c r="F8010" s="612"/>
      <c r="G8010" s="613" t="n">
        <f aca="false">SUM(G8007:G8009)</f>
        <v>1206.36</v>
      </c>
      <c r="H8010" s="610"/>
    </row>
    <row r="8011" customFormat="false" ht="15" hidden="false" customHeight="false" outlineLevel="0" collapsed="false">
      <c r="A8011" s="571" t="s">
        <v>5615</v>
      </c>
      <c r="B8011" s="433" t="s">
        <v>3503</v>
      </c>
      <c r="C8011" s="379" t="s">
        <v>5616</v>
      </c>
      <c r="D8011" s="606" t="s">
        <v>4138</v>
      </c>
      <c r="E8011" s="606" t="n">
        <v>1</v>
      </c>
      <c r="F8011" s="927" t="n">
        <v>1738</v>
      </c>
      <c r="G8011" s="926" t="n">
        <f aca="false">E8011*F8011</f>
        <v>1738</v>
      </c>
      <c r="H8011" s="606"/>
    </row>
    <row r="8012" customFormat="false" ht="15" hidden="false" customHeight="false" outlineLevel="0" collapsed="false">
      <c r="B8012" s="500"/>
      <c r="C8012" s="614" t="s">
        <v>4205</v>
      </c>
      <c r="D8012" s="606" t="s">
        <v>4359</v>
      </c>
      <c r="E8012" s="606" t="n">
        <v>0.01</v>
      </c>
      <c r="F8012" s="927" t="n">
        <v>6300</v>
      </c>
      <c r="G8012" s="926" t="n">
        <f aca="false">E8012*F8012</f>
        <v>63</v>
      </c>
      <c r="H8012" s="606"/>
    </row>
    <row r="8013" customFormat="false" ht="15" hidden="false" customHeight="false" outlineLevel="0" collapsed="false">
      <c r="A8013" s="571"/>
      <c r="B8013" s="500"/>
      <c r="C8013" s="614" t="s">
        <v>4122</v>
      </c>
      <c r="D8013" s="606" t="s">
        <v>4359</v>
      </c>
      <c r="E8013" s="606" t="n">
        <v>0.01</v>
      </c>
      <c r="F8013" s="361" t="n">
        <v>720</v>
      </c>
      <c r="G8013" s="926" t="n">
        <f aca="false">E8013*F8013</f>
        <v>7.2</v>
      </c>
      <c r="H8013" s="606"/>
    </row>
    <row r="8014" customFormat="false" ht="15" hidden="false" customHeight="false" outlineLevel="0" collapsed="false">
      <c r="A8014" s="571"/>
      <c r="B8014" s="500"/>
      <c r="C8014" s="614" t="s">
        <v>4317</v>
      </c>
      <c r="D8014" s="606" t="s">
        <v>4359</v>
      </c>
      <c r="E8014" s="606" t="n">
        <v>0.01</v>
      </c>
      <c r="F8014" s="361" t="n">
        <v>12000</v>
      </c>
      <c r="G8014" s="926" t="n">
        <f aca="false">E8014*F8014</f>
        <v>120</v>
      </c>
      <c r="H8014" s="606"/>
    </row>
    <row r="8015" customFormat="false" ht="15" hidden="false" customHeight="false" outlineLevel="0" collapsed="false">
      <c r="A8015" s="571"/>
      <c r="B8015" s="608" t="s">
        <v>4128</v>
      </c>
      <c r="C8015" s="609"/>
      <c r="D8015" s="610"/>
      <c r="E8015" s="610"/>
      <c r="F8015" s="612"/>
      <c r="G8015" s="613" t="n">
        <f aca="false">SUM(G8011:G8014)</f>
        <v>1928.2</v>
      </c>
      <c r="H8015" s="610"/>
    </row>
    <row r="8016" customFormat="false" ht="15" hidden="false" customHeight="false" outlineLevel="0" collapsed="false">
      <c r="A8016" s="571" t="s">
        <v>1493</v>
      </c>
      <c r="B8016" s="433" t="s">
        <v>3504</v>
      </c>
      <c r="C8016" s="614" t="s">
        <v>5441</v>
      </c>
      <c r="D8016" s="606" t="s">
        <v>4133</v>
      </c>
      <c r="E8016" s="606" t="n">
        <v>0.0018</v>
      </c>
      <c r="F8016" s="361" t="n">
        <v>801000</v>
      </c>
      <c r="G8016" s="926" t="n">
        <f aca="false">E8016*F8016</f>
        <v>1441.8</v>
      </c>
      <c r="H8016" s="606"/>
    </row>
    <row r="8017" customFormat="false" ht="15" hidden="false" customHeight="false" outlineLevel="0" collapsed="false">
      <c r="B8017" s="500"/>
      <c r="C8017" s="614" t="s">
        <v>4147</v>
      </c>
      <c r="D8017" s="606" t="s">
        <v>4133</v>
      </c>
      <c r="E8017" s="606" t="n">
        <v>0.062</v>
      </c>
      <c r="F8017" s="361" t="n">
        <v>3500</v>
      </c>
      <c r="G8017" s="926" t="n">
        <f aca="false">E8017*F8017</f>
        <v>217</v>
      </c>
      <c r="H8017" s="606"/>
    </row>
    <row r="8018" customFormat="false" ht="15" hidden="false" customHeight="false" outlineLevel="0" collapsed="false">
      <c r="A8018" s="571"/>
      <c r="B8018" s="500"/>
      <c r="C8018" s="614" t="s">
        <v>4239</v>
      </c>
      <c r="D8018" s="606" t="s">
        <v>4133</v>
      </c>
      <c r="E8018" s="606" t="n">
        <v>0.0006</v>
      </c>
      <c r="F8018" s="361" t="n">
        <v>1330</v>
      </c>
      <c r="G8018" s="926" t="n">
        <f aca="false">E8018*F8018</f>
        <v>0.798</v>
      </c>
      <c r="H8018" s="606"/>
    </row>
    <row r="8019" customFormat="false" ht="15" hidden="false" customHeight="false" outlineLevel="0" collapsed="false">
      <c r="A8019" s="571"/>
      <c r="B8019" s="608" t="s">
        <v>4128</v>
      </c>
      <c r="C8019" s="609"/>
      <c r="D8019" s="610"/>
      <c r="E8019" s="610"/>
      <c r="F8019" s="612"/>
      <c r="G8019" s="613" t="n">
        <f aca="false">SUM(G8016:G8018)</f>
        <v>1659.598</v>
      </c>
      <c r="H8019" s="610"/>
    </row>
    <row r="8020" customFormat="false" ht="30" hidden="false" customHeight="false" outlineLevel="0" collapsed="false">
      <c r="A8020" s="571" t="s">
        <v>5617</v>
      </c>
      <c r="B8020" s="433" t="s">
        <v>3440</v>
      </c>
      <c r="C8020" s="379" t="s">
        <v>5618</v>
      </c>
      <c r="D8020" s="606" t="s">
        <v>4138</v>
      </c>
      <c r="E8020" s="606" t="n">
        <v>0.5</v>
      </c>
      <c r="F8020" s="927" t="n">
        <v>2800</v>
      </c>
      <c r="G8020" s="926" t="n">
        <f aca="false">E8020*F8020</f>
        <v>1400</v>
      </c>
      <c r="H8020" s="606"/>
    </row>
    <row r="8021" customFormat="false" ht="15" hidden="false" customHeight="false" outlineLevel="0" collapsed="false">
      <c r="B8021" s="500"/>
      <c r="C8021" s="614" t="s">
        <v>4205</v>
      </c>
      <c r="D8021" s="606" t="s">
        <v>4359</v>
      </c>
      <c r="E8021" s="606" t="n">
        <v>0.01</v>
      </c>
      <c r="F8021" s="927" t="n">
        <v>6300</v>
      </c>
      <c r="G8021" s="926" t="n">
        <f aca="false">E8021*F8021</f>
        <v>63</v>
      </c>
      <c r="H8021" s="606"/>
    </row>
    <row r="8022" customFormat="false" ht="15" hidden="false" customHeight="false" outlineLevel="0" collapsed="false">
      <c r="A8022" s="571"/>
      <c r="B8022" s="500"/>
      <c r="C8022" s="614" t="s">
        <v>4122</v>
      </c>
      <c r="D8022" s="606" t="s">
        <v>4359</v>
      </c>
      <c r="E8022" s="606" t="n">
        <v>0.01</v>
      </c>
      <c r="F8022" s="361" t="n">
        <v>720</v>
      </c>
      <c r="G8022" s="926" t="n">
        <f aca="false">E8022*F8022</f>
        <v>7.2</v>
      </c>
      <c r="H8022" s="606"/>
    </row>
    <row r="8023" customFormat="false" ht="15" hidden="false" customHeight="false" outlineLevel="0" collapsed="false">
      <c r="A8023" s="571"/>
      <c r="B8023" s="500"/>
      <c r="C8023" s="614" t="s">
        <v>4317</v>
      </c>
      <c r="D8023" s="606" t="s">
        <v>4359</v>
      </c>
      <c r="E8023" s="606" t="n">
        <v>0.01</v>
      </c>
      <c r="F8023" s="361" t="n">
        <v>12000</v>
      </c>
      <c r="G8023" s="926" t="n">
        <f aca="false">E8023*F8023</f>
        <v>120</v>
      </c>
      <c r="H8023" s="606"/>
    </row>
    <row r="8024" customFormat="false" ht="15" hidden="false" customHeight="false" outlineLevel="0" collapsed="false">
      <c r="A8024" s="571"/>
      <c r="B8024" s="608" t="s">
        <v>4128</v>
      </c>
      <c r="C8024" s="609"/>
      <c r="D8024" s="610"/>
      <c r="E8024" s="610"/>
      <c r="F8024" s="612"/>
      <c r="G8024" s="613" t="n">
        <f aca="false">SUM(G8020:G8023)</f>
        <v>1590.2</v>
      </c>
      <c r="H8024" s="610"/>
    </row>
    <row r="8025" customFormat="false" ht="30" hidden="false" customHeight="false" outlineLevel="0" collapsed="false">
      <c r="A8025" s="571" t="s">
        <v>5619</v>
      </c>
      <c r="B8025" s="433" t="s">
        <v>3505</v>
      </c>
      <c r="C8025" s="379" t="s">
        <v>5620</v>
      </c>
      <c r="D8025" s="606" t="s">
        <v>5437</v>
      </c>
      <c r="E8025" s="606" t="n">
        <v>0.8</v>
      </c>
      <c r="F8025" s="927" t="n">
        <v>2128</v>
      </c>
      <c r="G8025" s="926" t="n">
        <f aca="false">E8025*F8025</f>
        <v>1702.4</v>
      </c>
      <c r="H8025" s="606"/>
    </row>
    <row r="8026" customFormat="false" ht="15" hidden="false" customHeight="false" outlineLevel="0" collapsed="false">
      <c r="B8026" s="433"/>
      <c r="C8026" s="614" t="s">
        <v>4205</v>
      </c>
      <c r="D8026" s="606" t="s">
        <v>4359</v>
      </c>
      <c r="E8026" s="606" t="n">
        <v>0.01</v>
      </c>
      <c r="F8026" s="927" t="n">
        <v>6300</v>
      </c>
      <c r="G8026" s="926" t="n">
        <f aca="false">E8026*F8026</f>
        <v>63</v>
      </c>
      <c r="H8026" s="606"/>
    </row>
    <row r="8027" customFormat="false" ht="15" hidden="false" customHeight="false" outlineLevel="0" collapsed="false">
      <c r="A8027" s="571"/>
      <c r="B8027" s="500"/>
      <c r="C8027" s="614" t="s">
        <v>4122</v>
      </c>
      <c r="D8027" s="606" t="s">
        <v>4359</v>
      </c>
      <c r="E8027" s="606" t="n">
        <v>0.01</v>
      </c>
      <c r="F8027" s="361" t="n">
        <v>720</v>
      </c>
      <c r="G8027" s="926" t="n">
        <f aca="false">E8027*F8027</f>
        <v>7.2</v>
      </c>
      <c r="H8027" s="606"/>
    </row>
    <row r="8028" customFormat="false" ht="15" hidden="false" customHeight="false" outlineLevel="0" collapsed="false">
      <c r="A8028" s="571"/>
      <c r="B8028" s="500"/>
      <c r="C8028" s="614" t="s">
        <v>4317</v>
      </c>
      <c r="D8028" s="606" t="s">
        <v>4359</v>
      </c>
      <c r="E8028" s="606" t="n">
        <v>0.01</v>
      </c>
      <c r="F8028" s="361" t="n">
        <v>12000</v>
      </c>
      <c r="G8028" s="926" t="n">
        <f aca="false">E8028*F8028</f>
        <v>120</v>
      </c>
      <c r="H8028" s="606"/>
    </row>
    <row r="8029" customFormat="false" ht="15" hidden="false" customHeight="false" outlineLevel="0" collapsed="false">
      <c r="A8029" s="571"/>
      <c r="B8029" s="608" t="s">
        <v>4128</v>
      </c>
      <c r="C8029" s="609"/>
      <c r="D8029" s="610"/>
      <c r="E8029" s="610"/>
      <c r="F8029" s="612"/>
      <c r="G8029" s="613" t="n">
        <f aca="false">SUM(G8025:G8028)</f>
        <v>1892.6</v>
      </c>
      <c r="H8029" s="610"/>
    </row>
    <row r="8030" customFormat="false" ht="30" hidden="false" customHeight="false" outlineLevel="0" collapsed="false">
      <c r="A8030" s="571" t="s">
        <v>1496</v>
      </c>
      <c r="B8030" s="433" t="s">
        <v>3466</v>
      </c>
      <c r="C8030" s="614" t="s">
        <v>4122</v>
      </c>
      <c r="D8030" s="606" t="s">
        <v>4359</v>
      </c>
      <c r="E8030" s="606" t="n">
        <v>0.047</v>
      </c>
      <c r="F8030" s="361" t="n">
        <v>720</v>
      </c>
      <c r="G8030" s="926" t="n">
        <f aca="false">E8030*F8030</f>
        <v>33.84</v>
      </c>
      <c r="H8030" s="606"/>
    </row>
    <row r="8031" customFormat="false" ht="15" hidden="false" customHeight="false" outlineLevel="0" collapsed="false">
      <c r="B8031" s="500"/>
      <c r="C8031" s="614" t="s">
        <v>5164</v>
      </c>
      <c r="D8031" s="606" t="s">
        <v>4133</v>
      </c>
      <c r="E8031" s="606" t="n">
        <v>0.05</v>
      </c>
      <c r="F8031" s="361" t="n">
        <v>2100</v>
      </c>
      <c r="G8031" s="926" t="n">
        <f aca="false">E8031*F8031</f>
        <v>105</v>
      </c>
      <c r="H8031" s="606"/>
    </row>
    <row r="8032" customFormat="false" ht="15" hidden="false" customHeight="false" outlineLevel="0" collapsed="false">
      <c r="A8032" s="571"/>
      <c r="B8032" s="500"/>
      <c r="C8032" s="614" t="s">
        <v>4147</v>
      </c>
      <c r="D8032" s="606" t="s">
        <v>4359</v>
      </c>
      <c r="E8032" s="606" t="n">
        <v>0.09</v>
      </c>
      <c r="F8032" s="361" t="n">
        <v>3500</v>
      </c>
      <c r="G8032" s="926" t="n">
        <f aca="false">E8032*F8032</f>
        <v>315</v>
      </c>
      <c r="H8032" s="606"/>
    </row>
    <row r="8033" customFormat="false" ht="15" hidden="false" customHeight="false" outlineLevel="0" collapsed="false">
      <c r="A8033" s="571"/>
      <c r="B8033" s="500"/>
      <c r="C8033" s="614" t="s">
        <v>4672</v>
      </c>
      <c r="D8033" s="606" t="s">
        <v>4359</v>
      </c>
      <c r="E8033" s="606" t="n">
        <v>0.015</v>
      </c>
      <c r="F8033" s="361" t="n">
        <v>3730</v>
      </c>
      <c r="G8033" s="926" t="n">
        <f aca="false">E8033*F8033</f>
        <v>55.95</v>
      </c>
      <c r="H8033" s="606"/>
    </row>
    <row r="8034" customFormat="false" ht="15" hidden="false" customHeight="false" outlineLevel="0" collapsed="false">
      <c r="A8034" s="571"/>
      <c r="B8034" s="500"/>
      <c r="C8034" s="614" t="s">
        <v>4205</v>
      </c>
      <c r="D8034" s="606" t="s">
        <v>4359</v>
      </c>
      <c r="E8034" s="606" t="n">
        <v>0.01</v>
      </c>
      <c r="F8034" s="927" t="n">
        <v>6300</v>
      </c>
      <c r="G8034" s="926" t="n">
        <f aca="false">E8034*F8034</f>
        <v>63</v>
      </c>
      <c r="H8034" s="606"/>
    </row>
    <row r="8035" customFormat="false" ht="15" hidden="false" customHeight="false" outlineLevel="0" collapsed="false">
      <c r="A8035" s="571"/>
      <c r="B8035" s="500"/>
      <c r="C8035" s="614" t="s">
        <v>4225</v>
      </c>
      <c r="D8035" s="606" t="s">
        <v>4133</v>
      </c>
      <c r="E8035" s="606" t="n">
        <v>0.04</v>
      </c>
      <c r="F8035" s="927" t="n">
        <v>2553.6</v>
      </c>
      <c r="G8035" s="926" t="n">
        <f aca="false">E8035*F8035</f>
        <v>102.144</v>
      </c>
      <c r="H8035" s="606"/>
    </row>
    <row r="8036" customFormat="false" ht="30" hidden="false" customHeight="false" outlineLevel="0" collapsed="false">
      <c r="A8036" s="571"/>
      <c r="B8036" s="500"/>
      <c r="C8036" s="379" t="s">
        <v>5621</v>
      </c>
      <c r="D8036" s="606" t="s">
        <v>4138</v>
      </c>
      <c r="E8036" s="606" t="n">
        <v>0.7</v>
      </c>
      <c r="F8036" s="932" t="n">
        <v>2324</v>
      </c>
      <c r="G8036" s="926" t="n">
        <f aca="false">E8036*F8036</f>
        <v>1626.8</v>
      </c>
      <c r="H8036" s="606"/>
    </row>
    <row r="8037" customFormat="false" ht="15" hidden="false" customHeight="false" outlineLevel="0" collapsed="false">
      <c r="A8037" s="571"/>
      <c r="B8037" s="608" t="s">
        <v>4128</v>
      </c>
      <c r="C8037" s="609"/>
      <c r="D8037" s="610"/>
      <c r="E8037" s="610"/>
      <c r="F8037" s="612"/>
      <c r="G8037" s="613" t="n">
        <f aca="false">SUM(G8030:G8036)</f>
        <v>2301.734</v>
      </c>
      <c r="H8037" s="610"/>
    </row>
    <row r="8038" customFormat="false" ht="15" hidden="false" customHeight="false" outlineLevel="0" collapsed="false">
      <c r="A8038" s="571" t="s">
        <v>1497</v>
      </c>
      <c r="B8038" s="433" t="s">
        <v>3506</v>
      </c>
      <c r="C8038" s="614" t="s">
        <v>5492</v>
      </c>
      <c r="D8038" s="606" t="s">
        <v>4133</v>
      </c>
      <c r="E8038" s="606" t="n">
        <v>0.06</v>
      </c>
      <c r="F8038" s="361" t="n">
        <v>20000</v>
      </c>
      <c r="G8038" s="926" t="n">
        <f aca="false">E8038*F8038</f>
        <v>1200</v>
      </c>
      <c r="H8038" s="606"/>
    </row>
    <row r="8039" customFormat="false" ht="15" hidden="false" customHeight="false" outlineLevel="0" collapsed="false">
      <c r="B8039" s="500"/>
      <c r="C8039" s="614" t="s">
        <v>5493</v>
      </c>
      <c r="D8039" s="606" t="s">
        <v>4133</v>
      </c>
      <c r="E8039" s="606" t="n">
        <v>0.1</v>
      </c>
      <c r="F8039" s="933" t="n">
        <v>6500</v>
      </c>
      <c r="G8039" s="926" t="n">
        <f aca="false">E8039*F8039</f>
        <v>650</v>
      </c>
      <c r="H8039" s="606"/>
    </row>
    <row r="8040" customFormat="false" ht="15" hidden="false" customHeight="false" outlineLevel="0" collapsed="false">
      <c r="A8040" s="571"/>
      <c r="B8040" s="500"/>
      <c r="C8040" s="614" t="s">
        <v>4188</v>
      </c>
      <c r="D8040" s="606" t="s">
        <v>4133</v>
      </c>
      <c r="E8040" s="606" t="n">
        <v>0.1</v>
      </c>
      <c r="F8040" s="361" t="n">
        <v>2553.6</v>
      </c>
      <c r="G8040" s="926" t="n">
        <f aca="false">E8040*F8040</f>
        <v>255.36</v>
      </c>
      <c r="H8040" s="606"/>
    </row>
    <row r="8041" customFormat="false" ht="15" hidden="false" customHeight="false" outlineLevel="0" collapsed="false">
      <c r="A8041" s="571"/>
      <c r="B8041" s="500"/>
      <c r="C8041" s="614" t="s">
        <v>4147</v>
      </c>
      <c r="D8041" s="606" t="s">
        <v>4133</v>
      </c>
      <c r="E8041" s="606" t="n">
        <v>0.1</v>
      </c>
      <c r="F8041" s="361" t="n">
        <v>3500</v>
      </c>
      <c r="G8041" s="926" t="n">
        <f aca="false">E8041*F8041</f>
        <v>350</v>
      </c>
      <c r="H8041" s="606"/>
    </row>
    <row r="8042" customFormat="false" ht="15" hidden="false" customHeight="false" outlineLevel="0" collapsed="false">
      <c r="A8042" s="571"/>
      <c r="B8042" s="500"/>
      <c r="C8042" s="614" t="s">
        <v>5495</v>
      </c>
      <c r="D8042" s="606" t="s">
        <v>4133</v>
      </c>
      <c r="E8042" s="606" t="n">
        <v>0.01</v>
      </c>
      <c r="F8042" s="361" t="n">
        <v>36600</v>
      </c>
      <c r="G8042" s="926" t="n">
        <f aca="false">E8042*F8042</f>
        <v>366</v>
      </c>
      <c r="H8042" s="606"/>
    </row>
    <row r="8043" customFormat="false" ht="15" hidden="false" customHeight="false" outlineLevel="0" collapsed="false">
      <c r="A8043" s="571"/>
      <c r="B8043" s="500"/>
      <c r="C8043" s="614" t="s">
        <v>4536</v>
      </c>
      <c r="D8043" s="606" t="s">
        <v>4359</v>
      </c>
      <c r="E8043" s="606" t="n">
        <v>0.1</v>
      </c>
      <c r="F8043" s="361" t="n">
        <v>999</v>
      </c>
      <c r="G8043" s="926" t="n">
        <f aca="false">E8043*F8043</f>
        <v>99.9</v>
      </c>
      <c r="H8043" s="606"/>
    </row>
    <row r="8044" customFormat="false" ht="15" hidden="false" customHeight="false" outlineLevel="0" collapsed="false">
      <c r="A8044" s="571"/>
      <c r="B8044" s="608" t="s">
        <v>4128</v>
      </c>
      <c r="C8044" s="609"/>
      <c r="D8044" s="610"/>
      <c r="E8044" s="610"/>
      <c r="F8044" s="612"/>
      <c r="G8044" s="613" t="n">
        <f aca="false">SUM(G8038:G8042)</f>
        <v>2821.36</v>
      </c>
      <c r="H8044" s="610"/>
    </row>
    <row r="8045" customFormat="false" ht="30" hidden="false" customHeight="false" outlineLevel="0" collapsed="false">
      <c r="A8045" s="571" t="s">
        <v>1498</v>
      </c>
      <c r="B8045" s="433" t="s">
        <v>3457</v>
      </c>
      <c r="C8045" s="379" t="s">
        <v>5622</v>
      </c>
      <c r="D8045" s="606" t="s">
        <v>5175</v>
      </c>
      <c r="E8045" s="606" t="n">
        <v>0.8</v>
      </c>
      <c r="F8045" s="361" t="n">
        <v>2324</v>
      </c>
      <c r="G8045" s="926" t="n">
        <f aca="false">E8045*F8045</f>
        <v>1859.2</v>
      </c>
      <c r="H8045" s="606"/>
    </row>
    <row r="8046" customFormat="false" ht="15" hidden="false" customHeight="false" outlineLevel="0" collapsed="false">
      <c r="B8046" s="433"/>
      <c r="C8046" s="614" t="s">
        <v>4317</v>
      </c>
      <c r="D8046" s="606" t="s">
        <v>4359</v>
      </c>
      <c r="E8046" s="606" t="n">
        <v>0.01</v>
      </c>
      <c r="F8046" s="361" t="n">
        <v>12000</v>
      </c>
      <c r="G8046" s="926" t="n">
        <f aca="false">E8046*F8046</f>
        <v>120</v>
      </c>
      <c r="H8046" s="606"/>
    </row>
    <row r="8047" customFormat="false" ht="15" hidden="false" customHeight="false" outlineLevel="0" collapsed="false">
      <c r="A8047" s="571"/>
      <c r="B8047" s="608" t="s">
        <v>4128</v>
      </c>
      <c r="C8047" s="609"/>
      <c r="D8047" s="610"/>
      <c r="E8047" s="610"/>
      <c r="F8047" s="612"/>
      <c r="G8047" s="613" t="n">
        <f aca="false">SUM(G8045:G8046)</f>
        <v>1979.2</v>
      </c>
      <c r="H8047" s="610"/>
    </row>
    <row r="8048" customFormat="false" ht="15" hidden="false" customHeight="false" outlineLevel="0" collapsed="false">
      <c r="A8048" s="571" t="s">
        <v>1499</v>
      </c>
      <c r="B8048" s="433" t="s">
        <v>3507</v>
      </c>
      <c r="C8048" s="614" t="s">
        <v>5499</v>
      </c>
      <c r="D8048" s="606" t="s">
        <v>4133</v>
      </c>
      <c r="E8048" s="606" t="n">
        <v>0.01</v>
      </c>
      <c r="F8048" s="927" t="n">
        <v>63000</v>
      </c>
      <c r="G8048" s="926" t="n">
        <f aca="false">E8048*F8048</f>
        <v>630</v>
      </c>
      <c r="H8048" s="606"/>
    </row>
    <row r="8049" customFormat="false" ht="15" hidden="false" customHeight="false" outlineLevel="0" collapsed="false">
      <c r="B8049" s="500"/>
      <c r="C8049" s="614" t="s">
        <v>4378</v>
      </c>
      <c r="D8049" s="606" t="s">
        <v>4133</v>
      </c>
      <c r="E8049" s="606" t="n">
        <v>0.05</v>
      </c>
      <c r="F8049" s="933" t="n">
        <v>12740</v>
      </c>
      <c r="G8049" s="926" t="n">
        <f aca="false">E8049*F8049</f>
        <v>637</v>
      </c>
      <c r="H8049" s="606"/>
    </row>
    <row r="8050" customFormat="false" ht="15" hidden="false" customHeight="false" outlineLevel="0" collapsed="false">
      <c r="A8050" s="571"/>
      <c r="B8050" s="500"/>
      <c r="C8050" s="614" t="s">
        <v>4266</v>
      </c>
      <c r="D8050" s="606" t="s">
        <v>4359</v>
      </c>
      <c r="E8050" s="606" t="n">
        <v>0.04</v>
      </c>
      <c r="F8050" s="361" t="n">
        <v>1330</v>
      </c>
      <c r="G8050" s="926" t="n">
        <f aca="false">E8050*F8050</f>
        <v>53.2</v>
      </c>
      <c r="H8050" s="606"/>
    </row>
    <row r="8051" customFormat="false" ht="15" hidden="false" customHeight="false" outlineLevel="0" collapsed="false">
      <c r="A8051" s="571"/>
      <c r="B8051" s="500"/>
      <c r="C8051" s="614" t="s">
        <v>4604</v>
      </c>
      <c r="D8051" s="606" t="s">
        <v>4359</v>
      </c>
      <c r="E8051" s="606" t="n">
        <v>0.01</v>
      </c>
      <c r="F8051" s="927" t="n">
        <v>10573</v>
      </c>
      <c r="G8051" s="926" t="n">
        <f aca="false">E8051*F8051</f>
        <v>105.73</v>
      </c>
      <c r="H8051" s="606"/>
    </row>
    <row r="8052" customFormat="false" ht="15" hidden="false" customHeight="false" outlineLevel="0" collapsed="false">
      <c r="A8052" s="571"/>
      <c r="B8052" s="500"/>
      <c r="C8052" s="614" t="s">
        <v>4311</v>
      </c>
      <c r="D8052" s="606" t="s">
        <v>4133</v>
      </c>
      <c r="E8052" s="606" t="n">
        <v>0.01</v>
      </c>
      <c r="F8052" s="361" t="n">
        <v>12600</v>
      </c>
      <c r="G8052" s="926" t="n">
        <f aca="false">E8052*F8052</f>
        <v>126</v>
      </c>
      <c r="H8052" s="606"/>
    </row>
    <row r="8053" customFormat="false" ht="15" hidden="false" customHeight="false" outlineLevel="0" collapsed="false">
      <c r="A8053" s="571"/>
      <c r="B8053" s="500"/>
      <c r="C8053" s="614" t="s">
        <v>4122</v>
      </c>
      <c r="D8053" s="606" t="s">
        <v>4359</v>
      </c>
      <c r="E8053" s="606" t="n">
        <v>0.03</v>
      </c>
      <c r="F8053" s="361" t="n">
        <v>720</v>
      </c>
      <c r="G8053" s="926" t="n">
        <f aca="false">E8053*F8053</f>
        <v>21.6</v>
      </c>
      <c r="H8053" s="606"/>
    </row>
    <row r="8054" customFormat="false" ht="15" hidden="false" customHeight="false" outlineLevel="0" collapsed="false">
      <c r="A8054" s="571"/>
      <c r="B8054" s="500"/>
      <c r="C8054" s="614" t="s">
        <v>4214</v>
      </c>
      <c r="D8054" s="606" t="s">
        <v>4133</v>
      </c>
      <c r="E8054" s="606" t="n">
        <v>0.01</v>
      </c>
      <c r="F8054" s="361" t="n">
        <v>19700</v>
      </c>
      <c r="G8054" s="926" t="n">
        <f aca="false">E8054*F8054</f>
        <v>197</v>
      </c>
      <c r="H8054" s="606"/>
    </row>
    <row r="8055" customFormat="false" ht="15" hidden="false" customHeight="false" outlineLevel="0" collapsed="false">
      <c r="A8055" s="571"/>
      <c r="B8055" s="500"/>
      <c r="C8055" s="614" t="s">
        <v>5405</v>
      </c>
      <c r="D8055" s="606" t="s">
        <v>4133</v>
      </c>
      <c r="E8055" s="606" t="n">
        <v>0.03</v>
      </c>
      <c r="F8055" s="361" t="n">
        <v>4900</v>
      </c>
      <c r="G8055" s="926" t="n">
        <f aca="false">E8055*F8055</f>
        <v>147</v>
      </c>
      <c r="H8055" s="606"/>
    </row>
    <row r="8056" customFormat="false" ht="15" hidden="false" customHeight="false" outlineLevel="0" collapsed="false">
      <c r="A8056" s="571"/>
      <c r="B8056" s="500"/>
      <c r="C8056" s="614" t="s">
        <v>4154</v>
      </c>
      <c r="D8056" s="606" t="s">
        <v>4133</v>
      </c>
      <c r="E8056" s="606" t="n">
        <v>0.01</v>
      </c>
      <c r="F8056" s="927" t="n">
        <v>5500</v>
      </c>
      <c r="G8056" s="926" t="n">
        <f aca="false">E8056*F8056</f>
        <v>55</v>
      </c>
      <c r="H8056" s="606"/>
    </row>
    <row r="8057" customFormat="false" ht="15" hidden="false" customHeight="false" outlineLevel="0" collapsed="false">
      <c r="A8057" s="571"/>
      <c r="B8057" s="608" t="s">
        <v>4128</v>
      </c>
      <c r="C8057" s="609"/>
      <c r="D8057" s="610"/>
      <c r="E8057" s="610"/>
      <c r="F8057" s="612"/>
      <c r="G8057" s="613" t="n">
        <f aca="false">SUM(G8048:G8056)</f>
        <v>1972.53</v>
      </c>
      <c r="H8057" s="610"/>
    </row>
    <row r="8058" customFormat="false" ht="15" hidden="false" customHeight="false" outlineLevel="0" collapsed="false">
      <c r="A8058" s="571" t="s">
        <v>1500</v>
      </c>
      <c r="B8058" s="433" t="s">
        <v>3508</v>
      </c>
      <c r="C8058" s="379" t="s">
        <v>5623</v>
      </c>
      <c r="D8058" s="606" t="s">
        <v>4138</v>
      </c>
      <c r="E8058" s="606" t="n">
        <v>0.8</v>
      </c>
      <c r="F8058" s="361" t="n">
        <v>2324</v>
      </c>
      <c r="G8058" s="926" t="n">
        <f aca="false">E8058*F8058</f>
        <v>1859.2</v>
      </c>
      <c r="H8058" s="606"/>
    </row>
    <row r="8059" customFormat="false" ht="15" hidden="false" customHeight="false" outlineLevel="0" collapsed="false">
      <c r="B8059" s="500"/>
      <c r="C8059" s="614" t="s">
        <v>4205</v>
      </c>
      <c r="D8059" s="606" t="s">
        <v>4359</v>
      </c>
      <c r="E8059" s="606" t="n">
        <v>0.01</v>
      </c>
      <c r="F8059" s="927" t="n">
        <v>6300</v>
      </c>
      <c r="G8059" s="926" t="n">
        <f aca="false">E8059*F8059</f>
        <v>63</v>
      </c>
      <c r="H8059" s="606"/>
    </row>
    <row r="8060" customFormat="false" ht="15" hidden="false" customHeight="false" outlineLevel="0" collapsed="false">
      <c r="A8060" s="571"/>
      <c r="B8060" s="500"/>
      <c r="C8060" s="614" t="s">
        <v>4122</v>
      </c>
      <c r="D8060" s="606" t="s">
        <v>4359</v>
      </c>
      <c r="E8060" s="606" t="n">
        <v>0.01</v>
      </c>
      <c r="F8060" s="361" t="n">
        <v>450</v>
      </c>
      <c r="G8060" s="926" t="n">
        <f aca="false">E8060*F8060</f>
        <v>4.5</v>
      </c>
      <c r="H8060" s="606"/>
    </row>
    <row r="8061" customFormat="false" ht="15" hidden="false" customHeight="false" outlineLevel="0" collapsed="false">
      <c r="A8061" s="571"/>
      <c r="B8061" s="500"/>
      <c r="C8061" s="614" t="s">
        <v>4317</v>
      </c>
      <c r="D8061" s="606" t="s">
        <v>4359</v>
      </c>
      <c r="E8061" s="606" t="n">
        <v>0.01</v>
      </c>
      <c r="F8061" s="361" t="n">
        <v>12000</v>
      </c>
      <c r="G8061" s="926" t="n">
        <f aca="false">E8061*F8061</f>
        <v>120</v>
      </c>
      <c r="H8061" s="606"/>
    </row>
    <row r="8062" customFormat="false" ht="15" hidden="false" customHeight="false" outlineLevel="0" collapsed="false">
      <c r="A8062" s="571"/>
      <c r="B8062" s="608" t="s">
        <v>4128</v>
      </c>
      <c r="C8062" s="609"/>
      <c r="D8062" s="610"/>
      <c r="E8062" s="610"/>
      <c r="F8062" s="612"/>
      <c r="G8062" s="613" t="n">
        <f aca="false">SUM(G8058:G8061)</f>
        <v>2046.7</v>
      </c>
      <c r="H8062" s="610"/>
    </row>
    <row r="8063" customFormat="false" ht="30" hidden="false" customHeight="false" outlineLevel="0" collapsed="false">
      <c r="A8063" s="571" t="s">
        <v>5624</v>
      </c>
      <c r="B8063" s="433" t="s">
        <v>3509</v>
      </c>
      <c r="C8063" s="379" t="s">
        <v>5625</v>
      </c>
      <c r="D8063" s="606" t="s">
        <v>5448</v>
      </c>
      <c r="E8063" s="606" t="n">
        <v>0.8</v>
      </c>
      <c r="F8063" s="361" t="n">
        <v>2324</v>
      </c>
      <c r="G8063" s="926" t="n">
        <f aca="false">E8063*F8063</f>
        <v>1859.2</v>
      </c>
      <c r="H8063" s="606"/>
    </row>
    <row r="8064" customFormat="false" ht="15" hidden="false" customHeight="false" outlineLevel="0" collapsed="false">
      <c r="B8064" s="500"/>
      <c r="C8064" s="614" t="s">
        <v>4205</v>
      </c>
      <c r="D8064" s="606" t="s">
        <v>4359</v>
      </c>
      <c r="E8064" s="606" t="n">
        <v>0.01</v>
      </c>
      <c r="F8064" s="927" t="n">
        <v>6300</v>
      </c>
      <c r="G8064" s="926" t="n">
        <f aca="false">E8064*F8064</f>
        <v>63</v>
      </c>
      <c r="H8064" s="606"/>
    </row>
    <row r="8065" customFormat="false" ht="15" hidden="false" customHeight="false" outlineLevel="0" collapsed="false">
      <c r="A8065" s="571"/>
      <c r="B8065" s="500"/>
      <c r="C8065" s="614" t="s">
        <v>4122</v>
      </c>
      <c r="D8065" s="606" t="s">
        <v>4359</v>
      </c>
      <c r="E8065" s="606" t="n">
        <v>0.01</v>
      </c>
      <c r="F8065" s="361" t="n">
        <v>720</v>
      </c>
      <c r="G8065" s="926" t="n">
        <f aca="false">E8065*F8065</f>
        <v>7.2</v>
      </c>
      <c r="H8065" s="606"/>
    </row>
    <row r="8066" customFormat="false" ht="15" hidden="false" customHeight="false" outlineLevel="0" collapsed="false">
      <c r="A8066" s="571"/>
      <c r="B8066" s="500"/>
      <c r="C8066" s="614" t="s">
        <v>4317</v>
      </c>
      <c r="D8066" s="606" t="s">
        <v>4359</v>
      </c>
      <c r="E8066" s="606" t="n">
        <v>0.01</v>
      </c>
      <c r="F8066" s="361" t="n">
        <v>12000</v>
      </c>
      <c r="G8066" s="926" t="n">
        <f aca="false">E8066*F8066</f>
        <v>120</v>
      </c>
      <c r="H8066" s="606"/>
    </row>
    <row r="8067" customFormat="false" ht="15" hidden="false" customHeight="false" outlineLevel="0" collapsed="false">
      <c r="A8067" s="571"/>
      <c r="B8067" s="608" t="s">
        <v>4128</v>
      </c>
      <c r="C8067" s="609"/>
      <c r="D8067" s="610"/>
      <c r="E8067" s="610"/>
      <c r="F8067" s="612"/>
      <c r="G8067" s="613" t="n">
        <f aca="false">SUM(G8063:G8066)</f>
        <v>2049.4</v>
      </c>
      <c r="H8067" s="610"/>
    </row>
    <row r="8068" customFormat="false" ht="15" hidden="false" customHeight="false" outlineLevel="0" collapsed="false">
      <c r="A8068" s="571" t="s">
        <v>1502</v>
      </c>
      <c r="B8068" s="433" t="s">
        <v>3460</v>
      </c>
      <c r="C8068" s="614" t="s">
        <v>5503</v>
      </c>
      <c r="D8068" s="606" t="s">
        <v>4138</v>
      </c>
      <c r="E8068" s="606" t="n">
        <v>0.6</v>
      </c>
      <c r="F8068" s="927" t="n">
        <v>2128</v>
      </c>
      <c r="G8068" s="926" t="n">
        <f aca="false">E8068*F8068</f>
        <v>1276.8</v>
      </c>
      <c r="H8068" s="606"/>
    </row>
    <row r="8069" customFormat="false" ht="15" hidden="false" customHeight="false" outlineLevel="0" collapsed="false">
      <c r="B8069" s="500"/>
      <c r="C8069" s="614" t="s">
        <v>5450</v>
      </c>
      <c r="D8069" s="606" t="s">
        <v>4133</v>
      </c>
      <c r="E8069" s="606" t="n">
        <v>0.08</v>
      </c>
      <c r="F8069" s="361" t="n">
        <v>1288</v>
      </c>
      <c r="G8069" s="926" t="n">
        <f aca="false">E8069*F8069</f>
        <v>103.04</v>
      </c>
      <c r="H8069" s="606"/>
    </row>
    <row r="8070" customFormat="false" ht="15" hidden="false" customHeight="false" outlineLevel="0" collapsed="false">
      <c r="A8070" s="571"/>
      <c r="B8070" s="500"/>
      <c r="C8070" s="614" t="s">
        <v>4147</v>
      </c>
      <c r="D8070" s="606" t="s">
        <v>4133</v>
      </c>
      <c r="E8070" s="606" t="n">
        <v>0.0022</v>
      </c>
      <c r="F8070" s="361" t="n">
        <v>3500</v>
      </c>
      <c r="G8070" s="926" t="n">
        <f aca="false">E8070*F8070</f>
        <v>7.7</v>
      </c>
      <c r="H8070" s="606"/>
    </row>
    <row r="8071" customFormat="false" ht="15" hidden="false" customHeight="false" outlineLevel="0" collapsed="false">
      <c r="A8071" s="571"/>
      <c r="B8071" s="500"/>
      <c r="C8071" s="614" t="s">
        <v>5466</v>
      </c>
      <c r="D8071" s="606" t="s">
        <v>4138</v>
      </c>
      <c r="E8071" s="606" t="n">
        <v>0.1</v>
      </c>
      <c r="F8071" s="361" t="n">
        <v>4900</v>
      </c>
      <c r="G8071" s="926" t="n">
        <f aca="false">E8071*F8071</f>
        <v>490</v>
      </c>
      <c r="H8071" s="606"/>
    </row>
    <row r="8072" customFormat="false" ht="15" hidden="false" customHeight="false" outlineLevel="0" collapsed="false">
      <c r="A8072" s="571"/>
      <c r="B8072" s="500"/>
      <c r="C8072" s="614" t="s">
        <v>4240</v>
      </c>
      <c r="D8072" s="606" t="s">
        <v>4133</v>
      </c>
      <c r="E8072" s="606" t="n">
        <v>0.0001</v>
      </c>
      <c r="F8072" s="361" t="n">
        <v>6200</v>
      </c>
      <c r="G8072" s="926" t="n">
        <f aca="false">E8072*F8072</f>
        <v>0.62</v>
      </c>
      <c r="H8072" s="606"/>
    </row>
    <row r="8073" customFormat="false" ht="15" hidden="false" customHeight="false" outlineLevel="0" collapsed="false">
      <c r="A8073" s="571"/>
      <c r="B8073" s="608" t="s">
        <v>4128</v>
      </c>
      <c r="C8073" s="609"/>
      <c r="D8073" s="610"/>
      <c r="E8073" s="610"/>
      <c r="F8073" s="612"/>
      <c r="G8073" s="613" t="n">
        <f aca="false">SUM(G8068:G8072)</f>
        <v>1878.16</v>
      </c>
      <c r="H8073" s="610"/>
    </row>
    <row r="8074" customFormat="false" ht="15" hidden="false" customHeight="false" outlineLevel="0" collapsed="false">
      <c r="A8074" s="571" t="s">
        <v>1503</v>
      </c>
      <c r="B8074" s="433" t="s">
        <v>3445</v>
      </c>
      <c r="C8074" s="379" t="s">
        <v>5626</v>
      </c>
      <c r="D8074" s="606" t="s">
        <v>4138</v>
      </c>
      <c r="E8074" s="606" t="n">
        <v>0.8</v>
      </c>
      <c r="F8074" s="927" t="n">
        <v>2380</v>
      </c>
      <c r="G8074" s="926" t="n">
        <f aca="false">E8074*F8074</f>
        <v>1904</v>
      </c>
      <c r="H8074" s="606"/>
    </row>
    <row r="8075" customFormat="false" ht="15" hidden="false" customHeight="false" outlineLevel="0" collapsed="false">
      <c r="B8075" s="500"/>
      <c r="C8075" s="614" t="s">
        <v>4122</v>
      </c>
      <c r="D8075" s="606" t="s">
        <v>4359</v>
      </c>
      <c r="E8075" s="606" t="n">
        <v>0.01</v>
      </c>
      <c r="F8075" s="361" t="n">
        <v>720</v>
      </c>
      <c r="G8075" s="926" t="n">
        <f aca="false">E8075*F8075</f>
        <v>7.2</v>
      </c>
      <c r="H8075" s="606"/>
    </row>
    <row r="8076" customFormat="false" ht="15" hidden="false" customHeight="false" outlineLevel="0" collapsed="false">
      <c r="A8076" s="571"/>
      <c r="B8076" s="500"/>
      <c r="C8076" s="614" t="s">
        <v>4485</v>
      </c>
      <c r="D8076" s="606" t="s">
        <v>4133</v>
      </c>
      <c r="E8076" s="606" t="n">
        <v>0.01</v>
      </c>
      <c r="F8076" s="927" t="n">
        <v>5241.6</v>
      </c>
      <c r="G8076" s="926" t="n">
        <f aca="false">E8076*F8076</f>
        <v>52.416</v>
      </c>
      <c r="H8076" s="606"/>
    </row>
    <row r="8077" customFormat="false" ht="15" hidden="false" customHeight="false" outlineLevel="0" collapsed="false">
      <c r="A8077" s="571"/>
      <c r="B8077" s="500"/>
      <c r="C8077" s="614" t="s">
        <v>4317</v>
      </c>
      <c r="D8077" s="606" t="s">
        <v>4359</v>
      </c>
      <c r="E8077" s="606" t="n">
        <v>1E-005</v>
      </c>
      <c r="F8077" s="361" t="n">
        <v>12000</v>
      </c>
      <c r="G8077" s="926" t="n">
        <f aca="false">E8077*F8077</f>
        <v>0.12</v>
      </c>
      <c r="H8077" s="606"/>
    </row>
    <row r="8078" customFormat="false" ht="15" hidden="false" customHeight="false" outlineLevel="0" collapsed="false">
      <c r="A8078" s="571"/>
      <c r="B8078" s="500"/>
      <c r="C8078" s="614" t="s">
        <v>4205</v>
      </c>
      <c r="D8078" s="606" t="s">
        <v>4359</v>
      </c>
      <c r="E8078" s="606" t="n">
        <v>0.01</v>
      </c>
      <c r="F8078" s="927" t="n">
        <v>6300</v>
      </c>
      <c r="G8078" s="926" t="n">
        <f aca="false">E8078*F8078</f>
        <v>63</v>
      </c>
      <c r="H8078" s="606"/>
    </row>
    <row r="8079" customFormat="false" ht="15" hidden="false" customHeight="false" outlineLevel="0" collapsed="false">
      <c r="A8079" s="571"/>
      <c r="B8079" s="608" t="s">
        <v>4128</v>
      </c>
      <c r="C8079" s="609"/>
      <c r="D8079" s="610"/>
      <c r="E8079" s="610"/>
      <c r="F8079" s="612"/>
      <c r="G8079" s="613" t="n">
        <f aca="false">SUM(G8074:G8078)</f>
        <v>2026.736</v>
      </c>
      <c r="H8079" s="610"/>
    </row>
    <row r="8080" customFormat="false" ht="15" hidden="false" customHeight="false" outlineLevel="0" collapsed="false">
      <c r="A8080" s="571" t="s">
        <v>1504</v>
      </c>
      <c r="B8080" s="433" t="s">
        <v>3510</v>
      </c>
      <c r="C8080" s="614" t="s">
        <v>5627</v>
      </c>
      <c r="D8080" s="606" t="s">
        <v>5437</v>
      </c>
      <c r="E8080" s="606" t="n">
        <v>0.08</v>
      </c>
      <c r="F8080" s="361" t="n">
        <v>15680</v>
      </c>
      <c r="G8080" s="926" t="n">
        <f aca="false">E8080*F8080</f>
        <v>1254.4</v>
      </c>
      <c r="H8080" s="606"/>
    </row>
    <row r="8081" customFormat="false" ht="15" hidden="false" customHeight="false" outlineLevel="0" collapsed="false">
      <c r="A8081" s="928"/>
      <c r="B8081" s="500"/>
      <c r="C8081" s="614" t="s">
        <v>4147</v>
      </c>
      <c r="D8081" s="606" t="s">
        <v>4133</v>
      </c>
      <c r="E8081" s="606" t="n">
        <v>0.0315</v>
      </c>
      <c r="F8081" s="361" t="n">
        <v>3500</v>
      </c>
      <c r="G8081" s="926" t="n">
        <f aca="false">E8081*F8081</f>
        <v>110.25</v>
      </c>
      <c r="H8081" s="606"/>
    </row>
    <row r="8082" customFormat="false" ht="15" hidden="false" customHeight="false" outlineLevel="0" collapsed="false">
      <c r="A8082" s="571"/>
      <c r="B8082" s="500"/>
      <c r="C8082" s="614" t="s">
        <v>5405</v>
      </c>
      <c r="D8082" s="606" t="s">
        <v>5452</v>
      </c>
      <c r="E8082" s="606" t="n">
        <v>0.1</v>
      </c>
      <c r="F8082" s="361" t="n">
        <v>4900</v>
      </c>
      <c r="G8082" s="926" t="n">
        <f aca="false">E8082*F8082</f>
        <v>490</v>
      </c>
      <c r="H8082" s="606"/>
    </row>
    <row r="8083" customFormat="false" ht="15" hidden="false" customHeight="false" outlineLevel="0" collapsed="false">
      <c r="A8083" s="571"/>
      <c r="B8083" s="500"/>
      <c r="C8083" s="614" t="s">
        <v>5164</v>
      </c>
      <c r="D8083" s="606" t="s">
        <v>4133</v>
      </c>
      <c r="E8083" s="606" t="n">
        <v>0.05</v>
      </c>
      <c r="F8083" s="361" t="n">
        <v>3150</v>
      </c>
      <c r="G8083" s="926" t="n">
        <f aca="false">E8083*F8083</f>
        <v>157.5</v>
      </c>
      <c r="H8083" s="606"/>
    </row>
    <row r="8084" customFormat="false" ht="15" hidden="false" customHeight="false" outlineLevel="0" collapsed="false">
      <c r="A8084" s="571"/>
      <c r="B8084" s="500"/>
      <c r="C8084" s="614" t="s">
        <v>4240</v>
      </c>
      <c r="D8084" s="606" t="s">
        <v>4133</v>
      </c>
      <c r="E8084" s="606" t="n">
        <v>0.005</v>
      </c>
      <c r="F8084" s="361" t="n">
        <v>6200</v>
      </c>
      <c r="G8084" s="926" t="n">
        <f aca="false">E8084*F8084</f>
        <v>31</v>
      </c>
      <c r="H8084" s="606"/>
    </row>
    <row r="8085" customFormat="false" ht="15" hidden="false" customHeight="false" outlineLevel="0" collapsed="false">
      <c r="A8085" s="571"/>
      <c r="B8085" s="608" t="s">
        <v>4128</v>
      </c>
      <c r="C8085" s="609"/>
      <c r="D8085" s="610"/>
      <c r="E8085" s="610"/>
      <c r="F8085" s="612"/>
      <c r="G8085" s="613" t="n">
        <f aca="false">SUM(G8080:G8084)</f>
        <v>2043.15</v>
      </c>
      <c r="H8085" s="610"/>
    </row>
    <row r="8086" customFormat="false" ht="30" hidden="false" customHeight="false" outlineLevel="0" collapsed="false">
      <c r="A8086" s="571" t="s">
        <v>5628</v>
      </c>
      <c r="B8086" s="433" t="s">
        <v>3511</v>
      </c>
      <c r="C8086" s="379" t="s">
        <v>5629</v>
      </c>
      <c r="D8086" s="606" t="s">
        <v>5448</v>
      </c>
      <c r="E8086" s="606" t="n">
        <v>0.75</v>
      </c>
      <c r="F8086" s="361" t="n">
        <v>2324</v>
      </c>
      <c r="G8086" s="926" t="n">
        <f aca="false">E8086*F8086</f>
        <v>1743</v>
      </c>
      <c r="H8086" s="606"/>
    </row>
    <row r="8087" customFormat="false" ht="15" hidden="false" customHeight="false" outlineLevel="0" collapsed="false">
      <c r="A8087" s="928"/>
      <c r="B8087" s="500"/>
      <c r="C8087" s="614" t="s">
        <v>4205</v>
      </c>
      <c r="D8087" s="606" t="s">
        <v>4359</v>
      </c>
      <c r="E8087" s="606" t="n">
        <v>0.01</v>
      </c>
      <c r="F8087" s="927" t="n">
        <v>6300</v>
      </c>
      <c r="G8087" s="926" t="n">
        <f aca="false">E8087*F8087</f>
        <v>63</v>
      </c>
      <c r="H8087" s="606"/>
    </row>
    <row r="8088" customFormat="false" ht="15" hidden="false" customHeight="false" outlineLevel="0" collapsed="false">
      <c r="A8088" s="571"/>
      <c r="B8088" s="500"/>
      <c r="C8088" s="614" t="s">
        <v>4122</v>
      </c>
      <c r="D8088" s="606" t="s">
        <v>4359</v>
      </c>
      <c r="E8088" s="606" t="n">
        <v>0.01</v>
      </c>
      <c r="F8088" s="361" t="n">
        <v>720</v>
      </c>
      <c r="G8088" s="926" t="n">
        <f aca="false">E8088*F8088</f>
        <v>7.2</v>
      </c>
      <c r="H8088" s="606"/>
    </row>
    <row r="8089" customFormat="false" ht="15" hidden="false" customHeight="false" outlineLevel="0" collapsed="false">
      <c r="A8089" s="571"/>
      <c r="B8089" s="500"/>
      <c r="C8089" s="614" t="s">
        <v>4317</v>
      </c>
      <c r="D8089" s="606" t="s">
        <v>4359</v>
      </c>
      <c r="E8089" s="606" t="n">
        <v>0.01</v>
      </c>
      <c r="F8089" s="361" t="n">
        <v>12000</v>
      </c>
      <c r="G8089" s="926" t="n">
        <f aca="false">E8089*F8089</f>
        <v>120</v>
      </c>
      <c r="H8089" s="606"/>
    </row>
    <row r="8090" customFormat="false" ht="15" hidden="false" customHeight="false" outlineLevel="0" collapsed="false">
      <c r="A8090" s="571"/>
      <c r="B8090" s="500"/>
      <c r="C8090" s="614" t="s">
        <v>4485</v>
      </c>
      <c r="D8090" s="606" t="s">
        <v>4133</v>
      </c>
      <c r="E8090" s="606" t="n">
        <v>0.01</v>
      </c>
      <c r="F8090" s="927" t="n">
        <v>5241.6</v>
      </c>
      <c r="G8090" s="926" t="n">
        <f aca="false">E8090*F8090</f>
        <v>52.416</v>
      </c>
      <c r="H8090" s="606"/>
    </row>
    <row r="8091" customFormat="false" ht="15" hidden="false" customHeight="false" outlineLevel="0" collapsed="false">
      <c r="A8091" s="571"/>
      <c r="B8091" s="608" t="s">
        <v>4128</v>
      </c>
      <c r="C8091" s="609"/>
      <c r="D8091" s="610"/>
      <c r="E8091" s="610"/>
      <c r="F8091" s="612"/>
      <c r="G8091" s="613" t="n">
        <f aca="false">SUM(G8086:G8090)</f>
        <v>1985.616</v>
      </c>
      <c r="H8091" s="610"/>
    </row>
    <row r="8092" customFormat="false" ht="30" hidden="false" customHeight="false" outlineLevel="0" collapsed="false">
      <c r="A8092" s="571" t="s">
        <v>5630</v>
      </c>
      <c r="B8092" s="433" t="s">
        <v>3512</v>
      </c>
      <c r="C8092" s="379" t="s">
        <v>5631</v>
      </c>
      <c r="D8092" s="606" t="s">
        <v>5448</v>
      </c>
      <c r="E8092" s="606" t="n">
        <v>0.75</v>
      </c>
      <c r="F8092" s="361" t="n">
        <v>2324</v>
      </c>
      <c r="G8092" s="926" t="n">
        <f aca="false">E8092*F8092</f>
        <v>1743</v>
      </c>
      <c r="H8092" s="606"/>
    </row>
    <row r="8093" customFormat="false" ht="15" hidden="false" customHeight="false" outlineLevel="0" collapsed="false">
      <c r="A8093" s="928"/>
      <c r="B8093" s="500"/>
      <c r="C8093" s="614" t="s">
        <v>4205</v>
      </c>
      <c r="D8093" s="606" t="s">
        <v>4359</v>
      </c>
      <c r="E8093" s="606" t="n">
        <v>0.01</v>
      </c>
      <c r="F8093" s="927" t="n">
        <v>6300</v>
      </c>
      <c r="G8093" s="926" t="n">
        <f aca="false">E8093*F8093</f>
        <v>63</v>
      </c>
      <c r="H8093" s="606"/>
    </row>
    <row r="8094" customFormat="false" ht="15" hidden="false" customHeight="false" outlineLevel="0" collapsed="false">
      <c r="A8094" s="571"/>
      <c r="B8094" s="500"/>
      <c r="C8094" s="614" t="s">
        <v>4122</v>
      </c>
      <c r="D8094" s="606" t="s">
        <v>4359</v>
      </c>
      <c r="E8094" s="606" t="n">
        <v>0.01</v>
      </c>
      <c r="F8094" s="361" t="n">
        <v>720</v>
      </c>
      <c r="G8094" s="926" t="n">
        <f aca="false">E8094*F8094</f>
        <v>7.2</v>
      </c>
      <c r="H8094" s="606"/>
    </row>
    <row r="8095" customFormat="false" ht="15" hidden="false" customHeight="false" outlineLevel="0" collapsed="false">
      <c r="A8095" s="571"/>
      <c r="B8095" s="500"/>
      <c r="C8095" s="614" t="s">
        <v>4317</v>
      </c>
      <c r="D8095" s="606" t="s">
        <v>4359</v>
      </c>
      <c r="E8095" s="606" t="n">
        <v>0.01</v>
      </c>
      <c r="F8095" s="361" t="n">
        <v>12000</v>
      </c>
      <c r="G8095" s="926" t="n">
        <f aca="false">E8095*F8095</f>
        <v>120</v>
      </c>
      <c r="H8095" s="606"/>
    </row>
    <row r="8096" customFormat="false" ht="15" hidden="false" customHeight="false" outlineLevel="0" collapsed="false">
      <c r="A8096" s="571"/>
      <c r="B8096" s="500"/>
      <c r="C8096" s="614" t="s">
        <v>4485</v>
      </c>
      <c r="D8096" s="606" t="s">
        <v>4133</v>
      </c>
      <c r="E8096" s="606" t="n">
        <v>0.01</v>
      </c>
      <c r="F8096" s="927" t="n">
        <v>5241.6</v>
      </c>
      <c r="G8096" s="926" t="n">
        <f aca="false">E8096*F8096</f>
        <v>52.416</v>
      </c>
      <c r="H8096" s="606"/>
    </row>
    <row r="8097" customFormat="false" ht="15" hidden="false" customHeight="false" outlineLevel="0" collapsed="false">
      <c r="A8097" s="571"/>
      <c r="B8097" s="608" t="s">
        <v>4128</v>
      </c>
      <c r="C8097" s="609"/>
      <c r="D8097" s="610"/>
      <c r="E8097" s="610"/>
      <c r="F8097" s="612"/>
      <c r="G8097" s="613" t="n">
        <f aca="false">SUM(G8092:G8096)</f>
        <v>1985.616</v>
      </c>
      <c r="H8097" s="610"/>
    </row>
    <row r="8098" customFormat="false" ht="15" hidden="false" customHeight="false" outlineLevel="0" collapsed="false">
      <c r="A8098" s="571" t="s">
        <v>5632</v>
      </c>
      <c r="B8098" s="433" t="s">
        <v>3513</v>
      </c>
      <c r="C8098" s="379" t="s">
        <v>5633</v>
      </c>
      <c r="D8098" s="606" t="s">
        <v>4138</v>
      </c>
      <c r="E8098" s="606" t="n">
        <v>1</v>
      </c>
      <c r="F8098" s="927" t="n">
        <v>1120</v>
      </c>
      <c r="G8098" s="926" t="n">
        <f aca="false">E8098*F8098</f>
        <v>1120</v>
      </c>
      <c r="H8098" s="606"/>
    </row>
    <row r="8099" customFormat="false" ht="15" hidden="false" customHeight="false" outlineLevel="0" collapsed="false">
      <c r="B8099" s="500"/>
      <c r="C8099" s="614" t="s">
        <v>4205</v>
      </c>
      <c r="D8099" s="606" t="s">
        <v>4359</v>
      </c>
      <c r="E8099" s="606" t="n">
        <v>0.1</v>
      </c>
      <c r="F8099" s="927" t="n">
        <v>6300</v>
      </c>
      <c r="G8099" s="926" t="n">
        <f aca="false">E8099*F8099</f>
        <v>630</v>
      </c>
      <c r="H8099" s="606"/>
    </row>
    <row r="8100" customFormat="false" ht="15" hidden="false" customHeight="false" outlineLevel="0" collapsed="false">
      <c r="A8100" s="571"/>
      <c r="B8100" s="500"/>
      <c r="C8100" s="614" t="s">
        <v>4122</v>
      </c>
      <c r="D8100" s="606" t="s">
        <v>4359</v>
      </c>
      <c r="E8100" s="606" t="n">
        <v>0.1</v>
      </c>
      <c r="F8100" s="361" t="n">
        <v>720</v>
      </c>
      <c r="G8100" s="926" t="n">
        <f aca="false">E8100*F8100</f>
        <v>72</v>
      </c>
      <c r="H8100" s="606"/>
    </row>
    <row r="8101" customFormat="false" ht="15" hidden="false" customHeight="false" outlineLevel="0" collapsed="false">
      <c r="A8101" s="571"/>
      <c r="B8101" s="500"/>
      <c r="C8101" s="614" t="s">
        <v>4317</v>
      </c>
      <c r="D8101" s="606" t="s">
        <v>4359</v>
      </c>
      <c r="E8101" s="606" t="n">
        <v>0.01</v>
      </c>
      <c r="F8101" s="361" t="n">
        <v>12000</v>
      </c>
      <c r="G8101" s="926" t="n">
        <f aca="false">E8101*F8101</f>
        <v>120</v>
      </c>
      <c r="H8101" s="606"/>
    </row>
    <row r="8102" customFormat="false" ht="15" hidden="false" customHeight="false" outlineLevel="0" collapsed="false">
      <c r="A8102" s="571"/>
      <c r="B8102" s="500"/>
      <c r="C8102" s="614" t="s">
        <v>4485</v>
      </c>
      <c r="D8102" s="606" t="s">
        <v>4133</v>
      </c>
      <c r="E8102" s="606" t="n">
        <v>0.01</v>
      </c>
      <c r="F8102" s="927" t="n">
        <v>5241</v>
      </c>
      <c r="G8102" s="926" t="n">
        <f aca="false">E8102*F8102</f>
        <v>52.41</v>
      </c>
      <c r="H8102" s="606"/>
    </row>
    <row r="8103" customFormat="false" ht="15" hidden="false" customHeight="false" outlineLevel="0" collapsed="false">
      <c r="A8103" s="571"/>
      <c r="B8103" s="608" t="s">
        <v>4128</v>
      </c>
      <c r="C8103" s="609"/>
      <c r="D8103" s="610"/>
      <c r="E8103" s="610"/>
      <c r="F8103" s="612"/>
      <c r="G8103" s="613" t="n">
        <f aca="false">SUM(G8098:G8102)</f>
        <v>1994.41</v>
      </c>
      <c r="H8103" s="610"/>
    </row>
    <row r="8104" customFormat="false" ht="15" hidden="false" customHeight="false" outlineLevel="0" collapsed="false">
      <c r="A8104" s="571" t="s">
        <v>1510</v>
      </c>
      <c r="B8104" s="433" t="s">
        <v>3514</v>
      </c>
      <c r="C8104" s="614" t="s">
        <v>4317</v>
      </c>
      <c r="D8104" s="606" t="s">
        <v>4359</v>
      </c>
      <c r="E8104" s="606" t="n">
        <v>0.01</v>
      </c>
      <c r="F8104" s="361" t="n">
        <v>12000</v>
      </c>
      <c r="G8104" s="926" t="n">
        <f aca="false">E8104*F8104</f>
        <v>120</v>
      </c>
      <c r="H8104" s="606"/>
    </row>
    <row r="8105" customFormat="false" ht="15" hidden="false" customHeight="false" outlineLevel="0" collapsed="false">
      <c r="B8105" s="433"/>
      <c r="C8105" s="379" t="s">
        <v>5634</v>
      </c>
      <c r="D8105" s="606" t="s">
        <v>4138</v>
      </c>
      <c r="E8105" s="606" t="n">
        <v>0.8</v>
      </c>
      <c r="F8105" s="927" t="n">
        <v>2324</v>
      </c>
      <c r="G8105" s="926" t="n">
        <f aca="false">E8105*F8105</f>
        <v>1859.2</v>
      </c>
      <c r="H8105" s="606"/>
    </row>
    <row r="8106" customFormat="false" ht="15" hidden="false" customHeight="false" outlineLevel="0" collapsed="false">
      <c r="A8106" s="571"/>
      <c r="B8106" s="608" t="s">
        <v>4128</v>
      </c>
      <c r="C8106" s="609"/>
      <c r="D8106" s="610"/>
      <c r="E8106" s="610"/>
      <c r="F8106" s="612"/>
      <c r="G8106" s="613" t="n">
        <f aca="false">SUM(G8104:G8105)</f>
        <v>1979.2</v>
      </c>
      <c r="H8106" s="610"/>
    </row>
    <row r="8107" customFormat="false" ht="14.25" hidden="false" customHeight="true" outlineLevel="0" collapsed="false">
      <c r="A8107" s="571" t="s">
        <v>1511</v>
      </c>
      <c r="B8107" s="433" t="s">
        <v>3453</v>
      </c>
      <c r="C8107" s="379" t="s">
        <v>5635</v>
      </c>
      <c r="D8107" s="606" t="s">
        <v>4138</v>
      </c>
      <c r="E8107" s="606" t="n">
        <v>0.2</v>
      </c>
      <c r="F8107" s="927" t="n">
        <v>7700</v>
      </c>
      <c r="G8107" s="926" t="n">
        <f aca="false">E8107*F8107</f>
        <v>1540</v>
      </c>
      <c r="H8107" s="606"/>
    </row>
    <row r="8108" customFormat="false" ht="15" hidden="false" customHeight="false" outlineLevel="0" collapsed="false">
      <c r="A8108" s="928"/>
      <c r="B8108" s="500"/>
      <c r="C8108" s="614" t="s">
        <v>4205</v>
      </c>
      <c r="D8108" s="606" t="s">
        <v>4359</v>
      </c>
      <c r="E8108" s="606" t="n">
        <v>0.05</v>
      </c>
      <c r="F8108" s="927" t="n">
        <v>6300</v>
      </c>
      <c r="G8108" s="926" t="n">
        <f aca="false">E8108*F8108</f>
        <v>315</v>
      </c>
      <c r="H8108" s="606"/>
    </row>
    <row r="8109" customFormat="false" ht="15" hidden="false" customHeight="false" outlineLevel="0" collapsed="false">
      <c r="A8109" s="571"/>
      <c r="B8109" s="500"/>
      <c r="C8109" s="614" t="s">
        <v>4122</v>
      </c>
      <c r="D8109" s="606" t="s">
        <v>4359</v>
      </c>
      <c r="E8109" s="606" t="n">
        <v>0.01</v>
      </c>
      <c r="F8109" s="361" t="n">
        <v>720</v>
      </c>
      <c r="G8109" s="926" t="n">
        <f aca="false">E8109*F8109</f>
        <v>7.2</v>
      </c>
      <c r="H8109" s="606"/>
    </row>
    <row r="8110" customFormat="false" ht="15" hidden="false" customHeight="false" outlineLevel="0" collapsed="false">
      <c r="A8110" s="571"/>
      <c r="B8110" s="500"/>
      <c r="C8110" s="614" t="s">
        <v>4317</v>
      </c>
      <c r="D8110" s="606" t="s">
        <v>4359</v>
      </c>
      <c r="E8110" s="606" t="n">
        <v>0.01</v>
      </c>
      <c r="F8110" s="361" t="n">
        <v>12000</v>
      </c>
      <c r="G8110" s="926" t="n">
        <f aca="false">E8110*F8110</f>
        <v>120</v>
      </c>
      <c r="H8110" s="606"/>
    </row>
    <row r="8111" customFormat="false" ht="15" hidden="false" customHeight="false" outlineLevel="0" collapsed="false">
      <c r="A8111" s="571"/>
      <c r="B8111" s="608" t="s">
        <v>4128</v>
      </c>
      <c r="C8111" s="609"/>
      <c r="D8111" s="610"/>
      <c r="E8111" s="610"/>
      <c r="F8111" s="612"/>
      <c r="G8111" s="613" t="n">
        <f aca="false">SUM(G8107:G8110)</f>
        <v>1982.2</v>
      </c>
      <c r="H8111" s="610"/>
    </row>
    <row r="8112" customFormat="false" ht="15" hidden="false" customHeight="false" outlineLevel="0" collapsed="false">
      <c r="A8112" s="571" t="s">
        <v>1512</v>
      </c>
      <c r="B8112" s="433" t="s">
        <v>3462</v>
      </c>
      <c r="C8112" s="614" t="s">
        <v>5636</v>
      </c>
      <c r="D8112" s="606" t="s">
        <v>5564</v>
      </c>
      <c r="E8112" s="606" t="n">
        <v>0.005</v>
      </c>
      <c r="F8112" s="929" t="n">
        <v>77767</v>
      </c>
      <c r="G8112" s="926" t="n">
        <f aca="false">E8112*F8112</f>
        <v>388.835</v>
      </c>
      <c r="H8112" s="606"/>
    </row>
    <row r="8113" customFormat="false" ht="15" hidden="false" customHeight="false" outlineLevel="0" collapsed="false">
      <c r="B8113" s="500"/>
      <c r="C8113" s="614" t="s">
        <v>5508</v>
      </c>
      <c r="D8113" s="606" t="s">
        <v>4133</v>
      </c>
      <c r="E8113" s="606" t="n">
        <v>0.013</v>
      </c>
      <c r="F8113" s="927" t="n">
        <v>3500</v>
      </c>
      <c r="G8113" s="926" t="n">
        <f aca="false">E8113*F8113</f>
        <v>45.5</v>
      </c>
      <c r="H8113" s="606"/>
    </row>
    <row r="8114" customFormat="false" ht="15" hidden="false" customHeight="false" outlineLevel="0" collapsed="false">
      <c r="A8114" s="571"/>
      <c r="B8114" s="500"/>
      <c r="C8114" s="614" t="s">
        <v>4147</v>
      </c>
      <c r="D8114" s="606" t="s">
        <v>4133</v>
      </c>
      <c r="E8114" s="606" t="n">
        <v>0.026</v>
      </c>
      <c r="F8114" s="361" t="n">
        <v>3500</v>
      </c>
      <c r="G8114" s="926" t="n">
        <f aca="false">E8114*F8114</f>
        <v>91</v>
      </c>
      <c r="H8114" s="606"/>
    </row>
    <row r="8115" customFormat="false" ht="15" hidden="false" customHeight="false" outlineLevel="0" collapsed="false">
      <c r="A8115" s="571"/>
      <c r="B8115" s="500"/>
      <c r="C8115" s="614" t="s">
        <v>5059</v>
      </c>
      <c r="D8115" s="606" t="s">
        <v>4359</v>
      </c>
      <c r="E8115" s="606" t="n">
        <v>0.052</v>
      </c>
      <c r="F8115" s="361" t="n">
        <v>999</v>
      </c>
      <c r="G8115" s="926" t="n">
        <f aca="false">E8115*F8115</f>
        <v>51.948</v>
      </c>
      <c r="H8115" s="606"/>
    </row>
    <row r="8116" customFormat="false" ht="15" hidden="false" customHeight="false" outlineLevel="0" collapsed="false">
      <c r="A8116" s="571"/>
      <c r="B8116" s="500"/>
      <c r="C8116" s="614" t="s">
        <v>4648</v>
      </c>
      <c r="D8116" s="606" t="s">
        <v>4133</v>
      </c>
      <c r="E8116" s="606" t="n">
        <v>0.004</v>
      </c>
      <c r="F8116" s="361" t="n">
        <v>350000</v>
      </c>
      <c r="G8116" s="926" t="n">
        <f aca="false">E8116*F8116</f>
        <v>1400</v>
      </c>
      <c r="H8116" s="606"/>
    </row>
    <row r="8117" customFormat="false" ht="15" hidden="false" customHeight="false" outlineLevel="0" collapsed="false">
      <c r="A8117" s="571"/>
      <c r="B8117" s="500"/>
      <c r="C8117" s="379" t="s">
        <v>5637</v>
      </c>
      <c r="D8117" s="606" t="s">
        <v>5452</v>
      </c>
      <c r="E8117" s="606" t="n">
        <v>0.1</v>
      </c>
      <c r="F8117" s="927" t="n">
        <v>15400</v>
      </c>
      <c r="G8117" s="926" t="n">
        <f aca="false">E8117*F8117</f>
        <v>1540</v>
      </c>
      <c r="H8117" s="606"/>
    </row>
    <row r="8118" customFormat="false" ht="15" hidden="false" customHeight="false" outlineLevel="0" collapsed="false">
      <c r="A8118" s="571"/>
      <c r="B8118" s="608" t="s">
        <v>4128</v>
      </c>
      <c r="C8118" s="609"/>
      <c r="D8118" s="610"/>
      <c r="E8118" s="610"/>
      <c r="F8118" s="612"/>
      <c r="G8118" s="613" t="n">
        <f aca="false">SUM(G8112:G8117)</f>
        <v>3517.283</v>
      </c>
      <c r="H8118" s="610"/>
    </row>
    <row r="8119" customFormat="false" ht="30" hidden="false" customHeight="false" outlineLevel="0" collapsed="false">
      <c r="A8119" s="571" t="s">
        <v>5638</v>
      </c>
      <c r="B8119" s="433" t="s">
        <v>3463</v>
      </c>
      <c r="C8119" s="379" t="s">
        <v>5567</v>
      </c>
      <c r="D8119" s="606" t="s">
        <v>4138</v>
      </c>
      <c r="E8119" s="606" t="n">
        <v>1</v>
      </c>
      <c r="F8119" s="927" t="n">
        <v>1750</v>
      </c>
      <c r="G8119" s="926" t="n">
        <f aca="false">E8119*F8119</f>
        <v>1750</v>
      </c>
      <c r="H8119" s="606"/>
    </row>
    <row r="8120" customFormat="false" ht="27.75" hidden="false" customHeight="true" outlineLevel="0" collapsed="false">
      <c r="A8120" s="928"/>
      <c r="B8120" s="500"/>
      <c r="C8120" s="614" t="s">
        <v>4529</v>
      </c>
      <c r="D8120" s="606" t="s">
        <v>4133</v>
      </c>
      <c r="E8120" s="606" t="n">
        <v>0.01</v>
      </c>
      <c r="F8120" s="361" t="n">
        <v>2553.6</v>
      </c>
      <c r="G8120" s="926" t="n">
        <f aca="false">E8120*F8120</f>
        <v>25.536</v>
      </c>
      <c r="H8120" s="606"/>
    </row>
    <row r="8121" customFormat="false" ht="15" hidden="false" customHeight="false" outlineLevel="0" collapsed="false">
      <c r="A8121" s="571"/>
      <c r="B8121" s="500"/>
      <c r="C8121" s="614" t="s">
        <v>4202</v>
      </c>
      <c r="D8121" s="606" t="s">
        <v>4133</v>
      </c>
      <c r="E8121" s="606" t="n">
        <v>0.005</v>
      </c>
      <c r="F8121" s="361" t="n">
        <v>2900</v>
      </c>
      <c r="G8121" s="926" t="n">
        <f aca="false">E8121*F8121</f>
        <v>14.5</v>
      </c>
      <c r="H8121" s="606"/>
    </row>
    <row r="8122" customFormat="false" ht="15" hidden="false" customHeight="false" outlineLevel="0" collapsed="false">
      <c r="A8122" s="571"/>
      <c r="B8122" s="500"/>
      <c r="C8122" s="614" t="s">
        <v>4154</v>
      </c>
      <c r="D8122" s="606" t="s">
        <v>4133</v>
      </c>
      <c r="E8122" s="606" t="n">
        <v>0.0001</v>
      </c>
      <c r="F8122" s="927" t="n">
        <v>5500</v>
      </c>
      <c r="G8122" s="926" t="n">
        <f aca="false">E8122*F8122</f>
        <v>0.55</v>
      </c>
      <c r="H8122" s="606"/>
    </row>
    <row r="8123" customFormat="false" ht="15" hidden="false" customHeight="false" outlineLevel="0" collapsed="false">
      <c r="A8123" s="571"/>
      <c r="B8123" s="500"/>
      <c r="C8123" s="614" t="s">
        <v>4240</v>
      </c>
      <c r="D8123" s="606" t="s">
        <v>4133</v>
      </c>
      <c r="E8123" s="606" t="n">
        <v>0.012</v>
      </c>
      <c r="F8123" s="361" t="n">
        <v>6200</v>
      </c>
      <c r="G8123" s="926" t="n">
        <f aca="false">E8123*F8123</f>
        <v>74.4</v>
      </c>
      <c r="H8123" s="606"/>
    </row>
    <row r="8124" customFormat="false" ht="15" hidden="false" customHeight="false" outlineLevel="0" collapsed="false">
      <c r="A8124" s="571"/>
      <c r="B8124" s="608" t="s">
        <v>4128</v>
      </c>
      <c r="C8124" s="609"/>
      <c r="D8124" s="610"/>
      <c r="E8124" s="610"/>
      <c r="F8124" s="612"/>
      <c r="G8124" s="613" t="n">
        <f aca="false">SUM(G8119:G8123)</f>
        <v>1864.986</v>
      </c>
      <c r="H8124" s="610"/>
    </row>
    <row r="8125" customFormat="false" ht="15" hidden="false" customHeight="false" outlineLevel="0" collapsed="false">
      <c r="A8125" s="571" t="s">
        <v>1514</v>
      </c>
      <c r="B8125" s="433" t="s">
        <v>3455</v>
      </c>
      <c r="C8125" s="614" t="s">
        <v>5488</v>
      </c>
      <c r="D8125" s="606" t="s">
        <v>4133</v>
      </c>
      <c r="E8125" s="606" t="n">
        <v>0.01</v>
      </c>
      <c r="F8125" s="927" t="n">
        <v>2128</v>
      </c>
      <c r="G8125" s="926" t="n">
        <f aca="false">E8125*F8125</f>
        <v>21.28</v>
      </c>
      <c r="H8125" s="606"/>
    </row>
    <row r="8126" customFormat="false" ht="15" hidden="false" customHeight="false" outlineLevel="0" collapsed="false">
      <c r="B8126" s="500"/>
      <c r="C8126" s="614" t="s">
        <v>5489</v>
      </c>
      <c r="D8126" s="606" t="s">
        <v>4133</v>
      </c>
      <c r="E8126" s="606" t="n">
        <v>0.015</v>
      </c>
      <c r="F8126" s="927" t="n">
        <v>133000</v>
      </c>
      <c r="G8126" s="926" t="n">
        <f aca="false">E8126*F8126</f>
        <v>1995</v>
      </c>
      <c r="H8126" s="606"/>
    </row>
    <row r="8127" customFormat="false" ht="15" hidden="false" customHeight="false" outlineLevel="0" collapsed="false">
      <c r="A8127" s="571"/>
      <c r="B8127" s="500"/>
      <c r="C8127" s="614" t="s">
        <v>5490</v>
      </c>
      <c r="D8127" s="606" t="s">
        <v>4133</v>
      </c>
      <c r="E8127" s="606" t="n">
        <v>0.05</v>
      </c>
      <c r="F8127" s="361" t="n">
        <v>3150</v>
      </c>
      <c r="G8127" s="926" t="n">
        <f aca="false">E8127*F8127</f>
        <v>157.5</v>
      </c>
      <c r="H8127" s="606"/>
    </row>
    <row r="8128" customFormat="false" ht="15" hidden="false" customHeight="false" outlineLevel="0" collapsed="false">
      <c r="A8128" s="571"/>
      <c r="B8128" s="500"/>
      <c r="C8128" s="614" t="s">
        <v>4240</v>
      </c>
      <c r="D8128" s="606" t="s">
        <v>4133</v>
      </c>
      <c r="E8128" s="606" t="n">
        <v>0.005</v>
      </c>
      <c r="F8128" s="361" t="n">
        <v>6200</v>
      </c>
      <c r="G8128" s="926" t="n">
        <f aca="false">E8128*F8128</f>
        <v>31</v>
      </c>
      <c r="H8128" s="606"/>
    </row>
    <row r="8129" customFormat="false" ht="15" hidden="false" customHeight="false" outlineLevel="0" collapsed="false">
      <c r="A8129" s="571"/>
      <c r="B8129" s="500"/>
      <c r="C8129" s="614" t="s">
        <v>4147</v>
      </c>
      <c r="D8129" s="606" t="s">
        <v>4133</v>
      </c>
      <c r="E8129" s="606" t="n">
        <v>0.0033</v>
      </c>
      <c r="F8129" s="361" t="n">
        <v>3500</v>
      </c>
      <c r="G8129" s="926" t="n">
        <f aca="false">E8129*F8129</f>
        <v>11.55</v>
      </c>
      <c r="H8129" s="606"/>
    </row>
    <row r="8130" customFormat="false" ht="15" hidden="false" customHeight="false" outlineLevel="0" collapsed="false">
      <c r="A8130" s="571"/>
      <c r="B8130" s="608" t="s">
        <v>4128</v>
      </c>
      <c r="C8130" s="609"/>
      <c r="D8130" s="610"/>
      <c r="E8130" s="610"/>
      <c r="F8130" s="612"/>
      <c r="G8130" s="613" t="n">
        <f aca="false">SUM(G8125:G8129)</f>
        <v>2216.33</v>
      </c>
      <c r="H8130" s="610"/>
    </row>
    <row r="8131" customFormat="false" ht="30" hidden="false" customHeight="false" outlineLevel="0" collapsed="false">
      <c r="A8131" s="571" t="s">
        <v>5639</v>
      </c>
      <c r="B8131" s="433" t="s">
        <v>3454</v>
      </c>
      <c r="C8131" s="614" t="s">
        <v>5640</v>
      </c>
      <c r="D8131" s="606" t="s">
        <v>4138</v>
      </c>
      <c r="E8131" s="606" t="n">
        <v>1</v>
      </c>
      <c r="F8131" s="933" t="n">
        <v>2324</v>
      </c>
      <c r="G8131" s="926" t="n">
        <f aca="false">E8131*F8131</f>
        <v>2324</v>
      </c>
      <c r="H8131" s="606"/>
    </row>
    <row r="8132" customFormat="false" ht="15" hidden="false" customHeight="false" outlineLevel="0" collapsed="false">
      <c r="B8132" s="500"/>
      <c r="C8132" s="614" t="s">
        <v>4205</v>
      </c>
      <c r="D8132" s="606" t="s">
        <v>4359</v>
      </c>
      <c r="E8132" s="606" t="n">
        <v>0.01</v>
      </c>
      <c r="F8132" s="927" t="n">
        <v>6300</v>
      </c>
      <c r="G8132" s="926" t="n">
        <f aca="false">E8132*F8132</f>
        <v>63</v>
      </c>
      <c r="H8132" s="606"/>
    </row>
    <row r="8133" customFormat="false" ht="15" hidden="false" customHeight="false" outlineLevel="0" collapsed="false">
      <c r="A8133" s="571"/>
      <c r="B8133" s="500"/>
      <c r="C8133" s="614" t="s">
        <v>4122</v>
      </c>
      <c r="D8133" s="606" t="s">
        <v>4359</v>
      </c>
      <c r="E8133" s="606" t="n">
        <v>0.01</v>
      </c>
      <c r="F8133" s="361" t="n">
        <v>720</v>
      </c>
      <c r="G8133" s="926" t="n">
        <f aca="false">E8133*F8133</f>
        <v>7.2</v>
      </c>
      <c r="H8133" s="606"/>
    </row>
    <row r="8134" customFormat="false" ht="15" hidden="false" customHeight="false" outlineLevel="0" collapsed="false">
      <c r="A8134" s="571"/>
      <c r="B8134" s="500"/>
      <c r="C8134" s="614" t="s">
        <v>4317</v>
      </c>
      <c r="D8134" s="606" t="s">
        <v>4359</v>
      </c>
      <c r="E8134" s="606" t="n">
        <v>0.01</v>
      </c>
      <c r="F8134" s="361" t="n">
        <v>12000</v>
      </c>
      <c r="G8134" s="926" t="n">
        <f aca="false">E8134*F8134</f>
        <v>120</v>
      </c>
      <c r="H8134" s="606"/>
    </row>
    <row r="8135" customFormat="false" ht="15" hidden="false" customHeight="false" outlineLevel="0" collapsed="false">
      <c r="A8135" s="571"/>
      <c r="B8135" s="608" t="s">
        <v>4128</v>
      </c>
      <c r="C8135" s="609"/>
      <c r="D8135" s="610"/>
      <c r="E8135" s="610"/>
      <c r="F8135" s="612"/>
      <c r="G8135" s="613" t="n">
        <f aca="false">SUM(G8131:G8134)</f>
        <v>2514.2</v>
      </c>
      <c r="H8135" s="610"/>
    </row>
    <row r="8136" customFormat="false" ht="15" hidden="false" customHeight="false" outlineLevel="0" collapsed="false">
      <c r="A8136" s="571" t="s">
        <v>1516</v>
      </c>
      <c r="B8136" s="433" t="s">
        <v>3465</v>
      </c>
      <c r="C8136" s="614" t="s">
        <v>5516</v>
      </c>
      <c r="D8136" s="606" t="s">
        <v>4138</v>
      </c>
      <c r="E8136" s="606" t="n">
        <v>1</v>
      </c>
      <c r="F8136" s="698" t="n">
        <v>2324</v>
      </c>
      <c r="G8136" s="926" t="n">
        <f aca="false">E8136*F8136</f>
        <v>2324</v>
      </c>
      <c r="H8136" s="606"/>
    </row>
    <row r="8137" customFormat="false" ht="15" hidden="false" customHeight="false" outlineLevel="0" collapsed="false">
      <c r="A8137" s="928"/>
      <c r="B8137" s="500"/>
      <c r="C8137" s="614" t="s">
        <v>4147</v>
      </c>
      <c r="D8137" s="606" t="s">
        <v>4133</v>
      </c>
      <c r="E8137" s="606" t="n">
        <v>0.1</v>
      </c>
      <c r="F8137" s="361" t="n">
        <v>3500</v>
      </c>
      <c r="G8137" s="926" t="n">
        <f aca="false">E8137*F8137</f>
        <v>350</v>
      </c>
      <c r="H8137" s="606"/>
    </row>
    <row r="8138" customFormat="false" ht="15" hidden="false" customHeight="false" outlineLevel="0" collapsed="false">
      <c r="A8138" s="571"/>
      <c r="B8138" s="500"/>
      <c r="C8138" s="614" t="s">
        <v>5489</v>
      </c>
      <c r="D8138" s="606" t="s">
        <v>4133</v>
      </c>
      <c r="E8138" s="606" t="n">
        <v>0.003</v>
      </c>
      <c r="F8138" s="927" t="n">
        <v>133000</v>
      </c>
      <c r="G8138" s="926" t="n">
        <f aca="false">E8138*F8138</f>
        <v>399</v>
      </c>
      <c r="H8138" s="606"/>
    </row>
    <row r="8139" customFormat="false" ht="15" hidden="false" customHeight="false" outlineLevel="0" collapsed="false">
      <c r="A8139" s="571"/>
      <c r="B8139" s="500"/>
      <c r="C8139" s="614" t="s">
        <v>5490</v>
      </c>
      <c r="D8139" s="606" t="s">
        <v>4133</v>
      </c>
      <c r="E8139" s="606" t="n">
        <v>0.001</v>
      </c>
      <c r="F8139" s="361" t="n">
        <v>3150</v>
      </c>
      <c r="G8139" s="926" t="n">
        <f aca="false">E8139*F8139</f>
        <v>3.15</v>
      </c>
      <c r="H8139" s="606"/>
    </row>
    <row r="8140" customFormat="false" ht="15" hidden="false" customHeight="false" outlineLevel="0" collapsed="false">
      <c r="A8140" s="571"/>
      <c r="B8140" s="608" t="s">
        <v>4128</v>
      </c>
      <c r="C8140" s="609"/>
      <c r="D8140" s="610"/>
      <c r="E8140" s="610"/>
      <c r="F8140" s="612"/>
      <c r="G8140" s="613" t="n">
        <f aca="false">SUM(G8136:G8139)</f>
        <v>3076.15</v>
      </c>
      <c r="H8140" s="610"/>
    </row>
    <row r="8141" customFormat="false" ht="60" hidden="false" customHeight="false" outlineLevel="0" collapsed="false">
      <c r="A8141" s="571" t="s">
        <v>1517</v>
      </c>
      <c r="B8141" s="433" t="s">
        <v>3515</v>
      </c>
      <c r="C8141" s="614" t="s">
        <v>5522</v>
      </c>
      <c r="D8141" s="606" t="s">
        <v>5523</v>
      </c>
      <c r="E8141" s="606" t="n">
        <v>1</v>
      </c>
      <c r="F8141" s="361" t="n">
        <v>2700</v>
      </c>
      <c r="G8141" s="926" t="n">
        <f aca="false">E8141*F8141</f>
        <v>2700</v>
      </c>
      <c r="H8141" s="606"/>
    </row>
    <row r="8142" customFormat="false" ht="15" hidden="false" customHeight="false" outlineLevel="0" collapsed="false">
      <c r="A8142" s="928"/>
      <c r="B8142" s="433"/>
      <c r="C8142" s="614" t="s">
        <v>4645</v>
      </c>
      <c r="D8142" s="606" t="s">
        <v>4133</v>
      </c>
      <c r="E8142" s="606" t="n">
        <v>0.004</v>
      </c>
      <c r="F8142" s="361" t="n">
        <v>33320</v>
      </c>
      <c r="G8142" s="926" t="n">
        <f aca="false">E8142*F8142</f>
        <v>133.28</v>
      </c>
      <c r="H8142" s="606"/>
    </row>
    <row r="8143" customFormat="false" ht="15" hidden="false" customHeight="false" outlineLevel="0" collapsed="false">
      <c r="A8143" s="571"/>
      <c r="B8143" s="433"/>
      <c r="C8143" s="614" t="s">
        <v>5524</v>
      </c>
      <c r="D8143" s="606" t="s">
        <v>4133</v>
      </c>
      <c r="E8143" s="606" t="n">
        <v>0.001</v>
      </c>
      <c r="F8143" s="361" t="n">
        <v>3279.36</v>
      </c>
      <c r="G8143" s="926" t="n">
        <f aca="false">E8143*F8143</f>
        <v>3.27936</v>
      </c>
      <c r="H8143" s="606"/>
    </row>
    <row r="8144" customFormat="false" ht="15" hidden="false" customHeight="false" outlineLevel="0" collapsed="false">
      <c r="A8144" s="571"/>
      <c r="B8144" s="433"/>
      <c r="C8144" s="614" t="s">
        <v>5525</v>
      </c>
      <c r="D8144" s="606" t="s">
        <v>4359</v>
      </c>
      <c r="E8144" s="606" t="n">
        <v>1</v>
      </c>
      <c r="F8144" s="361" t="n">
        <v>925</v>
      </c>
      <c r="G8144" s="926" t="n">
        <f aca="false">E8144*F8144</f>
        <v>925</v>
      </c>
      <c r="H8144" s="606"/>
    </row>
    <row r="8145" customFormat="false" ht="15" hidden="false" customHeight="false" outlineLevel="0" collapsed="false">
      <c r="A8145" s="571"/>
      <c r="B8145" s="500"/>
      <c r="C8145" s="819" t="s">
        <v>4515</v>
      </c>
      <c r="D8145" s="606" t="s">
        <v>4133</v>
      </c>
      <c r="E8145" s="606" t="n">
        <v>0.018</v>
      </c>
      <c r="F8145" s="361" t="n">
        <v>3500</v>
      </c>
      <c r="G8145" s="926" t="n">
        <f aca="false">E8145*F8145</f>
        <v>63</v>
      </c>
      <c r="H8145" s="606"/>
    </row>
    <row r="8146" customFormat="false" ht="15" hidden="false" customHeight="false" outlineLevel="0" collapsed="false">
      <c r="A8146" s="571"/>
      <c r="B8146" s="500"/>
      <c r="C8146" s="819" t="s">
        <v>4124</v>
      </c>
      <c r="D8146" s="702" t="s">
        <v>4125</v>
      </c>
      <c r="E8146" s="606" t="n">
        <v>2.7E-005</v>
      </c>
      <c r="F8146" s="361" t="n">
        <v>60</v>
      </c>
      <c r="G8146" s="926" t="n">
        <f aca="false">E8146*F8146</f>
        <v>0.00162</v>
      </c>
      <c r="H8146" s="606"/>
    </row>
    <row r="8147" customFormat="false" ht="15" hidden="false" customHeight="false" outlineLevel="0" collapsed="false">
      <c r="A8147" s="571"/>
      <c r="B8147" s="500"/>
      <c r="C8147" s="819" t="s">
        <v>5641</v>
      </c>
      <c r="D8147" s="702" t="s">
        <v>4138</v>
      </c>
      <c r="E8147" s="702" t="n">
        <v>1</v>
      </c>
      <c r="F8147" s="361" t="n">
        <v>1500</v>
      </c>
      <c r="G8147" s="926" t="n">
        <f aca="false">E8147*F8147</f>
        <v>1500</v>
      </c>
      <c r="H8147" s="606"/>
    </row>
    <row r="8148" customFormat="false" ht="15" hidden="false" customHeight="false" outlineLevel="0" collapsed="false">
      <c r="A8148" s="571"/>
      <c r="B8148" s="608" t="s">
        <v>4128</v>
      </c>
      <c r="C8148" s="934"/>
      <c r="D8148" s="935"/>
      <c r="E8148" s="935"/>
      <c r="F8148" s="612"/>
      <c r="G8148" s="613" t="n">
        <f aca="false">SUM(G8141:G8147)</f>
        <v>5324.56098</v>
      </c>
      <c r="H8148" s="610"/>
    </row>
    <row r="8149" customFormat="false" ht="15" hidden="false" customHeight="false" outlineLevel="0" collapsed="false">
      <c r="A8149" s="571" t="s">
        <v>5642</v>
      </c>
      <c r="B8149" s="500" t="s">
        <v>3486</v>
      </c>
      <c r="C8149" s="934"/>
      <c r="D8149" s="935"/>
      <c r="E8149" s="935"/>
      <c r="F8149" s="612"/>
      <c r="G8149" s="613"/>
      <c r="H8149" s="610"/>
    </row>
    <row r="8150" customFormat="false" ht="15" hidden="false" customHeight="false" outlineLevel="0" collapsed="false">
      <c r="A8150" s="571" t="s">
        <v>5643</v>
      </c>
      <c r="B8150" s="500" t="s">
        <v>3516</v>
      </c>
      <c r="C8150" s="934"/>
      <c r="D8150" s="935"/>
      <c r="E8150" s="935"/>
      <c r="F8150" s="612"/>
      <c r="G8150" s="613"/>
      <c r="H8150" s="610"/>
    </row>
    <row r="8151" customFormat="false" ht="42.75" hidden="false" customHeight="false" outlineLevel="0" collapsed="false">
      <c r="A8151" s="599" t="s">
        <v>5644</v>
      </c>
      <c r="B8151" s="467" t="s">
        <v>3517</v>
      </c>
      <c r="C8151" s="751"/>
      <c r="D8151" s="339"/>
      <c r="E8151" s="339"/>
      <c r="F8151" s="519"/>
      <c r="G8151" s="753"/>
      <c r="H8151" s="751"/>
    </row>
    <row r="8152" customFormat="false" ht="30" hidden="false" customHeight="false" outlineLevel="0" collapsed="false">
      <c r="A8152" s="571" t="s">
        <v>5645</v>
      </c>
      <c r="B8152" s="433" t="s">
        <v>3518</v>
      </c>
      <c r="C8152" s="709"/>
      <c r="D8152" s="679"/>
      <c r="E8152" s="679"/>
      <c r="F8152" s="369"/>
      <c r="G8152" s="716"/>
      <c r="H8152" s="606"/>
    </row>
    <row r="8153" customFormat="false" ht="15" hidden="false" customHeight="false" outlineLevel="0" collapsed="false">
      <c r="A8153" s="928"/>
      <c r="B8153" s="433"/>
      <c r="C8153" s="709" t="s">
        <v>4776</v>
      </c>
      <c r="D8153" s="679" t="s">
        <v>4359</v>
      </c>
      <c r="E8153" s="679" t="n">
        <v>0.05</v>
      </c>
      <c r="F8153" s="369" t="n">
        <v>720</v>
      </c>
      <c r="G8153" s="924" t="n">
        <f aca="false">E8153*F8153</f>
        <v>36</v>
      </c>
      <c r="H8153" s="606"/>
    </row>
    <row r="8154" customFormat="false" ht="15" hidden="false" customHeight="false" outlineLevel="0" collapsed="false">
      <c r="A8154" s="571" t="s">
        <v>5646</v>
      </c>
      <c r="B8154" s="433" t="s">
        <v>3139</v>
      </c>
      <c r="C8154" s="709" t="s">
        <v>5647</v>
      </c>
      <c r="D8154" s="679" t="s">
        <v>4138</v>
      </c>
      <c r="E8154" s="679" t="n">
        <v>0.1</v>
      </c>
      <c r="F8154" s="923" t="n">
        <v>8820</v>
      </c>
      <c r="G8154" s="924" t="n">
        <f aca="false">E8154*F8154</f>
        <v>882</v>
      </c>
      <c r="H8154" s="606"/>
    </row>
    <row r="8155" customFormat="false" ht="15" hidden="false" customHeight="false" outlineLevel="0" collapsed="false">
      <c r="A8155" s="571" t="s">
        <v>5648</v>
      </c>
      <c r="B8155" s="433" t="s">
        <v>2964</v>
      </c>
      <c r="C8155" s="709" t="s">
        <v>5647</v>
      </c>
      <c r="D8155" s="679" t="s">
        <v>4138</v>
      </c>
      <c r="E8155" s="679" t="n">
        <v>0.1</v>
      </c>
      <c r="F8155" s="923" t="n">
        <v>8820</v>
      </c>
      <c r="G8155" s="924" t="n">
        <f aca="false">E8155*F8155</f>
        <v>882</v>
      </c>
      <c r="H8155" s="606"/>
    </row>
    <row r="8156" customFormat="false" ht="30" hidden="false" customHeight="false" outlineLevel="0" collapsed="false">
      <c r="A8156" s="571" t="s">
        <v>5649</v>
      </c>
      <c r="B8156" s="433" t="s">
        <v>3519</v>
      </c>
      <c r="C8156" s="487" t="s">
        <v>5650</v>
      </c>
      <c r="D8156" s="569" t="s">
        <v>4133</v>
      </c>
      <c r="E8156" s="725" t="n">
        <v>0.005</v>
      </c>
      <c r="F8156" s="936" t="n">
        <v>3150</v>
      </c>
      <c r="G8156" s="922" t="n">
        <f aca="false">E8156*F8156</f>
        <v>15.75</v>
      </c>
      <c r="H8156" s="606"/>
    </row>
    <row r="8157" customFormat="false" ht="15" hidden="false" customHeight="false" outlineLevel="0" collapsed="false">
      <c r="B8157" s="433"/>
      <c r="C8157" s="487" t="s">
        <v>5139</v>
      </c>
      <c r="D8157" s="569" t="s">
        <v>4133</v>
      </c>
      <c r="E8157" s="725" t="n">
        <v>0.005</v>
      </c>
      <c r="F8157" s="369" t="n">
        <v>2360</v>
      </c>
      <c r="G8157" s="922" t="n">
        <f aca="false">E8157*F8157</f>
        <v>11.8</v>
      </c>
      <c r="H8157" s="606"/>
    </row>
    <row r="8158" customFormat="false" ht="15" hidden="false" customHeight="false" outlineLevel="0" collapsed="false">
      <c r="A8158" s="571"/>
      <c r="B8158" s="433"/>
      <c r="C8158" s="487" t="s">
        <v>5651</v>
      </c>
      <c r="D8158" s="569" t="s">
        <v>4138</v>
      </c>
      <c r="E8158" s="715" t="n">
        <v>1</v>
      </c>
      <c r="F8158" s="923" t="n">
        <v>784</v>
      </c>
      <c r="G8158" s="922" t="n">
        <f aca="false">E8158*F8158</f>
        <v>784</v>
      </c>
      <c r="H8158" s="606"/>
    </row>
    <row r="8159" customFormat="false" ht="15" hidden="false" customHeight="false" outlineLevel="0" collapsed="false">
      <c r="A8159" s="571"/>
      <c r="B8159" s="433"/>
      <c r="C8159" s="487" t="s">
        <v>4189</v>
      </c>
      <c r="D8159" s="679" t="s">
        <v>4359</v>
      </c>
      <c r="E8159" s="725" t="n">
        <v>0.002</v>
      </c>
      <c r="F8159" s="369" t="n">
        <v>5180</v>
      </c>
      <c r="G8159" s="922" t="n">
        <f aca="false">E8159*F8159</f>
        <v>10.36</v>
      </c>
      <c r="H8159" s="606"/>
    </row>
    <row r="8160" customFormat="false" ht="15" hidden="false" customHeight="false" outlineLevel="0" collapsed="false">
      <c r="A8160" s="571"/>
      <c r="B8160" s="433"/>
      <c r="C8160" s="487" t="s">
        <v>4147</v>
      </c>
      <c r="D8160" s="569" t="s">
        <v>4133</v>
      </c>
      <c r="E8160" s="725" t="n">
        <v>0.01</v>
      </c>
      <c r="F8160" s="369" t="n">
        <v>3500</v>
      </c>
      <c r="G8160" s="922" t="n">
        <f aca="false">E8160*F8160</f>
        <v>35</v>
      </c>
      <c r="H8160" s="606"/>
    </row>
    <row r="8161" customFormat="false" ht="15" hidden="false" customHeight="false" outlineLevel="0" collapsed="false">
      <c r="A8161" s="571"/>
      <c r="B8161" s="608" t="s">
        <v>4128</v>
      </c>
      <c r="C8161" s="718"/>
      <c r="D8161" s="719"/>
      <c r="E8161" s="719"/>
      <c r="F8161" s="366"/>
      <c r="G8161" s="711" t="n">
        <f aca="false">SUM(G8156:G8160)</f>
        <v>856.91</v>
      </c>
      <c r="H8161" s="610"/>
    </row>
    <row r="8162" customFormat="false" ht="30" hidden="false" customHeight="false" outlineLevel="0" collapsed="false">
      <c r="A8162" s="571" t="s">
        <v>5652</v>
      </c>
      <c r="B8162" s="433" t="s">
        <v>3520</v>
      </c>
      <c r="C8162" s="487" t="s">
        <v>5650</v>
      </c>
      <c r="D8162" s="569" t="s">
        <v>4133</v>
      </c>
      <c r="E8162" s="725" t="n">
        <v>0.005</v>
      </c>
      <c r="F8162" s="936" t="n">
        <v>3150</v>
      </c>
      <c r="G8162" s="716" t="n">
        <f aca="false">E8162*F8162</f>
        <v>15.75</v>
      </c>
      <c r="H8162" s="606"/>
    </row>
    <row r="8163" customFormat="false" ht="15" hidden="false" customHeight="false" outlineLevel="0" collapsed="false">
      <c r="B8163" s="500"/>
      <c r="C8163" s="487" t="s">
        <v>5139</v>
      </c>
      <c r="D8163" s="569" t="s">
        <v>4133</v>
      </c>
      <c r="E8163" s="725" t="n">
        <v>0.005</v>
      </c>
      <c r="F8163" s="369" t="n">
        <v>2360</v>
      </c>
      <c r="G8163" s="716" t="n">
        <f aca="false">E8163*F8163</f>
        <v>11.8</v>
      </c>
      <c r="H8163" s="606"/>
    </row>
    <row r="8164" customFormat="false" ht="15" hidden="false" customHeight="false" outlineLevel="0" collapsed="false">
      <c r="A8164" s="571"/>
      <c r="B8164" s="500"/>
      <c r="C8164" s="487" t="s">
        <v>5653</v>
      </c>
      <c r="D8164" s="569" t="s">
        <v>4138</v>
      </c>
      <c r="E8164" s="715" t="n">
        <v>1</v>
      </c>
      <c r="F8164" s="923" t="n">
        <v>1500</v>
      </c>
      <c r="G8164" s="716" t="n">
        <f aca="false">E8164*F8164</f>
        <v>1500</v>
      </c>
      <c r="H8164" s="606"/>
    </row>
    <row r="8165" customFormat="false" ht="15" hidden="false" customHeight="false" outlineLevel="0" collapsed="false">
      <c r="A8165" s="571"/>
      <c r="B8165" s="500"/>
      <c r="C8165" s="487" t="s">
        <v>4189</v>
      </c>
      <c r="D8165" s="679" t="s">
        <v>4359</v>
      </c>
      <c r="E8165" s="725" t="n">
        <v>0.002</v>
      </c>
      <c r="F8165" s="369" t="n">
        <v>5180</v>
      </c>
      <c r="G8165" s="716" t="n">
        <f aca="false">E8165*F8165</f>
        <v>10.36</v>
      </c>
      <c r="H8165" s="606"/>
    </row>
    <row r="8166" customFormat="false" ht="15" hidden="false" customHeight="false" outlineLevel="0" collapsed="false">
      <c r="A8166" s="571"/>
      <c r="B8166" s="500"/>
      <c r="C8166" s="487" t="s">
        <v>4147</v>
      </c>
      <c r="D8166" s="569" t="s">
        <v>4133</v>
      </c>
      <c r="E8166" s="725" t="n">
        <v>0.01</v>
      </c>
      <c r="F8166" s="369" t="n">
        <v>3500</v>
      </c>
      <c r="G8166" s="716" t="n">
        <f aca="false">E8166*F8166</f>
        <v>35</v>
      </c>
      <c r="H8166" s="606"/>
    </row>
    <row r="8167" customFormat="false" ht="15" hidden="false" customHeight="false" outlineLevel="0" collapsed="false">
      <c r="A8167" s="571"/>
      <c r="B8167" s="608" t="s">
        <v>4128</v>
      </c>
      <c r="C8167" s="718"/>
      <c r="D8167" s="719"/>
      <c r="E8167" s="719"/>
      <c r="F8167" s="366"/>
      <c r="G8167" s="711" t="n">
        <f aca="false">SUM(G8162:G8166)</f>
        <v>1572.91</v>
      </c>
      <c r="H8167" s="610"/>
    </row>
    <row r="8168" customFormat="false" ht="15" hidden="false" customHeight="false" outlineLevel="0" collapsed="false">
      <c r="A8168" s="571" t="s">
        <v>5654</v>
      </c>
      <c r="B8168" s="500" t="s">
        <v>3129</v>
      </c>
      <c r="C8168" s="709" t="s">
        <v>5443</v>
      </c>
      <c r="D8168" s="679" t="s">
        <v>4138</v>
      </c>
      <c r="E8168" s="679" t="n">
        <v>1</v>
      </c>
      <c r="F8168" s="923" t="n">
        <v>950</v>
      </c>
      <c r="G8168" s="716" t="n">
        <f aca="false">E8168*F8168</f>
        <v>950</v>
      </c>
      <c r="H8168" s="610"/>
    </row>
    <row r="8169" customFormat="false" ht="15" hidden="false" customHeight="false" outlineLevel="0" collapsed="false">
      <c r="B8169" s="608"/>
      <c r="C8169" s="709" t="s">
        <v>4244</v>
      </c>
      <c r="D8169" s="679" t="s">
        <v>5452</v>
      </c>
      <c r="E8169" s="679" t="n">
        <v>0.01</v>
      </c>
      <c r="F8169" s="923" t="n">
        <v>4999</v>
      </c>
      <c r="G8169" s="716" t="n">
        <f aca="false">E8169*F8169</f>
        <v>49.99</v>
      </c>
      <c r="H8169" s="610"/>
    </row>
    <row r="8170" customFormat="false" ht="15" hidden="false" customHeight="false" outlineLevel="0" collapsed="false">
      <c r="A8170" s="571"/>
      <c r="B8170" s="608"/>
      <c r="C8170" s="709" t="s">
        <v>4154</v>
      </c>
      <c r="D8170" s="679" t="s">
        <v>4133</v>
      </c>
      <c r="E8170" s="679" t="n">
        <v>0.01</v>
      </c>
      <c r="F8170" s="923" t="n">
        <v>5500</v>
      </c>
      <c r="G8170" s="716" t="n">
        <f aca="false">E8170*F8170</f>
        <v>55</v>
      </c>
      <c r="H8170" s="610"/>
    </row>
    <row r="8171" customFormat="false" ht="15" hidden="false" customHeight="false" outlineLevel="0" collapsed="false">
      <c r="A8171" s="571"/>
      <c r="B8171" s="608"/>
      <c r="C8171" s="709" t="s">
        <v>4147</v>
      </c>
      <c r="D8171" s="679" t="s">
        <v>4133</v>
      </c>
      <c r="E8171" s="679" t="n">
        <v>0.01</v>
      </c>
      <c r="F8171" s="369" t="n">
        <v>3500</v>
      </c>
      <c r="G8171" s="716" t="n">
        <f aca="false">E8171*F8171</f>
        <v>35</v>
      </c>
      <c r="H8171" s="610"/>
    </row>
    <row r="8172" customFormat="false" ht="15" hidden="false" customHeight="false" outlineLevel="0" collapsed="false">
      <c r="A8172" s="571"/>
      <c r="B8172" s="608"/>
      <c r="C8172" s="709" t="s">
        <v>4277</v>
      </c>
      <c r="D8172" s="679" t="s">
        <v>4133</v>
      </c>
      <c r="E8172" s="679" t="n">
        <v>0.0746</v>
      </c>
      <c r="F8172" s="369" t="n">
        <v>2882</v>
      </c>
      <c r="G8172" s="716" t="n">
        <f aca="false">E8172*F8172</f>
        <v>214.9972</v>
      </c>
      <c r="H8172" s="610"/>
    </row>
    <row r="8173" customFormat="false" ht="15" hidden="false" customHeight="false" outlineLevel="0" collapsed="false">
      <c r="A8173" s="571"/>
      <c r="B8173" s="608" t="s">
        <v>4128</v>
      </c>
      <c r="C8173" s="718"/>
      <c r="D8173" s="719"/>
      <c r="E8173" s="719"/>
      <c r="F8173" s="366"/>
      <c r="G8173" s="711" t="n">
        <f aca="false">SUM(G8168:G8172)</f>
        <v>1304.9872</v>
      </c>
      <c r="H8173" s="610"/>
    </row>
    <row r="8174" customFormat="false" ht="15" hidden="false" customHeight="false" outlineLevel="0" collapsed="false">
      <c r="A8174" s="571" t="s">
        <v>5655</v>
      </c>
      <c r="B8174" s="500" t="s">
        <v>3521</v>
      </c>
      <c r="C8174" s="709" t="s">
        <v>4154</v>
      </c>
      <c r="D8174" s="679" t="s">
        <v>4133</v>
      </c>
      <c r="E8174" s="679" t="n">
        <v>0.01</v>
      </c>
      <c r="F8174" s="923" t="n">
        <v>5500</v>
      </c>
      <c r="G8174" s="716" t="n">
        <f aca="false">E8174*F8174</f>
        <v>55</v>
      </c>
      <c r="H8174" s="610"/>
    </row>
    <row r="8175" customFormat="false" ht="15" hidden="false" customHeight="false" outlineLevel="0" collapsed="false">
      <c r="B8175" s="608"/>
      <c r="C8175" s="709" t="s">
        <v>4269</v>
      </c>
      <c r="D8175" s="679" t="s">
        <v>4359</v>
      </c>
      <c r="E8175" s="679" t="n">
        <v>0.001</v>
      </c>
      <c r="F8175" s="923" t="n">
        <v>2660</v>
      </c>
      <c r="G8175" s="716" t="n">
        <f aca="false">E8175*F8175</f>
        <v>2.66</v>
      </c>
      <c r="H8175" s="610"/>
    </row>
    <row r="8176" customFormat="false" ht="15" hidden="false" customHeight="false" outlineLevel="0" collapsed="false">
      <c r="A8176" s="571"/>
      <c r="B8176" s="608"/>
      <c r="C8176" s="709" t="s">
        <v>4277</v>
      </c>
      <c r="D8176" s="679" t="s">
        <v>4133</v>
      </c>
      <c r="E8176" s="679" t="n">
        <v>0.00746</v>
      </c>
      <c r="F8176" s="369" t="n">
        <v>2882</v>
      </c>
      <c r="G8176" s="716" t="n">
        <f aca="false">E8176*F8176</f>
        <v>21.49972</v>
      </c>
      <c r="H8176" s="610"/>
    </row>
    <row r="8177" customFormat="false" ht="15" hidden="false" customHeight="false" outlineLevel="0" collapsed="false">
      <c r="A8177" s="571"/>
      <c r="B8177" s="608"/>
      <c r="C8177" s="709" t="s">
        <v>4189</v>
      </c>
      <c r="D8177" s="679" t="s">
        <v>4359</v>
      </c>
      <c r="E8177" s="679" t="n">
        <v>0.005</v>
      </c>
      <c r="F8177" s="369" t="n">
        <v>5180</v>
      </c>
      <c r="G8177" s="716" t="n">
        <f aca="false">E8177*F8177</f>
        <v>25.9</v>
      </c>
      <c r="H8177" s="610"/>
    </row>
    <row r="8178" customFormat="false" ht="15" hidden="false" customHeight="false" outlineLevel="0" collapsed="false">
      <c r="A8178" s="571"/>
      <c r="B8178" s="608"/>
      <c r="C8178" s="471" t="s">
        <v>5656</v>
      </c>
      <c r="D8178" s="737" t="s">
        <v>4138</v>
      </c>
      <c r="E8178" s="737" t="n">
        <v>1</v>
      </c>
      <c r="F8178" s="923" t="n">
        <v>1000</v>
      </c>
      <c r="G8178" s="716" t="n">
        <f aca="false">E8178*F8178</f>
        <v>1000</v>
      </c>
      <c r="H8178" s="610"/>
    </row>
    <row r="8179" customFormat="false" ht="15" hidden="false" customHeight="false" outlineLevel="0" collapsed="false">
      <c r="A8179" s="571"/>
      <c r="B8179" s="608" t="s">
        <v>4128</v>
      </c>
      <c r="C8179" s="718"/>
      <c r="D8179" s="719"/>
      <c r="E8179" s="719"/>
      <c r="F8179" s="366"/>
      <c r="G8179" s="711" t="n">
        <f aca="false">SUM(G8174:G8178)</f>
        <v>1105.05972</v>
      </c>
      <c r="H8179" s="610"/>
    </row>
    <row r="8180" customFormat="false" ht="15" hidden="false" customHeight="false" outlineLevel="0" collapsed="false">
      <c r="A8180" s="571" t="s">
        <v>5657</v>
      </c>
      <c r="B8180" s="500" t="s">
        <v>3269</v>
      </c>
      <c r="C8180" s="709" t="s">
        <v>5658</v>
      </c>
      <c r="D8180" s="679" t="s">
        <v>4138</v>
      </c>
      <c r="E8180" s="679" t="n">
        <v>1</v>
      </c>
      <c r="F8180" s="923" t="n">
        <v>1500</v>
      </c>
      <c r="G8180" s="716" t="n">
        <f aca="false">E8180*F8180</f>
        <v>1500</v>
      </c>
      <c r="H8180" s="610"/>
    </row>
    <row r="8181" customFormat="false" ht="15" hidden="false" customHeight="false" outlineLevel="0" collapsed="false">
      <c r="B8181" s="608"/>
      <c r="C8181" s="709" t="s">
        <v>4154</v>
      </c>
      <c r="D8181" s="679" t="s">
        <v>4133</v>
      </c>
      <c r="E8181" s="679" t="n">
        <v>0.01</v>
      </c>
      <c r="F8181" s="923" t="n">
        <v>5500</v>
      </c>
      <c r="G8181" s="716" t="n">
        <f aca="false">E8181*F8181</f>
        <v>55</v>
      </c>
      <c r="H8181" s="610"/>
    </row>
    <row r="8182" customFormat="false" ht="15" hidden="false" customHeight="false" outlineLevel="0" collapsed="false">
      <c r="A8182" s="571"/>
      <c r="B8182" s="608"/>
      <c r="C8182" s="709" t="s">
        <v>4269</v>
      </c>
      <c r="D8182" s="679" t="s">
        <v>4359</v>
      </c>
      <c r="E8182" s="679" t="n">
        <v>0.001</v>
      </c>
      <c r="F8182" s="923" t="n">
        <v>2660</v>
      </c>
      <c r="G8182" s="716" t="n">
        <f aca="false">E8182*F8182</f>
        <v>2.66</v>
      </c>
      <c r="H8182" s="610"/>
    </row>
    <row r="8183" customFormat="false" ht="15" hidden="false" customHeight="false" outlineLevel="0" collapsed="false">
      <c r="A8183" s="571"/>
      <c r="B8183" s="608"/>
      <c r="C8183" s="709" t="s">
        <v>4277</v>
      </c>
      <c r="D8183" s="679" t="s">
        <v>4133</v>
      </c>
      <c r="E8183" s="679" t="n">
        <v>0.00746</v>
      </c>
      <c r="F8183" s="369" t="n">
        <v>2882</v>
      </c>
      <c r="G8183" s="716" t="n">
        <f aca="false">E8183*F8183</f>
        <v>21.49972</v>
      </c>
      <c r="H8183" s="610"/>
    </row>
    <row r="8184" customFormat="false" ht="15" hidden="false" customHeight="false" outlineLevel="0" collapsed="false">
      <c r="A8184" s="571"/>
      <c r="B8184" s="608" t="s">
        <v>4128</v>
      </c>
      <c r="C8184" s="718"/>
      <c r="D8184" s="719"/>
      <c r="E8184" s="719"/>
      <c r="F8184" s="366"/>
      <c r="G8184" s="711" t="n">
        <f aca="false">SUM(G8180:G8183)</f>
        <v>1579.15972</v>
      </c>
      <c r="H8184" s="610"/>
    </row>
    <row r="8185" customFormat="false" ht="15" hidden="false" customHeight="false" outlineLevel="0" collapsed="false">
      <c r="A8185" s="571" t="s">
        <v>5659</v>
      </c>
      <c r="B8185" s="433" t="s">
        <v>3522</v>
      </c>
      <c r="C8185" s="718"/>
      <c r="D8185" s="719"/>
      <c r="E8185" s="719"/>
      <c r="F8185" s="366"/>
      <c r="G8185" s="711"/>
      <c r="H8185" s="610"/>
    </row>
    <row r="8186" customFormat="false" ht="45" hidden="false" customHeight="false" outlineLevel="0" collapsed="false">
      <c r="A8186" s="571" t="s">
        <v>5660</v>
      </c>
      <c r="B8186" s="433" t="s">
        <v>3523</v>
      </c>
      <c r="C8186" s="709" t="s">
        <v>5661</v>
      </c>
      <c r="D8186" s="679" t="s">
        <v>4348</v>
      </c>
      <c r="E8186" s="679" t="n">
        <v>1</v>
      </c>
      <c r="F8186" s="369" t="n">
        <v>4624</v>
      </c>
      <c r="G8186" s="716" t="n">
        <f aca="false">E8186*F8186</f>
        <v>4624</v>
      </c>
      <c r="H8186" s="606"/>
    </row>
    <row r="8187" customFormat="false" ht="15" hidden="false" customHeight="false" outlineLevel="0" collapsed="false">
      <c r="B8187" s="500"/>
      <c r="C8187" s="709" t="s">
        <v>4515</v>
      </c>
      <c r="D8187" s="679" t="s">
        <v>4133</v>
      </c>
      <c r="E8187" s="679" t="n">
        <v>0.018</v>
      </c>
      <c r="F8187" s="369" t="n">
        <v>3500</v>
      </c>
      <c r="G8187" s="716" t="n">
        <f aca="false">E8187*F8187</f>
        <v>63</v>
      </c>
      <c r="H8187" s="606"/>
    </row>
    <row r="8188" customFormat="false" ht="15" hidden="false" customHeight="false" outlineLevel="0" collapsed="false">
      <c r="A8188" s="571"/>
      <c r="B8188" s="500"/>
      <c r="C8188" s="709" t="s">
        <v>4124</v>
      </c>
      <c r="D8188" s="679" t="s">
        <v>4125</v>
      </c>
      <c r="E8188" s="679" t="n">
        <v>0.027</v>
      </c>
      <c r="F8188" s="369" t="n">
        <v>60</v>
      </c>
      <c r="G8188" s="716" t="n">
        <f aca="false">E8188*F8188</f>
        <v>1.62</v>
      </c>
      <c r="H8188" s="606"/>
    </row>
    <row r="8189" customFormat="false" ht="15" hidden="false" customHeight="false" outlineLevel="0" collapsed="false">
      <c r="A8189" s="571"/>
      <c r="B8189" s="500"/>
      <c r="C8189" s="709" t="s">
        <v>4122</v>
      </c>
      <c r="D8189" s="679" t="s">
        <v>4359</v>
      </c>
      <c r="E8189" s="679" t="n">
        <v>0.03</v>
      </c>
      <c r="F8189" s="369" t="n">
        <v>720</v>
      </c>
      <c r="G8189" s="716" t="n">
        <f aca="false">E8189*F8189</f>
        <v>21.6</v>
      </c>
      <c r="H8189" s="606"/>
    </row>
    <row r="8190" customFormat="false" ht="15" hidden="false" customHeight="false" outlineLevel="0" collapsed="false">
      <c r="A8190" s="571"/>
      <c r="B8190" s="608" t="s">
        <v>4128</v>
      </c>
      <c r="C8190" s="718"/>
      <c r="D8190" s="719"/>
      <c r="E8190" s="719"/>
      <c r="F8190" s="366"/>
      <c r="G8190" s="711" t="n">
        <f aca="false">SUM(G8186:G8189)</f>
        <v>4710.22</v>
      </c>
      <c r="H8190" s="606"/>
    </row>
    <row r="8191" customFormat="false" ht="15" hidden="false" customHeight="false" outlineLevel="0" collapsed="false">
      <c r="A8191" s="571" t="s">
        <v>5662</v>
      </c>
      <c r="B8191" s="433" t="s">
        <v>3524</v>
      </c>
      <c r="C8191" s="709" t="s">
        <v>4158</v>
      </c>
      <c r="D8191" s="679" t="s">
        <v>4133</v>
      </c>
      <c r="E8191" s="679" t="n">
        <v>0.0037</v>
      </c>
      <c r="F8191" s="937" t="n">
        <v>1600</v>
      </c>
      <c r="G8191" s="716" t="n">
        <f aca="false">E8191*F8191</f>
        <v>5.92</v>
      </c>
      <c r="H8191" s="606"/>
    </row>
    <row r="8192" customFormat="false" ht="15" hidden="false" customHeight="false" outlineLevel="0" collapsed="false">
      <c r="B8192" s="500"/>
      <c r="C8192" s="709" t="s">
        <v>4204</v>
      </c>
      <c r="D8192" s="679" t="s">
        <v>4133</v>
      </c>
      <c r="E8192" s="679" t="n">
        <v>0.0052</v>
      </c>
      <c r="F8192" s="923" t="n">
        <v>2548</v>
      </c>
      <c r="G8192" s="716" t="n">
        <f aca="false">E8192*F8192</f>
        <v>13.2496</v>
      </c>
      <c r="H8192" s="606"/>
    </row>
    <row r="8193" customFormat="false" ht="15" hidden="false" customHeight="false" outlineLevel="0" collapsed="false">
      <c r="A8193" s="571"/>
      <c r="B8193" s="500"/>
      <c r="C8193" s="709" t="s">
        <v>4544</v>
      </c>
      <c r="D8193" s="679" t="s">
        <v>4133</v>
      </c>
      <c r="E8193" s="679" t="n">
        <v>0.003</v>
      </c>
      <c r="F8193" s="938" t="n">
        <v>6500</v>
      </c>
      <c r="G8193" s="716" t="n">
        <f aca="false">E8193*F8193</f>
        <v>19.5</v>
      </c>
      <c r="H8193" s="606"/>
    </row>
    <row r="8194" customFormat="false" ht="15" hidden="false" customHeight="false" outlineLevel="0" collapsed="false">
      <c r="A8194" s="571"/>
      <c r="B8194" s="500"/>
      <c r="C8194" s="709" t="s">
        <v>4244</v>
      </c>
      <c r="D8194" s="679" t="s">
        <v>5452</v>
      </c>
      <c r="E8194" s="679" t="n">
        <v>0.1</v>
      </c>
      <c r="F8194" s="923" t="n">
        <v>4999</v>
      </c>
      <c r="G8194" s="716" t="n">
        <f aca="false">E8194*F8194</f>
        <v>499.9</v>
      </c>
      <c r="H8194" s="606"/>
    </row>
    <row r="8195" customFormat="false" ht="15" hidden="false" customHeight="false" outlineLevel="0" collapsed="false">
      <c r="A8195" s="571"/>
      <c r="B8195" s="500"/>
      <c r="C8195" s="709" t="s">
        <v>4171</v>
      </c>
      <c r="D8195" s="679" t="s">
        <v>4359</v>
      </c>
      <c r="E8195" s="679" t="n">
        <v>0.017</v>
      </c>
      <c r="F8195" s="369" t="n">
        <v>2500</v>
      </c>
      <c r="G8195" s="716" t="n">
        <f aca="false">E8195*F8195</f>
        <v>42.5</v>
      </c>
      <c r="H8195" s="606"/>
    </row>
    <row r="8196" customFormat="false" ht="15" hidden="false" customHeight="false" outlineLevel="0" collapsed="false">
      <c r="A8196" s="571"/>
      <c r="B8196" s="500"/>
      <c r="C8196" s="709" t="s">
        <v>4181</v>
      </c>
      <c r="D8196" s="679" t="s">
        <v>4133</v>
      </c>
      <c r="E8196" s="679" t="n">
        <v>0.04</v>
      </c>
      <c r="F8196" s="369" t="n">
        <v>4900</v>
      </c>
      <c r="G8196" s="716" t="n">
        <f aca="false">E8196*F8196</f>
        <v>196</v>
      </c>
      <c r="H8196" s="606"/>
    </row>
    <row r="8197" customFormat="false" ht="15" hidden="false" customHeight="false" outlineLevel="0" collapsed="false">
      <c r="A8197" s="571"/>
      <c r="B8197" s="500"/>
      <c r="C8197" s="709" t="s">
        <v>4333</v>
      </c>
      <c r="D8197" s="679" t="s">
        <v>4359</v>
      </c>
      <c r="E8197" s="679" t="n">
        <v>0.055</v>
      </c>
      <c r="F8197" s="369" t="n">
        <v>12740</v>
      </c>
      <c r="G8197" s="716" t="n">
        <f aca="false">E8197*F8197</f>
        <v>700.7</v>
      </c>
      <c r="H8197" s="606"/>
    </row>
    <row r="8198" customFormat="false" ht="15" hidden="false" customHeight="false" outlineLevel="0" collapsed="false">
      <c r="A8198" s="571"/>
      <c r="B8198" s="500"/>
      <c r="C8198" s="709" t="s">
        <v>4147</v>
      </c>
      <c r="D8198" s="679" t="s">
        <v>4133</v>
      </c>
      <c r="E8198" s="679" t="n">
        <v>0.023</v>
      </c>
      <c r="F8198" s="369" t="n">
        <v>3500</v>
      </c>
      <c r="G8198" s="716" t="n">
        <f aca="false">E8198*F8198</f>
        <v>80.5</v>
      </c>
      <c r="H8198" s="606"/>
    </row>
    <row r="8199" customFormat="false" ht="15" hidden="false" customHeight="false" outlineLevel="0" collapsed="false">
      <c r="A8199" s="571"/>
      <c r="B8199" s="500"/>
      <c r="C8199" s="709" t="s">
        <v>4529</v>
      </c>
      <c r="D8199" s="679" t="s">
        <v>4133</v>
      </c>
      <c r="E8199" s="679" t="n">
        <v>0.034</v>
      </c>
      <c r="F8199" s="369" t="n">
        <v>2553.6</v>
      </c>
      <c r="G8199" s="716" t="n">
        <f aca="false">E8199*F8199</f>
        <v>86.8224</v>
      </c>
      <c r="H8199" s="606"/>
    </row>
    <row r="8200" customFormat="false" ht="15" hidden="false" customHeight="false" outlineLevel="0" collapsed="false">
      <c r="A8200" s="571"/>
      <c r="B8200" s="608" t="s">
        <v>4128</v>
      </c>
      <c r="C8200" s="718"/>
      <c r="D8200" s="719"/>
      <c r="E8200" s="719"/>
      <c r="F8200" s="366"/>
      <c r="G8200" s="711" t="n">
        <f aca="false">SUM(G8191:G8199)</f>
        <v>1645.092</v>
      </c>
      <c r="H8200" s="610"/>
    </row>
    <row r="8201" customFormat="false" ht="30" hidden="false" customHeight="false" outlineLevel="0" collapsed="false">
      <c r="A8201" s="571" t="s">
        <v>5663</v>
      </c>
      <c r="B8201" s="433" t="s">
        <v>3525</v>
      </c>
      <c r="C8201" s="709" t="s">
        <v>4122</v>
      </c>
      <c r="D8201" s="679" t="s">
        <v>4359</v>
      </c>
      <c r="E8201" s="679" t="n">
        <v>0.12</v>
      </c>
      <c r="F8201" s="369" t="n">
        <v>720</v>
      </c>
      <c r="G8201" s="716" t="n">
        <f aca="false">E8201*F8201</f>
        <v>86.4</v>
      </c>
      <c r="H8201" s="606"/>
    </row>
    <row r="8202" customFormat="false" ht="15" hidden="false" customHeight="false" outlineLevel="0" collapsed="false">
      <c r="B8202" s="500"/>
      <c r="C8202" s="709" t="s">
        <v>4655</v>
      </c>
      <c r="D8202" s="679" t="s">
        <v>4359</v>
      </c>
      <c r="E8202" s="679" t="n">
        <v>0.08</v>
      </c>
      <c r="F8202" s="369" t="n">
        <v>10500</v>
      </c>
      <c r="G8202" s="716" t="n">
        <f aca="false">E8202*F8202</f>
        <v>840</v>
      </c>
      <c r="H8202" s="606"/>
    </row>
    <row r="8203" customFormat="false" ht="15" hidden="false" customHeight="false" outlineLevel="0" collapsed="false">
      <c r="A8203" s="571"/>
      <c r="B8203" s="500"/>
      <c r="C8203" s="709" t="s">
        <v>4377</v>
      </c>
      <c r="D8203" s="679" t="s">
        <v>4133</v>
      </c>
      <c r="E8203" s="679" t="n">
        <v>0.01</v>
      </c>
      <c r="F8203" s="369" t="n">
        <v>5241.6</v>
      </c>
      <c r="G8203" s="716" t="n">
        <f aca="false">E8203*F8203</f>
        <v>52.416</v>
      </c>
      <c r="H8203" s="606"/>
    </row>
    <row r="8204" customFormat="false" ht="15" hidden="false" customHeight="false" outlineLevel="0" collapsed="false">
      <c r="A8204" s="571"/>
      <c r="B8204" s="500"/>
      <c r="C8204" s="709" t="s">
        <v>4158</v>
      </c>
      <c r="D8204" s="679" t="s">
        <v>4133</v>
      </c>
      <c r="E8204" s="679" t="n">
        <v>0.009</v>
      </c>
      <c r="F8204" s="369" t="n">
        <v>6500</v>
      </c>
      <c r="G8204" s="716" t="n">
        <f aca="false">E8204*F8204</f>
        <v>58.5</v>
      </c>
      <c r="H8204" s="606"/>
    </row>
    <row r="8205" customFormat="false" ht="15" hidden="false" customHeight="false" outlineLevel="0" collapsed="false">
      <c r="A8205" s="571"/>
      <c r="B8205" s="608" t="s">
        <v>4128</v>
      </c>
      <c r="C8205" s="718"/>
      <c r="D8205" s="719"/>
      <c r="E8205" s="719"/>
      <c r="F8205" s="366"/>
      <c r="G8205" s="711" t="n">
        <f aca="false">SUM(G8201:G8204)</f>
        <v>1037.316</v>
      </c>
      <c r="H8205" s="610"/>
    </row>
    <row r="8206" customFormat="false" ht="12.75" hidden="false" customHeight="true" outlineLevel="0" collapsed="false">
      <c r="A8206" s="571" t="s">
        <v>5664</v>
      </c>
      <c r="B8206" s="433" t="s">
        <v>3526</v>
      </c>
      <c r="C8206" s="709" t="s">
        <v>4122</v>
      </c>
      <c r="D8206" s="679" t="s">
        <v>4359</v>
      </c>
      <c r="E8206" s="679" t="n">
        <v>0.06</v>
      </c>
      <c r="F8206" s="369" t="n">
        <v>720</v>
      </c>
      <c r="G8206" s="716" t="n">
        <f aca="false">E8206*F8206</f>
        <v>43.2</v>
      </c>
      <c r="H8206" s="606"/>
    </row>
    <row r="8207" customFormat="false" ht="15" hidden="false" customHeight="false" outlineLevel="0" collapsed="false">
      <c r="B8207" s="500"/>
      <c r="C8207" s="709" t="s">
        <v>4655</v>
      </c>
      <c r="D8207" s="679" t="s">
        <v>4359</v>
      </c>
      <c r="E8207" s="679" t="n">
        <v>0.09</v>
      </c>
      <c r="F8207" s="369" t="n">
        <v>10500</v>
      </c>
      <c r="G8207" s="716" t="n">
        <f aca="false">E8207*F8207</f>
        <v>945</v>
      </c>
      <c r="H8207" s="606"/>
    </row>
    <row r="8208" customFormat="false" ht="15" hidden="false" customHeight="false" outlineLevel="0" collapsed="false">
      <c r="A8208" s="571"/>
      <c r="B8208" s="608" t="s">
        <v>4128</v>
      </c>
      <c r="C8208" s="718"/>
      <c r="D8208" s="719"/>
      <c r="E8208" s="719"/>
      <c r="F8208" s="366"/>
      <c r="G8208" s="711" t="n">
        <f aca="false">SUM(G8206:G8207)</f>
        <v>988.2</v>
      </c>
      <c r="H8208" s="610"/>
    </row>
    <row r="8209" customFormat="false" ht="30" hidden="false" customHeight="false" outlineLevel="0" collapsed="false">
      <c r="A8209" s="571" t="s">
        <v>5665</v>
      </c>
      <c r="B8209" s="433" t="s">
        <v>3527</v>
      </c>
      <c r="C8209" s="709" t="s">
        <v>4122</v>
      </c>
      <c r="D8209" s="679" t="s">
        <v>4359</v>
      </c>
      <c r="E8209" s="679" t="n">
        <v>0.01</v>
      </c>
      <c r="F8209" s="369" t="n">
        <v>720</v>
      </c>
      <c r="G8209" s="716" t="n">
        <f aca="false">E8209*F8209</f>
        <v>7.2</v>
      </c>
      <c r="H8209" s="606"/>
    </row>
    <row r="8210" customFormat="false" ht="15" hidden="false" customHeight="false" outlineLevel="0" collapsed="false">
      <c r="B8210" s="500"/>
      <c r="C8210" s="709" t="s">
        <v>4205</v>
      </c>
      <c r="D8210" s="679" t="s">
        <v>4359</v>
      </c>
      <c r="E8210" s="679" t="n">
        <v>0.0125</v>
      </c>
      <c r="F8210" s="923" t="n">
        <v>6300</v>
      </c>
      <c r="G8210" s="716" t="n">
        <f aca="false">E8210*F8210</f>
        <v>78.75</v>
      </c>
      <c r="H8210" s="606"/>
    </row>
    <row r="8211" customFormat="false" ht="15" hidden="false" customHeight="false" outlineLevel="0" collapsed="false">
      <c r="A8211" s="571"/>
      <c r="B8211" s="500"/>
      <c r="C8211" s="709" t="s">
        <v>4270</v>
      </c>
      <c r="D8211" s="679" t="s">
        <v>4359</v>
      </c>
      <c r="E8211" s="679" t="n">
        <v>0.0005</v>
      </c>
      <c r="F8211" s="369" t="n">
        <v>1540</v>
      </c>
      <c r="G8211" s="716" t="n">
        <f aca="false">E8211*F8211</f>
        <v>0.77</v>
      </c>
      <c r="H8211" s="606"/>
    </row>
    <row r="8212" customFormat="false" ht="15" hidden="false" customHeight="false" outlineLevel="0" collapsed="false">
      <c r="A8212" s="571"/>
      <c r="B8212" s="608" t="s">
        <v>4128</v>
      </c>
      <c r="C8212" s="718"/>
      <c r="D8212" s="719"/>
      <c r="E8212" s="719"/>
      <c r="F8212" s="366"/>
      <c r="G8212" s="711" t="n">
        <f aca="false">SUM(G8209:G8211)</f>
        <v>86.72</v>
      </c>
      <c r="H8212" s="610"/>
    </row>
    <row r="8213" customFormat="false" ht="30" hidden="false" customHeight="false" outlineLevel="0" collapsed="false">
      <c r="A8213" s="571" t="s">
        <v>1548</v>
      </c>
      <c r="B8213" s="433" t="s">
        <v>3528</v>
      </c>
      <c r="C8213" s="709" t="s">
        <v>4545</v>
      </c>
      <c r="D8213" s="679" t="s">
        <v>4133</v>
      </c>
      <c r="E8213" s="679" t="n">
        <v>0.05</v>
      </c>
      <c r="F8213" s="936" t="n">
        <v>1022</v>
      </c>
      <c r="G8213" s="716" t="n">
        <f aca="false">E8213*F8213</f>
        <v>51.1</v>
      </c>
      <c r="H8213" s="606"/>
    </row>
    <row r="8214" customFormat="false" ht="15" hidden="false" customHeight="false" outlineLevel="0" collapsed="false">
      <c r="B8214" s="500"/>
      <c r="C8214" s="709" t="s">
        <v>4205</v>
      </c>
      <c r="D8214" s="679" t="s">
        <v>4359</v>
      </c>
      <c r="E8214" s="679" t="n">
        <v>0.025</v>
      </c>
      <c r="F8214" s="923" t="n">
        <v>6300</v>
      </c>
      <c r="G8214" s="716" t="n">
        <f aca="false">E8214*F8214</f>
        <v>157.5</v>
      </c>
      <c r="H8214" s="606"/>
    </row>
    <row r="8215" customFormat="false" ht="15" hidden="false" customHeight="false" outlineLevel="0" collapsed="false">
      <c r="A8215" s="571"/>
      <c r="B8215" s="608" t="s">
        <v>4128</v>
      </c>
      <c r="C8215" s="718"/>
      <c r="D8215" s="719"/>
      <c r="E8215" s="719"/>
      <c r="F8215" s="366"/>
      <c r="G8215" s="711" t="n">
        <f aca="false">SUM(G8213:G8214)</f>
        <v>208.6</v>
      </c>
      <c r="H8215" s="610"/>
    </row>
    <row r="8216" customFormat="false" ht="30" hidden="false" customHeight="false" outlineLevel="0" collapsed="false">
      <c r="A8216" s="571" t="s">
        <v>5666</v>
      </c>
      <c r="B8216" s="433" t="s">
        <v>3529</v>
      </c>
      <c r="C8216" s="709" t="s">
        <v>4205</v>
      </c>
      <c r="D8216" s="679" t="s">
        <v>4359</v>
      </c>
      <c r="E8216" s="679" t="n">
        <v>0.1</v>
      </c>
      <c r="F8216" s="923" t="n">
        <v>6300</v>
      </c>
      <c r="G8216" s="716" t="n">
        <f aca="false">E8216*F8216</f>
        <v>630</v>
      </c>
      <c r="H8216" s="606"/>
    </row>
    <row r="8217" customFormat="false" ht="15" hidden="false" customHeight="false" outlineLevel="0" collapsed="false">
      <c r="A8217" s="928"/>
      <c r="B8217" s="500"/>
      <c r="C8217" s="709" t="s">
        <v>4147</v>
      </c>
      <c r="D8217" s="679" t="s">
        <v>4133</v>
      </c>
      <c r="E8217" s="679" t="n">
        <v>0.005</v>
      </c>
      <c r="F8217" s="369" t="n">
        <v>3500</v>
      </c>
      <c r="G8217" s="716" t="n">
        <f aca="false">E8217*F8217</f>
        <v>17.5</v>
      </c>
      <c r="H8217" s="606"/>
    </row>
    <row r="8218" customFormat="false" ht="15" hidden="false" customHeight="false" outlineLevel="0" collapsed="false">
      <c r="A8218" s="571"/>
      <c r="B8218" s="500"/>
      <c r="C8218" s="709" t="s">
        <v>4270</v>
      </c>
      <c r="D8218" s="679" t="s">
        <v>4359</v>
      </c>
      <c r="E8218" s="679" t="n">
        <v>0.005</v>
      </c>
      <c r="F8218" s="369" t="n">
        <v>1540</v>
      </c>
      <c r="G8218" s="716" t="n">
        <f aca="false">E8218*F8218</f>
        <v>7.7</v>
      </c>
      <c r="H8218" s="606"/>
    </row>
    <row r="8219" customFormat="false" ht="30" hidden="false" customHeight="false" outlineLevel="0" collapsed="false">
      <c r="A8219" s="571"/>
      <c r="B8219" s="500"/>
      <c r="C8219" s="709" t="s">
        <v>5667</v>
      </c>
      <c r="D8219" s="679" t="s">
        <v>4133</v>
      </c>
      <c r="E8219" s="679" t="n">
        <v>0.006</v>
      </c>
      <c r="F8219" s="369" t="n">
        <v>4400</v>
      </c>
      <c r="G8219" s="716" t="n">
        <f aca="false">E8219*F8219</f>
        <v>26.4</v>
      </c>
      <c r="H8219" s="606"/>
    </row>
    <row r="8220" customFormat="false" ht="15" hidden="false" customHeight="false" outlineLevel="0" collapsed="false">
      <c r="A8220" s="571"/>
      <c r="B8220" s="500"/>
      <c r="C8220" s="709" t="s">
        <v>4530</v>
      </c>
      <c r="D8220" s="679" t="s">
        <v>4133</v>
      </c>
      <c r="E8220" s="679" t="n">
        <v>0.0017</v>
      </c>
      <c r="F8220" s="369" t="n">
        <v>42900</v>
      </c>
      <c r="G8220" s="716" t="n">
        <f aca="false">E8220*F8220</f>
        <v>72.93</v>
      </c>
      <c r="H8220" s="606"/>
    </row>
    <row r="8221" customFormat="false" ht="15" hidden="false" customHeight="false" outlineLevel="0" collapsed="false">
      <c r="A8221" s="571"/>
      <c r="B8221" s="608" t="s">
        <v>4128</v>
      </c>
      <c r="C8221" s="718"/>
      <c r="D8221" s="719"/>
      <c r="E8221" s="719"/>
      <c r="F8221" s="366"/>
      <c r="G8221" s="711" t="n">
        <f aca="false">SUM(G8216:G8220)</f>
        <v>754.53</v>
      </c>
      <c r="H8221" s="610"/>
    </row>
    <row r="8222" customFormat="false" ht="45" hidden="false" customHeight="false" outlineLevel="0" collapsed="false">
      <c r="A8222" s="571" t="s">
        <v>5668</v>
      </c>
      <c r="B8222" s="433" t="s">
        <v>3530</v>
      </c>
      <c r="C8222" s="709" t="s">
        <v>5669</v>
      </c>
      <c r="D8222" s="679" t="s">
        <v>4348</v>
      </c>
      <c r="E8222" s="679" t="n">
        <v>3</v>
      </c>
      <c r="F8222" s="369" t="n">
        <v>4624</v>
      </c>
      <c r="G8222" s="711" t="n">
        <f aca="false">E8222*F8222</f>
        <v>13872</v>
      </c>
      <c r="H8222" s="679"/>
    </row>
    <row r="8223" customFormat="false" ht="15" hidden="false" customHeight="false" outlineLevel="0" collapsed="false">
      <c r="A8223" s="571" t="s">
        <v>5670</v>
      </c>
      <c r="B8223" s="939" t="s">
        <v>3488</v>
      </c>
      <c r="C8223" s="614" t="s">
        <v>5522</v>
      </c>
      <c r="D8223" s="606" t="s">
        <v>5523</v>
      </c>
      <c r="E8223" s="606" t="n">
        <v>1</v>
      </c>
      <c r="F8223" s="361" t="n">
        <v>2700</v>
      </c>
      <c r="G8223" s="716" t="n">
        <f aca="false">E8223*F8223</f>
        <v>2700</v>
      </c>
      <c r="H8223" s="719"/>
    </row>
    <row r="8224" customFormat="false" ht="15" hidden="false" customHeight="false" outlineLevel="0" collapsed="false">
      <c r="B8224" s="500"/>
      <c r="C8224" s="614" t="s">
        <v>4645</v>
      </c>
      <c r="D8224" s="606" t="s">
        <v>4133</v>
      </c>
      <c r="E8224" s="606" t="n">
        <v>0.004</v>
      </c>
      <c r="F8224" s="361" t="n">
        <v>33320</v>
      </c>
      <c r="G8224" s="716" t="n">
        <f aca="false">E8224*F8224</f>
        <v>133.28</v>
      </c>
      <c r="H8224" s="719"/>
    </row>
    <row r="8225" customFormat="false" ht="15" hidden="false" customHeight="false" outlineLevel="0" collapsed="false">
      <c r="A8225" s="571"/>
      <c r="B8225" s="500"/>
      <c r="C8225" s="614" t="s">
        <v>5524</v>
      </c>
      <c r="D8225" s="606" t="s">
        <v>4133</v>
      </c>
      <c r="E8225" s="606" t="n">
        <v>0.001</v>
      </c>
      <c r="F8225" s="361" t="n">
        <v>3279.36</v>
      </c>
      <c r="G8225" s="716" t="n">
        <f aca="false">E8225*F8225</f>
        <v>3.27936</v>
      </c>
      <c r="H8225" s="719"/>
    </row>
    <row r="8226" customFormat="false" ht="15" hidden="false" customHeight="false" outlineLevel="0" collapsed="false">
      <c r="A8226" s="571"/>
      <c r="B8226" s="500"/>
      <c r="C8226" s="614" t="s">
        <v>5525</v>
      </c>
      <c r="D8226" s="606" t="s">
        <v>4359</v>
      </c>
      <c r="E8226" s="606" t="n">
        <v>1</v>
      </c>
      <c r="F8226" s="361" t="n">
        <v>925</v>
      </c>
      <c r="G8226" s="716" t="n">
        <f aca="false">E8226*F8226</f>
        <v>925</v>
      </c>
      <c r="H8226" s="719"/>
    </row>
    <row r="8227" customFormat="false" ht="15" hidden="false" customHeight="false" outlineLevel="0" collapsed="false">
      <c r="A8227" s="571"/>
      <c r="B8227" s="608" t="s">
        <v>4128</v>
      </c>
      <c r="C8227" s="718"/>
      <c r="D8227" s="719"/>
      <c r="E8227" s="719"/>
      <c r="F8227" s="366"/>
      <c r="G8227" s="711" t="n">
        <f aca="false">SUM(G8223:G8226)</f>
        <v>3761.55936</v>
      </c>
      <c r="H8227" s="719"/>
    </row>
    <row r="8228" customFormat="false" ht="30" hidden="false" customHeight="false" outlineLevel="0" collapsed="false">
      <c r="A8228" s="571" t="s">
        <v>5671</v>
      </c>
      <c r="B8228" s="500" t="s">
        <v>3531</v>
      </c>
      <c r="C8228" s="709" t="s">
        <v>5584</v>
      </c>
      <c r="D8228" s="679" t="s">
        <v>4348</v>
      </c>
      <c r="E8228" s="679" t="n">
        <v>5</v>
      </c>
      <c r="F8228" s="369" t="n">
        <v>1000</v>
      </c>
      <c r="G8228" s="716" t="n">
        <f aca="false">E8228*F8228</f>
        <v>5000</v>
      </c>
      <c r="H8228" s="719"/>
    </row>
    <row r="8229" customFormat="false" ht="15" hidden="false" customHeight="false" outlineLevel="0" collapsed="false">
      <c r="B8229" s="500"/>
      <c r="C8229" s="709" t="s">
        <v>4515</v>
      </c>
      <c r="D8229" s="679" t="s">
        <v>4133</v>
      </c>
      <c r="E8229" s="679" t="n">
        <v>0.018</v>
      </c>
      <c r="F8229" s="369" t="n">
        <v>3500</v>
      </c>
      <c r="G8229" s="716" t="n">
        <f aca="false">E8229*F8229</f>
        <v>63</v>
      </c>
      <c r="H8229" s="719"/>
    </row>
    <row r="8230" customFormat="false" ht="15" hidden="false" customHeight="false" outlineLevel="0" collapsed="false">
      <c r="A8230" s="571"/>
      <c r="B8230" s="500"/>
      <c r="C8230" s="709" t="s">
        <v>4124</v>
      </c>
      <c r="D8230" s="679" t="s">
        <v>4125</v>
      </c>
      <c r="E8230" s="679" t="n">
        <v>0.027</v>
      </c>
      <c r="F8230" s="369" t="n">
        <v>60</v>
      </c>
      <c r="G8230" s="716" t="n">
        <f aca="false">E8230*F8230</f>
        <v>1.62</v>
      </c>
      <c r="H8230" s="719"/>
    </row>
    <row r="8231" customFormat="false" ht="15" hidden="false" customHeight="false" outlineLevel="0" collapsed="false">
      <c r="A8231" s="571"/>
      <c r="B8231" s="500"/>
      <c r="C8231" s="709" t="s">
        <v>4122</v>
      </c>
      <c r="D8231" s="679" t="s">
        <v>4359</v>
      </c>
      <c r="E8231" s="679" t="n">
        <v>0.03</v>
      </c>
      <c r="F8231" s="369" t="n">
        <v>720</v>
      </c>
      <c r="G8231" s="716" t="n">
        <f aca="false">E8231*F8231</f>
        <v>21.6</v>
      </c>
      <c r="H8231" s="719"/>
    </row>
    <row r="8232" customFormat="false" ht="15" hidden="false" customHeight="false" outlineLevel="0" collapsed="false">
      <c r="A8232" s="571"/>
      <c r="B8232" s="500" t="s">
        <v>4128</v>
      </c>
      <c r="C8232" s="718"/>
      <c r="D8232" s="719"/>
      <c r="E8232" s="719"/>
      <c r="F8232" s="366"/>
      <c r="G8232" s="711" t="n">
        <f aca="false">SUM(G8228:G8231)</f>
        <v>5086.22</v>
      </c>
      <c r="H8232" s="719"/>
    </row>
    <row r="8233" customFormat="false" ht="15" hidden="false" customHeight="false" outlineLevel="0" collapsed="false">
      <c r="A8233" s="571" t="s">
        <v>5672</v>
      </c>
      <c r="B8233" s="500" t="s">
        <v>3532</v>
      </c>
      <c r="C8233" s="709" t="s">
        <v>5673</v>
      </c>
      <c r="D8233" s="679" t="s">
        <v>4348</v>
      </c>
      <c r="E8233" s="679" t="n">
        <v>3</v>
      </c>
      <c r="F8233" s="369" t="n">
        <v>2498</v>
      </c>
      <c r="G8233" s="716" t="n">
        <f aca="false">E8233*F8233</f>
        <v>7494</v>
      </c>
      <c r="H8233" s="719"/>
    </row>
    <row r="8234" customFormat="false" ht="15" hidden="false" customHeight="false" outlineLevel="0" collapsed="false">
      <c r="B8234" s="500"/>
      <c r="C8234" s="709" t="s">
        <v>4515</v>
      </c>
      <c r="D8234" s="679" t="s">
        <v>4133</v>
      </c>
      <c r="E8234" s="679" t="n">
        <v>0.018</v>
      </c>
      <c r="F8234" s="369" t="n">
        <v>3500</v>
      </c>
      <c r="G8234" s="716" t="n">
        <f aca="false">E8234*F8234</f>
        <v>63</v>
      </c>
      <c r="H8234" s="719"/>
    </row>
    <row r="8235" customFormat="false" ht="15" hidden="false" customHeight="false" outlineLevel="0" collapsed="false">
      <c r="A8235" s="571"/>
      <c r="B8235" s="500"/>
      <c r="C8235" s="709" t="s">
        <v>4124</v>
      </c>
      <c r="D8235" s="679" t="s">
        <v>4125</v>
      </c>
      <c r="E8235" s="679" t="n">
        <v>0.027</v>
      </c>
      <c r="F8235" s="369" t="n">
        <v>60</v>
      </c>
      <c r="G8235" s="716" t="n">
        <f aca="false">E8235*F8235</f>
        <v>1.62</v>
      </c>
      <c r="H8235" s="719"/>
    </row>
    <row r="8236" customFormat="false" ht="15" hidden="false" customHeight="false" outlineLevel="0" collapsed="false">
      <c r="A8236" s="571"/>
      <c r="B8236" s="500"/>
      <c r="C8236" s="709" t="s">
        <v>4122</v>
      </c>
      <c r="D8236" s="679" t="s">
        <v>4359</v>
      </c>
      <c r="E8236" s="679" t="n">
        <v>0.03</v>
      </c>
      <c r="F8236" s="369" t="n">
        <v>720</v>
      </c>
      <c r="G8236" s="716" t="n">
        <f aca="false">E8236*F8236</f>
        <v>21.6</v>
      </c>
      <c r="H8236" s="719"/>
    </row>
    <row r="8237" customFormat="false" ht="15" hidden="false" customHeight="false" outlineLevel="0" collapsed="false">
      <c r="A8237" s="571"/>
      <c r="B8237" s="500" t="s">
        <v>4128</v>
      </c>
      <c r="C8237" s="718"/>
      <c r="D8237" s="719"/>
      <c r="E8237" s="719"/>
      <c r="F8237" s="366"/>
      <c r="G8237" s="711" t="n">
        <f aca="false">SUM(G8233:G8236)</f>
        <v>7580.22</v>
      </c>
      <c r="H8237" s="719"/>
    </row>
    <row r="8238" customFormat="false" ht="45" hidden="false" customHeight="false" outlineLevel="0" collapsed="false">
      <c r="A8238" s="571" t="s">
        <v>5674</v>
      </c>
      <c r="B8238" s="433" t="s">
        <v>5675</v>
      </c>
      <c r="C8238" s="709" t="s">
        <v>5584</v>
      </c>
      <c r="D8238" s="679" t="s">
        <v>4348</v>
      </c>
      <c r="E8238" s="606" t="n">
        <v>3</v>
      </c>
      <c r="F8238" s="369" t="n">
        <v>1000</v>
      </c>
      <c r="G8238" s="716" t="n">
        <f aca="false">E8238*F8238</f>
        <v>3000</v>
      </c>
      <c r="H8238" s="719"/>
    </row>
    <row r="8239" customFormat="false" ht="15" hidden="false" customHeight="false" outlineLevel="0" collapsed="false">
      <c r="A8239" s="571"/>
      <c r="B8239" s="500"/>
      <c r="C8239" s="709" t="s">
        <v>4124</v>
      </c>
      <c r="D8239" s="679" t="s">
        <v>4125</v>
      </c>
      <c r="E8239" s="606" t="n">
        <v>0.027</v>
      </c>
      <c r="F8239" s="369" t="n">
        <v>60</v>
      </c>
      <c r="G8239" s="716" t="n">
        <f aca="false">E8239*F8239</f>
        <v>1.62</v>
      </c>
      <c r="H8239" s="719"/>
    </row>
    <row r="8240" customFormat="false" ht="15" hidden="false" customHeight="false" outlineLevel="0" collapsed="false">
      <c r="A8240" s="571"/>
      <c r="B8240" s="608" t="s">
        <v>4128</v>
      </c>
      <c r="C8240" s="718"/>
      <c r="D8240" s="719"/>
      <c r="E8240" s="610"/>
      <c r="F8240" s="366"/>
      <c r="G8240" s="711" t="n">
        <f aca="false">SUM(G8238:G8239)</f>
        <v>3001.62</v>
      </c>
      <c r="H8240" s="719"/>
    </row>
    <row r="8241" customFormat="false" ht="30" hidden="false" customHeight="false" outlineLevel="0" collapsed="false">
      <c r="A8241" s="571" t="s">
        <v>5676</v>
      </c>
      <c r="B8241" s="500" t="s">
        <v>3491</v>
      </c>
      <c r="C8241" s="709" t="s">
        <v>5669</v>
      </c>
      <c r="D8241" s="679" t="s">
        <v>4348</v>
      </c>
      <c r="E8241" s="606" t="n">
        <v>1</v>
      </c>
      <c r="F8241" s="369" t="n">
        <v>4624</v>
      </c>
      <c r="G8241" s="716" t="n">
        <f aca="false">E8241*F8241</f>
        <v>4624</v>
      </c>
      <c r="H8241" s="719"/>
    </row>
    <row r="8242" customFormat="false" ht="15" hidden="false" customHeight="false" outlineLevel="0" collapsed="false">
      <c r="A8242" s="571"/>
      <c r="B8242" s="500"/>
      <c r="C8242" s="709" t="s">
        <v>4515</v>
      </c>
      <c r="D8242" s="679" t="s">
        <v>4133</v>
      </c>
      <c r="E8242" s="606" t="n">
        <v>0.018</v>
      </c>
      <c r="F8242" s="369" t="n">
        <v>3500</v>
      </c>
      <c r="G8242" s="716" t="n">
        <f aca="false">E8242*F8242</f>
        <v>63</v>
      </c>
      <c r="H8242" s="719"/>
    </row>
    <row r="8243" customFormat="false" ht="15" hidden="false" customHeight="false" outlineLevel="0" collapsed="false">
      <c r="A8243" s="571"/>
      <c r="B8243" s="500"/>
      <c r="C8243" s="709" t="s">
        <v>4124</v>
      </c>
      <c r="D8243" s="679" t="s">
        <v>4125</v>
      </c>
      <c r="E8243" s="606" t="n">
        <v>0.027</v>
      </c>
      <c r="F8243" s="369" t="n">
        <v>60</v>
      </c>
      <c r="G8243" s="716" t="n">
        <f aca="false">E8243*F8243</f>
        <v>1.62</v>
      </c>
      <c r="H8243" s="719"/>
    </row>
    <row r="8244" customFormat="false" ht="15" hidden="false" customHeight="false" outlineLevel="0" collapsed="false">
      <c r="A8244" s="571"/>
      <c r="B8244" s="500" t="s">
        <v>4128</v>
      </c>
      <c r="C8244" s="718"/>
      <c r="D8244" s="719"/>
      <c r="E8244" s="610"/>
      <c r="F8244" s="366"/>
      <c r="G8244" s="711" t="n">
        <f aca="false">SUM(G8241:G8243)</f>
        <v>4688.62</v>
      </c>
      <c r="H8244" s="719"/>
    </row>
    <row r="8245" customFormat="false" ht="45" hidden="false" customHeight="false" outlineLevel="0" collapsed="false">
      <c r="A8245" s="571" t="s">
        <v>5677</v>
      </c>
      <c r="B8245" s="500" t="s">
        <v>3534</v>
      </c>
      <c r="C8245" s="709" t="s">
        <v>5584</v>
      </c>
      <c r="D8245" s="679" t="s">
        <v>4348</v>
      </c>
      <c r="E8245" s="606" t="n">
        <v>5</v>
      </c>
      <c r="F8245" s="369" t="n">
        <v>1000</v>
      </c>
      <c r="G8245" s="716" t="n">
        <f aca="false">E8245*F8245</f>
        <v>5000</v>
      </c>
      <c r="H8245" s="719"/>
    </row>
    <row r="8246" customFormat="false" ht="15" hidden="false" customHeight="false" outlineLevel="0" collapsed="false">
      <c r="A8246" s="571"/>
      <c r="B8246" s="500"/>
      <c r="C8246" s="709" t="s">
        <v>4515</v>
      </c>
      <c r="D8246" s="679" t="s">
        <v>4133</v>
      </c>
      <c r="E8246" s="679" t="n">
        <v>0.018</v>
      </c>
      <c r="F8246" s="369" t="n">
        <v>3500</v>
      </c>
      <c r="G8246" s="716" t="n">
        <f aca="false">E8246*F8246</f>
        <v>63</v>
      </c>
      <c r="H8246" s="719"/>
    </row>
    <row r="8247" customFormat="false" ht="15" hidden="false" customHeight="false" outlineLevel="0" collapsed="false">
      <c r="A8247" s="571"/>
      <c r="B8247" s="500"/>
      <c r="C8247" s="709" t="s">
        <v>4124</v>
      </c>
      <c r="D8247" s="679" t="s">
        <v>4125</v>
      </c>
      <c r="E8247" s="679" t="n">
        <v>0.027</v>
      </c>
      <c r="F8247" s="369" t="n">
        <v>60</v>
      </c>
      <c r="G8247" s="716" t="n">
        <f aca="false">E8247*F8247</f>
        <v>1.62</v>
      </c>
      <c r="H8247" s="719"/>
    </row>
    <row r="8248" customFormat="false" ht="15" hidden="false" customHeight="false" outlineLevel="0" collapsed="false">
      <c r="A8248" s="571"/>
      <c r="B8248" s="500" t="s">
        <v>4128</v>
      </c>
      <c r="C8248" s="718"/>
      <c r="D8248" s="719"/>
      <c r="E8248" s="719"/>
      <c r="F8248" s="366"/>
      <c r="G8248" s="711" t="n">
        <f aca="false">SUM(G8245:G8247)</f>
        <v>5064.62</v>
      </c>
      <c r="H8248" s="719"/>
    </row>
    <row r="8249" customFormat="false" ht="42.75" hidden="false" customHeight="false" outlineLevel="0" collapsed="false">
      <c r="A8249" s="350" t="s">
        <v>1565</v>
      </c>
      <c r="B8249" s="467" t="s">
        <v>3535</v>
      </c>
      <c r="C8249" s="751"/>
      <c r="D8249" s="339"/>
      <c r="E8249" s="339"/>
      <c r="F8249" s="519"/>
      <c r="G8249" s="753"/>
      <c r="H8249" s="751"/>
    </row>
    <row r="8250" customFormat="false" ht="15" hidden="false" customHeight="false" outlineLevel="0" collapsed="false">
      <c r="A8250" s="571" t="s">
        <v>1567</v>
      </c>
      <c r="B8250" s="433" t="s">
        <v>3139</v>
      </c>
      <c r="C8250" s="614"/>
      <c r="D8250" s="606"/>
      <c r="E8250" s="606"/>
      <c r="F8250" s="361"/>
      <c r="G8250" s="615"/>
      <c r="H8250" s="606"/>
    </row>
    <row r="8251" customFormat="false" ht="15" hidden="false" customHeight="false" outlineLevel="0" collapsed="false">
      <c r="A8251" s="571" t="s">
        <v>5678</v>
      </c>
      <c r="B8251" s="433" t="s">
        <v>3536</v>
      </c>
      <c r="C8251" s="614" t="s">
        <v>5679</v>
      </c>
      <c r="D8251" s="606" t="s">
        <v>4138</v>
      </c>
      <c r="E8251" s="606" t="n">
        <v>1</v>
      </c>
      <c r="F8251" s="927" t="n">
        <v>1540</v>
      </c>
      <c r="G8251" s="922" t="n">
        <f aca="false">E8251*F8251</f>
        <v>1540</v>
      </c>
      <c r="H8251" s="606"/>
    </row>
    <row r="8252" customFormat="false" ht="15" hidden="false" customHeight="false" outlineLevel="0" collapsed="false">
      <c r="B8252" s="500"/>
      <c r="C8252" s="614" t="s">
        <v>4154</v>
      </c>
      <c r="D8252" s="606" t="s">
        <v>4359</v>
      </c>
      <c r="E8252" s="606" t="s">
        <v>4200</v>
      </c>
      <c r="F8252" s="927" t="n">
        <v>5500</v>
      </c>
      <c r="G8252" s="922" t="n">
        <f aca="false">E8252*F8252</f>
        <v>275</v>
      </c>
      <c r="H8252" s="606"/>
    </row>
    <row r="8253" customFormat="false" ht="15" hidden="false" customHeight="false" outlineLevel="0" collapsed="false">
      <c r="A8253" s="571"/>
      <c r="B8253" s="608" t="s">
        <v>4128</v>
      </c>
      <c r="C8253" s="609"/>
      <c r="D8253" s="610"/>
      <c r="E8253" s="610"/>
      <c r="F8253" s="612"/>
      <c r="G8253" s="613" t="n">
        <f aca="false">SUM(G8251:G8252)</f>
        <v>1815</v>
      </c>
      <c r="H8253" s="610"/>
    </row>
    <row r="8254" customFormat="false" ht="15" hidden="false" customHeight="false" outlineLevel="0" collapsed="false">
      <c r="A8254" s="571" t="s">
        <v>5680</v>
      </c>
      <c r="B8254" s="433" t="s">
        <v>3537</v>
      </c>
      <c r="C8254" s="614" t="s">
        <v>5613</v>
      </c>
      <c r="D8254" s="606" t="s">
        <v>4359</v>
      </c>
      <c r="E8254" s="606" t="n">
        <v>0.2</v>
      </c>
      <c r="F8254" s="927" t="n">
        <v>7700</v>
      </c>
      <c r="G8254" s="926" t="n">
        <f aca="false">E8254*F8254</f>
        <v>1540</v>
      </c>
      <c r="H8254" s="606"/>
    </row>
    <row r="8255" customFormat="false" ht="15" hidden="false" customHeight="false" outlineLevel="0" collapsed="false">
      <c r="B8255" s="500"/>
      <c r="C8255" s="614" t="s">
        <v>4205</v>
      </c>
      <c r="D8255" s="606" t="s">
        <v>4359</v>
      </c>
      <c r="E8255" s="606" t="n">
        <v>0.01</v>
      </c>
      <c r="F8255" s="927" t="n">
        <v>6300</v>
      </c>
      <c r="G8255" s="926" t="n">
        <f aca="false">E8255*F8255</f>
        <v>63</v>
      </c>
      <c r="H8255" s="606"/>
    </row>
    <row r="8256" customFormat="false" ht="15" hidden="false" customHeight="false" outlineLevel="0" collapsed="false">
      <c r="A8256" s="571"/>
      <c r="B8256" s="500"/>
      <c r="C8256" s="614" t="s">
        <v>4122</v>
      </c>
      <c r="D8256" s="606" t="s">
        <v>4359</v>
      </c>
      <c r="E8256" s="606" t="n">
        <v>0.01</v>
      </c>
      <c r="F8256" s="361" t="n">
        <v>720</v>
      </c>
      <c r="G8256" s="926" t="n">
        <f aca="false">E8256*F8256</f>
        <v>7.2</v>
      </c>
      <c r="H8256" s="606"/>
    </row>
    <row r="8257" customFormat="false" ht="15" hidden="false" customHeight="false" outlineLevel="0" collapsed="false">
      <c r="A8257" s="571"/>
      <c r="B8257" s="500"/>
      <c r="C8257" s="614" t="s">
        <v>4317</v>
      </c>
      <c r="D8257" s="606" t="s">
        <v>4359</v>
      </c>
      <c r="E8257" s="606" t="n">
        <v>0.01</v>
      </c>
      <c r="F8257" s="361" t="n">
        <v>12000</v>
      </c>
      <c r="G8257" s="926" t="n">
        <f aca="false">E8257*F8257</f>
        <v>120</v>
      </c>
      <c r="H8257" s="606"/>
    </row>
    <row r="8258" customFormat="false" ht="15" hidden="false" customHeight="false" outlineLevel="0" collapsed="false">
      <c r="A8258" s="571"/>
      <c r="B8258" s="608" t="s">
        <v>4128</v>
      </c>
      <c r="C8258" s="609"/>
      <c r="D8258" s="610"/>
      <c r="E8258" s="610"/>
      <c r="F8258" s="612"/>
      <c r="G8258" s="613" t="n">
        <f aca="false">SUM(G8254:G8257)</f>
        <v>1730.2</v>
      </c>
      <c r="H8258" s="610"/>
    </row>
    <row r="8259" customFormat="false" ht="30" hidden="false" customHeight="false" outlineLevel="0" collapsed="false">
      <c r="A8259" s="571" t="s">
        <v>5681</v>
      </c>
      <c r="B8259" s="433" t="s">
        <v>3436</v>
      </c>
      <c r="C8259" s="614" t="s">
        <v>5611</v>
      </c>
      <c r="D8259" s="606" t="s">
        <v>4138</v>
      </c>
      <c r="E8259" s="606" t="n">
        <v>0.3</v>
      </c>
      <c r="F8259" s="927" t="n">
        <v>7700</v>
      </c>
      <c r="G8259" s="926" t="n">
        <f aca="false">E8259*F8259</f>
        <v>2310</v>
      </c>
      <c r="H8259" s="606"/>
    </row>
    <row r="8260" customFormat="false" ht="15" hidden="false" customHeight="false" outlineLevel="0" collapsed="false">
      <c r="A8260" s="571"/>
      <c r="B8260" s="500"/>
      <c r="C8260" s="614" t="s">
        <v>4122</v>
      </c>
      <c r="D8260" s="606" t="s">
        <v>4359</v>
      </c>
      <c r="E8260" s="606" t="n">
        <v>0.01</v>
      </c>
      <c r="F8260" s="361" t="n">
        <v>720</v>
      </c>
      <c r="G8260" s="926" t="n">
        <f aca="false">E8260*F8260</f>
        <v>7.2</v>
      </c>
      <c r="H8260" s="606"/>
    </row>
    <row r="8261" customFormat="false" ht="15" hidden="false" customHeight="false" outlineLevel="0" collapsed="false">
      <c r="A8261" s="571"/>
      <c r="B8261" s="500"/>
      <c r="C8261" s="614" t="s">
        <v>4485</v>
      </c>
      <c r="D8261" s="606" t="s">
        <v>4133</v>
      </c>
      <c r="E8261" s="606" t="n">
        <v>0.01</v>
      </c>
      <c r="F8261" s="927" t="n">
        <v>5241.6</v>
      </c>
      <c r="G8261" s="926" t="n">
        <f aca="false">E8261*F8261</f>
        <v>52.416</v>
      </c>
      <c r="H8261" s="606"/>
    </row>
    <row r="8262" customFormat="false" ht="15" hidden="false" customHeight="false" outlineLevel="0" collapsed="false">
      <c r="A8262" s="571"/>
      <c r="B8262" s="500"/>
      <c r="C8262" s="614" t="s">
        <v>4317</v>
      </c>
      <c r="D8262" s="606" t="s">
        <v>4359</v>
      </c>
      <c r="E8262" s="606" t="n">
        <v>0.01</v>
      </c>
      <c r="F8262" s="361" t="n">
        <v>12000</v>
      </c>
      <c r="G8262" s="926" t="n">
        <f aca="false">E8262*F8262</f>
        <v>120</v>
      </c>
      <c r="H8262" s="606"/>
    </row>
    <row r="8263" customFormat="false" ht="15" hidden="false" customHeight="false" outlineLevel="0" collapsed="false">
      <c r="A8263" s="571"/>
      <c r="B8263" s="500"/>
      <c r="C8263" s="614" t="s">
        <v>4205</v>
      </c>
      <c r="D8263" s="606" t="s">
        <v>4359</v>
      </c>
      <c r="E8263" s="606" t="n">
        <v>0.01</v>
      </c>
      <c r="F8263" s="361" t="n">
        <v>6300</v>
      </c>
      <c r="G8263" s="926" t="n">
        <f aca="false">E8263*F8263</f>
        <v>63</v>
      </c>
      <c r="H8263" s="606"/>
    </row>
    <row r="8264" customFormat="false" ht="15" hidden="false" customHeight="false" outlineLevel="0" collapsed="false">
      <c r="A8264" s="571"/>
      <c r="B8264" s="608" t="s">
        <v>4128</v>
      </c>
      <c r="C8264" s="609"/>
      <c r="D8264" s="610"/>
      <c r="E8264" s="610"/>
      <c r="F8264" s="612"/>
      <c r="G8264" s="613" t="n">
        <f aca="false">SUM(G8259:G8263)</f>
        <v>2552.616</v>
      </c>
      <c r="H8264" s="610"/>
    </row>
    <row r="8265" customFormat="false" ht="15" hidden="false" customHeight="false" outlineLevel="0" collapsed="false">
      <c r="A8265" s="571" t="s">
        <v>5682</v>
      </c>
      <c r="B8265" s="433" t="s">
        <v>3438</v>
      </c>
      <c r="C8265" s="614" t="s">
        <v>5450</v>
      </c>
      <c r="D8265" s="606" t="s">
        <v>4133</v>
      </c>
      <c r="E8265" s="606" t="n">
        <v>0.062</v>
      </c>
      <c r="F8265" s="361" t="n">
        <v>1288</v>
      </c>
      <c r="G8265" s="926" t="n">
        <f aca="false">E8265*F8265</f>
        <v>79.856</v>
      </c>
      <c r="H8265" s="606"/>
    </row>
    <row r="8266" customFormat="false" ht="15" hidden="false" customHeight="false" outlineLevel="0" collapsed="false">
      <c r="B8266" s="433"/>
      <c r="C8266" s="614" t="s">
        <v>4147</v>
      </c>
      <c r="D8266" s="606" t="s">
        <v>4133</v>
      </c>
      <c r="E8266" s="606" t="n">
        <v>0.0025</v>
      </c>
      <c r="F8266" s="361" t="n">
        <v>3500</v>
      </c>
      <c r="G8266" s="926" t="n">
        <f aca="false">E8266*F8266</f>
        <v>8.75</v>
      </c>
      <c r="H8266" s="606"/>
    </row>
    <row r="8267" customFormat="false" ht="15" hidden="false" customHeight="false" outlineLevel="0" collapsed="false">
      <c r="A8267" s="571"/>
      <c r="B8267" s="500"/>
      <c r="C8267" s="614" t="s">
        <v>4703</v>
      </c>
      <c r="D8267" s="606" t="s">
        <v>5452</v>
      </c>
      <c r="E8267" s="606" t="n">
        <v>0.01</v>
      </c>
      <c r="F8267" s="361" t="n">
        <v>4900</v>
      </c>
      <c r="G8267" s="926" t="n">
        <f aca="false">E8267*F8267</f>
        <v>49</v>
      </c>
      <c r="H8267" s="606"/>
    </row>
    <row r="8268" customFormat="false" ht="15" hidden="false" customHeight="false" outlineLevel="0" collapsed="false">
      <c r="A8268" s="571"/>
      <c r="B8268" s="500"/>
      <c r="C8268" s="614" t="s">
        <v>4240</v>
      </c>
      <c r="D8268" s="606" t="s">
        <v>4133</v>
      </c>
      <c r="E8268" s="606" t="n">
        <v>0.001</v>
      </c>
      <c r="F8268" s="361" t="n">
        <v>6200</v>
      </c>
      <c r="G8268" s="926" t="n">
        <f aca="false">E8268*F8268</f>
        <v>6.2</v>
      </c>
      <c r="H8268" s="606"/>
    </row>
    <row r="8269" customFormat="false" ht="15" hidden="false" customHeight="false" outlineLevel="0" collapsed="false">
      <c r="A8269" s="571"/>
      <c r="B8269" s="500"/>
      <c r="C8269" s="614" t="s">
        <v>5453</v>
      </c>
      <c r="D8269" s="606" t="s">
        <v>4138</v>
      </c>
      <c r="E8269" s="606" t="n">
        <v>0.5</v>
      </c>
      <c r="F8269" s="361" t="n">
        <v>4500</v>
      </c>
      <c r="G8269" s="926" t="n">
        <f aca="false">E8269*F8269</f>
        <v>2250</v>
      </c>
      <c r="H8269" s="606"/>
    </row>
    <row r="8270" customFormat="false" ht="15" hidden="false" customHeight="false" outlineLevel="0" collapsed="false">
      <c r="A8270" s="571"/>
      <c r="B8270" s="608" t="s">
        <v>4128</v>
      </c>
      <c r="C8270" s="609"/>
      <c r="D8270" s="610"/>
      <c r="E8270" s="610"/>
      <c r="F8270" s="612"/>
      <c r="G8270" s="613" t="n">
        <f aca="false">SUM(G8265:G8269)</f>
        <v>2393.806</v>
      </c>
      <c r="H8270" s="610"/>
    </row>
    <row r="8271" customFormat="false" ht="15" hidden="false" customHeight="false" outlineLevel="0" collapsed="false">
      <c r="A8271" s="571" t="s">
        <v>5683</v>
      </c>
      <c r="B8271" s="433" t="s">
        <v>3474</v>
      </c>
      <c r="C8271" s="614" t="s">
        <v>5616</v>
      </c>
      <c r="D8271" s="606" t="s">
        <v>4359</v>
      </c>
      <c r="E8271" s="606" t="n">
        <v>1</v>
      </c>
      <c r="F8271" s="927" t="n">
        <v>1738</v>
      </c>
      <c r="G8271" s="926" t="n">
        <f aca="false">E8271*F8271</f>
        <v>1738</v>
      </c>
      <c r="H8271" s="606"/>
    </row>
    <row r="8272" customFormat="false" ht="15" hidden="false" customHeight="false" outlineLevel="0" collapsed="false">
      <c r="A8272" s="571"/>
      <c r="B8272" s="500"/>
      <c r="C8272" s="614" t="s">
        <v>4122</v>
      </c>
      <c r="D8272" s="606" t="s">
        <v>4359</v>
      </c>
      <c r="E8272" s="606" t="n">
        <v>0.01</v>
      </c>
      <c r="F8272" s="361" t="n">
        <v>720</v>
      </c>
      <c r="G8272" s="926" t="n">
        <f aca="false">E8272*F8272</f>
        <v>7.2</v>
      </c>
      <c r="H8272" s="606"/>
    </row>
    <row r="8273" customFormat="false" ht="15" hidden="false" customHeight="false" outlineLevel="0" collapsed="false">
      <c r="A8273" s="571"/>
      <c r="B8273" s="500"/>
      <c r="C8273" s="614" t="s">
        <v>4485</v>
      </c>
      <c r="D8273" s="606" t="s">
        <v>4133</v>
      </c>
      <c r="E8273" s="606" t="n">
        <v>0.01</v>
      </c>
      <c r="F8273" s="927" t="n">
        <v>5241.6</v>
      </c>
      <c r="G8273" s="926" t="n">
        <f aca="false">E8273*F8273</f>
        <v>52.416</v>
      </c>
      <c r="H8273" s="606"/>
    </row>
    <row r="8274" customFormat="false" ht="15" hidden="false" customHeight="false" outlineLevel="0" collapsed="false">
      <c r="A8274" s="571"/>
      <c r="B8274" s="500"/>
      <c r="C8274" s="614" t="s">
        <v>4317</v>
      </c>
      <c r="D8274" s="606" t="s">
        <v>4359</v>
      </c>
      <c r="E8274" s="606" t="n">
        <v>0.01</v>
      </c>
      <c r="F8274" s="361" t="n">
        <v>12000</v>
      </c>
      <c r="G8274" s="926" t="n">
        <f aca="false">E8274*F8274</f>
        <v>120</v>
      </c>
      <c r="H8274" s="606"/>
    </row>
    <row r="8275" customFormat="false" ht="15" hidden="false" customHeight="false" outlineLevel="0" collapsed="false">
      <c r="A8275" s="571"/>
      <c r="B8275" s="500"/>
      <c r="C8275" s="614" t="s">
        <v>4205</v>
      </c>
      <c r="D8275" s="606" t="s">
        <v>4359</v>
      </c>
      <c r="E8275" s="606" t="n">
        <v>0.01</v>
      </c>
      <c r="F8275" s="361" t="n">
        <v>6300</v>
      </c>
      <c r="G8275" s="926" t="n">
        <f aca="false">E8275*F8275</f>
        <v>63</v>
      </c>
      <c r="H8275" s="606"/>
    </row>
    <row r="8276" customFormat="false" ht="15" hidden="false" customHeight="false" outlineLevel="0" collapsed="false">
      <c r="A8276" s="571"/>
      <c r="B8276" s="608" t="s">
        <v>4128</v>
      </c>
      <c r="C8276" s="609"/>
      <c r="D8276" s="610"/>
      <c r="E8276" s="610"/>
      <c r="F8276" s="612"/>
      <c r="G8276" s="613" t="n">
        <f aca="false">SUM(G8271:G8275)</f>
        <v>1980.616</v>
      </c>
      <c r="H8276" s="610"/>
    </row>
    <row r="8277" customFormat="false" ht="30" hidden="false" customHeight="false" outlineLevel="0" collapsed="false">
      <c r="A8277" s="571" t="s">
        <v>5684</v>
      </c>
      <c r="B8277" s="433" t="s">
        <v>3538</v>
      </c>
      <c r="C8277" s="614" t="s">
        <v>5685</v>
      </c>
      <c r="D8277" s="606" t="s">
        <v>4138</v>
      </c>
      <c r="E8277" s="606" t="n">
        <v>1</v>
      </c>
      <c r="F8277" s="927" t="n">
        <v>2800</v>
      </c>
      <c r="G8277" s="926" t="n">
        <f aca="false">E8277*F8277</f>
        <v>2800</v>
      </c>
      <c r="H8277" s="606"/>
    </row>
    <row r="8278" customFormat="false" ht="15" hidden="false" customHeight="false" outlineLevel="0" collapsed="false">
      <c r="A8278" s="571"/>
      <c r="B8278" s="500"/>
      <c r="C8278" s="614" t="s">
        <v>4122</v>
      </c>
      <c r="D8278" s="606" t="s">
        <v>4359</v>
      </c>
      <c r="E8278" s="606" t="n">
        <v>0.01</v>
      </c>
      <c r="F8278" s="361" t="n">
        <v>720</v>
      </c>
      <c r="G8278" s="926" t="n">
        <f aca="false">E8278*F8278</f>
        <v>7.2</v>
      </c>
      <c r="H8278" s="606"/>
    </row>
    <row r="8279" customFormat="false" ht="15" hidden="false" customHeight="false" outlineLevel="0" collapsed="false">
      <c r="A8279" s="571"/>
      <c r="B8279" s="500"/>
      <c r="C8279" s="614" t="s">
        <v>4485</v>
      </c>
      <c r="D8279" s="606" t="s">
        <v>4133</v>
      </c>
      <c r="E8279" s="606" t="n">
        <v>0.01</v>
      </c>
      <c r="F8279" s="927" t="n">
        <v>5241.6</v>
      </c>
      <c r="G8279" s="926" t="n">
        <f aca="false">E8279*F8279</f>
        <v>52.416</v>
      </c>
      <c r="H8279" s="606"/>
    </row>
    <row r="8280" customFormat="false" ht="15" hidden="false" customHeight="false" outlineLevel="0" collapsed="false">
      <c r="A8280" s="571"/>
      <c r="B8280" s="500"/>
      <c r="C8280" s="614" t="s">
        <v>4317</v>
      </c>
      <c r="D8280" s="606" t="s">
        <v>4359</v>
      </c>
      <c r="E8280" s="606" t="n">
        <v>0.01</v>
      </c>
      <c r="F8280" s="361" t="n">
        <v>12000</v>
      </c>
      <c r="G8280" s="926" t="n">
        <f aca="false">E8280*F8280</f>
        <v>120</v>
      </c>
      <c r="H8280" s="606"/>
    </row>
    <row r="8281" customFormat="false" ht="15" hidden="false" customHeight="false" outlineLevel="0" collapsed="false">
      <c r="A8281" s="571"/>
      <c r="B8281" s="500"/>
      <c r="C8281" s="614" t="s">
        <v>4205</v>
      </c>
      <c r="D8281" s="606" t="s">
        <v>4359</v>
      </c>
      <c r="E8281" s="606" t="n">
        <v>0.01</v>
      </c>
      <c r="F8281" s="361" t="n">
        <v>6300</v>
      </c>
      <c r="G8281" s="926" t="n">
        <f aca="false">E8281*F8281</f>
        <v>63</v>
      </c>
      <c r="H8281" s="606"/>
    </row>
    <row r="8282" customFormat="false" ht="15" hidden="false" customHeight="false" outlineLevel="0" collapsed="false">
      <c r="A8282" s="571"/>
      <c r="B8282" s="608" t="s">
        <v>4128</v>
      </c>
      <c r="C8282" s="609"/>
      <c r="D8282" s="610"/>
      <c r="E8282" s="610"/>
      <c r="F8282" s="612"/>
      <c r="G8282" s="613" t="n">
        <f aca="false">SUM(G8277:G8281)</f>
        <v>3042.616</v>
      </c>
      <c r="H8282" s="610"/>
    </row>
    <row r="8283" customFormat="false" ht="30" hidden="false" customHeight="false" outlineLevel="0" collapsed="false">
      <c r="A8283" s="571" t="s">
        <v>5686</v>
      </c>
      <c r="B8283" s="433" t="s">
        <v>3539</v>
      </c>
      <c r="C8283" s="614" t="s">
        <v>5687</v>
      </c>
      <c r="D8283" s="606" t="s">
        <v>4359</v>
      </c>
      <c r="E8283" s="606" t="n">
        <v>1</v>
      </c>
      <c r="F8283" s="927" t="n">
        <v>2324</v>
      </c>
      <c r="G8283" s="926" t="n">
        <f aca="false">E8283*F8283</f>
        <v>2324</v>
      </c>
      <c r="H8283" s="606"/>
    </row>
    <row r="8284" customFormat="false" ht="15" hidden="false" customHeight="false" outlineLevel="0" collapsed="false">
      <c r="A8284" s="571"/>
      <c r="B8284" s="500"/>
      <c r="C8284" s="614" t="s">
        <v>4122</v>
      </c>
      <c r="D8284" s="606" t="s">
        <v>4359</v>
      </c>
      <c r="E8284" s="606" t="n">
        <v>0.01</v>
      </c>
      <c r="F8284" s="361" t="n">
        <v>720</v>
      </c>
      <c r="G8284" s="926" t="n">
        <f aca="false">E8284*F8284</f>
        <v>7.2</v>
      </c>
      <c r="H8284" s="606"/>
    </row>
    <row r="8285" customFormat="false" ht="15" hidden="false" customHeight="false" outlineLevel="0" collapsed="false">
      <c r="A8285" s="571"/>
      <c r="B8285" s="500"/>
      <c r="C8285" s="614" t="s">
        <v>4485</v>
      </c>
      <c r="D8285" s="606" t="s">
        <v>4133</v>
      </c>
      <c r="E8285" s="606" t="n">
        <v>0.01</v>
      </c>
      <c r="F8285" s="927" t="n">
        <v>5241.6</v>
      </c>
      <c r="G8285" s="926" t="n">
        <f aca="false">E8285*F8285</f>
        <v>52.416</v>
      </c>
      <c r="H8285" s="606"/>
    </row>
    <row r="8286" customFormat="false" ht="15" hidden="false" customHeight="false" outlineLevel="0" collapsed="false">
      <c r="A8286" s="571"/>
      <c r="B8286" s="500"/>
      <c r="C8286" s="614" t="s">
        <v>4317</v>
      </c>
      <c r="D8286" s="606" t="s">
        <v>4359</v>
      </c>
      <c r="E8286" s="606" t="n">
        <v>0.01</v>
      </c>
      <c r="F8286" s="361" t="n">
        <v>12000</v>
      </c>
      <c r="G8286" s="926" t="n">
        <f aca="false">E8286*F8286</f>
        <v>120</v>
      </c>
      <c r="H8286" s="606"/>
    </row>
    <row r="8287" customFormat="false" ht="15" hidden="false" customHeight="false" outlineLevel="0" collapsed="false">
      <c r="A8287" s="571"/>
      <c r="B8287" s="500"/>
      <c r="C8287" s="614" t="s">
        <v>4205</v>
      </c>
      <c r="D8287" s="606" t="s">
        <v>4359</v>
      </c>
      <c r="E8287" s="606" t="n">
        <v>0.01</v>
      </c>
      <c r="F8287" s="361" t="n">
        <v>6300</v>
      </c>
      <c r="G8287" s="926" t="n">
        <f aca="false">E8287*F8287</f>
        <v>63</v>
      </c>
      <c r="H8287" s="606"/>
    </row>
    <row r="8288" customFormat="false" ht="15" hidden="false" customHeight="false" outlineLevel="0" collapsed="false">
      <c r="A8288" s="571"/>
      <c r="B8288" s="608" t="s">
        <v>4128</v>
      </c>
      <c r="C8288" s="609"/>
      <c r="D8288" s="610"/>
      <c r="E8288" s="610"/>
      <c r="F8288" s="612"/>
      <c r="G8288" s="613" t="n">
        <f aca="false">SUM(G8283:G8287)</f>
        <v>2566.616</v>
      </c>
      <c r="H8288" s="610"/>
    </row>
    <row r="8289" customFormat="false" ht="30" hidden="false" customHeight="false" outlineLevel="0" collapsed="false">
      <c r="A8289" s="571"/>
      <c r="B8289" s="500"/>
      <c r="C8289" s="614" t="s">
        <v>5620</v>
      </c>
      <c r="D8289" s="606" t="s">
        <v>5448</v>
      </c>
      <c r="E8289" s="606" t="n">
        <v>1</v>
      </c>
      <c r="F8289" s="927" t="n">
        <v>2128</v>
      </c>
      <c r="G8289" s="926" t="n">
        <f aca="false">E8289*F8289</f>
        <v>2128</v>
      </c>
      <c r="H8289" s="606"/>
    </row>
    <row r="8290" customFormat="false" ht="15" hidden="false" customHeight="false" outlineLevel="0" collapsed="false">
      <c r="A8290" s="571" t="s">
        <v>1576</v>
      </c>
      <c r="B8290" s="433" t="s">
        <v>3441</v>
      </c>
      <c r="C8290" s="614" t="s">
        <v>4205</v>
      </c>
      <c r="D8290" s="606" t="s">
        <v>4359</v>
      </c>
      <c r="E8290" s="606" t="n">
        <v>0.01</v>
      </c>
      <c r="F8290" s="927" t="n">
        <v>6300</v>
      </c>
      <c r="G8290" s="926" t="n">
        <f aca="false">E8290*F8290</f>
        <v>63</v>
      </c>
      <c r="H8290" s="606"/>
    </row>
    <row r="8291" customFormat="false" ht="15" hidden="false" customHeight="false" outlineLevel="0" collapsed="false">
      <c r="A8291" s="571"/>
      <c r="B8291" s="500"/>
      <c r="C8291" s="614" t="s">
        <v>4122</v>
      </c>
      <c r="D8291" s="606" t="s">
        <v>4359</v>
      </c>
      <c r="E8291" s="606" t="n">
        <v>0.01</v>
      </c>
      <c r="F8291" s="361" t="n">
        <v>720</v>
      </c>
      <c r="G8291" s="926" t="n">
        <f aca="false">E8291*F8291</f>
        <v>7.2</v>
      </c>
      <c r="H8291" s="606"/>
    </row>
    <row r="8292" customFormat="false" ht="15" hidden="false" customHeight="false" outlineLevel="0" collapsed="false">
      <c r="A8292" s="571"/>
      <c r="B8292" s="500"/>
      <c r="C8292" s="614" t="s">
        <v>4317</v>
      </c>
      <c r="D8292" s="606" t="s">
        <v>4359</v>
      </c>
      <c r="E8292" s="606" t="n">
        <v>0.01</v>
      </c>
      <c r="F8292" s="361" t="n">
        <v>12000</v>
      </c>
      <c r="G8292" s="926" t="n">
        <f aca="false">E8292*F8292</f>
        <v>120</v>
      </c>
      <c r="H8292" s="606"/>
    </row>
    <row r="8293" customFormat="false" ht="15" hidden="false" customHeight="false" outlineLevel="0" collapsed="false">
      <c r="A8293" s="571"/>
      <c r="B8293" s="608" t="s">
        <v>4128</v>
      </c>
      <c r="C8293" s="609"/>
      <c r="D8293" s="610"/>
      <c r="E8293" s="610"/>
      <c r="F8293" s="612"/>
      <c r="G8293" s="613" t="n">
        <f aca="false">SUM(G8289:G8292)</f>
        <v>2318.2</v>
      </c>
      <c r="H8293" s="610"/>
    </row>
    <row r="8294" customFormat="false" ht="30" hidden="false" customHeight="false" outlineLevel="0" collapsed="false">
      <c r="A8294" s="571" t="s">
        <v>5688</v>
      </c>
      <c r="B8294" s="433" t="s">
        <v>3442</v>
      </c>
      <c r="C8294" s="614" t="s">
        <v>5689</v>
      </c>
      <c r="D8294" s="606" t="s">
        <v>4525</v>
      </c>
      <c r="E8294" s="606" t="n">
        <v>0.05</v>
      </c>
      <c r="F8294" s="361" t="n">
        <v>54012</v>
      </c>
      <c r="G8294" s="926" t="n">
        <f aca="false">E8294*F8294</f>
        <v>2700.6</v>
      </c>
      <c r="H8294" s="606"/>
    </row>
    <row r="8295" customFormat="false" ht="15" hidden="false" customHeight="false" outlineLevel="0" collapsed="false">
      <c r="B8295" s="500"/>
      <c r="C8295" s="614" t="s">
        <v>4205</v>
      </c>
      <c r="D8295" s="606" t="s">
        <v>4359</v>
      </c>
      <c r="E8295" s="606" t="n">
        <v>0.01</v>
      </c>
      <c r="F8295" s="927" t="n">
        <v>6300</v>
      </c>
      <c r="G8295" s="926" t="n">
        <f aca="false">E8295*F8295</f>
        <v>63</v>
      </c>
      <c r="H8295" s="606"/>
    </row>
    <row r="8296" customFormat="false" ht="15" hidden="false" customHeight="false" outlineLevel="0" collapsed="false">
      <c r="A8296" s="571"/>
      <c r="B8296" s="500"/>
      <c r="C8296" s="614" t="s">
        <v>4122</v>
      </c>
      <c r="D8296" s="606" t="s">
        <v>4359</v>
      </c>
      <c r="E8296" s="606" t="n">
        <v>0.01</v>
      </c>
      <c r="F8296" s="361" t="n">
        <v>720</v>
      </c>
      <c r="G8296" s="926" t="n">
        <f aca="false">E8296*F8296</f>
        <v>7.2</v>
      </c>
      <c r="H8296" s="606"/>
    </row>
    <row r="8297" customFormat="false" ht="15" hidden="false" customHeight="false" outlineLevel="0" collapsed="false">
      <c r="A8297" s="571"/>
      <c r="B8297" s="500"/>
      <c r="C8297" s="614" t="s">
        <v>4317</v>
      </c>
      <c r="D8297" s="606" t="s">
        <v>4359</v>
      </c>
      <c r="E8297" s="606" t="n">
        <v>0.01</v>
      </c>
      <c r="F8297" s="361" t="n">
        <v>12000</v>
      </c>
      <c r="G8297" s="926" t="n">
        <f aca="false">E8297*F8297</f>
        <v>120</v>
      </c>
      <c r="H8297" s="606"/>
    </row>
    <row r="8298" customFormat="false" ht="15" hidden="false" customHeight="false" outlineLevel="0" collapsed="false">
      <c r="A8298" s="571"/>
      <c r="B8298" s="608" t="s">
        <v>4128</v>
      </c>
      <c r="C8298" s="609"/>
      <c r="D8298" s="610"/>
      <c r="E8298" s="610"/>
      <c r="F8298" s="612"/>
      <c r="G8298" s="613" t="n">
        <f aca="false">SUM(G8294:G8297)</f>
        <v>2890.8</v>
      </c>
      <c r="H8298" s="610"/>
    </row>
    <row r="8299" customFormat="false" ht="30" hidden="false" customHeight="false" outlineLevel="0" collapsed="false">
      <c r="A8299" s="571" t="s">
        <v>1578</v>
      </c>
      <c r="B8299" s="433" t="s">
        <v>3540</v>
      </c>
      <c r="C8299" s="614" t="s">
        <v>4122</v>
      </c>
      <c r="D8299" s="606" t="s">
        <v>4359</v>
      </c>
      <c r="E8299" s="606" t="n">
        <v>0.047</v>
      </c>
      <c r="F8299" s="361" t="n">
        <v>720</v>
      </c>
      <c r="G8299" s="926" t="n">
        <f aca="false">E8299*F8299</f>
        <v>33.84</v>
      </c>
      <c r="H8299" s="606"/>
    </row>
    <row r="8300" customFormat="false" ht="15" hidden="false" customHeight="false" outlineLevel="0" collapsed="false">
      <c r="B8300" s="500"/>
      <c r="C8300" s="614" t="s">
        <v>5164</v>
      </c>
      <c r="D8300" s="606" t="s">
        <v>4133</v>
      </c>
      <c r="E8300" s="606" t="n">
        <v>0.05</v>
      </c>
      <c r="F8300" s="361" t="n">
        <v>3500</v>
      </c>
      <c r="G8300" s="926" t="n">
        <f aca="false">E8300*F8300</f>
        <v>175</v>
      </c>
      <c r="H8300" s="606"/>
    </row>
    <row r="8301" customFormat="false" ht="15" hidden="false" customHeight="false" outlineLevel="0" collapsed="false">
      <c r="A8301" s="571"/>
      <c r="B8301" s="500"/>
      <c r="C8301" s="614" t="s">
        <v>4147</v>
      </c>
      <c r="D8301" s="606" t="s">
        <v>4359</v>
      </c>
      <c r="E8301" s="606" t="n">
        <v>0.09</v>
      </c>
      <c r="F8301" s="361" t="n">
        <v>3500</v>
      </c>
      <c r="G8301" s="926" t="n">
        <f aca="false">E8301*F8301</f>
        <v>315</v>
      </c>
      <c r="H8301" s="606"/>
    </row>
    <row r="8302" customFormat="false" ht="15" hidden="false" customHeight="false" outlineLevel="0" collapsed="false">
      <c r="A8302" s="571"/>
      <c r="B8302" s="500"/>
      <c r="C8302" s="614" t="s">
        <v>4672</v>
      </c>
      <c r="D8302" s="606" t="s">
        <v>4359</v>
      </c>
      <c r="E8302" s="606" t="n">
        <v>0.015</v>
      </c>
      <c r="F8302" s="361" t="n">
        <v>3730</v>
      </c>
      <c r="G8302" s="926" t="n">
        <f aca="false">E8302*F8302</f>
        <v>55.95</v>
      </c>
      <c r="H8302" s="606"/>
    </row>
    <row r="8303" customFormat="false" ht="15" hidden="false" customHeight="false" outlineLevel="0" collapsed="false">
      <c r="A8303" s="571"/>
      <c r="B8303" s="500"/>
      <c r="C8303" s="614" t="s">
        <v>4205</v>
      </c>
      <c r="D8303" s="606" t="s">
        <v>4359</v>
      </c>
      <c r="E8303" s="606" t="n">
        <v>0.075</v>
      </c>
      <c r="F8303" s="927" t="n">
        <v>6300</v>
      </c>
      <c r="G8303" s="926" t="n">
        <f aca="false">E8303*F8303</f>
        <v>472.5</v>
      </c>
      <c r="H8303" s="606"/>
    </row>
    <row r="8304" customFormat="false" ht="15" hidden="false" customHeight="false" outlineLevel="0" collapsed="false">
      <c r="A8304" s="571"/>
      <c r="B8304" s="500"/>
      <c r="C8304" s="614" t="s">
        <v>4225</v>
      </c>
      <c r="D8304" s="606" t="s">
        <v>4133</v>
      </c>
      <c r="E8304" s="606" t="n">
        <v>0.04</v>
      </c>
      <c r="F8304" s="361" t="n">
        <v>2553.6</v>
      </c>
      <c r="G8304" s="926" t="n">
        <f aca="false">E8304*F8304</f>
        <v>102.144</v>
      </c>
      <c r="H8304" s="606"/>
    </row>
    <row r="8305" customFormat="false" ht="30" hidden="false" customHeight="false" outlineLevel="0" collapsed="false">
      <c r="A8305" s="571"/>
      <c r="B8305" s="500"/>
      <c r="C8305" s="614" t="s">
        <v>5690</v>
      </c>
      <c r="D8305" s="606" t="s">
        <v>4138</v>
      </c>
      <c r="E8305" s="606" t="n">
        <v>0.5</v>
      </c>
      <c r="F8305" s="932" t="n">
        <v>2324</v>
      </c>
      <c r="G8305" s="926" t="n">
        <f aca="false">E8305*F8305</f>
        <v>1162</v>
      </c>
      <c r="H8305" s="606"/>
    </row>
    <row r="8306" customFormat="false" ht="15" hidden="false" customHeight="false" outlineLevel="0" collapsed="false">
      <c r="A8306" s="571"/>
      <c r="B8306" s="608" t="s">
        <v>4128</v>
      </c>
      <c r="C8306" s="609"/>
      <c r="D8306" s="610"/>
      <c r="E8306" s="610"/>
      <c r="F8306" s="612"/>
      <c r="G8306" s="613" t="n">
        <f aca="false">SUM(G8299:G8305)</f>
        <v>2316.434</v>
      </c>
      <c r="H8306" s="610"/>
    </row>
    <row r="8307" customFormat="false" ht="15" hidden="false" customHeight="false" outlineLevel="0" collapsed="false">
      <c r="A8307" s="571" t="s">
        <v>5691</v>
      </c>
      <c r="B8307" s="433" t="s">
        <v>3541</v>
      </c>
      <c r="C8307" s="614" t="s">
        <v>5627</v>
      </c>
      <c r="D8307" s="606" t="s">
        <v>4138</v>
      </c>
      <c r="E8307" s="606" t="n">
        <v>0.2</v>
      </c>
      <c r="F8307" s="927" t="n">
        <v>15680</v>
      </c>
      <c r="G8307" s="926" t="n">
        <f aca="false">E8307*F8307</f>
        <v>3136</v>
      </c>
      <c r="H8307" s="606"/>
    </row>
    <row r="8308" customFormat="false" ht="15" hidden="false" customHeight="false" outlineLevel="0" collapsed="false">
      <c r="A8308" s="928"/>
      <c r="B8308" s="500"/>
      <c r="C8308" s="614" t="s">
        <v>4147</v>
      </c>
      <c r="D8308" s="606" t="s">
        <v>4133</v>
      </c>
      <c r="E8308" s="606" t="n">
        <v>0.0012</v>
      </c>
      <c r="F8308" s="361" t="n">
        <v>3500</v>
      </c>
      <c r="G8308" s="926" t="n">
        <f aca="false">E8308*F8308</f>
        <v>4.2</v>
      </c>
      <c r="H8308" s="606"/>
    </row>
    <row r="8309" customFormat="false" ht="15" hidden="false" customHeight="false" outlineLevel="0" collapsed="false">
      <c r="A8309" s="571"/>
      <c r="B8309" s="500"/>
      <c r="C8309" s="614" t="s">
        <v>5405</v>
      </c>
      <c r="D8309" s="606" t="s">
        <v>5452</v>
      </c>
      <c r="E8309" s="606" t="n">
        <v>0.004</v>
      </c>
      <c r="F8309" s="361" t="n">
        <v>4900</v>
      </c>
      <c r="G8309" s="926" t="n">
        <f aca="false">E8309*F8309</f>
        <v>19.6</v>
      </c>
      <c r="H8309" s="606"/>
    </row>
    <row r="8310" customFormat="false" ht="15" hidden="false" customHeight="false" outlineLevel="0" collapsed="false">
      <c r="A8310" s="571"/>
      <c r="B8310" s="500"/>
      <c r="C8310" s="614" t="s">
        <v>5082</v>
      </c>
      <c r="D8310" s="606" t="s">
        <v>4133</v>
      </c>
      <c r="E8310" s="606" t="n">
        <v>0.005</v>
      </c>
      <c r="F8310" s="927" t="n">
        <v>3500</v>
      </c>
      <c r="G8310" s="926" t="n">
        <f aca="false">E8310*F8310</f>
        <v>17.5</v>
      </c>
      <c r="H8310" s="606"/>
    </row>
    <row r="8311" customFormat="false" ht="15" hidden="false" customHeight="false" outlineLevel="0" collapsed="false">
      <c r="A8311" s="571"/>
      <c r="B8311" s="500"/>
      <c r="C8311" s="614" t="s">
        <v>4240</v>
      </c>
      <c r="D8311" s="606" t="s">
        <v>4133</v>
      </c>
      <c r="E8311" s="606" t="n">
        <v>0.001</v>
      </c>
      <c r="F8311" s="361" t="n">
        <v>6200</v>
      </c>
      <c r="G8311" s="926" t="n">
        <f aca="false">E8311*F8311</f>
        <v>6.2</v>
      </c>
      <c r="H8311" s="606"/>
    </row>
    <row r="8312" customFormat="false" ht="15" hidden="false" customHeight="false" outlineLevel="0" collapsed="false">
      <c r="A8312" s="571"/>
      <c r="B8312" s="608" t="s">
        <v>4128</v>
      </c>
      <c r="C8312" s="609"/>
      <c r="D8312" s="610"/>
      <c r="E8312" s="610"/>
      <c r="F8312" s="612"/>
      <c r="G8312" s="613" t="n">
        <f aca="false">SUM(G8307:G8311)</f>
        <v>3183.5</v>
      </c>
      <c r="H8312" s="610"/>
    </row>
    <row r="8313" customFormat="false" ht="30" hidden="false" customHeight="false" outlineLevel="0" collapsed="false">
      <c r="A8313" s="571" t="s">
        <v>5692</v>
      </c>
      <c r="B8313" s="433" t="s">
        <v>3447</v>
      </c>
      <c r="C8313" s="614" t="s">
        <v>5693</v>
      </c>
      <c r="D8313" s="606" t="s">
        <v>4138</v>
      </c>
      <c r="E8313" s="606" t="n">
        <v>1</v>
      </c>
      <c r="F8313" s="927" t="n">
        <v>2324</v>
      </c>
      <c r="G8313" s="926" t="n">
        <f aca="false">E8313*F8313</f>
        <v>2324</v>
      </c>
      <c r="H8313" s="606"/>
    </row>
    <row r="8314" customFormat="false" ht="15" hidden="false" customHeight="false" outlineLevel="0" collapsed="false">
      <c r="B8314" s="500"/>
      <c r="C8314" s="614" t="s">
        <v>4122</v>
      </c>
      <c r="D8314" s="606" t="s">
        <v>4359</v>
      </c>
      <c r="E8314" s="606" t="n">
        <v>0.01</v>
      </c>
      <c r="F8314" s="361" t="n">
        <v>720</v>
      </c>
      <c r="G8314" s="926" t="n">
        <f aca="false">E8314*F8314</f>
        <v>7.2</v>
      </c>
      <c r="H8314" s="606"/>
    </row>
    <row r="8315" customFormat="false" ht="15" hidden="false" customHeight="false" outlineLevel="0" collapsed="false">
      <c r="A8315" s="571"/>
      <c r="B8315" s="500"/>
      <c r="C8315" s="614" t="s">
        <v>4485</v>
      </c>
      <c r="D8315" s="606" t="s">
        <v>4133</v>
      </c>
      <c r="E8315" s="606" t="n">
        <v>0.01</v>
      </c>
      <c r="F8315" s="927" t="n">
        <v>5241.6</v>
      </c>
      <c r="G8315" s="926" t="n">
        <f aca="false">E8315*F8315</f>
        <v>52.416</v>
      </c>
      <c r="H8315" s="606"/>
    </row>
    <row r="8316" customFormat="false" ht="15" hidden="false" customHeight="false" outlineLevel="0" collapsed="false">
      <c r="A8316" s="571"/>
      <c r="B8316" s="500"/>
      <c r="C8316" s="614" t="s">
        <v>4317</v>
      </c>
      <c r="D8316" s="606" t="s">
        <v>4359</v>
      </c>
      <c r="E8316" s="606" t="n">
        <v>0.01</v>
      </c>
      <c r="F8316" s="361" t="n">
        <v>12000</v>
      </c>
      <c r="G8316" s="926" t="n">
        <f aca="false">E8316*F8316</f>
        <v>120</v>
      </c>
      <c r="H8316" s="606"/>
    </row>
    <row r="8317" customFormat="false" ht="15" hidden="false" customHeight="false" outlineLevel="0" collapsed="false">
      <c r="A8317" s="571"/>
      <c r="B8317" s="500"/>
      <c r="C8317" s="614" t="s">
        <v>4205</v>
      </c>
      <c r="D8317" s="606" t="s">
        <v>4359</v>
      </c>
      <c r="E8317" s="606" t="n">
        <v>0.01</v>
      </c>
      <c r="F8317" s="361" t="n">
        <v>6300</v>
      </c>
      <c r="G8317" s="926" t="n">
        <f aca="false">E8317*F8317</f>
        <v>63</v>
      </c>
      <c r="H8317" s="606"/>
    </row>
    <row r="8318" customFormat="false" ht="15" hidden="false" customHeight="false" outlineLevel="0" collapsed="false">
      <c r="A8318" s="571"/>
      <c r="B8318" s="608" t="s">
        <v>4128</v>
      </c>
      <c r="C8318" s="609"/>
      <c r="D8318" s="610"/>
      <c r="E8318" s="610"/>
      <c r="F8318" s="612"/>
      <c r="G8318" s="613" t="n">
        <f aca="false">SUM(G8313:G8317)</f>
        <v>2566.616</v>
      </c>
      <c r="H8318" s="610"/>
    </row>
    <row r="8319" customFormat="false" ht="15" hidden="false" customHeight="false" outlineLevel="0" collapsed="false">
      <c r="A8319" s="571" t="s">
        <v>1581</v>
      </c>
      <c r="B8319" s="433" t="s">
        <v>3514</v>
      </c>
      <c r="C8319" s="614" t="s">
        <v>4317</v>
      </c>
      <c r="D8319" s="606" t="s">
        <v>4359</v>
      </c>
      <c r="E8319" s="606" t="n">
        <v>0.01</v>
      </c>
      <c r="F8319" s="361" t="n">
        <v>12000</v>
      </c>
      <c r="G8319" s="926" t="n">
        <f aca="false">E8319*F8319</f>
        <v>120</v>
      </c>
      <c r="H8319" s="606"/>
    </row>
    <row r="8320" customFormat="false" ht="15" hidden="false" customHeight="false" outlineLevel="0" collapsed="false">
      <c r="A8320" s="571"/>
      <c r="B8320" s="433"/>
      <c r="C8320" s="614" t="s">
        <v>5634</v>
      </c>
      <c r="D8320" s="606" t="s">
        <v>4138</v>
      </c>
      <c r="E8320" s="606" t="n">
        <v>0.5</v>
      </c>
      <c r="F8320" s="927" t="n">
        <v>2324</v>
      </c>
      <c r="G8320" s="926" t="n">
        <f aca="false">E8320*F8320</f>
        <v>1162</v>
      </c>
      <c r="H8320" s="606"/>
    </row>
    <row r="8321" customFormat="false" ht="15" hidden="false" customHeight="false" outlineLevel="0" collapsed="false">
      <c r="A8321" s="571"/>
      <c r="B8321" s="608" t="s">
        <v>4128</v>
      </c>
      <c r="C8321" s="609"/>
      <c r="D8321" s="610"/>
      <c r="E8321" s="610"/>
      <c r="F8321" s="612"/>
      <c r="G8321" s="613" t="n">
        <f aca="false">SUM(G8319:G8320)</f>
        <v>1282</v>
      </c>
      <c r="H8321" s="610"/>
    </row>
    <row r="8322" customFormat="false" ht="15" hidden="false" customHeight="false" outlineLevel="0" collapsed="false">
      <c r="A8322" s="571" t="s">
        <v>5694</v>
      </c>
      <c r="B8322" s="433" t="s">
        <v>3513</v>
      </c>
      <c r="C8322" s="614" t="s">
        <v>5633</v>
      </c>
      <c r="D8322" s="606" t="s">
        <v>4138</v>
      </c>
      <c r="E8322" s="606" t="n">
        <v>1</v>
      </c>
      <c r="F8322" s="927" t="n">
        <v>1120</v>
      </c>
      <c r="G8322" s="926" t="n">
        <f aca="false">E8322*F8322</f>
        <v>1120</v>
      </c>
      <c r="H8322" s="606"/>
    </row>
    <row r="8323" customFormat="false" ht="15" hidden="false" customHeight="false" outlineLevel="0" collapsed="false">
      <c r="A8323" s="928"/>
      <c r="B8323" s="500"/>
      <c r="C8323" s="614" t="s">
        <v>4122</v>
      </c>
      <c r="D8323" s="606" t="s">
        <v>4359</v>
      </c>
      <c r="E8323" s="606" t="n">
        <v>0.01</v>
      </c>
      <c r="F8323" s="361" t="n">
        <v>720</v>
      </c>
      <c r="G8323" s="926" t="n">
        <f aca="false">E8323*F8323</f>
        <v>7.2</v>
      </c>
      <c r="H8323" s="606"/>
    </row>
    <row r="8324" customFormat="false" ht="15" hidden="false" customHeight="false" outlineLevel="0" collapsed="false">
      <c r="A8324" s="571"/>
      <c r="B8324" s="500"/>
      <c r="C8324" s="614" t="s">
        <v>4485</v>
      </c>
      <c r="D8324" s="606" t="s">
        <v>4133</v>
      </c>
      <c r="E8324" s="606" t="n">
        <v>0.01</v>
      </c>
      <c r="F8324" s="927" t="n">
        <v>5241.6</v>
      </c>
      <c r="G8324" s="926" t="n">
        <f aca="false">E8324*F8324</f>
        <v>52.416</v>
      </c>
      <c r="H8324" s="606"/>
    </row>
    <row r="8325" customFormat="false" ht="15" hidden="false" customHeight="false" outlineLevel="0" collapsed="false">
      <c r="A8325" s="571"/>
      <c r="B8325" s="500"/>
      <c r="C8325" s="614" t="s">
        <v>4317</v>
      </c>
      <c r="D8325" s="606" t="s">
        <v>4359</v>
      </c>
      <c r="E8325" s="606" t="n">
        <v>0.01</v>
      </c>
      <c r="F8325" s="361" t="n">
        <v>12000</v>
      </c>
      <c r="G8325" s="926" t="n">
        <f aca="false">E8325*F8325</f>
        <v>120</v>
      </c>
      <c r="H8325" s="606"/>
    </row>
    <row r="8326" customFormat="false" ht="15" hidden="false" customHeight="false" outlineLevel="0" collapsed="false">
      <c r="A8326" s="571"/>
      <c r="B8326" s="500"/>
      <c r="C8326" s="614" t="s">
        <v>4205</v>
      </c>
      <c r="D8326" s="606" t="s">
        <v>4359</v>
      </c>
      <c r="E8326" s="606" t="n">
        <v>0.01</v>
      </c>
      <c r="F8326" s="361" t="n">
        <v>6300</v>
      </c>
      <c r="G8326" s="926" t="n">
        <f aca="false">E8326*F8326</f>
        <v>63</v>
      </c>
      <c r="H8326" s="606"/>
    </row>
    <row r="8327" customFormat="false" ht="15" hidden="false" customHeight="false" outlineLevel="0" collapsed="false">
      <c r="A8327" s="571"/>
      <c r="B8327" s="608" t="s">
        <v>4128</v>
      </c>
      <c r="C8327" s="609"/>
      <c r="D8327" s="610"/>
      <c r="E8327" s="610"/>
      <c r="F8327" s="612"/>
      <c r="G8327" s="613" t="n">
        <f aca="false">SUM(G8322:G8326)</f>
        <v>1362.616</v>
      </c>
      <c r="H8327" s="610"/>
    </row>
    <row r="8328" customFormat="false" ht="30" hidden="false" customHeight="false" outlineLevel="0" collapsed="false">
      <c r="A8328" s="571" t="s">
        <v>1583</v>
      </c>
      <c r="B8328" s="433" t="s">
        <v>3542</v>
      </c>
      <c r="C8328" s="614" t="s">
        <v>5635</v>
      </c>
      <c r="D8328" s="606" t="s">
        <v>4138</v>
      </c>
      <c r="E8328" s="606" t="n">
        <v>0.3</v>
      </c>
      <c r="F8328" s="933" t="n">
        <v>7700</v>
      </c>
      <c r="G8328" s="926" t="n">
        <f aca="false">E8328*F8328</f>
        <v>2310</v>
      </c>
      <c r="H8328" s="606"/>
    </row>
    <row r="8329" customFormat="false" ht="15" hidden="false" customHeight="false" outlineLevel="0" collapsed="false">
      <c r="A8329" s="928"/>
      <c r="B8329" s="500"/>
      <c r="C8329" s="614" t="s">
        <v>4205</v>
      </c>
      <c r="D8329" s="606" t="s">
        <v>4359</v>
      </c>
      <c r="E8329" s="606" t="n">
        <v>0.01</v>
      </c>
      <c r="F8329" s="927" t="n">
        <v>6300</v>
      </c>
      <c r="G8329" s="926" t="n">
        <f aca="false">E8329*F8329</f>
        <v>63</v>
      </c>
      <c r="H8329" s="606"/>
    </row>
    <row r="8330" customFormat="false" ht="15" hidden="false" customHeight="false" outlineLevel="0" collapsed="false">
      <c r="A8330" s="571"/>
      <c r="B8330" s="500"/>
      <c r="C8330" s="614" t="s">
        <v>4122</v>
      </c>
      <c r="D8330" s="606" t="s">
        <v>4359</v>
      </c>
      <c r="E8330" s="606" t="n">
        <v>0.01</v>
      </c>
      <c r="F8330" s="361" t="n">
        <v>720</v>
      </c>
      <c r="G8330" s="926" t="n">
        <f aca="false">E8330*F8330</f>
        <v>7.2</v>
      </c>
      <c r="H8330" s="606"/>
    </row>
    <row r="8331" customFormat="false" ht="15" hidden="false" customHeight="false" outlineLevel="0" collapsed="false">
      <c r="A8331" s="571"/>
      <c r="B8331" s="500"/>
      <c r="C8331" s="614" t="s">
        <v>4317</v>
      </c>
      <c r="D8331" s="606" t="s">
        <v>4359</v>
      </c>
      <c r="E8331" s="606" t="n">
        <v>0.01</v>
      </c>
      <c r="F8331" s="361" t="n">
        <v>12000</v>
      </c>
      <c r="G8331" s="926" t="n">
        <f aca="false">E8331*F8331</f>
        <v>120</v>
      </c>
      <c r="H8331" s="606"/>
    </row>
    <row r="8332" customFormat="false" ht="15" hidden="false" customHeight="false" outlineLevel="0" collapsed="false">
      <c r="A8332" s="571"/>
      <c r="B8332" s="608" t="s">
        <v>4128</v>
      </c>
      <c r="C8332" s="609"/>
      <c r="D8332" s="610"/>
      <c r="E8332" s="610"/>
      <c r="F8332" s="612"/>
      <c r="G8332" s="613" t="n">
        <f aca="false">SUM(G8328:G8331)</f>
        <v>2500.2</v>
      </c>
      <c r="H8332" s="610"/>
    </row>
    <row r="8333" customFormat="false" ht="15" hidden="false" customHeight="false" outlineLevel="0" collapsed="false">
      <c r="A8333" s="571" t="s">
        <v>1584</v>
      </c>
      <c r="B8333" s="433" t="s">
        <v>3543</v>
      </c>
      <c r="C8333" s="614" t="s">
        <v>4565</v>
      </c>
      <c r="D8333" s="606" t="s">
        <v>4133</v>
      </c>
      <c r="E8333" s="606" t="n">
        <v>0.002</v>
      </c>
      <c r="F8333" s="940" t="n">
        <v>1230</v>
      </c>
      <c r="G8333" s="926" t="n">
        <f aca="false">E8333*F8333</f>
        <v>2.46</v>
      </c>
      <c r="H8333" s="606"/>
    </row>
    <row r="8334" customFormat="false" ht="15" hidden="false" customHeight="false" outlineLevel="0" collapsed="false">
      <c r="A8334" s="928"/>
      <c r="B8334" s="500"/>
      <c r="C8334" s="614" t="s">
        <v>4122</v>
      </c>
      <c r="D8334" s="606" t="s">
        <v>4359</v>
      </c>
      <c r="E8334" s="606" t="n">
        <v>0.01</v>
      </c>
      <c r="F8334" s="361" t="n">
        <v>720</v>
      </c>
      <c r="G8334" s="926" t="n">
        <f aca="false">E8334*F8334</f>
        <v>7.2</v>
      </c>
      <c r="H8334" s="606"/>
    </row>
    <row r="8335" customFormat="false" ht="15" hidden="false" customHeight="false" outlineLevel="0" collapsed="false">
      <c r="A8335" s="571"/>
      <c r="B8335" s="500"/>
      <c r="C8335" s="614" t="s">
        <v>5695</v>
      </c>
      <c r="D8335" s="606" t="s">
        <v>4133</v>
      </c>
      <c r="E8335" s="606" t="n">
        <v>0.008</v>
      </c>
      <c r="F8335" s="927" t="n">
        <v>137900</v>
      </c>
      <c r="G8335" s="926" t="n">
        <f aca="false">E8335*F8335</f>
        <v>1103.2</v>
      </c>
      <c r="H8335" s="606"/>
    </row>
    <row r="8336" customFormat="false" ht="15" hidden="false" customHeight="false" outlineLevel="0" collapsed="false">
      <c r="A8336" s="571"/>
      <c r="B8336" s="500"/>
      <c r="C8336" s="614" t="s">
        <v>4653</v>
      </c>
      <c r="D8336" s="606" t="s">
        <v>4359</v>
      </c>
      <c r="E8336" s="606" t="n">
        <v>0.025</v>
      </c>
      <c r="F8336" s="361" t="n">
        <v>6580</v>
      </c>
      <c r="G8336" s="926" t="n">
        <f aca="false">E8336*F8336</f>
        <v>164.5</v>
      </c>
      <c r="H8336" s="606"/>
    </row>
    <row r="8337" customFormat="false" ht="15" hidden="false" customHeight="false" outlineLevel="0" collapsed="false">
      <c r="A8337" s="571"/>
      <c r="B8337" s="608" t="s">
        <v>4128</v>
      </c>
      <c r="C8337" s="609"/>
      <c r="D8337" s="610"/>
      <c r="E8337" s="610"/>
      <c r="F8337" s="612"/>
      <c r="G8337" s="613" t="n">
        <f aca="false">SUM(G8333:G8336)</f>
        <v>1277.36</v>
      </c>
      <c r="H8337" s="610"/>
    </row>
    <row r="8338" customFormat="false" ht="30" hidden="false" customHeight="false" outlineLevel="0" collapsed="false">
      <c r="A8338" s="571" t="s">
        <v>1585</v>
      </c>
      <c r="B8338" s="433"/>
      <c r="C8338" s="614" t="s">
        <v>5696</v>
      </c>
      <c r="D8338" s="606" t="s">
        <v>4138</v>
      </c>
      <c r="E8338" s="606" t="n">
        <v>1</v>
      </c>
      <c r="F8338" s="927" t="n">
        <v>2324</v>
      </c>
      <c r="G8338" s="926" t="n">
        <f aca="false">E8338*F8338</f>
        <v>2324</v>
      </c>
      <c r="H8338" s="606"/>
    </row>
    <row r="8339" customFormat="false" ht="15" hidden="false" customHeight="false" outlineLevel="0" collapsed="false">
      <c r="A8339" s="928"/>
      <c r="B8339" s="500"/>
      <c r="C8339" s="614" t="s">
        <v>4122</v>
      </c>
      <c r="D8339" s="606" t="s">
        <v>4359</v>
      </c>
      <c r="E8339" s="606" t="n">
        <v>0.01</v>
      </c>
      <c r="F8339" s="361" t="n">
        <v>720</v>
      </c>
      <c r="G8339" s="926" t="n">
        <f aca="false">E8339*F8339</f>
        <v>7.2</v>
      </c>
      <c r="H8339" s="606"/>
    </row>
    <row r="8340" customFormat="false" ht="15" hidden="false" customHeight="false" outlineLevel="0" collapsed="false">
      <c r="A8340" s="571"/>
      <c r="B8340" s="500"/>
      <c r="C8340" s="614" t="s">
        <v>4485</v>
      </c>
      <c r="D8340" s="606" t="s">
        <v>4133</v>
      </c>
      <c r="E8340" s="606" t="n">
        <v>0.01</v>
      </c>
      <c r="F8340" s="927" t="n">
        <v>5241.6</v>
      </c>
      <c r="G8340" s="926" t="n">
        <f aca="false">E8340*F8340</f>
        <v>52.416</v>
      </c>
      <c r="H8340" s="606"/>
    </row>
    <row r="8341" customFormat="false" ht="15" hidden="false" customHeight="false" outlineLevel="0" collapsed="false">
      <c r="A8341" s="571"/>
      <c r="B8341" s="500"/>
      <c r="C8341" s="614" t="s">
        <v>4317</v>
      </c>
      <c r="D8341" s="606" t="s">
        <v>4359</v>
      </c>
      <c r="E8341" s="606" t="n">
        <v>0.01</v>
      </c>
      <c r="F8341" s="361" t="n">
        <v>12000</v>
      </c>
      <c r="G8341" s="926" t="n">
        <f aca="false">E8341*F8341</f>
        <v>120</v>
      </c>
      <c r="H8341" s="606"/>
    </row>
    <row r="8342" customFormat="false" ht="15" hidden="false" customHeight="false" outlineLevel="0" collapsed="false">
      <c r="A8342" s="571"/>
      <c r="B8342" s="500"/>
      <c r="C8342" s="614" t="s">
        <v>4205</v>
      </c>
      <c r="D8342" s="606" t="s">
        <v>4359</v>
      </c>
      <c r="E8342" s="606" t="n">
        <v>0.01</v>
      </c>
      <c r="F8342" s="361" t="n">
        <v>6300</v>
      </c>
      <c r="G8342" s="926" t="n">
        <f aca="false">E8342*F8342</f>
        <v>63</v>
      </c>
      <c r="H8342" s="606"/>
    </row>
    <row r="8343" customFormat="false" ht="15" hidden="false" customHeight="false" outlineLevel="0" collapsed="false">
      <c r="A8343" s="571"/>
      <c r="B8343" s="608" t="s">
        <v>4128</v>
      </c>
      <c r="C8343" s="609"/>
      <c r="D8343" s="610"/>
      <c r="E8343" s="610"/>
      <c r="F8343" s="612"/>
      <c r="G8343" s="613" t="n">
        <f aca="false">SUM(G8338:G8342)</f>
        <v>2566.616</v>
      </c>
      <c r="H8343" s="610"/>
    </row>
    <row r="8344" customFormat="false" ht="15" hidden="false" customHeight="false" outlineLevel="0" collapsed="false">
      <c r="A8344" s="571" t="s">
        <v>1587</v>
      </c>
      <c r="B8344" s="433" t="s">
        <v>3458</v>
      </c>
      <c r="C8344" s="614" t="s">
        <v>5697</v>
      </c>
      <c r="D8344" s="606" t="s">
        <v>4133</v>
      </c>
      <c r="E8344" s="606" t="n">
        <v>0.03</v>
      </c>
      <c r="F8344" s="927" t="n">
        <v>63000</v>
      </c>
      <c r="G8344" s="926" t="n">
        <f aca="false">E8344*F8344</f>
        <v>1890</v>
      </c>
      <c r="H8344" s="606"/>
    </row>
    <row r="8345" customFormat="false" ht="15" hidden="false" customHeight="false" outlineLevel="0" collapsed="false">
      <c r="B8345" s="500"/>
      <c r="C8345" s="614" t="s">
        <v>5698</v>
      </c>
      <c r="D8345" s="606" t="s">
        <v>4133</v>
      </c>
      <c r="E8345" s="606" t="n">
        <v>0.01</v>
      </c>
      <c r="F8345" s="361" t="n">
        <v>2553.6</v>
      </c>
      <c r="G8345" s="926" t="n">
        <f aca="false">E8345*F8345</f>
        <v>25.536</v>
      </c>
      <c r="H8345" s="606"/>
    </row>
    <row r="8346" customFormat="false" ht="15" hidden="false" customHeight="false" outlineLevel="0" collapsed="false">
      <c r="A8346" s="571"/>
      <c r="B8346" s="608" t="s">
        <v>4128</v>
      </c>
      <c r="C8346" s="609"/>
      <c r="D8346" s="610"/>
      <c r="E8346" s="610"/>
      <c r="F8346" s="612"/>
      <c r="G8346" s="613" t="n">
        <f aca="false">SUM(G8344:G8345)</f>
        <v>1915.536</v>
      </c>
      <c r="H8346" s="610"/>
    </row>
    <row r="8347" customFormat="false" ht="15" hidden="false" customHeight="false" outlineLevel="0" collapsed="false">
      <c r="A8347" s="571" t="s">
        <v>1588</v>
      </c>
      <c r="B8347" s="433" t="s">
        <v>3443</v>
      </c>
      <c r="C8347" s="614" t="s">
        <v>5699</v>
      </c>
      <c r="D8347" s="606" t="s">
        <v>4138</v>
      </c>
      <c r="E8347" s="606" t="n">
        <v>1</v>
      </c>
      <c r="F8347" s="361" t="n">
        <v>2324</v>
      </c>
      <c r="G8347" s="926" t="n">
        <f aca="false">E8347*F8347</f>
        <v>2324</v>
      </c>
      <c r="H8347" s="606"/>
    </row>
    <row r="8348" customFormat="false" ht="15" hidden="false" customHeight="false" outlineLevel="0" collapsed="false">
      <c r="A8348" s="928"/>
      <c r="B8348" s="500"/>
      <c r="C8348" s="614" t="s">
        <v>4205</v>
      </c>
      <c r="D8348" s="606" t="s">
        <v>4359</v>
      </c>
      <c r="E8348" s="606" t="n">
        <v>0.01</v>
      </c>
      <c r="F8348" s="927" t="n">
        <v>6300</v>
      </c>
      <c r="G8348" s="926" t="n">
        <f aca="false">E8348*F8348</f>
        <v>63</v>
      </c>
      <c r="H8348" s="606"/>
    </row>
    <row r="8349" customFormat="false" ht="15" hidden="false" customHeight="false" outlineLevel="0" collapsed="false">
      <c r="A8349" s="571"/>
      <c r="B8349" s="500"/>
      <c r="C8349" s="614" t="s">
        <v>4122</v>
      </c>
      <c r="D8349" s="606" t="s">
        <v>4359</v>
      </c>
      <c r="E8349" s="606" t="n">
        <v>0.01</v>
      </c>
      <c r="F8349" s="361" t="n">
        <v>720</v>
      </c>
      <c r="G8349" s="926" t="n">
        <f aca="false">E8349*F8349</f>
        <v>7.2</v>
      </c>
      <c r="H8349" s="606"/>
    </row>
    <row r="8350" customFormat="false" ht="15" hidden="false" customHeight="false" outlineLevel="0" collapsed="false">
      <c r="A8350" s="571"/>
      <c r="B8350" s="500"/>
      <c r="C8350" s="614" t="s">
        <v>4317</v>
      </c>
      <c r="D8350" s="606" t="s">
        <v>4359</v>
      </c>
      <c r="E8350" s="606" t="n">
        <v>0.01</v>
      </c>
      <c r="F8350" s="361" t="n">
        <v>12000</v>
      </c>
      <c r="G8350" s="926" t="n">
        <f aca="false">E8350*F8350</f>
        <v>120</v>
      </c>
      <c r="H8350" s="606"/>
    </row>
    <row r="8351" customFormat="false" ht="15" hidden="false" customHeight="false" outlineLevel="0" collapsed="false">
      <c r="A8351" s="571"/>
      <c r="B8351" s="608" t="s">
        <v>4128</v>
      </c>
      <c r="C8351" s="609"/>
      <c r="D8351" s="610"/>
      <c r="E8351" s="610"/>
      <c r="F8351" s="612"/>
      <c r="G8351" s="613" t="n">
        <f aca="false">SUM(G8347:G8350)</f>
        <v>2514.2</v>
      </c>
      <c r="H8351" s="610"/>
    </row>
    <row r="8352" customFormat="false" ht="30" hidden="false" customHeight="false" outlineLevel="0" collapsed="false">
      <c r="A8352" s="571" t="s">
        <v>5700</v>
      </c>
      <c r="B8352" s="433" t="s">
        <v>3545</v>
      </c>
      <c r="C8352" s="614" t="s">
        <v>5701</v>
      </c>
      <c r="D8352" s="606" t="s">
        <v>4133</v>
      </c>
      <c r="E8352" s="606" t="n">
        <v>0.3</v>
      </c>
      <c r="F8352" s="927" t="n">
        <v>2324</v>
      </c>
      <c r="G8352" s="926" t="n">
        <f aca="false">E8352*F8352</f>
        <v>697.2</v>
      </c>
      <c r="H8352" s="606"/>
    </row>
    <row r="8353" customFormat="false" ht="15" hidden="false" customHeight="false" outlineLevel="0" collapsed="false">
      <c r="B8353" s="500"/>
      <c r="C8353" s="614" t="s">
        <v>4205</v>
      </c>
      <c r="D8353" s="606" t="s">
        <v>4359</v>
      </c>
      <c r="E8353" s="606" t="n">
        <v>0.01</v>
      </c>
      <c r="F8353" s="927" t="n">
        <v>6300</v>
      </c>
      <c r="G8353" s="926" t="n">
        <f aca="false">E8353*F8353</f>
        <v>63</v>
      </c>
      <c r="H8353" s="606"/>
    </row>
    <row r="8354" customFormat="false" ht="15" hidden="false" customHeight="false" outlineLevel="0" collapsed="false">
      <c r="A8354" s="571"/>
      <c r="B8354" s="500"/>
      <c r="C8354" s="614" t="s">
        <v>4122</v>
      </c>
      <c r="D8354" s="606" t="s">
        <v>4359</v>
      </c>
      <c r="E8354" s="606" t="n">
        <v>0.01</v>
      </c>
      <c r="F8354" s="361" t="n">
        <v>720</v>
      </c>
      <c r="G8354" s="926" t="n">
        <f aca="false">E8354*F8354</f>
        <v>7.2</v>
      </c>
      <c r="H8354" s="606"/>
    </row>
    <row r="8355" customFormat="false" ht="15" hidden="false" customHeight="false" outlineLevel="0" collapsed="false">
      <c r="A8355" s="571"/>
      <c r="B8355" s="500"/>
      <c r="C8355" s="614" t="s">
        <v>4317</v>
      </c>
      <c r="D8355" s="606" t="s">
        <v>4359</v>
      </c>
      <c r="E8355" s="606" t="n">
        <v>0.01</v>
      </c>
      <c r="F8355" s="361" t="n">
        <v>12000</v>
      </c>
      <c r="G8355" s="926" t="n">
        <f aca="false">E8355*F8355</f>
        <v>120</v>
      </c>
      <c r="H8355" s="606"/>
    </row>
    <row r="8356" customFormat="false" ht="15" hidden="false" customHeight="false" outlineLevel="0" collapsed="false">
      <c r="A8356" s="571"/>
      <c r="B8356" s="608" t="s">
        <v>4128</v>
      </c>
      <c r="C8356" s="609"/>
      <c r="D8356" s="610"/>
      <c r="E8356" s="610"/>
      <c r="F8356" s="612"/>
      <c r="G8356" s="613" t="n">
        <f aca="false">SUM(G8352:G8355)</f>
        <v>887.4</v>
      </c>
      <c r="H8356" s="610"/>
    </row>
    <row r="8357" customFormat="false" ht="30" hidden="false" customHeight="false" outlineLevel="0" collapsed="false">
      <c r="A8357" s="571" t="s">
        <v>5702</v>
      </c>
      <c r="B8357" s="433" t="s">
        <v>3444</v>
      </c>
      <c r="C8357" s="614" t="s">
        <v>5625</v>
      </c>
      <c r="D8357" s="606" t="s">
        <v>4138</v>
      </c>
      <c r="E8357" s="606" t="n">
        <v>1</v>
      </c>
      <c r="F8357" s="361" t="n">
        <v>2324</v>
      </c>
      <c r="G8357" s="926" t="n">
        <f aca="false">E8357*F8357</f>
        <v>2324</v>
      </c>
      <c r="H8357" s="606"/>
    </row>
    <row r="8358" customFormat="false" ht="15" hidden="false" customHeight="false" outlineLevel="0" collapsed="false">
      <c r="B8358" s="500"/>
      <c r="C8358" s="614" t="s">
        <v>4205</v>
      </c>
      <c r="D8358" s="606" t="s">
        <v>4359</v>
      </c>
      <c r="E8358" s="606" t="n">
        <v>0.01</v>
      </c>
      <c r="F8358" s="927" t="n">
        <v>6300</v>
      </c>
      <c r="G8358" s="926" t="n">
        <f aca="false">E8358*F8358</f>
        <v>63</v>
      </c>
      <c r="H8358" s="606"/>
    </row>
    <row r="8359" customFormat="false" ht="15" hidden="false" customHeight="false" outlineLevel="0" collapsed="false">
      <c r="A8359" s="571"/>
      <c r="B8359" s="500"/>
      <c r="C8359" s="614" t="s">
        <v>4122</v>
      </c>
      <c r="D8359" s="606" t="s">
        <v>4359</v>
      </c>
      <c r="E8359" s="606" t="n">
        <v>0.01</v>
      </c>
      <c r="F8359" s="361" t="n">
        <v>720</v>
      </c>
      <c r="G8359" s="926" t="n">
        <f aca="false">E8359*F8359</f>
        <v>7.2</v>
      </c>
      <c r="H8359" s="606"/>
    </row>
    <row r="8360" customFormat="false" ht="15" hidden="false" customHeight="false" outlineLevel="0" collapsed="false">
      <c r="A8360" s="571"/>
      <c r="B8360" s="500"/>
      <c r="C8360" s="614" t="s">
        <v>4317</v>
      </c>
      <c r="D8360" s="606" t="s">
        <v>4359</v>
      </c>
      <c r="E8360" s="606" t="n">
        <v>0.01</v>
      </c>
      <c r="F8360" s="361" t="n">
        <v>12000</v>
      </c>
      <c r="G8360" s="926" t="n">
        <f aca="false">E8360*F8360</f>
        <v>120</v>
      </c>
      <c r="H8360" s="606"/>
    </row>
    <row r="8361" customFormat="false" ht="15" hidden="false" customHeight="false" outlineLevel="0" collapsed="false">
      <c r="A8361" s="571"/>
      <c r="B8361" s="608" t="s">
        <v>4128</v>
      </c>
      <c r="C8361" s="609"/>
      <c r="D8361" s="610"/>
      <c r="E8361" s="610"/>
      <c r="F8361" s="612"/>
      <c r="G8361" s="613" t="n">
        <f aca="false">SUM(G8357:G8360)</f>
        <v>2514.2</v>
      </c>
      <c r="H8361" s="610"/>
    </row>
    <row r="8362" customFormat="false" ht="15" hidden="false" customHeight="false" outlineLevel="0" collapsed="false">
      <c r="A8362" s="571"/>
      <c r="B8362" s="500"/>
      <c r="C8362" s="614" t="s">
        <v>5703</v>
      </c>
      <c r="D8362" s="606" t="s">
        <v>4138</v>
      </c>
      <c r="E8362" s="606" t="n">
        <v>1</v>
      </c>
      <c r="F8362" s="927" t="n">
        <v>2128</v>
      </c>
      <c r="G8362" s="926" t="n">
        <f aca="false">E8362*F8362</f>
        <v>2128</v>
      </c>
      <c r="H8362" s="606"/>
    </row>
    <row r="8363" customFormat="false" ht="15" hidden="false" customHeight="false" outlineLevel="0" collapsed="false">
      <c r="A8363" s="571" t="s">
        <v>5704</v>
      </c>
      <c r="B8363" s="433" t="s">
        <v>3546</v>
      </c>
      <c r="C8363" s="614" t="s">
        <v>5705</v>
      </c>
      <c r="D8363" s="606" t="s">
        <v>4133</v>
      </c>
      <c r="E8363" s="606" t="n">
        <v>0.08</v>
      </c>
      <c r="F8363" s="927" t="n">
        <v>5000</v>
      </c>
      <c r="G8363" s="926" t="n">
        <f aca="false">E8363*F8363</f>
        <v>400</v>
      </c>
      <c r="H8363" s="606"/>
    </row>
    <row r="8364" customFormat="false" ht="15" hidden="false" customHeight="false" outlineLevel="0" collapsed="false">
      <c r="B8364" s="500"/>
      <c r="C8364" s="614" t="s">
        <v>5493</v>
      </c>
      <c r="D8364" s="606" t="s">
        <v>4133</v>
      </c>
      <c r="E8364" s="606" t="n">
        <v>0.001</v>
      </c>
      <c r="F8364" s="361" t="n">
        <v>6500</v>
      </c>
      <c r="G8364" s="926" t="n">
        <f aca="false">E8364*F8364</f>
        <v>6.5</v>
      </c>
      <c r="H8364" s="606"/>
    </row>
    <row r="8365" customFormat="false" ht="15" hidden="false" customHeight="false" outlineLevel="0" collapsed="false">
      <c r="A8365" s="571"/>
      <c r="B8365" s="500"/>
      <c r="C8365" s="614" t="s">
        <v>4240</v>
      </c>
      <c r="D8365" s="606" t="s">
        <v>4133</v>
      </c>
      <c r="E8365" s="606" t="n">
        <v>0.02</v>
      </c>
      <c r="F8365" s="361" t="n">
        <v>6200</v>
      </c>
      <c r="G8365" s="926" t="n">
        <f aca="false">E8365*F8365</f>
        <v>124</v>
      </c>
      <c r="H8365" s="606"/>
    </row>
    <row r="8366" customFormat="false" ht="15" hidden="false" customHeight="false" outlineLevel="0" collapsed="false">
      <c r="A8366" s="571"/>
      <c r="B8366" s="500"/>
      <c r="C8366" s="614" t="s">
        <v>5489</v>
      </c>
      <c r="D8366" s="606" t="s">
        <v>4133</v>
      </c>
      <c r="E8366" s="606" t="n">
        <v>0.002</v>
      </c>
      <c r="F8366" s="927" t="n">
        <v>133000</v>
      </c>
      <c r="G8366" s="926" t="n">
        <f aca="false">E8366*F8366</f>
        <v>266</v>
      </c>
      <c r="H8366" s="606"/>
    </row>
    <row r="8367" customFormat="false" ht="15" hidden="false" customHeight="false" outlineLevel="0" collapsed="false">
      <c r="A8367" s="571"/>
      <c r="B8367" s="608" t="s">
        <v>4128</v>
      </c>
      <c r="C8367" s="609"/>
      <c r="D8367" s="610"/>
      <c r="E8367" s="610"/>
      <c r="F8367" s="612"/>
      <c r="G8367" s="613" t="n">
        <f aca="false">SUM(G8362:G8366)</f>
        <v>2924.5</v>
      </c>
      <c r="H8367" s="610"/>
    </row>
    <row r="8368" customFormat="false" ht="15" hidden="false" customHeight="false" outlineLevel="0" collapsed="false">
      <c r="A8368" s="571" t="s">
        <v>1593</v>
      </c>
      <c r="B8368" s="433" t="s">
        <v>3547</v>
      </c>
      <c r="C8368" s="614" t="s">
        <v>4171</v>
      </c>
      <c r="D8368" s="606" t="s">
        <v>4359</v>
      </c>
      <c r="E8368" s="606" t="n">
        <v>0.002</v>
      </c>
      <c r="F8368" s="361" t="n">
        <v>2500</v>
      </c>
      <c r="G8368" s="926" t="n">
        <f aca="false">E8368*F8368</f>
        <v>5</v>
      </c>
      <c r="H8368" s="606"/>
    </row>
    <row r="8369" customFormat="false" ht="15" hidden="false" customHeight="false" outlineLevel="0" collapsed="false">
      <c r="A8369" s="928"/>
      <c r="B8369" s="500"/>
      <c r="C8369" s="614" t="s">
        <v>5706</v>
      </c>
      <c r="D8369" s="606" t="s">
        <v>4133</v>
      </c>
      <c r="E8369" s="606" t="n">
        <v>0.02</v>
      </c>
      <c r="F8369" s="927" t="n">
        <v>2548</v>
      </c>
      <c r="G8369" s="926" t="n">
        <f aca="false">E8369*F8369</f>
        <v>50.96</v>
      </c>
      <c r="H8369" s="606"/>
    </row>
    <row r="8370" customFormat="false" ht="30" hidden="false" customHeight="false" outlineLevel="0" collapsed="false">
      <c r="A8370" s="571"/>
      <c r="B8370" s="500"/>
      <c r="C8370" s="614" t="s">
        <v>5707</v>
      </c>
      <c r="D8370" s="606" t="s">
        <v>4133</v>
      </c>
      <c r="E8370" s="606" t="n">
        <v>0.1</v>
      </c>
      <c r="F8370" s="929" t="n">
        <v>21300</v>
      </c>
      <c r="G8370" s="926" t="n">
        <f aca="false">E8370*F8370</f>
        <v>2130</v>
      </c>
      <c r="H8370" s="606"/>
    </row>
    <row r="8371" customFormat="false" ht="15" hidden="false" customHeight="false" outlineLevel="0" collapsed="false">
      <c r="A8371" s="571"/>
      <c r="B8371" s="500"/>
      <c r="C8371" s="614" t="s">
        <v>4240</v>
      </c>
      <c r="D8371" s="606" t="s">
        <v>4133</v>
      </c>
      <c r="E8371" s="606" t="n">
        <v>0.005</v>
      </c>
      <c r="F8371" s="361" t="n">
        <v>6200</v>
      </c>
      <c r="G8371" s="926" t="n">
        <f aca="false">E8371*F8371</f>
        <v>31</v>
      </c>
      <c r="H8371" s="606"/>
    </row>
    <row r="8372" customFormat="false" ht="15" hidden="false" customHeight="false" outlineLevel="0" collapsed="false">
      <c r="A8372" s="571"/>
      <c r="B8372" s="608" t="s">
        <v>4128</v>
      </c>
      <c r="C8372" s="609"/>
      <c r="D8372" s="610"/>
      <c r="E8372" s="610"/>
      <c r="F8372" s="612"/>
      <c r="G8372" s="613" t="n">
        <f aca="false">SUM(G8368:G8371)</f>
        <v>2216.96</v>
      </c>
      <c r="H8372" s="610"/>
    </row>
    <row r="8373" customFormat="false" ht="15" hidden="false" customHeight="false" outlineLevel="0" collapsed="false">
      <c r="A8373" s="571" t="s">
        <v>5708</v>
      </c>
      <c r="B8373" s="433" t="s">
        <v>3548</v>
      </c>
      <c r="C8373" s="614" t="s">
        <v>5709</v>
      </c>
      <c r="D8373" s="606" t="s">
        <v>4133</v>
      </c>
      <c r="E8373" s="606" t="n">
        <v>0.0045</v>
      </c>
      <c r="F8373" s="361" t="n">
        <v>20110</v>
      </c>
      <c r="G8373" s="926" t="n">
        <f aca="false">E8373*F8373</f>
        <v>90.495</v>
      </c>
      <c r="H8373" s="606"/>
    </row>
    <row r="8374" customFormat="false" ht="15" hidden="false" customHeight="false" outlineLevel="0" collapsed="false">
      <c r="B8374" s="500"/>
      <c r="C8374" s="614" t="s">
        <v>5710</v>
      </c>
      <c r="D8374" s="606" t="s">
        <v>5564</v>
      </c>
      <c r="E8374" s="606" t="n">
        <v>0.01</v>
      </c>
      <c r="F8374" s="927" t="n">
        <v>55776</v>
      </c>
      <c r="G8374" s="926" t="n">
        <f aca="false">E8374*F8374</f>
        <v>557.76</v>
      </c>
      <c r="H8374" s="606"/>
    </row>
    <row r="8375" customFormat="false" ht="15" hidden="false" customHeight="false" outlineLevel="0" collapsed="false">
      <c r="A8375" s="571"/>
      <c r="B8375" s="500"/>
      <c r="C8375" s="614" t="s">
        <v>4132</v>
      </c>
      <c r="D8375" s="606" t="s">
        <v>4133</v>
      </c>
      <c r="E8375" s="606" t="n">
        <v>0.009</v>
      </c>
      <c r="F8375" s="927" t="n">
        <v>3000</v>
      </c>
      <c r="G8375" s="926" t="n">
        <f aca="false">E8375*F8375</f>
        <v>27</v>
      </c>
      <c r="H8375" s="606"/>
    </row>
    <row r="8376" customFormat="false" ht="15" hidden="false" customHeight="false" outlineLevel="0" collapsed="false">
      <c r="A8376" s="571"/>
      <c r="B8376" s="500"/>
      <c r="C8376" s="614" t="s">
        <v>4154</v>
      </c>
      <c r="D8376" s="606" t="s">
        <v>4133</v>
      </c>
      <c r="E8376" s="606" t="n">
        <v>0.0025</v>
      </c>
      <c r="F8376" s="927" t="n">
        <v>5500</v>
      </c>
      <c r="G8376" s="926" t="n">
        <f aca="false">E8376*F8376</f>
        <v>13.75</v>
      </c>
      <c r="H8376" s="606"/>
    </row>
    <row r="8377" customFormat="false" ht="15" hidden="false" customHeight="false" outlineLevel="0" collapsed="false">
      <c r="A8377" s="571"/>
      <c r="B8377" s="500"/>
      <c r="C8377" s="614" t="s">
        <v>5711</v>
      </c>
      <c r="D8377" s="606" t="s">
        <v>5452</v>
      </c>
      <c r="E8377" s="606" t="n">
        <v>0.1</v>
      </c>
      <c r="F8377" s="927" t="n">
        <v>15400</v>
      </c>
      <c r="G8377" s="926" t="n">
        <f aca="false">E8377*F8377</f>
        <v>1540</v>
      </c>
      <c r="H8377" s="606"/>
    </row>
    <row r="8378" customFormat="false" ht="15" hidden="false" customHeight="false" outlineLevel="0" collapsed="false">
      <c r="A8378" s="571"/>
      <c r="B8378" s="608" t="s">
        <v>4128</v>
      </c>
      <c r="C8378" s="609"/>
      <c r="D8378" s="610"/>
      <c r="E8378" s="610"/>
      <c r="F8378" s="612"/>
      <c r="G8378" s="613" t="n">
        <f aca="false">SUM(G8373:G8377)</f>
        <v>2229.005</v>
      </c>
      <c r="H8378" s="610"/>
    </row>
    <row r="8379" customFormat="false" ht="30" hidden="false" customHeight="false" outlineLevel="0" collapsed="false">
      <c r="A8379" s="571" t="s">
        <v>5712</v>
      </c>
      <c r="B8379" s="433" t="s">
        <v>3549</v>
      </c>
      <c r="C8379" s="614" t="s">
        <v>5713</v>
      </c>
      <c r="D8379" s="606" t="s">
        <v>5452</v>
      </c>
      <c r="E8379" s="606" t="n">
        <v>0.5</v>
      </c>
      <c r="F8379" s="927" t="n">
        <v>1750</v>
      </c>
      <c r="G8379" s="926" t="n">
        <f aca="false">E8379*F8379</f>
        <v>875</v>
      </c>
      <c r="H8379" s="606"/>
    </row>
    <row r="8380" customFormat="false" ht="15" hidden="false" customHeight="false" outlineLevel="0" collapsed="false">
      <c r="A8380" s="928"/>
      <c r="B8380" s="500"/>
      <c r="C8380" s="614" t="s">
        <v>5714</v>
      </c>
      <c r="D8380" s="606" t="s">
        <v>4359</v>
      </c>
      <c r="E8380" s="606" t="n">
        <v>0.03</v>
      </c>
      <c r="F8380" s="361" t="n">
        <v>24640</v>
      </c>
      <c r="G8380" s="926" t="n">
        <f aca="false">E8380*F8380</f>
        <v>739.2</v>
      </c>
      <c r="H8380" s="606"/>
    </row>
    <row r="8381" customFormat="false" ht="15" hidden="false" customHeight="false" outlineLevel="0" collapsed="false">
      <c r="A8381" s="571"/>
      <c r="B8381" s="500"/>
      <c r="C8381" s="614" t="s">
        <v>4171</v>
      </c>
      <c r="D8381" s="606" t="s">
        <v>4359</v>
      </c>
      <c r="E8381" s="606" t="n">
        <v>0.02</v>
      </c>
      <c r="F8381" s="361" t="n">
        <v>2500</v>
      </c>
      <c r="G8381" s="926" t="n">
        <f aca="false">E8381*F8381</f>
        <v>50</v>
      </c>
      <c r="H8381" s="606"/>
    </row>
    <row r="8382" customFormat="false" ht="15" hidden="false" customHeight="false" outlineLevel="0" collapsed="false">
      <c r="A8382" s="571"/>
      <c r="B8382" s="500"/>
      <c r="C8382" s="614" t="s">
        <v>4529</v>
      </c>
      <c r="D8382" s="606" t="s">
        <v>4133</v>
      </c>
      <c r="E8382" s="606" t="n">
        <v>0.05</v>
      </c>
      <c r="F8382" s="361" t="n">
        <v>2553.6</v>
      </c>
      <c r="G8382" s="926" t="n">
        <f aca="false">E8382*F8382</f>
        <v>127.68</v>
      </c>
      <c r="H8382" s="606"/>
    </row>
    <row r="8383" customFormat="false" ht="15" hidden="false" customHeight="false" outlineLevel="0" collapsed="false">
      <c r="A8383" s="571"/>
      <c r="B8383" s="500"/>
      <c r="C8383" s="614" t="s">
        <v>4202</v>
      </c>
      <c r="D8383" s="606" t="s">
        <v>4133</v>
      </c>
      <c r="E8383" s="606" t="n">
        <v>0.005</v>
      </c>
      <c r="F8383" s="361" t="n">
        <v>6600</v>
      </c>
      <c r="G8383" s="926" t="n">
        <f aca="false">E8383*F8383</f>
        <v>33</v>
      </c>
      <c r="H8383" s="606"/>
    </row>
    <row r="8384" customFormat="false" ht="15" hidden="false" customHeight="false" outlineLevel="0" collapsed="false">
      <c r="A8384" s="571"/>
      <c r="B8384" s="500"/>
      <c r="C8384" s="614" t="s">
        <v>4254</v>
      </c>
      <c r="D8384" s="606" t="s">
        <v>4133</v>
      </c>
      <c r="E8384" s="606" t="n">
        <v>0.015</v>
      </c>
      <c r="F8384" s="927" t="n">
        <v>5000</v>
      </c>
      <c r="G8384" s="926" t="n">
        <f aca="false">E8384*F8384</f>
        <v>75</v>
      </c>
      <c r="H8384" s="606"/>
    </row>
    <row r="8385" customFormat="false" ht="15" hidden="false" customHeight="false" outlineLevel="0" collapsed="false">
      <c r="A8385" s="571"/>
      <c r="B8385" s="500"/>
      <c r="C8385" s="614" t="s">
        <v>4154</v>
      </c>
      <c r="D8385" s="606" t="s">
        <v>4133</v>
      </c>
      <c r="E8385" s="606" t="n">
        <v>0.001</v>
      </c>
      <c r="F8385" s="927" t="n">
        <v>5500</v>
      </c>
      <c r="G8385" s="926" t="n">
        <f aca="false">E8385*F8385</f>
        <v>5.5</v>
      </c>
      <c r="H8385" s="606"/>
    </row>
    <row r="8386" customFormat="false" ht="15" hidden="false" customHeight="false" outlineLevel="0" collapsed="false">
      <c r="A8386" s="571"/>
      <c r="B8386" s="608" t="s">
        <v>4128</v>
      </c>
      <c r="C8386" s="609"/>
      <c r="D8386" s="610"/>
      <c r="E8386" s="610"/>
      <c r="F8386" s="612"/>
      <c r="G8386" s="613" t="n">
        <f aca="false">SUM(G8379:G8385)</f>
        <v>1905.38</v>
      </c>
      <c r="H8386" s="610"/>
    </row>
    <row r="8387" customFormat="false" ht="15" hidden="false" customHeight="false" outlineLevel="0" collapsed="false">
      <c r="A8387" s="571" t="s">
        <v>1597</v>
      </c>
      <c r="B8387" s="433" t="s">
        <v>3550</v>
      </c>
      <c r="C8387" s="614" t="s">
        <v>5715</v>
      </c>
      <c r="D8387" s="606" t="s">
        <v>4138</v>
      </c>
      <c r="E8387" s="606" t="n">
        <v>1</v>
      </c>
      <c r="F8387" s="927" t="n">
        <v>2128</v>
      </c>
      <c r="G8387" s="926" t="n">
        <f aca="false">E8387*F8387</f>
        <v>2128</v>
      </c>
      <c r="H8387" s="606"/>
    </row>
    <row r="8388" customFormat="false" ht="15" hidden="false" customHeight="false" outlineLevel="0" collapsed="false">
      <c r="B8388" s="500"/>
      <c r="C8388" s="614" t="s">
        <v>4147</v>
      </c>
      <c r="D8388" s="606" t="s">
        <v>4133</v>
      </c>
      <c r="E8388" s="606" t="n">
        <v>0.03</v>
      </c>
      <c r="F8388" s="361" t="n">
        <v>3500</v>
      </c>
      <c r="G8388" s="926" t="n">
        <f aca="false">E8388*F8388</f>
        <v>105</v>
      </c>
      <c r="H8388" s="606"/>
    </row>
    <row r="8389" customFormat="false" ht="15" hidden="false" customHeight="false" outlineLevel="0" collapsed="false">
      <c r="A8389" s="571"/>
      <c r="B8389" s="500"/>
      <c r="C8389" s="614" t="s">
        <v>4262</v>
      </c>
      <c r="D8389" s="606" t="s">
        <v>4133</v>
      </c>
      <c r="E8389" s="606" t="n">
        <v>0.0025</v>
      </c>
      <c r="F8389" s="698" t="n">
        <v>3150</v>
      </c>
      <c r="G8389" s="926" t="n">
        <f aca="false">E8389*F8389</f>
        <v>7.875</v>
      </c>
      <c r="H8389" s="606"/>
    </row>
    <row r="8390" customFormat="false" ht="15" hidden="false" customHeight="false" outlineLevel="0" collapsed="false">
      <c r="A8390" s="571"/>
      <c r="B8390" s="608" t="s">
        <v>4128</v>
      </c>
      <c r="C8390" s="609"/>
      <c r="D8390" s="610"/>
      <c r="E8390" s="610"/>
      <c r="F8390" s="612"/>
      <c r="G8390" s="613" t="n">
        <f aca="false">SUM(G8387:G8389)</f>
        <v>2240.875</v>
      </c>
      <c r="H8390" s="610"/>
    </row>
    <row r="8391" customFormat="false" ht="30" hidden="false" customHeight="false" outlineLevel="0" collapsed="false">
      <c r="A8391" s="571" t="s">
        <v>1598</v>
      </c>
      <c r="B8391" s="433" t="s">
        <v>3551</v>
      </c>
      <c r="C8391" s="614" t="s">
        <v>5640</v>
      </c>
      <c r="D8391" s="606" t="s">
        <v>4138</v>
      </c>
      <c r="E8391" s="606" t="n">
        <v>1</v>
      </c>
      <c r="F8391" s="933" t="n">
        <v>2324</v>
      </c>
      <c r="G8391" s="926" t="n">
        <f aca="false">E8391*F8391</f>
        <v>2324</v>
      </c>
      <c r="H8391" s="606"/>
    </row>
    <row r="8392" customFormat="false" ht="15" hidden="false" customHeight="false" outlineLevel="0" collapsed="false">
      <c r="B8392" s="500"/>
      <c r="C8392" s="614" t="s">
        <v>4205</v>
      </c>
      <c r="D8392" s="606" t="s">
        <v>4359</v>
      </c>
      <c r="E8392" s="606" t="n">
        <v>0.01</v>
      </c>
      <c r="F8392" s="927" t="n">
        <v>6300</v>
      </c>
      <c r="G8392" s="926" t="n">
        <f aca="false">E8392*F8392</f>
        <v>63</v>
      </c>
      <c r="H8392" s="606"/>
    </row>
    <row r="8393" customFormat="false" ht="15" hidden="false" customHeight="false" outlineLevel="0" collapsed="false">
      <c r="A8393" s="571"/>
      <c r="B8393" s="500"/>
      <c r="C8393" s="614" t="s">
        <v>4122</v>
      </c>
      <c r="D8393" s="606" t="s">
        <v>4359</v>
      </c>
      <c r="E8393" s="606" t="n">
        <v>0.01</v>
      </c>
      <c r="F8393" s="361" t="n">
        <v>450</v>
      </c>
      <c r="G8393" s="926" t="n">
        <f aca="false">E8393*F8393</f>
        <v>4.5</v>
      </c>
      <c r="H8393" s="606"/>
    </row>
    <row r="8394" customFormat="false" ht="15" hidden="false" customHeight="false" outlineLevel="0" collapsed="false">
      <c r="A8394" s="571"/>
      <c r="B8394" s="500"/>
      <c r="C8394" s="614" t="s">
        <v>4317</v>
      </c>
      <c r="D8394" s="606" t="s">
        <v>4359</v>
      </c>
      <c r="E8394" s="606" t="n">
        <v>0.01</v>
      </c>
      <c r="F8394" s="361" t="n">
        <v>12000</v>
      </c>
      <c r="G8394" s="926" t="n">
        <f aca="false">E8394*F8394</f>
        <v>120</v>
      </c>
      <c r="H8394" s="606"/>
    </row>
    <row r="8395" customFormat="false" ht="15" hidden="false" customHeight="false" outlineLevel="0" collapsed="false">
      <c r="A8395" s="571"/>
      <c r="B8395" s="608" t="s">
        <v>4128</v>
      </c>
      <c r="C8395" s="609"/>
      <c r="D8395" s="610"/>
      <c r="E8395" s="610"/>
      <c r="F8395" s="612"/>
      <c r="G8395" s="613" t="n">
        <f aca="false">SUM(G8391:G8394)</f>
        <v>2511.5</v>
      </c>
      <c r="H8395" s="610"/>
    </row>
    <row r="8396" customFormat="false" ht="15" hidden="false" customHeight="false" outlineLevel="0" collapsed="false">
      <c r="A8396" s="571" t="s">
        <v>5716</v>
      </c>
      <c r="B8396" s="433" t="s">
        <v>3465</v>
      </c>
      <c r="C8396" s="614" t="s">
        <v>5516</v>
      </c>
      <c r="D8396" s="606" t="s">
        <v>4138</v>
      </c>
      <c r="E8396" s="606" t="n">
        <v>1</v>
      </c>
      <c r="F8396" s="698" t="n">
        <v>2324</v>
      </c>
      <c r="G8396" s="926" t="n">
        <f aca="false">E8396*F8396</f>
        <v>2324</v>
      </c>
      <c r="H8396" s="606"/>
    </row>
    <row r="8397" customFormat="false" ht="15" hidden="false" customHeight="false" outlineLevel="0" collapsed="false">
      <c r="B8397" s="500"/>
      <c r="C8397" s="614" t="s">
        <v>4147</v>
      </c>
      <c r="D8397" s="606" t="s">
        <v>4133</v>
      </c>
      <c r="E8397" s="606" t="n">
        <v>0.005</v>
      </c>
      <c r="F8397" s="361" t="n">
        <v>3500</v>
      </c>
      <c r="G8397" s="926" t="n">
        <f aca="false">E8397*F8397</f>
        <v>17.5</v>
      </c>
      <c r="H8397" s="606"/>
    </row>
    <row r="8398" customFormat="false" ht="15" hidden="false" customHeight="false" outlineLevel="0" collapsed="false">
      <c r="A8398" s="571"/>
      <c r="B8398" s="500"/>
      <c r="C8398" s="614" t="s">
        <v>5489</v>
      </c>
      <c r="D8398" s="606" t="s">
        <v>4133</v>
      </c>
      <c r="E8398" s="606" t="n">
        <v>0.002</v>
      </c>
      <c r="F8398" s="927" t="n">
        <v>133000</v>
      </c>
      <c r="G8398" s="926" t="n">
        <f aca="false">E8398*F8398</f>
        <v>266</v>
      </c>
      <c r="H8398" s="606"/>
    </row>
    <row r="8399" customFormat="false" ht="15" hidden="false" customHeight="false" outlineLevel="0" collapsed="false">
      <c r="A8399" s="571"/>
      <c r="B8399" s="500"/>
      <c r="C8399" s="614" t="s">
        <v>5490</v>
      </c>
      <c r="D8399" s="606" t="s">
        <v>4133</v>
      </c>
      <c r="E8399" s="606" t="n">
        <v>0.001</v>
      </c>
      <c r="F8399" s="361" t="n">
        <v>3150</v>
      </c>
      <c r="G8399" s="926" t="n">
        <f aca="false">E8399*F8399</f>
        <v>3.15</v>
      </c>
      <c r="H8399" s="606"/>
    </row>
    <row r="8400" customFormat="false" ht="15" hidden="false" customHeight="false" outlineLevel="0" collapsed="false">
      <c r="A8400" s="571"/>
      <c r="B8400" s="608" t="s">
        <v>4128</v>
      </c>
      <c r="C8400" s="609"/>
      <c r="D8400" s="610"/>
      <c r="E8400" s="610"/>
      <c r="F8400" s="612"/>
      <c r="G8400" s="613" t="n">
        <f aca="false">SUM(G8396:G8399)</f>
        <v>2610.65</v>
      </c>
      <c r="H8400" s="610"/>
    </row>
    <row r="8401" customFormat="false" ht="15" hidden="false" customHeight="false" outlineLevel="0" collapsed="false">
      <c r="A8401" s="571" t="s">
        <v>1601</v>
      </c>
      <c r="B8401" s="433" t="s">
        <v>3552</v>
      </c>
      <c r="C8401" s="614" t="s">
        <v>5717</v>
      </c>
      <c r="D8401" s="606" t="s">
        <v>4138</v>
      </c>
      <c r="E8401" s="606" t="n">
        <v>1</v>
      </c>
      <c r="F8401" s="929" t="n">
        <v>2324</v>
      </c>
      <c r="G8401" s="926" t="n">
        <f aca="false">E8401*F8401</f>
        <v>2324</v>
      </c>
      <c r="H8401" s="606"/>
    </row>
    <row r="8402" customFormat="false" ht="15" hidden="false" customHeight="false" outlineLevel="0" collapsed="false">
      <c r="B8402" s="500"/>
      <c r="C8402" s="614" t="s">
        <v>4147</v>
      </c>
      <c r="D8402" s="606" t="s">
        <v>4133</v>
      </c>
      <c r="E8402" s="606" t="n">
        <v>0.005</v>
      </c>
      <c r="F8402" s="361" t="n">
        <v>3500</v>
      </c>
      <c r="G8402" s="926" t="n">
        <f aca="false">E8402*F8402</f>
        <v>17.5</v>
      </c>
      <c r="H8402" s="606"/>
    </row>
    <row r="8403" customFormat="false" ht="15" hidden="false" customHeight="false" outlineLevel="0" collapsed="false">
      <c r="A8403" s="571"/>
      <c r="B8403" s="500"/>
      <c r="C8403" s="614" t="s">
        <v>5489</v>
      </c>
      <c r="D8403" s="606" t="s">
        <v>4133</v>
      </c>
      <c r="E8403" s="606" t="n">
        <v>0.006</v>
      </c>
      <c r="F8403" s="927" t="n">
        <v>133000</v>
      </c>
      <c r="G8403" s="926" t="n">
        <f aca="false">E8403*F8403</f>
        <v>798</v>
      </c>
      <c r="H8403" s="606"/>
    </row>
    <row r="8404" customFormat="false" ht="15" hidden="false" customHeight="false" outlineLevel="0" collapsed="false">
      <c r="A8404" s="571"/>
      <c r="B8404" s="500"/>
      <c r="C8404" s="614" t="s">
        <v>5490</v>
      </c>
      <c r="D8404" s="606" t="s">
        <v>4133</v>
      </c>
      <c r="E8404" s="606" t="n">
        <v>0.001</v>
      </c>
      <c r="F8404" s="361" t="n">
        <v>3150</v>
      </c>
      <c r="G8404" s="926" t="n">
        <f aca="false">E8404*F8404</f>
        <v>3.15</v>
      </c>
      <c r="H8404" s="606"/>
    </row>
    <row r="8405" customFormat="false" ht="15" hidden="false" customHeight="false" outlineLevel="0" collapsed="false">
      <c r="A8405" s="571"/>
      <c r="B8405" s="608" t="s">
        <v>4128</v>
      </c>
      <c r="C8405" s="609"/>
      <c r="D8405" s="610"/>
      <c r="E8405" s="610"/>
      <c r="F8405" s="612"/>
      <c r="G8405" s="613" t="n">
        <f aca="false">SUM(G8401:G8404)</f>
        <v>3142.65</v>
      </c>
      <c r="H8405" s="610"/>
    </row>
    <row r="8406" customFormat="false" ht="30" hidden="false" customHeight="false" outlineLevel="0" collapsed="false">
      <c r="A8406" s="571" t="s">
        <v>1603</v>
      </c>
      <c r="B8406" s="500" t="s">
        <v>5718</v>
      </c>
      <c r="C8406" s="609"/>
      <c r="D8406" s="610"/>
      <c r="E8406" s="610"/>
      <c r="F8406" s="612"/>
      <c r="G8406" s="613"/>
      <c r="H8406" s="610"/>
    </row>
    <row r="8407" customFormat="false" ht="30" hidden="false" customHeight="false" outlineLevel="0" collapsed="false">
      <c r="A8407" s="571" t="s">
        <v>1605</v>
      </c>
      <c r="B8407" s="500" t="s">
        <v>3481</v>
      </c>
      <c r="C8407" s="614" t="s">
        <v>5719</v>
      </c>
      <c r="D8407" s="606" t="s">
        <v>4138</v>
      </c>
      <c r="E8407" s="606" t="n">
        <v>0.08</v>
      </c>
      <c r="F8407" s="929" t="n">
        <v>21300</v>
      </c>
      <c r="G8407" s="926" t="n">
        <f aca="false">E8407*F8407</f>
        <v>1704</v>
      </c>
      <c r="H8407" s="610"/>
    </row>
    <row r="8408" customFormat="false" ht="15" hidden="false" customHeight="false" outlineLevel="0" collapsed="false">
      <c r="A8408" s="571"/>
      <c r="B8408" s="500"/>
      <c r="C8408" s="614" t="s">
        <v>4205</v>
      </c>
      <c r="D8408" s="606" t="s">
        <v>4359</v>
      </c>
      <c r="E8408" s="606" t="n">
        <v>0.01</v>
      </c>
      <c r="F8408" s="927" t="n">
        <v>6300</v>
      </c>
      <c r="G8408" s="926" t="n">
        <f aca="false">E8408*F8408</f>
        <v>63</v>
      </c>
      <c r="H8408" s="610"/>
    </row>
    <row r="8409" customFormat="false" ht="15" hidden="false" customHeight="false" outlineLevel="0" collapsed="false">
      <c r="A8409" s="571"/>
      <c r="B8409" s="500"/>
      <c r="C8409" s="614" t="s">
        <v>4122</v>
      </c>
      <c r="D8409" s="606" t="s">
        <v>4359</v>
      </c>
      <c r="E8409" s="606" t="n">
        <v>0.01</v>
      </c>
      <c r="F8409" s="361" t="n">
        <v>720</v>
      </c>
      <c r="G8409" s="926" t="n">
        <f aca="false">E8409*F8409</f>
        <v>7.2</v>
      </c>
      <c r="H8409" s="610"/>
    </row>
    <row r="8410" customFormat="false" ht="15" hidden="false" customHeight="false" outlineLevel="0" collapsed="false">
      <c r="A8410" s="571"/>
      <c r="B8410" s="500"/>
      <c r="C8410" s="614" t="s">
        <v>4317</v>
      </c>
      <c r="D8410" s="606" t="s">
        <v>4359</v>
      </c>
      <c r="E8410" s="606" t="n">
        <v>0.01</v>
      </c>
      <c r="F8410" s="361" t="n">
        <v>12000</v>
      </c>
      <c r="G8410" s="926" t="n">
        <f aca="false">E8410*F8410</f>
        <v>120</v>
      </c>
      <c r="H8410" s="610"/>
    </row>
    <row r="8411" customFormat="false" ht="15" hidden="false" customHeight="false" outlineLevel="0" collapsed="false">
      <c r="A8411" s="571"/>
      <c r="B8411" s="608" t="s">
        <v>4128</v>
      </c>
      <c r="C8411" s="609"/>
      <c r="D8411" s="610"/>
      <c r="E8411" s="610"/>
      <c r="F8411" s="612"/>
      <c r="G8411" s="613" t="n">
        <f aca="false">SUM(G8407:G8410)</f>
        <v>1894.2</v>
      </c>
      <c r="H8411" s="610"/>
    </row>
    <row r="8412" customFormat="false" ht="30" hidden="false" customHeight="false" outlineLevel="0" collapsed="false">
      <c r="A8412" s="571" t="s">
        <v>5720</v>
      </c>
      <c r="B8412" s="500" t="s">
        <v>3554</v>
      </c>
      <c r="C8412" s="614" t="s">
        <v>5721</v>
      </c>
      <c r="D8412" s="606" t="s">
        <v>4525</v>
      </c>
      <c r="E8412" s="606" t="n">
        <v>1</v>
      </c>
      <c r="F8412" s="361" t="n">
        <v>2300</v>
      </c>
      <c r="G8412" s="926" t="n">
        <f aca="false">E8412*F8412</f>
        <v>2300</v>
      </c>
      <c r="H8412" s="610"/>
    </row>
    <row r="8413" customFormat="false" ht="15" hidden="false" customHeight="false" outlineLevel="0" collapsed="false">
      <c r="A8413" s="928"/>
      <c r="B8413" s="500"/>
      <c r="C8413" s="614" t="s">
        <v>4147</v>
      </c>
      <c r="D8413" s="606" t="s">
        <v>4133</v>
      </c>
      <c r="E8413" s="606" t="n">
        <v>0.03</v>
      </c>
      <c r="F8413" s="361" t="n">
        <v>3500</v>
      </c>
      <c r="G8413" s="926" t="n">
        <f aca="false">E8413*F8413</f>
        <v>105</v>
      </c>
      <c r="H8413" s="610"/>
    </row>
    <row r="8414" customFormat="false" ht="15" hidden="false" customHeight="false" outlineLevel="0" collapsed="false">
      <c r="A8414" s="571"/>
      <c r="B8414" s="500"/>
      <c r="C8414" s="614" t="s">
        <v>5722</v>
      </c>
      <c r="D8414" s="606" t="s">
        <v>4133</v>
      </c>
      <c r="E8414" s="606" t="n">
        <v>0.02</v>
      </c>
      <c r="F8414" s="361" t="n">
        <v>1288</v>
      </c>
      <c r="G8414" s="926" t="n">
        <f aca="false">E8414*F8414</f>
        <v>25.76</v>
      </c>
      <c r="H8414" s="610"/>
    </row>
    <row r="8415" customFormat="false" ht="15" hidden="false" customHeight="false" outlineLevel="0" collapsed="false">
      <c r="A8415" s="571"/>
      <c r="B8415" s="500"/>
      <c r="C8415" s="614" t="s">
        <v>5723</v>
      </c>
      <c r="D8415" s="606" t="s">
        <v>4133</v>
      </c>
      <c r="E8415" s="606" t="n">
        <v>0.04</v>
      </c>
      <c r="F8415" s="361" t="n">
        <v>2553.6</v>
      </c>
      <c r="G8415" s="926" t="n">
        <f aca="false">E8415*F8415</f>
        <v>102.144</v>
      </c>
      <c r="H8415" s="610"/>
    </row>
    <row r="8416" customFormat="false" ht="15" hidden="false" customHeight="false" outlineLevel="0" collapsed="false">
      <c r="A8416" s="571"/>
      <c r="B8416" s="500"/>
      <c r="C8416" s="614" t="s">
        <v>4545</v>
      </c>
      <c r="D8416" s="606" t="s">
        <v>4133</v>
      </c>
      <c r="E8416" s="606" t="n">
        <v>0.02</v>
      </c>
      <c r="F8416" s="698" t="n">
        <v>1022</v>
      </c>
      <c r="G8416" s="926" t="n">
        <f aca="false">E8416*F8416</f>
        <v>20.44</v>
      </c>
      <c r="H8416" s="610"/>
    </row>
    <row r="8417" customFormat="false" ht="15" hidden="false" customHeight="false" outlineLevel="0" collapsed="false">
      <c r="A8417" s="571"/>
      <c r="B8417" s="500"/>
      <c r="C8417" s="614" t="s">
        <v>5724</v>
      </c>
      <c r="D8417" s="606" t="s">
        <v>4133</v>
      </c>
      <c r="E8417" s="606" t="n">
        <v>0.001</v>
      </c>
      <c r="F8417" s="361" t="n">
        <v>7850</v>
      </c>
      <c r="G8417" s="926" t="n">
        <f aca="false">E8417*F8417</f>
        <v>7.85</v>
      </c>
      <c r="H8417" s="610"/>
    </row>
    <row r="8418" customFormat="false" ht="15" hidden="false" customHeight="false" outlineLevel="0" collapsed="false">
      <c r="A8418" s="571"/>
      <c r="B8418" s="608" t="s">
        <v>4128</v>
      </c>
      <c r="C8418" s="609"/>
      <c r="D8418" s="610"/>
      <c r="E8418" s="610"/>
      <c r="F8418" s="612"/>
      <c r="G8418" s="613" t="n">
        <f aca="false">SUM(G8412:G8417)</f>
        <v>2561.194</v>
      </c>
      <c r="H8418" s="610"/>
    </row>
    <row r="8419" customFormat="false" ht="15" hidden="false" customHeight="false" outlineLevel="0" collapsed="false">
      <c r="A8419" s="571" t="s">
        <v>1608</v>
      </c>
      <c r="B8419" s="500" t="s">
        <v>5725</v>
      </c>
      <c r="C8419" s="609"/>
      <c r="D8419" s="610"/>
      <c r="E8419" s="610"/>
      <c r="F8419" s="612"/>
      <c r="G8419" s="613"/>
      <c r="H8419" s="610"/>
    </row>
    <row r="8420" customFormat="false" ht="15" hidden="false" customHeight="false" outlineLevel="0" collapsed="false">
      <c r="A8420" s="571" t="s">
        <v>1610</v>
      </c>
      <c r="B8420" s="500" t="s">
        <v>3532</v>
      </c>
      <c r="C8420" s="614" t="s">
        <v>5669</v>
      </c>
      <c r="D8420" s="606" t="s">
        <v>4348</v>
      </c>
      <c r="E8420" s="606" t="n">
        <v>2</v>
      </c>
      <c r="F8420" s="361" t="n">
        <v>4624</v>
      </c>
      <c r="G8420" s="926" t="n">
        <f aca="false">E8420*F8420</f>
        <v>9248</v>
      </c>
      <c r="H8420" s="610"/>
    </row>
    <row r="8421" customFormat="false" ht="15" hidden="false" customHeight="false" outlineLevel="0" collapsed="false">
      <c r="A8421" s="928"/>
      <c r="B8421" s="500"/>
      <c r="C8421" s="614" t="s">
        <v>4515</v>
      </c>
      <c r="D8421" s="606" t="s">
        <v>4133</v>
      </c>
      <c r="E8421" s="606" t="n">
        <v>0.018</v>
      </c>
      <c r="F8421" s="361" t="n">
        <v>3500</v>
      </c>
      <c r="G8421" s="926" t="n">
        <f aca="false">E8421*F8421</f>
        <v>63</v>
      </c>
      <c r="H8421" s="610"/>
    </row>
    <row r="8422" customFormat="false" ht="15" hidden="false" customHeight="false" outlineLevel="0" collapsed="false">
      <c r="A8422" s="571"/>
      <c r="B8422" s="500"/>
      <c r="C8422" s="614" t="s">
        <v>4124</v>
      </c>
      <c r="D8422" s="606" t="s">
        <v>4125</v>
      </c>
      <c r="E8422" s="606" t="n">
        <v>0.027</v>
      </c>
      <c r="F8422" s="361" t="n">
        <v>60</v>
      </c>
      <c r="G8422" s="926" t="n">
        <f aca="false">E8422*F8422</f>
        <v>1.62</v>
      </c>
      <c r="H8422" s="610"/>
    </row>
    <row r="8423" customFormat="false" ht="15" hidden="false" customHeight="false" outlineLevel="0" collapsed="false">
      <c r="A8423" s="571"/>
      <c r="B8423" s="500"/>
      <c r="C8423" s="614" t="s">
        <v>4122</v>
      </c>
      <c r="D8423" s="606" t="s">
        <v>4359</v>
      </c>
      <c r="E8423" s="606" t="n">
        <v>0.029</v>
      </c>
      <c r="F8423" s="361" t="n">
        <v>720</v>
      </c>
      <c r="G8423" s="926" t="n">
        <f aca="false">E8423*F8423</f>
        <v>20.88</v>
      </c>
      <c r="H8423" s="610"/>
    </row>
    <row r="8424" customFormat="false" ht="15" hidden="false" customHeight="false" outlineLevel="0" collapsed="false">
      <c r="A8424" s="571"/>
      <c r="B8424" s="608" t="s">
        <v>4128</v>
      </c>
      <c r="C8424" s="609"/>
      <c r="D8424" s="610"/>
      <c r="E8424" s="610"/>
      <c r="F8424" s="612"/>
      <c r="G8424" s="613" t="n">
        <f aca="false">SUM(G8420:G8423)</f>
        <v>9333.5</v>
      </c>
      <c r="H8424" s="610"/>
    </row>
    <row r="8425" customFormat="false" ht="15" hidden="false" customHeight="false" outlineLevel="0" collapsed="false">
      <c r="A8425" s="571" t="s">
        <v>1611</v>
      </c>
      <c r="B8425" s="500" t="s">
        <v>3555</v>
      </c>
      <c r="C8425" s="614" t="s">
        <v>5584</v>
      </c>
      <c r="D8425" s="606" t="s">
        <v>4348</v>
      </c>
      <c r="E8425" s="606" t="n">
        <v>3</v>
      </c>
      <c r="F8425" s="361" t="n">
        <v>1000</v>
      </c>
      <c r="G8425" s="926" t="n">
        <f aca="false">E8425*F8425</f>
        <v>3000</v>
      </c>
      <c r="H8425" s="610"/>
    </row>
    <row r="8426" customFormat="false" ht="15" hidden="false" customHeight="false" outlineLevel="0" collapsed="false">
      <c r="B8426" s="500"/>
      <c r="C8426" s="614" t="s">
        <v>4515</v>
      </c>
      <c r="D8426" s="606" t="s">
        <v>4133</v>
      </c>
      <c r="E8426" s="606" t="n">
        <v>0.018</v>
      </c>
      <c r="F8426" s="361" t="n">
        <v>3500</v>
      </c>
      <c r="G8426" s="926" t="n">
        <f aca="false">E8426*F8426</f>
        <v>63</v>
      </c>
      <c r="H8426" s="610"/>
    </row>
    <row r="8427" customFormat="false" ht="15" hidden="false" customHeight="false" outlineLevel="0" collapsed="false">
      <c r="A8427" s="571"/>
      <c r="B8427" s="500"/>
      <c r="C8427" s="614" t="s">
        <v>4124</v>
      </c>
      <c r="D8427" s="606" t="s">
        <v>4125</v>
      </c>
      <c r="E8427" s="606" t="n">
        <v>0.027</v>
      </c>
      <c r="F8427" s="361" t="n">
        <v>60</v>
      </c>
      <c r="G8427" s="926" t="n">
        <f aca="false">E8427*F8427</f>
        <v>1.62</v>
      </c>
      <c r="H8427" s="610"/>
    </row>
    <row r="8428" customFormat="false" ht="15" hidden="false" customHeight="false" outlineLevel="0" collapsed="false">
      <c r="A8428" s="571"/>
      <c r="B8428" s="500"/>
      <c r="C8428" s="614" t="s">
        <v>4122</v>
      </c>
      <c r="D8428" s="606" t="s">
        <v>4359</v>
      </c>
      <c r="E8428" s="606" t="n">
        <v>0.018</v>
      </c>
      <c r="F8428" s="361" t="n">
        <v>720</v>
      </c>
      <c r="G8428" s="926" t="n">
        <f aca="false">E8428*F8428</f>
        <v>12.96</v>
      </c>
      <c r="H8428" s="610"/>
    </row>
    <row r="8429" customFormat="false" ht="15" hidden="false" customHeight="false" outlineLevel="0" collapsed="false">
      <c r="A8429" s="571"/>
      <c r="B8429" s="608" t="s">
        <v>4128</v>
      </c>
      <c r="C8429" s="609"/>
      <c r="D8429" s="610"/>
      <c r="E8429" s="610"/>
      <c r="F8429" s="612"/>
      <c r="G8429" s="613" t="n">
        <f aca="false">SUM(G8425:G8428)</f>
        <v>3077.58</v>
      </c>
      <c r="H8429" s="610"/>
    </row>
    <row r="8430" customFormat="false" ht="42.75" hidden="false" customHeight="false" outlineLevel="0" collapsed="false">
      <c r="A8430" s="350" t="s">
        <v>1613</v>
      </c>
      <c r="B8430" s="467" t="s">
        <v>3556</v>
      </c>
      <c r="C8430" s="751"/>
      <c r="D8430" s="339"/>
      <c r="E8430" s="339"/>
      <c r="F8430" s="519"/>
      <c r="G8430" s="753"/>
      <c r="H8430" s="751"/>
    </row>
    <row r="8431" customFormat="false" ht="15" hidden="false" customHeight="false" outlineLevel="0" collapsed="false">
      <c r="A8431" s="571" t="s">
        <v>5726</v>
      </c>
      <c r="B8431" s="433" t="s">
        <v>3139</v>
      </c>
      <c r="C8431" s="714"/>
      <c r="D8431" s="391"/>
      <c r="E8431" s="391"/>
      <c r="F8431" s="612"/>
      <c r="G8431" s="613"/>
      <c r="H8431" s="714"/>
    </row>
    <row r="8432" customFormat="false" ht="15" hidden="false" customHeight="false" outlineLevel="0" collapsed="false">
      <c r="A8432" s="571" t="s">
        <v>5727</v>
      </c>
      <c r="B8432" s="433" t="s">
        <v>3549</v>
      </c>
      <c r="C8432" s="614" t="s">
        <v>5511</v>
      </c>
      <c r="D8432" s="606" t="s">
        <v>4138</v>
      </c>
      <c r="E8432" s="606" t="n">
        <v>0.3</v>
      </c>
      <c r="F8432" s="927" t="n">
        <v>1750</v>
      </c>
      <c r="G8432" s="926" t="n">
        <f aca="false">E8432*F8432</f>
        <v>525</v>
      </c>
      <c r="H8432" s="606"/>
    </row>
    <row r="8433" customFormat="false" ht="15" hidden="false" customHeight="false" outlineLevel="0" collapsed="false">
      <c r="B8433" s="500"/>
      <c r="C8433" s="614" t="s">
        <v>5714</v>
      </c>
      <c r="D8433" s="606" t="s">
        <v>4359</v>
      </c>
      <c r="E8433" s="606" t="n">
        <v>0.03</v>
      </c>
      <c r="F8433" s="361" t="n">
        <v>24640</v>
      </c>
      <c r="G8433" s="926" t="n">
        <f aca="false">E8433*F8433</f>
        <v>739.2</v>
      </c>
      <c r="H8433" s="606"/>
    </row>
    <row r="8434" customFormat="false" ht="15" hidden="false" customHeight="false" outlineLevel="0" collapsed="false">
      <c r="A8434" s="571"/>
      <c r="B8434" s="500"/>
      <c r="C8434" s="614" t="s">
        <v>4171</v>
      </c>
      <c r="D8434" s="606" t="s">
        <v>4359</v>
      </c>
      <c r="E8434" s="606" t="n">
        <v>0.03</v>
      </c>
      <c r="F8434" s="361" t="n">
        <v>2500</v>
      </c>
      <c r="G8434" s="926" t="n">
        <f aca="false">E8434*F8434</f>
        <v>75</v>
      </c>
      <c r="H8434" s="606"/>
    </row>
    <row r="8435" customFormat="false" ht="15" hidden="false" customHeight="false" outlineLevel="0" collapsed="false">
      <c r="A8435" s="571"/>
      <c r="B8435" s="500"/>
      <c r="C8435" s="614" t="s">
        <v>4529</v>
      </c>
      <c r="D8435" s="606" t="s">
        <v>4133</v>
      </c>
      <c r="E8435" s="606" t="n">
        <v>0.05</v>
      </c>
      <c r="F8435" s="361" t="n">
        <v>2553.6</v>
      </c>
      <c r="G8435" s="926" t="n">
        <f aca="false">E8435*F8435</f>
        <v>127.68</v>
      </c>
      <c r="H8435" s="606"/>
    </row>
    <row r="8436" customFormat="false" ht="15" hidden="false" customHeight="false" outlineLevel="0" collapsed="false">
      <c r="A8436" s="571"/>
      <c r="B8436" s="500"/>
      <c r="C8436" s="614" t="s">
        <v>4202</v>
      </c>
      <c r="D8436" s="606" t="s">
        <v>4133</v>
      </c>
      <c r="E8436" s="606" t="n">
        <v>0.05</v>
      </c>
      <c r="F8436" s="361" t="n">
        <v>6600</v>
      </c>
      <c r="G8436" s="926" t="n">
        <f aca="false">E8436*F8436</f>
        <v>330</v>
      </c>
      <c r="H8436" s="606"/>
    </row>
    <row r="8437" customFormat="false" ht="15" hidden="false" customHeight="false" outlineLevel="0" collapsed="false">
      <c r="A8437" s="571"/>
      <c r="B8437" s="500"/>
      <c r="C8437" s="614" t="s">
        <v>4254</v>
      </c>
      <c r="D8437" s="606" t="s">
        <v>4133</v>
      </c>
      <c r="E8437" s="606" t="n">
        <v>0.02</v>
      </c>
      <c r="F8437" s="927" t="n">
        <v>5000</v>
      </c>
      <c r="G8437" s="926" t="n">
        <f aca="false">E8437*F8437</f>
        <v>100</v>
      </c>
      <c r="H8437" s="606"/>
    </row>
    <row r="8438" customFormat="false" ht="15" hidden="false" customHeight="false" outlineLevel="0" collapsed="false">
      <c r="A8438" s="571"/>
      <c r="B8438" s="500"/>
      <c r="C8438" s="709" t="s">
        <v>4154</v>
      </c>
      <c r="D8438" s="679" t="s">
        <v>4133</v>
      </c>
      <c r="E8438" s="679" t="n">
        <v>0.001</v>
      </c>
      <c r="F8438" s="923" t="n">
        <v>5500</v>
      </c>
      <c r="G8438" s="922" t="n">
        <f aca="false">E8438*F8438</f>
        <v>5.5</v>
      </c>
      <c r="H8438" s="606"/>
    </row>
    <row r="8439" customFormat="false" ht="15" hidden="false" customHeight="false" outlineLevel="0" collapsed="false">
      <c r="A8439" s="571"/>
      <c r="B8439" s="608" t="s">
        <v>4128</v>
      </c>
      <c r="C8439" s="718"/>
      <c r="D8439" s="719"/>
      <c r="E8439" s="719"/>
      <c r="F8439" s="366"/>
      <c r="G8439" s="711" t="n">
        <f aca="false">SUM(G8432:G8438)</f>
        <v>1902.38</v>
      </c>
      <c r="H8439" s="610"/>
    </row>
    <row r="8440" customFormat="false" ht="15" hidden="false" customHeight="false" outlineLevel="0" collapsed="false">
      <c r="A8440" s="571" t="s">
        <v>5728</v>
      </c>
      <c r="B8440" s="433" t="s">
        <v>3548</v>
      </c>
      <c r="C8440" s="709" t="s">
        <v>5709</v>
      </c>
      <c r="D8440" s="679" t="s">
        <v>4133</v>
      </c>
      <c r="E8440" s="679" t="n">
        <v>0.0045</v>
      </c>
      <c r="F8440" s="369" t="n">
        <v>20110</v>
      </c>
      <c r="G8440" s="922" t="n">
        <f aca="false">E8440*F8440</f>
        <v>90.495</v>
      </c>
      <c r="H8440" s="606"/>
    </row>
    <row r="8441" customFormat="false" ht="15" hidden="false" customHeight="false" outlineLevel="0" collapsed="false">
      <c r="A8441" s="928"/>
      <c r="B8441" s="500"/>
      <c r="C8441" s="709" t="s">
        <v>5710</v>
      </c>
      <c r="D8441" s="679" t="s">
        <v>5564</v>
      </c>
      <c r="E8441" s="679" t="n">
        <v>0.001</v>
      </c>
      <c r="F8441" s="923" t="n">
        <v>55776</v>
      </c>
      <c r="G8441" s="922" t="n">
        <f aca="false">E8441*F8441</f>
        <v>55.776</v>
      </c>
      <c r="H8441" s="606"/>
    </row>
    <row r="8442" customFormat="false" ht="15" hidden="false" customHeight="false" outlineLevel="0" collapsed="false">
      <c r="A8442" s="571"/>
      <c r="B8442" s="500"/>
      <c r="C8442" s="709" t="s">
        <v>4132</v>
      </c>
      <c r="D8442" s="679" t="s">
        <v>4133</v>
      </c>
      <c r="E8442" s="679" t="n">
        <v>0.009</v>
      </c>
      <c r="F8442" s="923" t="n">
        <v>3333</v>
      </c>
      <c r="G8442" s="922" t="n">
        <f aca="false">E8442*F8442</f>
        <v>29.997</v>
      </c>
      <c r="H8442" s="606"/>
    </row>
    <row r="8443" customFormat="false" ht="15" hidden="false" customHeight="false" outlineLevel="0" collapsed="false">
      <c r="A8443" s="571"/>
      <c r="B8443" s="500"/>
      <c r="C8443" s="614" t="s">
        <v>4154</v>
      </c>
      <c r="D8443" s="606" t="s">
        <v>4133</v>
      </c>
      <c r="E8443" s="606" t="n">
        <v>0.0025</v>
      </c>
      <c r="F8443" s="927" t="n">
        <v>5500</v>
      </c>
      <c r="G8443" s="926" t="n">
        <f aca="false">E8443*F8443</f>
        <v>13.75</v>
      </c>
      <c r="H8443" s="606"/>
    </row>
    <row r="8444" customFormat="false" ht="15" hidden="false" customHeight="false" outlineLevel="0" collapsed="false">
      <c r="A8444" s="571"/>
      <c r="B8444" s="500"/>
      <c r="C8444" s="614" t="s">
        <v>5711</v>
      </c>
      <c r="D8444" s="606" t="s">
        <v>4133</v>
      </c>
      <c r="E8444" s="606" t="n">
        <v>0.1</v>
      </c>
      <c r="F8444" s="927" t="n">
        <v>15400</v>
      </c>
      <c r="G8444" s="926" t="n">
        <f aca="false">E8444*F8444</f>
        <v>1540</v>
      </c>
      <c r="H8444" s="606"/>
    </row>
    <row r="8445" customFormat="false" ht="15" hidden="false" customHeight="false" outlineLevel="0" collapsed="false">
      <c r="A8445" s="571"/>
      <c r="B8445" s="608" t="s">
        <v>4128</v>
      </c>
      <c r="C8445" s="609"/>
      <c r="D8445" s="610"/>
      <c r="E8445" s="610"/>
      <c r="F8445" s="612"/>
      <c r="G8445" s="613" t="n">
        <f aca="false">SUM(G8440:G8444)</f>
        <v>1730.018</v>
      </c>
      <c r="H8445" s="610"/>
    </row>
    <row r="8446" customFormat="false" ht="15" hidden="false" customHeight="false" outlineLevel="0" collapsed="false">
      <c r="A8446" s="571" t="s">
        <v>5729</v>
      </c>
      <c r="B8446" s="433" t="s">
        <v>3557</v>
      </c>
      <c r="C8446" s="614" t="s">
        <v>5697</v>
      </c>
      <c r="D8446" s="606" t="s">
        <v>4141</v>
      </c>
      <c r="E8446" s="606" t="n">
        <v>0.02</v>
      </c>
      <c r="F8446" s="927" t="n">
        <v>63000</v>
      </c>
      <c r="G8446" s="926" t="n">
        <f aca="false">E8446*F8446</f>
        <v>1260</v>
      </c>
      <c r="H8446" s="606"/>
    </row>
    <row r="8447" customFormat="false" ht="15" hidden="false" customHeight="false" outlineLevel="0" collapsed="false">
      <c r="B8447" s="500"/>
      <c r="C8447" s="614" t="s">
        <v>5698</v>
      </c>
      <c r="D8447" s="606" t="s">
        <v>4133</v>
      </c>
      <c r="E8447" s="606" t="n">
        <v>0.005</v>
      </c>
      <c r="F8447" s="361" t="n">
        <v>2553.6</v>
      </c>
      <c r="G8447" s="926" t="n">
        <f aca="false">E8447*F8447</f>
        <v>12.768</v>
      </c>
      <c r="H8447" s="606"/>
    </row>
    <row r="8448" customFormat="false" ht="15" hidden="false" customHeight="false" outlineLevel="0" collapsed="false">
      <c r="A8448" s="571"/>
      <c r="B8448" s="608" t="s">
        <v>4128</v>
      </c>
      <c r="C8448" s="609"/>
      <c r="D8448" s="610"/>
      <c r="E8448" s="610"/>
      <c r="F8448" s="612"/>
      <c r="G8448" s="613" t="n">
        <f aca="false">SUM(G8446:G8447)</f>
        <v>1272.768</v>
      </c>
      <c r="H8448" s="610"/>
    </row>
    <row r="8449" customFormat="false" ht="15" hidden="false" customHeight="false" outlineLevel="0" collapsed="false">
      <c r="A8449" s="571" t="s">
        <v>5730</v>
      </c>
      <c r="B8449" s="433" t="s">
        <v>3546</v>
      </c>
      <c r="C8449" s="614" t="s">
        <v>5703</v>
      </c>
      <c r="D8449" s="606" t="s">
        <v>4138</v>
      </c>
      <c r="E8449" s="606" t="n">
        <v>1</v>
      </c>
      <c r="F8449" s="927" t="n">
        <v>2128</v>
      </c>
      <c r="G8449" s="926" t="n">
        <f aca="false">E8449*F8449</f>
        <v>2128</v>
      </c>
      <c r="H8449" s="606"/>
    </row>
    <row r="8450" customFormat="false" ht="15" hidden="false" customHeight="false" outlineLevel="0" collapsed="false">
      <c r="B8450" s="500"/>
      <c r="C8450" s="614" t="s">
        <v>5705</v>
      </c>
      <c r="D8450" s="606" t="s">
        <v>4133</v>
      </c>
      <c r="E8450" s="606" t="n">
        <v>0.08</v>
      </c>
      <c r="F8450" s="927" t="n">
        <v>5000</v>
      </c>
      <c r="G8450" s="926" t="n">
        <f aca="false">E8450*F8450</f>
        <v>400</v>
      </c>
      <c r="H8450" s="606"/>
    </row>
    <row r="8451" customFormat="false" ht="15" hidden="false" customHeight="false" outlineLevel="0" collapsed="false">
      <c r="A8451" s="571"/>
      <c r="B8451" s="500"/>
      <c r="C8451" s="614" t="s">
        <v>5493</v>
      </c>
      <c r="D8451" s="606" t="s">
        <v>4133</v>
      </c>
      <c r="E8451" s="606" t="n">
        <v>0.01</v>
      </c>
      <c r="F8451" s="361" t="n">
        <v>6500</v>
      </c>
      <c r="G8451" s="926" t="n">
        <f aca="false">E8451*F8451</f>
        <v>65</v>
      </c>
      <c r="H8451" s="606"/>
    </row>
    <row r="8452" customFormat="false" ht="15" hidden="false" customHeight="false" outlineLevel="0" collapsed="false">
      <c r="A8452" s="571"/>
      <c r="B8452" s="500"/>
      <c r="C8452" s="614" t="s">
        <v>4240</v>
      </c>
      <c r="D8452" s="606" t="s">
        <v>4133</v>
      </c>
      <c r="E8452" s="606" t="n">
        <v>0.02</v>
      </c>
      <c r="F8452" s="361" t="n">
        <v>6200</v>
      </c>
      <c r="G8452" s="926" t="n">
        <f aca="false">E8452*F8452</f>
        <v>124</v>
      </c>
      <c r="H8452" s="606"/>
    </row>
    <row r="8453" customFormat="false" ht="15" hidden="false" customHeight="false" outlineLevel="0" collapsed="false">
      <c r="A8453" s="571"/>
      <c r="B8453" s="500"/>
      <c r="C8453" s="614" t="s">
        <v>5489</v>
      </c>
      <c r="D8453" s="606" t="s">
        <v>4133</v>
      </c>
      <c r="E8453" s="606" t="n">
        <v>0.002</v>
      </c>
      <c r="F8453" s="927" t="n">
        <v>133000</v>
      </c>
      <c r="G8453" s="926" t="n">
        <f aca="false">E8453*F8453</f>
        <v>266</v>
      </c>
      <c r="H8453" s="606"/>
    </row>
    <row r="8454" customFormat="false" ht="15" hidden="false" customHeight="false" outlineLevel="0" collapsed="false">
      <c r="A8454" s="571"/>
      <c r="B8454" s="608" t="s">
        <v>4128</v>
      </c>
      <c r="C8454" s="609"/>
      <c r="D8454" s="610"/>
      <c r="E8454" s="610"/>
      <c r="F8454" s="612"/>
      <c r="G8454" s="613" t="n">
        <f aca="false">SUM(G8449:G8453)</f>
        <v>2983</v>
      </c>
      <c r="H8454" s="610"/>
    </row>
    <row r="8455" customFormat="false" ht="30" hidden="false" customHeight="false" outlineLevel="0" collapsed="false">
      <c r="A8455" s="571" t="s">
        <v>5731</v>
      </c>
      <c r="B8455" s="433" t="s">
        <v>3558</v>
      </c>
      <c r="C8455" s="614" t="s">
        <v>5732</v>
      </c>
      <c r="D8455" s="606" t="s">
        <v>5448</v>
      </c>
      <c r="E8455" s="606" t="n">
        <v>1</v>
      </c>
      <c r="F8455" s="361" t="n">
        <v>2324</v>
      </c>
      <c r="G8455" s="926" t="n">
        <f aca="false">E8455*F8455</f>
        <v>2324</v>
      </c>
      <c r="H8455" s="606"/>
    </row>
    <row r="8456" customFormat="false" ht="15" hidden="false" customHeight="false" outlineLevel="0" collapsed="false">
      <c r="B8456" s="500"/>
      <c r="C8456" s="614" t="s">
        <v>4205</v>
      </c>
      <c r="D8456" s="606" t="s">
        <v>4359</v>
      </c>
      <c r="E8456" s="606" t="n">
        <v>0.01</v>
      </c>
      <c r="F8456" s="927" t="n">
        <v>6300</v>
      </c>
      <c r="G8456" s="926" t="n">
        <f aca="false">E8456*F8456</f>
        <v>63</v>
      </c>
      <c r="H8456" s="606"/>
    </row>
    <row r="8457" customFormat="false" ht="15" hidden="false" customHeight="false" outlineLevel="0" collapsed="false">
      <c r="A8457" s="571"/>
      <c r="B8457" s="500"/>
      <c r="C8457" s="614" t="s">
        <v>4122</v>
      </c>
      <c r="D8457" s="606" t="s">
        <v>4359</v>
      </c>
      <c r="E8457" s="606" t="n">
        <v>0.01</v>
      </c>
      <c r="F8457" s="361" t="n">
        <v>720</v>
      </c>
      <c r="G8457" s="926" t="n">
        <f aca="false">E8457*F8457</f>
        <v>7.2</v>
      </c>
      <c r="H8457" s="606"/>
    </row>
    <row r="8458" customFormat="false" ht="15" hidden="false" customHeight="false" outlineLevel="0" collapsed="false">
      <c r="A8458" s="571"/>
      <c r="B8458" s="500"/>
      <c r="C8458" s="709" t="s">
        <v>4317</v>
      </c>
      <c r="D8458" s="679" t="s">
        <v>4359</v>
      </c>
      <c r="E8458" s="679" t="n">
        <v>0.01</v>
      </c>
      <c r="F8458" s="369" t="n">
        <v>12000</v>
      </c>
      <c r="G8458" s="922" t="n">
        <f aca="false">E8458*F8458</f>
        <v>120</v>
      </c>
      <c r="H8458" s="606"/>
    </row>
    <row r="8459" customFormat="false" ht="15" hidden="false" customHeight="false" outlineLevel="0" collapsed="false">
      <c r="A8459" s="571"/>
      <c r="B8459" s="608" t="s">
        <v>4128</v>
      </c>
      <c r="C8459" s="718"/>
      <c r="D8459" s="719"/>
      <c r="E8459" s="719"/>
      <c r="F8459" s="366"/>
      <c r="G8459" s="711" t="n">
        <f aca="false">SUM(G8455:G8458)</f>
        <v>2514.2</v>
      </c>
      <c r="H8459" s="610"/>
    </row>
    <row r="8460" customFormat="false" ht="15" hidden="false" customHeight="false" outlineLevel="0" collapsed="false">
      <c r="A8460" s="571" t="s">
        <v>5733</v>
      </c>
      <c r="B8460" s="433" t="s">
        <v>3543</v>
      </c>
      <c r="C8460" s="709" t="s">
        <v>4565</v>
      </c>
      <c r="D8460" s="679" t="s">
        <v>4133</v>
      </c>
      <c r="E8460" s="679" t="n">
        <v>0.002</v>
      </c>
      <c r="F8460" s="937" t="n">
        <v>1230</v>
      </c>
      <c r="G8460" s="922" t="n">
        <f aca="false">E8460*F8460</f>
        <v>2.46</v>
      </c>
      <c r="H8460" s="606"/>
    </row>
    <row r="8461" customFormat="false" ht="15" hidden="false" customHeight="false" outlineLevel="0" collapsed="false">
      <c r="B8461" s="500"/>
      <c r="C8461" s="709" t="s">
        <v>4122</v>
      </c>
      <c r="D8461" s="679" t="s">
        <v>4359</v>
      </c>
      <c r="E8461" s="679" t="n">
        <v>0.01</v>
      </c>
      <c r="F8461" s="369" t="n">
        <v>720</v>
      </c>
      <c r="G8461" s="922" t="n">
        <f aca="false">E8461*F8461</f>
        <v>7.2</v>
      </c>
      <c r="H8461" s="606"/>
    </row>
    <row r="8462" customFormat="false" ht="15" hidden="false" customHeight="false" outlineLevel="0" collapsed="false">
      <c r="A8462" s="571"/>
      <c r="B8462" s="500"/>
      <c r="C8462" s="709" t="s">
        <v>5695</v>
      </c>
      <c r="D8462" s="679" t="s">
        <v>4133</v>
      </c>
      <c r="E8462" s="679" t="n">
        <v>0.008</v>
      </c>
      <c r="F8462" s="923" t="n">
        <v>137900</v>
      </c>
      <c r="G8462" s="922" t="n">
        <f aca="false">E8462*F8462</f>
        <v>1103.2</v>
      </c>
      <c r="H8462" s="606"/>
    </row>
    <row r="8463" customFormat="false" ht="15" hidden="false" customHeight="false" outlineLevel="0" collapsed="false">
      <c r="A8463" s="571"/>
      <c r="B8463" s="500"/>
      <c r="C8463" s="709" t="s">
        <v>4653</v>
      </c>
      <c r="D8463" s="679" t="s">
        <v>4133</v>
      </c>
      <c r="E8463" s="679" t="n">
        <v>0.025</v>
      </c>
      <c r="F8463" s="369" t="n">
        <v>6580</v>
      </c>
      <c r="G8463" s="922" t="n">
        <f aca="false">E8463*F8463</f>
        <v>164.5</v>
      </c>
      <c r="H8463" s="606"/>
    </row>
    <row r="8464" customFormat="false" ht="15" hidden="false" customHeight="false" outlineLevel="0" collapsed="false">
      <c r="A8464" s="571"/>
      <c r="B8464" s="608" t="s">
        <v>4128</v>
      </c>
      <c r="C8464" s="718"/>
      <c r="D8464" s="719"/>
      <c r="E8464" s="719"/>
      <c r="F8464" s="366"/>
      <c r="G8464" s="711" t="n">
        <f aca="false">SUM(G8460:G8463)</f>
        <v>1277.36</v>
      </c>
      <c r="H8464" s="610"/>
    </row>
    <row r="8465" customFormat="false" ht="15" hidden="false" customHeight="false" outlineLevel="0" collapsed="false">
      <c r="A8465" s="571" t="s">
        <v>5734</v>
      </c>
      <c r="B8465" s="433" t="s">
        <v>3514</v>
      </c>
      <c r="C8465" s="614" t="s">
        <v>4317</v>
      </c>
      <c r="D8465" s="606" t="s">
        <v>4359</v>
      </c>
      <c r="E8465" s="606" t="n">
        <v>0.01</v>
      </c>
      <c r="F8465" s="361" t="n">
        <v>12000</v>
      </c>
      <c r="G8465" s="926" t="n">
        <f aca="false">E8465*F8465</f>
        <v>120</v>
      </c>
      <c r="H8465" s="606"/>
    </row>
    <row r="8466" customFormat="false" ht="15" hidden="false" customHeight="false" outlineLevel="0" collapsed="false">
      <c r="A8466" s="928"/>
      <c r="B8466" s="433"/>
      <c r="C8466" s="614" t="s">
        <v>5634</v>
      </c>
      <c r="D8466" s="606" t="s">
        <v>4138</v>
      </c>
      <c r="E8466" s="606" t="n">
        <v>1</v>
      </c>
      <c r="F8466" s="927" t="n">
        <v>2324</v>
      </c>
      <c r="G8466" s="926" t="n">
        <f aca="false">E8466*F8466</f>
        <v>2324</v>
      </c>
      <c r="H8466" s="606"/>
    </row>
    <row r="8467" customFormat="false" ht="15" hidden="false" customHeight="false" outlineLevel="0" collapsed="false">
      <c r="A8467" s="571"/>
      <c r="B8467" s="608" t="s">
        <v>4128</v>
      </c>
      <c r="C8467" s="609"/>
      <c r="D8467" s="610"/>
      <c r="E8467" s="610"/>
      <c r="F8467" s="612"/>
      <c r="G8467" s="613" t="n">
        <f aca="false">SUM(G8465:G8466)</f>
        <v>2444</v>
      </c>
      <c r="H8467" s="610"/>
    </row>
    <row r="8468" customFormat="false" ht="30" hidden="false" customHeight="false" outlineLevel="0" collapsed="false">
      <c r="A8468" s="571" t="s">
        <v>5735</v>
      </c>
      <c r="B8468" s="433" t="s">
        <v>3441</v>
      </c>
      <c r="C8468" s="614" t="s">
        <v>5620</v>
      </c>
      <c r="D8468" s="606" t="s">
        <v>5448</v>
      </c>
      <c r="E8468" s="606" t="n">
        <v>1</v>
      </c>
      <c r="F8468" s="927" t="n">
        <v>2128</v>
      </c>
      <c r="G8468" s="926" t="n">
        <f aca="false">E8468*F8468</f>
        <v>2128</v>
      </c>
      <c r="H8468" s="606"/>
    </row>
    <row r="8469" customFormat="false" ht="15" hidden="false" customHeight="false" outlineLevel="0" collapsed="false">
      <c r="B8469" s="500"/>
      <c r="C8469" s="614" t="s">
        <v>4205</v>
      </c>
      <c r="D8469" s="606" t="s">
        <v>4359</v>
      </c>
      <c r="E8469" s="606" t="n">
        <v>0.01</v>
      </c>
      <c r="F8469" s="927" t="n">
        <v>6300</v>
      </c>
      <c r="G8469" s="926" t="n">
        <f aca="false">E8469*F8469</f>
        <v>63</v>
      </c>
      <c r="H8469" s="606"/>
    </row>
    <row r="8470" customFormat="false" ht="15" hidden="false" customHeight="false" outlineLevel="0" collapsed="false">
      <c r="A8470" s="571"/>
      <c r="B8470" s="500"/>
      <c r="C8470" s="709" t="s">
        <v>4122</v>
      </c>
      <c r="D8470" s="679" t="s">
        <v>4359</v>
      </c>
      <c r="E8470" s="679" t="n">
        <v>0.01</v>
      </c>
      <c r="F8470" s="369" t="n">
        <v>720</v>
      </c>
      <c r="G8470" s="922" t="n">
        <f aca="false">E8470*F8470</f>
        <v>7.2</v>
      </c>
      <c r="H8470" s="606"/>
    </row>
    <row r="8471" customFormat="false" ht="15" hidden="false" customHeight="false" outlineLevel="0" collapsed="false">
      <c r="A8471" s="571"/>
      <c r="B8471" s="500"/>
      <c r="C8471" s="709" t="s">
        <v>4317</v>
      </c>
      <c r="D8471" s="679" t="s">
        <v>4359</v>
      </c>
      <c r="E8471" s="679" t="n">
        <v>0.01</v>
      </c>
      <c r="F8471" s="369" t="n">
        <v>12000</v>
      </c>
      <c r="G8471" s="922" t="n">
        <f aca="false">E8471*F8471</f>
        <v>120</v>
      </c>
      <c r="H8471" s="606"/>
    </row>
    <row r="8472" customFormat="false" ht="15" hidden="false" customHeight="false" outlineLevel="0" collapsed="false">
      <c r="A8472" s="571"/>
      <c r="B8472" s="608" t="s">
        <v>4128</v>
      </c>
      <c r="C8472" s="718"/>
      <c r="D8472" s="719"/>
      <c r="E8472" s="719"/>
      <c r="F8472" s="366"/>
      <c r="G8472" s="711" t="n">
        <f aca="false">SUM(G8468:G8471)</f>
        <v>2318.2</v>
      </c>
      <c r="H8472" s="610"/>
    </row>
    <row r="8473" customFormat="false" ht="15" hidden="false" customHeight="false" outlineLevel="0" collapsed="false">
      <c r="A8473" s="571" t="s">
        <v>5736</v>
      </c>
      <c r="B8473" s="433" t="s">
        <v>3438</v>
      </c>
      <c r="C8473" s="709" t="s">
        <v>5450</v>
      </c>
      <c r="D8473" s="679" t="s">
        <v>4133</v>
      </c>
      <c r="E8473" s="679" t="n">
        <v>0.08</v>
      </c>
      <c r="F8473" s="369" t="n">
        <v>1288</v>
      </c>
      <c r="G8473" s="922" t="n">
        <f aca="false">E8473*F8473</f>
        <v>103.04</v>
      </c>
      <c r="H8473" s="606"/>
    </row>
    <row r="8474" customFormat="false" ht="15" hidden="false" customHeight="false" outlineLevel="0" collapsed="false">
      <c r="A8474" s="928"/>
      <c r="B8474" s="500"/>
      <c r="C8474" s="709" t="s">
        <v>4147</v>
      </c>
      <c r="D8474" s="679" t="s">
        <v>4133</v>
      </c>
      <c r="E8474" s="679" t="n">
        <v>0.25</v>
      </c>
      <c r="F8474" s="369" t="n">
        <v>3500</v>
      </c>
      <c r="G8474" s="922" t="n">
        <f aca="false">E8474*F8474</f>
        <v>875</v>
      </c>
      <c r="H8474" s="606"/>
    </row>
    <row r="8475" customFormat="false" ht="15" hidden="false" customHeight="false" outlineLevel="0" collapsed="false">
      <c r="A8475" s="571"/>
      <c r="B8475" s="500"/>
      <c r="C8475" s="709" t="s">
        <v>4703</v>
      </c>
      <c r="D8475" s="679" t="s">
        <v>5452</v>
      </c>
      <c r="E8475" s="679" t="n">
        <v>0.01</v>
      </c>
      <c r="F8475" s="369" t="n">
        <v>4900</v>
      </c>
      <c r="G8475" s="922" t="n">
        <f aca="false">E8475*F8475</f>
        <v>49</v>
      </c>
      <c r="H8475" s="606"/>
    </row>
    <row r="8476" customFormat="false" ht="15" hidden="false" customHeight="false" outlineLevel="0" collapsed="false">
      <c r="A8476" s="571"/>
      <c r="B8476" s="500"/>
      <c r="C8476" s="709" t="s">
        <v>4240</v>
      </c>
      <c r="D8476" s="679" t="s">
        <v>4133</v>
      </c>
      <c r="E8476" s="679" t="n">
        <v>0.1</v>
      </c>
      <c r="F8476" s="369" t="n">
        <v>6200</v>
      </c>
      <c r="G8476" s="922" t="n">
        <f aca="false">E8476*F8476</f>
        <v>620</v>
      </c>
      <c r="H8476" s="606"/>
    </row>
    <row r="8477" customFormat="false" ht="15" hidden="false" customHeight="false" outlineLevel="0" collapsed="false">
      <c r="A8477" s="571"/>
      <c r="B8477" s="500"/>
      <c r="C8477" s="709" t="s">
        <v>5453</v>
      </c>
      <c r="D8477" s="679" t="s">
        <v>4138</v>
      </c>
      <c r="E8477" s="679" t="n">
        <v>0.01</v>
      </c>
      <c r="F8477" s="369" t="n">
        <v>4500</v>
      </c>
      <c r="G8477" s="922" t="n">
        <f aca="false">E8477*F8477</f>
        <v>45</v>
      </c>
      <c r="H8477" s="606"/>
    </row>
    <row r="8478" customFormat="false" ht="15" hidden="false" customHeight="false" outlineLevel="0" collapsed="false">
      <c r="A8478" s="571"/>
      <c r="B8478" s="608" t="s">
        <v>4128</v>
      </c>
      <c r="C8478" s="718"/>
      <c r="D8478" s="719"/>
      <c r="E8478" s="719"/>
      <c r="F8478" s="366"/>
      <c r="G8478" s="711" t="n">
        <f aca="false">SUM(G8473:G8477)</f>
        <v>1692.04</v>
      </c>
      <c r="H8478" s="610"/>
    </row>
    <row r="8479" customFormat="false" ht="15" hidden="false" customHeight="false" outlineLevel="0" collapsed="false">
      <c r="A8479" s="571" t="s">
        <v>5737</v>
      </c>
      <c r="B8479" s="433" t="s">
        <v>3465</v>
      </c>
      <c r="C8479" s="709" t="s">
        <v>5516</v>
      </c>
      <c r="D8479" s="679" t="s">
        <v>4138</v>
      </c>
      <c r="E8479" s="679" t="n">
        <v>1</v>
      </c>
      <c r="F8479" s="936" t="n">
        <v>2324</v>
      </c>
      <c r="G8479" s="922" t="n">
        <f aca="false">E8479*F8479</f>
        <v>2324</v>
      </c>
      <c r="H8479" s="606"/>
    </row>
    <row r="8480" customFormat="false" ht="15" hidden="false" customHeight="false" outlineLevel="0" collapsed="false">
      <c r="A8480" s="928"/>
      <c r="B8480" s="500"/>
      <c r="C8480" s="709" t="s">
        <v>4147</v>
      </c>
      <c r="D8480" s="679" t="s">
        <v>4133</v>
      </c>
      <c r="E8480" s="679" t="n">
        <v>0.005</v>
      </c>
      <c r="F8480" s="369" t="n">
        <v>3500</v>
      </c>
      <c r="G8480" s="922" t="n">
        <f aca="false">E8480*F8480</f>
        <v>17.5</v>
      </c>
      <c r="H8480" s="606"/>
    </row>
    <row r="8481" customFormat="false" ht="15" hidden="false" customHeight="false" outlineLevel="0" collapsed="false">
      <c r="A8481" s="571"/>
      <c r="B8481" s="500"/>
      <c r="C8481" s="709" t="s">
        <v>5489</v>
      </c>
      <c r="D8481" s="679" t="s">
        <v>4133</v>
      </c>
      <c r="E8481" s="679" t="n">
        <v>0.002</v>
      </c>
      <c r="F8481" s="923" t="n">
        <v>133000</v>
      </c>
      <c r="G8481" s="922" t="n">
        <f aca="false">E8481*F8481</f>
        <v>266</v>
      </c>
      <c r="H8481" s="606"/>
    </row>
    <row r="8482" customFormat="false" ht="15" hidden="false" customHeight="false" outlineLevel="0" collapsed="false">
      <c r="A8482" s="571"/>
      <c r="B8482" s="500"/>
      <c r="C8482" s="614" t="s">
        <v>5490</v>
      </c>
      <c r="D8482" s="606" t="s">
        <v>4133</v>
      </c>
      <c r="E8482" s="606" t="n">
        <v>0.001</v>
      </c>
      <c r="F8482" s="361" t="n">
        <v>3150</v>
      </c>
      <c r="G8482" s="926" t="n">
        <f aca="false">E8482*F8482</f>
        <v>3.15</v>
      </c>
      <c r="H8482" s="606"/>
    </row>
    <row r="8483" customFormat="false" ht="15" hidden="false" customHeight="false" outlineLevel="0" collapsed="false">
      <c r="A8483" s="571"/>
      <c r="B8483" s="608" t="s">
        <v>4128</v>
      </c>
      <c r="C8483" s="609"/>
      <c r="D8483" s="610"/>
      <c r="E8483" s="610"/>
      <c r="F8483" s="612"/>
      <c r="G8483" s="613" t="n">
        <f aca="false">SUM(G8479:G8482)</f>
        <v>2610.65</v>
      </c>
      <c r="H8483" s="610"/>
    </row>
    <row r="8484" customFormat="false" ht="30" hidden="false" customHeight="false" outlineLevel="0" collapsed="false">
      <c r="A8484" s="571" t="s">
        <v>5738</v>
      </c>
      <c r="B8484" s="433" t="s">
        <v>3544</v>
      </c>
      <c r="C8484" s="614" t="s">
        <v>5739</v>
      </c>
      <c r="D8484" s="606" t="s">
        <v>4138</v>
      </c>
      <c r="E8484" s="606" t="n">
        <v>1</v>
      </c>
      <c r="F8484" s="698" t="n">
        <v>2324</v>
      </c>
      <c r="G8484" s="926" t="n">
        <f aca="false">E8484*F8484</f>
        <v>2324</v>
      </c>
      <c r="H8484" s="606"/>
    </row>
    <row r="8485" customFormat="false" ht="15" hidden="false" customHeight="false" outlineLevel="0" collapsed="false">
      <c r="B8485" s="500"/>
      <c r="C8485" s="614" t="s">
        <v>4205</v>
      </c>
      <c r="D8485" s="606" t="s">
        <v>4359</v>
      </c>
      <c r="E8485" s="606" t="n">
        <v>0.01</v>
      </c>
      <c r="F8485" s="927" t="n">
        <v>6300</v>
      </c>
      <c r="G8485" s="926" t="n">
        <f aca="false">E8485*F8485</f>
        <v>63</v>
      </c>
      <c r="H8485" s="606"/>
    </row>
    <row r="8486" customFormat="false" ht="15" hidden="false" customHeight="false" outlineLevel="0" collapsed="false">
      <c r="A8486" s="571"/>
      <c r="B8486" s="500"/>
      <c r="C8486" s="614" t="s">
        <v>4122</v>
      </c>
      <c r="D8486" s="606" t="s">
        <v>4359</v>
      </c>
      <c r="E8486" s="606" t="n">
        <v>0.01</v>
      </c>
      <c r="F8486" s="361" t="n">
        <v>720</v>
      </c>
      <c r="G8486" s="926" t="n">
        <f aca="false">E8486*F8486</f>
        <v>7.2</v>
      </c>
      <c r="H8486" s="606"/>
    </row>
    <row r="8487" customFormat="false" ht="15" hidden="false" customHeight="false" outlineLevel="0" collapsed="false">
      <c r="A8487" s="571"/>
      <c r="B8487" s="500"/>
      <c r="C8487" s="614" t="s">
        <v>4317</v>
      </c>
      <c r="D8487" s="606" t="s">
        <v>4359</v>
      </c>
      <c r="E8487" s="606" t="n">
        <v>0.01</v>
      </c>
      <c r="F8487" s="361" t="n">
        <v>12000</v>
      </c>
      <c r="G8487" s="926" t="n">
        <f aca="false">E8487*F8487</f>
        <v>120</v>
      </c>
      <c r="H8487" s="606"/>
    </row>
    <row r="8488" customFormat="false" ht="15" hidden="false" customHeight="false" outlineLevel="0" collapsed="false">
      <c r="A8488" s="571"/>
      <c r="B8488" s="608" t="s">
        <v>4128</v>
      </c>
      <c r="C8488" s="609"/>
      <c r="D8488" s="610"/>
      <c r="E8488" s="610"/>
      <c r="F8488" s="612"/>
      <c r="G8488" s="613" t="n">
        <f aca="false">SUM(G8484:G8487)</f>
        <v>2514.2</v>
      </c>
      <c r="H8488" s="610"/>
    </row>
    <row r="8489" customFormat="false" ht="30" hidden="false" customHeight="false" outlineLevel="0" collapsed="false">
      <c r="A8489" s="571" t="s">
        <v>5740</v>
      </c>
      <c r="B8489" s="433" t="s">
        <v>3559</v>
      </c>
      <c r="C8489" s="614" t="s">
        <v>5497</v>
      </c>
      <c r="D8489" s="606" t="s">
        <v>4138</v>
      </c>
      <c r="E8489" s="606" t="n">
        <v>1</v>
      </c>
      <c r="F8489" s="361" t="n">
        <v>2324</v>
      </c>
      <c r="G8489" s="926" t="n">
        <f aca="false">E8489*F8489</f>
        <v>2324</v>
      </c>
      <c r="H8489" s="610"/>
    </row>
    <row r="8490" customFormat="false" ht="15" hidden="false" customHeight="false" outlineLevel="0" collapsed="false">
      <c r="B8490" s="608"/>
      <c r="C8490" s="614" t="s">
        <v>4317</v>
      </c>
      <c r="D8490" s="606" t="s">
        <v>4359</v>
      </c>
      <c r="E8490" s="606" t="n">
        <v>0.01</v>
      </c>
      <c r="F8490" s="361" t="n">
        <v>12000</v>
      </c>
      <c r="G8490" s="926" t="n">
        <f aca="false">E8490*F8490</f>
        <v>120</v>
      </c>
      <c r="H8490" s="610"/>
    </row>
    <row r="8491" customFormat="false" ht="15" hidden="false" customHeight="false" outlineLevel="0" collapsed="false">
      <c r="A8491" s="571"/>
      <c r="B8491" s="608" t="s">
        <v>4128</v>
      </c>
      <c r="C8491" s="609"/>
      <c r="D8491" s="610"/>
      <c r="E8491" s="610"/>
      <c r="F8491" s="941"/>
      <c r="G8491" s="925" t="n">
        <f aca="false">SUM(G8489:G8490)</f>
        <v>2444</v>
      </c>
      <c r="H8491" s="610"/>
    </row>
    <row r="8492" customFormat="false" ht="15" hidden="false" customHeight="false" outlineLevel="0" collapsed="false">
      <c r="A8492" s="571" t="s">
        <v>5741</v>
      </c>
      <c r="B8492" s="433" t="s">
        <v>3536</v>
      </c>
      <c r="C8492" s="614" t="s">
        <v>5742</v>
      </c>
      <c r="D8492" s="606" t="s">
        <v>4138</v>
      </c>
      <c r="E8492" s="606" t="n">
        <v>1</v>
      </c>
      <c r="F8492" s="927" t="n">
        <v>1540</v>
      </c>
      <c r="G8492" s="926" t="n">
        <f aca="false">E8492*F8492</f>
        <v>1540</v>
      </c>
      <c r="H8492" s="606"/>
    </row>
    <row r="8493" customFormat="false" ht="15" hidden="false" customHeight="false" outlineLevel="0" collapsed="false">
      <c r="B8493" s="500"/>
      <c r="C8493" s="614" t="s">
        <v>4154</v>
      </c>
      <c r="D8493" s="606" t="s">
        <v>4133</v>
      </c>
      <c r="E8493" s="606" t="s">
        <v>4200</v>
      </c>
      <c r="F8493" s="361" t="n">
        <v>5500</v>
      </c>
      <c r="G8493" s="926" t="n">
        <f aca="false">E8493*F8493</f>
        <v>275</v>
      </c>
      <c r="H8493" s="606"/>
    </row>
    <row r="8494" customFormat="false" ht="15" hidden="false" customHeight="false" outlineLevel="0" collapsed="false">
      <c r="A8494" s="571"/>
      <c r="B8494" s="500"/>
      <c r="C8494" s="614" t="s">
        <v>4317</v>
      </c>
      <c r="D8494" s="606" t="s">
        <v>4359</v>
      </c>
      <c r="E8494" s="606" t="n">
        <v>0.01</v>
      </c>
      <c r="F8494" s="361" t="n">
        <v>12000</v>
      </c>
      <c r="G8494" s="926" t="n">
        <f aca="false">E8494*F8494</f>
        <v>120</v>
      </c>
      <c r="H8494" s="606"/>
    </row>
    <row r="8495" customFormat="false" ht="15" hidden="false" customHeight="false" outlineLevel="0" collapsed="false">
      <c r="A8495" s="571"/>
      <c r="B8495" s="500"/>
      <c r="C8495" s="709" t="s">
        <v>4175</v>
      </c>
      <c r="D8495" s="679" t="s">
        <v>4138</v>
      </c>
      <c r="E8495" s="679" t="n">
        <v>0.01</v>
      </c>
      <c r="F8495" s="369" t="n">
        <v>2000</v>
      </c>
      <c r="G8495" s="922" t="n">
        <f aca="false">E8495*F8495</f>
        <v>20</v>
      </c>
      <c r="H8495" s="606"/>
    </row>
    <row r="8496" customFormat="false" ht="15" hidden="false" customHeight="false" outlineLevel="0" collapsed="false">
      <c r="A8496" s="571"/>
      <c r="B8496" s="500"/>
      <c r="C8496" s="709" t="s">
        <v>4147</v>
      </c>
      <c r="D8496" s="679" t="s">
        <v>4133</v>
      </c>
      <c r="E8496" s="679" t="n">
        <v>0.005</v>
      </c>
      <c r="F8496" s="369" t="n">
        <v>3500</v>
      </c>
      <c r="G8496" s="922" t="n">
        <f aca="false">E8496*F8496</f>
        <v>17.5</v>
      </c>
      <c r="H8496" s="606"/>
    </row>
    <row r="8497" customFormat="false" ht="15" hidden="false" customHeight="false" outlineLevel="0" collapsed="false">
      <c r="A8497" s="571"/>
      <c r="B8497" s="608" t="s">
        <v>4128</v>
      </c>
      <c r="C8497" s="609"/>
      <c r="D8497" s="610"/>
      <c r="E8497" s="610"/>
      <c r="F8497" s="612"/>
      <c r="G8497" s="613" t="n">
        <f aca="false">SUM(G8492:G8496)</f>
        <v>1972.5</v>
      </c>
      <c r="H8497" s="610"/>
    </row>
    <row r="8498" customFormat="false" ht="15" hidden="false" customHeight="false" outlineLevel="0" collapsed="false">
      <c r="A8498" s="571" t="s">
        <v>5743</v>
      </c>
      <c r="B8498" s="433" t="s">
        <v>3552</v>
      </c>
      <c r="C8498" s="614" t="s">
        <v>5717</v>
      </c>
      <c r="D8498" s="606" t="s">
        <v>4138</v>
      </c>
      <c r="E8498" s="606" t="n">
        <v>1</v>
      </c>
      <c r="F8498" s="929" t="n">
        <v>2324</v>
      </c>
      <c r="G8498" s="926" t="n">
        <f aca="false">E8498*F8498</f>
        <v>2324</v>
      </c>
      <c r="H8498" s="606"/>
    </row>
    <row r="8499" customFormat="false" ht="15" hidden="false" customHeight="false" outlineLevel="0" collapsed="false">
      <c r="B8499" s="433"/>
      <c r="C8499" s="614" t="s">
        <v>4147</v>
      </c>
      <c r="D8499" s="606" t="s">
        <v>4359</v>
      </c>
      <c r="E8499" s="606" t="n">
        <v>0.005</v>
      </c>
      <c r="F8499" s="361" t="n">
        <v>3500</v>
      </c>
      <c r="G8499" s="926" t="n">
        <f aca="false">E8499*F8499</f>
        <v>17.5</v>
      </c>
      <c r="H8499" s="606"/>
    </row>
    <row r="8500" customFormat="false" ht="15" hidden="false" customHeight="false" outlineLevel="0" collapsed="false">
      <c r="A8500" s="571"/>
      <c r="B8500" s="433"/>
      <c r="C8500" s="614" t="s">
        <v>5489</v>
      </c>
      <c r="D8500" s="606" t="s">
        <v>4133</v>
      </c>
      <c r="E8500" s="606" t="n">
        <v>0.006</v>
      </c>
      <c r="F8500" s="927" t="n">
        <v>133000</v>
      </c>
      <c r="G8500" s="926" t="n">
        <f aca="false">E8500*F8500</f>
        <v>798</v>
      </c>
      <c r="H8500" s="606"/>
    </row>
    <row r="8501" customFormat="false" ht="15" hidden="false" customHeight="false" outlineLevel="0" collapsed="false">
      <c r="A8501" s="571"/>
      <c r="B8501" s="433"/>
      <c r="C8501" s="614" t="s">
        <v>5490</v>
      </c>
      <c r="D8501" s="606" t="s">
        <v>4133</v>
      </c>
      <c r="E8501" s="606" t="n">
        <v>0.001</v>
      </c>
      <c r="F8501" s="361" t="n">
        <v>3150</v>
      </c>
      <c r="G8501" s="926" t="n">
        <f aca="false">E8501*F8501</f>
        <v>3.15</v>
      </c>
      <c r="H8501" s="606"/>
    </row>
    <row r="8502" customFormat="false" ht="15" hidden="false" customHeight="false" outlineLevel="0" collapsed="false">
      <c r="A8502" s="571"/>
      <c r="B8502" s="888" t="s">
        <v>4128</v>
      </c>
      <c r="C8502" s="609"/>
      <c r="D8502" s="610"/>
      <c r="E8502" s="610"/>
      <c r="F8502" s="612"/>
      <c r="G8502" s="613" t="n">
        <f aca="false">SUM(G8498:G8501)</f>
        <v>3142.65</v>
      </c>
      <c r="H8502" s="606"/>
    </row>
    <row r="8503" customFormat="false" ht="15" hidden="false" customHeight="false" outlineLevel="0" collapsed="false">
      <c r="A8503" s="571" t="s">
        <v>5744</v>
      </c>
      <c r="B8503" s="433" t="s">
        <v>3129</v>
      </c>
      <c r="C8503" s="614" t="s">
        <v>4154</v>
      </c>
      <c r="D8503" s="606" t="s">
        <v>4133</v>
      </c>
      <c r="E8503" s="606" t="n">
        <v>0.01</v>
      </c>
      <c r="F8503" s="927" t="n">
        <v>5500</v>
      </c>
      <c r="G8503" s="926" t="n">
        <f aca="false">E8503*F8503</f>
        <v>55</v>
      </c>
      <c r="H8503" s="606"/>
    </row>
    <row r="8504" customFormat="false" ht="15" hidden="false" customHeight="false" outlineLevel="0" collapsed="false">
      <c r="A8504" s="928"/>
      <c r="B8504" s="433"/>
      <c r="C8504" s="614" t="s">
        <v>5443</v>
      </c>
      <c r="D8504" s="606" t="s">
        <v>4138</v>
      </c>
      <c r="E8504" s="606" t="n">
        <v>1</v>
      </c>
      <c r="F8504" s="927" t="n">
        <v>950</v>
      </c>
      <c r="G8504" s="926" t="n">
        <f aca="false">E8504*F8504</f>
        <v>950</v>
      </c>
      <c r="H8504" s="606"/>
    </row>
    <row r="8505" customFormat="false" ht="15" hidden="false" customHeight="false" outlineLevel="0" collapsed="false">
      <c r="A8505" s="571"/>
      <c r="B8505" s="433"/>
      <c r="C8505" s="614" t="s">
        <v>4270</v>
      </c>
      <c r="D8505" s="606" t="s">
        <v>4359</v>
      </c>
      <c r="E8505" s="606" t="n">
        <v>0.002</v>
      </c>
      <c r="F8505" s="361" t="n">
        <v>1540</v>
      </c>
      <c r="G8505" s="926" t="n">
        <f aca="false">E8505*F8505</f>
        <v>3.08</v>
      </c>
      <c r="H8505" s="606"/>
    </row>
    <row r="8506" customFormat="false" ht="15" hidden="false" customHeight="false" outlineLevel="0" collapsed="false">
      <c r="A8506" s="571"/>
      <c r="B8506" s="433"/>
      <c r="C8506" s="614" t="s">
        <v>4189</v>
      </c>
      <c r="D8506" s="606" t="s">
        <v>4359</v>
      </c>
      <c r="E8506" s="606" t="n">
        <v>0.005</v>
      </c>
      <c r="F8506" s="361" t="n">
        <v>5180</v>
      </c>
      <c r="G8506" s="926" t="n">
        <f aca="false">E8506*F8506</f>
        <v>25.9</v>
      </c>
      <c r="H8506" s="606"/>
    </row>
    <row r="8507" customFormat="false" ht="15" hidden="false" customHeight="false" outlineLevel="0" collapsed="false">
      <c r="A8507" s="571"/>
      <c r="B8507" s="888" t="s">
        <v>4128</v>
      </c>
      <c r="C8507" s="609"/>
      <c r="D8507" s="610"/>
      <c r="E8507" s="610"/>
      <c r="F8507" s="942"/>
      <c r="G8507" s="925" t="n">
        <f aca="false">SUM(G8503:G8506)</f>
        <v>1033.98</v>
      </c>
      <c r="H8507" s="606"/>
    </row>
    <row r="8508" customFormat="false" ht="15" hidden="false" customHeight="false" outlineLevel="0" collapsed="false">
      <c r="A8508" s="571" t="s">
        <v>5745</v>
      </c>
      <c r="B8508" s="433" t="s">
        <v>3269</v>
      </c>
      <c r="C8508" s="614" t="s">
        <v>5746</v>
      </c>
      <c r="D8508" s="606" t="s">
        <v>4138</v>
      </c>
      <c r="E8508" s="606" t="n">
        <v>1</v>
      </c>
      <c r="F8508" s="927" t="n">
        <v>784</v>
      </c>
      <c r="G8508" s="926" t="n">
        <f aca="false">E8508*F8508</f>
        <v>784</v>
      </c>
      <c r="H8508" s="606"/>
    </row>
    <row r="8509" customFormat="false" ht="15" hidden="false" customHeight="false" outlineLevel="0" collapsed="false">
      <c r="A8509" s="928"/>
      <c r="B8509" s="433"/>
      <c r="C8509" s="614" t="s">
        <v>4154</v>
      </c>
      <c r="D8509" s="606" t="s">
        <v>4133</v>
      </c>
      <c r="E8509" s="606" t="n">
        <v>0.01</v>
      </c>
      <c r="F8509" s="927" t="n">
        <v>5500</v>
      </c>
      <c r="G8509" s="926" t="n">
        <f aca="false">E8509*F8509</f>
        <v>55</v>
      </c>
      <c r="H8509" s="606"/>
    </row>
    <row r="8510" customFormat="false" ht="15" hidden="false" customHeight="false" outlineLevel="0" collapsed="false">
      <c r="A8510" s="571"/>
      <c r="B8510" s="433"/>
      <c r="C8510" s="614" t="s">
        <v>4269</v>
      </c>
      <c r="D8510" s="606" t="s">
        <v>4359</v>
      </c>
      <c r="E8510" s="606" t="n">
        <v>0.001</v>
      </c>
      <c r="F8510" s="927" t="n">
        <v>2660</v>
      </c>
      <c r="G8510" s="926" t="n">
        <f aca="false">E8510*F8510</f>
        <v>2.66</v>
      </c>
      <c r="H8510" s="606"/>
    </row>
    <row r="8511" customFormat="false" ht="15" hidden="false" customHeight="false" outlineLevel="0" collapsed="false">
      <c r="A8511" s="571"/>
      <c r="B8511" s="433"/>
      <c r="C8511" s="614" t="s">
        <v>4277</v>
      </c>
      <c r="D8511" s="606" t="s">
        <v>4133</v>
      </c>
      <c r="E8511" s="606" t="n">
        <v>0.00746</v>
      </c>
      <c r="F8511" s="361" t="n">
        <v>2882</v>
      </c>
      <c r="G8511" s="926" t="n">
        <f aca="false">E8511*F8511</f>
        <v>21.49972</v>
      </c>
      <c r="H8511" s="606"/>
    </row>
    <row r="8512" customFormat="false" ht="15" hidden="false" customHeight="false" outlineLevel="0" collapsed="false">
      <c r="A8512" s="571"/>
      <c r="B8512" s="888" t="s">
        <v>4128</v>
      </c>
      <c r="C8512" s="609"/>
      <c r="D8512" s="610"/>
      <c r="E8512" s="610"/>
      <c r="F8512" s="612"/>
      <c r="G8512" s="613" t="n">
        <f aca="false">SUM(G8508:G8511)</f>
        <v>863.15972</v>
      </c>
      <c r="H8512" s="606"/>
    </row>
    <row r="8513" customFormat="false" ht="15" hidden="false" customHeight="false" outlineLevel="0" collapsed="false">
      <c r="A8513" s="571" t="s">
        <v>5747</v>
      </c>
      <c r="B8513" s="433" t="s">
        <v>3254</v>
      </c>
      <c r="C8513" s="614" t="s">
        <v>5748</v>
      </c>
      <c r="D8513" s="606" t="s">
        <v>4138</v>
      </c>
      <c r="E8513" s="606" t="n">
        <v>1</v>
      </c>
      <c r="F8513" s="927" t="n">
        <v>1500</v>
      </c>
      <c r="G8513" s="926" t="n">
        <f aca="false">E8513*F8513</f>
        <v>1500</v>
      </c>
      <c r="H8513" s="606"/>
    </row>
    <row r="8514" customFormat="false" ht="15" hidden="false" customHeight="false" outlineLevel="0" collapsed="false">
      <c r="A8514" s="928"/>
      <c r="B8514" s="433"/>
      <c r="C8514" s="614" t="s">
        <v>4154</v>
      </c>
      <c r="D8514" s="606" t="s">
        <v>4133</v>
      </c>
      <c r="E8514" s="606" t="n">
        <v>0.01</v>
      </c>
      <c r="F8514" s="927" t="n">
        <v>5500</v>
      </c>
      <c r="G8514" s="926" t="n">
        <f aca="false">E8514*F8514</f>
        <v>55</v>
      </c>
      <c r="H8514" s="606"/>
    </row>
    <row r="8515" customFormat="false" ht="15" hidden="false" customHeight="false" outlineLevel="0" collapsed="false">
      <c r="A8515" s="571"/>
      <c r="B8515" s="433"/>
      <c r="C8515" s="614" t="s">
        <v>4269</v>
      </c>
      <c r="D8515" s="606" t="s">
        <v>4359</v>
      </c>
      <c r="E8515" s="606" t="n">
        <v>0.001</v>
      </c>
      <c r="F8515" s="927" t="n">
        <v>2660</v>
      </c>
      <c r="G8515" s="926" t="n">
        <f aca="false">E8515*F8515</f>
        <v>2.66</v>
      </c>
      <c r="H8515" s="606"/>
    </row>
    <row r="8516" customFormat="false" ht="15" hidden="false" customHeight="false" outlineLevel="0" collapsed="false">
      <c r="A8516" s="571"/>
      <c r="B8516" s="433"/>
      <c r="C8516" s="614" t="s">
        <v>4277</v>
      </c>
      <c r="D8516" s="606" t="s">
        <v>4133</v>
      </c>
      <c r="E8516" s="606" t="n">
        <v>0.00746</v>
      </c>
      <c r="F8516" s="361" t="n">
        <v>2882</v>
      </c>
      <c r="G8516" s="926" t="n">
        <f aca="false">E8516*F8516</f>
        <v>21.49972</v>
      </c>
      <c r="H8516" s="606"/>
    </row>
    <row r="8517" customFormat="false" ht="15" hidden="false" customHeight="false" outlineLevel="0" collapsed="false">
      <c r="A8517" s="571"/>
      <c r="B8517" s="888" t="s">
        <v>4128</v>
      </c>
      <c r="C8517" s="609"/>
      <c r="D8517" s="610"/>
      <c r="E8517" s="610"/>
      <c r="F8517" s="612"/>
      <c r="G8517" s="613" t="n">
        <f aca="false">SUM(G8513:G8516)</f>
        <v>1579.15972</v>
      </c>
      <c r="H8517" s="606"/>
    </row>
    <row r="8518" customFormat="false" ht="15" hidden="false" customHeight="false" outlineLevel="0" collapsed="false">
      <c r="A8518" s="571" t="s">
        <v>5749</v>
      </c>
      <c r="B8518" s="433" t="s">
        <v>3486</v>
      </c>
      <c r="C8518" s="614"/>
      <c r="D8518" s="606"/>
      <c r="E8518" s="606"/>
      <c r="F8518" s="361"/>
      <c r="G8518" s="615"/>
      <c r="H8518" s="606"/>
    </row>
    <row r="8519" customFormat="false" ht="15" hidden="false" customHeight="false" outlineLevel="0" collapsed="false">
      <c r="A8519" s="571" t="s">
        <v>5750</v>
      </c>
      <c r="B8519" s="433" t="s">
        <v>3560</v>
      </c>
      <c r="C8519" s="614"/>
      <c r="D8519" s="606"/>
      <c r="E8519" s="606"/>
      <c r="F8519" s="361"/>
      <c r="G8519" s="615"/>
      <c r="H8519" s="606"/>
    </row>
    <row r="8520" customFormat="false" ht="15" hidden="false" customHeight="false" outlineLevel="0" collapsed="false">
      <c r="A8520" s="571" t="s">
        <v>5751</v>
      </c>
      <c r="B8520" s="433" t="s">
        <v>3488</v>
      </c>
      <c r="C8520" s="614" t="s">
        <v>5522</v>
      </c>
      <c r="D8520" s="606" t="s">
        <v>5523</v>
      </c>
      <c r="E8520" s="606" t="n">
        <v>1</v>
      </c>
      <c r="F8520" s="361" t="n">
        <v>2700</v>
      </c>
      <c r="G8520" s="926" t="n">
        <f aca="false">E8520*F8520</f>
        <v>2700</v>
      </c>
      <c r="H8520" s="606"/>
    </row>
    <row r="8521" customFormat="false" ht="15" hidden="false" customHeight="false" outlineLevel="0" collapsed="false">
      <c r="A8521" s="928"/>
      <c r="B8521" s="433"/>
      <c r="C8521" s="614" t="s">
        <v>4645</v>
      </c>
      <c r="D8521" s="606" t="s">
        <v>4133</v>
      </c>
      <c r="E8521" s="606" t="n">
        <v>0.004</v>
      </c>
      <c r="F8521" s="361" t="n">
        <v>33320</v>
      </c>
      <c r="G8521" s="926" t="n">
        <f aca="false">E8521*F8521</f>
        <v>133.28</v>
      </c>
      <c r="H8521" s="606"/>
    </row>
    <row r="8522" customFormat="false" ht="15" hidden="false" customHeight="false" outlineLevel="0" collapsed="false">
      <c r="A8522" s="571"/>
      <c r="B8522" s="433"/>
      <c r="C8522" s="614" t="s">
        <v>5524</v>
      </c>
      <c r="D8522" s="606" t="s">
        <v>4133</v>
      </c>
      <c r="E8522" s="606" t="n">
        <v>0.001</v>
      </c>
      <c r="F8522" s="361" t="n">
        <v>3279.36</v>
      </c>
      <c r="G8522" s="926" t="n">
        <f aca="false">E8522*F8522</f>
        <v>3.27936</v>
      </c>
      <c r="H8522" s="606"/>
    </row>
    <row r="8523" customFormat="false" ht="15" hidden="false" customHeight="false" outlineLevel="0" collapsed="false">
      <c r="A8523" s="571"/>
      <c r="B8523" s="433"/>
      <c r="C8523" s="614" t="s">
        <v>5525</v>
      </c>
      <c r="D8523" s="606" t="s">
        <v>4359</v>
      </c>
      <c r="E8523" s="606" t="n">
        <v>1</v>
      </c>
      <c r="F8523" s="361" t="n">
        <v>925</v>
      </c>
      <c r="G8523" s="926" t="n">
        <f aca="false">E8523*F8523</f>
        <v>925</v>
      </c>
      <c r="H8523" s="606"/>
    </row>
    <row r="8524" customFormat="false" ht="15" hidden="false" customHeight="false" outlineLevel="0" collapsed="false">
      <c r="A8524" s="571"/>
      <c r="B8524" s="888" t="s">
        <v>4128</v>
      </c>
      <c r="C8524" s="609"/>
      <c r="D8524" s="610"/>
      <c r="E8524" s="610"/>
      <c r="F8524" s="612"/>
      <c r="G8524" s="613" t="n">
        <f aca="false">SUM(G8520:G8523)</f>
        <v>3761.55936</v>
      </c>
      <c r="H8524" s="606"/>
    </row>
    <row r="8525" customFormat="false" ht="30" hidden="false" customHeight="false" outlineLevel="0" collapsed="false">
      <c r="A8525" s="571" t="s">
        <v>5752</v>
      </c>
      <c r="B8525" s="433" t="s">
        <v>3561</v>
      </c>
      <c r="C8525" s="614" t="s">
        <v>5584</v>
      </c>
      <c r="D8525" s="606" t="s">
        <v>4348</v>
      </c>
      <c r="E8525" s="606" t="n">
        <v>10</v>
      </c>
      <c r="F8525" s="361" t="n">
        <v>1000</v>
      </c>
      <c r="G8525" s="926" t="n">
        <f aca="false">E8525*F8525</f>
        <v>10000</v>
      </c>
      <c r="H8525" s="606"/>
    </row>
    <row r="8526" customFormat="false" ht="15" hidden="false" customHeight="false" outlineLevel="0" collapsed="false">
      <c r="A8526" s="928"/>
      <c r="B8526" s="433"/>
      <c r="C8526" s="614" t="s">
        <v>4122</v>
      </c>
      <c r="D8526" s="606" t="s">
        <v>4359</v>
      </c>
      <c r="E8526" s="606" t="n">
        <v>0.03</v>
      </c>
      <c r="F8526" s="361" t="n">
        <v>720</v>
      </c>
      <c r="G8526" s="926" t="n">
        <f aca="false">E8526*F8526</f>
        <v>21.6</v>
      </c>
      <c r="H8526" s="606"/>
    </row>
    <row r="8527" customFormat="false" ht="15" hidden="false" customHeight="false" outlineLevel="0" collapsed="false">
      <c r="A8527" s="571"/>
      <c r="B8527" s="433"/>
      <c r="C8527" s="614" t="s">
        <v>4515</v>
      </c>
      <c r="D8527" s="606" t="s">
        <v>4133</v>
      </c>
      <c r="E8527" s="606" t="n">
        <v>0.018</v>
      </c>
      <c r="F8527" s="361" t="n">
        <v>3500</v>
      </c>
      <c r="G8527" s="926" t="n">
        <f aca="false">E8527*F8527</f>
        <v>63</v>
      </c>
      <c r="H8527" s="606"/>
    </row>
    <row r="8528" customFormat="false" ht="15" hidden="false" customHeight="false" outlineLevel="0" collapsed="false">
      <c r="A8528" s="571"/>
      <c r="B8528" s="433"/>
      <c r="C8528" s="614" t="s">
        <v>4124</v>
      </c>
      <c r="D8528" s="606" t="s">
        <v>4125</v>
      </c>
      <c r="E8528" s="606" t="n">
        <v>0.027</v>
      </c>
      <c r="F8528" s="361" t="n">
        <v>60</v>
      </c>
      <c r="G8528" s="926" t="n">
        <f aca="false">E8528*F8528</f>
        <v>1.62</v>
      </c>
      <c r="H8528" s="606"/>
    </row>
    <row r="8529" customFormat="false" ht="15" hidden="false" customHeight="false" outlineLevel="0" collapsed="false">
      <c r="A8529" s="571"/>
      <c r="B8529" s="888" t="s">
        <v>4128</v>
      </c>
      <c r="C8529" s="609"/>
      <c r="D8529" s="610"/>
      <c r="E8529" s="610"/>
      <c r="F8529" s="612"/>
      <c r="G8529" s="925" t="n">
        <f aca="false">SUM(G8525:G8528)</f>
        <v>10086.22</v>
      </c>
      <c r="H8529" s="606"/>
    </row>
    <row r="8530" customFormat="false" ht="15" hidden="false" customHeight="false" outlineLevel="0" collapsed="false">
      <c r="A8530" s="571" t="s">
        <v>5753</v>
      </c>
      <c r="B8530" s="433" t="s">
        <v>3562</v>
      </c>
      <c r="C8530" s="614" t="s">
        <v>5673</v>
      </c>
      <c r="D8530" s="606" t="s">
        <v>4348</v>
      </c>
      <c r="E8530" s="606" t="n">
        <v>3</v>
      </c>
      <c r="F8530" s="361" t="n">
        <v>2498</v>
      </c>
      <c r="G8530" s="926" t="n">
        <f aca="false">E8530*F8530</f>
        <v>7494</v>
      </c>
      <c r="H8530" s="606"/>
    </row>
    <row r="8531" customFormat="false" ht="15" hidden="false" customHeight="false" outlineLevel="0" collapsed="false">
      <c r="A8531" s="571"/>
      <c r="B8531" s="433"/>
      <c r="C8531" s="614" t="s">
        <v>4515</v>
      </c>
      <c r="D8531" s="606" t="s">
        <v>4133</v>
      </c>
      <c r="E8531" s="606" t="n">
        <v>0.018</v>
      </c>
      <c r="F8531" s="361" t="n">
        <v>3500</v>
      </c>
      <c r="G8531" s="926" t="n">
        <f aca="false">E8531*F8531</f>
        <v>63</v>
      </c>
      <c r="H8531" s="606"/>
    </row>
    <row r="8532" customFormat="false" ht="15" hidden="false" customHeight="false" outlineLevel="0" collapsed="false">
      <c r="A8532" s="571"/>
      <c r="B8532" s="433"/>
      <c r="C8532" s="614" t="s">
        <v>4124</v>
      </c>
      <c r="D8532" s="606" t="s">
        <v>4125</v>
      </c>
      <c r="E8532" s="606" t="n">
        <v>0.027</v>
      </c>
      <c r="F8532" s="361" t="n">
        <v>60</v>
      </c>
      <c r="G8532" s="926" t="n">
        <f aca="false">E8532*F8532</f>
        <v>1.62</v>
      </c>
      <c r="H8532" s="606"/>
    </row>
    <row r="8533" customFormat="false" ht="15" hidden="false" customHeight="false" outlineLevel="0" collapsed="false">
      <c r="A8533" s="571"/>
      <c r="B8533" s="433"/>
      <c r="C8533" s="614" t="s">
        <v>4122</v>
      </c>
      <c r="D8533" s="606" t="s">
        <v>4359</v>
      </c>
      <c r="E8533" s="606" t="n">
        <v>0.03</v>
      </c>
      <c r="F8533" s="361" t="n">
        <v>720</v>
      </c>
      <c r="G8533" s="926" t="n">
        <f aca="false">E8533*F8533</f>
        <v>21.6</v>
      </c>
      <c r="H8533" s="606"/>
    </row>
    <row r="8534" customFormat="false" ht="15" hidden="false" customHeight="false" outlineLevel="0" collapsed="false">
      <c r="A8534" s="571"/>
      <c r="B8534" s="888" t="s">
        <v>4128</v>
      </c>
      <c r="C8534" s="609"/>
      <c r="D8534" s="610"/>
      <c r="E8534" s="610"/>
      <c r="F8534" s="612"/>
      <c r="G8534" s="613" t="n">
        <f aca="false">SUM(G8530:G8533)</f>
        <v>7580.22</v>
      </c>
      <c r="H8534" s="606"/>
    </row>
    <row r="8535" customFormat="false" ht="30" hidden="false" customHeight="false" outlineLevel="0" collapsed="false">
      <c r="A8535" s="571" t="s">
        <v>5754</v>
      </c>
      <c r="B8535" s="433" t="s">
        <v>3563</v>
      </c>
      <c r="C8535" s="614" t="s">
        <v>5755</v>
      </c>
      <c r="D8535" s="606" t="s">
        <v>4348</v>
      </c>
      <c r="E8535" s="606" t="n">
        <v>1</v>
      </c>
      <c r="F8535" s="361" t="n">
        <v>4624</v>
      </c>
      <c r="G8535" s="926" t="n">
        <f aca="false">E8535*F8535</f>
        <v>4624</v>
      </c>
      <c r="H8535" s="606"/>
    </row>
    <row r="8536" customFormat="false" ht="15" hidden="false" customHeight="false" outlineLevel="0" collapsed="false">
      <c r="A8536" s="571"/>
      <c r="B8536" s="433"/>
      <c r="C8536" s="614" t="s">
        <v>4515</v>
      </c>
      <c r="D8536" s="606" t="s">
        <v>4133</v>
      </c>
      <c r="E8536" s="606" t="n">
        <v>0.018</v>
      </c>
      <c r="F8536" s="361" t="n">
        <v>3500</v>
      </c>
      <c r="G8536" s="926" t="n">
        <f aca="false">E8536*F8536</f>
        <v>63</v>
      </c>
      <c r="H8536" s="606"/>
    </row>
    <row r="8537" customFormat="false" ht="15" hidden="false" customHeight="false" outlineLevel="0" collapsed="false">
      <c r="A8537" s="571"/>
      <c r="B8537" s="433"/>
      <c r="C8537" s="614" t="s">
        <v>4124</v>
      </c>
      <c r="D8537" s="606" t="s">
        <v>4125</v>
      </c>
      <c r="E8537" s="606" t="n">
        <v>0.027</v>
      </c>
      <c r="F8537" s="361" t="n">
        <v>60</v>
      </c>
      <c r="G8537" s="926" t="n">
        <f aca="false">E8537*F8537</f>
        <v>1.62</v>
      </c>
      <c r="H8537" s="606"/>
    </row>
    <row r="8538" customFormat="false" ht="15" hidden="false" customHeight="false" outlineLevel="0" collapsed="false">
      <c r="A8538" s="571"/>
      <c r="B8538" s="888" t="s">
        <v>4128</v>
      </c>
      <c r="C8538" s="609"/>
      <c r="D8538" s="610"/>
      <c r="E8538" s="610"/>
      <c r="F8538" s="612"/>
      <c r="G8538" s="613" t="n">
        <f aca="false">SUM(G8535:G8537)</f>
        <v>4688.62</v>
      </c>
      <c r="H8538" s="606"/>
    </row>
    <row r="8539" customFormat="false" ht="15" hidden="false" customHeight="false" outlineLevel="0" collapsed="false">
      <c r="A8539" s="571" t="s">
        <v>5756</v>
      </c>
      <c r="B8539" s="433" t="s">
        <v>3564</v>
      </c>
      <c r="C8539" s="614" t="s">
        <v>5584</v>
      </c>
      <c r="D8539" s="606" t="s">
        <v>4348</v>
      </c>
      <c r="E8539" s="606" t="n">
        <v>3</v>
      </c>
      <c r="F8539" s="361" t="n">
        <v>1000</v>
      </c>
      <c r="G8539" s="926" t="n">
        <f aca="false">E8539*F8539</f>
        <v>3000</v>
      </c>
      <c r="H8539" s="606"/>
    </row>
    <row r="8540" customFormat="false" ht="15" hidden="false" customHeight="false" outlineLevel="0" collapsed="false">
      <c r="A8540" s="928"/>
      <c r="B8540" s="433"/>
      <c r="C8540" s="614" t="s">
        <v>4122</v>
      </c>
      <c r="D8540" s="606" t="s">
        <v>4359</v>
      </c>
      <c r="E8540" s="606" t="n">
        <v>0.03</v>
      </c>
      <c r="F8540" s="361" t="n">
        <v>720</v>
      </c>
      <c r="G8540" s="926" t="n">
        <f aca="false">E8540*F8540</f>
        <v>21.6</v>
      </c>
      <c r="H8540" s="606"/>
    </row>
    <row r="8541" customFormat="false" ht="15" hidden="false" customHeight="false" outlineLevel="0" collapsed="false">
      <c r="A8541" s="571"/>
      <c r="B8541" s="433"/>
      <c r="C8541" s="614" t="s">
        <v>4515</v>
      </c>
      <c r="D8541" s="606" t="s">
        <v>4133</v>
      </c>
      <c r="E8541" s="606" t="n">
        <v>0.018</v>
      </c>
      <c r="F8541" s="361" t="n">
        <v>3500</v>
      </c>
      <c r="G8541" s="926" t="n">
        <f aca="false">E8541*F8541</f>
        <v>63</v>
      </c>
      <c r="H8541" s="606"/>
    </row>
    <row r="8542" customFormat="false" ht="15" hidden="false" customHeight="false" outlineLevel="0" collapsed="false">
      <c r="A8542" s="571"/>
      <c r="B8542" s="433"/>
      <c r="C8542" s="614" t="s">
        <v>4124</v>
      </c>
      <c r="D8542" s="606" t="s">
        <v>4125</v>
      </c>
      <c r="E8542" s="606" t="n">
        <v>0.027</v>
      </c>
      <c r="F8542" s="361" t="n">
        <v>60</v>
      </c>
      <c r="G8542" s="926" t="n">
        <f aca="false">E8542*F8542</f>
        <v>1.62</v>
      </c>
      <c r="H8542" s="606"/>
    </row>
    <row r="8543" customFormat="false" ht="15" hidden="false" customHeight="false" outlineLevel="0" collapsed="false">
      <c r="A8543" s="571"/>
      <c r="B8543" s="888" t="s">
        <v>4128</v>
      </c>
      <c r="C8543" s="614"/>
      <c r="D8543" s="606"/>
      <c r="E8543" s="606"/>
      <c r="F8543" s="361"/>
      <c r="G8543" s="925" t="n">
        <f aca="false">SUM(G8539:G8542)</f>
        <v>3086.22</v>
      </c>
      <c r="H8543" s="606"/>
    </row>
    <row r="8544" customFormat="false" ht="48" hidden="false" customHeight="true" outlineLevel="0" collapsed="false">
      <c r="A8544" s="571" t="s">
        <v>5757</v>
      </c>
      <c r="B8544" s="328" t="s">
        <v>3533</v>
      </c>
      <c r="C8544" s="614" t="s">
        <v>5584</v>
      </c>
      <c r="D8544" s="606" t="s">
        <v>4348</v>
      </c>
      <c r="E8544" s="606" t="n">
        <v>3</v>
      </c>
      <c r="F8544" s="361" t="n">
        <v>1000</v>
      </c>
      <c r="G8544" s="926" t="n">
        <f aca="false">E8544*F8544</f>
        <v>3000</v>
      </c>
      <c r="H8544" s="606"/>
    </row>
    <row r="8545" customFormat="false" ht="15" hidden="false" customHeight="false" outlineLevel="0" collapsed="false">
      <c r="A8545" s="571"/>
      <c r="B8545" s="433"/>
      <c r="C8545" s="614" t="s">
        <v>4124</v>
      </c>
      <c r="D8545" s="606" t="s">
        <v>4125</v>
      </c>
      <c r="E8545" s="606" t="n">
        <v>0.027</v>
      </c>
      <c r="F8545" s="361" t="n">
        <v>60</v>
      </c>
      <c r="G8545" s="926" t="n">
        <f aca="false">E8545*F8545</f>
        <v>1.62</v>
      </c>
      <c r="H8545" s="606"/>
    </row>
    <row r="8546" customFormat="false" ht="15" hidden="false" customHeight="false" outlineLevel="0" collapsed="false">
      <c r="A8546" s="571"/>
      <c r="B8546" s="888" t="s">
        <v>4128</v>
      </c>
      <c r="C8546" s="609"/>
      <c r="D8546" s="610"/>
      <c r="E8546" s="610"/>
      <c r="F8546" s="612"/>
      <c r="G8546" s="613" t="n">
        <f aca="false">SUM(G8544:G8545)</f>
        <v>3001.62</v>
      </c>
      <c r="H8546" s="934"/>
    </row>
    <row r="8547" customFormat="false" ht="45" hidden="false" customHeight="false" outlineLevel="0" collapsed="false">
      <c r="A8547" s="571" t="s">
        <v>5758</v>
      </c>
      <c r="B8547" s="433" t="s">
        <v>5759</v>
      </c>
      <c r="C8547" s="614" t="s">
        <v>5584</v>
      </c>
      <c r="D8547" s="606" t="s">
        <v>4348</v>
      </c>
      <c r="E8547" s="606" t="n">
        <v>5</v>
      </c>
      <c r="F8547" s="361" t="n">
        <v>1000</v>
      </c>
      <c r="G8547" s="926" t="n">
        <f aca="false">E8547*F8547</f>
        <v>5000</v>
      </c>
      <c r="H8547" s="606"/>
    </row>
    <row r="8548" customFormat="false" ht="15" hidden="false" customHeight="false" outlineLevel="0" collapsed="false">
      <c r="A8548" s="571"/>
      <c r="B8548" s="433"/>
      <c r="C8548" s="614" t="s">
        <v>4515</v>
      </c>
      <c r="D8548" s="606" t="s">
        <v>4133</v>
      </c>
      <c r="E8548" s="606" t="n">
        <v>0.018</v>
      </c>
      <c r="F8548" s="361" t="n">
        <v>3500</v>
      </c>
      <c r="G8548" s="926" t="n">
        <f aca="false">E8548*F8548</f>
        <v>63</v>
      </c>
      <c r="H8548" s="606"/>
    </row>
    <row r="8549" customFormat="false" ht="15" hidden="false" customHeight="false" outlineLevel="0" collapsed="false">
      <c r="A8549" s="571"/>
      <c r="B8549" s="433"/>
      <c r="C8549" s="614" t="s">
        <v>4124</v>
      </c>
      <c r="D8549" s="606" t="s">
        <v>4125</v>
      </c>
      <c r="E8549" s="606" t="n">
        <v>0.027</v>
      </c>
      <c r="F8549" s="361" t="n">
        <v>60</v>
      </c>
      <c r="G8549" s="926" t="n">
        <f aca="false">E8549*F8549</f>
        <v>1.62</v>
      </c>
      <c r="H8549" s="606"/>
    </row>
    <row r="8550" customFormat="false" ht="15" hidden="false" customHeight="false" outlineLevel="0" collapsed="false">
      <c r="A8550" s="571"/>
      <c r="B8550" s="888" t="s">
        <v>4128</v>
      </c>
      <c r="C8550" s="614"/>
      <c r="D8550" s="606"/>
      <c r="E8550" s="606"/>
      <c r="F8550" s="361"/>
      <c r="G8550" s="613" t="n">
        <f aca="false">SUM(G8547:G8549)</f>
        <v>5064.62</v>
      </c>
      <c r="H8550" s="606"/>
    </row>
    <row r="8551" customFormat="false" ht="30" hidden="false" customHeight="false" outlineLevel="0" collapsed="false">
      <c r="A8551" s="571" t="s">
        <v>5760</v>
      </c>
      <c r="B8551" s="433" t="s">
        <v>3565</v>
      </c>
      <c r="C8551" s="614"/>
      <c r="D8551" s="606"/>
      <c r="E8551" s="606"/>
      <c r="F8551" s="361"/>
      <c r="G8551" s="613"/>
      <c r="H8551" s="606"/>
    </row>
    <row r="8552" customFormat="false" ht="42.75" hidden="false" customHeight="false" outlineLevel="0" collapsed="false">
      <c r="A8552" s="350" t="s">
        <v>1650</v>
      </c>
      <c r="B8552" s="467" t="s">
        <v>3566</v>
      </c>
      <c r="C8552" s="751"/>
      <c r="D8552" s="339"/>
      <c r="E8552" s="339"/>
      <c r="F8552" s="519"/>
      <c r="G8552" s="753"/>
      <c r="H8552" s="751"/>
    </row>
    <row r="8553" customFormat="false" ht="15" hidden="false" customHeight="false" outlineLevel="0" collapsed="false">
      <c r="A8553" s="578" t="s">
        <v>5761</v>
      </c>
      <c r="B8553" s="433" t="s">
        <v>3139</v>
      </c>
      <c r="C8553" s="614"/>
      <c r="D8553" s="606"/>
      <c r="E8553" s="606"/>
      <c r="F8553" s="361"/>
      <c r="G8553" s="615"/>
      <c r="H8553" s="606"/>
    </row>
    <row r="8554" customFormat="false" ht="15" hidden="false" customHeight="false" outlineLevel="0" collapsed="false">
      <c r="A8554" s="571" t="s">
        <v>1653</v>
      </c>
      <c r="B8554" s="433" t="s">
        <v>3567</v>
      </c>
      <c r="C8554" s="614" t="s">
        <v>5647</v>
      </c>
      <c r="D8554" s="606" t="s">
        <v>4138</v>
      </c>
      <c r="E8554" s="606" t="n">
        <v>0.05</v>
      </c>
      <c r="F8554" s="927" t="n">
        <v>8820</v>
      </c>
      <c r="G8554" s="922" t="n">
        <f aca="false">E8554*F8554</f>
        <v>441</v>
      </c>
      <c r="H8554" s="606"/>
    </row>
    <row r="8555" customFormat="false" ht="15" hidden="false" customHeight="false" outlineLevel="0" collapsed="false">
      <c r="A8555" s="571" t="s">
        <v>5762</v>
      </c>
      <c r="B8555" s="433" t="s">
        <v>3497</v>
      </c>
      <c r="C8555" s="709" t="s">
        <v>5405</v>
      </c>
      <c r="D8555" s="679" t="s">
        <v>5452</v>
      </c>
      <c r="E8555" s="679" t="n">
        <v>0.1</v>
      </c>
      <c r="F8555" s="369" t="n">
        <v>4900</v>
      </c>
      <c r="G8555" s="922" t="n">
        <f aca="false">E8555*F8555</f>
        <v>490</v>
      </c>
      <c r="H8555" s="606"/>
    </row>
    <row r="8556" customFormat="false" ht="15" hidden="false" customHeight="false" outlineLevel="0" collapsed="false">
      <c r="A8556" s="571"/>
      <c r="B8556" s="500"/>
      <c r="C8556" s="709" t="s">
        <v>4933</v>
      </c>
      <c r="D8556" s="679" t="s">
        <v>5452</v>
      </c>
      <c r="E8556" s="679" t="n">
        <v>0.1</v>
      </c>
      <c r="F8556" s="369" t="n">
        <v>4704</v>
      </c>
      <c r="G8556" s="922" t="n">
        <f aca="false">E8556*F8556</f>
        <v>470.4</v>
      </c>
      <c r="H8556" s="606"/>
    </row>
    <row r="8557" customFormat="false" ht="15" hidden="false" customHeight="false" outlineLevel="0" collapsed="false">
      <c r="A8557" s="571"/>
      <c r="B8557" s="500"/>
      <c r="C8557" s="709" t="s">
        <v>4147</v>
      </c>
      <c r="D8557" s="679" t="s">
        <v>4133</v>
      </c>
      <c r="E8557" s="679" t="n">
        <v>0.1</v>
      </c>
      <c r="F8557" s="369" t="n">
        <v>3500</v>
      </c>
      <c r="G8557" s="922" t="n">
        <f aca="false">E8557*F8557</f>
        <v>350</v>
      </c>
      <c r="H8557" s="606"/>
    </row>
    <row r="8558" customFormat="false" ht="15" hidden="false" customHeight="false" outlineLevel="0" collapsed="false">
      <c r="A8558" s="571"/>
      <c r="B8558" s="608" t="s">
        <v>4128</v>
      </c>
      <c r="C8558" s="718"/>
      <c r="D8558" s="719"/>
      <c r="E8558" s="719"/>
      <c r="F8558" s="366"/>
      <c r="G8558" s="711" t="n">
        <f aca="false">SUM(G8555:G8557)</f>
        <v>1310.4</v>
      </c>
      <c r="H8558" s="610"/>
    </row>
    <row r="8559" customFormat="false" ht="15" hidden="false" customHeight="false" outlineLevel="0" collapsed="false">
      <c r="A8559" s="571" t="s">
        <v>5763</v>
      </c>
      <c r="B8559" s="433" t="s">
        <v>3568</v>
      </c>
      <c r="C8559" s="709" t="s">
        <v>4317</v>
      </c>
      <c r="D8559" s="679" t="s">
        <v>4359</v>
      </c>
      <c r="E8559" s="679" t="n">
        <v>0.01</v>
      </c>
      <c r="F8559" s="369" t="n">
        <v>12000</v>
      </c>
      <c r="G8559" s="922" t="n">
        <f aca="false">E8559*F8559</f>
        <v>120</v>
      </c>
      <c r="H8559" s="606"/>
    </row>
    <row r="8560" customFormat="false" ht="15" hidden="false" customHeight="false" outlineLevel="0" collapsed="false">
      <c r="B8560" s="433"/>
      <c r="C8560" s="709" t="s">
        <v>5365</v>
      </c>
      <c r="D8560" s="679" t="s">
        <v>4138</v>
      </c>
      <c r="E8560" s="679" t="n">
        <v>1</v>
      </c>
      <c r="F8560" s="923" t="n">
        <v>2324</v>
      </c>
      <c r="G8560" s="922" t="n">
        <f aca="false">E8560*F8560</f>
        <v>2324</v>
      </c>
      <c r="H8560" s="606"/>
    </row>
    <row r="8561" customFormat="false" ht="15" hidden="false" customHeight="false" outlineLevel="0" collapsed="false">
      <c r="A8561" s="571"/>
      <c r="B8561" s="608" t="s">
        <v>4128</v>
      </c>
      <c r="C8561" s="718"/>
      <c r="D8561" s="719"/>
      <c r="E8561" s="719"/>
      <c r="F8561" s="366"/>
      <c r="G8561" s="711" t="n">
        <f aca="false">SUM(G8559:G8560)</f>
        <v>2444</v>
      </c>
      <c r="H8561" s="610"/>
    </row>
    <row r="8562" customFormat="false" ht="25.5" hidden="false" customHeight="true" outlineLevel="0" collapsed="false">
      <c r="A8562" s="571" t="s">
        <v>5764</v>
      </c>
      <c r="B8562" s="433" t="s">
        <v>3463</v>
      </c>
      <c r="C8562" s="709" t="s">
        <v>5765</v>
      </c>
      <c r="D8562" s="679" t="s">
        <v>5018</v>
      </c>
      <c r="E8562" s="679" t="n">
        <v>1</v>
      </c>
      <c r="F8562" s="369" t="n">
        <v>1750</v>
      </c>
      <c r="G8562" s="922" t="n">
        <f aca="false">E8562*F8562</f>
        <v>1750</v>
      </c>
      <c r="H8562" s="606"/>
    </row>
    <row r="8563" customFormat="false" ht="34.5" hidden="false" customHeight="true" outlineLevel="0" collapsed="false">
      <c r="B8563" s="500"/>
      <c r="C8563" s="709" t="s">
        <v>4529</v>
      </c>
      <c r="D8563" s="679" t="s">
        <v>4133</v>
      </c>
      <c r="E8563" s="679" t="n">
        <v>0.1</v>
      </c>
      <c r="F8563" s="369" t="n">
        <v>2553.6</v>
      </c>
      <c r="G8563" s="922" t="n">
        <f aca="false">E8563*F8563</f>
        <v>255.36</v>
      </c>
      <c r="H8563" s="606"/>
    </row>
    <row r="8564" customFormat="false" ht="15" hidden="false" customHeight="false" outlineLevel="0" collapsed="false">
      <c r="A8564" s="571"/>
      <c r="B8564" s="500"/>
      <c r="C8564" s="709" t="s">
        <v>4202</v>
      </c>
      <c r="D8564" s="679" t="s">
        <v>4133</v>
      </c>
      <c r="E8564" s="679" t="n">
        <v>0.005</v>
      </c>
      <c r="F8564" s="369" t="n">
        <v>6600</v>
      </c>
      <c r="G8564" s="922" t="n">
        <f aca="false">E8564*F8564</f>
        <v>33</v>
      </c>
      <c r="H8564" s="606"/>
    </row>
    <row r="8565" customFormat="false" ht="15" hidden="false" customHeight="false" outlineLevel="0" collapsed="false">
      <c r="A8565" s="571"/>
      <c r="B8565" s="500"/>
      <c r="C8565" s="709" t="s">
        <v>4154</v>
      </c>
      <c r="D8565" s="679" t="s">
        <v>4359</v>
      </c>
      <c r="E8565" s="679" t="n">
        <v>0.1</v>
      </c>
      <c r="F8565" s="369" t="n">
        <v>780</v>
      </c>
      <c r="G8565" s="922" t="n">
        <f aca="false">E8565*F8565</f>
        <v>78</v>
      </c>
      <c r="H8565" s="606"/>
    </row>
    <row r="8566" customFormat="false" ht="15" hidden="false" customHeight="false" outlineLevel="0" collapsed="false">
      <c r="A8566" s="571"/>
      <c r="B8566" s="500"/>
      <c r="C8566" s="709" t="s">
        <v>4240</v>
      </c>
      <c r="D8566" s="679" t="s">
        <v>4359</v>
      </c>
      <c r="E8566" s="679" t="n">
        <v>0.01</v>
      </c>
      <c r="F8566" s="369" t="s">
        <v>5766</v>
      </c>
      <c r="G8566" s="922" t="n">
        <f aca="false">E8566*F8566</f>
        <v>6.1344</v>
      </c>
      <c r="H8566" s="606"/>
    </row>
    <row r="8567" customFormat="false" ht="15" hidden="false" customHeight="false" outlineLevel="0" collapsed="false">
      <c r="A8567" s="571"/>
      <c r="B8567" s="608" t="s">
        <v>4128</v>
      </c>
      <c r="C8567" s="709"/>
      <c r="D8567" s="679"/>
      <c r="E8567" s="679"/>
      <c r="F8567" s="369"/>
      <c r="G8567" s="711" t="n">
        <f aca="false">SUM(G8562:G8566)</f>
        <v>2122.4944</v>
      </c>
      <c r="H8567" s="606"/>
    </row>
    <row r="8568" customFormat="false" ht="30" hidden="false" customHeight="false" outlineLevel="0" collapsed="false">
      <c r="A8568" s="571" t="s">
        <v>5767</v>
      </c>
      <c r="B8568" s="433" t="s">
        <v>3466</v>
      </c>
      <c r="C8568" s="709" t="s">
        <v>4122</v>
      </c>
      <c r="D8568" s="679" t="s">
        <v>4359</v>
      </c>
      <c r="E8568" s="679" t="n">
        <v>0.04</v>
      </c>
      <c r="F8568" s="369" t="n">
        <v>720</v>
      </c>
      <c r="G8568" s="922" t="n">
        <f aca="false">E8568*F8568</f>
        <v>28.8</v>
      </c>
      <c r="H8568" s="606"/>
    </row>
    <row r="8569" customFormat="false" ht="15" hidden="false" customHeight="false" outlineLevel="0" collapsed="false">
      <c r="B8569" s="500"/>
      <c r="C8569" s="709" t="s">
        <v>5164</v>
      </c>
      <c r="D8569" s="679" t="s">
        <v>5564</v>
      </c>
      <c r="E8569" s="679" t="n">
        <v>2</v>
      </c>
      <c r="F8569" s="369" t="n">
        <v>1035</v>
      </c>
      <c r="G8569" s="922" t="n">
        <f aca="false">E8569*F8569</f>
        <v>2070</v>
      </c>
      <c r="H8569" s="606"/>
    </row>
    <row r="8570" customFormat="false" ht="15" hidden="false" customHeight="false" outlineLevel="0" collapsed="false">
      <c r="A8570" s="571"/>
      <c r="B8570" s="500"/>
      <c r="C8570" s="709" t="s">
        <v>4147</v>
      </c>
      <c r="D8570" s="679" t="s">
        <v>4528</v>
      </c>
      <c r="E8570" s="679" t="n">
        <v>1</v>
      </c>
      <c r="F8570" s="369" t="n">
        <v>150</v>
      </c>
      <c r="G8570" s="922" t="n">
        <f aca="false">E8570*F8570</f>
        <v>150</v>
      </c>
      <c r="H8570" s="606"/>
    </row>
    <row r="8571" customFormat="false" ht="15" hidden="false" customHeight="false" outlineLevel="0" collapsed="false">
      <c r="A8571" s="571"/>
      <c r="B8571" s="500"/>
      <c r="C8571" s="709" t="s">
        <v>4672</v>
      </c>
      <c r="D8571" s="679" t="s">
        <v>4359</v>
      </c>
      <c r="E8571" s="679" t="n">
        <v>0.015</v>
      </c>
      <c r="F8571" s="369" t="n">
        <v>3730</v>
      </c>
      <c r="G8571" s="922" t="n">
        <f aca="false">E8571*F8571</f>
        <v>55.95</v>
      </c>
      <c r="H8571" s="606"/>
    </row>
    <row r="8572" customFormat="false" ht="15" hidden="false" customHeight="false" outlineLevel="0" collapsed="false">
      <c r="A8572" s="571"/>
      <c r="B8572" s="500"/>
      <c r="C8572" s="709" t="s">
        <v>4205</v>
      </c>
      <c r="D8572" s="679" t="s">
        <v>4359</v>
      </c>
      <c r="E8572" s="679" t="n">
        <v>0.075</v>
      </c>
      <c r="F8572" s="369" t="n">
        <v>10800</v>
      </c>
      <c r="G8572" s="922" t="n">
        <f aca="false">E8572*F8572</f>
        <v>810</v>
      </c>
      <c r="H8572" s="606"/>
    </row>
    <row r="8573" customFormat="false" ht="15" hidden="false" customHeight="false" outlineLevel="0" collapsed="false">
      <c r="A8573" s="571"/>
      <c r="B8573" s="500"/>
      <c r="C8573" s="709" t="s">
        <v>4225</v>
      </c>
      <c r="D8573" s="679" t="s">
        <v>4133</v>
      </c>
      <c r="E8573" s="679" t="n">
        <v>0.04</v>
      </c>
      <c r="F8573" s="369" t="n">
        <v>2553.6</v>
      </c>
      <c r="G8573" s="922" t="n">
        <f aca="false">E8573*F8573</f>
        <v>102.144</v>
      </c>
      <c r="H8573" s="606"/>
    </row>
    <row r="8574" customFormat="false" ht="15" hidden="false" customHeight="false" outlineLevel="0" collapsed="false">
      <c r="A8574" s="571"/>
      <c r="B8574" s="500"/>
      <c r="C8574" s="709" t="s">
        <v>5768</v>
      </c>
      <c r="D8574" s="679" t="s">
        <v>5564</v>
      </c>
      <c r="E8574" s="679" t="n">
        <v>1</v>
      </c>
      <c r="F8574" s="369" t="n">
        <v>176</v>
      </c>
      <c r="G8574" s="922" t="n">
        <f aca="false">E8574*F8574</f>
        <v>176</v>
      </c>
      <c r="H8574" s="606"/>
    </row>
    <row r="8575" customFormat="false" ht="15" hidden="false" customHeight="false" outlineLevel="0" collapsed="false">
      <c r="A8575" s="571"/>
      <c r="B8575" s="608" t="s">
        <v>4128</v>
      </c>
      <c r="C8575" s="709"/>
      <c r="D8575" s="679"/>
      <c r="E8575" s="679"/>
      <c r="F8575" s="369"/>
      <c r="G8575" s="711" t="n">
        <f aca="false">SUM(G8568:G8574)</f>
        <v>3392.894</v>
      </c>
      <c r="H8575" s="606"/>
    </row>
    <row r="8576" customFormat="false" ht="15" hidden="false" customHeight="false" outlineLevel="0" collapsed="false">
      <c r="A8576" s="571" t="s">
        <v>5769</v>
      </c>
      <c r="B8576" s="500" t="s">
        <v>5725</v>
      </c>
      <c r="C8576" s="709"/>
      <c r="D8576" s="679"/>
      <c r="E8576" s="679"/>
      <c r="F8576" s="369"/>
      <c r="G8576" s="716"/>
      <c r="H8576" s="606"/>
    </row>
    <row r="8577" customFormat="false" ht="15" hidden="false" customHeight="false" outlineLevel="0" collapsed="false">
      <c r="A8577" s="571" t="s">
        <v>5770</v>
      </c>
      <c r="B8577" s="500" t="s">
        <v>3560</v>
      </c>
      <c r="C8577" s="709"/>
      <c r="D8577" s="679"/>
      <c r="E8577" s="679"/>
      <c r="F8577" s="369"/>
      <c r="G8577" s="716"/>
      <c r="H8577" s="606"/>
    </row>
    <row r="8578" customFormat="false" ht="15" hidden="false" customHeight="false" outlineLevel="0" collapsed="false">
      <c r="A8578" s="571" t="s">
        <v>5771</v>
      </c>
      <c r="B8578" s="433" t="s">
        <v>3569</v>
      </c>
      <c r="C8578" s="709" t="s">
        <v>5772</v>
      </c>
      <c r="D8578" s="679" t="s">
        <v>4138</v>
      </c>
      <c r="E8578" s="679" t="n">
        <v>0.01</v>
      </c>
      <c r="F8578" s="369" t="n">
        <v>1500</v>
      </c>
      <c r="G8578" s="922" t="n">
        <f aca="false">E8578*F8578</f>
        <v>15</v>
      </c>
      <c r="H8578" s="606"/>
    </row>
    <row r="8579" customFormat="false" ht="15" hidden="false" customHeight="false" outlineLevel="0" collapsed="false">
      <c r="B8579" s="500"/>
      <c r="C8579" s="709" t="s">
        <v>4171</v>
      </c>
      <c r="D8579" s="679" t="s">
        <v>4359</v>
      </c>
      <c r="E8579" s="679" t="n">
        <v>0.08</v>
      </c>
      <c r="F8579" s="369" t="n">
        <v>2500</v>
      </c>
      <c r="G8579" s="922" t="n">
        <f aca="false">E8579*F8579</f>
        <v>200</v>
      </c>
      <c r="H8579" s="606"/>
    </row>
    <row r="8580" customFormat="false" ht="15" hidden="false" customHeight="false" outlineLevel="0" collapsed="false">
      <c r="A8580" s="571"/>
      <c r="B8580" s="500"/>
      <c r="C8580" s="709" t="s">
        <v>4536</v>
      </c>
      <c r="D8580" s="679" t="s">
        <v>4359</v>
      </c>
      <c r="E8580" s="679" t="n">
        <v>0.005</v>
      </c>
      <c r="F8580" s="369" t="n">
        <v>999</v>
      </c>
      <c r="G8580" s="922" t="n">
        <f aca="false">E8580*F8580</f>
        <v>4.995</v>
      </c>
      <c r="H8580" s="606"/>
    </row>
    <row r="8581" customFormat="false" ht="15" hidden="false" customHeight="false" outlineLevel="0" collapsed="false">
      <c r="A8581" s="571"/>
      <c r="B8581" s="608" t="s">
        <v>4128</v>
      </c>
      <c r="C8581" s="709"/>
      <c r="D8581" s="679"/>
      <c r="E8581" s="679"/>
      <c r="F8581" s="369"/>
      <c r="G8581" s="711" t="n">
        <f aca="false">SUM(G8578:G8580)</f>
        <v>219.995</v>
      </c>
      <c r="H8581" s="606"/>
    </row>
    <row r="8582" customFormat="false" ht="45" hidden="false" customHeight="false" outlineLevel="0" collapsed="false">
      <c r="A8582" s="571" t="s">
        <v>5773</v>
      </c>
      <c r="B8582" s="433" t="s">
        <v>3523</v>
      </c>
      <c r="C8582" s="614" t="s">
        <v>5669</v>
      </c>
      <c r="D8582" s="606" t="s">
        <v>4348</v>
      </c>
      <c r="E8582" s="606" t="n">
        <v>1</v>
      </c>
      <c r="F8582" s="361" t="n">
        <v>4624</v>
      </c>
      <c r="G8582" s="926" t="n">
        <f aca="false">E8582*F8582</f>
        <v>4624</v>
      </c>
      <c r="H8582" s="606"/>
    </row>
    <row r="8583" customFormat="false" ht="15" hidden="false" customHeight="false" outlineLevel="0" collapsed="false">
      <c r="A8583" s="571"/>
      <c r="B8583" s="500"/>
      <c r="C8583" s="709" t="s">
        <v>4515</v>
      </c>
      <c r="D8583" s="679" t="s">
        <v>4133</v>
      </c>
      <c r="E8583" s="679" t="n">
        <v>0.018</v>
      </c>
      <c r="F8583" s="369" t="n">
        <v>3500</v>
      </c>
      <c r="G8583" s="922" t="n">
        <f aca="false">E8583*F8583</f>
        <v>63</v>
      </c>
      <c r="H8583" s="606"/>
    </row>
    <row r="8584" customFormat="false" ht="15" hidden="false" customHeight="false" outlineLevel="0" collapsed="false">
      <c r="A8584" s="571"/>
      <c r="B8584" s="500"/>
      <c r="C8584" s="709" t="s">
        <v>4124</v>
      </c>
      <c r="D8584" s="679" t="s">
        <v>4125</v>
      </c>
      <c r="E8584" s="679" t="n">
        <v>0.027</v>
      </c>
      <c r="F8584" s="369" t="n">
        <v>60</v>
      </c>
      <c r="G8584" s="922" t="n">
        <f aca="false">E8584*F8584</f>
        <v>1.62</v>
      </c>
      <c r="H8584" s="606"/>
    </row>
    <row r="8585" customFormat="false" ht="15" hidden="false" customHeight="false" outlineLevel="0" collapsed="false">
      <c r="A8585" s="571"/>
      <c r="B8585" s="500"/>
      <c r="C8585" s="709" t="s">
        <v>4122</v>
      </c>
      <c r="D8585" s="679" t="s">
        <v>4359</v>
      </c>
      <c r="E8585" s="679" t="n">
        <v>0.03</v>
      </c>
      <c r="F8585" s="369" t="n">
        <v>720</v>
      </c>
      <c r="G8585" s="922" t="n">
        <f aca="false">E8585*F8585</f>
        <v>21.6</v>
      </c>
      <c r="H8585" s="606"/>
    </row>
    <row r="8586" customFormat="false" ht="15" hidden="false" customHeight="false" outlineLevel="0" collapsed="false">
      <c r="A8586" s="571"/>
      <c r="B8586" s="608" t="s">
        <v>4128</v>
      </c>
      <c r="C8586" s="709"/>
      <c r="D8586" s="679"/>
      <c r="E8586" s="679"/>
      <c r="F8586" s="369"/>
      <c r="G8586" s="711" t="n">
        <f aca="false">SUM(G8582:G8585)</f>
        <v>4710.22</v>
      </c>
      <c r="H8586" s="606"/>
    </row>
    <row r="8587" customFormat="false" ht="57" hidden="false" customHeight="false" outlineLevel="0" collapsed="false">
      <c r="A8587" s="350" t="s">
        <v>1663</v>
      </c>
      <c r="B8587" s="467" t="s">
        <v>5774</v>
      </c>
      <c r="C8587" s="751"/>
      <c r="D8587" s="339"/>
      <c r="E8587" s="339"/>
      <c r="F8587" s="519"/>
      <c r="G8587" s="753"/>
      <c r="H8587" s="790"/>
    </row>
    <row r="8588" customFormat="false" ht="30" hidden="false" customHeight="false" outlineLevel="0" collapsed="false">
      <c r="A8588" s="571" t="s">
        <v>5775</v>
      </c>
      <c r="B8588" s="433" t="s">
        <v>3571</v>
      </c>
      <c r="C8588" s="614" t="s">
        <v>5584</v>
      </c>
      <c r="D8588" s="606" t="s">
        <v>4348</v>
      </c>
      <c r="E8588" s="606" t="n">
        <v>10</v>
      </c>
      <c r="F8588" s="361" t="n">
        <v>1000</v>
      </c>
      <c r="G8588" s="926" t="n">
        <f aca="false">E8588*F8588</f>
        <v>10000</v>
      </c>
      <c r="H8588" s="606"/>
    </row>
    <row r="8589" customFormat="false" ht="15" hidden="false" customHeight="false" outlineLevel="0" collapsed="false">
      <c r="B8589" s="500"/>
      <c r="C8589" s="614" t="s">
        <v>4122</v>
      </c>
      <c r="D8589" s="606" t="s">
        <v>4359</v>
      </c>
      <c r="E8589" s="606" t="n">
        <v>0.00628</v>
      </c>
      <c r="F8589" s="361" t="n">
        <v>720</v>
      </c>
      <c r="G8589" s="926" t="n">
        <f aca="false">E8589*F8589</f>
        <v>4.5216</v>
      </c>
      <c r="H8589" s="606"/>
    </row>
    <row r="8590" customFormat="false" ht="15" hidden="false" customHeight="false" outlineLevel="0" collapsed="false">
      <c r="A8590" s="571"/>
      <c r="B8590" s="500"/>
      <c r="C8590" s="614" t="s">
        <v>4515</v>
      </c>
      <c r="D8590" s="606" t="s">
        <v>4133</v>
      </c>
      <c r="E8590" s="606" t="n">
        <v>0.018</v>
      </c>
      <c r="F8590" s="361" t="n">
        <v>3500</v>
      </c>
      <c r="G8590" s="926" t="n">
        <f aca="false">E8590*F8590</f>
        <v>63</v>
      </c>
      <c r="H8590" s="606"/>
    </row>
    <row r="8591" customFormat="false" ht="15" hidden="false" customHeight="false" outlineLevel="0" collapsed="false">
      <c r="A8591" s="571"/>
      <c r="B8591" s="500"/>
      <c r="C8591" s="614" t="s">
        <v>4124</v>
      </c>
      <c r="D8591" s="606" t="s">
        <v>4125</v>
      </c>
      <c r="E8591" s="606" t="n">
        <v>0.027</v>
      </c>
      <c r="F8591" s="361" t="n">
        <v>60</v>
      </c>
      <c r="G8591" s="926" t="n">
        <f aca="false">E8591*F8591</f>
        <v>1.62</v>
      </c>
      <c r="H8591" s="606"/>
    </row>
    <row r="8592" customFormat="false" ht="15" hidden="false" customHeight="false" outlineLevel="0" collapsed="false">
      <c r="A8592" s="571"/>
      <c r="B8592" s="608" t="s">
        <v>4128</v>
      </c>
      <c r="C8592" s="609"/>
      <c r="D8592" s="610"/>
      <c r="E8592" s="610"/>
      <c r="F8592" s="612"/>
      <c r="G8592" s="613" t="n">
        <f aca="false">SUM(G8588:G8591)</f>
        <v>10069.1416</v>
      </c>
      <c r="H8592" s="610"/>
    </row>
    <row r="8593" customFormat="false" ht="45" hidden="false" customHeight="false" outlineLevel="0" collapsed="false">
      <c r="A8593" s="571" t="s">
        <v>5776</v>
      </c>
      <c r="B8593" s="433" t="s">
        <v>3572</v>
      </c>
      <c r="C8593" s="614" t="s">
        <v>5669</v>
      </c>
      <c r="D8593" s="606" t="s">
        <v>4348</v>
      </c>
      <c r="E8593" s="606" t="n">
        <v>2</v>
      </c>
      <c r="F8593" s="361" t="n">
        <v>4624</v>
      </c>
      <c r="G8593" s="926" t="n">
        <f aca="false">E8593*F8593</f>
        <v>9248</v>
      </c>
      <c r="H8593" s="606"/>
    </row>
    <row r="8594" customFormat="false" ht="15" hidden="false" customHeight="false" outlineLevel="0" collapsed="false">
      <c r="B8594" s="500"/>
      <c r="C8594" s="614" t="s">
        <v>4515</v>
      </c>
      <c r="D8594" s="606" t="s">
        <v>4133</v>
      </c>
      <c r="E8594" s="606" t="n">
        <v>0.018</v>
      </c>
      <c r="F8594" s="361" t="n">
        <v>3500</v>
      </c>
      <c r="G8594" s="926" t="n">
        <f aca="false">E8594*F8594</f>
        <v>63</v>
      </c>
      <c r="H8594" s="606"/>
    </row>
    <row r="8595" customFormat="false" ht="15" hidden="false" customHeight="false" outlineLevel="0" collapsed="false">
      <c r="A8595" s="571"/>
      <c r="B8595" s="500"/>
      <c r="C8595" s="614" t="s">
        <v>4124</v>
      </c>
      <c r="D8595" s="606" t="s">
        <v>4125</v>
      </c>
      <c r="E8595" s="606" t="n">
        <v>0.027</v>
      </c>
      <c r="F8595" s="361" t="n">
        <v>60</v>
      </c>
      <c r="G8595" s="926" t="n">
        <f aca="false">E8595*F8595</f>
        <v>1.62</v>
      </c>
      <c r="H8595" s="606"/>
    </row>
    <row r="8596" customFormat="false" ht="15" hidden="false" customHeight="false" outlineLevel="0" collapsed="false">
      <c r="A8596" s="571"/>
      <c r="B8596" s="500"/>
      <c r="C8596" s="614" t="s">
        <v>4122</v>
      </c>
      <c r="D8596" s="606" t="s">
        <v>4359</v>
      </c>
      <c r="E8596" s="606" t="n">
        <v>0.0299</v>
      </c>
      <c r="F8596" s="361" t="n">
        <v>720</v>
      </c>
      <c r="G8596" s="926" t="n">
        <f aca="false">E8596*F8596</f>
        <v>21.528</v>
      </c>
      <c r="H8596" s="606"/>
    </row>
    <row r="8597" customFormat="false" ht="15" hidden="false" customHeight="false" outlineLevel="0" collapsed="false">
      <c r="A8597" s="571"/>
      <c r="B8597" s="608" t="s">
        <v>4128</v>
      </c>
      <c r="C8597" s="609"/>
      <c r="D8597" s="610"/>
      <c r="E8597" s="610"/>
      <c r="F8597" s="612"/>
      <c r="G8597" s="613" t="n">
        <f aca="false">SUM(G8593:G8596)</f>
        <v>9334.148</v>
      </c>
      <c r="H8597" s="610"/>
    </row>
    <row r="8598" customFormat="false" ht="45" hidden="false" customHeight="false" outlineLevel="0" collapsed="false">
      <c r="A8598" s="571" t="s">
        <v>5777</v>
      </c>
      <c r="B8598" s="433" t="s">
        <v>3573</v>
      </c>
      <c r="C8598" s="614" t="s">
        <v>5669</v>
      </c>
      <c r="D8598" s="606" t="s">
        <v>4348</v>
      </c>
      <c r="E8598" s="606" t="n">
        <v>2</v>
      </c>
      <c r="F8598" s="361" t="n">
        <v>4624</v>
      </c>
      <c r="G8598" s="926" t="n">
        <f aca="false">E8598*F8598</f>
        <v>9248</v>
      </c>
      <c r="H8598" s="606"/>
    </row>
    <row r="8599" customFormat="false" ht="15" hidden="false" customHeight="false" outlineLevel="0" collapsed="false">
      <c r="B8599" s="500"/>
      <c r="C8599" s="614" t="s">
        <v>4515</v>
      </c>
      <c r="D8599" s="606" t="s">
        <v>4133</v>
      </c>
      <c r="E8599" s="606" t="n">
        <v>0.018</v>
      </c>
      <c r="F8599" s="361" t="n">
        <v>3500</v>
      </c>
      <c r="G8599" s="926" t="n">
        <f aca="false">E8599*F8599</f>
        <v>63</v>
      </c>
      <c r="H8599" s="606"/>
    </row>
    <row r="8600" customFormat="false" ht="15" hidden="false" customHeight="false" outlineLevel="0" collapsed="false">
      <c r="A8600" s="571"/>
      <c r="B8600" s="500"/>
      <c r="C8600" s="614" t="s">
        <v>4124</v>
      </c>
      <c r="D8600" s="606" t="s">
        <v>4125</v>
      </c>
      <c r="E8600" s="606" t="n">
        <v>0.027</v>
      </c>
      <c r="F8600" s="361" t="n">
        <v>60</v>
      </c>
      <c r="G8600" s="926" t="n">
        <f aca="false">E8600*F8600</f>
        <v>1.62</v>
      </c>
      <c r="H8600" s="606"/>
    </row>
    <row r="8601" customFormat="false" ht="15" hidden="false" customHeight="false" outlineLevel="0" collapsed="false">
      <c r="A8601" s="571"/>
      <c r="B8601" s="500"/>
      <c r="C8601" s="614" t="s">
        <v>4122</v>
      </c>
      <c r="D8601" s="606" t="s">
        <v>4359</v>
      </c>
      <c r="E8601" s="606" t="n">
        <v>0.32</v>
      </c>
      <c r="F8601" s="361" t="n">
        <v>720</v>
      </c>
      <c r="G8601" s="926" t="n">
        <f aca="false">E8601*F8601</f>
        <v>230.4</v>
      </c>
      <c r="H8601" s="606"/>
    </row>
    <row r="8602" customFormat="false" ht="15" hidden="false" customHeight="false" outlineLevel="0" collapsed="false">
      <c r="A8602" s="571"/>
      <c r="B8602" s="608" t="s">
        <v>4128</v>
      </c>
      <c r="C8602" s="609"/>
      <c r="D8602" s="610"/>
      <c r="E8602" s="610"/>
      <c r="F8602" s="612"/>
      <c r="G8602" s="613" t="n">
        <f aca="false">SUM(G8598:G8601)</f>
        <v>9543.02</v>
      </c>
      <c r="H8602" s="610"/>
    </row>
    <row r="8603" customFormat="false" ht="30" hidden="false" customHeight="false" outlineLevel="0" collapsed="false">
      <c r="A8603" s="571" t="s">
        <v>5778</v>
      </c>
      <c r="B8603" s="433" t="s">
        <v>3574</v>
      </c>
      <c r="C8603" s="614" t="s">
        <v>5669</v>
      </c>
      <c r="D8603" s="606" t="s">
        <v>4348</v>
      </c>
      <c r="E8603" s="606" t="n">
        <v>2</v>
      </c>
      <c r="F8603" s="361" t="n">
        <v>4624</v>
      </c>
      <c r="G8603" s="926" t="n">
        <f aca="false">E8603*F8603</f>
        <v>9248</v>
      </c>
      <c r="H8603" s="606"/>
    </row>
    <row r="8604" customFormat="false" ht="15" hidden="false" customHeight="false" outlineLevel="0" collapsed="false">
      <c r="B8604" s="500"/>
      <c r="C8604" s="614" t="s">
        <v>4515</v>
      </c>
      <c r="D8604" s="606" t="s">
        <v>4133</v>
      </c>
      <c r="E8604" s="606" t="n">
        <v>0.018</v>
      </c>
      <c r="F8604" s="361" t="n">
        <v>3500</v>
      </c>
      <c r="G8604" s="926" t="n">
        <f aca="false">E8604*F8604</f>
        <v>63</v>
      </c>
      <c r="H8604" s="606"/>
    </row>
    <row r="8605" customFormat="false" ht="15" hidden="false" customHeight="false" outlineLevel="0" collapsed="false">
      <c r="A8605" s="571"/>
      <c r="B8605" s="500"/>
      <c r="C8605" s="614" t="s">
        <v>4124</v>
      </c>
      <c r="D8605" s="606" t="s">
        <v>4125</v>
      </c>
      <c r="E8605" s="606" t="n">
        <v>0.027</v>
      </c>
      <c r="F8605" s="361" t="n">
        <v>60</v>
      </c>
      <c r="G8605" s="926" t="n">
        <f aca="false">E8605*F8605</f>
        <v>1.62</v>
      </c>
      <c r="H8605" s="606"/>
    </row>
    <row r="8606" customFormat="false" ht="15" hidden="false" customHeight="false" outlineLevel="0" collapsed="false">
      <c r="A8606" s="571"/>
      <c r="B8606" s="608" t="s">
        <v>4128</v>
      </c>
      <c r="C8606" s="609"/>
      <c r="D8606" s="610"/>
      <c r="E8606" s="610"/>
      <c r="F8606" s="612"/>
      <c r="G8606" s="613" t="n">
        <f aca="false">SUM(G8603:G8605)</f>
        <v>9312.62</v>
      </c>
      <c r="H8606" s="610"/>
    </row>
    <row r="8607" customFormat="false" ht="30" hidden="false" customHeight="false" outlineLevel="0" collapsed="false">
      <c r="A8607" s="571" t="s">
        <v>5779</v>
      </c>
      <c r="B8607" s="433" t="s">
        <v>3575</v>
      </c>
      <c r="C8607" s="614" t="s">
        <v>5669</v>
      </c>
      <c r="D8607" s="606" t="s">
        <v>4348</v>
      </c>
      <c r="E8607" s="606" t="n">
        <v>1</v>
      </c>
      <c r="F8607" s="361" t="n">
        <v>4624</v>
      </c>
      <c r="G8607" s="926" t="n">
        <f aca="false">E8607*F8607</f>
        <v>4624</v>
      </c>
      <c r="H8607" s="606"/>
    </row>
    <row r="8608" customFormat="false" ht="15" hidden="false" customHeight="false" outlineLevel="0" collapsed="false">
      <c r="A8608" s="571"/>
      <c r="B8608" s="500"/>
      <c r="C8608" s="614" t="s">
        <v>4515</v>
      </c>
      <c r="D8608" s="606" t="s">
        <v>4133</v>
      </c>
      <c r="E8608" s="606" t="n">
        <v>0.018</v>
      </c>
      <c r="F8608" s="361" t="n">
        <v>3500</v>
      </c>
      <c r="G8608" s="926" t="n">
        <f aca="false">E8608*F8608</f>
        <v>63</v>
      </c>
      <c r="H8608" s="606"/>
    </row>
    <row r="8609" customFormat="false" ht="15" hidden="false" customHeight="false" outlineLevel="0" collapsed="false">
      <c r="A8609" s="571"/>
      <c r="B8609" s="500"/>
      <c r="C8609" s="614" t="s">
        <v>4124</v>
      </c>
      <c r="D8609" s="606" t="s">
        <v>4125</v>
      </c>
      <c r="E8609" s="606" t="n">
        <v>0.027</v>
      </c>
      <c r="F8609" s="361" t="n">
        <v>60</v>
      </c>
      <c r="G8609" s="926" t="n">
        <f aca="false">E8609*F8609</f>
        <v>1.62</v>
      </c>
      <c r="H8609" s="606"/>
    </row>
    <row r="8610" customFormat="false" ht="15" hidden="false" customHeight="false" outlineLevel="0" collapsed="false">
      <c r="A8610" s="571"/>
      <c r="B8610" s="608" t="s">
        <v>4128</v>
      </c>
      <c r="C8610" s="609"/>
      <c r="D8610" s="610"/>
      <c r="E8610" s="610"/>
      <c r="F8610" s="612"/>
      <c r="G8610" s="613" t="n">
        <f aca="false">SUM(G8607:G8609)</f>
        <v>4688.62</v>
      </c>
      <c r="H8610" s="610"/>
    </row>
    <row r="8611" customFormat="false" ht="45" hidden="false" customHeight="false" outlineLevel="0" collapsed="false">
      <c r="A8611" s="637" t="s">
        <v>5780</v>
      </c>
      <c r="B8611" s="374" t="s">
        <v>3576</v>
      </c>
      <c r="C8611" s="603" t="s">
        <v>5584</v>
      </c>
      <c r="D8611" s="602" t="s">
        <v>4348</v>
      </c>
      <c r="E8611" s="602" t="n">
        <v>3</v>
      </c>
      <c r="F8611" s="698" t="n">
        <v>1000</v>
      </c>
      <c r="G8611" s="926" t="n">
        <f aca="false">E8611*F8611</f>
        <v>3000</v>
      </c>
      <c r="H8611" s="602"/>
    </row>
    <row r="8612" customFormat="false" ht="15" hidden="false" customHeight="false" outlineLevel="0" collapsed="false">
      <c r="B8612" s="500"/>
      <c r="C8612" s="614" t="s">
        <v>4515</v>
      </c>
      <c r="D8612" s="606" t="s">
        <v>4133</v>
      </c>
      <c r="E8612" s="606" t="n">
        <v>0.018</v>
      </c>
      <c r="F8612" s="361" t="n">
        <v>3500</v>
      </c>
      <c r="G8612" s="926" t="n">
        <f aca="false">E8612*F8612</f>
        <v>63</v>
      </c>
      <c r="H8612" s="606"/>
    </row>
    <row r="8613" customFormat="false" ht="15" hidden="false" customHeight="false" outlineLevel="0" collapsed="false">
      <c r="A8613" s="571"/>
      <c r="B8613" s="500"/>
      <c r="C8613" s="614" t="s">
        <v>4124</v>
      </c>
      <c r="D8613" s="606" t="s">
        <v>4125</v>
      </c>
      <c r="E8613" s="606" t="n">
        <v>0.027</v>
      </c>
      <c r="F8613" s="361" t="n">
        <v>60</v>
      </c>
      <c r="G8613" s="926" t="n">
        <f aca="false">E8613*F8613</f>
        <v>1.62</v>
      </c>
      <c r="H8613" s="606"/>
    </row>
    <row r="8614" customFormat="false" ht="15" hidden="false" customHeight="false" outlineLevel="0" collapsed="false">
      <c r="A8614" s="571"/>
      <c r="B8614" s="500"/>
      <c r="C8614" s="614" t="s">
        <v>4122</v>
      </c>
      <c r="D8614" s="606" t="s">
        <v>4359</v>
      </c>
      <c r="E8614" s="606" t="n">
        <v>0.018</v>
      </c>
      <c r="F8614" s="361" t="n">
        <v>720</v>
      </c>
      <c r="G8614" s="926" t="n">
        <f aca="false">E8614*F8614</f>
        <v>12.96</v>
      </c>
      <c r="H8614" s="606"/>
    </row>
    <row r="8615" customFormat="false" ht="15" hidden="false" customHeight="false" outlineLevel="0" collapsed="false">
      <c r="A8615" s="571"/>
      <c r="B8615" s="608" t="s">
        <v>4128</v>
      </c>
      <c r="C8615" s="609"/>
      <c r="D8615" s="610"/>
      <c r="E8615" s="610"/>
      <c r="F8615" s="612"/>
      <c r="G8615" s="613" t="n">
        <f aca="false">SUM(G8611:G8614)</f>
        <v>3077.58</v>
      </c>
      <c r="H8615" s="610"/>
    </row>
    <row r="8616" customFormat="false" ht="45" hidden="false" customHeight="false" outlineLevel="0" collapsed="false">
      <c r="A8616" s="571" t="s">
        <v>5781</v>
      </c>
      <c r="B8616" s="433" t="s">
        <v>3577</v>
      </c>
      <c r="C8616" s="614" t="s">
        <v>5584</v>
      </c>
      <c r="D8616" s="606" t="s">
        <v>4348</v>
      </c>
      <c r="E8616" s="606" t="n">
        <v>3</v>
      </c>
      <c r="F8616" s="361" t="n">
        <v>1000</v>
      </c>
      <c r="G8616" s="926" t="n">
        <f aca="false">E8616*F8616</f>
        <v>3000</v>
      </c>
      <c r="H8616" s="606"/>
    </row>
    <row r="8617" customFormat="false" ht="15" hidden="false" customHeight="false" outlineLevel="0" collapsed="false">
      <c r="B8617" s="500"/>
      <c r="C8617" s="614" t="s">
        <v>4515</v>
      </c>
      <c r="D8617" s="606" t="s">
        <v>4133</v>
      </c>
      <c r="E8617" s="606" t="n">
        <v>0.018</v>
      </c>
      <c r="F8617" s="361" t="n">
        <v>3500</v>
      </c>
      <c r="G8617" s="926" t="n">
        <f aca="false">E8617*F8617</f>
        <v>63</v>
      </c>
      <c r="H8617" s="606"/>
    </row>
    <row r="8618" customFormat="false" ht="15" hidden="false" customHeight="false" outlineLevel="0" collapsed="false">
      <c r="A8618" s="571"/>
      <c r="B8618" s="500"/>
      <c r="C8618" s="614" t="s">
        <v>4124</v>
      </c>
      <c r="D8618" s="606" t="s">
        <v>4125</v>
      </c>
      <c r="E8618" s="606" t="n">
        <v>0.027</v>
      </c>
      <c r="F8618" s="361" t="n">
        <v>60</v>
      </c>
      <c r="G8618" s="926" t="n">
        <f aca="false">E8618*F8618</f>
        <v>1.62</v>
      </c>
      <c r="H8618" s="606"/>
    </row>
    <row r="8619" customFormat="false" ht="15" hidden="false" customHeight="false" outlineLevel="0" collapsed="false">
      <c r="A8619" s="571"/>
      <c r="B8619" s="500"/>
      <c r="C8619" s="614" t="s">
        <v>4122</v>
      </c>
      <c r="D8619" s="606" t="s">
        <v>4359</v>
      </c>
      <c r="E8619" s="606" t="n">
        <v>0.21</v>
      </c>
      <c r="F8619" s="361" t="n">
        <v>720</v>
      </c>
      <c r="G8619" s="926" t="n">
        <f aca="false">E8619*F8619</f>
        <v>151.2</v>
      </c>
      <c r="H8619" s="606"/>
    </row>
    <row r="8620" customFormat="false" ht="15" hidden="false" customHeight="false" outlineLevel="0" collapsed="false">
      <c r="A8620" s="571"/>
      <c r="B8620" s="608" t="s">
        <v>4128</v>
      </c>
      <c r="C8620" s="609"/>
      <c r="D8620" s="610"/>
      <c r="E8620" s="610"/>
      <c r="F8620" s="612"/>
      <c r="G8620" s="613" t="n">
        <f aca="false">SUM(G8616:G8619)</f>
        <v>3215.82</v>
      </c>
      <c r="H8620" s="610"/>
    </row>
    <row r="8621" customFormat="false" ht="45" hidden="false" customHeight="false" outlineLevel="0" collapsed="false">
      <c r="A8621" s="571" t="s">
        <v>5782</v>
      </c>
      <c r="B8621" s="433" t="s">
        <v>3578</v>
      </c>
      <c r="C8621" s="614" t="s">
        <v>5584</v>
      </c>
      <c r="D8621" s="606" t="s">
        <v>4348</v>
      </c>
      <c r="E8621" s="606" t="n">
        <v>3</v>
      </c>
      <c r="F8621" s="361" t="n">
        <v>1000</v>
      </c>
      <c r="G8621" s="926" t="n">
        <f aca="false">E8621*F8621</f>
        <v>3000</v>
      </c>
      <c r="H8621" s="606"/>
    </row>
    <row r="8622" customFormat="false" ht="15" hidden="false" customHeight="false" outlineLevel="0" collapsed="false">
      <c r="B8622" s="500"/>
      <c r="C8622" s="614" t="s">
        <v>4515</v>
      </c>
      <c r="D8622" s="606" t="s">
        <v>4133</v>
      </c>
      <c r="E8622" s="606" t="n">
        <v>0.018</v>
      </c>
      <c r="F8622" s="361" t="n">
        <v>3500</v>
      </c>
      <c r="G8622" s="926" t="n">
        <f aca="false">E8622*F8622</f>
        <v>63</v>
      </c>
      <c r="H8622" s="606"/>
    </row>
    <row r="8623" customFormat="false" ht="15" hidden="false" customHeight="false" outlineLevel="0" collapsed="false">
      <c r="A8623" s="571"/>
      <c r="B8623" s="500"/>
      <c r="C8623" s="614" t="s">
        <v>4124</v>
      </c>
      <c r="D8623" s="606" t="s">
        <v>4125</v>
      </c>
      <c r="E8623" s="606" t="n">
        <v>0.027</v>
      </c>
      <c r="F8623" s="361" t="n">
        <v>60</v>
      </c>
      <c r="G8623" s="926" t="n">
        <f aca="false">E8623*F8623</f>
        <v>1.62</v>
      </c>
      <c r="H8623" s="606"/>
    </row>
    <row r="8624" customFormat="false" ht="15" hidden="false" customHeight="false" outlineLevel="0" collapsed="false">
      <c r="A8624" s="571"/>
      <c r="B8624" s="608" t="s">
        <v>4128</v>
      </c>
      <c r="C8624" s="609"/>
      <c r="D8624" s="610"/>
      <c r="E8624" s="610"/>
      <c r="F8624" s="612"/>
      <c r="G8624" s="613" t="n">
        <f aca="false">SUM(G8621:G8623)</f>
        <v>3064.62</v>
      </c>
      <c r="H8624" s="610"/>
    </row>
    <row r="8625" customFormat="false" ht="45" hidden="false" customHeight="false" outlineLevel="0" collapsed="false">
      <c r="A8625" s="571" t="s">
        <v>5783</v>
      </c>
      <c r="B8625" s="433" t="s">
        <v>5675</v>
      </c>
      <c r="C8625" s="614" t="s">
        <v>5584</v>
      </c>
      <c r="D8625" s="606" t="s">
        <v>4348</v>
      </c>
      <c r="E8625" s="606" t="n">
        <v>3</v>
      </c>
      <c r="F8625" s="361" t="n">
        <v>1000</v>
      </c>
      <c r="G8625" s="926" t="n">
        <f aca="false">E8625*F8625</f>
        <v>3000</v>
      </c>
      <c r="H8625" s="606"/>
    </row>
    <row r="8626" customFormat="false" ht="15" hidden="false" customHeight="false" outlineLevel="0" collapsed="false">
      <c r="B8626" s="500"/>
      <c r="C8626" s="614" t="s">
        <v>4124</v>
      </c>
      <c r="D8626" s="606" t="s">
        <v>4125</v>
      </c>
      <c r="E8626" s="606" t="n">
        <v>0.027</v>
      </c>
      <c r="F8626" s="361" t="n">
        <v>60</v>
      </c>
      <c r="G8626" s="926" t="n">
        <f aca="false">E8626*F8626</f>
        <v>1.62</v>
      </c>
      <c r="H8626" s="606"/>
    </row>
    <row r="8627" customFormat="false" ht="15" hidden="false" customHeight="false" outlineLevel="0" collapsed="false">
      <c r="A8627" s="571"/>
      <c r="B8627" s="608" t="s">
        <v>4128</v>
      </c>
      <c r="C8627" s="609"/>
      <c r="D8627" s="610"/>
      <c r="E8627" s="610"/>
      <c r="F8627" s="612"/>
      <c r="G8627" s="613" t="n">
        <f aca="false">SUM(G8625:G8626)</f>
        <v>3001.62</v>
      </c>
      <c r="H8627" s="610"/>
    </row>
    <row r="8628" customFormat="false" ht="30" hidden="false" customHeight="false" outlineLevel="0" collapsed="false">
      <c r="A8628" s="571" t="s">
        <v>5784</v>
      </c>
      <c r="B8628" s="433" t="s">
        <v>3579</v>
      </c>
      <c r="C8628" s="614" t="s">
        <v>5584</v>
      </c>
      <c r="D8628" s="606" t="s">
        <v>4348</v>
      </c>
      <c r="E8628" s="606" t="n">
        <v>10</v>
      </c>
      <c r="F8628" s="361" t="n">
        <v>1000</v>
      </c>
      <c r="G8628" s="926" t="n">
        <f aca="false">E8628*F8628</f>
        <v>10000</v>
      </c>
      <c r="H8628" s="606"/>
    </row>
    <row r="8629" customFormat="false" ht="15" hidden="false" customHeight="false" outlineLevel="0" collapsed="false">
      <c r="B8629" s="500"/>
      <c r="C8629" s="614" t="s">
        <v>4515</v>
      </c>
      <c r="D8629" s="606" t="s">
        <v>4133</v>
      </c>
      <c r="E8629" s="606" t="n">
        <v>0.018</v>
      </c>
      <c r="F8629" s="361" t="n">
        <v>3500</v>
      </c>
      <c r="G8629" s="926" t="n">
        <f aca="false">E8629*F8629</f>
        <v>63</v>
      </c>
      <c r="H8629" s="606"/>
    </row>
    <row r="8630" customFormat="false" ht="15" hidden="false" customHeight="false" outlineLevel="0" collapsed="false">
      <c r="A8630" s="571"/>
      <c r="B8630" s="500"/>
      <c r="C8630" s="614" t="s">
        <v>4124</v>
      </c>
      <c r="D8630" s="606" t="s">
        <v>4125</v>
      </c>
      <c r="E8630" s="606" t="n">
        <v>0.027</v>
      </c>
      <c r="F8630" s="361" t="n">
        <v>60</v>
      </c>
      <c r="G8630" s="926" t="n">
        <f aca="false">E8630*F8630</f>
        <v>1.62</v>
      </c>
      <c r="H8630" s="606"/>
    </row>
    <row r="8631" customFormat="false" ht="15" hidden="false" customHeight="false" outlineLevel="0" collapsed="false">
      <c r="A8631" s="571"/>
      <c r="B8631" s="608" t="s">
        <v>4128</v>
      </c>
      <c r="C8631" s="609"/>
      <c r="D8631" s="610"/>
      <c r="E8631" s="610"/>
      <c r="F8631" s="612"/>
      <c r="G8631" s="613" t="n">
        <f aca="false">SUM(G8628:G8630)</f>
        <v>10064.62</v>
      </c>
      <c r="H8631" s="610"/>
    </row>
    <row r="8632" customFormat="false" ht="15" hidden="false" customHeight="false" outlineLevel="0" collapsed="false">
      <c r="A8632" s="571" t="s">
        <v>5785</v>
      </c>
      <c r="B8632" s="500" t="s">
        <v>3488</v>
      </c>
      <c r="C8632" s="614" t="s">
        <v>5522</v>
      </c>
      <c r="D8632" s="606" t="s">
        <v>5523</v>
      </c>
      <c r="E8632" s="606" t="n">
        <v>1</v>
      </c>
      <c r="F8632" s="361" t="n">
        <v>2700</v>
      </c>
      <c r="G8632" s="926" t="n">
        <f aca="false">E8632*F8632</f>
        <v>2700</v>
      </c>
      <c r="H8632" s="610"/>
    </row>
    <row r="8633" customFormat="false" ht="15" hidden="false" customHeight="false" outlineLevel="0" collapsed="false">
      <c r="A8633" s="571"/>
      <c r="B8633" s="500"/>
      <c r="C8633" s="614" t="s">
        <v>4645</v>
      </c>
      <c r="D8633" s="606" t="s">
        <v>4133</v>
      </c>
      <c r="E8633" s="606" t="n">
        <v>0.004</v>
      </c>
      <c r="F8633" s="361" t="n">
        <v>33320</v>
      </c>
      <c r="G8633" s="926" t="n">
        <f aca="false">E8633*F8633</f>
        <v>133.28</v>
      </c>
      <c r="H8633" s="610"/>
    </row>
    <row r="8634" customFormat="false" ht="15" hidden="false" customHeight="false" outlineLevel="0" collapsed="false">
      <c r="A8634" s="571"/>
      <c r="B8634" s="500"/>
      <c r="C8634" s="614" t="s">
        <v>5524</v>
      </c>
      <c r="D8634" s="606" t="s">
        <v>4133</v>
      </c>
      <c r="E8634" s="606" t="n">
        <v>0.001</v>
      </c>
      <c r="F8634" s="361" t="n">
        <v>3279.36</v>
      </c>
      <c r="G8634" s="926" t="n">
        <f aca="false">E8634*F8634</f>
        <v>3.27936</v>
      </c>
      <c r="H8634" s="610"/>
    </row>
    <row r="8635" customFormat="false" ht="15" hidden="false" customHeight="false" outlineLevel="0" collapsed="false">
      <c r="A8635" s="571"/>
      <c r="B8635" s="500"/>
      <c r="C8635" s="614" t="s">
        <v>5525</v>
      </c>
      <c r="D8635" s="606" t="s">
        <v>4359</v>
      </c>
      <c r="E8635" s="606" t="n">
        <v>1</v>
      </c>
      <c r="F8635" s="361" t="n">
        <v>925</v>
      </c>
      <c r="G8635" s="926" t="n">
        <f aca="false">E8635*F8635</f>
        <v>925</v>
      </c>
      <c r="H8635" s="610"/>
    </row>
    <row r="8636" customFormat="false" ht="15" hidden="false" customHeight="false" outlineLevel="0" collapsed="false">
      <c r="A8636" s="571"/>
      <c r="B8636" s="608" t="s">
        <v>4128</v>
      </c>
      <c r="C8636" s="609"/>
      <c r="D8636" s="610"/>
      <c r="E8636" s="610"/>
      <c r="F8636" s="612"/>
      <c r="G8636" s="613" t="n">
        <f aca="false">SUM(G8632:G8635)</f>
        <v>3761.55936</v>
      </c>
      <c r="H8636" s="610"/>
    </row>
    <row r="8637" customFormat="false" ht="15" hidden="false" customHeight="false" outlineLevel="0" collapsed="false">
      <c r="A8637" s="350" t="s">
        <v>1682</v>
      </c>
      <c r="B8637" s="467" t="s">
        <v>3580</v>
      </c>
      <c r="C8637" s="751"/>
      <c r="D8637" s="339"/>
      <c r="E8637" s="790"/>
      <c r="F8637" s="519"/>
      <c r="G8637" s="753"/>
      <c r="H8637" s="790"/>
    </row>
    <row r="8638" customFormat="false" ht="45" hidden="false" customHeight="false" outlineLevel="0" collapsed="false">
      <c r="A8638" s="578" t="s">
        <v>5786</v>
      </c>
      <c r="B8638" s="433" t="s">
        <v>3581</v>
      </c>
      <c r="C8638" s="819" t="s">
        <v>5669</v>
      </c>
      <c r="D8638" s="702" t="s">
        <v>4348</v>
      </c>
      <c r="E8638" s="702" t="n">
        <v>1</v>
      </c>
      <c r="F8638" s="361" t="n">
        <v>4624</v>
      </c>
      <c r="G8638" s="926" t="n">
        <f aca="false">E8638*F8638</f>
        <v>4624</v>
      </c>
      <c r="H8638" s="606"/>
    </row>
    <row r="8639" customFormat="false" ht="15" hidden="false" customHeight="false" outlineLevel="0" collapsed="false">
      <c r="A8639" s="571"/>
      <c r="B8639" s="500"/>
      <c r="C8639" s="819" t="s">
        <v>4122</v>
      </c>
      <c r="D8639" s="606" t="s">
        <v>4359</v>
      </c>
      <c r="E8639" s="702" t="n">
        <v>1.8E-005</v>
      </c>
      <c r="F8639" s="361" t="n">
        <v>720</v>
      </c>
      <c r="G8639" s="926" t="n">
        <f aca="false">E8639*F8639</f>
        <v>0.01296</v>
      </c>
      <c r="H8639" s="606"/>
    </row>
    <row r="8640" customFormat="false" ht="15" hidden="false" customHeight="false" outlineLevel="0" collapsed="false">
      <c r="A8640" s="571"/>
      <c r="B8640" s="500"/>
      <c r="C8640" s="819" t="s">
        <v>4515</v>
      </c>
      <c r="D8640" s="606" t="s">
        <v>4133</v>
      </c>
      <c r="E8640" s="606" t="n">
        <v>0.018</v>
      </c>
      <c r="F8640" s="361" t="n">
        <v>3500</v>
      </c>
      <c r="G8640" s="926" t="n">
        <f aca="false">E8640*F8640</f>
        <v>63</v>
      </c>
      <c r="H8640" s="606"/>
    </row>
    <row r="8641" customFormat="false" ht="15" hidden="false" customHeight="false" outlineLevel="0" collapsed="false">
      <c r="A8641" s="571"/>
      <c r="B8641" s="500"/>
      <c r="C8641" s="819" t="s">
        <v>4124</v>
      </c>
      <c r="D8641" s="702" t="s">
        <v>4125</v>
      </c>
      <c r="E8641" s="606" t="n">
        <v>0.027</v>
      </c>
      <c r="F8641" s="361" t="n">
        <v>60</v>
      </c>
      <c r="G8641" s="926" t="n">
        <f aca="false">E8641*F8641</f>
        <v>1.62</v>
      </c>
      <c r="H8641" s="606"/>
    </row>
    <row r="8642" customFormat="false" ht="15" hidden="false" customHeight="false" outlineLevel="0" collapsed="false">
      <c r="A8642" s="571"/>
      <c r="B8642" s="608" t="s">
        <v>4128</v>
      </c>
      <c r="C8642" s="934"/>
      <c r="D8642" s="935"/>
      <c r="E8642" s="935"/>
      <c r="F8642" s="612"/>
      <c r="G8642" s="613" t="n">
        <f aca="false">SUM(G8638:G8641)</f>
        <v>4688.63296</v>
      </c>
      <c r="H8642" s="610"/>
    </row>
    <row r="8643" customFormat="false" ht="45" hidden="false" customHeight="false" outlineLevel="0" collapsed="false">
      <c r="A8643" s="571" t="s">
        <v>5787</v>
      </c>
      <c r="B8643" s="433" t="s">
        <v>3582</v>
      </c>
      <c r="C8643" s="819" t="s">
        <v>5584</v>
      </c>
      <c r="D8643" s="702" t="s">
        <v>4348</v>
      </c>
      <c r="E8643" s="702" t="n">
        <v>3</v>
      </c>
      <c r="F8643" s="361" t="n">
        <v>1000</v>
      </c>
      <c r="G8643" s="926" t="n">
        <f aca="false">E8643*F8643</f>
        <v>3000</v>
      </c>
      <c r="H8643" s="606"/>
    </row>
    <row r="8644" customFormat="false" ht="15" hidden="false" customHeight="false" outlineLevel="0" collapsed="false">
      <c r="B8644" s="500"/>
      <c r="C8644" s="819" t="s">
        <v>4122</v>
      </c>
      <c r="D8644" s="606" t="s">
        <v>4359</v>
      </c>
      <c r="E8644" s="702" t="n">
        <v>3E-005</v>
      </c>
      <c r="F8644" s="361" t="n">
        <v>720</v>
      </c>
      <c r="G8644" s="926" t="n">
        <f aca="false">E8644*F8644</f>
        <v>0.0216</v>
      </c>
      <c r="H8644" s="606"/>
    </row>
    <row r="8645" customFormat="false" ht="15" hidden="false" customHeight="false" outlineLevel="0" collapsed="false">
      <c r="A8645" s="571"/>
      <c r="B8645" s="500"/>
      <c r="C8645" s="819" t="s">
        <v>4515</v>
      </c>
      <c r="D8645" s="606" t="s">
        <v>4133</v>
      </c>
      <c r="E8645" s="606" t="n">
        <v>0.018</v>
      </c>
      <c r="F8645" s="361" t="n">
        <v>3500</v>
      </c>
      <c r="G8645" s="926" t="n">
        <f aca="false">E8645*F8645</f>
        <v>63</v>
      </c>
      <c r="H8645" s="606"/>
    </row>
    <row r="8646" customFormat="false" ht="15" hidden="false" customHeight="false" outlineLevel="0" collapsed="false">
      <c r="A8646" s="571"/>
      <c r="B8646" s="608" t="s">
        <v>4128</v>
      </c>
      <c r="C8646" s="934"/>
      <c r="D8646" s="935"/>
      <c r="E8646" s="935"/>
      <c r="F8646" s="612"/>
      <c r="G8646" s="613" t="n">
        <f aca="false">SUM(G8643:G8645)</f>
        <v>3063.0216</v>
      </c>
      <c r="H8646" s="606"/>
    </row>
    <row r="8647" customFormat="false" ht="28.5" hidden="false" customHeight="false" outlineLevel="0" collapsed="false">
      <c r="A8647" s="343" t="s">
        <v>1688</v>
      </c>
      <c r="B8647" s="318" t="s">
        <v>3583</v>
      </c>
      <c r="C8647" s="318"/>
      <c r="D8647" s="918"/>
      <c r="E8647" s="943"/>
      <c r="F8647" s="943"/>
      <c r="G8647" s="944"/>
      <c r="H8647" s="943"/>
    </row>
    <row r="8648" customFormat="false" ht="42.75" hidden="false" customHeight="false" outlineLevel="0" collapsed="false">
      <c r="A8648" s="350" t="s">
        <v>1690</v>
      </c>
      <c r="B8648" s="346" t="s">
        <v>3584</v>
      </c>
      <c r="C8648" s="346"/>
      <c r="D8648" s="790"/>
      <c r="E8648" s="945"/>
      <c r="F8648" s="945"/>
      <c r="G8648" s="818"/>
      <c r="H8648" s="945"/>
    </row>
    <row r="8649" customFormat="false" ht="15" hidden="false" customHeight="false" outlineLevel="0" collapsed="false">
      <c r="A8649" s="327" t="s">
        <v>1692</v>
      </c>
      <c r="B8649" s="433" t="s">
        <v>3585</v>
      </c>
      <c r="C8649" s="433" t="s">
        <v>4509</v>
      </c>
      <c r="D8649" s="606" t="s">
        <v>4348</v>
      </c>
      <c r="E8649" s="702"/>
      <c r="F8649" s="633" t="s">
        <v>4126</v>
      </c>
      <c r="G8649" s="633" t="s">
        <v>4127</v>
      </c>
      <c r="H8649" s="633" t="n">
        <v>0.02</v>
      </c>
    </row>
    <row r="8650" customFormat="false" ht="15" hidden="false" customHeight="false" outlineLevel="0" collapsed="false">
      <c r="B8650" s="608" t="s">
        <v>4128</v>
      </c>
      <c r="C8650" s="888"/>
      <c r="D8650" s="610"/>
      <c r="E8650" s="935"/>
      <c r="F8650" s="946"/>
      <c r="G8650" s="947" t="n">
        <f aca="false">SUM(G8649:G8649)</f>
        <v>0</v>
      </c>
      <c r="H8650" s="593"/>
    </row>
    <row r="8651" customFormat="false" ht="15" hidden="false" customHeight="false" outlineLevel="0" collapsed="false">
      <c r="A8651" s="327" t="s">
        <v>1694</v>
      </c>
      <c r="B8651" s="433" t="s">
        <v>3586</v>
      </c>
      <c r="C8651" s="433" t="s">
        <v>5030</v>
      </c>
      <c r="D8651" s="606" t="s">
        <v>4359</v>
      </c>
      <c r="E8651" s="702" t="n">
        <v>0.05</v>
      </c>
      <c r="F8651" s="698" t="n">
        <v>720</v>
      </c>
      <c r="G8651" s="948" t="n">
        <f aca="false">F8651*E8651</f>
        <v>36</v>
      </c>
      <c r="H8651" s="593"/>
    </row>
    <row r="8652" customFormat="false" ht="15" hidden="false" customHeight="false" outlineLevel="0" collapsed="false">
      <c r="A8652" s="327"/>
      <c r="B8652" s="500"/>
      <c r="C8652" s="433" t="s">
        <v>4515</v>
      </c>
      <c r="D8652" s="606" t="s">
        <v>4133</v>
      </c>
      <c r="E8652" s="702" t="n">
        <v>0.04</v>
      </c>
      <c r="F8652" s="698" t="n">
        <v>1079</v>
      </c>
      <c r="G8652" s="948" t="n">
        <f aca="false">F8652*E8652</f>
        <v>43.16</v>
      </c>
      <c r="H8652" s="593"/>
    </row>
    <row r="8653" customFormat="false" ht="15" hidden="false" customHeight="false" outlineLevel="0" collapsed="false">
      <c r="A8653" s="571"/>
      <c r="B8653" s="500"/>
      <c r="C8653" s="433" t="s">
        <v>4347</v>
      </c>
      <c r="D8653" s="606" t="s">
        <v>5788</v>
      </c>
      <c r="E8653" s="702" t="n">
        <v>1</v>
      </c>
      <c r="F8653" s="698" t="n">
        <v>142</v>
      </c>
      <c r="G8653" s="948" t="n">
        <f aca="false">F8653*E8653</f>
        <v>142</v>
      </c>
      <c r="H8653" s="593"/>
    </row>
    <row r="8654" customFormat="false" ht="15" hidden="false" customHeight="false" outlineLevel="0" collapsed="false">
      <c r="A8654" s="571"/>
      <c r="B8654" s="500"/>
      <c r="C8654" s="433" t="s">
        <v>4509</v>
      </c>
      <c r="D8654" s="606" t="s">
        <v>4348</v>
      </c>
      <c r="E8654" s="702" t="n">
        <v>1</v>
      </c>
      <c r="F8654" s="698" t="n">
        <v>106</v>
      </c>
      <c r="G8654" s="948" t="n">
        <f aca="false">F8654*E8654</f>
        <v>106</v>
      </c>
      <c r="H8654" s="593"/>
    </row>
    <row r="8655" customFormat="false" ht="30" hidden="false" customHeight="false" outlineLevel="0" collapsed="false">
      <c r="A8655" s="571"/>
      <c r="B8655" s="500"/>
      <c r="C8655" s="433" t="s">
        <v>5789</v>
      </c>
      <c r="D8655" s="606" t="s">
        <v>4348</v>
      </c>
      <c r="E8655" s="702" t="n">
        <v>1</v>
      </c>
      <c r="F8655" s="698" t="n">
        <v>555</v>
      </c>
      <c r="G8655" s="948" t="n">
        <f aca="false">F8655*E8655</f>
        <v>555</v>
      </c>
      <c r="H8655" s="593"/>
    </row>
    <row r="8656" customFormat="false" ht="15" hidden="false" customHeight="false" outlineLevel="0" collapsed="false">
      <c r="A8656" s="571"/>
      <c r="B8656" s="608" t="s">
        <v>4128</v>
      </c>
      <c r="C8656" s="888"/>
      <c r="D8656" s="610"/>
      <c r="E8656" s="935"/>
      <c r="F8656" s="946"/>
      <c r="G8656" s="947" t="n">
        <f aca="false">SUM(G8651:G8655)</f>
        <v>882.16</v>
      </c>
      <c r="H8656" s="618"/>
    </row>
    <row r="8657" customFormat="false" ht="57" hidden="false" customHeight="false" outlineLevel="0" collapsed="false">
      <c r="A8657" s="350" t="s">
        <v>1696</v>
      </c>
      <c r="B8657" s="509" t="s">
        <v>3587</v>
      </c>
      <c r="C8657" s="510"/>
      <c r="D8657" s="350"/>
      <c r="E8657" s="945"/>
      <c r="F8657" s="949"/>
      <c r="G8657" s="950"/>
      <c r="H8657" s="510"/>
    </row>
    <row r="8658" customFormat="false" ht="30" hidden="false" customHeight="false" outlineLevel="0" collapsed="false">
      <c r="A8658" s="327" t="s">
        <v>1698</v>
      </c>
      <c r="B8658" s="433" t="s">
        <v>3588</v>
      </c>
      <c r="C8658" s="614" t="s">
        <v>5030</v>
      </c>
      <c r="D8658" s="606" t="s">
        <v>4359</v>
      </c>
      <c r="E8658" s="702" t="n">
        <v>0.05</v>
      </c>
      <c r="F8658" s="698" t="n">
        <v>720</v>
      </c>
      <c r="G8658" s="948" t="n">
        <f aca="false">F8658*E8658</f>
        <v>36</v>
      </c>
      <c r="H8658" s="593"/>
    </row>
    <row r="8659" customFormat="false" ht="15" hidden="false" customHeight="false" outlineLevel="0" collapsed="false">
      <c r="A8659" s="571"/>
      <c r="B8659" s="433"/>
      <c r="C8659" s="614" t="s">
        <v>4347</v>
      </c>
      <c r="D8659" s="606" t="s">
        <v>5788</v>
      </c>
      <c r="E8659" s="702" t="n">
        <v>1</v>
      </c>
      <c r="F8659" s="698" t="n">
        <v>142</v>
      </c>
      <c r="G8659" s="948" t="n">
        <f aca="false">F8659*E8659</f>
        <v>142</v>
      </c>
      <c r="H8659" s="593"/>
    </row>
    <row r="8660" customFormat="false" ht="15" hidden="false" customHeight="false" outlineLevel="0" collapsed="false">
      <c r="A8660" s="571"/>
      <c r="B8660" s="433"/>
      <c r="C8660" s="614" t="s">
        <v>4509</v>
      </c>
      <c r="D8660" s="606" t="s">
        <v>4348</v>
      </c>
      <c r="E8660" s="702" t="n">
        <v>1</v>
      </c>
      <c r="F8660" s="698" t="n">
        <v>106</v>
      </c>
      <c r="G8660" s="948" t="n">
        <f aca="false">F8660*E8660</f>
        <v>106</v>
      </c>
      <c r="H8660" s="593"/>
    </row>
    <row r="8661" customFormat="false" ht="15" hidden="false" customHeight="false" outlineLevel="0" collapsed="false">
      <c r="A8661" s="571"/>
      <c r="B8661" s="433"/>
      <c r="C8661" s="614" t="s">
        <v>4515</v>
      </c>
      <c r="D8661" s="606" t="s">
        <v>4133</v>
      </c>
      <c r="E8661" s="705" t="n">
        <v>0.005</v>
      </c>
      <c r="F8661" s="698" t="n">
        <v>1079</v>
      </c>
      <c r="G8661" s="948" t="n">
        <f aca="false">F8661*E8661</f>
        <v>5.395</v>
      </c>
      <c r="H8661" s="593"/>
    </row>
    <row r="8662" customFormat="false" ht="15" hidden="false" customHeight="false" outlineLevel="0" collapsed="false">
      <c r="A8662" s="571"/>
      <c r="B8662" s="608" t="s">
        <v>4128</v>
      </c>
      <c r="C8662" s="609"/>
      <c r="D8662" s="610"/>
      <c r="E8662" s="935"/>
      <c r="F8662" s="946"/>
      <c r="G8662" s="947" t="n">
        <f aca="false">SUM(G8658:G8661)</f>
        <v>289.395</v>
      </c>
      <c r="H8662" s="618"/>
    </row>
    <row r="8663" customFormat="false" ht="60" hidden="false" customHeight="false" outlineLevel="0" collapsed="false">
      <c r="A8663" s="571" t="s">
        <v>1700</v>
      </c>
      <c r="B8663" s="433" t="s">
        <v>3589</v>
      </c>
      <c r="C8663" s="614" t="s">
        <v>5030</v>
      </c>
      <c r="D8663" s="606" t="s">
        <v>4359</v>
      </c>
      <c r="E8663" s="702" t="n">
        <v>0.05</v>
      </c>
      <c r="F8663" s="698" t="n">
        <v>720</v>
      </c>
      <c r="G8663" s="948" t="n">
        <f aca="false">F8663*E8663</f>
        <v>36</v>
      </c>
      <c r="H8663" s="593"/>
    </row>
    <row r="8664" customFormat="false" ht="15" hidden="false" customHeight="false" outlineLevel="0" collapsed="false">
      <c r="A8664" s="327"/>
      <c r="B8664" s="433"/>
      <c r="C8664" s="614" t="s">
        <v>4347</v>
      </c>
      <c r="D8664" s="606" t="s">
        <v>5788</v>
      </c>
      <c r="E8664" s="702" t="n">
        <v>1</v>
      </c>
      <c r="F8664" s="698" t="n">
        <v>142</v>
      </c>
      <c r="G8664" s="948" t="n">
        <f aca="false">F8664*E8664</f>
        <v>142</v>
      </c>
      <c r="H8664" s="593"/>
    </row>
    <row r="8665" customFormat="false" ht="15" hidden="false" customHeight="false" outlineLevel="0" collapsed="false">
      <c r="A8665" s="571"/>
      <c r="B8665" s="433"/>
      <c r="C8665" s="614" t="s">
        <v>4509</v>
      </c>
      <c r="D8665" s="606" t="s">
        <v>4348</v>
      </c>
      <c r="E8665" s="702" t="n">
        <v>1</v>
      </c>
      <c r="F8665" s="698" t="n">
        <v>106</v>
      </c>
      <c r="G8665" s="948" t="n">
        <f aca="false">F8665*E8665</f>
        <v>106</v>
      </c>
      <c r="H8665" s="593"/>
    </row>
    <row r="8666" customFormat="false" ht="15" hidden="false" customHeight="false" outlineLevel="0" collapsed="false">
      <c r="A8666" s="571"/>
      <c r="B8666" s="500"/>
      <c r="C8666" s="614" t="s">
        <v>4515</v>
      </c>
      <c r="D8666" s="606" t="s">
        <v>4133</v>
      </c>
      <c r="E8666" s="705" t="n">
        <v>0.005</v>
      </c>
      <c r="F8666" s="698" t="n">
        <v>1079</v>
      </c>
      <c r="G8666" s="948" t="n">
        <f aca="false">F8666*E8666</f>
        <v>5.395</v>
      </c>
      <c r="H8666" s="593"/>
    </row>
    <row r="8667" customFormat="false" ht="15" hidden="false" customHeight="false" outlineLevel="0" collapsed="false">
      <c r="A8667" s="571"/>
      <c r="B8667" s="608" t="s">
        <v>4128</v>
      </c>
      <c r="C8667" s="609"/>
      <c r="D8667" s="610"/>
      <c r="E8667" s="935"/>
      <c r="F8667" s="946"/>
      <c r="G8667" s="947" t="n">
        <f aca="false">SUM(G8663:G8666)</f>
        <v>289.395</v>
      </c>
      <c r="H8667" s="593"/>
    </row>
    <row r="8668" customFormat="false" ht="28.5" hidden="false" customHeight="false" outlineLevel="0" collapsed="false">
      <c r="A8668" s="351" t="s">
        <v>1702</v>
      </c>
      <c r="B8668" s="510" t="s">
        <v>3590</v>
      </c>
      <c r="C8668" s="510"/>
      <c r="D8668" s="350"/>
      <c r="E8668" s="945"/>
      <c r="F8668" s="949"/>
      <c r="G8668" s="950"/>
      <c r="H8668" s="510"/>
    </row>
    <row r="8669" customFormat="false" ht="30" hidden="false" customHeight="false" outlineLevel="0" collapsed="false">
      <c r="A8669" s="571" t="s">
        <v>1704</v>
      </c>
      <c r="B8669" s="433" t="s">
        <v>3591</v>
      </c>
      <c r="C8669" s="614" t="s">
        <v>5030</v>
      </c>
      <c r="D8669" s="606" t="s">
        <v>4359</v>
      </c>
      <c r="E8669" s="702" t="n">
        <v>0.03</v>
      </c>
      <c r="F8669" s="698" t="n">
        <v>720</v>
      </c>
      <c r="G8669" s="948" t="n">
        <f aca="false">F8669*E8669</f>
        <v>21.6</v>
      </c>
      <c r="H8669" s="593"/>
    </row>
    <row r="8670" customFormat="false" ht="15" hidden="false" customHeight="false" outlineLevel="0" collapsed="false">
      <c r="A8670" s="571"/>
      <c r="B8670" s="500"/>
      <c r="C8670" s="614" t="s">
        <v>4515</v>
      </c>
      <c r="D8670" s="606" t="s">
        <v>4133</v>
      </c>
      <c r="E8670" s="705" t="n">
        <v>0.003</v>
      </c>
      <c r="F8670" s="698" t="n">
        <v>1079</v>
      </c>
      <c r="G8670" s="948" t="n">
        <f aca="false">F8670*E8670</f>
        <v>3.237</v>
      </c>
      <c r="H8670" s="593"/>
    </row>
    <row r="8671" customFormat="false" ht="15" hidden="false" customHeight="false" outlineLevel="0" collapsed="false">
      <c r="A8671" s="571"/>
      <c r="B8671" s="500"/>
      <c r="C8671" s="614" t="s">
        <v>4347</v>
      </c>
      <c r="D8671" s="606" t="s">
        <v>5788</v>
      </c>
      <c r="E8671" s="702" t="n">
        <v>1</v>
      </c>
      <c r="F8671" s="698" t="n">
        <v>142</v>
      </c>
      <c r="G8671" s="948" t="n">
        <f aca="false">F8671*E8671</f>
        <v>142</v>
      </c>
      <c r="H8671" s="593"/>
    </row>
    <row r="8672" customFormat="false" ht="15" hidden="false" customHeight="false" outlineLevel="0" collapsed="false">
      <c r="A8672" s="571"/>
      <c r="B8672" s="500"/>
      <c r="C8672" s="614" t="s">
        <v>4509</v>
      </c>
      <c r="D8672" s="606" t="s">
        <v>4348</v>
      </c>
      <c r="E8672" s="702" t="n">
        <v>1</v>
      </c>
      <c r="F8672" s="698" t="n">
        <v>106</v>
      </c>
      <c r="G8672" s="948" t="n">
        <f aca="false">F8672*E8672</f>
        <v>106</v>
      </c>
      <c r="H8672" s="593"/>
    </row>
    <row r="8673" customFormat="false" ht="30" hidden="false" customHeight="false" outlineLevel="0" collapsed="false">
      <c r="A8673" s="571"/>
      <c r="B8673" s="500"/>
      <c r="C8673" s="614" t="s">
        <v>5789</v>
      </c>
      <c r="D8673" s="606" t="s">
        <v>5342</v>
      </c>
      <c r="E8673" s="702" t="n">
        <v>1</v>
      </c>
      <c r="F8673" s="698" t="n">
        <v>555</v>
      </c>
      <c r="G8673" s="948" t="n">
        <f aca="false">F8673*E8673/100</f>
        <v>5.55</v>
      </c>
      <c r="H8673" s="593"/>
    </row>
    <row r="8674" customFormat="false" ht="15" hidden="false" customHeight="false" outlineLevel="0" collapsed="false">
      <c r="A8674" s="571"/>
      <c r="B8674" s="608" t="s">
        <v>4128</v>
      </c>
      <c r="C8674" s="614"/>
      <c r="D8674" s="606"/>
      <c r="E8674" s="702"/>
      <c r="F8674" s="698"/>
      <c r="G8674" s="947" t="n">
        <f aca="false">SUM(G8669:G8673)</f>
        <v>278.387</v>
      </c>
      <c r="H8674" s="593"/>
    </row>
    <row r="8675" customFormat="false" ht="15" hidden="false" customHeight="false" outlineLevel="0" collapsed="false">
      <c r="A8675" s="578" t="s">
        <v>1706</v>
      </c>
      <c r="B8675" s="433" t="s">
        <v>3592</v>
      </c>
      <c r="C8675" s="614" t="s">
        <v>5030</v>
      </c>
      <c r="D8675" s="606" t="s">
        <v>4359</v>
      </c>
      <c r="E8675" s="702" t="n">
        <v>0.02</v>
      </c>
      <c r="F8675" s="698" t="n">
        <v>720</v>
      </c>
      <c r="G8675" s="948" t="n">
        <f aca="false">F8675*E8675</f>
        <v>14.4</v>
      </c>
      <c r="H8675" s="593"/>
    </row>
    <row r="8676" customFormat="false" ht="15" hidden="false" customHeight="false" outlineLevel="0" collapsed="false">
      <c r="A8676" s="571"/>
      <c r="B8676" s="433"/>
      <c r="C8676" s="614" t="s">
        <v>4515</v>
      </c>
      <c r="D8676" s="606" t="s">
        <v>4133</v>
      </c>
      <c r="E8676" s="705" t="n">
        <v>0.003</v>
      </c>
      <c r="F8676" s="698" t="n">
        <v>1079</v>
      </c>
      <c r="G8676" s="948" t="n">
        <f aca="false">F8676*E8676</f>
        <v>3.237</v>
      </c>
      <c r="H8676" s="593"/>
    </row>
    <row r="8677" customFormat="false" ht="15" hidden="false" customHeight="false" outlineLevel="0" collapsed="false">
      <c r="A8677" s="571"/>
      <c r="B8677" s="433"/>
      <c r="C8677" s="614" t="s">
        <v>4124</v>
      </c>
      <c r="D8677" s="606" t="s">
        <v>4125</v>
      </c>
      <c r="E8677" s="702" t="n">
        <v>0.03</v>
      </c>
      <c r="F8677" s="698" t="n">
        <v>60</v>
      </c>
      <c r="G8677" s="948" t="n">
        <f aca="false">E8677*F8677</f>
        <v>1.8</v>
      </c>
      <c r="H8677" s="593"/>
    </row>
    <row r="8678" customFormat="false" ht="15" hidden="false" customHeight="false" outlineLevel="0" collapsed="false">
      <c r="A8678" s="571"/>
      <c r="B8678" s="433"/>
      <c r="C8678" s="614" t="s">
        <v>4347</v>
      </c>
      <c r="D8678" s="606" t="s">
        <v>5788</v>
      </c>
      <c r="E8678" s="702" t="n">
        <v>1</v>
      </c>
      <c r="F8678" s="698" t="n">
        <v>142</v>
      </c>
      <c r="G8678" s="948" t="n">
        <f aca="false">E8678*F8678</f>
        <v>142</v>
      </c>
      <c r="H8678" s="593"/>
    </row>
    <row r="8679" customFormat="false" ht="15" hidden="false" customHeight="false" outlineLevel="0" collapsed="false">
      <c r="A8679" s="571"/>
      <c r="B8679" s="433"/>
      <c r="C8679" s="614" t="s">
        <v>4509</v>
      </c>
      <c r="D8679" s="606" t="s">
        <v>4348</v>
      </c>
      <c r="E8679" s="702" t="n">
        <v>2</v>
      </c>
      <c r="F8679" s="698" t="n">
        <v>106</v>
      </c>
      <c r="G8679" s="948" t="n">
        <f aca="false">F8679*E8679</f>
        <v>212</v>
      </c>
      <c r="H8679" s="593"/>
    </row>
    <row r="8680" customFormat="false" ht="15" hidden="false" customHeight="false" outlineLevel="0" collapsed="false">
      <c r="A8680" s="571"/>
      <c r="B8680" s="608" t="s">
        <v>4128</v>
      </c>
      <c r="C8680" s="609"/>
      <c r="D8680" s="610"/>
      <c r="E8680" s="935"/>
      <c r="F8680" s="946"/>
      <c r="G8680" s="947" t="n">
        <f aca="false">SUM(G8675:G8679)</f>
        <v>373.437</v>
      </c>
      <c r="H8680" s="593"/>
    </row>
    <row r="8681" customFormat="false" ht="28.5" hidden="false" customHeight="false" outlineLevel="0" collapsed="false">
      <c r="A8681" s="350" t="s">
        <v>1708</v>
      </c>
      <c r="B8681" s="509" t="s">
        <v>5790</v>
      </c>
      <c r="C8681" s="811"/>
      <c r="D8681" s="790"/>
      <c r="E8681" s="945"/>
      <c r="F8681" s="949"/>
      <c r="G8681" s="950"/>
      <c r="H8681" s="951"/>
    </row>
    <row r="8682" customFormat="false" ht="15" hidden="false" customHeight="false" outlineLevel="0" collapsed="false">
      <c r="A8682" s="571" t="s">
        <v>1710</v>
      </c>
      <c r="B8682" s="433" t="s">
        <v>3592</v>
      </c>
      <c r="C8682" s="614" t="s">
        <v>5030</v>
      </c>
      <c r="D8682" s="606" t="s">
        <v>4359</v>
      </c>
      <c r="E8682" s="702" t="n">
        <v>0.02</v>
      </c>
      <c r="F8682" s="698" t="n">
        <v>720</v>
      </c>
      <c r="G8682" s="948" t="n">
        <f aca="false">F8682*E8682</f>
        <v>14.4</v>
      </c>
      <c r="H8682" s="593"/>
    </row>
    <row r="8683" customFormat="false" ht="15" hidden="false" customHeight="false" outlineLevel="0" collapsed="false">
      <c r="A8683" s="571"/>
      <c r="B8683" s="433"/>
      <c r="C8683" s="614" t="s">
        <v>4515</v>
      </c>
      <c r="D8683" s="606" t="s">
        <v>4133</v>
      </c>
      <c r="E8683" s="705" t="n">
        <v>0.003</v>
      </c>
      <c r="F8683" s="698" t="n">
        <v>1079</v>
      </c>
      <c r="G8683" s="948" t="n">
        <f aca="false">F8683*E8683</f>
        <v>3.237</v>
      </c>
      <c r="H8683" s="593"/>
    </row>
    <row r="8684" customFormat="false" ht="15" hidden="false" customHeight="false" outlineLevel="0" collapsed="false">
      <c r="A8684" s="571"/>
      <c r="B8684" s="433"/>
      <c r="C8684" s="614" t="s">
        <v>4124</v>
      </c>
      <c r="D8684" s="606" t="s">
        <v>4125</v>
      </c>
      <c r="E8684" s="702" t="n">
        <v>0.03</v>
      </c>
      <c r="F8684" s="698" t="n">
        <v>60</v>
      </c>
      <c r="G8684" s="948" t="n">
        <f aca="false">E8684*F8684</f>
        <v>1.8</v>
      </c>
      <c r="H8684" s="593"/>
    </row>
    <row r="8685" customFormat="false" ht="15" hidden="false" customHeight="false" outlineLevel="0" collapsed="false">
      <c r="A8685" s="571"/>
      <c r="B8685" s="433"/>
      <c r="C8685" s="614" t="s">
        <v>4347</v>
      </c>
      <c r="D8685" s="606" t="s">
        <v>5788</v>
      </c>
      <c r="E8685" s="702" t="n">
        <v>3</v>
      </c>
      <c r="F8685" s="698" t="n">
        <v>142</v>
      </c>
      <c r="G8685" s="948" t="n">
        <f aca="false">E8685*F8685</f>
        <v>426</v>
      </c>
      <c r="H8685" s="593"/>
    </row>
    <row r="8686" customFormat="false" ht="30" hidden="false" customHeight="false" outlineLevel="0" collapsed="false">
      <c r="A8686" s="571"/>
      <c r="B8686" s="433"/>
      <c r="C8686" s="614" t="s">
        <v>5789</v>
      </c>
      <c r="D8686" s="606" t="s">
        <v>4348</v>
      </c>
      <c r="E8686" s="702" t="n">
        <v>1</v>
      </c>
      <c r="F8686" s="698" t="n">
        <v>555</v>
      </c>
      <c r="G8686" s="948" t="n">
        <f aca="false">F8686*E8686</f>
        <v>555</v>
      </c>
      <c r="H8686" s="593"/>
    </row>
    <row r="8687" customFormat="false" ht="15" hidden="false" customHeight="false" outlineLevel="0" collapsed="false">
      <c r="A8687" s="571"/>
      <c r="B8687" s="433"/>
      <c r="C8687" s="614" t="s">
        <v>4509</v>
      </c>
      <c r="D8687" s="606" t="s">
        <v>4348</v>
      </c>
      <c r="E8687" s="702" t="n">
        <v>2</v>
      </c>
      <c r="F8687" s="698" t="n">
        <v>106</v>
      </c>
      <c r="G8687" s="948" t="n">
        <f aca="false">F8687*E8687</f>
        <v>212</v>
      </c>
      <c r="H8687" s="593"/>
    </row>
    <row r="8688" customFormat="false" ht="15" hidden="false" customHeight="false" outlineLevel="0" collapsed="false">
      <c r="A8688" s="571"/>
      <c r="B8688" s="608" t="s">
        <v>4128</v>
      </c>
      <c r="C8688" s="609"/>
      <c r="D8688" s="610"/>
      <c r="E8688" s="935"/>
      <c r="F8688" s="946"/>
      <c r="G8688" s="947" t="n">
        <f aca="false">SUM(G8682:G8687)</f>
        <v>1212.437</v>
      </c>
      <c r="H8688" s="610"/>
    </row>
    <row r="8689" customFormat="false" ht="15" hidden="false" customHeight="false" outlineLevel="0" collapsed="false">
      <c r="A8689" s="571" t="s">
        <v>1711</v>
      </c>
      <c r="B8689" s="433" t="s">
        <v>3594</v>
      </c>
      <c r="C8689" s="614" t="s">
        <v>4189</v>
      </c>
      <c r="D8689" s="606" t="s">
        <v>4359</v>
      </c>
      <c r="E8689" s="702" t="n">
        <v>0.05</v>
      </c>
      <c r="F8689" s="698" t="n">
        <v>1815</v>
      </c>
      <c r="G8689" s="948" t="n">
        <f aca="false">F8689*E8689</f>
        <v>90.75</v>
      </c>
      <c r="H8689" s="593"/>
    </row>
    <row r="8690" customFormat="false" ht="15" hidden="false" customHeight="false" outlineLevel="0" collapsed="false">
      <c r="A8690" s="571"/>
      <c r="B8690" s="433"/>
      <c r="C8690" s="614" t="s">
        <v>4154</v>
      </c>
      <c r="D8690" s="606" t="s">
        <v>4359</v>
      </c>
      <c r="E8690" s="702" t="n">
        <v>0.3</v>
      </c>
      <c r="F8690" s="698" t="n">
        <v>2731</v>
      </c>
      <c r="G8690" s="948" t="n">
        <f aca="false">F8690*E8690</f>
        <v>819.3</v>
      </c>
      <c r="H8690" s="593"/>
    </row>
    <row r="8691" customFormat="false" ht="15" hidden="false" customHeight="false" outlineLevel="0" collapsed="false">
      <c r="A8691" s="571"/>
      <c r="B8691" s="433"/>
      <c r="C8691" s="614" t="s">
        <v>5791</v>
      </c>
      <c r="D8691" s="606" t="s">
        <v>4133</v>
      </c>
      <c r="E8691" s="705" t="n">
        <v>0.002</v>
      </c>
      <c r="F8691" s="698" t="n">
        <v>10560</v>
      </c>
      <c r="G8691" s="948" t="n">
        <f aca="false">F8691*E8691</f>
        <v>21.12</v>
      </c>
      <c r="H8691" s="593"/>
    </row>
    <row r="8692" customFormat="false" ht="30" hidden="false" customHeight="false" outlineLevel="0" collapsed="false">
      <c r="A8692" s="571"/>
      <c r="B8692" s="433"/>
      <c r="C8692" s="614" t="s">
        <v>5792</v>
      </c>
      <c r="D8692" s="606" t="s">
        <v>4133</v>
      </c>
      <c r="E8692" s="705" t="n">
        <v>0.001</v>
      </c>
      <c r="F8692" s="698" t="n">
        <v>7150</v>
      </c>
      <c r="G8692" s="948" t="n">
        <f aca="false">F8692*E8692</f>
        <v>7.15</v>
      </c>
      <c r="H8692" s="593"/>
    </row>
    <row r="8693" customFormat="false" ht="15" hidden="false" customHeight="false" outlineLevel="0" collapsed="false">
      <c r="A8693" s="571"/>
      <c r="B8693" s="433"/>
      <c r="C8693" s="614" t="s">
        <v>5793</v>
      </c>
      <c r="D8693" s="606" t="s">
        <v>4133</v>
      </c>
      <c r="E8693" s="705" t="n">
        <v>0.003</v>
      </c>
      <c r="F8693" s="698" t="n">
        <v>62810</v>
      </c>
      <c r="G8693" s="948" t="n">
        <f aca="false">F8693*E8693</f>
        <v>188.43</v>
      </c>
      <c r="H8693" s="593"/>
    </row>
    <row r="8694" customFormat="false" ht="15" hidden="false" customHeight="false" outlineLevel="0" collapsed="false">
      <c r="A8694" s="571"/>
      <c r="B8694" s="433"/>
      <c r="C8694" s="614" t="s">
        <v>5794</v>
      </c>
      <c r="D8694" s="606" t="s">
        <v>4133</v>
      </c>
      <c r="E8694" s="705" t="n">
        <v>0.001</v>
      </c>
      <c r="F8694" s="698" t="n">
        <v>45650</v>
      </c>
      <c r="G8694" s="948" t="n">
        <f aca="false">F8694*E8694</f>
        <v>45.65</v>
      </c>
      <c r="H8694" s="606"/>
    </row>
    <row r="8695" customFormat="false" ht="15" hidden="false" customHeight="false" outlineLevel="0" collapsed="false">
      <c r="A8695" s="571"/>
      <c r="B8695" s="433"/>
      <c r="C8695" s="614" t="s">
        <v>4171</v>
      </c>
      <c r="D8695" s="606" t="s">
        <v>4359</v>
      </c>
      <c r="E8695" s="702" t="n">
        <v>0.01</v>
      </c>
      <c r="F8695" s="698" t="n">
        <v>1500</v>
      </c>
      <c r="G8695" s="948" t="n">
        <f aca="false">F8695*E8695</f>
        <v>15</v>
      </c>
      <c r="H8695" s="606"/>
    </row>
    <row r="8696" customFormat="false" ht="15" hidden="false" customHeight="false" outlineLevel="0" collapsed="false">
      <c r="A8696" s="571"/>
      <c r="B8696" s="433"/>
      <c r="C8696" s="614" t="s">
        <v>4776</v>
      </c>
      <c r="D8696" s="606" t="s">
        <v>4359</v>
      </c>
      <c r="E8696" s="702" t="n">
        <v>0.05</v>
      </c>
      <c r="F8696" s="698" t="n">
        <v>720</v>
      </c>
      <c r="G8696" s="948" t="n">
        <f aca="false">F8696*E8696</f>
        <v>36</v>
      </c>
      <c r="H8696" s="606"/>
    </row>
    <row r="8697" customFormat="false" ht="15" hidden="false" customHeight="false" outlineLevel="0" collapsed="false">
      <c r="A8697" s="571"/>
      <c r="B8697" s="433"/>
      <c r="C8697" s="614" t="s">
        <v>4515</v>
      </c>
      <c r="D8697" s="606" t="s">
        <v>4133</v>
      </c>
      <c r="E8697" s="705" t="n">
        <v>0.002</v>
      </c>
      <c r="F8697" s="698" t="n">
        <v>1079</v>
      </c>
      <c r="G8697" s="948" t="n">
        <f aca="false">F8697*E8697</f>
        <v>2.158</v>
      </c>
      <c r="H8697" s="606"/>
    </row>
    <row r="8698" customFormat="false" ht="15" hidden="false" customHeight="false" outlineLevel="0" collapsed="false">
      <c r="A8698" s="571"/>
      <c r="B8698" s="433"/>
      <c r="C8698" s="614" t="s">
        <v>5795</v>
      </c>
      <c r="D8698" s="606" t="s">
        <v>4348</v>
      </c>
      <c r="E8698" s="702" t="n">
        <v>1</v>
      </c>
      <c r="F8698" s="698" t="n">
        <v>7.5</v>
      </c>
      <c r="G8698" s="948" t="n">
        <f aca="false">E8698*F8698</f>
        <v>7.5</v>
      </c>
      <c r="H8698" s="606"/>
    </row>
    <row r="8699" customFormat="false" ht="15" hidden="false" customHeight="false" outlineLevel="0" collapsed="false">
      <c r="A8699" s="571"/>
      <c r="B8699" s="433"/>
      <c r="C8699" s="614" t="s">
        <v>4347</v>
      </c>
      <c r="D8699" s="606" t="s">
        <v>5788</v>
      </c>
      <c r="E8699" s="702" t="n">
        <v>3</v>
      </c>
      <c r="F8699" s="698" t="n">
        <v>142</v>
      </c>
      <c r="G8699" s="948" t="n">
        <f aca="false">E8699*F8699</f>
        <v>426</v>
      </c>
      <c r="H8699" s="606"/>
    </row>
    <row r="8700" customFormat="false" ht="15" hidden="false" customHeight="false" outlineLevel="0" collapsed="false">
      <c r="A8700" s="571"/>
      <c r="B8700" s="433"/>
      <c r="C8700" s="614" t="s">
        <v>4509</v>
      </c>
      <c r="D8700" s="606" t="s">
        <v>4191</v>
      </c>
      <c r="E8700" s="702" t="n">
        <v>3</v>
      </c>
      <c r="F8700" s="698" t="n">
        <v>106</v>
      </c>
      <c r="G8700" s="948" t="n">
        <f aca="false">E8700*F8700</f>
        <v>318</v>
      </c>
      <c r="H8700" s="606"/>
    </row>
    <row r="8701" customFormat="false" ht="15" hidden="false" customHeight="false" outlineLevel="0" collapsed="false">
      <c r="A8701" s="571"/>
      <c r="B8701" s="433"/>
      <c r="C8701" s="614" t="s">
        <v>5796</v>
      </c>
      <c r="D8701" s="606" t="s">
        <v>4133</v>
      </c>
      <c r="E8701" s="622" t="n">
        <v>0.0001</v>
      </c>
      <c r="F8701" s="698" t="n">
        <v>1250000</v>
      </c>
      <c r="G8701" s="948" t="n">
        <f aca="false">E8701*F8701</f>
        <v>125</v>
      </c>
      <c r="H8701" s="606"/>
    </row>
    <row r="8702" customFormat="false" ht="15" hidden="false" customHeight="false" outlineLevel="0" collapsed="false">
      <c r="A8702" s="571"/>
      <c r="B8702" s="608" t="s">
        <v>4128</v>
      </c>
      <c r="C8702" s="609"/>
      <c r="D8702" s="610"/>
      <c r="E8702" s="935"/>
      <c r="F8702" s="946"/>
      <c r="G8702" s="947" t="n">
        <f aca="false">SUM(G8689:G8701)</f>
        <v>2102.058</v>
      </c>
      <c r="H8702" s="610"/>
    </row>
    <row r="8703" customFormat="false" ht="15" hidden="false" customHeight="false" outlineLevel="0" collapsed="false">
      <c r="A8703" s="571" t="s">
        <v>1713</v>
      </c>
      <c r="B8703" s="433" t="s">
        <v>3595</v>
      </c>
      <c r="C8703" s="614" t="s">
        <v>5797</v>
      </c>
      <c r="D8703" s="606" t="s">
        <v>4133</v>
      </c>
      <c r="E8703" s="622" t="n">
        <v>0.0001</v>
      </c>
      <c r="F8703" s="698" t="n">
        <v>17050</v>
      </c>
      <c r="G8703" s="948" t="n">
        <f aca="false">F8703*E8703</f>
        <v>1.705</v>
      </c>
      <c r="H8703" s="593"/>
    </row>
    <row r="8704" customFormat="false" ht="15" hidden="false" customHeight="false" outlineLevel="0" collapsed="false">
      <c r="A8704" s="571"/>
      <c r="B8704" s="433"/>
      <c r="C8704" s="614" t="s">
        <v>5798</v>
      </c>
      <c r="D8704" s="606" t="s">
        <v>4133</v>
      </c>
      <c r="E8704" s="622" t="n">
        <v>0.0001</v>
      </c>
      <c r="F8704" s="698" t="n">
        <v>1340000</v>
      </c>
      <c r="G8704" s="948" t="n">
        <f aca="false">F8704*E8704</f>
        <v>134</v>
      </c>
      <c r="H8704" s="593"/>
    </row>
    <row r="8705" customFormat="false" ht="15" hidden="false" customHeight="false" outlineLevel="0" collapsed="false">
      <c r="A8705" s="571"/>
      <c r="B8705" s="433"/>
      <c r="C8705" s="614" t="s">
        <v>4536</v>
      </c>
      <c r="D8705" s="606" t="s">
        <v>4359</v>
      </c>
      <c r="E8705" s="705" t="n">
        <v>0.005</v>
      </c>
      <c r="F8705" s="698" t="n">
        <v>1500</v>
      </c>
      <c r="G8705" s="948" t="n">
        <f aca="false">F8705*E8705</f>
        <v>7.5</v>
      </c>
      <c r="H8705" s="593"/>
    </row>
    <row r="8706" customFormat="false" ht="15" hidden="false" customHeight="false" outlineLevel="0" collapsed="false">
      <c r="A8706" s="571"/>
      <c r="B8706" s="433"/>
      <c r="C8706" s="614" t="s">
        <v>5513</v>
      </c>
      <c r="D8706" s="606" t="s">
        <v>4133</v>
      </c>
      <c r="E8706" s="622" t="n">
        <v>0.0001</v>
      </c>
      <c r="F8706" s="698" t="n">
        <v>271040</v>
      </c>
      <c r="G8706" s="948" t="n">
        <f aca="false">F8706*E8706</f>
        <v>27.104</v>
      </c>
      <c r="H8706" s="593"/>
    </row>
    <row r="8707" customFormat="false" ht="15" hidden="false" customHeight="false" outlineLevel="0" collapsed="false">
      <c r="A8707" s="571"/>
      <c r="B8707" s="433"/>
      <c r="C8707" s="614" t="s">
        <v>4678</v>
      </c>
      <c r="D8707" s="606" t="s">
        <v>4133</v>
      </c>
      <c r="E8707" s="552" t="n">
        <v>0.03</v>
      </c>
      <c r="F8707" s="698" t="n">
        <v>8030</v>
      </c>
      <c r="G8707" s="948" t="n">
        <f aca="false">F8707*E8707</f>
        <v>240.9</v>
      </c>
      <c r="H8707" s="593"/>
    </row>
    <row r="8708" customFormat="false" ht="15" hidden="false" customHeight="false" outlineLevel="0" collapsed="false">
      <c r="A8708" s="571"/>
      <c r="B8708" s="433"/>
      <c r="C8708" s="614" t="s">
        <v>4154</v>
      </c>
      <c r="D8708" s="606" t="s">
        <v>4359</v>
      </c>
      <c r="E8708" s="552" t="n">
        <v>0.1</v>
      </c>
      <c r="F8708" s="698" t="n">
        <v>2731</v>
      </c>
      <c r="G8708" s="948" t="n">
        <f aca="false">F8708*E8708</f>
        <v>273.1</v>
      </c>
      <c r="H8708" s="606"/>
    </row>
    <row r="8709" customFormat="false" ht="15" hidden="false" customHeight="false" outlineLevel="0" collapsed="false">
      <c r="A8709" s="571"/>
      <c r="B8709" s="433"/>
      <c r="C8709" s="614" t="s">
        <v>4390</v>
      </c>
      <c r="D8709" s="606" t="s">
        <v>4133</v>
      </c>
      <c r="E8709" s="622" t="n">
        <v>0.0005</v>
      </c>
      <c r="F8709" s="698" t="n">
        <v>5000</v>
      </c>
      <c r="G8709" s="948" t="n">
        <f aca="false">F8709*E8709</f>
        <v>2.5</v>
      </c>
      <c r="H8709" s="606"/>
    </row>
    <row r="8710" customFormat="false" ht="15" hidden="false" customHeight="false" outlineLevel="0" collapsed="false">
      <c r="A8710" s="571"/>
      <c r="B8710" s="433"/>
      <c r="C8710" s="614" t="s">
        <v>4266</v>
      </c>
      <c r="D8710" s="606" t="s">
        <v>4133</v>
      </c>
      <c r="E8710" s="705" t="n">
        <v>0.001</v>
      </c>
      <c r="F8710" s="698" t="n">
        <v>7000</v>
      </c>
      <c r="G8710" s="948" t="n">
        <f aca="false">F8710*E8710</f>
        <v>7</v>
      </c>
      <c r="H8710" s="606"/>
    </row>
    <row r="8711" customFormat="false" ht="15" hidden="false" customHeight="false" outlineLevel="0" collapsed="false">
      <c r="A8711" s="571"/>
      <c r="B8711" s="433"/>
      <c r="C8711" s="614" t="s">
        <v>4933</v>
      </c>
      <c r="D8711" s="606" t="s">
        <v>4133</v>
      </c>
      <c r="E8711" s="702" t="n">
        <v>0.12</v>
      </c>
      <c r="F8711" s="698" t="n">
        <v>1500</v>
      </c>
      <c r="G8711" s="948" t="n">
        <f aca="false">F8711*E8711</f>
        <v>180</v>
      </c>
      <c r="H8711" s="606"/>
    </row>
    <row r="8712" customFormat="false" ht="15" hidden="false" customHeight="false" outlineLevel="0" collapsed="false">
      <c r="A8712" s="571"/>
      <c r="B8712" s="433"/>
      <c r="C8712" s="614" t="s">
        <v>4776</v>
      </c>
      <c r="D8712" s="606" t="s">
        <v>4359</v>
      </c>
      <c r="E8712" s="702" t="n">
        <v>0.05</v>
      </c>
      <c r="F8712" s="698" t="n">
        <v>720</v>
      </c>
      <c r="G8712" s="948" t="n">
        <f aca="false">F8712*E8712</f>
        <v>36</v>
      </c>
      <c r="H8712" s="606"/>
    </row>
    <row r="8713" customFormat="false" ht="15" hidden="false" customHeight="false" outlineLevel="0" collapsed="false">
      <c r="A8713" s="571"/>
      <c r="B8713" s="433"/>
      <c r="C8713" s="614" t="s">
        <v>4515</v>
      </c>
      <c r="D8713" s="606" t="s">
        <v>4133</v>
      </c>
      <c r="E8713" s="702" t="n">
        <v>0.1</v>
      </c>
      <c r="F8713" s="698" t="n">
        <v>1079</v>
      </c>
      <c r="G8713" s="948" t="n">
        <f aca="false">F8713*E8713</f>
        <v>107.9</v>
      </c>
      <c r="H8713" s="606"/>
    </row>
    <row r="8714" customFormat="false" ht="15" hidden="false" customHeight="false" outlineLevel="0" collapsed="false">
      <c r="A8714" s="571"/>
      <c r="B8714" s="433"/>
      <c r="C8714" s="614" t="s">
        <v>5799</v>
      </c>
      <c r="D8714" s="606" t="s">
        <v>4348</v>
      </c>
      <c r="E8714" s="702" t="n">
        <v>1</v>
      </c>
      <c r="F8714" s="698" t="n">
        <v>550</v>
      </c>
      <c r="G8714" s="948" t="n">
        <f aca="false">E8714*F8714</f>
        <v>550</v>
      </c>
      <c r="H8714" s="606"/>
    </row>
    <row r="8715" customFormat="false" ht="15" hidden="false" customHeight="false" outlineLevel="0" collapsed="false">
      <c r="A8715" s="571"/>
      <c r="B8715" s="433"/>
      <c r="C8715" s="614" t="s">
        <v>4347</v>
      </c>
      <c r="D8715" s="606" t="s">
        <v>5788</v>
      </c>
      <c r="E8715" s="702" t="n">
        <v>1</v>
      </c>
      <c r="F8715" s="698" t="n">
        <v>142</v>
      </c>
      <c r="G8715" s="948" t="n">
        <f aca="false">E8715*F8715</f>
        <v>142</v>
      </c>
      <c r="H8715" s="606"/>
    </row>
    <row r="8716" customFormat="false" ht="15" hidden="false" customHeight="false" outlineLevel="0" collapsed="false">
      <c r="A8716" s="571"/>
      <c r="B8716" s="433"/>
      <c r="C8716" s="614" t="s">
        <v>4509</v>
      </c>
      <c r="D8716" s="606" t="s">
        <v>4191</v>
      </c>
      <c r="E8716" s="702" t="n">
        <v>1</v>
      </c>
      <c r="F8716" s="698" t="n">
        <v>106</v>
      </c>
      <c r="G8716" s="948" t="n">
        <f aca="false">E8716*F8716</f>
        <v>106</v>
      </c>
      <c r="H8716" s="606"/>
    </row>
    <row r="8717" customFormat="false" ht="15" hidden="false" customHeight="false" outlineLevel="0" collapsed="false">
      <c r="A8717" s="571"/>
      <c r="B8717" s="608" t="s">
        <v>4128</v>
      </c>
      <c r="C8717" s="609"/>
      <c r="D8717" s="610"/>
      <c r="E8717" s="935"/>
      <c r="F8717" s="946"/>
      <c r="G8717" s="947" t="n">
        <f aca="false">SUM(G8703:G8716)</f>
        <v>1815.709</v>
      </c>
      <c r="H8717" s="610"/>
    </row>
    <row r="8718" customFormat="false" ht="15" hidden="false" customHeight="false" outlineLevel="0" collapsed="false">
      <c r="A8718" s="571" t="s">
        <v>1715</v>
      </c>
      <c r="B8718" s="433" t="s">
        <v>3596</v>
      </c>
      <c r="C8718" s="614" t="s">
        <v>4189</v>
      </c>
      <c r="D8718" s="606" t="s">
        <v>4359</v>
      </c>
      <c r="E8718" s="702" t="n">
        <v>0.03</v>
      </c>
      <c r="F8718" s="698" t="n">
        <v>1815</v>
      </c>
      <c r="G8718" s="948" t="n">
        <f aca="false">F8718*E8718</f>
        <v>54.45</v>
      </c>
      <c r="H8718" s="593"/>
    </row>
    <row r="8719" customFormat="false" ht="15" hidden="false" customHeight="false" outlineLevel="0" collapsed="false">
      <c r="A8719" s="571"/>
      <c r="B8719" s="433"/>
      <c r="C8719" s="614" t="s">
        <v>4154</v>
      </c>
      <c r="D8719" s="606" t="s">
        <v>4359</v>
      </c>
      <c r="E8719" s="702" t="n">
        <v>0.2</v>
      </c>
      <c r="F8719" s="698" t="n">
        <v>2731</v>
      </c>
      <c r="G8719" s="948" t="n">
        <f aca="false">F8719*E8719</f>
        <v>546.2</v>
      </c>
      <c r="H8719" s="593"/>
    </row>
    <row r="8720" customFormat="false" ht="15" hidden="false" customHeight="false" outlineLevel="0" collapsed="false">
      <c r="A8720" s="571"/>
      <c r="B8720" s="433"/>
      <c r="C8720" s="614" t="s">
        <v>4234</v>
      </c>
      <c r="D8720" s="606" t="s">
        <v>4133</v>
      </c>
      <c r="E8720" s="911" t="n">
        <v>1E-005</v>
      </c>
      <c r="F8720" s="698" t="n">
        <v>7200</v>
      </c>
      <c r="G8720" s="948" t="n">
        <f aca="false">F8720*E8720</f>
        <v>0.072</v>
      </c>
      <c r="H8720" s="593"/>
    </row>
    <row r="8721" customFormat="false" ht="15" hidden="false" customHeight="false" outlineLevel="0" collapsed="false">
      <c r="A8721" s="571"/>
      <c r="B8721" s="433"/>
      <c r="C8721" s="614" t="s">
        <v>5059</v>
      </c>
      <c r="D8721" s="606" t="s">
        <v>4359</v>
      </c>
      <c r="E8721" s="702" t="n">
        <v>0.05</v>
      </c>
      <c r="F8721" s="698" t="n">
        <v>1500</v>
      </c>
      <c r="G8721" s="948" t="n">
        <f aca="false">F8721*E8721</f>
        <v>75</v>
      </c>
      <c r="H8721" s="593"/>
    </row>
    <row r="8722" customFormat="false" ht="15" hidden="false" customHeight="false" outlineLevel="0" collapsed="false">
      <c r="A8722" s="571"/>
      <c r="B8722" s="433"/>
      <c r="C8722" s="614" t="s">
        <v>5800</v>
      </c>
      <c r="D8722" s="606" t="s">
        <v>4133</v>
      </c>
      <c r="E8722" s="705" t="n">
        <v>0.006</v>
      </c>
      <c r="F8722" s="698" t="n">
        <v>2000</v>
      </c>
      <c r="G8722" s="948" t="n">
        <f aca="false">F8722*E8722</f>
        <v>12</v>
      </c>
      <c r="H8722" s="593"/>
    </row>
    <row r="8723" customFormat="false" ht="15" hidden="false" customHeight="false" outlineLevel="0" collapsed="false">
      <c r="A8723" s="571"/>
      <c r="B8723" s="433"/>
      <c r="C8723" s="614" t="s">
        <v>4604</v>
      </c>
      <c r="D8723" s="606" t="s">
        <v>4359</v>
      </c>
      <c r="E8723" s="705" t="n">
        <v>0.005</v>
      </c>
      <c r="F8723" s="698" t="n">
        <v>2300</v>
      </c>
      <c r="G8723" s="948" t="n">
        <f aca="false">F8723*E8723</f>
        <v>11.5</v>
      </c>
      <c r="H8723" s="606"/>
    </row>
    <row r="8724" customFormat="false" ht="15" hidden="false" customHeight="false" outlineLevel="0" collapsed="false">
      <c r="A8724" s="571"/>
      <c r="B8724" s="433"/>
      <c r="C8724" s="614" t="s">
        <v>5801</v>
      </c>
      <c r="D8724" s="606" t="s">
        <v>4348</v>
      </c>
      <c r="E8724" s="702" t="n">
        <v>1</v>
      </c>
      <c r="F8724" s="698" t="n">
        <v>550</v>
      </c>
      <c r="G8724" s="948" t="n">
        <f aca="false">F8724*E8724</f>
        <v>550</v>
      </c>
      <c r="H8724" s="606"/>
    </row>
    <row r="8725" customFormat="false" ht="15" hidden="false" customHeight="false" outlineLevel="0" collapsed="false">
      <c r="A8725" s="571"/>
      <c r="B8725" s="433"/>
      <c r="C8725" s="614" t="s">
        <v>4776</v>
      </c>
      <c r="D8725" s="606" t="s">
        <v>4359</v>
      </c>
      <c r="E8725" s="702" t="n">
        <v>0.05</v>
      </c>
      <c r="F8725" s="698" t="n">
        <v>720</v>
      </c>
      <c r="G8725" s="948" t="n">
        <f aca="false">F8725*E8725</f>
        <v>36</v>
      </c>
      <c r="H8725" s="606"/>
    </row>
    <row r="8726" customFormat="false" ht="15" hidden="false" customHeight="false" outlineLevel="0" collapsed="false">
      <c r="A8726" s="571"/>
      <c r="B8726" s="433"/>
      <c r="C8726" s="614" t="s">
        <v>4515</v>
      </c>
      <c r="D8726" s="606" t="s">
        <v>4133</v>
      </c>
      <c r="E8726" s="702" t="n">
        <v>0.02</v>
      </c>
      <c r="F8726" s="698" t="n">
        <v>1079</v>
      </c>
      <c r="G8726" s="948" t="n">
        <f aca="false">F8726*E8726</f>
        <v>21.58</v>
      </c>
      <c r="H8726" s="606"/>
    </row>
    <row r="8727" customFormat="false" ht="15" hidden="false" customHeight="false" outlineLevel="0" collapsed="false">
      <c r="A8727" s="571"/>
      <c r="B8727" s="433"/>
      <c r="C8727" s="614" t="s">
        <v>4347</v>
      </c>
      <c r="D8727" s="606" t="s">
        <v>5788</v>
      </c>
      <c r="E8727" s="702" t="n">
        <v>1</v>
      </c>
      <c r="F8727" s="698" t="n">
        <v>142</v>
      </c>
      <c r="G8727" s="948" t="n">
        <f aca="false">F8727*E8727</f>
        <v>142</v>
      </c>
      <c r="H8727" s="606"/>
    </row>
    <row r="8728" customFormat="false" ht="15" hidden="false" customHeight="false" outlineLevel="0" collapsed="false">
      <c r="A8728" s="571"/>
      <c r="B8728" s="433"/>
      <c r="C8728" s="614" t="s">
        <v>4509</v>
      </c>
      <c r="D8728" s="606" t="s">
        <v>4191</v>
      </c>
      <c r="E8728" s="702" t="n">
        <v>1</v>
      </c>
      <c r="F8728" s="698" t="n">
        <v>106</v>
      </c>
      <c r="G8728" s="948" t="n">
        <f aca="false">E8728*F8728</f>
        <v>106</v>
      </c>
      <c r="H8728" s="606"/>
    </row>
    <row r="8729" customFormat="false" ht="15" hidden="false" customHeight="false" outlineLevel="0" collapsed="false">
      <c r="A8729" s="571"/>
      <c r="B8729" s="608" t="s">
        <v>4128</v>
      </c>
      <c r="C8729" s="609"/>
      <c r="D8729" s="610"/>
      <c r="E8729" s="935"/>
      <c r="F8729" s="946"/>
      <c r="G8729" s="947" t="n">
        <f aca="false">SUM(G8718:G8728)</f>
        <v>1554.802</v>
      </c>
      <c r="H8729" s="610"/>
    </row>
    <row r="8730" customFormat="false" ht="15" hidden="false" customHeight="false" outlineLevel="0" collapsed="false">
      <c r="A8730" s="571" t="s">
        <v>1717</v>
      </c>
      <c r="B8730" s="433" t="s">
        <v>3597</v>
      </c>
      <c r="C8730" s="614" t="s">
        <v>4154</v>
      </c>
      <c r="D8730" s="606" t="s">
        <v>4359</v>
      </c>
      <c r="E8730" s="702" t="n">
        <v>0.15</v>
      </c>
      <c r="F8730" s="698" t="n">
        <v>2731</v>
      </c>
      <c r="G8730" s="948" t="n">
        <f aca="false">F8730*E8730</f>
        <v>409.65</v>
      </c>
      <c r="H8730" s="593"/>
    </row>
    <row r="8731" customFormat="false" ht="15" hidden="false" customHeight="false" outlineLevel="0" collapsed="false">
      <c r="A8731" s="571"/>
      <c r="B8731" s="500"/>
      <c r="C8731" s="614" t="s">
        <v>4178</v>
      </c>
      <c r="D8731" s="606" t="s">
        <v>4133</v>
      </c>
      <c r="E8731" s="705" t="n">
        <v>0.001</v>
      </c>
      <c r="F8731" s="698" t="n">
        <v>7480</v>
      </c>
      <c r="G8731" s="948" t="n">
        <f aca="false">F8731*E8731</f>
        <v>7.48</v>
      </c>
      <c r="H8731" s="593"/>
    </row>
    <row r="8732" customFormat="false" ht="15" hidden="false" customHeight="false" outlineLevel="0" collapsed="false">
      <c r="A8732" s="571"/>
      <c r="B8732" s="500"/>
      <c r="C8732" s="614" t="s">
        <v>4536</v>
      </c>
      <c r="D8732" s="606" t="s">
        <v>4359</v>
      </c>
      <c r="E8732" s="702" t="n">
        <v>0.01</v>
      </c>
      <c r="F8732" s="698" t="n">
        <v>1500</v>
      </c>
      <c r="G8732" s="948" t="n">
        <f aca="false">F8732*E8732</f>
        <v>15</v>
      </c>
      <c r="H8732" s="593"/>
    </row>
    <row r="8733" customFormat="false" ht="15" hidden="false" customHeight="false" outlineLevel="0" collapsed="false">
      <c r="A8733" s="571"/>
      <c r="B8733" s="500"/>
      <c r="C8733" s="614" t="s">
        <v>4147</v>
      </c>
      <c r="D8733" s="606" t="s">
        <v>4359</v>
      </c>
      <c r="E8733" s="705" t="n">
        <v>0.006</v>
      </c>
      <c r="F8733" s="698" t="n">
        <v>3600</v>
      </c>
      <c r="G8733" s="948" t="n">
        <f aca="false">F8733*E8733</f>
        <v>21.6</v>
      </c>
      <c r="H8733" s="593"/>
    </row>
    <row r="8734" customFormat="false" ht="15" hidden="false" customHeight="false" outlineLevel="0" collapsed="false">
      <c r="A8734" s="571"/>
      <c r="B8734" s="500"/>
      <c r="C8734" s="614" t="s">
        <v>5802</v>
      </c>
      <c r="D8734" s="606" t="s">
        <v>4133</v>
      </c>
      <c r="E8734" s="705" t="n">
        <v>0.001</v>
      </c>
      <c r="F8734" s="698" t="n">
        <v>4500</v>
      </c>
      <c r="G8734" s="948" t="n">
        <f aca="false">F8734*E8734</f>
        <v>4.5</v>
      </c>
      <c r="H8734" s="593"/>
    </row>
    <row r="8735" customFormat="false" ht="15" hidden="false" customHeight="false" outlineLevel="0" collapsed="false">
      <c r="A8735" s="571"/>
      <c r="B8735" s="500"/>
      <c r="C8735" s="614" t="s">
        <v>4204</v>
      </c>
      <c r="D8735" s="606" t="s">
        <v>4133</v>
      </c>
      <c r="E8735" s="702" t="n">
        <v>0.03</v>
      </c>
      <c r="F8735" s="698" t="n">
        <v>5830</v>
      </c>
      <c r="G8735" s="948" t="n">
        <f aca="false">F8735*E8735</f>
        <v>174.9</v>
      </c>
      <c r="H8735" s="606"/>
    </row>
    <row r="8736" customFormat="false" ht="15" hidden="false" customHeight="false" outlineLevel="0" collapsed="false">
      <c r="A8736" s="571"/>
      <c r="B8736" s="500"/>
      <c r="C8736" s="614" t="s">
        <v>4776</v>
      </c>
      <c r="D8736" s="606" t="s">
        <v>4359</v>
      </c>
      <c r="E8736" s="702" t="n">
        <v>0.05</v>
      </c>
      <c r="F8736" s="698" t="n">
        <v>720</v>
      </c>
      <c r="G8736" s="948" t="n">
        <f aca="false">F8736*E8736</f>
        <v>36</v>
      </c>
      <c r="H8736" s="606"/>
    </row>
    <row r="8737" customFormat="false" ht="15" hidden="false" customHeight="false" outlineLevel="0" collapsed="false">
      <c r="A8737" s="571"/>
      <c r="B8737" s="500"/>
      <c r="C8737" s="614" t="s">
        <v>4515</v>
      </c>
      <c r="D8737" s="606" t="s">
        <v>4133</v>
      </c>
      <c r="E8737" s="702" t="n">
        <v>0.02</v>
      </c>
      <c r="F8737" s="698" t="n">
        <v>1079</v>
      </c>
      <c r="G8737" s="948" t="n">
        <f aca="false">F8737*E8737</f>
        <v>21.58</v>
      </c>
      <c r="H8737" s="606"/>
    </row>
    <row r="8738" customFormat="false" ht="15" hidden="false" customHeight="false" outlineLevel="0" collapsed="false">
      <c r="A8738" s="571"/>
      <c r="B8738" s="500"/>
      <c r="C8738" s="614" t="s">
        <v>5799</v>
      </c>
      <c r="D8738" s="606" t="s">
        <v>4348</v>
      </c>
      <c r="E8738" s="702" t="n">
        <v>1</v>
      </c>
      <c r="F8738" s="698" t="n">
        <v>550</v>
      </c>
      <c r="G8738" s="948" t="n">
        <f aca="false">E8738*F8738</f>
        <v>550</v>
      </c>
      <c r="H8738" s="606"/>
    </row>
    <row r="8739" customFormat="false" ht="15" hidden="false" customHeight="false" outlineLevel="0" collapsed="false">
      <c r="A8739" s="571"/>
      <c r="B8739" s="500"/>
      <c r="C8739" s="614" t="s">
        <v>4347</v>
      </c>
      <c r="D8739" s="606" t="s">
        <v>5788</v>
      </c>
      <c r="E8739" s="702" t="n">
        <v>1</v>
      </c>
      <c r="F8739" s="698" t="n">
        <v>142</v>
      </c>
      <c r="G8739" s="948" t="n">
        <f aca="false">E8739*F8739</f>
        <v>142</v>
      </c>
      <c r="H8739" s="606"/>
    </row>
    <row r="8740" customFormat="false" ht="15" hidden="false" customHeight="false" outlineLevel="0" collapsed="false">
      <c r="A8740" s="571"/>
      <c r="B8740" s="500"/>
      <c r="C8740" s="614" t="s">
        <v>4509</v>
      </c>
      <c r="D8740" s="606" t="s">
        <v>4191</v>
      </c>
      <c r="E8740" s="702" t="n">
        <v>1</v>
      </c>
      <c r="F8740" s="698" t="n">
        <v>106</v>
      </c>
      <c r="G8740" s="948" t="n">
        <f aca="false">E8740*F8740</f>
        <v>106</v>
      </c>
      <c r="H8740" s="606"/>
    </row>
    <row r="8741" customFormat="false" ht="15" hidden="false" customHeight="false" outlineLevel="0" collapsed="false">
      <c r="A8741" s="571"/>
      <c r="B8741" s="608" t="s">
        <v>4128</v>
      </c>
      <c r="C8741" s="609"/>
      <c r="D8741" s="610"/>
      <c r="E8741" s="935"/>
      <c r="F8741" s="946"/>
      <c r="G8741" s="947" t="n">
        <f aca="false">SUM(G8730:G8740)</f>
        <v>1488.71</v>
      </c>
      <c r="H8741" s="610"/>
    </row>
    <row r="8742" customFormat="false" ht="28.5" hidden="false" customHeight="false" outlineLevel="0" collapsed="false">
      <c r="A8742" s="350" t="s">
        <v>1719</v>
      </c>
      <c r="B8742" s="509" t="s">
        <v>5803</v>
      </c>
      <c r="C8742" s="510"/>
      <c r="D8742" s="350"/>
      <c r="E8742" s="945"/>
      <c r="F8742" s="949"/>
      <c r="G8742" s="950"/>
      <c r="H8742" s="510"/>
    </row>
    <row r="8743" customFormat="false" ht="15" hidden="false" customHeight="false" outlineLevel="0" collapsed="false">
      <c r="A8743" s="571" t="s">
        <v>1721</v>
      </c>
      <c r="B8743" s="433" t="s">
        <v>3599</v>
      </c>
      <c r="C8743" s="614" t="s">
        <v>5030</v>
      </c>
      <c r="D8743" s="606" t="s">
        <v>4359</v>
      </c>
      <c r="E8743" s="702" t="n">
        <v>0.03</v>
      </c>
      <c r="F8743" s="698" t="n">
        <v>720</v>
      </c>
      <c r="G8743" s="948" t="n">
        <f aca="false">F8743*E8743</f>
        <v>21.6</v>
      </c>
      <c r="H8743" s="593"/>
    </row>
    <row r="8744" customFormat="false" ht="15" hidden="false" customHeight="false" outlineLevel="0" collapsed="false">
      <c r="A8744" s="571"/>
      <c r="B8744" s="500"/>
      <c r="C8744" s="614" t="s">
        <v>4515</v>
      </c>
      <c r="D8744" s="606" t="s">
        <v>4133</v>
      </c>
      <c r="E8744" s="702" t="n">
        <v>0.02</v>
      </c>
      <c r="F8744" s="698" t="n">
        <v>1079</v>
      </c>
      <c r="G8744" s="948" t="n">
        <f aca="false">F8744*E8744</f>
        <v>21.58</v>
      </c>
      <c r="H8744" s="593"/>
    </row>
    <row r="8745" customFormat="false" ht="15" hidden="false" customHeight="false" outlineLevel="0" collapsed="false">
      <c r="A8745" s="571"/>
      <c r="B8745" s="500"/>
      <c r="C8745" s="614" t="s">
        <v>4347</v>
      </c>
      <c r="D8745" s="606" t="s">
        <v>5788</v>
      </c>
      <c r="E8745" s="702" t="n">
        <v>3</v>
      </c>
      <c r="F8745" s="698" t="n">
        <v>142</v>
      </c>
      <c r="G8745" s="948" t="n">
        <f aca="false">F8745*E8745</f>
        <v>426</v>
      </c>
      <c r="H8745" s="593"/>
    </row>
    <row r="8746" customFormat="false" ht="15" hidden="false" customHeight="false" outlineLevel="0" collapsed="false">
      <c r="A8746" s="571"/>
      <c r="B8746" s="500"/>
      <c r="C8746" s="614" t="s">
        <v>4509</v>
      </c>
      <c r="D8746" s="606" t="s">
        <v>4348</v>
      </c>
      <c r="E8746" s="702" t="n">
        <v>3</v>
      </c>
      <c r="F8746" s="698" t="n">
        <v>106</v>
      </c>
      <c r="G8746" s="948" t="n">
        <f aca="false">F8746*E8746</f>
        <v>318</v>
      </c>
      <c r="H8746" s="593"/>
    </row>
    <row r="8747" customFormat="false" ht="30" hidden="false" customHeight="false" outlineLevel="0" collapsed="false">
      <c r="A8747" s="571"/>
      <c r="B8747" s="500"/>
      <c r="C8747" s="614" t="s">
        <v>5789</v>
      </c>
      <c r="D8747" s="606" t="s">
        <v>4348</v>
      </c>
      <c r="E8747" s="702" t="n">
        <v>1</v>
      </c>
      <c r="F8747" s="698" t="n">
        <v>555</v>
      </c>
      <c r="G8747" s="948" t="n">
        <f aca="false">F8747*E8747</f>
        <v>555</v>
      </c>
      <c r="H8747" s="593"/>
    </row>
    <row r="8748" customFormat="false" ht="15" hidden="false" customHeight="false" outlineLevel="0" collapsed="false">
      <c r="A8748" s="571"/>
      <c r="B8748" s="608" t="s">
        <v>4128</v>
      </c>
      <c r="C8748" s="609"/>
      <c r="D8748" s="610"/>
      <c r="E8748" s="935"/>
      <c r="F8748" s="946"/>
      <c r="G8748" s="947" t="n">
        <f aca="false">SUM(G8743:G8747)</f>
        <v>1342.18</v>
      </c>
      <c r="H8748" s="610"/>
    </row>
    <row r="8749" customFormat="false" ht="15" hidden="false" customHeight="false" outlineLevel="0" collapsed="false">
      <c r="A8749" s="571" t="s">
        <v>1723</v>
      </c>
      <c r="B8749" s="433" t="s">
        <v>3600</v>
      </c>
      <c r="C8749" s="614" t="s">
        <v>5030</v>
      </c>
      <c r="D8749" s="606" t="s">
        <v>4359</v>
      </c>
      <c r="E8749" s="702" t="n">
        <v>0.03</v>
      </c>
      <c r="F8749" s="698" t="n">
        <v>720</v>
      </c>
      <c r="G8749" s="948" t="n">
        <f aca="false">F8749*E8749</f>
        <v>21.6</v>
      </c>
      <c r="H8749" s="593"/>
    </row>
    <row r="8750" customFormat="false" ht="15" hidden="false" customHeight="false" outlineLevel="0" collapsed="false">
      <c r="A8750" s="571"/>
      <c r="B8750" s="433"/>
      <c r="C8750" s="614" t="s">
        <v>4515</v>
      </c>
      <c r="D8750" s="606" t="s">
        <v>4133</v>
      </c>
      <c r="E8750" s="702" t="n">
        <v>0.02</v>
      </c>
      <c r="F8750" s="698" t="n">
        <v>1079</v>
      </c>
      <c r="G8750" s="948" t="n">
        <f aca="false">F8750*E8750</f>
        <v>21.58</v>
      </c>
      <c r="H8750" s="593"/>
    </row>
    <row r="8751" customFormat="false" ht="15" hidden="false" customHeight="false" outlineLevel="0" collapsed="false">
      <c r="A8751" s="571"/>
      <c r="B8751" s="433"/>
      <c r="C8751" s="614" t="s">
        <v>4509</v>
      </c>
      <c r="D8751" s="606" t="s">
        <v>4348</v>
      </c>
      <c r="E8751" s="702" t="n">
        <v>1</v>
      </c>
      <c r="F8751" s="698" t="n">
        <v>106</v>
      </c>
      <c r="G8751" s="948" t="n">
        <f aca="false">F8751*E8751</f>
        <v>106</v>
      </c>
      <c r="H8751" s="593"/>
    </row>
    <row r="8752" customFormat="false" ht="15" hidden="false" customHeight="false" outlineLevel="0" collapsed="false">
      <c r="A8752" s="571"/>
      <c r="B8752" s="433"/>
      <c r="C8752" s="614" t="s">
        <v>4347</v>
      </c>
      <c r="D8752" s="606" t="s">
        <v>5788</v>
      </c>
      <c r="E8752" s="702" t="n">
        <v>1</v>
      </c>
      <c r="F8752" s="698" t="n">
        <v>142</v>
      </c>
      <c r="G8752" s="948" t="n">
        <f aca="false">F8752*E8752</f>
        <v>142</v>
      </c>
      <c r="H8752" s="593"/>
    </row>
    <row r="8753" customFormat="false" ht="15" hidden="false" customHeight="false" outlineLevel="0" collapsed="false">
      <c r="A8753" s="571"/>
      <c r="B8753" s="608" t="s">
        <v>4128</v>
      </c>
      <c r="C8753" s="609"/>
      <c r="D8753" s="610"/>
      <c r="E8753" s="935"/>
      <c r="F8753" s="946"/>
      <c r="G8753" s="947" t="n">
        <f aca="false">SUM(G8749:G8752)</f>
        <v>291.18</v>
      </c>
      <c r="H8753" s="618"/>
    </row>
    <row r="8754" customFormat="false" ht="15" hidden="false" customHeight="false" outlineLevel="0" collapsed="false">
      <c r="A8754" s="571" t="s">
        <v>1725</v>
      </c>
      <c r="B8754" s="433" t="s">
        <v>3601</v>
      </c>
      <c r="C8754" s="614"/>
      <c r="D8754" s="606"/>
      <c r="E8754" s="702"/>
      <c r="F8754" s="698"/>
      <c r="G8754" s="948"/>
      <c r="H8754" s="593"/>
    </row>
    <row r="8755" customFormat="false" ht="15" hidden="false" customHeight="false" outlineLevel="0" collapsed="false">
      <c r="A8755" s="571"/>
      <c r="B8755" s="608" t="s">
        <v>4128</v>
      </c>
      <c r="C8755" s="609"/>
      <c r="D8755" s="610"/>
      <c r="E8755" s="935"/>
      <c r="F8755" s="946"/>
      <c r="G8755" s="947" t="n">
        <f aca="false">SUM(G8754:G8754)</f>
        <v>0</v>
      </c>
      <c r="H8755" s="618"/>
    </row>
    <row r="8756" customFormat="false" ht="15" hidden="false" customHeight="false" outlineLevel="0" collapsed="false">
      <c r="A8756" s="571" t="s">
        <v>1727</v>
      </c>
      <c r="B8756" s="433" t="s">
        <v>3602</v>
      </c>
      <c r="C8756" s="614" t="s">
        <v>5030</v>
      </c>
      <c r="D8756" s="606" t="s">
        <v>4359</v>
      </c>
      <c r="E8756" s="702" t="n">
        <v>0.03</v>
      </c>
      <c r="F8756" s="698" t="n">
        <v>720</v>
      </c>
      <c r="G8756" s="948" t="n">
        <f aca="false">F8756*E8756</f>
        <v>21.6</v>
      </c>
      <c r="H8756" s="593"/>
    </row>
    <row r="8757" customFormat="false" ht="15" hidden="false" customHeight="false" outlineLevel="0" collapsed="false">
      <c r="A8757" s="571"/>
      <c r="B8757" s="500"/>
      <c r="C8757" s="614" t="s">
        <v>4515</v>
      </c>
      <c r="D8757" s="606" t="s">
        <v>4133</v>
      </c>
      <c r="E8757" s="702" t="n">
        <v>0.02</v>
      </c>
      <c r="F8757" s="698" t="n">
        <v>1079</v>
      </c>
      <c r="G8757" s="948" t="n">
        <f aca="false">F8757*E8757</f>
        <v>21.58</v>
      </c>
      <c r="H8757" s="593"/>
    </row>
    <row r="8758" customFormat="false" ht="15" hidden="false" customHeight="false" outlineLevel="0" collapsed="false">
      <c r="A8758" s="571"/>
      <c r="B8758" s="500"/>
      <c r="C8758" s="614" t="s">
        <v>4509</v>
      </c>
      <c r="D8758" s="606" t="s">
        <v>4348</v>
      </c>
      <c r="E8758" s="702" t="n">
        <v>1</v>
      </c>
      <c r="F8758" s="698" t="n">
        <v>106</v>
      </c>
      <c r="G8758" s="948" t="n">
        <f aca="false">F8758*E8758</f>
        <v>106</v>
      </c>
      <c r="H8758" s="593"/>
    </row>
    <row r="8759" customFormat="false" ht="15" hidden="false" customHeight="false" outlineLevel="0" collapsed="false">
      <c r="A8759" s="571"/>
      <c r="B8759" s="500"/>
      <c r="C8759" s="614" t="s">
        <v>4347</v>
      </c>
      <c r="D8759" s="606" t="s">
        <v>5788</v>
      </c>
      <c r="E8759" s="702" t="n">
        <v>1</v>
      </c>
      <c r="F8759" s="698" t="n">
        <v>142</v>
      </c>
      <c r="G8759" s="948" t="n">
        <f aca="false">F8759*E8759</f>
        <v>142</v>
      </c>
      <c r="H8759" s="593"/>
    </row>
    <row r="8760" customFormat="false" ht="15" hidden="false" customHeight="false" outlineLevel="0" collapsed="false">
      <c r="A8760" s="571"/>
      <c r="B8760" s="608" t="s">
        <v>4128</v>
      </c>
      <c r="C8760" s="609"/>
      <c r="D8760" s="610"/>
      <c r="E8760" s="935"/>
      <c r="F8760" s="946"/>
      <c r="G8760" s="947" t="n">
        <f aca="false">SUM(G8756:G8759)</f>
        <v>291.18</v>
      </c>
      <c r="H8760" s="618"/>
    </row>
    <row r="8761" customFormat="false" ht="15" hidden="false" customHeight="false" outlineLevel="0" collapsed="false">
      <c r="A8761" s="571" t="s">
        <v>1729</v>
      </c>
      <c r="B8761" s="433" t="s">
        <v>3603</v>
      </c>
      <c r="C8761" s="614" t="s">
        <v>5030</v>
      </c>
      <c r="D8761" s="606" t="s">
        <v>4359</v>
      </c>
      <c r="E8761" s="702" t="n">
        <v>0.03</v>
      </c>
      <c r="F8761" s="698" t="n">
        <v>720</v>
      </c>
      <c r="G8761" s="948" t="n">
        <f aca="false">F8761*E8761</f>
        <v>21.6</v>
      </c>
      <c r="H8761" s="593"/>
    </row>
    <row r="8762" customFormat="false" ht="15" hidden="false" customHeight="false" outlineLevel="0" collapsed="false">
      <c r="A8762" s="571"/>
      <c r="B8762" s="433"/>
      <c r="C8762" s="614" t="s">
        <v>4515</v>
      </c>
      <c r="D8762" s="606" t="s">
        <v>4133</v>
      </c>
      <c r="E8762" s="702" t="n">
        <v>0.02</v>
      </c>
      <c r="F8762" s="698" t="n">
        <v>1079</v>
      </c>
      <c r="G8762" s="948" t="n">
        <f aca="false">F8762*E8762</f>
        <v>21.58</v>
      </c>
      <c r="H8762" s="593"/>
    </row>
    <row r="8763" customFormat="false" ht="15" hidden="false" customHeight="false" outlineLevel="0" collapsed="false">
      <c r="A8763" s="571"/>
      <c r="B8763" s="433"/>
      <c r="C8763" s="614" t="s">
        <v>4509</v>
      </c>
      <c r="D8763" s="606" t="s">
        <v>4348</v>
      </c>
      <c r="E8763" s="702" t="n">
        <v>1</v>
      </c>
      <c r="F8763" s="698" t="n">
        <v>106</v>
      </c>
      <c r="G8763" s="948" t="n">
        <f aca="false">F8763*E8763</f>
        <v>106</v>
      </c>
      <c r="H8763" s="593"/>
    </row>
    <row r="8764" customFormat="false" ht="15" hidden="false" customHeight="false" outlineLevel="0" collapsed="false">
      <c r="A8764" s="571"/>
      <c r="B8764" s="500"/>
      <c r="C8764" s="614" t="s">
        <v>4347</v>
      </c>
      <c r="D8764" s="606" t="s">
        <v>5788</v>
      </c>
      <c r="E8764" s="702" t="n">
        <v>1</v>
      </c>
      <c r="F8764" s="698" t="n">
        <v>142</v>
      </c>
      <c r="G8764" s="948" t="n">
        <f aca="false">F8764*E8764</f>
        <v>142</v>
      </c>
      <c r="H8764" s="593"/>
    </row>
    <row r="8765" customFormat="false" ht="15" hidden="false" customHeight="false" outlineLevel="0" collapsed="false">
      <c r="A8765" s="571"/>
      <c r="B8765" s="608" t="s">
        <v>4128</v>
      </c>
      <c r="C8765" s="609"/>
      <c r="D8765" s="610"/>
      <c r="E8765" s="935"/>
      <c r="F8765" s="946"/>
      <c r="G8765" s="947" t="n">
        <f aca="false">SUM(G8761:G8764)</f>
        <v>291.18</v>
      </c>
      <c r="H8765" s="618"/>
    </row>
    <row r="8766" customFormat="false" ht="15" hidden="false" customHeight="false" outlineLevel="0" collapsed="false">
      <c r="A8766" s="571" t="s">
        <v>1731</v>
      </c>
      <c r="B8766" s="433" t="s">
        <v>3604</v>
      </c>
      <c r="C8766" s="614" t="s">
        <v>5030</v>
      </c>
      <c r="D8766" s="606" t="s">
        <v>4359</v>
      </c>
      <c r="E8766" s="702" t="n">
        <v>0.03</v>
      </c>
      <c r="F8766" s="698" t="n">
        <v>720</v>
      </c>
      <c r="G8766" s="948" t="n">
        <f aca="false">F8766*E8766</f>
        <v>21.6</v>
      </c>
      <c r="H8766" s="593"/>
    </row>
    <row r="8767" customFormat="false" ht="15" hidden="false" customHeight="false" outlineLevel="0" collapsed="false">
      <c r="A8767" s="571"/>
      <c r="B8767" s="433"/>
      <c r="C8767" s="614" t="s">
        <v>4515</v>
      </c>
      <c r="D8767" s="606" t="s">
        <v>4133</v>
      </c>
      <c r="E8767" s="702" t="n">
        <v>0.02</v>
      </c>
      <c r="F8767" s="698" t="n">
        <v>1079</v>
      </c>
      <c r="G8767" s="948" t="n">
        <f aca="false">F8767*E8767</f>
        <v>21.58</v>
      </c>
      <c r="H8767" s="593"/>
    </row>
    <row r="8768" customFormat="false" ht="15" hidden="false" customHeight="false" outlineLevel="0" collapsed="false">
      <c r="A8768" s="571"/>
      <c r="B8768" s="433"/>
      <c r="C8768" s="614" t="s">
        <v>4509</v>
      </c>
      <c r="D8768" s="606" t="s">
        <v>4348</v>
      </c>
      <c r="E8768" s="702" t="n">
        <v>1</v>
      </c>
      <c r="F8768" s="698" t="n">
        <v>106</v>
      </c>
      <c r="G8768" s="948" t="n">
        <f aca="false">F8768*E8768</f>
        <v>106</v>
      </c>
      <c r="H8768" s="593"/>
    </row>
    <row r="8769" customFormat="false" ht="15" hidden="false" customHeight="false" outlineLevel="0" collapsed="false">
      <c r="A8769" s="571"/>
      <c r="B8769" s="500"/>
      <c r="C8769" s="614" t="s">
        <v>4347</v>
      </c>
      <c r="D8769" s="606" t="s">
        <v>5788</v>
      </c>
      <c r="E8769" s="702" t="n">
        <v>1</v>
      </c>
      <c r="F8769" s="698" t="n">
        <v>142</v>
      </c>
      <c r="G8769" s="948" t="n">
        <f aca="false">F8769*E8769</f>
        <v>142</v>
      </c>
      <c r="H8769" s="593"/>
    </row>
    <row r="8770" customFormat="false" ht="15" hidden="false" customHeight="false" outlineLevel="0" collapsed="false">
      <c r="A8770" s="571"/>
      <c r="B8770" s="608" t="s">
        <v>4128</v>
      </c>
      <c r="C8770" s="609"/>
      <c r="D8770" s="610"/>
      <c r="E8770" s="935"/>
      <c r="F8770" s="946"/>
      <c r="G8770" s="947" t="n">
        <f aca="false">SUM(G8766:G8769)</f>
        <v>291.18</v>
      </c>
      <c r="H8770" s="618"/>
    </row>
    <row r="8771" customFormat="false" ht="30" hidden="false" customHeight="false" outlineLevel="0" collapsed="false">
      <c r="A8771" s="571" t="s">
        <v>1733</v>
      </c>
      <c r="B8771" s="433" t="s">
        <v>3605</v>
      </c>
      <c r="C8771" s="614" t="s">
        <v>5030</v>
      </c>
      <c r="D8771" s="606" t="s">
        <v>4359</v>
      </c>
      <c r="E8771" s="702" t="n">
        <v>0.03</v>
      </c>
      <c r="F8771" s="698" t="n">
        <v>720</v>
      </c>
      <c r="G8771" s="948" t="n">
        <f aca="false">F8771*E8771</f>
        <v>21.6</v>
      </c>
      <c r="H8771" s="593"/>
    </row>
    <row r="8772" customFormat="false" ht="15" hidden="false" customHeight="false" outlineLevel="0" collapsed="false">
      <c r="A8772" s="571"/>
      <c r="B8772" s="433"/>
      <c r="C8772" s="614" t="s">
        <v>4515</v>
      </c>
      <c r="D8772" s="606" t="s">
        <v>4133</v>
      </c>
      <c r="E8772" s="702" t="n">
        <v>0.02</v>
      </c>
      <c r="F8772" s="698" t="n">
        <v>1079</v>
      </c>
      <c r="G8772" s="948" t="n">
        <f aca="false">F8772*E8772</f>
        <v>21.58</v>
      </c>
      <c r="H8772" s="593"/>
    </row>
    <row r="8773" customFormat="false" ht="15" hidden="false" customHeight="false" outlineLevel="0" collapsed="false">
      <c r="A8773" s="571"/>
      <c r="B8773" s="500"/>
      <c r="C8773" s="614" t="s">
        <v>4509</v>
      </c>
      <c r="D8773" s="606" t="s">
        <v>4348</v>
      </c>
      <c r="E8773" s="702" t="n">
        <v>1</v>
      </c>
      <c r="F8773" s="698" t="n">
        <v>106</v>
      </c>
      <c r="G8773" s="948" t="n">
        <f aca="false">F8773*E8773</f>
        <v>106</v>
      </c>
      <c r="H8773" s="593"/>
    </row>
    <row r="8774" customFormat="false" ht="15" hidden="false" customHeight="false" outlineLevel="0" collapsed="false">
      <c r="A8774" s="571"/>
      <c r="B8774" s="500"/>
      <c r="C8774" s="614" t="s">
        <v>4347</v>
      </c>
      <c r="D8774" s="606" t="s">
        <v>5788</v>
      </c>
      <c r="E8774" s="702" t="n">
        <v>1</v>
      </c>
      <c r="F8774" s="698" t="n">
        <v>142</v>
      </c>
      <c r="G8774" s="948" t="n">
        <f aca="false">F8774*E8774</f>
        <v>142</v>
      </c>
      <c r="H8774" s="593"/>
    </row>
    <row r="8775" customFormat="false" ht="15" hidden="false" customHeight="false" outlineLevel="0" collapsed="false">
      <c r="A8775" s="571"/>
      <c r="B8775" s="500"/>
      <c r="C8775" s="614" t="s">
        <v>4124</v>
      </c>
      <c r="D8775" s="606" t="s">
        <v>4125</v>
      </c>
      <c r="E8775" s="702" t="n">
        <v>0.2</v>
      </c>
      <c r="F8775" s="698" t="n">
        <v>60</v>
      </c>
      <c r="G8775" s="948" t="n">
        <f aca="false">F8775*E8775</f>
        <v>12</v>
      </c>
      <c r="H8775" s="593"/>
    </row>
    <row r="8776" customFormat="false" ht="15" hidden="false" customHeight="false" outlineLevel="0" collapsed="false">
      <c r="A8776" s="571"/>
      <c r="B8776" s="608" t="s">
        <v>4128</v>
      </c>
      <c r="C8776" s="609"/>
      <c r="D8776" s="610"/>
      <c r="E8776" s="935"/>
      <c r="F8776" s="946"/>
      <c r="G8776" s="947" t="n">
        <f aca="false">SUM(G8771:G8775)</f>
        <v>303.18</v>
      </c>
      <c r="H8776" s="618"/>
    </row>
    <row r="8777" customFormat="false" ht="45" hidden="false" customHeight="false" outlineLevel="0" collapsed="false">
      <c r="A8777" s="571" t="s">
        <v>1735</v>
      </c>
      <c r="B8777" s="433" t="s">
        <v>3606</v>
      </c>
      <c r="C8777" s="614" t="s">
        <v>5030</v>
      </c>
      <c r="D8777" s="606" t="s">
        <v>4359</v>
      </c>
      <c r="E8777" s="702" t="n">
        <v>0.03</v>
      </c>
      <c r="F8777" s="698" t="n">
        <v>720</v>
      </c>
      <c r="G8777" s="948" t="n">
        <f aca="false">F8777*E8777</f>
        <v>21.6</v>
      </c>
      <c r="H8777" s="593"/>
    </row>
    <row r="8778" customFormat="false" ht="15" hidden="false" customHeight="false" outlineLevel="0" collapsed="false">
      <c r="A8778" s="571"/>
      <c r="B8778" s="433"/>
      <c r="C8778" s="614" t="s">
        <v>5804</v>
      </c>
      <c r="D8778" s="606" t="s">
        <v>4359</v>
      </c>
      <c r="E8778" s="702" t="n">
        <v>0.03</v>
      </c>
      <c r="F8778" s="698" t="n">
        <v>2500</v>
      </c>
      <c r="G8778" s="948" t="n">
        <f aca="false">F8778*E8778</f>
        <v>75</v>
      </c>
      <c r="H8778" s="593"/>
    </row>
    <row r="8779" customFormat="false" ht="15" hidden="false" customHeight="false" outlineLevel="0" collapsed="false">
      <c r="A8779" s="571"/>
      <c r="B8779" s="500"/>
      <c r="C8779" s="614" t="s">
        <v>4515</v>
      </c>
      <c r="D8779" s="606" t="s">
        <v>4133</v>
      </c>
      <c r="E8779" s="702" t="n">
        <v>0.02</v>
      </c>
      <c r="F8779" s="698" t="n">
        <v>1079</v>
      </c>
      <c r="G8779" s="948" t="n">
        <f aca="false">F8779*E8779</f>
        <v>21.58</v>
      </c>
      <c r="H8779" s="593"/>
    </row>
    <row r="8780" customFormat="false" ht="15" hidden="false" customHeight="false" outlineLevel="0" collapsed="false">
      <c r="A8780" s="571"/>
      <c r="B8780" s="500"/>
      <c r="C8780" s="614" t="s">
        <v>4509</v>
      </c>
      <c r="D8780" s="606" t="s">
        <v>4348</v>
      </c>
      <c r="E8780" s="702" t="n">
        <v>1</v>
      </c>
      <c r="F8780" s="698" t="n">
        <v>106</v>
      </c>
      <c r="G8780" s="948" t="n">
        <f aca="false">F8780*E8780</f>
        <v>106</v>
      </c>
      <c r="H8780" s="593"/>
    </row>
    <row r="8781" customFormat="false" ht="15" hidden="false" customHeight="false" outlineLevel="0" collapsed="false">
      <c r="A8781" s="571"/>
      <c r="B8781" s="500"/>
      <c r="C8781" s="614" t="s">
        <v>4347</v>
      </c>
      <c r="D8781" s="606" t="s">
        <v>5788</v>
      </c>
      <c r="E8781" s="702" t="n">
        <v>1</v>
      </c>
      <c r="F8781" s="698" t="n">
        <v>142</v>
      </c>
      <c r="G8781" s="948" t="n">
        <f aca="false">F8781*E8781</f>
        <v>142</v>
      </c>
      <c r="H8781" s="593"/>
    </row>
    <row r="8782" customFormat="false" ht="15" hidden="false" customHeight="false" outlineLevel="0" collapsed="false">
      <c r="A8782" s="571"/>
      <c r="B8782" s="608" t="s">
        <v>4128</v>
      </c>
      <c r="C8782" s="609"/>
      <c r="D8782" s="610"/>
      <c r="E8782" s="935"/>
      <c r="F8782" s="946"/>
      <c r="G8782" s="947" t="n">
        <f aca="false">SUM(G8777:G8781)</f>
        <v>366.18</v>
      </c>
      <c r="H8782" s="618"/>
    </row>
    <row r="8783" customFormat="false" ht="45" hidden="false" customHeight="false" outlineLevel="0" collapsed="false">
      <c r="A8783" s="571" t="s">
        <v>1737</v>
      </c>
      <c r="B8783" s="433" t="s">
        <v>3607</v>
      </c>
      <c r="C8783" s="614" t="s">
        <v>5030</v>
      </c>
      <c r="D8783" s="606" t="s">
        <v>4359</v>
      </c>
      <c r="E8783" s="702" t="n">
        <v>0.03</v>
      </c>
      <c r="F8783" s="698" t="n">
        <v>720</v>
      </c>
      <c r="G8783" s="948" t="n">
        <f aca="false">F8783*E8783</f>
        <v>21.6</v>
      </c>
      <c r="H8783" s="593"/>
    </row>
    <row r="8784" customFormat="false" ht="15" hidden="false" customHeight="false" outlineLevel="0" collapsed="false">
      <c r="A8784" s="571"/>
      <c r="B8784" s="500"/>
      <c r="C8784" s="614" t="s">
        <v>4515</v>
      </c>
      <c r="D8784" s="606" t="s">
        <v>4133</v>
      </c>
      <c r="E8784" s="702" t="n">
        <v>0.02</v>
      </c>
      <c r="F8784" s="698" t="n">
        <v>1079</v>
      </c>
      <c r="G8784" s="948" t="n">
        <f aca="false">F8784*E8784</f>
        <v>21.58</v>
      </c>
      <c r="H8784" s="593"/>
    </row>
    <row r="8785" customFormat="false" ht="15" hidden="false" customHeight="false" outlineLevel="0" collapsed="false">
      <c r="A8785" s="571"/>
      <c r="B8785" s="500"/>
      <c r="C8785" s="614" t="s">
        <v>4347</v>
      </c>
      <c r="D8785" s="606" t="s">
        <v>5788</v>
      </c>
      <c r="E8785" s="702" t="n">
        <v>1</v>
      </c>
      <c r="F8785" s="698" t="n">
        <v>142</v>
      </c>
      <c r="G8785" s="948" t="n">
        <f aca="false">F8785*E8785</f>
        <v>142</v>
      </c>
      <c r="H8785" s="593"/>
    </row>
    <row r="8786" customFormat="false" ht="15" hidden="false" customHeight="false" outlineLevel="0" collapsed="false">
      <c r="A8786" s="571"/>
      <c r="B8786" s="500"/>
      <c r="C8786" s="614" t="s">
        <v>4509</v>
      </c>
      <c r="D8786" s="606" t="s">
        <v>4348</v>
      </c>
      <c r="E8786" s="702" t="n">
        <v>1</v>
      </c>
      <c r="F8786" s="698" t="n">
        <v>106</v>
      </c>
      <c r="G8786" s="948" t="n">
        <f aca="false">F8786*E8786</f>
        <v>106</v>
      </c>
      <c r="H8786" s="606"/>
    </row>
    <row r="8787" customFormat="false" ht="15" hidden="false" customHeight="false" outlineLevel="0" collapsed="false">
      <c r="A8787" s="571"/>
      <c r="B8787" s="608"/>
      <c r="C8787" s="614" t="s">
        <v>5805</v>
      </c>
      <c r="D8787" s="606" t="s">
        <v>4348</v>
      </c>
      <c r="E8787" s="702" t="n">
        <v>1</v>
      </c>
      <c r="F8787" s="698" t="n">
        <v>550</v>
      </c>
      <c r="G8787" s="948" t="n">
        <f aca="false">E8787*F8787</f>
        <v>550</v>
      </c>
      <c r="H8787" s="610"/>
    </row>
    <row r="8788" customFormat="false" ht="15" hidden="false" customHeight="false" outlineLevel="0" collapsed="false">
      <c r="A8788" s="571"/>
      <c r="B8788" s="608" t="s">
        <v>5806</v>
      </c>
      <c r="C8788" s="609"/>
      <c r="D8788" s="606"/>
      <c r="E8788" s="702"/>
      <c r="F8788" s="698"/>
      <c r="G8788" s="947" t="n">
        <f aca="false">SUM(G8783:G8787)</f>
        <v>841.18</v>
      </c>
      <c r="H8788" s="610"/>
    </row>
    <row r="8789" customFormat="false" ht="66.75" hidden="false" customHeight="true" outlineLevel="0" collapsed="false">
      <c r="A8789" s="350" t="s">
        <v>1739</v>
      </c>
      <c r="B8789" s="509" t="s">
        <v>3608</v>
      </c>
      <c r="C8789" s="510"/>
      <c r="D8789" s="350"/>
      <c r="E8789" s="945"/>
      <c r="F8789" s="949"/>
      <c r="G8789" s="950"/>
      <c r="H8789" s="510"/>
    </row>
    <row r="8790" customFormat="false" ht="30" hidden="false" customHeight="false" outlineLevel="0" collapsed="false">
      <c r="A8790" s="327" t="s">
        <v>1741</v>
      </c>
      <c r="B8790" s="433" t="s">
        <v>5807</v>
      </c>
      <c r="C8790" s="614" t="s">
        <v>5030</v>
      </c>
      <c r="D8790" s="606" t="s">
        <v>4359</v>
      </c>
      <c r="E8790" s="702" t="n">
        <v>0.03</v>
      </c>
      <c r="F8790" s="698" t="n">
        <v>720</v>
      </c>
      <c r="G8790" s="948" t="n">
        <f aca="false">F8790*E8790</f>
        <v>21.6</v>
      </c>
      <c r="H8790" s="593"/>
    </row>
    <row r="8791" customFormat="false" ht="15" hidden="false" customHeight="false" outlineLevel="0" collapsed="false">
      <c r="A8791" s="571"/>
      <c r="B8791" s="500"/>
      <c r="C8791" s="614" t="s">
        <v>5804</v>
      </c>
      <c r="D8791" s="606" t="s">
        <v>4359</v>
      </c>
      <c r="E8791" s="702" t="n">
        <v>0.3</v>
      </c>
      <c r="F8791" s="698" t="n">
        <v>2500</v>
      </c>
      <c r="G8791" s="948" t="n">
        <f aca="false">E8791*F8791</f>
        <v>750</v>
      </c>
      <c r="H8791" s="593"/>
    </row>
    <row r="8792" customFormat="false" ht="15" hidden="false" customHeight="false" outlineLevel="0" collapsed="false">
      <c r="A8792" s="571"/>
      <c r="B8792" s="500"/>
      <c r="C8792" s="614" t="s">
        <v>4515</v>
      </c>
      <c r="D8792" s="606" t="s">
        <v>4133</v>
      </c>
      <c r="E8792" s="702" t="n">
        <v>0.02</v>
      </c>
      <c r="F8792" s="698" t="n">
        <v>1079</v>
      </c>
      <c r="G8792" s="948" t="n">
        <f aca="false">F8792*E8792</f>
        <v>21.58</v>
      </c>
      <c r="H8792" s="593"/>
    </row>
    <row r="8793" customFormat="false" ht="15" hidden="false" customHeight="false" outlineLevel="0" collapsed="false">
      <c r="A8793" s="571"/>
      <c r="B8793" s="500"/>
      <c r="C8793" s="614" t="s">
        <v>4347</v>
      </c>
      <c r="D8793" s="606" t="s">
        <v>5788</v>
      </c>
      <c r="E8793" s="702" t="n">
        <v>1</v>
      </c>
      <c r="F8793" s="698" t="n">
        <v>142</v>
      </c>
      <c r="G8793" s="948" t="n">
        <f aca="false">F8793*E8793</f>
        <v>142</v>
      </c>
      <c r="H8793" s="593"/>
    </row>
    <row r="8794" customFormat="false" ht="15" hidden="false" customHeight="false" outlineLevel="0" collapsed="false">
      <c r="A8794" s="571"/>
      <c r="B8794" s="500"/>
      <c r="C8794" s="614" t="s">
        <v>4509</v>
      </c>
      <c r="D8794" s="606" t="s">
        <v>4348</v>
      </c>
      <c r="E8794" s="702" t="n">
        <v>1</v>
      </c>
      <c r="F8794" s="698" t="n">
        <v>106</v>
      </c>
      <c r="G8794" s="948" t="n">
        <f aca="false">F8794*E8794</f>
        <v>106</v>
      </c>
      <c r="H8794" s="593"/>
    </row>
    <row r="8795" customFormat="false" ht="15" hidden="false" customHeight="false" outlineLevel="0" collapsed="false">
      <c r="B8795" s="500"/>
      <c r="C8795" s="614" t="s">
        <v>5795</v>
      </c>
      <c r="D8795" s="606" t="s">
        <v>4348</v>
      </c>
      <c r="E8795" s="702" t="n">
        <v>1</v>
      </c>
      <c r="F8795" s="698" t="n">
        <v>550</v>
      </c>
      <c r="G8795" s="948" t="n">
        <f aca="false">E8795*F8795</f>
        <v>550</v>
      </c>
      <c r="H8795" s="593"/>
    </row>
    <row r="8796" customFormat="false" ht="15" hidden="false" customHeight="false" outlineLevel="0" collapsed="false">
      <c r="B8796" s="608" t="s">
        <v>4128</v>
      </c>
      <c r="C8796" s="609"/>
      <c r="D8796" s="610"/>
      <c r="E8796" s="935"/>
      <c r="F8796" s="946"/>
      <c r="G8796" s="947" t="n">
        <f aca="false">SUM(G8790:G8795)</f>
        <v>1591.18</v>
      </c>
      <c r="H8796" s="610"/>
    </row>
    <row r="8797" customFormat="false" ht="57" hidden="false" customHeight="false" outlineLevel="0" collapsed="false">
      <c r="A8797" s="351" t="s">
        <v>1743</v>
      </c>
      <c r="B8797" s="346" t="s">
        <v>5808</v>
      </c>
      <c r="C8797" s="811"/>
      <c r="D8797" s="790"/>
      <c r="E8797" s="945"/>
      <c r="F8797" s="949"/>
      <c r="G8797" s="950"/>
      <c r="H8797" s="811"/>
    </row>
    <row r="8798" customFormat="false" ht="15" hidden="false" customHeight="false" outlineLevel="0" collapsed="false">
      <c r="A8798" s="327" t="s">
        <v>1745</v>
      </c>
      <c r="B8798" s="433" t="s">
        <v>3611</v>
      </c>
      <c r="C8798" s="614" t="s">
        <v>5030</v>
      </c>
      <c r="D8798" s="606" t="s">
        <v>4359</v>
      </c>
      <c r="E8798" s="702" t="n">
        <v>0.03</v>
      </c>
      <c r="F8798" s="698" t="n">
        <v>720</v>
      </c>
      <c r="G8798" s="948" t="n">
        <f aca="false">F8798*E8798</f>
        <v>21.6</v>
      </c>
      <c r="H8798" s="593"/>
    </row>
    <row r="8799" customFormat="false" ht="15" hidden="false" customHeight="false" outlineLevel="0" collapsed="false">
      <c r="A8799" s="571"/>
      <c r="B8799" s="433"/>
      <c r="C8799" s="614" t="s">
        <v>5804</v>
      </c>
      <c r="D8799" s="606" t="s">
        <v>4359</v>
      </c>
      <c r="E8799" s="702" t="n">
        <v>0.03</v>
      </c>
      <c r="F8799" s="698" t="n">
        <v>2500</v>
      </c>
      <c r="G8799" s="948" t="n">
        <f aca="false">E8799*F8799</f>
        <v>75</v>
      </c>
      <c r="H8799" s="593"/>
    </row>
    <row r="8800" customFormat="false" ht="15" hidden="false" customHeight="false" outlineLevel="0" collapsed="false">
      <c r="A8800" s="571"/>
      <c r="B8800" s="433"/>
      <c r="C8800" s="614" t="s">
        <v>4515</v>
      </c>
      <c r="D8800" s="606" t="s">
        <v>4133</v>
      </c>
      <c r="E8800" s="702" t="n">
        <v>0.02</v>
      </c>
      <c r="F8800" s="698" t="n">
        <v>1079</v>
      </c>
      <c r="G8800" s="948" t="n">
        <f aca="false">F8800*E8800</f>
        <v>21.58</v>
      </c>
      <c r="H8800" s="593"/>
    </row>
    <row r="8801" customFormat="false" ht="15" hidden="false" customHeight="false" outlineLevel="0" collapsed="false">
      <c r="A8801" s="571"/>
      <c r="B8801" s="500"/>
      <c r="C8801" s="614" t="s">
        <v>4347</v>
      </c>
      <c r="D8801" s="606" t="s">
        <v>5788</v>
      </c>
      <c r="E8801" s="702" t="n">
        <v>1</v>
      </c>
      <c r="F8801" s="698" t="n">
        <v>142</v>
      </c>
      <c r="G8801" s="948" t="n">
        <f aca="false">F8801*E8801</f>
        <v>142</v>
      </c>
      <c r="H8801" s="593"/>
    </row>
    <row r="8802" customFormat="false" ht="15" hidden="false" customHeight="false" outlineLevel="0" collapsed="false">
      <c r="A8802" s="571"/>
      <c r="B8802" s="500"/>
      <c r="C8802" s="614" t="s">
        <v>4509</v>
      </c>
      <c r="D8802" s="606" t="s">
        <v>4348</v>
      </c>
      <c r="E8802" s="702" t="n">
        <v>1</v>
      </c>
      <c r="F8802" s="698" t="n">
        <v>106</v>
      </c>
      <c r="G8802" s="948" t="n">
        <f aca="false">F8802*E8802</f>
        <v>106</v>
      </c>
      <c r="H8802" s="593"/>
    </row>
    <row r="8803" customFormat="false" ht="15" hidden="false" customHeight="false" outlineLevel="0" collapsed="false">
      <c r="A8803" s="571"/>
      <c r="B8803" s="608" t="s">
        <v>4128</v>
      </c>
      <c r="C8803" s="609"/>
      <c r="D8803" s="610"/>
      <c r="E8803" s="935"/>
      <c r="F8803" s="946"/>
      <c r="G8803" s="947" t="n">
        <f aca="false">SUM(G8798:G8802)</f>
        <v>366.18</v>
      </c>
      <c r="H8803" s="618"/>
    </row>
    <row r="8804" customFormat="false" ht="15" hidden="false" customHeight="false" outlineLevel="0" collapsed="false">
      <c r="A8804" s="578" t="s">
        <v>1747</v>
      </c>
      <c r="B8804" s="433" t="s">
        <v>3612</v>
      </c>
      <c r="C8804" s="614" t="s">
        <v>5030</v>
      </c>
      <c r="D8804" s="606" t="s">
        <v>4359</v>
      </c>
      <c r="E8804" s="702" t="n">
        <v>0.03</v>
      </c>
      <c r="F8804" s="698" t="n">
        <v>720</v>
      </c>
      <c r="G8804" s="948" t="n">
        <f aca="false">F8804*E8804</f>
        <v>21.6</v>
      </c>
      <c r="H8804" s="593"/>
    </row>
    <row r="8805" customFormat="false" ht="15" hidden="false" customHeight="false" outlineLevel="0" collapsed="false">
      <c r="A8805" s="571"/>
      <c r="B8805" s="433"/>
      <c r="C8805" s="614" t="s">
        <v>4515</v>
      </c>
      <c r="D8805" s="606" t="s">
        <v>4133</v>
      </c>
      <c r="E8805" s="702" t="n">
        <v>0.02</v>
      </c>
      <c r="F8805" s="698" t="n">
        <v>1079</v>
      </c>
      <c r="G8805" s="948" t="n">
        <f aca="false">F8805*E8805</f>
        <v>21.58</v>
      </c>
      <c r="H8805" s="593"/>
    </row>
    <row r="8806" customFormat="false" ht="15" hidden="false" customHeight="false" outlineLevel="0" collapsed="false">
      <c r="A8806" s="571"/>
      <c r="B8806" s="500"/>
      <c r="C8806" s="614" t="s">
        <v>4347</v>
      </c>
      <c r="D8806" s="606" t="s">
        <v>5788</v>
      </c>
      <c r="E8806" s="702" t="n">
        <v>1</v>
      </c>
      <c r="F8806" s="698" t="n">
        <v>142</v>
      </c>
      <c r="G8806" s="948" t="n">
        <f aca="false">F8806*E8806</f>
        <v>142</v>
      </c>
      <c r="H8806" s="593"/>
    </row>
    <row r="8807" customFormat="false" ht="15" hidden="false" customHeight="false" outlineLevel="0" collapsed="false">
      <c r="A8807" s="571"/>
      <c r="B8807" s="500"/>
      <c r="C8807" s="614" t="s">
        <v>4509</v>
      </c>
      <c r="D8807" s="606" t="s">
        <v>4348</v>
      </c>
      <c r="E8807" s="702" t="n">
        <v>1</v>
      </c>
      <c r="F8807" s="698" t="n">
        <v>106</v>
      </c>
      <c r="G8807" s="948" t="n">
        <f aca="false">F8807*E8807</f>
        <v>106</v>
      </c>
      <c r="H8807" s="593"/>
    </row>
    <row r="8808" customFormat="false" ht="15" hidden="false" customHeight="false" outlineLevel="0" collapsed="false">
      <c r="A8808" s="571"/>
      <c r="B8808" s="608" t="s">
        <v>4128</v>
      </c>
      <c r="C8808" s="609"/>
      <c r="D8808" s="610"/>
      <c r="E8808" s="935"/>
      <c r="F8808" s="946"/>
      <c r="G8808" s="947" t="n">
        <f aca="false">SUM(G8804:G8807)</f>
        <v>291.18</v>
      </c>
      <c r="H8808" s="610"/>
    </row>
    <row r="8809" customFormat="false" ht="15" hidden="false" customHeight="false" outlineLevel="0" collapsed="false">
      <c r="A8809" s="351" t="s">
        <v>1749</v>
      </c>
      <c r="B8809" s="346" t="s">
        <v>3613</v>
      </c>
      <c r="C8809" s="811"/>
      <c r="D8809" s="790"/>
      <c r="E8809" s="945"/>
      <c r="F8809" s="949"/>
      <c r="G8809" s="950"/>
      <c r="H8809" s="811"/>
    </row>
    <row r="8810" customFormat="false" ht="30" hidden="false" customHeight="false" outlineLevel="0" collapsed="false">
      <c r="A8810" s="571" t="s">
        <v>1751</v>
      </c>
      <c r="B8810" s="433" t="s">
        <v>3614</v>
      </c>
      <c r="C8810" s="614" t="s">
        <v>5030</v>
      </c>
      <c r="D8810" s="606" t="s">
        <v>4359</v>
      </c>
      <c r="E8810" s="702" t="n">
        <v>0.03</v>
      </c>
      <c r="F8810" s="698" t="n">
        <v>720</v>
      </c>
      <c r="G8810" s="948" t="n">
        <f aca="false">F8810*E8810</f>
        <v>21.6</v>
      </c>
      <c r="H8810" s="593"/>
    </row>
    <row r="8811" customFormat="false" ht="15" hidden="false" customHeight="false" outlineLevel="0" collapsed="false">
      <c r="B8811" s="433"/>
      <c r="C8811" s="614" t="s">
        <v>5804</v>
      </c>
      <c r="D8811" s="606" t="s">
        <v>4359</v>
      </c>
      <c r="E8811" s="702" t="n">
        <v>0.3</v>
      </c>
      <c r="F8811" s="698" t="n">
        <v>2500</v>
      </c>
      <c r="G8811" s="948" t="n">
        <f aca="false">E8811*F8811</f>
        <v>750</v>
      </c>
      <c r="H8811" s="593"/>
    </row>
    <row r="8812" customFormat="false" ht="15" hidden="false" customHeight="false" outlineLevel="0" collapsed="false">
      <c r="A8812" s="571"/>
      <c r="B8812" s="433"/>
      <c r="C8812" s="614" t="s">
        <v>4515</v>
      </c>
      <c r="D8812" s="606" t="s">
        <v>4133</v>
      </c>
      <c r="E8812" s="702" t="n">
        <v>0.02</v>
      </c>
      <c r="F8812" s="698" t="n">
        <v>1079</v>
      </c>
      <c r="G8812" s="948" t="n">
        <f aca="false">F8812*E8812</f>
        <v>21.58</v>
      </c>
      <c r="H8812" s="593"/>
    </row>
    <row r="8813" customFormat="false" ht="15" hidden="false" customHeight="false" outlineLevel="0" collapsed="false">
      <c r="A8813" s="571"/>
      <c r="B8813" s="433"/>
      <c r="C8813" s="614" t="s">
        <v>4347</v>
      </c>
      <c r="D8813" s="606" t="s">
        <v>5788</v>
      </c>
      <c r="E8813" s="702" t="n">
        <v>1</v>
      </c>
      <c r="F8813" s="698" t="n">
        <v>142</v>
      </c>
      <c r="G8813" s="948" t="n">
        <f aca="false">F8813*E8813</f>
        <v>142</v>
      </c>
      <c r="H8813" s="593"/>
    </row>
    <row r="8814" customFormat="false" ht="15" hidden="false" customHeight="false" outlineLevel="0" collapsed="false">
      <c r="A8814" s="571"/>
      <c r="B8814" s="433"/>
      <c r="C8814" s="614" t="s">
        <v>4509</v>
      </c>
      <c r="D8814" s="606" t="s">
        <v>4348</v>
      </c>
      <c r="E8814" s="702" t="n">
        <v>1</v>
      </c>
      <c r="F8814" s="698" t="n">
        <v>106</v>
      </c>
      <c r="G8814" s="948" t="n">
        <f aca="false">F8814*E8814</f>
        <v>106</v>
      </c>
      <c r="H8814" s="593"/>
    </row>
    <row r="8815" customFormat="false" ht="15" hidden="false" customHeight="false" outlineLevel="0" collapsed="false">
      <c r="A8815" s="571"/>
      <c r="B8815" s="433"/>
      <c r="C8815" s="614" t="s">
        <v>5795</v>
      </c>
      <c r="D8815" s="606" t="s">
        <v>4348</v>
      </c>
      <c r="E8815" s="702" t="n">
        <v>1</v>
      </c>
      <c r="F8815" s="698" t="n">
        <v>550</v>
      </c>
      <c r="G8815" s="948" t="n">
        <f aca="false">E8815*F8815</f>
        <v>550</v>
      </c>
      <c r="H8815" s="593"/>
    </row>
    <row r="8816" customFormat="false" ht="15" hidden="false" customHeight="false" outlineLevel="0" collapsed="false">
      <c r="A8816" s="952"/>
      <c r="B8816" s="608" t="s">
        <v>4128</v>
      </c>
      <c r="C8816" s="609"/>
      <c r="D8816" s="610"/>
      <c r="E8816" s="935"/>
      <c r="F8816" s="946"/>
      <c r="G8816" s="947" t="n">
        <f aca="false">SUM(G8810:G8815)</f>
        <v>1591.18</v>
      </c>
      <c r="H8816" s="610"/>
    </row>
    <row r="8817" customFormat="false" ht="15" hidden="false" customHeight="false" outlineLevel="0" collapsed="false">
      <c r="A8817" s="571" t="s">
        <v>1753</v>
      </c>
      <c r="B8817" s="433" t="s">
        <v>3592</v>
      </c>
      <c r="C8817" s="614" t="s">
        <v>5030</v>
      </c>
      <c r="D8817" s="606" t="s">
        <v>4359</v>
      </c>
      <c r="E8817" s="702" t="n">
        <v>0.03</v>
      </c>
      <c r="F8817" s="698" t="n">
        <v>720</v>
      </c>
      <c r="G8817" s="948" t="n">
        <f aca="false">F8817*E8817</f>
        <v>21.6</v>
      </c>
      <c r="H8817" s="593"/>
    </row>
    <row r="8818" customFormat="false" ht="15" hidden="false" customHeight="false" outlineLevel="0" collapsed="false">
      <c r="A8818" s="571"/>
      <c r="B8818" s="433"/>
      <c r="C8818" s="614" t="s">
        <v>4515</v>
      </c>
      <c r="D8818" s="606" t="s">
        <v>4133</v>
      </c>
      <c r="E8818" s="702" t="n">
        <v>0.02</v>
      </c>
      <c r="F8818" s="698" t="n">
        <v>1079</v>
      </c>
      <c r="G8818" s="948" t="n">
        <f aca="false">F8818*E8818</f>
        <v>21.58</v>
      </c>
      <c r="H8818" s="593"/>
    </row>
    <row r="8819" customFormat="false" ht="15" hidden="false" customHeight="false" outlineLevel="0" collapsed="false">
      <c r="A8819" s="571"/>
      <c r="B8819" s="433"/>
      <c r="C8819" s="614" t="s">
        <v>4124</v>
      </c>
      <c r="D8819" s="606" t="s">
        <v>4125</v>
      </c>
      <c r="E8819" s="702" t="n">
        <v>0.3</v>
      </c>
      <c r="F8819" s="698" t="n">
        <v>60</v>
      </c>
      <c r="G8819" s="948" t="n">
        <f aca="false">E8819*F8819</f>
        <v>18</v>
      </c>
      <c r="H8819" s="593"/>
    </row>
    <row r="8820" customFormat="false" ht="15" hidden="false" customHeight="false" outlineLevel="0" collapsed="false">
      <c r="A8820" s="571"/>
      <c r="B8820" s="433"/>
      <c r="C8820" s="614" t="s">
        <v>4347</v>
      </c>
      <c r="D8820" s="606" t="s">
        <v>5788</v>
      </c>
      <c r="E8820" s="702" t="n">
        <v>1</v>
      </c>
      <c r="F8820" s="698" t="n">
        <v>142</v>
      </c>
      <c r="G8820" s="948" t="n">
        <f aca="false">E8820*F8820</f>
        <v>142</v>
      </c>
      <c r="H8820" s="593"/>
    </row>
    <row r="8821" customFormat="false" ht="15" hidden="false" customHeight="false" outlineLevel="0" collapsed="false">
      <c r="A8821" s="571"/>
      <c r="B8821" s="433"/>
      <c r="C8821" s="614" t="s">
        <v>4509</v>
      </c>
      <c r="D8821" s="606" t="s">
        <v>4348</v>
      </c>
      <c r="E8821" s="702" t="n">
        <v>1</v>
      </c>
      <c r="F8821" s="698" t="n">
        <v>106</v>
      </c>
      <c r="G8821" s="948" t="n">
        <f aca="false">F8821*E8821</f>
        <v>106</v>
      </c>
      <c r="H8821" s="606"/>
    </row>
    <row r="8822" customFormat="false" ht="15" hidden="false" customHeight="false" outlineLevel="0" collapsed="false">
      <c r="A8822" s="571"/>
      <c r="B8822" s="433"/>
      <c r="C8822" s="614" t="s">
        <v>5795</v>
      </c>
      <c r="D8822" s="606" t="s">
        <v>4348</v>
      </c>
      <c r="E8822" s="702" t="n">
        <v>1</v>
      </c>
      <c r="F8822" s="698" t="n">
        <v>550</v>
      </c>
      <c r="G8822" s="948" t="n">
        <f aca="false">E8822*F8822</f>
        <v>550</v>
      </c>
      <c r="H8822" s="606"/>
    </row>
    <row r="8823" customFormat="false" ht="15" hidden="false" customHeight="false" outlineLevel="0" collapsed="false">
      <c r="A8823" s="571"/>
      <c r="B8823" s="608" t="s">
        <v>4128</v>
      </c>
      <c r="C8823" s="609"/>
      <c r="D8823" s="610"/>
      <c r="E8823" s="935"/>
      <c r="F8823" s="946"/>
      <c r="G8823" s="947" t="n">
        <f aca="false">SUM(G8817:G8822)</f>
        <v>859.18</v>
      </c>
      <c r="H8823" s="610"/>
    </row>
    <row r="8824" customFormat="false" ht="42.75" hidden="false" customHeight="false" outlineLevel="0" collapsed="false">
      <c r="A8824" s="351" t="s">
        <v>1754</v>
      </c>
      <c r="B8824" s="346" t="s">
        <v>3615</v>
      </c>
      <c r="C8824" s="811"/>
      <c r="D8824" s="790"/>
      <c r="E8824" s="945"/>
      <c r="F8824" s="949"/>
      <c r="G8824" s="950"/>
      <c r="H8824" s="811"/>
    </row>
    <row r="8825" customFormat="false" ht="30" hidden="false" customHeight="false" outlineLevel="0" collapsed="false">
      <c r="A8825" s="327" t="s">
        <v>1756</v>
      </c>
      <c r="B8825" s="433" t="s">
        <v>3616</v>
      </c>
      <c r="C8825" s="614" t="s">
        <v>4147</v>
      </c>
      <c r="D8825" s="606" t="s">
        <v>4359</v>
      </c>
      <c r="E8825" s="705" t="n">
        <v>0.001</v>
      </c>
      <c r="F8825" s="698" t="n">
        <v>3600</v>
      </c>
      <c r="G8825" s="948" t="n">
        <f aca="false">F8825*E8825</f>
        <v>3.6</v>
      </c>
      <c r="H8825" s="593"/>
    </row>
    <row r="8826" customFormat="false" ht="15" hidden="false" customHeight="false" outlineLevel="0" collapsed="false">
      <c r="A8826" s="571"/>
      <c r="B8826" s="433"/>
      <c r="C8826" s="614" t="s">
        <v>5030</v>
      </c>
      <c r="D8826" s="606" t="s">
        <v>4359</v>
      </c>
      <c r="E8826" s="702" t="n">
        <v>0.05</v>
      </c>
      <c r="F8826" s="698" t="n">
        <v>720</v>
      </c>
      <c r="G8826" s="948" t="n">
        <f aca="false">F8826*E8826</f>
        <v>36</v>
      </c>
      <c r="H8826" s="593"/>
    </row>
    <row r="8827" customFormat="false" ht="15" hidden="false" customHeight="false" outlineLevel="0" collapsed="false">
      <c r="A8827" s="571"/>
      <c r="B8827" s="433"/>
      <c r="C8827" s="614" t="s">
        <v>4515</v>
      </c>
      <c r="D8827" s="606" t="s">
        <v>4133</v>
      </c>
      <c r="E8827" s="702" t="n">
        <v>0.02</v>
      </c>
      <c r="F8827" s="698" t="n">
        <v>1079</v>
      </c>
      <c r="G8827" s="948" t="n">
        <f aca="false">F8827*E8827</f>
        <v>21.58</v>
      </c>
      <c r="H8827" s="593"/>
    </row>
    <row r="8828" customFormat="false" ht="15" hidden="false" customHeight="false" outlineLevel="0" collapsed="false">
      <c r="A8828" s="571"/>
      <c r="B8828" s="500"/>
      <c r="C8828" s="614" t="s">
        <v>4347</v>
      </c>
      <c r="D8828" s="606" t="s">
        <v>5788</v>
      </c>
      <c r="E8828" s="702" t="n">
        <v>3</v>
      </c>
      <c r="F8828" s="698" t="n">
        <v>142</v>
      </c>
      <c r="G8828" s="948" t="n">
        <f aca="false">F8828*E8828</f>
        <v>426</v>
      </c>
      <c r="H8828" s="593"/>
    </row>
    <row r="8829" customFormat="false" ht="15" hidden="false" customHeight="false" outlineLevel="0" collapsed="false">
      <c r="A8829" s="571"/>
      <c r="B8829" s="433"/>
      <c r="C8829" s="614" t="s">
        <v>4189</v>
      </c>
      <c r="D8829" s="606" t="s">
        <v>4359</v>
      </c>
      <c r="E8829" s="705" t="n">
        <v>0.005</v>
      </c>
      <c r="F8829" s="698" t="n">
        <v>1815</v>
      </c>
      <c r="G8829" s="948" t="n">
        <f aca="false">F8829*E8829</f>
        <v>9.075</v>
      </c>
      <c r="H8829" s="606"/>
    </row>
    <row r="8830" customFormat="false" ht="15" hidden="false" customHeight="false" outlineLevel="0" collapsed="false">
      <c r="A8830" s="571"/>
      <c r="B8830" s="433"/>
      <c r="C8830" s="614" t="s">
        <v>5799</v>
      </c>
      <c r="D8830" s="606" t="s">
        <v>4348</v>
      </c>
      <c r="E8830" s="702" t="n">
        <v>10</v>
      </c>
      <c r="F8830" s="698" t="n">
        <v>5.5</v>
      </c>
      <c r="G8830" s="948" t="n">
        <f aca="false">E8830*F8830</f>
        <v>55</v>
      </c>
      <c r="H8830" s="606"/>
    </row>
    <row r="8831" customFormat="false" ht="15" hidden="false" customHeight="false" outlineLevel="0" collapsed="false">
      <c r="A8831" s="952"/>
      <c r="B8831" s="433"/>
      <c r="C8831" s="614" t="s">
        <v>4509</v>
      </c>
      <c r="D8831" s="606" t="s">
        <v>4348</v>
      </c>
      <c r="E8831" s="702" t="n">
        <v>3</v>
      </c>
      <c r="F8831" s="698" t="n">
        <v>106</v>
      </c>
      <c r="G8831" s="948" t="n">
        <f aca="false">E8831*F8831</f>
        <v>318</v>
      </c>
      <c r="H8831" s="606"/>
    </row>
    <row r="8832" customFormat="false" ht="15" hidden="false" customHeight="false" outlineLevel="0" collapsed="false">
      <c r="A8832" s="571"/>
      <c r="B8832" s="433"/>
      <c r="C8832" s="614" t="s">
        <v>4229</v>
      </c>
      <c r="D8832" s="606" t="s">
        <v>4191</v>
      </c>
      <c r="E8832" s="702" t="n">
        <v>5</v>
      </c>
      <c r="F8832" s="698" t="n">
        <v>12</v>
      </c>
      <c r="G8832" s="948" t="n">
        <f aca="false">E8832*F8832</f>
        <v>60</v>
      </c>
      <c r="H8832" s="606"/>
    </row>
    <row r="8833" customFormat="false" ht="15" hidden="false" customHeight="false" outlineLevel="0" collapsed="false">
      <c r="A8833" s="571"/>
      <c r="B8833" s="608" t="s">
        <v>4128</v>
      </c>
      <c r="C8833" s="609"/>
      <c r="D8833" s="610"/>
      <c r="E8833" s="935"/>
      <c r="F8833" s="946"/>
      <c r="G8833" s="947" t="n">
        <f aca="false">SUM(G8825:G8832)</f>
        <v>929.255</v>
      </c>
      <c r="H8833" s="610"/>
    </row>
    <row r="8834" customFormat="false" ht="15" hidden="false" customHeight="false" outlineLevel="0" collapsed="false">
      <c r="A8834" s="571" t="s">
        <v>1758</v>
      </c>
      <c r="B8834" s="433" t="s">
        <v>3594</v>
      </c>
      <c r="C8834" s="614" t="s">
        <v>4189</v>
      </c>
      <c r="D8834" s="606" t="s">
        <v>4359</v>
      </c>
      <c r="E8834" s="702" t="n">
        <v>0.05</v>
      </c>
      <c r="F8834" s="698" t="n">
        <v>1815</v>
      </c>
      <c r="G8834" s="948" t="n">
        <f aca="false">F8834*E8834</f>
        <v>90.75</v>
      </c>
      <c r="H8834" s="593"/>
    </row>
    <row r="8835" customFormat="false" ht="15" hidden="false" customHeight="false" outlineLevel="0" collapsed="false">
      <c r="A8835" s="571"/>
      <c r="B8835" s="433"/>
      <c r="C8835" s="614" t="s">
        <v>4154</v>
      </c>
      <c r="D8835" s="606" t="s">
        <v>4359</v>
      </c>
      <c r="E8835" s="702" t="n">
        <v>0.3</v>
      </c>
      <c r="F8835" s="698" t="n">
        <v>2731</v>
      </c>
      <c r="G8835" s="948" t="n">
        <f aca="false">F8835*E8835</f>
        <v>819.3</v>
      </c>
      <c r="H8835" s="593"/>
    </row>
    <row r="8836" customFormat="false" ht="15" hidden="false" customHeight="false" outlineLevel="0" collapsed="false">
      <c r="A8836" s="571"/>
      <c r="B8836" s="433"/>
      <c r="C8836" s="614" t="s">
        <v>5791</v>
      </c>
      <c r="D8836" s="606" t="s">
        <v>4133</v>
      </c>
      <c r="E8836" s="705" t="n">
        <v>0.002</v>
      </c>
      <c r="F8836" s="698" t="n">
        <v>10560</v>
      </c>
      <c r="G8836" s="948" t="n">
        <f aca="false">F8836*E8836</f>
        <v>21.12</v>
      </c>
      <c r="H8836" s="593"/>
    </row>
    <row r="8837" customFormat="false" ht="30" hidden="false" customHeight="false" outlineLevel="0" collapsed="false">
      <c r="A8837" s="571"/>
      <c r="B8837" s="433"/>
      <c r="C8837" s="614" t="s">
        <v>5792</v>
      </c>
      <c r="D8837" s="606" t="s">
        <v>4133</v>
      </c>
      <c r="E8837" s="705" t="n">
        <v>0.001</v>
      </c>
      <c r="F8837" s="698" t="n">
        <v>7150</v>
      </c>
      <c r="G8837" s="948" t="n">
        <f aca="false">F8837*E8837</f>
        <v>7.15</v>
      </c>
      <c r="H8837" s="593"/>
    </row>
    <row r="8838" customFormat="false" ht="15" hidden="false" customHeight="false" outlineLevel="0" collapsed="false">
      <c r="A8838" s="571"/>
      <c r="B8838" s="433"/>
      <c r="C8838" s="614" t="s">
        <v>5793</v>
      </c>
      <c r="D8838" s="606" t="s">
        <v>4133</v>
      </c>
      <c r="E8838" s="705" t="n">
        <v>0.003</v>
      </c>
      <c r="F8838" s="698" t="n">
        <v>62810</v>
      </c>
      <c r="G8838" s="948" t="n">
        <f aca="false">F8838*E8838</f>
        <v>188.43</v>
      </c>
      <c r="H8838" s="593"/>
    </row>
    <row r="8839" customFormat="false" ht="15" hidden="false" customHeight="false" outlineLevel="0" collapsed="false">
      <c r="A8839" s="571"/>
      <c r="B8839" s="433"/>
      <c r="C8839" s="614" t="s">
        <v>5794</v>
      </c>
      <c r="D8839" s="606" t="s">
        <v>4133</v>
      </c>
      <c r="E8839" s="705" t="n">
        <v>0.001</v>
      </c>
      <c r="F8839" s="698" t="n">
        <v>45650</v>
      </c>
      <c r="G8839" s="948" t="n">
        <f aca="false">F8839*E8839</f>
        <v>45.65</v>
      </c>
      <c r="H8839" s="606"/>
    </row>
    <row r="8840" customFormat="false" ht="15" hidden="false" customHeight="false" outlineLevel="0" collapsed="false">
      <c r="A8840" s="571"/>
      <c r="B8840" s="433"/>
      <c r="C8840" s="614" t="s">
        <v>4171</v>
      </c>
      <c r="D8840" s="606" t="s">
        <v>4359</v>
      </c>
      <c r="E8840" s="702" t="n">
        <v>0.01</v>
      </c>
      <c r="F8840" s="698" t="n">
        <v>1500</v>
      </c>
      <c r="G8840" s="948" t="n">
        <f aca="false">F8840*E8840</f>
        <v>15</v>
      </c>
      <c r="H8840" s="606"/>
    </row>
    <row r="8841" customFormat="false" ht="15" hidden="false" customHeight="false" outlineLevel="0" collapsed="false">
      <c r="A8841" s="571"/>
      <c r="B8841" s="433"/>
      <c r="C8841" s="614" t="s">
        <v>4776</v>
      </c>
      <c r="D8841" s="606" t="s">
        <v>4359</v>
      </c>
      <c r="E8841" s="702" t="n">
        <v>0.05</v>
      </c>
      <c r="F8841" s="698" t="n">
        <v>720</v>
      </c>
      <c r="G8841" s="948" t="n">
        <f aca="false">F8841*E8841</f>
        <v>36</v>
      </c>
      <c r="H8841" s="606"/>
    </row>
    <row r="8842" customFormat="false" ht="15" hidden="false" customHeight="false" outlineLevel="0" collapsed="false">
      <c r="A8842" s="571"/>
      <c r="B8842" s="500"/>
      <c r="C8842" s="614" t="s">
        <v>4515</v>
      </c>
      <c r="D8842" s="606" t="s">
        <v>4133</v>
      </c>
      <c r="E8842" s="705" t="n">
        <v>0.002</v>
      </c>
      <c r="F8842" s="698" t="n">
        <v>1079</v>
      </c>
      <c r="G8842" s="948" t="n">
        <f aca="false">F8842*E8842</f>
        <v>2.158</v>
      </c>
      <c r="H8842" s="606"/>
    </row>
    <row r="8843" customFormat="false" ht="15" hidden="false" customHeight="false" outlineLevel="0" collapsed="false">
      <c r="A8843" s="571"/>
      <c r="B8843" s="433"/>
      <c r="C8843" s="614" t="s">
        <v>5795</v>
      </c>
      <c r="D8843" s="606" t="s">
        <v>4348</v>
      </c>
      <c r="E8843" s="702" t="n">
        <v>1</v>
      </c>
      <c r="F8843" s="698" t="n">
        <v>7.5</v>
      </c>
      <c r="G8843" s="948" t="n">
        <f aca="false">E8843*F8843</f>
        <v>7.5</v>
      </c>
      <c r="H8843" s="606"/>
    </row>
    <row r="8844" customFormat="false" ht="15" hidden="false" customHeight="false" outlineLevel="0" collapsed="false">
      <c r="A8844" s="571"/>
      <c r="B8844" s="433"/>
      <c r="C8844" s="614" t="s">
        <v>4347</v>
      </c>
      <c r="D8844" s="606" t="s">
        <v>5788</v>
      </c>
      <c r="E8844" s="702" t="n">
        <v>3</v>
      </c>
      <c r="F8844" s="698" t="n">
        <v>142</v>
      </c>
      <c r="G8844" s="948" t="n">
        <f aca="false">E8844*F8844</f>
        <v>426</v>
      </c>
      <c r="H8844" s="606"/>
    </row>
    <row r="8845" customFormat="false" ht="15" hidden="false" customHeight="false" outlineLevel="0" collapsed="false">
      <c r="A8845" s="571"/>
      <c r="B8845" s="433"/>
      <c r="C8845" s="614" t="s">
        <v>4509</v>
      </c>
      <c r="D8845" s="606" t="s">
        <v>4191</v>
      </c>
      <c r="E8845" s="702" t="n">
        <v>3</v>
      </c>
      <c r="F8845" s="698" t="n">
        <v>106</v>
      </c>
      <c r="G8845" s="948" t="n">
        <f aca="false">E8845*F8845</f>
        <v>318</v>
      </c>
      <c r="H8845" s="606"/>
    </row>
    <row r="8846" customFormat="false" ht="15" hidden="false" customHeight="false" outlineLevel="0" collapsed="false">
      <c r="A8846" s="571"/>
      <c r="B8846" s="433"/>
      <c r="C8846" s="614" t="s">
        <v>5796</v>
      </c>
      <c r="D8846" s="606" t="s">
        <v>4133</v>
      </c>
      <c r="E8846" s="622" t="n">
        <v>0.0001</v>
      </c>
      <c r="F8846" s="698" t="n">
        <v>1250000</v>
      </c>
      <c r="G8846" s="948" t="n">
        <f aca="false">E8846*F8846</f>
        <v>125</v>
      </c>
      <c r="H8846" s="606"/>
    </row>
    <row r="8847" customFormat="false" ht="15" hidden="false" customHeight="false" outlineLevel="0" collapsed="false">
      <c r="A8847" s="571"/>
      <c r="B8847" s="608" t="s">
        <v>4128</v>
      </c>
      <c r="C8847" s="609"/>
      <c r="D8847" s="610"/>
      <c r="E8847" s="935"/>
      <c r="F8847" s="946"/>
      <c r="G8847" s="947" t="n">
        <f aca="false">SUM(G8834:G8846)</f>
        <v>2102.058</v>
      </c>
      <c r="H8847" s="610"/>
    </row>
    <row r="8848" customFormat="false" ht="15" hidden="false" customHeight="false" outlineLevel="0" collapsed="false">
      <c r="A8848" s="571" t="s">
        <v>1759</v>
      </c>
      <c r="B8848" s="433" t="s">
        <v>3595</v>
      </c>
      <c r="C8848" s="614" t="s">
        <v>5797</v>
      </c>
      <c r="D8848" s="606" t="s">
        <v>4133</v>
      </c>
      <c r="E8848" s="622" t="n">
        <v>0.0001</v>
      </c>
      <c r="F8848" s="698" t="n">
        <v>17050</v>
      </c>
      <c r="G8848" s="948" t="n">
        <f aca="false">F8848*E8848</f>
        <v>1.705</v>
      </c>
      <c r="H8848" s="593"/>
    </row>
    <row r="8849" customFormat="false" ht="15" hidden="false" customHeight="false" outlineLevel="0" collapsed="false">
      <c r="A8849" s="571"/>
      <c r="B8849" s="433"/>
      <c r="C8849" s="614" t="s">
        <v>5798</v>
      </c>
      <c r="D8849" s="606" t="s">
        <v>4133</v>
      </c>
      <c r="E8849" s="622" t="n">
        <v>0.0001</v>
      </c>
      <c r="F8849" s="698" t="n">
        <v>1340000</v>
      </c>
      <c r="G8849" s="948" t="n">
        <f aca="false">F8849*E8849</f>
        <v>134</v>
      </c>
      <c r="H8849" s="593"/>
    </row>
    <row r="8850" customFormat="false" ht="15" hidden="false" customHeight="false" outlineLevel="0" collapsed="false">
      <c r="A8850" s="571"/>
      <c r="B8850" s="433"/>
      <c r="C8850" s="614" t="s">
        <v>4536</v>
      </c>
      <c r="D8850" s="606" t="s">
        <v>4359</v>
      </c>
      <c r="E8850" s="705" t="n">
        <v>0.005</v>
      </c>
      <c r="F8850" s="698" t="n">
        <v>1500</v>
      </c>
      <c r="G8850" s="948" t="n">
        <f aca="false">F8850*E8850</f>
        <v>7.5</v>
      </c>
      <c r="H8850" s="593"/>
    </row>
    <row r="8851" customFormat="false" ht="15" hidden="false" customHeight="false" outlineLevel="0" collapsed="false">
      <c r="A8851" s="571"/>
      <c r="B8851" s="433"/>
      <c r="C8851" s="614" t="s">
        <v>5513</v>
      </c>
      <c r="D8851" s="606" t="s">
        <v>4133</v>
      </c>
      <c r="E8851" s="622" t="n">
        <v>0.0001</v>
      </c>
      <c r="F8851" s="698" t="n">
        <v>271040</v>
      </c>
      <c r="G8851" s="948" t="n">
        <f aca="false">F8851*E8851</f>
        <v>27.104</v>
      </c>
      <c r="H8851" s="593"/>
    </row>
    <row r="8852" customFormat="false" ht="15" hidden="false" customHeight="false" outlineLevel="0" collapsed="false">
      <c r="A8852" s="571"/>
      <c r="B8852" s="433"/>
      <c r="C8852" s="614" t="s">
        <v>4678</v>
      </c>
      <c r="D8852" s="606" t="s">
        <v>4133</v>
      </c>
      <c r="E8852" s="552" t="n">
        <v>0.03</v>
      </c>
      <c r="F8852" s="698" t="n">
        <v>8030</v>
      </c>
      <c r="G8852" s="948" t="n">
        <f aca="false">F8852*E8852</f>
        <v>240.9</v>
      </c>
      <c r="H8852" s="593"/>
    </row>
    <row r="8853" customFormat="false" ht="15" hidden="false" customHeight="false" outlineLevel="0" collapsed="false">
      <c r="A8853" s="571"/>
      <c r="B8853" s="433"/>
      <c r="C8853" s="614" t="s">
        <v>4154</v>
      </c>
      <c r="D8853" s="606" t="s">
        <v>4359</v>
      </c>
      <c r="E8853" s="552" t="n">
        <v>0.1</v>
      </c>
      <c r="F8853" s="698" t="n">
        <v>2731</v>
      </c>
      <c r="G8853" s="948" t="n">
        <f aca="false">F8853*E8853</f>
        <v>273.1</v>
      </c>
      <c r="H8853" s="606"/>
    </row>
    <row r="8854" customFormat="false" ht="15" hidden="false" customHeight="false" outlineLevel="0" collapsed="false">
      <c r="A8854" s="571"/>
      <c r="B8854" s="433"/>
      <c r="C8854" s="614" t="s">
        <v>4390</v>
      </c>
      <c r="D8854" s="606" t="s">
        <v>4133</v>
      </c>
      <c r="E8854" s="622" t="n">
        <v>0.0005</v>
      </c>
      <c r="F8854" s="698" t="n">
        <v>5000</v>
      </c>
      <c r="G8854" s="948" t="n">
        <f aca="false">F8854*E8854</f>
        <v>2.5</v>
      </c>
      <c r="H8854" s="606"/>
    </row>
    <row r="8855" customFormat="false" ht="15" hidden="false" customHeight="false" outlineLevel="0" collapsed="false">
      <c r="A8855" s="571"/>
      <c r="B8855" s="433"/>
      <c r="C8855" s="614" t="s">
        <v>4266</v>
      </c>
      <c r="D8855" s="606" t="s">
        <v>4133</v>
      </c>
      <c r="E8855" s="705" t="n">
        <v>0.001</v>
      </c>
      <c r="F8855" s="698" t="n">
        <v>7000</v>
      </c>
      <c r="G8855" s="948" t="n">
        <f aca="false">F8855*E8855</f>
        <v>7</v>
      </c>
      <c r="H8855" s="606"/>
    </row>
    <row r="8856" customFormat="false" ht="15" hidden="false" customHeight="false" outlineLevel="0" collapsed="false">
      <c r="A8856" s="571"/>
      <c r="B8856" s="500"/>
      <c r="C8856" s="614" t="s">
        <v>4933</v>
      </c>
      <c r="D8856" s="606" t="s">
        <v>4133</v>
      </c>
      <c r="E8856" s="702" t="n">
        <v>0.12</v>
      </c>
      <c r="F8856" s="698" t="n">
        <v>1500</v>
      </c>
      <c r="G8856" s="948" t="n">
        <f aca="false">F8856*E8856</f>
        <v>180</v>
      </c>
      <c r="H8856" s="606"/>
    </row>
    <row r="8857" customFormat="false" ht="15" hidden="false" customHeight="false" outlineLevel="0" collapsed="false">
      <c r="A8857" s="571"/>
      <c r="B8857" s="433"/>
      <c r="C8857" s="614" t="s">
        <v>4776</v>
      </c>
      <c r="D8857" s="606" t="s">
        <v>4359</v>
      </c>
      <c r="E8857" s="702" t="n">
        <v>0.05</v>
      </c>
      <c r="F8857" s="698" t="n">
        <v>720</v>
      </c>
      <c r="G8857" s="948" t="n">
        <f aca="false">F8857*E8857</f>
        <v>36</v>
      </c>
      <c r="H8857" s="606"/>
    </row>
    <row r="8858" customFormat="false" ht="15" hidden="false" customHeight="false" outlineLevel="0" collapsed="false">
      <c r="A8858" s="571"/>
      <c r="B8858" s="433"/>
      <c r="C8858" s="614" t="s">
        <v>4515</v>
      </c>
      <c r="D8858" s="606" t="s">
        <v>4133</v>
      </c>
      <c r="E8858" s="702" t="n">
        <v>0.1</v>
      </c>
      <c r="F8858" s="698" t="n">
        <v>1079</v>
      </c>
      <c r="G8858" s="948" t="n">
        <f aca="false">F8858*E8858</f>
        <v>107.9</v>
      </c>
      <c r="H8858" s="606"/>
    </row>
    <row r="8859" customFormat="false" ht="15" hidden="false" customHeight="false" outlineLevel="0" collapsed="false">
      <c r="A8859" s="571"/>
      <c r="B8859" s="433"/>
      <c r="C8859" s="614" t="s">
        <v>5799</v>
      </c>
      <c r="D8859" s="606" t="s">
        <v>4348</v>
      </c>
      <c r="E8859" s="702" t="n">
        <v>1</v>
      </c>
      <c r="F8859" s="698" t="n">
        <v>550</v>
      </c>
      <c r="G8859" s="948" t="n">
        <f aca="false">E8859*F8859</f>
        <v>550</v>
      </c>
      <c r="H8859" s="606"/>
    </row>
    <row r="8860" customFormat="false" ht="15" hidden="false" customHeight="false" outlineLevel="0" collapsed="false">
      <c r="A8860" s="571"/>
      <c r="B8860" s="433"/>
      <c r="C8860" s="614" t="s">
        <v>4347</v>
      </c>
      <c r="D8860" s="606" t="s">
        <v>5788</v>
      </c>
      <c r="E8860" s="702" t="n">
        <v>1</v>
      </c>
      <c r="F8860" s="698" t="n">
        <v>142</v>
      </c>
      <c r="G8860" s="948" t="n">
        <f aca="false">E8860*F8860</f>
        <v>142</v>
      </c>
      <c r="H8860" s="606"/>
    </row>
    <row r="8861" customFormat="false" ht="15" hidden="false" customHeight="false" outlineLevel="0" collapsed="false">
      <c r="A8861" s="571"/>
      <c r="B8861" s="433"/>
      <c r="C8861" s="614" t="s">
        <v>4509</v>
      </c>
      <c r="D8861" s="606" t="s">
        <v>4191</v>
      </c>
      <c r="E8861" s="702" t="n">
        <v>1</v>
      </c>
      <c r="F8861" s="698" t="n">
        <v>106</v>
      </c>
      <c r="G8861" s="948" t="n">
        <f aca="false">E8861*F8861</f>
        <v>106</v>
      </c>
      <c r="H8861" s="606"/>
    </row>
    <row r="8862" customFormat="false" ht="15" hidden="false" customHeight="false" outlineLevel="0" collapsed="false">
      <c r="A8862" s="571"/>
      <c r="B8862" s="608" t="s">
        <v>4128</v>
      </c>
      <c r="C8862" s="609"/>
      <c r="D8862" s="610"/>
      <c r="E8862" s="935"/>
      <c r="F8862" s="946"/>
      <c r="G8862" s="947" t="n">
        <f aca="false">SUM(G8848:G8861)</f>
        <v>1815.709</v>
      </c>
      <c r="H8862" s="610"/>
    </row>
    <row r="8863" customFormat="false" ht="30" hidden="false" customHeight="false" outlineLevel="0" collapsed="false">
      <c r="A8863" s="571" t="s">
        <v>1760</v>
      </c>
      <c r="B8863" s="433" t="s">
        <v>3617</v>
      </c>
      <c r="C8863" s="614" t="s">
        <v>4154</v>
      </c>
      <c r="D8863" s="606" t="s">
        <v>4359</v>
      </c>
      <c r="E8863" s="705" t="n">
        <v>0.002</v>
      </c>
      <c r="F8863" s="698" t="n">
        <v>2731</v>
      </c>
      <c r="G8863" s="948" t="n">
        <f aca="false">E8863*F8863</f>
        <v>5.462</v>
      </c>
      <c r="H8863" s="593"/>
    </row>
    <row r="8864" customFormat="false" ht="15" hidden="false" customHeight="false" outlineLevel="0" collapsed="false">
      <c r="A8864" s="571"/>
      <c r="B8864" s="500"/>
      <c r="C8864" s="614" t="s">
        <v>4189</v>
      </c>
      <c r="D8864" s="606" t="s">
        <v>4359</v>
      </c>
      <c r="E8864" s="702" t="n">
        <v>0.01</v>
      </c>
      <c r="F8864" s="698" t="n">
        <v>1815</v>
      </c>
      <c r="G8864" s="948" t="n">
        <f aca="false">E8864*F8864</f>
        <v>18.15</v>
      </c>
      <c r="H8864" s="593"/>
    </row>
    <row r="8865" customFormat="false" ht="15" hidden="false" customHeight="false" outlineLevel="0" collapsed="false">
      <c r="A8865" s="571"/>
      <c r="B8865" s="500"/>
      <c r="C8865" s="614" t="s">
        <v>4234</v>
      </c>
      <c r="D8865" s="606" t="s">
        <v>4133</v>
      </c>
      <c r="E8865" s="911" t="n">
        <v>1E-005</v>
      </c>
      <c r="F8865" s="698" t="n">
        <v>7200</v>
      </c>
      <c r="G8865" s="948" t="n">
        <f aca="false">E8865*F8865</f>
        <v>0.072</v>
      </c>
      <c r="H8865" s="593"/>
    </row>
    <row r="8866" customFormat="false" ht="15" hidden="false" customHeight="false" outlineLevel="0" collapsed="false">
      <c r="A8866" s="571"/>
      <c r="B8866" s="500"/>
      <c r="C8866" s="614" t="s">
        <v>4333</v>
      </c>
      <c r="D8866" s="606" t="s">
        <v>4359</v>
      </c>
      <c r="E8866" s="705" t="n">
        <v>0.003</v>
      </c>
      <c r="F8866" s="698" t="n">
        <v>24300</v>
      </c>
      <c r="G8866" s="948" t="n">
        <f aca="false">E8866*F8866</f>
        <v>72.9</v>
      </c>
      <c r="H8866" s="593"/>
    </row>
    <row r="8867" customFormat="false" ht="15" hidden="false" customHeight="false" outlineLevel="0" collapsed="false">
      <c r="A8867" s="571"/>
      <c r="B8867" s="500"/>
      <c r="C8867" s="614" t="s">
        <v>4933</v>
      </c>
      <c r="D8867" s="606" t="s">
        <v>4133</v>
      </c>
      <c r="E8867" s="622" t="n">
        <v>0.0001</v>
      </c>
      <c r="F8867" s="698" t="n">
        <v>1155</v>
      </c>
      <c r="G8867" s="948" t="n">
        <f aca="false">E8867*F8867</f>
        <v>0.1155</v>
      </c>
      <c r="H8867" s="593"/>
    </row>
    <row r="8868" customFormat="false" ht="15" hidden="false" customHeight="false" outlineLevel="0" collapsed="false">
      <c r="A8868" s="571"/>
      <c r="B8868" s="500"/>
      <c r="C8868" s="614" t="s">
        <v>5809</v>
      </c>
      <c r="D8868" s="606" t="s">
        <v>4133</v>
      </c>
      <c r="E8868" s="705" t="n">
        <v>0.001</v>
      </c>
      <c r="F8868" s="698" t="n">
        <v>170600</v>
      </c>
      <c r="G8868" s="948" t="n">
        <f aca="false">E8868*F8868</f>
        <v>170.6</v>
      </c>
      <c r="H8868" s="606"/>
    </row>
    <row r="8869" customFormat="false" ht="15" hidden="false" customHeight="false" outlineLevel="0" collapsed="false">
      <c r="A8869" s="571"/>
      <c r="B8869" s="500"/>
      <c r="C8869" s="614" t="s">
        <v>4776</v>
      </c>
      <c r="D8869" s="606" t="s">
        <v>4359</v>
      </c>
      <c r="E8869" s="702" t="n">
        <v>0.05</v>
      </c>
      <c r="F8869" s="698" t="n">
        <v>720</v>
      </c>
      <c r="G8869" s="948" t="n">
        <f aca="false">E8869*F8869</f>
        <v>36</v>
      </c>
      <c r="H8869" s="606"/>
    </row>
    <row r="8870" customFormat="false" ht="15" hidden="false" customHeight="false" outlineLevel="0" collapsed="false">
      <c r="A8870" s="571"/>
      <c r="B8870" s="500"/>
      <c r="C8870" s="614" t="s">
        <v>4515</v>
      </c>
      <c r="D8870" s="606" t="s">
        <v>4133</v>
      </c>
      <c r="E8870" s="702" t="n">
        <v>0.02</v>
      </c>
      <c r="F8870" s="698" t="n">
        <v>1079</v>
      </c>
      <c r="G8870" s="948" t="n">
        <f aca="false">E8870*F8870</f>
        <v>21.58</v>
      </c>
      <c r="H8870" s="606"/>
    </row>
    <row r="8871" customFormat="false" ht="15" hidden="false" customHeight="false" outlineLevel="0" collapsed="false">
      <c r="A8871" s="571"/>
      <c r="B8871" s="500"/>
      <c r="C8871" s="614" t="s">
        <v>4347</v>
      </c>
      <c r="D8871" s="606" t="s">
        <v>5788</v>
      </c>
      <c r="E8871" s="702" t="n">
        <v>1</v>
      </c>
      <c r="F8871" s="698" t="n">
        <v>142</v>
      </c>
      <c r="G8871" s="948" t="n">
        <f aca="false">E8871*F8871</f>
        <v>142</v>
      </c>
      <c r="H8871" s="606"/>
    </row>
    <row r="8872" customFormat="false" ht="15" hidden="false" customHeight="false" outlineLevel="0" collapsed="false">
      <c r="A8872" s="571"/>
      <c r="B8872" s="500"/>
      <c r="C8872" s="614" t="s">
        <v>4229</v>
      </c>
      <c r="D8872" s="606" t="s">
        <v>4191</v>
      </c>
      <c r="E8872" s="702" t="n">
        <v>1</v>
      </c>
      <c r="F8872" s="698" t="n">
        <v>12</v>
      </c>
      <c r="G8872" s="948" t="n">
        <f aca="false">E8872*F8872</f>
        <v>12</v>
      </c>
      <c r="H8872" s="606"/>
    </row>
    <row r="8873" customFormat="false" ht="15" hidden="false" customHeight="false" outlineLevel="0" collapsed="false">
      <c r="A8873" s="571"/>
      <c r="B8873" s="500"/>
      <c r="C8873" s="614" t="s">
        <v>4509</v>
      </c>
      <c r="D8873" s="606" t="s">
        <v>4348</v>
      </c>
      <c r="E8873" s="702" t="n">
        <v>1</v>
      </c>
      <c r="F8873" s="698" t="n">
        <v>106</v>
      </c>
      <c r="G8873" s="948" t="n">
        <f aca="false">E8873*F8873</f>
        <v>106</v>
      </c>
      <c r="H8873" s="606"/>
    </row>
    <row r="8874" customFormat="false" ht="30" hidden="false" customHeight="false" outlineLevel="0" collapsed="false">
      <c r="A8874" s="571"/>
      <c r="B8874" s="500"/>
      <c r="C8874" s="614" t="s">
        <v>5810</v>
      </c>
      <c r="D8874" s="606" t="s">
        <v>4348</v>
      </c>
      <c r="E8874" s="702" t="n">
        <v>10</v>
      </c>
      <c r="F8874" s="698" t="n">
        <v>5.5</v>
      </c>
      <c r="G8874" s="948" t="n">
        <f aca="false">E8874*F8874</f>
        <v>55</v>
      </c>
      <c r="H8874" s="606"/>
    </row>
    <row r="8875" customFormat="false" ht="15" hidden="false" customHeight="false" outlineLevel="0" collapsed="false">
      <c r="A8875" s="571"/>
      <c r="B8875" s="500"/>
      <c r="C8875" s="614" t="s">
        <v>5811</v>
      </c>
      <c r="D8875" s="606" t="s">
        <v>4133</v>
      </c>
      <c r="E8875" s="622" t="n">
        <v>0.0004</v>
      </c>
      <c r="F8875" s="698" t="n">
        <v>1600000</v>
      </c>
      <c r="G8875" s="948" t="n">
        <f aca="false">E8875*F8875</f>
        <v>640</v>
      </c>
      <c r="H8875" s="606"/>
    </row>
    <row r="8876" customFormat="false" ht="15" hidden="false" customHeight="false" outlineLevel="0" collapsed="false">
      <c r="A8876" s="571"/>
      <c r="B8876" s="608" t="s">
        <v>4128</v>
      </c>
      <c r="C8876" s="609"/>
      <c r="D8876" s="610"/>
      <c r="E8876" s="935"/>
      <c r="F8876" s="946"/>
      <c r="G8876" s="947" t="n">
        <f aca="false">SUM(G8863:G8875)</f>
        <v>1279.8795</v>
      </c>
      <c r="H8876" s="610"/>
    </row>
    <row r="8877" customFormat="false" ht="15" hidden="false" customHeight="false" outlineLevel="0" collapsed="false">
      <c r="A8877" s="571" t="s">
        <v>1762</v>
      </c>
      <c r="B8877" s="433" t="s">
        <v>3618</v>
      </c>
      <c r="C8877" s="614" t="s">
        <v>4154</v>
      </c>
      <c r="D8877" s="606" t="s">
        <v>4359</v>
      </c>
      <c r="E8877" s="702" t="n">
        <v>0.15</v>
      </c>
      <c r="F8877" s="698" t="n">
        <v>2731</v>
      </c>
      <c r="G8877" s="948" t="n">
        <f aca="false">F8877*E8877</f>
        <v>409.65</v>
      </c>
      <c r="H8877" s="593"/>
    </row>
    <row r="8878" customFormat="false" ht="15" hidden="false" customHeight="false" outlineLevel="0" collapsed="false">
      <c r="A8878" s="571"/>
      <c r="B8878" s="433"/>
      <c r="C8878" s="614" t="s">
        <v>4178</v>
      </c>
      <c r="D8878" s="606" t="s">
        <v>4133</v>
      </c>
      <c r="E8878" s="705" t="n">
        <v>0.001</v>
      </c>
      <c r="F8878" s="698" t="n">
        <v>7480</v>
      </c>
      <c r="G8878" s="948" t="n">
        <f aca="false">F8878*E8878</f>
        <v>7.48</v>
      </c>
      <c r="H8878" s="593"/>
    </row>
    <row r="8879" customFormat="false" ht="15" hidden="false" customHeight="false" outlineLevel="0" collapsed="false">
      <c r="A8879" s="571"/>
      <c r="B8879" s="433"/>
      <c r="C8879" s="614" t="s">
        <v>4536</v>
      </c>
      <c r="D8879" s="606" t="s">
        <v>4359</v>
      </c>
      <c r="E8879" s="702" t="n">
        <v>0.01</v>
      </c>
      <c r="F8879" s="698" t="n">
        <v>1500</v>
      </c>
      <c r="G8879" s="948" t="n">
        <f aca="false">F8879*E8879</f>
        <v>15</v>
      </c>
      <c r="H8879" s="593"/>
    </row>
    <row r="8880" customFormat="false" ht="15" hidden="false" customHeight="false" outlineLevel="0" collapsed="false">
      <c r="A8880" s="571"/>
      <c r="B8880" s="433"/>
      <c r="C8880" s="614" t="s">
        <v>4147</v>
      </c>
      <c r="D8880" s="606" t="s">
        <v>4359</v>
      </c>
      <c r="E8880" s="705" t="n">
        <v>0.006</v>
      </c>
      <c r="F8880" s="698" t="n">
        <v>3600</v>
      </c>
      <c r="G8880" s="948" t="n">
        <f aca="false">F8880*E8880</f>
        <v>21.6</v>
      </c>
      <c r="H8880" s="593"/>
    </row>
    <row r="8881" customFormat="false" ht="15" hidden="false" customHeight="false" outlineLevel="0" collapsed="false">
      <c r="A8881" s="571"/>
      <c r="B8881" s="433"/>
      <c r="C8881" s="614" t="s">
        <v>5802</v>
      </c>
      <c r="D8881" s="606" t="s">
        <v>4133</v>
      </c>
      <c r="E8881" s="705" t="n">
        <v>0.001</v>
      </c>
      <c r="F8881" s="698" t="n">
        <v>4500</v>
      </c>
      <c r="G8881" s="948" t="n">
        <f aca="false">F8881*E8881</f>
        <v>4.5</v>
      </c>
      <c r="H8881" s="606"/>
    </row>
    <row r="8882" customFormat="false" ht="15" hidden="false" customHeight="false" outlineLevel="0" collapsed="false">
      <c r="A8882" s="571"/>
      <c r="B8882" s="433"/>
      <c r="C8882" s="614" t="s">
        <v>4204</v>
      </c>
      <c r="D8882" s="606" t="s">
        <v>4133</v>
      </c>
      <c r="E8882" s="702" t="n">
        <v>0.03</v>
      </c>
      <c r="F8882" s="698" t="n">
        <v>5830</v>
      </c>
      <c r="G8882" s="948" t="n">
        <f aca="false">F8882*E8882</f>
        <v>174.9</v>
      </c>
      <c r="H8882" s="606"/>
    </row>
    <row r="8883" customFormat="false" ht="15" hidden="false" customHeight="false" outlineLevel="0" collapsed="false">
      <c r="A8883" s="571"/>
      <c r="B8883" s="433"/>
      <c r="C8883" s="614" t="s">
        <v>4776</v>
      </c>
      <c r="D8883" s="606" t="s">
        <v>4359</v>
      </c>
      <c r="E8883" s="702" t="n">
        <v>0.05</v>
      </c>
      <c r="F8883" s="698" t="n">
        <v>720</v>
      </c>
      <c r="G8883" s="948" t="n">
        <f aca="false">F8883*E8883</f>
        <v>36</v>
      </c>
      <c r="H8883" s="606"/>
    </row>
    <row r="8884" customFormat="false" ht="15" hidden="false" customHeight="false" outlineLevel="0" collapsed="false">
      <c r="A8884" s="571"/>
      <c r="B8884" s="500"/>
      <c r="C8884" s="614" t="s">
        <v>4515</v>
      </c>
      <c r="D8884" s="606" t="s">
        <v>4133</v>
      </c>
      <c r="E8884" s="702" t="n">
        <v>0.02</v>
      </c>
      <c r="F8884" s="698" t="n">
        <v>1079</v>
      </c>
      <c r="G8884" s="948" t="n">
        <f aca="false">F8884*E8884</f>
        <v>21.58</v>
      </c>
      <c r="H8884" s="606"/>
    </row>
    <row r="8885" customFormat="false" ht="15" hidden="false" customHeight="false" outlineLevel="0" collapsed="false">
      <c r="A8885" s="571"/>
      <c r="B8885" s="500"/>
      <c r="C8885" s="614" t="s">
        <v>5799</v>
      </c>
      <c r="D8885" s="606" t="s">
        <v>4348</v>
      </c>
      <c r="E8885" s="702" t="n">
        <v>1</v>
      </c>
      <c r="F8885" s="698" t="n">
        <v>550</v>
      </c>
      <c r="G8885" s="948" t="n">
        <f aca="false">E8885*F8885</f>
        <v>550</v>
      </c>
      <c r="H8885" s="606"/>
    </row>
    <row r="8886" customFormat="false" ht="15" hidden="false" customHeight="false" outlineLevel="0" collapsed="false">
      <c r="A8886" s="571"/>
      <c r="B8886" s="500"/>
      <c r="C8886" s="614" t="s">
        <v>4347</v>
      </c>
      <c r="D8886" s="606" t="s">
        <v>5788</v>
      </c>
      <c r="E8886" s="702" t="n">
        <v>1</v>
      </c>
      <c r="F8886" s="698" t="n">
        <v>142</v>
      </c>
      <c r="G8886" s="948" t="n">
        <f aca="false">E8886*F8886</f>
        <v>142</v>
      </c>
      <c r="H8886" s="606"/>
    </row>
    <row r="8887" customFormat="false" ht="15" hidden="false" customHeight="false" outlineLevel="0" collapsed="false">
      <c r="A8887" s="571"/>
      <c r="B8887" s="500"/>
      <c r="C8887" s="614" t="s">
        <v>4509</v>
      </c>
      <c r="D8887" s="606" t="s">
        <v>4191</v>
      </c>
      <c r="E8887" s="702" t="n">
        <v>1</v>
      </c>
      <c r="F8887" s="698" t="n">
        <v>106</v>
      </c>
      <c r="G8887" s="948" t="n">
        <f aca="false">E8887*F8887</f>
        <v>106</v>
      </c>
      <c r="H8887" s="606"/>
    </row>
    <row r="8888" customFormat="false" ht="15" hidden="false" customHeight="false" outlineLevel="0" collapsed="false">
      <c r="A8888" s="571"/>
      <c r="B8888" s="608" t="s">
        <v>4128</v>
      </c>
      <c r="C8888" s="609"/>
      <c r="D8888" s="610"/>
      <c r="E8888" s="935"/>
      <c r="F8888" s="946"/>
      <c r="G8888" s="947" t="n">
        <f aca="false">SUM(G8877:G8887)</f>
        <v>1488.71</v>
      </c>
      <c r="H8888" s="610"/>
    </row>
    <row r="8889" customFormat="false" ht="15" hidden="false" customHeight="false" outlineLevel="0" collapsed="false">
      <c r="A8889" s="571" t="s">
        <v>1764</v>
      </c>
      <c r="B8889" s="433" t="s">
        <v>3619</v>
      </c>
      <c r="C8889" s="614" t="s">
        <v>4154</v>
      </c>
      <c r="D8889" s="606" t="s">
        <v>4359</v>
      </c>
      <c r="E8889" s="702" t="n">
        <v>0.15</v>
      </c>
      <c r="F8889" s="698" t="n">
        <v>2731</v>
      </c>
      <c r="G8889" s="948" t="n">
        <f aca="false">F8889*E8889</f>
        <v>409.65</v>
      </c>
      <c r="H8889" s="593"/>
    </row>
    <row r="8890" customFormat="false" ht="15" hidden="false" customHeight="false" outlineLevel="0" collapsed="false">
      <c r="A8890" s="571"/>
      <c r="B8890" s="433"/>
      <c r="C8890" s="614" t="s">
        <v>4178</v>
      </c>
      <c r="D8890" s="606" t="s">
        <v>4133</v>
      </c>
      <c r="E8890" s="705" t="n">
        <v>0.001</v>
      </c>
      <c r="F8890" s="698" t="n">
        <v>7480</v>
      </c>
      <c r="G8890" s="948" t="n">
        <f aca="false">F8890*E8890</f>
        <v>7.48</v>
      </c>
      <c r="H8890" s="593"/>
    </row>
    <row r="8891" customFormat="false" ht="15" hidden="false" customHeight="false" outlineLevel="0" collapsed="false">
      <c r="A8891" s="571"/>
      <c r="B8891" s="433"/>
      <c r="C8891" s="614" t="s">
        <v>4536</v>
      </c>
      <c r="D8891" s="606" t="s">
        <v>4359</v>
      </c>
      <c r="E8891" s="702" t="n">
        <v>0.01</v>
      </c>
      <c r="F8891" s="698" t="n">
        <v>1500</v>
      </c>
      <c r="G8891" s="948" t="n">
        <f aca="false">F8891*E8891</f>
        <v>15</v>
      </c>
      <c r="H8891" s="593"/>
    </row>
    <row r="8892" customFormat="false" ht="15" hidden="false" customHeight="false" outlineLevel="0" collapsed="false">
      <c r="A8892" s="571"/>
      <c r="B8892" s="433"/>
      <c r="C8892" s="614" t="s">
        <v>4147</v>
      </c>
      <c r="D8892" s="606" t="s">
        <v>4359</v>
      </c>
      <c r="E8892" s="705" t="n">
        <v>0.006</v>
      </c>
      <c r="F8892" s="698" t="n">
        <v>3600</v>
      </c>
      <c r="G8892" s="948" t="n">
        <f aca="false">F8892*E8892</f>
        <v>21.6</v>
      </c>
      <c r="H8892" s="593"/>
    </row>
    <row r="8893" customFormat="false" ht="15" hidden="false" customHeight="false" outlineLevel="0" collapsed="false">
      <c r="A8893" s="571"/>
      <c r="B8893" s="433"/>
      <c r="C8893" s="614" t="s">
        <v>5802</v>
      </c>
      <c r="D8893" s="606" t="s">
        <v>4133</v>
      </c>
      <c r="E8893" s="705" t="n">
        <v>0.001</v>
      </c>
      <c r="F8893" s="698" t="n">
        <v>4500</v>
      </c>
      <c r="G8893" s="948" t="n">
        <f aca="false">F8893*E8893</f>
        <v>4.5</v>
      </c>
      <c r="H8893" s="606"/>
    </row>
    <row r="8894" customFormat="false" ht="15" hidden="false" customHeight="false" outlineLevel="0" collapsed="false">
      <c r="A8894" s="571"/>
      <c r="B8894" s="433"/>
      <c r="C8894" s="614" t="s">
        <v>4204</v>
      </c>
      <c r="D8894" s="606" t="s">
        <v>4133</v>
      </c>
      <c r="E8894" s="702" t="n">
        <v>0.03</v>
      </c>
      <c r="F8894" s="698" t="n">
        <v>5830</v>
      </c>
      <c r="G8894" s="948" t="n">
        <f aca="false">F8894*E8894</f>
        <v>174.9</v>
      </c>
      <c r="H8894" s="606"/>
    </row>
    <row r="8895" customFormat="false" ht="15" hidden="false" customHeight="false" outlineLevel="0" collapsed="false">
      <c r="A8895" s="571"/>
      <c r="B8895" s="433"/>
      <c r="C8895" s="614" t="s">
        <v>4776</v>
      </c>
      <c r="D8895" s="606" t="s">
        <v>4359</v>
      </c>
      <c r="E8895" s="702" t="n">
        <v>0.05</v>
      </c>
      <c r="F8895" s="698" t="n">
        <v>720</v>
      </c>
      <c r="G8895" s="948" t="n">
        <f aca="false">F8895*E8895</f>
        <v>36</v>
      </c>
      <c r="H8895" s="606"/>
    </row>
    <row r="8896" customFormat="false" ht="15" hidden="false" customHeight="false" outlineLevel="0" collapsed="false">
      <c r="A8896" s="571"/>
      <c r="B8896" s="500"/>
      <c r="C8896" s="614" t="s">
        <v>4515</v>
      </c>
      <c r="D8896" s="606" t="s">
        <v>4133</v>
      </c>
      <c r="E8896" s="702" t="n">
        <v>0.02</v>
      </c>
      <c r="F8896" s="698" t="n">
        <v>1079</v>
      </c>
      <c r="G8896" s="948" t="n">
        <f aca="false">F8896*E8896</f>
        <v>21.58</v>
      </c>
      <c r="H8896" s="606"/>
    </row>
    <row r="8897" customFormat="false" ht="15" hidden="false" customHeight="false" outlineLevel="0" collapsed="false">
      <c r="A8897" s="571"/>
      <c r="B8897" s="500"/>
      <c r="C8897" s="614" t="s">
        <v>5799</v>
      </c>
      <c r="D8897" s="606" t="s">
        <v>4348</v>
      </c>
      <c r="E8897" s="702" t="n">
        <v>1</v>
      </c>
      <c r="F8897" s="698" t="n">
        <v>550</v>
      </c>
      <c r="G8897" s="948" t="n">
        <f aca="false">E8897*F8897</f>
        <v>550</v>
      </c>
      <c r="H8897" s="606"/>
    </row>
    <row r="8898" customFormat="false" ht="15" hidden="false" customHeight="false" outlineLevel="0" collapsed="false">
      <c r="A8898" s="571"/>
      <c r="B8898" s="500"/>
      <c r="C8898" s="614" t="s">
        <v>4347</v>
      </c>
      <c r="D8898" s="606" t="s">
        <v>5788</v>
      </c>
      <c r="E8898" s="702" t="n">
        <v>1</v>
      </c>
      <c r="F8898" s="698" t="n">
        <v>142</v>
      </c>
      <c r="G8898" s="948" t="n">
        <f aca="false">E8898*F8898</f>
        <v>142</v>
      </c>
      <c r="H8898" s="606"/>
    </row>
    <row r="8899" customFormat="false" ht="15" hidden="false" customHeight="false" outlineLevel="0" collapsed="false">
      <c r="A8899" s="571"/>
      <c r="B8899" s="500"/>
      <c r="C8899" s="614" t="s">
        <v>4509</v>
      </c>
      <c r="D8899" s="606" t="s">
        <v>4191</v>
      </c>
      <c r="E8899" s="702" t="n">
        <v>1</v>
      </c>
      <c r="F8899" s="698" t="n">
        <v>106</v>
      </c>
      <c r="G8899" s="948" t="n">
        <f aca="false">E8899*F8899</f>
        <v>106</v>
      </c>
      <c r="H8899" s="606"/>
    </row>
    <row r="8900" customFormat="false" ht="15" hidden="false" customHeight="false" outlineLevel="0" collapsed="false">
      <c r="A8900" s="571"/>
      <c r="B8900" s="608" t="s">
        <v>4128</v>
      </c>
      <c r="C8900" s="609"/>
      <c r="D8900" s="610"/>
      <c r="E8900" s="935"/>
      <c r="F8900" s="946"/>
      <c r="G8900" s="947" t="n">
        <f aca="false">SUM(G8889:G8899)</f>
        <v>1488.71</v>
      </c>
      <c r="H8900" s="610"/>
    </row>
    <row r="8901" customFormat="false" ht="30" hidden="false" customHeight="false" outlineLevel="0" collapsed="false">
      <c r="A8901" s="571" t="s">
        <v>1766</v>
      </c>
      <c r="B8901" s="328" t="s">
        <v>3620</v>
      </c>
      <c r="C8901" s="614" t="s">
        <v>5812</v>
      </c>
      <c r="D8901" s="606" t="s">
        <v>4133</v>
      </c>
      <c r="E8901" s="911" t="n">
        <v>1E-005</v>
      </c>
      <c r="F8901" s="698" t="n">
        <v>1600000</v>
      </c>
      <c r="G8901" s="948" t="n">
        <f aca="false">E8901*F8901</f>
        <v>16</v>
      </c>
      <c r="H8901" s="593"/>
    </row>
    <row r="8902" customFormat="false" ht="15" hidden="false" customHeight="false" outlineLevel="0" collapsed="false">
      <c r="A8902" s="571"/>
      <c r="B8902" s="433"/>
      <c r="C8902" s="614" t="s">
        <v>4154</v>
      </c>
      <c r="D8902" s="606" t="s">
        <v>4359</v>
      </c>
      <c r="E8902" s="702" t="n">
        <v>0.02</v>
      </c>
      <c r="F8902" s="698" t="n">
        <v>2731</v>
      </c>
      <c r="G8902" s="948" t="n">
        <f aca="false">E8902*F8902</f>
        <v>54.62</v>
      </c>
      <c r="H8902" s="593"/>
    </row>
    <row r="8903" customFormat="false" ht="15" hidden="false" customHeight="false" outlineLevel="0" collapsed="false">
      <c r="A8903" s="571"/>
      <c r="B8903" s="433"/>
      <c r="C8903" s="614" t="s">
        <v>4234</v>
      </c>
      <c r="D8903" s="606" t="s">
        <v>4133</v>
      </c>
      <c r="E8903" s="911" t="n">
        <v>1E-005</v>
      </c>
      <c r="F8903" s="698" t="n">
        <v>7200</v>
      </c>
      <c r="G8903" s="948" t="n">
        <f aca="false">E8903*F8903</f>
        <v>0.072</v>
      </c>
      <c r="H8903" s="593"/>
    </row>
    <row r="8904" customFormat="false" ht="30" hidden="false" customHeight="false" outlineLevel="0" collapsed="false">
      <c r="A8904" s="571"/>
      <c r="B8904" s="433"/>
      <c r="C8904" s="614" t="s">
        <v>5813</v>
      </c>
      <c r="D8904" s="606" t="s">
        <v>4133</v>
      </c>
      <c r="E8904" s="702" t="n">
        <v>0.02</v>
      </c>
      <c r="F8904" s="698" t="n">
        <v>10500</v>
      </c>
      <c r="G8904" s="948" t="n">
        <f aca="false">E8904*F8904</f>
        <v>210</v>
      </c>
      <c r="H8904" s="593"/>
    </row>
    <row r="8905" customFormat="false" ht="15" hidden="false" customHeight="false" outlineLevel="0" collapsed="false">
      <c r="A8905" s="571"/>
      <c r="B8905" s="433"/>
      <c r="C8905" s="614" t="s">
        <v>4933</v>
      </c>
      <c r="D8905" s="606" t="s">
        <v>4133</v>
      </c>
      <c r="E8905" s="622" t="n">
        <v>0.0001</v>
      </c>
      <c r="F8905" s="698" t="n">
        <v>1155</v>
      </c>
      <c r="G8905" s="948" t="n">
        <f aca="false">E8905*F8905</f>
        <v>0.1155</v>
      </c>
      <c r="H8905" s="593"/>
    </row>
    <row r="8906" customFormat="false" ht="15" hidden="false" customHeight="false" outlineLevel="0" collapsed="false">
      <c r="A8906" s="571"/>
      <c r="B8906" s="433"/>
      <c r="C8906" s="614" t="s">
        <v>5809</v>
      </c>
      <c r="D8906" s="606" t="s">
        <v>4133</v>
      </c>
      <c r="E8906" s="705" t="n">
        <v>0.001</v>
      </c>
      <c r="F8906" s="698" t="n">
        <v>170600</v>
      </c>
      <c r="G8906" s="948" t="n">
        <f aca="false">E8906*F8906</f>
        <v>170.6</v>
      </c>
      <c r="H8906" s="606"/>
    </row>
    <row r="8907" customFormat="false" ht="15" hidden="false" customHeight="false" outlineLevel="0" collapsed="false">
      <c r="A8907" s="571"/>
      <c r="B8907" s="433"/>
      <c r="C8907" s="614" t="s">
        <v>4776</v>
      </c>
      <c r="D8907" s="606" t="s">
        <v>4359</v>
      </c>
      <c r="E8907" s="702" t="n">
        <v>0.05</v>
      </c>
      <c r="F8907" s="698" t="n">
        <v>720</v>
      </c>
      <c r="G8907" s="948" t="n">
        <f aca="false">E8907*F8907</f>
        <v>36</v>
      </c>
      <c r="H8907" s="606"/>
    </row>
    <row r="8908" customFormat="false" ht="15" hidden="false" customHeight="false" outlineLevel="0" collapsed="false">
      <c r="A8908" s="571"/>
      <c r="B8908" s="433"/>
      <c r="C8908" s="614" t="s">
        <v>4515</v>
      </c>
      <c r="D8908" s="606" t="s">
        <v>4133</v>
      </c>
      <c r="E8908" s="702" t="n">
        <v>0.02</v>
      </c>
      <c r="F8908" s="698" t="n">
        <v>1079</v>
      </c>
      <c r="G8908" s="948" t="n">
        <f aca="false">E8908*F8908</f>
        <v>21.58</v>
      </c>
      <c r="H8908" s="606"/>
    </row>
    <row r="8909" customFormat="false" ht="15" hidden="false" customHeight="false" outlineLevel="0" collapsed="false">
      <c r="A8909" s="571"/>
      <c r="B8909" s="433"/>
      <c r="C8909" s="614" t="s">
        <v>4229</v>
      </c>
      <c r="D8909" s="606" t="s">
        <v>4191</v>
      </c>
      <c r="E8909" s="702" t="n">
        <v>5</v>
      </c>
      <c r="F8909" s="698" t="n">
        <v>12</v>
      </c>
      <c r="G8909" s="948" t="n">
        <f aca="false">E8909*F8909</f>
        <v>60</v>
      </c>
      <c r="H8909" s="606"/>
    </row>
    <row r="8910" customFormat="false" ht="15" hidden="false" customHeight="false" outlineLevel="0" collapsed="false">
      <c r="A8910" s="571"/>
      <c r="B8910" s="433"/>
      <c r="C8910" s="614" t="s">
        <v>4509</v>
      </c>
      <c r="D8910" s="606" t="s">
        <v>4348</v>
      </c>
      <c r="E8910" s="702" t="n">
        <v>1</v>
      </c>
      <c r="F8910" s="698" t="n">
        <v>106</v>
      </c>
      <c r="G8910" s="948" t="n">
        <f aca="false">E8910*F8910</f>
        <v>106</v>
      </c>
      <c r="H8910" s="606"/>
    </row>
    <row r="8911" customFormat="false" ht="15" hidden="false" customHeight="false" outlineLevel="0" collapsed="false">
      <c r="A8911" s="571"/>
      <c r="B8911" s="433"/>
      <c r="C8911" s="614" t="s">
        <v>4347</v>
      </c>
      <c r="D8911" s="606" t="s">
        <v>5788</v>
      </c>
      <c r="E8911" s="702" t="n">
        <v>1</v>
      </c>
      <c r="F8911" s="698" t="n">
        <v>142</v>
      </c>
      <c r="G8911" s="948" t="n">
        <f aca="false">E8911*F8911</f>
        <v>142</v>
      </c>
      <c r="H8911" s="606"/>
    </row>
    <row r="8912" customFormat="false" ht="30" hidden="false" customHeight="false" outlineLevel="0" collapsed="false">
      <c r="A8912" s="571"/>
      <c r="B8912" s="433"/>
      <c r="C8912" s="614" t="s">
        <v>5810</v>
      </c>
      <c r="D8912" s="606" t="s">
        <v>4348</v>
      </c>
      <c r="E8912" s="702" t="n">
        <v>10</v>
      </c>
      <c r="F8912" s="698" t="n">
        <v>5.5</v>
      </c>
      <c r="G8912" s="948" t="n">
        <f aca="false">E8912*F8912</f>
        <v>55</v>
      </c>
      <c r="H8912" s="606"/>
    </row>
    <row r="8913" customFormat="false" ht="15" hidden="false" customHeight="false" outlineLevel="0" collapsed="false">
      <c r="A8913" s="571"/>
      <c r="B8913" s="608" t="s">
        <v>4128</v>
      </c>
      <c r="C8913" s="609"/>
      <c r="D8913" s="610"/>
      <c r="E8913" s="935"/>
      <c r="F8913" s="946"/>
      <c r="G8913" s="947" t="n">
        <f aca="false">SUM(G8901:G8912)</f>
        <v>871.9875</v>
      </c>
      <c r="H8913" s="610"/>
    </row>
    <row r="8914" customFormat="false" ht="15" hidden="false" customHeight="false" outlineLevel="0" collapsed="false">
      <c r="A8914" s="571" t="s">
        <v>1768</v>
      </c>
      <c r="B8914" s="433" t="s">
        <v>3621</v>
      </c>
      <c r="C8914" s="614" t="s">
        <v>4189</v>
      </c>
      <c r="D8914" s="606" t="s">
        <v>4359</v>
      </c>
      <c r="E8914" s="702" t="n">
        <v>0.03</v>
      </c>
      <c r="F8914" s="698" t="n">
        <v>1815</v>
      </c>
      <c r="G8914" s="948" t="n">
        <f aca="false">E8914*F8914</f>
        <v>54.45</v>
      </c>
      <c r="H8914" s="593"/>
    </row>
    <row r="8915" customFormat="false" ht="15" hidden="false" customHeight="false" outlineLevel="0" collapsed="false">
      <c r="A8915" s="571"/>
      <c r="B8915" s="433"/>
      <c r="C8915" s="614" t="s">
        <v>4154</v>
      </c>
      <c r="D8915" s="606" t="s">
        <v>4359</v>
      </c>
      <c r="E8915" s="702" t="n">
        <v>0.2</v>
      </c>
      <c r="F8915" s="698" t="n">
        <v>2731</v>
      </c>
      <c r="G8915" s="948" t="n">
        <f aca="false">E8915*F8915</f>
        <v>546.2</v>
      </c>
      <c r="H8915" s="593"/>
    </row>
    <row r="8916" customFormat="false" ht="15" hidden="false" customHeight="false" outlineLevel="0" collapsed="false">
      <c r="A8916" s="571"/>
      <c r="B8916" s="433"/>
      <c r="C8916" s="614" t="s">
        <v>4234</v>
      </c>
      <c r="D8916" s="606" t="s">
        <v>4133</v>
      </c>
      <c r="E8916" s="911" t="n">
        <v>1E-005</v>
      </c>
      <c r="F8916" s="698" t="n">
        <v>7200</v>
      </c>
      <c r="G8916" s="948" t="n">
        <f aca="false">E8916*F8916</f>
        <v>0.072</v>
      </c>
      <c r="H8916" s="593"/>
    </row>
    <row r="8917" customFormat="false" ht="15" hidden="false" customHeight="false" outlineLevel="0" collapsed="false">
      <c r="A8917" s="571"/>
      <c r="B8917" s="433"/>
      <c r="C8917" s="614" t="s">
        <v>5059</v>
      </c>
      <c r="D8917" s="606" t="s">
        <v>4359</v>
      </c>
      <c r="E8917" s="705" t="n">
        <v>0.005</v>
      </c>
      <c r="F8917" s="698" t="n">
        <v>1500</v>
      </c>
      <c r="G8917" s="948" t="n">
        <f aca="false">E8917*F8917</f>
        <v>7.5</v>
      </c>
      <c r="H8917" s="593"/>
    </row>
    <row r="8918" customFormat="false" ht="15" hidden="false" customHeight="false" outlineLevel="0" collapsed="false">
      <c r="A8918" s="571"/>
      <c r="B8918" s="433"/>
      <c r="C8918" s="614" t="s">
        <v>5800</v>
      </c>
      <c r="D8918" s="606" t="s">
        <v>4133</v>
      </c>
      <c r="E8918" s="702" t="n">
        <v>0.12</v>
      </c>
      <c r="F8918" s="698" t="n">
        <v>2000</v>
      </c>
      <c r="G8918" s="948" t="n">
        <f aca="false">E8918*F8918</f>
        <v>240</v>
      </c>
      <c r="H8918" s="593"/>
    </row>
    <row r="8919" customFormat="false" ht="15" hidden="false" customHeight="false" outlineLevel="0" collapsed="false">
      <c r="A8919" s="571"/>
      <c r="B8919" s="433"/>
      <c r="C8919" s="614" t="s">
        <v>4604</v>
      </c>
      <c r="D8919" s="606" t="s">
        <v>4359</v>
      </c>
      <c r="E8919" s="705" t="n">
        <v>0.005</v>
      </c>
      <c r="F8919" s="698" t="n">
        <v>2300</v>
      </c>
      <c r="G8919" s="948" t="n">
        <f aca="false">E8919*F8919</f>
        <v>11.5</v>
      </c>
      <c r="H8919" s="606"/>
    </row>
    <row r="8920" customFormat="false" ht="15" hidden="false" customHeight="false" outlineLevel="0" collapsed="false">
      <c r="A8920" s="571"/>
      <c r="B8920" s="433"/>
      <c r="C8920" s="614" t="s">
        <v>4132</v>
      </c>
      <c r="D8920" s="606" t="s">
        <v>4133</v>
      </c>
      <c r="E8920" s="705" t="n">
        <v>0.002</v>
      </c>
      <c r="F8920" s="698" t="n">
        <v>3420</v>
      </c>
      <c r="G8920" s="948" t="n">
        <f aca="false">E8920*F8920</f>
        <v>6.84</v>
      </c>
      <c r="H8920" s="606"/>
    </row>
    <row r="8921" customFormat="false" ht="15" hidden="false" customHeight="false" outlineLevel="0" collapsed="false">
      <c r="A8921" s="571"/>
      <c r="B8921" s="433"/>
      <c r="C8921" s="614" t="s">
        <v>4776</v>
      </c>
      <c r="D8921" s="606" t="s">
        <v>4359</v>
      </c>
      <c r="E8921" s="702" t="n">
        <v>0.05</v>
      </c>
      <c r="F8921" s="698" t="n">
        <v>720</v>
      </c>
      <c r="G8921" s="948" t="n">
        <f aca="false">E8921*F8921</f>
        <v>36</v>
      </c>
      <c r="H8921" s="606"/>
    </row>
    <row r="8922" customFormat="false" ht="15" hidden="false" customHeight="false" outlineLevel="0" collapsed="false">
      <c r="A8922" s="571"/>
      <c r="B8922" s="500"/>
      <c r="C8922" s="614" t="s">
        <v>4515</v>
      </c>
      <c r="D8922" s="606" t="s">
        <v>4133</v>
      </c>
      <c r="E8922" s="702" t="n">
        <v>0.02</v>
      </c>
      <c r="F8922" s="698" t="n">
        <v>1079</v>
      </c>
      <c r="G8922" s="948" t="n">
        <f aca="false">E8922*F8922</f>
        <v>21.58</v>
      </c>
      <c r="H8922" s="606"/>
    </row>
    <row r="8923" customFormat="false" ht="15" hidden="false" customHeight="false" outlineLevel="0" collapsed="false">
      <c r="A8923" s="571"/>
      <c r="B8923" s="433"/>
      <c r="C8923" s="614" t="s">
        <v>4347</v>
      </c>
      <c r="D8923" s="606" t="s">
        <v>5788</v>
      </c>
      <c r="E8923" s="702" t="n">
        <v>1</v>
      </c>
      <c r="F8923" s="698" t="n">
        <v>142</v>
      </c>
      <c r="G8923" s="948" t="n">
        <f aca="false">E8923*F8923</f>
        <v>142</v>
      </c>
      <c r="H8923" s="606"/>
    </row>
    <row r="8924" customFormat="false" ht="15" hidden="false" customHeight="false" outlineLevel="0" collapsed="false">
      <c r="A8924" s="571"/>
      <c r="B8924" s="433"/>
      <c r="C8924" s="614" t="s">
        <v>5814</v>
      </c>
      <c r="D8924" s="606" t="s">
        <v>4348</v>
      </c>
      <c r="E8924" s="702" t="n">
        <v>5</v>
      </c>
      <c r="F8924" s="698" t="n">
        <v>12</v>
      </c>
      <c r="G8924" s="948" t="n">
        <f aca="false">E8924*F8924</f>
        <v>60</v>
      </c>
      <c r="H8924" s="606"/>
    </row>
    <row r="8925" customFormat="false" ht="15" hidden="false" customHeight="false" outlineLevel="0" collapsed="false">
      <c r="A8925" s="571"/>
      <c r="B8925" s="433"/>
      <c r="C8925" s="614" t="s">
        <v>4509</v>
      </c>
      <c r="D8925" s="606" t="s">
        <v>4348</v>
      </c>
      <c r="E8925" s="702" t="n">
        <v>1</v>
      </c>
      <c r="F8925" s="698" t="n">
        <v>106</v>
      </c>
      <c r="G8925" s="948" t="n">
        <f aca="false">E8925*F8925</f>
        <v>106</v>
      </c>
      <c r="H8925" s="606"/>
    </row>
    <row r="8926" customFormat="false" ht="15" hidden="false" customHeight="false" outlineLevel="0" collapsed="false">
      <c r="A8926" s="571"/>
      <c r="B8926" s="608" t="s">
        <v>4128</v>
      </c>
      <c r="C8926" s="609"/>
      <c r="D8926" s="610"/>
      <c r="E8926" s="935"/>
      <c r="F8926" s="946"/>
      <c r="G8926" s="947" t="n">
        <f aca="false">SUM(G8914:G8925)</f>
        <v>1232.142</v>
      </c>
      <c r="H8926" s="610"/>
    </row>
    <row r="8927" customFormat="false" ht="15" hidden="false" customHeight="false" outlineLevel="0" collapsed="false">
      <c r="A8927" s="571" t="s">
        <v>1770</v>
      </c>
      <c r="B8927" s="433" t="s">
        <v>3622</v>
      </c>
      <c r="C8927" s="614" t="s">
        <v>4189</v>
      </c>
      <c r="D8927" s="606" t="s">
        <v>4359</v>
      </c>
      <c r="E8927" s="702" t="n">
        <v>0.03</v>
      </c>
      <c r="F8927" s="698" t="n">
        <v>1815</v>
      </c>
      <c r="G8927" s="948" t="n">
        <f aca="false">F8927*E8927</f>
        <v>54.45</v>
      </c>
      <c r="H8927" s="593"/>
    </row>
    <row r="8928" customFormat="false" ht="15" hidden="false" customHeight="false" outlineLevel="0" collapsed="false">
      <c r="A8928" s="571"/>
      <c r="B8928" s="433"/>
      <c r="C8928" s="614" t="s">
        <v>4154</v>
      </c>
      <c r="D8928" s="606" t="s">
        <v>4359</v>
      </c>
      <c r="E8928" s="702" t="n">
        <v>0.2</v>
      </c>
      <c r="F8928" s="698" t="n">
        <v>2731</v>
      </c>
      <c r="G8928" s="948" t="n">
        <f aca="false">F8928*E8928</f>
        <v>546.2</v>
      </c>
      <c r="H8928" s="593"/>
    </row>
    <row r="8929" customFormat="false" ht="15" hidden="false" customHeight="false" outlineLevel="0" collapsed="false">
      <c r="A8929" s="571"/>
      <c r="B8929" s="433"/>
      <c r="C8929" s="614" t="s">
        <v>4234</v>
      </c>
      <c r="D8929" s="606" t="s">
        <v>4133</v>
      </c>
      <c r="E8929" s="911" t="n">
        <v>1E-005</v>
      </c>
      <c r="F8929" s="698" t="n">
        <v>7200</v>
      </c>
      <c r="G8929" s="948" t="n">
        <f aca="false">F8929*E8929</f>
        <v>0.072</v>
      </c>
      <c r="H8929" s="593"/>
    </row>
    <row r="8930" customFormat="false" ht="15" hidden="false" customHeight="false" outlineLevel="0" collapsed="false">
      <c r="A8930" s="571"/>
      <c r="B8930" s="433"/>
      <c r="C8930" s="614" t="s">
        <v>5059</v>
      </c>
      <c r="D8930" s="606" t="s">
        <v>4359</v>
      </c>
      <c r="E8930" s="702" t="n">
        <v>0.05</v>
      </c>
      <c r="F8930" s="698" t="n">
        <v>1500</v>
      </c>
      <c r="G8930" s="948" t="n">
        <f aca="false">F8930*E8930</f>
        <v>75</v>
      </c>
      <c r="H8930" s="593"/>
    </row>
    <row r="8931" customFormat="false" ht="15" hidden="false" customHeight="false" outlineLevel="0" collapsed="false">
      <c r="A8931" s="571"/>
      <c r="B8931" s="433"/>
      <c r="C8931" s="614" t="s">
        <v>5800</v>
      </c>
      <c r="D8931" s="606" t="s">
        <v>4133</v>
      </c>
      <c r="E8931" s="705" t="n">
        <v>0.006</v>
      </c>
      <c r="F8931" s="698" t="n">
        <v>2000</v>
      </c>
      <c r="G8931" s="948" t="n">
        <f aca="false">F8931*E8931</f>
        <v>12</v>
      </c>
      <c r="H8931" s="593"/>
    </row>
    <row r="8932" customFormat="false" ht="15" hidden="false" customHeight="false" outlineLevel="0" collapsed="false">
      <c r="A8932" s="571"/>
      <c r="B8932" s="433"/>
      <c r="C8932" s="614" t="s">
        <v>4604</v>
      </c>
      <c r="D8932" s="606" t="s">
        <v>4359</v>
      </c>
      <c r="E8932" s="705" t="n">
        <v>0.005</v>
      </c>
      <c r="F8932" s="698" t="n">
        <v>2300</v>
      </c>
      <c r="G8932" s="948" t="n">
        <f aca="false">F8932*E8932</f>
        <v>11.5</v>
      </c>
      <c r="H8932" s="606"/>
    </row>
    <row r="8933" customFormat="false" ht="15" hidden="false" customHeight="false" outlineLevel="0" collapsed="false">
      <c r="A8933" s="571"/>
      <c r="B8933" s="433"/>
      <c r="C8933" s="614" t="s">
        <v>5801</v>
      </c>
      <c r="D8933" s="606" t="s">
        <v>4348</v>
      </c>
      <c r="E8933" s="702" t="n">
        <v>1</v>
      </c>
      <c r="F8933" s="698" t="n">
        <v>550</v>
      </c>
      <c r="G8933" s="948" t="n">
        <f aca="false">F8933*E8933</f>
        <v>550</v>
      </c>
      <c r="H8933" s="606"/>
    </row>
    <row r="8934" customFormat="false" ht="15" hidden="false" customHeight="false" outlineLevel="0" collapsed="false">
      <c r="A8934" s="571"/>
      <c r="B8934" s="433"/>
      <c r="C8934" s="614" t="s">
        <v>4776</v>
      </c>
      <c r="D8934" s="606" t="s">
        <v>4359</v>
      </c>
      <c r="E8934" s="702" t="n">
        <v>0.05</v>
      </c>
      <c r="F8934" s="698" t="n">
        <v>720</v>
      </c>
      <c r="G8934" s="948" t="n">
        <f aca="false">F8934*E8934</f>
        <v>36</v>
      </c>
      <c r="H8934" s="606"/>
    </row>
    <row r="8935" customFormat="false" ht="15" hidden="false" customHeight="false" outlineLevel="0" collapsed="false">
      <c r="A8935" s="571"/>
      <c r="B8935" s="433"/>
      <c r="C8935" s="614" t="s">
        <v>4515</v>
      </c>
      <c r="D8935" s="606" t="s">
        <v>4133</v>
      </c>
      <c r="E8935" s="702" t="n">
        <v>0.02</v>
      </c>
      <c r="F8935" s="698" t="n">
        <v>1079</v>
      </c>
      <c r="G8935" s="948" t="n">
        <f aca="false">F8935*E8935</f>
        <v>21.58</v>
      </c>
      <c r="H8935" s="606"/>
    </row>
    <row r="8936" customFormat="false" ht="15" hidden="false" customHeight="false" outlineLevel="0" collapsed="false">
      <c r="A8936" s="571"/>
      <c r="B8936" s="433"/>
      <c r="C8936" s="614" t="s">
        <v>4347</v>
      </c>
      <c r="D8936" s="606" t="s">
        <v>5788</v>
      </c>
      <c r="E8936" s="702" t="n">
        <v>1</v>
      </c>
      <c r="F8936" s="698" t="n">
        <v>142</v>
      </c>
      <c r="G8936" s="948" t="n">
        <f aca="false">F8936*E8936</f>
        <v>142</v>
      </c>
      <c r="H8936" s="606"/>
    </row>
    <row r="8937" customFormat="false" ht="15" hidden="false" customHeight="false" outlineLevel="0" collapsed="false">
      <c r="A8937" s="571"/>
      <c r="B8937" s="433"/>
      <c r="C8937" s="614" t="s">
        <v>4509</v>
      </c>
      <c r="D8937" s="606" t="s">
        <v>4191</v>
      </c>
      <c r="E8937" s="702" t="n">
        <v>1</v>
      </c>
      <c r="F8937" s="698" t="n">
        <v>106</v>
      </c>
      <c r="G8937" s="948" t="n">
        <f aca="false">E8937*F8937</f>
        <v>106</v>
      </c>
      <c r="H8937" s="606"/>
    </row>
    <row r="8938" customFormat="false" ht="15" hidden="false" customHeight="false" outlineLevel="0" collapsed="false">
      <c r="A8938" s="571"/>
      <c r="B8938" s="608" t="s">
        <v>4128</v>
      </c>
      <c r="C8938" s="609"/>
      <c r="D8938" s="610"/>
      <c r="E8938" s="935"/>
      <c r="F8938" s="946"/>
      <c r="G8938" s="947" t="n">
        <f aca="false">SUM(G8927:G8937)</f>
        <v>1554.802</v>
      </c>
      <c r="H8938" s="610"/>
    </row>
    <row r="8939" customFormat="false" ht="15" hidden="false" customHeight="false" outlineLevel="0" collapsed="false">
      <c r="A8939" s="571" t="s">
        <v>1772</v>
      </c>
      <c r="B8939" s="433" t="s">
        <v>3623</v>
      </c>
      <c r="C8939" s="614" t="s">
        <v>5030</v>
      </c>
      <c r="D8939" s="606" t="s">
        <v>4359</v>
      </c>
      <c r="E8939" s="702" t="n">
        <v>0.03</v>
      </c>
      <c r="F8939" s="698" t="n">
        <v>720</v>
      </c>
      <c r="G8939" s="948" t="n">
        <f aca="false">E8939*F8939</f>
        <v>21.6</v>
      </c>
      <c r="H8939" s="593"/>
    </row>
    <row r="8940" customFormat="false" ht="15" hidden="false" customHeight="false" outlineLevel="0" collapsed="false">
      <c r="A8940" s="571"/>
      <c r="B8940" s="433"/>
      <c r="C8940" s="614" t="s">
        <v>4515</v>
      </c>
      <c r="D8940" s="606" t="s">
        <v>4133</v>
      </c>
      <c r="E8940" s="702" t="n">
        <v>0.02</v>
      </c>
      <c r="F8940" s="698" t="n">
        <v>1079</v>
      </c>
      <c r="G8940" s="948" t="n">
        <f aca="false">E8940*F8940</f>
        <v>21.58</v>
      </c>
      <c r="H8940" s="593"/>
    </row>
    <row r="8941" customFormat="false" ht="15" hidden="false" customHeight="false" outlineLevel="0" collapsed="false">
      <c r="A8941" s="571"/>
      <c r="B8941" s="500"/>
      <c r="C8941" s="614" t="s">
        <v>4347</v>
      </c>
      <c r="D8941" s="606" t="s">
        <v>5788</v>
      </c>
      <c r="E8941" s="702" t="n">
        <v>1</v>
      </c>
      <c r="F8941" s="698" t="n">
        <v>142</v>
      </c>
      <c r="G8941" s="948" t="n">
        <f aca="false">E8941*F8941</f>
        <v>142</v>
      </c>
      <c r="H8941" s="593"/>
    </row>
    <row r="8942" customFormat="false" ht="15" hidden="false" customHeight="false" outlineLevel="0" collapsed="false">
      <c r="A8942" s="571"/>
      <c r="B8942" s="500"/>
      <c r="C8942" s="614" t="s">
        <v>5815</v>
      </c>
      <c r="D8942" s="606" t="s">
        <v>4348</v>
      </c>
      <c r="E8942" s="702" t="n">
        <v>1</v>
      </c>
      <c r="F8942" s="698" t="n">
        <v>106</v>
      </c>
      <c r="G8942" s="948" t="n">
        <f aca="false">E8942*F8942</f>
        <v>106</v>
      </c>
      <c r="H8942" s="593"/>
    </row>
    <row r="8943" customFormat="false" ht="15" hidden="false" customHeight="false" outlineLevel="0" collapsed="false">
      <c r="A8943" s="571"/>
      <c r="B8943" s="500"/>
      <c r="C8943" s="614" t="s">
        <v>5816</v>
      </c>
      <c r="D8943" s="606" t="s">
        <v>4348</v>
      </c>
      <c r="E8943" s="702" t="n">
        <v>1</v>
      </c>
      <c r="F8943" s="698" t="n">
        <v>550</v>
      </c>
      <c r="G8943" s="948" t="n">
        <f aca="false">E8943*F8943</f>
        <v>550</v>
      </c>
      <c r="H8943" s="593"/>
    </row>
    <row r="8944" customFormat="false" ht="15" hidden="false" customHeight="false" outlineLevel="0" collapsed="false">
      <c r="A8944" s="571"/>
      <c r="B8944" s="608" t="s">
        <v>4128</v>
      </c>
      <c r="C8944" s="609"/>
      <c r="D8944" s="610"/>
      <c r="E8944" s="935"/>
      <c r="F8944" s="946"/>
      <c r="G8944" s="947" t="n">
        <f aca="false">SUM(G8939:G8943)</f>
        <v>841.18</v>
      </c>
      <c r="H8944" s="618"/>
    </row>
    <row r="8945" customFormat="false" ht="15" hidden="false" customHeight="false" outlineLevel="0" collapsed="false">
      <c r="A8945" s="350" t="s">
        <v>1774</v>
      </c>
      <c r="B8945" s="467" t="s">
        <v>3624</v>
      </c>
      <c r="C8945" s="751"/>
      <c r="D8945" s="339"/>
      <c r="E8945" s="945"/>
      <c r="F8945" s="949"/>
      <c r="G8945" s="950"/>
      <c r="H8945" s="751"/>
    </row>
    <row r="8946" customFormat="false" ht="30" hidden="false" customHeight="false" outlineLevel="0" collapsed="false">
      <c r="A8946" s="571" t="s">
        <v>1776</v>
      </c>
      <c r="B8946" s="433" t="s">
        <v>3625</v>
      </c>
      <c r="C8946" s="614" t="s">
        <v>4347</v>
      </c>
      <c r="D8946" s="606" t="s">
        <v>5788</v>
      </c>
      <c r="E8946" s="702" t="n">
        <v>1</v>
      </c>
      <c r="F8946" s="698" t="n">
        <v>30</v>
      </c>
      <c r="G8946" s="948" t="n">
        <f aca="false">E8946*F8946</f>
        <v>30</v>
      </c>
      <c r="H8946" s="593"/>
    </row>
    <row r="8947" customFormat="false" ht="15" hidden="false" customHeight="false" outlineLevel="0" collapsed="false">
      <c r="A8947" s="571"/>
      <c r="B8947" s="433"/>
      <c r="C8947" s="614" t="s">
        <v>4509</v>
      </c>
      <c r="D8947" s="606" t="s">
        <v>4348</v>
      </c>
      <c r="E8947" s="702" t="n">
        <v>1</v>
      </c>
      <c r="F8947" s="698" t="n">
        <v>40</v>
      </c>
      <c r="G8947" s="948" t="n">
        <f aca="false">E8947*F8947</f>
        <v>40</v>
      </c>
      <c r="H8947" s="593"/>
    </row>
    <row r="8948" customFormat="false" ht="15" hidden="false" customHeight="false" outlineLevel="0" collapsed="false">
      <c r="A8948" s="571"/>
      <c r="B8948" s="608" t="s">
        <v>4128</v>
      </c>
      <c r="C8948" s="609"/>
      <c r="D8948" s="610"/>
      <c r="E8948" s="935"/>
      <c r="F8948" s="946"/>
      <c r="G8948" s="947" t="n">
        <f aca="false">SUM(G8946:G8947)</f>
        <v>70</v>
      </c>
      <c r="H8948" s="618"/>
    </row>
    <row r="8949" customFormat="false" ht="15" hidden="false" customHeight="false" outlineLevel="0" collapsed="false">
      <c r="A8949" s="350" t="s">
        <v>1778</v>
      </c>
      <c r="B8949" s="346" t="s">
        <v>3626</v>
      </c>
      <c r="C8949" s="811"/>
      <c r="D8949" s="790"/>
      <c r="E8949" s="945"/>
      <c r="F8949" s="949"/>
      <c r="G8949" s="950"/>
      <c r="H8949" s="790"/>
    </row>
    <row r="8950" customFormat="false" ht="30" hidden="false" customHeight="false" outlineLevel="0" collapsed="false">
      <c r="A8950" s="327" t="s">
        <v>1780</v>
      </c>
      <c r="B8950" s="433" t="s">
        <v>3627</v>
      </c>
      <c r="C8950" s="614" t="s">
        <v>5030</v>
      </c>
      <c r="D8950" s="606" t="s">
        <v>4359</v>
      </c>
      <c r="E8950" s="702" t="n">
        <v>0.03</v>
      </c>
      <c r="F8950" s="698" t="n">
        <v>720</v>
      </c>
      <c r="G8950" s="948" t="n">
        <f aca="false">E8950*F8950</f>
        <v>21.6</v>
      </c>
      <c r="H8950" s="606"/>
    </row>
    <row r="8951" customFormat="false" ht="15" hidden="false" customHeight="false" outlineLevel="0" collapsed="false">
      <c r="A8951" s="571"/>
      <c r="B8951" s="433"/>
      <c r="C8951" s="614" t="s">
        <v>4515</v>
      </c>
      <c r="D8951" s="606" t="s">
        <v>4133</v>
      </c>
      <c r="E8951" s="702" t="n">
        <v>0.02</v>
      </c>
      <c r="F8951" s="698" t="n">
        <v>1079</v>
      </c>
      <c r="G8951" s="948" t="n">
        <f aca="false">E8951*F8951</f>
        <v>21.58</v>
      </c>
      <c r="H8951" s="606"/>
    </row>
    <row r="8952" customFormat="false" ht="15" hidden="false" customHeight="false" outlineLevel="0" collapsed="false">
      <c r="A8952" s="571"/>
      <c r="B8952" s="433"/>
      <c r="C8952" s="614" t="s">
        <v>4347</v>
      </c>
      <c r="D8952" s="606" t="s">
        <v>5788</v>
      </c>
      <c r="E8952" s="702" t="n">
        <v>3</v>
      </c>
      <c r="F8952" s="698" t="n">
        <v>142</v>
      </c>
      <c r="G8952" s="948" t="n">
        <f aca="false">E8952*F8952</f>
        <v>426</v>
      </c>
      <c r="H8952" s="606"/>
    </row>
    <row r="8953" customFormat="false" ht="15" hidden="false" customHeight="false" outlineLevel="0" collapsed="false">
      <c r="A8953" s="571"/>
      <c r="B8953" s="433"/>
      <c r="C8953" s="614" t="s">
        <v>5815</v>
      </c>
      <c r="D8953" s="606" t="s">
        <v>5817</v>
      </c>
      <c r="E8953" s="702" t="n">
        <v>3</v>
      </c>
      <c r="F8953" s="698" t="n">
        <v>106</v>
      </c>
      <c r="G8953" s="948" t="n">
        <f aca="false">E8953*F8953</f>
        <v>318</v>
      </c>
      <c r="H8953" s="606"/>
    </row>
    <row r="8954" customFormat="false" ht="15" hidden="false" customHeight="false" outlineLevel="0" collapsed="false">
      <c r="A8954" s="571"/>
      <c r="B8954" s="888" t="s">
        <v>5806</v>
      </c>
      <c r="C8954" s="614"/>
      <c r="D8954" s="606"/>
      <c r="E8954" s="702"/>
      <c r="F8954" s="698"/>
      <c r="G8954" s="947" t="n">
        <f aca="false">SUM(G8950:G8953)</f>
        <v>787.18</v>
      </c>
      <c r="H8954" s="606"/>
    </row>
    <row r="8955" customFormat="false" ht="42.75" hidden="false" customHeight="false" outlineLevel="0" collapsed="false">
      <c r="A8955" s="343" t="s">
        <v>1782</v>
      </c>
      <c r="B8955" s="357" t="s">
        <v>3628</v>
      </c>
      <c r="C8955" s="953"/>
      <c r="D8955" s="343"/>
      <c r="E8955" s="343"/>
      <c r="F8955" s="516"/>
      <c r="G8955" s="919"/>
      <c r="H8955" s="953"/>
    </row>
    <row r="8956" customFormat="false" ht="15" hidden="false" customHeight="false" outlineLevel="0" collapsed="false">
      <c r="A8956" s="350" t="s">
        <v>1784</v>
      </c>
      <c r="B8956" s="509" t="s">
        <v>3629</v>
      </c>
      <c r="C8956" s="510"/>
      <c r="D8956" s="350"/>
      <c r="E8956" s="350"/>
      <c r="F8956" s="519"/>
      <c r="G8956" s="753"/>
      <c r="H8956" s="510"/>
    </row>
    <row r="8957" customFormat="false" ht="30" hidden="false" customHeight="false" outlineLevel="0" collapsed="false">
      <c r="A8957" s="571" t="s">
        <v>1786</v>
      </c>
      <c r="B8957" s="433" t="s">
        <v>3630</v>
      </c>
      <c r="C8957" s="860" t="s">
        <v>5818</v>
      </c>
      <c r="D8957" s="316" t="s">
        <v>4149</v>
      </c>
      <c r="E8957" s="661" t="n">
        <v>0.012</v>
      </c>
      <c r="F8957" s="617" t="n">
        <v>67687</v>
      </c>
      <c r="G8957" s="615" t="n">
        <f aca="false">E8957*F8957</f>
        <v>812.244</v>
      </c>
      <c r="H8957" s="606"/>
    </row>
    <row r="8958" customFormat="false" ht="15" hidden="false" customHeight="false" outlineLevel="0" collapsed="false">
      <c r="A8958" s="571"/>
      <c r="B8958" s="608"/>
      <c r="C8958" s="860" t="s">
        <v>5819</v>
      </c>
      <c r="D8958" s="316" t="s">
        <v>4191</v>
      </c>
      <c r="E8958" s="954" t="n">
        <v>0.01</v>
      </c>
      <c r="F8958" s="955" t="n">
        <v>316.4</v>
      </c>
      <c r="G8958" s="615" t="n">
        <f aca="false">E8958*F8958</f>
        <v>3.164</v>
      </c>
      <c r="H8958" s="610"/>
    </row>
    <row r="8959" customFormat="false" ht="15" hidden="false" customHeight="false" outlineLevel="0" collapsed="false">
      <c r="A8959" s="571"/>
      <c r="B8959" s="608"/>
      <c r="C8959" s="860" t="s">
        <v>5820</v>
      </c>
      <c r="D8959" s="316" t="s">
        <v>4191</v>
      </c>
      <c r="E8959" s="954" t="n">
        <v>0.01</v>
      </c>
      <c r="F8959" s="617" t="n">
        <v>650</v>
      </c>
      <c r="G8959" s="615" t="n">
        <f aca="false">E8959*F8959</f>
        <v>6.5</v>
      </c>
      <c r="H8959" s="610"/>
    </row>
    <row r="8960" customFormat="false" ht="15" hidden="false" customHeight="false" outlineLevel="0" collapsed="false">
      <c r="A8960" s="327"/>
      <c r="B8960" s="328"/>
      <c r="C8960" s="860" t="s">
        <v>4515</v>
      </c>
      <c r="D8960" s="316" t="s">
        <v>5564</v>
      </c>
      <c r="E8960" s="661" t="n">
        <v>0.01</v>
      </c>
      <c r="F8960" s="617" t="n">
        <v>350</v>
      </c>
      <c r="G8960" s="615" t="n">
        <f aca="false">E8960*F8960</f>
        <v>3.5</v>
      </c>
      <c r="H8960" s="593"/>
    </row>
    <row r="8961" customFormat="false" ht="15" hidden="false" customHeight="false" outlineLevel="0" collapsed="false">
      <c r="A8961" s="571"/>
      <c r="B8961" s="608"/>
      <c r="C8961" s="860" t="s">
        <v>4776</v>
      </c>
      <c r="D8961" s="606" t="s">
        <v>4528</v>
      </c>
      <c r="E8961" s="954" t="n">
        <v>0.11</v>
      </c>
      <c r="F8961" s="617" t="n">
        <v>800</v>
      </c>
      <c r="G8961" s="615" t="n">
        <f aca="false">E8961*F8961</f>
        <v>88</v>
      </c>
      <c r="H8961" s="618"/>
    </row>
    <row r="8962" customFormat="false" ht="15" hidden="false" customHeight="false" outlineLevel="0" collapsed="false">
      <c r="A8962" s="571"/>
      <c r="B8962" s="608" t="s">
        <v>4128</v>
      </c>
      <c r="C8962" s="718"/>
      <c r="D8962" s="610"/>
      <c r="E8962" s="611"/>
      <c r="F8962" s="612"/>
      <c r="G8962" s="613" t="n">
        <f aca="false">SUM(G8957:G8961)</f>
        <v>913.408</v>
      </c>
      <c r="H8962" s="610"/>
    </row>
    <row r="8963" customFormat="false" ht="45" hidden="false" customHeight="false" outlineLevel="0" collapsed="false">
      <c r="A8963" s="571" t="s">
        <v>1788</v>
      </c>
      <c r="B8963" s="433" t="s">
        <v>3631</v>
      </c>
      <c r="C8963" s="860" t="s">
        <v>5818</v>
      </c>
      <c r="D8963" s="316" t="s">
        <v>4149</v>
      </c>
      <c r="E8963" s="661" t="n">
        <v>0.004</v>
      </c>
      <c r="F8963" s="617" t="n">
        <v>67687</v>
      </c>
      <c r="G8963" s="615" t="n">
        <f aca="false">E8963*F8963</f>
        <v>270.748</v>
      </c>
      <c r="H8963" s="606"/>
    </row>
    <row r="8964" customFormat="false" ht="15" hidden="false" customHeight="false" outlineLevel="0" collapsed="false">
      <c r="A8964" s="571"/>
      <c r="B8964" s="608"/>
      <c r="C8964" s="860" t="s">
        <v>5819</v>
      </c>
      <c r="D8964" s="316" t="s">
        <v>4191</v>
      </c>
      <c r="E8964" s="954" t="n">
        <v>0.01</v>
      </c>
      <c r="F8964" s="955" t="n">
        <v>316.4</v>
      </c>
      <c r="G8964" s="615" t="n">
        <f aca="false">E8964*F8964</f>
        <v>3.164</v>
      </c>
      <c r="H8964" s="610"/>
    </row>
    <row r="8965" customFormat="false" ht="15" hidden="false" customHeight="false" outlineLevel="0" collapsed="false">
      <c r="A8965" s="571"/>
      <c r="B8965" s="500"/>
      <c r="C8965" s="860" t="s">
        <v>5820</v>
      </c>
      <c r="D8965" s="316" t="s">
        <v>4191</v>
      </c>
      <c r="E8965" s="954" t="n">
        <v>0.01</v>
      </c>
      <c r="F8965" s="617" t="n">
        <v>650</v>
      </c>
      <c r="G8965" s="615" t="n">
        <f aca="false">E8965*F8965</f>
        <v>6.5</v>
      </c>
      <c r="H8965" s="606"/>
    </row>
    <row r="8966" customFormat="false" ht="15" hidden="false" customHeight="false" outlineLevel="0" collapsed="false">
      <c r="B8966" s="500"/>
      <c r="C8966" s="860" t="s">
        <v>5816</v>
      </c>
      <c r="D8966" s="316" t="s">
        <v>4141</v>
      </c>
      <c r="E8966" s="661" t="n">
        <v>0.004</v>
      </c>
      <c r="F8966" s="617" t="n">
        <v>144704</v>
      </c>
      <c r="G8966" s="615" t="n">
        <f aca="false">E8966*F8966</f>
        <v>578.816</v>
      </c>
      <c r="H8966" s="606"/>
    </row>
    <row r="8967" customFormat="false" ht="15" hidden="false" customHeight="false" outlineLevel="0" collapsed="false">
      <c r="A8967" s="571"/>
      <c r="B8967" s="500"/>
      <c r="C8967" s="860" t="s">
        <v>4515</v>
      </c>
      <c r="D8967" s="316" t="s">
        <v>4149</v>
      </c>
      <c r="E8967" s="661" t="n">
        <v>0.01</v>
      </c>
      <c r="F8967" s="617" t="n">
        <v>350</v>
      </c>
      <c r="G8967" s="615" t="n">
        <f aca="false">E8967*F8967</f>
        <v>3.5</v>
      </c>
      <c r="H8967" s="606"/>
    </row>
    <row r="8968" customFormat="false" ht="15" hidden="false" customHeight="false" outlineLevel="0" collapsed="false">
      <c r="A8968" s="571"/>
      <c r="B8968" s="608"/>
      <c r="C8968" s="860" t="s">
        <v>4776</v>
      </c>
      <c r="D8968" s="316" t="s">
        <v>4359</v>
      </c>
      <c r="E8968" s="954" t="n">
        <v>0.16</v>
      </c>
      <c r="F8968" s="617" t="n">
        <v>800</v>
      </c>
      <c r="G8968" s="615" t="n">
        <f aca="false">E8968*F8968</f>
        <v>128</v>
      </c>
      <c r="H8968" s="391"/>
    </row>
    <row r="8969" customFormat="false" ht="15" hidden="false" customHeight="false" outlineLevel="0" collapsed="false">
      <c r="A8969" s="571"/>
      <c r="B8969" s="608" t="s">
        <v>4128</v>
      </c>
      <c r="C8969" s="709"/>
      <c r="D8969" s="606"/>
      <c r="E8969" s="606"/>
      <c r="F8969" s="361"/>
      <c r="G8969" s="613" t="n">
        <f aca="false">SUM(G8963:G8968)</f>
        <v>990.728</v>
      </c>
      <c r="H8969" s="391"/>
    </row>
    <row r="8970" customFormat="false" ht="30" hidden="false" customHeight="false" outlineLevel="0" collapsed="false">
      <c r="A8970" s="571" t="s">
        <v>1790</v>
      </c>
      <c r="B8970" s="493" t="s">
        <v>3632</v>
      </c>
      <c r="C8970" s="860" t="s">
        <v>5818</v>
      </c>
      <c r="D8970" s="316" t="s">
        <v>4149</v>
      </c>
      <c r="E8970" s="954" t="n">
        <v>0.003</v>
      </c>
      <c r="F8970" s="617" t="n">
        <v>67687</v>
      </c>
      <c r="G8970" s="615" t="n">
        <f aca="false">E8970*F8970</f>
        <v>203.061</v>
      </c>
      <c r="H8970" s="606"/>
    </row>
    <row r="8971" customFormat="false" ht="15" hidden="false" customHeight="false" outlineLevel="0" collapsed="false">
      <c r="A8971" s="571"/>
      <c r="B8971" s="500"/>
      <c r="C8971" s="860" t="s">
        <v>5821</v>
      </c>
      <c r="D8971" s="316" t="s">
        <v>4149</v>
      </c>
      <c r="E8971" s="954" t="n">
        <v>0.003</v>
      </c>
      <c r="F8971" s="617" t="n">
        <v>45738</v>
      </c>
      <c r="G8971" s="615" t="n">
        <f aca="false">E8971*F8971</f>
        <v>137.214</v>
      </c>
      <c r="H8971" s="606"/>
    </row>
    <row r="8972" customFormat="false" ht="15" hidden="false" customHeight="false" outlineLevel="0" collapsed="false">
      <c r="A8972" s="571"/>
      <c r="B8972" s="608"/>
      <c r="C8972" s="860" t="s">
        <v>5822</v>
      </c>
      <c r="D8972" s="316" t="s">
        <v>4149</v>
      </c>
      <c r="E8972" s="954" t="n">
        <v>0.004</v>
      </c>
      <c r="F8972" s="617" t="n">
        <v>145939</v>
      </c>
      <c r="G8972" s="615" t="n">
        <f aca="false">E8972*F8972</f>
        <v>583.756</v>
      </c>
      <c r="H8972" s="391"/>
    </row>
    <row r="8973" customFormat="false" ht="15" hidden="false" customHeight="false" outlineLevel="0" collapsed="false">
      <c r="A8973" s="571"/>
      <c r="B8973" s="328"/>
      <c r="C8973" s="21" t="s">
        <v>5823</v>
      </c>
      <c r="D8973" s="316" t="s">
        <v>4149</v>
      </c>
      <c r="E8973" s="954" t="n">
        <v>0.003</v>
      </c>
      <c r="F8973" s="617" t="n">
        <v>69797</v>
      </c>
      <c r="G8973" s="615" t="n">
        <f aca="false">E8973*F8973</f>
        <v>209.391</v>
      </c>
      <c r="H8973" s="606"/>
    </row>
    <row r="8974" customFormat="false" ht="15" hidden="false" customHeight="false" outlineLevel="0" collapsed="false">
      <c r="A8974" s="571"/>
      <c r="B8974" s="500"/>
      <c r="C8974" s="860" t="s">
        <v>5824</v>
      </c>
      <c r="D8974" s="316" t="s">
        <v>4528</v>
      </c>
      <c r="E8974" s="954" t="n">
        <v>0.001</v>
      </c>
      <c r="F8974" s="617" t="n">
        <v>82115</v>
      </c>
      <c r="G8974" s="615" t="n">
        <f aca="false">F8974*E8974</f>
        <v>82.115</v>
      </c>
      <c r="H8974" s="606"/>
    </row>
    <row r="8975" customFormat="false" ht="15" hidden="false" customHeight="false" outlineLevel="0" collapsed="false">
      <c r="A8975" s="571"/>
      <c r="B8975" s="500"/>
      <c r="C8975" s="860" t="s">
        <v>5825</v>
      </c>
      <c r="D8975" s="316" t="s">
        <v>4141</v>
      </c>
      <c r="E8975" s="954" t="n">
        <v>0.01</v>
      </c>
      <c r="F8975" s="883" t="n">
        <v>8468</v>
      </c>
      <c r="G8975" s="615" t="n">
        <f aca="false">F8975*E8975</f>
        <v>84.68</v>
      </c>
      <c r="H8975" s="606"/>
    </row>
    <row r="8976" customFormat="false" ht="15" hidden="false" customHeight="false" outlineLevel="0" collapsed="false">
      <c r="A8976" s="571"/>
      <c r="B8976" s="500"/>
      <c r="C8976" s="860" t="s">
        <v>5819</v>
      </c>
      <c r="D8976" s="316" t="s">
        <v>4191</v>
      </c>
      <c r="E8976" s="954" t="n">
        <v>0.01</v>
      </c>
      <c r="F8976" s="956" t="n">
        <v>316.4</v>
      </c>
      <c r="G8976" s="615" t="n">
        <f aca="false">F8976*E8976</f>
        <v>3.164</v>
      </c>
      <c r="H8976" s="606"/>
    </row>
    <row r="8977" customFormat="false" ht="15" hidden="false" customHeight="false" outlineLevel="0" collapsed="false">
      <c r="A8977" s="571"/>
      <c r="B8977" s="500"/>
      <c r="C8977" s="860" t="s">
        <v>5826</v>
      </c>
      <c r="D8977" s="316" t="s">
        <v>4191</v>
      </c>
      <c r="E8977" s="954" t="n">
        <v>0.01</v>
      </c>
      <c r="F8977" s="686" t="n">
        <v>366.25</v>
      </c>
      <c r="G8977" s="615" t="n">
        <f aca="false">F8977*E8977</f>
        <v>3.6625</v>
      </c>
      <c r="H8977" s="606"/>
    </row>
    <row r="8978" customFormat="false" ht="15" hidden="false" customHeight="false" outlineLevel="0" collapsed="false">
      <c r="A8978" s="571"/>
      <c r="B8978" s="328"/>
      <c r="C8978" s="860" t="s">
        <v>5820</v>
      </c>
      <c r="D8978" s="316" t="s">
        <v>4191</v>
      </c>
      <c r="E8978" s="954" t="n">
        <v>0.01</v>
      </c>
      <c r="F8978" s="617" t="n">
        <v>650</v>
      </c>
      <c r="G8978" s="615" t="n">
        <f aca="false">F8978*E8978</f>
        <v>6.5</v>
      </c>
      <c r="H8978" s="606"/>
    </row>
    <row r="8979" customFormat="false" ht="15" hidden="false" customHeight="false" outlineLevel="0" collapsed="false">
      <c r="A8979" s="571"/>
      <c r="B8979" s="500"/>
      <c r="C8979" s="860" t="s">
        <v>4776</v>
      </c>
      <c r="D8979" s="316" t="s">
        <v>4359</v>
      </c>
      <c r="E8979" s="954" t="n">
        <v>0.2</v>
      </c>
      <c r="F8979" s="617" t="n">
        <v>800</v>
      </c>
      <c r="G8979" s="615" t="n">
        <f aca="false">F8979*E8979</f>
        <v>160</v>
      </c>
      <c r="H8979" s="606"/>
    </row>
    <row r="8980" customFormat="false" ht="15" hidden="false" customHeight="false" outlineLevel="0" collapsed="false">
      <c r="A8980" s="571"/>
      <c r="B8980" s="608" t="s">
        <v>4128</v>
      </c>
      <c r="C8980" s="718"/>
      <c r="D8980" s="610"/>
      <c r="E8980" s="610"/>
      <c r="F8980" s="612"/>
      <c r="G8980" s="613" t="n">
        <f aca="false">SUM(G8970:G8979)</f>
        <v>1473.5435</v>
      </c>
      <c r="H8980" s="610"/>
    </row>
    <row r="8981" customFormat="false" ht="30" hidden="false" customHeight="false" outlineLevel="0" collapsed="false">
      <c r="A8981" s="571" t="s">
        <v>1792</v>
      </c>
      <c r="B8981" s="488" t="s">
        <v>3633</v>
      </c>
      <c r="C8981" s="860" t="s">
        <v>5818</v>
      </c>
      <c r="D8981" s="316" t="s">
        <v>4149</v>
      </c>
      <c r="E8981" s="954" t="n">
        <v>0.004</v>
      </c>
      <c r="F8981" s="617" t="n">
        <v>67687</v>
      </c>
      <c r="G8981" s="615" t="n">
        <f aca="false">E8981*F8981</f>
        <v>270.748</v>
      </c>
      <c r="H8981" s="606"/>
    </row>
    <row r="8982" customFormat="false" ht="15" hidden="false" customHeight="false" outlineLevel="0" collapsed="false">
      <c r="A8982" s="571"/>
      <c r="B8982" s="608"/>
      <c r="C8982" s="860" t="s">
        <v>5822</v>
      </c>
      <c r="D8982" s="316" t="s">
        <v>4149</v>
      </c>
      <c r="E8982" s="954" t="n">
        <v>0.002</v>
      </c>
      <c r="F8982" s="617" t="n">
        <v>145939</v>
      </c>
      <c r="G8982" s="615" t="n">
        <f aca="false">E8982*F8982</f>
        <v>291.878</v>
      </c>
      <c r="H8982" s="391"/>
    </row>
    <row r="8983" customFormat="false" ht="15" hidden="false" customHeight="false" outlineLevel="0" collapsed="false">
      <c r="A8983" s="571"/>
      <c r="B8983" s="328"/>
      <c r="C8983" s="21" t="s">
        <v>5823</v>
      </c>
      <c r="D8983" s="316" t="s">
        <v>4149</v>
      </c>
      <c r="E8983" s="954" t="n">
        <v>0.004</v>
      </c>
      <c r="F8983" s="617" t="n">
        <v>69797</v>
      </c>
      <c r="G8983" s="615" t="n">
        <f aca="false">E8983*F8983</f>
        <v>279.188</v>
      </c>
      <c r="H8983" s="606"/>
    </row>
    <row r="8984" customFormat="false" ht="15" hidden="false" customHeight="false" outlineLevel="0" collapsed="false">
      <c r="A8984" s="571"/>
      <c r="B8984" s="500"/>
      <c r="C8984" s="860" t="s">
        <v>5824</v>
      </c>
      <c r="D8984" s="316" t="s">
        <v>4528</v>
      </c>
      <c r="E8984" s="954" t="n">
        <v>0.001</v>
      </c>
      <c r="F8984" s="617" t="n">
        <v>82115</v>
      </c>
      <c r="G8984" s="615" t="n">
        <f aca="false">E8984*F8984</f>
        <v>82.115</v>
      </c>
      <c r="H8984" s="606"/>
    </row>
    <row r="8985" customFormat="false" ht="15" hidden="false" customHeight="false" outlineLevel="0" collapsed="false">
      <c r="A8985" s="571"/>
      <c r="B8985" s="500"/>
      <c r="C8985" s="860" t="s">
        <v>5825</v>
      </c>
      <c r="D8985" s="316" t="s">
        <v>4191</v>
      </c>
      <c r="E8985" s="954" t="n">
        <v>0.01</v>
      </c>
      <c r="F8985" s="883" t="n">
        <v>8468</v>
      </c>
      <c r="G8985" s="615" t="n">
        <f aca="false">E8985*F8985</f>
        <v>84.68</v>
      </c>
      <c r="H8985" s="606"/>
    </row>
    <row r="8986" customFormat="false" ht="15" hidden="false" customHeight="false" outlineLevel="0" collapsed="false">
      <c r="A8986" s="571"/>
      <c r="B8986" s="500"/>
      <c r="C8986" s="860" t="s">
        <v>5819</v>
      </c>
      <c r="D8986" s="316" t="s">
        <v>4191</v>
      </c>
      <c r="E8986" s="954" t="n">
        <v>0.01</v>
      </c>
      <c r="F8986" s="883" t="n">
        <v>316.4</v>
      </c>
      <c r="G8986" s="615" t="n">
        <f aca="false">E8986*F8986</f>
        <v>3.164</v>
      </c>
      <c r="H8986" s="606"/>
    </row>
    <row r="8987" customFormat="false" ht="15" hidden="false" customHeight="false" outlineLevel="0" collapsed="false">
      <c r="A8987" s="571"/>
      <c r="B8987" s="500"/>
      <c r="C8987" s="860" t="s">
        <v>5826</v>
      </c>
      <c r="D8987" s="316" t="s">
        <v>4191</v>
      </c>
      <c r="E8987" s="954" t="n">
        <v>0.01</v>
      </c>
      <c r="F8987" s="617" t="n">
        <v>366.25</v>
      </c>
      <c r="G8987" s="615" t="n">
        <f aca="false">E8987*F8987</f>
        <v>3.6625</v>
      </c>
      <c r="H8987" s="606"/>
    </row>
    <row r="8988" customFormat="false" ht="15" hidden="false" customHeight="false" outlineLevel="0" collapsed="false">
      <c r="A8988" s="571"/>
      <c r="B8988" s="500"/>
      <c r="C8988" s="860" t="s">
        <v>5820</v>
      </c>
      <c r="D8988" s="316" t="s">
        <v>4191</v>
      </c>
      <c r="E8988" s="954" t="n">
        <v>0.01</v>
      </c>
      <c r="F8988" s="617" t="n">
        <v>650</v>
      </c>
      <c r="G8988" s="615" t="n">
        <f aca="false">E8988*F8988</f>
        <v>6.5</v>
      </c>
      <c r="H8988" s="606"/>
    </row>
    <row r="8989" customFormat="false" ht="15" hidden="false" customHeight="false" outlineLevel="0" collapsed="false">
      <c r="A8989" s="571"/>
      <c r="B8989" s="500"/>
      <c r="C8989" s="860" t="s">
        <v>5816</v>
      </c>
      <c r="D8989" s="316" t="s">
        <v>4191</v>
      </c>
      <c r="E8989" s="954" t="n">
        <v>0.01</v>
      </c>
      <c r="F8989" s="617" t="n">
        <v>39500</v>
      </c>
      <c r="G8989" s="615" t="n">
        <f aca="false">E8989*F8989</f>
        <v>395</v>
      </c>
      <c r="H8989" s="606"/>
    </row>
    <row r="8990" customFormat="false" ht="15" hidden="false" customHeight="false" outlineLevel="0" collapsed="false">
      <c r="A8990" s="571"/>
      <c r="B8990" s="500"/>
      <c r="C8990" s="860" t="s">
        <v>4515</v>
      </c>
      <c r="D8990" s="316" t="s">
        <v>4149</v>
      </c>
      <c r="E8990" s="954" t="n">
        <v>0.022</v>
      </c>
      <c r="F8990" s="617" t="n">
        <v>350</v>
      </c>
      <c r="G8990" s="615" t="n">
        <f aca="false">E8990*F8990</f>
        <v>7.7</v>
      </c>
      <c r="H8990" s="606"/>
    </row>
    <row r="8991" customFormat="false" ht="15" hidden="false" customHeight="false" outlineLevel="0" collapsed="false">
      <c r="A8991" s="571"/>
      <c r="B8991" s="500"/>
      <c r="C8991" s="860" t="s">
        <v>4776</v>
      </c>
      <c r="D8991" s="316" t="s">
        <v>4359</v>
      </c>
      <c r="E8991" s="954" t="n">
        <v>0.021</v>
      </c>
      <c r="F8991" s="617" t="n">
        <v>800</v>
      </c>
      <c r="G8991" s="615" t="n">
        <f aca="false">E8991*F8991</f>
        <v>16.8</v>
      </c>
      <c r="H8991" s="606"/>
    </row>
    <row r="8992" customFormat="false" ht="15" hidden="false" customHeight="false" outlineLevel="0" collapsed="false">
      <c r="A8992" s="571"/>
      <c r="B8992" s="500"/>
      <c r="C8992" s="860" t="s">
        <v>5827</v>
      </c>
      <c r="D8992" s="316" t="s">
        <v>4348</v>
      </c>
      <c r="E8992" s="954" t="n">
        <v>0.01</v>
      </c>
      <c r="F8992" s="617" t="n">
        <v>370</v>
      </c>
      <c r="G8992" s="615" t="n">
        <f aca="false">E8992*F8992</f>
        <v>3.7</v>
      </c>
      <c r="H8992" s="606"/>
    </row>
    <row r="8993" customFormat="false" ht="15" hidden="false" customHeight="false" outlineLevel="0" collapsed="false">
      <c r="A8993" s="957"/>
      <c r="B8993" s="608" t="s">
        <v>4128</v>
      </c>
      <c r="C8993" s="718"/>
      <c r="D8993" s="610"/>
      <c r="E8993" s="610"/>
      <c r="F8993" s="612"/>
      <c r="G8993" s="613" t="n">
        <f aca="false">SUM(G8981:G8992)</f>
        <v>1445.1355</v>
      </c>
      <c r="H8993" s="606"/>
    </row>
    <row r="8994" customFormat="false" ht="30" hidden="false" customHeight="false" outlineLevel="0" collapsed="false">
      <c r="A8994" s="571" t="s">
        <v>1794</v>
      </c>
      <c r="B8994" s="493" t="s">
        <v>3634</v>
      </c>
      <c r="C8994" s="860" t="s">
        <v>5818</v>
      </c>
      <c r="D8994" s="316" t="s">
        <v>4149</v>
      </c>
      <c r="E8994" s="954" t="n">
        <v>0.003</v>
      </c>
      <c r="F8994" s="617" t="n">
        <v>67687</v>
      </c>
      <c r="G8994" s="615" t="n">
        <f aca="false">E8994*F8994</f>
        <v>203.061</v>
      </c>
      <c r="H8994" s="606"/>
    </row>
    <row r="8995" customFormat="false" ht="15" hidden="false" customHeight="false" outlineLevel="0" collapsed="false">
      <c r="A8995" s="571"/>
      <c r="B8995" s="500"/>
      <c r="C8995" s="860" t="s">
        <v>5822</v>
      </c>
      <c r="D8995" s="316" t="s">
        <v>4149</v>
      </c>
      <c r="E8995" s="954" t="n">
        <v>0.002</v>
      </c>
      <c r="F8995" s="617" t="n">
        <v>145939</v>
      </c>
      <c r="G8995" s="615" t="n">
        <f aca="false">E8995*F8995</f>
        <v>291.878</v>
      </c>
      <c r="H8995" s="606"/>
    </row>
    <row r="8996" customFormat="false" ht="15" hidden="false" customHeight="false" outlineLevel="0" collapsed="false">
      <c r="A8996" s="571"/>
      <c r="B8996" s="500"/>
      <c r="C8996" s="21" t="s">
        <v>5823</v>
      </c>
      <c r="D8996" s="316" t="s">
        <v>4149</v>
      </c>
      <c r="E8996" s="954" t="n">
        <v>0.0035</v>
      </c>
      <c r="F8996" s="617" t="n">
        <v>69797</v>
      </c>
      <c r="G8996" s="615" t="n">
        <f aca="false">E8996*F8996</f>
        <v>244.2895</v>
      </c>
      <c r="H8996" s="606"/>
    </row>
    <row r="8997" customFormat="false" ht="15" hidden="false" customHeight="false" outlineLevel="0" collapsed="false">
      <c r="A8997" s="571"/>
      <c r="B8997" s="608"/>
      <c r="C8997" s="860" t="s">
        <v>5824</v>
      </c>
      <c r="D8997" s="316" t="s">
        <v>4528</v>
      </c>
      <c r="E8997" s="954" t="n">
        <v>0.001</v>
      </c>
      <c r="F8997" s="617" t="n">
        <v>82115</v>
      </c>
      <c r="G8997" s="615" t="n">
        <f aca="false">E8997*F8997</f>
        <v>82.115</v>
      </c>
      <c r="H8997" s="391"/>
    </row>
    <row r="8998" customFormat="false" ht="15" hidden="false" customHeight="false" outlineLevel="0" collapsed="false">
      <c r="A8998" s="571"/>
      <c r="B8998" s="328"/>
      <c r="C8998" s="860" t="s">
        <v>5825</v>
      </c>
      <c r="D8998" s="316" t="s">
        <v>4141</v>
      </c>
      <c r="E8998" s="954" t="n">
        <v>0.01</v>
      </c>
      <c r="F8998" s="883" t="n">
        <v>8468</v>
      </c>
      <c r="G8998" s="615" t="n">
        <f aca="false">E8998*F8998</f>
        <v>84.68</v>
      </c>
      <c r="H8998" s="606"/>
    </row>
    <row r="8999" customFormat="false" ht="15" hidden="false" customHeight="false" outlineLevel="0" collapsed="false">
      <c r="A8999" s="571"/>
      <c r="B8999" s="500"/>
      <c r="C8999" s="860" t="s">
        <v>5819</v>
      </c>
      <c r="D8999" s="316" t="s">
        <v>4191</v>
      </c>
      <c r="E8999" s="954" t="n">
        <v>0.01</v>
      </c>
      <c r="F8999" s="883" t="n">
        <v>316.4</v>
      </c>
      <c r="G8999" s="615" t="n">
        <f aca="false">E8999*F8999</f>
        <v>3.164</v>
      </c>
      <c r="H8999" s="606"/>
    </row>
    <row r="9000" customFormat="false" ht="15" hidden="false" customHeight="false" outlineLevel="0" collapsed="false">
      <c r="A9000" s="571"/>
      <c r="B9000" s="500"/>
      <c r="C9000" s="860" t="s">
        <v>5826</v>
      </c>
      <c r="D9000" s="316" t="s">
        <v>4191</v>
      </c>
      <c r="E9000" s="954" t="n">
        <v>0.01</v>
      </c>
      <c r="F9000" s="617" t="n">
        <v>366.25</v>
      </c>
      <c r="G9000" s="615" t="n">
        <f aca="false">E9000*F9000</f>
        <v>3.6625</v>
      </c>
      <c r="H9000" s="606"/>
    </row>
    <row r="9001" customFormat="false" ht="15" hidden="false" customHeight="false" outlineLevel="0" collapsed="false">
      <c r="A9001" s="571"/>
      <c r="B9001" s="500"/>
      <c r="C9001" s="860" t="s">
        <v>5820</v>
      </c>
      <c r="D9001" s="316" t="s">
        <v>4191</v>
      </c>
      <c r="E9001" s="954" t="n">
        <v>0.01</v>
      </c>
      <c r="F9001" s="617" t="n">
        <v>650</v>
      </c>
      <c r="G9001" s="615" t="n">
        <f aca="false">E9001*F9001</f>
        <v>6.5</v>
      </c>
      <c r="H9001" s="606"/>
    </row>
    <row r="9002" customFormat="false" ht="15" hidden="false" customHeight="false" outlineLevel="0" collapsed="false">
      <c r="A9002" s="571"/>
      <c r="B9002" s="500"/>
      <c r="C9002" s="860" t="s">
        <v>5816</v>
      </c>
      <c r="D9002" s="316" t="s">
        <v>4191</v>
      </c>
      <c r="E9002" s="954" t="n">
        <v>0.004</v>
      </c>
      <c r="F9002" s="617" t="n">
        <v>144704</v>
      </c>
      <c r="G9002" s="615" t="n">
        <f aca="false">E9002*F9002</f>
        <v>578.816</v>
      </c>
      <c r="H9002" s="606"/>
    </row>
    <row r="9003" customFormat="false" ht="15" hidden="false" customHeight="false" outlineLevel="0" collapsed="false">
      <c r="A9003" s="571"/>
      <c r="B9003" s="500"/>
      <c r="C9003" s="860" t="s">
        <v>4515</v>
      </c>
      <c r="D9003" s="316" t="s">
        <v>4149</v>
      </c>
      <c r="E9003" s="954" t="n">
        <v>0.022</v>
      </c>
      <c r="F9003" s="617" t="n">
        <v>350</v>
      </c>
      <c r="G9003" s="615" t="n">
        <f aca="false">E9003*F9003</f>
        <v>7.7</v>
      </c>
      <c r="H9003" s="606"/>
    </row>
    <row r="9004" customFormat="false" ht="15" hidden="false" customHeight="false" outlineLevel="0" collapsed="false">
      <c r="A9004" s="571"/>
      <c r="B9004" s="500"/>
      <c r="C9004" s="860" t="s">
        <v>4776</v>
      </c>
      <c r="D9004" s="316" t="s">
        <v>4359</v>
      </c>
      <c r="E9004" s="954" t="n">
        <v>0.021</v>
      </c>
      <c r="F9004" s="617" t="n">
        <v>800</v>
      </c>
      <c r="G9004" s="615" t="n">
        <f aca="false">E9004*F9004</f>
        <v>16.8</v>
      </c>
      <c r="H9004" s="606"/>
    </row>
    <row r="9005" customFormat="false" ht="15" hidden="false" customHeight="false" outlineLevel="0" collapsed="false">
      <c r="A9005" s="571"/>
      <c r="B9005" s="500"/>
      <c r="C9005" s="860" t="s">
        <v>5827</v>
      </c>
      <c r="D9005" s="316" t="s">
        <v>4348</v>
      </c>
      <c r="E9005" s="954" t="n">
        <v>0.01</v>
      </c>
      <c r="F9005" s="617" t="n">
        <v>370</v>
      </c>
      <c r="G9005" s="615" t="n">
        <f aca="false">E9005*F9005</f>
        <v>3.7</v>
      </c>
      <c r="H9005" s="606"/>
    </row>
    <row r="9006" customFormat="false" ht="15" hidden="false" customHeight="false" outlineLevel="0" collapsed="false">
      <c r="A9006" s="571"/>
      <c r="B9006" s="608" t="s">
        <v>4128</v>
      </c>
      <c r="C9006" s="718"/>
      <c r="D9006" s="610"/>
      <c r="E9006" s="610"/>
      <c r="F9006" s="612"/>
      <c r="G9006" s="613" t="n">
        <f aca="false">SUM(G8994:G9005)</f>
        <v>1526.366</v>
      </c>
      <c r="H9006" s="391"/>
    </row>
    <row r="9007" customFormat="false" ht="30" hidden="false" customHeight="false" outlineLevel="0" collapsed="false">
      <c r="A9007" s="571" t="s">
        <v>1796</v>
      </c>
      <c r="B9007" s="433" t="s">
        <v>3635</v>
      </c>
      <c r="C9007" s="860" t="s">
        <v>5828</v>
      </c>
      <c r="D9007" s="316" t="s">
        <v>4149</v>
      </c>
      <c r="E9007" s="664" t="n">
        <v>0.004</v>
      </c>
      <c r="F9007" s="617" t="n">
        <v>91113</v>
      </c>
      <c r="G9007" s="615" t="n">
        <f aca="false">E9007*F9007</f>
        <v>364.452</v>
      </c>
      <c r="H9007" s="391"/>
    </row>
    <row r="9008" customFormat="false" ht="15" hidden="false" customHeight="false" outlineLevel="0" collapsed="false">
      <c r="A9008" s="571"/>
      <c r="B9008" s="328"/>
      <c r="C9008" s="860" t="s">
        <v>5829</v>
      </c>
      <c r="D9008" s="316" t="s">
        <v>4348</v>
      </c>
      <c r="E9008" s="664" t="n">
        <v>0.003</v>
      </c>
      <c r="F9008" s="617" t="n">
        <v>150375</v>
      </c>
      <c r="G9008" s="615" t="n">
        <f aca="false">E9008*F9008</f>
        <v>451.125</v>
      </c>
      <c r="H9008" s="606"/>
    </row>
    <row r="9009" customFormat="false" ht="15" hidden="false" customHeight="false" outlineLevel="0" collapsed="false">
      <c r="A9009" s="571"/>
      <c r="B9009" s="500"/>
      <c r="C9009" s="860" t="s">
        <v>5824</v>
      </c>
      <c r="D9009" s="316" t="s">
        <v>4359</v>
      </c>
      <c r="E9009" s="664" t="n">
        <v>0.003</v>
      </c>
      <c r="F9009" s="617" t="n">
        <v>82115</v>
      </c>
      <c r="G9009" s="615" t="n">
        <f aca="false">E9009*F9009</f>
        <v>246.345</v>
      </c>
      <c r="H9009" s="606"/>
    </row>
    <row r="9010" customFormat="false" ht="15" hidden="false" customHeight="false" outlineLevel="0" collapsed="false">
      <c r="A9010" s="571"/>
      <c r="B9010" s="500"/>
      <c r="C9010" s="860" t="s">
        <v>5819</v>
      </c>
      <c r="D9010" s="316" t="s">
        <v>4191</v>
      </c>
      <c r="E9010" s="954" t="n">
        <v>0.1</v>
      </c>
      <c r="F9010" s="883" t="n">
        <v>316.4</v>
      </c>
      <c r="G9010" s="615" t="n">
        <f aca="false">E9010*F9010</f>
        <v>31.64</v>
      </c>
      <c r="H9010" s="606"/>
    </row>
    <row r="9011" customFormat="false" ht="15" hidden="false" customHeight="false" outlineLevel="0" collapsed="false">
      <c r="A9011" s="571"/>
      <c r="B9011" s="500"/>
      <c r="C9011" s="860" t="s">
        <v>5820</v>
      </c>
      <c r="D9011" s="316" t="s">
        <v>4191</v>
      </c>
      <c r="E9011" s="954" t="n">
        <v>0.1</v>
      </c>
      <c r="F9011" s="617" t="n">
        <v>650</v>
      </c>
      <c r="G9011" s="615" t="n">
        <f aca="false">E9011*F9011</f>
        <v>65</v>
      </c>
      <c r="H9011" s="606"/>
    </row>
    <row r="9012" customFormat="false" ht="15" hidden="false" customHeight="false" outlineLevel="0" collapsed="false">
      <c r="A9012" s="571"/>
      <c r="B9012" s="500"/>
      <c r="C9012" s="860" t="s">
        <v>4515</v>
      </c>
      <c r="D9012" s="316" t="s">
        <v>4149</v>
      </c>
      <c r="E9012" s="954" t="n">
        <v>0.1</v>
      </c>
      <c r="F9012" s="617" t="n">
        <v>350</v>
      </c>
      <c r="G9012" s="615" t="n">
        <f aca="false">E9012*F9012</f>
        <v>35</v>
      </c>
      <c r="H9012" s="606"/>
    </row>
    <row r="9013" customFormat="false" ht="15" hidden="false" customHeight="false" outlineLevel="0" collapsed="false">
      <c r="A9013" s="571"/>
      <c r="B9013" s="500"/>
      <c r="C9013" s="860" t="s">
        <v>4776</v>
      </c>
      <c r="D9013" s="316" t="s">
        <v>4359</v>
      </c>
      <c r="E9013" s="954" t="n">
        <v>0.1</v>
      </c>
      <c r="F9013" s="617" t="n">
        <v>800</v>
      </c>
      <c r="G9013" s="615" t="n">
        <f aca="false">E9013*F9013</f>
        <v>80</v>
      </c>
      <c r="H9013" s="606"/>
    </row>
    <row r="9014" customFormat="false" ht="15" hidden="false" customHeight="false" outlineLevel="0" collapsed="false">
      <c r="A9014" s="571"/>
      <c r="B9014" s="608" t="s">
        <v>4128</v>
      </c>
      <c r="C9014" s="718"/>
      <c r="D9014" s="610"/>
      <c r="E9014" s="611"/>
      <c r="F9014" s="612"/>
      <c r="G9014" s="613" t="n">
        <f aca="false">SUM(G9007:G9013)</f>
        <v>1273.562</v>
      </c>
      <c r="H9014" s="391"/>
    </row>
    <row r="9015" customFormat="false" ht="30" hidden="false" customHeight="false" outlineLevel="0" collapsed="false">
      <c r="A9015" s="571" t="s">
        <v>1798</v>
      </c>
      <c r="B9015" s="433" t="s">
        <v>3636</v>
      </c>
      <c r="C9015" s="860" t="s">
        <v>5828</v>
      </c>
      <c r="D9015" s="316" t="s">
        <v>4149</v>
      </c>
      <c r="E9015" s="664" t="n">
        <v>0.005</v>
      </c>
      <c r="F9015" s="617" t="n">
        <v>91113</v>
      </c>
      <c r="G9015" s="615" t="n">
        <f aca="false">E9015*F9015</f>
        <v>455.565</v>
      </c>
      <c r="H9015" s="606"/>
    </row>
    <row r="9016" customFormat="false" ht="15" hidden="false" customHeight="false" outlineLevel="0" collapsed="false">
      <c r="A9016" s="571"/>
      <c r="B9016" s="500"/>
      <c r="C9016" s="860" t="s">
        <v>5824</v>
      </c>
      <c r="D9016" s="316" t="s">
        <v>4359</v>
      </c>
      <c r="E9016" s="664" t="n">
        <v>0.001</v>
      </c>
      <c r="F9016" s="617" t="n">
        <v>82115</v>
      </c>
      <c r="G9016" s="615" t="n">
        <f aca="false">E9016*F9016</f>
        <v>82.115</v>
      </c>
      <c r="H9016" s="606"/>
    </row>
    <row r="9017" customFormat="false" ht="15" hidden="false" customHeight="false" outlineLevel="0" collapsed="false">
      <c r="A9017" s="571"/>
      <c r="B9017" s="500"/>
      <c r="C9017" s="860" t="s">
        <v>5819</v>
      </c>
      <c r="D9017" s="316" t="s">
        <v>4191</v>
      </c>
      <c r="E9017" s="954" t="n">
        <v>0.01</v>
      </c>
      <c r="F9017" s="883" t="n">
        <v>316.4</v>
      </c>
      <c r="G9017" s="615" t="n">
        <f aca="false">E9017*F9017</f>
        <v>3.164</v>
      </c>
      <c r="H9017" s="606"/>
    </row>
    <row r="9018" customFormat="false" ht="15" hidden="false" customHeight="false" outlineLevel="0" collapsed="false">
      <c r="A9018" s="571"/>
      <c r="B9018" s="608"/>
      <c r="C9018" s="860" t="s">
        <v>5820</v>
      </c>
      <c r="D9018" s="316" t="s">
        <v>4191</v>
      </c>
      <c r="E9018" s="954" t="n">
        <v>0.01</v>
      </c>
      <c r="F9018" s="617" t="n">
        <v>650</v>
      </c>
      <c r="G9018" s="615" t="n">
        <f aca="false">E9018*F9018</f>
        <v>6.5</v>
      </c>
      <c r="H9018" s="391"/>
    </row>
    <row r="9019" customFormat="false" ht="15" hidden="false" customHeight="false" outlineLevel="0" collapsed="false">
      <c r="A9019" s="571"/>
      <c r="B9019" s="328"/>
      <c r="C9019" s="860" t="s">
        <v>4515</v>
      </c>
      <c r="D9019" s="316" t="s">
        <v>5564</v>
      </c>
      <c r="E9019" s="954" t="n">
        <v>0.1</v>
      </c>
      <c r="F9019" s="617" t="n">
        <v>350</v>
      </c>
      <c r="G9019" s="615" t="n">
        <f aca="false">E9019*F9019</f>
        <v>35</v>
      </c>
      <c r="H9019" s="606"/>
    </row>
    <row r="9020" customFormat="false" ht="15" hidden="false" customHeight="false" outlineLevel="0" collapsed="false">
      <c r="A9020" s="571"/>
      <c r="B9020" s="500"/>
      <c r="C9020" s="860" t="s">
        <v>5816</v>
      </c>
      <c r="D9020" s="316" t="s">
        <v>4191</v>
      </c>
      <c r="E9020" s="954" t="n">
        <v>0.005</v>
      </c>
      <c r="F9020" s="617" t="n">
        <v>144704</v>
      </c>
      <c r="G9020" s="615" t="n">
        <f aca="false">E9020*F9020</f>
        <v>723.52</v>
      </c>
      <c r="H9020" s="606"/>
    </row>
    <row r="9021" customFormat="false" ht="15" hidden="false" customHeight="false" outlineLevel="0" collapsed="false">
      <c r="A9021" s="571"/>
      <c r="B9021" s="500"/>
      <c r="C9021" s="860" t="s">
        <v>4776</v>
      </c>
      <c r="D9021" s="316" t="s">
        <v>4359</v>
      </c>
      <c r="E9021" s="954" t="n">
        <v>0.1</v>
      </c>
      <c r="F9021" s="617" t="n">
        <v>800</v>
      </c>
      <c r="G9021" s="615" t="n">
        <f aca="false">E9021*F9021</f>
        <v>80</v>
      </c>
      <c r="H9021" s="606"/>
    </row>
    <row r="9022" customFormat="false" ht="15" hidden="false" customHeight="false" outlineLevel="0" collapsed="false">
      <c r="A9022" s="571"/>
      <c r="B9022" s="608" t="s">
        <v>4128</v>
      </c>
      <c r="C9022" s="718"/>
      <c r="D9022" s="610"/>
      <c r="E9022" s="611"/>
      <c r="F9022" s="612"/>
      <c r="G9022" s="613" t="n">
        <f aca="false">SUM(G9015:G9021)</f>
        <v>1385.864</v>
      </c>
      <c r="H9022" s="610"/>
    </row>
    <row r="9023" customFormat="false" ht="30" hidden="false" customHeight="false" outlineLevel="0" collapsed="false">
      <c r="A9023" s="571" t="s">
        <v>1800</v>
      </c>
      <c r="B9023" s="433" t="s">
        <v>3637</v>
      </c>
      <c r="C9023" s="860" t="s">
        <v>5830</v>
      </c>
      <c r="D9023" s="316" t="s">
        <v>4149</v>
      </c>
      <c r="E9023" s="954" t="n">
        <v>0.001</v>
      </c>
      <c r="F9023" s="617" t="n">
        <v>74448</v>
      </c>
      <c r="G9023" s="615" t="n">
        <f aca="false">E9023*F9023</f>
        <v>74.448</v>
      </c>
      <c r="H9023" s="606"/>
    </row>
    <row r="9024" customFormat="false" ht="15" hidden="false" customHeight="false" outlineLevel="0" collapsed="false">
      <c r="A9024" s="571"/>
      <c r="B9024" s="500"/>
      <c r="C9024" s="860" t="s">
        <v>5831</v>
      </c>
      <c r="D9024" s="316" t="s">
        <v>4149</v>
      </c>
      <c r="E9024" s="954" t="n">
        <v>0.001</v>
      </c>
      <c r="F9024" s="617" t="n">
        <v>43513</v>
      </c>
      <c r="G9024" s="615" t="n">
        <f aca="false">E9024*F9024</f>
        <v>43.513</v>
      </c>
      <c r="H9024" s="606"/>
    </row>
    <row r="9025" customFormat="false" ht="15" hidden="false" customHeight="false" outlineLevel="0" collapsed="false">
      <c r="A9025" s="571"/>
      <c r="B9025" s="500"/>
      <c r="C9025" s="860" t="s">
        <v>5832</v>
      </c>
      <c r="D9025" s="316" t="s">
        <v>4149</v>
      </c>
      <c r="E9025" s="954" t="n">
        <v>0.0005</v>
      </c>
      <c r="F9025" s="617" t="n">
        <v>99906</v>
      </c>
      <c r="G9025" s="615" t="n">
        <f aca="false">E9025*F9025</f>
        <v>49.953</v>
      </c>
      <c r="H9025" s="606"/>
    </row>
    <row r="9026" customFormat="false" ht="15" hidden="false" customHeight="false" outlineLevel="0" collapsed="false">
      <c r="A9026" s="571"/>
      <c r="B9026" s="500"/>
      <c r="C9026" s="21" t="s">
        <v>5823</v>
      </c>
      <c r="D9026" s="316" t="s">
        <v>4149</v>
      </c>
      <c r="E9026" s="954" t="n">
        <v>0.001</v>
      </c>
      <c r="F9026" s="617" t="n">
        <v>69797</v>
      </c>
      <c r="G9026" s="615" t="n">
        <f aca="false">E9026*F9026</f>
        <v>69.797</v>
      </c>
      <c r="H9026" s="606"/>
    </row>
    <row r="9027" customFormat="false" ht="15" hidden="false" customHeight="false" outlineLevel="0" collapsed="false">
      <c r="A9027" s="571"/>
      <c r="B9027" s="500"/>
      <c r="C9027" s="860" t="s">
        <v>5833</v>
      </c>
      <c r="D9027" s="316" t="s">
        <v>4149</v>
      </c>
      <c r="E9027" s="954" t="n">
        <v>0.001</v>
      </c>
      <c r="F9027" s="617" t="n">
        <v>34001</v>
      </c>
      <c r="G9027" s="615" t="n">
        <f aca="false">E9027*F9027</f>
        <v>34.001</v>
      </c>
      <c r="H9027" s="606"/>
    </row>
    <row r="9028" customFormat="false" ht="15" hidden="false" customHeight="false" outlineLevel="0" collapsed="false">
      <c r="A9028" s="571"/>
      <c r="B9028" s="500"/>
      <c r="C9028" s="21" t="s">
        <v>5834</v>
      </c>
      <c r="D9028" s="316" t="s">
        <v>4149</v>
      </c>
      <c r="E9028" s="954" t="n">
        <v>0.001</v>
      </c>
      <c r="F9028" s="617" t="n">
        <v>38750</v>
      </c>
      <c r="G9028" s="615" t="n">
        <f aca="false">E9028*F9028</f>
        <v>38.75</v>
      </c>
      <c r="H9028" s="606"/>
    </row>
    <row r="9029" customFormat="false" ht="15" hidden="false" customHeight="false" outlineLevel="0" collapsed="false">
      <c r="A9029" s="571"/>
      <c r="B9029" s="608"/>
      <c r="C9029" s="860" t="s">
        <v>5835</v>
      </c>
      <c r="D9029" s="316" t="s">
        <v>4149</v>
      </c>
      <c r="E9029" s="954" t="n">
        <v>0.001</v>
      </c>
      <c r="F9029" s="617" t="n">
        <v>69797</v>
      </c>
      <c r="G9029" s="615" t="n">
        <f aca="false">E9029*F9029</f>
        <v>69.797</v>
      </c>
      <c r="H9029" s="391"/>
    </row>
    <row r="9030" customFormat="false" ht="15" hidden="false" customHeight="false" outlineLevel="0" collapsed="false">
      <c r="A9030" s="571"/>
      <c r="B9030" s="328"/>
      <c r="C9030" s="860" t="s">
        <v>5836</v>
      </c>
      <c r="D9030" s="316" t="s">
        <v>4149</v>
      </c>
      <c r="E9030" s="954" t="n">
        <v>0.001</v>
      </c>
      <c r="F9030" s="617" t="n">
        <v>10500</v>
      </c>
      <c r="G9030" s="615" t="n">
        <f aca="false">E9030*F9030</f>
        <v>10.5</v>
      </c>
      <c r="H9030" s="606"/>
    </row>
    <row r="9031" customFormat="false" ht="15" hidden="false" customHeight="false" outlineLevel="0" collapsed="false">
      <c r="A9031" s="571"/>
      <c r="B9031" s="500"/>
      <c r="C9031" s="860" t="s">
        <v>5837</v>
      </c>
      <c r="D9031" s="316" t="s">
        <v>4149</v>
      </c>
      <c r="E9031" s="954" t="n">
        <v>0.0005</v>
      </c>
      <c r="F9031" s="617" t="n">
        <v>91872</v>
      </c>
      <c r="G9031" s="615" t="n">
        <f aca="false">E9031*F9031</f>
        <v>45.936</v>
      </c>
      <c r="H9031" s="606"/>
    </row>
    <row r="9032" customFormat="false" ht="15" hidden="false" customHeight="false" outlineLevel="0" collapsed="false">
      <c r="A9032" s="571"/>
      <c r="B9032" s="500"/>
      <c r="C9032" s="860" t="s">
        <v>5838</v>
      </c>
      <c r="D9032" s="316" t="s">
        <v>4149</v>
      </c>
      <c r="E9032" s="954" t="n">
        <v>0.001</v>
      </c>
      <c r="F9032" s="617" t="n">
        <v>80176</v>
      </c>
      <c r="G9032" s="615" t="n">
        <f aca="false">E9032*F9032</f>
        <v>80.176</v>
      </c>
      <c r="H9032" s="606"/>
    </row>
    <row r="9033" customFormat="false" ht="15" hidden="false" customHeight="false" outlineLevel="0" collapsed="false">
      <c r="A9033" s="571"/>
      <c r="B9033" s="608"/>
      <c r="C9033" s="860" t="s">
        <v>5839</v>
      </c>
      <c r="D9033" s="316" t="s">
        <v>4149</v>
      </c>
      <c r="E9033" s="954" t="n">
        <v>0.001</v>
      </c>
      <c r="F9033" s="617" t="n">
        <v>7982</v>
      </c>
      <c r="G9033" s="615" t="n">
        <f aca="false">E9033*F9033</f>
        <v>7.982</v>
      </c>
      <c r="H9033" s="391"/>
    </row>
    <row r="9034" customFormat="false" ht="15" hidden="false" customHeight="false" outlineLevel="0" collapsed="false">
      <c r="A9034" s="571"/>
      <c r="B9034" s="328"/>
      <c r="C9034" s="860" t="s">
        <v>5840</v>
      </c>
      <c r="D9034" s="316" t="s">
        <v>4149</v>
      </c>
      <c r="E9034" s="954" t="n">
        <v>0.00045</v>
      </c>
      <c r="F9034" s="617" t="n">
        <v>158202</v>
      </c>
      <c r="G9034" s="615" t="n">
        <f aca="false">E9034*F9034</f>
        <v>71.1909</v>
      </c>
      <c r="H9034" s="606"/>
    </row>
    <row r="9035" customFormat="false" ht="15" hidden="false" customHeight="false" outlineLevel="0" collapsed="false">
      <c r="A9035" s="571"/>
      <c r="B9035" s="500"/>
      <c r="C9035" s="860" t="s">
        <v>5841</v>
      </c>
      <c r="D9035" s="316" t="s">
        <v>4149</v>
      </c>
      <c r="E9035" s="954" t="n">
        <v>0.001</v>
      </c>
      <c r="F9035" s="617" t="n">
        <v>10500</v>
      </c>
      <c r="G9035" s="615" t="n">
        <f aca="false">E9035*F9035</f>
        <v>10.5</v>
      </c>
      <c r="H9035" s="606"/>
    </row>
    <row r="9036" customFormat="false" ht="15" hidden="false" customHeight="false" outlineLevel="0" collapsed="false">
      <c r="A9036" s="571"/>
      <c r="B9036" s="500"/>
      <c r="C9036" s="860" t="s">
        <v>5842</v>
      </c>
      <c r="D9036" s="316" t="s">
        <v>4149</v>
      </c>
      <c r="E9036" s="954" t="n">
        <v>0.001</v>
      </c>
      <c r="F9036" s="617" t="n">
        <v>33371</v>
      </c>
      <c r="G9036" s="615" t="n">
        <f aca="false">E9036*F9036</f>
        <v>33.371</v>
      </c>
      <c r="H9036" s="606"/>
    </row>
    <row r="9037" customFormat="false" ht="15" hidden="false" customHeight="false" outlineLevel="0" collapsed="false">
      <c r="A9037" s="571"/>
      <c r="B9037" s="500"/>
      <c r="C9037" s="860" t="s">
        <v>5843</v>
      </c>
      <c r="D9037" s="316" t="s">
        <v>4149</v>
      </c>
      <c r="E9037" s="954" t="n">
        <v>0.001</v>
      </c>
      <c r="F9037" s="883" t="n">
        <v>28834</v>
      </c>
      <c r="G9037" s="615" t="n">
        <f aca="false">E9037*F9037</f>
        <v>28.834</v>
      </c>
      <c r="H9037" s="606"/>
    </row>
    <row r="9038" customFormat="false" ht="15" hidden="false" customHeight="false" outlineLevel="0" collapsed="false">
      <c r="A9038" s="571"/>
      <c r="B9038" s="608"/>
      <c r="C9038" s="21" t="s">
        <v>5844</v>
      </c>
      <c r="D9038" s="316" t="s">
        <v>4191</v>
      </c>
      <c r="E9038" s="661" t="n">
        <v>0.001</v>
      </c>
      <c r="F9038" s="883" t="n">
        <v>74415</v>
      </c>
      <c r="G9038" s="615" t="n">
        <f aca="false">E9038*F9038</f>
        <v>74.415</v>
      </c>
      <c r="H9038" s="391"/>
    </row>
    <row r="9039" customFormat="false" ht="15" hidden="false" customHeight="false" outlineLevel="0" collapsed="false">
      <c r="A9039" s="571"/>
      <c r="B9039" s="328"/>
      <c r="C9039" s="860" t="s">
        <v>5845</v>
      </c>
      <c r="D9039" s="316" t="s">
        <v>4528</v>
      </c>
      <c r="E9039" s="661" t="n">
        <v>0.005</v>
      </c>
      <c r="F9039" s="617" t="n">
        <v>10500</v>
      </c>
      <c r="G9039" s="615" t="n">
        <f aca="false">E9039*F9039</f>
        <v>52.5</v>
      </c>
      <c r="H9039" s="606"/>
    </row>
    <row r="9040" customFormat="false" ht="15" hidden="false" customHeight="false" outlineLevel="0" collapsed="false">
      <c r="A9040" s="571"/>
      <c r="B9040" s="500"/>
      <c r="C9040" s="860" t="s">
        <v>5846</v>
      </c>
      <c r="D9040" s="316" t="s">
        <v>5847</v>
      </c>
      <c r="E9040" s="661" t="n">
        <v>0.005</v>
      </c>
      <c r="F9040" s="617" t="n">
        <v>10500</v>
      </c>
      <c r="G9040" s="615" t="n">
        <f aca="false">E9040*F9040</f>
        <v>52.5</v>
      </c>
      <c r="H9040" s="606"/>
    </row>
    <row r="9041" customFormat="false" ht="15" hidden="false" customHeight="false" outlineLevel="0" collapsed="false">
      <c r="A9041" s="571"/>
      <c r="B9041" s="500"/>
      <c r="C9041" s="860" t="s">
        <v>5848</v>
      </c>
      <c r="D9041" s="316" t="s">
        <v>4528</v>
      </c>
      <c r="E9041" s="661" t="n">
        <v>0.005</v>
      </c>
      <c r="F9041" s="617" t="n">
        <v>10500</v>
      </c>
      <c r="G9041" s="615" t="n">
        <f aca="false">E9041*F9041</f>
        <v>52.5</v>
      </c>
      <c r="H9041" s="606"/>
    </row>
    <row r="9042" customFormat="false" ht="15" hidden="false" customHeight="false" outlineLevel="0" collapsed="false">
      <c r="A9042" s="571"/>
      <c r="B9042" s="500"/>
      <c r="C9042" s="860" t="s">
        <v>5825</v>
      </c>
      <c r="D9042" s="316" t="s">
        <v>4191</v>
      </c>
      <c r="E9042" s="661" t="n">
        <v>0.005</v>
      </c>
      <c r="F9042" s="883" t="n">
        <v>8468</v>
      </c>
      <c r="G9042" s="615" t="n">
        <f aca="false">E9042*F9042</f>
        <v>42.34</v>
      </c>
      <c r="H9042" s="606"/>
    </row>
    <row r="9043" customFormat="false" ht="15" hidden="false" customHeight="false" outlineLevel="0" collapsed="false">
      <c r="A9043" s="571"/>
      <c r="B9043" s="500"/>
      <c r="C9043" s="860" t="s">
        <v>5849</v>
      </c>
      <c r="D9043" s="316" t="s">
        <v>4528</v>
      </c>
      <c r="E9043" s="954" t="n">
        <v>0.0045</v>
      </c>
      <c r="F9043" s="883" t="n">
        <v>15500</v>
      </c>
      <c r="G9043" s="615" t="n">
        <f aca="false">E9043*F9043</f>
        <v>69.75</v>
      </c>
      <c r="H9043" s="606"/>
    </row>
    <row r="9044" customFormat="false" ht="15" hidden="false" customHeight="false" outlineLevel="0" collapsed="false">
      <c r="A9044" s="571"/>
      <c r="B9044" s="500"/>
      <c r="C9044" s="860" t="s">
        <v>5850</v>
      </c>
      <c r="D9044" s="316" t="s">
        <v>4528</v>
      </c>
      <c r="E9044" s="954" t="n">
        <v>0.001</v>
      </c>
      <c r="F9044" s="883" t="n">
        <v>26500</v>
      </c>
      <c r="G9044" s="615" t="n">
        <f aca="false">E9044*F9044</f>
        <v>26.5</v>
      </c>
      <c r="H9044" s="606"/>
    </row>
    <row r="9045" customFormat="false" ht="15" hidden="false" customHeight="false" outlineLevel="0" collapsed="false">
      <c r="A9045" s="571"/>
      <c r="B9045" s="608"/>
      <c r="C9045" s="860" t="s">
        <v>5824</v>
      </c>
      <c r="D9045" s="316" t="s">
        <v>4528</v>
      </c>
      <c r="E9045" s="954" t="n">
        <v>0.0005</v>
      </c>
      <c r="F9045" s="617" t="n">
        <v>82115</v>
      </c>
      <c r="G9045" s="615" t="n">
        <f aca="false">E9045*F9045</f>
        <v>41.0575</v>
      </c>
      <c r="H9045" s="391"/>
    </row>
    <row r="9046" customFormat="false" ht="15" hidden="false" customHeight="false" outlineLevel="0" collapsed="false">
      <c r="A9046" s="571"/>
      <c r="B9046" s="328"/>
      <c r="C9046" s="860" t="s">
        <v>5819</v>
      </c>
      <c r="D9046" s="316" t="s">
        <v>4191</v>
      </c>
      <c r="E9046" s="954" t="n">
        <v>0.01</v>
      </c>
      <c r="F9046" s="883" t="n">
        <v>316.4</v>
      </c>
      <c r="G9046" s="615" t="n">
        <f aca="false">E9046*F9046</f>
        <v>3.164</v>
      </c>
      <c r="H9046" s="606"/>
    </row>
    <row r="9047" customFormat="false" ht="15" hidden="false" customHeight="false" outlineLevel="0" collapsed="false">
      <c r="A9047" s="571"/>
      <c r="B9047" s="500"/>
      <c r="C9047" s="860" t="s">
        <v>5826</v>
      </c>
      <c r="D9047" s="316" t="s">
        <v>4191</v>
      </c>
      <c r="E9047" s="954" t="n">
        <v>0.01</v>
      </c>
      <c r="F9047" s="617" t="n">
        <v>366.25</v>
      </c>
      <c r="G9047" s="615" t="n">
        <f aca="false">E9047*F9047</f>
        <v>3.6625</v>
      </c>
      <c r="H9047" s="606"/>
    </row>
    <row r="9048" customFormat="false" ht="15" hidden="false" customHeight="false" outlineLevel="0" collapsed="false">
      <c r="A9048" s="571"/>
      <c r="B9048" s="608"/>
      <c r="C9048" s="860" t="s">
        <v>5820</v>
      </c>
      <c r="D9048" s="316" t="s">
        <v>4191</v>
      </c>
      <c r="E9048" s="954" t="n">
        <v>0.01</v>
      </c>
      <c r="F9048" s="617" t="n">
        <v>650</v>
      </c>
      <c r="G9048" s="615" t="n">
        <f aca="false">E9048*F9048</f>
        <v>6.5</v>
      </c>
      <c r="H9048" s="391"/>
    </row>
    <row r="9049" customFormat="false" ht="15" hidden="false" customHeight="false" outlineLevel="0" collapsed="false">
      <c r="A9049" s="571"/>
      <c r="B9049" s="328"/>
      <c r="C9049" s="860" t="s">
        <v>4515</v>
      </c>
      <c r="D9049" s="316" t="s">
        <v>5564</v>
      </c>
      <c r="E9049" s="954" t="n">
        <v>0.02</v>
      </c>
      <c r="F9049" s="617" t="n">
        <v>350</v>
      </c>
      <c r="G9049" s="615" t="n">
        <f aca="false">E9049*F9049</f>
        <v>7</v>
      </c>
      <c r="H9049" s="606"/>
    </row>
    <row r="9050" customFormat="false" ht="15" hidden="false" customHeight="false" outlineLevel="0" collapsed="false">
      <c r="A9050" s="571"/>
      <c r="B9050" s="500"/>
      <c r="C9050" s="860" t="s">
        <v>5816</v>
      </c>
      <c r="D9050" s="606" t="s">
        <v>4191</v>
      </c>
      <c r="E9050" s="954" t="n">
        <v>0.0005</v>
      </c>
      <c r="F9050" s="617" t="n">
        <v>144704</v>
      </c>
      <c r="G9050" s="615" t="n">
        <f aca="false">E9050*F9050</f>
        <v>72.352</v>
      </c>
      <c r="H9050" s="606"/>
    </row>
    <row r="9051" customFormat="false" ht="15" hidden="false" customHeight="false" outlineLevel="0" collapsed="false">
      <c r="A9051" s="571"/>
      <c r="B9051" s="500"/>
      <c r="C9051" s="860" t="s">
        <v>4776</v>
      </c>
      <c r="D9051" s="606" t="s">
        <v>4359</v>
      </c>
      <c r="E9051" s="954" t="n">
        <v>0.02</v>
      </c>
      <c r="F9051" s="617" t="n">
        <v>800</v>
      </c>
      <c r="G9051" s="615" t="n">
        <f aca="false">E9051*F9051</f>
        <v>16</v>
      </c>
      <c r="H9051" s="606"/>
    </row>
    <row r="9052" customFormat="false" ht="15" hidden="false" customHeight="false" outlineLevel="0" collapsed="false">
      <c r="A9052" s="571"/>
      <c r="B9052" s="608"/>
      <c r="C9052" s="860" t="s">
        <v>5827</v>
      </c>
      <c r="D9052" s="606" t="s">
        <v>4348</v>
      </c>
      <c r="E9052" s="954" t="n">
        <v>0.005</v>
      </c>
      <c r="F9052" s="617" t="n">
        <v>370</v>
      </c>
      <c r="G9052" s="615" t="n">
        <f aca="false">E9052*F9052</f>
        <v>1.85</v>
      </c>
      <c r="H9052" s="391"/>
    </row>
    <row r="9053" customFormat="false" ht="15" hidden="false" customHeight="false" outlineLevel="0" collapsed="false">
      <c r="A9053" s="571"/>
      <c r="B9053" s="328"/>
      <c r="C9053" s="860" t="s">
        <v>5851</v>
      </c>
      <c r="D9053" s="606" t="s">
        <v>4348</v>
      </c>
      <c r="E9053" s="954" t="n">
        <v>0.005</v>
      </c>
      <c r="F9053" s="617" t="n">
        <v>19488</v>
      </c>
      <c r="G9053" s="615" t="n">
        <f aca="false">E9053*F9053</f>
        <v>97.44</v>
      </c>
      <c r="H9053" s="606"/>
    </row>
    <row r="9054" customFormat="false" ht="15" hidden="false" customHeight="false" outlineLevel="0" collapsed="false">
      <c r="A9054" s="571"/>
      <c r="B9054" s="608" t="s">
        <v>4128</v>
      </c>
      <c r="C9054" s="718"/>
      <c r="D9054" s="610"/>
      <c r="E9054" s="610"/>
      <c r="F9054" s="612"/>
      <c r="G9054" s="613" t="n">
        <f aca="false">SUM(G9023:G9053)</f>
        <v>1288.2799</v>
      </c>
      <c r="H9054" s="610"/>
    </row>
    <row r="9055" customFormat="false" ht="30" hidden="false" customHeight="false" outlineLevel="0" collapsed="false">
      <c r="A9055" s="571" t="s">
        <v>1802</v>
      </c>
      <c r="B9055" s="488" t="s">
        <v>3638</v>
      </c>
      <c r="C9055" s="860" t="s">
        <v>5818</v>
      </c>
      <c r="D9055" s="874" t="s">
        <v>4149</v>
      </c>
      <c r="E9055" s="661" t="n">
        <v>0.015</v>
      </c>
      <c r="F9055" s="617" t="n">
        <v>67687</v>
      </c>
      <c r="G9055" s="615" t="n">
        <f aca="false">E9055*F9055</f>
        <v>1015.305</v>
      </c>
      <c r="H9055" s="606"/>
    </row>
    <row r="9056" customFormat="false" ht="15" hidden="false" customHeight="false" outlineLevel="0" collapsed="false">
      <c r="A9056" s="571"/>
      <c r="B9056" s="433"/>
      <c r="C9056" s="21" t="s">
        <v>5852</v>
      </c>
      <c r="D9056" s="874" t="s">
        <v>4149</v>
      </c>
      <c r="E9056" s="838" t="n">
        <v>0.01</v>
      </c>
      <c r="F9056" s="617" t="n">
        <v>39930</v>
      </c>
      <c r="G9056" s="615" t="n">
        <f aca="false">E9056*F9056</f>
        <v>399.3</v>
      </c>
      <c r="H9056" s="606"/>
    </row>
    <row r="9057" customFormat="false" ht="15" hidden="false" customHeight="false" outlineLevel="0" collapsed="false">
      <c r="A9057" s="571"/>
      <c r="B9057" s="433"/>
      <c r="C9057" s="860" t="s">
        <v>4205</v>
      </c>
      <c r="D9057" s="874" t="s">
        <v>4149</v>
      </c>
      <c r="E9057" s="954" t="n">
        <v>0.01</v>
      </c>
      <c r="F9057" s="617" t="n">
        <v>7035</v>
      </c>
      <c r="G9057" s="615" t="n">
        <f aca="false">E9057*F9057</f>
        <v>70.35</v>
      </c>
      <c r="H9057" s="391"/>
    </row>
    <row r="9058" customFormat="false" ht="15" hidden="false" customHeight="false" outlineLevel="0" collapsed="false">
      <c r="A9058" s="571"/>
      <c r="B9058" s="433"/>
      <c r="C9058" s="860" t="s">
        <v>5819</v>
      </c>
      <c r="D9058" s="316" t="s">
        <v>4191</v>
      </c>
      <c r="E9058" s="954" t="n">
        <v>0.01</v>
      </c>
      <c r="F9058" s="617" t="n">
        <v>316.4</v>
      </c>
      <c r="G9058" s="615" t="n">
        <f aca="false">E9058*F9058</f>
        <v>3.164</v>
      </c>
      <c r="H9058" s="606"/>
    </row>
    <row r="9059" customFormat="false" ht="15" hidden="false" customHeight="false" outlineLevel="0" collapsed="false">
      <c r="A9059" s="571"/>
      <c r="B9059" s="433"/>
      <c r="C9059" s="860" t="s">
        <v>5820</v>
      </c>
      <c r="D9059" s="316" t="s">
        <v>4191</v>
      </c>
      <c r="E9059" s="954" t="n">
        <v>0.01</v>
      </c>
      <c r="F9059" s="617" t="n">
        <v>650</v>
      </c>
      <c r="G9059" s="615" t="n">
        <f aca="false">E9059*F9059</f>
        <v>6.5</v>
      </c>
      <c r="H9059" s="606"/>
    </row>
    <row r="9060" customFormat="false" ht="15" hidden="false" customHeight="false" outlineLevel="0" collapsed="false">
      <c r="A9060" s="571"/>
      <c r="B9060" s="433"/>
      <c r="C9060" s="860" t="s">
        <v>4515</v>
      </c>
      <c r="D9060" s="316" t="s">
        <v>4149</v>
      </c>
      <c r="E9060" s="958" t="n">
        <v>0.01</v>
      </c>
      <c r="F9060" s="617" t="n">
        <v>350</v>
      </c>
      <c r="G9060" s="615" t="n">
        <f aca="false">E9060*F9060</f>
        <v>3.5</v>
      </c>
      <c r="H9060" s="606"/>
    </row>
    <row r="9061" customFormat="false" ht="15" hidden="false" customHeight="false" outlineLevel="0" collapsed="false">
      <c r="A9061" s="571"/>
      <c r="B9061" s="433"/>
      <c r="C9061" s="860" t="s">
        <v>5853</v>
      </c>
      <c r="D9061" s="316" t="s">
        <v>4348</v>
      </c>
      <c r="E9061" s="954" t="n">
        <v>0.002</v>
      </c>
      <c r="F9061" s="617" t="n">
        <v>200000</v>
      </c>
      <c r="G9061" s="615" t="n">
        <f aca="false">E9061*F9061</f>
        <v>400</v>
      </c>
      <c r="H9061" s="391"/>
    </row>
    <row r="9062" customFormat="false" ht="15" hidden="false" customHeight="false" outlineLevel="0" collapsed="false">
      <c r="A9062" s="571"/>
      <c r="B9062" s="433"/>
      <c r="C9062" s="860" t="s">
        <v>4776</v>
      </c>
      <c r="D9062" s="316" t="s">
        <v>4359</v>
      </c>
      <c r="E9062" s="954" t="n">
        <v>0.026</v>
      </c>
      <c r="F9062" s="617" t="n">
        <v>800</v>
      </c>
      <c r="G9062" s="615" t="n">
        <f aca="false">E9062*F9062</f>
        <v>20.8</v>
      </c>
      <c r="H9062" s="606"/>
    </row>
    <row r="9063" customFormat="false" ht="15" hidden="false" customHeight="false" outlineLevel="0" collapsed="false">
      <c r="A9063" s="571"/>
      <c r="B9063" s="608" t="s">
        <v>4128</v>
      </c>
      <c r="C9063" s="709"/>
      <c r="D9063" s="606"/>
      <c r="E9063" s="606"/>
      <c r="F9063" s="361"/>
      <c r="G9063" s="613" t="n">
        <f aca="false">SUM(G9055:G9062)</f>
        <v>1918.919</v>
      </c>
      <c r="H9063" s="606"/>
    </row>
    <row r="9064" customFormat="false" ht="45" hidden="false" customHeight="false" outlineLevel="0" collapsed="false">
      <c r="A9064" s="571" t="s">
        <v>1804</v>
      </c>
      <c r="B9064" s="488" t="s">
        <v>3639</v>
      </c>
      <c r="C9064" s="860" t="s">
        <v>5854</v>
      </c>
      <c r="D9064" s="316" t="s">
        <v>4149</v>
      </c>
      <c r="E9064" s="954" t="n">
        <v>0.005</v>
      </c>
      <c r="F9064" s="617" t="n">
        <v>33792</v>
      </c>
      <c r="G9064" s="615" t="n">
        <f aca="false">E9064*F9064</f>
        <v>168.96</v>
      </c>
      <c r="H9064" s="391"/>
    </row>
    <row r="9065" customFormat="false" ht="15" hidden="false" customHeight="false" outlineLevel="0" collapsed="false">
      <c r="A9065" s="571"/>
      <c r="B9065" s="328"/>
      <c r="C9065" s="21" t="s">
        <v>5855</v>
      </c>
      <c r="D9065" s="316" t="s">
        <v>4149</v>
      </c>
      <c r="E9065" s="954" t="n">
        <v>0.0005</v>
      </c>
      <c r="F9065" s="617" t="n">
        <v>203735</v>
      </c>
      <c r="G9065" s="615" t="n">
        <f aca="false">E9065*F9065</f>
        <v>101.8675</v>
      </c>
      <c r="H9065" s="606"/>
    </row>
    <row r="9066" customFormat="false" ht="15" hidden="false" customHeight="false" outlineLevel="0" collapsed="false">
      <c r="A9066" s="571"/>
      <c r="B9066" s="500"/>
      <c r="C9066" s="860" t="s">
        <v>5836</v>
      </c>
      <c r="D9066" s="316" t="s">
        <v>4149</v>
      </c>
      <c r="E9066" s="661" t="n">
        <v>0.001</v>
      </c>
      <c r="F9066" s="617" t="n">
        <v>10500</v>
      </c>
      <c r="G9066" s="615" t="n">
        <f aca="false">E9066*F9066</f>
        <v>10.5</v>
      </c>
      <c r="H9066" s="606"/>
    </row>
    <row r="9067" customFormat="false" ht="15" hidden="false" customHeight="false" outlineLevel="0" collapsed="false">
      <c r="A9067" s="571"/>
      <c r="B9067" s="500"/>
      <c r="C9067" s="860" t="s">
        <v>5856</v>
      </c>
      <c r="D9067" s="316" t="s">
        <v>4359</v>
      </c>
      <c r="E9067" s="954" t="n">
        <v>0.001</v>
      </c>
      <c r="F9067" s="617" t="n">
        <v>168481</v>
      </c>
      <c r="G9067" s="615" t="n">
        <f aca="false">E9067*F9067</f>
        <v>168.481</v>
      </c>
      <c r="H9067" s="606"/>
    </row>
    <row r="9068" customFormat="false" ht="15" hidden="false" customHeight="false" outlineLevel="0" collapsed="false">
      <c r="A9068" s="571"/>
      <c r="B9068" s="500"/>
      <c r="C9068" s="21" t="s">
        <v>5857</v>
      </c>
      <c r="D9068" s="874" t="s">
        <v>4359</v>
      </c>
      <c r="E9068" s="959" t="n">
        <v>0.001</v>
      </c>
      <c r="F9068" s="883" t="n">
        <v>175794</v>
      </c>
      <c r="G9068" s="615" t="n">
        <f aca="false">E9068*F9068</f>
        <v>175.794</v>
      </c>
      <c r="H9068" s="606"/>
    </row>
    <row r="9069" customFormat="false" ht="15" hidden="false" customHeight="false" outlineLevel="0" collapsed="false">
      <c r="A9069" s="571"/>
      <c r="B9069" s="608"/>
      <c r="C9069" s="860" t="s">
        <v>5824</v>
      </c>
      <c r="D9069" s="874" t="s">
        <v>4359</v>
      </c>
      <c r="E9069" s="954" t="n">
        <v>0.001</v>
      </c>
      <c r="F9069" s="617" t="n">
        <v>82115</v>
      </c>
      <c r="G9069" s="615" t="n">
        <f aca="false">E9069*F9069</f>
        <v>82.115</v>
      </c>
      <c r="H9069" s="391"/>
    </row>
    <row r="9070" customFormat="false" ht="15" hidden="false" customHeight="false" outlineLevel="0" collapsed="false">
      <c r="A9070" s="571"/>
      <c r="B9070" s="328"/>
      <c r="C9070" s="860" t="s">
        <v>5819</v>
      </c>
      <c r="D9070" s="316" t="s">
        <v>4191</v>
      </c>
      <c r="E9070" s="954" t="n">
        <v>0.01</v>
      </c>
      <c r="F9070" s="883" t="n">
        <v>316.4</v>
      </c>
      <c r="G9070" s="615" t="n">
        <f aca="false">E9070*F9070</f>
        <v>3.164</v>
      </c>
      <c r="H9070" s="606"/>
    </row>
    <row r="9071" customFormat="false" ht="15" hidden="false" customHeight="false" outlineLevel="0" collapsed="false">
      <c r="A9071" s="571"/>
      <c r="B9071" s="608"/>
      <c r="C9071" s="860" t="s">
        <v>5826</v>
      </c>
      <c r="D9071" s="316" t="s">
        <v>4191</v>
      </c>
      <c r="E9071" s="954" t="n">
        <v>0.01</v>
      </c>
      <c r="F9071" s="617" t="n">
        <v>366.25</v>
      </c>
      <c r="G9071" s="615" t="n">
        <f aca="false">E9071*F9071</f>
        <v>3.6625</v>
      </c>
      <c r="H9071" s="391"/>
    </row>
    <row r="9072" customFormat="false" ht="15" hidden="false" customHeight="false" outlineLevel="0" collapsed="false">
      <c r="A9072" s="571"/>
      <c r="B9072" s="500"/>
      <c r="C9072" s="860" t="s">
        <v>5820</v>
      </c>
      <c r="D9072" s="316" t="s">
        <v>4191</v>
      </c>
      <c r="E9072" s="954" t="n">
        <v>0.01</v>
      </c>
      <c r="F9072" s="617" t="n">
        <v>650</v>
      </c>
      <c r="G9072" s="615" t="n">
        <f aca="false">E9072*F9072</f>
        <v>6.5</v>
      </c>
      <c r="H9072" s="606"/>
    </row>
    <row r="9073" customFormat="false" ht="15" hidden="false" customHeight="false" outlineLevel="0" collapsed="false">
      <c r="A9073" s="571"/>
      <c r="B9073" s="500"/>
      <c r="C9073" s="860" t="s">
        <v>5816</v>
      </c>
      <c r="D9073" s="316" t="s">
        <v>4191</v>
      </c>
      <c r="E9073" s="954" t="n">
        <v>0.009</v>
      </c>
      <c r="F9073" s="617" t="n">
        <v>144704</v>
      </c>
      <c r="G9073" s="615" t="n">
        <f aca="false">E9073*F9073</f>
        <v>1302.336</v>
      </c>
      <c r="H9073" s="606"/>
    </row>
    <row r="9074" customFormat="false" ht="15" hidden="false" customHeight="false" outlineLevel="0" collapsed="false">
      <c r="A9074" s="571"/>
      <c r="B9074" s="500"/>
      <c r="C9074" s="860" t="s">
        <v>4776</v>
      </c>
      <c r="D9074" s="316" t="s">
        <v>4528</v>
      </c>
      <c r="E9074" s="954" t="n">
        <v>0.02</v>
      </c>
      <c r="F9074" s="617" t="n">
        <v>800</v>
      </c>
      <c r="G9074" s="615" t="n">
        <f aca="false">E9074*F9074</f>
        <v>16</v>
      </c>
      <c r="H9074" s="606"/>
    </row>
    <row r="9075" customFormat="false" ht="15" hidden="false" customHeight="false" outlineLevel="0" collapsed="false">
      <c r="A9075" s="571"/>
      <c r="B9075" s="608" t="s">
        <v>4128</v>
      </c>
      <c r="C9075" s="709"/>
      <c r="D9075" s="606"/>
      <c r="E9075" s="606"/>
      <c r="F9075" s="361"/>
      <c r="G9075" s="613" t="n">
        <f aca="false">SUM(G9064:G9074)</f>
        <v>2039.38</v>
      </c>
      <c r="H9075" s="606"/>
    </row>
    <row r="9076" customFormat="false" ht="30" hidden="false" customHeight="false" outlineLevel="0" collapsed="false">
      <c r="A9076" s="960" t="s">
        <v>1806</v>
      </c>
      <c r="B9076" s="488" t="s">
        <v>3640</v>
      </c>
      <c r="C9076" s="860" t="s">
        <v>5830</v>
      </c>
      <c r="D9076" s="316" t="s">
        <v>4149</v>
      </c>
      <c r="E9076" s="954" t="n">
        <v>0.001</v>
      </c>
      <c r="F9076" s="617" t="n">
        <v>33792</v>
      </c>
      <c r="G9076" s="615" t="n">
        <f aca="false">E9076*F9076</f>
        <v>33.792</v>
      </c>
      <c r="H9076" s="606"/>
    </row>
    <row r="9077" customFormat="false" ht="15" hidden="false" customHeight="false" outlineLevel="0" collapsed="false">
      <c r="A9077" s="961"/>
      <c r="B9077" s="488"/>
      <c r="C9077" s="860" t="s">
        <v>5831</v>
      </c>
      <c r="D9077" s="316" t="s">
        <v>4149</v>
      </c>
      <c r="E9077" s="954" t="n">
        <v>0.001</v>
      </c>
      <c r="F9077" s="617" t="n">
        <v>45513</v>
      </c>
      <c r="G9077" s="615" t="n">
        <f aca="false">E9077*F9077</f>
        <v>45.513</v>
      </c>
      <c r="H9077" s="606"/>
    </row>
    <row r="9078" customFormat="false" ht="15" hidden="false" customHeight="false" outlineLevel="0" collapsed="false">
      <c r="A9078" s="961"/>
      <c r="B9078" s="488"/>
      <c r="C9078" s="860" t="s">
        <v>5832</v>
      </c>
      <c r="D9078" s="316" t="s">
        <v>4149</v>
      </c>
      <c r="E9078" s="954" t="n">
        <v>0.001</v>
      </c>
      <c r="F9078" s="617" t="n">
        <v>99906</v>
      </c>
      <c r="G9078" s="615" t="n">
        <f aca="false">E9078*F9078</f>
        <v>99.906</v>
      </c>
      <c r="H9078" s="606"/>
    </row>
    <row r="9079" customFormat="false" ht="15" hidden="false" customHeight="false" outlineLevel="0" collapsed="false">
      <c r="A9079" s="961"/>
      <c r="B9079" s="488"/>
      <c r="C9079" s="21" t="s">
        <v>5823</v>
      </c>
      <c r="D9079" s="316" t="s">
        <v>4149</v>
      </c>
      <c r="E9079" s="954" t="n">
        <v>0.001</v>
      </c>
      <c r="F9079" s="617" t="n">
        <v>69797</v>
      </c>
      <c r="G9079" s="615" t="n">
        <f aca="false">E9079*F9079</f>
        <v>69.797</v>
      </c>
      <c r="H9079" s="606"/>
    </row>
    <row r="9080" customFormat="false" ht="15" hidden="false" customHeight="false" outlineLevel="0" collapsed="false">
      <c r="A9080" s="961"/>
      <c r="B9080" s="488"/>
      <c r="C9080" s="860" t="s">
        <v>5833</v>
      </c>
      <c r="D9080" s="316" t="s">
        <v>4149</v>
      </c>
      <c r="E9080" s="954" t="n">
        <v>0.001</v>
      </c>
      <c r="F9080" s="617" t="n">
        <v>34001</v>
      </c>
      <c r="G9080" s="615" t="n">
        <f aca="false">E9080*F9080</f>
        <v>34.001</v>
      </c>
      <c r="H9080" s="606"/>
    </row>
    <row r="9081" customFormat="false" ht="15" hidden="false" customHeight="false" outlineLevel="0" collapsed="false">
      <c r="A9081" s="961"/>
      <c r="B9081" s="488"/>
      <c r="C9081" s="21" t="s">
        <v>5834</v>
      </c>
      <c r="D9081" s="316" t="s">
        <v>4149</v>
      </c>
      <c r="E9081" s="954" t="n">
        <v>0.001</v>
      </c>
      <c r="F9081" s="617" t="n">
        <v>69797</v>
      </c>
      <c r="G9081" s="615" t="n">
        <f aca="false">E9081*F9081</f>
        <v>69.797</v>
      </c>
      <c r="H9081" s="606"/>
    </row>
    <row r="9082" customFormat="false" ht="15" hidden="false" customHeight="false" outlineLevel="0" collapsed="false">
      <c r="A9082" s="961"/>
      <c r="B9082" s="488"/>
      <c r="C9082" s="860" t="s">
        <v>5835</v>
      </c>
      <c r="D9082" s="316" t="s">
        <v>4149</v>
      </c>
      <c r="E9082" s="954" t="n">
        <v>0.001</v>
      </c>
      <c r="F9082" s="617" t="n">
        <v>69797</v>
      </c>
      <c r="G9082" s="615" t="n">
        <f aca="false">E9082*F9082</f>
        <v>69.797</v>
      </c>
      <c r="H9082" s="606"/>
    </row>
    <row r="9083" customFormat="false" ht="15" hidden="false" customHeight="false" outlineLevel="0" collapsed="false">
      <c r="A9083" s="961"/>
      <c r="B9083" s="488"/>
      <c r="C9083" s="860" t="s">
        <v>5836</v>
      </c>
      <c r="D9083" s="316" t="s">
        <v>4149</v>
      </c>
      <c r="E9083" s="954" t="n">
        <v>0.001</v>
      </c>
      <c r="F9083" s="617" t="n">
        <v>10500</v>
      </c>
      <c r="G9083" s="615" t="n">
        <f aca="false">E9083*F9083</f>
        <v>10.5</v>
      </c>
      <c r="H9083" s="606"/>
    </row>
    <row r="9084" customFormat="false" ht="15" hidden="false" customHeight="false" outlineLevel="0" collapsed="false">
      <c r="A9084" s="961"/>
      <c r="B9084" s="488"/>
      <c r="C9084" s="860" t="s">
        <v>5837</v>
      </c>
      <c r="D9084" s="316" t="s">
        <v>4149</v>
      </c>
      <c r="E9084" s="954" t="n">
        <v>0.001</v>
      </c>
      <c r="F9084" s="617" t="n">
        <v>91872</v>
      </c>
      <c r="G9084" s="615" t="n">
        <f aca="false">E9084*F9084</f>
        <v>91.872</v>
      </c>
      <c r="H9084" s="606"/>
    </row>
    <row r="9085" customFormat="false" ht="15" hidden="false" customHeight="false" outlineLevel="0" collapsed="false">
      <c r="A9085" s="961"/>
      <c r="B9085" s="488"/>
      <c r="C9085" s="860" t="s">
        <v>5838</v>
      </c>
      <c r="D9085" s="316" t="s">
        <v>4149</v>
      </c>
      <c r="E9085" s="954" t="n">
        <v>0.001</v>
      </c>
      <c r="F9085" s="617" t="n">
        <v>80176</v>
      </c>
      <c r="G9085" s="615" t="n">
        <f aca="false">E9085*F9085</f>
        <v>80.176</v>
      </c>
      <c r="H9085" s="606"/>
    </row>
    <row r="9086" customFormat="false" ht="15" hidden="false" customHeight="false" outlineLevel="0" collapsed="false">
      <c r="A9086" s="961"/>
      <c r="B9086" s="488"/>
      <c r="C9086" s="860" t="s">
        <v>5839</v>
      </c>
      <c r="D9086" s="316" t="s">
        <v>4149</v>
      </c>
      <c r="E9086" s="954" t="n">
        <v>0.001</v>
      </c>
      <c r="F9086" s="617" t="n">
        <v>7982</v>
      </c>
      <c r="G9086" s="615" t="n">
        <f aca="false">E9086*F9086</f>
        <v>7.982</v>
      </c>
      <c r="H9086" s="606"/>
    </row>
    <row r="9087" customFormat="false" ht="15" hidden="false" customHeight="false" outlineLevel="0" collapsed="false">
      <c r="A9087" s="961"/>
      <c r="B9087" s="488"/>
      <c r="C9087" s="860" t="s">
        <v>5840</v>
      </c>
      <c r="D9087" s="316" t="s">
        <v>4149</v>
      </c>
      <c r="E9087" s="954" t="n">
        <v>0.001</v>
      </c>
      <c r="F9087" s="617" t="n">
        <v>158202</v>
      </c>
      <c r="G9087" s="615" t="n">
        <f aca="false">E9087*F9087</f>
        <v>158.202</v>
      </c>
      <c r="H9087" s="606"/>
    </row>
    <row r="9088" customFormat="false" ht="15" hidden="false" customHeight="false" outlineLevel="0" collapsed="false">
      <c r="A9088" s="961"/>
      <c r="B9088" s="488"/>
      <c r="C9088" s="860" t="s">
        <v>5841</v>
      </c>
      <c r="D9088" s="316" t="s">
        <v>4149</v>
      </c>
      <c r="E9088" s="954" t="n">
        <v>0.001</v>
      </c>
      <c r="F9088" s="617" t="n">
        <v>10500</v>
      </c>
      <c r="G9088" s="615" t="n">
        <f aca="false">E9088*F9088</f>
        <v>10.5</v>
      </c>
      <c r="H9088" s="606"/>
    </row>
    <row r="9089" customFormat="false" ht="15" hidden="false" customHeight="false" outlineLevel="0" collapsed="false">
      <c r="A9089" s="961"/>
      <c r="B9089" s="488"/>
      <c r="C9089" s="860" t="s">
        <v>5842</v>
      </c>
      <c r="D9089" s="316" t="s">
        <v>4149</v>
      </c>
      <c r="E9089" s="954" t="n">
        <v>0.001</v>
      </c>
      <c r="F9089" s="617" t="n">
        <v>46343</v>
      </c>
      <c r="G9089" s="615" t="n">
        <f aca="false">E9089*F9089</f>
        <v>46.343</v>
      </c>
      <c r="H9089" s="606"/>
    </row>
    <row r="9090" customFormat="false" ht="15" hidden="false" customHeight="false" outlineLevel="0" collapsed="false">
      <c r="A9090" s="961"/>
      <c r="B9090" s="488"/>
      <c r="C9090" s="860" t="s">
        <v>5843</v>
      </c>
      <c r="D9090" s="316" t="s">
        <v>4149</v>
      </c>
      <c r="E9090" s="954" t="n">
        <v>0.001</v>
      </c>
      <c r="F9090" s="883" t="n">
        <v>48840</v>
      </c>
      <c r="G9090" s="615" t="n">
        <f aca="false">E9090*F9090</f>
        <v>48.84</v>
      </c>
      <c r="H9090" s="606"/>
    </row>
    <row r="9091" customFormat="false" ht="15" hidden="false" customHeight="false" outlineLevel="0" collapsed="false">
      <c r="A9091" s="961"/>
      <c r="B9091" s="488"/>
      <c r="C9091" s="21" t="s">
        <v>5844</v>
      </c>
      <c r="D9091" s="316" t="s">
        <v>4191</v>
      </c>
      <c r="E9091" s="661" t="n">
        <v>0.001</v>
      </c>
      <c r="F9091" s="883" t="n">
        <v>74415</v>
      </c>
      <c r="G9091" s="615" t="n">
        <f aca="false">E9091*F9091</f>
        <v>74.415</v>
      </c>
      <c r="H9091" s="606"/>
    </row>
    <row r="9092" customFormat="false" ht="15" hidden="false" customHeight="false" outlineLevel="0" collapsed="false">
      <c r="A9092" s="961"/>
      <c r="B9092" s="488"/>
      <c r="C9092" s="860" t="s">
        <v>5845</v>
      </c>
      <c r="D9092" s="316" t="s">
        <v>4528</v>
      </c>
      <c r="E9092" s="661" t="n">
        <v>0.005</v>
      </c>
      <c r="F9092" s="617" t="n">
        <v>10500</v>
      </c>
      <c r="G9092" s="615" t="n">
        <f aca="false">E9092*F9092</f>
        <v>52.5</v>
      </c>
      <c r="H9092" s="606"/>
    </row>
    <row r="9093" customFormat="false" ht="15" hidden="false" customHeight="false" outlineLevel="0" collapsed="false">
      <c r="A9093" s="961"/>
      <c r="B9093" s="488"/>
      <c r="C9093" s="860" t="s">
        <v>5846</v>
      </c>
      <c r="D9093" s="316" t="s">
        <v>5847</v>
      </c>
      <c r="E9093" s="661" t="n">
        <v>0.005</v>
      </c>
      <c r="F9093" s="617" t="n">
        <v>10500</v>
      </c>
      <c r="G9093" s="615" t="n">
        <f aca="false">E9093*F9093</f>
        <v>52.5</v>
      </c>
      <c r="H9093" s="606"/>
    </row>
    <row r="9094" customFormat="false" ht="15" hidden="false" customHeight="false" outlineLevel="0" collapsed="false">
      <c r="A9094" s="961"/>
      <c r="B9094" s="488"/>
      <c r="C9094" s="860" t="s">
        <v>5848</v>
      </c>
      <c r="D9094" s="316" t="s">
        <v>4528</v>
      </c>
      <c r="E9094" s="661" t="n">
        <v>0.005</v>
      </c>
      <c r="F9094" s="617" t="n">
        <v>10500</v>
      </c>
      <c r="G9094" s="615" t="n">
        <f aca="false">E9094*F9094</f>
        <v>52.5</v>
      </c>
      <c r="H9094" s="606"/>
    </row>
    <row r="9095" customFormat="false" ht="15" hidden="false" customHeight="false" outlineLevel="0" collapsed="false">
      <c r="A9095" s="961"/>
      <c r="B9095" s="488"/>
      <c r="C9095" s="860" t="s">
        <v>5825</v>
      </c>
      <c r="D9095" s="316" t="s">
        <v>4191</v>
      </c>
      <c r="E9095" s="661" t="n">
        <v>0.01</v>
      </c>
      <c r="F9095" s="883" t="n">
        <v>8468</v>
      </c>
      <c r="G9095" s="615" t="n">
        <f aca="false">E9095*F9095</f>
        <v>84.68</v>
      </c>
      <c r="H9095" s="606"/>
    </row>
    <row r="9096" customFormat="false" ht="15" hidden="false" customHeight="false" outlineLevel="0" collapsed="false">
      <c r="A9096" s="961"/>
      <c r="B9096" s="488"/>
      <c r="C9096" s="860" t="s">
        <v>5849</v>
      </c>
      <c r="D9096" s="316" t="s">
        <v>4528</v>
      </c>
      <c r="E9096" s="954" t="n">
        <v>0.01</v>
      </c>
      <c r="F9096" s="883" t="n">
        <v>15500</v>
      </c>
      <c r="G9096" s="615" t="n">
        <f aca="false">E9096*F9096</f>
        <v>155</v>
      </c>
      <c r="H9096" s="606"/>
    </row>
    <row r="9097" customFormat="false" ht="15" hidden="false" customHeight="false" outlineLevel="0" collapsed="false">
      <c r="A9097" s="961"/>
      <c r="B9097" s="488"/>
      <c r="C9097" s="860" t="s">
        <v>5850</v>
      </c>
      <c r="D9097" s="316" t="s">
        <v>4528</v>
      </c>
      <c r="E9097" s="954" t="n">
        <v>0.001</v>
      </c>
      <c r="F9097" s="883" t="n">
        <v>26500</v>
      </c>
      <c r="G9097" s="615" t="n">
        <f aca="false">E9097*F9097</f>
        <v>26.5</v>
      </c>
      <c r="H9097" s="606"/>
    </row>
    <row r="9098" customFormat="false" ht="15" hidden="false" customHeight="false" outlineLevel="0" collapsed="false">
      <c r="A9098" s="961"/>
      <c r="B9098" s="488"/>
      <c r="C9098" s="860" t="s">
        <v>5824</v>
      </c>
      <c r="D9098" s="316" t="s">
        <v>4528</v>
      </c>
      <c r="E9098" s="954" t="n">
        <v>0.001</v>
      </c>
      <c r="F9098" s="617" t="n">
        <v>82115</v>
      </c>
      <c r="G9098" s="615" t="n">
        <f aca="false">E9098*F9098</f>
        <v>82.115</v>
      </c>
      <c r="H9098" s="606"/>
    </row>
    <row r="9099" customFormat="false" ht="15" hidden="false" customHeight="false" outlineLevel="0" collapsed="false">
      <c r="A9099" s="961"/>
      <c r="B9099" s="488"/>
      <c r="C9099" s="860" t="s">
        <v>5819</v>
      </c>
      <c r="D9099" s="316" t="s">
        <v>4191</v>
      </c>
      <c r="E9099" s="954" t="n">
        <v>0.01</v>
      </c>
      <c r="F9099" s="883" t="n">
        <v>316.4</v>
      </c>
      <c r="G9099" s="615" t="n">
        <f aca="false">E9099*F9099</f>
        <v>3.164</v>
      </c>
      <c r="H9099" s="606"/>
    </row>
    <row r="9100" customFormat="false" ht="15" hidden="false" customHeight="false" outlineLevel="0" collapsed="false">
      <c r="A9100" s="961"/>
      <c r="B9100" s="488"/>
      <c r="C9100" s="860" t="s">
        <v>5826</v>
      </c>
      <c r="D9100" s="316" t="s">
        <v>4191</v>
      </c>
      <c r="E9100" s="954" t="n">
        <v>0.01</v>
      </c>
      <c r="F9100" s="617" t="n">
        <v>366.25</v>
      </c>
      <c r="G9100" s="615" t="n">
        <f aca="false">E9100*F9100</f>
        <v>3.6625</v>
      </c>
      <c r="H9100" s="606"/>
    </row>
    <row r="9101" customFormat="false" ht="15" hidden="false" customHeight="false" outlineLevel="0" collapsed="false">
      <c r="A9101" s="961"/>
      <c r="B9101" s="488"/>
      <c r="C9101" s="860" t="s">
        <v>5820</v>
      </c>
      <c r="D9101" s="316" t="s">
        <v>4191</v>
      </c>
      <c r="E9101" s="954" t="n">
        <v>0.01</v>
      </c>
      <c r="F9101" s="617" t="n">
        <v>650</v>
      </c>
      <c r="G9101" s="615" t="n">
        <f aca="false">E9101*F9101</f>
        <v>6.5</v>
      </c>
      <c r="H9101" s="606"/>
    </row>
    <row r="9102" customFormat="false" ht="15" hidden="false" customHeight="false" outlineLevel="0" collapsed="false">
      <c r="A9102" s="961"/>
      <c r="B9102" s="488"/>
      <c r="C9102" s="860" t="s">
        <v>4515</v>
      </c>
      <c r="D9102" s="316" t="s">
        <v>5564</v>
      </c>
      <c r="E9102" s="954" t="n">
        <v>0.025</v>
      </c>
      <c r="F9102" s="617" t="n">
        <v>350</v>
      </c>
      <c r="G9102" s="615" t="n">
        <f aca="false">E9102*F9102</f>
        <v>8.75</v>
      </c>
      <c r="H9102" s="606"/>
    </row>
    <row r="9103" customFormat="false" ht="15" hidden="false" customHeight="false" outlineLevel="0" collapsed="false">
      <c r="A9103" s="571"/>
      <c r="B9103" s="500"/>
      <c r="C9103" s="860" t="s">
        <v>5816</v>
      </c>
      <c r="D9103" s="606" t="s">
        <v>4191</v>
      </c>
      <c r="E9103" s="954" t="n">
        <v>0.0045</v>
      </c>
      <c r="F9103" s="617" t="n">
        <v>144704</v>
      </c>
      <c r="G9103" s="615" t="n">
        <f aca="false">E9103*F9103</f>
        <v>651.168</v>
      </c>
      <c r="H9103" s="606"/>
    </row>
    <row r="9104" customFormat="false" ht="15" hidden="false" customHeight="false" outlineLevel="0" collapsed="false">
      <c r="A9104" s="571"/>
      <c r="B9104" s="500"/>
      <c r="C9104" s="860" t="s">
        <v>4776</v>
      </c>
      <c r="D9104" s="606" t="s">
        <v>4359</v>
      </c>
      <c r="E9104" s="954" t="n">
        <v>0.021</v>
      </c>
      <c r="F9104" s="617" t="n">
        <v>800</v>
      </c>
      <c r="G9104" s="615" t="n">
        <f aca="false">E9104*F9104</f>
        <v>16.8</v>
      </c>
      <c r="H9104" s="606"/>
    </row>
    <row r="9105" customFormat="false" ht="15" hidden="false" customHeight="false" outlineLevel="0" collapsed="false">
      <c r="A9105" s="571"/>
      <c r="B9105" s="500"/>
      <c r="C9105" s="860" t="s">
        <v>5827</v>
      </c>
      <c r="D9105" s="606" t="s">
        <v>4348</v>
      </c>
      <c r="E9105" s="954" t="n">
        <v>0.01</v>
      </c>
      <c r="F9105" s="617" t="n">
        <v>370</v>
      </c>
      <c r="G9105" s="615" t="n">
        <f aca="false">E9105*F9105</f>
        <v>3.7</v>
      </c>
      <c r="H9105" s="606"/>
    </row>
    <row r="9106" customFormat="false" ht="15" hidden="false" customHeight="false" outlineLevel="0" collapsed="false">
      <c r="A9106" s="571"/>
      <c r="B9106" s="500"/>
      <c r="C9106" s="860" t="s">
        <v>5851</v>
      </c>
      <c r="D9106" s="606" t="s">
        <v>4348</v>
      </c>
      <c r="E9106" s="954" t="n">
        <v>0.005</v>
      </c>
      <c r="F9106" s="617" t="n">
        <v>19488</v>
      </c>
      <c r="G9106" s="615" t="n">
        <f aca="false">E9106*F9106</f>
        <v>97.44</v>
      </c>
      <c r="H9106" s="606"/>
    </row>
    <row r="9107" customFormat="false" ht="15" hidden="false" customHeight="false" outlineLevel="0" collapsed="false">
      <c r="A9107" s="571"/>
      <c r="B9107" s="608" t="s">
        <v>4128</v>
      </c>
      <c r="C9107" s="718"/>
      <c r="D9107" s="610"/>
      <c r="E9107" s="610"/>
      <c r="F9107" s="612"/>
      <c r="G9107" s="613" t="n">
        <f aca="false">SUM(G9076:G9106)</f>
        <v>2248.4125</v>
      </c>
      <c r="H9107" s="606"/>
    </row>
    <row r="9108" customFormat="false" ht="30" hidden="false" customHeight="false" outlineLevel="0" collapsed="false">
      <c r="A9108" s="961" t="s">
        <v>1808</v>
      </c>
      <c r="B9108" s="488" t="s">
        <v>3641</v>
      </c>
      <c r="C9108" s="860" t="s">
        <v>5818</v>
      </c>
      <c r="D9108" s="874" t="s">
        <v>4149</v>
      </c>
      <c r="E9108" s="661" t="n">
        <v>0.01</v>
      </c>
      <c r="F9108" s="617" t="n">
        <v>67687</v>
      </c>
      <c r="G9108" s="615" t="n">
        <f aca="false">E9108*F9108</f>
        <v>676.87</v>
      </c>
      <c r="H9108" s="606"/>
    </row>
    <row r="9109" customFormat="false" ht="15" hidden="false" customHeight="false" outlineLevel="0" collapsed="false">
      <c r="A9109" s="571"/>
      <c r="B9109" s="500"/>
      <c r="C9109" s="21" t="s">
        <v>5852</v>
      </c>
      <c r="D9109" s="874" t="s">
        <v>4149</v>
      </c>
      <c r="E9109" s="838" t="n">
        <v>0.001</v>
      </c>
      <c r="F9109" s="617" t="n">
        <v>39930</v>
      </c>
      <c r="G9109" s="615" t="n">
        <f aca="false">E9109*F9109</f>
        <v>39.93</v>
      </c>
      <c r="H9109" s="606"/>
    </row>
    <row r="9110" customFormat="false" ht="15" hidden="false" customHeight="false" outlineLevel="0" collapsed="false">
      <c r="A9110" s="571"/>
      <c r="B9110" s="500"/>
      <c r="C9110" s="860" t="s">
        <v>4205</v>
      </c>
      <c r="D9110" s="874" t="s">
        <v>4149</v>
      </c>
      <c r="E9110" s="954" t="n">
        <v>0.001</v>
      </c>
      <c r="F9110" s="617" t="n">
        <v>7035</v>
      </c>
      <c r="G9110" s="615" t="n">
        <f aca="false">E9110*F9110</f>
        <v>7.035</v>
      </c>
      <c r="H9110" s="606"/>
    </row>
    <row r="9111" customFormat="false" ht="15" hidden="false" customHeight="false" outlineLevel="0" collapsed="false">
      <c r="A9111" s="571"/>
      <c r="B9111" s="500"/>
      <c r="C9111" s="860" t="s">
        <v>5819</v>
      </c>
      <c r="D9111" s="316" t="s">
        <v>4191</v>
      </c>
      <c r="E9111" s="954" t="n">
        <v>0.01</v>
      </c>
      <c r="F9111" s="617" t="n">
        <v>316.4</v>
      </c>
      <c r="G9111" s="615" t="n">
        <f aca="false">E9111*F9111</f>
        <v>3.164</v>
      </c>
      <c r="H9111" s="606"/>
    </row>
    <row r="9112" customFormat="false" ht="15" hidden="false" customHeight="false" outlineLevel="0" collapsed="false">
      <c r="A9112" s="571"/>
      <c r="B9112" s="500"/>
      <c r="C9112" s="860" t="s">
        <v>5820</v>
      </c>
      <c r="D9112" s="316" t="s">
        <v>4191</v>
      </c>
      <c r="E9112" s="954" t="n">
        <v>0.01</v>
      </c>
      <c r="F9112" s="617" t="n">
        <v>650</v>
      </c>
      <c r="G9112" s="615" t="n">
        <f aca="false">E9112*F9112</f>
        <v>6.5</v>
      </c>
      <c r="H9112" s="606"/>
    </row>
    <row r="9113" customFormat="false" ht="15" hidden="false" customHeight="false" outlineLevel="0" collapsed="false">
      <c r="A9113" s="571"/>
      <c r="B9113" s="500"/>
      <c r="C9113" s="860" t="s">
        <v>4515</v>
      </c>
      <c r="D9113" s="316" t="s">
        <v>4149</v>
      </c>
      <c r="E9113" s="958" t="n">
        <v>0.01</v>
      </c>
      <c r="F9113" s="617" t="n">
        <v>350</v>
      </c>
      <c r="G9113" s="615" t="n">
        <f aca="false">E9113*F9113</f>
        <v>3.5</v>
      </c>
      <c r="H9113" s="606"/>
    </row>
    <row r="9114" customFormat="false" ht="15" hidden="false" customHeight="false" outlineLevel="0" collapsed="false">
      <c r="A9114" s="571"/>
      <c r="B9114" s="500"/>
      <c r="C9114" s="860" t="s">
        <v>5853</v>
      </c>
      <c r="D9114" s="316" t="s">
        <v>4348</v>
      </c>
      <c r="E9114" s="954" t="n">
        <v>0.001</v>
      </c>
      <c r="F9114" s="617" t="n">
        <v>200000</v>
      </c>
      <c r="G9114" s="615" t="n">
        <f aca="false">E9114*F9114</f>
        <v>200</v>
      </c>
      <c r="H9114" s="606"/>
    </row>
    <row r="9115" customFormat="false" ht="15" hidden="false" customHeight="false" outlineLevel="0" collapsed="false">
      <c r="A9115" s="571"/>
      <c r="B9115" s="500"/>
      <c r="C9115" s="860" t="s">
        <v>4776</v>
      </c>
      <c r="D9115" s="316" t="s">
        <v>4359</v>
      </c>
      <c r="E9115" s="954" t="n">
        <v>0.026</v>
      </c>
      <c r="F9115" s="617" t="n">
        <v>800</v>
      </c>
      <c r="G9115" s="615" t="n">
        <f aca="false">E9115*F9115</f>
        <v>20.8</v>
      </c>
      <c r="H9115" s="606"/>
    </row>
    <row r="9116" customFormat="false" ht="15" hidden="false" customHeight="false" outlineLevel="0" collapsed="false">
      <c r="A9116" s="571"/>
      <c r="B9116" s="608" t="s">
        <v>4128</v>
      </c>
      <c r="C9116" s="709"/>
      <c r="D9116" s="606"/>
      <c r="E9116" s="606"/>
      <c r="F9116" s="361"/>
      <c r="G9116" s="613" t="n">
        <f aca="false">SUM(G9108:G9115)</f>
        <v>957.799</v>
      </c>
      <c r="H9116" s="606"/>
    </row>
    <row r="9117" customFormat="false" ht="30" hidden="false" customHeight="false" outlineLevel="0" collapsed="false">
      <c r="A9117" s="961" t="s">
        <v>1810</v>
      </c>
      <c r="B9117" s="488" t="s">
        <v>3642</v>
      </c>
      <c r="C9117" s="860" t="s">
        <v>5854</v>
      </c>
      <c r="D9117" s="316" t="s">
        <v>4149</v>
      </c>
      <c r="E9117" s="954" t="n">
        <v>0.001</v>
      </c>
      <c r="F9117" s="617" t="n">
        <v>33792</v>
      </c>
      <c r="G9117" s="615" t="n">
        <f aca="false">E9117*F9117</f>
        <v>33.792</v>
      </c>
      <c r="H9117" s="606"/>
    </row>
    <row r="9118" customFormat="false" ht="15" hidden="false" customHeight="false" outlineLevel="0" collapsed="false">
      <c r="A9118" s="961"/>
      <c r="B9118" s="488"/>
      <c r="C9118" s="21" t="s">
        <v>5855</v>
      </c>
      <c r="D9118" s="316" t="s">
        <v>4149</v>
      </c>
      <c r="E9118" s="954" t="n">
        <v>0.001</v>
      </c>
      <c r="F9118" s="617" t="n">
        <v>203735</v>
      </c>
      <c r="G9118" s="615" t="n">
        <f aca="false">E9118*F9118</f>
        <v>203.735</v>
      </c>
      <c r="H9118" s="606"/>
    </row>
    <row r="9119" customFormat="false" ht="15" hidden="false" customHeight="false" outlineLevel="0" collapsed="false">
      <c r="A9119" s="961"/>
      <c r="B9119" s="488"/>
      <c r="C9119" s="860" t="s">
        <v>5836</v>
      </c>
      <c r="D9119" s="316" t="s">
        <v>4149</v>
      </c>
      <c r="E9119" s="954" t="n">
        <v>0.001</v>
      </c>
      <c r="F9119" s="617" t="n">
        <v>10500</v>
      </c>
      <c r="G9119" s="615" t="n">
        <f aca="false">E9119*F9119</f>
        <v>10.5</v>
      </c>
      <c r="H9119" s="606"/>
    </row>
    <row r="9120" customFormat="false" ht="15" hidden="false" customHeight="false" outlineLevel="0" collapsed="false">
      <c r="A9120" s="961"/>
      <c r="B9120" s="488"/>
      <c r="C9120" s="860" t="s">
        <v>5856</v>
      </c>
      <c r="D9120" s="316" t="s">
        <v>4528</v>
      </c>
      <c r="E9120" s="954" t="n">
        <v>0.001</v>
      </c>
      <c r="F9120" s="617" t="n">
        <v>168481</v>
      </c>
      <c r="G9120" s="615" t="n">
        <f aca="false">E9120*F9120</f>
        <v>168.481</v>
      </c>
      <c r="H9120" s="606"/>
    </row>
    <row r="9121" customFormat="false" ht="15" hidden="false" customHeight="false" outlineLevel="0" collapsed="false">
      <c r="A9121" s="961"/>
      <c r="B9121" s="488"/>
      <c r="C9121" s="21" t="s">
        <v>5857</v>
      </c>
      <c r="D9121" s="874" t="s">
        <v>4528</v>
      </c>
      <c r="E9121" s="954" t="n">
        <v>0.002</v>
      </c>
      <c r="F9121" s="883" t="n">
        <v>175794</v>
      </c>
      <c r="G9121" s="615" t="n">
        <f aca="false">E9121*F9121</f>
        <v>351.588</v>
      </c>
      <c r="H9121" s="606"/>
    </row>
    <row r="9122" customFormat="false" ht="15" hidden="false" customHeight="false" outlineLevel="0" collapsed="false">
      <c r="A9122" s="961"/>
      <c r="B9122" s="488"/>
      <c r="C9122" s="860" t="s">
        <v>5824</v>
      </c>
      <c r="D9122" s="316" t="s">
        <v>4528</v>
      </c>
      <c r="E9122" s="954" t="n">
        <v>0.001</v>
      </c>
      <c r="F9122" s="617" t="n">
        <v>82115</v>
      </c>
      <c r="G9122" s="615" t="n">
        <f aca="false">E9122*F9122</f>
        <v>82.115</v>
      </c>
      <c r="H9122" s="606"/>
    </row>
    <row r="9123" customFormat="false" ht="15" hidden="false" customHeight="false" outlineLevel="0" collapsed="false">
      <c r="A9123" s="961"/>
      <c r="B9123" s="488"/>
      <c r="C9123" s="860" t="s">
        <v>5819</v>
      </c>
      <c r="D9123" s="316" t="s">
        <v>4191</v>
      </c>
      <c r="E9123" s="954" t="n">
        <v>0.01</v>
      </c>
      <c r="F9123" s="883" t="n">
        <v>316.4</v>
      </c>
      <c r="G9123" s="615" t="n">
        <f aca="false">E9123*F9123</f>
        <v>3.164</v>
      </c>
      <c r="H9123" s="819"/>
    </row>
    <row r="9124" customFormat="false" ht="15" hidden="false" customHeight="false" outlineLevel="0" collapsed="false">
      <c r="A9124" s="961"/>
      <c r="B9124" s="488"/>
      <c r="C9124" s="860" t="s">
        <v>5826</v>
      </c>
      <c r="D9124" s="316" t="s">
        <v>4191</v>
      </c>
      <c r="E9124" s="954" t="n">
        <v>0.01</v>
      </c>
      <c r="F9124" s="617" t="n">
        <v>366.25</v>
      </c>
      <c r="G9124" s="615" t="n">
        <f aca="false">E9124*F9124</f>
        <v>3.6625</v>
      </c>
      <c r="H9124" s="819"/>
    </row>
    <row r="9125" customFormat="false" ht="15" hidden="false" customHeight="false" outlineLevel="0" collapsed="false">
      <c r="A9125" s="961"/>
      <c r="B9125" s="488"/>
      <c r="C9125" s="860" t="s">
        <v>5820</v>
      </c>
      <c r="D9125" s="316" t="s">
        <v>4191</v>
      </c>
      <c r="E9125" s="954" t="n">
        <v>0.01</v>
      </c>
      <c r="F9125" s="617" t="n">
        <v>650</v>
      </c>
      <c r="G9125" s="615" t="n">
        <f aca="false">E9125*F9125</f>
        <v>6.5</v>
      </c>
      <c r="H9125" s="819"/>
    </row>
    <row r="9126" customFormat="false" ht="15" hidden="false" customHeight="false" outlineLevel="0" collapsed="false">
      <c r="A9126" s="961"/>
      <c r="B9126" s="488"/>
      <c r="C9126" s="860" t="s">
        <v>4776</v>
      </c>
      <c r="D9126" s="316" t="s">
        <v>4359</v>
      </c>
      <c r="E9126" s="954" t="n">
        <v>0.01</v>
      </c>
      <c r="F9126" s="617" t="n">
        <v>800</v>
      </c>
      <c r="G9126" s="615" t="n">
        <f aca="false">E9126*F9126</f>
        <v>8</v>
      </c>
      <c r="H9126" s="606"/>
    </row>
    <row r="9127" customFormat="false" ht="15" hidden="false" customHeight="false" outlineLevel="0" collapsed="false">
      <c r="A9127" s="961"/>
      <c r="B9127" s="608" t="s">
        <v>4128</v>
      </c>
      <c r="C9127" s="718"/>
      <c r="D9127" s="610"/>
      <c r="E9127" s="610"/>
      <c r="F9127" s="612"/>
      <c r="G9127" s="613" t="n">
        <f aca="false">SUM(G9117:G9126)</f>
        <v>871.5375</v>
      </c>
      <c r="H9127" s="606"/>
    </row>
    <row r="9128" customFormat="false" ht="30" hidden="false" customHeight="false" outlineLevel="0" collapsed="false">
      <c r="A9128" s="961" t="s">
        <v>1812</v>
      </c>
      <c r="B9128" s="488" t="s">
        <v>3643</v>
      </c>
      <c r="C9128" s="860" t="s">
        <v>5854</v>
      </c>
      <c r="D9128" s="316" t="s">
        <v>4149</v>
      </c>
      <c r="E9128" s="954" t="n">
        <v>0.005</v>
      </c>
      <c r="F9128" s="617" t="n">
        <v>33792</v>
      </c>
      <c r="G9128" s="615" t="n">
        <f aca="false">E9128*F9128</f>
        <v>168.96</v>
      </c>
      <c r="H9128" s="606"/>
    </row>
    <row r="9129" customFormat="false" ht="15" hidden="false" customHeight="false" outlineLevel="0" collapsed="false">
      <c r="A9129" s="961"/>
      <c r="B9129" s="488"/>
      <c r="C9129" s="21" t="s">
        <v>5855</v>
      </c>
      <c r="D9129" s="316" t="s">
        <v>4149</v>
      </c>
      <c r="E9129" s="954" t="n">
        <v>0.0005</v>
      </c>
      <c r="F9129" s="617" t="n">
        <v>203735</v>
      </c>
      <c r="G9129" s="615" t="n">
        <f aca="false">E9129*F9129</f>
        <v>101.8675</v>
      </c>
      <c r="H9129" s="606"/>
    </row>
    <row r="9130" customFormat="false" ht="15" hidden="false" customHeight="false" outlineLevel="0" collapsed="false">
      <c r="A9130" s="961"/>
      <c r="B9130" s="488"/>
      <c r="C9130" s="860" t="s">
        <v>5836</v>
      </c>
      <c r="D9130" s="316" t="s">
        <v>4149</v>
      </c>
      <c r="E9130" s="661" t="n">
        <v>0.001</v>
      </c>
      <c r="F9130" s="617" t="n">
        <v>10500</v>
      </c>
      <c r="G9130" s="615" t="n">
        <f aca="false">E9130*F9130</f>
        <v>10.5</v>
      </c>
      <c r="H9130" s="606"/>
    </row>
    <row r="9131" customFormat="false" ht="15" hidden="false" customHeight="false" outlineLevel="0" collapsed="false">
      <c r="A9131" s="961"/>
      <c r="B9131" s="488"/>
      <c r="C9131" s="860" t="s">
        <v>5856</v>
      </c>
      <c r="D9131" s="316" t="s">
        <v>4359</v>
      </c>
      <c r="E9131" s="954" t="n">
        <v>0.001</v>
      </c>
      <c r="F9131" s="617" t="n">
        <v>168481</v>
      </c>
      <c r="G9131" s="615" t="n">
        <f aca="false">E9131*F9131</f>
        <v>168.481</v>
      </c>
      <c r="H9131" s="606"/>
    </row>
    <row r="9132" customFormat="false" ht="15" hidden="false" customHeight="false" outlineLevel="0" collapsed="false">
      <c r="A9132" s="961"/>
      <c r="B9132" s="488"/>
      <c r="C9132" s="21" t="s">
        <v>5857</v>
      </c>
      <c r="D9132" s="874" t="s">
        <v>4359</v>
      </c>
      <c r="E9132" s="959" t="n">
        <v>0.001</v>
      </c>
      <c r="F9132" s="883" t="n">
        <v>175794</v>
      </c>
      <c r="G9132" s="615" t="n">
        <f aca="false">E9132*F9132</f>
        <v>175.794</v>
      </c>
      <c r="H9132" s="606"/>
    </row>
    <row r="9133" customFormat="false" ht="15" hidden="false" customHeight="false" outlineLevel="0" collapsed="false">
      <c r="A9133" s="961"/>
      <c r="B9133" s="488"/>
      <c r="C9133" s="860" t="s">
        <v>5824</v>
      </c>
      <c r="D9133" s="874" t="s">
        <v>4359</v>
      </c>
      <c r="E9133" s="954" t="n">
        <v>0.001</v>
      </c>
      <c r="F9133" s="617" t="n">
        <v>82115</v>
      </c>
      <c r="G9133" s="615" t="n">
        <f aca="false">E9133*F9133</f>
        <v>82.115</v>
      </c>
      <c r="H9133" s="606"/>
    </row>
    <row r="9134" customFormat="false" ht="15" hidden="false" customHeight="false" outlineLevel="0" collapsed="false">
      <c r="A9134" s="961"/>
      <c r="B9134" s="488"/>
      <c r="C9134" s="860" t="s">
        <v>5819</v>
      </c>
      <c r="D9134" s="316" t="s">
        <v>4191</v>
      </c>
      <c r="E9134" s="954" t="n">
        <v>0.01</v>
      </c>
      <c r="F9134" s="883" t="n">
        <v>316.4</v>
      </c>
      <c r="G9134" s="615" t="n">
        <f aca="false">E9134*F9134</f>
        <v>3.164</v>
      </c>
      <c r="H9134" s="606"/>
    </row>
    <row r="9135" customFormat="false" ht="15" hidden="false" customHeight="false" outlineLevel="0" collapsed="false">
      <c r="A9135" s="961"/>
      <c r="B9135" s="488"/>
      <c r="C9135" s="860" t="s">
        <v>5826</v>
      </c>
      <c r="D9135" s="316" t="s">
        <v>4191</v>
      </c>
      <c r="E9135" s="954" t="n">
        <v>0.01</v>
      </c>
      <c r="F9135" s="617" t="n">
        <v>366.25</v>
      </c>
      <c r="G9135" s="615" t="n">
        <f aca="false">E9135*F9135</f>
        <v>3.6625</v>
      </c>
      <c r="H9135" s="606"/>
    </row>
    <row r="9136" customFormat="false" ht="15" hidden="false" customHeight="false" outlineLevel="0" collapsed="false">
      <c r="A9136" s="961"/>
      <c r="B9136" s="488"/>
      <c r="C9136" s="860" t="s">
        <v>5820</v>
      </c>
      <c r="D9136" s="316" t="s">
        <v>4191</v>
      </c>
      <c r="E9136" s="954" t="n">
        <v>0.01</v>
      </c>
      <c r="F9136" s="617" t="n">
        <v>650</v>
      </c>
      <c r="G9136" s="615" t="n">
        <f aca="false">E9136*F9136</f>
        <v>6.5</v>
      </c>
      <c r="H9136" s="606"/>
    </row>
    <row r="9137" customFormat="false" ht="15" hidden="false" customHeight="false" outlineLevel="0" collapsed="false">
      <c r="A9137" s="571"/>
      <c r="B9137" s="500"/>
      <c r="C9137" s="860" t="s">
        <v>5816</v>
      </c>
      <c r="D9137" s="316" t="s">
        <v>4191</v>
      </c>
      <c r="E9137" s="954" t="n">
        <v>0.005</v>
      </c>
      <c r="F9137" s="617" t="n">
        <v>144704</v>
      </c>
      <c r="G9137" s="615" t="n">
        <f aca="false">E9137*F9137</f>
        <v>723.52</v>
      </c>
      <c r="H9137" s="606"/>
    </row>
    <row r="9138" customFormat="false" ht="15" hidden="false" customHeight="false" outlineLevel="0" collapsed="false">
      <c r="A9138" s="571"/>
      <c r="B9138" s="500"/>
      <c r="C9138" s="860" t="s">
        <v>4776</v>
      </c>
      <c r="D9138" s="316" t="s">
        <v>4528</v>
      </c>
      <c r="E9138" s="954" t="n">
        <v>0.02</v>
      </c>
      <c r="F9138" s="617" t="n">
        <v>800</v>
      </c>
      <c r="G9138" s="615" t="n">
        <f aca="false">E9138*F9138</f>
        <v>16</v>
      </c>
      <c r="H9138" s="606"/>
    </row>
    <row r="9139" customFormat="false" ht="15" hidden="false" customHeight="false" outlineLevel="0" collapsed="false">
      <c r="A9139" s="571"/>
      <c r="B9139" s="608" t="s">
        <v>4128</v>
      </c>
      <c r="C9139" s="718"/>
      <c r="D9139" s="610"/>
      <c r="E9139" s="610"/>
      <c r="F9139" s="612"/>
      <c r="G9139" s="613" t="n">
        <f aca="false">SUM(G9128:G9138)</f>
        <v>1460.564</v>
      </c>
      <c r="H9139" s="606"/>
    </row>
    <row r="9140" customFormat="false" ht="30" hidden="false" customHeight="false" outlineLevel="0" collapsed="false">
      <c r="A9140" s="571" t="s">
        <v>1814</v>
      </c>
      <c r="B9140" s="433" t="s">
        <v>3644</v>
      </c>
      <c r="C9140" s="860" t="s">
        <v>5858</v>
      </c>
      <c r="D9140" s="316" t="s">
        <v>4149</v>
      </c>
      <c r="E9140" s="664" t="n">
        <v>0.003</v>
      </c>
      <c r="F9140" s="617" t="n">
        <v>52272</v>
      </c>
      <c r="G9140" s="615" t="n">
        <f aca="false">E9140*F9140</f>
        <v>156.816</v>
      </c>
      <c r="H9140" s="391"/>
    </row>
    <row r="9141" customFormat="false" ht="15" hidden="false" customHeight="false" outlineLevel="0" collapsed="false">
      <c r="A9141" s="571"/>
      <c r="B9141" s="328"/>
      <c r="C9141" s="21" t="s">
        <v>5823</v>
      </c>
      <c r="D9141" s="316" t="s">
        <v>4149</v>
      </c>
      <c r="E9141" s="954" t="n">
        <v>0.003</v>
      </c>
      <c r="F9141" s="617" t="n">
        <v>69797</v>
      </c>
      <c r="G9141" s="615" t="n">
        <f aca="false">E9141*F9141</f>
        <v>209.391</v>
      </c>
      <c r="H9141" s="606"/>
    </row>
    <row r="9142" customFormat="false" ht="15" hidden="false" customHeight="false" outlineLevel="0" collapsed="false">
      <c r="A9142" s="571"/>
      <c r="B9142" s="500"/>
      <c r="C9142" s="860" t="s">
        <v>5825</v>
      </c>
      <c r="D9142" s="316" t="s">
        <v>4141</v>
      </c>
      <c r="E9142" s="954" t="n">
        <v>0.05</v>
      </c>
      <c r="F9142" s="883" t="n">
        <v>3707</v>
      </c>
      <c r="G9142" s="615" t="n">
        <f aca="false">E9142*F9142</f>
        <v>185.35</v>
      </c>
      <c r="H9142" s="606"/>
    </row>
    <row r="9143" customFormat="false" ht="15" hidden="false" customHeight="false" outlineLevel="0" collapsed="false">
      <c r="A9143" s="571"/>
      <c r="B9143" s="608"/>
      <c r="C9143" s="860" t="s">
        <v>5824</v>
      </c>
      <c r="D9143" s="316" t="s">
        <v>4359</v>
      </c>
      <c r="E9143" s="954" t="n">
        <v>0.005</v>
      </c>
      <c r="F9143" s="617" t="n">
        <v>82115</v>
      </c>
      <c r="G9143" s="615" t="n">
        <f aca="false">E9143*F9143</f>
        <v>410.575</v>
      </c>
      <c r="H9143" s="391"/>
    </row>
    <row r="9144" customFormat="false" ht="15" hidden="false" customHeight="false" outlineLevel="0" collapsed="false">
      <c r="A9144" s="571"/>
      <c r="B9144" s="328"/>
      <c r="C9144" s="855" t="s">
        <v>5819</v>
      </c>
      <c r="D9144" s="316" t="s">
        <v>4191</v>
      </c>
      <c r="E9144" s="954" t="n">
        <v>0.5</v>
      </c>
      <c r="F9144" s="883" t="n">
        <v>316.4</v>
      </c>
      <c r="G9144" s="615" t="n">
        <f aca="false">E9144*F9144</f>
        <v>158.2</v>
      </c>
      <c r="H9144" s="606"/>
    </row>
    <row r="9145" customFormat="false" ht="15" hidden="false" customHeight="false" outlineLevel="0" collapsed="false">
      <c r="A9145" s="571"/>
      <c r="B9145" s="500"/>
      <c r="C9145" s="860" t="s">
        <v>5826</v>
      </c>
      <c r="D9145" s="316" t="s">
        <v>4191</v>
      </c>
      <c r="E9145" s="954" t="n">
        <v>0.01</v>
      </c>
      <c r="F9145" s="617" t="n">
        <v>236</v>
      </c>
      <c r="G9145" s="615" t="n">
        <f aca="false">E9145*F9145</f>
        <v>2.36</v>
      </c>
      <c r="H9145" s="606"/>
    </row>
    <row r="9146" customFormat="false" ht="15" hidden="false" customHeight="false" outlineLevel="0" collapsed="false">
      <c r="A9146" s="571"/>
      <c r="B9146" s="500"/>
      <c r="C9146" s="860" t="s">
        <v>5820</v>
      </c>
      <c r="D9146" s="316" t="s">
        <v>4191</v>
      </c>
      <c r="E9146" s="954" t="n">
        <v>0.01</v>
      </c>
      <c r="F9146" s="617" t="n">
        <v>400</v>
      </c>
      <c r="G9146" s="615" t="n">
        <f aca="false">E9146*F9146</f>
        <v>4</v>
      </c>
      <c r="H9146" s="606"/>
    </row>
    <row r="9147" customFormat="false" ht="15" hidden="false" customHeight="false" outlineLevel="0" collapsed="false">
      <c r="A9147" s="571"/>
      <c r="B9147" s="500"/>
      <c r="C9147" s="860" t="s">
        <v>4515</v>
      </c>
      <c r="D9147" s="316" t="s">
        <v>4149</v>
      </c>
      <c r="E9147" s="954" t="n">
        <v>0.05</v>
      </c>
      <c r="F9147" s="617" t="n">
        <v>350</v>
      </c>
      <c r="G9147" s="615" t="n">
        <f aca="false">E9147*F9147</f>
        <v>17.5</v>
      </c>
      <c r="H9147" s="606"/>
    </row>
    <row r="9148" customFormat="false" ht="15" hidden="false" customHeight="false" outlineLevel="0" collapsed="false">
      <c r="A9148" s="571"/>
      <c r="B9148" s="608"/>
      <c r="C9148" s="860" t="s">
        <v>4776</v>
      </c>
      <c r="D9148" s="316" t="s">
        <v>4359</v>
      </c>
      <c r="E9148" s="954" t="n">
        <v>0.1</v>
      </c>
      <c r="F9148" s="617" t="n">
        <v>720</v>
      </c>
      <c r="G9148" s="615" t="n">
        <f aca="false">E9148*F9148</f>
        <v>72</v>
      </c>
      <c r="H9148" s="391"/>
    </row>
    <row r="9149" customFormat="false" ht="15" hidden="false" customHeight="false" outlineLevel="0" collapsed="false">
      <c r="A9149" s="571"/>
      <c r="B9149" s="328"/>
      <c r="C9149" s="860" t="s">
        <v>5851</v>
      </c>
      <c r="D9149" s="316" t="s">
        <v>4348</v>
      </c>
      <c r="E9149" s="954" t="n">
        <v>0.02</v>
      </c>
      <c r="F9149" s="617" t="n">
        <v>2000</v>
      </c>
      <c r="G9149" s="615" t="n">
        <f aca="false">E9149*F9149</f>
        <v>40</v>
      </c>
      <c r="H9149" s="606"/>
    </row>
    <row r="9150" customFormat="false" ht="15" hidden="false" customHeight="false" outlineLevel="0" collapsed="false">
      <c r="A9150" s="571"/>
      <c r="B9150" s="608" t="s">
        <v>4128</v>
      </c>
      <c r="C9150" s="718"/>
      <c r="D9150" s="610"/>
      <c r="E9150" s="610"/>
      <c r="F9150" s="808"/>
      <c r="G9150" s="613" t="n">
        <f aca="false">SUM(G9140:G9149)</f>
        <v>1256.192</v>
      </c>
      <c r="H9150" s="610"/>
    </row>
    <row r="9151" customFormat="false" ht="30" hidden="false" customHeight="false" outlineLevel="0" collapsed="false">
      <c r="A9151" s="571" t="s">
        <v>1816</v>
      </c>
      <c r="B9151" s="433" t="s">
        <v>3645</v>
      </c>
      <c r="C9151" s="860" t="s">
        <v>5858</v>
      </c>
      <c r="D9151" s="316" t="s">
        <v>4149</v>
      </c>
      <c r="E9151" s="664" t="n">
        <v>0.005</v>
      </c>
      <c r="F9151" s="617" t="n">
        <v>54981</v>
      </c>
      <c r="G9151" s="615" t="n">
        <f aca="false">E9151*F9151</f>
        <v>274.905</v>
      </c>
      <c r="H9151" s="391"/>
    </row>
    <row r="9152" customFormat="false" ht="15" hidden="false" customHeight="false" outlineLevel="0" collapsed="false">
      <c r="A9152" s="571"/>
      <c r="B9152" s="328"/>
      <c r="C9152" s="21" t="s">
        <v>5823</v>
      </c>
      <c r="D9152" s="316" t="s">
        <v>4149</v>
      </c>
      <c r="E9152" s="954" t="n">
        <v>0.001</v>
      </c>
      <c r="F9152" s="617" t="n">
        <v>69797</v>
      </c>
      <c r="G9152" s="615" t="n">
        <f aca="false">E9152*F9152</f>
        <v>69.797</v>
      </c>
      <c r="H9152" s="606"/>
    </row>
    <row r="9153" customFormat="false" ht="15" hidden="false" customHeight="false" outlineLevel="0" collapsed="false">
      <c r="A9153" s="571"/>
      <c r="B9153" s="500"/>
      <c r="C9153" s="860" t="s">
        <v>5825</v>
      </c>
      <c r="D9153" s="316" t="s">
        <v>4191</v>
      </c>
      <c r="E9153" s="954" t="n">
        <v>0.01</v>
      </c>
      <c r="F9153" s="883" t="n">
        <v>8468</v>
      </c>
      <c r="G9153" s="615" t="n">
        <f aca="false">E9153*F9153</f>
        <v>84.68</v>
      </c>
      <c r="H9153" s="606"/>
    </row>
    <row r="9154" customFormat="false" ht="15" hidden="false" customHeight="false" outlineLevel="0" collapsed="false">
      <c r="A9154" s="571"/>
      <c r="B9154" s="500"/>
      <c r="C9154" s="860" t="s">
        <v>5824</v>
      </c>
      <c r="D9154" s="316" t="s">
        <v>4528</v>
      </c>
      <c r="E9154" s="954" t="n">
        <v>0.001</v>
      </c>
      <c r="F9154" s="617" t="n">
        <v>82115</v>
      </c>
      <c r="G9154" s="615" t="n">
        <f aca="false">E9154*F9154</f>
        <v>82.115</v>
      </c>
      <c r="H9154" s="606"/>
    </row>
    <row r="9155" customFormat="false" ht="15" hidden="false" customHeight="false" outlineLevel="0" collapsed="false">
      <c r="A9155" s="571"/>
      <c r="B9155" s="500"/>
      <c r="C9155" s="860" t="s">
        <v>5819</v>
      </c>
      <c r="D9155" s="316" t="s">
        <v>4191</v>
      </c>
      <c r="E9155" s="954" t="n">
        <v>0.1</v>
      </c>
      <c r="F9155" s="883" t="n">
        <v>316.4</v>
      </c>
      <c r="G9155" s="615" t="n">
        <f aca="false">E9155*F9155</f>
        <v>31.64</v>
      </c>
      <c r="H9155" s="606"/>
    </row>
    <row r="9156" customFormat="false" ht="15" hidden="false" customHeight="false" outlineLevel="0" collapsed="false">
      <c r="A9156" s="571"/>
      <c r="B9156" s="500"/>
      <c r="C9156" s="860" t="s">
        <v>5826</v>
      </c>
      <c r="D9156" s="316" t="s">
        <v>4191</v>
      </c>
      <c r="E9156" s="954" t="n">
        <v>0.01</v>
      </c>
      <c r="F9156" s="617" t="n">
        <v>366.25</v>
      </c>
      <c r="G9156" s="615" t="n">
        <f aca="false">E9156*F9156</f>
        <v>3.6625</v>
      </c>
      <c r="H9156" s="606"/>
    </row>
    <row r="9157" customFormat="false" ht="15" hidden="false" customHeight="false" outlineLevel="0" collapsed="false">
      <c r="A9157" s="571"/>
      <c r="B9157" s="328"/>
      <c r="C9157" s="860" t="s">
        <v>5820</v>
      </c>
      <c r="D9157" s="316" t="s">
        <v>4191</v>
      </c>
      <c r="E9157" s="954" t="n">
        <v>0.01</v>
      </c>
      <c r="F9157" s="617" t="n">
        <v>650</v>
      </c>
      <c r="G9157" s="615" t="n">
        <f aca="false">E9157*F9157</f>
        <v>6.5</v>
      </c>
      <c r="H9157" s="606"/>
    </row>
    <row r="9158" customFormat="false" ht="15" hidden="false" customHeight="false" outlineLevel="0" collapsed="false">
      <c r="A9158" s="571"/>
      <c r="B9158" s="500"/>
      <c r="C9158" s="860" t="s">
        <v>4515</v>
      </c>
      <c r="D9158" s="316" t="s">
        <v>4149</v>
      </c>
      <c r="E9158" s="954" t="n">
        <v>0.05</v>
      </c>
      <c r="F9158" s="681" t="n">
        <v>350</v>
      </c>
      <c r="G9158" s="615" t="n">
        <f aca="false">E9158*F9158</f>
        <v>17.5</v>
      </c>
      <c r="H9158" s="606"/>
    </row>
    <row r="9159" customFormat="false" ht="15" hidden="false" customHeight="false" outlineLevel="0" collapsed="false">
      <c r="A9159" s="571"/>
      <c r="B9159" s="500"/>
      <c r="C9159" s="860" t="s">
        <v>5816</v>
      </c>
      <c r="D9159" s="316" t="s">
        <v>4191</v>
      </c>
      <c r="E9159" s="954" t="n">
        <v>0.002</v>
      </c>
      <c r="F9159" s="681" t="n">
        <v>144704</v>
      </c>
      <c r="G9159" s="615" t="n">
        <f aca="false">E9159*F9159</f>
        <v>289.408</v>
      </c>
      <c r="H9159" s="606"/>
    </row>
    <row r="9160" customFormat="false" ht="15" hidden="false" customHeight="false" outlineLevel="0" collapsed="false">
      <c r="A9160" s="571"/>
      <c r="B9160" s="500"/>
      <c r="C9160" s="860" t="s">
        <v>4776</v>
      </c>
      <c r="D9160" s="316" t="s">
        <v>4359</v>
      </c>
      <c r="E9160" s="954" t="n">
        <v>0.038</v>
      </c>
      <c r="F9160" s="617" t="n">
        <v>800</v>
      </c>
      <c r="G9160" s="615" t="n">
        <f aca="false">E9160*F9160</f>
        <v>30.4</v>
      </c>
      <c r="H9160" s="606"/>
    </row>
    <row r="9161" customFormat="false" ht="15" hidden="false" customHeight="false" outlineLevel="0" collapsed="false">
      <c r="A9161" s="957"/>
      <c r="B9161" s="608" t="s">
        <v>4128</v>
      </c>
      <c r="C9161" s="718"/>
      <c r="D9161" s="610"/>
      <c r="E9161" s="962"/>
      <c r="F9161" s="808"/>
      <c r="G9161" s="613" t="n">
        <f aca="false">SUM(G9151:G9160)</f>
        <v>890.6075</v>
      </c>
      <c r="H9161" s="606"/>
    </row>
    <row r="9162" customFormat="false" ht="15" hidden="false" customHeight="false" outlineLevel="0" collapsed="false">
      <c r="A9162" s="571" t="s">
        <v>1818</v>
      </c>
      <c r="B9162" s="433" t="s">
        <v>3646</v>
      </c>
      <c r="C9162" s="860" t="s">
        <v>5818</v>
      </c>
      <c r="D9162" s="316" t="s">
        <v>4149</v>
      </c>
      <c r="E9162" s="954" t="n">
        <v>0.003</v>
      </c>
      <c r="F9162" s="617" t="n">
        <v>67687</v>
      </c>
      <c r="G9162" s="615" t="n">
        <f aca="false">E9162*F9162</f>
        <v>203.061</v>
      </c>
      <c r="H9162" s="606"/>
    </row>
    <row r="9163" customFormat="false" ht="15" hidden="false" customHeight="false" outlineLevel="0" collapsed="false">
      <c r="A9163" s="571"/>
      <c r="B9163" s="500"/>
      <c r="C9163" s="860" t="s">
        <v>5821</v>
      </c>
      <c r="D9163" s="316" t="s">
        <v>4149</v>
      </c>
      <c r="E9163" s="954" t="n">
        <v>0.003</v>
      </c>
      <c r="F9163" s="617" t="n">
        <v>45738</v>
      </c>
      <c r="G9163" s="615" t="n">
        <f aca="false">E9163*F9163</f>
        <v>137.214</v>
      </c>
      <c r="H9163" s="606"/>
    </row>
    <row r="9164" customFormat="false" ht="15" hidden="false" customHeight="false" outlineLevel="0" collapsed="false">
      <c r="A9164" s="571"/>
      <c r="B9164" s="500"/>
      <c r="C9164" s="860" t="s">
        <v>5822</v>
      </c>
      <c r="D9164" s="316" t="s">
        <v>4149</v>
      </c>
      <c r="E9164" s="954" t="n">
        <v>0.003</v>
      </c>
      <c r="F9164" s="617" t="n">
        <v>145939</v>
      </c>
      <c r="G9164" s="615" t="n">
        <f aca="false">E9164*F9164</f>
        <v>437.817</v>
      </c>
      <c r="H9164" s="606"/>
    </row>
    <row r="9165" customFormat="false" ht="15" hidden="false" customHeight="false" outlineLevel="0" collapsed="false">
      <c r="A9165" s="571"/>
      <c r="B9165" s="608"/>
      <c r="C9165" s="21" t="s">
        <v>5823</v>
      </c>
      <c r="D9165" s="316" t="s">
        <v>4149</v>
      </c>
      <c r="E9165" s="954" t="n">
        <v>0.005</v>
      </c>
      <c r="F9165" s="617" t="n">
        <v>69797</v>
      </c>
      <c r="G9165" s="615" t="n">
        <f aca="false">E9165*F9165</f>
        <v>348.985</v>
      </c>
      <c r="H9165" s="391"/>
    </row>
    <row r="9166" customFormat="false" ht="15" hidden="false" customHeight="false" outlineLevel="0" collapsed="false">
      <c r="A9166" s="571"/>
      <c r="B9166" s="328"/>
      <c r="C9166" s="860" t="s">
        <v>5824</v>
      </c>
      <c r="D9166" s="316" t="s">
        <v>4359</v>
      </c>
      <c r="E9166" s="954" t="n">
        <v>0.005</v>
      </c>
      <c r="F9166" s="617" t="n">
        <v>82115</v>
      </c>
      <c r="G9166" s="615" t="n">
        <f aca="false">E9166*F9166</f>
        <v>410.575</v>
      </c>
      <c r="H9166" s="606"/>
    </row>
    <row r="9167" customFormat="false" ht="15" hidden="false" customHeight="false" outlineLevel="0" collapsed="false">
      <c r="A9167" s="571"/>
      <c r="B9167" s="500"/>
      <c r="C9167" s="860" t="s">
        <v>5825</v>
      </c>
      <c r="D9167" s="316" t="s">
        <v>4191</v>
      </c>
      <c r="E9167" s="954" t="n">
        <v>0.005</v>
      </c>
      <c r="F9167" s="883" t="n">
        <v>8468</v>
      </c>
      <c r="G9167" s="615" t="n">
        <f aca="false">E9167*F9167</f>
        <v>42.34</v>
      </c>
      <c r="H9167" s="606"/>
    </row>
    <row r="9168" customFormat="false" ht="15" hidden="false" customHeight="false" outlineLevel="0" collapsed="false">
      <c r="A9168" s="571"/>
      <c r="B9168" s="500"/>
      <c r="C9168" s="860" t="s">
        <v>5819</v>
      </c>
      <c r="D9168" s="316" t="s">
        <v>4191</v>
      </c>
      <c r="E9168" s="954" t="n">
        <v>0.01</v>
      </c>
      <c r="F9168" s="883" t="n">
        <v>316.4</v>
      </c>
      <c r="G9168" s="615" t="n">
        <f aca="false">E9168*F9168</f>
        <v>3.164</v>
      </c>
      <c r="H9168" s="606"/>
    </row>
    <row r="9169" customFormat="false" ht="15" hidden="false" customHeight="false" outlineLevel="0" collapsed="false">
      <c r="A9169" s="571"/>
      <c r="B9169" s="500"/>
      <c r="C9169" s="860" t="s">
        <v>5826</v>
      </c>
      <c r="D9169" s="316" t="s">
        <v>4191</v>
      </c>
      <c r="E9169" s="954" t="n">
        <v>0.01</v>
      </c>
      <c r="F9169" s="617" t="n">
        <v>366.25</v>
      </c>
      <c r="G9169" s="615" t="n">
        <f aca="false">E9169*F9169</f>
        <v>3.6625</v>
      </c>
      <c r="H9169" s="606"/>
    </row>
    <row r="9170" customFormat="false" ht="15" hidden="false" customHeight="false" outlineLevel="0" collapsed="false">
      <c r="A9170" s="571"/>
      <c r="B9170" s="608"/>
      <c r="C9170" s="860" t="s">
        <v>5820</v>
      </c>
      <c r="D9170" s="316" t="s">
        <v>4191</v>
      </c>
      <c r="E9170" s="954" t="n">
        <v>0.01</v>
      </c>
      <c r="F9170" s="617" t="n">
        <v>650</v>
      </c>
      <c r="G9170" s="615" t="n">
        <f aca="false">E9170*F9170</f>
        <v>6.5</v>
      </c>
      <c r="H9170" s="391"/>
    </row>
    <row r="9171" customFormat="false" ht="15" hidden="false" customHeight="false" outlineLevel="0" collapsed="false">
      <c r="A9171" s="571"/>
      <c r="B9171" s="328"/>
      <c r="C9171" s="860" t="s">
        <v>4776</v>
      </c>
      <c r="D9171" s="316" t="s">
        <v>4359</v>
      </c>
      <c r="E9171" s="954" t="n">
        <v>0.1</v>
      </c>
      <c r="F9171" s="617" t="n">
        <v>800</v>
      </c>
      <c r="G9171" s="615" t="n">
        <f aca="false">E9171*F9171</f>
        <v>80</v>
      </c>
      <c r="H9171" s="606"/>
    </row>
    <row r="9172" customFormat="false" ht="15" hidden="false" customHeight="false" outlineLevel="0" collapsed="false">
      <c r="A9172" s="571"/>
      <c r="B9172" s="500"/>
      <c r="C9172" s="860" t="s">
        <v>5827</v>
      </c>
      <c r="D9172" s="316" t="s">
        <v>4348</v>
      </c>
      <c r="E9172" s="954" t="n">
        <v>1</v>
      </c>
      <c r="F9172" s="617" t="n">
        <v>370</v>
      </c>
      <c r="G9172" s="615" t="n">
        <f aca="false">E9172*F9172</f>
        <v>370</v>
      </c>
      <c r="H9172" s="606"/>
    </row>
    <row r="9173" customFormat="false" ht="15" hidden="false" customHeight="false" outlineLevel="0" collapsed="false">
      <c r="A9173" s="571"/>
      <c r="B9173" s="500"/>
      <c r="C9173" s="860" t="s">
        <v>5851</v>
      </c>
      <c r="D9173" s="316" t="s">
        <v>4348</v>
      </c>
      <c r="E9173" s="954" t="n">
        <v>0.01</v>
      </c>
      <c r="F9173" s="617" t="n">
        <v>19488</v>
      </c>
      <c r="G9173" s="615" t="n">
        <f aca="false">E9173*F9173</f>
        <v>194.88</v>
      </c>
      <c r="H9173" s="606"/>
    </row>
    <row r="9174" customFormat="false" ht="15" hidden="false" customHeight="false" outlineLevel="0" collapsed="false">
      <c r="A9174" s="571"/>
      <c r="B9174" s="608" t="s">
        <v>4128</v>
      </c>
      <c r="C9174" s="718"/>
      <c r="D9174" s="610"/>
      <c r="E9174" s="610"/>
      <c r="F9174" s="612"/>
      <c r="G9174" s="613" t="n">
        <f aca="false">SUM(G9162:G9173)</f>
        <v>2238.1985</v>
      </c>
      <c r="H9174" s="610"/>
    </row>
    <row r="9175" customFormat="false" ht="30" hidden="false" customHeight="false" outlineLevel="0" collapsed="false">
      <c r="A9175" s="571" t="s">
        <v>1820</v>
      </c>
      <c r="B9175" s="433" t="s">
        <v>3647</v>
      </c>
      <c r="C9175" s="860" t="s">
        <v>5818</v>
      </c>
      <c r="D9175" s="316" t="s">
        <v>4133</v>
      </c>
      <c r="E9175" s="954" t="n">
        <v>0.0045</v>
      </c>
      <c r="F9175" s="617" t="n">
        <v>67687</v>
      </c>
      <c r="G9175" s="615" t="n">
        <f aca="false">E9175*F9175</f>
        <v>304.5915</v>
      </c>
      <c r="H9175" s="606"/>
    </row>
    <row r="9176" customFormat="false" ht="15" hidden="false" customHeight="false" outlineLevel="0" collapsed="false">
      <c r="A9176" s="571"/>
      <c r="B9176" s="608"/>
      <c r="C9176" s="860" t="s">
        <v>5821</v>
      </c>
      <c r="D9176" s="316" t="s">
        <v>4133</v>
      </c>
      <c r="E9176" s="664" t="n">
        <v>0.005</v>
      </c>
      <c r="F9176" s="617" t="n">
        <v>45738</v>
      </c>
      <c r="G9176" s="615" t="n">
        <f aca="false">E9176*F9176</f>
        <v>228.69</v>
      </c>
      <c r="H9176" s="391"/>
    </row>
    <row r="9177" customFormat="false" ht="15" hidden="false" customHeight="false" outlineLevel="0" collapsed="false">
      <c r="A9177" s="571"/>
      <c r="B9177" s="328"/>
      <c r="C9177" s="860" t="s">
        <v>5822</v>
      </c>
      <c r="D9177" s="316" t="s">
        <v>4133</v>
      </c>
      <c r="E9177" s="664" t="n">
        <v>0.0005</v>
      </c>
      <c r="F9177" s="617" t="n">
        <v>145939</v>
      </c>
      <c r="G9177" s="615" t="n">
        <f aca="false">E9177*F9177</f>
        <v>72.9695</v>
      </c>
      <c r="H9177" s="606"/>
    </row>
    <row r="9178" customFormat="false" ht="15" hidden="false" customHeight="false" outlineLevel="0" collapsed="false">
      <c r="A9178" s="571"/>
      <c r="B9178" s="500"/>
      <c r="C9178" s="21" t="s">
        <v>5823</v>
      </c>
      <c r="D9178" s="316" t="s">
        <v>4133</v>
      </c>
      <c r="E9178" s="661" t="n">
        <v>0.0005</v>
      </c>
      <c r="F9178" s="617" t="n">
        <v>69797</v>
      </c>
      <c r="G9178" s="615" t="n">
        <f aca="false">E9178*F9178</f>
        <v>34.8985</v>
      </c>
      <c r="H9178" s="606"/>
    </row>
    <row r="9179" customFormat="false" ht="15" hidden="false" customHeight="false" outlineLevel="0" collapsed="false">
      <c r="A9179" s="571"/>
      <c r="B9179" s="500"/>
      <c r="C9179" s="860" t="s">
        <v>5824</v>
      </c>
      <c r="D9179" s="316" t="s">
        <v>4528</v>
      </c>
      <c r="E9179" s="954" t="n">
        <v>0.001</v>
      </c>
      <c r="F9179" s="617" t="n">
        <v>82115</v>
      </c>
      <c r="G9179" s="615" t="n">
        <f aca="false">E9179*F9179</f>
        <v>82.115</v>
      </c>
      <c r="H9179" s="606"/>
    </row>
    <row r="9180" customFormat="false" ht="15" hidden="false" customHeight="false" outlineLevel="0" collapsed="false">
      <c r="A9180" s="571"/>
      <c r="B9180" s="500"/>
      <c r="C9180" s="860" t="s">
        <v>5825</v>
      </c>
      <c r="D9180" s="316" t="s">
        <v>4191</v>
      </c>
      <c r="E9180" s="954" t="n">
        <v>0.01</v>
      </c>
      <c r="F9180" s="883" t="n">
        <v>8468</v>
      </c>
      <c r="G9180" s="615" t="n">
        <f aca="false">E9180*F9180</f>
        <v>84.68</v>
      </c>
      <c r="H9180" s="606"/>
    </row>
    <row r="9181" customFormat="false" ht="15" hidden="false" customHeight="false" outlineLevel="0" collapsed="false">
      <c r="A9181" s="571"/>
      <c r="B9181" s="500"/>
      <c r="C9181" s="860" t="s">
        <v>5819</v>
      </c>
      <c r="D9181" s="316" t="s">
        <v>4191</v>
      </c>
      <c r="E9181" s="954" t="n">
        <v>0.01</v>
      </c>
      <c r="F9181" s="883" t="n">
        <v>316.4</v>
      </c>
      <c r="G9181" s="615" t="n">
        <f aca="false">E9181*F9181</f>
        <v>3.164</v>
      </c>
      <c r="H9181" s="606"/>
    </row>
    <row r="9182" customFormat="false" ht="15" hidden="false" customHeight="false" outlineLevel="0" collapsed="false">
      <c r="A9182" s="571"/>
      <c r="B9182" s="608"/>
      <c r="C9182" s="860" t="s">
        <v>5826</v>
      </c>
      <c r="D9182" s="316" t="s">
        <v>4191</v>
      </c>
      <c r="E9182" s="954" t="n">
        <v>0.01</v>
      </c>
      <c r="F9182" s="617" t="n">
        <v>366.25</v>
      </c>
      <c r="G9182" s="615" t="n">
        <f aca="false">E9182*F9182</f>
        <v>3.6625</v>
      </c>
      <c r="H9182" s="391"/>
    </row>
    <row r="9183" customFormat="false" ht="15" hidden="false" customHeight="false" outlineLevel="0" collapsed="false">
      <c r="A9183" s="571"/>
      <c r="B9183" s="328"/>
      <c r="C9183" s="860" t="s">
        <v>5820</v>
      </c>
      <c r="D9183" s="316" t="s">
        <v>4191</v>
      </c>
      <c r="E9183" s="954" t="n">
        <v>0.01</v>
      </c>
      <c r="F9183" s="617" t="n">
        <v>650</v>
      </c>
      <c r="G9183" s="615" t="n">
        <f aca="false">E9183*F9183</f>
        <v>6.5</v>
      </c>
      <c r="H9183" s="606"/>
    </row>
    <row r="9184" customFormat="false" ht="15" hidden="false" customHeight="false" outlineLevel="0" collapsed="false">
      <c r="A9184" s="571"/>
      <c r="B9184" s="608"/>
      <c r="C9184" s="860" t="s">
        <v>5816</v>
      </c>
      <c r="D9184" s="316" t="s">
        <v>4191</v>
      </c>
      <c r="E9184" s="954" t="n">
        <v>0.005</v>
      </c>
      <c r="F9184" s="617" t="n">
        <v>144704</v>
      </c>
      <c r="G9184" s="615" t="n">
        <f aca="false">E9184*F9184</f>
        <v>723.52</v>
      </c>
      <c r="H9184" s="391"/>
    </row>
    <row r="9185" customFormat="false" ht="15" hidden="false" customHeight="false" outlineLevel="0" collapsed="false">
      <c r="A9185" s="571"/>
      <c r="B9185" s="328"/>
      <c r="C9185" s="860" t="s">
        <v>4776</v>
      </c>
      <c r="D9185" s="882" t="s">
        <v>4359</v>
      </c>
      <c r="E9185" s="954" t="n">
        <v>0.1</v>
      </c>
      <c r="F9185" s="617" t="n">
        <v>800</v>
      </c>
      <c r="G9185" s="615" t="n">
        <f aca="false">E9185*F9185</f>
        <v>80</v>
      </c>
      <c r="H9185" s="606"/>
    </row>
    <row r="9186" customFormat="false" ht="15" hidden="false" customHeight="false" outlineLevel="0" collapsed="false">
      <c r="A9186" s="571"/>
      <c r="B9186" s="500"/>
      <c r="C9186" s="860" t="s">
        <v>5827</v>
      </c>
      <c r="D9186" s="882" t="s">
        <v>4348</v>
      </c>
      <c r="E9186" s="954" t="n">
        <v>1</v>
      </c>
      <c r="F9186" s="617" t="n">
        <v>370</v>
      </c>
      <c r="G9186" s="615" t="n">
        <f aca="false">E9186*F9186</f>
        <v>370</v>
      </c>
      <c r="H9186" s="606"/>
    </row>
    <row r="9187" customFormat="false" ht="15" hidden="false" customHeight="false" outlineLevel="0" collapsed="false">
      <c r="A9187" s="571"/>
      <c r="B9187" s="608" t="s">
        <v>4128</v>
      </c>
      <c r="C9187" s="718"/>
      <c r="D9187" s="610"/>
      <c r="E9187" s="610"/>
      <c r="F9187" s="612"/>
      <c r="G9187" s="613" t="n">
        <f aca="false">SUM(G9175:G9186)</f>
        <v>1994.791</v>
      </c>
      <c r="H9187" s="391"/>
    </row>
    <row r="9188" customFormat="false" ht="30" hidden="false" customHeight="false" outlineLevel="0" collapsed="false">
      <c r="A9188" s="571" t="s">
        <v>1822</v>
      </c>
      <c r="B9188" s="433" t="s">
        <v>3648</v>
      </c>
      <c r="C9188" s="860" t="s">
        <v>5818</v>
      </c>
      <c r="D9188" s="316" t="s">
        <v>4133</v>
      </c>
      <c r="E9188" s="954" t="n">
        <v>0.01</v>
      </c>
      <c r="F9188" s="617" t="n">
        <v>67687</v>
      </c>
      <c r="G9188" s="615" t="n">
        <f aca="false">E9188*F9188</f>
        <v>676.87</v>
      </c>
      <c r="H9188" s="606"/>
    </row>
    <row r="9189" customFormat="false" ht="15" hidden="false" customHeight="false" outlineLevel="0" collapsed="false">
      <c r="A9189" s="571"/>
      <c r="B9189" s="500"/>
      <c r="C9189" s="860" t="s">
        <v>5821</v>
      </c>
      <c r="D9189" s="316" t="s">
        <v>4133</v>
      </c>
      <c r="E9189" s="664" t="n">
        <v>0.01</v>
      </c>
      <c r="F9189" s="617" t="n">
        <v>45738</v>
      </c>
      <c r="G9189" s="615" t="n">
        <f aca="false">E9189*F9189</f>
        <v>457.38</v>
      </c>
      <c r="H9189" s="606"/>
    </row>
    <row r="9190" customFormat="false" ht="15" hidden="false" customHeight="false" outlineLevel="0" collapsed="false">
      <c r="A9190" s="571"/>
      <c r="B9190" s="608"/>
      <c r="C9190" s="860" t="s">
        <v>5822</v>
      </c>
      <c r="D9190" s="316" t="s">
        <v>4133</v>
      </c>
      <c r="E9190" s="664" t="n">
        <v>0.003</v>
      </c>
      <c r="F9190" s="617" t="n">
        <v>145939</v>
      </c>
      <c r="G9190" s="615" t="n">
        <f aca="false">E9190*F9190</f>
        <v>437.817</v>
      </c>
      <c r="H9190" s="391"/>
    </row>
    <row r="9191" customFormat="false" ht="15" hidden="false" customHeight="false" outlineLevel="0" collapsed="false">
      <c r="A9191" s="571"/>
      <c r="B9191" s="328"/>
      <c r="C9191" s="21" t="s">
        <v>5823</v>
      </c>
      <c r="D9191" s="316" t="s">
        <v>4133</v>
      </c>
      <c r="E9191" s="954" t="n">
        <v>0.01</v>
      </c>
      <c r="F9191" s="617" t="n">
        <v>39797</v>
      </c>
      <c r="G9191" s="615" t="n">
        <f aca="false">E9191*F9191</f>
        <v>397.97</v>
      </c>
      <c r="H9191" s="606"/>
    </row>
    <row r="9192" customFormat="false" ht="15" hidden="false" customHeight="false" outlineLevel="0" collapsed="false">
      <c r="A9192" s="571"/>
      <c r="B9192" s="500"/>
      <c r="C9192" s="860" t="s">
        <v>5824</v>
      </c>
      <c r="D9192" s="316" t="s">
        <v>4528</v>
      </c>
      <c r="E9192" s="954" t="n">
        <v>0.001</v>
      </c>
      <c r="F9192" s="617" t="n">
        <v>82115</v>
      </c>
      <c r="G9192" s="615" t="n">
        <f aca="false">E9192*F9192</f>
        <v>82.115</v>
      </c>
      <c r="H9192" s="606"/>
    </row>
    <row r="9193" customFormat="false" ht="15" hidden="false" customHeight="false" outlineLevel="0" collapsed="false">
      <c r="A9193" s="571"/>
      <c r="B9193" s="500"/>
      <c r="C9193" s="860" t="s">
        <v>5825</v>
      </c>
      <c r="D9193" s="316" t="s">
        <v>4191</v>
      </c>
      <c r="E9193" s="954" t="n">
        <v>0.01</v>
      </c>
      <c r="F9193" s="883" t="n">
        <v>8468</v>
      </c>
      <c r="G9193" s="615" t="n">
        <f aca="false">E9193*F9193</f>
        <v>84.68</v>
      </c>
      <c r="H9193" s="606"/>
    </row>
    <row r="9194" customFormat="false" ht="15" hidden="false" customHeight="false" outlineLevel="0" collapsed="false">
      <c r="A9194" s="571"/>
      <c r="B9194" s="500"/>
      <c r="C9194" s="860" t="s">
        <v>5819</v>
      </c>
      <c r="D9194" s="316" t="s">
        <v>4191</v>
      </c>
      <c r="E9194" s="954" t="n">
        <v>0.01</v>
      </c>
      <c r="F9194" s="883" t="n">
        <v>316.4</v>
      </c>
      <c r="G9194" s="615" t="n">
        <f aca="false">E9194*F9194</f>
        <v>3.164</v>
      </c>
      <c r="H9194" s="606"/>
    </row>
    <row r="9195" customFormat="false" ht="15" hidden="false" customHeight="false" outlineLevel="0" collapsed="false">
      <c r="A9195" s="571"/>
      <c r="B9195" s="608"/>
      <c r="C9195" s="860" t="s">
        <v>5826</v>
      </c>
      <c r="D9195" s="316" t="s">
        <v>4191</v>
      </c>
      <c r="E9195" s="954" t="n">
        <v>0.01</v>
      </c>
      <c r="F9195" s="617" t="n">
        <v>366.25</v>
      </c>
      <c r="G9195" s="615" t="n">
        <f aca="false">E9195*F9195</f>
        <v>3.6625</v>
      </c>
      <c r="H9195" s="391"/>
    </row>
    <row r="9196" customFormat="false" ht="15" hidden="false" customHeight="false" outlineLevel="0" collapsed="false">
      <c r="A9196" s="571"/>
      <c r="B9196" s="500"/>
      <c r="C9196" s="860" t="s">
        <v>5820</v>
      </c>
      <c r="D9196" s="316" t="s">
        <v>4191</v>
      </c>
      <c r="E9196" s="954" t="n">
        <v>0.01</v>
      </c>
      <c r="F9196" s="617" t="n">
        <v>650</v>
      </c>
      <c r="G9196" s="615" t="n">
        <f aca="false">E9196*F9196</f>
        <v>6.5</v>
      </c>
      <c r="H9196" s="606"/>
    </row>
    <row r="9197" customFormat="false" ht="15" hidden="false" customHeight="false" outlineLevel="0" collapsed="false">
      <c r="A9197" s="571"/>
      <c r="B9197" s="500"/>
      <c r="C9197" s="860" t="s">
        <v>4776</v>
      </c>
      <c r="D9197" s="606" t="s">
        <v>4359</v>
      </c>
      <c r="E9197" s="954" t="n">
        <v>0.1</v>
      </c>
      <c r="F9197" s="617" t="n">
        <v>800</v>
      </c>
      <c r="G9197" s="615" t="n">
        <f aca="false">E9197*F9197</f>
        <v>80</v>
      </c>
      <c r="H9197" s="606"/>
    </row>
    <row r="9198" customFormat="false" ht="15" hidden="false" customHeight="false" outlineLevel="0" collapsed="false">
      <c r="A9198" s="571"/>
      <c r="B9198" s="608" t="s">
        <v>4128</v>
      </c>
      <c r="C9198" s="860"/>
      <c r="D9198" s="316"/>
      <c r="E9198" s="954"/>
      <c r="F9198" s="617"/>
      <c r="G9198" s="613" t="n">
        <f aca="false">SUM(G9188:G9197)</f>
        <v>2230.1585</v>
      </c>
      <c r="H9198" s="606"/>
    </row>
    <row r="9199" customFormat="false" ht="45" hidden="false" customHeight="false" outlineLevel="0" collapsed="false">
      <c r="A9199" s="571" t="s">
        <v>1824</v>
      </c>
      <c r="B9199" s="433" t="s">
        <v>3649</v>
      </c>
      <c r="C9199" s="860" t="s">
        <v>5818</v>
      </c>
      <c r="D9199" s="316" t="s">
        <v>4133</v>
      </c>
      <c r="E9199" s="954" t="n">
        <v>0.01</v>
      </c>
      <c r="F9199" s="617" t="n">
        <v>67687</v>
      </c>
      <c r="G9199" s="615" t="n">
        <f aca="false">E9199*F9199</f>
        <v>676.87</v>
      </c>
      <c r="H9199" s="606"/>
    </row>
    <row r="9200" customFormat="false" ht="15" hidden="false" customHeight="false" outlineLevel="0" collapsed="false">
      <c r="A9200" s="571"/>
      <c r="B9200" s="500"/>
      <c r="C9200" s="860" t="s">
        <v>5821</v>
      </c>
      <c r="D9200" s="316" t="s">
        <v>4133</v>
      </c>
      <c r="E9200" s="664" t="n">
        <v>0.005</v>
      </c>
      <c r="F9200" s="617" t="n">
        <v>45738</v>
      </c>
      <c r="G9200" s="615" t="n">
        <f aca="false">E9200*F9200</f>
        <v>228.69</v>
      </c>
      <c r="H9200" s="606"/>
    </row>
    <row r="9201" customFormat="false" ht="15" hidden="false" customHeight="false" outlineLevel="0" collapsed="false">
      <c r="A9201" s="571"/>
      <c r="B9201" s="500"/>
      <c r="C9201" s="860" t="s">
        <v>5822</v>
      </c>
      <c r="D9201" s="316" t="s">
        <v>4133</v>
      </c>
      <c r="E9201" s="664" t="n">
        <v>0.003</v>
      </c>
      <c r="F9201" s="617" t="n">
        <v>145939</v>
      </c>
      <c r="G9201" s="615" t="n">
        <f aca="false">E9201*F9201</f>
        <v>437.817</v>
      </c>
      <c r="H9201" s="606"/>
    </row>
    <row r="9202" customFormat="false" ht="15" hidden="false" customHeight="false" outlineLevel="0" collapsed="false">
      <c r="A9202" s="571"/>
      <c r="B9202" s="608"/>
      <c r="C9202" s="21" t="s">
        <v>5823</v>
      </c>
      <c r="D9202" s="316" t="s">
        <v>4133</v>
      </c>
      <c r="E9202" s="664" t="n">
        <v>0.005</v>
      </c>
      <c r="F9202" s="617" t="n">
        <v>69797</v>
      </c>
      <c r="G9202" s="615" t="n">
        <f aca="false">E9202*F9202</f>
        <v>348.985</v>
      </c>
      <c r="H9202" s="391"/>
    </row>
    <row r="9203" customFormat="false" ht="15" hidden="false" customHeight="false" outlineLevel="0" collapsed="false">
      <c r="A9203" s="571"/>
      <c r="B9203" s="963"/>
      <c r="C9203" s="860" t="s">
        <v>5824</v>
      </c>
      <c r="D9203" s="316" t="s">
        <v>4528</v>
      </c>
      <c r="E9203" s="664" t="n">
        <v>0.001</v>
      </c>
      <c r="F9203" s="617" t="n">
        <v>82115</v>
      </c>
      <c r="G9203" s="615" t="n">
        <f aca="false">E9203*F9203</f>
        <v>82.115</v>
      </c>
      <c r="H9203" s="391"/>
    </row>
    <row r="9204" customFormat="false" ht="15" hidden="false" customHeight="false" outlineLevel="0" collapsed="false">
      <c r="A9204" s="571"/>
      <c r="B9204" s="963"/>
      <c r="C9204" s="860" t="s">
        <v>5825</v>
      </c>
      <c r="D9204" s="316" t="s">
        <v>4191</v>
      </c>
      <c r="E9204" s="954" t="n">
        <v>0.01</v>
      </c>
      <c r="F9204" s="883" t="n">
        <v>8468</v>
      </c>
      <c r="G9204" s="615" t="n">
        <f aca="false">E9204*F9204</f>
        <v>84.68</v>
      </c>
      <c r="H9204" s="391"/>
    </row>
    <row r="9205" customFormat="false" ht="15" hidden="false" customHeight="false" outlineLevel="0" collapsed="false">
      <c r="A9205" s="571"/>
      <c r="B9205" s="328"/>
      <c r="C9205" s="860" t="s">
        <v>5819</v>
      </c>
      <c r="D9205" s="316" t="s">
        <v>4191</v>
      </c>
      <c r="E9205" s="954" t="n">
        <v>0.01</v>
      </c>
      <c r="F9205" s="883" t="n">
        <v>316.4</v>
      </c>
      <c r="G9205" s="615" t="n">
        <f aca="false">E9205*F9205</f>
        <v>3.164</v>
      </c>
      <c r="H9205" s="606"/>
    </row>
    <row r="9206" customFormat="false" ht="15" hidden="false" customHeight="false" outlineLevel="0" collapsed="false">
      <c r="A9206" s="571"/>
      <c r="B9206" s="500"/>
      <c r="C9206" s="860" t="s">
        <v>5826</v>
      </c>
      <c r="D9206" s="316" t="s">
        <v>4191</v>
      </c>
      <c r="E9206" s="954" t="n">
        <v>0.01</v>
      </c>
      <c r="F9206" s="617" t="n">
        <v>366.25</v>
      </c>
      <c r="G9206" s="615" t="n">
        <f aca="false">E9206*F9206</f>
        <v>3.6625</v>
      </c>
      <c r="H9206" s="606"/>
    </row>
    <row r="9207" customFormat="false" ht="15" hidden="false" customHeight="false" outlineLevel="0" collapsed="false">
      <c r="A9207" s="571"/>
      <c r="B9207" s="500"/>
      <c r="C9207" s="860" t="s">
        <v>5820</v>
      </c>
      <c r="D9207" s="316" t="s">
        <v>4191</v>
      </c>
      <c r="E9207" s="954" t="n">
        <v>0.01</v>
      </c>
      <c r="F9207" s="617" t="n">
        <v>650</v>
      </c>
      <c r="G9207" s="615" t="n">
        <f aca="false">E9207*F9207</f>
        <v>6.5</v>
      </c>
      <c r="H9207" s="606"/>
    </row>
    <row r="9208" customFormat="false" ht="15" hidden="false" customHeight="false" outlineLevel="0" collapsed="false">
      <c r="A9208" s="571"/>
      <c r="B9208" s="608"/>
      <c r="C9208" s="860" t="s">
        <v>5816</v>
      </c>
      <c r="D9208" s="316" t="s">
        <v>4191</v>
      </c>
      <c r="E9208" s="954" t="n">
        <v>0.001</v>
      </c>
      <c r="F9208" s="681" t="n">
        <v>144704</v>
      </c>
      <c r="G9208" s="615" t="n">
        <f aca="false">E9208*F9208</f>
        <v>144.704</v>
      </c>
      <c r="H9208" s="391"/>
    </row>
    <row r="9209" customFormat="false" ht="15" hidden="false" customHeight="false" outlineLevel="0" collapsed="false">
      <c r="A9209" s="571"/>
      <c r="B9209" s="328"/>
      <c r="C9209" s="860" t="s">
        <v>4776</v>
      </c>
      <c r="D9209" s="316" t="s">
        <v>4359</v>
      </c>
      <c r="E9209" s="954" t="n">
        <v>0.1</v>
      </c>
      <c r="F9209" s="617" t="n">
        <v>800</v>
      </c>
      <c r="G9209" s="615" t="n">
        <f aca="false">E9209*F9209</f>
        <v>80</v>
      </c>
      <c r="H9209" s="606"/>
    </row>
    <row r="9210" customFormat="false" ht="15" hidden="false" customHeight="false" outlineLevel="0" collapsed="false">
      <c r="A9210" s="571"/>
      <c r="B9210" s="608" t="s">
        <v>4128</v>
      </c>
      <c r="C9210" s="718"/>
      <c r="D9210" s="610"/>
      <c r="E9210" s="610"/>
      <c r="F9210" s="612"/>
      <c r="G9210" s="613" t="n">
        <f aca="false">SUM(G9199:G9209)</f>
        <v>2097.1875</v>
      </c>
      <c r="H9210" s="610"/>
    </row>
    <row r="9211" customFormat="false" ht="15" hidden="false" customHeight="false" outlineLevel="0" collapsed="false">
      <c r="A9211" s="350" t="s">
        <v>1826</v>
      </c>
      <c r="B9211" s="509" t="s">
        <v>3626</v>
      </c>
      <c r="C9211" s="811"/>
      <c r="D9211" s="790"/>
      <c r="E9211" s="790"/>
      <c r="F9211" s="519"/>
      <c r="G9211" s="753"/>
      <c r="H9211" s="790"/>
    </row>
    <row r="9212" customFormat="false" ht="45" hidden="false" customHeight="false" outlineLevel="0" collapsed="false">
      <c r="A9212" s="571" t="s">
        <v>1827</v>
      </c>
      <c r="B9212" s="433" t="s">
        <v>3650</v>
      </c>
      <c r="C9212" s="860" t="s">
        <v>5818</v>
      </c>
      <c r="D9212" s="316" t="s">
        <v>4133</v>
      </c>
      <c r="E9212" s="664" t="n">
        <v>0.01</v>
      </c>
      <c r="F9212" s="617" t="n">
        <v>67687</v>
      </c>
      <c r="G9212" s="615" t="n">
        <f aca="false">E9212*F9212</f>
        <v>676.87</v>
      </c>
      <c r="H9212" s="391"/>
    </row>
    <row r="9213" customFormat="false" ht="15" hidden="false" customHeight="false" outlineLevel="0" collapsed="false">
      <c r="A9213" s="571"/>
      <c r="B9213" s="328"/>
      <c r="C9213" s="860" t="s">
        <v>5819</v>
      </c>
      <c r="D9213" s="316" t="s">
        <v>4191</v>
      </c>
      <c r="E9213" s="954" t="n">
        <v>0.01</v>
      </c>
      <c r="F9213" s="617" t="n">
        <v>316.4</v>
      </c>
      <c r="G9213" s="615" t="n">
        <f aca="false">E9213*F9213</f>
        <v>3.164</v>
      </c>
      <c r="H9213" s="606"/>
    </row>
    <row r="9214" customFormat="false" ht="15" hidden="false" customHeight="false" outlineLevel="0" collapsed="false">
      <c r="A9214" s="571"/>
      <c r="B9214" s="500"/>
      <c r="C9214" s="860" t="s">
        <v>5826</v>
      </c>
      <c r="D9214" s="316" t="s">
        <v>4191</v>
      </c>
      <c r="E9214" s="954" t="n">
        <v>0.01</v>
      </c>
      <c r="F9214" s="617" t="n">
        <v>366.25</v>
      </c>
      <c r="G9214" s="615" t="n">
        <f aca="false">E9214*F9214</f>
        <v>3.6625</v>
      </c>
      <c r="H9214" s="606"/>
    </row>
    <row r="9215" customFormat="false" ht="15" hidden="false" customHeight="false" outlineLevel="0" collapsed="false">
      <c r="A9215" s="571"/>
      <c r="B9215" s="500"/>
      <c r="C9215" s="860" t="s">
        <v>5820</v>
      </c>
      <c r="D9215" s="316" t="s">
        <v>4191</v>
      </c>
      <c r="E9215" s="954" t="n">
        <v>0.01</v>
      </c>
      <c r="F9215" s="617" t="n">
        <v>650</v>
      </c>
      <c r="G9215" s="615" t="n">
        <f aca="false">E9215*F9215</f>
        <v>6.5</v>
      </c>
      <c r="H9215" s="606"/>
    </row>
    <row r="9216" customFormat="false" ht="15" hidden="false" customHeight="false" outlineLevel="0" collapsed="false">
      <c r="A9216" s="571"/>
      <c r="B9216" s="608"/>
      <c r="C9216" s="860" t="s">
        <v>5859</v>
      </c>
      <c r="D9216" s="316" t="s">
        <v>4359</v>
      </c>
      <c r="E9216" s="661" t="n">
        <v>0.01</v>
      </c>
      <c r="F9216" s="617" t="n">
        <v>1995</v>
      </c>
      <c r="G9216" s="615" t="n">
        <f aca="false">E9216*F9216</f>
        <v>19.95</v>
      </c>
      <c r="H9216" s="391"/>
    </row>
    <row r="9217" customFormat="false" ht="15" hidden="false" customHeight="false" outlineLevel="0" collapsed="false">
      <c r="A9217" s="571"/>
      <c r="B9217" s="328"/>
      <c r="C9217" s="860" t="s">
        <v>4515</v>
      </c>
      <c r="D9217" s="316" t="s">
        <v>4133</v>
      </c>
      <c r="E9217" s="954" t="n">
        <v>0.1</v>
      </c>
      <c r="F9217" s="681" t="n">
        <v>350</v>
      </c>
      <c r="G9217" s="615" t="n">
        <f aca="false">E9217*F9217</f>
        <v>35</v>
      </c>
      <c r="H9217" s="606"/>
    </row>
    <row r="9218" customFormat="false" ht="15" hidden="false" customHeight="false" outlineLevel="0" collapsed="false">
      <c r="A9218" s="571"/>
      <c r="B9218" s="500"/>
      <c r="C9218" s="860" t="s">
        <v>4776</v>
      </c>
      <c r="D9218" s="316" t="s">
        <v>4359</v>
      </c>
      <c r="E9218" s="954" t="n">
        <v>0.1</v>
      </c>
      <c r="F9218" s="617" t="n">
        <v>800</v>
      </c>
      <c r="G9218" s="615" t="n">
        <f aca="false">E9218*F9218</f>
        <v>80</v>
      </c>
      <c r="H9218" s="606"/>
    </row>
    <row r="9219" customFormat="false" ht="15" hidden="false" customHeight="false" outlineLevel="0" collapsed="false">
      <c r="A9219" s="571"/>
      <c r="B9219" s="608" t="s">
        <v>4128</v>
      </c>
      <c r="C9219" s="964"/>
      <c r="D9219" s="965"/>
      <c r="E9219" s="966"/>
      <c r="F9219" s="967"/>
      <c r="G9219" s="613" t="n">
        <f aca="false">SUM(G9212:G9218)</f>
        <v>825.1465</v>
      </c>
      <c r="H9219" s="610"/>
    </row>
    <row r="9220" customFormat="false" ht="45" hidden="false" customHeight="false" outlineLevel="0" collapsed="false">
      <c r="A9220" s="571" t="s">
        <v>1829</v>
      </c>
      <c r="B9220" s="433" t="s">
        <v>3651</v>
      </c>
      <c r="C9220" s="860" t="s">
        <v>5818</v>
      </c>
      <c r="D9220" s="316" t="s">
        <v>4133</v>
      </c>
      <c r="E9220" s="958" t="n">
        <v>0.002</v>
      </c>
      <c r="F9220" s="617" t="n">
        <v>67687</v>
      </c>
      <c r="G9220" s="615" t="n">
        <f aca="false">E9220*F9220</f>
        <v>135.374</v>
      </c>
      <c r="H9220" s="606"/>
    </row>
    <row r="9221" customFormat="false" ht="15" hidden="false" customHeight="false" outlineLevel="0" collapsed="false">
      <c r="A9221" s="571"/>
      <c r="B9221" s="500"/>
      <c r="C9221" s="860" t="s">
        <v>5819</v>
      </c>
      <c r="D9221" s="316" t="s">
        <v>4191</v>
      </c>
      <c r="E9221" s="954" t="n">
        <v>0.01</v>
      </c>
      <c r="F9221" s="617" t="n">
        <v>316.4</v>
      </c>
      <c r="G9221" s="615" t="n">
        <f aca="false">E9221*F9221</f>
        <v>3.164</v>
      </c>
      <c r="H9221" s="606"/>
    </row>
    <row r="9222" customFormat="false" ht="15" hidden="false" customHeight="false" outlineLevel="0" collapsed="false">
      <c r="A9222" s="571"/>
      <c r="B9222" s="608"/>
      <c r="C9222" s="860" t="s">
        <v>5826</v>
      </c>
      <c r="D9222" s="316" t="s">
        <v>4191</v>
      </c>
      <c r="E9222" s="954" t="n">
        <v>0.01</v>
      </c>
      <c r="F9222" s="617" t="n">
        <v>366.25</v>
      </c>
      <c r="G9222" s="615" t="n">
        <f aca="false">E9222*F9222</f>
        <v>3.6625</v>
      </c>
      <c r="H9222" s="391"/>
    </row>
    <row r="9223" customFormat="false" ht="15" hidden="false" customHeight="false" outlineLevel="0" collapsed="false">
      <c r="A9223" s="571"/>
      <c r="B9223" s="608"/>
      <c r="C9223" s="860" t="s">
        <v>5820</v>
      </c>
      <c r="D9223" s="316" t="s">
        <v>4191</v>
      </c>
      <c r="E9223" s="954" t="n">
        <v>0.01</v>
      </c>
      <c r="F9223" s="617" t="n">
        <v>650</v>
      </c>
      <c r="G9223" s="615" t="n">
        <f aca="false">E9223*F9223</f>
        <v>6.5</v>
      </c>
      <c r="H9223" s="391"/>
    </row>
    <row r="9224" customFormat="false" ht="15" hidden="false" customHeight="false" outlineLevel="0" collapsed="false">
      <c r="A9224" s="571"/>
      <c r="B9224" s="328"/>
      <c r="C9224" s="860" t="s">
        <v>5859</v>
      </c>
      <c r="D9224" s="316" t="s">
        <v>4359</v>
      </c>
      <c r="E9224" s="661" t="n">
        <v>0.01</v>
      </c>
      <c r="F9224" s="617" t="n">
        <v>1995</v>
      </c>
      <c r="G9224" s="615" t="n">
        <f aca="false">E9224*F9224</f>
        <v>19.95</v>
      </c>
      <c r="H9224" s="606"/>
    </row>
    <row r="9225" customFormat="false" ht="15" hidden="false" customHeight="false" outlineLevel="0" collapsed="false">
      <c r="A9225" s="571"/>
      <c r="B9225" s="500"/>
      <c r="C9225" s="860" t="s">
        <v>4515</v>
      </c>
      <c r="D9225" s="316" t="s">
        <v>4133</v>
      </c>
      <c r="E9225" s="954" t="n">
        <v>0.1</v>
      </c>
      <c r="F9225" s="681" t="n">
        <v>350</v>
      </c>
      <c r="G9225" s="615" t="n">
        <f aca="false">E9225*F9225</f>
        <v>35</v>
      </c>
      <c r="H9225" s="606"/>
    </row>
    <row r="9226" customFormat="false" ht="15" hidden="false" customHeight="false" outlineLevel="0" collapsed="false">
      <c r="A9226" s="571"/>
      <c r="B9226" s="500"/>
      <c r="C9226" s="860" t="s">
        <v>5816</v>
      </c>
      <c r="D9226" s="316" t="s">
        <v>4191</v>
      </c>
      <c r="E9226" s="954" t="n">
        <v>0.005</v>
      </c>
      <c r="F9226" s="681" t="n">
        <v>144704</v>
      </c>
      <c r="G9226" s="615" t="n">
        <f aca="false">E9226*F9226</f>
        <v>723.52</v>
      </c>
      <c r="H9226" s="606"/>
    </row>
    <row r="9227" customFormat="false" ht="15" hidden="false" customHeight="false" outlineLevel="0" collapsed="false">
      <c r="A9227" s="571"/>
      <c r="B9227" s="500"/>
      <c r="C9227" s="860" t="s">
        <v>4776</v>
      </c>
      <c r="D9227" s="316" t="s">
        <v>4359</v>
      </c>
      <c r="E9227" s="954" t="n">
        <v>0.1</v>
      </c>
      <c r="F9227" s="617" t="n">
        <v>800</v>
      </c>
      <c r="G9227" s="615" t="n">
        <f aca="false">E9227*F9227</f>
        <v>80</v>
      </c>
      <c r="H9227" s="606"/>
    </row>
    <row r="9228" customFormat="false" ht="15" hidden="false" customHeight="false" outlineLevel="0" collapsed="false">
      <c r="A9228" s="571"/>
      <c r="B9228" s="608" t="s">
        <v>4128</v>
      </c>
      <c r="C9228" s="709"/>
      <c r="D9228" s="606"/>
      <c r="E9228" s="606"/>
      <c r="F9228" s="361"/>
      <c r="G9228" s="613" t="n">
        <f aca="false">SUM(G9220:G9227)</f>
        <v>1007.1705</v>
      </c>
      <c r="H9228" s="606"/>
    </row>
    <row r="9229" customFormat="false" ht="30" hidden="false" customHeight="false" outlineLevel="0" collapsed="false">
      <c r="A9229" s="571" t="s">
        <v>1831</v>
      </c>
      <c r="B9229" s="433" t="s">
        <v>3652</v>
      </c>
      <c r="C9229" s="860" t="s">
        <v>5860</v>
      </c>
      <c r="D9229" s="316" t="s">
        <v>4133</v>
      </c>
      <c r="E9229" s="954" t="n">
        <v>0.006</v>
      </c>
      <c r="F9229" s="617" t="n">
        <v>35035</v>
      </c>
      <c r="G9229" s="615" t="n">
        <f aca="false">E9229*F9229</f>
        <v>210.21</v>
      </c>
      <c r="H9229" s="606"/>
    </row>
    <row r="9230" customFormat="false" ht="15" hidden="false" customHeight="false" outlineLevel="0" collapsed="false">
      <c r="A9230" s="571"/>
      <c r="B9230" s="500"/>
      <c r="C9230" s="860" t="s">
        <v>5823</v>
      </c>
      <c r="D9230" s="316" t="s">
        <v>4133</v>
      </c>
      <c r="E9230" s="954" t="n">
        <v>0.006</v>
      </c>
      <c r="F9230" s="617" t="n">
        <v>69797</v>
      </c>
      <c r="G9230" s="615" t="n">
        <f aca="false">E9230*F9230</f>
        <v>418.782</v>
      </c>
      <c r="H9230" s="606"/>
    </row>
    <row r="9231" customFormat="false" ht="15" hidden="false" customHeight="false" outlineLevel="0" collapsed="false">
      <c r="A9231" s="571"/>
      <c r="B9231" s="500"/>
      <c r="C9231" s="860" t="s">
        <v>5825</v>
      </c>
      <c r="D9231" s="316" t="s">
        <v>4191</v>
      </c>
      <c r="E9231" s="954" t="n">
        <v>0.01</v>
      </c>
      <c r="F9231" s="883" t="n">
        <v>8468</v>
      </c>
      <c r="G9231" s="615" t="n">
        <f aca="false">E9231*F9231</f>
        <v>84.68</v>
      </c>
      <c r="H9231" s="606"/>
    </row>
    <row r="9232" customFormat="false" ht="15" hidden="false" customHeight="false" outlineLevel="0" collapsed="false">
      <c r="A9232" s="571"/>
      <c r="B9232" s="500"/>
      <c r="C9232" s="860" t="s">
        <v>5824</v>
      </c>
      <c r="D9232" s="316" t="s">
        <v>4528</v>
      </c>
      <c r="E9232" s="954" t="n">
        <v>0.001</v>
      </c>
      <c r="F9232" s="617" t="n">
        <v>82115</v>
      </c>
      <c r="G9232" s="615" t="n">
        <f aca="false">E9232*F9232</f>
        <v>82.115</v>
      </c>
      <c r="H9232" s="606"/>
    </row>
    <row r="9233" customFormat="false" ht="15" hidden="false" customHeight="false" outlineLevel="0" collapsed="false">
      <c r="A9233" s="571"/>
      <c r="B9233" s="500"/>
      <c r="C9233" s="860" t="s">
        <v>5819</v>
      </c>
      <c r="D9233" s="316" t="s">
        <v>4191</v>
      </c>
      <c r="E9233" s="954" t="n">
        <v>0.01</v>
      </c>
      <c r="F9233" s="883" t="n">
        <v>316.4</v>
      </c>
      <c r="G9233" s="615" t="n">
        <f aca="false">E9233*F9233</f>
        <v>3.164</v>
      </c>
      <c r="H9233" s="606"/>
    </row>
    <row r="9234" customFormat="false" ht="15" hidden="false" customHeight="false" outlineLevel="0" collapsed="false">
      <c r="A9234" s="571"/>
      <c r="B9234" s="500"/>
      <c r="C9234" s="860" t="s">
        <v>5826</v>
      </c>
      <c r="D9234" s="316" t="s">
        <v>4191</v>
      </c>
      <c r="E9234" s="954" t="n">
        <v>0.01</v>
      </c>
      <c r="F9234" s="617" t="n">
        <v>366.25</v>
      </c>
      <c r="G9234" s="615" t="n">
        <f aca="false">E9234*F9234</f>
        <v>3.6625</v>
      </c>
      <c r="H9234" s="606"/>
    </row>
    <row r="9235" customFormat="false" ht="15" hidden="false" customHeight="false" outlineLevel="0" collapsed="false">
      <c r="A9235" s="571"/>
      <c r="B9235" s="500"/>
      <c r="C9235" s="860" t="s">
        <v>5820</v>
      </c>
      <c r="D9235" s="316" t="s">
        <v>4191</v>
      </c>
      <c r="E9235" s="954" t="n">
        <v>0.01</v>
      </c>
      <c r="F9235" s="617" t="n">
        <v>650</v>
      </c>
      <c r="G9235" s="615" t="n">
        <f aca="false">E9235*F9235</f>
        <v>6.5</v>
      </c>
      <c r="H9235" s="606"/>
    </row>
    <row r="9236" customFormat="false" ht="15" hidden="false" customHeight="false" outlineLevel="0" collapsed="false">
      <c r="A9236" s="571"/>
      <c r="B9236" s="500"/>
      <c r="C9236" s="860" t="s">
        <v>5859</v>
      </c>
      <c r="D9236" s="316" t="s">
        <v>4528</v>
      </c>
      <c r="E9236" s="954" t="n">
        <v>0.01</v>
      </c>
      <c r="F9236" s="617" t="n">
        <v>1995</v>
      </c>
      <c r="G9236" s="615" t="n">
        <f aca="false">E9236*F9236</f>
        <v>19.95</v>
      </c>
      <c r="H9236" s="606"/>
    </row>
    <row r="9237" customFormat="false" ht="15" hidden="false" customHeight="false" outlineLevel="0" collapsed="false">
      <c r="A9237" s="571"/>
      <c r="B9237" s="500"/>
      <c r="C9237" s="860" t="s">
        <v>4515</v>
      </c>
      <c r="D9237" s="316" t="s">
        <v>4133</v>
      </c>
      <c r="E9237" s="954" t="n">
        <v>0.1</v>
      </c>
      <c r="F9237" s="681" t="n">
        <v>350</v>
      </c>
      <c r="G9237" s="615" t="n">
        <f aca="false">E9237*F9237</f>
        <v>35</v>
      </c>
      <c r="H9237" s="606"/>
    </row>
    <row r="9238" customFormat="false" ht="15" hidden="false" customHeight="false" outlineLevel="0" collapsed="false">
      <c r="A9238" s="571"/>
      <c r="B9238" s="500"/>
      <c r="C9238" s="860" t="s">
        <v>4776</v>
      </c>
      <c r="D9238" s="316" t="s">
        <v>4528</v>
      </c>
      <c r="E9238" s="954" t="n">
        <v>0.1</v>
      </c>
      <c r="F9238" s="617" t="n">
        <v>800</v>
      </c>
      <c r="G9238" s="615" t="n">
        <f aca="false">E9238*F9238</f>
        <v>80</v>
      </c>
      <c r="H9238" s="606"/>
    </row>
    <row r="9239" customFormat="false" ht="15" hidden="false" customHeight="false" outlineLevel="0" collapsed="false">
      <c r="A9239" s="571"/>
      <c r="B9239" s="608" t="s">
        <v>4128</v>
      </c>
      <c r="C9239" s="964"/>
      <c r="D9239" s="965"/>
      <c r="E9239" s="966"/>
      <c r="F9239" s="967"/>
      <c r="G9239" s="613" t="n">
        <f aca="false">SUM(G9229:G9238)</f>
        <v>944.0635</v>
      </c>
      <c r="H9239" s="610"/>
    </row>
    <row r="9240" customFormat="false" ht="30" hidden="false" customHeight="false" outlineLevel="0" collapsed="false">
      <c r="A9240" s="571" t="s">
        <v>1833</v>
      </c>
      <c r="B9240" s="433" t="s">
        <v>3653</v>
      </c>
      <c r="C9240" s="860" t="s">
        <v>5823</v>
      </c>
      <c r="D9240" s="316" t="s">
        <v>4133</v>
      </c>
      <c r="E9240" s="954" t="n">
        <v>0.005</v>
      </c>
      <c r="F9240" s="617" t="n">
        <v>69797</v>
      </c>
      <c r="G9240" s="615" t="n">
        <f aca="false">E9240*F9240</f>
        <v>348.985</v>
      </c>
      <c r="H9240" s="606"/>
    </row>
    <row r="9241" customFormat="false" ht="15" hidden="false" customHeight="false" outlineLevel="0" collapsed="false">
      <c r="A9241" s="571"/>
      <c r="B9241" s="500"/>
      <c r="C9241" s="860" t="s">
        <v>5825</v>
      </c>
      <c r="D9241" s="316" t="s">
        <v>4141</v>
      </c>
      <c r="E9241" s="954" t="n">
        <v>0.01</v>
      </c>
      <c r="F9241" s="883" t="n">
        <v>8468</v>
      </c>
      <c r="G9241" s="615" t="n">
        <f aca="false">E9241*F9241</f>
        <v>84.68</v>
      </c>
      <c r="H9241" s="606"/>
    </row>
    <row r="9242" customFormat="false" ht="15" hidden="false" customHeight="false" outlineLevel="0" collapsed="false">
      <c r="A9242" s="571"/>
      <c r="B9242" s="500"/>
      <c r="C9242" s="860" t="s">
        <v>5824</v>
      </c>
      <c r="D9242" s="316" t="s">
        <v>4359</v>
      </c>
      <c r="E9242" s="954" t="n">
        <v>0.001</v>
      </c>
      <c r="F9242" s="883" t="n">
        <v>82115</v>
      </c>
      <c r="G9242" s="615" t="n">
        <f aca="false">E9242*F9242</f>
        <v>82.115</v>
      </c>
      <c r="H9242" s="606"/>
    </row>
    <row r="9243" customFormat="false" ht="15" hidden="false" customHeight="false" outlineLevel="0" collapsed="false">
      <c r="A9243" s="571"/>
      <c r="B9243" s="500"/>
      <c r="C9243" s="860" t="s">
        <v>5819</v>
      </c>
      <c r="D9243" s="316" t="s">
        <v>4191</v>
      </c>
      <c r="E9243" s="954" t="n">
        <v>0.01</v>
      </c>
      <c r="F9243" s="883" t="n">
        <v>316.4</v>
      </c>
      <c r="G9243" s="615" t="n">
        <f aca="false">E9243*F9243</f>
        <v>3.164</v>
      </c>
      <c r="H9243" s="606"/>
    </row>
    <row r="9244" customFormat="false" ht="15" hidden="false" customHeight="false" outlineLevel="0" collapsed="false">
      <c r="A9244" s="571"/>
      <c r="B9244" s="608"/>
      <c r="C9244" s="860" t="s">
        <v>5826</v>
      </c>
      <c r="D9244" s="316" t="s">
        <v>4191</v>
      </c>
      <c r="E9244" s="954" t="n">
        <v>0.01</v>
      </c>
      <c r="F9244" s="617" t="n">
        <v>366.25</v>
      </c>
      <c r="G9244" s="615" t="n">
        <f aca="false">E9244*F9244</f>
        <v>3.6625</v>
      </c>
      <c r="H9244" s="391"/>
    </row>
    <row r="9245" customFormat="false" ht="15" hidden="false" customHeight="false" outlineLevel="0" collapsed="false">
      <c r="A9245" s="571"/>
      <c r="B9245" s="328"/>
      <c r="C9245" s="860" t="s">
        <v>5820</v>
      </c>
      <c r="D9245" s="316" t="s">
        <v>4191</v>
      </c>
      <c r="E9245" s="954" t="n">
        <v>0.01</v>
      </c>
      <c r="F9245" s="617" t="n">
        <v>650</v>
      </c>
      <c r="G9245" s="615" t="n">
        <f aca="false">E9245*F9245</f>
        <v>6.5</v>
      </c>
      <c r="H9245" s="606"/>
    </row>
    <row r="9246" customFormat="false" ht="15" hidden="false" customHeight="false" outlineLevel="0" collapsed="false">
      <c r="A9246" s="571"/>
      <c r="B9246" s="500"/>
      <c r="C9246" s="860" t="s">
        <v>5859</v>
      </c>
      <c r="D9246" s="316" t="s">
        <v>4359</v>
      </c>
      <c r="E9246" s="954" t="n">
        <v>0.01</v>
      </c>
      <c r="F9246" s="617" t="n">
        <v>1995</v>
      </c>
      <c r="G9246" s="615" t="n">
        <f aca="false">E9246*F9246</f>
        <v>19.95</v>
      </c>
      <c r="H9246" s="606"/>
    </row>
    <row r="9247" customFormat="false" ht="15" hidden="false" customHeight="false" outlineLevel="0" collapsed="false">
      <c r="A9247" s="571"/>
      <c r="B9247" s="608"/>
      <c r="C9247" s="860" t="s">
        <v>5816</v>
      </c>
      <c r="D9247" s="316" t="s">
        <v>4191</v>
      </c>
      <c r="E9247" s="954" t="n">
        <v>0.005</v>
      </c>
      <c r="F9247" s="681" t="n">
        <v>144704</v>
      </c>
      <c r="G9247" s="615" t="n">
        <f aca="false">E9247*F9247</f>
        <v>723.52</v>
      </c>
      <c r="H9247" s="391"/>
    </row>
    <row r="9248" customFormat="false" ht="15" hidden="false" customHeight="false" outlineLevel="0" collapsed="false">
      <c r="A9248" s="571"/>
      <c r="B9248" s="328"/>
      <c r="C9248" s="860" t="s">
        <v>4515</v>
      </c>
      <c r="D9248" s="316" t="s">
        <v>4133</v>
      </c>
      <c r="E9248" s="954" t="n">
        <v>0.1</v>
      </c>
      <c r="F9248" s="681" t="n">
        <v>350</v>
      </c>
      <c r="G9248" s="615" t="n">
        <f aca="false">E9248*F9248</f>
        <v>35</v>
      </c>
      <c r="H9248" s="606"/>
    </row>
    <row r="9249" customFormat="false" ht="15" hidden="false" customHeight="false" outlineLevel="0" collapsed="false">
      <c r="A9249" s="571"/>
      <c r="B9249" s="608"/>
      <c r="C9249" s="860" t="s">
        <v>4776</v>
      </c>
      <c r="D9249" s="316" t="s">
        <v>4359</v>
      </c>
      <c r="E9249" s="954" t="n">
        <v>0.1</v>
      </c>
      <c r="F9249" s="617" t="n">
        <v>800</v>
      </c>
      <c r="G9249" s="615" t="n">
        <f aca="false">E9249*F9249</f>
        <v>80</v>
      </c>
      <c r="H9249" s="391"/>
    </row>
    <row r="9250" customFormat="false" ht="15" hidden="false" customHeight="false" outlineLevel="0" collapsed="false">
      <c r="A9250" s="571"/>
      <c r="B9250" s="608" t="s">
        <v>4128</v>
      </c>
      <c r="C9250" s="709"/>
      <c r="D9250" s="606"/>
      <c r="E9250" s="606"/>
      <c r="F9250" s="361"/>
      <c r="G9250" s="613" t="n">
        <f aca="false">SUM(G9240:G9249)</f>
        <v>1387.5765</v>
      </c>
      <c r="H9250" s="391"/>
    </row>
    <row r="9251" customFormat="false" ht="30" hidden="false" customHeight="false" outlineLevel="0" collapsed="false">
      <c r="A9251" s="571" t="s">
        <v>1835</v>
      </c>
      <c r="B9251" s="433" t="s">
        <v>3654</v>
      </c>
      <c r="C9251" s="860" t="s">
        <v>5860</v>
      </c>
      <c r="D9251" s="316" t="s">
        <v>4133</v>
      </c>
      <c r="E9251" s="954" t="n">
        <v>0.004</v>
      </c>
      <c r="F9251" s="617" t="n">
        <v>35035</v>
      </c>
      <c r="G9251" s="615" t="n">
        <f aca="false">E9251*F9251</f>
        <v>140.14</v>
      </c>
      <c r="H9251" s="391"/>
    </row>
    <row r="9252" customFormat="false" ht="15" hidden="false" customHeight="false" outlineLevel="0" collapsed="false">
      <c r="A9252" s="571"/>
      <c r="B9252" s="328"/>
      <c r="C9252" s="860" t="s">
        <v>5823</v>
      </c>
      <c r="D9252" s="316" t="s">
        <v>5564</v>
      </c>
      <c r="E9252" s="954" t="n">
        <v>0.004</v>
      </c>
      <c r="F9252" s="617" t="n">
        <v>69797</v>
      </c>
      <c r="G9252" s="615" t="n">
        <f aca="false">E9252*F9252</f>
        <v>279.188</v>
      </c>
      <c r="H9252" s="606"/>
    </row>
    <row r="9253" customFormat="false" ht="15" hidden="false" customHeight="false" outlineLevel="0" collapsed="false">
      <c r="A9253" s="571"/>
      <c r="B9253" s="608"/>
      <c r="C9253" s="860" t="s">
        <v>5825</v>
      </c>
      <c r="D9253" s="316" t="s">
        <v>4191</v>
      </c>
      <c r="E9253" s="954" t="n">
        <v>0.001</v>
      </c>
      <c r="F9253" s="883" t="n">
        <v>8468</v>
      </c>
      <c r="G9253" s="615" t="n">
        <f aca="false">E9253*F9253</f>
        <v>8.468</v>
      </c>
      <c r="H9253" s="391"/>
    </row>
    <row r="9254" customFormat="false" ht="15" hidden="false" customHeight="false" outlineLevel="0" collapsed="false">
      <c r="A9254" s="571"/>
      <c r="B9254" s="328"/>
      <c r="C9254" s="860" t="s">
        <v>5824</v>
      </c>
      <c r="D9254" s="316" t="s">
        <v>4528</v>
      </c>
      <c r="E9254" s="954" t="n">
        <v>0.001</v>
      </c>
      <c r="F9254" s="617" t="n">
        <v>82115</v>
      </c>
      <c r="G9254" s="615" t="n">
        <f aca="false">E9254*F9254</f>
        <v>82.115</v>
      </c>
      <c r="H9254" s="606"/>
    </row>
    <row r="9255" customFormat="false" ht="15" hidden="false" customHeight="false" outlineLevel="0" collapsed="false">
      <c r="A9255" s="571"/>
      <c r="B9255" s="500"/>
      <c r="C9255" s="860" t="s">
        <v>5819</v>
      </c>
      <c r="D9255" s="316" t="s">
        <v>4191</v>
      </c>
      <c r="E9255" s="954" t="n">
        <v>0.01</v>
      </c>
      <c r="F9255" s="883" t="n">
        <v>316.4</v>
      </c>
      <c r="G9255" s="615" t="n">
        <f aca="false">E9255*F9255</f>
        <v>3.164</v>
      </c>
      <c r="H9255" s="606"/>
    </row>
    <row r="9256" customFormat="false" ht="15" hidden="false" customHeight="false" outlineLevel="0" collapsed="false">
      <c r="A9256" s="571"/>
      <c r="B9256" s="608"/>
      <c r="C9256" s="860" t="s">
        <v>5826</v>
      </c>
      <c r="D9256" s="316" t="s">
        <v>4191</v>
      </c>
      <c r="E9256" s="954" t="n">
        <v>0.01</v>
      </c>
      <c r="F9256" s="617" t="n">
        <v>366.25</v>
      </c>
      <c r="G9256" s="615" t="n">
        <f aca="false">E9256*F9256</f>
        <v>3.6625</v>
      </c>
      <c r="H9256" s="391"/>
    </row>
    <row r="9257" customFormat="false" ht="15" hidden="false" customHeight="false" outlineLevel="0" collapsed="false">
      <c r="A9257" s="571"/>
      <c r="B9257" s="500"/>
      <c r="C9257" s="860" t="s">
        <v>5820</v>
      </c>
      <c r="D9257" s="316" t="s">
        <v>4191</v>
      </c>
      <c r="E9257" s="954" t="n">
        <v>0.01</v>
      </c>
      <c r="F9257" s="617" t="n">
        <v>650</v>
      </c>
      <c r="G9257" s="615" t="n">
        <f aca="false">E9257*F9257</f>
        <v>6.5</v>
      </c>
      <c r="H9257" s="606"/>
    </row>
    <row r="9258" customFormat="false" ht="15" hidden="false" customHeight="false" outlineLevel="0" collapsed="false">
      <c r="A9258" s="571"/>
      <c r="B9258" s="608"/>
      <c r="C9258" s="860" t="s">
        <v>5859</v>
      </c>
      <c r="D9258" s="316" t="s">
        <v>4528</v>
      </c>
      <c r="E9258" s="954" t="n">
        <v>0.01</v>
      </c>
      <c r="F9258" s="617" t="n">
        <v>1995</v>
      </c>
      <c r="G9258" s="615" t="n">
        <f aca="false">E9258*F9258</f>
        <v>19.95</v>
      </c>
      <c r="H9258" s="391"/>
    </row>
    <row r="9259" customFormat="false" ht="15" hidden="false" customHeight="false" outlineLevel="0" collapsed="false">
      <c r="A9259" s="571"/>
      <c r="B9259" s="328"/>
      <c r="C9259" s="860" t="s">
        <v>5861</v>
      </c>
      <c r="D9259" s="316" t="s">
        <v>4348</v>
      </c>
      <c r="E9259" s="954" t="n">
        <v>0.001</v>
      </c>
      <c r="F9259" s="617" t="n">
        <v>150375</v>
      </c>
      <c r="G9259" s="615" t="n">
        <f aca="false">E9259*F9259</f>
        <v>150.375</v>
      </c>
      <c r="H9259" s="606"/>
    </row>
    <row r="9260" customFormat="false" ht="15" hidden="false" customHeight="false" outlineLevel="0" collapsed="false">
      <c r="A9260" s="571"/>
      <c r="B9260" s="608"/>
      <c r="C9260" s="21" t="s">
        <v>5844</v>
      </c>
      <c r="D9260" s="316" t="s">
        <v>4191</v>
      </c>
      <c r="E9260" s="954" t="n">
        <v>0.001</v>
      </c>
      <c r="F9260" s="883" t="n">
        <v>74415</v>
      </c>
      <c r="G9260" s="615" t="n">
        <f aca="false">E9260*F9260</f>
        <v>74.415</v>
      </c>
      <c r="H9260" s="391"/>
    </row>
    <row r="9261" customFormat="false" ht="15" hidden="false" customHeight="false" outlineLevel="0" collapsed="false">
      <c r="A9261" s="571"/>
      <c r="B9261" s="328"/>
      <c r="C9261" s="860" t="s">
        <v>5838</v>
      </c>
      <c r="D9261" s="316" t="s">
        <v>4133</v>
      </c>
      <c r="E9261" s="954" t="n">
        <v>0.001</v>
      </c>
      <c r="F9261" s="617" t="n">
        <v>80176</v>
      </c>
      <c r="G9261" s="615" t="n">
        <f aca="false">E9261*F9261</f>
        <v>80.176</v>
      </c>
      <c r="H9261" s="606"/>
    </row>
    <row r="9262" customFormat="false" ht="15" hidden="false" customHeight="false" outlineLevel="0" collapsed="false">
      <c r="A9262" s="571"/>
      <c r="B9262" s="500"/>
      <c r="C9262" s="860" t="s">
        <v>5862</v>
      </c>
      <c r="D9262" s="316" t="s">
        <v>4133</v>
      </c>
      <c r="E9262" s="954" t="n">
        <v>0.001</v>
      </c>
      <c r="F9262" s="617" t="n">
        <v>154939</v>
      </c>
      <c r="G9262" s="615" t="n">
        <f aca="false">E9262*F9262</f>
        <v>154.939</v>
      </c>
      <c r="H9262" s="606"/>
    </row>
    <row r="9263" customFormat="false" ht="15" hidden="false" customHeight="false" outlineLevel="0" collapsed="false">
      <c r="A9263" s="571"/>
      <c r="B9263" s="500"/>
      <c r="C9263" s="860" t="s">
        <v>4515</v>
      </c>
      <c r="D9263" s="316" t="s">
        <v>4133</v>
      </c>
      <c r="E9263" s="954" t="n">
        <v>0.1</v>
      </c>
      <c r="F9263" s="681" t="n">
        <v>350</v>
      </c>
      <c r="G9263" s="615" t="n">
        <f aca="false">E9263*F9263</f>
        <v>35</v>
      </c>
      <c r="H9263" s="606"/>
    </row>
    <row r="9264" customFormat="false" ht="15" hidden="false" customHeight="false" outlineLevel="0" collapsed="false">
      <c r="A9264" s="571"/>
      <c r="B9264" s="500"/>
      <c r="C9264" s="860" t="s">
        <v>4776</v>
      </c>
      <c r="D9264" s="316" t="s">
        <v>4528</v>
      </c>
      <c r="E9264" s="954" t="n">
        <v>0.1</v>
      </c>
      <c r="F9264" s="617" t="n">
        <v>800</v>
      </c>
      <c r="G9264" s="615" t="n">
        <f aca="false">E9264*F9264</f>
        <v>80</v>
      </c>
      <c r="H9264" s="606"/>
    </row>
    <row r="9265" customFormat="false" ht="15" hidden="false" customHeight="false" outlineLevel="0" collapsed="false">
      <c r="A9265" s="571"/>
      <c r="B9265" s="608" t="s">
        <v>4128</v>
      </c>
      <c r="C9265" s="964"/>
      <c r="D9265" s="965"/>
      <c r="E9265" s="966"/>
      <c r="F9265" s="967"/>
      <c r="G9265" s="613" t="n">
        <f aca="false">SUM(G9251:G9264)</f>
        <v>1118.0925</v>
      </c>
      <c r="H9265" s="610"/>
    </row>
    <row r="9266" customFormat="false" ht="30" hidden="false" customHeight="false" outlineLevel="0" collapsed="false">
      <c r="A9266" s="571" t="s">
        <v>1837</v>
      </c>
      <c r="B9266" s="433" t="s">
        <v>3655</v>
      </c>
      <c r="C9266" s="855" t="s">
        <v>5816</v>
      </c>
      <c r="D9266" s="316" t="s">
        <v>4191</v>
      </c>
      <c r="E9266" s="954" t="n">
        <v>0.002</v>
      </c>
      <c r="F9266" s="617" t="n">
        <v>144704</v>
      </c>
      <c r="G9266" s="615" t="n">
        <f aca="false">E9266*F9266</f>
        <v>289.408</v>
      </c>
      <c r="H9266" s="606"/>
    </row>
    <row r="9267" customFormat="false" ht="15" hidden="false" customHeight="false" outlineLevel="0" collapsed="false">
      <c r="A9267" s="571"/>
      <c r="B9267" s="500"/>
      <c r="C9267" s="855" t="s">
        <v>5823</v>
      </c>
      <c r="D9267" s="316" t="s">
        <v>4133</v>
      </c>
      <c r="E9267" s="954" t="n">
        <v>0.001</v>
      </c>
      <c r="F9267" s="617" t="n">
        <v>69797</v>
      </c>
      <c r="G9267" s="615" t="n">
        <f aca="false">E9267*F9267</f>
        <v>69.797</v>
      </c>
      <c r="H9267" s="606"/>
    </row>
    <row r="9268" customFormat="false" ht="15" hidden="false" customHeight="false" outlineLevel="0" collapsed="false">
      <c r="A9268" s="571"/>
      <c r="B9268" s="500"/>
      <c r="C9268" s="855" t="s">
        <v>5825</v>
      </c>
      <c r="D9268" s="316" t="s">
        <v>4191</v>
      </c>
      <c r="E9268" s="954" t="n">
        <v>0.001</v>
      </c>
      <c r="F9268" s="883" t="n">
        <v>8468</v>
      </c>
      <c r="G9268" s="615" t="n">
        <f aca="false">E9268*F9268</f>
        <v>8.468</v>
      </c>
      <c r="H9268" s="606"/>
    </row>
    <row r="9269" customFormat="false" ht="15" hidden="false" customHeight="false" outlineLevel="0" collapsed="false">
      <c r="A9269" s="571"/>
      <c r="B9269" s="608"/>
      <c r="C9269" s="855" t="s">
        <v>5824</v>
      </c>
      <c r="D9269" s="316" t="s">
        <v>4528</v>
      </c>
      <c r="E9269" s="954" t="n">
        <v>0.001</v>
      </c>
      <c r="F9269" s="883" t="n">
        <v>82115</v>
      </c>
      <c r="G9269" s="615" t="n">
        <f aca="false">E9269*F9269</f>
        <v>82.115</v>
      </c>
      <c r="H9269" s="391"/>
    </row>
    <row r="9270" customFormat="false" ht="15" hidden="false" customHeight="false" outlineLevel="0" collapsed="false">
      <c r="A9270" s="571"/>
      <c r="B9270" s="328"/>
      <c r="C9270" s="855" t="s">
        <v>5819</v>
      </c>
      <c r="D9270" s="316" t="s">
        <v>4191</v>
      </c>
      <c r="E9270" s="954" t="n">
        <v>0.01</v>
      </c>
      <c r="F9270" s="883" t="n">
        <v>316.4</v>
      </c>
      <c r="G9270" s="615" t="n">
        <f aca="false">E9270*F9270</f>
        <v>3.164</v>
      </c>
      <c r="H9270" s="606"/>
    </row>
    <row r="9271" customFormat="false" ht="15" hidden="false" customHeight="false" outlineLevel="0" collapsed="false">
      <c r="A9271" s="571"/>
      <c r="B9271" s="500"/>
      <c r="C9271" s="855" t="s">
        <v>5826</v>
      </c>
      <c r="D9271" s="316" t="s">
        <v>4191</v>
      </c>
      <c r="E9271" s="954" t="n">
        <v>0.01</v>
      </c>
      <c r="F9271" s="617" t="n">
        <v>366.25</v>
      </c>
      <c r="G9271" s="615" t="n">
        <f aca="false">E9271*F9271</f>
        <v>3.6625</v>
      </c>
      <c r="H9271" s="606"/>
    </row>
    <row r="9272" customFormat="false" ht="15" hidden="false" customHeight="false" outlineLevel="0" collapsed="false">
      <c r="A9272" s="571"/>
      <c r="B9272" s="500"/>
      <c r="C9272" s="855" t="s">
        <v>5820</v>
      </c>
      <c r="D9272" s="316" t="s">
        <v>4191</v>
      </c>
      <c r="E9272" s="954" t="n">
        <v>0.01</v>
      </c>
      <c r="F9272" s="617" t="n">
        <v>650</v>
      </c>
      <c r="G9272" s="615" t="n">
        <f aca="false">E9272*F9272</f>
        <v>6.5</v>
      </c>
      <c r="H9272" s="606"/>
    </row>
    <row r="9273" customFormat="false" ht="15" hidden="false" customHeight="false" outlineLevel="0" collapsed="false">
      <c r="A9273" s="571"/>
      <c r="B9273" s="608"/>
      <c r="C9273" s="855" t="s">
        <v>5859</v>
      </c>
      <c r="D9273" s="316" t="s">
        <v>4359</v>
      </c>
      <c r="E9273" s="954" t="n">
        <v>0.05</v>
      </c>
      <c r="F9273" s="617" t="n">
        <v>1995</v>
      </c>
      <c r="G9273" s="615" t="n">
        <f aca="false">E9273*F9273</f>
        <v>99.75</v>
      </c>
      <c r="H9273" s="391"/>
    </row>
    <row r="9274" customFormat="false" ht="15" hidden="false" customHeight="false" outlineLevel="0" collapsed="false">
      <c r="A9274" s="571"/>
      <c r="B9274" s="500"/>
      <c r="C9274" s="41" t="s">
        <v>5844</v>
      </c>
      <c r="D9274" s="316" t="s">
        <v>5452</v>
      </c>
      <c r="E9274" s="954" t="n">
        <v>0.002</v>
      </c>
      <c r="F9274" s="883" t="n">
        <v>74415</v>
      </c>
      <c r="G9274" s="615" t="n">
        <f aca="false">E9274*F9274</f>
        <v>148.83</v>
      </c>
      <c r="H9274" s="606"/>
    </row>
    <row r="9275" customFormat="false" ht="15" hidden="false" customHeight="false" outlineLevel="0" collapsed="false">
      <c r="A9275" s="571"/>
      <c r="B9275" s="500"/>
      <c r="C9275" s="855" t="s">
        <v>5838</v>
      </c>
      <c r="D9275" s="316" t="s">
        <v>4133</v>
      </c>
      <c r="E9275" s="954" t="n">
        <v>0.001</v>
      </c>
      <c r="F9275" s="617" t="n">
        <v>80176</v>
      </c>
      <c r="G9275" s="615" t="n">
        <f aca="false">E9275*F9275</f>
        <v>80.176</v>
      </c>
      <c r="H9275" s="606"/>
    </row>
    <row r="9276" customFormat="false" ht="15" hidden="false" customHeight="false" outlineLevel="0" collapsed="false">
      <c r="A9276" s="571"/>
      <c r="B9276" s="608"/>
      <c r="C9276" s="855" t="s">
        <v>5862</v>
      </c>
      <c r="D9276" s="316" t="s">
        <v>4133</v>
      </c>
      <c r="E9276" s="954" t="n">
        <v>0.001</v>
      </c>
      <c r="F9276" s="617" t="n">
        <v>145939</v>
      </c>
      <c r="G9276" s="615" t="n">
        <f aca="false">E9276*F9276</f>
        <v>145.939</v>
      </c>
      <c r="H9276" s="391"/>
    </row>
    <row r="9277" customFormat="false" ht="15" hidden="false" customHeight="false" outlineLevel="0" collapsed="false">
      <c r="A9277" s="571"/>
      <c r="B9277" s="328"/>
      <c r="C9277" s="855" t="s">
        <v>4515</v>
      </c>
      <c r="D9277" s="316" t="s">
        <v>4133</v>
      </c>
      <c r="E9277" s="954" t="n">
        <v>0.1</v>
      </c>
      <c r="F9277" s="617" t="n">
        <v>350</v>
      </c>
      <c r="G9277" s="615" t="n">
        <f aca="false">E9277*F9277</f>
        <v>35</v>
      </c>
      <c r="H9277" s="606"/>
    </row>
    <row r="9278" customFormat="false" ht="15" hidden="false" customHeight="false" outlineLevel="0" collapsed="false">
      <c r="A9278" s="571"/>
      <c r="B9278" s="500"/>
      <c r="C9278" s="855" t="s">
        <v>4776</v>
      </c>
      <c r="D9278" s="316" t="s">
        <v>4359</v>
      </c>
      <c r="E9278" s="954" t="n">
        <v>0.1</v>
      </c>
      <c r="F9278" s="617" t="n">
        <v>800</v>
      </c>
      <c r="G9278" s="615" t="n">
        <f aca="false">E9278*F9278</f>
        <v>80</v>
      </c>
      <c r="H9278" s="606"/>
    </row>
    <row r="9279" customFormat="false" ht="15" hidden="false" customHeight="false" outlineLevel="0" collapsed="false">
      <c r="A9279" s="571"/>
      <c r="B9279" s="608" t="s">
        <v>4128</v>
      </c>
      <c r="C9279" s="709"/>
      <c r="D9279" s="606"/>
      <c r="E9279" s="606"/>
      <c r="F9279" s="361"/>
      <c r="G9279" s="613" t="n">
        <f aca="false">SUM(G9266:G9278)</f>
        <v>1052.8095</v>
      </c>
      <c r="H9279" s="606"/>
    </row>
    <row r="9280" customFormat="false" ht="30" hidden="false" customHeight="false" outlineLevel="0" collapsed="false">
      <c r="A9280" s="571" t="s">
        <v>1839</v>
      </c>
      <c r="B9280" s="433" t="s">
        <v>3642</v>
      </c>
      <c r="C9280" s="860" t="s">
        <v>5852</v>
      </c>
      <c r="D9280" s="316" t="s">
        <v>4133</v>
      </c>
      <c r="E9280" s="954" t="n">
        <v>0.001</v>
      </c>
      <c r="F9280" s="617" t="n">
        <v>39930</v>
      </c>
      <c r="G9280" s="615" t="n">
        <f aca="false">E9280*F9280</f>
        <v>39.93</v>
      </c>
      <c r="H9280" s="606"/>
    </row>
    <row r="9281" customFormat="false" ht="15" hidden="false" customHeight="false" outlineLevel="0" collapsed="false">
      <c r="A9281" s="571"/>
      <c r="B9281" s="500"/>
      <c r="C9281" s="21" t="s">
        <v>5855</v>
      </c>
      <c r="D9281" s="316" t="s">
        <v>4133</v>
      </c>
      <c r="E9281" s="954" t="n">
        <v>0.001</v>
      </c>
      <c r="F9281" s="617" t="n">
        <v>203735</v>
      </c>
      <c r="G9281" s="615" t="n">
        <f aca="false">E9281*F9281</f>
        <v>203.735</v>
      </c>
      <c r="H9281" s="606"/>
    </row>
    <row r="9282" customFormat="false" ht="15" hidden="false" customHeight="false" outlineLevel="0" collapsed="false">
      <c r="A9282" s="571"/>
      <c r="B9282" s="500"/>
      <c r="C9282" s="860" t="s">
        <v>5856</v>
      </c>
      <c r="D9282" s="316" t="s">
        <v>4359</v>
      </c>
      <c r="E9282" s="954" t="n">
        <v>0.001</v>
      </c>
      <c r="F9282" s="617" t="n">
        <v>168481</v>
      </c>
      <c r="G9282" s="615" t="n">
        <f aca="false">E9282*F9282</f>
        <v>168.481</v>
      </c>
      <c r="H9282" s="606"/>
    </row>
    <row r="9283" customFormat="false" ht="15" hidden="false" customHeight="false" outlineLevel="0" collapsed="false">
      <c r="A9283" s="571"/>
      <c r="B9283" s="500"/>
      <c r="C9283" s="860" t="s">
        <v>5824</v>
      </c>
      <c r="D9283" s="316" t="s">
        <v>4359</v>
      </c>
      <c r="E9283" s="954" t="n">
        <v>0.001</v>
      </c>
      <c r="F9283" s="617" t="n">
        <v>82115</v>
      </c>
      <c r="G9283" s="615" t="n">
        <f aca="false">E9283*F9283</f>
        <v>82.115</v>
      </c>
      <c r="H9283" s="606"/>
    </row>
    <row r="9284" customFormat="false" ht="15" hidden="false" customHeight="false" outlineLevel="0" collapsed="false">
      <c r="A9284" s="571"/>
      <c r="B9284" s="500"/>
      <c r="C9284" s="860" t="s">
        <v>5863</v>
      </c>
      <c r="D9284" s="316" t="n">
        <v>1</v>
      </c>
      <c r="E9284" s="954" t="n">
        <v>0.001</v>
      </c>
      <c r="F9284" s="617" t="n">
        <v>46585</v>
      </c>
      <c r="G9284" s="615" t="n">
        <f aca="false">E9284*F9284</f>
        <v>46.585</v>
      </c>
      <c r="H9284" s="606"/>
    </row>
    <row r="9285" customFormat="false" ht="15" hidden="false" customHeight="false" outlineLevel="0" collapsed="false">
      <c r="A9285" s="571"/>
      <c r="B9285" s="608"/>
      <c r="C9285" s="860" t="s">
        <v>5859</v>
      </c>
      <c r="D9285" s="316" t="s">
        <v>4359</v>
      </c>
      <c r="E9285" s="954" t="n">
        <v>0.01</v>
      </c>
      <c r="F9285" s="617" t="n">
        <v>1995</v>
      </c>
      <c r="G9285" s="615" t="n">
        <f aca="false">E9285*F9285</f>
        <v>19.95</v>
      </c>
      <c r="H9285" s="391"/>
    </row>
    <row r="9286" customFormat="false" ht="15" hidden="false" customHeight="false" outlineLevel="0" collapsed="false">
      <c r="A9286" s="571"/>
      <c r="B9286" s="328"/>
      <c r="C9286" s="860" t="s">
        <v>5819</v>
      </c>
      <c r="D9286" s="316" t="s">
        <v>4191</v>
      </c>
      <c r="E9286" s="954" t="n">
        <v>0.01</v>
      </c>
      <c r="F9286" s="617" t="n">
        <v>316.4</v>
      </c>
      <c r="G9286" s="615" t="n">
        <f aca="false">E9286*F9286</f>
        <v>3.164</v>
      </c>
      <c r="H9286" s="606"/>
    </row>
    <row r="9287" customFormat="false" ht="15" hidden="false" customHeight="false" outlineLevel="0" collapsed="false">
      <c r="A9287" s="571"/>
      <c r="B9287" s="500"/>
      <c r="C9287" s="860" t="s">
        <v>5826</v>
      </c>
      <c r="D9287" s="316" t="s">
        <v>4191</v>
      </c>
      <c r="E9287" s="954" t="n">
        <v>0.01</v>
      </c>
      <c r="F9287" s="617" t="n">
        <v>366.25</v>
      </c>
      <c r="G9287" s="615" t="n">
        <f aca="false">E9287*F9287</f>
        <v>3.6625</v>
      </c>
      <c r="H9287" s="606"/>
    </row>
    <row r="9288" customFormat="false" ht="15" hidden="false" customHeight="false" outlineLevel="0" collapsed="false">
      <c r="A9288" s="571"/>
      <c r="B9288" s="500"/>
      <c r="C9288" s="860" t="s">
        <v>5820</v>
      </c>
      <c r="D9288" s="316" t="s">
        <v>4191</v>
      </c>
      <c r="E9288" s="954" t="n">
        <v>0.01</v>
      </c>
      <c r="F9288" s="617" t="n">
        <v>650</v>
      </c>
      <c r="G9288" s="615" t="n">
        <f aca="false">E9288*F9288</f>
        <v>6.5</v>
      </c>
      <c r="H9288" s="606"/>
    </row>
    <row r="9289" customFormat="false" ht="15" hidden="false" customHeight="false" outlineLevel="0" collapsed="false">
      <c r="A9289" s="571"/>
      <c r="B9289" s="608"/>
      <c r="C9289" s="21" t="s">
        <v>5857</v>
      </c>
      <c r="D9289" s="874" t="s">
        <v>4359</v>
      </c>
      <c r="E9289" s="959" t="n">
        <v>0.001</v>
      </c>
      <c r="F9289" s="883" t="n">
        <v>175794</v>
      </c>
      <c r="G9289" s="615" t="n">
        <f aca="false">E9289*F9289</f>
        <v>175.794</v>
      </c>
      <c r="H9289" s="391"/>
    </row>
    <row r="9290" customFormat="false" ht="15" hidden="false" customHeight="false" outlineLevel="0" collapsed="false">
      <c r="A9290" s="571"/>
      <c r="B9290" s="328"/>
      <c r="C9290" s="860" t="s">
        <v>5861</v>
      </c>
      <c r="D9290" s="316" t="s">
        <v>4348</v>
      </c>
      <c r="E9290" s="954" t="n">
        <v>0.001</v>
      </c>
      <c r="F9290" s="617" t="n">
        <v>150375</v>
      </c>
      <c r="G9290" s="615" t="n">
        <f aca="false">E9290*F9290</f>
        <v>150.375</v>
      </c>
      <c r="H9290" s="606"/>
    </row>
    <row r="9291" customFormat="false" ht="15" hidden="false" customHeight="false" outlineLevel="0" collapsed="false">
      <c r="A9291" s="571"/>
      <c r="B9291" s="500"/>
      <c r="C9291" s="860" t="s">
        <v>5864</v>
      </c>
      <c r="D9291" s="316" t="s">
        <v>4133</v>
      </c>
      <c r="E9291" s="954" t="n">
        <v>0.01</v>
      </c>
      <c r="F9291" s="617" t="n">
        <v>1995</v>
      </c>
      <c r="G9291" s="615" t="n">
        <f aca="false">E9291*F9291</f>
        <v>19.95</v>
      </c>
      <c r="H9291" s="606"/>
    </row>
    <row r="9292" customFormat="false" ht="15" hidden="false" customHeight="false" outlineLevel="0" collapsed="false">
      <c r="A9292" s="571"/>
      <c r="B9292" s="500"/>
      <c r="C9292" s="860" t="s">
        <v>4645</v>
      </c>
      <c r="D9292" s="316" t="s">
        <v>4133</v>
      </c>
      <c r="E9292" s="954" t="n">
        <v>0.01</v>
      </c>
      <c r="F9292" s="617" t="n">
        <v>15168</v>
      </c>
      <c r="G9292" s="615" t="n">
        <f aca="false">E9292*F9292</f>
        <v>151.68</v>
      </c>
      <c r="H9292" s="606"/>
    </row>
    <row r="9293" customFormat="false" ht="15" hidden="false" customHeight="false" outlineLevel="0" collapsed="false">
      <c r="A9293" s="571"/>
      <c r="B9293" s="500"/>
      <c r="C9293" s="860" t="s">
        <v>4515</v>
      </c>
      <c r="D9293" s="316" t="s">
        <v>4133</v>
      </c>
      <c r="E9293" s="954" t="n">
        <v>0.1</v>
      </c>
      <c r="F9293" s="681" t="n">
        <v>350</v>
      </c>
      <c r="G9293" s="615" t="n">
        <f aca="false">E9293*F9293</f>
        <v>35</v>
      </c>
      <c r="H9293" s="606"/>
    </row>
    <row r="9294" customFormat="false" ht="15" hidden="false" customHeight="false" outlineLevel="0" collapsed="false">
      <c r="A9294" s="571"/>
      <c r="B9294" s="608"/>
      <c r="C9294" s="860" t="s">
        <v>4776</v>
      </c>
      <c r="D9294" s="882" t="s">
        <v>4359</v>
      </c>
      <c r="E9294" s="954" t="n">
        <v>0.1</v>
      </c>
      <c r="F9294" s="617" t="n">
        <v>800</v>
      </c>
      <c r="G9294" s="615" t="n">
        <f aca="false">E9294*F9294</f>
        <v>80</v>
      </c>
      <c r="H9294" s="391"/>
    </row>
    <row r="9295" customFormat="false" ht="15" hidden="false" customHeight="false" outlineLevel="0" collapsed="false">
      <c r="A9295" s="571"/>
      <c r="B9295" s="608" t="s">
        <v>4128</v>
      </c>
      <c r="C9295" s="964"/>
      <c r="D9295" s="965"/>
      <c r="E9295" s="966"/>
      <c r="F9295" s="967"/>
      <c r="G9295" s="613" t="n">
        <f aca="false">SUM(G9280:G9294)</f>
        <v>1186.9215</v>
      </c>
      <c r="H9295" s="610"/>
    </row>
    <row r="9296" customFormat="false" ht="30" hidden="false" customHeight="false" outlineLevel="0" collapsed="false">
      <c r="A9296" s="571" t="s">
        <v>1840</v>
      </c>
      <c r="B9296" s="433" t="s">
        <v>3643</v>
      </c>
      <c r="C9296" s="21" t="s">
        <v>5855</v>
      </c>
      <c r="D9296" s="316" t="s">
        <v>4133</v>
      </c>
      <c r="E9296" s="954" t="n">
        <v>0.001</v>
      </c>
      <c r="F9296" s="617" t="n">
        <v>203735</v>
      </c>
      <c r="G9296" s="615" t="n">
        <f aca="false">E9296*F9296</f>
        <v>203.735</v>
      </c>
      <c r="H9296" s="606"/>
    </row>
    <row r="9297" customFormat="false" ht="15" hidden="false" customHeight="false" outlineLevel="0" collapsed="false">
      <c r="A9297" s="571"/>
      <c r="B9297" s="500"/>
      <c r="C9297" s="860" t="s">
        <v>5856</v>
      </c>
      <c r="D9297" s="316" t="s">
        <v>4359</v>
      </c>
      <c r="E9297" s="954" t="n">
        <v>0.001</v>
      </c>
      <c r="F9297" s="617" t="n">
        <v>168481</v>
      </c>
      <c r="G9297" s="615" t="n">
        <f aca="false">E9297*F9297</f>
        <v>168.481</v>
      </c>
      <c r="H9297" s="606"/>
    </row>
    <row r="9298" customFormat="false" ht="15" hidden="false" customHeight="false" outlineLevel="0" collapsed="false">
      <c r="A9298" s="571"/>
      <c r="B9298" s="608"/>
      <c r="C9298" s="860" t="s">
        <v>5824</v>
      </c>
      <c r="D9298" s="316" t="s">
        <v>4359</v>
      </c>
      <c r="E9298" s="954" t="n">
        <v>0.001</v>
      </c>
      <c r="F9298" s="617" t="n">
        <v>82115</v>
      </c>
      <c r="G9298" s="615" t="n">
        <f aca="false">E9298*F9298</f>
        <v>82.115</v>
      </c>
      <c r="H9298" s="391"/>
    </row>
    <row r="9299" customFormat="false" ht="15" hidden="false" customHeight="false" outlineLevel="0" collapsed="false">
      <c r="A9299" s="571"/>
      <c r="B9299" s="328"/>
      <c r="C9299" s="860" t="s">
        <v>5863</v>
      </c>
      <c r="D9299" s="316" t="n">
        <v>1</v>
      </c>
      <c r="E9299" s="954" t="n">
        <v>0.001</v>
      </c>
      <c r="F9299" s="617" t="n">
        <v>46585</v>
      </c>
      <c r="G9299" s="615" t="n">
        <f aca="false">E9299*F9299</f>
        <v>46.585</v>
      </c>
      <c r="H9299" s="606"/>
    </row>
    <row r="9300" customFormat="false" ht="15" hidden="false" customHeight="false" outlineLevel="0" collapsed="false">
      <c r="A9300" s="571"/>
      <c r="B9300" s="500"/>
      <c r="C9300" s="860" t="s">
        <v>5859</v>
      </c>
      <c r="D9300" s="316" t="s">
        <v>4528</v>
      </c>
      <c r="E9300" s="954" t="n">
        <v>0.01</v>
      </c>
      <c r="F9300" s="617" t="n">
        <v>1995</v>
      </c>
      <c r="G9300" s="615" t="n">
        <f aca="false">E9300*F9300</f>
        <v>19.95</v>
      </c>
      <c r="H9300" s="606"/>
    </row>
    <row r="9301" customFormat="false" ht="15" hidden="false" customHeight="false" outlineLevel="0" collapsed="false">
      <c r="A9301" s="571"/>
      <c r="B9301" s="500"/>
      <c r="C9301" s="860" t="s">
        <v>5819</v>
      </c>
      <c r="D9301" s="316" t="s">
        <v>4191</v>
      </c>
      <c r="E9301" s="954" t="n">
        <v>0.01</v>
      </c>
      <c r="F9301" s="617" t="n">
        <v>316.4</v>
      </c>
      <c r="G9301" s="615" t="n">
        <f aca="false">E9301*F9301</f>
        <v>3.164</v>
      </c>
      <c r="H9301" s="606"/>
    </row>
    <row r="9302" customFormat="false" ht="15" hidden="false" customHeight="false" outlineLevel="0" collapsed="false">
      <c r="A9302" s="571"/>
      <c r="B9302" s="500"/>
      <c r="C9302" s="860" t="s">
        <v>5826</v>
      </c>
      <c r="D9302" s="316" t="s">
        <v>4191</v>
      </c>
      <c r="E9302" s="954" t="n">
        <v>0.01</v>
      </c>
      <c r="F9302" s="617" t="n">
        <v>366.25</v>
      </c>
      <c r="G9302" s="615" t="n">
        <f aca="false">E9302*F9302</f>
        <v>3.6625</v>
      </c>
      <c r="H9302" s="606"/>
    </row>
    <row r="9303" customFormat="false" ht="15" hidden="false" customHeight="false" outlineLevel="0" collapsed="false">
      <c r="A9303" s="571"/>
      <c r="B9303" s="500"/>
      <c r="C9303" s="860" t="s">
        <v>5820</v>
      </c>
      <c r="D9303" s="316" t="s">
        <v>4191</v>
      </c>
      <c r="E9303" s="954" t="n">
        <v>0.01</v>
      </c>
      <c r="F9303" s="617" t="n">
        <v>650</v>
      </c>
      <c r="G9303" s="615" t="n">
        <f aca="false">E9303*F9303</f>
        <v>6.5</v>
      </c>
      <c r="H9303" s="606"/>
    </row>
    <row r="9304" customFormat="false" ht="15" hidden="false" customHeight="false" outlineLevel="0" collapsed="false">
      <c r="A9304" s="571"/>
      <c r="B9304" s="500"/>
      <c r="C9304" s="21" t="s">
        <v>5857</v>
      </c>
      <c r="D9304" s="874" t="s">
        <v>4528</v>
      </c>
      <c r="E9304" s="959" t="n">
        <v>0.001</v>
      </c>
      <c r="F9304" s="883" t="n">
        <v>175794</v>
      </c>
      <c r="G9304" s="615" t="n">
        <f aca="false">E9304*F9304</f>
        <v>175.794</v>
      </c>
      <c r="H9304" s="606"/>
    </row>
    <row r="9305" customFormat="false" ht="15" hidden="false" customHeight="false" outlineLevel="0" collapsed="false">
      <c r="A9305" s="571"/>
      <c r="B9305" s="500"/>
      <c r="C9305" s="860" t="s">
        <v>5816</v>
      </c>
      <c r="D9305" s="316" t="s">
        <v>4191</v>
      </c>
      <c r="E9305" s="954" t="n">
        <v>0.001</v>
      </c>
      <c r="F9305" s="681" t="n">
        <v>144704</v>
      </c>
      <c r="G9305" s="615" t="n">
        <f aca="false">E9305*F9305</f>
        <v>144.704</v>
      </c>
      <c r="H9305" s="606"/>
    </row>
    <row r="9306" customFormat="false" ht="15" hidden="false" customHeight="false" outlineLevel="0" collapsed="false">
      <c r="A9306" s="571"/>
      <c r="B9306" s="328"/>
      <c r="C9306" s="860" t="s">
        <v>4645</v>
      </c>
      <c r="D9306" s="316" t="s">
        <v>4133</v>
      </c>
      <c r="E9306" s="954" t="n">
        <v>0.01</v>
      </c>
      <c r="F9306" s="617" t="n">
        <v>15168</v>
      </c>
      <c r="G9306" s="615" t="n">
        <f aca="false">E9306*F9306</f>
        <v>151.68</v>
      </c>
      <c r="H9306" s="391"/>
    </row>
    <row r="9307" customFormat="false" ht="15" hidden="false" customHeight="false" outlineLevel="0" collapsed="false">
      <c r="A9307" s="571"/>
      <c r="B9307" s="500"/>
      <c r="C9307" s="860" t="s">
        <v>4515</v>
      </c>
      <c r="D9307" s="316" t="s">
        <v>4133</v>
      </c>
      <c r="E9307" s="954" t="n">
        <v>0.1</v>
      </c>
      <c r="F9307" s="681" t="n">
        <v>350</v>
      </c>
      <c r="G9307" s="615" t="n">
        <f aca="false">E9307*F9307</f>
        <v>35</v>
      </c>
      <c r="H9307" s="606"/>
    </row>
    <row r="9308" customFormat="false" ht="15" hidden="false" customHeight="false" outlineLevel="0" collapsed="false">
      <c r="A9308" s="571"/>
      <c r="B9308" s="500"/>
      <c r="C9308" s="860" t="s">
        <v>4776</v>
      </c>
      <c r="D9308" s="316" t="s">
        <v>4359</v>
      </c>
      <c r="E9308" s="954" t="n">
        <v>0.1</v>
      </c>
      <c r="F9308" s="617" t="n">
        <v>800</v>
      </c>
      <c r="G9308" s="615" t="n">
        <f aca="false">E9308*F9308</f>
        <v>80</v>
      </c>
      <c r="H9308" s="606"/>
    </row>
    <row r="9309" customFormat="false" ht="15" hidden="false" customHeight="false" outlineLevel="0" collapsed="false">
      <c r="A9309" s="571"/>
      <c r="B9309" s="608" t="s">
        <v>4128</v>
      </c>
      <c r="C9309" s="964"/>
      <c r="D9309" s="965"/>
      <c r="E9309" s="966"/>
      <c r="F9309" s="967"/>
      <c r="G9309" s="613" t="n">
        <f aca="false">SUM(G9296:G9308)</f>
        <v>1121.3705</v>
      </c>
      <c r="H9309" s="606"/>
    </row>
    <row r="9310" customFormat="false" ht="30" hidden="false" customHeight="false" outlineLevel="0" collapsed="false">
      <c r="A9310" s="571" t="s">
        <v>1841</v>
      </c>
      <c r="B9310" s="433" t="s">
        <v>3656</v>
      </c>
      <c r="C9310" s="860" t="s">
        <v>5860</v>
      </c>
      <c r="D9310" s="316" t="s">
        <v>4133</v>
      </c>
      <c r="E9310" s="954" t="n">
        <v>0.013</v>
      </c>
      <c r="F9310" s="617" t="n">
        <v>35035</v>
      </c>
      <c r="G9310" s="615" t="n">
        <f aca="false">E9310*F9310</f>
        <v>455.455</v>
      </c>
      <c r="H9310" s="606"/>
    </row>
    <row r="9311" customFormat="false" ht="15" hidden="false" customHeight="false" outlineLevel="0" collapsed="false">
      <c r="A9311" s="571"/>
      <c r="B9311" s="500"/>
      <c r="C9311" s="860" t="s">
        <v>5865</v>
      </c>
      <c r="D9311" s="316" t="s">
        <v>4133</v>
      </c>
      <c r="E9311" s="954" t="n">
        <v>0.001</v>
      </c>
      <c r="F9311" s="617" t="n">
        <v>68244</v>
      </c>
      <c r="G9311" s="615" t="n">
        <f aca="false">E9311*F9311</f>
        <v>68.244</v>
      </c>
      <c r="H9311" s="606"/>
    </row>
    <row r="9312" customFormat="false" ht="15" hidden="false" customHeight="false" outlineLevel="0" collapsed="false">
      <c r="A9312" s="571"/>
      <c r="B9312" s="500"/>
      <c r="C9312" s="860" t="s">
        <v>5823</v>
      </c>
      <c r="D9312" s="316" t="s">
        <v>4133</v>
      </c>
      <c r="E9312" s="954" t="n">
        <v>0.001</v>
      </c>
      <c r="F9312" s="617" t="n">
        <v>69797</v>
      </c>
      <c r="G9312" s="615" t="n">
        <f aca="false">E9312*F9312</f>
        <v>69.797</v>
      </c>
      <c r="H9312" s="606"/>
    </row>
    <row r="9313" customFormat="false" ht="15" hidden="false" customHeight="false" outlineLevel="0" collapsed="false">
      <c r="A9313" s="571"/>
      <c r="B9313" s="500"/>
      <c r="C9313" s="860" t="s">
        <v>5818</v>
      </c>
      <c r="D9313" s="316" t="s">
        <v>4133</v>
      </c>
      <c r="E9313" s="954" t="n">
        <v>0.001</v>
      </c>
      <c r="F9313" s="617" t="n">
        <v>67687</v>
      </c>
      <c r="G9313" s="615" t="n">
        <f aca="false">E9313*F9313</f>
        <v>67.687</v>
      </c>
      <c r="H9313" s="606"/>
    </row>
    <row r="9314" customFormat="false" ht="15" hidden="false" customHeight="false" outlineLevel="0" collapsed="false">
      <c r="A9314" s="571"/>
      <c r="B9314" s="500"/>
      <c r="C9314" s="860" t="s">
        <v>5836</v>
      </c>
      <c r="D9314" s="316" t="s">
        <v>4133</v>
      </c>
      <c r="E9314" s="954" t="n">
        <v>0.001</v>
      </c>
      <c r="F9314" s="617" t="n">
        <v>10500</v>
      </c>
      <c r="G9314" s="615" t="n">
        <f aca="false">E9314*F9314</f>
        <v>10.5</v>
      </c>
      <c r="H9314" s="606"/>
    </row>
    <row r="9315" customFormat="false" ht="15" hidden="false" customHeight="false" outlineLevel="0" collapsed="false">
      <c r="A9315" s="571"/>
      <c r="B9315" s="608"/>
      <c r="C9315" s="860" t="s">
        <v>5825</v>
      </c>
      <c r="D9315" s="316" t="s">
        <v>4191</v>
      </c>
      <c r="E9315" s="954" t="n">
        <v>0.01</v>
      </c>
      <c r="F9315" s="883" t="n">
        <v>8468</v>
      </c>
      <c r="G9315" s="615" t="n">
        <f aca="false">E9315*F9315</f>
        <v>84.68</v>
      </c>
      <c r="H9315" s="810"/>
    </row>
    <row r="9316" customFormat="false" ht="15" hidden="false" customHeight="false" outlineLevel="0" collapsed="false">
      <c r="A9316" s="571"/>
      <c r="B9316" s="328"/>
      <c r="C9316" s="860" t="s">
        <v>5841</v>
      </c>
      <c r="D9316" s="316" t="s">
        <v>5564</v>
      </c>
      <c r="E9316" s="954" t="n">
        <v>0.001</v>
      </c>
      <c r="F9316" s="617" t="n">
        <v>10500</v>
      </c>
      <c r="G9316" s="615" t="n">
        <f aca="false">E9316*F9316</f>
        <v>10.5</v>
      </c>
      <c r="H9316" s="606"/>
    </row>
    <row r="9317" customFormat="false" ht="15" hidden="false" customHeight="false" outlineLevel="0" collapsed="false">
      <c r="A9317" s="571"/>
      <c r="B9317" s="500"/>
      <c r="C9317" s="860" t="s">
        <v>5824</v>
      </c>
      <c r="D9317" s="316" t="s">
        <v>4528</v>
      </c>
      <c r="E9317" s="954" t="n">
        <v>0.001</v>
      </c>
      <c r="F9317" s="617" t="n">
        <v>82115</v>
      </c>
      <c r="G9317" s="615" t="n">
        <f aca="false">E9317*F9317</f>
        <v>82.115</v>
      </c>
      <c r="H9317" s="606"/>
    </row>
    <row r="9318" customFormat="false" ht="15" hidden="false" customHeight="false" outlineLevel="0" collapsed="false">
      <c r="A9318" s="571"/>
      <c r="B9318" s="500"/>
      <c r="C9318" s="860" t="s">
        <v>5819</v>
      </c>
      <c r="D9318" s="316" t="s">
        <v>4191</v>
      </c>
      <c r="E9318" s="954" t="n">
        <v>0.01</v>
      </c>
      <c r="F9318" s="617" t="n">
        <v>316.4</v>
      </c>
      <c r="G9318" s="615" t="n">
        <f aca="false">E9318*F9318</f>
        <v>3.164</v>
      </c>
      <c r="H9318" s="606"/>
    </row>
    <row r="9319" customFormat="false" ht="15" hidden="false" customHeight="false" outlineLevel="0" collapsed="false">
      <c r="A9319" s="571"/>
      <c r="B9319" s="500"/>
      <c r="C9319" s="860" t="s">
        <v>5826</v>
      </c>
      <c r="D9319" s="316" t="s">
        <v>4191</v>
      </c>
      <c r="E9319" s="954" t="n">
        <v>0.01</v>
      </c>
      <c r="F9319" s="617" t="n">
        <v>366.25</v>
      </c>
      <c r="G9319" s="615" t="n">
        <f aca="false">E9319*F9319</f>
        <v>3.6625</v>
      </c>
      <c r="H9319" s="606"/>
    </row>
    <row r="9320" customFormat="false" ht="15" hidden="false" customHeight="false" outlineLevel="0" collapsed="false">
      <c r="A9320" s="571"/>
      <c r="B9320" s="500"/>
      <c r="C9320" s="860" t="s">
        <v>5820</v>
      </c>
      <c r="D9320" s="316" t="s">
        <v>4191</v>
      </c>
      <c r="E9320" s="954" t="n">
        <v>0.01</v>
      </c>
      <c r="F9320" s="617" t="n">
        <v>650</v>
      </c>
      <c r="G9320" s="615" t="n">
        <f aca="false">E9320*F9320</f>
        <v>6.5</v>
      </c>
      <c r="H9320" s="606"/>
    </row>
    <row r="9321" customFormat="false" ht="15" hidden="false" customHeight="false" outlineLevel="0" collapsed="false">
      <c r="A9321" s="571"/>
      <c r="B9321" s="500"/>
      <c r="C9321" s="860" t="s">
        <v>5859</v>
      </c>
      <c r="D9321" s="316" t="s">
        <v>4359</v>
      </c>
      <c r="E9321" s="661" t="n">
        <v>0.01</v>
      </c>
      <c r="F9321" s="617" t="n">
        <v>1995</v>
      </c>
      <c r="G9321" s="615" t="n">
        <f aca="false">E9321*F9321</f>
        <v>19.95</v>
      </c>
      <c r="H9321" s="606"/>
    </row>
    <row r="9322" customFormat="false" ht="15" hidden="false" customHeight="false" outlineLevel="0" collapsed="false">
      <c r="A9322" s="571"/>
      <c r="B9322" s="500"/>
      <c r="C9322" s="21" t="s">
        <v>5844</v>
      </c>
      <c r="D9322" s="316" t="s">
        <v>4191</v>
      </c>
      <c r="E9322" s="954" t="n">
        <v>0.001</v>
      </c>
      <c r="F9322" s="883" t="n">
        <v>74415</v>
      </c>
      <c r="G9322" s="615" t="n">
        <f aca="false">E9322*F9322</f>
        <v>74.415</v>
      </c>
      <c r="H9322" s="606"/>
    </row>
    <row r="9323" customFormat="false" ht="15" hidden="false" customHeight="false" outlineLevel="0" collapsed="false">
      <c r="A9323" s="571"/>
      <c r="B9323" s="608"/>
      <c r="C9323" s="860" t="s">
        <v>4515</v>
      </c>
      <c r="D9323" s="316" t="s">
        <v>4133</v>
      </c>
      <c r="E9323" s="954" t="n">
        <v>0.1</v>
      </c>
      <c r="F9323" s="681" t="n">
        <v>350</v>
      </c>
      <c r="G9323" s="615" t="n">
        <f aca="false">E9323*F9323</f>
        <v>35</v>
      </c>
      <c r="H9323" s="391"/>
    </row>
    <row r="9324" customFormat="false" ht="15" hidden="false" customHeight="false" outlineLevel="0" collapsed="false">
      <c r="A9324" s="571"/>
      <c r="B9324" s="328"/>
      <c r="C9324" s="860" t="s">
        <v>4776</v>
      </c>
      <c r="D9324" s="316" t="s">
        <v>4528</v>
      </c>
      <c r="E9324" s="954" t="n">
        <v>0.1</v>
      </c>
      <c r="F9324" s="617" t="n">
        <v>800</v>
      </c>
      <c r="G9324" s="615" t="n">
        <f aca="false">E9324*F9324</f>
        <v>80</v>
      </c>
      <c r="H9324" s="606"/>
    </row>
    <row r="9325" customFormat="false" ht="15" hidden="false" customHeight="false" outlineLevel="0" collapsed="false">
      <c r="A9325" s="571"/>
      <c r="B9325" s="608" t="s">
        <v>4128</v>
      </c>
      <c r="C9325" s="964"/>
      <c r="D9325" s="965"/>
      <c r="E9325" s="966"/>
      <c r="F9325" s="967"/>
      <c r="G9325" s="613" t="n">
        <f aca="false">SUM(G9310:G9324)</f>
        <v>1071.6695</v>
      </c>
      <c r="H9325" s="610"/>
    </row>
    <row r="9326" customFormat="false" ht="30" hidden="false" customHeight="false" outlineLevel="0" collapsed="false">
      <c r="A9326" s="571" t="s">
        <v>1843</v>
      </c>
      <c r="B9326" s="433" t="s">
        <v>3657</v>
      </c>
      <c r="C9326" s="860" t="s">
        <v>5865</v>
      </c>
      <c r="D9326" s="316" t="s">
        <v>4133</v>
      </c>
      <c r="E9326" s="954" t="n">
        <v>0.001</v>
      </c>
      <c r="F9326" s="617" t="n">
        <v>68244</v>
      </c>
      <c r="G9326" s="615" t="n">
        <f aca="false">E9326*F9326</f>
        <v>68.244</v>
      </c>
      <c r="H9326" s="606"/>
    </row>
    <row r="9327" customFormat="false" ht="15" hidden="false" customHeight="false" outlineLevel="0" collapsed="false">
      <c r="A9327" s="571"/>
      <c r="B9327" s="608"/>
      <c r="C9327" s="860" t="s">
        <v>5823</v>
      </c>
      <c r="D9327" s="316" t="s">
        <v>4133</v>
      </c>
      <c r="E9327" s="954" t="n">
        <v>0.001</v>
      </c>
      <c r="F9327" s="617" t="n">
        <v>69797</v>
      </c>
      <c r="G9327" s="615" t="n">
        <f aca="false">E9327*F9327</f>
        <v>69.797</v>
      </c>
      <c r="H9327" s="391"/>
    </row>
    <row r="9328" customFormat="false" ht="15" hidden="false" customHeight="false" outlineLevel="0" collapsed="false">
      <c r="A9328" s="571"/>
      <c r="B9328" s="328"/>
      <c r="C9328" s="860" t="s">
        <v>5818</v>
      </c>
      <c r="D9328" s="316" t="s">
        <v>4133</v>
      </c>
      <c r="E9328" s="954" t="n">
        <v>0.001</v>
      </c>
      <c r="F9328" s="617" t="n">
        <v>67687</v>
      </c>
      <c r="G9328" s="615" t="n">
        <f aca="false">E9328*F9328</f>
        <v>67.687</v>
      </c>
      <c r="H9328" s="606"/>
    </row>
    <row r="9329" customFormat="false" ht="15" hidden="false" customHeight="false" outlineLevel="0" collapsed="false">
      <c r="A9329" s="571"/>
      <c r="B9329" s="500"/>
      <c r="C9329" s="860" t="s">
        <v>5836</v>
      </c>
      <c r="D9329" s="316" t="s">
        <v>4133</v>
      </c>
      <c r="E9329" s="954" t="n">
        <v>0.001</v>
      </c>
      <c r="F9329" s="617" t="n">
        <v>10500</v>
      </c>
      <c r="G9329" s="615" t="n">
        <f aca="false">E9329*F9329</f>
        <v>10.5</v>
      </c>
      <c r="H9329" s="606"/>
    </row>
    <row r="9330" customFormat="false" ht="15" hidden="false" customHeight="false" outlineLevel="0" collapsed="false">
      <c r="A9330" s="571"/>
      <c r="B9330" s="500"/>
      <c r="C9330" s="860" t="s">
        <v>5825</v>
      </c>
      <c r="D9330" s="316" t="s">
        <v>5452</v>
      </c>
      <c r="E9330" s="954" t="n">
        <v>0.001</v>
      </c>
      <c r="F9330" s="883" t="n">
        <v>8468</v>
      </c>
      <c r="G9330" s="615" t="n">
        <f aca="false">E9330*F9330</f>
        <v>8.468</v>
      </c>
      <c r="H9330" s="606"/>
    </row>
    <row r="9331" customFormat="false" ht="15" hidden="false" customHeight="false" outlineLevel="0" collapsed="false">
      <c r="A9331" s="571"/>
      <c r="B9331" s="500"/>
      <c r="C9331" s="860" t="s">
        <v>5841</v>
      </c>
      <c r="D9331" s="316" t="s">
        <v>5564</v>
      </c>
      <c r="E9331" s="954" t="n">
        <v>0.001</v>
      </c>
      <c r="F9331" s="617" t="n">
        <v>10500</v>
      </c>
      <c r="G9331" s="615" t="n">
        <f aca="false">E9331*F9331</f>
        <v>10.5</v>
      </c>
      <c r="H9331" s="606"/>
    </row>
    <row r="9332" customFormat="false" ht="15" hidden="false" customHeight="false" outlineLevel="0" collapsed="false">
      <c r="A9332" s="571"/>
      <c r="B9332" s="500"/>
      <c r="C9332" s="860" t="s">
        <v>5824</v>
      </c>
      <c r="D9332" s="316" t="s">
        <v>4528</v>
      </c>
      <c r="E9332" s="954" t="n">
        <v>0.001</v>
      </c>
      <c r="F9332" s="617" t="n">
        <v>82115</v>
      </c>
      <c r="G9332" s="615" t="n">
        <f aca="false">E9332*F9332</f>
        <v>82.115</v>
      </c>
      <c r="H9332" s="606"/>
    </row>
    <row r="9333" customFormat="false" ht="15" hidden="false" customHeight="false" outlineLevel="0" collapsed="false">
      <c r="A9333" s="571"/>
      <c r="B9333" s="500"/>
      <c r="C9333" s="860" t="s">
        <v>5819</v>
      </c>
      <c r="D9333" s="316" t="s">
        <v>4191</v>
      </c>
      <c r="E9333" s="954" t="n">
        <v>0.01</v>
      </c>
      <c r="F9333" s="617" t="n">
        <v>316.4</v>
      </c>
      <c r="G9333" s="615" t="n">
        <f aca="false">E9333*F9333</f>
        <v>3.164</v>
      </c>
      <c r="H9333" s="606"/>
    </row>
    <row r="9334" customFormat="false" ht="15" hidden="false" customHeight="false" outlineLevel="0" collapsed="false">
      <c r="A9334" s="571"/>
      <c r="B9334" s="608"/>
      <c r="C9334" s="860" t="s">
        <v>5826</v>
      </c>
      <c r="D9334" s="316" t="s">
        <v>4191</v>
      </c>
      <c r="E9334" s="954" t="n">
        <v>0.01</v>
      </c>
      <c r="F9334" s="617" t="n">
        <v>366.25</v>
      </c>
      <c r="G9334" s="615" t="n">
        <f aca="false">E9334*F9334</f>
        <v>3.6625</v>
      </c>
      <c r="H9334" s="391"/>
    </row>
    <row r="9335" customFormat="false" ht="15" hidden="false" customHeight="false" outlineLevel="0" collapsed="false">
      <c r="A9335" s="571"/>
      <c r="B9335" s="500"/>
      <c r="C9335" s="860" t="s">
        <v>5820</v>
      </c>
      <c r="D9335" s="316" t="s">
        <v>4191</v>
      </c>
      <c r="E9335" s="954" t="n">
        <v>0.01</v>
      </c>
      <c r="F9335" s="617" t="n">
        <v>650</v>
      </c>
      <c r="G9335" s="615" t="n">
        <f aca="false">E9335*F9335</f>
        <v>6.5</v>
      </c>
      <c r="H9335" s="606"/>
    </row>
    <row r="9336" customFormat="false" ht="15" hidden="false" customHeight="false" outlineLevel="0" collapsed="false">
      <c r="A9336" s="571"/>
      <c r="B9336" s="500"/>
      <c r="C9336" s="860" t="s">
        <v>5859</v>
      </c>
      <c r="D9336" s="316" t="s">
        <v>4528</v>
      </c>
      <c r="E9336" s="954" t="n">
        <v>0.01</v>
      </c>
      <c r="F9336" s="617" t="n">
        <v>1995</v>
      </c>
      <c r="G9336" s="615" t="n">
        <f aca="false">E9336*F9336</f>
        <v>19.95</v>
      </c>
      <c r="H9336" s="606"/>
    </row>
    <row r="9337" customFormat="false" ht="15" hidden="false" customHeight="false" outlineLevel="0" collapsed="false">
      <c r="A9337" s="571"/>
      <c r="B9337" s="608"/>
      <c r="C9337" s="21" t="s">
        <v>5844</v>
      </c>
      <c r="D9337" s="316" t="s">
        <v>4191</v>
      </c>
      <c r="E9337" s="954" t="n">
        <v>0.001</v>
      </c>
      <c r="F9337" s="883" t="n">
        <v>74415</v>
      </c>
      <c r="G9337" s="615" t="n">
        <f aca="false">E9337*F9337</f>
        <v>74.415</v>
      </c>
      <c r="H9337" s="391"/>
    </row>
    <row r="9338" customFormat="false" ht="15" hidden="false" customHeight="false" outlineLevel="0" collapsed="false">
      <c r="A9338" s="571"/>
      <c r="B9338" s="500"/>
      <c r="C9338" s="860" t="s">
        <v>4515</v>
      </c>
      <c r="D9338" s="316" t="s">
        <v>4133</v>
      </c>
      <c r="E9338" s="954" t="n">
        <v>0.1</v>
      </c>
      <c r="F9338" s="681" t="n">
        <v>350</v>
      </c>
      <c r="G9338" s="615" t="n">
        <f aca="false">E9338*F9338</f>
        <v>35</v>
      </c>
      <c r="H9338" s="606"/>
    </row>
    <row r="9339" customFormat="false" ht="15" hidden="false" customHeight="false" outlineLevel="0" collapsed="false">
      <c r="A9339" s="571"/>
      <c r="B9339" s="500"/>
      <c r="C9339" s="860" t="s">
        <v>5816</v>
      </c>
      <c r="D9339" s="316" t="s">
        <v>4191</v>
      </c>
      <c r="E9339" s="954" t="n">
        <v>0.0045</v>
      </c>
      <c r="F9339" s="681" t="n">
        <v>144704</v>
      </c>
      <c r="G9339" s="615" t="n">
        <f aca="false">E9339*F9339</f>
        <v>651.168</v>
      </c>
      <c r="H9339" s="606"/>
    </row>
    <row r="9340" customFormat="false" ht="15" hidden="false" customHeight="false" outlineLevel="0" collapsed="false">
      <c r="A9340" s="571"/>
      <c r="B9340" s="500"/>
      <c r="C9340" s="860" t="s">
        <v>4776</v>
      </c>
      <c r="D9340" s="316" t="s">
        <v>4528</v>
      </c>
      <c r="E9340" s="954" t="n">
        <v>0.2</v>
      </c>
      <c r="F9340" s="617" t="n">
        <v>800</v>
      </c>
      <c r="G9340" s="615" t="n">
        <f aca="false">E9340*F9340</f>
        <v>160</v>
      </c>
      <c r="H9340" s="606"/>
    </row>
    <row r="9341" customFormat="false" ht="15" hidden="false" customHeight="false" outlineLevel="0" collapsed="false">
      <c r="A9341" s="571"/>
      <c r="B9341" s="608" t="s">
        <v>4128</v>
      </c>
      <c r="C9341" s="709"/>
      <c r="D9341" s="606"/>
      <c r="E9341" s="606"/>
      <c r="F9341" s="361"/>
      <c r="G9341" s="613" t="n">
        <f aca="false">SUM(G9326:G9340)</f>
        <v>1271.1705</v>
      </c>
      <c r="H9341" s="606"/>
    </row>
    <row r="9342" customFormat="false" ht="45" hidden="false" customHeight="false" outlineLevel="0" collapsed="false">
      <c r="A9342" s="571" t="s">
        <v>1845</v>
      </c>
      <c r="B9342" s="433" t="s">
        <v>3658</v>
      </c>
      <c r="C9342" s="855" t="s">
        <v>5828</v>
      </c>
      <c r="D9342" s="316" t="s">
        <v>4133</v>
      </c>
      <c r="E9342" s="661" t="n">
        <v>0.001</v>
      </c>
      <c r="F9342" s="617" t="n">
        <v>91113</v>
      </c>
      <c r="G9342" s="615" t="n">
        <f aca="false">E9342*F9342</f>
        <v>91.113</v>
      </c>
      <c r="H9342" s="606"/>
    </row>
    <row r="9343" customFormat="false" ht="15" hidden="false" customHeight="false" outlineLevel="0" collapsed="false">
      <c r="A9343" s="571"/>
      <c r="B9343" s="500"/>
      <c r="C9343" s="855" t="s">
        <v>5866</v>
      </c>
      <c r="D9343" s="316" t="s">
        <v>4133</v>
      </c>
      <c r="E9343" s="661" t="n">
        <v>0.001</v>
      </c>
      <c r="F9343" s="617" t="n">
        <v>79662</v>
      </c>
      <c r="G9343" s="615" t="n">
        <f aca="false">E9343*F9343</f>
        <v>79.662</v>
      </c>
      <c r="H9343" s="606"/>
    </row>
    <row r="9344" customFormat="false" ht="15" hidden="false" customHeight="false" outlineLevel="0" collapsed="false">
      <c r="A9344" s="571"/>
      <c r="B9344" s="500"/>
      <c r="C9344" s="855" t="s">
        <v>5829</v>
      </c>
      <c r="D9344" s="316" t="s">
        <v>4348</v>
      </c>
      <c r="E9344" s="954" t="n">
        <v>0.001</v>
      </c>
      <c r="F9344" s="617" t="n">
        <v>150375</v>
      </c>
      <c r="G9344" s="615" t="n">
        <f aca="false">E9344*F9344</f>
        <v>150.375</v>
      </c>
      <c r="H9344" s="606"/>
    </row>
    <row r="9345" customFormat="false" ht="15" hidden="false" customHeight="false" outlineLevel="0" collapsed="false">
      <c r="A9345" s="571"/>
      <c r="B9345" s="500"/>
      <c r="C9345" s="855" t="s">
        <v>5824</v>
      </c>
      <c r="D9345" s="316" t="s">
        <v>4528</v>
      </c>
      <c r="E9345" s="954" t="n">
        <v>0.001</v>
      </c>
      <c r="F9345" s="617" t="n">
        <v>82115</v>
      </c>
      <c r="G9345" s="615" t="n">
        <f aca="false">E9345*F9345</f>
        <v>82.115</v>
      </c>
      <c r="H9345" s="606"/>
    </row>
    <row r="9346" customFormat="false" ht="15" hidden="false" customHeight="false" outlineLevel="0" collapsed="false">
      <c r="A9346" s="571"/>
      <c r="B9346" s="500"/>
      <c r="C9346" s="855" t="s">
        <v>5819</v>
      </c>
      <c r="D9346" s="316" t="s">
        <v>4191</v>
      </c>
      <c r="E9346" s="954" t="n">
        <v>0.01</v>
      </c>
      <c r="F9346" s="883" t="n">
        <v>316.4</v>
      </c>
      <c r="G9346" s="615" t="n">
        <f aca="false">E9346*F9346</f>
        <v>3.164</v>
      </c>
      <c r="H9346" s="606"/>
    </row>
    <row r="9347" customFormat="false" ht="15" hidden="false" customHeight="false" outlineLevel="0" collapsed="false">
      <c r="A9347" s="571"/>
      <c r="B9347" s="500"/>
      <c r="C9347" s="855" t="s">
        <v>5826</v>
      </c>
      <c r="D9347" s="316" t="s">
        <v>4191</v>
      </c>
      <c r="E9347" s="954" t="n">
        <v>0.01</v>
      </c>
      <c r="F9347" s="617" t="n">
        <v>366.25</v>
      </c>
      <c r="G9347" s="615" t="n">
        <f aca="false">E9347*F9347</f>
        <v>3.6625</v>
      </c>
      <c r="H9347" s="606"/>
    </row>
    <row r="9348" customFormat="false" ht="15" hidden="false" customHeight="false" outlineLevel="0" collapsed="false">
      <c r="A9348" s="571"/>
      <c r="B9348" s="328"/>
      <c r="C9348" s="855" t="s">
        <v>5861</v>
      </c>
      <c r="D9348" s="316" t="s">
        <v>5452</v>
      </c>
      <c r="E9348" s="954" t="n">
        <v>0.001</v>
      </c>
      <c r="F9348" s="617" t="n">
        <v>150375</v>
      </c>
      <c r="G9348" s="615" t="n">
        <f aca="false">E9348*F9348</f>
        <v>150.375</v>
      </c>
      <c r="H9348" s="606"/>
    </row>
    <row r="9349" customFormat="false" ht="15" hidden="false" customHeight="false" outlineLevel="0" collapsed="false">
      <c r="A9349" s="571"/>
      <c r="B9349" s="500"/>
      <c r="C9349" s="855" t="s">
        <v>4515</v>
      </c>
      <c r="D9349" s="316" t="s">
        <v>5564</v>
      </c>
      <c r="E9349" s="954" t="n">
        <v>0.1</v>
      </c>
      <c r="F9349" s="681" t="n">
        <v>350</v>
      </c>
      <c r="G9349" s="615" t="n">
        <f aca="false">E9349*F9349</f>
        <v>35</v>
      </c>
      <c r="H9349" s="606"/>
    </row>
    <row r="9350" customFormat="false" ht="15" hidden="false" customHeight="false" outlineLevel="0" collapsed="false">
      <c r="A9350" s="571"/>
      <c r="B9350" s="500"/>
      <c r="C9350" s="855" t="s">
        <v>4776</v>
      </c>
      <c r="D9350" s="316" t="s">
        <v>4359</v>
      </c>
      <c r="E9350" s="954" t="n">
        <v>0.5</v>
      </c>
      <c r="F9350" s="617" t="n">
        <v>800</v>
      </c>
      <c r="G9350" s="615" t="n">
        <f aca="false">E9350*F9350</f>
        <v>400</v>
      </c>
      <c r="H9350" s="606"/>
    </row>
    <row r="9351" customFormat="false" ht="15" hidden="false" customHeight="false" outlineLevel="0" collapsed="false">
      <c r="A9351" s="571"/>
      <c r="B9351" s="608" t="s">
        <v>4128</v>
      </c>
      <c r="C9351" s="855"/>
      <c r="D9351" s="316"/>
      <c r="E9351" s="954"/>
      <c r="F9351" s="617"/>
      <c r="G9351" s="613" t="n">
        <f aca="false">SUM(G9342:G9350)</f>
        <v>995.4665</v>
      </c>
      <c r="H9351" s="606"/>
    </row>
    <row r="9352" customFormat="false" ht="30" hidden="false" customHeight="false" outlineLevel="0" collapsed="false">
      <c r="A9352" s="571" t="s">
        <v>1847</v>
      </c>
      <c r="B9352" s="433" t="s">
        <v>3659</v>
      </c>
      <c r="C9352" s="855" t="s">
        <v>5828</v>
      </c>
      <c r="D9352" s="316" t="s">
        <v>4133</v>
      </c>
      <c r="E9352" s="661" t="n">
        <v>0.001</v>
      </c>
      <c r="F9352" s="617" t="n">
        <v>91113</v>
      </c>
      <c r="G9352" s="615" t="n">
        <f aca="false">E9352*F9352</f>
        <v>91.113</v>
      </c>
      <c r="H9352" s="606"/>
    </row>
    <row r="9353" customFormat="false" ht="15" hidden="false" customHeight="false" outlineLevel="0" collapsed="false">
      <c r="A9353" s="571"/>
      <c r="B9353" s="500"/>
      <c r="C9353" s="855" t="s">
        <v>5866</v>
      </c>
      <c r="D9353" s="316" t="s">
        <v>4133</v>
      </c>
      <c r="E9353" s="661" t="n">
        <v>0.0009</v>
      </c>
      <c r="F9353" s="617" t="n">
        <v>79662</v>
      </c>
      <c r="G9353" s="615" t="n">
        <f aca="false">E9353*F9353</f>
        <v>71.6958</v>
      </c>
      <c r="H9353" s="606"/>
    </row>
    <row r="9354" customFormat="false" ht="15" hidden="false" customHeight="false" outlineLevel="0" collapsed="false">
      <c r="A9354" s="571"/>
      <c r="B9354" s="608"/>
      <c r="C9354" s="855" t="s">
        <v>5829</v>
      </c>
      <c r="D9354" s="316" t="s">
        <v>4348</v>
      </c>
      <c r="E9354" s="954" t="n">
        <v>0.0006</v>
      </c>
      <c r="F9354" s="617" t="n">
        <v>150375</v>
      </c>
      <c r="G9354" s="615" t="n">
        <f aca="false">E9354*F9354</f>
        <v>90.225</v>
      </c>
      <c r="H9354" s="391"/>
    </row>
    <row r="9355" customFormat="false" ht="15" hidden="false" customHeight="false" outlineLevel="0" collapsed="false">
      <c r="A9355" s="571"/>
      <c r="B9355" s="328"/>
      <c r="C9355" s="855" t="s">
        <v>5824</v>
      </c>
      <c r="D9355" s="316" t="s">
        <v>4528</v>
      </c>
      <c r="E9355" s="954" t="n">
        <v>0.001</v>
      </c>
      <c r="F9355" s="617" t="n">
        <v>82115</v>
      </c>
      <c r="G9355" s="615" t="n">
        <f aca="false">E9355*F9355</f>
        <v>82.115</v>
      </c>
      <c r="H9355" s="606"/>
    </row>
    <row r="9356" customFormat="false" ht="15" hidden="false" customHeight="false" outlineLevel="0" collapsed="false">
      <c r="A9356" s="571"/>
      <c r="B9356" s="500"/>
      <c r="C9356" s="855" t="s">
        <v>5819</v>
      </c>
      <c r="D9356" s="316" t="s">
        <v>4191</v>
      </c>
      <c r="E9356" s="954" t="n">
        <v>0.01</v>
      </c>
      <c r="F9356" s="883" t="n">
        <v>316.4</v>
      </c>
      <c r="G9356" s="615" t="n">
        <f aca="false">E9356*F9356</f>
        <v>3.164</v>
      </c>
      <c r="H9356" s="606"/>
    </row>
    <row r="9357" customFormat="false" ht="15" hidden="false" customHeight="false" outlineLevel="0" collapsed="false">
      <c r="A9357" s="571"/>
      <c r="B9357" s="500"/>
      <c r="C9357" s="855" t="s">
        <v>5826</v>
      </c>
      <c r="D9357" s="316" t="s">
        <v>4191</v>
      </c>
      <c r="E9357" s="954" t="n">
        <v>0.01</v>
      </c>
      <c r="F9357" s="617" t="n">
        <v>366.25</v>
      </c>
      <c r="G9357" s="615" t="n">
        <f aca="false">E9357*F9357</f>
        <v>3.6625</v>
      </c>
      <c r="H9357" s="606"/>
    </row>
    <row r="9358" customFormat="false" ht="15" hidden="false" customHeight="false" outlineLevel="0" collapsed="false">
      <c r="A9358" s="571"/>
      <c r="B9358" s="500"/>
      <c r="C9358" s="855" t="s">
        <v>5861</v>
      </c>
      <c r="D9358" s="316" t="s">
        <v>5452</v>
      </c>
      <c r="E9358" s="954" t="n">
        <v>0.0006</v>
      </c>
      <c r="F9358" s="617" t="n">
        <v>150375</v>
      </c>
      <c r="G9358" s="615" t="n">
        <f aca="false">E9358*F9358</f>
        <v>90.225</v>
      </c>
      <c r="H9358" s="606"/>
    </row>
    <row r="9359" customFormat="false" ht="15" hidden="false" customHeight="false" outlineLevel="0" collapsed="false">
      <c r="A9359" s="571"/>
      <c r="B9359" s="500"/>
      <c r="C9359" s="855" t="s">
        <v>4515</v>
      </c>
      <c r="D9359" s="316" t="s">
        <v>5564</v>
      </c>
      <c r="E9359" s="954" t="n">
        <v>0.1</v>
      </c>
      <c r="F9359" s="681" t="n">
        <v>350</v>
      </c>
      <c r="G9359" s="615" t="n">
        <f aca="false">E9359*F9359</f>
        <v>35</v>
      </c>
      <c r="H9359" s="606"/>
    </row>
    <row r="9360" customFormat="false" ht="15" hidden="false" customHeight="false" outlineLevel="0" collapsed="false">
      <c r="A9360" s="571"/>
      <c r="B9360" s="500"/>
      <c r="C9360" s="855" t="s">
        <v>5816</v>
      </c>
      <c r="D9360" s="316" t="s">
        <v>4191</v>
      </c>
      <c r="E9360" s="954" t="n">
        <v>0.003</v>
      </c>
      <c r="F9360" s="681" t="n">
        <v>144704</v>
      </c>
      <c r="G9360" s="615" t="n">
        <f aca="false">E9360*F9360</f>
        <v>434.112</v>
      </c>
      <c r="H9360" s="606"/>
    </row>
    <row r="9361" customFormat="false" ht="15" hidden="false" customHeight="false" outlineLevel="0" collapsed="false">
      <c r="A9361" s="571"/>
      <c r="B9361" s="500"/>
      <c r="C9361" s="860" t="s">
        <v>4776</v>
      </c>
      <c r="D9361" s="316" t="s">
        <v>4359</v>
      </c>
      <c r="E9361" s="954" t="n">
        <v>0.15</v>
      </c>
      <c r="F9361" s="617" t="n">
        <v>800</v>
      </c>
      <c r="G9361" s="615" t="n">
        <f aca="false">E9361*F9361</f>
        <v>120</v>
      </c>
      <c r="H9361" s="606"/>
    </row>
    <row r="9362" customFormat="false" ht="15" hidden="false" customHeight="false" outlineLevel="0" collapsed="false">
      <c r="A9362" s="571"/>
      <c r="B9362" s="608" t="s">
        <v>4128</v>
      </c>
      <c r="C9362" s="718"/>
      <c r="D9362" s="610"/>
      <c r="E9362" s="610"/>
      <c r="F9362" s="612"/>
      <c r="G9362" s="613" t="n">
        <f aca="false">SUM(G9352:G9361)</f>
        <v>1021.3123</v>
      </c>
      <c r="H9362" s="610"/>
    </row>
    <row r="9363" customFormat="false" ht="30" hidden="false" customHeight="false" outlineLevel="0" collapsed="false">
      <c r="A9363" s="571" t="s">
        <v>1848</v>
      </c>
      <c r="B9363" s="433" t="s">
        <v>3660</v>
      </c>
      <c r="C9363" s="860" t="s">
        <v>5818</v>
      </c>
      <c r="D9363" s="316" t="s">
        <v>4133</v>
      </c>
      <c r="E9363" s="664" t="n">
        <v>0.0006</v>
      </c>
      <c r="F9363" s="617" t="n">
        <v>67687</v>
      </c>
      <c r="G9363" s="615" t="n">
        <f aca="false">E9363*F9363</f>
        <v>40.6122</v>
      </c>
      <c r="H9363" s="606"/>
    </row>
    <row r="9364" customFormat="false" ht="15" hidden="false" customHeight="false" outlineLevel="0" collapsed="false">
      <c r="A9364" s="571"/>
      <c r="B9364" s="608"/>
      <c r="C9364" s="860" t="s">
        <v>5836</v>
      </c>
      <c r="D9364" s="316" t="s">
        <v>4133</v>
      </c>
      <c r="E9364" s="664" t="n">
        <v>0.001</v>
      </c>
      <c r="F9364" s="617" t="n">
        <v>10500</v>
      </c>
      <c r="G9364" s="615" t="n">
        <f aca="false">E9364*F9364</f>
        <v>10.5</v>
      </c>
      <c r="H9364" s="391"/>
    </row>
    <row r="9365" customFormat="false" ht="15" hidden="false" customHeight="false" outlineLevel="0" collapsed="false">
      <c r="A9365" s="571"/>
      <c r="B9365" s="328"/>
      <c r="C9365" s="860" t="s">
        <v>5838</v>
      </c>
      <c r="D9365" s="316" t="s">
        <v>4133</v>
      </c>
      <c r="E9365" s="664" t="n">
        <v>0.0006</v>
      </c>
      <c r="F9365" s="617" t="n">
        <v>80176</v>
      </c>
      <c r="G9365" s="615" t="n">
        <f aca="false">E9365*F9365</f>
        <v>48.1056</v>
      </c>
      <c r="H9365" s="606"/>
    </row>
    <row r="9366" customFormat="false" ht="15" hidden="false" customHeight="false" outlineLevel="0" collapsed="false">
      <c r="A9366" s="571"/>
      <c r="B9366" s="500"/>
      <c r="C9366" s="860" t="s">
        <v>5825</v>
      </c>
      <c r="D9366" s="316" t="s">
        <v>4191</v>
      </c>
      <c r="E9366" s="664" t="n">
        <v>0.001</v>
      </c>
      <c r="F9366" s="883" t="n">
        <v>8468</v>
      </c>
      <c r="G9366" s="615" t="n">
        <f aca="false">E9366*F9366</f>
        <v>8.468</v>
      </c>
      <c r="H9366" s="606"/>
    </row>
    <row r="9367" customFormat="false" ht="15" hidden="false" customHeight="false" outlineLevel="0" collapsed="false">
      <c r="A9367" s="571"/>
      <c r="B9367" s="500"/>
      <c r="C9367" s="860" t="s">
        <v>5830</v>
      </c>
      <c r="D9367" s="316" t="s">
        <v>4133</v>
      </c>
      <c r="E9367" s="664" t="n">
        <v>0.001</v>
      </c>
      <c r="F9367" s="617" t="n">
        <v>74448</v>
      </c>
      <c r="G9367" s="615" t="n">
        <f aca="false">E9367*F9367</f>
        <v>74.448</v>
      </c>
      <c r="H9367" s="606"/>
    </row>
    <row r="9368" customFormat="false" ht="15" hidden="false" customHeight="false" outlineLevel="0" collapsed="false">
      <c r="A9368" s="571"/>
      <c r="B9368" s="500"/>
      <c r="C9368" s="860" t="s">
        <v>5831</v>
      </c>
      <c r="D9368" s="316" t="s">
        <v>4133</v>
      </c>
      <c r="E9368" s="664" t="n">
        <v>0.001</v>
      </c>
      <c r="F9368" s="617" t="n">
        <v>45513</v>
      </c>
      <c r="G9368" s="615" t="n">
        <f aca="false">E9368*F9368</f>
        <v>45.513</v>
      </c>
      <c r="H9368" s="606"/>
    </row>
    <row r="9369" customFormat="false" ht="15" hidden="false" customHeight="false" outlineLevel="0" collapsed="false">
      <c r="A9369" s="571"/>
      <c r="B9369" s="500"/>
      <c r="C9369" s="860" t="s">
        <v>5832</v>
      </c>
      <c r="D9369" s="316" t="s">
        <v>4133</v>
      </c>
      <c r="E9369" s="664" t="n">
        <v>0.0006</v>
      </c>
      <c r="F9369" s="617" t="n">
        <v>99906</v>
      </c>
      <c r="G9369" s="615" t="n">
        <f aca="false">E9369*F9369</f>
        <v>59.9436</v>
      </c>
      <c r="H9369" s="606"/>
    </row>
    <row r="9370" customFormat="false" ht="15" hidden="false" customHeight="false" outlineLevel="0" collapsed="false">
      <c r="A9370" s="571"/>
      <c r="B9370" s="608"/>
      <c r="C9370" s="21" t="s">
        <v>5823</v>
      </c>
      <c r="D9370" s="316" t="s">
        <v>4133</v>
      </c>
      <c r="E9370" s="664" t="n">
        <v>0.001</v>
      </c>
      <c r="F9370" s="617" t="n">
        <v>69797</v>
      </c>
      <c r="G9370" s="615" t="n">
        <f aca="false">E9370*F9370</f>
        <v>69.797</v>
      </c>
      <c r="H9370" s="391"/>
    </row>
    <row r="9371" customFormat="false" ht="15" hidden="false" customHeight="false" outlineLevel="0" collapsed="false">
      <c r="A9371" s="571"/>
      <c r="B9371" s="328"/>
      <c r="C9371" s="860" t="s">
        <v>5833</v>
      </c>
      <c r="D9371" s="316" t="s">
        <v>4133</v>
      </c>
      <c r="E9371" s="664" t="n">
        <v>0.001</v>
      </c>
      <c r="F9371" s="883" t="n">
        <v>34001</v>
      </c>
      <c r="G9371" s="615" t="n">
        <f aca="false">E9371*F9371</f>
        <v>34.001</v>
      </c>
      <c r="H9371" s="606"/>
    </row>
    <row r="9372" customFormat="false" ht="15" hidden="false" customHeight="false" outlineLevel="0" collapsed="false">
      <c r="A9372" s="571"/>
      <c r="B9372" s="500"/>
      <c r="C9372" s="21" t="s">
        <v>5834</v>
      </c>
      <c r="D9372" s="316" t="s">
        <v>4133</v>
      </c>
      <c r="E9372" s="664" t="n">
        <v>0.001</v>
      </c>
      <c r="F9372" s="883" t="n">
        <v>69797</v>
      </c>
      <c r="G9372" s="615" t="n">
        <f aca="false">E9372*F9372</f>
        <v>69.797</v>
      </c>
      <c r="H9372" s="606"/>
    </row>
    <row r="9373" customFormat="false" ht="15" hidden="false" customHeight="false" outlineLevel="0" collapsed="false">
      <c r="A9373" s="571"/>
      <c r="B9373" s="500"/>
      <c r="C9373" s="860" t="s">
        <v>5835</v>
      </c>
      <c r="D9373" s="316" t="s">
        <v>4133</v>
      </c>
      <c r="E9373" s="664" t="n">
        <v>0.001</v>
      </c>
      <c r="F9373" s="617" t="n">
        <v>69797</v>
      </c>
      <c r="G9373" s="615" t="n">
        <f aca="false">E9373*F9373</f>
        <v>69.797</v>
      </c>
      <c r="H9373" s="606"/>
    </row>
    <row r="9374" customFormat="false" ht="15" hidden="false" customHeight="false" outlineLevel="0" collapsed="false">
      <c r="A9374" s="571"/>
      <c r="B9374" s="500"/>
      <c r="C9374" s="860" t="s">
        <v>5837</v>
      </c>
      <c r="D9374" s="316" t="s">
        <v>4133</v>
      </c>
      <c r="E9374" s="968" t="n">
        <v>0.0001</v>
      </c>
      <c r="F9374" s="883" t="n">
        <v>91872</v>
      </c>
      <c r="G9374" s="615" t="n">
        <f aca="false">E9374*F9374</f>
        <v>9.1872</v>
      </c>
      <c r="H9374" s="606"/>
    </row>
    <row r="9375" customFormat="false" ht="15" hidden="false" customHeight="false" outlineLevel="0" collapsed="false">
      <c r="A9375" s="571"/>
      <c r="B9375" s="500"/>
      <c r="C9375" s="860" t="s">
        <v>5838</v>
      </c>
      <c r="D9375" s="316" t="s">
        <v>4133</v>
      </c>
      <c r="E9375" s="664" t="n">
        <v>0.001</v>
      </c>
      <c r="F9375" s="617" t="n">
        <v>80176</v>
      </c>
      <c r="G9375" s="615" t="n">
        <f aca="false">E9375*F9375</f>
        <v>80.176</v>
      </c>
      <c r="H9375" s="606"/>
    </row>
    <row r="9376" customFormat="false" ht="15" hidden="false" customHeight="false" outlineLevel="0" collapsed="false">
      <c r="A9376" s="571"/>
      <c r="B9376" s="608"/>
      <c r="C9376" s="860" t="s">
        <v>5840</v>
      </c>
      <c r="D9376" s="316" t="s">
        <v>4133</v>
      </c>
      <c r="E9376" s="664" t="n">
        <v>0.0006</v>
      </c>
      <c r="F9376" s="617" t="n">
        <v>158202</v>
      </c>
      <c r="G9376" s="615" t="n">
        <f aca="false">E9376*F9376</f>
        <v>94.9212</v>
      </c>
      <c r="H9376" s="391"/>
    </row>
    <row r="9377" customFormat="false" ht="15" hidden="false" customHeight="false" outlineLevel="0" collapsed="false">
      <c r="A9377" s="571"/>
      <c r="B9377" s="328"/>
      <c r="C9377" s="860" t="s">
        <v>5839</v>
      </c>
      <c r="D9377" s="316" t="s">
        <v>4133</v>
      </c>
      <c r="E9377" s="664" t="n">
        <v>0.001</v>
      </c>
      <c r="F9377" s="617" t="n">
        <v>7982</v>
      </c>
      <c r="G9377" s="615" t="n">
        <f aca="false">E9377*F9377</f>
        <v>7.982</v>
      </c>
      <c r="H9377" s="606"/>
    </row>
    <row r="9378" customFormat="false" ht="15" hidden="false" customHeight="false" outlineLevel="0" collapsed="false">
      <c r="A9378" s="571"/>
      <c r="B9378" s="500"/>
      <c r="C9378" s="860" t="s">
        <v>5841</v>
      </c>
      <c r="D9378" s="316" t="s">
        <v>4133</v>
      </c>
      <c r="E9378" s="664" t="n">
        <v>0.001</v>
      </c>
      <c r="F9378" s="617" t="n">
        <v>10500</v>
      </c>
      <c r="G9378" s="615" t="n">
        <f aca="false">E9378*F9378</f>
        <v>10.5</v>
      </c>
      <c r="H9378" s="606"/>
    </row>
    <row r="9379" customFormat="false" ht="15" hidden="false" customHeight="false" outlineLevel="0" collapsed="false">
      <c r="A9379" s="571"/>
      <c r="B9379" s="500"/>
      <c r="C9379" s="860" t="s">
        <v>5843</v>
      </c>
      <c r="D9379" s="316" t="s">
        <v>4133</v>
      </c>
      <c r="E9379" s="664" t="n">
        <v>0.001</v>
      </c>
      <c r="F9379" s="883" t="n">
        <v>48840</v>
      </c>
      <c r="G9379" s="615" t="n">
        <f aca="false">E9379*F9379</f>
        <v>48.84</v>
      </c>
      <c r="H9379" s="606"/>
    </row>
    <row r="9380" customFormat="false" ht="15" hidden="false" customHeight="false" outlineLevel="0" collapsed="false">
      <c r="A9380" s="571"/>
      <c r="B9380" s="500"/>
      <c r="C9380" s="860" t="s">
        <v>5842</v>
      </c>
      <c r="D9380" s="316" t="s">
        <v>4133</v>
      </c>
      <c r="E9380" s="664" t="n">
        <v>0.001</v>
      </c>
      <c r="F9380" s="617" t="n">
        <v>46343</v>
      </c>
      <c r="G9380" s="615" t="n">
        <f aca="false">E9380*F9380</f>
        <v>46.343</v>
      </c>
      <c r="H9380" s="606"/>
    </row>
    <row r="9381" customFormat="false" ht="15" hidden="false" customHeight="false" outlineLevel="0" collapsed="false">
      <c r="A9381" s="571"/>
      <c r="B9381" s="500"/>
      <c r="C9381" s="21" t="s">
        <v>5844</v>
      </c>
      <c r="D9381" s="316" t="s">
        <v>4191</v>
      </c>
      <c r="E9381" s="954" t="n">
        <v>0.001</v>
      </c>
      <c r="F9381" s="883" t="n">
        <v>74415</v>
      </c>
      <c r="G9381" s="615" t="n">
        <f aca="false">E9381*F9381</f>
        <v>74.415</v>
      </c>
      <c r="H9381" s="606"/>
    </row>
    <row r="9382" customFormat="false" ht="15" hidden="false" customHeight="false" outlineLevel="0" collapsed="false">
      <c r="A9382" s="571"/>
      <c r="B9382" s="500"/>
      <c r="C9382" s="860" t="s">
        <v>5845</v>
      </c>
      <c r="D9382" s="316" t="s">
        <v>4359</v>
      </c>
      <c r="E9382" s="954" t="n">
        <v>0.001</v>
      </c>
      <c r="F9382" s="617" t="n">
        <v>10500</v>
      </c>
      <c r="G9382" s="615" t="n">
        <f aca="false">E9382*F9382</f>
        <v>10.5</v>
      </c>
      <c r="H9382" s="606"/>
    </row>
    <row r="9383" customFormat="false" ht="15" hidden="false" customHeight="false" outlineLevel="0" collapsed="false">
      <c r="A9383" s="571"/>
      <c r="B9383" s="500"/>
      <c r="C9383" s="860" t="s">
        <v>5846</v>
      </c>
      <c r="D9383" s="316" t="s">
        <v>5847</v>
      </c>
      <c r="E9383" s="954" t="n">
        <v>0.001</v>
      </c>
      <c r="F9383" s="883" t="n">
        <v>33371</v>
      </c>
      <c r="G9383" s="615" t="n">
        <f aca="false">E9383*F9383</f>
        <v>33.371</v>
      </c>
      <c r="H9383" s="606"/>
    </row>
    <row r="9384" customFormat="false" ht="15" hidden="false" customHeight="false" outlineLevel="0" collapsed="false">
      <c r="A9384" s="571"/>
      <c r="B9384" s="500"/>
      <c r="C9384" s="860" t="s">
        <v>5848</v>
      </c>
      <c r="D9384" s="316" t="s">
        <v>4359</v>
      </c>
      <c r="E9384" s="954" t="n">
        <v>0.004</v>
      </c>
      <c r="F9384" s="617" t="n">
        <v>10500</v>
      </c>
      <c r="G9384" s="615" t="n">
        <f aca="false">E9384*F9384</f>
        <v>42</v>
      </c>
      <c r="H9384" s="606"/>
    </row>
    <row r="9385" customFormat="false" ht="15" hidden="false" customHeight="false" outlineLevel="0" collapsed="false">
      <c r="A9385" s="571"/>
      <c r="B9385" s="608"/>
      <c r="C9385" s="860" t="s">
        <v>5859</v>
      </c>
      <c r="D9385" s="316" t="s">
        <v>4359</v>
      </c>
      <c r="E9385" s="954" t="n">
        <v>0.01</v>
      </c>
      <c r="F9385" s="617" t="n">
        <v>1995</v>
      </c>
      <c r="G9385" s="615" t="n">
        <f aca="false">E9385*F9385</f>
        <v>19.95</v>
      </c>
      <c r="H9385" s="391"/>
    </row>
    <row r="9386" customFormat="false" ht="15" hidden="false" customHeight="false" outlineLevel="0" collapsed="false">
      <c r="A9386" s="571"/>
      <c r="B9386" s="328"/>
      <c r="C9386" s="860" t="s">
        <v>5850</v>
      </c>
      <c r="D9386" s="316" t="s">
        <v>4359</v>
      </c>
      <c r="E9386" s="954" t="n">
        <v>0.0001</v>
      </c>
      <c r="F9386" s="883" t="n">
        <v>26500</v>
      </c>
      <c r="G9386" s="615" t="n">
        <f aca="false">E9386*F9386</f>
        <v>2.65</v>
      </c>
      <c r="H9386" s="606"/>
    </row>
    <row r="9387" customFormat="false" ht="15" hidden="false" customHeight="false" outlineLevel="0" collapsed="false">
      <c r="A9387" s="571"/>
      <c r="B9387" s="500"/>
      <c r="C9387" s="860" t="s">
        <v>5824</v>
      </c>
      <c r="D9387" s="316" t="s">
        <v>4359</v>
      </c>
      <c r="E9387" s="954" t="n">
        <v>0.0006</v>
      </c>
      <c r="F9387" s="617" t="n">
        <v>82115</v>
      </c>
      <c r="G9387" s="615" t="n">
        <f aca="false">E9387*F9387</f>
        <v>49.269</v>
      </c>
      <c r="H9387" s="606"/>
    </row>
    <row r="9388" customFormat="false" ht="15" hidden="false" customHeight="false" outlineLevel="0" collapsed="false">
      <c r="A9388" s="571"/>
      <c r="B9388" s="500"/>
      <c r="C9388" s="860" t="s">
        <v>5819</v>
      </c>
      <c r="D9388" s="316" t="s">
        <v>4191</v>
      </c>
      <c r="E9388" s="954" t="n">
        <v>0.01</v>
      </c>
      <c r="F9388" s="617" t="n">
        <v>316.4</v>
      </c>
      <c r="G9388" s="615" t="n">
        <f aca="false">E9388*F9388</f>
        <v>3.164</v>
      </c>
      <c r="H9388" s="606"/>
    </row>
    <row r="9389" customFormat="false" ht="15" hidden="false" customHeight="false" outlineLevel="0" collapsed="false">
      <c r="A9389" s="571"/>
      <c r="B9389" s="500"/>
      <c r="C9389" s="860" t="s">
        <v>5826</v>
      </c>
      <c r="D9389" s="316" t="s">
        <v>4191</v>
      </c>
      <c r="E9389" s="954" t="n">
        <v>0.01</v>
      </c>
      <c r="F9389" s="617" t="n">
        <v>366.25</v>
      </c>
      <c r="G9389" s="615" t="n">
        <f aca="false">E9389*F9389</f>
        <v>3.6625</v>
      </c>
      <c r="H9389" s="606"/>
    </row>
    <row r="9390" customFormat="false" ht="15" hidden="false" customHeight="false" outlineLevel="0" collapsed="false">
      <c r="A9390" s="571"/>
      <c r="B9390" s="500"/>
      <c r="C9390" s="860" t="s">
        <v>5820</v>
      </c>
      <c r="D9390" s="316" t="s">
        <v>4191</v>
      </c>
      <c r="E9390" s="954" t="n">
        <v>0.01</v>
      </c>
      <c r="F9390" s="617" t="n">
        <v>650</v>
      </c>
      <c r="G9390" s="615" t="n">
        <f aca="false">E9390*F9390</f>
        <v>6.5</v>
      </c>
      <c r="H9390" s="606"/>
    </row>
    <row r="9391" customFormat="false" ht="15" hidden="false" customHeight="false" outlineLevel="0" collapsed="false">
      <c r="A9391" s="571"/>
      <c r="B9391" s="500"/>
      <c r="C9391" s="860" t="s">
        <v>5861</v>
      </c>
      <c r="D9391" s="316" t="s">
        <v>5452</v>
      </c>
      <c r="E9391" s="954" t="n">
        <v>0.0001</v>
      </c>
      <c r="F9391" s="617" t="n">
        <v>150375</v>
      </c>
      <c r="G9391" s="615" t="n">
        <f aca="false">E9391*F9391</f>
        <v>15.0375</v>
      </c>
      <c r="H9391" s="606"/>
    </row>
    <row r="9392" customFormat="false" ht="15" hidden="false" customHeight="false" outlineLevel="0" collapsed="false">
      <c r="A9392" s="571"/>
      <c r="B9392" s="500"/>
      <c r="C9392" s="860" t="s">
        <v>4515</v>
      </c>
      <c r="D9392" s="316" t="s">
        <v>4133</v>
      </c>
      <c r="E9392" s="954" t="n">
        <v>0.1</v>
      </c>
      <c r="F9392" s="681" t="n">
        <v>350</v>
      </c>
      <c r="G9392" s="615" t="n">
        <f aca="false">E9392*F9392</f>
        <v>35</v>
      </c>
      <c r="H9392" s="606"/>
    </row>
    <row r="9393" customFormat="false" ht="15" hidden="false" customHeight="false" outlineLevel="0" collapsed="false">
      <c r="A9393" s="571"/>
      <c r="B9393" s="608"/>
      <c r="C9393" s="860" t="s">
        <v>4776</v>
      </c>
      <c r="D9393" s="316" t="s">
        <v>4359</v>
      </c>
      <c r="E9393" s="954" t="n">
        <v>0.1</v>
      </c>
      <c r="F9393" s="617" t="n">
        <v>800</v>
      </c>
      <c r="G9393" s="615" t="n">
        <f aca="false">E9393*F9393</f>
        <v>80</v>
      </c>
      <c r="H9393" s="391"/>
    </row>
    <row r="9394" customFormat="false" ht="15" hidden="false" customHeight="false" outlineLevel="0" collapsed="false">
      <c r="A9394" s="571"/>
      <c r="B9394" s="608" t="s">
        <v>4128</v>
      </c>
      <c r="C9394" s="718"/>
      <c r="D9394" s="610"/>
      <c r="E9394" s="610"/>
      <c r="F9394" s="612"/>
      <c r="G9394" s="613" t="n">
        <f aca="false">SUM(G9363:G9393)</f>
        <v>1204.4508</v>
      </c>
      <c r="H9394" s="610"/>
    </row>
    <row r="9395" customFormat="false" ht="30" hidden="false" customHeight="false" outlineLevel="0" collapsed="false">
      <c r="A9395" s="571" t="s">
        <v>1850</v>
      </c>
      <c r="B9395" s="433" t="s">
        <v>3661</v>
      </c>
      <c r="C9395" s="860" t="s">
        <v>5818</v>
      </c>
      <c r="D9395" s="316" t="s">
        <v>4133</v>
      </c>
      <c r="E9395" s="661" t="n">
        <v>0.001</v>
      </c>
      <c r="F9395" s="617" t="n">
        <v>67687</v>
      </c>
      <c r="G9395" s="615" t="n">
        <f aca="false">E9395*F9395</f>
        <v>67.687</v>
      </c>
      <c r="H9395" s="606"/>
    </row>
    <row r="9396" customFormat="false" ht="15" hidden="false" customHeight="false" outlineLevel="0" collapsed="false">
      <c r="A9396" s="571"/>
      <c r="B9396" s="500"/>
      <c r="C9396" s="860" t="s">
        <v>5836</v>
      </c>
      <c r="D9396" s="316" t="s">
        <v>4133</v>
      </c>
      <c r="E9396" s="661" t="n">
        <v>0.001</v>
      </c>
      <c r="F9396" s="617" t="n">
        <v>10500</v>
      </c>
      <c r="G9396" s="615" t="n">
        <f aca="false">E9396*F9396</f>
        <v>10.5</v>
      </c>
      <c r="H9396" s="606"/>
    </row>
    <row r="9397" customFormat="false" ht="15" hidden="false" customHeight="false" outlineLevel="0" collapsed="false">
      <c r="A9397" s="571"/>
      <c r="B9397" s="500"/>
      <c r="C9397" s="860" t="s">
        <v>5838</v>
      </c>
      <c r="D9397" s="316" t="s">
        <v>4133</v>
      </c>
      <c r="E9397" s="661" t="n">
        <v>0.001</v>
      </c>
      <c r="F9397" s="617" t="n">
        <v>80176</v>
      </c>
      <c r="G9397" s="615" t="n">
        <f aca="false">E9397*F9397</f>
        <v>80.176</v>
      </c>
      <c r="H9397" s="606"/>
    </row>
    <row r="9398" customFormat="false" ht="15" hidden="false" customHeight="false" outlineLevel="0" collapsed="false">
      <c r="A9398" s="571"/>
      <c r="B9398" s="500"/>
      <c r="C9398" s="860" t="s">
        <v>5825</v>
      </c>
      <c r="D9398" s="316" t="s">
        <v>4191</v>
      </c>
      <c r="E9398" s="954" t="n">
        <v>0.01</v>
      </c>
      <c r="F9398" s="883" t="n">
        <v>8468</v>
      </c>
      <c r="G9398" s="615" t="n">
        <f aca="false">E9398*F9398</f>
        <v>84.68</v>
      </c>
      <c r="H9398" s="606"/>
    </row>
    <row r="9399" customFormat="false" ht="15" hidden="false" customHeight="false" outlineLevel="0" collapsed="false">
      <c r="A9399" s="571"/>
      <c r="B9399" s="500"/>
      <c r="C9399" s="860" t="s">
        <v>5830</v>
      </c>
      <c r="D9399" s="316" t="s">
        <v>4133</v>
      </c>
      <c r="E9399" s="664" t="n">
        <v>0.001</v>
      </c>
      <c r="F9399" s="617" t="n">
        <v>74448</v>
      </c>
      <c r="G9399" s="615" t="n">
        <f aca="false">E9399*F9399</f>
        <v>74.448</v>
      </c>
      <c r="H9399" s="606"/>
    </row>
    <row r="9400" customFormat="false" ht="15" hidden="false" customHeight="false" outlineLevel="0" collapsed="false">
      <c r="A9400" s="571"/>
      <c r="B9400" s="608"/>
      <c r="C9400" s="860" t="s">
        <v>5831</v>
      </c>
      <c r="D9400" s="316" t="s">
        <v>4133</v>
      </c>
      <c r="E9400" s="664" t="n">
        <v>0.001</v>
      </c>
      <c r="F9400" s="617" t="n">
        <v>45513</v>
      </c>
      <c r="G9400" s="615" t="n">
        <f aca="false">E9400*F9400</f>
        <v>45.513</v>
      </c>
      <c r="H9400" s="391"/>
    </row>
    <row r="9401" customFormat="false" ht="15" hidden="false" customHeight="false" outlineLevel="0" collapsed="false">
      <c r="A9401" s="571"/>
      <c r="B9401" s="328"/>
      <c r="C9401" s="860" t="s">
        <v>5832</v>
      </c>
      <c r="D9401" s="316" t="s">
        <v>4133</v>
      </c>
      <c r="E9401" s="664" t="n">
        <v>0.001</v>
      </c>
      <c r="F9401" s="617" t="n">
        <v>99906</v>
      </c>
      <c r="G9401" s="615" t="n">
        <f aca="false">E9401*F9401</f>
        <v>99.906</v>
      </c>
      <c r="H9401" s="606"/>
    </row>
    <row r="9402" customFormat="false" ht="15" hidden="false" customHeight="false" outlineLevel="0" collapsed="false">
      <c r="A9402" s="571"/>
      <c r="B9402" s="500"/>
      <c r="C9402" s="21" t="s">
        <v>5823</v>
      </c>
      <c r="D9402" s="316" t="s">
        <v>4133</v>
      </c>
      <c r="E9402" s="664" t="n">
        <v>0.001</v>
      </c>
      <c r="F9402" s="617" t="n">
        <v>69797</v>
      </c>
      <c r="G9402" s="615" t="n">
        <f aca="false">E9402*F9402</f>
        <v>69.797</v>
      </c>
      <c r="H9402" s="606"/>
    </row>
    <row r="9403" customFormat="false" ht="15" hidden="false" customHeight="false" outlineLevel="0" collapsed="false">
      <c r="A9403" s="571"/>
      <c r="B9403" s="500"/>
      <c r="C9403" s="860" t="s">
        <v>5833</v>
      </c>
      <c r="D9403" s="316" t="s">
        <v>4133</v>
      </c>
      <c r="E9403" s="664" t="n">
        <v>0.001</v>
      </c>
      <c r="F9403" s="883" t="n">
        <v>34001</v>
      </c>
      <c r="G9403" s="615" t="n">
        <f aca="false">E9403*F9403</f>
        <v>34.001</v>
      </c>
      <c r="H9403" s="606"/>
    </row>
    <row r="9404" customFormat="false" ht="15" hidden="false" customHeight="false" outlineLevel="0" collapsed="false">
      <c r="A9404" s="571"/>
      <c r="B9404" s="608"/>
      <c r="C9404" s="21" t="s">
        <v>5834</v>
      </c>
      <c r="D9404" s="316" t="s">
        <v>4133</v>
      </c>
      <c r="E9404" s="664" t="n">
        <v>0.001</v>
      </c>
      <c r="F9404" s="883" t="n">
        <v>69797</v>
      </c>
      <c r="G9404" s="615" t="n">
        <f aca="false">E9404*F9404</f>
        <v>69.797</v>
      </c>
      <c r="H9404" s="391"/>
    </row>
    <row r="9405" customFormat="false" ht="15" hidden="false" customHeight="false" outlineLevel="0" collapsed="false">
      <c r="A9405" s="571"/>
      <c r="B9405" s="328"/>
      <c r="C9405" s="860" t="s">
        <v>5835</v>
      </c>
      <c r="D9405" s="316" t="s">
        <v>4133</v>
      </c>
      <c r="E9405" s="664" t="n">
        <v>0.001</v>
      </c>
      <c r="F9405" s="617" t="n">
        <v>69797</v>
      </c>
      <c r="G9405" s="615" t="n">
        <f aca="false">E9405*F9405</f>
        <v>69.797</v>
      </c>
      <c r="H9405" s="606"/>
    </row>
    <row r="9406" customFormat="false" ht="15" hidden="false" customHeight="false" outlineLevel="0" collapsed="false">
      <c r="A9406" s="571"/>
      <c r="B9406" s="500"/>
      <c r="C9406" s="860" t="s">
        <v>5837</v>
      </c>
      <c r="D9406" s="316" t="s">
        <v>4133</v>
      </c>
      <c r="E9406" s="664" t="n">
        <v>0.001</v>
      </c>
      <c r="F9406" s="883" t="n">
        <v>91872</v>
      </c>
      <c r="G9406" s="615" t="n">
        <f aca="false">E9406*F9406</f>
        <v>91.872</v>
      </c>
      <c r="H9406" s="606"/>
    </row>
    <row r="9407" customFormat="false" ht="15" hidden="false" customHeight="false" outlineLevel="0" collapsed="false">
      <c r="A9407" s="571"/>
      <c r="B9407" s="500"/>
      <c r="C9407" s="860" t="s">
        <v>5838</v>
      </c>
      <c r="D9407" s="316" t="s">
        <v>4133</v>
      </c>
      <c r="E9407" s="664" t="n">
        <v>0.001</v>
      </c>
      <c r="F9407" s="617" t="n">
        <v>80176</v>
      </c>
      <c r="G9407" s="615" t="n">
        <f aca="false">E9407*F9407</f>
        <v>80.176</v>
      </c>
      <c r="H9407" s="606"/>
    </row>
    <row r="9408" customFormat="false" ht="15" hidden="false" customHeight="false" outlineLevel="0" collapsed="false">
      <c r="A9408" s="571"/>
      <c r="B9408" s="608"/>
      <c r="C9408" s="860" t="s">
        <v>5840</v>
      </c>
      <c r="D9408" s="316" t="s">
        <v>4133</v>
      </c>
      <c r="E9408" s="664" t="n">
        <v>0.0005</v>
      </c>
      <c r="F9408" s="617" t="n">
        <v>158202</v>
      </c>
      <c r="G9408" s="615" t="n">
        <f aca="false">E9408*F9408</f>
        <v>79.101</v>
      </c>
      <c r="H9408" s="391"/>
    </row>
    <row r="9409" customFormat="false" ht="15" hidden="false" customHeight="false" outlineLevel="0" collapsed="false">
      <c r="A9409" s="571"/>
      <c r="B9409" s="500"/>
      <c r="C9409" s="860" t="s">
        <v>5839</v>
      </c>
      <c r="D9409" s="316" t="s">
        <v>4133</v>
      </c>
      <c r="E9409" s="661" t="n">
        <v>0.01</v>
      </c>
      <c r="F9409" s="617" t="n">
        <v>7982</v>
      </c>
      <c r="G9409" s="615" t="n">
        <f aca="false">E9409*F9409</f>
        <v>79.82</v>
      </c>
      <c r="H9409" s="606"/>
    </row>
    <row r="9410" customFormat="false" ht="15" hidden="false" customHeight="false" outlineLevel="0" collapsed="false">
      <c r="A9410" s="571"/>
      <c r="B9410" s="500"/>
      <c r="C9410" s="860" t="s">
        <v>5841</v>
      </c>
      <c r="D9410" s="316" t="s">
        <v>4133</v>
      </c>
      <c r="E9410" s="664" t="n">
        <v>0.001</v>
      </c>
      <c r="F9410" s="617" t="n">
        <v>10500</v>
      </c>
      <c r="G9410" s="615" t="n">
        <f aca="false">E9410*F9410</f>
        <v>10.5</v>
      </c>
      <c r="H9410" s="606"/>
    </row>
    <row r="9411" customFormat="false" ht="15" hidden="false" customHeight="false" outlineLevel="0" collapsed="false">
      <c r="A9411" s="571"/>
      <c r="B9411" s="500"/>
      <c r="C9411" s="860" t="s">
        <v>5843</v>
      </c>
      <c r="D9411" s="316" t="s">
        <v>4133</v>
      </c>
      <c r="E9411" s="664" t="n">
        <v>0.001</v>
      </c>
      <c r="F9411" s="883" t="n">
        <v>48840</v>
      </c>
      <c r="G9411" s="615" t="n">
        <f aca="false">E9411*F9411</f>
        <v>48.84</v>
      </c>
      <c r="H9411" s="606"/>
    </row>
    <row r="9412" customFormat="false" ht="15" hidden="false" customHeight="false" outlineLevel="0" collapsed="false">
      <c r="A9412" s="571"/>
      <c r="B9412" s="500"/>
      <c r="C9412" s="860" t="s">
        <v>5842</v>
      </c>
      <c r="D9412" s="316" t="s">
        <v>4133</v>
      </c>
      <c r="E9412" s="664" t="n">
        <v>0.001</v>
      </c>
      <c r="F9412" s="617" t="n">
        <v>46343</v>
      </c>
      <c r="G9412" s="615" t="n">
        <f aca="false">E9412*F9412</f>
        <v>46.343</v>
      </c>
      <c r="H9412" s="606"/>
    </row>
    <row r="9413" customFormat="false" ht="15" hidden="false" customHeight="false" outlineLevel="0" collapsed="false">
      <c r="A9413" s="571"/>
      <c r="B9413" s="500"/>
      <c r="C9413" s="21" t="s">
        <v>5844</v>
      </c>
      <c r="D9413" s="316" t="s">
        <v>4191</v>
      </c>
      <c r="E9413" s="661" t="n">
        <v>0.001</v>
      </c>
      <c r="F9413" s="883" t="n">
        <v>74415</v>
      </c>
      <c r="G9413" s="615" t="n">
        <f aca="false">E9413*F9413</f>
        <v>74.415</v>
      </c>
      <c r="H9413" s="606"/>
    </row>
    <row r="9414" customFormat="false" ht="15" hidden="false" customHeight="false" outlineLevel="0" collapsed="false">
      <c r="A9414" s="571"/>
      <c r="B9414" s="500"/>
      <c r="C9414" s="860" t="s">
        <v>5845</v>
      </c>
      <c r="D9414" s="316" t="s">
        <v>4359</v>
      </c>
      <c r="E9414" s="954" t="n">
        <v>0.002</v>
      </c>
      <c r="F9414" s="617" t="n">
        <v>10500</v>
      </c>
      <c r="G9414" s="615" t="n">
        <f aca="false">E9414*F9414</f>
        <v>21</v>
      </c>
      <c r="H9414" s="606"/>
    </row>
    <row r="9415" customFormat="false" ht="15" hidden="false" customHeight="false" outlineLevel="0" collapsed="false">
      <c r="A9415" s="571"/>
      <c r="B9415" s="500"/>
      <c r="C9415" s="860" t="s">
        <v>5846</v>
      </c>
      <c r="D9415" s="316" t="s">
        <v>5847</v>
      </c>
      <c r="E9415" s="954" t="n">
        <v>0.001</v>
      </c>
      <c r="F9415" s="883" t="n">
        <v>33371</v>
      </c>
      <c r="G9415" s="615" t="n">
        <f aca="false">E9415*F9415</f>
        <v>33.371</v>
      </c>
      <c r="H9415" s="606"/>
    </row>
    <row r="9416" customFormat="false" ht="15" hidden="false" customHeight="false" outlineLevel="0" collapsed="false">
      <c r="A9416" s="571"/>
      <c r="B9416" s="608"/>
      <c r="C9416" s="860" t="s">
        <v>5848</v>
      </c>
      <c r="D9416" s="316" t="s">
        <v>4359</v>
      </c>
      <c r="E9416" s="954" t="n">
        <v>0.001</v>
      </c>
      <c r="F9416" s="617" t="n">
        <v>10500</v>
      </c>
      <c r="G9416" s="615" t="n">
        <f aca="false">E9416*F9416</f>
        <v>10.5</v>
      </c>
      <c r="H9416" s="391"/>
    </row>
    <row r="9417" customFormat="false" ht="15" hidden="false" customHeight="false" outlineLevel="0" collapsed="false">
      <c r="A9417" s="571"/>
      <c r="B9417" s="328"/>
      <c r="C9417" s="860" t="s">
        <v>5859</v>
      </c>
      <c r="D9417" s="316" t="s">
        <v>4359</v>
      </c>
      <c r="E9417" s="954" t="n">
        <v>0.001</v>
      </c>
      <c r="F9417" s="617" t="n">
        <v>1995</v>
      </c>
      <c r="G9417" s="615" t="n">
        <f aca="false">E9417*F9417</f>
        <v>1.995</v>
      </c>
      <c r="H9417" s="606"/>
    </row>
    <row r="9418" customFormat="false" ht="15" hidden="false" customHeight="false" outlineLevel="0" collapsed="false">
      <c r="A9418" s="571"/>
      <c r="B9418" s="500"/>
      <c r="C9418" s="860" t="s">
        <v>5850</v>
      </c>
      <c r="D9418" s="316" t="s">
        <v>4359</v>
      </c>
      <c r="E9418" s="954" t="n">
        <v>0.001</v>
      </c>
      <c r="F9418" s="883" t="n">
        <v>26500</v>
      </c>
      <c r="G9418" s="615" t="n">
        <f aca="false">E9418*F9418</f>
        <v>26.5</v>
      </c>
      <c r="H9418" s="606"/>
    </row>
    <row r="9419" customFormat="false" ht="15" hidden="false" customHeight="false" outlineLevel="0" collapsed="false">
      <c r="A9419" s="571"/>
      <c r="B9419" s="500"/>
      <c r="C9419" s="860" t="s">
        <v>5824</v>
      </c>
      <c r="D9419" s="316" t="s">
        <v>4359</v>
      </c>
      <c r="E9419" s="954" t="n">
        <v>0.0005</v>
      </c>
      <c r="F9419" s="617" t="n">
        <v>82115</v>
      </c>
      <c r="G9419" s="615" t="n">
        <f aca="false">E9419*F9419</f>
        <v>41.0575</v>
      </c>
      <c r="H9419" s="606"/>
    </row>
    <row r="9420" customFormat="false" ht="15" hidden="false" customHeight="false" outlineLevel="0" collapsed="false">
      <c r="A9420" s="571"/>
      <c r="B9420" s="500"/>
      <c r="C9420" s="860" t="s">
        <v>5819</v>
      </c>
      <c r="D9420" s="316" t="s">
        <v>4191</v>
      </c>
      <c r="E9420" s="954" t="n">
        <v>0.01</v>
      </c>
      <c r="F9420" s="617" t="n">
        <v>316.4</v>
      </c>
      <c r="G9420" s="615" t="n">
        <f aca="false">E9420*F9420</f>
        <v>3.164</v>
      </c>
      <c r="H9420" s="606"/>
    </row>
    <row r="9421" customFormat="false" ht="15" hidden="false" customHeight="false" outlineLevel="0" collapsed="false">
      <c r="A9421" s="571"/>
      <c r="B9421" s="500"/>
      <c r="C9421" s="860" t="s">
        <v>5826</v>
      </c>
      <c r="D9421" s="316" t="s">
        <v>4191</v>
      </c>
      <c r="E9421" s="954" t="n">
        <v>0.01</v>
      </c>
      <c r="F9421" s="617" t="n">
        <v>366.25</v>
      </c>
      <c r="G9421" s="615" t="n">
        <f aca="false">E9421*F9421</f>
        <v>3.6625</v>
      </c>
      <c r="H9421" s="606"/>
    </row>
    <row r="9422" customFormat="false" ht="15" hidden="false" customHeight="false" outlineLevel="0" collapsed="false">
      <c r="A9422" s="571"/>
      <c r="B9422" s="500"/>
      <c r="C9422" s="860" t="s">
        <v>5820</v>
      </c>
      <c r="D9422" s="316" t="s">
        <v>4191</v>
      </c>
      <c r="E9422" s="954" t="n">
        <v>0.01</v>
      </c>
      <c r="F9422" s="617" t="n">
        <v>650</v>
      </c>
      <c r="G9422" s="615" t="n">
        <f aca="false">E9422*F9422</f>
        <v>6.5</v>
      </c>
      <c r="H9422" s="606"/>
    </row>
    <row r="9423" customFormat="false" ht="15" hidden="false" customHeight="false" outlineLevel="0" collapsed="false">
      <c r="A9423" s="571"/>
      <c r="B9423" s="500"/>
      <c r="C9423" s="860" t="s">
        <v>5861</v>
      </c>
      <c r="D9423" s="316" t="s">
        <v>5452</v>
      </c>
      <c r="E9423" s="954" t="n">
        <v>0.0005</v>
      </c>
      <c r="F9423" s="617" t="n">
        <v>150375</v>
      </c>
      <c r="G9423" s="615" t="n">
        <f aca="false">E9423*F9423</f>
        <v>75.1875</v>
      </c>
      <c r="H9423" s="606"/>
    </row>
    <row r="9424" customFormat="false" ht="15" hidden="false" customHeight="false" outlineLevel="0" collapsed="false">
      <c r="A9424" s="571"/>
      <c r="B9424" s="608"/>
      <c r="C9424" s="860" t="s">
        <v>4515</v>
      </c>
      <c r="D9424" s="316" t="s">
        <v>4133</v>
      </c>
      <c r="E9424" s="954" t="n">
        <v>0.1</v>
      </c>
      <c r="F9424" s="617" t="n">
        <v>350</v>
      </c>
      <c r="G9424" s="615" t="n">
        <f aca="false">E9424*F9424</f>
        <v>35</v>
      </c>
      <c r="H9424" s="391"/>
    </row>
    <row r="9425" customFormat="false" ht="15" hidden="false" customHeight="false" outlineLevel="0" collapsed="false">
      <c r="A9425" s="571"/>
      <c r="B9425" s="328"/>
      <c r="C9425" s="860" t="s">
        <v>5816</v>
      </c>
      <c r="D9425" s="316" t="s">
        <v>4191</v>
      </c>
      <c r="E9425" s="954" t="n">
        <v>0.0005</v>
      </c>
      <c r="F9425" s="617" t="n">
        <v>144704</v>
      </c>
      <c r="G9425" s="615" t="n">
        <f aca="false">E9425*F9425</f>
        <v>72.352</v>
      </c>
      <c r="H9425" s="606"/>
    </row>
    <row r="9426" customFormat="false" ht="15" hidden="false" customHeight="false" outlineLevel="0" collapsed="false">
      <c r="A9426" s="571"/>
      <c r="B9426" s="500"/>
      <c r="C9426" s="860" t="s">
        <v>4776</v>
      </c>
      <c r="D9426" s="316" t="s">
        <v>4359</v>
      </c>
      <c r="E9426" s="954" t="n">
        <v>0.1</v>
      </c>
      <c r="F9426" s="617" t="n">
        <v>800</v>
      </c>
      <c r="G9426" s="615" t="n">
        <f aca="false">E9426*F9426</f>
        <v>80</v>
      </c>
      <c r="H9426" s="702"/>
    </row>
    <row r="9427" customFormat="false" ht="15" hidden="false" customHeight="false" outlineLevel="0" collapsed="false">
      <c r="A9427" s="571"/>
      <c r="B9427" s="608" t="s">
        <v>4128</v>
      </c>
      <c r="C9427" s="718"/>
      <c r="D9427" s="610"/>
      <c r="E9427" s="610"/>
      <c r="F9427" s="612"/>
      <c r="G9427" s="613" t="n">
        <f aca="false">SUM(G9395:G9426)</f>
        <v>1627.6585</v>
      </c>
      <c r="H9427" s="610"/>
    </row>
    <row r="9428" customFormat="false" ht="30" hidden="false" customHeight="false" outlineLevel="0" collapsed="false">
      <c r="A9428" s="571" t="s">
        <v>1852</v>
      </c>
      <c r="B9428" s="433" t="s">
        <v>3662</v>
      </c>
      <c r="C9428" s="860" t="s">
        <v>5867</v>
      </c>
      <c r="D9428" s="316" t="s">
        <v>4133</v>
      </c>
      <c r="E9428" s="954" t="n">
        <v>0.002</v>
      </c>
      <c r="F9428" s="617" t="n">
        <v>55572</v>
      </c>
      <c r="G9428" s="615" t="n">
        <f aca="false">E9428*F9428</f>
        <v>111.144</v>
      </c>
      <c r="H9428" s="606"/>
    </row>
    <row r="9429" customFormat="false" ht="15" hidden="false" customHeight="false" outlineLevel="0" collapsed="false">
      <c r="A9429" s="571"/>
      <c r="B9429" s="608"/>
      <c r="C9429" s="21" t="s">
        <v>5868</v>
      </c>
      <c r="D9429" s="316" t="s">
        <v>4133</v>
      </c>
      <c r="E9429" s="954" t="n">
        <v>0.001</v>
      </c>
      <c r="F9429" s="617" t="n">
        <v>103215</v>
      </c>
      <c r="G9429" s="615" t="n">
        <f aca="false">E9429*F9429</f>
        <v>103.215</v>
      </c>
      <c r="H9429" s="391"/>
    </row>
    <row r="9430" customFormat="false" ht="15" hidden="false" customHeight="false" outlineLevel="0" collapsed="false">
      <c r="A9430" s="571"/>
      <c r="B9430" s="328"/>
      <c r="C9430" s="21" t="s">
        <v>5869</v>
      </c>
      <c r="D9430" s="316" t="s">
        <v>4133</v>
      </c>
      <c r="E9430" s="954" t="n">
        <v>0.001</v>
      </c>
      <c r="F9430" s="617" t="n">
        <v>91113</v>
      </c>
      <c r="G9430" s="615" t="n">
        <f aca="false">E9430*F9430</f>
        <v>91.113</v>
      </c>
      <c r="H9430" s="606"/>
    </row>
    <row r="9431" customFormat="false" ht="15" hidden="false" customHeight="false" outlineLevel="0" collapsed="false">
      <c r="A9431" s="571"/>
      <c r="B9431" s="500"/>
      <c r="C9431" s="860" t="s">
        <v>5870</v>
      </c>
      <c r="D9431" s="316" t="s">
        <v>4133</v>
      </c>
      <c r="E9431" s="954" t="n">
        <v>0.001</v>
      </c>
      <c r="F9431" s="617" t="n">
        <v>10500</v>
      </c>
      <c r="G9431" s="615" t="n">
        <f aca="false">E9431*F9431</f>
        <v>10.5</v>
      </c>
      <c r="H9431" s="606"/>
    </row>
    <row r="9432" customFormat="false" ht="15" hidden="false" customHeight="false" outlineLevel="0" collapsed="false">
      <c r="A9432" s="571"/>
      <c r="B9432" s="500"/>
      <c r="C9432" s="860" t="s">
        <v>5871</v>
      </c>
      <c r="D9432" s="316" t="s">
        <v>4133</v>
      </c>
      <c r="E9432" s="954" t="n">
        <v>0.001</v>
      </c>
      <c r="F9432" s="617" t="n">
        <v>67386</v>
      </c>
      <c r="G9432" s="615" t="n">
        <f aca="false">E9432*F9432</f>
        <v>67.386</v>
      </c>
      <c r="H9432" s="606"/>
    </row>
    <row r="9433" customFormat="false" ht="15" hidden="false" customHeight="false" outlineLevel="0" collapsed="false">
      <c r="A9433" s="571"/>
      <c r="B9433" s="500"/>
      <c r="C9433" s="860" t="s">
        <v>5859</v>
      </c>
      <c r="D9433" s="316" t="s">
        <v>4359</v>
      </c>
      <c r="E9433" s="954" t="n">
        <v>0.01</v>
      </c>
      <c r="F9433" s="617" t="n">
        <v>1995</v>
      </c>
      <c r="G9433" s="615" t="n">
        <f aca="false">E9433*F9433</f>
        <v>19.95</v>
      </c>
      <c r="H9433" s="606"/>
    </row>
    <row r="9434" customFormat="false" ht="15" hidden="false" customHeight="false" outlineLevel="0" collapsed="false">
      <c r="A9434" s="571"/>
      <c r="B9434" s="500"/>
      <c r="C9434" s="860" t="s">
        <v>5819</v>
      </c>
      <c r="D9434" s="316" t="s">
        <v>4348</v>
      </c>
      <c r="E9434" s="954" t="n">
        <v>1</v>
      </c>
      <c r="F9434" s="883" t="n">
        <v>316.4</v>
      </c>
      <c r="G9434" s="615" t="n">
        <f aca="false">E9434*F9434</f>
        <v>316.4</v>
      </c>
      <c r="H9434" s="606"/>
    </row>
    <row r="9435" customFormat="false" ht="15" hidden="false" customHeight="false" outlineLevel="0" collapsed="false">
      <c r="A9435" s="571"/>
      <c r="B9435" s="500"/>
      <c r="C9435" s="860" t="s">
        <v>5820</v>
      </c>
      <c r="D9435" s="316" t="s">
        <v>4348</v>
      </c>
      <c r="E9435" s="954" t="n">
        <v>0.01</v>
      </c>
      <c r="F9435" s="617" t="n">
        <v>366.25</v>
      </c>
      <c r="G9435" s="615" t="n">
        <f aca="false">E9435*F9435</f>
        <v>3.6625</v>
      </c>
      <c r="H9435" s="606"/>
    </row>
    <row r="9436" customFormat="false" ht="15" hidden="false" customHeight="false" outlineLevel="0" collapsed="false">
      <c r="A9436" s="571"/>
      <c r="B9436" s="500"/>
      <c r="C9436" s="860" t="s">
        <v>5861</v>
      </c>
      <c r="D9436" s="316" t="s">
        <v>5452</v>
      </c>
      <c r="E9436" s="954" t="n">
        <v>0.001</v>
      </c>
      <c r="F9436" s="617" t="n">
        <v>150375</v>
      </c>
      <c r="G9436" s="615" t="n">
        <f aca="false">E9436*F9436</f>
        <v>150.375</v>
      </c>
      <c r="H9436" s="606"/>
    </row>
    <row r="9437" customFormat="false" ht="15" hidden="false" customHeight="false" outlineLevel="0" collapsed="false">
      <c r="A9437" s="571"/>
      <c r="B9437" s="500"/>
      <c r="C9437" s="860" t="s">
        <v>5818</v>
      </c>
      <c r="D9437" s="316" t="s">
        <v>4133</v>
      </c>
      <c r="E9437" s="661" t="n">
        <v>0.001</v>
      </c>
      <c r="F9437" s="617" t="n">
        <v>67687</v>
      </c>
      <c r="G9437" s="615" t="n">
        <f aca="false">E9437*F9437</f>
        <v>67.687</v>
      </c>
      <c r="H9437" s="606"/>
    </row>
    <row r="9438" customFormat="false" ht="15" hidden="false" customHeight="false" outlineLevel="0" collapsed="false">
      <c r="A9438" s="571"/>
      <c r="B9438" s="500"/>
      <c r="C9438" s="860" t="s">
        <v>5824</v>
      </c>
      <c r="D9438" s="316" t="s">
        <v>4359</v>
      </c>
      <c r="E9438" s="954" t="n">
        <v>0.001</v>
      </c>
      <c r="F9438" s="617" t="n">
        <v>82115</v>
      </c>
      <c r="G9438" s="615" t="n">
        <f aca="false">E9438*F9438</f>
        <v>82.115</v>
      </c>
      <c r="H9438" s="606"/>
    </row>
    <row r="9439" customFormat="false" ht="15" hidden="false" customHeight="false" outlineLevel="0" collapsed="false">
      <c r="A9439" s="571"/>
      <c r="B9439" s="500"/>
      <c r="C9439" s="860" t="s">
        <v>4515</v>
      </c>
      <c r="D9439" s="316" t="s">
        <v>4133</v>
      </c>
      <c r="E9439" s="954" t="n">
        <v>0.1</v>
      </c>
      <c r="F9439" s="681" t="n">
        <v>350</v>
      </c>
      <c r="G9439" s="615" t="n">
        <f aca="false">E9439*F9439</f>
        <v>35</v>
      </c>
      <c r="H9439" s="606"/>
    </row>
    <row r="9440" customFormat="false" ht="15" hidden="false" customHeight="false" outlineLevel="0" collapsed="false">
      <c r="A9440" s="571"/>
      <c r="B9440" s="608"/>
      <c r="C9440" s="860" t="s">
        <v>4776</v>
      </c>
      <c r="D9440" s="316" t="s">
        <v>4133</v>
      </c>
      <c r="E9440" s="954" t="n">
        <v>0.2</v>
      </c>
      <c r="F9440" s="617" t="n">
        <v>800</v>
      </c>
      <c r="G9440" s="615" t="n">
        <f aca="false">E9440*F9440</f>
        <v>160</v>
      </c>
      <c r="H9440" s="391"/>
    </row>
    <row r="9441" customFormat="false" ht="15" hidden="false" customHeight="false" outlineLevel="0" collapsed="false">
      <c r="A9441" s="571"/>
      <c r="B9441" s="608" t="s">
        <v>4128</v>
      </c>
      <c r="C9441" s="964"/>
      <c r="D9441" s="965"/>
      <c r="E9441" s="966"/>
      <c r="F9441" s="967"/>
      <c r="G9441" s="613" t="n">
        <f aca="false">SUM(G9428:G9440)</f>
        <v>1218.5475</v>
      </c>
      <c r="H9441" s="610"/>
    </row>
    <row r="9442" customFormat="false" ht="45" hidden="false" customHeight="false" outlineLevel="0" collapsed="false">
      <c r="A9442" s="571" t="s">
        <v>1854</v>
      </c>
      <c r="B9442" s="433" t="s">
        <v>3663</v>
      </c>
      <c r="C9442" s="860" t="s">
        <v>5872</v>
      </c>
      <c r="D9442" s="316" t="s">
        <v>4133</v>
      </c>
      <c r="E9442" s="664" t="n">
        <v>0.001</v>
      </c>
      <c r="F9442" s="617" t="n">
        <v>39110</v>
      </c>
      <c r="G9442" s="615" t="n">
        <f aca="false">E9442*F9442</f>
        <v>39.11</v>
      </c>
      <c r="H9442" s="606"/>
    </row>
    <row r="9443" customFormat="false" ht="15" hidden="false" customHeight="false" outlineLevel="0" collapsed="false">
      <c r="A9443" s="571"/>
      <c r="B9443" s="500"/>
      <c r="C9443" s="860" t="s">
        <v>5873</v>
      </c>
      <c r="D9443" s="316" t="s">
        <v>4133</v>
      </c>
      <c r="E9443" s="664" t="n">
        <v>0.001</v>
      </c>
      <c r="F9443" s="617" t="n">
        <v>58058</v>
      </c>
      <c r="G9443" s="615" t="n">
        <f aca="false">E9443*F9443</f>
        <v>58.058</v>
      </c>
      <c r="H9443" s="606"/>
    </row>
    <row r="9444" customFormat="false" ht="15" hidden="false" customHeight="false" outlineLevel="0" collapsed="false">
      <c r="A9444" s="571"/>
      <c r="B9444" s="500"/>
      <c r="C9444" s="860" t="s">
        <v>5874</v>
      </c>
      <c r="D9444" s="316" t="s">
        <v>4133</v>
      </c>
      <c r="E9444" s="664" t="n">
        <v>0.001</v>
      </c>
      <c r="F9444" s="617" t="n">
        <v>67687</v>
      </c>
      <c r="G9444" s="615" t="n">
        <f aca="false">E9444*F9444</f>
        <v>67.687</v>
      </c>
      <c r="H9444" s="606"/>
    </row>
    <row r="9445" customFormat="false" ht="15" hidden="false" customHeight="false" outlineLevel="0" collapsed="false">
      <c r="A9445" s="571"/>
      <c r="B9445" s="500"/>
      <c r="C9445" s="860" t="s">
        <v>5841</v>
      </c>
      <c r="D9445" s="316" t="s">
        <v>4133</v>
      </c>
      <c r="E9445" s="664" t="n">
        <v>0.001</v>
      </c>
      <c r="F9445" s="617" t="n">
        <v>10500</v>
      </c>
      <c r="G9445" s="615" t="n">
        <f aca="false">E9445*F9445</f>
        <v>10.5</v>
      </c>
      <c r="H9445" s="606"/>
    </row>
    <row r="9446" customFormat="false" ht="15" hidden="false" customHeight="false" outlineLevel="0" collapsed="false">
      <c r="A9446" s="571"/>
      <c r="B9446" s="500"/>
      <c r="C9446" s="21" t="s">
        <v>5844</v>
      </c>
      <c r="D9446" s="316" t="s">
        <v>4191</v>
      </c>
      <c r="E9446" s="954" t="n">
        <v>0.001</v>
      </c>
      <c r="F9446" s="883" t="n">
        <v>74415</v>
      </c>
      <c r="G9446" s="615" t="n">
        <f aca="false">E9446*F9446</f>
        <v>74.415</v>
      </c>
      <c r="H9446" s="606"/>
    </row>
    <row r="9447" customFormat="false" ht="15" hidden="false" customHeight="false" outlineLevel="0" collapsed="false">
      <c r="A9447" s="571"/>
      <c r="B9447" s="500"/>
      <c r="C9447" s="860" t="s">
        <v>5825</v>
      </c>
      <c r="D9447" s="316" t="s">
        <v>4191</v>
      </c>
      <c r="E9447" s="954" t="n">
        <v>0.01</v>
      </c>
      <c r="F9447" s="883" t="n">
        <v>8468</v>
      </c>
      <c r="G9447" s="615" t="n">
        <f aca="false">E9447*F9447</f>
        <v>84.68</v>
      </c>
      <c r="H9447" s="606"/>
    </row>
    <row r="9448" customFormat="false" ht="15" hidden="false" customHeight="false" outlineLevel="0" collapsed="false">
      <c r="A9448" s="571"/>
      <c r="B9448" s="500"/>
      <c r="C9448" s="860" t="s">
        <v>5843</v>
      </c>
      <c r="D9448" s="316" t="s">
        <v>4133</v>
      </c>
      <c r="E9448" s="664" t="n">
        <v>0.001</v>
      </c>
      <c r="F9448" s="883" t="n">
        <v>48840</v>
      </c>
      <c r="G9448" s="615" t="n">
        <f aca="false">E9448*F9448</f>
        <v>48.84</v>
      </c>
      <c r="H9448" s="606"/>
    </row>
    <row r="9449" customFormat="false" ht="30" hidden="false" customHeight="false" outlineLevel="0" collapsed="false">
      <c r="A9449" s="571"/>
      <c r="B9449" s="500"/>
      <c r="C9449" s="860" t="s">
        <v>5875</v>
      </c>
      <c r="D9449" s="316" t="s">
        <v>5847</v>
      </c>
      <c r="E9449" s="664" t="n">
        <v>0.001</v>
      </c>
      <c r="F9449" s="617" t="n">
        <v>9300</v>
      </c>
      <c r="G9449" s="615" t="n">
        <f aca="false">E9449*F9449</f>
        <v>9.3</v>
      </c>
      <c r="H9449" s="606"/>
    </row>
    <row r="9450" customFormat="false" ht="15" hidden="false" customHeight="false" outlineLevel="0" collapsed="false">
      <c r="A9450" s="571"/>
      <c r="B9450" s="608"/>
      <c r="C9450" s="860" t="s">
        <v>5876</v>
      </c>
      <c r="D9450" s="316" t="s">
        <v>4133</v>
      </c>
      <c r="E9450" s="664" t="n">
        <v>0.001</v>
      </c>
      <c r="F9450" s="617" t="n">
        <v>6409</v>
      </c>
      <c r="G9450" s="615" t="n">
        <f aca="false">E9450*F9450</f>
        <v>6.409</v>
      </c>
      <c r="H9450" s="391"/>
    </row>
    <row r="9451" customFormat="false" ht="15" hidden="false" customHeight="false" outlineLevel="0" collapsed="false">
      <c r="A9451" s="571"/>
      <c r="B9451" s="328"/>
      <c r="C9451" s="860" t="s">
        <v>5836</v>
      </c>
      <c r="D9451" s="316" t="s">
        <v>4133</v>
      </c>
      <c r="E9451" s="664" t="n">
        <v>0.001</v>
      </c>
      <c r="F9451" s="617" t="n">
        <v>10500</v>
      </c>
      <c r="G9451" s="615" t="n">
        <f aca="false">E9451*F9451</f>
        <v>10.5</v>
      </c>
      <c r="H9451" s="606"/>
    </row>
    <row r="9452" customFormat="false" ht="15" hidden="false" customHeight="false" outlineLevel="0" collapsed="false">
      <c r="A9452" s="571"/>
      <c r="B9452" s="500"/>
      <c r="C9452" s="860" t="s">
        <v>5824</v>
      </c>
      <c r="D9452" s="316" t="s">
        <v>4359</v>
      </c>
      <c r="E9452" s="664" t="n">
        <v>0.001</v>
      </c>
      <c r="F9452" s="617" t="n">
        <v>82115</v>
      </c>
      <c r="G9452" s="615" t="n">
        <f aca="false">E9452*F9452</f>
        <v>82.115</v>
      </c>
      <c r="H9452" s="606"/>
    </row>
    <row r="9453" customFormat="false" ht="30" hidden="false" customHeight="false" outlineLevel="0" collapsed="false">
      <c r="A9453" s="571"/>
      <c r="B9453" s="500"/>
      <c r="C9453" s="860" t="s">
        <v>5877</v>
      </c>
      <c r="D9453" s="316" t="s">
        <v>4359</v>
      </c>
      <c r="E9453" s="664" t="n">
        <v>0.001</v>
      </c>
      <c r="F9453" s="883" t="n">
        <v>68401</v>
      </c>
      <c r="G9453" s="615" t="n">
        <f aca="false">E9453*F9453</f>
        <v>68.401</v>
      </c>
      <c r="H9453" s="606"/>
    </row>
    <row r="9454" customFormat="false" ht="15" hidden="false" customHeight="false" outlineLevel="0" collapsed="false">
      <c r="A9454" s="571"/>
      <c r="B9454" s="500"/>
      <c r="C9454" s="860" t="s">
        <v>5819</v>
      </c>
      <c r="D9454" s="316" t="s">
        <v>4191</v>
      </c>
      <c r="E9454" s="954" t="n">
        <v>0.01</v>
      </c>
      <c r="F9454" s="883" t="n">
        <v>316.4</v>
      </c>
      <c r="G9454" s="615" t="n">
        <f aca="false">E9454*F9454</f>
        <v>3.164</v>
      </c>
      <c r="H9454" s="606"/>
    </row>
    <row r="9455" customFormat="false" ht="15" hidden="false" customHeight="false" outlineLevel="0" collapsed="false">
      <c r="A9455" s="571"/>
      <c r="B9455" s="500"/>
      <c r="C9455" s="860" t="s">
        <v>5826</v>
      </c>
      <c r="D9455" s="316" t="s">
        <v>4191</v>
      </c>
      <c r="E9455" s="954" t="n">
        <v>0.01</v>
      </c>
      <c r="F9455" s="617" t="n">
        <v>366.25</v>
      </c>
      <c r="G9455" s="615" t="n">
        <f aca="false">E9455*F9455</f>
        <v>3.6625</v>
      </c>
      <c r="H9455" s="606"/>
    </row>
    <row r="9456" customFormat="false" ht="15" hidden="false" customHeight="false" outlineLevel="0" collapsed="false">
      <c r="A9456" s="571"/>
      <c r="B9456" s="500"/>
      <c r="C9456" s="860" t="s">
        <v>5820</v>
      </c>
      <c r="D9456" s="316" t="s">
        <v>4191</v>
      </c>
      <c r="E9456" s="954" t="n">
        <v>0.01</v>
      </c>
      <c r="F9456" s="617" t="n">
        <v>650</v>
      </c>
      <c r="G9456" s="615" t="n">
        <f aca="false">E9456*F9456</f>
        <v>6.5</v>
      </c>
      <c r="H9456" s="606"/>
    </row>
    <row r="9457" customFormat="false" ht="15" hidden="false" customHeight="false" outlineLevel="0" collapsed="false">
      <c r="A9457" s="571"/>
      <c r="B9457" s="500"/>
      <c r="C9457" s="860" t="s">
        <v>5861</v>
      </c>
      <c r="D9457" s="316" t="s">
        <v>5452</v>
      </c>
      <c r="E9457" s="954" t="n">
        <v>0.001</v>
      </c>
      <c r="F9457" s="617" t="n">
        <v>150375</v>
      </c>
      <c r="G9457" s="615" t="n">
        <f aca="false">E9457*F9457</f>
        <v>150.375</v>
      </c>
      <c r="H9457" s="606"/>
    </row>
    <row r="9458" customFormat="false" ht="15" hidden="false" customHeight="false" outlineLevel="0" collapsed="false">
      <c r="A9458" s="571"/>
      <c r="B9458" s="500"/>
      <c r="C9458" s="860" t="s">
        <v>5864</v>
      </c>
      <c r="D9458" s="316" t="s">
        <v>4133</v>
      </c>
      <c r="E9458" s="954" t="n">
        <v>0.01</v>
      </c>
      <c r="F9458" s="617" t="n">
        <v>1995</v>
      </c>
      <c r="G9458" s="615" t="n">
        <f aca="false">E9458*F9458</f>
        <v>19.95</v>
      </c>
      <c r="H9458" s="606"/>
    </row>
    <row r="9459" customFormat="false" ht="15" hidden="false" customHeight="false" outlineLevel="0" collapsed="false">
      <c r="A9459" s="571"/>
      <c r="B9459" s="500"/>
      <c r="C9459" s="860" t="s">
        <v>4515</v>
      </c>
      <c r="D9459" s="316" t="s">
        <v>4133</v>
      </c>
      <c r="E9459" s="954" t="n">
        <v>0.1</v>
      </c>
      <c r="F9459" s="617" t="n">
        <v>350</v>
      </c>
      <c r="G9459" s="615" t="n">
        <f aca="false">E9459*F9459</f>
        <v>35</v>
      </c>
      <c r="H9459" s="606"/>
    </row>
    <row r="9460" customFormat="false" ht="15" hidden="false" customHeight="false" outlineLevel="0" collapsed="false">
      <c r="A9460" s="571"/>
      <c r="B9460" s="500"/>
      <c r="C9460" s="860" t="s">
        <v>4776</v>
      </c>
      <c r="D9460" s="316" t="s">
        <v>4359</v>
      </c>
      <c r="E9460" s="954" t="n">
        <v>0.1</v>
      </c>
      <c r="F9460" s="617" t="n">
        <v>800</v>
      </c>
      <c r="G9460" s="615" t="n">
        <f aca="false">E9460*F9460</f>
        <v>80</v>
      </c>
      <c r="H9460" s="606"/>
    </row>
    <row r="9461" customFormat="false" ht="15" hidden="false" customHeight="false" outlineLevel="0" collapsed="false">
      <c r="A9461" s="571"/>
      <c r="B9461" s="608" t="s">
        <v>4128</v>
      </c>
      <c r="C9461" s="860"/>
      <c r="D9461" s="316"/>
      <c r="E9461" s="954"/>
      <c r="F9461" s="617"/>
      <c r="G9461" s="613" t="n">
        <f aca="false">SUM(G9442:G9460)</f>
        <v>858.6665</v>
      </c>
      <c r="H9461" s="391"/>
    </row>
    <row r="9462" customFormat="false" ht="30" hidden="false" customHeight="false" outlineLevel="0" collapsed="false">
      <c r="A9462" s="571" t="s">
        <v>1856</v>
      </c>
      <c r="B9462" s="433" t="s">
        <v>3664</v>
      </c>
      <c r="C9462" s="860" t="s">
        <v>5874</v>
      </c>
      <c r="D9462" s="316" t="s">
        <v>4133</v>
      </c>
      <c r="E9462" s="664" t="n">
        <v>0.001</v>
      </c>
      <c r="F9462" s="617" t="n">
        <v>67687</v>
      </c>
      <c r="G9462" s="615" t="n">
        <f aca="false">E9462*F9462</f>
        <v>67.687</v>
      </c>
      <c r="H9462" s="606"/>
    </row>
    <row r="9463" customFormat="false" ht="15" hidden="false" customHeight="false" outlineLevel="0" collapsed="false">
      <c r="A9463" s="571"/>
      <c r="B9463" s="500"/>
      <c r="C9463" s="21" t="s">
        <v>5878</v>
      </c>
      <c r="D9463" s="874" t="s">
        <v>4133</v>
      </c>
      <c r="E9463" s="664" t="n">
        <v>0.001</v>
      </c>
      <c r="F9463" s="883" t="n">
        <v>83340</v>
      </c>
      <c r="G9463" s="615" t="n">
        <f aca="false">E9463*F9463</f>
        <v>83.34</v>
      </c>
      <c r="H9463" s="606"/>
    </row>
    <row r="9464" customFormat="false" ht="15" hidden="false" customHeight="false" outlineLevel="0" collapsed="false">
      <c r="A9464" s="571"/>
      <c r="B9464" s="500"/>
      <c r="C9464" s="860" t="s">
        <v>5879</v>
      </c>
      <c r="D9464" s="874" t="s">
        <v>4133</v>
      </c>
      <c r="E9464" s="664" t="n">
        <v>0.001</v>
      </c>
      <c r="F9464" s="883" t="n">
        <v>37250</v>
      </c>
      <c r="G9464" s="615" t="n">
        <f aca="false">E9464*F9464</f>
        <v>37.25</v>
      </c>
      <c r="H9464" s="606"/>
    </row>
    <row r="9465" customFormat="false" ht="15" hidden="false" customHeight="false" outlineLevel="0" collapsed="false">
      <c r="A9465" s="571"/>
      <c r="B9465" s="500"/>
      <c r="C9465" s="860" t="s">
        <v>5824</v>
      </c>
      <c r="D9465" s="316" t="s">
        <v>4359</v>
      </c>
      <c r="E9465" s="664" t="n">
        <v>0.001</v>
      </c>
      <c r="F9465" s="617" t="n">
        <v>82115</v>
      </c>
      <c r="G9465" s="615" t="n">
        <f aca="false">E9465*F9465</f>
        <v>82.115</v>
      </c>
      <c r="H9465" s="606"/>
    </row>
    <row r="9466" customFormat="false" ht="30" hidden="false" customHeight="false" outlineLevel="0" collapsed="false">
      <c r="A9466" s="571"/>
      <c r="B9466" s="500"/>
      <c r="C9466" s="860" t="s">
        <v>5877</v>
      </c>
      <c r="D9466" s="316" t="s">
        <v>4359</v>
      </c>
      <c r="E9466" s="954" t="n">
        <v>0.003</v>
      </c>
      <c r="F9466" s="883" t="n">
        <v>68401</v>
      </c>
      <c r="G9466" s="615" t="n">
        <f aca="false">E9466*F9466</f>
        <v>205.203</v>
      </c>
      <c r="H9466" s="606"/>
    </row>
    <row r="9467" customFormat="false" ht="15" hidden="false" customHeight="false" outlineLevel="0" collapsed="false">
      <c r="A9467" s="571"/>
      <c r="B9467" s="500"/>
      <c r="C9467" s="860" t="s">
        <v>5864</v>
      </c>
      <c r="D9467" s="316" t="s">
        <v>4133</v>
      </c>
      <c r="E9467" s="954" t="n">
        <v>0.015</v>
      </c>
      <c r="F9467" s="617" t="n">
        <v>1995</v>
      </c>
      <c r="G9467" s="615" t="n">
        <f aca="false">E9467*F9467</f>
        <v>29.925</v>
      </c>
      <c r="H9467" s="606"/>
    </row>
    <row r="9468" customFormat="false" ht="15" hidden="false" customHeight="false" outlineLevel="0" collapsed="false">
      <c r="A9468" s="571"/>
      <c r="B9468" s="500"/>
      <c r="C9468" s="860" t="s">
        <v>4515</v>
      </c>
      <c r="D9468" s="316" t="s">
        <v>4133</v>
      </c>
      <c r="E9468" s="954" t="n">
        <v>0.1</v>
      </c>
      <c r="F9468" s="617" t="n">
        <v>350</v>
      </c>
      <c r="G9468" s="615" t="n">
        <f aca="false">E9468*F9468</f>
        <v>35</v>
      </c>
      <c r="H9468" s="606"/>
    </row>
    <row r="9469" customFormat="false" ht="15" hidden="false" customHeight="false" outlineLevel="0" collapsed="false">
      <c r="A9469" s="571"/>
      <c r="B9469" s="500"/>
      <c r="C9469" s="860" t="s">
        <v>5819</v>
      </c>
      <c r="D9469" s="316" t="s">
        <v>4191</v>
      </c>
      <c r="E9469" s="954" t="n">
        <v>0.01</v>
      </c>
      <c r="F9469" s="883" t="n">
        <v>316.4</v>
      </c>
      <c r="G9469" s="615" t="n">
        <f aca="false">E9469*F9469</f>
        <v>3.164</v>
      </c>
      <c r="H9469" s="606"/>
    </row>
    <row r="9470" customFormat="false" ht="15" hidden="false" customHeight="false" outlineLevel="0" collapsed="false">
      <c r="A9470" s="571"/>
      <c r="B9470" s="500"/>
      <c r="C9470" s="860" t="s">
        <v>5826</v>
      </c>
      <c r="D9470" s="316" t="s">
        <v>4191</v>
      </c>
      <c r="E9470" s="954" t="n">
        <v>0.01</v>
      </c>
      <c r="F9470" s="617" t="n">
        <v>366.25</v>
      </c>
      <c r="G9470" s="615" t="n">
        <f aca="false">E9470*F9470</f>
        <v>3.6625</v>
      </c>
      <c r="H9470" s="606"/>
    </row>
    <row r="9471" customFormat="false" ht="15" hidden="false" customHeight="false" outlineLevel="0" collapsed="false">
      <c r="A9471" s="571"/>
      <c r="B9471" s="500"/>
      <c r="C9471" s="860" t="s">
        <v>5820</v>
      </c>
      <c r="D9471" s="316" t="s">
        <v>4191</v>
      </c>
      <c r="E9471" s="954" t="n">
        <v>0.01</v>
      </c>
      <c r="F9471" s="617" t="n">
        <v>650</v>
      </c>
      <c r="G9471" s="615" t="n">
        <f aca="false">E9471*F9471</f>
        <v>6.5</v>
      </c>
      <c r="H9471" s="606"/>
    </row>
    <row r="9472" customFormat="false" ht="15" hidden="false" customHeight="false" outlineLevel="0" collapsed="false">
      <c r="A9472" s="571"/>
      <c r="B9472" s="608"/>
      <c r="C9472" s="860" t="s">
        <v>5861</v>
      </c>
      <c r="D9472" s="316" t="s">
        <v>5452</v>
      </c>
      <c r="E9472" s="954" t="n">
        <v>0.001</v>
      </c>
      <c r="F9472" s="617" t="n">
        <v>150375</v>
      </c>
      <c r="G9472" s="615" t="n">
        <f aca="false">E9472*F9472</f>
        <v>150.375</v>
      </c>
      <c r="H9472" s="391"/>
    </row>
    <row r="9473" customFormat="false" ht="15" hidden="false" customHeight="false" outlineLevel="0" collapsed="false">
      <c r="A9473" s="571"/>
      <c r="B9473" s="328"/>
      <c r="C9473" s="860" t="s">
        <v>4776</v>
      </c>
      <c r="D9473" s="316" t="s">
        <v>4359</v>
      </c>
      <c r="E9473" s="954" t="n">
        <v>0.1</v>
      </c>
      <c r="F9473" s="617" t="n">
        <v>800</v>
      </c>
      <c r="G9473" s="615" t="n">
        <f aca="false">E9473*F9473</f>
        <v>80</v>
      </c>
      <c r="H9473" s="606"/>
    </row>
    <row r="9474" customFormat="false" ht="15" hidden="false" customHeight="false" outlineLevel="0" collapsed="false">
      <c r="A9474" s="961"/>
      <c r="B9474" s="608" t="s">
        <v>4128</v>
      </c>
      <c r="C9474" s="709"/>
      <c r="D9474" s="606"/>
      <c r="E9474" s="606"/>
      <c r="F9474" s="361"/>
      <c r="G9474" s="613" t="n">
        <f aca="false">SUM(G9462:G9473)</f>
        <v>784.2215</v>
      </c>
      <c r="H9474" s="606"/>
    </row>
    <row r="9475" customFormat="false" ht="30" hidden="false" customHeight="false" outlineLevel="0" collapsed="false">
      <c r="A9475" s="571" t="s">
        <v>1858</v>
      </c>
      <c r="B9475" s="433" t="s">
        <v>3665</v>
      </c>
      <c r="C9475" s="860" t="s">
        <v>5880</v>
      </c>
      <c r="D9475" s="316" t="s">
        <v>4133</v>
      </c>
      <c r="E9475" s="954" t="n">
        <v>0.015</v>
      </c>
      <c r="F9475" s="617" t="n">
        <v>45799</v>
      </c>
      <c r="G9475" s="615" t="n">
        <f aca="false">E9475*F9475</f>
        <v>686.985</v>
      </c>
      <c r="H9475" s="606"/>
    </row>
    <row r="9476" customFormat="false" ht="15" hidden="false" customHeight="false" outlineLevel="0" collapsed="false">
      <c r="A9476" s="571"/>
      <c r="B9476" s="500"/>
      <c r="C9476" s="860" t="s">
        <v>5824</v>
      </c>
      <c r="D9476" s="316" t="s">
        <v>4359</v>
      </c>
      <c r="E9476" s="954" t="n">
        <v>0.01</v>
      </c>
      <c r="F9476" s="617" t="n">
        <v>25946</v>
      </c>
      <c r="G9476" s="615" t="n">
        <f aca="false">E9476*F9476</f>
        <v>259.46</v>
      </c>
      <c r="H9476" s="606"/>
    </row>
    <row r="9477" customFormat="false" ht="15" hidden="false" customHeight="false" outlineLevel="0" collapsed="false">
      <c r="A9477" s="571"/>
      <c r="B9477" s="500"/>
      <c r="C9477" s="860" t="s">
        <v>5819</v>
      </c>
      <c r="D9477" s="316" t="s">
        <v>4191</v>
      </c>
      <c r="E9477" s="954" t="n">
        <v>0.01</v>
      </c>
      <c r="F9477" s="617" t="n">
        <v>100</v>
      </c>
      <c r="G9477" s="615" t="n">
        <f aca="false">E9477*F9477</f>
        <v>1</v>
      </c>
      <c r="H9477" s="606"/>
    </row>
    <row r="9478" customFormat="false" ht="15" hidden="false" customHeight="false" outlineLevel="0" collapsed="false">
      <c r="A9478" s="571"/>
      <c r="B9478" s="500"/>
      <c r="C9478" s="860" t="s">
        <v>5820</v>
      </c>
      <c r="D9478" s="316" t="s">
        <v>4191</v>
      </c>
      <c r="E9478" s="954" t="n">
        <v>0.01</v>
      </c>
      <c r="F9478" s="617" t="n">
        <v>400</v>
      </c>
      <c r="G9478" s="615" t="n">
        <f aca="false">E9478*F9478</f>
        <v>4</v>
      </c>
      <c r="H9478" s="606"/>
    </row>
    <row r="9479" customFormat="false" ht="15" hidden="false" customHeight="false" outlineLevel="0" collapsed="false">
      <c r="A9479" s="571"/>
      <c r="B9479" s="500"/>
      <c r="C9479" s="860" t="s">
        <v>5861</v>
      </c>
      <c r="D9479" s="316" t="s">
        <v>4348</v>
      </c>
      <c r="E9479" s="954" t="n">
        <v>0.001</v>
      </c>
      <c r="F9479" s="617" t="n">
        <v>150375</v>
      </c>
      <c r="G9479" s="615" t="n">
        <f aca="false">E9479*F9479</f>
        <v>150.375</v>
      </c>
      <c r="H9479" s="606"/>
    </row>
    <row r="9480" customFormat="false" ht="15" hidden="false" customHeight="false" outlineLevel="0" collapsed="false">
      <c r="A9480" s="571"/>
      <c r="B9480" s="500"/>
      <c r="C9480" s="860" t="s">
        <v>4776</v>
      </c>
      <c r="D9480" s="316" t="s">
        <v>4359</v>
      </c>
      <c r="E9480" s="954" t="n">
        <v>0.1</v>
      </c>
      <c r="F9480" s="617" t="n">
        <v>800</v>
      </c>
      <c r="G9480" s="615" t="n">
        <f aca="false">E9480*F9480</f>
        <v>80</v>
      </c>
      <c r="H9480" s="606"/>
    </row>
    <row r="9481" customFormat="false" ht="15" hidden="false" customHeight="false" outlineLevel="0" collapsed="false">
      <c r="A9481" s="571"/>
      <c r="B9481" s="608" t="s">
        <v>4128</v>
      </c>
      <c r="C9481" s="964"/>
      <c r="D9481" s="965"/>
      <c r="E9481" s="969"/>
      <c r="F9481" s="967"/>
      <c r="G9481" s="613" t="n">
        <f aca="false">SUM(G9475:G9480)</f>
        <v>1181.82</v>
      </c>
      <c r="H9481" s="391"/>
    </row>
    <row r="9482" customFormat="false" ht="30" hidden="false" customHeight="false" outlineLevel="0" collapsed="false">
      <c r="A9482" s="571" t="s">
        <v>1860</v>
      </c>
      <c r="B9482" s="433" t="s">
        <v>3666</v>
      </c>
      <c r="C9482" s="860" t="s">
        <v>5880</v>
      </c>
      <c r="D9482" s="316" t="s">
        <v>4133</v>
      </c>
      <c r="E9482" s="954" t="n">
        <v>0.01</v>
      </c>
      <c r="F9482" s="617" t="n">
        <v>45799</v>
      </c>
      <c r="G9482" s="615" t="n">
        <f aca="false">E9482*F9482</f>
        <v>457.99</v>
      </c>
      <c r="H9482" s="606"/>
    </row>
    <row r="9483" customFormat="false" ht="15" hidden="false" customHeight="false" outlineLevel="0" collapsed="false">
      <c r="A9483" s="571"/>
      <c r="B9483" s="500"/>
      <c r="C9483" s="860" t="s">
        <v>5824</v>
      </c>
      <c r="D9483" s="316" t="s">
        <v>4359</v>
      </c>
      <c r="E9483" s="954" t="n">
        <v>0.001</v>
      </c>
      <c r="F9483" s="617" t="n">
        <v>82115</v>
      </c>
      <c r="G9483" s="615" t="n">
        <f aca="false">E9483*F9483</f>
        <v>82.115</v>
      </c>
      <c r="H9483" s="606"/>
    </row>
    <row r="9484" customFormat="false" ht="15" hidden="false" customHeight="false" outlineLevel="0" collapsed="false">
      <c r="A9484" s="571"/>
      <c r="B9484" s="500"/>
      <c r="C9484" s="860" t="s">
        <v>5819</v>
      </c>
      <c r="D9484" s="316" t="s">
        <v>4191</v>
      </c>
      <c r="E9484" s="954" t="n">
        <v>0.01</v>
      </c>
      <c r="F9484" s="617" t="n">
        <v>316.4</v>
      </c>
      <c r="G9484" s="615" t="n">
        <f aca="false">E9484*F9484</f>
        <v>3.164</v>
      </c>
      <c r="H9484" s="606"/>
    </row>
    <row r="9485" customFormat="false" ht="15" hidden="false" customHeight="false" outlineLevel="0" collapsed="false">
      <c r="A9485" s="571"/>
      <c r="B9485" s="500"/>
      <c r="C9485" s="860" t="s">
        <v>5820</v>
      </c>
      <c r="D9485" s="316" t="s">
        <v>4191</v>
      </c>
      <c r="E9485" s="954" t="n">
        <v>0.01</v>
      </c>
      <c r="F9485" s="617" t="n">
        <v>366.25</v>
      </c>
      <c r="G9485" s="615" t="n">
        <f aca="false">E9485*F9485</f>
        <v>3.6625</v>
      </c>
      <c r="H9485" s="606"/>
    </row>
    <row r="9486" customFormat="false" ht="15" hidden="false" customHeight="false" outlineLevel="0" collapsed="false">
      <c r="A9486" s="571"/>
      <c r="B9486" s="500"/>
      <c r="C9486" s="860" t="s">
        <v>5861</v>
      </c>
      <c r="D9486" s="316" t="s">
        <v>4348</v>
      </c>
      <c r="E9486" s="954" t="n">
        <v>0.001</v>
      </c>
      <c r="F9486" s="617" t="n">
        <v>150375</v>
      </c>
      <c r="G9486" s="615" t="n">
        <f aca="false">E9486*F9486</f>
        <v>150.375</v>
      </c>
      <c r="H9486" s="606"/>
    </row>
    <row r="9487" customFormat="false" ht="15" hidden="false" customHeight="false" outlineLevel="0" collapsed="false">
      <c r="A9487" s="571"/>
      <c r="B9487" s="500"/>
      <c r="C9487" s="860" t="s">
        <v>5816</v>
      </c>
      <c r="D9487" s="316" t="s">
        <v>4191</v>
      </c>
      <c r="E9487" s="954" t="n">
        <v>0.001</v>
      </c>
      <c r="F9487" s="681" t="n">
        <v>39500</v>
      </c>
      <c r="G9487" s="615" t="n">
        <f aca="false">E9487*F9487</f>
        <v>39.5</v>
      </c>
      <c r="H9487" s="606"/>
    </row>
    <row r="9488" customFormat="false" ht="15" hidden="false" customHeight="false" outlineLevel="0" collapsed="false">
      <c r="A9488" s="571"/>
      <c r="B9488" s="500"/>
      <c r="C9488" s="860" t="s">
        <v>4776</v>
      </c>
      <c r="D9488" s="316" t="s">
        <v>4359</v>
      </c>
      <c r="E9488" s="954" t="n">
        <v>0.1</v>
      </c>
      <c r="F9488" s="617" t="n">
        <v>800</v>
      </c>
      <c r="G9488" s="615" t="n">
        <f aca="false">E9488*F9488</f>
        <v>80</v>
      </c>
      <c r="H9488" s="606"/>
    </row>
    <row r="9489" customFormat="false" ht="15" hidden="false" customHeight="false" outlineLevel="0" collapsed="false">
      <c r="A9489" s="571"/>
      <c r="B9489" s="608" t="s">
        <v>4128</v>
      </c>
      <c r="C9489" s="718"/>
      <c r="D9489" s="610"/>
      <c r="E9489" s="611"/>
      <c r="F9489" s="612"/>
      <c r="G9489" s="613" t="n">
        <f aca="false">SUM(G9482:G9488)</f>
        <v>816.8065</v>
      </c>
      <c r="H9489" s="610"/>
    </row>
    <row r="9490" customFormat="false" ht="30" hidden="false" customHeight="false" outlineLevel="0" collapsed="false">
      <c r="A9490" s="571" t="s">
        <v>1862</v>
      </c>
      <c r="B9490" s="433" t="s">
        <v>3667</v>
      </c>
      <c r="C9490" s="860" t="s">
        <v>5818</v>
      </c>
      <c r="D9490" s="316" t="s">
        <v>4133</v>
      </c>
      <c r="E9490" s="664" t="n">
        <v>0.002</v>
      </c>
      <c r="F9490" s="617" t="n">
        <v>67687</v>
      </c>
      <c r="G9490" s="615" t="n">
        <f aca="false">E9490*F9490</f>
        <v>135.374</v>
      </c>
      <c r="H9490" s="391"/>
    </row>
    <row r="9491" customFormat="false" ht="15" hidden="false" customHeight="false" outlineLevel="0" collapsed="false">
      <c r="A9491" s="571"/>
      <c r="B9491" s="328"/>
      <c r="C9491" s="860" t="s">
        <v>5843</v>
      </c>
      <c r="D9491" s="316" t="s">
        <v>4133</v>
      </c>
      <c r="E9491" s="664" t="n">
        <v>0.002</v>
      </c>
      <c r="F9491" s="883" t="n">
        <v>48840</v>
      </c>
      <c r="G9491" s="615" t="n">
        <f aca="false">E9491*F9491</f>
        <v>97.68</v>
      </c>
      <c r="H9491" s="606"/>
    </row>
    <row r="9492" customFormat="false" ht="15" hidden="false" customHeight="false" outlineLevel="0" collapsed="false">
      <c r="A9492" s="571"/>
      <c r="B9492" s="500"/>
      <c r="C9492" s="860" t="s">
        <v>5848</v>
      </c>
      <c r="D9492" s="316" t="s">
        <v>4359</v>
      </c>
      <c r="E9492" s="954" t="n">
        <v>0.05</v>
      </c>
      <c r="F9492" s="617" t="n">
        <v>10500</v>
      </c>
      <c r="G9492" s="615" t="n">
        <f aca="false">E9492*F9492</f>
        <v>525</v>
      </c>
      <c r="H9492" s="606"/>
    </row>
    <row r="9493" customFormat="false" ht="15" hidden="false" customHeight="false" outlineLevel="0" collapsed="false">
      <c r="A9493" s="571"/>
      <c r="B9493" s="500"/>
      <c r="C9493" s="860" t="s">
        <v>5824</v>
      </c>
      <c r="D9493" s="316" t="s">
        <v>4528</v>
      </c>
      <c r="E9493" s="954" t="n">
        <v>0.002</v>
      </c>
      <c r="F9493" s="617" t="n">
        <v>82115</v>
      </c>
      <c r="G9493" s="615" t="n">
        <f aca="false">E9493*F9493</f>
        <v>164.23</v>
      </c>
      <c r="H9493" s="606"/>
    </row>
    <row r="9494" customFormat="false" ht="15" hidden="false" customHeight="false" outlineLevel="0" collapsed="false">
      <c r="A9494" s="571"/>
      <c r="B9494" s="500"/>
      <c r="C9494" s="860" t="s">
        <v>5819</v>
      </c>
      <c r="D9494" s="316" t="s">
        <v>4191</v>
      </c>
      <c r="E9494" s="954" t="n">
        <v>0.01</v>
      </c>
      <c r="F9494" s="617" t="n">
        <v>316.4</v>
      </c>
      <c r="G9494" s="615" t="n">
        <f aca="false">E9494*F9494</f>
        <v>3.164</v>
      </c>
      <c r="H9494" s="606"/>
    </row>
    <row r="9495" customFormat="false" ht="15" hidden="false" customHeight="false" outlineLevel="0" collapsed="false">
      <c r="A9495" s="571"/>
      <c r="B9495" s="500"/>
      <c r="C9495" s="860" t="s">
        <v>5826</v>
      </c>
      <c r="D9495" s="316" t="s">
        <v>4191</v>
      </c>
      <c r="E9495" s="954" t="n">
        <v>0.01</v>
      </c>
      <c r="F9495" s="617" t="n">
        <v>366.25</v>
      </c>
      <c r="G9495" s="615" t="n">
        <f aca="false">E9495*F9495</f>
        <v>3.6625</v>
      </c>
      <c r="H9495" s="606"/>
    </row>
    <row r="9496" customFormat="false" ht="15" hidden="false" customHeight="false" outlineLevel="0" collapsed="false">
      <c r="A9496" s="571"/>
      <c r="B9496" s="500"/>
      <c r="C9496" s="860" t="s">
        <v>5820</v>
      </c>
      <c r="D9496" s="316" t="s">
        <v>4191</v>
      </c>
      <c r="E9496" s="954" t="n">
        <v>0.01</v>
      </c>
      <c r="F9496" s="617" t="n">
        <v>650</v>
      </c>
      <c r="G9496" s="615" t="n">
        <f aca="false">E9496*F9496</f>
        <v>6.5</v>
      </c>
      <c r="H9496" s="606"/>
    </row>
    <row r="9497" customFormat="false" ht="15" hidden="false" customHeight="false" outlineLevel="0" collapsed="false">
      <c r="A9497" s="571"/>
      <c r="B9497" s="500"/>
      <c r="C9497" s="860" t="s">
        <v>5861</v>
      </c>
      <c r="D9497" s="316" t="s">
        <v>5452</v>
      </c>
      <c r="E9497" s="954" t="n">
        <v>0.001</v>
      </c>
      <c r="F9497" s="617" t="n">
        <v>150375</v>
      </c>
      <c r="G9497" s="615" t="n">
        <f aca="false">E9497*F9497</f>
        <v>150.375</v>
      </c>
      <c r="H9497" s="606"/>
    </row>
    <row r="9498" customFormat="false" ht="15" hidden="false" customHeight="false" outlineLevel="0" collapsed="false">
      <c r="A9498" s="571"/>
      <c r="B9498" s="500"/>
      <c r="C9498" s="860" t="s">
        <v>4776</v>
      </c>
      <c r="D9498" s="316" t="s">
        <v>4359</v>
      </c>
      <c r="E9498" s="954" t="n">
        <v>0.1</v>
      </c>
      <c r="F9498" s="617" t="n">
        <v>800</v>
      </c>
      <c r="G9498" s="615" t="n">
        <f aca="false">E9498*F9498</f>
        <v>80</v>
      </c>
      <c r="H9498" s="606"/>
    </row>
    <row r="9499" customFormat="false" ht="15" hidden="false" customHeight="false" outlineLevel="0" collapsed="false">
      <c r="A9499" s="571"/>
      <c r="B9499" s="608" t="s">
        <v>4128</v>
      </c>
      <c r="C9499" s="964"/>
      <c r="D9499" s="965"/>
      <c r="E9499" s="966"/>
      <c r="F9499" s="967"/>
      <c r="G9499" s="613" t="n">
        <f aca="false">SUM(G9490:G9498)</f>
        <v>1165.9855</v>
      </c>
      <c r="H9499" s="610"/>
    </row>
    <row r="9500" customFormat="false" ht="30" hidden="false" customHeight="false" outlineLevel="0" collapsed="false">
      <c r="A9500" s="571" t="s">
        <v>1864</v>
      </c>
      <c r="B9500" s="433" t="s">
        <v>3668</v>
      </c>
      <c r="C9500" s="860" t="s">
        <v>5818</v>
      </c>
      <c r="D9500" s="316" t="s">
        <v>4133</v>
      </c>
      <c r="E9500" s="664" t="n">
        <v>0.0009</v>
      </c>
      <c r="F9500" s="617" t="n">
        <v>67687</v>
      </c>
      <c r="G9500" s="615" t="n">
        <f aca="false">E9500*F9500</f>
        <v>60.9183</v>
      </c>
      <c r="H9500" s="606"/>
    </row>
    <row r="9501" customFormat="false" ht="45" hidden="false" customHeight="false" outlineLevel="0" collapsed="false">
      <c r="A9501" s="571"/>
      <c r="B9501" s="500"/>
      <c r="C9501" s="860" t="s">
        <v>5881</v>
      </c>
      <c r="D9501" s="316" t="s">
        <v>4133</v>
      </c>
      <c r="E9501" s="664" t="n">
        <v>0.0009</v>
      </c>
      <c r="F9501" s="617" t="n">
        <v>58500</v>
      </c>
      <c r="G9501" s="615" t="n">
        <f aca="false">E9501*F9501</f>
        <v>52.65</v>
      </c>
      <c r="H9501" s="606"/>
    </row>
    <row r="9502" customFormat="false" ht="15" hidden="false" customHeight="false" outlineLevel="0" collapsed="false">
      <c r="A9502" s="571"/>
      <c r="B9502" s="500"/>
      <c r="C9502" s="860" t="s">
        <v>5843</v>
      </c>
      <c r="D9502" s="316" t="s">
        <v>4133</v>
      </c>
      <c r="E9502" s="664" t="n">
        <v>0.001</v>
      </c>
      <c r="F9502" s="883" t="n">
        <v>48840</v>
      </c>
      <c r="G9502" s="615" t="n">
        <f aca="false">E9502*F9502</f>
        <v>48.84</v>
      </c>
      <c r="H9502" s="606"/>
    </row>
    <row r="9503" customFormat="false" ht="15" hidden="false" customHeight="false" outlineLevel="0" collapsed="false">
      <c r="A9503" s="571"/>
      <c r="B9503" s="500"/>
      <c r="C9503" s="860" t="s">
        <v>5848</v>
      </c>
      <c r="D9503" s="316" t="s">
        <v>4359</v>
      </c>
      <c r="E9503" s="954" t="n">
        <v>0.005</v>
      </c>
      <c r="F9503" s="617" t="n">
        <v>10500</v>
      </c>
      <c r="G9503" s="615" t="n">
        <f aca="false">E9503*F9503</f>
        <v>52.5</v>
      </c>
      <c r="H9503" s="606"/>
    </row>
    <row r="9504" customFormat="false" ht="15" hidden="false" customHeight="false" outlineLevel="0" collapsed="false">
      <c r="A9504" s="571"/>
      <c r="B9504" s="608"/>
      <c r="C9504" s="860" t="s">
        <v>5824</v>
      </c>
      <c r="D9504" s="316" t="s">
        <v>4528</v>
      </c>
      <c r="E9504" s="954" t="n">
        <v>0.0009</v>
      </c>
      <c r="F9504" s="617" t="n">
        <v>82115</v>
      </c>
      <c r="G9504" s="615" t="n">
        <f aca="false">E9504*F9504</f>
        <v>73.9035</v>
      </c>
      <c r="H9504" s="391"/>
    </row>
    <row r="9505" customFormat="false" ht="15" hidden="false" customHeight="false" outlineLevel="0" collapsed="false">
      <c r="A9505" s="571"/>
      <c r="B9505" s="963"/>
      <c r="C9505" s="860" t="s">
        <v>5819</v>
      </c>
      <c r="D9505" s="316" t="s">
        <v>4191</v>
      </c>
      <c r="E9505" s="954" t="n">
        <v>0.01</v>
      </c>
      <c r="F9505" s="617" t="n">
        <v>361.4</v>
      </c>
      <c r="G9505" s="615" t="n">
        <f aca="false">E9505*F9505</f>
        <v>3.614</v>
      </c>
      <c r="H9505" s="391"/>
    </row>
    <row r="9506" customFormat="false" ht="15" hidden="false" customHeight="false" outlineLevel="0" collapsed="false">
      <c r="A9506" s="571"/>
      <c r="B9506" s="328"/>
      <c r="C9506" s="860" t="s">
        <v>5826</v>
      </c>
      <c r="D9506" s="316" t="s">
        <v>4191</v>
      </c>
      <c r="E9506" s="954" t="n">
        <v>0.01</v>
      </c>
      <c r="F9506" s="617" t="n">
        <v>366.25</v>
      </c>
      <c r="G9506" s="615" t="n">
        <f aca="false">E9506*F9506</f>
        <v>3.6625</v>
      </c>
      <c r="H9506" s="606"/>
    </row>
    <row r="9507" customFormat="false" ht="15" hidden="false" customHeight="false" outlineLevel="0" collapsed="false">
      <c r="A9507" s="571"/>
      <c r="B9507" s="500"/>
      <c r="C9507" s="860" t="s">
        <v>5820</v>
      </c>
      <c r="D9507" s="316" t="s">
        <v>4191</v>
      </c>
      <c r="E9507" s="954" t="n">
        <v>0.01</v>
      </c>
      <c r="F9507" s="617" t="n">
        <v>650</v>
      </c>
      <c r="G9507" s="615" t="n">
        <f aca="false">E9507*F9507</f>
        <v>6.5</v>
      </c>
      <c r="H9507" s="606"/>
    </row>
    <row r="9508" customFormat="false" ht="15" hidden="false" customHeight="false" outlineLevel="0" collapsed="false">
      <c r="A9508" s="571"/>
      <c r="B9508" s="500"/>
      <c r="C9508" s="21" t="s">
        <v>5857</v>
      </c>
      <c r="D9508" s="874" t="s">
        <v>4528</v>
      </c>
      <c r="E9508" s="959" t="n">
        <v>0.002</v>
      </c>
      <c r="F9508" s="883" t="n">
        <v>175794</v>
      </c>
      <c r="G9508" s="615" t="n">
        <f aca="false">E9508*F9508</f>
        <v>351.588</v>
      </c>
      <c r="H9508" s="606"/>
    </row>
    <row r="9509" customFormat="false" ht="15" hidden="false" customHeight="false" outlineLevel="0" collapsed="false">
      <c r="A9509" s="571"/>
      <c r="B9509" s="500"/>
      <c r="C9509" s="860" t="s">
        <v>5861</v>
      </c>
      <c r="D9509" s="316" t="s">
        <v>5452</v>
      </c>
      <c r="E9509" s="954" t="n">
        <v>0.001</v>
      </c>
      <c r="F9509" s="617" t="n">
        <v>150375</v>
      </c>
      <c r="G9509" s="615" t="n">
        <f aca="false">E9509*F9509</f>
        <v>150.375</v>
      </c>
      <c r="H9509" s="606"/>
    </row>
    <row r="9510" customFormat="false" ht="15" hidden="false" customHeight="false" outlineLevel="0" collapsed="false">
      <c r="A9510" s="571"/>
      <c r="B9510" s="608"/>
      <c r="C9510" s="860" t="s">
        <v>4776</v>
      </c>
      <c r="D9510" s="316" t="s">
        <v>4359</v>
      </c>
      <c r="E9510" s="954" t="n">
        <v>0.09</v>
      </c>
      <c r="F9510" s="617" t="n">
        <v>800</v>
      </c>
      <c r="G9510" s="615" t="n">
        <f aca="false">E9510*F9510</f>
        <v>72</v>
      </c>
      <c r="H9510" s="391"/>
    </row>
    <row r="9511" customFormat="false" ht="15" hidden="false" customHeight="false" outlineLevel="0" collapsed="false">
      <c r="A9511" s="571"/>
      <c r="B9511" s="608" t="s">
        <v>4128</v>
      </c>
      <c r="C9511" s="860"/>
      <c r="D9511" s="316"/>
      <c r="E9511" s="954"/>
      <c r="F9511" s="617"/>
      <c r="G9511" s="613" t="n">
        <f aca="false">SUM(G9500:G9510)</f>
        <v>876.5513</v>
      </c>
      <c r="H9511" s="606"/>
    </row>
    <row r="9512" customFormat="false" ht="15" hidden="false" customHeight="false" outlineLevel="0" collapsed="false">
      <c r="A9512" s="571" t="s">
        <v>1866</v>
      </c>
      <c r="B9512" s="433" t="s">
        <v>3669</v>
      </c>
      <c r="C9512" s="21" t="s">
        <v>5852</v>
      </c>
      <c r="D9512" s="874" t="s">
        <v>4133</v>
      </c>
      <c r="E9512" s="838" t="n">
        <v>0.005</v>
      </c>
      <c r="F9512" s="617" t="n">
        <v>39930</v>
      </c>
      <c r="G9512" s="615" t="n">
        <f aca="false">E9512*F9512</f>
        <v>199.65</v>
      </c>
      <c r="H9512" s="606"/>
    </row>
    <row r="9513" customFormat="false" ht="15" hidden="false" customHeight="false" outlineLevel="0" collapsed="false">
      <c r="A9513" s="571"/>
      <c r="B9513" s="500"/>
      <c r="C9513" s="21" t="s">
        <v>5818</v>
      </c>
      <c r="D9513" s="874" t="s">
        <v>4133</v>
      </c>
      <c r="E9513" s="838" t="n">
        <v>0.001</v>
      </c>
      <c r="F9513" s="617" t="n">
        <v>67687</v>
      </c>
      <c r="G9513" s="615" t="n">
        <f aca="false">E9513*F9513</f>
        <v>67.687</v>
      </c>
      <c r="H9513" s="606"/>
    </row>
    <row r="9514" customFormat="false" ht="15" hidden="false" customHeight="false" outlineLevel="0" collapsed="false">
      <c r="A9514" s="571"/>
      <c r="B9514" s="608"/>
      <c r="C9514" s="21" t="s">
        <v>5882</v>
      </c>
      <c r="D9514" s="874" t="s">
        <v>4133</v>
      </c>
      <c r="E9514" s="838" t="n">
        <v>0.001</v>
      </c>
      <c r="F9514" s="617" t="n">
        <v>76412</v>
      </c>
      <c r="G9514" s="615" t="n">
        <f aca="false">E9514*F9514</f>
        <v>76.412</v>
      </c>
      <c r="H9514" s="391"/>
    </row>
    <row r="9515" customFormat="false" ht="15" hidden="false" customHeight="false" outlineLevel="0" collapsed="false">
      <c r="A9515" s="571"/>
      <c r="B9515" s="328"/>
      <c r="C9515" s="21" t="s">
        <v>5866</v>
      </c>
      <c r="D9515" s="874" t="s">
        <v>4133</v>
      </c>
      <c r="E9515" s="838" t="n">
        <v>0.001</v>
      </c>
      <c r="F9515" s="617" t="n">
        <v>79662</v>
      </c>
      <c r="G9515" s="615" t="n">
        <f aca="false">E9515*F9515</f>
        <v>79.662</v>
      </c>
      <c r="H9515" s="606"/>
    </row>
    <row r="9516" customFormat="false" ht="15" hidden="false" customHeight="false" outlineLevel="0" collapsed="false">
      <c r="A9516" s="571"/>
      <c r="B9516" s="500"/>
      <c r="C9516" s="21" t="s">
        <v>5883</v>
      </c>
      <c r="D9516" s="874" t="s">
        <v>4133</v>
      </c>
      <c r="E9516" s="838" t="n">
        <v>0.001</v>
      </c>
      <c r="F9516" s="617" t="n">
        <v>37440</v>
      </c>
      <c r="G9516" s="615" t="n">
        <f aca="false">E9516*F9516</f>
        <v>37.44</v>
      </c>
      <c r="H9516" s="606"/>
    </row>
    <row r="9517" customFormat="false" ht="15" hidden="false" customHeight="false" outlineLevel="0" collapsed="false">
      <c r="A9517" s="571"/>
      <c r="B9517" s="608"/>
      <c r="C9517" s="21" t="s">
        <v>5880</v>
      </c>
      <c r="D9517" s="874" t="s">
        <v>4133</v>
      </c>
      <c r="E9517" s="838" t="n">
        <v>0.001</v>
      </c>
      <c r="F9517" s="617" t="n">
        <v>45799</v>
      </c>
      <c r="G9517" s="615" t="n">
        <f aca="false">E9517*F9517</f>
        <v>45.799</v>
      </c>
      <c r="H9517" s="391"/>
    </row>
    <row r="9518" customFormat="false" ht="15" hidden="false" customHeight="false" outlineLevel="0" collapsed="false">
      <c r="A9518" s="571"/>
      <c r="B9518" s="500"/>
      <c r="C9518" s="860" t="s">
        <v>5884</v>
      </c>
      <c r="D9518" s="874" t="s">
        <v>4133</v>
      </c>
      <c r="E9518" s="838" t="n">
        <v>0.001</v>
      </c>
      <c r="F9518" s="617" t="n">
        <v>78000</v>
      </c>
      <c r="G9518" s="615" t="n">
        <f aca="false">E9518*F9518</f>
        <v>78</v>
      </c>
      <c r="H9518" s="606"/>
    </row>
    <row r="9519" customFormat="false" ht="15" hidden="false" customHeight="false" outlineLevel="0" collapsed="false">
      <c r="A9519" s="571"/>
      <c r="B9519" s="500"/>
      <c r="C9519" s="860" t="s">
        <v>5885</v>
      </c>
      <c r="D9519" s="874" t="s">
        <v>4133</v>
      </c>
      <c r="E9519" s="838" t="n">
        <v>0.001</v>
      </c>
      <c r="F9519" s="617" t="n">
        <v>58000</v>
      </c>
      <c r="G9519" s="615" t="n">
        <f aca="false">E9519*F9519</f>
        <v>58</v>
      </c>
      <c r="H9519" s="606"/>
    </row>
    <row r="9520" customFormat="false" ht="15" hidden="false" customHeight="false" outlineLevel="0" collapsed="false">
      <c r="A9520" s="571"/>
      <c r="B9520" s="608"/>
      <c r="C9520" s="860" t="s">
        <v>5886</v>
      </c>
      <c r="D9520" s="874" t="s">
        <v>4133</v>
      </c>
      <c r="E9520" s="838" t="n">
        <v>0.001</v>
      </c>
      <c r="F9520" s="883" t="n">
        <v>63500</v>
      </c>
      <c r="G9520" s="615" t="n">
        <f aca="false">E9520*F9520</f>
        <v>63.5</v>
      </c>
      <c r="H9520" s="391"/>
    </row>
    <row r="9521" customFormat="false" ht="15" hidden="false" customHeight="false" outlineLevel="0" collapsed="false">
      <c r="A9521" s="571"/>
      <c r="B9521" s="328"/>
      <c r="C9521" s="21" t="s">
        <v>5824</v>
      </c>
      <c r="D9521" s="316" t="s">
        <v>4359</v>
      </c>
      <c r="E9521" s="838" t="n">
        <v>0.001</v>
      </c>
      <c r="F9521" s="617" t="n">
        <v>82115</v>
      </c>
      <c r="G9521" s="615" t="n">
        <f aca="false">E9521*F9521</f>
        <v>82.115</v>
      </c>
      <c r="H9521" s="606"/>
    </row>
    <row r="9522" customFormat="false" ht="15" hidden="false" customHeight="false" outlineLevel="0" collapsed="false">
      <c r="A9522" s="571"/>
      <c r="B9522" s="500"/>
      <c r="C9522" s="860" t="s">
        <v>5819</v>
      </c>
      <c r="D9522" s="316" t="s">
        <v>4191</v>
      </c>
      <c r="E9522" s="954" t="n">
        <v>0.01</v>
      </c>
      <c r="F9522" s="883" t="n">
        <v>316.4</v>
      </c>
      <c r="G9522" s="615" t="n">
        <f aca="false">E9522*F9522</f>
        <v>3.164</v>
      </c>
      <c r="H9522" s="606"/>
    </row>
    <row r="9523" customFormat="false" ht="15" hidden="false" customHeight="false" outlineLevel="0" collapsed="false">
      <c r="A9523" s="571"/>
      <c r="B9523" s="500"/>
      <c r="C9523" s="860" t="s">
        <v>5826</v>
      </c>
      <c r="D9523" s="316" t="s">
        <v>4191</v>
      </c>
      <c r="E9523" s="954" t="n">
        <v>0.01</v>
      </c>
      <c r="F9523" s="617" t="n">
        <v>366.25</v>
      </c>
      <c r="G9523" s="615" t="n">
        <f aca="false">E9523*F9523</f>
        <v>3.6625</v>
      </c>
      <c r="H9523" s="606"/>
    </row>
    <row r="9524" customFormat="false" ht="15" hidden="false" customHeight="false" outlineLevel="0" collapsed="false">
      <c r="A9524" s="571"/>
      <c r="B9524" s="500"/>
      <c r="C9524" s="860" t="s">
        <v>5820</v>
      </c>
      <c r="D9524" s="316" t="s">
        <v>4191</v>
      </c>
      <c r="E9524" s="954" t="n">
        <v>0.01</v>
      </c>
      <c r="F9524" s="617" t="n">
        <v>650</v>
      </c>
      <c r="G9524" s="615" t="n">
        <f aca="false">E9524*F9524</f>
        <v>6.5</v>
      </c>
      <c r="H9524" s="606"/>
    </row>
    <row r="9525" customFormat="false" ht="15" hidden="false" customHeight="false" outlineLevel="0" collapsed="false">
      <c r="A9525" s="571"/>
      <c r="B9525" s="500"/>
      <c r="C9525" s="860" t="s">
        <v>5861</v>
      </c>
      <c r="D9525" s="316" t="s">
        <v>5452</v>
      </c>
      <c r="E9525" s="954" t="n">
        <v>0.001</v>
      </c>
      <c r="F9525" s="617" t="n">
        <v>150375</v>
      </c>
      <c r="G9525" s="615" t="n">
        <f aca="false">E9525*F9525</f>
        <v>150.375</v>
      </c>
      <c r="H9525" s="606"/>
    </row>
    <row r="9526" customFormat="false" ht="15" hidden="false" customHeight="false" outlineLevel="0" collapsed="false">
      <c r="A9526" s="571"/>
      <c r="B9526" s="500"/>
      <c r="C9526" s="860" t="s">
        <v>4645</v>
      </c>
      <c r="D9526" s="316" t="s">
        <v>4133</v>
      </c>
      <c r="E9526" s="954" t="n">
        <v>0.01</v>
      </c>
      <c r="F9526" s="617" t="n">
        <v>15168</v>
      </c>
      <c r="G9526" s="615" t="n">
        <f aca="false">E9526*F9526</f>
        <v>151.68</v>
      </c>
      <c r="H9526" s="606"/>
    </row>
    <row r="9527" customFormat="false" ht="30" hidden="false" customHeight="false" outlineLevel="0" collapsed="false">
      <c r="A9527" s="571"/>
      <c r="B9527" s="500"/>
      <c r="C9527" s="860" t="s">
        <v>5860</v>
      </c>
      <c r="D9527" s="316" t="s">
        <v>4133</v>
      </c>
      <c r="E9527" s="954" t="n">
        <v>0.01</v>
      </c>
      <c r="F9527" s="617" t="n">
        <v>35035</v>
      </c>
      <c r="G9527" s="615" t="n">
        <f aca="false">E9527*F9527</f>
        <v>350.35</v>
      </c>
      <c r="H9527" s="606"/>
    </row>
    <row r="9528" customFormat="false" ht="15" hidden="false" customHeight="false" outlineLevel="0" collapsed="false">
      <c r="A9528" s="571"/>
      <c r="B9528" s="500"/>
      <c r="C9528" s="21" t="s">
        <v>5823</v>
      </c>
      <c r="D9528" s="874" t="s">
        <v>4133</v>
      </c>
      <c r="E9528" s="959" t="n">
        <v>0.001</v>
      </c>
      <c r="F9528" s="617" t="n">
        <v>69797</v>
      </c>
      <c r="G9528" s="615" t="n">
        <f aca="false">E9528*F9528</f>
        <v>69.797</v>
      </c>
      <c r="H9528" s="606"/>
    </row>
    <row r="9529" customFormat="false" ht="15" hidden="false" customHeight="false" outlineLevel="0" collapsed="false">
      <c r="A9529" s="571"/>
      <c r="B9529" s="608"/>
      <c r="C9529" s="860" t="s">
        <v>4776</v>
      </c>
      <c r="D9529" s="316" t="s">
        <v>4359</v>
      </c>
      <c r="E9529" s="954" t="n">
        <v>0.1</v>
      </c>
      <c r="F9529" s="617" t="n">
        <v>800</v>
      </c>
      <c r="G9529" s="615" t="n">
        <f aca="false">E9529*F9529</f>
        <v>80</v>
      </c>
      <c r="H9529" s="391"/>
    </row>
    <row r="9530" customFormat="false" ht="15" hidden="false" customHeight="false" outlineLevel="0" collapsed="false">
      <c r="A9530" s="571"/>
      <c r="B9530" s="608" t="s">
        <v>4128</v>
      </c>
      <c r="C9530" s="709"/>
      <c r="D9530" s="606"/>
      <c r="E9530" s="606"/>
      <c r="F9530" s="361"/>
      <c r="G9530" s="613" t="n">
        <f aca="false">SUM(G9512:G9529)</f>
        <v>1603.7935</v>
      </c>
      <c r="H9530" s="606"/>
    </row>
    <row r="9531" customFormat="false" ht="45" hidden="false" customHeight="false" outlineLevel="0" collapsed="false">
      <c r="A9531" s="571" t="s">
        <v>1868</v>
      </c>
      <c r="B9531" s="433" t="s">
        <v>3670</v>
      </c>
      <c r="C9531" s="860" t="s">
        <v>5859</v>
      </c>
      <c r="D9531" s="874" t="s">
        <v>4359</v>
      </c>
      <c r="E9531" s="959" t="n">
        <v>0.01</v>
      </c>
      <c r="F9531" s="617" t="n">
        <v>1995</v>
      </c>
      <c r="G9531" s="850" t="n">
        <f aca="false">E9531*F9531</f>
        <v>19.95</v>
      </c>
      <c r="H9531" s="606"/>
    </row>
    <row r="9532" customFormat="false" ht="15" hidden="false" customHeight="false" outlineLevel="0" collapsed="false">
      <c r="A9532" s="571"/>
      <c r="B9532" s="500"/>
      <c r="C9532" s="860" t="s">
        <v>5884</v>
      </c>
      <c r="D9532" s="316" t="s">
        <v>4133</v>
      </c>
      <c r="E9532" s="970" t="n">
        <v>0.001</v>
      </c>
      <c r="F9532" s="617" t="n">
        <v>78000</v>
      </c>
      <c r="G9532" s="850" t="n">
        <f aca="false">E9532*F9532</f>
        <v>78</v>
      </c>
      <c r="H9532" s="606"/>
    </row>
    <row r="9533" customFormat="false" ht="15" hidden="false" customHeight="false" outlineLevel="0" collapsed="false">
      <c r="A9533" s="571"/>
      <c r="B9533" s="500"/>
      <c r="C9533" s="860" t="s">
        <v>5885</v>
      </c>
      <c r="D9533" s="316" t="s">
        <v>4133</v>
      </c>
      <c r="E9533" s="970" t="n">
        <v>0.001</v>
      </c>
      <c r="F9533" s="617" t="n">
        <v>58000</v>
      </c>
      <c r="G9533" s="850" t="n">
        <f aca="false">E9533*F9533</f>
        <v>58</v>
      </c>
      <c r="H9533" s="606"/>
    </row>
    <row r="9534" customFormat="false" ht="15" hidden="false" customHeight="false" outlineLevel="0" collapsed="false">
      <c r="A9534" s="571"/>
      <c r="B9534" s="500"/>
      <c r="C9534" s="860" t="s">
        <v>5886</v>
      </c>
      <c r="D9534" s="316" t="s">
        <v>4133</v>
      </c>
      <c r="E9534" s="970" t="n">
        <v>0.001</v>
      </c>
      <c r="F9534" s="883" t="n">
        <v>63500</v>
      </c>
      <c r="G9534" s="850" t="n">
        <f aca="false">E9534*F9534</f>
        <v>63.5</v>
      </c>
      <c r="H9534" s="606"/>
    </row>
    <row r="9535" customFormat="false" ht="15" hidden="false" customHeight="false" outlineLevel="0" collapsed="false">
      <c r="A9535" s="571"/>
      <c r="B9535" s="608"/>
      <c r="C9535" s="21" t="s">
        <v>5818</v>
      </c>
      <c r="D9535" s="316" t="s">
        <v>4133</v>
      </c>
      <c r="E9535" s="959" t="n">
        <v>0.001</v>
      </c>
      <c r="F9535" s="617" t="n">
        <v>67687</v>
      </c>
      <c r="G9535" s="850" t="n">
        <f aca="false">E9535*F9535</f>
        <v>67.687</v>
      </c>
      <c r="H9535" s="391"/>
    </row>
    <row r="9536" customFormat="false" ht="30" hidden="false" customHeight="false" outlineLevel="0" collapsed="false">
      <c r="A9536" s="571"/>
      <c r="B9536" s="500"/>
      <c r="C9536" s="860" t="s">
        <v>5877</v>
      </c>
      <c r="D9536" s="316" t="s">
        <v>4528</v>
      </c>
      <c r="E9536" s="954" t="n">
        <v>0.009</v>
      </c>
      <c r="F9536" s="883" t="n">
        <v>68401</v>
      </c>
      <c r="G9536" s="850" t="n">
        <f aca="false">E9536*F9536</f>
        <v>615.609</v>
      </c>
      <c r="H9536" s="606"/>
    </row>
    <row r="9537" customFormat="false" ht="15" hidden="false" customHeight="false" outlineLevel="0" collapsed="false">
      <c r="A9537" s="571"/>
      <c r="B9537" s="500"/>
      <c r="C9537" s="21" t="s">
        <v>5852</v>
      </c>
      <c r="D9537" s="874" t="s">
        <v>5564</v>
      </c>
      <c r="E9537" s="838" t="n">
        <v>0.01</v>
      </c>
      <c r="F9537" s="617" t="n">
        <v>39930</v>
      </c>
      <c r="G9537" s="850" t="n">
        <f aca="false">E9537*F9537</f>
        <v>399.3</v>
      </c>
      <c r="H9537" s="606"/>
    </row>
    <row r="9538" customFormat="false" ht="15" hidden="false" customHeight="false" outlineLevel="0" collapsed="false">
      <c r="A9538" s="571"/>
      <c r="B9538" s="500"/>
      <c r="C9538" s="21" t="s">
        <v>5824</v>
      </c>
      <c r="D9538" s="316" t="s">
        <v>4528</v>
      </c>
      <c r="E9538" s="954" t="n">
        <v>0.001</v>
      </c>
      <c r="F9538" s="617" t="n">
        <v>82115</v>
      </c>
      <c r="G9538" s="850" t="n">
        <f aca="false">E9538*F9538</f>
        <v>82.115</v>
      </c>
      <c r="H9538" s="606"/>
    </row>
    <row r="9539" customFormat="false" ht="15" hidden="false" customHeight="false" outlineLevel="0" collapsed="false">
      <c r="A9539" s="571"/>
      <c r="B9539" s="500"/>
      <c r="C9539" s="860" t="s">
        <v>5819</v>
      </c>
      <c r="D9539" s="316" t="s">
        <v>4191</v>
      </c>
      <c r="E9539" s="954" t="n">
        <v>0.01</v>
      </c>
      <c r="F9539" s="883" t="n">
        <v>316.4</v>
      </c>
      <c r="G9539" s="850" t="n">
        <f aca="false">E9539*F9539</f>
        <v>3.164</v>
      </c>
      <c r="H9539" s="606"/>
    </row>
    <row r="9540" customFormat="false" ht="15" hidden="false" customHeight="false" outlineLevel="0" collapsed="false">
      <c r="A9540" s="571"/>
      <c r="B9540" s="500"/>
      <c r="C9540" s="860" t="s">
        <v>5826</v>
      </c>
      <c r="D9540" s="316" t="s">
        <v>4191</v>
      </c>
      <c r="E9540" s="954" t="n">
        <v>0.01</v>
      </c>
      <c r="F9540" s="617" t="n">
        <v>366.25</v>
      </c>
      <c r="G9540" s="850" t="n">
        <f aca="false">E9540*F9540</f>
        <v>3.6625</v>
      </c>
      <c r="H9540" s="606"/>
    </row>
    <row r="9541" customFormat="false" ht="15" hidden="false" customHeight="false" outlineLevel="0" collapsed="false">
      <c r="A9541" s="571"/>
      <c r="B9541" s="328"/>
      <c r="C9541" s="860" t="s">
        <v>5820</v>
      </c>
      <c r="D9541" s="316" t="s">
        <v>4191</v>
      </c>
      <c r="E9541" s="954" t="n">
        <v>0.01</v>
      </c>
      <c r="F9541" s="617" t="n">
        <v>650</v>
      </c>
      <c r="G9541" s="850" t="n">
        <f aca="false">E9541*F9541</f>
        <v>6.5</v>
      </c>
      <c r="H9541" s="606"/>
    </row>
    <row r="9542" customFormat="false" ht="15" hidden="false" customHeight="false" outlineLevel="0" collapsed="false">
      <c r="A9542" s="571"/>
      <c r="B9542" s="500"/>
      <c r="C9542" s="860" t="s">
        <v>5861</v>
      </c>
      <c r="D9542" s="316" t="s">
        <v>5452</v>
      </c>
      <c r="E9542" s="954" t="n">
        <v>0.001</v>
      </c>
      <c r="F9542" s="617" t="n">
        <v>150375</v>
      </c>
      <c r="G9542" s="850" t="n">
        <f aca="false">E9542*F9542</f>
        <v>150.375</v>
      </c>
      <c r="H9542" s="606"/>
    </row>
    <row r="9543" customFormat="false" ht="15" hidden="false" customHeight="false" outlineLevel="0" collapsed="false">
      <c r="A9543" s="571"/>
      <c r="B9543" s="500"/>
      <c r="C9543" s="860" t="s">
        <v>5825</v>
      </c>
      <c r="D9543" s="316" t="s">
        <v>4191</v>
      </c>
      <c r="E9543" s="954" t="n">
        <v>0.01</v>
      </c>
      <c r="F9543" s="883" t="n">
        <v>8468</v>
      </c>
      <c r="G9543" s="850" t="n">
        <f aca="false">E9543*F9543</f>
        <v>84.68</v>
      </c>
      <c r="H9543" s="606"/>
    </row>
    <row r="9544" customFormat="false" ht="15" hidden="false" customHeight="false" outlineLevel="0" collapsed="false">
      <c r="A9544" s="571"/>
      <c r="B9544" s="500"/>
      <c r="C9544" s="860" t="s">
        <v>4776</v>
      </c>
      <c r="D9544" s="316" t="s">
        <v>4359</v>
      </c>
      <c r="E9544" s="954" t="n">
        <v>0.1</v>
      </c>
      <c r="F9544" s="617" t="n">
        <v>800</v>
      </c>
      <c r="G9544" s="850" t="n">
        <f aca="false">E9544*F9544</f>
        <v>80</v>
      </c>
      <c r="H9544" s="606"/>
    </row>
    <row r="9545" customFormat="false" ht="15" hidden="false" customHeight="false" outlineLevel="0" collapsed="false">
      <c r="A9545" s="571"/>
      <c r="B9545" s="608" t="s">
        <v>4128</v>
      </c>
      <c r="C9545" s="718"/>
      <c r="D9545" s="610"/>
      <c r="E9545" s="610"/>
      <c r="F9545" s="612"/>
      <c r="G9545" s="613" t="n">
        <f aca="false">SUM(G9531:G9544)</f>
        <v>1712.5425</v>
      </c>
      <c r="H9545" s="610"/>
    </row>
    <row r="9546" customFormat="false" ht="30" hidden="false" customHeight="false" outlineLevel="0" collapsed="false">
      <c r="A9546" s="571" t="s">
        <v>1870</v>
      </c>
      <c r="B9546" s="500" t="s">
        <v>5887</v>
      </c>
      <c r="C9546" s="860" t="s">
        <v>5859</v>
      </c>
      <c r="D9546" s="874" t="s">
        <v>4359</v>
      </c>
      <c r="E9546" s="959" t="n">
        <v>0.01</v>
      </c>
      <c r="F9546" s="617" t="n">
        <v>1995</v>
      </c>
      <c r="G9546" s="850" t="n">
        <f aca="false">E9546*F9546</f>
        <v>19.95</v>
      </c>
      <c r="H9546" s="606"/>
    </row>
    <row r="9547" customFormat="false" ht="15" hidden="false" customHeight="false" outlineLevel="0" collapsed="false">
      <c r="A9547" s="571"/>
      <c r="B9547" s="500"/>
      <c r="C9547" s="860" t="s">
        <v>5886</v>
      </c>
      <c r="D9547" s="316" t="s">
        <v>4133</v>
      </c>
      <c r="E9547" s="661" t="n">
        <v>0.001</v>
      </c>
      <c r="F9547" s="883" t="n">
        <v>63500</v>
      </c>
      <c r="G9547" s="850" t="n">
        <f aca="false">E9547*F9547</f>
        <v>63.5</v>
      </c>
      <c r="H9547" s="606"/>
    </row>
    <row r="9548" customFormat="false" ht="15" hidden="false" customHeight="false" outlineLevel="0" collapsed="false">
      <c r="A9548" s="571"/>
      <c r="B9548" s="500"/>
      <c r="C9548" s="21" t="s">
        <v>5818</v>
      </c>
      <c r="D9548" s="874" t="s">
        <v>4133</v>
      </c>
      <c r="E9548" s="661" t="n">
        <v>0.001</v>
      </c>
      <c r="F9548" s="617" t="n">
        <v>67687</v>
      </c>
      <c r="G9548" s="850" t="n">
        <f aca="false">E9548*F9548</f>
        <v>67.687</v>
      </c>
      <c r="H9548" s="606"/>
    </row>
    <row r="9549" customFormat="false" ht="30" hidden="false" customHeight="false" outlineLevel="0" collapsed="false">
      <c r="A9549" s="571"/>
      <c r="B9549" s="608"/>
      <c r="C9549" s="860" t="s">
        <v>5877</v>
      </c>
      <c r="D9549" s="316" t="s">
        <v>4359</v>
      </c>
      <c r="E9549" s="954" t="n">
        <v>0.01</v>
      </c>
      <c r="F9549" s="883" t="n">
        <v>68415</v>
      </c>
      <c r="G9549" s="850" t="n">
        <f aca="false">E9549*F9549</f>
        <v>684.15</v>
      </c>
      <c r="H9549" s="391"/>
    </row>
    <row r="9550" customFormat="false" ht="15" hidden="false" customHeight="false" outlineLevel="0" collapsed="false">
      <c r="A9550" s="571"/>
      <c r="B9550" s="500"/>
      <c r="C9550" s="21" t="s">
        <v>5852</v>
      </c>
      <c r="D9550" s="874" t="s">
        <v>4133</v>
      </c>
      <c r="E9550" s="838" t="n">
        <v>0.001</v>
      </c>
      <c r="F9550" s="617" t="n">
        <v>39930</v>
      </c>
      <c r="G9550" s="850" t="n">
        <f aca="false">E9550*F9550</f>
        <v>39.93</v>
      </c>
      <c r="H9550" s="606"/>
    </row>
    <row r="9551" customFormat="false" ht="15" hidden="false" customHeight="false" outlineLevel="0" collapsed="false">
      <c r="A9551" s="571"/>
      <c r="B9551" s="500"/>
      <c r="C9551" s="21" t="s">
        <v>5824</v>
      </c>
      <c r="D9551" s="316" t="s">
        <v>4359</v>
      </c>
      <c r="E9551" s="954" t="n">
        <v>0.001</v>
      </c>
      <c r="F9551" s="617" t="n">
        <v>82115</v>
      </c>
      <c r="G9551" s="850" t="n">
        <f aca="false">E9551*F9551</f>
        <v>82.115</v>
      </c>
      <c r="H9551" s="606"/>
    </row>
    <row r="9552" customFormat="false" ht="15" hidden="false" customHeight="false" outlineLevel="0" collapsed="false">
      <c r="A9552" s="571"/>
      <c r="B9552" s="500"/>
      <c r="C9552" s="860" t="s">
        <v>5819</v>
      </c>
      <c r="D9552" s="316" t="s">
        <v>4191</v>
      </c>
      <c r="E9552" s="954" t="n">
        <v>0.01</v>
      </c>
      <c r="F9552" s="883" t="n">
        <v>316.4</v>
      </c>
      <c r="G9552" s="850" t="n">
        <f aca="false">E9552*F9552</f>
        <v>3.164</v>
      </c>
      <c r="H9552" s="606"/>
    </row>
    <row r="9553" customFormat="false" ht="15" hidden="false" customHeight="false" outlineLevel="0" collapsed="false">
      <c r="A9553" s="571"/>
      <c r="B9553" s="500"/>
      <c r="C9553" s="860" t="s">
        <v>5826</v>
      </c>
      <c r="D9553" s="316" t="s">
        <v>4191</v>
      </c>
      <c r="E9553" s="954" t="n">
        <v>0.01</v>
      </c>
      <c r="F9553" s="617" t="n">
        <v>366.25</v>
      </c>
      <c r="G9553" s="850" t="n">
        <f aca="false">E9553*F9553</f>
        <v>3.6625</v>
      </c>
      <c r="H9553" s="606"/>
    </row>
    <row r="9554" customFormat="false" ht="15" hidden="false" customHeight="false" outlineLevel="0" collapsed="false">
      <c r="A9554" s="571"/>
      <c r="B9554" s="500"/>
      <c r="C9554" s="860" t="s">
        <v>5820</v>
      </c>
      <c r="D9554" s="316" t="s">
        <v>4191</v>
      </c>
      <c r="E9554" s="954" t="n">
        <v>0.01</v>
      </c>
      <c r="F9554" s="617" t="n">
        <v>650</v>
      </c>
      <c r="G9554" s="850" t="n">
        <f aca="false">E9554*F9554</f>
        <v>6.5</v>
      </c>
      <c r="H9554" s="606"/>
    </row>
    <row r="9555" customFormat="false" ht="15" hidden="false" customHeight="false" outlineLevel="0" collapsed="false">
      <c r="A9555" s="571"/>
      <c r="B9555" s="500"/>
      <c r="C9555" s="860" t="s">
        <v>5861</v>
      </c>
      <c r="D9555" s="316" t="s">
        <v>5452</v>
      </c>
      <c r="E9555" s="954" t="n">
        <v>0.001</v>
      </c>
      <c r="F9555" s="617" t="n">
        <v>150375</v>
      </c>
      <c r="G9555" s="850" t="n">
        <f aca="false">E9555*F9555</f>
        <v>150.375</v>
      </c>
      <c r="H9555" s="606"/>
    </row>
    <row r="9556" customFormat="false" ht="15" hidden="false" customHeight="false" outlineLevel="0" collapsed="false">
      <c r="A9556" s="571"/>
      <c r="B9556" s="500"/>
      <c r="C9556" s="860" t="s">
        <v>5825</v>
      </c>
      <c r="D9556" s="316" t="s">
        <v>4191</v>
      </c>
      <c r="E9556" s="954" t="n">
        <v>0.01</v>
      </c>
      <c r="F9556" s="883" t="n">
        <v>8468</v>
      </c>
      <c r="G9556" s="850" t="n">
        <f aca="false">E9556*F9556</f>
        <v>84.68</v>
      </c>
      <c r="H9556" s="606"/>
    </row>
    <row r="9557" customFormat="false" ht="15" hidden="false" customHeight="false" outlineLevel="0" collapsed="false">
      <c r="A9557" s="571"/>
      <c r="B9557" s="500"/>
      <c r="C9557" s="860" t="s">
        <v>4776</v>
      </c>
      <c r="D9557" s="316" t="s">
        <v>4359</v>
      </c>
      <c r="E9557" s="954" t="n">
        <v>0.1</v>
      </c>
      <c r="F9557" s="617" t="n">
        <v>800</v>
      </c>
      <c r="G9557" s="850" t="n">
        <f aca="false">E9557*F9557</f>
        <v>80</v>
      </c>
      <c r="H9557" s="606"/>
    </row>
    <row r="9558" customFormat="false" ht="15" hidden="false" customHeight="false" outlineLevel="0" collapsed="false">
      <c r="A9558" s="571"/>
      <c r="B9558" s="608" t="s">
        <v>4128</v>
      </c>
      <c r="C9558" s="964"/>
      <c r="D9558" s="965"/>
      <c r="E9558" s="966"/>
      <c r="F9558" s="967"/>
      <c r="G9558" s="613" t="n">
        <f aca="false">SUM(G9546:G9557)</f>
        <v>1285.7135</v>
      </c>
      <c r="H9558" s="610"/>
    </row>
    <row r="9559" customFormat="false" ht="30" hidden="false" customHeight="false" outlineLevel="0" collapsed="false">
      <c r="A9559" s="571" t="s">
        <v>1872</v>
      </c>
      <c r="B9559" s="433" t="s">
        <v>3672</v>
      </c>
      <c r="C9559" s="860" t="s">
        <v>5888</v>
      </c>
      <c r="D9559" s="316" t="s">
        <v>4133</v>
      </c>
      <c r="E9559" s="661" t="n">
        <v>0.009</v>
      </c>
      <c r="F9559" s="617" t="n">
        <v>121303</v>
      </c>
      <c r="G9559" s="615" t="n">
        <f aca="false">E9559*F9559</f>
        <v>1091.727</v>
      </c>
      <c r="H9559" s="391"/>
    </row>
    <row r="9560" customFormat="false" ht="15" hidden="false" customHeight="false" outlineLevel="0" collapsed="false">
      <c r="A9560" s="571"/>
      <c r="B9560" s="328"/>
      <c r="C9560" s="860" t="s">
        <v>5824</v>
      </c>
      <c r="D9560" s="316" t="s">
        <v>4359</v>
      </c>
      <c r="E9560" s="954" t="n">
        <v>0.001</v>
      </c>
      <c r="F9560" s="617" t="n">
        <v>82115</v>
      </c>
      <c r="G9560" s="615" t="n">
        <f aca="false">E9560*F9560</f>
        <v>82.115</v>
      </c>
      <c r="H9560" s="606"/>
    </row>
    <row r="9561" customFormat="false" ht="15" hidden="false" customHeight="false" outlineLevel="0" collapsed="false">
      <c r="A9561" s="571"/>
      <c r="B9561" s="500"/>
      <c r="C9561" s="860" t="s">
        <v>5826</v>
      </c>
      <c r="D9561" s="316" t="s">
        <v>4191</v>
      </c>
      <c r="E9561" s="954" t="n">
        <v>0.01</v>
      </c>
      <c r="F9561" s="617" t="n">
        <v>366.25</v>
      </c>
      <c r="G9561" s="615" t="n">
        <f aca="false">E9561*F9561</f>
        <v>3.6625</v>
      </c>
      <c r="H9561" s="606"/>
    </row>
    <row r="9562" customFormat="false" ht="15" hidden="false" customHeight="false" outlineLevel="0" collapsed="false">
      <c r="A9562" s="571"/>
      <c r="B9562" s="500"/>
      <c r="C9562" s="860" t="s">
        <v>5820</v>
      </c>
      <c r="D9562" s="316" t="s">
        <v>4191</v>
      </c>
      <c r="E9562" s="954" t="n">
        <v>0.01</v>
      </c>
      <c r="F9562" s="617" t="n">
        <v>650</v>
      </c>
      <c r="G9562" s="615" t="n">
        <f aca="false">E9562*F9562</f>
        <v>6.5</v>
      </c>
      <c r="H9562" s="606"/>
    </row>
    <row r="9563" customFormat="false" ht="15" hidden="false" customHeight="false" outlineLevel="0" collapsed="false">
      <c r="A9563" s="571"/>
      <c r="B9563" s="500"/>
      <c r="C9563" s="860" t="s">
        <v>4515</v>
      </c>
      <c r="D9563" s="316" t="s">
        <v>4133</v>
      </c>
      <c r="E9563" s="954" t="n">
        <v>0.15</v>
      </c>
      <c r="F9563" s="681" t="n">
        <v>350</v>
      </c>
      <c r="G9563" s="615" t="n">
        <f aca="false">E9563*F9563</f>
        <v>52.5</v>
      </c>
      <c r="H9563" s="606"/>
    </row>
    <row r="9564" customFormat="false" ht="15" hidden="false" customHeight="false" outlineLevel="0" collapsed="false">
      <c r="A9564" s="571"/>
      <c r="B9564" s="500"/>
      <c r="C9564" s="860" t="s">
        <v>4776</v>
      </c>
      <c r="D9564" s="316" t="s">
        <v>4359</v>
      </c>
      <c r="E9564" s="954" t="n">
        <v>0.1</v>
      </c>
      <c r="F9564" s="617" t="n">
        <v>800</v>
      </c>
      <c r="G9564" s="615" t="n">
        <f aca="false">E9564*F9564</f>
        <v>80</v>
      </c>
      <c r="H9564" s="606"/>
    </row>
    <row r="9565" customFormat="false" ht="15" hidden="false" customHeight="false" outlineLevel="0" collapsed="false">
      <c r="A9565" s="571"/>
      <c r="B9565" s="500"/>
      <c r="C9565" s="860" t="s">
        <v>5851</v>
      </c>
      <c r="D9565" s="316" t="s">
        <v>4348</v>
      </c>
      <c r="E9565" s="954" t="n">
        <v>0.01</v>
      </c>
      <c r="F9565" s="617" t="n">
        <v>19488</v>
      </c>
      <c r="G9565" s="615" t="n">
        <f aca="false">E9565*F9565</f>
        <v>194.88</v>
      </c>
      <c r="H9565" s="606"/>
    </row>
    <row r="9566" customFormat="false" ht="15" hidden="false" customHeight="false" outlineLevel="0" collapsed="false">
      <c r="A9566" s="571"/>
      <c r="B9566" s="608"/>
      <c r="C9566" s="860" t="s">
        <v>5829</v>
      </c>
      <c r="D9566" s="316" t="s">
        <v>4348</v>
      </c>
      <c r="E9566" s="954" t="n">
        <v>0.001</v>
      </c>
      <c r="F9566" s="617" t="n">
        <v>150370</v>
      </c>
      <c r="G9566" s="615" t="n">
        <f aca="false">E9566*F9566</f>
        <v>150.37</v>
      </c>
      <c r="H9566" s="391"/>
    </row>
    <row r="9567" customFormat="false" ht="15" hidden="false" customHeight="false" outlineLevel="0" collapsed="false">
      <c r="A9567" s="571"/>
      <c r="B9567" s="608" t="s">
        <v>4128</v>
      </c>
      <c r="C9567" s="964"/>
      <c r="D9567" s="965"/>
      <c r="E9567" s="966"/>
      <c r="F9567" s="967"/>
      <c r="G9567" s="613" t="n">
        <f aca="false">SUM(G9559:G9566)</f>
        <v>1661.7545</v>
      </c>
      <c r="H9567" s="610"/>
    </row>
    <row r="9568" customFormat="false" ht="30" hidden="false" customHeight="false" outlineLevel="0" collapsed="false">
      <c r="A9568" s="571" t="s">
        <v>1874</v>
      </c>
      <c r="B9568" s="433" t="s">
        <v>3673</v>
      </c>
      <c r="C9568" s="860" t="s">
        <v>5889</v>
      </c>
      <c r="D9568" s="316" t="s">
        <v>4133</v>
      </c>
      <c r="E9568" s="661" t="n">
        <v>0.009</v>
      </c>
      <c r="F9568" s="617" t="n">
        <v>57057</v>
      </c>
      <c r="G9568" s="615" t="n">
        <f aca="false">E9568*F9568</f>
        <v>513.513</v>
      </c>
      <c r="H9568" s="606"/>
    </row>
    <row r="9569" customFormat="false" ht="15" hidden="false" customHeight="false" outlineLevel="0" collapsed="false">
      <c r="A9569" s="571"/>
      <c r="B9569" s="608"/>
      <c r="C9569" s="860" t="s">
        <v>4410</v>
      </c>
      <c r="D9569" s="316" t="s">
        <v>4133</v>
      </c>
      <c r="E9569" s="954" t="n">
        <v>0.01</v>
      </c>
      <c r="F9569" s="617" t="n">
        <v>2782</v>
      </c>
      <c r="G9569" s="615" t="n">
        <f aca="false">E9569*F9569</f>
        <v>27.82</v>
      </c>
      <c r="H9569" s="391"/>
    </row>
    <row r="9570" customFormat="false" ht="15" hidden="false" customHeight="false" outlineLevel="0" collapsed="false">
      <c r="A9570" s="571"/>
      <c r="B9570" s="500"/>
      <c r="C9570" s="860" t="s">
        <v>5890</v>
      </c>
      <c r="D9570" s="316" t="s">
        <v>4359</v>
      </c>
      <c r="E9570" s="954" t="n">
        <v>0.09</v>
      </c>
      <c r="F9570" s="617" t="n">
        <v>2000</v>
      </c>
      <c r="G9570" s="615" t="n">
        <f aca="false">E9570*F9570</f>
        <v>180</v>
      </c>
      <c r="H9570" s="606"/>
    </row>
    <row r="9571" customFormat="false" ht="15" hidden="false" customHeight="false" outlineLevel="0" collapsed="false">
      <c r="A9571" s="571"/>
      <c r="B9571" s="500"/>
      <c r="C9571" s="860" t="s">
        <v>5891</v>
      </c>
      <c r="D9571" s="316" t="s">
        <v>5892</v>
      </c>
      <c r="E9571" s="954" t="n">
        <v>0.09</v>
      </c>
      <c r="F9571" s="617" t="n">
        <v>2000</v>
      </c>
      <c r="G9571" s="615" t="n">
        <f aca="false">E9571*F9571</f>
        <v>180</v>
      </c>
      <c r="H9571" s="606"/>
    </row>
    <row r="9572" customFormat="false" ht="30" hidden="false" customHeight="false" outlineLevel="0" collapsed="false">
      <c r="A9572" s="571"/>
      <c r="B9572" s="500"/>
      <c r="C9572" s="860" t="s">
        <v>5893</v>
      </c>
      <c r="D9572" s="316" t="s">
        <v>4191</v>
      </c>
      <c r="E9572" s="954" t="n">
        <v>0.001</v>
      </c>
      <c r="F9572" s="617" t="n">
        <v>200000</v>
      </c>
      <c r="G9572" s="615" t="n">
        <f aca="false">E9572*F9572</f>
        <v>200</v>
      </c>
      <c r="H9572" s="606"/>
    </row>
    <row r="9573" customFormat="false" ht="15" hidden="false" customHeight="false" outlineLevel="0" collapsed="false">
      <c r="A9573" s="571"/>
      <c r="B9573" s="500"/>
      <c r="C9573" s="860" t="s">
        <v>5826</v>
      </c>
      <c r="D9573" s="316" t="s">
        <v>4191</v>
      </c>
      <c r="E9573" s="954" t="n">
        <v>0.01</v>
      </c>
      <c r="F9573" s="617" t="n">
        <v>366.25</v>
      </c>
      <c r="G9573" s="615" t="n">
        <f aca="false">E9573*F9573</f>
        <v>3.6625</v>
      </c>
      <c r="H9573" s="606"/>
    </row>
    <row r="9574" customFormat="false" ht="15" hidden="false" customHeight="false" outlineLevel="0" collapsed="false">
      <c r="A9574" s="571"/>
      <c r="B9574" s="500"/>
      <c r="C9574" s="860" t="s">
        <v>5820</v>
      </c>
      <c r="D9574" s="316" t="s">
        <v>4191</v>
      </c>
      <c r="E9574" s="954" t="n">
        <v>0.01</v>
      </c>
      <c r="F9574" s="617" t="n">
        <v>650</v>
      </c>
      <c r="G9574" s="615" t="n">
        <f aca="false">E9574*F9574</f>
        <v>6.5</v>
      </c>
      <c r="H9574" s="606"/>
    </row>
    <row r="9575" customFormat="false" ht="15" hidden="false" customHeight="false" outlineLevel="0" collapsed="false">
      <c r="A9575" s="571"/>
      <c r="B9575" s="500"/>
      <c r="C9575" s="860" t="s">
        <v>4776</v>
      </c>
      <c r="D9575" s="316" t="s">
        <v>4359</v>
      </c>
      <c r="E9575" s="954" t="n">
        <v>0.1</v>
      </c>
      <c r="F9575" s="617" t="n">
        <v>800</v>
      </c>
      <c r="G9575" s="615" t="n">
        <f aca="false">E9575*F9575</f>
        <v>80</v>
      </c>
      <c r="H9575" s="606"/>
    </row>
    <row r="9576" customFormat="false" ht="15" hidden="false" customHeight="false" outlineLevel="0" collapsed="false">
      <c r="A9576" s="571"/>
      <c r="B9576" s="608"/>
      <c r="C9576" s="855" t="s">
        <v>5851</v>
      </c>
      <c r="D9576" s="316" t="s">
        <v>4348</v>
      </c>
      <c r="E9576" s="954" t="n">
        <v>0.001</v>
      </c>
      <c r="F9576" s="617" t="n">
        <v>19488</v>
      </c>
      <c r="G9576" s="615" t="n">
        <f aca="false">E9576*F9576</f>
        <v>19.488</v>
      </c>
      <c r="H9576" s="391"/>
    </row>
    <row r="9577" customFormat="false" ht="15" hidden="false" customHeight="false" outlineLevel="0" collapsed="false">
      <c r="A9577" s="571"/>
      <c r="B9577" s="608" t="s">
        <v>4128</v>
      </c>
      <c r="C9577" s="709"/>
      <c r="D9577" s="606"/>
      <c r="E9577" s="606"/>
      <c r="F9577" s="361"/>
      <c r="G9577" s="613" t="n">
        <f aca="false">SUM(G9568:G9576)</f>
        <v>1210.9835</v>
      </c>
      <c r="H9577" s="606"/>
    </row>
    <row r="9578" customFormat="false" ht="30" hidden="false" customHeight="false" outlineLevel="0" collapsed="false">
      <c r="A9578" s="571" t="s">
        <v>1876</v>
      </c>
      <c r="B9578" s="433" t="s">
        <v>3674</v>
      </c>
      <c r="C9578" s="860" t="s">
        <v>5828</v>
      </c>
      <c r="D9578" s="316" t="s">
        <v>4133</v>
      </c>
      <c r="E9578" s="661" t="n">
        <v>0.01</v>
      </c>
      <c r="F9578" s="617" t="n">
        <v>91113</v>
      </c>
      <c r="G9578" s="615" t="n">
        <f aca="false">E9578*F9578</f>
        <v>911.13</v>
      </c>
      <c r="H9578" s="606"/>
    </row>
    <row r="9579" customFormat="false" ht="15" hidden="false" customHeight="false" outlineLevel="0" collapsed="false">
      <c r="A9579" s="571"/>
      <c r="B9579" s="500"/>
      <c r="C9579" s="860" t="s">
        <v>5829</v>
      </c>
      <c r="D9579" s="316" t="s">
        <v>4348</v>
      </c>
      <c r="E9579" s="954" t="n">
        <v>0.001</v>
      </c>
      <c r="F9579" s="617" t="n">
        <v>150370</v>
      </c>
      <c r="G9579" s="615" t="n">
        <f aca="false">E9579*F9579</f>
        <v>150.37</v>
      </c>
      <c r="H9579" s="606"/>
    </row>
    <row r="9580" customFormat="false" ht="15" hidden="false" customHeight="false" outlineLevel="0" collapsed="false">
      <c r="A9580" s="571"/>
      <c r="B9580" s="500"/>
      <c r="C9580" s="860" t="s">
        <v>5824</v>
      </c>
      <c r="D9580" s="316" t="s">
        <v>4359</v>
      </c>
      <c r="E9580" s="954" t="n">
        <v>0.001</v>
      </c>
      <c r="F9580" s="617" t="n">
        <v>82115</v>
      </c>
      <c r="G9580" s="615" t="n">
        <f aca="false">E9580*F9580</f>
        <v>82.115</v>
      </c>
      <c r="H9580" s="606"/>
    </row>
    <row r="9581" customFormat="false" ht="15" hidden="false" customHeight="false" outlineLevel="0" collapsed="false">
      <c r="A9581" s="571"/>
      <c r="B9581" s="500"/>
      <c r="C9581" s="860" t="s">
        <v>5819</v>
      </c>
      <c r="D9581" s="316" t="s">
        <v>4191</v>
      </c>
      <c r="E9581" s="954" t="n">
        <v>0.01</v>
      </c>
      <c r="F9581" s="883" t="n">
        <v>316.4</v>
      </c>
      <c r="G9581" s="615" t="n">
        <f aca="false">E9581*F9581</f>
        <v>3.164</v>
      </c>
      <c r="H9581" s="606"/>
    </row>
    <row r="9582" customFormat="false" ht="15" hidden="false" customHeight="false" outlineLevel="0" collapsed="false">
      <c r="A9582" s="571"/>
      <c r="B9582" s="608"/>
      <c r="C9582" s="860" t="s">
        <v>5826</v>
      </c>
      <c r="D9582" s="316" t="s">
        <v>4191</v>
      </c>
      <c r="E9582" s="954" t="n">
        <v>0.01</v>
      </c>
      <c r="F9582" s="617" t="n">
        <v>366.25</v>
      </c>
      <c r="G9582" s="615" t="n">
        <f aca="false">E9582*F9582</f>
        <v>3.6625</v>
      </c>
      <c r="H9582" s="391"/>
    </row>
    <row r="9583" customFormat="false" ht="15" hidden="false" customHeight="false" outlineLevel="0" collapsed="false">
      <c r="A9583" s="571"/>
      <c r="B9583" s="500"/>
      <c r="C9583" s="860" t="s">
        <v>5861</v>
      </c>
      <c r="D9583" s="316" t="s">
        <v>5452</v>
      </c>
      <c r="E9583" s="954" t="n">
        <v>0.001</v>
      </c>
      <c r="F9583" s="617" t="n">
        <v>150375</v>
      </c>
      <c r="G9583" s="615" t="n">
        <f aca="false">E9583*F9583</f>
        <v>150.375</v>
      </c>
      <c r="H9583" s="606"/>
    </row>
    <row r="9584" customFormat="false" ht="15" hidden="false" customHeight="false" outlineLevel="0" collapsed="false">
      <c r="A9584" s="571"/>
      <c r="B9584" s="500"/>
      <c r="C9584" s="860" t="s">
        <v>4515</v>
      </c>
      <c r="D9584" s="316" t="s">
        <v>4133</v>
      </c>
      <c r="E9584" s="954" t="n">
        <v>0.1</v>
      </c>
      <c r="F9584" s="681" t="n">
        <v>350</v>
      </c>
      <c r="G9584" s="615" t="n">
        <f aca="false">E9584*F9584</f>
        <v>35</v>
      </c>
      <c r="H9584" s="606"/>
    </row>
    <row r="9585" customFormat="false" ht="15" hidden="false" customHeight="false" outlineLevel="0" collapsed="false">
      <c r="A9585" s="571"/>
      <c r="B9585" s="500"/>
      <c r="C9585" s="21" t="s">
        <v>5818</v>
      </c>
      <c r="D9585" s="874" t="s">
        <v>4133</v>
      </c>
      <c r="E9585" s="661" t="n">
        <v>0.001</v>
      </c>
      <c r="F9585" s="617" t="n">
        <v>67687</v>
      </c>
      <c r="G9585" s="615" t="n">
        <f aca="false">E9585*F9585</f>
        <v>67.687</v>
      </c>
      <c r="H9585" s="606"/>
    </row>
    <row r="9586" customFormat="false" ht="15" hidden="false" customHeight="false" outlineLevel="0" collapsed="false">
      <c r="A9586" s="571"/>
      <c r="B9586" s="500"/>
      <c r="C9586" s="21" t="s">
        <v>5857</v>
      </c>
      <c r="D9586" s="874" t="s">
        <v>4359</v>
      </c>
      <c r="E9586" s="959" t="n">
        <v>0.001</v>
      </c>
      <c r="F9586" s="883" t="n">
        <v>175794</v>
      </c>
      <c r="G9586" s="615" t="n">
        <f aca="false">E9586*F9586</f>
        <v>175.794</v>
      </c>
      <c r="H9586" s="606"/>
    </row>
    <row r="9587" customFormat="false" ht="15" hidden="false" customHeight="false" outlineLevel="0" collapsed="false">
      <c r="A9587" s="571"/>
      <c r="B9587" s="500"/>
      <c r="C9587" s="860" t="s">
        <v>5894</v>
      </c>
      <c r="D9587" s="316" t="s">
        <v>4359</v>
      </c>
      <c r="E9587" s="958" t="n">
        <v>0.001</v>
      </c>
      <c r="F9587" s="883" t="n">
        <v>51800</v>
      </c>
      <c r="G9587" s="615" t="n">
        <f aca="false">E9587*F9587</f>
        <v>51.8</v>
      </c>
      <c r="H9587" s="606"/>
    </row>
    <row r="9588" customFormat="false" ht="30" hidden="false" customHeight="false" outlineLevel="0" collapsed="false">
      <c r="A9588" s="571"/>
      <c r="B9588" s="500"/>
      <c r="C9588" s="860" t="s">
        <v>5877</v>
      </c>
      <c r="D9588" s="316" t="s">
        <v>4528</v>
      </c>
      <c r="E9588" s="954" t="n">
        <v>0.001</v>
      </c>
      <c r="F9588" s="883" t="n">
        <v>68401</v>
      </c>
      <c r="G9588" s="615" t="n">
        <f aca="false">E9588*F9588</f>
        <v>68.401</v>
      </c>
      <c r="H9588" s="606"/>
    </row>
    <row r="9589" customFormat="false" ht="15" hidden="false" customHeight="false" outlineLevel="0" collapsed="false">
      <c r="A9589" s="571"/>
      <c r="B9589" s="500"/>
      <c r="C9589" s="860" t="s">
        <v>4776</v>
      </c>
      <c r="D9589" s="316" t="s">
        <v>4359</v>
      </c>
      <c r="E9589" s="954" t="n">
        <v>0.2</v>
      </c>
      <c r="F9589" s="617" t="n">
        <v>800</v>
      </c>
      <c r="G9589" s="615" t="n">
        <f aca="false">E9589*F9589</f>
        <v>160</v>
      </c>
      <c r="H9589" s="606"/>
    </row>
    <row r="9590" customFormat="false" ht="15" hidden="false" customHeight="false" outlineLevel="0" collapsed="false">
      <c r="A9590" s="571"/>
      <c r="B9590" s="608" t="s">
        <v>4128</v>
      </c>
      <c r="C9590" s="964"/>
      <c r="D9590" s="965"/>
      <c r="E9590" s="969"/>
      <c r="F9590" s="967"/>
      <c r="G9590" s="613" t="n">
        <f aca="false">SUM(G9578:G9589)</f>
        <v>1859.4985</v>
      </c>
      <c r="H9590" s="391"/>
    </row>
    <row r="9591" customFormat="false" ht="45" hidden="false" customHeight="false" outlineLevel="0" collapsed="false">
      <c r="A9591" s="571" t="s">
        <v>1878</v>
      </c>
      <c r="B9591" s="433" t="s">
        <v>3675</v>
      </c>
      <c r="C9591" s="860" t="s">
        <v>5818</v>
      </c>
      <c r="D9591" s="316" t="s">
        <v>4133</v>
      </c>
      <c r="E9591" s="958" t="n">
        <v>0.002</v>
      </c>
      <c r="F9591" s="617" t="n">
        <v>67687</v>
      </c>
      <c r="G9591" s="615" t="n">
        <f aca="false">E9591*F9591</f>
        <v>135.374</v>
      </c>
      <c r="H9591" s="606"/>
    </row>
    <row r="9592" customFormat="false" ht="15" hidden="false" customHeight="false" outlineLevel="0" collapsed="false">
      <c r="A9592" s="571"/>
      <c r="B9592" s="500"/>
      <c r="C9592" s="860" t="s">
        <v>5819</v>
      </c>
      <c r="D9592" s="316" t="s">
        <v>4191</v>
      </c>
      <c r="E9592" s="954" t="n">
        <v>0.01</v>
      </c>
      <c r="F9592" s="617" t="n">
        <v>316.4</v>
      </c>
      <c r="G9592" s="615" t="n">
        <f aca="false">E9592*F9592</f>
        <v>3.164</v>
      </c>
      <c r="H9592" s="606"/>
    </row>
    <row r="9593" customFormat="false" ht="15" hidden="false" customHeight="false" outlineLevel="0" collapsed="false">
      <c r="A9593" s="571"/>
      <c r="B9593" s="500"/>
      <c r="C9593" s="860" t="s">
        <v>5826</v>
      </c>
      <c r="D9593" s="316" t="s">
        <v>4191</v>
      </c>
      <c r="E9593" s="954" t="n">
        <v>0.01</v>
      </c>
      <c r="F9593" s="617" t="n">
        <v>366.25</v>
      </c>
      <c r="G9593" s="615" t="n">
        <f aca="false">E9593*F9593</f>
        <v>3.6625</v>
      </c>
      <c r="H9593" s="606"/>
    </row>
    <row r="9594" customFormat="false" ht="15" hidden="false" customHeight="false" outlineLevel="0" collapsed="false">
      <c r="A9594" s="571"/>
      <c r="B9594" s="328"/>
      <c r="C9594" s="860" t="s">
        <v>5820</v>
      </c>
      <c r="D9594" s="316" t="s">
        <v>4191</v>
      </c>
      <c r="E9594" s="954" t="n">
        <v>0.01</v>
      </c>
      <c r="F9594" s="617" t="n">
        <v>650</v>
      </c>
      <c r="G9594" s="615" t="n">
        <f aca="false">E9594*F9594</f>
        <v>6.5</v>
      </c>
      <c r="H9594" s="606"/>
    </row>
    <row r="9595" customFormat="false" ht="15" hidden="false" customHeight="false" outlineLevel="0" collapsed="false">
      <c r="A9595" s="571"/>
      <c r="B9595" s="500"/>
      <c r="C9595" s="860" t="s">
        <v>5861</v>
      </c>
      <c r="D9595" s="316" t="s">
        <v>5452</v>
      </c>
      <c r="E9595" s="954" t="n">
        <v>0.001</v>
      </c>
      <c r="F9595" s="617" t="n">
        <v>150375</v>
      </c>
      <c r="G9595" s="615" t="n">
        <f aca="false">E9595*F9595</f>
        <v>150.375</v>
      </c>
      <c r="H9595" s="606"/>
    </row>
    <row r="9596" customFormat="false" ht="15" hidden="false" customHeight="false" outlineLevel="0" collapsed="false">
      <c r="A9596" s="571"/>
      <c r="B9596" s="500"/>
      <c r="C9596" s="860" t="s">
        <v>5895</v>
      </c>
      <c r="D9596" s="316" t="s">
        <v>5892</v>
      </c>
      <c r="E9596" s="661" t="n">
        <v>0.02</v>
      </c>
      <c r="F9596" s="617" t="n">
        <v>10500</v>
      </c>
      <c r="G9596" s="615" t="n">
        <f aca="false">E9596*F9596</f>
        <v>210</v>
      </c>
      <c r="H9596" s="606"/>
    </row>
    <row r="9597" customFormat="false" ht="15" hidden="false" customHeight="false" outlineLevel="0" collapsed="false">
      <c r="A9597" s="571"/>
      <c r="B9597" s="500"/>
      <c r="C9597" s="860" t="s">
        <v>5896</v>
      </c>
      <c r="D9597" s="316" t="s">
        <v>4348</v>
      </c>
      <c r="E9597" s="954" t="n">
        <v>0.002</v>
      </c>
      <c r="F9597" s="617" t="n">
        <v>200000</v>
      </c>
      <c r="G9597" s="615" t="n">
        <f aca="false">E9597*F9597</f>
        <v>400</v>
      </c>
      <c r="H9597" s="606"/>
    </row>
    <row r="9598" customFormat="false" ht="15" hidden="false" customHeight="false" outlineLevel="0" collapsed="false">
      <c r="A9598" s="571"/>
      <c r="B9598" s="500"/>
      <c r="C9598" s="860" t="s">
        <v>4776</v>
      </c>
      <c r="D9598" s="316" t="s">
        <v>4359</v>
      </c>
      <c r="E9598" s="954" t="n">
        <v>0.2</v>
      </c>
      <c r="F9598" s="617" t="n">
        <v>800</v>
      </c>
      <c r="G9598" s="615" t="n">
        <f aca="false">E9598*F9598</f>
        <v>160</v>
      </c>
      <c r="H9598" s="606"/>
    </row>
    <row r="9599" customFormat="false" ht="15" hidden="false" customHeight="false" outlineLevel="0" collapsed="false">
      <c r="A9599" s="571"/>
      <c r="B9599" s="608" t="s">
        <v>4128</v>
      </c>
      <c r="C9599" s="964"/>
      <c r="D9599" s="965"/>
      <c r="E9599" s="969"/>
      <c r="F9599" s="967"/>
      <c r="G9599" s="613" t="n">
        <f aca="false">SUM(G9591:G9598)</f>
        <v>1069.0755</v>
      </c>
      <c r="H9599" s="610"/>
    </row>
    <row r="9600" customFormat="false" ht="45" hidden="false" customHeight="false" outlineLevel="0" collapsed="false">
      <c r="A9600" s="571" t="s">
        <v>1880</v>
      </c>
      <c r="B9600" s="433" t="s">
        <v>3676</v>
      </c>
      <c r="C9600" s="860" t="s">
        <v>5897</v>
      </c>
      <c r="D9600" s="316" t="s">
        <v>5847</v>
      </c>
      <c r="E9600" s="954" t="n">
        <v>0.001</v>
      </c>
      <c r="F9600" s="617" t="n">
        <v>710661</v>
      </c>
      <c r="G9600" s="615" t="n">
        <f aca="false">E9600*F9600</f>
        <v>710.661</v>
      </c>
      <c r="H9600" s="606"/>
    </row>
    <row r="9601" customFormat="false" ht="15" hidden="false" customHeight="false" outlineLevel="0" collapsed="false">
      <c r="A9601" s="571"/>
      <c r="B9601" s="500"/>
      <c r="C9601" s="860" t="s">
        <v>5898</v>
      </c>
      <c r="D9601" s="316" t="s">
        <v>4191</v>
      </c>
      <c r="E9601" s="954" t="n">
        <v>4</v>
      </c>
      <c r="F9601" s="617" t="n">
        <v>121</v>
      </c>
      <c r="G9601" s="615" t="n">
        <f aca="false">E9601*F9601</f>
        <v>484</v>
      </c>
      <c r="H9601" s="606"/>
    </row>
    <row r="9602" customFormat="false" ht="15" hidden="false" customHeight="false" outlineLevel="0" collapsed="false">
      <c r="A9602" s="571"/>
      <c r="B9602" s="500"/>
      <c r="C9602" s="860" t="s">
        <v>5899</v>
      </c>
      <c r="D9602" s="316" t="s">
        <v>4141</v>
      </c>
      <c r="E9602" s="954" t="n">
        <v>1</v>
      </c>
      <c r="F9602" s="617" t="n">
        <v>5198</v>
      </c>
      <c r="G9602" s="615" t="n">
        <f aca="false">E9602*F9602</f>
        <v>5198</v>
      </c>
      <c r="H9602" s="606"/>
    </row>
    <row r="9603" customFormat="false" ht="15" hidden="false" customHeight="false" outlineLevel="0" collapsed="false">
      <c r="A9603" s="571"/>
      <c r="B9603" s="500"/>
      <c r="C9603" s="860"/>
      <c r="D9603" s="316"/>
      <c r="E9603" s="954"/>
      <c r="F9603" s="617"/>
      <c r="G9603" s="615" t="n">
        <f aca="false">E9603*F9603</f>
        <v>0</v>
      </c>
      <c r="H9603" s="606"/>
    </row>
    <row r="9604" customFormat="false" ht="15" hidden="false" customHeight="false" outlineLevel="0" collapsed="false">
      <c r="A9604" s="571"/>
      <c r="B9604" s="500"/>
      <c r="C9604" s="860" t="s">
        <v>5900</v>
      </c>
      <c r="D9604" s="316" t="s">
        <v>4191</v>
      </c>
      <c r="E9604" s="954" t="n">
        <v>0.001</v>
      </c>
      <c r="F9604" s="617" t="n">
        <v>150375</v>
      </c>
      <c r="G9604" s="615" t="n">
        <f aca="false">E9604*F9604</f>
        <v>150.375</v>
      </c>
      <c r="H9604" s="606"/>
    </row>
    <row r="9605" customFormat="false" ht="15" hidden="false" customHeight="false" outlineLevel="0" collapsed="false">
      <c r="A9605" s="571"/>
      <c r="B9605" s="608"/>
      <c r="C9605" s="860" t="s">
        <v>5901</v>
      </c>
      <c r="D9605" s="316" t="s">
        <v>4191</v>
      </c>
      <c r="E9605" s="954" t="n">
        <v>2</v>
      </c>
      <c r="F9605" s="617" t="n">
        <v>566</v>
      </c>
      <c r="G9605" s="615" t="n">
        <f aca="false">E9605*F9605</f>
        <v>1132</v>
      </c>
      <c r="H9605" s="391"/>
    </row>
    <row r="9606" customFormat="false" ht="15" hidden="false" customHeight="false" outlineLevel="0" collapsed="false">
      <c r="A9606" s="571"/>
      <c r="B9606" s="328"/>
      <c r="C9606" s="41" t="s">
        <v>5902</v>
      </c>
      <c r="D9606" s="316" t="s">
        <v>4348</v>
      </c>
      <c r="E9606" s="954" t="n">
        <v>0.02</v>
      </c>
      <c r="F9606" s="617" t="n">
        <v>7686</v>
      </c>
      <c r="G9606" s="615" t="n">
        <f aca="false">E9606*F9606</f>
        <v>153.72</v>
      </c>
      <c r="H9606" s="606"/>
    </row>
    <row r="9607" customFormat="false" ht="45" hidden="false" customHeight="false" outlineLevel="0" collapsed="false">
      <c r="A9607" s="571"/>
      <c r="B9607" s="500"/>
      <c r="C9607" s="860" t="s">
        <v>5903</v>
      </c>
      <c r="D9607" s="316" t="s">
        <v>4348</v>
      </c>
      <c r="E9607" s="954" t="n">
        <v>2</v>
      </c>
      <c r="F9607" s="617" t="n">
        <v>1115</v>
      </c>
      <c r="G9607" s="615" t="n">
        <f aca="false">E9607*F9607</f>
        <v>2230</v>
      </c>
      <c r="H9607" s="606"/>
    </row>
    <row r="9608" customFormat="false" ht="15" hidden="false" customHeight="false" outlineLevel="0" collapsed="false">
      <c r="A9608" s="571"/>
      <c r="B9608" s="500"/>
      <c r="C9608" s="860" t="s">
        <v>5904</v>
      </c>
      <c r="D9608" s="316" t="s">
        <v>4348</v>
      </c>
      <c r="E9608" s="954" t="n">
        <v>0.01</v>
      </c>
      <c r="F9608" s="617" t="n">
        <v>24980</v>
      </c>
      <c r="G9608" s="615" t="n">
        <f aca="false">E9608*F9608</f>
        <v>249.8</v>
      </c>
      <c r="H9608" s="606"/>
    </row>
    <row r="9609" customFormat="false" ht="15" hidden="false" customHeight="false" outlineLevel="0" collapsed="false">
      <c r="A9609" s="571"/>
      <c r="B9609" s="500"/>
      <c r="C9609" s="860" t="s">
        <v>4776</v>
      </c>
      <c r="D9609" s="316" t="s">
        <v>4359</v>
      </c>
      <c r="E9609" s="954" t="n">
        <v>0.2</v>
      </c>
      <c r="F9609" s="617" t="n">
        <v>800</v>
      </c>
      <c r="G9609" s="615" t="n">
        <f aca="false">E9609*F9609</f>
        <v>160</v>
      </c>
      <c r="H9609" s="606"/>
    </row>
    <row r="9610" customFormat="false" ht="15" hidden="false" customHeight="false" outlineLevel="0" collapsed="false">
      <c r="A9610" s="571"/>
      <c r="B9610" s="500"/>
      <c r="C9610" s="860" t="s">
        <v>4515</v>
      </c>
      <c r="D9610" s="316" t="s">
        <v>4133</v>
      </c>
      <c r="E9610" s="954" t="n">
        <v>0.1</v>
      </c>
      <c r="F9610" s="681" t="n">
        <v>350</v>
      </c>
      <c r="G9610" s="615" t="n">
        <f aca="false">E9610*F9610</f>
        <v>35</v>
      </c>
      <c r="H9610" s="606"/>
    </row>
    <row r="9611" customFormat="false" ht="45" hidden="false" customHeight="false" outlineLevel="0" collapsed="false">
      <c r="A9611" s="571"/>
      <c r="B9611" s="500"/>
      <c r="C9611" s="860" t="s">
        <v>5905</v>
      </c>
      <c r="D9611" s="316" t="s">
        <v>5847</v>
      </c>
      <c r="E9611" s="954" t="n">
        <v>0.001</v>
      </c>
      <c r="F9611" s="617" t="n">
        <v>710661</v>
      </c>
      <c r="G9611" s="615" t="n">
        <f aca="false">E9611*F9611</f>
        <v>710.661</v>
      </c>
      <c r="H9611" s="606"/>
    </row>
    <row r="9612" customFormat="false" ht="15" hidden="false" customHeight="false" outlineLevel="0" collapsed="false">
      <c r="A9612" s="571"/>
      <c r="B9612" s="608" t="s">
        <v>4128</v>
      </c>
      <c r="C9612" s="718"/>
      <c r="D9612" s="610"/>
      <c r="E9612" s="611"/>
      <c r="F9612" s="612"/>
      <c r="G9612" s="613" t="n">
        <f aca="false">SUM(G9600:G9611)</f>
        <v>11214.217</v>
      </c>
      <c r="H9612" s="610"/>
    </row>
    <row r="9613" customFormat="false" ht="45" hidden="false" customHeight="false" outlineLevel="0" collapsed="false">
      <c r="A9613" s="571" t="s">
        <v>1882</v>
      </c>
      <c r="B9613" s="433" t="s">
        <v>3677</v>
      </c>
      <c r="C9613" s="860" t="s">
        <v>5906</v>
      </c>
      <c r="D9613" s="316" t="s">
        <v>5452</v>
      </c>
      <c r="E9613" s="954" t="n">
        <v>0.01</v>
      </c>
      <c r="F9613" s="617" t="n">
        <v>676178</v>
      </c>
      <c r="G9613" s="615" t="n">
        <f aca="false">E9613*F9613</f>
        <v>6761.78</v>
      </c>
      <c r="H9613" s="606"/>
    </row>
    <row r="9614" customFormat="false" ht="30" hidden="false" customHeight="false" outlineLevel="0" collapsed="false">
      <c r="A9614" s="571"/>
      <c r="B9614" s="500"/>
      <c r="C9614" s="860" t="s">
        <v>5907</v>
      </c>
      <c r="D9614" s="316" t="s">
        <v>5908</v>
      </c>
      <c r="E9614" s="954" t="n">
        <v>0.1</v>
      </c>
      <c r="F9614" s="617" t="n">
        <v>2800</v>
      </c>
      <c r="G9614" s="615" t="n">
        <f aca="false">E9614*F9614</f>
        <v>280</v>
      </c>
      <c r="H9614" s="606"/>
    </row>
    <row r="9615" customFormat="false" ht="15" hidden="false" customHeight="false" outlineLevel="0" collapsed="false">
      <c r="A9615" s="571"/>
      <c r="B9615" s="500"/>
      <c r="C9615" s="860" t="s">
        <v>5898</v>
      </c>
      <c r="D9615" s="316" t="s">
        <v>4191</v>
      </c>
      <c r="E9615" s="954" t="n">
        <v>4</v>
      </c>
      <c r="F9615" s="617" t="n">
        <v>121</v>
      </c>
      <c r="G9615" s="615" t="n">
        <f aca="false">E9615*F9615</f>
        <v>484</v>
      </c>
      <c r="H9615" s="606"/>
    </row>
    <row r="9616" customFormat="false" ht="15" hidden="false" customHeight="false" outlineLevel="0" collapsed="false">
      <c r="A9616" s="571"/>
      <c r="B9616" s="608"/>
      <c r="C9616" s="860" t="s">
        <v>5899</v>
      </c>
      <c r="D9616" s="316" t="s">
        <v>4191</v>
      </c>
      <c r="E9616" s="954" t="n">
        <v>0.45</v>
      </c>
      <c r="F9616" s="617" t="n">
        <v>5198</v>
      </c>
      <c r="G9616" s="615" t="n">
        <f aca="false">E9616*F9616</f>
        <v>2339.1</v>
      </c>
      <c r="H9616" s="391"/>
    </row>
    <row r="9617" customFormat="false" ht="15" hidden="false" customHeight="false" outlineLevel="0" collapsed="false">
      <c r="A9617" s="571"/>
      <c r="B9617" s="328"/>
      <c r="C9617" s="860" t="s">
        <v>5900</v>
      </c>
      <c r="D9617" s="316" t="s">
        <v>4191</v>
      </c>
      <c r="E9617" s="954" t="n">
        <v>0.001</v>
      </c>
      <c r="F9617" s="617" t="n">
        <v>150375</v>
      </c>
      <c r="G9617" s="615" t="n">
        <f aca="false">E9617*F9617</f>
        <v>150.375</v>
      </c>
      <c r="H9617" s="606"/>
    </row>
    <row r="9618" customFormat="false" ht="15" hidden="false" customHeight="false" outlineLevel="0" collapsed="false">
      <c r="A9618" s="571"/>
      <c r="B9618" s="500"/>
      <c r="C9618" s="860" t="s">
        <v>5901</v>
      </c>
      <c r="D9618" s="316" t="s">
        <v>4191</v>
      </c>
      <c r="E9618" s="954" t="n">
        <v>1</v>
      </c>
      <c r="F9618" s="617" t="n">
        <v>566</v>
      </c>
      <c r="G9618" s="615" t="n">
        <f aca="false">E9618*F9618</f>
        <v>566</v>
      </c>
      <c r="H9618" s="606"/>
    </row>
    <row r="9619" customFormat="false" ht="15" hidden="false" customHeight="false" outlineLevel="0" collapsed="false">
      <c r="A9619" s="571"/>
      <c r="B9619" s="500"/>
      <c r="C9619" s="41"/>
      <c r="D9619" s="316"/>
      <c r="E9619" s="954" t="n">
        <v>1</v>
      </c>
      <c r="F9619" s="883"/>
      <c r="G9619" s="615"/>
      <c r="H9619" s="606"/>
    </row>
    <row r="9620" customFormat="false" ht="15" hidden="false" customHeight="false" outlineLevel="0" collapsed="false">
      <c r="A9620" s="571"/>
      <c r="B9620" s="500"/>
      <c r="C9620" s="860" t="s">
        <v>5902</v>
      </c>
      <c r="D9620" s="316" t="s">
        <v>4348</v>
      </c>
      <c r="E9620" s="954" t="n">
        <v>0.01</v>
      </c>
      <c r="F9620" s="617" t="n">
        <v>7686</v>
      </c>
      <c r="G9620" s="615" t="n">
        <f aca="false">E9620*F9620</f>
        <v>76.86</v>
      </c>
      <c r="H9620" s="606"/>
    </row>
    <row r="9621" customFormat="false" ht="45" hidden="false" customHeight="false" outlineLevel="0" collapsed="false">
      <c r="A9621" s="571"/>
      <c r="B9621" s="500"/>
      <c r="C9621" s="860" t="s">
        <v>5903</v>
      </c>
      <c r="D9621" s="316" t="s">
        <v>4348</v>
      </c>
      <c r="E9621" s="954" t="n">
        <v>0.01</v>
      </c>
      <c r="F9621" s="617" t="n">
        <v>1115</v>
      </c>
      <c r="G9621" s="615" t="n">
        <f aca="false">E9621*F9621</f>
        <v>11.15</v>
      </c>
      <c r="H9621" s="606"/>
    </row>
    <row r="9622" customFormat="false" ht="15" hidden="false" customHeight="false" outlineLevel="0" collapsed="false">
      <c r="A9622" s="571"/>
      <c r="B9622" s="500"/>
      <c r="C9622" s="860" t="s">
        <v>5904</v>
      </c>
      <c r="D9622" s="316" t="s">
        <v>4348</v>
      </c>
      <c r="E9622" s="954" t="n">
        <v>0.001</v>
      </c>
      <c r="F9622" s="617" t="n">
        <v>24980</v>
      </c>
      <c r="G9622" s="615" t="n">
        <f aca="false">E9622*F9622</f>
        <v>24.98</v>
      </c>
      <c r="H9622" s="606"/>
    </row>
    <row r="9623" customFormat="false" ht="15" hidden="false" customHeight="false" outlineLevel="0" collapsed="false">
      <c r="A9623" s="571"/>
      <c r="B9623" s="500"/>
      <c r="C9623" s="860" t="s">
        <v>4776</v>
      </c>
      <c r="D9623" s="316" t="s">
        <v>4528</v>
      </c>
      <c r="E9623" s="954" t="n">
        <v>0.4</v>
      </c>
      <c r="F9623" s="617" t="n">
        <v>800</v>
      </c>
      <c r="G9623" s="615" t="n">
        <f aca="false">E9623*F9623</f>
        <v>320</v>
      </c>
      <c r="H9623" s="606"/>
    </row>
    <row r="9624" customFormat="false" ht="15" hidden="false" customHeight="false" outlineLevel="0" collapsed="false">
      <c r="A9624" s="571"/>
      <c r="B9624" s="500"/>
      <c r="C9624" s="860" t="s">
        <v>4515</v>
      </c>
      <c r="D9624" s="316" t="s">
        <v>4133</v>
      </c>
      <c r="E9624" s="954" t="n">
        <v>0.27</v>
      </c>
      <c r="F9624" s="617" t="n">
        <v>350</v>
      </c>
      <c r="G9624" s="615" t="n">
        <f aca="false">E9624*F9624</f>
        <v>94.5</v>
      </c>
      <c r="H9624" s="606"/>
    </row>
    <row r="9625" customFormat="false" ht="15" hidden="false" customHeight="false" outlineLevel="0" collapsed="false">
      <c r="B9625" s="608" t="s">
        <v>4128</v>
      </c>
      <c r="C9625" s="718"/>
      <c r="D9625" s="610"/>
      <c r="E9625" s="610"/>
      <c r="F9625" s="612"/>
      <c r="G9625" s="613" t="n">
        <f aca="false">SUM(G9613:G9624)</f>
        <v>11108.745</v>
      </c>
      <c r="H9625" s="610"/>
    </row>
    <row r="9626" s="311" customFormat="true" ht="30" hidden="false" customHeight="false" outlineLevel="0" collapsed="false">
      <c r="A9626" s="216" t="s">
        <v>1884</v>
      </c>
      <c r="B9626" s="40" t="s">
        <v>3678</v>
      </c>
      <c r="C9626" s="860" t="s">
        <v>5859</v>
      </c>
      <c r="D9626" s="316" t="s">
        <v>4359</v>
      </c>
      <c r="E9626" s="954" t="n">
        <v>0.01</v>
      </c>
      <c r="F9626" s="617" t="n">
        <v>1995</v>
      </c>
      <c r="G9626" s="617" t="n">
        <f aca="false">E9626*F9626</f>
        <v>19.95</v>
      </c>
      <c r="H9626" s="316"/>
    </row>
    <row r="9627" s="311" customFormat="true" ht="15" hidden="false" customHeight="false" outlineLevel="0" collapsed="false">
      <c r="A9627" s="216"/>
      <c r="B9627" s="78"/>
      <c r="C9627" s="860" t="s">
        <v>5818</v>
      </c>
      <c r="D9627" s="316" t="s">
        <v>4133</v>
      </c>
      <c r="E9627" s="661" t="n">
        <v>0.001</v>
      </c>
      <c r="F9627" s="617" t="n">
        <v>67687</v>
      </c>
      <c r="G9627" s="617" t="n">
        <f aca="false">E9627*F9627</f>
        <v>67.687</v>
      </c>
      <c r="H9627" s="316"/>
    </row>
    <row r="9628" s="311" customFormat="true" ht="15" hidden="false" customHeight="false" outlineLevel="0" collapsed="false">
      <c r="A9628" s="216"/>
      <c r="B9628" s="78"/>
      <c r="C9628" s="860" t="s">
        <v>5823</v>
      </c>
      <c r="D9628" s="316" t="s">
        <v>4133</v>
      </c>
      <c r="E9628" s="661" t="n">
        <v>0.001</v>
      </c>
      <c r="F9628" s="617" t="n">
        <v>69797</v>
      </c>
      <c r="G9628" s="617" t="n">
        <f aca="false">E9628*F9628</f>
        <v>69.797</v>
      </c>
      <c r="H9628" s="316"/>
    </row>
    <row r="9629" s="311" customFormat="true" ht="15" hidden="false" customHeight="false" outlineLevel="0" collapsed="false">
      <c r="A9629" s="216"/>
      <c r="B9629" s="78"/>
      <c r="C9629" s="860" t="s">
        <v>5835</v>
      </c>
      <c r="D9629" s="316" t="s">
        <v>4133</v>
      </c>
      <c r="E9629" s="661" t="n">
        <v>0.001</v>
      </c>
      <c r="F9629" s="617" t="n">
        <v>69797</v>
      </c>
      <c r="G9629" s="617" t="n">
        <f aca="false">E9629*F9629</f>
        <v>69.797</v>
      </c>
      <c r="H9629" s="316"/>
    </row>
    <row r="9630" s="311" customFormat="true" ht="15" hidden="false" customHeight="false" outlineLevel="0" collapsed="false">
      <c r="A9630" s="216"/>
      <c r="B9630" s="78"/>
      <c r="C9630" s="860" t="s">
        <v>5840</v>
      </c>
      <c r="D9630" s="316" t="s">
        <v>4133</v>
      </c>
      <c r="E9630" s="661" t="n">
        <v>0.001</v>
      </c>
      <c r="F9630" s="617" t="n">
        <v>158202</v>
      </c>
      <c r="G9630" s="617" t="n">
        <f aca="false">E9630*F9630</f>
        <v>158.202</v>
      </c>
      <c r="H9630" s="316"/>
    </row>
    <row r="9631" s="311" customFormat="true" ht="15" hidden="false" customHeight="false" outlineLevel="0" collapsed="false">
      <c r="A9631" s="216"/>
      <c r="B9631" s="78"/>
      <c r="C9631" s="860" t="s">
        <v>5836</v>
      </c>
      <c r="D9631" s="316" t="s">
        <v>4133</v>
      </c>
      <c r="E9631" s="661" t="n">
        <v>0.001</v>
      </c>
      <c r="F9631" s="617" t="n">
        <v>10500</v>
      </c>
      <c r="G9631" s="617" t="n">
        <f aca="false">E9631*F9631</f>
        <v>10.5</v>
      </c>
      <c r="H9631" s="316"/>
    </row>
    <row r="9632" s="311" customFormat="true" ht="15" hidden="false" customHeight="false" outlineLevel="0" collapsed="false">
      <c r="A9632" s="216"/>
      <c r="B9632" s="78"/>
      <c r="C9632" s="860" t="s">
        <v>5838</v>
      </c>
      <c r="D9632" s="316" t="s">
        <v>4133</v>
      </c>
      <c r="E9632" s="661" t="n">
        <v>0.001</v>
      </c>
      <c r="F9632" s="617" t="n">
        <v>80176</v>
      </c>
      <c r="G9632" s="617" t="n">
        <f aca="false">E9632*F9632</f>
        <v>80.176</v>
      </c>
      <c r="H9632" s="316"/>
    </row>
    <row r="9633" s="311" customFormat="true" ht="15" hidden="false" customHeight="false" outlineLevel="0" collapsed="false">
      <c r="A9633" s="216"/>
      <c r="B9633" s="78"/>
      <c r="C9633" s="860" t="s">
        <v>5825</v>
      </c>
      <c r="D9633" s="316" t="s">
        <v>4191</v>
      </c>
      <c r="E9633" s="661" t="n">
        <v>0.001</v>
      </c>
      <c r="F9633" s="883" t="n">
        <v>8468</v>
      </c>
      <c r="G9633" s="617" t="n">
        <f aca="false">E9633*F9633</f>
        <v>8.468</v>
      </c>
      <c r="H9633" s="316"/>
    </row>
    <row r="9634" s="311" customFormat="true" ht="15" hidden="false" customHeight="false" outlineLevel="0" collapsed="false">
      <c r="A9634" s="216"/>
      <c r="B9634" s="78"/>
      <c r="C9634" s="21" t="s">
        <v>5844</v>
      </c>
      <c r="D9634" s="316" t="s">
        <v>4191</v>
      </c>
      <c r="E9634" s="661" t="n">
        <v>0.001</v>
      </c>
      <c r="F9634" s="883" t="n">
        <v>74415</v>
      </c>
      <c r="G9634" s="617" t="n">
        <f aca="false">E9634*F9634</f>
        <v>74.415</v>
      </c>
      <c r="H9634" s="316"/>
    </row>
    <row r="9635" s="311" customFormat="true" ht="15" hidden="false" customHeight="false" outlineLevel="0" collapsed="false">
      <c r="A9635" s="216"/>
      <c r="B9635" s="971"/>
      <c r="C9635" s="860" t="s">
        <v>5845</v>
      </c>
      <c r="D9635" s="316" t="s">
        <v>4359</v>
      </c>
      <c r="E9635" s="954" t="n">
        <v>0.001</v>
      </c>
      <c r="F9635" s="883" t="n">
        <v>10500</v>
      </c>
      <c r="G9635" s="617" t="n">
        <f aca="false">E9635*F9635</f>
        <v>10.5</v>
      </c>
      <c r="H9635" s="135"/>
    </row>
    <row r="9636" s="311" customFormat="true" ht="15" hidden="false" customHeight="false" outlineLevel="0" collapsed="false">
      <c r="A9636" s="216"/>
      <c r="B9636" s="29"/>
      <c r="C9636" s="860" t="s">
        <v>5843</v>
      </c>
      <c r="D9636" s="316" t="s">
        <v>4133</v>
      </c>
      <c r="E9636" s="664" t="n">
        <v>0.001</v>
      </c>
      <c r="F9636" s="883" t="n">
        <v>48840</v>
      </c>
      <c r="G9636" s="617" t="n">
        <f aca="false">E9636*F9636</f>
        <v>48.84</v>
      </c>
      <c r="H9636" s="316"/>
    </row>
    <row r="9637" s="311" customFormat="true" ht="15" hidden="false" customHeight="false" outlineLevel="0" collapsed="false">
      <c r="A9637" s="216"/>
      <c r="B9637" s="78"/>
      <c r="C9637" s="860" t="s">
        <v>5848</v>
      </c>
      <c r="D9637" s="316" t="s">
        <v>4359</v>
      </c>
      <c r="E9637" s="954" t="n">
        <v>0.001</v>
      </c>
      <c r="F9637" s="617" t="n">
        <v>10500</v>
      </c>
      <c r="G9637" s="617" t="n">
        <f aca="false">E9637*F9637</f>
        <v>10.5</v>
      </c>
      <c r="H9637" s="316"/>
    </row>
    <row r="9638" s="311" customFormat="true" ht="15" hidden="false" customHeight="false" outlineLevel="0" collapsed="false">
      <c r="A9638" s="216"/>
      <c r="B9638" s="78"/>
      <c r="C9638" s="860" t="s">
        <v>5824</v>
      </c>
      <c r="D9638" s="316" t="s">
        <v>4359</v>
      </c>
      <c r="E9638" s="954" t="n">
        <v>0.001</v>
      </c>
      <c r="F9638" s="617" t="n">
        <v>82115</v>
      </c>
      <c r="G9638" s="617" t="n">
        <f aca="false">E9638*F9638</f>
        <v>82.115</v>
      </c>
      <c r="H9638" s="316"/>
    </row>
    <row r="9639" s="311" customFormat="true" ht="15" hidden="false" customHeight="false" outlineLevel="0" collapsed="false">
      <c r="A9639" s="216"/>
      <c r="B9639" s="78"/>
      <c r="C9639" s="860" t="s">
        <v>5819</v>
      </c>
      <c r="D9639" s="316" t="s">
        <v>4191</v>
      </c>
      <c r="E9639" s="954" t="n">
        <v>0.01</v>
      </c>
      <c r="F9639" s="883" t="n">
        <v>316.4</v>
      </c>
      <c r="G9639" s="617" t="n">
        <f aca="false">E9639*F9639</f>
        <v>3.164</v>
      </c>
      <c r="H9639" s="316"/>
    </row>
    <row r="9640" s="311" customFormat="true" ht="15" hidden="false" customHeight="false" outlineLevel="0" collapsed="false">
      <c r="A9640" s="216"/>
      <c r="B9640" s="78"/>
      <c r="C9640" s="860" t="s">
        <v>5826</v>
      </c>
      <c r="D9640" s="316" t="s">
        <v>4191</v>
      </c>
      <c r="E9640" s="954" t="n">
        <v>0.01</v>
      </c>
      <c r="F9640" s="617" t="n">
        <v>366.25</v>
      </c>
      <c r="G9640" s="617" t="n">
        <f aca="false">E9640*F9640</f>
        <v>3.6625</v>
      </c>
      <c r="H9640" s="316"/>
    </row>
    <row r="9641" s="311" customFormat="true" ht="15" hidden="false" customHeight="false" outlineLevel="0" collapsed="false">
      <c r="A9641" s="216"/>
      <c r="B9641" s="78"/>
      <c r="C9641" s="860" t="s">
        <v>5820</v>
      </c>
      <c r="D9641" s="316" t="s">
        <v>4191</v>
      </c>
      <c r="E9641" s="954" t="n">
        <v>0.01</v>
      </c>
      <c r="F9641" s="617" t="n">
        <v>650</v>
      </c>
      <c r="G9641" s="617" t="n">
        <f aca="false">E9641*F9641</f>
        <v>6.5</v>
      </c>
      <c r="H9641" s="316"/>
    </row>
    <row r="9642" s="311" customFormat="true" ht="15" hidden="false" customHeight="false" outlineLevel="0" collapsed="false">
      <c r="A9642" s="216"/>
      <c r="B9642" s="972"/>
      <c r="C9642" s="860" t="s">
        <v>4515</v>
      </c>
      <c r="D9642" s="316" t="s">
        <v>4133</v>
      </c>
      <c r="E9642" s="954" t="n">
        <v>0.1</v>
      </c>
      <c r="F9642" s="973" t="n">
        <v>350</v>
      </c>
      <c r="G9642" s="617" t="n">
        <f aca="false">E9642*F9642</f>
        <v>35</v>
      </c>
      <c r="H9642" s="135"/>
    </row>
    <row r="9643" s="311" customFormat="true" ht="15" hidden="false" customHeight="false" outlineLevel="0" collapsed="false">
      <c r="A9643" s="216"/>
      <c r="B9643" s="29"/>
      <c r="C9643" s="860" t="s">
        <v>4776</v>
      </c>
      <c r="D9643" s="316" t="s">
        <v>4359</v>
      </c>
      <c r="E9643" s="954" t="n">
        <v>0.1</v>
      </c>
      <c r="F9643" s="617" t="n">
        <v>800</v>
      </c>
      <c r="G9643" s="617" t="n">
        <f aca="false">E9643*F9643</f>
        <v>80</v>
      </c>
      <c r="H9643" s="316"/>
    </row>
    <row r="9644" s="311" customFormat="true" ht="15" hidden="false" customHeight="false" outlineLevel="0" collapsed="false">
      <c r="A9644" s="216"/>
      <c r="B9644" s="971" t="s">
        <v>4128</v>
      </c>
      <c r="C9644" s="964"/>
      <c r="D9644" s="965"/>
      <c r="E9644" s="966"/>
      <c r="F9644" s="967"/>
      <c r="G9644" s="967" t="n">
        <f aca="false">SUM(G9626:G9643)</f>
        <v>839.2735</v>
      </c>
      <c r="H9644" s="965"/>
    </row>
    <row r="9645" customFormat="false" ht="15" hidden="false" customHeight="false" outlineLevel="0" collapsed="false">
      <c r="A9645" s="350" t="s">
        <v>1886</v>
      </c>
      <c r="B9645" s="509" t="s">
        <v>3580</v>
      </c>
      <c r="C9645" s="811"/>
      <c r="D9645" s="790"/>
      <c r="E9645" s="790"/>
      <c r="F9645" s="519"/>
      <c r="G9645" s="753"/>
      <c r="H9645" s="790"/>
    </row>
    <row r="9646" customFormat="false" ht="45" hidden="false" customHeight="false" outlineLevel="0" collapsed="false">
      <c r="A9646" s="571" t="s">
        <v>1887</v>
      </c>
      <c r="B9646" s="433" t="s">
        <v>3679</v>
      </c>
      <c r="C9646" s="860" t="s">
        <v>5882</v>
      </c>
      <c r="D9646" s="316" t="s">
        <v>4133</v>
      </c>
      <c r="E9646" s="661" t="n">
        <v>0.017</v>
      </c>
      <c r="F9646" s="617" t="n">
        <v>76412</v>
      </c>
      <c r="G9646" s="615" t="n">
        <f aca="false">E9646*F9646</f>
        <v>1299.004</v>
      </c>
      <c r="H9646" s="391"/>
    </row>
    <row r="9647" customFormat="false" ht="15" hidden="false" customHeight="false" outlineLevel="0" collapsed="false">
      <c r="A9647" s="571"/>
      <c r="B9647" s="433"/>
      <c r="C9647" s="860" t="s">
        <v>5824</v>
      </c>
      <c r="D9647" s="316" t="s">
        <v>4359</v>
      </c>
      <c r="E9647" s="954" t="n">
        <v>0.001</v>
      </c>
      <c r="F9647" s="617" t="n">
        <v>82115</v>
      </c>
      <c r="G9647" s="615" t="n">
        <f aca="false">E9647*F9647</f>
        <v>82.115</v>
      </c>
      <c r="H9647" s="606"/>
    </row>
    <row r="9648" customFormat="false" ht="15" hidden="false" customHeight="false" outlineLevel="0" collapsed="false">
      <c r="A9648" s="571"/>
      <c r="B9648" s="433"/>
      <c r="C9648" s="860" t="s">
        <v>5826</v>
      </c>
      <c r="D9648" s="316" t="s">
        <v>4191</v>
      </c>
      <c r="E9648" s="954" t="n">
        <v>0.01</v>
      </c>
      <c r="F9648" s="617" t="n">
        <v>366.25</v>
      </c>
      <c r="G9648" s="615" t="n">
        <f aca="false">E9648*F9648</f>
        <v>3.6625</v>
      </c>
      <c r="H9648" s="606"/>
    </row>
    <row r="9649" customFormat="false" ht="15" hidden="false" customHeight="false" outlineLevel="0" collapsed="false">
      <c r="A9649" s="571"/>
      <c r="B9649" s="433"/>
      <c r="C9649" s="860" t="s">
        <v>5820</v>
      </c>
      <c r="D9649" s="316" t="s">
        <v>4191</v>
      </c>
      <c r="E9649" s="954" t="n">
        <v>0.01</v>
      </c>
      <c r="F9649" s="617" t="n">
        <v>650</v>
      </c>
      <c r="G9649" s="615" t="n">
        <f aca="false">E9649*F9649</f>
        <v>6.5</v>
      </c>
      <c r="H9649" s="606"/>
    </row>
    <row r="9650" customFormat="false" ht="15" hidden="false" customHeight="false" outlineLevel="0" collapsed="false">
      <c r="A9650" s="571"/>
      <c r="B9650" s="433"/>
      <c r="C9650" s="860" t="s">
        <v>4515</v>
      </c>
      <c r="D9650" s="316" t="s">
        <v>4133</v>
      </c>
      <c r="E9650" s="954" t="n">
        <v>0.2</v>
      </c>
      <c r="F9650" s="681" t="n">
        <v>350</v>
      </c>
      <c r="G9650" s="615" t="n">
        <f aca="false">E9650*F9650</f>
        <v>70</v>
      </c>
      <c r="H9650" s="606"/>
    </row>
    <row r="9651" customFormat="false" ht="15" hidden="false" customHeight="false" outlineLevel="0" collapsed="false">
      <c r="A9651" s="571"/>
      <c r="B9651" s="433"/>
      <c r="C9651" s="860" t="s">
        <v>4776</v>
      </c>
      <c r="D9651" s="316" t="s">
        <v>4359</v>
      </c>
      <c r="E9651" s="954" t="n">
        <v>0.15</v>
      </c>
      <c r="F9651" s="617" t="n">
        <v>800</v>
      </c>
      <c r="G9651" s="615" t="n">
        <f aca="false">E9651*F9651</f>
        <v>120</v>
      </c>
      <c r="H9651" s="606"/>
    </row>
    <row r="9652" customFormat="false" ht="15" hidden="false" customHeight="false" outlineLevel="0" collapsed="false">
      <c r="A9652" s="571"/>
      <c r="B9652" s="433"/>
      <c r="C9652" s="860" t="s">
        <v>5851</v>
      </c>
      <c r="D9652" s="316" t="s">
        <v>4348</v>
      </c>
      <c r="E9652" s="954" t="n">
        <v>0.001</v>
      </c>
      <c r="F9652" s="617" t="n">
        <v>19488</v>
      </c>
      <c r="G9652" s="615" t="n">
        <f aca="false">E9652*F9652</f>
        <v>19.488</v>
      </c>
      <c r="H9652" s="606"/>
    </row>
    <row r="9653" customFormat="false" ht="15" hidden="false" customHeight="false" outlineLevel="0" collapsed="false">
      <c r="A9653" s="571"/>
      <c r="B9653" s="608" t="s">
        <v>4128</v>
      </c>
      <c r="C9653" s="964"/>
      <c r="D9653" s="965"/>
      <c r="E9653" s="969"/>
      <c r="F9653" s="967"/>
      <c r="G9653" s="613" t="n">
        <f aca="false">SUM(G9646:G9652)</f>
        <v>1600.7695</v>
      </c>
      <c r="H9653" s="610"/>
    </row>
    <row r="9654" customFormat="false" ht="45" hidden="false" customHeight="false" outlineLevel="0" collapsed="false">
      <c r="A9654" s="571" t="s">
        <v>1889</v>
      </c>
      <c r="B9654" s="433" t="s">
        <v>5909</v>
      </c>
      <c r="C9654" s="860" t="s">
        <v>5882</v>
      </c>
      <c r="D9654" s="316" t="s">
        <v>4133</v>
      </c>
      <c r="E9654" s="661" t="n">
        <v>0.005</v>
      </c>
      <c r="F9654" s="617" t="n">
        <v>76412</v>
      </c>
      <c r="G9654" s="615" t="n">
        <f aca="false">E9654*F9654</f>
        <v>382.06</v>
      </c>
      <c r="H9654" s="606"/>
    </row>
    <row r="9655" customFormat="false" ht="15" hidden="false" customHeight="false" outlineLevel="0" collapsed="false">
      <c r="A9655" s="571"/>
      <c r="B9655" s="433"/>
      <c r="C9655" s="860" t="s">
        <v>5824</v>
      </c>
      <c r="D9655" s="316" t="s">
        <v>4359</v>
      </c>
      <c r="E9655" s="954" t="n">
        <v>0.001</v>
      </c>
      <c r="F9655" s="617" t="n">
        <v>82115</v>
      </c>
      <c r="G9655" s="615" t="n">
        <f aca="false">E9655*F9655</f>
        <v>82.115</v>
      </c>
      <c r="H9655" s="606"/>
    </row>
    <row r="9656" customFormat="false" ht="15" hidden="false" customHeight="false" outlineLevel="0" collapsed="false">
      <c r="A9656" s="571"/>
      <c r="B9656" s="433"/>
      <c r="C9656" s="860" t="s">
        <v>5826</v>
      </c>
      <c r="D9656" s="316" t="s">
        <v>4191</v>
      </c>
      <c r="E9656" s="954" t="n">
        <v>0.01</v>
      </c>
      <c r="F9656" s="617" t="n">
        <v>366.25</v>
      </c>
      <c r="G9656" s="615" t="n">
        <f aca="false">E9656*F9656</f>
        <v>3.6625</v>
      </c>
      <c r="H9656" s="606"/>
    </row>
    <row r="9657" customFormat="false" ht="15" hidden="false" customHeight="false" outlineLevel="0" collapsed="false">
      <c r="A9657" s="571"/>
      <c r="B9657" s="433"/>
      <c r="C9657" s="860" t="s">
        <v>5820</v>
      </c>
      <c r="D9657" s="316" t="s">
        <v>4191</v>
      </c>
      <c r="E9657" s="954" t="n">
        <v>0.01</v>
      </c>
      <c r="F9657" s="617" t="n">
        <v>650</v>
      </c>
      <c r="G9657" s="615" t="n">
        <f aca="false">E9657*F9657</f>
        <v>6.5</v>
      </c>
      <c r="H9657" s="606"/>
    </row>
    <row r="9658" customFormat="false" ht="15" hidden="false" customHeight="false" outlineLevel="0" collapsed="false">
      <c r="A9658" s="571"/>
      <c r="B9658" s="433"/>
      <c r="C9658" s="860" t="s">
        <v>4515</v>
      </c>
      <c r="D9658" s="316" t="s">
        <v>4133</v>
      </c>
      <c r="E9658" s="954" t="n">
        <v>0.1</v>
      </c>
      <c r="F9658" s="617" t="n">
        <v>350</v>
      </c>
      <c r="G9658" s="615" t="n">
        <f aca="false">E9658*F9658</f>
        <v>35</v>
      </c>
      <c r="H9658" s="606"/>
    </row>
    <row r="9659" customFormat="false" ht="15" hidden="false" customHeight="false" outlineLevel="0" collapsed="false">
      <c r="A9659" s="571"/>
      <c r="B9659" s="433"/>
      <c r="C9659" s="860" t="s">
        <v>5910</v>
      </c>
      <c r="D9659" s="316" t="s">
        <v>4191</v>
      </c>
      <c r="E9659" s="954" t="n">
        <v>0.005</v>
      </c>
      <c r="F9659" s="617" t="n">
        <v>2500</v>
      </c>
      <c r="G9659" s="615" t="n">
        <f aca="false">E9659*F9659</f>
        <v>12.5</v>
      </c>
      <c r="H9659" s="606"/>
    </row>
    <row r="9660" customFormat="false" ht="15" hidden="false" customHeight="false" outlineLevel="0" collapsed="false">
      <c r="A9660" s="571"/>
      <c r="B9660" s="433"/>
      <c r="C9660" s="860" t="s">
        <v>5816</v>
      </c>
      <c r="D9660" s="316" t="s">
        <v>4191</v>
      </c>
      <c r="E9660" s="954" t="n">
        <v>0.005</v>
      </c>
      <c r="F9660" s="617" t="n">
        <v>144704</v>
      </c>
      <c r="G9660" s="615" t="n">
        <f aca="false">E9660*F9660</f>
        <v>723.52</v>
      </c>
      <c r="H9660" s="606"/>
    </row>
    <row r="9661" customFormat="false" ht="15" hidden="false" customHeight="false" outlineLevel="0" collapsed="false">
      <c r="A9661" s="571"/>
      <c r="B9661" s="433"/>
      <c r="C9661" s="860" t="s">
        <v>4776</v>
      </c>
      <c r="D9661" s="316" t="s">
        <v>4359</v>
      </c>
      <c r="E9661" s="954" t="n">
        <v>0.1</v>
      </c>
      <c r="F9661" s="617" t="n">
        <v>800</v>
      </c>
      <c r="G9661" s="615" t="n">
        <f aca="false">E9661*F9661</f>
        <v>80</v>
      </c>
      <c r="H9661" s="606"/>
    </row>
    <row r="9662" customFormat="false" ht="15" hidden="false" customHeight="false" outlineLevel="0" collapsed="false">
      <c r="A9662" s="571"/>
      <c r="B9662" s="433"/>
      <c r="C9662" s="860" t="s">
        <v>5851</v>
      </c>
      <c r="D9662" s="316" t="s">
        <v>4348</v>
      </c>
      <c r="E9662" s="954" t="n">
        <v>0.01</v>
      </c>
      <c r="F9662" s="617" t="n">
        <v>19488</v>
      </c>
      <c r="G9662" s="615" t="n">
        <f aca="false">E9662*F9662</f>
        <v>194.88</v>
      </c>
      <c r="H9662" s="606"/>
    </row>
    <row r="9663" customFormat="false" ht="15" hidden="false" customHeight="false" outlineLevel="0" collapsed="false">
      <c r="A9663" s="571"/>
      <c r="B9663" s="608" t="s">
        <v>4128</v>
      </c>
      <c r="C9663" s="964"/>
      <c r="D9663" s="965"/>
      <c r="E9663" s="969"/>
      <c r="F9663" s="967"/>
      <c r="G9663" s="613" t="n">
        <f aca="false">SUM(G9654:G9662)</f>
        <v>1520.2375</v>
      </c>
      <c r="H9663" s="610"/>
    </row>
    <row r="9664" customFormat="false" ht="30" hidden="false" customHeight="false" outlineLevel="0" collapsed="false">
      <c r="A9664" s="571" t="s">
        <v>1891</v>
      </c>
      <c r="B9664" s="433" t="s">
        <v>3681</v>
      </c>
      <c r="C9664" s="21" t="s">
        <v>5883</v>
      </c>
      <c r="D9664" s="316" t="s">
        <v>4133</v>
      </c>
      <c r="E9664" s="954" t="n">
        <v>0.02</v>
      </c>
      <c r="F9664" s="617" t="n">
        <v>37440</v>
      </c>
      <c r="G9664" s="615" t="n">
        <f aca="false">E9664*F9664</f>
        <v>748.8</v>
      </c>
      <c r="H9664" s="606"/>
    </row>
    <row r="9665" customFormat="false" ht="15" hidden="false" customHeight="false" outlineLevel="0" collapsed="false">
      <c r="A9665" s="571"/>
      <c r="B9665" s="433"/>
      <c r="C9665" s="860" t="s">
        <v>5824</v>
      </c>
      <c r="D9665" s="316" t="s">
        <v>4359</v>
      </c>
      <c r="E9665" s="954" t="n">
        <v>0.005</v>
      </c>
      <c r="F9665" s="617" t="n">
        <v>82115</v>
      </c>
      <c r="G9665" s="615" t="n">
        <f aca="false">E9665*F9665</f>
        <v>410.575</v>
      </c>
      <c r="H9665" s="606"/>
    </row>
    <row r="9666" customFormat="false" ht="15" hidden="false" customHeight="false" outlineLevel="0" collapsed="false">
      <c r="A9666" s="571"/>
      <c r="B9666" s="500"/>
      <c r="C9666" s="860" t="s">
        <v>5826</v>
      </c>
      <c r="D9666" s="316" t="s">
        <v>4191</v>
      </c>
      <c r="E9666" s="954" t="n">
        <v>0.01</v>
      </c>
      <c r="F9666" s="617" t="n">
        <v>366.25</v>
      </c>
      <c r="G9666" s="615" t="n">
        <f aca="false">E9666*F9666</f>
        <v>3.6625</v>
      </c>
      <c r="H9666" s="606"/>
    </row>
    <row r="9667" customFormat="false" ht="15" hidden="false" customHeight="false" outlineLevel="0" collapsed="false">
      <c r="A9667" s="571"/>
      <c r="B9667" s="500"/>
      <c r="C9667" s="860" t="s">
        <v>5820</v>
      </c>
      <c r="D9667" s="316" t="s">
        <v>4191</v>
      </c>
      <c r="E9667" s="954" t="n">
        <v>0.01</v>
      </c>
      <c r="F9667" s="617" t="n">
        <v>650</v>
      </c>
      <c r="G9667" s="615" t="n">
        <f aca="false">E9667*F9667</f>
        <v>6.5</v>
      </c>
      <c r="H9667" s="606"/>
    </row>
    <row r="9668" customFormat="false" ht="15" hidden="false" customHeight="false" outlineLevel="0" collapsed="false">
      <c r="A9668" s="571"/>
      <c r="B9668" s="500"/>
      <c r="C9668" s="860" t="s">
        <v>4515</v>
      </c>
      <c r="D9668" s="316" t="s">
        <v>5564</v>
      </c>
      <c r="E9668" s="954" t="n">
        <v>0.1</v>
      </c>
      <c r="F9668" s="617" t="n">
        <v>350</v>
      </c>
      <c r="G9668" s="615" t="n">
        <f aca="false">E9668*F9668</f>
        <v>35</v>
      </c>
      <c r="H9668" s="606"/>
    </row>
    <row r="9669" customFormat="false" ht="15" hidden="false" customHeight="false" outlineLevel="0" collapsed="false">
      <c r="A9669" s="571"/>
      <c r="B9669" s="608"/>
      <c r="C9669" s="860" t="s">
        <v>4776</v>
      </c>
      <c r="D9669" s="316" t="s">
        <v>4528</v>
      </c>
      <c r="E9669" s="954" t="n">
        <v>0.2</v>
      </c>
      <c r="F9669" s="617" t="n">
        <v>800</v>
      </c>
      <c r="G9669" s="615" t="n">
        <f aca="false">E9669*F9669</f>
        <v>160</v>
      </c>
      <c r="H9669" s="391"/>
    </row>
    <row r="9670" customFormat="false" ht="15" hidden="false" customHeight="false" outlineLevel="0" collapsed="false">
      <c r="A9670" s="571"/>
      <c r="B9670" s="328"/>
      <c r="C9670" s="860" t="s">
        <v>5851</v>
      </c>
      <c r="D9670" s="316" t="s">
        <v>4348</v>
      </c>
      <c r="E9670" s="954" t="n">
        <v>0.001</v>
      </c>
      <c r="F9670" s="617" t="n">
        <v>19488</v>
      </c>
      <c r="G9670" s="615" t="n">
        <f aca="false">E9670*F9670</f>
        <v>19.488</v>
      </c>
      <c r="H9670" s="606"/>
    </row>
    <row r="9671" customFormat="false" ht="15" hidden="false" customHeight="false" outlineLevel="0" collapsed="false">
      <c r="A9671" s="571"/>
      <c r="B9671" s="608" t="s">
        <v>4128</v>
      </c>
      <c r="C9671" s="964"/>
      <c r="D9671" s="965"/>
      <c r="E9671" s="969"/>
      <c r="F9671" s="967"/>
      <c r="G9671" s="613" t="n">
        <f aca="false">SUM(G9664:G9670)</f>
        <v>1384.0255</v>
      </c>
      <c r="H9671" s="610"/>
    </row>
    <row r="9672" customFormat="false" ht="30" hidden="false" customHeight="false" outlineLevel="0" collapsed="false">
      <c r="A9672" s="571" t="s">
        <v>1893</v>
      </c>
      <c r="B9672" s="433" t="s">
        <v>3682</v>
      </c>
      <c r="C9672" s="860" t="s">
        <v>5883</v>
      </c>
      <c r="D9672" s="316" t="s">
        <v>4133</v>
      </c>
      <c r="E9672" s="954" t="n">
        <v>0.02</v>
      </c>
      <c r="F9672" s="617" t="n">
        <v>37440</v>
      </c>
      <c r="G9672" s="615" t="n">
        <f aca="false">E9672*F9672</f>
        <v>748.8</v>
      </c>
      <c r="H9672" s="606"/>
    </row>
    <row r="9673" customFormat="false" ht="15" hidden="false" customHeight="false" outlineLevel="0" collapsed="false">
      <c r="A9673" s="571"/>
      <c r="B9673" s="500"/>
      <c r="C9673" s="860" t="s">
        <v>5824</v>
      </c>
      <c r="D9673" s="316" t="s">
        <v>4359</v>
      </c>
      <c r="E9673" s="954" t="n">
        <v>0.001</v>
      </c>
      <c r="F9673" s="617" t="n">
        <v>82115</v>
      </c>
      <c r="G9673" s="615" t="n">
        <f aca="false">E9673*F9673</f>
        <v>82.115</v>
      </c>
      <c r="H9673" s="606"/>
    </row>
    <row r="9674" customFormat="false" ht="15" hidden="false" customHeight="false" outlineLevel="0" collapsed="false">
      <c r="A9674" s="571"/>
      <c r="B9674" s="500"/>
      <c r="C9674" s="860" t="s">
        <v>5910</v>
      </c>
      <c r="D9674" s="316" t="s">
        <v>4191</v>
      </c>
      <c r="E9674" s="968" t="n">
        <v>0.005</v>
      </c>
      <c r="F9674" s="617" t="n">
        <v>2500</v>
      </c>
      <c r="G9674" s="615" t="n">
        <f aca="false">E9674*F9674</f>
        <v>12.5</v>
      </c>
      <c r="H9674" s="606"/>
    </row>
    <row r="9675" customFormat="false" ht="15" hidden="false" customHeight="false" outlineLevel="0" collapsed="false">
      <c r="A9675" s="571"/>
      <c r="B9675" s="500"/>
      <c r="C9675" s="860" t="s">
        <v>5820</v>
      </c>
      <c r="D9675" s="316" t="s">
        <v>4191</v>
      </c>
      <c r="E9675" s="954" t="n">
        <v>0.01</v>
      </c>
      <c r="F9675" s="617" t="n">
        <v>650</v>
      </c>
      <c r="G9675" s="615" t="n">
        <f aca="false">E9675*F9675</f>
        <v>6.5</v>
      </c>
      <c r="H9675" s="606"/>
    </row>
    <row r="9676" customFormat="false" ht="15" hidden="false" customHeight="false" outlineLevel="0" collapsed="false">
      <c r="A9676" s="571"/>
      <c r="B9676" s="500"/>
      <c r="C9676" s="860" t="s">
        <v>4515</v>
      </c>
      <c r="D9676" s="316" t="s">
        <v>4133</v>
      </c>
      <c r="E9676" s="661" t="n">
        <v>0.1</v>
      </c>
      <c r="F9676" s="681" t="n">
        <v>350</v>
      </c>
      <c r="G9676" s="615" t="n">
        <f aca="false">E9676*F9676</f>
        <v>35</v>
      </c>
      <c r="H9676" s="606"/>
    </row>
    <row r="9677" customFormat="false" ht="15" hidden="false" customHeight="false" outlineLevel="0" collapsed="false">
      <c r="A9677" s="571"/>
      <c r="B9677" s="500"/>
      <c r="C9677" s="860" t="s">
        <v>5816</v>
      </c>
      <c r="D9677" s="316" t="s">
        <v>4191</v>
      </c>
      <c r="E9677" s="958" t="n">
        <v>0.004</v>
      </c>
      <c r="F9677" s="681" t="n">
        <v>144704</v>
      </c>
      <c r="G9677" s="615" t="n">
        <f aca="false">E9677*F9677</f>
        <v>578.816</v>
      </c>
      <c r="H9677" s="606"/>
    </row>
    <row r="9678" customFormat="false" ht="15" hidden="false" customHeight="false" outlineLevel="0" collapsed="false">
      <c r="A9678" s="571"/>
      <c r="B9678" s="500"/>
      <c r="C9678" s="860" t="s">
        <v>4776</v>
      </c>
      <c r="D9678" s="316" t="s">
        <v>4359</v>
      </c>
      <c r="E9678" s="661" t="n">
        <v>0.1</v>
      </c>
      <c r="F9678" s="617" t="n">
        <v>800</v>
      </c>
      <c r="G9678" s="615" t="n">
        <f aca="false">E9678*F9678</f>
        <v>80</v>
      </c>
      <c r="H9678" s="606"/>
    </row>
    <row r="9679" customFormat="false" ht="15" hidden="false" customHeight="false" outlineLevel="0" collapsed="false">
      <c r="A9679" s="571"/>
      <c r="B9679" s="608" t="s">
        <v>4128</v>
      </c>
      <c r="C9679" s="860"/>
      <c r="D9679" s="316"/>
      <c r="E9679" s="968"/>
      <c r="F9679" s="617"/>
      <c r="G9679" s="613" t="n">
        <f aca="false">SUM(G9672:G9678)</f>
        <v>1543.731</v>
      </c>
      <c r="H9679" s="391"/>
    </row>
    <row r="9680" customFormat="false" ht="60" hidden="false" customHeight="false" outlineLevel="0" collapsed="false">
      <c r="A9680" s="571" t="s">
        <v>1895</v>
      </c>
      <c r="B9680" s="433" t="s">
        <v>3683</v>
      </c>
      <c r="C9680" s="860" t="s">
        <v>5818</v>
      </c>
      <c r="D9680" s="316" t="s">
        <v>4133</v>
      </c>
      <c r="E9680" s="661" t="n">
        <v>0.01</v>
      </c>
      <c r="F9680" s="617" t="n">
        <v>67687</v>
      </c>
      <c r="G9680" s="615" t="n">
        <f aca="false">E9680*F9680</f>
        <v>676.87</v>
      </c>
      <c r="H9680" s="606"/>
    </row>
    <row r="9681" customFormat="false" ht="15" hidden="false" customHeight="false" outlineLevel="0" collapsed="false">
      <c r="A9681" s="571"/>
      <c r="B9681" s="500"/>
      <c r="C9681" s="860" t="s">
        <v>5819</v>
      </c>
      <c r="D9681" s="316" t="s">
        <v>4191</v>
      </c>
      <c r="E9681" s="954" t="n">
        <v>0.01</v>
      </c>
      <c r="F9681" s="617" t="n">
        <v>316.4</v>
      </c>
      <c r="G9681" s="615" t="n">
        <f aca="false">E9681*F9681</f>
        <v>3.164</v>
      </c>
      <c r="H9681" s="606"/>
    </row>
    <row r="9682" customFormat="false" ht="15" hidden="false" customHeight="false" outlineLevel="0" collapsed="false">
      <c r="A9682" s="571"/>
      <c r="B9682" s="500"/>
      <c r="C9682" s="860" t="s">
        <v>5826</v>
      </c>
      <c r="D9682" s="316" t="s">
        <v>4191</v>
      </c>
      <c r="E9682" s="954" t="n">
        <v>0.01</v>
      </c>
      <c r="F9682" s="617" t="n">
        <v>366.25</v>
      </c>
      <c r="G9682" s="615" t="n">
        <f aca="false">E9682*F9682</f>
        <v>3.6625</v>
      </c>
      <c r="H9682" s="606"/>
    </row>
    <row r="9683" customFormat="false" ht="15" hidden="false" customHeight="false" outlineLevel="0" collapsed="false">
      <c r="A9683" s="571"/>
      <c r="B9683" s="500"/>
      <c r="C9683" s="860" t="s">
        <v>5820</v>
      </c>
      <c r="D9683" s="316" t="s">
        <v>4191</v>
      </c>
      <c r="E9683" s="954" t="n">
        <v>0.01</v>
      </c>
      <c r="F9683" s="617" t="n">
        <v>650</v>
      </c>
      <c r="G9683" s="615" t="n">
        <f aca="false">E9683*F9683</f>
        <v>6.5</v>
      </c>
      <c r="H9683" s="606"/>
    </row>
    <row r="9684" customFormat="false" ht="15" hidden="false" customHeight="false" outlineLevel="0" collapsed="false">
      <c r="A9684" s="571"/>
      <c r="B9684" s="500"/>
      <c r="C9684" s="860" t="s">
        <v>5861</v>
      </c>
      <c r="D9684" s="316" t="s">
        <v>5452</v>
      </c>
      <c r="E9684" s="660" t="n">
        <v>0.001</v>
      </c>
      <c r="F9684" s="617" t="n">
        <v>150375</v>
      </c>
      <c r="G9684" s="615" t="n">
        <f aca="false">E9684*F9684</f>
        <v>150.375</v>
      </c>
      <c r="H9684" s="606"/>
    </row>
    <row r="9685" customFormat="false" ht="15" hidden="false" customHeight="false" outlineLevel="0" collapsed="false">
      <c r="A9685" s="571"/>
      <c r="B9685" s="500"/>
      <c r="C9685" s="860" t="s">
        <v>5859</v>
      </c>
      <c r="D9685" s="316" t="s">
        <v>4359</v>
      </c>
      <c r="E9685" s="661" t="n">
        <v>0.01</v>
      </c>
      <c r="F9685" s="617" t="n">
        <v>1995</v>
      </c>
      <c r="G9685" s="615" t="n">
        <f aca="false">E9685*F9685</f>
        <v>19.95</v>
      </c>
      <c r="H9685" s="606"/>
    </row>
    <row r="9686" customFormat="false" ht="15" hidden="false" customHeight="false" outlineLevel="0" collapsed="false">
      <c r="A9686" s="571"/>
      <c r="B9686" s="500"/>
      <c r="C9686" s="860" t="s">
        <v>4515</v>
      </c>
      <c r="D9686" s="316" t="s">
        <v>4133</v>
      </c>
      <c r="E9686" s="661" t="n">
        <v>0.3</v>
      </c>
      <c r="F9686" s="681" t="n">
        <v>350</v>
      </c>
      <c r="G9686" s="615" t="n">
        <f aca="false">E9686*F9686</f>
        <v>105</v>
      </c>
      <c r="H9686" s="606"/>
    </row>
    <row r="9687" customFormat="false" ht="15" hidden="false" customHeight="false" outlineLevel="0" collapsed="false">
      <c r="A9687" s="571"/>
      <c r="B9687" s="500"/>
      <c r="C9687" s="860" t="s">
        <v>4776</v>
      </c>
      <c r="D9687" s="316" t="s">
        <v>4359</v>
      </c>
      <c r="E9687" s="661" t="n">
        <v>0.28</v>
      </c>
      <c r="F9687" s="617" t="n">
        <v>800</v>
      </c>
      <c r="G9687" s="615" t="n">
        <f aca="false">E9687*F9687</f>
        <v>224</v>
      </c>
      <c r="H9687" s="606"/>
    </row>
    <row r="9688" customFormat="false" ht="15" hidden="false" customHeight="false" outlineLevel="0" collapsed="false">
      <c r="A9688" s="571"/>
      <c r="B9688" s="608" t="s">
        <v>4128</v>
      </c>
      <c r="C9688" s="964"/>
      <c r="D9688" s="965"/>
      <c r="E9688" s="968"/>
      <c r="F9688" s="967"/>
      <c r="G9688" s="613" t="n">
        <f aca="false">SUM(G9680:G9687)</f>
        <v>1189.5215</v>
      </c>
      <c r="H9688" s="606"/>
    </row>
    <row r="9689" customFormat="false" ht="60" hidden="false" customHeight="false" outlineLevel="0" collapsed="false">
      <c r="A9689" s="571" t="s">
        <v>1897</v>
      </c>
      <c r="B9689" s="433" t="s">
        <v>3684</v>
      </c>
      <c r="C9689" s="860" t="s">
        <v>5818</v>
      </c>
      <c r="D9689" s="316" t="s">
        <v>5564</v>
      </c>
      <c r="E9689" s="661" t="n">
        <v>0.005</v>
      </c>
      <c r="F9689" s="617" t="n">
        <v>67687</v>
      </c>
      <c r="G9689" s="615" t="n">
        <f aca="false">E9689*F9689</f>
        <v>338.435</v>
      </c>
      <c r="H9689" s="606"/>
    </row>
    <row r="9690" customFormat="false" ht="15" hidden="false" customHeight="false" outlineLevel="0" collapsed="false">
      <c r="A9690" s="571"/>
      <c r="B9690" s="500"/>
      <c r="C9690" s="860" t="s">
        <v>5819</v>
      </c>
      <c r="D9690" s="316" t="s">
        <v>4191</v>
      </c>
      <c r="E9690" s="954" t="n">
        <v>0.01</v>
      </c>
      <c r="F9690" s="617" t="n">
        <v>316.4</v>
      </c>
      <c r="G9690" s="615" t="n">
        <f aca="false">E9690*F9690</f>
        <v>3.164</v>
      </c>
      <c r="H9690" s="606"/>
    </row>
    <row r="9691" customFormat="false" ht="15" hidden="false" customHeight="false" outlineLevel="0" collapsed="false">
      <c r="A9691" s="571"/>
      <c r="B9691" s="500"/>
      <c r="C9691" s="860" t="s">
        <v>5826</v>
      </c>
      <c r="D9691" s="316" t="s">
        <v>4191</v>
      </c>
      <c r="E9691" s="954" t="n">
        <v>0.01</v>
      </c>
      <c r="F9691" s="617" t="n">
        <v>366.25</v>
      </c>
      <c r="G9691" s="615" t="n">
        <f aca="false">E9691*F9691</f>
        <v>3.6625</v>
      </c>
      <c r="H9691" s="606"/>
    </row>
    <row r="9692" customFormat="false" ht="15" hidden="false" customHeight="false" outlineLevel="0" collapsed="false">
      <c r="A9692" s="571"/>
      <c r="B9692" s="500"/>
      <c r="C9692" s="860" t="s">
        <v>5820</v>
      </c>
      <c r="D9692" s="316" t="s">
        <v>4191</v>
      </c>
      <c r="E9692" s="954" t="n">
        <v>0.01</v>
      </c>
      <c r="F9692" s="617" t="n">
        <v>650</v>
      </c>
      <c r="G9692" s="615" t="n">
        <f aca="false">E9692*F9692</f>
        <v>6.5</v>
      </c>
      <c r="H9692" s="606"/>
    </row>
    <row r="9693" customFormat="false" ht="15" hidden="false" customHeight="false" outlineLevel="0" collapsed="false">
      <c r="A9693" s="571"/>
      <c r="B9693" s="500"/>
      <c r="C9693" s="860" t="s">
        <v>5859</v>
      </c>
      <c r="D9693" s="316" t="s">
        <v>4528</v>
      </c>
      <c r="E9693" s="660" t="n">
        <v>0.01</v>
      </c>
      <c r="F9693" s="617" t="n">
        <v>1995</v>
      </c>
      <c r="G9693" s="615" t="n">
        <f aca="false">E9693*F9693</f>
        <v>19.95</v>
      </c>
      <c r="H9693" s="606"/>
    </row>
    <row r="9694" customFormat="false" ht="15" hidden="false" customHeight="false" outlineLevel="0" collapsed="false">
      <c r="A9694" s="571"/>
      <c r="B9694" s="500"/>
      <c r="C9694" s="860" t="s">
        <v>4515</v>
      </c>
      <c r="D9694" s="316" t="s">
        <v>4133</v>
      </c>
      <c r="E9694" s="661" t="n">
        <v>0.2</v>
      </c>
      <c r="F9694" s="681" t="n">
        <v>350</v>
      </c>
      <c r="G9694" s="615" t="n">
        <f aca="false">E9694*F9694</f>
        <v>70</v>
      </c>
      <c r="H9694" s="391"/>
    </row>
    <row r="9695" customFormat="false" ht="15" hidden="false" customHeight="false" outlineLevel="0" collapsed="false">
      <c r="A9695" s="571"/>
      <c r="B9695" s="328"/>
      <c r="C9695" s="974" t="s">
        <v>5816</v>
      </c>
      <c r="D9695" s="317" t="s">
        <v>4191</v>
      </c>
      <c r="E9695" s="661" t="n">
        <v>0.005</v>
      </c>
      <c r="F9695" s="681" t="n">
        <v>144704</v>
      </c>
      <c r="G9695" s="615" t="n">
        <f aca="false">E9695*F9695</f>
        <v>723.52</v>
      </c>
      <c r="H9695" s="391"/>
    </row>
    <row r="9696" customFormat="false" ht="15" hidden="false" customHeight="false" outlineLevel="0" collapsed="false">
      <c r="A9696" s="571"/>
      <c r="B9696" s="328"/>
      <c r="C9696" s="860" t="s">
        <v>4776</v>
      </c>
      <c r="D9696" s="316" t="s">
        <v>4359</v>
      </c>
      <c r="E9696" s="661" t="n">
        <v>0.01</v>
      </c>
      <c r="F9696" s="617" t="n">
        <v>800</v>
      </c>
      <c r="G9696" s="615" t="n">
        <f aca="false">E9696*F9696</f>
        <v>8</v>
      </c>
      <c r="H9696" s="606"/>
    </row>
    <row r="9697" customFormat="false" ht="15" hidden="false" customHeight="false" outlineLevel="0" collapsed="false">
      <c r="A9697" s="571"/>
      <c r="B9697" s="608" t="s">
        <v>4128</v>
      </c>
      <c r="C9697" s="964"/>
      <c r="D9697" s="965"/>
      <c r="E9697" s="968"/>
      <c r="F9697" s="967"/>
      <c r="G9697" s="613" t="n">
        <f aca="false">SUM(G9689:G9696)</f>
        <v>1173.2315</v>
      </c>
      <c r="H9697" s="391"/>
    </row>
    <row r="9698" customFormat="false" ht="30" hidden="false" customHeight="false" outlineLevel="0" collapsed="false">
      <c r="A9698" s="571" t="s">
        <v>1899</v>
      </c>
      <c r="B9698" s="433" t="s">
        <v>3685</v>
      </c>
      <c r="C9698" s="860" t="s">
        <v>5860</v>
      </c>
      <c r="D9698" s="316" t="s">
        <v>4133</v>
      </c>
      <c r="E9698" s="661" t="n">
        <v>0.01</v>
      </c>
      <c r="F9698" s="617" t="n">
        <v>35035</v>
      </c>
      <c r="G9698" s="615" t="n">
        <f aca="false">E9698*F9698</f>
        <v>350.35</v>
      </c>
      <c r="H9698" s="606"/>
    </row>
    <row r="9699" customFormat="false" ht="15" hidden="false" customHeight="false" outlineLevel="0" collapsed="false">
      <c r="A9699" s="571"/>
      <c r="B9699" s="500"/>
      <c r="C9699" s="860" t="s">
        <v>5823</v>
      </c>
      <c r="D9699" s="316" t="s">
        <v>4133</v>
      </c>
      <c r="E9699" s="661" t="n">
        <v>0.01</v>
      </c>
      <c r="F9699" s="617" t="n">
        <v>69797</v>
      </c>
      <c r="G9699" s="615" t="n">
        <f aca="false">E9699*F9699</f>
        <v>697.97</v>
      </c>
      <c r="H9699" s="606"/>
    </row>
    <row r="9700" customFormat="false" ht="15" hidden="false" customHeight="false" outlineLevel="0" collapsed="false">
      <c r="A9700" s="571"/>
      <c r="B9700" s="500"/>
      <c r="C9700" s="860" t="s">
        <v>5825</v>
      </c>
      <c r="D9700" s="316" t="s">
        <v>4191</v>
      </c>
      <c r="E9700" s="661" t="n">
        <v>0.01</v>
      </c>
      <c r="F9700" s="617" t="n">
        <v>8468</v>
      </c>
      <c r="G9700" s="615" t="n">
        <f aca="false">E9700*F9700</f>
        <v>84.68</v>
      </c>
      <c r="H9700" s="606"/>
    </row>
    <row r="9701" customFormat="false" ht="15" hidden="false" customHeight="false" outlineLevel="0" collapsed="false">
      <c r="A9701" s="571"/>
      <c r="B9701" s="608"/>
      <c r="C9701" s="860" t="s">
        <v>5824</v>
      </c>
      <c r="D9701" s="316" t="s">
        <v>4528</v>
      </c>
      <c r="E9701" s="661" t="n">
        <v>0.001</v>
      </c>
      <c r="F9701" s="617" t="n">
        <v>82115</v>
      </c>
      <c r="G9701" s="615" t="n">
        <f aca="false">E9701*F9701</f>
        <v>82.115</v>
      </c>
      <c r="H9701" s="391"/>
    </row>
    <row r="9702" customFormat="false" ht="15" hidden="false" customHeight="false" outlineLevel="0" collapsed="false">
      <c r="A9702" s="571"/>
      <c r="B9702" s="328"/>
      <c r="C9702" s="860" t="s">
        <v>5819</v>
      </c>
      <c r="D9702" s="316" t="s">
        <v>4191</v>
      </c>
      <c r="E9702" s="954" t="n">
        <v>0.01</v>
      </c>
      <c r="F9702" s="617" t="n">
        <v>316.4</v>
      </c>
      <c r="G9702" s="615" t="n">
        <f aca="false">E9702*F9702</f>
        <v>3.164</v>
      </c>
      <c r="H9702" s="606"/>
    </row>
    <row r="9703" customFormat="false" ht="15" hidden="false" customHeight="false" outlineLevel="0" collapsed="false">
      <c r="A9703" s="571"/>
      <c r="B9703" s="500"/>
      <c r="C9703" s="860" t="s">
        <v>5826</v>
      </c>
      <c r="D9703" s="316" t="s">
        <v>4191</v>
      </c>
      <c r="E9703" s="954" t="n">
        <v>0.01</v>
      </c>
      <c r="F9703" s="617" t="n">
        <v>366.25</v>
      </c>
      <c r="G9703" s="615" t="n">
        <f aca="false">E9703*F9703</f>
        <v>3.6625</v>
      </c>
      <c r="H9703" s="606"/>
    </row>
    <row r="9704" customFormat="false" ht="15" hidden="false" customHeight="false" outlineLevel="0" collapsed="false">
      <c r="A9704" s="571"/>
      <c r="B9704" s="608"/>
      <c r="C9704" s="860" t="s">
        <v>5820</v>
      </c>
      <c r="D9704" s="316" t="s">
        <v>4191</v>
      </c>
      <c r="E9704" s="954" t="n">
        <v>0.01</v>
      </c>
      <c r="F9704" s="617" t="n">
        <v>650</v>
      </c>
      <c r="G9704" s="615" t="n">
        <f aca="false">E9704*F9704</f>
        <v>6.5</v>
      </c>
      <c r="H9704" s="391"/>
    </row>
    <row r="9705" customFormat="false" ht="15" hidden="false" customHeight="false" outlineLevel="0" collapsed="false">
      <c r="A9705" s="571"/>
      <c r="B9705" s="500"/>
      <c r="C9705" s="860" t="s">
        <v>5859</v>
      </c>
      <c r="D9705" s="316" t="s">
        <v>4359</v>
      </c>
      <c r="E9705" s="661" t="n">
        <v>0.03</v>
      </c>
      <c r="F9705" s="617" t="n">
        <v>1995</v>
      </c>
      <c r="G9705" s="615" t="n">
        <f aca="false">E9705*F9705</f>
        <v>59.85</v>
      </c>
      <c r="H9705" s="606"/>
    </row>
    <row r="9706" customFormat="false" ht="15" hidden="false" customHeight="false" outlineLevel="0" collapsed="false">
      <c r="A9706" s="571"/>
      <c r="B9706" s="500"/>
      <c r="C9706" s="860" t="s">
        <v>5861</v>
      </c>
      <c r="D9706" s="316" t="s">
        <v>5452</v>
      </c>
      <c r="E9706" s="661" t="n">
        <v>0.001</v>
      </c>
      <c r="F9706" s="617" t="n">
        <v>150375</v>
      </c>
      <c r="G9706" s="615" t="n">
        <f aca="false">E9706*F9706</f>
        <v>150.375</v>
      </c>
      <c r="H9706" s="606"/>
    </row>
    <row r="9707" customFormat="false" ht="15" hidden="false" customHeight="false" outlineLevel="0" collapsed="false">
      <c r="A9707" s="571"/>
      <c r="B9707" s="500"/>
      <c r="C9707" s="860" t="s">
        <v>4515</v>
      </c>
      <c r="D9707" s="316" t="s">
        <v>4133</v>
      </c>
      <c r="E9707" s="661" t="n">
        <v>0.28</v>
      </c>
      <c r="F9707" s="681" t="n">
        <v>350</v>
      </c>
      <c r="G9707" s="615" t="n">
        <f aca="false">E9707*F9707</f>
        <v>98</v>
      </c>
      <c r="H9707" s="606"/>
    </row>
    <row r="9708" customFormat="false" ht="15" hidden="false" customHeight="false" outlineLevel="0" collapsed="false">
      <c r="A9708" s="571"/>
      <c r="B9708" s="500"/>
      <c r="C9708" s="860" t="s">
        <v>4776</v>
      </c>
      <c r="D9708" s="316" t="s">
        <v>4359</v>
      </c>
      <c r="E9708" s="661" t="n">
        <v>0.1</v>
      </c>
      <c r="F9708" s="617" t="n">
        <v>800</v>
      </c>
      <c r="G9708" s="615" t="n">
        <f aca="false">E9708*F9708</f>
        <v>80</v>
      </c>
      <c r="H9708" s="606"/>
    </row>
    <row r="9709" customFormat="false" ht="15" hidden="false" customHeight="false" outlineLevel="0" collapsed="false">
      <c r="A9709" s="571"/>
      <c r="B9709" s="608" t="s">
        <v>4128</v>
      </c>
      <c r="C9709" s="964"/>
      <c r="D9709" s="965"/>
      <c r="E9709" s="968"/>
      <c r="F9709" s="967"/>
      <c r="G9709" s="613" t="n">
        <f aca="false">SUM(G9698:G9708)</f>
        <v>1616.6665</v>
      </c>
      <c r="H9709" s="391"/>
    </row>
    <row r="9710" customFormat="false" ht="30" hidden="false" customHeight="false" outlineLevel="0" collapsed="false">
      <c r="A9710" s="571" t="s">
        <v>1901</v>
      </c>
      <c r="B9710" s="433" t="s">
        <v>3686</v>
      </c>
      <c r="C9710" s="860" t="s">
        <v>5823</v>
      </c>
      <c r="D9710" s="316" t="s">
        <v>4133</v>
      </c>
      <c r="E9710" s="661" t="n">
        <v>0.01</v>
      </c>
      <c r="F9710" s="617" t="n">
        <v>69797</v>
      </c>
      <c r="G9710" s="615" t="n">
        <v>11.3856</v>
      </c>
      <c r="H9710" s="606"/>
    </row>
    <row r="9711" customFormat="false" ht="15" hidden="false" customHeight="false" outlineLevel="0" collapsed="false">
      <c r="A9711" s="571"/>
      <c r="B9711" s="500"/>
      <c r="C9711" s="860" t="s">
        <v>5825</v>
      </c>
      <c r="D9711" s="316" t="s">
        <v>4191</v>
      </c>
      <c r="E9711" s="661" t="n">
        <v>0.01</v>
      </c>
      <c r="F9711" s="617" t="n">
        <v>8468</v>
      </c>
      <c r="G9711" s="615" t="n">
        <f aca="false">E9711*F9711</f>
        <v>84.68</v>
      </c>
      <c r="H9711" s="606"/>
    </row>
    <row r="9712" customFormat="false" ht="15" hidden="false" customHeight="false" outlineLevel="0" collapsed="false">
      <c r="A9712" s="571"/>
      <c r="B9712" s="500"/>
      <c r="C9712" s="860" t="s">
        <v>5824</v>
      </c>
      <c r="D9712" s="316" t="s">
        <v>4528</v>
      </c>
      <c r="E9712" s="661" t="n">
        <v>0.005</v>
      </c>
      <c r="F9712" s="617" t="n">
        <v>82115</v>
      </c>
      <c r="G9712" s="615" t="n">
        <f aca="false">E9712*F9712</f>
        <v>410.575</v>
      </c>
      <c r="H9712" s="606"/>
    </row>
    <row r="9713" customFormat="false" ht="15" hidden="false" customHeight="false" outlineLevel="0" collapsed="false">
      <c r="A9713" s="571"/>
      <c r="B9713" s="500"/>
      <c r="C9713" s="860" t="s">
        <v>5819</v>
      </c>
      <c r="D9713" s="316" t="s">
        <v>4191</v>
      </c>
      <c r="E9713" s="954" t="n">
        <v>0.01</v>
      </c>
      <c r="F9713" s="617" t="n">
        <v>316.4</v>
      </c>
      <c r="G9713" s="615" t="n">
        <f aca="false">E9713*F9713</f>
        <v>3.164</v>
      </c>
      <c r="H9713" s="606"/>
    </row>
    <row r="9714" customFormat="false" ht="15" hidden="false" customHeight="false" outlineLevel="0" collapsed="false">
      <c r="A9714" s="571"/>
      <c r="B9714" s="500"/>
      <c r="C9714" s="860" t="s">
        <v>5826</v>
      </c>
      <c r="D9714" s="316" t="s">
        <v>4191</v>
      </c>
      <c r="E9714" s="954" t="n">
        <v>0.01</v>
      </c>
      <c r="F9714" s="617" t="n">
        <v>366.25</v>
      </c>
      <c r="G9714" s="615" t="n">
        <f aca="false">E9714*F9714</f>
        <v>3.6625</v>
      </c>
      <c r="H9714" s="606"/>
    </row>
    <row r="9715" customFormat="false" ht="15" hidden="false" customHeight="false" outlineLevel="0" collapsed="false">
      <c r="A9715" s="571"/>
      <c r="B9715" s="608"/>
      <c r="C9715" s="860" t="s">
        <v>5820</v>
      </c>
      <c r="D9715" s="316" t="s">
        <v>4191</v>
      </c>
      <c r="E9715" s="954" t="n">
        <v>0.01</v>
      </c>
      <c r="F9715" s="617" t="n">
        <v>650</v>
      </c>
      <c r="G9715" s="615" t="n">
        <f aca="false">E9715*F9715</f>
        <v>6.5</v>
      </c>
      <c r="H9715" s="391"/>
    </row>
    <row r="9716" customFormat="false" ht="15" hidden="false" customHeight="false" outlineLevel="0" collapsed="false">
      <c r="A9716" s="571"/>
      <c r="B9716" s="328"/>
      <c r="C9716" s="860" t="s">
        <v>5859</v>
      </c>
      <c r="D9716" s="316" t="s">
        <v>4359</v>
      </c>
      <c r="E9716" s="661" t="n">
        <v>0.03</v>
      </c>
      <c r="F9716" s="617" t="n">
        <v>1995</v>
      </c>
      <c r="G9716" s="615" t="n">
        <f aca="false">E9716*F9716</f>
        <v>59.85</v>
      </c>
      <c r="H9716" s="606"/>
    </row>
    <row r="9717" customFormat="false" ht="15" hidden="false" customHeight="false" outlineLevel="0" collapsed="false">
      <c r="A9717" s="571"/>
      <c r="B9717" s="500"/>
      <c r="C9717" s="860" t="s">
        <v>5816</v>
      </c>
      <c r="D9717" s="316" t="s">
        <v>4191</v>
      </c>
      <c r="E9717" s="661" t="n">
        <v>0.01</v>
      </c>
      <c r="F9717" s="681" t="n">
        <v>144704</v>
      </c>
      <c r="G9717" s="615" t="n">
        <v>336.5</v>
      </c>
      <c r="H9717" s="606"/>
    </row>
    <row r="9718" customFormat="false" ht="15" hidden="false" customHeight="false" outlineLevel="0" collapsed="false">
      <c r="A9718" s="571"/>
      <c r="B9718" s="500"/>
      <c r="C9718" s="860" t="s">
        <v>4515</v>
      </c>
      <c r="D9718" s="316" t="s">
        <v>4133</v>
      </c>
      <c r="E9718" s="661" t="n">
        <v>0.3</v>
      </c>
      <c r="F9718" s="681" t="n">
        <v>350</v>
      </c>
      <c r="G9718" s="615" t="n">
        <v>4.67</v>
      </c>
      <c r="H9718" s="606"/>
    </row>
    <row r="9719" customFormat="false" ht="15" hidden="false" customHeight="false" outlineLevel="0" collapsed="false">
      <c r="A9719" s="571"/>
      <c r="B9719" s="500"/>
      <c r="C9719" s="860" t="s">
        <v>4776</v>
      </c>
      <c r="D9719" s="316" t="s">
        <v>4359</v>
      </c>
      <c r="E9719" s="661" t="n">
        <v>0.3</v>
      </c>
      <c r="F9719" s="617" t="n">
        <v>800</v>
      </c>
      <c r="G9719" s="615" t="n">
        <v>7.5</v>
      </c>
      <c r="H9719" s="606"/>
    </row>
    <row r="9720" customFormat="false" ht="15" hidden="false" customHeight="false" outlineLevel="0" collapsed="false">
      <c r="A9720" s="571"/>
      <c r="B9720" s="608" t="s">
        <v>4128</v>
      </c>
      <c r="C9720" s="860"/>
      <c r="D9720" s="316"/>
      <c r="E9720" s="968"/>
      <c r="F9720" s="617"/>
      <c r="G9720" s="613" t="n">
        <f aca="false">SUM(G9710:G9719)</f>
        <v>928.4871</v>
      </c>
      <c r="H9720" s="391"/>
    </row>
    <row r="9721" customFormat="false" ht="30" hidden="false" customHeight="false" outlineLevel="0" collapsed="false">
      <c r="A9721" s="571" t="s">
        <v>1903</v>
      </c>
      <c r="B9721" s="433" t="s">
        <v>3687</v>
      </c>
      <c r="C9721" s="860" t="s">
        <v>5818</v>
      </c>
      <c r="D9721" s="316" t="s">
        <v>4133</v>
      </c>
      <c r="E9721" s="664" t="n">
        <v>0.001</v>
      </c>
      <c r="F9721" s="617" t="n">
        <v>67687</v>
      </c>
      <c r="G9721" s="615" t="n">
        <f aca="false">E9721*F9721</f>
        <v>67.687</v>
      </c>
      <c r="H9721" s="606"/>
    </row>
    <row r="9722" customFormat="false" ht="30" hidden="false" customHeight="false" outlineLevel="0" collapsed="false">
      <c r="A9722" s="571"/>
      <c r="B9722" s="500"/>
      <c r="C9722" s="860" t="s">
        <v>5911</v>
      </c>
      <c r="D9722" s="316" t="s">
        <v>4133</v>
      </c>
      <c r="E9722" s="664" t="n">
        <v>0.001</v>
      </c>
      <c r="F9722" s="617" t="n">
        <v>68000</v>
      </c>
      <c r="G9722" s="615" t="n">
        <f aca="false">E9722*F9722</f>
        <v>68</v>
      </c>
      <c r="H9722" s="606"/>
    </row>
    <row r="9723" customFormat="false" ht="30" hidden="false" customHeight="false" outlineLevel="0" collapsed="false">
      <c r="A9723" s="571"/>
      <c r="B9723" s="500"/>
      <c r="C9723" s="860" t="s">
        <v>5912</v>
      </c>
      <c r="D9723" s="316" t="s">
        <v>5913</v>
      </c>
      <c r="E9723" s="664" t="n">
        <v>0.001</v>
      </c>
      <c r="F9723" s="617" t="n">
        <v>49000</v>
      </c>
      <c r="G9723" s="615" t="n">
        <f aca="false">E9723*F9723</f>
        <v>49</v>
      </c>
      <c r="H9723" s="606"/>
    </row>
    <row r="9724" customFormat="false" ht="15" hidden="false" customHeight="false" outlineLevel="0" collapsed="false">
      <c r="A9724" s="571"/>
      <c r="B9724" s="500"/>
      <c r="C9724" s="860" t="s">
        <v>5832</v>
      </c>
      <c r="D9724" s="316" t="s">
        <v>4133</v>
      </c>
      <c r="E9724" s="664" t="n">
        <v>0.001</v>
      </c>
      <c r="F9724" s="617" t="n">
        <v>99906</v>
      </c>
      <c r="G9724" s="615" t="n">
        <f aca="false">E9724*F9724</f>
        <v>99.906</v>
      </c>
      <c r="H9724" s="606"/>
    </row>
    <row r="9725" customFormat="false" ht="15" hidden="false" customHeight="false" outlineLevel="0" collapsed="false">
      <c r="A9725" s="571"/>
      <c r="B9725" s="500"/>
      <c r="C9725" s="860" t="s">
        <v>5825</v>
      </c>
      <c r="D9725" s="316" t="s">
        <v>4191</v>
      </c>
      <c r="E9725" s="661" t="n">
        <v>0.01</v>
      </c>
      <c r="F9725" s="617" t="n">
        <v>8468</v>
      </c>
      <c r="G9725" s="615" t="n">
        <f aca="false">E9725*F9725</f>
        <v>84.68</v>
      </c>
      <c r="H9725" s="606"/>
    </row>
    <row r="9726" customFormat="false" ht="15" hidden="false" customHeight="false" outlineLevel="0" collapsed="false">
      <c r="A9726" s="571"/>
      <c r="B9726" s="500"/>
      <c r="C9726" s="860" t="s">
        <v>5835</v>
      </c>
      <c r="D9726" s="316" t="s">
        <v>4133</v>
      </c>
      <c r="E9726" s="664" t="n">
        <v>0.001</v>
      </c>
      <c r="F9726" s="617" t="n">
        <v>69797</v>
      </c>
      <c r="G9726" s="615" t="n">
        <f aca="false">E9726*F9726</f>
        <v>69.797</v>
      </c>
      <c r="H9726" s="606"/>
    </row>
    <row r="9727" customFormat="false" ht="15" hidden="false" customHeight="false" outlineLevel="0" collapsed="false">
      <c r="A9727" s="571"/>
      <c r="B9727" s="500"/>
      <c r="C9727" s="860" t="s">
        <v>5914</v>
      </c>
      <c r="D9727" s="316" t="s">
        <v>4133</v>
      </c>
      <c r="E9727" s="664" t="n">
        <v>0.001</v>
      </c>
      <c r="F9727" s="617" t="n">
        <v>69152</v>
      </c>
      <c r="G9727" s="615" t="n">
        <f aca="false">E9727*F9727</f>
        <v>69.152</v>
      </c>
      <c r="H9727" s="606"/>
    </row>
    <row r="9728" customFormat="false" ht="30" hidden="false" customHeight="false" outlineLevel="0" collapsed="false">
      <c r="A9728" s="571"/>
      <c r="B9728" s="500"/>
      <c r="C9728" s="860" t="s">
        <v>5915</v>
      </c>
      <c r="D9728" s="316" t="s">
        <v>4133</v>
      </c>
      <c r="E9728" s="664" t="n">
        <v>0.001</v>
      </c>
      <c r="F9728" s="617" t="n">
        <v>80176</v>
      </c>
      <c r="G9728" s="615" t="n">
        <f aca="false">E9728*F9728</f>
        <v>80.176</v>
      </c>
      <c r="H9728" s="606"/>
    </row>
    <row r="9729" customFormat="false" ht="30" hidden="false" customHeight="false" outlineLevel="0" collapsed="false">
      <c r="A9729" s="571"/>
      <c r="B9729" s="500"/>
      <c r="C9729" s="860" t="s">
        <v>5916</v>
      </c>
      <c r="D9729" s="316" t="s">
        <v>4133</v>
      </c>
      <c r="E9729" s="664" t="n">
        <v>0.001</v>
      </c>
      <c r="F9729" s="617" t="n">
        <v>41750</v>
      </c>
      <c r="G9729" s="615" t="n">
        <f aca="false">E9729*F9729</f>
        <v>41.75</v>
      </c>
      <c r="H9729" s="606"/>
    </row>
    <row r="9730" customFormat="false" ht="15" hidden="false" customHeight="false" outlineLevel="0" collapsed="false">
      <c r="A9730" s="571"/>
      <c r="B9730" s="500"/>
      <c r="C9730" s="860" t="s">
        <v>5836</v>
      </c>
      <c r="D9730" s="316" t="s">
        <v>4133</v>
      </c>
      <c r="E9730" s="664" t="n">
        <v>0.001</v>
      </c>
      <c r="F9730" s="617" t="n">
        <v>10500</v>
      </c>
      <c r="G9730" s="615" t="n">
        <f aca="false">E9730*F9730</f>
        <v>10.5</v>
      </c>
      <c r="H9730" s="606"/>
    </row>
    <row r="9731" customFormat="false" ht="15" hidden="false" customHeight="false" outlineLevel="0" collapsed="false">
      <c r="A9731" s="571"/>
      <c r="B9731" s="500"/>
      <c r="C9731" s="860" t="s">
        <v>5839</v>
      </c>
      <c r="D9731" s="316" t="s">
        <v>4133</v>
      </c>
      <c r="E9731" s="664" t="n">
        <v>0.001</v>
      </c>
      <c r="F9731" s="617" t="n">
        <v>7982</v>
      </c>
      <c r="G9731" s="615" t="n">
        <f aca="false">E9731*F9731</f>
        <v>7.982</v>
      </c>
      <c r="H9731" s="606"/>
    </row>
    <row r="9732" customFormat="false" ht="15" hidden="false" customHeight="false" outlineLevel="0" collapsed="false">
      <c r="A9732" s="571"/>
      <c r="B9732" s="608"/>
      <c r="C9732" s="860" t="s">
        <v>5844</v>
      </c>
      <c r="D9732" s="316" t="s">
        <v>4191</v>
      </c>
      <c r="E9732" s="661" t="n">
        <v>0.005</v>
      </c>
      <c r="F9732" s="617" t="n">
        <v>74415</v>
      </c>
      <c r="G9732" s="615" t="n">
        <f aca="false">E9732*F9732</f>
        <v>372.075</v>
      </c>
      <c r="H9732" s="391"/>
    </row>
    <row r="9733" customFormat="false" ht="15" hidden="false" customHeight="false" outlineLevel="0" collapsed="false">
      <c r="A9733" s="571"/>
      <c r="B9733" s="328"/>
      <c r="C9733" s="860" t="s">
        <v>5859</v>
      </c>
      <c r="D9733" s="316" t="s">
        <v>4359</v>
      </c>
      <c r="E9733" s="664" t="n">
        <v>0.1</v>
      </c>
      <c r="F9733" s="617" t="n">
        <v>1995</v>
      </c>
      <c r="G9733" s="615" t="n">
        <f aca="false">E9733*F9733</f>
        <v>199.5</v>
      </c>
      <c r="H9733" s="606"/>
    </row>
    <row r="9734" customFormat="false" ht="15" hidden="false" customHeight="false" outlineLevel="0" collapsed="false">
      <c r="A9734" s="571"/>
      <c r="B9734" s="500"/>
      <c r="C9734" s="860" t="s">
        <v>5824</v>
      </c>
      <c r="D9734" s="316" t="s">
        <v>4359</v>
      </c>
      <c r="E9734" s="664" t="n">
        <v>0.001</v>
      </c>
      <c r="F9734" s="617" t="n">
        <v>82115</v>
      </c>
      <c r="G9734" s="615" t="n">
        <f aca="false">E9734*F9734</f>
        <v>82.115</v>
      </c>
      <c r="H9734" s="606"/>
    </row>
    <row r="9735" customFormat="false" ht="15" hidden="false" customHeight="false" outlineLevel="0" collapsed="false">
      <c r="A9735" s="571"/>
      <c r="B9735" s="500"/>
      <c r="C9735" s="860" t="s">
        <v>5819</v>
      </c>
      <c r="D9735" s="316" t="s">
        <v>4191</v>
      </c>
      <c r="E9735" s="954" t="n">
        <v>0.01</v>
      </c>
      <c r="F9735" s="617" t="n">
        <v>316.4</v>
      </c>
      <c r="G9735" s="615" t="n">
        <f aca="false">E9735*F9735</f>
        <v>3.164</v>
      </c>
      <c r="H9735" s="606"/>
    </row>
    <row r="9736" customFormat="false" ht="15" hidden="false" customHeight="false" outlineLevel="0" collapsed="false">
      <c r="A9736" s="571"/>
      <c r="B9736" s="608"/>
      <c r="C9736" s="860" t="s">
        <v>5826</v>
      </c>
      <c r="D9736" s="316" t="s">
        <v>4191</v>
      </c>
      <c r="E9736" s="954" t="n">
        <v>0.01</v>
      </c>
      <c r="F9736" s="617" t="n">
        <v>366.25</v>
      </c>
      <c r="G9736" s="615" t="n">
        <f aca="false">E9736*F9736</f>
        <v>3.6625</v>
      </c>
      <c r="H9736" s="391"/>
    </row>
    <row r="9737" customFormat="false" ht="15" hidden="false" customHeight="false" outlineLevel="0" collapsed="false">
      <c r="A9737" s="571"/>
      <c r="B9737" s="500"/>
      <c r="C9737" s="860" t="s">
        <v>5820</v>
      </c>
      <c r="D9737" s="316" t="s">
        <v>4191</v>
      </c>
      <c r="E9737" s="954" t="n">
        <v>0.01</v>
      </c>
      <c r="F9737" s="617" t="n">
        <v>650</v>
      </c>
      <c r="G9737" s="615" t="n">
        <f aca="false">E9737*F9737</f>
        <v>6.5</v>
      </c>
      <c r="H9737" s="606"/>
    </row>
    <row r="9738" customFormat="false" ht="15" hidden="false" customHeight="false" outlineLevel="0" collapsed="false">
      <c r="A9738" s="571"/>
      <c r="B9738" s="500"/>
      <c r="C9738" s="860" t="s">
        <v>5861</v>
      </c>
      <c r="D9738" s="316" t="s">
        <v>5452</v>
      </c>
      <c r="E9738" s="660" t="n">
        <v>0.001</v>
      </c>
      <c r="F9738" s="617" t="n">
        <v>150375</v>
      </c>
      <c r="G9738" s="615" t="n">
        <f aca="false">E9738*F9738</f>
        <v>150.375</v>
      </c>
      <c r="H9738" s="606"/>
    </row>
    <row r="9739" customFormat="false" ht="15" hidden="false" customHeight="false" outlineLevel="0" collapsed="false">
      <c r="A9739" s="571"/>
      <c r="B9739" s="500"/>
      <c r="C9739" s="860" t="s">
        <v>4515</v>
      </c>
      <c r="D9739" s="316" t="s">
        <v>4133</v>
      </c>
      <c r="E9739" s="661" t="n">
        <v>0.1</v>
      </c>
      <c r="F9739" s="681" t="n">
        <v>350</v>
      </c>
      <c r="G9739" s="615" t="n">
        <f aca="false">E9739*F9739</f>
        <v>35</v>
      </c>
      <c r="H9739" s="606"/>
    </row>
    <row r="9740" customFormat="false" ht="15" hidden="false" customHeight="false" outlineLevel="0" collapsed="false">
      <c r="A9740" s="571"/>
      <c r="B9740" s="500"/>
      <c r="C9740" s="860" t="s">
        <v>4776</v>
      </c>
      <c r="D9740" s="316" t="s">
        <v>4528</v>
      </c>
      <c r="E9740" s="958" t="n">
        <v>0.1</v>
      </c>
      <c r="F9740" s="617" t="n">
        <v>800</v>
      </c>
      <c r="G9740" s="615" t="n">
        <f aca="false">E9740*F9740</f>
        <v>80</v>
      </c>
      <c r="H9740" s="606"/>
    </row>
    <row r="9741" customFormat="false" ht="15" hidden="false" customHeight="false" outlineLevel="0" collapsed="false">
      <c r="A9741" s="571"/>
      <c r="B9741" s="608" t="s">
        <v>4128</v>
      </c>
      <c r="C9741" s="709"/>
      <c r="D9741" s="606"/>
      <c r="E9741" s="622"/>
      <c r="F9741" s="361"/>
      <c r="G9741" s="613" t="n">
        <f aca="false">SUM(G9721:G9740)</f>
        <v>1581.0215</v>
      </c>
      <c r="H9741" s="391"/>
    </row>
    <row r="9742" customFormat="false" ht="30" hidden="false" customHeight="false" outlineLevel="0" collapsed="false">
      <c r="A9742" s="571" t="s">
        <v>1905</v>
      </c>
      <c r="B9742" s="433" t="s">
        <v>5917</v>
      </c>
      <c r="C9742" s="860" t="s">
        <v>5818</v>
      </c>
      <c r="D9742" s="316" t="s">
        <v>4133</v>
      </c>
      <c r="E9742" s="664" t="n">
        <v>0.001</v>
      </c>
      <c r="F9742" s="617" t="n">
        <v>67687</v>
      </c>
      <c r="G9742" s="615" t="n">
        <f aca="false">E9742*F9742</f>
        <v>67.687</v>
      </c>
      <c r="H9742" s="606"/>
    </row>
    <row r="9743" customFormat="false" ht="30" hidden="false" customHeight="false" outlineLevel="0" collapsed="false">
      <c r="A9743" s="571"/>
      <c r="B9743" s="500"/>
      <c r="C9743" s="860" t="s">
        <v>5911</v>
      </c>
      <c r="D9743" s="316" t="s">
        <v>4133</v>
      </c>
      <c r="E9743" s="664" t="n">
        <v>0.001</v>
      </c>
      <c r="F9743" s="617" t="n">
        <v>68000</v>
      </c>
      <c r="G9743" s="615" t="n">
        <f aca="false">E9743*F9743</f>
        <v>68</v>
      </c>
      <c r="H9743" s="606"/>
    </row>
    <row r="9744" customFormat="false" ht="30" hidden="false" customHeight="false" outlineLevel="0" collapsed="false">
      <c r="A9744" s="571"/>
      <c r="B9744" s="500"/>
      <c r="C9744" s="860" t="s">
        <v>5912</v>
      </c>
      <c r="D9744" s="316" t="s">
        <v>5913</v>
      </c>
      <c r="E9744" s="664" t="n">
        <v>0.001</v>
      </c>
      <c r="F9744" s="617" t="n">
        <v>49000</v>
      </c>
      <c r="G9744" s="615" t="n">
        <f aca="false">E9744*F9744</f>
        <v>49</v>
      </c>
      <c r="H9744" s="606"/>
    </row>
    <row r="9745" customFormat="false" ht="15" hidden="false" customHeight="false" outlineLevel="0" collapsed="false">
      <c r="A9745" s="571"/>
      <c r="B9745" s="500"/>
      <c r="C9745" s="860" t="s">
        <v>5832</v>
      </c>
      <c r="D9745" s="316" t="s">
        <v>4133</v>
      </c>
      <c r="E9745" s="664" t="n">
        <v>0.001</v>
      </c>
      <c r="F9745" s="617" t="n">
        <v>99906</v>
      </c>
      <c r="G9745" s="615" t="n">
        <f aca="false">E9745*F9745</f>
        <v>99.906</v>
      </c>
      <c r="H9745" s="606"/>
    </row>
    <row r="9746" customFormat="false" ht="15" hidden="false" customHeight="false" outlineLevel="0" collapsed="false">
      <c r="A9746" s="571"/>
      <c r="B9746" s="500"/>
      <c r="C9746" s="860" t="s">
        <v>5825</v>
      </c>
      <c r="D9746" s="316" t="s">
        <v>4191</v>
      </c>
      <c r="E9746" s="661" t="n">
        <v>0.01</v>
      </c>
      <c r="F9746" s="617" t="n">
        <v>8468</v>
      </c>
      <c r="G9746" s="615" t="n">
        <f aca="false">E9746*F9746</f>
        <v>84.68</v>
      </c>
      <c r="H9746" s="606"/>
    </row>
    <row r="9747" customFormat="false" ht="15" hidden="false" customHeight="false" outlineLevel="0" collapsed="false">
      <c r="A9747" s="571"/>
      <c r="B9747" s="500"/>
      <c r="C9747" s="860" t="s">
        <v>5835</v>
      </c>
      <c r="D9747" s="316" t="s">
        <v>4133</v>
      </c>
      <c r="E9747" s="664" t="n">
        <v>0.001</v>
      </c>
      <c r="F9747" s="617" t="n">
        <v>69797</v>
      </c>
      <c r="G9747" s="615" t="n">
        <f aca="false">E9747*F9747</f>
        <v>69.797</v>
      </c>
      <c r="H9747" s="606"/>
    </row>
    <row r="9748" customFormat="false" ht="15" hidden="false" customHeight="false" outlineLevel="0" collapsed="false">
      <c r="A9748" s="571"/>
      <c r="B9748" s="500"/>
      <c r="C9748" s="860" t="s">
        <v>5914</v>
      </c>
      <c r="D9748" s="316" t="s">
        <v>4133</v>
      </c>
      <c r="E9748" s="664" t="n">
        <v>0.001</v>
      </c>
      <c r="F9748" s="617" t="n">
        <v>69152</v>
      </c>
      <c r="G9748" s="615" t="n">
        <f aca="false">E9748*F9748</f>
        <v>69.152</v>
      </c>
      <c r="H9748" s="606"/>
    </row>
    <row r="9749" customFormat="false" ht="30" hidden="false" customHeight="false" outlineLevel="0" collapsed="false">
      <c r="A9749" s="571"/>
      <c r="B9749" s="500"/>
      <c r="C9749" s="860" t="s">
        <v>5915</v>
      </c>
      <c r="D9749" s="316" t="s">
        <v>4133</v>
      </c>
      <c r="E9749" s="664" t="n">
        <v>0.001</v>
      </c>
      <c r="F9749" s="617" t="n">
        <v>80176</v>
      </c>
      <c r="G9749" s="615" t="n">
        <f aca="false">E9749*F9749</f>
        <v>80.176</v>
      </c>
      <c r="H9749" s="606"/>
    </row>
    <row r="9750" customFormat="false" ht="30" hidden="false" customHeight="false" outlineLevel="0" collapsed="false">
      <c r="A9750" s="571"/>
      <c r="B9750" s="500"/>
      <c r="C9750" s="860" t="s">
        <v>5916</v>
      </c>
      <c r="D9750" s="316" t="s">
        <v>4133</v>
      </c>
      <c r="E9750" s="664" t="n">
        <v>0.001</v>
      </c>
      <c r="F9750" s="617" t="n">
        <v>54846</v>
      </c>
      <c r="G9750" s="615" t="n">
        <f aca="false">E9750*F9750</f>
        <v>54.846</v>
      </c>
      <c r="H9750" s="606"/>
    </row>
    <row r="9751" customFormat="false" ht="15" hidden="false" customHeight="false" outlineLevel="0" collapsed="false">
      <c r="A9751" s="571"/>
      <c r="B9751" s="500"/>
      <c r="C9751" s="860" t="s">
        <v>5836</v>
      </c>
      <c r="D9751" s="316" t="s">
        <v>4133</v>
      </c>
      <c r="E9751" s="664" t="n">
        <v>0.001</v>
      </c>
      <c r="F9751" s="617" t="n">
        <v>10500</v>
      </c>
      <c r="G9751" s="615" t="n">
        <f aca="false">E9751*F9751</f>
        <v>10.5</v>
      </c>
      <c r="H9751" s="606"/>
    </row>
    <row r="9752" customFormat="false" ht="15" hidden="false" customHeight="false" outlineLevel="0" collapsed="false">
      <c r="A9752" s="571"/>
      <c r="B9752" s="500"/>
      <c r="C9752" s="860" t="s">
        <v>5839</v>
      </c>
      <c r="D9752" s="316" t="s">
        <v>4133</v>
      </c>
      <c r="E9752" s="664" t="n">
        <v>0.001</v>
      </c>
      <c r="F9752" s="617" t="n">
        <v>7982</v>
      </c>
      <c r="G9752" s="615" t="n">
        <f aca="false">E9752*F9752</f>
        <v>7.982</v>
      </c>
      <c r="H9752" s="606"/>
    </row>
    <row r="9753" customFormat="false" ht="15" hidden="false" customHeight="false" outlineLevel="0" collapsed="false">
      <c r="A9753" s="571"/>
      <c r="B9753" s="608"/>
      <c r="C9753" s="860" t="s">
        <v>5844</v>
      </c>
      <c r="D9753" s="316" t="s">
        <v>4191</v>
      </c>
      <c r="E9753" s="661" t="n">
        <v>0.001</v>
      </c>
      <c r="F9753" s="617" t="n">
        <v>74415</v>
      </c>
      <c r="G9753" s="615" t="n">
        <f aca="false">E9753*F9753</f>
        <v>74.415</v>
      </c>
      <c r="H9753" s="391"/>
    </row>
    <row r="9754" customFormat="false" ht="15" hidden="false" customHeight="false" outlineLevel="0" collapsed="false">
      <c r="A9754" s="571"/>
      <c r="B9754" s="328"/>
      <c r="C9754" s="860" t="s">
        <v>5859</v>
      </c>
      <c r="D9754" s="316" t="s">
        <v>4359</v>
      </c>
      <c r="E9754" s="664" t="n">
        <v>0.001</v>
      </c>
      <c r="F9754" s="617" t="n">
        <v>1995</v>
      </c>
      <c r="G9754" s="615" t="n">
        <f aca="false">E9754*F9754</f>
        <v>1.995</v>
      </c>
      <c r="H9754" s="606"/>
    </row>
    <row r="9755" customFormat="false" ht="15" hidden="false" customHeight="false" outlineLevel="0" collapsed="false">
      <c r="A9755" s="571"/>
      <c r="B9755" s="500"/>
      <c r="C9755" s="860" t="s">
        <v>5824</v>
      </c>
      <c r="D9755" s="316" t="s">
        <v>4359</v>
      </c>
      <c r="E9755" s="664" t="n">
        <v>0.001</v>
      </c>
      <c r="F9755" s="617" t="n">
        <v>82115</v>
      </c>
      <c r="G9755" s="615" t="n">
        <f aca="false">E9755*F9755</f>
        <v>82.115</v>
      </c>
      <c r="H9755" s="606"/>
    </row>
    <row r="9756" customFormat="false" ht="15" hidden="false" customHeight="false" outlineLevel="0" collapsed="false">
      <c r="A9756" s="571"/>
      <c r="B9756" s="500"/>
      <c r="C9756" s="860" t="s">
        <v>5819</v>
      </c>
      <c r="D9756" s="316" t="s">
        <v>4191</v>
      </c>
      <c r="E9756" s="954" t="n">
        <v>0.01</v>
      </c>
      <c r="F9756" s="617" t="n">
        <v>316.4</v>
      </c>
      <c r="G9756" s="615" t="n">
        <f aca="false">E9756*F9756</f>
        <v>3.164</v>
      </c>
      <c r="H9756" s="606"/>
    </row>
    <row r="9757" customFormat="false" ht="15" hidden="false" customHeight="false" outlineLevel="0" collapsed="false">
      <c r="A9757" s="571"/>
      <c r="B9757" s="500"/>
      <c r="C9757" s="860" t="s">
        <v>5826</v>
      </c>
      <c r="D9757" s="316" t="s">
        <v>4191</v>
      </c>
      <c r="E9757" s="954" t="n">
        <v>0.01</v>
      </c>
      <c r="F9757" s="617" t="n">
        <v>366.25</v>
      </c>
      <c r="G9757" s="615" t="n">
        <f aca="false">E9757*F9757</f>
        <v>3.6625</v>
      </c>
      <c r="H9757" s="606"/>
    </row>
    <row r="9758" customFormat="false" ht="15" hidden="false" customHeight="false" outlineLevel="0" collapsed="false">
      <c r="A9758" s="571"/>
      <c r="B9758" s="500"/>
      <c r="C9758" s="860" t="s">
        <v>5820</v>
      </c>
      <c r="D9758" s="316" t="s">
        <v>4191</v>
      </c>
      <c r="E9758" s="954" t="n">
        <v>0.01</v>
      </c>
      <c r="F9758" s="617" t="n">
        <v>650</v>
      </c>
      <c r="G9758" s="615" t="n">
        <f aca="false">E9758*F9758</f>
        <v>6.5</v>
      </c>
      <c r="H9758" s="606"/>
    </row>
    <row r="9759" customFormat="false" ht="15" hidden="false" customHeight="false" outlineLevel="0" collapsed="false">
      <c r="A9759" s="571"/>
      <c r="B9759" s="500"/>
      <c r="C9759" s="860" t="s">
        <v>5861</v>
      </c>
      <c r="D9759" s="316" t="s">
        <v>5452</v>
      </c>
      <c r="E9759" s="660" t="n">
        <v>0.001</v>
      </c>
      <c r="F9759" s="617" t="n">
        <v>150375</v>
      </c>
      <c r="G9759" s="615" t="n">
        <f aca="false">E9759*F9759</f>
        <v>150.375</v>
      </c>
      <c r="H9759" s="606"/>
    </row>
    <row r="9760" customFormat="false" ht="15" hidden="false" customHeight="false" outlineLevel="0" collapsed="false">
      <c r="A9760" s="571"/>
      <c r="B9760" s="500"/>
      <c r="C9760" s="860" t="s">
        <v>4515</v>
      </c>
      <c r="D9760" s="316" t="s">
        <v>4133</v>
      </c>
      <c r="E9760" s="661" t="n">
        <v>0.1</v>
      </c>
      <c r="F9760" s="681" t="n">
        <v>350</v>
      </c>
      <c r="G9760" s="615" t="n">
        <f aca="false">E9760*F9760</f>
        <v>35</v>
      </c>
      <c r="H9760" s="606"/>
    </row>
    <row r="9761" customFormat="false" ht="15" hidden="false" customHeight="false" outlineLevel="0" collapsed="false">
      <c r="A9761" s="571"/>
      <c r="B9761" s="500"/>
      <c r="C9761" s="860" t="s">
        <v>5816</v>
      </c>
      <c r="D9761" s="316" t="s">
        <v>4191</v>
      </c>
      <c r="E9761" s="661" t="n">
        <v>0.003</v>
      </c>
      <c r="F9761" s="681" t="n">
        <v>144704</v>
      </c>
      <c r="G9761" s="615" t="n">
        <f aca="false">E9761*F9761</f>
        <v>434.112</v>
      </c>
      <c r="H9761" s="606"/>
    </row>
    <row r="9762" customFormat="false" ht="15" hidden="false" customHeight="false" outlineLevel="0" collapsed="false">
      <c r="A9762" s="571"/>
      <c r="B9762" s="500"/>
      <c r="C9762" s="860" t="s">
        <v>4776</v>
      </c>
      <c r="D9762" s="316" t="s">
        <v>4359</v>
      </c>
      <c r="E9762" s="661" t="n">
        <v>0.1</v>
      </c>
      <c r="F9762" s="617" t="n">
        <v>800</v>
      </c>
      <c r="G9762" s="615" t="n">
        <f aca="false">E9762*F9762</f>
        <v>80</v>
      </c>
      <c r="H9762" s="606"/>
    </row>
    <row r="9763" customFormat="false" ht="15" hidden="false" customHeight="false" outlineLevel="0" collapsed="false">
      <c r="A9763" s="571"/>
      <c r="B9763" s="608" t="s">
        <v>4128</v>
      </c>
      <c r="C9763" s="709"/>
      <c r="D9763" s="606"/>
      <c r="E9763" s="622"/>
      <c r="F9763" s="361"/>
      <c r="G9763" s="613" t="n">
        <f aca="false">SUM(G9742:G9762)</f>
        <v>1533.0645</v>
      </c>
      <c r="H9763" s="391"/>
    </row>
    <row r="9764" customFormat="false" ht="30" hidden="false" customHeight="false" outlineLevel="0" collapsed="false">
      <c r="A9764" s="571" t="s">
        <v>1907</v>
      </c>
      <c r="B9764" s="433" t="s">
        <v>3689</v>
      </c>
      <c r="C9764" s="860" t="s">
        <v>5918</v>
      </c>
      <c r="D9764" s="316" t="s">
        <v>4133</v>
      </c>
      <c r="E9764" s="664" t="n">
        <v>0.001</v>
      </c>
      <c r="F9764" s="617" t="n">
        <v>35035</v>
      </c>
      <c r="G9764" s="615" t="n">
        <f aca="false">E9764*F9764</f>
        <v>35.035</v>
      </c>
      <c r="H9764" s="606"/>
    </row>
    <row r="9765" customFormat="false" ht="15" hidden="false" customHeight="false" outlineLevel="0" collapsed="false">
      <c r="A9765" s="571"/>
      <c r="B9765" s="500"/>
      <c r="C9765" s="860" t="s">
        <v>5919</v>
      </c>
      <c r="D9765" s="316" t="s">
        <v>4133</v>
      </c>
      <c r="E9765" s="664" t="n">
        <v>0.001</v>
      </c>
      <c r="F9765" s="617" t="n">
        <v>74718</v>
      </c>
      <c r="G9765" s="615" t="n">
        <f aca="false">E9765*F9765</f>
        <v>74.718</v>
      </c>
      <c r="H9765" s="606"/>
    </row>
    <row r="9766" customFormat="false" ht="15" hidden="false" customHeight="false" outlineLevel="0" collapsed="false">
      <c r="A9766" s="571"/>
      <c r="B9766" s="500"/>
      <c r="C9766" s="860" t="s">
        <v>5825</v>
      </c>
      <c r="D9766" s="316" t="s">
        <v>5452</v>
      </c>
      <c r="E9766" s="661" t="n">
        <v>0.01</v>
      </c>
      <c r="F9766" s="617" t="n">
        <v>8468</v>
      </c>
      <c r="G9766" s="615" t="n">
        <f aca="false">E9766*F9766</f>
        <v>84.68</v>
      </c>
      <c r="H9766" s="606"/>
    </row>
    <row r="9767" customFormat="false" ht="15" hidden="false" customHeight="false" outlineLevel="0" collapsed="false">
      <c r="A9767" s="571"/>
      <c r="B9767" s="500"/>
      <c r="C9767" s="860" t="s">
        <v>5824</v>
      </c>
      <c r="D9767" s="316" t="s">
        <v>4359</v>
      </c>
      <c r="E9767" s="661" t="n">
        <v>0.001</v>
      </c>
      <c r="F9767" s="617" t="n">
        <v>82115</v>
      </c>
      <c r="G9767" s="615" t="n">
        <f aca="false">E9767*F9767</f>
        <v>82.115</v>
      </c>
      <c r="H9767" s="606"/>
    </row>
    <row r="9768" customFormat="false" ht="15" hidden="false" customHeight="false" outlineLevel="0" collapsed="false">
      <c r="A9768" s="571"/>
      <c r="B9768" s="500"/>
      <c r="C9768" s="860" t="s">
        <v>5819</v>
      </c>
      <c r="D9768" s="316" t="s">
        <v>4191</v>
      </c>
      <c r="E9768" s="954" t="n">
        <v>0.01</v>
      </c>
      <c r="F9768" s="617" t="n">
        <v>316.4</v>
      </c>
      <c r="G9768" s="615" t="n">
        <f aca="false">E9768*F9768</f>
        <v>3.164</v>
      </c>
      <c r="H9768" s="606"/>
    </row>
    <row r="9769" customFormat="false" ht="15" hidden="false" customHeight="false" outlineLevel="0" collapsed="false">
      <c r="A9769" s="571"/>
      <c r="B9769" s="500"/>
      <c r="C9769" s="860" t="s">
        <v>5826</v>
      </c>
      <c r="D9769" s="316" t="s">
        <v>4191</v>
      </c>
      <c r="E9769" s="954" t="n">
        <v>0.001</v>
      </c>
      <c r="F9769" s="617" t="n">
        <v>366.25</v>
      </c>
      <c r="G9769" s="615" t="n">
        <f aca="false">E9769*F9769</f>
        <v>0.36625</v>
      </c>
      <c r="H9769" s="606"/>
    </row>
    <row r="9770" customFormat="false" ht="15" hidden="false" customHeight="false" outlineLevel="0" collapsed="false">
      <c r="A9770" s="571"/>
      <c r="B9770" s="500"/>
      <c r="C9770" s="860" t="s">
        <v>5820</v>
      </c>
      <c r="D9770" s="316" t="s">
        <v>4191</v>
      </c>
      <c r="E9770" s="954" t="n">
        <v>0.001</v>
      </c>
      <c r="F9770" s="617" t="n">
        <v>650</v>
      </c>
      <c r="G9770" s="615" t="n">
        <f aca="false">E9770*F9770</f>
        <v>0.65</v>
      </c>
      <c r="H9770" s="606"/>
    </row>
    <row r="9771" customFormat="false" ht="15" hidden="false" customHeight="false" outlineLevel="0" collapsed="false">
      <c r="A9771" s="571"/>
      <c r="B9771" s="500"/>
      <c r="C9771" s="860" t="s">
        <v>5859</v>
      </c>
      <c r="D9771" s="316" t="s">
        <v>4359</v>
      </c>
      <c r="E9771" s="968" t="n">
        <v>0.01</v>
      </c>
      <c r="F9771" s="617" t="n">
        <v>1995</v>
      </c>
      <c r="G9771" s="615" t="n">
        <f aca="false">E9771*F9771</f>
        <v>19.95</v>
      </c>
      <c r="H9771" s="606"/>
    </row>
    <row r="9772" customFormat="false" ht="15" hidden="false" customHeight="false" outlineLevel="0" collapsed="false">
      <c r="A9772" s="571"/>
      <c r="B9772" s="500"/>
      <c r="C9772" s="860" t="s">
        <v>5861</v>
      </c>
      <c r="D9772" s="316" t="s">
        <v>5452</v>
      </c>
      <c r="E9772" s="660" t="n">
        <v>0.001</v>
      </c>
      <c r="F9772" s="617" t="n">
        <v>150375</v>
      </c>
      <c r="G9772" s="615" t="n">
        <f aca="false">E9772*F9772</f>
        <v>150.375</v>
      </c>
      <c r="H9772" s="606"/>
    </row>
    <row r="9773" customFormat="false" ht="15" hidden="false" customHeight="false" outlineLevel="0" collapsed="false">
      <c r="A9773" s="571"/>
      <c r="B9773" s="500"/>
      <c r="C9773" s="860" t="s">
        <v>5844</v>
      </c>
      <c r="D9773" s="316" t="s">
        <v>5452</v>
      </c>
      <c r="E9773" s="968" t="n">
        <v>0.005</v>
      </c>
      <c r="F9773" s="617" t="n">
        <v>74415</v>
      </c>
      <c r="G9773" s="615" t="n">
        <f aca="false">E9773*F9773</f>
        <v>372.075</v>
      </c>
      <c r="H9773" s="606"/>
    </row>
    <row r="9774" customFormat="false" ht="15" hidden="false" customHeight="false" outlineLevel="0" collapsed="false">
      <c r="A9774" s="571"/>
      <c r="B9774" s="608"/>
      <c r="C9774" s="860" t="s">
        <v>5838</v>
      </c>
      <c r="D9774" s="316" t="s">
        <v>4133</v>
      </c>
      <c r="E9774" s="661" t="n">
        <v>0.001</v>
      </c>
      <c r="F9774" s="617" t="n">
        <v>80176</v>
      </c>
      <c r="G9774" s="615" t="n">
        <f aca="false">E9774*F9774</f>
        <v>80.176</v>
      </c>
      <c r="H9774" s="391"/>
    </row>
    <row r="9775" customFormat="false" ht="15" hidden="false" customHeight="false" outlineLevel="0" collapsed="false">
      <c r="A9775" s="571"/>
      <c r="B9775" s="328"/>
      <c r="C9775" s="860" t="s">
        <v>5862</v>
      </c>
      <c r="D9775" s="316" t="s">
        <v>4133</v>
      </c>
      <c r="E9775" s="661" t="n">
        <v>0.001</v>
      </c>
      <c r="F9775" s="617" t="n">
        <v>145939</v>
      </c>
      <c r="G9775" s="615" t="n">
        <f aca="false">E9775*F9775</f>
        <v>145.939</v>
      </c>
      <c r="H9775" s="606"/>
    </row>
    <row r="9776" customFormat="false" ht="15" hidden="false" customHeight="false" outlineLevel="0" collapsed="false">
      <c r="A9776" s="571"/>
      <c r="B9776" s="500"/>
      <c r="C9776" s="860" t="s">
        <v>4515</v>
      </c>
      <c r="D9776" s="316" t="s">
        <v>4133</v>
      </c>
      <c r="E9776" s="661" t="n">
        <v>0.1</v>
      </c>
      <c r="F9776" s="681" t="n">
        <v>350</v>
      </c>
      <c r="G9776" s="615" t="n">
        <f aca="false">E9776*F9776</f>
        <v>35</v>
      </c>
      <c r="H9776" s="606"/>
    </row>
    <row r="9777" customFormat="false" ht="15" hidden="false" customHeight="false" outlineLevel="0" collapsed="false">
      <c r="A9777" s="571"/>
      <c r="B9777" s="500"/>
      <c r="C9777" s="860" t="s">
        <v>4776</v>
      </c>
      <c r="D9777" s="316" t="s">
        <v>4359</v>
      </c>
      <c r="E9777" s="661" t="n">
        <v>0.1</v>
      </c>
      <c r="F9777" s="617" t="n">
        <v>800</v>
      </c>
      <c r="G9777" s="615" t="n">
        <f aca="false">E9777*F9777</f>
        <v>80</v>
      </c>
      <c r="H9777" s="606"/>
    </row>
    <row r="9778" customFormat="false" ht="15" hidden="false" customHeight="false" outlineLevel="0" collapsed="false">
      <c r="A9778" s="571"/>
      <c r="B9778" s="608" t="s">
        <v>4128</v>
      </c>
      <c r="C9778" s="964"/>
      <c r="D9778" s="965"/>
      <c r="E9778" s="968"/>
      <c r="F9778" s="967"/>
      <c r="G9778" s="613" t="n">
        <f aca="false">SUM(G9764:G9777)</f>
        <v>1164.24325</v>
      </c>
      <c r="H9778" s="391"/>
    </row>
    <row r="9779" customFormat="false" ht="30" hidden="false" customHeight="false" outlineLevel="0" collapsed="false">
      <c r="A9779" s="571" t="s">
        <v>1909</v>
      </c>
      <c r="B9779" s="433" t="s">
        <v>5920</v>
      </c>
      <c r="C9779" s="860" t="s">
        <v>5918</v>
      </c>
      <c r="D9779" s="316" t="s">
        <v>4133</v>
      </c>
      <c r="E9779" s="664" t="n">
        <v>0.001</v>
      </c>
      <c r="F9779" s="617" t="n">
        <v>35035</v>
      </c>
      <c r="G9779" s="615" t="n">
        <f aca="false">E9779*F9779</f>
        <v>35.035</v>
      </c>
      <c r="H9779" s="606"/>
    </row>
    <row r="9780" customFormat="false" ht="15" hidden="false" customHeight="false" outlineLevel="0" collapsed="false">
      <c r="A9780" s="571"/>
      <c r="B9780" s="500"/>
      <c r="C9780" s="860" t="s">
        <v>5919</v>
      </c>
      <c r="D9780" s="316" t="s">
        <v>4133</v>
      </c>
      <c r="E9780" s="664" t="n">
        <v>0.001</v>
      </c>
      <c r="F9780" s="617" t="n">
        <v>74718</v>
      </c>
      <c r="G9780" s="615" t="n">
        <f aca="false">E9780*F9780</f>
        <v>74.718</v>
      </c>
      <c r="H9780" s="606"/>
    </row>
    <row r="9781" customFormat="false" ht="15" hidden="false" customHeight="false" outlineLevel="0" collapsed="false">
      <c r="A9781" s="571"/>
      <c r="B9781" s="500"/>
      <c r="C9781" s="860" t="s">
        <v>5825</v>
      </c>
      <c r="D9781" s="316" t="s">
        <v>5452</v>
      </c>
      <c r="E9781" s="661" t="n">
        <v>0.01</v>
      </c>
      <c r="F9781" s="617" t="n">
        <v>8468</v>
      </c>
      <c r="G9781" s="615" t="n">
        <f aca="false">E9781*F9781</f>
        <v>84.68</v>
      </c>
      <c r="H9781" s="606"/>
    </row>
    <row r="9782" customFormat="false" ht="15" hidden="false" customHeight="false" outlineLevel="0" collapsed="false">
      <c r="A9782" s="571"/>
      <c r="B9782" s="500"/>
      <c r="C9782" s="860" t="s">
        <v>5824</v>
      </c>
      <c r="D9782" s="316" t="s">
        <v>4359</v>
      </c>
      <c r="E9782" s="661" t="n">
        <v>0.001</v>
      </c>
      <c r="F9782" s="617" t="n">
        <v>82115</v>
      </c>
      <c r="G9782" s="615" t="n">
        <f aca="false">E9782*F9782</f>
        <v>82.115</v>
      </c>
      <c r="H9782" s="606"/>
    </row>
    <row r="9783" customFormat="false" ht="15" hidden="false" customHeight="false" outlineLevel="0" collapsed="false">
      <c r="A9783" s="571"/>
      <c r="B9783" s="500"/>
      <c r="C9783" s="860" t="s">
        <v>5819</v>
      </c>
      <c r="D9783" s="316" t="s">
        <v>4191</v>
      </c>
      <c r="E9783" s="954" t="n">
        <v>0.01</v>
      </c>
      <c r="F9783" s="617" t="n">
        <v>316.4</v>
      </c>
      <c r="G9783" s="615" t="n">
        <f aca="false">E9783*F9783</f>
        <v>3.164</v>
      </c>
      <c r="H9783" s="606"/>
    </row>
    <row r="9784" customFormat="false" ht="15" hidden="false" customHeight="false" outlineLevel="0" collapsed="false">
      <c r="A9784" s="571"/>
      <c r="B9784" s="500"/>
      <c r="C9784" s="860" t="s">
        <v>5826</v>
      </c>
      <c r="D9784" s="316" t="s">
        <v>4191</v>
      </c>
      <c r="E9784" s="954" t="n">
        <v>0.01</v>
      </c>
      <c r="F9784" s="617" t="n">
        <v>366.25</v>
      </c>
      <c r="G9784" s="615" t="n">
        <f aca="false">E9784*F9784</f>
        <v>3.6625</v>
      </c>
      <c r="H9784" s="606"/>
    </row>
    <row r="9785" customFormat="false" ht="15" hidden="false" customHeight="false" outlineLevel="0" collapsed="false">
      <c r="A9785" s="571"/>
      <c r="B9785" s="500"/>
      <c r="C9785" s="860" t="s">
        <v>5820</v>
      </c>
      <c r="D9785" s="316" t="s">
        <v>4191</v>
      </c>
      <c r="E9785" s="954" t="n">
        <v>0.01</v>
      </c>
      <c r="F9785" s="617" t="n">
        <v>650</v>
      </c>
      <c r="G9785" s="615" t="n">
        <f aca="false">E9785*F9785</f>
        <v>6.5</v>
      </c>
      <c r="H9785" s="606"/>
    </row>
    <row r="9786" customFormat="false" ht="15" hidden="false" customHeight="false" outlineLevel="0" collapsed="false">
      <c r="A9786" s="571"/>
      <c r="B9786" s="500"/>
      <c r="C9786" s="860" t="s">
        <v>5859</v>
      </c>
      <c r="D9786" s="316" t="s">
        <v>4359</v>
      </c>
      <c r="E9786" s="968" t="n">
        <v>0.02</v>
      </c>
      <c r="F9786" s="617" t="n">
        <v>1995</v>
      </c>
      <c r="G9786" s="615" t="n">
        <f aca="false">E9786*F9786</f>
        <v>39.9</v>
      </c>
      <c r="H9786" s="606"/>
    </row>
    <row r="9787" customFormat="false" ht="15" hidden="false" customHeight="false" outlineLevel="0" collapsed="false">
      <c r="A9787" s="571"/>
      <c r="B9787" s="500"/>
      <c r="C9787" s="860" t="s">
        <v>5861</v>
      </c>
      <c r="D9787" s="316" t="s">
        <v>5452</v>
      </c>
      <c r="E9787" s="660" t="n">
        <v>0.001</v>
      </c>
      <c r="F9787" s="617" t="n">
        <v>150375</v>
      </c>
      <c r="G9787" s="615" t="n">
        <f aca="false">E9787*F9787</f>
        <v>150.375</v>
      </c>
      <c r="H9787" s="606"/>
    </row>
    <row r="9788" customFormat="false" ht="15" hidden="false" customHeight="false" outlineLevel="0" collapsed="false">
      <c r="A9788" s="571"/>
      <c r="B9788" s="500"/>
      <c r="C9788" s="860" t="s">
        <v>5844</v>
      </c>
      <c r="D9788" s="316" t="s">
        <v>4191</v>
      </c>
      <c r="E9788" s="968" t="n">
        <v>0.001</v>
      </c>
      <c r="F9788" s="617" t="n">
        <v>74415</v>
      </c>
      <c r="G9788" s="615" t="n">
        <f aca="false">E9788*F9788</f>
        <v>74.415</v>
      </c>
      <c r="H9788" s="606"/>
    </row>
    <row r="9789" customFormat="false" ht="15" hidden="false" customHeight="false" outlineLevel="0" collapsed="false">
      <c r="A9789" s="571"/>
      <c r="B9789" s="500"/>
      <c r="C9789" s="860" t="s">
        <v>5838</v>
      </c>
      <c r="D9789" s="316" t="s">
        <v>4133</v>
      </c>
      <c r="E9789" s="664" t="n">
        <v>0.001</v>
      </c>
      <c r="F9789" s="617" t="n">
        <v>80176</v>
      </c>
      <c r="G9789" s="615" t="n">
        <f aca="false">E9789*F9789</f>
        <v>80.176</v>
      </c>
      <c r="H9789" s="606"/>
    </row>
    <row r="9790" customFormat="false" ht="15" hidden="false" customHeight="false" outlineLevel="0" collapsed="false">
      <c r="A9790" s="571"/>
      <c r="B9790" s="500"/>
      <c r="C9790" s="860" t="s">
        <v>5862</v>
      </c>
      <c r="D9790" s="316" t="s">
        <v>4133</v>
      </c>
      <c r="E9790" s="664" t="n">
        <v>0.001</v>
      </c>
      <c r="F9790" s="617" t="n">
        <v>145939</v>
      </c>
      <c r="G9790" s="615" t="n">
        <f aca="false">E9790*F9790</f>
        <v>145.939</v>
      </c>
      <c r="H9790" s="606"/>
    </row>
    <row r="9791" customFormat="false" ht="15" hidden="false" customHeight="false" outlineLevel="0" collapsed="false">
      <c r="A9791" s="571"/>
      <c r="B9791" s="500"/>
      <c r="C9791" s="860" t="s">
        <v>4515</v>
      </c>
      <c r="D9791" s="316" t="s">
        <v>4133</v>
      </c>
      <c r="E9791" s="664" t="n">
        <v>0.001</v>
      </c>
      <c r="F9791" s="681" t="n">
        <v>350</v>
      </c>
      <c r="G9791" s="615" t="n">
        <f aca="false">E9791*F9791</f>
        <v>0.35</v>
      </c>
      <c r="H9791" s="606"/>
    </row>
    <row r="9792" customFormat="false" ht="15" hidden="false" customHeight="false" outlineLevel="0" collapsed="false">
      <c r="A9792" s="571"/>
      <c r="B9792" s="500"/>
      <c r="C9792" s="860" t="s">
        <v>5816</v>
      </c>
      <c r="D9792" s="316" t="s">
        <v>4191</v>
      </c>
      <c r="E9792" s="664" t="n">
        <v>0.001</v>
      </c>
      <c r="F9792" s="681" t="n">
        <v>144704</v>
      </c>
      <c r="G9792" s="615" t="n">
        <f aca="false">E9792*F9792</f>
        <v>144.704</v>
      </c>
      <c r="H9792" s="606"/>
    </row>
    <row r="9793" customFormat="false" ht="15" hidden="false" customHeight="false" outlineLevel="0" collapsed="false">
      <c r="A9793" s="571"/>
      <c r="B9793" s="500"/>
      <c r="C9793" s="860" t="s">
        <v>4776</v>
      </c>
      <c r="D9793" s="316" t="s">
        <v>4359</v>
      </c>
      <c r="E9793" s="661" t="n">
        <v>0.1</v>
      </c>
      <c r="F9793" s="617" t="n">
        <v>800</v>
      </c>
      <c r="G9793" s="615" t="n">
        <f aca="false">E9793*F9793</f>
        <v>80</v>
      </c>
      <c r="H9793" s="606"/>
    </row>
    <row r="9794" customFormat="false" ht="15" hidden="false" customHeight="false" outlineLevel="0" collapsed="false">
      <c r="A9794" s="571"/>
      <c r="B9794" s="608" t="s">
        <v>4128</v>
      </c>
      <c r="C9794" s="964"/>
      <c r="D9794" s="965"/>
      <c r="E9794" s="968"/>
      <c r="F9794" s="967"/>
      <c r="G9794" s="613" t="n">
        <f aca="false">SUM(G9779:G9793)</f>
        <v>1005.7335</v>
      </c>
      <c r="H9794" s="391"/>
    </row>
    <row r="9795" customFormat="false" ht="30" hidden="false" customHeight="false" outlineLevel="0" collapsed="false">
      <c r="A9795" s="571" t="s">
        <v>1911</v>
      </c>
      <c r="B9795" s="433" t="s">
        <v>3691</v>
      </c>
      <c r="C9795" s="860" t="s">
        <v>5918</v>
      </c>
      <c r="D9795" s="316" t="s">
        <v>4133</v>
      </c>
      <c r="E9795" s="664" t="n">
        <v>0.005</v>
      </c>
      <c r="F9795" s="617" t="n">
        <v>35035</v>
      </c>
      <c r="G9795" s="615" t="n">
        <f aca="false">E9795*F9795</f>
        <v>175.175</v>
      </c>
      <c r="H9795" s="606"/>
    </row>
    <row r="9796" customFormat="false" ht="15" hidden="false" customHeight="false" outlineLevel="0" collapsed="false">
      <c r="A9796" s="571"/>
      <c r="B9796" s="500"/>
      <c r="C9796" s="860" t="s">
        <v>5921</v>
      </c>
      <c r="D9796" s="316" t="s">
        <v>4133</v>
      </c>
      <c r="E9796" s="664" t="n">
        <v>0.005</v>
      </c>
      <c r="F9796" s="617" t="n">
        <v>79000</v>
      </c>
      <c r="G9796" s="615" t="n">
        <f aca="false">E9796*F9796</f>
        <v>395</v>
      </c>
      <c r="H9796" s="606"/>
    </row>
    <row r="9797" customFormat="false" ht="15" hidden="false" customHeight="false" outlineLevel="0" collapsed="false">
      <c r="A9797" s="571"/>
      <c r="B9797" s="500"/>
      <c r="C9797" s="860" t="s">
        <v>5922</v>
      </c>
      <c r="D9797" s="316" t="s">
        <v>4133</v>
      </c>
      <c r="E9797" s="664" t="n">
        <v>0.005</v>
      </c>
      <c r="F9797" s="617" t="n">
        <v>68244</v>
      </c>
      <c r="G9797" s="615" t="n">
        <f aca="false">E9797*F9797</f>
        <v>341.22</v>
      </c>
      <c r="H9797" s="606"/>
    </row>
    <row r="9798" customFormat="false" ht="30" hidden="false" customHeight="false" outlineLevel="0" collapsed="false">
      <c r="A9798" s="571"/>
      <c r="B9798" s="500"/>
      <c r="C9798" s="860" t="s">
        <v>5923</v>
      </c>
      <c r="D9798" s="316" t="s">
        <v>5913</v>
      </c>
      <c r="E9798" s="664" t="n">
        <v>0.005</v>
      </c>
      <c r="F9798" s="617" t="n">
        <v>10500</v>
      </c>
      <c r="G9798" s="615" t="n">
        <f aca="false">E9798*F9798</f>
        <v>52.5</v>
      </c>
      <c r="H9798" s="606"/>
    </row>
    <row r="9799" customFormat="false" ht="15" hidden="false" customHeight="false" outlineLevel="0" collapsed="false">
      <c r="A9799" s="571"/>
      <c r="B9799" s="500"/>
      <c r="C9799" s="860" t="s">
        <v>5825</v>
      </c>
      <c r="D9799" s="316" t="s">
        <v>5452</v>
      </c>
      <c r="E9799" s="661" t="n">
        <v>0.01</v>
      </c>
      <c r="F9799" s="617" t="n">
        <v>8468</v>
      </c>
      <c r="G9799" s="615" t="n">
        <f aca="false">E9799*F9799</f>
        <v>84.68</v>
      </c>
      <c r="H9799" s="606"/>
    </row>
    <row r="9800" customFormat="false" ht="15" hidden="false" customHeight="false" outlineLevel="0" collapsed="false">
      <c r="A9800" s="571"/>
      <c r="B9800" s="500"/>
      <c r="C9800" s="860" t="s">
        <v>5824</v>
      </c>
      <c r="D9800" s="316" t="s">
        <v>4359</v>
      </c>
      <c r="E9800" s="661" t="n">
        <v>0.005</v>
      </c>
      <c r="F9800" s="617" t="n">
        <v>82115</v>
      </c>
      <c r="G9800" s="615" t="n">
        <f aca="false">E9800*F9800</f>
        <v>410.575</v>
      </c>
      <c r="H9800" s="606"/>
    </row>
    <row r="9801" customFormat="false" ht="15" hidden="false" customHeight="false" outlineLevel="0" collapsed="false">
      <c r="A9801" s="571"/>
      <c r="B9801" s="500"/>
      <c r="C9801" s="860" t="s">
        <v>5819</v>
      </c>
      <c r="D9801" s="316" t="s">
        <v>4191</v>
      </c>
      <c r="E9801" s="954" t="n">
        <v>0.5</v>
      </c>
      <c r="F9801" s="617" t="n">
        <v>316.4</v>
      </c>
      <c r="G9801" s="615" t="n">
        <f aca="false">E9801*F9801</f>
        <v>158.2</v>
      </c>
      <c r="H9801" s="606"/>
    </row>
    <row r="9802" customFormat="false" ht="15" hidden="false" customHeight="false" outlineLevel="0" collapsed="false">
      <c r="A9802" s="571"/>
      <c r="B9802" s="500"/>
      <c r="C9802" s="860" t="s">
        <v>5826</v>
      </c>
      <c r="D9802" s="316" t="s">
        <v>4191</v>
      </c>
      <c r="E9802" s="954" t="n">
        <v>0.01</v>
      </c>
      <c r="F9802" s="617" t="n">
        <v>366.25</v>
      </c>
      <c r="G9802" s="615" t="n">
        <f aca="false">E9802*F9802</f>
        <v>3.6625</v>
      </c>
      <c r="H9802" s="606"/>
    </row>
    <row r="9803" customFormat="false" ht="15" hidden="false" customHeight="false" outlineLevel="0" collapsed="false">
      <c r="A9803" s="571"/>
      <c r="B9803" s="500"/>
      <c r="C9803" s="860" t="s">
        <v>5820</v>
      </c>
      <c r="D9803" s="316" t="s">
        <v>4191</v>
      </c>
      <c r="E9803" s="954" t="n">
        <v>0.01</v>
      </c>
      <c r="F9803" s="617" t="n">
        <v>650</v>
      </c>
      <c r="G9803" s="615" t="n">
        <f aca="false">E9803*F9803</f>
        <v>6.5</v>
      </c>
      <c r="H9803" s="606"/>
    </row>
    <row r="9804" customFormat="false" ht="15" hidden="false" customHeight="false" outlineLevel="0" collapsed="false">
      <c r="A9804" s="571"/>
      <c r="B9804" s="500"/>
      <c r="C9804" s="860" t="s">
        <v>5859</v>
      </c>
      <c r="D9804" s="316" t="s">
        <v>4359</v>
      </c>
      <c r="E9804" s="661" t="n">
        <v>0.01</v>
      </c>
      <c r="F9804" s="617" t="n">
        <v>1995</v>
      </c>
      <c r="G9804" s="615" t="n">
        <f aca="false">E9804*F9804</f>
        <v>19.95</v>
      </c>
      <c r="H9804" s="606"/>
    </row>
    <row r="9805" customFormat="false" ht="15" hidden="false" customHeight="false" outlineLevel="0" collapsed="false">
      <c r="A9805" s="571"/>
      <c r="B9805" s="500"/>
      <c r="C9805" s="860" t="s">
        <v>4776</v>
      </c>
      <c r="D9805" s="316" t="s">
        <v>4359</v>
      </c>
      <c r="E9805" s="958" t="n">
        <v>0.1</v>
      </c>
      <c r="F9805" s="617" t="n">
        <v>800</v>
      </c>
      <c r="G9805" s="615" t="n">
        <f aca="false">E9805*F9805</f>
        <v>80</v>
      </c>
      <c r="H9805" s="606"/>
    </row>
    <row r="9806" customFormat="false" ht="15" hidden="false" customHeight="false" outlineLevel="0" collapsed="false">
      <c r="A9806" s="571"/>
      <c r="B9806" s="608" t="s">
        <v>4128</v>
      </c>
      <c r="C9806" s="964"/>
      <c r="D9806" s="965"/>
      <c r="E9806" s="968"/>
      <c r="F9806" s="967"/>
      <c r="G9806" s="613" t="n">
        <f aca="false">SUM(G9795:G9805)</f>
        <v>1727.4625</v>
      </c>
      <c r="H9806" s="391"/>
    </row>
    <row r="9807" customFormat="false" ht="30" hidden="false" customHeight="false" outlineLevel="0" collapsed="false">
      <c r="A9807" s="571" t="s">
        <v>1913</v>
      </c>
      <c r="B9807" s="433" t="s">
        <v>3692</v>
      </c>
      <c r="C9807" s="974" t="s">
        <v>5918</v>
      </c>
      <c r="D9807" s="316" t="s">
        <v>4133</v>
      </c>
      <c r="E9807" s="664" t="n">
        <v>0.001</v>
      </c>
      <c r="F9807" s="617" t="n">
        <v>35035</v>
      </c>
      <c r="G9807" s="615" t="n">
        <f aca="false">E9807*F9807</f>
        <v>35.035</v>
      </c>
      <c r="H9807" s="391"/>
    </row>
    <row r="9808" customFormat="false" ht="15" hidden="false" customHeight="false" outlineLevel="0" collapsed="false">
      <c r="A9808" s="571"/>
      <c r="B9808" s="328"/>
      <c r="C9808" s="860" t="s">
        <v>5921</v>
      </c>
      <c r="D9808" s="316" t="s">
        <v>4133</v>
      </c>
      <c r="E9808" s="664" t="n">
        <v>0.001</v>
      </c>
      <c r="F9808" s="617" t="n">
        <v>79000</v>
      </c>
      <c r="G9808" s="615" t="n">
        <f aca="false">E9808*F9808</f>
        <v>79</v>
      </c>
      <c r="H9808" s="606"/>
    </row>
    <row r="9809" customFormat="false" ht="15" hidden="false" customHeight="false" outlineLevel="0" collapsed="false">
      <c r="A9809" s="571"/>
      <c r="B9809" s="500"/>
      <c r="C9809" s="860" t="s">
        <v>5922</v>
      </c>
      <c r="D9809" s="316" t="s">
        <v>4133</v>
      </c>
      <c r="E9809" s="664" t="n">
        <v>0.001</v>
      </c>
      <c r="F9809" s="617" t="n">
        <v>68244</v>
      </c>
      <c r="G9809" s="615" t="n">
        <f aca="false">E9809*F9809</f>
        <v>68.244</v>
      </c>
      <c r="H9809" s="606"/>
    </row>
    <row r="9810" customFormat="false" ht="30" hidden="false" customHeight="false" outlineLevel="0" collapsed="false">
      <c r="A9810" s="571"/>
      <c r="B9810" s="608"/>
      <c r="C9810" s="860" t="s">
        <v>5923</v>
      </c>
      <c r="D9810" s="316" t="s">
        <v>5913</v>
      </c>
      <c r="E9810" s="664" t="n">
        <v>0.001</v>
      </c>
      <c r="F9810" s="617" t="n">
        <v>10500</v>
      </c>
      <c r="G9810" s="615" t="n">
        <f aca="false">E9810*F9810</f>
        <v>10.5</v>
      </c>
      <c r="H9810" s="391"/>
    </row>
    <row r="9811" customFormat="false" ht="15" hidden="false" customHeight="false" outlineLevel="0" collapsed="false">
      <c r="A9811" s="571"/>
      <c r="B9811" s="328"/>
      <c r="C9811" s="860" t="s">
        <v>5825</v>
      </c>
      <c r="D9811" s="316" t="s">
        <v>5452</v>
      </c>
      <c r="E9811" s="661" t="n">
        <v>0.01</v>
      </c>
      <c r="F9811" s="617" t="n">
        <v>8468</v>
      </c>
      <c r="G9811" s="615" t="n">
        <f aca="false">E9811*F9811</f>
        <v>84.68</v>
      </c>
      <c r="H9811" s="606"/>
    </row>
    <row r="9812" customFormat="false" ht="15" hidden="false" customHeight="false" outlineLevel="0" collapsed="false">
      <c r="A9812" s="571"/>
      <c r="B9812" s="500"/>
      <c r="C9812" s="860" t="s">
        <v>5824</v>
      </c>
      <c r="D9812" s="316" t="s">
        <v>4359</v>
      </c>
      <c r="E9812" s="661" t="n">
        <v>0.001</v>
      </c>
      <c r="F9812" s="617" t="n">
        <v>82115</v>
      </c>
      <c r="G9812" s="615" t="n">
        <f aca="false">E9812*F9812</f>
        <v>82.115</v>
      </c>
      <c r="H9812" s="606"/>
    </row>
    <row r="9813" customFormat="false" ht="15" hidden="false" customHeight="false" outlineLevel="0" collapsed="false">
      <c r="A9813" s="571"/>
      <c r="B9813" s="608"/>
      <c r="C9813" s="860" t="s">
        <v>5819</v>
      </c>
      <c r="D9813" s="316" t="s">
        <v>4191</v>
      </c>
      <c r="E9813" s="954" t="n">
        <v>0.01</v>
      </c>
      <c r="F9813" s="617" t="n">
        <v>316.4</v>
      </c>
      <c r="G9813" s="615" t="n">
        <f aca="false">E9813*F9813</f>
        <v>3.164</v>
      </c>
      <c r="H9813" s="391"/>
    </row>
    <row r="9814" customFormat="false" ht="15" hidden="false" customHeight="false" outlineLevel="0" collapsed="false">
      <c r="A9814" s="571"/>
      <c r="B9814" s="500"/>
      <c r="C9814" s="860" t="s">
        <v>5826</v>
      </c>
      <c r="D9814" s="316" t="s">
        <v>4191</v>
      </c>
      <c r="E9814" s="954" t="n">
        <v>0.01</v>
      </c>
      <c r="F9814" s="617" t="n">
        <v>366.25</v>
      </c>
      <c r="G9814" s="615" t="n">
        <f aca="false">E9814*F9814</f>
        <v>3.6625</v>
      </c>
      <c r="H9814" s="606"/>
    </row>
    <row r="9815" customFormat="false" ht="15" hidden="false" customHeight="false" outlineLevel="0" collapsed="false">
      <c r="A9815" s="571"/>
      <c r="B9815" s="500"/>
      <c r="C9815" s="860" t="s">
        <v>5820</v>
      </c>
      <c r="D9815" s="316" t="s">
        <v>4191</v>
      </c>
      <c r="E9815" s="954" t="n">
        <v>0.01</v>
      </c>
      <c r="F9815" s="617" t="n">
        <v>650</v>
      </c>
      <c r="G9815" s="615" t="n">
        <f aca="false">E9815*F9815</f>
        <v>6.5</v>
      </c>
      <c r="H9815" s="606"/>
    </row>
    <row r="9816" customFormat="false" ht="15" hidden="false" customHeight="false" outlineLevel="0" collapsed="false">
      <c r="A9816" s="571"/>
      <c r="B9816" s="608"/>
      <c r="C9816" s="860" t="s">
        <v>5859</v>
      </c>
      <c r="D9816" s="316" t="s">
        <v>4359</v>
      </c>
      <c r="E9816" s="661" t="n">
        <v>0.05</v>
      </c>
      <c r="F9816" s="617" t="n">
        <v>1995</v>
      </c>
      <c r="G9816" s="615" t="n">
        <f aca="false">E9816*F9816</f>
        <v>99.75</v>
      </c>
      <c r="H9816" s="391"/>
    </row>
    <row r="9817" customFormat="false" ht="15" hidden="false" customHeight="false" outlineLevel="0" collapsed="false">
      <c r="A9817" s="571"/>
      <c r="B9817" s="328"/>
      <c r="C9817" s="860" t="s">
        <v>5844</v>
      </c>
      <c r="D9817" s="316" t="s">
        <v>4191</v>
      </c>
      <c r="E9817" s="661" t="n">
        <v>0.002</v>
      </c>
      <c r="F9817" s="617" t="n">
        <v>74415</v>
      </c>
      <c r="G9817" s="615" t="n">
        <f aca="false">E9817*F9817</f>
        <v>148.83</v>
      </c>
      <c r="H9817" s="606"/>
    </row>
    <row r="9818" customFormat="false" ht="15" hidden="false" customHeight="false" outlineLevel="0" collapsed="false">
      <c r="A9818" s="571"/>
      <c r="B9818" s="500"/>
      <c r="C9818" s="860" t="s">
        <v>5816</v>
      </c>
      <c r="D9818" s="316" t="s">
        <v>4191</v>
      </c>
      <c r="E9818" s="661" t="n">
        <v>0.002</v>
      </c>
      <c r="F9818" s="681" t="n">
        <v>144704</v>
      </c>
      <c r="G9818" s="615" t="n">
        <f aca="false">E9818*F9818</f>
        <v>289.408</v>
      </c>
      <c r="H9818" s="606"/>
    </row>
    <row r="9819" customFormat="false" ht="15" hidden="false" customHeight="false" outlineLevel="0" collapsed="false">
      <c r="A9819" s="571"/>
      <c r="B9819" s="500"/>
      <c r="C9819" s="860" t="s">
        <v>4776</v>
      </c>
      <c r="D9819" s="316" t="s">
        <v>4359</v>
      </c>
      <c r="E9819" s="661" t="n">
        <v>0.2</v>
      </c>
      <c r="F9819" s="617" t="n">
        <v>800</v>
      </c>
      <c r="G9819" s="615" t="n">
        <f aca="false">E9819*F9819</f>
        <v>160</v>
      </c>
      <c r="H9819" s="606"/>
    </row>
    <row r="9820" customFormat="false" ht="15" hidden="false" customHeight="false" outlineLevel="0" collapsed="false">
      <c r="A9820" s="571"/>
      <c r="B9820" s="608" t="s">
        <v>4128</v>
      </c>
      <c r="C9820" s="964"/>
      <c r="D9820" s="965"/>
      <c r="E9820" s="968"/>
      <c r="F9820" s="967"/>
      <c r="G9820" s="613" t="n">
        <f aca="false">SUM(G9807:G9819)</f>
        <v>1070.8885</v>
      </c>
      <c r="H9820" s="391"/>
    </row>
    <row r="9821" customFormat="false" ht="30" hidden="false" customHeight="false" outlineLevel="0" collapsed="false">
      <c r="A9821" s="571" t="s">
        <v>1915</v>
      </c>
      <c r="B9821" s="433" t="s">
        <v>3693</v>
      </c>
      <c r="C9821" s="860" t="s">
        <v>5852</v>
      </c>
      <c r="D9821" s="316" t="s">
        <v>4133</v>
      </c>
      <c r="E9821" s="664" t="n">
        <v>0.005</v>
      </c>
      <c r="F9821" s="617" t="n">
        <v>39930</v>
      </c>
      <c r="G9821" s="615" t="n">
        <f aca="false">E9821*F9821</f>
        <v>199.65</v>
      </c>
      <c r="H9821" s="606"/>
    </row>
    <row r="9822" customFormat="false" ht="15" hidden="false" customHeight="false" outlineLevel="0" collapsed="false">
      <c r="A9822" s="571"/>
      <c r="B9822" s="500"/>
      <c r="C9822" s="860" t="s">
        <v>5855</v>
      </c>
      <c r="D9822" s="316" t="s">
        <v>4133</v>
      </c>
      <c r="E9822" s="664" t="n">
        <v>0.0005</v>
      </c>
      <c r="F9822" s="617" t="n">
        <v>203735</v>
      </c>
      <c r="G9822" s="615" t="n">
        <f aca="false">E9822*F9822</f>
        <v>101.8675</v>
      </c>
      <c r="H9822" s="606"/>
    </row>
    <row r="9823" customFormat="false" ht="15" hidden="false" customHeight="false" outlineLevel="0" collapsed="false">
      <c r="A9823" s="571"/>
      <c r="B9823" s="500"/>
      <c r="C9823" s="860" t="s">
        <v>5856</v>
      </c>
      <c r="D9823" s="316" t="s">
        <v>4359</v>
      </c>
      <c r="E9823" s="664" t="n">
        <v>0.002</v>
      </c>
      <c r="F9823" s="617" t="n">
        <v>168481</v>
      </c>
      <c r="G9823" s="615" t="n">
        <f aca="false">E9823*F9823</f>
        <v>336.962</v>
      </c>
      <c r="H9823" s="606"/>
    </row>
    <row r="9824" customFormat="false" ht="15" hidden="false" customHeight="false" outlineLevel="0" collapsed="false">
      <c r="A9824" s="571"/>
      <c r="B9824" s="608"/>
      <c r="C9824" s="860" t="s">
        <v>5824</v>
      </c>
      <c r="D9824" s="316" t="s">
        <v>5452</v>
      </c>
      <c r="E9824" s="664" t="n">
        <v>0.001</v>
      </c>
      <c r="F9824" s="617" t="n">
        <v>82115</v>
      </c>
      <c r="G9824" s="615" t="n">
        <f aca="false">E9824*F9824</f>
        <v>82.115</v>
      </c>
      <c r="H9824" s="391"/>
    </row>
    <row r="9825" customFormat="false" ht="15" hidden="false" customHeight="false" outlineLevel="0" collapsed="false">
      <c r="A9825" s="571"/>
      <c r="B9825" s="500"/>
      <c r="C9825" s="860" t="s">
        <v>5863</v>
      </c>
      <c r="D9825" s="316" t="s">
        <v>4133</v>
      </c>
      <c r="E9825" s="664" t="n">
        <v>0.001</v>
      </c>
      <c r="F9825" s="617" t="n">
        <v>46585</v>
      </c>
      <c r="G9825" s="615" t="n">
        <f aca="false">E9825*F9825</f>
        <v>46.585</v>
      </c>
      <c r="H9825" s="606"/>
    </row>
    <row r="9826" customFormat="false" ht="15" hidden="false" customHeight="false" outlineLevel="0" collapsed="false">
      <c r="A9826" s="571"/>
      <c r="B9826" s="500"/>
      <c r="C9826" s="860" t="s">
        <v>5859</v>
      </c>
      <c r="D9826" s="316" t="s">
        <v>4359</v>
      </c>
      <c r="E9826" s="968" t="n">
        <v>0.05</v>
      </c>
      <c r="F9826" s="617" t="n">
        <v>1995</v>
      </c>
      <c r="G9826" s="615" t="n">
        <f aca="false">E9826*F9826</f>
        <v>99.75</v>
      </c>
      <c r="H9826" s="606"/>
    </row>
    <row r="9827" customFormat="false" ht="15" hidden="false" customHeight="false" outlineLevel="0" collapsed="false">
      <c r="A9827" s="571"/>
      <c r="B9827" s="500"/>
      <c r="C9827" s="860" t="s">
        <v>5819</v>
      </c>
      <c r="D9827" s="316" t="s">
        <v>4191</v>
      </c>
      <c r="E9827" s="954" t="n">
        <v>0.001</v>
      </c>
      <c r="F9827" s="617" t="n">
        <v>316.4</v>
      </c>
      <c r="G9827" s="615" t="n">
        <f aca="false">E9827*F9827</f>
        <v>0.3164</v>
      </c>
      <c r="H9827" s="606"/>
    </row>
    <row r="9828" customFormat="false" ht="15" hidden="false" customHeight="false" outlineLevel="0" collapsed="false">
      <c r="A9828" s="571"/>
      <c r="B9828" s="500"/>
      <c r="C9828" s="860" t="s">
        <v>5826</v>
      </c>
      <c r="D9828" s="316" t="s">
        <v>4191</v>
      </c>
      <c r="E9828" s="954" t="n">
        <v>0.01</v>
      </c>
      <c r="F9828" s="617" t="n">
        <v>366.25</v>
      </c>
      <c r="G9828" s="615" t="n">
        <f aca="false">E9828*F9828</f>
        <v>3.6625</v>
      </c>
      <c r="H9828" s="606"/>
    </row>
    <row r="9829" customFormat="false" ht="15" hidden="false" customHeight="false" outlineLevel="0" collapsed="false">
      <c r="A9829" s="571"/>
      <c r="B9829" s="500"/>
      <c r="C9829" s="860" t="s">
        <v>5820</v>
      </c>
      <c r="D9829" s="316" t="s">
        <v>4191</v>
      </c>
      <c r="E9829" s="954" t="n">
        <v>0.01</v>
      </c>
      <c r="F9829" s="617" t="n">
        <v>650</v>
      </c>
      <c r="G9829" s="615" t="n">
        <f aca="false">E9829*F9829</f>
        <v>6.5</v>
      </c>
      <c r="H9829" s="606"/>
    </row>
    <row r="9830" customFormat="false" ht="15" hidden="false" customHeight="false" outlineLevel="0" collapsed="false">
      <c r="A9830" s="571"/>
      <c r="B9830" s="500"/>
      <c r="C9830" s="860" t="s">
        <v>5857</v>
      </c>
      <c r="D9830" s="316" t="s">
        <v>4359</v>
      </c>
      <c r="E9830" s="661" t="n">
        <v>0.001</v>
      </c>
      <c r="F9830" s="617" t="n">
        <v>175794</v>
      </c>
      <c r="G9830" s="615" t="n">
        <f aca="false">E9830*F9830</f>
        <v>175.794</v>
      </c>
      <c r="H9830" s="606"/>
    </row>
    <row r="9831" customFormat="false" ht="15" hidden="false" customHeight="false" outlineLevel="0" collapsed="false">
      <c r="A9831" s="571"/>
      <c r="B9831" s="608"/>
      <c r="C9831" s="860" t="s">
        <v>5861</v>
      </c>
      <c r="D9831" s="316" t="s">
        <v>5452</v>
      </c>
      <c r="E9831" s="660" t="n">
        <v>0.001</v>
      </c>
      <c r="F9831" s="617" t="n">
        <v>150375</v>
      </c>
      <c r="G9831" s="615" t="n">
        <f aca="false">E9831*F9831</f>
        <v>150.375</v>
      </c>
      <c r="H9831" s="391"/>
    </row>
    <row r="9832" customFormat="false" ht="15" hidden="false" customHeight="false" outlineLevel="0" collapsed="false">
      <c r="A9832" s="571"/>
      <c r="B9832" s="328"/>
      <c r="C9832" s="860" t="s">
        <v>4515</v>
      </c>
      <c r="D9832" s="316" t="s">
        <v>4133</v>
      </c>
      <c r="E9832" s="661" t="n">
        <v>0.1</v>
      </c>
      <c r="F9832" s="681" t="n">
        <v>350</v>
      </c>
      <c r="G9832" s="615" t="n">
        <f aca="false">E9832*F9832</f>
        <v>35</v>
      </c>
      <c r="H9832" s="606"/>
    </row>
    <row r="9833" customFormat="false" ht="15" hidden="false" customHeight="false" outlineLevel="0" collapsed="false">
      <c r="A9833" s="571"/>
      <c r="B9833" s="500"/>
      <c r="C9833" s="860" t="s">
        <v>4776</v>
      </c>
      <c r="D9833" s="316" t="s">
        <v>4359</v>
      </c>
      <c r="E9833" s="661" t="n">
        <v>0.1</v>
      </c>
      <c r="F9833" s="617" t="n">
        <v>800</v>
      </c>
      <c r="G9833" s="615" t="n">
        <f aca="false">E9833*F9833</f>
        <v>80</v>
      </c>
      <c r="H9833" s="606"/>
    </row>
    <row r="9834" customFormat="false" ht="15" hidden="false" customHeight="false" outlineLevel="0" collapsed="false">
      <c r="A9834" s="571"/>
      <c r="B9834" s="608" t="s">
        <v>4128</v>
      </c>
      <c r="C9834" s="964"/>
      <c r="D9834" s="965"/>
      <c r="E9834" s="968"/>
      <c r="F9834" s="967"/>
      <c r="G9834" s="613" t="n">
        <f aca="false">SUM(G9821:G9833)</f>
        <v>1318.5774</v>
      </c>
      <c r="H9834" s="391"/>
    </row>
    <row r="9835" customFormat="false" ht="30" hidden="false" customHeight="false" outlineLevel="0" collapsed="false">
      <c r="A9835" s="571" t="s">
        <v>1917</v>
      </c>
      <c r="B9835" s="433" t="s">
        <v>3694</v>
      </c>
      <c r="C9835" s="860" t="s">
        <v>5852</v>
      </c>
      <c r="D9835" s="316" t="s">
        <v>4133</v>
      </c>
      <c r="E9835" s="664" t="n">
        <v>0.002</v>
      </c>
      <c r="F9835" s="617" t="n">
        <v>39930</v>
      </c>
      <c r="G9835" s="615" t="n">
        <f aca="false">E9835*F9835</f>
        <v>79.86</v>
      </c>
      <c r="H9835" s="606"/>
    </row>
    <row r="9836" customFormat="false" ht="15" hidden="false" customHeight="false" outlineLevel="0" collapsed="false">
      <c r="A9836" s="571"/>
      <c r="B9836" s="500"/>
      <c r="C9836" s="860" t="s">
        <v>5855</v>
      </c>
      <c r="D9836" s="316" t="s">
        <v>4133</v>
      </c>
      <c r="E9836" s="664" t="n">
        <v>0.0009</v>
      </c>
      <c r="F9836" s="617" t="n">
        <v>203735</v>
      </c>
      <c r="G9836" s="615" t="n">
        <f aca="false">E9836*F9836</f>
        <v>183.3615</v>
      </c>
      <c r="H9836" s="606"/>
    </row>
    <row r="9837" customFormat="false" ht="15" hidden="false" customHeight="false" outlineLevel="0" collapsed="false">
      <c r="A9837" s="571"/>
      <c r="B9837" s="500"/>
      <c r="C9837" s="860" t="s">
        <v>5856</v>
      </c>
      <c r="D9837" s="316" t="s">
        <v>4359</v>
      </c>
      <c r="E9837" s="664" t="n">
        <v>0.0009</v>
      </c>
      <c r="F9837" s="617" t="n">
        <v>168481</v>
      </c>
      <c r="G9837" s="615" t="n">
        <f aca="false">E9837*F9837</f>
        <v>151.6329</v>
      </c>
      <c r="H9837" s="606"/>
    </row>
    <row r="9838" customFormat="false" ht="15" hidden="false" customHeight="false" outlineLevel="0" collapsed="false">
      <c r="A9838" s="571"/>
      <c r="B9838" s="500"/>
      <c r="C9838" s="860" t="s">
        <v>5824</v>
      </c>
      <c r="D9838" s="316" t="s">
        <v>4359</v>
      </c>
      <c r="E9838" s="664" t="n">
        <v>0.001</v>
      </c>
      <c r="F9838" s="617" t="n">
        <v>82115</v>
      </c>
      <c r="G9838" s="615" t="n">
        <f aca="false">E9838*F9838</f>
        <v>82.115</v>
      </c>
      <c r="H9838" s="606"/>
    </row>
    <row r="9839" customFormat="false" ht="15" hidden="false" customHeight="false" outlineLevel="0" collapsed="false">
      <c r="A9839" s="571"/>
      <c r="B9839" s="500"/>
      <c r="C9839" s="860" t="s">
        <v>5863</v>
      </c>
      <c r="D9839" s="316" t="s">
        <v>4133</v>
      </c>
      <c r="E9839" s="664" t="n">
        <v>0.001</v>
      </c>
      <c r="F9839" s="617" t="n">
        <v>46585</v>
      </c>
      <c r="G9839" s="615" t="n">
        <f aca="false">E9839*F9839</f>
        <v>46.585</v>
      </c>
      <c r="H9839" s="606"/>
    </row>
    <row r="9840" customFormat="false" ht="15" hidden="false" customHeight="false" outlineLevel="0" collapsed="false">
      <c r="A9840" s="571"/>
      <c r="B9840" s="500"/>
      <c r="C9840" s="860" t="s">
        <v>5859</v>
      </c>
      <c r="D9840" s="316" t="s">
        <v>4359</v>
      </c>
      <c r="E9840" s="975" t="n">
        <v>0.01</v>
      </c>
      <c r="F9840" s="617" t="n">
        <v>1995</v>
      </c>
      <c r="G9840" s="615" t="n">
        <f aca="false">E9840*F9840</f>
        <v>19.95</v>
      </c>
      <c r="H9840" s="606"/>
    </row>
    <row r="9841" customFormat="false" ht="15" hidden="false" customHeight="false" outlineLevel="0" collapsed="false">
      <c r="A9841" s="571"/>
      <c r="B9841" s="500"/>
      <c r="C9841" s="860" t="s">
        <v>5819</v>
      </c>
      <c r="D9841" s="316" t="s">
        <v>4191</v>
      </c>
      <c r="E9841" s="954" t="n">
        <v>0.01</v>
      </c>
      <c r="F9841" s="617" t="n">
        <v>316.4</v>
      </c>
      <c r="G9841" s="615" t="n">
        <f aca="false">E9841*F9841</f>
        <v>3.164</v>
      </c>
      <c r="H9841" s="606"/>
    </row>
    <row r="9842" customFormat="false" ht="15" hidden="false" customHeight="false" outlineLevel="0" collapsed="false">
      <c r="A9842" s="571"/>
      <c r="B9842" s="500"/>
      <c r="C9842" s="860" t="s">
        <v>5826</v>
      </c>
      <c r="D9842" s="316" t="s">
        <v>4191</v>
      </c>
      <c r="E9842" s="954" t="n">
        <v>0.01</v>
      </c>
      <c r="F9842" s="617" t="n">
        <v>366.25</v>
      </c>
      <c r="G9842" s="615" t="n">
        <f aca="false">E9842*F9842</f>
        <v>3.6625</v>
      </c>
      <c r="H9842" s="606"/>
    </row>
    <row r="9843" customFormat="false" ht="15" hidden="false" customHeight="false" outlineLevel="0" collapsed="false">
      <c r="A9843" s="571"/>
      <c r="B9843" s="500"/>
      <c r="C9843" s="860" t="s">
        <v>5820</v>
      </c>
      <c r="D9843" s="316" t="s">
        <v>4191</v>
      </c>
      <c r="E9843" s="954" t="n">
        <v>0.001</v>
      </c>
      <c r="F9843" s="617" t="n">
        <v>650</v>
      </c>
      <c r="G9843" s="615" t="n">
        <f aca="false">E9843*F9843</f>
        <v>0.65</v>
      </c>
      <c r="H9843" s="606"/>
    </row>
    <row r="9844" customFormat="false" ht="15" hidden="false" customHeight="false" outlineLevel="0" collapsed="false">
      <c r="A9844" s="571"/>
      <c r="B9844" s="500"/>
      <c r="C9844" s="860" t="s">
        <v>5857</v>
      </c>
      <c r="D9844" s="316" t="s">
        <v>4359</v>
      </c>
      <c r="E9844" s="661" t="n">
        <v>0.0009</v>
      </c>
      <c r="F9844" s="617" t="n">
        <v>175794</v>
      </c>
      <c r="G9844" s="615" t="n">
        <f aca="false">E9844*F9844</f>
        <v>158.2146</v>
      </c>
      <c r="H9844" s="912"/>
    </row>
    <row r="9845" customFormat="false" ht="15" hidden="false" customHeight="false" outlineLevel="0" collapsed="false">
      <c r="A9845" s="571"/>
      <c r="B9845" s="328"/>
      <c r="C9845" s="860" t="s">
        <v>5861</v>
      </c>
      <c r="D9845" s="316" t="s">
        <v>5452</v>
      </c>
      <c r="E9845" s="660" t="n">
        <v>0.001</v>
      </c>
      <c r="F9845" s="617" t="n">
        <v>150375</v>
      </c>
      <c r="G9845" s="615" t="n">
        <f aca="false">E9845*F9845</f>
        <v>150.375</v>
      </c>
      <c r="H9845" s="606"/>
    </row>
    <row r="9846" customFormat="false" ht="15" hidden="false" customHeight="false" outlineLevel="0" collapsed="false">
      <c r="A9846" s="571"/>
      <c r="B9846" s="500"/>
      <c r="C9846" s="860" t="s">
        <v>4515</v>
      </c>
      <c r="D9846" s="316" t="s">
        <v>4133</v>
      </c>
      <c r="E9846" s="661" t="n">
        <v>0.1</v>
      </c>
      <c r="F9846" s="681" t="n">
        <v>350</v>
      </c>
      <c r="G9846" s="615" t="n">
        <f aca="false">E9846*F9846</f>
        <v>35</v>
      </c>
      <c r="H9846" s="606"/>
    </row>
    <row r="9847" customFormat="false" ht="15" hidden="false" customHeight="false" outlineLevel="0" collapsed="false">
      <c r="A9847" s="571"/>
      <c r="B9847" s="500"/>
      <c r="C9847" s="860" t="s">
        <v>5816</v>
      </c>
      <c r="D9847" s="316" t="s">
        <v>4191</v>
      </c>
      <c r="E9847" s="664" t="n">
        <v>0.0009</v>
      </c>
      <c r="F9847" s="681" t="n">
        <v>144704</v>
      </c>
      <c r="G9847" s="615" t="n">
        <f aca="false">E9847*F9847</f>
        <v>130.2336</v>
      </c>
      <c r="H9847" s="606"/>
    </row>
    <row r="9848" customFormat="false" ht="15" hidden="false" customHeight="false" outlineLevel="0" collapsed="false">
      <c r="A9848" s="571"/>
      <c r="B9848" s="500"/>
      <c r="C9848" s="860" t="s">
        <v>4776</v>
      </c>
      <c r="D9848" s="316" t="s">
        <v>4359</v>
      </c>
      <c r="E9848" s="661" t="n">
        <v>0.1</v>
      </c>
      <c r="F9848" s="617" t="n">
        <v>800</v>
      </c>
      <c r="G9848" s="615" t="n">
        <v>7.5</v>
      </c>
      <c r="H9848" s="606"/>
    </row>
    <row r="9849" customFormat="false" ht="15" hidden="false" customHeight="false" outlineLevel="0" collapsed="false">
      <c r="A9849" s="571"/>
      <c r="B9849" s="608" t="s">
        <v>4128</v>
      </c>
      <c r="C9849" s="718"/>
      <c r="D9849" s="610"/>
      <c r="E9849" s="622"/>
      <c r="F9849" s="612"/>
      <c r="G9849" s="613" t="n">
        <f aca="false">SUM(G9835:G9848)</f>
        <v>1052.3041</v>
      </c>
      <c r="H9849" s="391"/>
    </row>
    <row r="9850" customFormat="false" ht="30" hidden="false" customHeight="false" outlineLevel="0" collapsed="false">
      <c r="A9850" s="571" t="s">
        <v>1919</v>
      </c>
      <c r="B9850" s="433" t="s">
        <v>5924</v>
      </c>
      <c r="C9850" s="860" t="s">
        <v>5880</v>
      </c>
      <c r="D9850" s="316" t="s">
        <v>4133</v>
      </c>
      <c r="E9850" s="664" t="n">
        <v>0.005</v>
      </c>
      <c r="F9850" s="617" t="n">
        <v>45799</v>
      </c>
      <c r="G9850" s="615" t="n">
        <f aca="false">E9850*F9850</f>
        <v>228.995</v>
      </c>
      <c r="H9850" s="606"/>
    </row>
    <row r="9851" customFormat="false" ht="15" hidden="false" customHeight="false" outlineLevel="0" collapsed="false">
      <c r="A9851" s="571"/>
      <c r="B9851" s="500"/>
      <c r="C9851" s="860" t="s">
        <v>5824</v>
      </c>
      <c r="D9851" s="316" t="s">
        <v>4359</v>
      </c>
      <c r="E9851" s="661" t="n">
        <v>0.005</v>
      </c>
      <c r="F9851" s="617" t="n">
        <v>82115</v>
      </c>
      <c r="G9851" s="615" t="n">
        <f aca="false">E9851*F9851</f>
        <v>410.575</v>
      </c>
      <c r="H9851" s="606"/>
    </row>
    <row r="9852" customFormat="false" ht="15" hidden="false" customHeight="false" outlineLevel="0" collapsed="false">
      <c r="A9852" s="571"/>
      <c r="B9852" s="500"/>
      <c r="C9852" s="860" t="s">
        <v>5819</v>
      </c>
      <c r="D9852" s="316" t="s">
        <v>4191</v>
      </c>
      <c r="E9852" s="954" t="n">
        <v>0.01</v>
      </c>
      <c r="F9852" s="617" t="n">
        <v>316.4</v>
      </c>
      <c r="G9852" s="615" t="n">
        <f aca="false">E9852*F9852</f>
        <v>3.164</v>
      </c>
      <c r="H9852" s="606"/>
    </row>
    <row r="9853" customFormat="false" ht="15" hidden="false" customHeight="false" outlineLevel="0" collapsed="false">
      <c r="A9853" s="571"/>
      <c r="B9853" s="500"/>
      <c r="C9853" s="860" t="s">
        <v>5820</v>
      </c>
      <c r="D9853" s="316" t="s">
        <v>4191</v>
      </c>
      <c r="E9853" s="954" t="n">
        <v>0.01</v>
      </c>
      <c r="F9853" s="617" t="n">
        <v>650</v>
      </c>
      <c r="G9853" s="615" t="n">
        <f aca="false">E9853*F9853</f>
        <v>6.5</v>
      </c>
      <c r="H9853" s="606"/>
    </row>
    <row r="9854" customFormat="false" ht="15" hidden="false" customHeight="false" outlineLevel="0" collapsed="false">
      <c r="A9854" s="571"/>
      <c r="B9854" s="500"/>
      <c r="C9854" s="860" t="s">
        <v>5861</v>
      </c>
      <c r="D9854" s="316" t="s">
        <v>5452</v>
      </c>
      <c r="E9854" s="660" t="n">
        <v>0.001</v>
      </c>
      <c r="F9854" s="617" t="n">
        <v>150375</v>
      </c>
      <c r="G9854" s="615" t="n">
        <f aca="false">E9854*F9854</f>
        <v>150.375</v>
      </c>
      <c r="H9854" s="606"/>
    </row>
    <row r="9855" customFormat="false" ht="15" hidden="false" customHeight="false" outlineLevel="0" collapsed="false">
      <c r="A9855" s="571"/>
      <c r="B9855" s="500"/>
      <c r="C9855" s="860" t="s">
        <v>4776</v>
      </c>
      <c r="D9855" s="316" t="s">
        <v>4528</v>
      </c>
      <c r="E9855" s="661" t="n">
        <v>0.3</v>
      </c>
      <c r="F9855" s="617" t="n">
        <v>800</v>
      </c>
      <c r="G9855" s="615" t="n">
        <f aca="false">E9855*F9855</f>
        <v>240</v>
      </c>
      <c r="H9855" s="606"/>
    </row>
    <row r="9856" customFormat="false" ht="15" hidden="false" customHeight="false" outlineLevel="0" collapsed="false">
      <c r="A9856" s="571"/>
      <c r="B9856" s="608" t="s">
        <v>4128</v>
      </c>
      <c r="C9856" s="860"/>
      <c r="D9856" s="316"/>
      <c r="E9856" s="968"/>
      <c r="F9856" s="617"/>
      <c r="G9856" s="613" t="n">
        <f aca="false">SUM(G9850:G9855)</f>
        <v>1039.609</v>
      </c>
      <c r="H9856" s="391"/>
    </row>
    <row r="9857" customFormat="false" ht="30" hidden="false" customHeight="false" outlineLevel="0" collapsed="false">
      <c r="A9857" s="571" t="s">
        <v>1921</v>
      </c>
      <c r="B9857" s="433" t="s">
        <v>3696</v>
      </c>
      <c r="C9857" s="860" t="s">
        <v>5880</v>
      </c>
      <c r="D9857" s="316" t="s">
        <v>4133</v>
      </c>
      <c r="E9857" s="664" t="n">
        <v>0.002</v>
      </c>
      <c r="F9857" s="617" t="n">
        <v>45799</v>
      </c>
      <c r="G9857" s="615" t="n">
        <f aca="false">E9857*F9857</f>
        <v>91.598</v>
      </c>
      <c r="H9857" s="606"/>
    </row>
    <row r="9858" customFormat="false" ht="15" hidden="false" customHeight="false" outlineLevel="0" collapsed="false">
      <c r="A9858" s="571"/>
      <c r="B9858" s="500"/>
      <c r="C9858" s="860" t="s">
        <v>5824</v>
      </c>
      <c r="D9858" s="316" t="s">
        <v>4359</v>
      </c>
      <c r="E9858" s="664" t="n">
        <v>0.002</v>
      </c>
      <c r="F9858" s="617" t="n">
        <v>82115</v>
      </c>
      <c r="G9858" s="615" t="n">
        <f aca="false">E9858*F9858</f>
        <v>164.23</v>
      </c>
      <c r="H9858" s="606"/>
    </row>
    <row r="9859" customFormat="false" ht="15" hidden="false" customHeight="false" outlineLevel="0" collapsed="false">
      <c r="A9859" s="571"/>
      <c r="B9859" s="500"/>
      <c r="C9859" s="860" t="s">
        <v>5819</v>
      </c>
      <c r="D9859" s="316" t="s">
        <v>4191</v>
      </c>
      <c r="E9859" s="954" t="n">
        <v>0.01</v>
      </c>
      <c r="F9859" s="617" t="n">
        <v>316.4</v>
      </c>
      <c r="G9859" s="615" t="n">
        <f aca="false">E9859*F9859</f>
        <v>3.164</v>
      </c>
      <c r="H9859" s="606"/>
    </row>
    <row r="9860" customFormat="false" ht="15" hidden="false" customHeight="false" outlineLevel="0" collapsed="false">
      <c r="A9860" s="571"/>
      <c r="B9860" s="500"/>
      <c r="C9860" s="860" t="s">
        <v>5820</v>
      </c>
      <c r="D9860" s="316" t="s">
        <v>4191</v>
      </c>
      <c r="E9860" s="954" t="n">
        <v>0.01</v>
      </c>
      <c r="F9860" s="617" t="n">
        <v>650</v>
      </c>
      <c r="G9860" s="615" t="n">
        <f aca="false">E9860*F9860</f>
        <v>6.5</v>
      </c>
      <c r="H9860" s="606"/>
    </row>
    <row r="9861" customFormat="false" ht="15" hidden="false" customHeight="false" outlineLevel="0" collapsed="false">
      <c r="A9861" s="571"/>
      <c r="B9861" s="500"/>
      <c r="C9861" s="860" t="s">
        <v>5861</v>
      </c>
      <c r="D9861" s="316" t="s">
        <v>5452</v>
      </c>
      <c r="E9861" s="660" t="n">
        <v>0.001</v>
      </c>
      <c r="F9861" s="617" t="n">
        <v>150375</v>
      </c>
      <c r="G9861" s="615" t="n">
        <f aca="false">E9861*F9861</f>
        <v>150.375</v>
      </c>
      <c r="H9861" s="606"/>
    </row>
    <row r="9862" customFormat="false" ht="15" hidden="false" customHeight="false" outlineLevel="0" collapsed="false">
      <c r="A9862" s="571"/>
      <c r="B9862" s="500"/>
      <c r="C9862" s="860" t="s">
        <v>5816</v>
      </c>
      <c r="D9862" s="316" t="s">
        <v>4191</v>
      </c>
      <c r="E9862" s="661" t="n">
        <v>0.001</v>
      </c>
      <c r="F9862" s="681" t="n">
        <v>144704</v>
      </c>
      <c r="G9862" s="615" t="n">
        <f aca="false">E9862*F9862</f>
        <v>144.704</v>
      </c>
      <c r="H9862" s="606"/>
    </row>
    <row r="9863" customFormat="false" ht="15" hidden="false" customHeight="false" outlineLevel="0" collapsed="false">
      <c r="A9863" s="571"/>
      <c r="B9863" s="500"/>
      <c r="C9863" s="860" t="s">
        <v>4776</v>
      </c>
      <c r="D9863" s="316" t="s">
        <v>4528</v>
      </c>
      <c r="E9863" s="968" t="n">
        <v>0.1</v>
      </c>
      <c r="F9863" s="617" t="n">
        <v>800</v>
      </c>
      <c r="G9863" s="615" t="n">
        <f aca="false">E9863*F9863</f>
        <v>80</v>
      </c>
      <c r="H9863" s="606"/>
    </row>
    <row r="9864" customFormat="false" ht="15" hidden="false" customHeight="false" outlineLevel="0" collapsed="false">
      <c r="A9864" s="571"/>
      <c r="B9864" s="608" t="s">
        <v>4128</v>
      </c>
      <c r="C9864" s="709"/>
      <c r="D9864" s="606"/>
      <c r="E9864" s="622"/>
      <c r="F9864" s="361"/>
      <c r="G9864" s="613" t="n">
        <f aca="false">SUM(G9857:G9863)</f>
        <v>640.571</v>
      </c>
      <c r="H9864" s="391"/>
    </row>
    <row r="9865" customFormat="false" ht="15" hidden="false" customHeight="false" outlineLevel="0" collapsed="false">
      <c r="A9865" s="350" t="s">
        <v>1922</v>
      </c>
      <c r="B9865" s="346" t="s">
        <v>3697</v>
      </c>
      <c r="C9865" s="601"/>
      <c r="D9865" s="600"/>
      <c r="E9865" s="843"/>
      <c r="F9865" s="364"/>
      <c r="G9865" s="713"/>
      <c r="H9865" s="600"/>
    </row>
    <row r="9866" customFormat="false" ht="30" hidden="false" customHeight="false" outlineLevel="0" collapsed="false">
      <c r="A9866" s="571" t="s">
        <v>1924</v>
      </c>
      <c r="B9866" s="433" t="s">
        <v>3698</v>
      </c>
      <c r="C9866" s="860" t="s">
        <v>5925</v>
      </c>
      <c r="D9866" s="316" t="s">
        <v>4133</v>
      </c>
      <c r="E9866" s="664" t="n">
        <v>0.001</v>
      </c>
      <c r="F9866" s="617" t="n">
        <v>67687</v>
      </c>
      <c r="G9866" s="615" t="n">
        <f aca="false">E9866*F9866</f>
        <v>67.687</v>
      </c>
      <c r="H9866" s="606"/>
    </row>
    <row r="9867" customFormat="false" ht="15" hidden="false" customHeight="false" outlineLevel="0" collapsed="false">
      <c r="A9867" s="571"/>
      <c r="B9867" s="500"/>
      <c r="C9867" s="860" t="s">
        <v>5926</v>
      </c>
      <c r="D9867" s="316" t="s">
        <v>4133</v>
      </c>
      <c r="E9867" s="664" t="n">
        <v>0.001</v>
      </c>
      <c r="F9867" s="617" t="n">
        <v>44352</v>
      </c>
      <c r="G9867" s="615" t="n">
        <f aca="false">E9867*F9867</f>
        <v>44.352</v>
      </c>
      <c r="H9867" s="606"/>
    </row>
    <row r="9868" customFormat="false" ht="15" hidden="false" customHeight="false" outlineLevel="0" collapsed="false">
      <c r="A9868" s="571"/>
      <c r="B9868" s="500"/>
      <c r="C9868" s="860" t="s">
        <v>5823</v>
      </c>
      <c r="D9868" s="316" t="s">
        <v>4133</v>
      </c>
      <c r="E9868" s="664" t="n">
        <v>0.001</v>
      </c>
      <c r="F9868" s="617" t="n">
        <v>69797</v>
      </c>
      <c r="G9868" s="615" t="n">
        <f aca="false">E9868*F9868</f>
        <v>69.797</v>
      </c>
      <c r="H9868" s="606"/>
    </row>
    <row r="9869" customFormat="false" ht="15" hidden="false" customHeight="false" outlineLevel="0" collapsed="false">
      <c r="A9869" s="571"/>
      <c r="B9869" s="500"/>
      <c r="C9869" s="860" t="s">
        <v>5824</v>
      </c>
      <c r="D9869" s="316" t="s">
        <v>5452</v>
      </c>
      <c r="E9869" s="664" t="n">
        <v>0.001</v>
      </c>
      <c r="F9869" s="617" t="n">
        <v>82115</v>
      </c>
      <c r="G9869" s="615" t="n">
        <f aca="false">E9869*F9869</f>
        <v>82.115</v>
      </c>
      <c r="H9869" s="606"/>
    </row>
    <row r="9870" customFormat="false" ht="15" hidden="false" customHeight="false" outlineLevel="0" collapsed="false">
      <c r="A9870" s="571"/>
      <c r="B9870" s="500"/>
      <c r="C9870" s="860" t="s">
        <v>5825</v>
      </c>
      <c r="D9870" s="316" t="s">
        <v>4191</v>
      </c>
      <c r="E9870" s="661" t="n">
        <v>0.01</v>
      </c>
      <c r="F9870" s="617" t="n">
        <v>8468</v>
      </c>
      <c r="G9870" s="615" t="n">
        <f aca="false">E9870*F9870</f>
        <v>84.68</v>
      </c>
      <c r="H9870" s="606"/>
    </row>
    <row r="9871" customFormat="false" ht="15" hidden="false" customHeight="false" outlineLevel="0" collapsed="false">
      <c r="A9871" s="571"/>
      <c r="B9871" s="500"/>
      <c r="C9871" s="860" t="s">
        <v>5927</v>
      </c>
      <c r="D9871" s="316" t="s">
        <v>4191</v>
      </c>
      <c r="E9871" s="660" t="n">
        <v>1</v>
      </c>
      <c r="F9871" s="617" t="n">
        <v>110</v>
      </c>
      <c r="G9871" s="615" t="n">
        <f aca="false">E9871*F9871</f>
        <v>110</v>
      </c>
      <c r="H9871" s="606"/>
    </row>
    <row r="9872" customFormat="false" ht="15" hidden="false" customHeight="false" outlineLevel="0" collapsed="false">
      <c r="A9872" s="571"/>
      <c r="B9872" s="500"/>
      <c r="C9872" s="860" t="s">
        <v>5819</v>
      </c>
      <c r="D9872" s="316" t="s">
        <v>4191</v>
      </c>
      <c r="E9872" s="954" t="n">
        <v>0.1</v>
      </c>
      <c r="F9872" s="617" t="n">
        <v>316.4</v>
      </c>
      <c r="G9872" s="615" t="n">
        <f aca="false">E9872*F9872</f>
        <v>31.64</v>
      </c>
      <c r="H9872" s="606"/>
    </row>
    <row r="9873" customFormat="false" ht="15" hidden="false" customHeight="false" outlineLevel="0" collapsed="false">
      <c r="A9873" s="571"/>
      <c r="B9873" s="500"/>
      <c r="C9873" s="860" t="s">
        <v>5826</v>
      </c>
      <c r="D9873" s="316" t="s">
        <v>4191</v>
      </c>
      <c r="E9873" s="954" t="n">
        <v>0.1</v>
      </c>
      <c r="F9873" s="617" t="n">
        <v>366.25</v>
      </c>
      <c r="G9873" s="615" t="n">
        <f aca="false">E9873*F9873</f>
        <v>36.625</v>
      </c>
      <c r="H9873" s="606"/>
    </row>
    <row r="9874" customFormat="false" ht="15" hidden="false" customHeight="false" outlineLevel="0" collapsed="false">
      <c r="A9874" s="571"/>
      <c r="B9874" s="500"/>
      <c r="C9874" s="860" t="s">
        <v>5859</v>
      </c>
      <c r="D9874" s="316" t="s">
        <v>4359</v>
      </c>
      <c r="E9874" s="958" t="n">
        <v>0.2</v>
      </c>
      <c r="F9874" s="617" t="n">
        <v>1995</v>
      </c>
      <c r="G9874" s="615" t="n">
        <f aca="false">E9874*F9874</f>
        <v>399</v>
      </c>
      <c r="H9874" s="606"/>
    </row>
    <row r="9875" customFormat="false" ht="15" hidden="false" customHeight="false" outlineLevel="0" collapsed="false">
      <c r="A9875" s="571"/>
      <c r="B9875" s="500"/>
      <c r="C9875" s="860" t="s">
        <v>4515</v>
      </c>
      <c r="D9875" s="316" t="s">
        <v>4133</v>
      </c>
      <c r="E9875" s="661" t="n">
        <v>0.1</v>
      </c>
      <c r="F9875" s="681" t="n">
        <v>350</v>
      </c>
      <c r="G9875" s="615" t="n">
        <f aca="false">E9875*F9875</f>
        <v>35</v>
      </c>
      <c r="H9875" s="606"/>
    </row>
    <row r="9876" customFormat="false" ht="15" hidden="false" customHeight="false" outlineLevel="0" collapsed="false">
      <c r="A9876" s="571"/>
      <c r="B9876" s="500"/>
      <c r="C9876" s="860" t="s">
        <v>4776</v>
      </c>
      <c r="D9876" s="316" t="s">
        <v>4359</v>
      </c>
      <c r="E9876" s="661" t="n">
        <v>0.1</v>
      </c>
      <c r="F9876" s="617" t="n">
        <v>800</v>
      </c>
      <c r="G9876" s="615" t="n">
        <f aca="false">E9876*F9876</f>
        <v>80</v>
      </c>
      <c r="H9876" s="606"/>
    </row>
    <row r="9877" customFormat="false" ht="15" hidden="false" customHeight="false" outlineLevel="0" collapsed="false">
      <c r="A9877" s="571"/>
      <c r="B9877" s="608" t="s">
        <v>4128</v>
      </c>
      <c r="C9877" s="860"/>
      <c r="D9877" s="316"/>
      <c r="E9877" s="968"/>
      <c r="F9877" s="617"/>
      <c r="G9877" s="613" t="n">
        <f aca="false">SUM(G9866:G9876)</f>
        <v>1040.896</v>
      </c>
      <c r="H9877" s="391"/>
    </row>
    <row r="9878" customFormat="false" ht="30" hidden="false" customHeight="false" outlineLevel="0" collapsed="false">
      <c r="A9878" s="571" t="s">
        <v>1926</v>
      </c>
      <c r="B9878" s="433" t="s">
        <v>3699</v>
      </c>
      <c r="C9878" s="855" t="s">
        <v>5854</v>
      </c>
      <c r="D9878" s="316" t="s">
        <v>4133</v>
      </c>
      <c r="E9878" s="664" t="n">
        <v>0.001</v>
      </c>
      <c r="F9878" s="617" t="n">
        <v>33792</v>
      </c>
      <c r="G9878" s="615" t="n">
        <f aca="false">E9878*F9878</f>
        <v>33.792</v>
      </c>
      <c r="H9878" s="606"/>
    </row>
    <row r="9879" customFormat="false" ht="15" hidden="false" customHeight="false" outlineLevel="0" collapsed="false">
      <c r="A9879" s="571"/>
      <c r="B9879" s="500"/>
      <c r="C9879" s="860" t="s">
        <v>5855</v>
      </c>
      <c r="D9879" s="316" t="s">
        <v>4133</v>
      </c>
      <c r="E9879" s="664" t="n">
        <v>0.001</v>
      </c>
      <c r="F9879" s="617" t="n">
        <v>203735</v>
      </c>
      <c r="G9879" s="615" t="n">
        <f aca="false">E9879*F9879</f>
        <v>203.735</v>
      </c>
      <c r="H9879" s="606"/>
    </row>
    <row r="9880" customFormat="false" ht="15" hidden="false" customHeight="false" outlineLevel="0" collapsed="false">
      <c r="A9880" s="571"/>
      <c r="B9880" s="500"/>
      <c r="C9880" s="860" t="s">
        <v>5836</v>
      </c>
      <c r="D9880" s="316" t="s">
        <v>4133</v>
      </c>
      <c r="E9880" s="664" t="n">
        <v>0.001</v>
      </c>
      <c r="F9880" s="617" t="n">
        <v>10500</v>
      </c>
      <c r="G9880" s="615" t="n">
        <f aca="false">E9880*F9880</f>
        <v>10.5</v>
      </c>
      <c r="H9880" s="606"/>
    </row>
    <row r="9881" customFormat="false" ht="15" hidden="false" customHeight="false" outlineLevel="0" collapsed="false">
      <c r="A9881" s="571"/>
      <c r="B9881" s="500"/>
      <c r="C9881" s="860" t="s">
        <v>5856</v>
      </c>
      <c r="D9881" s="316" t="s">
        <v>4359</v>
      </c>
      <c r="E9881" s="664" t="n">
        <v>0.001</v>
      </c>
      <c r="F9881" s="617" t="n">
        <v>168481</v>
      </c>
      <c r="G9881" s="615" t="n">
        <f aca="false">E9881*F9881</f>
        <v>168.481</v>
      </c>
      <c r="H9881" s="606"/>
    </row>
    <row r="9882" customFormat="false" ht="15" hidden="false" customHeight="false" outlineLevel="0" collapsed="false">
      <c r="A9882" s="571"/>
      <c r="B9882" s="500"/>
      <c r="C9882" s="860" t="s">
        <v>5818</v>
      </c>
      <c r="D9882" s="316" t="s">
        <v>4133</v>
      </c>
      <c r="E9882" s="664" t="n">
        <v>0.001</v>
      </c>
      <c r="F9882" s="617" t="n">
        <v>67687</v>
      </c>
      <c r="G9882" s="615" t="n">
        <f aca="false">E9882*F9882</f>
        <v>67.687</v>
      </c>
      <c r="H9882" s="606"/>
    </row>
    <row r="9883" customFormat="false" ht="15" hidden="false" customHeight="false" outlineLevel="0" collapsed="false">
      <c r="A9883" s="571"/>
      <c r="B9883" s="500"/>
      <c r="C9883" s="860" t="s">
        <v>5824</v>
      </c>
      <c r="D9883" s="316" t="s">
        <v>5452</v>
      </c>
      <c r="E9883" s="664" t="n">
        <v>0.001</v>
      </c>
      <c r="F9883" s="617" t="n">
        <v>82115</v>
      </c>
      <c r="G9883" s="615" t="n">
        <f aca="false">E9883*F9883</f>
        <v>82.115</v>
      </c>
      <c r="H9883" s="606"/>
    </row>
    <row r="9884" customFormat="false" ht="15" hidden="false" customHeight="false" outlineLevel="0" collapsed="false">
      <c r="A9884" s="571"/>
      <c r="B9884" s="500"/>
      <c r="C9884" s="860" t="s">
        <v>5857</v>
      </c>
      <c r="D9884" s="316" t="s">
        <v>4359</v>
      </c>
      <c r="E9884" s="664" t="n">
        <v>0.001</v>
      </c>
      <c r="F9884" s="617" t="n">
        <v>175794</v>
      </c>
      <c r="G9884" s="615" t="n">
        <f aca="false">E9884*F9884</f>
        <v>175.794</v>
      </c>
      <c r="H9884" s="606"/>
    </row>
    <row r="9885" customFormat="false" ht="15" hidden="false" customHeight="false" outlineLevel="0" collapsed="false">
      <c r="A9885" s="571"/>
      <c r="B9885" s="500"/>
      <c r="C9885" s="860" t="s">
        <v>5819</v>
      </c>
      <c r="D9885" s="316" t="s">
        <v>4191</v>
      </c>
      <c r="E9885" s="954" t="n">
        <v>0.01</v>
      </c>
      <c r="F9885" s="617" t="n">
        <v>316.4</v>
      </c>
      <c r="G9885" s="615" t="n">
        <f aca="false">E9885*F9885</f>
        <v>3.164</v>
      </c>
      <c r="H9885" s="606"/>
    </row>
    <row r="9886" customFormat="false" ht="15" hidden="false" customHeight="false" outlineLevel="0" collapsed="false">
      <c r="A9886" s="571"/>
      <c r="B9886" s="500"/>
      <c r="C9886" s="860" t="s">
        <v>5826</v>
      </c>
      <c r="D9886" s="316" t="s">
        <v>4191</v>
      </c>
      <c r="E9886" s="954" t="n">
        <v>0.01</v>
      </c>
      <c r="F9886" s="617" t="n">
        <v>366.25</v>
      </c>
      <c r="G9886" s="615" t="n">
        <f aca="false">E9886*F9886</f>
        <v>3.6625</v>
      </c>
      <c r="H9886" s="606"/>
    </row>
    <row r="9887" customFormat="false" ht="15" hidden="false" customHeight="false" outlineLevel="0" collapsed="false">
      <c r="A9887" s="571"/>
      <c r="B9887" s="500"/>
      <c r="C9887" s="860" t="s">
        <v>5820</v>
      </c>
      <c r="D9887" s="316" t="s">
        <v>4191</v>
      </c>
      <c r="E9887" s="954" t="n">
        <v>0.01</v>
      </c>
      <c r="F9887" s="617" t="n">
        <v>650</v>
      </c>
      <c r="G9887" s="615" t="n">
        <f aca="false">E9887*F9887</f>
        <v>6.5</v>
      </c>
      <c r="H9887" s="606"/>
    </row>
    <row r="9888" customFormat="false" ht="15" hidden="false" customHeight="false" outlineLevel="0" collapsed="false">
      <c r="A9888" s="571"/>
      <c r="B9888" s="500"/>
      <c r="C9888" s="860" t="s">
        <v>5859</v>
      </c>
      <c r="D9888" s="316" t="s">
        <v>4359</v>
      </c>
      <c r="E9888" s="661" t="n">
        <v>0.01</v>
      </c>
      <c r="F9888" s="617" t="n">
        <v>1995</v>
      </c>
      <c r="G9888" s="615" t="n">
        <f aca="false">E9888*F9888</f>
        <v>19.95</v>
      </c>
      <c r="H9888" s="606"/>
    </row>
    <row r="9889" customFormat="false" ht="15" hidden="false" customHeight="false" outlineLevel="0" collapsed="false">
      <c r="A9889" s="571"/>
      <c r="B9889" s="500"/>
      <c r="C9889" s="860" t="s">
        <v>5927</v>
      </c>
      <c r="D9889" s="316" t="s">
        <v>4348</v>
      </c>
      <c r="E9889" s="660" t="n">
        <v>1</v>
      </c>
      <c r="F9889" s="617" t="n">
        <v>32</v>
      </c>
      <c r="G9889" s="615" t="n">
        <f aca="false">E9889*F9889</f>
        <v>32</v>
      </c>
      <c r="H9889" s="606"/>
    </row>
    <row r="9890" customFormat="false" ht="15" hidden="false" customHeight="false" outlineLevel="0" collapsed="false">
      <c r="A9890" s="571"/>
      <c r="B9890" s="500"/>
      <c r="C9890" s="860" t="s">
        <v>4515</v>
      </c>
      <c r="D9890" s="316" t="s">
        <v>4133</v>
      </c>
      <c r="E9890" s="661" t="n">
        <v>0.1</v>
      </c>
      <c r="F9890" s="681" t="n">
        <v>350</v>
      </c>
      <c r="G9890" s="615" t="n">
        <f aca="false">E9890*F9890</f>
        <v>35</v>
      </c>
      <c r="H9890" s="606"/>
    </row>
    <row r="9891" customFormat="false" ht="15" hidden="false" customHeight="false" outlineLevel="0" collapsed="false">
      <c r="A9891" s="571"/>
      <c r="B9891" s="500"/>
      <c r="C9891" s="860" t="s">
        <v>4776</v>
      </c>
      <c r="D9891" s="316" t="s">
        <v>4359</v>
      </c>
      <c r="E9891" s="661" t="n">
        <v>0.1</v>
      </c>
      <c r="F9891" s="617" t="n">
        <v>800</v>
      </c>
      <c r="G9891" s="615" t="n">
        <f aca="false">E9891*F9891</f>
        <v>80</v>
      </c>
      <c r="H9891" s="606"/>
    </row>
    <row r="9892" customFormat="false" ht="15" hidden="false" customHeight="false" outlineLevel="0" collapsed="false">
      <c r="A9892" s="571"/>
      <c r="B9892" s="608" t="s">
        <v>4128</v>
      </c>
      <c r="C9892" s="964"/>
      <c r="D9892" s="965"/>
      <c r="E9892" s="968"/>
      <c r="F9892" s="967"/>
      <c r="G9892" s="613" t="n">
        <f aca="false">SUM(G9878:G9891)</f>
        <v>922.3805</v>
      </c>
      <c r="H9892" s="391"/>
    </row>
    <row r="9893" customFormat="false" ht="30" hidden="false" customHeight="false" outlineLevel="0" collapsed="false">
      <c r="A9893" s="571" t="s">
        <v>1927</v>
      </c>
      <c r="B9893" s="433" t="s">
        <v>3700</v>
      </c>
      <c r="C9893" s="860" t="s">
        <v>5830</v>
      </c>
      <c r="D9893" s="316" t="s">
        <v>4133</v>
      </c>
      <c r="E9893" s="664" t="n">
        <v>0.001</v>
      </c>
      <c r="F9893" s="617" t="n">
        <v>74448</v>
      </c>
      <c r="G9893" s="615" t="n">
        <f aca="false">E9893*F9893</f>
        <v>74.448</v>
      </c>
      <c r="H9893" s="606"/>
    </row>
    <row r="9894" customFormat="false" ht="15" hidden="false" customHeight="false" outlineLevel="0" collapsed="false">
      <c r="A9894" s="571"/>
      <c r="B9894" s="500"/>
      <c r="C9894" s="860" t="s">
        <v>5831</v>
      </c>
      <c r="D9894" s="316" t="s">
        <v>4133</v>
      </c>
      <c r="E9894" s="664" t="n">
        <v>0.001</v>
      </c>
      <c r="F9894" s="617" t="n">
        <v>45513</v>
      </c>
      <c r="G9894" s="615" t="n">
        <f aca="false">E9894*F9894</f>
        <v>45.513</v>
      </c>
      <c r="H9894" s="606"/>
    </row>
    <row r="9895" customFormat="false" ht="15" hidden="false" customHeight="false" outlineLevel="0" collapsed="false">
      <c r="A9895" s="571"/>
      <c r="B9895" s="500"/>
      <c r="C9895" s="860" t="s">
        <v>5832</v>
      </c>
      <c r="D9895" s="316" t="s">
        <v>4133</v>
      </c>
      <c r="E9895" s="664" t="n">
        <v>0.001</v>
      </c>
      <c r="F9895" s="617" t="n">
        <v>99906</v>
      </c>
      <c r="G9895" s="615" t="n">
        <f aca="false">E9895*F9895</f>
        <v>99.906</v>
      </c>
      <c r="H9895" s="606"/>
    </row>
    <row r="9896" customFormat="false" ht="15" hidden="false" customHeight="false" outlineLevel="0" collapsed="false">
      <c r="A9896" s="571"/>
      <c r="B9896" s="500"/>
      <c r="C9896" s="860" t="s">
        <v>5823</v>
      </c>
      <c r="D9896" s="316" t="s">
        <v>4133</v>
      </c>
      <c r="E9896" s="664" t="n">
        <v>0.001</v>
      </c>
      <c r="F9896" s="617" t="n">
        <v>69797</v>
      </c>
      <c r="G9896" s="615" t="n">
        <f aca="false">E9896*F9896</f>
        <v>69.797</v>
      </c>
      <c r="H9896" s="606"/>
    </row>
    <row r="9897" customFormat="false" ht="15" hidden="false" customHeight="false" outlineLevel="0" collapsed="false">
      <c r="A9897" s="571"/>
      <c r="B9897" s="500"/>
      <c r="C9897" s="860" t="s">
        <v>5833</v>
      </c>
      <c r="D9897" s="316" t="s">
        <v>4133</v>
      </c>
      <c r="E9897" s="664" t="n">
        <v>0.001</v>
      </c>
      <c r="F9897" s="617" t="n">
        <v>34001</v>
      </c>
      <c r="G9897" s="615" t="n">
        <f aca="false">E9897*F9897</f>
        <v>34.001</v>
      </c>
      <c r="H9897" s="606"/>
    </row>
    <row r="9898" customFormat="false" ht="15" hidden="false" customHeight="false" outlineLevel="0" collapsed="false">
      <c r="A9898" s="571"/>
      <c r="B9898" s="500"/>
      <c r="C9898" s="860" t="s">
        <v>5834</v>
      </c>
      <c r="D9898" s="316" t="s">
        <v>4133</v>
      </c>
      <c r="E9898" s="664" t="n">
        <v>0.001</v>
      </c>
      <c r="F9898" s="617" t="n">
        <v>69797</v>
      </c>
      <c r="G9898" s="615" t="n">
        <f aca="false">E9898*F9898</f>
        <v>69.797</v>
      </c>
      <c r="H9898" s="606"/>
    </row>
    <row r="9899" customFormat="false" ht="15" hidden="false" customHeight="false" outlineLevel="0" collapsed="false">
      <c r="A9899" s="571"/>
      <c r="B9899" s="500"/>
      <c r="C9899" s="860" t="s">
        <v>5835</v>
      </c>
      <c r="D9899" s="316" t="s">
        <v>4133</v>
      </c>
      <c r="E9899" s="664" t="n">
        <v>0.001</v>
      </c>
      <c r="F9899" s="617" t="n">
        <v>69797</v>
      </c>
      <c r="G9899" s="615" t="n">
        <f aca="false">E9899*F9899</f>
        <v>69.797</v>
      </c>
      <c r="H9899" s="606"/>
    </row>
    <row r="9900" customFormat="false" ht="15" hidden="false" customHeight="false" outlineLevel="0" collapsed="false">
      <c r="A9900" s="571"/>
      <c r="B9900" s="500"/>
      <c r="C9900" s="860" t="s">
        <v>5836</v>
      </c>
      <c r="D9900" s="316" t="s">
        <v>4133</v>
      </c>
      <c r="E9900" s="664" t="n">
        <v>0.001</v>
      </c>
      <c r="F9900" s="617" t="n">
        <v>10500</v>
      </c>
      <c r="G9900" s="615" t="n">
        <f aca="false">E9900*F9900</f>
        <v>10.5</v>
      </c>
      <c r="H9900" s="606"/>
    </row>
    <row r="9901" customFormat="false" ht="15" hidden="false" customHeight="false" outlineLevel="0" collapsed="false">
      <c r="A9901" s="571"/>
      <c r="B9901" s="500"/>
      <c r="C9901" s="860" t="s">
        <v>5837</v>
      </c>
      <c r="D9901" s="316" t="s">
        <v>4133</v>
      </c>
      <c r="E9901" s="664" t="n">
        <v>0.001</v>
      </c>
      <c r="F9901" s="617" t="n">
        <v>91872</v>
      </c>
      <c r="G9901" s="615" t="n">
        <f aca="false">E9901*F9901</f>
        <v>91.872</v>
      </c>
      <c r="H9901" s="606"/>
    </row>
    <row r="9902" customFormat="false" ht="15" hidden="false" customHeight="false" outlineLevel="0" collapsed="false">
      <c r="A9902" s="571"/>
      <c r="B9902" s="608"/>
      <c r="C9902" s="964" t="s">
        <v>5838</v>
      </c>
      <c r="D9902" s="316" t="s">
        <v>4133</v>
      </c>
      <c r="E9902" s="664" t="n">
        <v>0.001</v>
      </c>
      <c r="F9902" s="617" t="n">
        <v>80176</v>
      </c>
      <c r="G9902" s="615" t="n">
        <f aca="false">E9902*F9902</f>
        <v>80.176</v>
      </c>
      <c r="H9902" s="391"/>
    </row>
    <row r="9903" customFormat="false" ht="15" hidden="false" customHeight="false" outlineLevel="0" collapsed="false">
      <c r="A9903" s="571"/>
      <c r="B9903" s="328"/>
      <c r="C9903" s="860" t="s">
        <v>5839</v>
      </c>
      <c r="D9903" s="316" t="s">
        <v>4133</v>
      </c>
      <c r="E9903" s="664" t="n">
        <v>0.001</v>
      </c>
      <c r="F9903" s="617" t="n">
        <v>4982</v>
      </c>
      <c r="G9903" s="615" t="n">
        <f aca="false">E9903*F9903</f>
        <v>4.982</v>
      </c>
      <c r="H9903" s="606"/>
    </row>
    <row r="9904" customFormat="false" ht="15" hidden="false" customHeight="false" outlineLevel="0" collapsed="false">
      <c r="A9904" s="571"/>
      <c r="B9904" s="500"/>
      <c r="C9904" s="860" t="s">
        <v>5840</v>
      </c>
      <c r="D9904" s="316" t="s">
        <v>4133</v>
      </c>
      <c r="E9904" s="664" t="n">
        <v>0.001</v>
      </c>
      <c r="F9904" s="617" t="n">
        <v>158202</v>
      </c>
      <c r="G9904" s="615" t="n">
        <f aca="false">E9904*F9904</f>
        <v>158.202</v>
      </c>
      <c r="H9904" s="606"/>
    </row>
    <row r="9905" customFormat="false" ht="15" hidden="false" customHeight="false" outlineLevel="0" collapsed="false">
      <c r="A9905" s="571"/>
      <c r="B9905" s="500"/>
      <c r="C9905" s="860" t="s">
        <v>5841</v>
      </c>
      <c r="D9905" s="316" t="s">
        <v>4133</v>
      </c>
      <c r="E9905" s="664" t="n">
        <v>0.001</v>
      </c>
      <c r="F9905" s="617" t="n">
        <v>10500</v>
      </c>
      <c r="G9905" s="615" t="n">
        <f aca="false">E9905*F9905</f>
        <v>10.5</v>
      </c>
      <c r="H9905" s="606"/>
    </row>
    <row r="9906" customFormat="false" ht="15" hidden="false" customHeight="false" outlineLevel="0" collapsed="false">
      <c r="A9906" s="571"/>
      <c r="B9906" s="500"/>
      <c r="C9906" s="860" t="s">
        <v>5843</v>
      </c>
      <c r="D9906" s="316" t="s">
        <v>4133</v>
      </c>
      <c r="E9906" s="664" t="n">
        <v>0.001</v>
      </c>
      <c r="F9906" s="617" t="n">
        <v>48840</v>
      </c>
      <c r="G9906" s="615" t="n">
        <f aca="false">E9906*F9906</f>
        <v>48.84</v>
      </c>
      <c r="H9906" s="606"/>
    </row>
    <row r="9907" customFormat="false" ht="15" hidden="false" customHeight="false" outlineLevel="0" collapsed="false">
      <c r="A9907" s="571"/>
      <c r="B9907" s="500"/>
      <c r="C9907" s="860" t="s">
        <v>5842</v>
      </c>
      <c r="D9907" s="316" t="s">
        <v>4133</v>
      </c>
      <c r="E9907" s="664" t="n">
        <v>0.001</v>
      </c>
      <c r="F9907" s="617" t="n">
        <v>46343</v>
      </c>
      <c r="G9907" s="615" t="n">
        <f aca="false">E9907*F9907</f>
        <v>46.343</v>
      </c>
      <c r="H9907" s="606"/>
    </row>
    <row r="9908" customFormat="false" ht="15" hidden="false" customHeight="false" outlineLevel="0" collapsed="false">
      <c r="A9908" s="571"/>
      <c r="B9908" s="500"/>
      <c r="C9908" s="860" t="s">
        <v>5844</v>
      </c>
      <c r="D9908" s="316" t="s">
        <v>5452</v>
      </c>
      <c r="E9908" s="664" t="n">
        <v>0.001</v>
      </c>
      <c r="F9908" s="617" t="n">
        <v>74415</v>
      </c>
      <c r="G9908" s="615" t="n">
        <f aca="false">E9908*F9908</f>
        <v>74.415</v>
      </c>
      <c r="H9908" s="606"/>
    </row>
    <row r="9909" customFormat="false" ht="15" hidden="false" customHeight="false" outlineLevel="0" collapsed="false">
      <c r="A9909" s="571"/>
      <c r="B9909" s="500"/>
      <c r="C9909" s="860" t="s">
        <v>5845</v>
      </c>
      <c r="D9909" s="316" t="s">
        <v>4528</v>
      </c>
      <c r="E9909" s="664" t="n">
        <v>0.001</v>
      </c>
      <c r="F9909" s="617" t="n">
        <v>10500</v>
      </c>
      <c r="G9909" s="615" t="n">
        <f aca="false">E9909*F9909</f>
        <v>10.5</v>
      </c>
      <c r="H9909" s="606"/>
    </row>
    <row r="9910" customFormat="false" ht="15" hidden="false" customHeight="false" outlineLevel="0" collapsed="false">
      <c r="A9910" s="571"/>
      <c r="B9910" s="500"/>
      <c r="C9910" s="860" t="s">
        <v>5846</v>
      </c>
      <c r="D9910" s="316" t="s">
        <v>5847</v>
      </c>
      <c r="E9910" s="664" t="n">
        <v>0.001</v>
      </c>
      <c r="F9910" s="617" t="n">
        <v>33371</v>
      </c>
      <c r="G9910" s="615" t="n">
        <f aca="false">E9910*F9910</f>
        <v>33.371</v>
      </c>
      <c r="H9910" s="606"/>
    </row>
    <row r="9911" customFormat="false" ht="15" hidden="false" customHeight="false" outlineLevel="0" collapsed="false">
      <c r="A9911" s="571"/>
      <c r="B9911" s="500"/>
      <c r="C9911" s="860" t="s">
        <v>5848</v>
      </c>
      <c r="D9911" s="316" t="s">
        <v>4528</v>
      </c>
      <c r="E9911" s="664" t="n">
        <v>0.001</v>
      </c>
      <c r="F9911" s="617" t="n">
        <v>10500</v>
      </c>
      <c r="G9911" s="615" t="n">
        <f aca="false">E9911*F9911</f>
        <v>10.5</v>
      </c>
      <c r="H9911" s="606"/>
    </row>
    <row r="9912" customFormat="false" ht="15" hidden="false" customHeight="false" outlineLevel="0" collapsed="false">
      <c r="A9912" s="571"/>
      <c r="B9912" s="500"/>
      <c r="C9912" s="860" t="s">
        <v>5825</v>
      </c>
      <c r="D9912" s="316" t="s">
        <v>4191</v>
      </c>
      <c r="E9912" s="664" t="n">
        <v>0.001</v>
      </c>
      <c r="F9912" s="617" t="n">
        <v>8468</v>
      </c>
      <c r="G9912" s="615" t="n">
        <f aca="false">E9912*F9912</f>
        <v>8.468</v>
      </c>
      <c r="H9912" s="606"/>
    </row>
    <row r="9913" customFormat="false" ht="15" hidden="false" customHeight="false" outlineLevel="0" collapsed="false">
      <c r="A9913" s="571"/>
      <c r="B9913" s="500"/>
      <c r="C9913" s="860" t="s">
        <v>5849</v>
      </c>
      <c r="D9913" s="316" t="s">
        <v>4528</v>
      </c>
      <c r="E9913" s="664" t="n">
        <v>0.01</v>
      </c>
      <c r="F9913" s="617" t="n">
        <v>15500</v>
      </c>
      <c r="G9913" s="615" t="n">
        <f aca="false">E9913*F9913</f>
        <v>155</v>
      </c>
      <c r="H9913" s="606"/>
    </row>
    <row r="9914" customFormat="false" ht="15" hidden="false" customHeight="false" outlineLevel="0" collapsed="false">
      <c r="A9914" s="571"/>
      <c r="B9914" s="500"/>
      <c r="C9914" s="860" t="s">
        <v>5850</v>
      </c>
      <c r="D9914" s="316" t="s">
        <v>4528</v>
      </c>
      <c r="E9914" s="664" t="n">
        <v>0.001</v>
      </c>
      <c r="F9914" s="617" t="n">
        <v>26500</v>
      </c>
      <c r="G9914" s="615" t="n">
        <f aca="false">E9914*F9914</f>
        <v>26.5</v>
      </c>
      <c r="H9914" s="606"/>
    </row>
    <row r="9915" customFormat="false" ht="15" hidden="false" customHeight="false" outlineLevel="0" collapsed="false">
      <c r="A9915" s="571"/>
      <c r="B9915" s="500"/>
      <c r="C9915" s="860" t="s">
        <v>5824</v>
      </c>
      <c r="D9915" s="316" t="s">
        <v>4528</v>
      </c>
      <c r="E9915" s="664" t="n">
        <v>0.001</v>
      </c>
      <c r="F9915" s="617" t="n">
        <v>82115</v>
      </c>
      <c r="G9915" s="615" t="n">
        <f aca="false">E9915*F9915</f>
        <v>82.115</v>
      </c>
      <c r="H9915" s="606"/>
    </row>
    <row r="9916" customFormat="false" ht="15" hidden="false" customHeight="false" outlineLevel="0" collapsed="false">
      <c r="A9916" s="571"/>
      <c r="B9916" s="500"/>
      <c r="C9916" s="860" t="s">
        <v>5819</v>
      </c>
      <c r="D9916" s="316" t="s">
        <v>4191</v>
      </c>
      <c r="E9916" s="954" t="n">
        <v>0.01</v>
      </c>
      <c r="F9916" s="617" t="n">
        <v>316.4</v>
      </c>
      <c r="G9916" s="615" t="n">
        <f aca="false">E9916*F9916</f>
        <v>3.164</v>
      </c>
      <c r="H9916" s="606"/>
    </row>
    <row r="9917" customFormat="false" ht="15" hidden="false" customHeight="false" outlineLevel="0" collapsed="false">
      <c r="A9917" s="571"/>
      <c r="B9917" s="500"/>
      <c r="C9917" s="860" t="s">
        <v>5826</v>
      </c>
      <c r="D9917" s="316" t="s">
        <v>4191</v>
      </c>
      <c r="E9917" s="954" t="n">
        <v>0.01</v>
      </c>
      <c r="F9917" s="617" t="n">
        <v>366.25</v>
      </c>
      <c r="G9917" s="615" t="n">
        <f aca="false">E9917*F9917</f>
        <v>3.6625</v>
      </c>
      <c r="H9917" s="606"/>
    </row>
    <row r="9918" customFormat="false" ht="15" hidden="false" customHeight="false" outlineLevel="0" collapsed="false">
      <c r="A9918" s="571"/>
      <c r="B9918" s="500"/>
      <c r="C9918" s="860" t="s">
        <v>5820</v>
      </c>
      <c r="D9918" s="316" t="s">
        <v>4191</v>
      </c>
      <c r="E9918" s="954" t="n">
        <v>0.01</v>
      </c>
      <c r="F9918" s="617" t="n">
        <v>650</v>
      </c>
      <c r="G9918" s="615" t="n">
        <f aca="false">E9918*F9918</f>
        <v>6.5</v>
      </c>
      <c r="H9918" s="606"/>
    </row>
    <row r="9919" customFormat="false" ht="15" hidden="false" customHeight="false" outlineLevel="0" collapsed="false">
      <c r="A9919" s="571"/>
      <c r="B9919" s="500"/>
      <c r="C9919" s="860" t="s">
        <v>5859</v>
      </c>
      <c r="D9919" s="316" t="s">
        <v>4528</v>
      </c>
      <c r="E9919" s="958" t="n">
        <v>0.01</v>
      </c>
      <c r="F9919" s="617" t="n">
        <v>1995</v>
      </c>
      <c r="G9919" s="615" t="n">
        <f aca="false">E9919*F9919</f>
        <v>19.95</v>
      </c>
      <c r="H9919" s="606"/>
    </row>
    <row r="9920" customFormat="false" ht="15" hidden="false" customHeight="false" outlineLevel="0" collapsed="false">
      <c r="A9920" s="571"/>
      <c r="B9920" s="500"/>
      <c r="C9920" s="860" t="s">
        <v>5927</v>
      </c>
      <c r="D9920" s="316" t="s">
        <v>4348</v>
      </c>
      <c r="E9920" s="660" t="n">
        <v>1</v>
      </c>
      <c r="F9920" s="617" t="n">
        <v>32</v>
      </c>
      <c r="G9920" s="615" t="n">
        <f aca="false">E9920*F9920</f>
        <v>32</v>
      </c>
      <c r="H9920" s="606"/>
    </row>
    <row r="9921" customFormat="false" ht="15" hidden="false" customHeight="false" outlineLevel="0" collapsed="false">
      <c r="A9921" s="571"/>
      <c r="B9921" s="500"/>
      <c r="C9921" s="860" t="s">
        <v>4515</v>
      </c>
      <c r="D9921" s="316" t="s">
        <v>5564</v>
      </c>
      <c r="E9921" s="661" t="n">
        <v>0.1</v>
      </c>
      <c r="F9921" s="681" t="n">
        <v>350</v>
      </c>
      <c r="G9921" s="615" t="n">
        <f aca="false">E9921*F9921</f>
        <v>35</v>
      </c>
      <c r="H9921" s="912"/>
    </row>
    <row r="9922" customFormat="false" ht="15" hidden="false" customHeight="false" outlineLevel="0" collapsed="false">
      <c r="A9922" s="571"/>
      <c r="B9922" s="328"/>
      <c r="C9922" s="860" t="s">
        <v>4776</v>
      </c>
      <c r="D9922" s="316" t="s">
        <v>4528</v>
      </c>
      <c r="E9922" s="661" t="n">
        <v>0.1</v>
      </c>
      <c r="F9922" s="617" t="n">
        <v>800</v>
      </c>
      <c r="G9922" s="615" t="n">
        <f aca="false">E9922*F9922</f>
        <v>80</v>
      </c>
      <c r="H9922" s="606"/>
    </row>
    <row r="9923" customFormat="false" ht="15" hidden="false" customHeight="false" outlineLevel="0" collapsed="false">
      <c r="A9923" s="571"/>
      <c r="B9923" s="608" t="s">
        <v>4128</v>
      </c>
      <c r="C9923" s="964"/>
      <c r="D9923" s="965"/>
      <c r="E9923" s="968"/>
      <c r="F9923" s="967"/>
      <c r="G9923" s="613" t="n">
        <f aca="false">SUM(G9893:G9922)</f>
        <v>1495.8195</v>
      </c>
      <c r="H9923" s="391"/>
    </row>
    <row r="9924" customFormat="false" ht="45" hidden="false" customHeight="false" outlineLevel="0" collapsed="false">
      <c r="A9924" s="571" t="s">
        <v>1929</v>
      </c>
      <c r="B9924" s="433" t="s">
        <v>3701</v>
      </c>
      <c r="C9924" s="855" t="s">
        <v>5928</v>
      </c>
      <c r="D9924" s="316" t="s">
        <v>4133</v>
      </c>
      <c r="E9924" s="664" t="n">
        <v>0.01</v>
      </c>
      <c r="F9924" s="617" t="n">
        <v>36565</v>
      </c>
      <c r="G9924" s="615" t="n">
        <f aca="false">E9924*F9924</f>
        <v>365.65</v>
      </c>
      <c r="H9924" s="606"/>
    </row>
    <row r="9925" customFormat="false" ht="15" hidden="false" customHeight="false" outlineLevel="0" collapsed="false">
      <c r="A9925" s="571"/>
      <c r="B9925" s="500"/>
      <c r="C9925" s="855" t="s">
        <v>5823</v>
      </c>
      <c r="D9925" s="316" t="s">
        <v>4133</v>
      </c>
      <c r="E9925" s="664" t="n">
        <v>0.001</v>
      </c>
      <c r="F9925" s="617" t="n">
        <v>36265</v>
      </c>
      <c r="G9925" s="615" t="n">
        <f aca="false">E9925*F9925</f>
        <v>36.265</v>
      </c>
      <c r="H9925" s="606"/>
    </row>
    <row r="9926" customFormat="false" ht="15" hidden="false" customHeight="false" outlineLevel="0" collapsed="false">
      <c r="A9926" s="571"/>
      <c r="B9926" s="500"/>
      <c r="C9926" s="855" t="s">
        <v>5835</v>
      </c>
      <c r="D9926" s="316" t="s">
        <v>4133</v>
      </c>
      <c r="E9926" s="664" t="n">
        <v>0.001</v>
      </c>
      <c r="F9926" s="617" t="n">
        <v>43920</v>
      </c>
      <c r="G9926" s="615" t="n">
        <f aca="false">E9926*F9926</f>
        <v>43.92</v>
      </c>
      <c r="H9926" s="606"/>
    </row>
    <row r="9927" customFormat="false" ht="15" hidden="false" customHeight="false" outlineLevel="0" collapsed="false">
      <c r="A9927" s="571"/>
      <c r="B9927" s="500"/>
      <c r="C9927" s="855" t="s">
        <v>5836</v>
      </c>
      <c r="D9927" s="316" t="s">
        <v>4133</v>
      </c>
      <c r="E9927" s="664" t="n">
        <v>0.001</v>
      </c>
      <c r="F9927" s="617" t="n">
        <v>49434</v>
      </c>
      <c r="G9927" s="615" t="n">
        <f aca="false">E9927*F9927</f>
        <v>49.434</v>
      </c>
      <c r="H9927" s="606"/>
    </row>
    <row r="9928" customFormat="false" ht="15" hidden="false" customHeight="false" outlineLevel="0" collapsed="false">
      <c r="A9928" s="571"/>
      <c r="B9928" s="500"/>
      <c r="C9928" s="855" t="s">
        <v>5837</v>
      </c>
      <c r="D9928" s="316" t="s">
        <v>4133</v>
      </c>
      <c r="E9928" s="664" t="n">
        <v>0.001</v>
      </c>
      <c r="F9928" s="617" t="n">
        <v>66767</v>
      </c>
      <c r="G9928" s="615" t="n">
        <f aca="false">E9928*F9928</f>
        <v>66.767</v>
      </c>
      <c r="H9928" s="606"/>
    </row>
    <row r="9929" customFormat="false" ht="15" hidden="false" customHeight="false" outlineLevel="0" collapsed="false">
      <c r="A9929" s="571"/>
      <c r="B9929" s="500"/>
      <c r="C9929" s="855" t="s">
        <v>5838</v>
      </c>
      <c r="D9929" s="316" t="s">
        <v>4133</v>
      </c>
      <c r="E9929" s="664" t="n">
        <v>0.001</v>
      </c>
      <c r="F9929" s="617" t="n">
        <v>47441</v>
      </c>
      <c r="G9929" s="615" t="n">
        <f aca="false">E9929*F9929</f>
        <v>47.441</v>
      </c>
      <c r="H9929" s="606"/>
    </row>
    <row r="9930" customFormat="false" ht="15" hidden="false" customHeight="false" outlineLevel="0" collapsed="false">
      <c r="A9930" s="571"/>
      <c r="B9930" s="500"/>
      <c r="C9930" s="855" t="s">
        <v>5839</v>
      </c>
      <c r="D9930" s="316" t="s">
        <v>4133</v>
      </c>
      <c r="E9930" s="664" t="n">
        <v>0.001</v>
      </c>
      <c r="F9930" s="617" t="n">
        <v>10500</v>
      </c>
      <c r="G9930" s="615" t="n">
        <f aca="false">E9930*F9930</f>
        <v>10.5</v>
      </c>
      <c r="H9930" s="606"/>
    </row>
    <row r="9931" customFormat="false" ht="15" hidden="false" customHeight="false" outlineLevel="0" collapsed="false">
      <c r="A9931" s="571"/>
      <c r="B9931" s="500"/>
      <c r="C9931" s="855" t="s">
        <v>5840</v>
      </c>
      <c r="D9931" s="316" t="s">
        <v>4133</v>
      </c>
      <c r="E9931" s="664" t="n">
        <v>0.002</v>
      </c>
      <c r="F9931" s="617" t="n">
        <v>59873</v>
      </c>
      <c r="G9931" s="615" t="n">
        <f aca="false">E9931*F9931</f>
        <v>119.746</v>
      </c>
      <c r="H9931" s="606"/>
    </row>
    <row r="9932" customFormat="false" ht="15" hidden="false" customHeight="false" outlineLevel="0" collapsed="false">
      <c r="A9932" s="571"/>
      <c r="B9932" s="500"/>
      <c r="C9932" s="855" t="s">
        <v>5841</v>
      </c>
      <c r="D9932" s="316" t="s">
        <v>4133</v>
      </c>
      <c r="E9932" s="664" t="n">
        <v>0.002</v>
      </c>
      <c r="F9932" s="617" t="n">
        <v>10500</v>
      </c>
      <c r="G9932" s="615" t="n">
        <f aca="false">E9932*F9932</f>
        <v>21</v>
      </c>
      <c r="H9932" s="606"/>
    </row>
    <row r="9933" customFormat="false" ht="15" hidden="false" customHeight="false" outlineLevel="0" collapsed="false">
      <c r="A9933" s="571"/>
      <c r="B9933" s="500"/>
      <c r="C9933" s="855" t="s">
        <v>5843</v>
      </c>
      <c r="D9933" s="316" t="s">
        <v>4133</v>
      </c>
      <c r="E9933" s="664" t="n">
        <v>0.002</v>
      </c>
      <c r="F9933" s="617" t="n">
        <v>37250</v>
      </c>
      <c r="G9933" s="615" t="n">
        <f aca="false">E9933*F9933</f>
        <v>74.5</v>
      </c>
      <c r="H9933" s="606"/>
    </row>
    <row r="9934" customFormat="false" ht="15" hidden="false" customHeight="false" outlineLevel="0" collapsed="false">
      <c r="A9934" s="571"/>
      <c r="B9934" s="500"/>
      <c r="C9934" s="855" t="s">
        <v>5842</v>
      </c>
      <c r="D9934" s="316" t="s">
        <v>4133</v>
      </c>
      <c r="E9934" s="661" t="n">
        <v>0.002</v>
      </c>
      <c r="F9934" s="617" t="n">
        <v>10500</v>
      </c>
      <c r="G9934" s="615" t="n">
        <f aca="false">E9934*F9934</f>
        <v>21</v>
      </c>
      <c r="H9934" s="606"/>
    </row>
    <row r="9935" customFormat="false" ht="15" hidden="false" customHeight="false" outlineLevel="0" collapsed="false">
      <c r="A9935" s="571"/>
      <c r="B9935" s="500"/>
      <c r="C9935" s="855" t="s">
        <v>5844</v>
      </c>
      <c r="D9935" s="316" t="s">
        <v>4191</v>
      </c>
      <c r="E9935" s="661" t="n">
        <v>0.01</v>
      </c>
      <c r="F9935" s="617" t="n">
        <v>3398</v>
      </c>
      <c r="G9935" s="615" t="n">
        <f aca="false">E9935*F9935</f>
        <v>33.98</v>
      </c>
      <c r="H9935" s="606"/>
    </row>
    <row r="9936" customFormat="false" ht="15" hidden="false" customHeight="false" outlineLevel="0" collapsed="false">
      <c r="A9936" s="571"/>
      <c r="B9936" s="500"/>
      <c r="C9936" s="855" t="s">
        <v>5825</v>
      </c>
      <c r="D9936" s="316" t="s">
        <v>5452</v>
      </c>
      <c r="E9936" s="661" t="n">
        <v>0.01</v>
      </c>
      <c r="F9936" s="617" t="n">
        <v>3707</v>
      </c>
      <c r="G9936" s="615" t="n">
        <f aca="false">E9936*F9936</f>
        <v>37.07</v>
      </c>
      <c r="H9936" s="606"/>
    </row>
    <row r="9937" customFormat="false" ht="15" hidden="false" customHeight="false" outlineLevel="0" collapsed="false">
      <c r="A9937" s="571"/>
      <c r="B9937" s="500"/>
      <c r="C9937" s="855" t="s">
        <v>5824</v>
      </c>
      <c r="D9937" s="316" t="s">
        <v>4528</v>
      </c>
      <c r="E9937" s="661" t="n">
        <v>0.002</v>
      </c>
      <c r="F9937" s="617" t="n">
        <v>25946</v>
      </c>
      <c r="G9937" s="615" t="n">
        <f aca="false">E9937*F9937</f>
        <v>51.892</v>
      </c>
      <c r="H9937" s="606"/>
    </row>
    <row r="9938" customFormat="false" ht="15" hidden="false" customHeight="false" outlineLevel="0" collapsed="false">
      <c r="A9938" s="571"/>
      <c r="B9938" s="500"/>
      <c r="C9938" s="855" t="s">
        <v>5819</v>
      </c>
      <c r="D9938" s="316" t="s">
        <v>4191</v>
      </c>
      <c r="E9938" s="954" t="n">
        <v>0.01</v>
      </c>
      <c r="F9938" s="617" t="n">
        <v>100</v>
      </c>
      <c r="G9938" s="615" t="n">
        <f aca="false">E9938*F9938</f>
        <v>1</v>
      </c>
      <c r="H9938" s="606"/>
    </row>
    <row r="9939" customFormat="false" ht="15" hidden="false" customHeight="false" outlineLevel="0" collapsed="false">
      <c r="A9939" s="571"/>
      <c r="B9939" s="500"/>
      <c r="C9939" s="855" t="s">
        <v>5826</v>
      </c>
      <c r="D9939" s="316" t="s">
        <v>4191</v>
      </c>
      <c r="E9939" s="954" t="n">
        <v>0.01</v>
      </c>
      <c r="F9939" s="617" t="n">
        <v>236</v>
      </c>
      <c r="G9939" s="615" t="n">
        <f aca="false">E9939*F9939</f>
        <v>2.36</v>
      </c>
      <c r="H9939" s="606"/>
    </row>
    <row r="9940" customFormat="false" ht="15" hidden="false" customHeight="false" outlineLevel="0" collapsed="false">
      <c r="A9940" s="571"/>
      <c r="B9940" s="328"/>
      <c r="C9940" s="134" t="s">
        <v>5820</v>
      </c>
      <c r="D9940" s="317" t="s">
        <v>4191</v>
      </c>
      <c r="E9940" s="954" t="n">
        <v>0.01</v>
      </c>
      <c r="F9940" s="617" t="n">
        <v>400</v>
      </c>
      <c r="G9940" s="615" t="n">
        <f aca="false">E9940*F9940</f>
        <v>4</v>
      </c>
      <c r="H9940" s="912"/>
    </row>
    <row r="9941" customFormat="false" ht="15" hidden="false" customHeight="false" outlineLevel="0" collapsed="false">
      <c r="A9941" s="571"/>
      <c r="B9941" s="328"/>
      <c r="C9941" s="855" t="s">
        <v>5927</v>
      </c>
      <c r="D9941" s="316" t="s">
        <v>4348</v>
      </c>
      <c r="E9941" s="660" t="n">
        <v>1</v>
      </c>
      <c r="F9941" s="617" t="n">
        <v>110</v>
      </c>
      <c r="G9941" s="615" t="n">
        <f aca="false">E9941*F9941</f>
        <v>110</v>
      </c>
      <c r="H9941" s="606"/>
    </row>
    <row r="9942" customFormat="false" ht="15" hidden="false" customHeight="false" outlineLevel="0" collapsed="false">
      <c r="A9942" s="571"/>
      <c r="B9942" s="500"/>
      <c r="C9942" s="855" t="s">
        <v>4515</v>
      </c>
      <c r="D9942" s="316" t="s">
        <v>5564</v>
      </c>
      <c r="E9942" s="661" t="n">
        <v>0.1</v>
      </c>
      <c r="F9942" s="617" t="n">
        <v>350</v>
      </c>
      <c r="G9942" s="615" t="n">
        <f aca="false">E9942*F9942</f>
        <v>35</v>
      </c>
      <c r="H9942" s="606"/>
    </row>
    <row r="9943" customFormat="false" ht="15" hidden="false" customHeight="false" outlineLevel="0" collapsed="false">
      <c r="A9943" s="571"/>
      <c r="B9943" s="500"/>
      <c r="C9943" s="855" t="s">
        <v>4776</v>
      </c>
      <c r="D9943" s="316" t="s">
        <v>4528</v>
      </c>
      <c r="E9943" s="661" t="n">
        <v>0.2</v>
      </c>
      <c r="F9943" s="617" t="n">
        <v>720</v>
      </c>
      <c r="G9943" s="615" t="n">
        <f aca="false">E9943*F9943</f>
        <v>144</v>
      </c>
      <c r="H9943" s="912"/>
    </row>
    <row r="9944" customFormat="false" ht="15" hidden="false" customHeight="false" outlineLevel="0" collapsed="false">
      <c r="A9944" s="571"/>
      <c r="B9944" s="608" t="s">
        <v>4128</v>
      </c>
      <c r="C9944" s="964"/>
      <c r="D9944" s="965"/>
      <c r="E9944" s="968"/>
      <c r="F9944" s="967"/>
      <c r="G9944" s="613" t="n">
        <f aca="false">SUM(G9924:G9943)</f>
        <v>1275.525</v>
      </c>
      <c r="H9944" s="391"/>
    </row>
    <row r="9945" customFormat="false" ht="15" hidden="false" customHeight="false" outlineLevel="0" collapsed="false">
      <c r="A9945" s="350" t="s">
        <v>1931</v>
      </c>
      <c r="B9945" s="346" t="s">
        <v>3702</v>
      </c>
      <c r="C9945" s="811"/>
      <c r="D9945" s="790"/>
      <c r="E9945" s="945"/>
      <c r="F9945" s="519"/>
      <c r="G9945" s="753"/>
      <c r="H9945" s="790"/>
    </row>
    <row r="9946" customFormat="false" ht="30" hidden="false" customHeight="false" outlineLevel="0" collapsed="false">
      <c r="A9946" s="571" t="s">
        <v>1933</v>
      </c>
      <c r="B9946" s="433" t="s">
        <v>3703</v>
      </c>
      <c r="C9946" s="860" t="s">
        <v>5818</v>
      </c>
      <c r="D9946" s="877" t="s">
        <v>4133</v>
      </c>
      <c r="E9946" s="976" t="n">
        <v>0.01</v>
      </c>
      <c r="F9946" s="681" t="n">
        <v>67687</v>
      </c>
      <c r="G9946" s="716" t="n">
        <f aca="false">E9946*F9946</f>
        <v>676.87</v>
      </c>
      <c r="H9946" s="606"/>
    </row>
    <row r="9947" customFormat="false" ht="15" hidden="false" customHeight="false" outlineLevel="0" collapsed="false">
      <c r="A9947" s="571"/>
      <c r="B9947" s="433"/>
      <c r="C9947" s="860" t="s">
        <v>5819</v>
      </c>
      <c r="D9947" s="316" t="s">
        <v>4191</v>
      </c>
      <c r="E9947" s="954" t="n">
        <v>0.01</v>
      </c>
      <c r="F9947" s="617" t="n">
        <v>316.4</v>
      </c>
      <c r="G9947" s="615" t="n">
        <f aca="false">E9947*F9947</f>
        <v>3.164</v>
      </c>
      <c r="H9947" s="606"/>
    </row>
    <row r="9948" customFormat="false" ht="15" hidden="false" customHeight="false" outlineLevel="0" collapsed="false">
      <c r="A9948" s="571"/>
      <c r="B9948" s="500"/>
      <c r="C9948" s="860" t="s">
        <v>5820</v>
      </c>
      <c r="D9948" s="316" t="s">
        <v>4191</v>
      </c>
      <c r="E9948" s="954" t="n">
        <v>0.01</v>
      </c>
      <c r="F9948" s="617" t="n">
        <v>650</v>
      </c>
      <c r="G9948" s="615" t="n">
        <f aca="false">E9948*F9948</f>
        <v>6.5</v>
      </c>
      <c r="H9948" s="606"/>
    </row>
    <row r="9949" customFormat="false" ht="15" hidden="false" customHeight="false" outlineLevel="0" collapsed="false">
      <c r="A9949" s="571"/>
      <c r="B9949" s="500"/>
      <c r="C9949" s="860" t="s">
        <v>4515</v>
      </c>
      <c r="D9949" s="316" t="s">
        <v>4133</v>
      </c>
      <c r="E9949" s="661" t="n">
        <v>0.1</v>
      </c>
      <c r="F9949" s="681" t="n">
        <v>350</v>
      </c>
      <c r="G9949" s="615" t="n">
        <f aca="false">E9949*F9949</f>
        <v>35</v>
      </c>
      <c r="H9949" s="606"/>
    </row>
    <row r="9950" customFormat="false" ht="15" hidden="false" customHeight="false" outlineLevel="0" collapsed="false">
      <c r="A9950" s="571"/>
      <c r="B9950" s="328"/>
      <c r="C9950" s="860" t="s">
        <v>4776</v>
      </c>
      <c r="D9950" s="316" t="s">
        <v>4359</v>
      </c>
      <c r="E9950" s="958" t="n">
        <v>0.4</v>
      </c>
      <c r="F9950" s="617" t="n">
        <v>800</v>
      </c>
      <c r="G9950" s="615" t="n">
        <f aca="false">E9950*F9950</f>
        <v>320</v>
      </c>
      <c r="H9950" s="912"/>
    </row>
    <row r="9951" customFormat="false" ht="15" hidden="false" customHeight="false" outlineLevel="0" collapsed="false">
      <c r="A9951" s="571"/>
      <c r="B9951" s="608" t="s">
        <v>4128</v>
      </c>
      <c r="C9951" s="964"/>
      <c r="D9951" s="965"/>
      <c r="E9951" s="969"/>
      <c r="F9951" s="967"/>
      <c r="G9951" s="613" t="n">
        <f aca="false">SUM(G9946:G9950)</f>
        <v>1041.534</v>
      </c>
      <c r="H9951" s="606"/>
    </row>
    <row r="9952" customFormat="false" ht="30" hidden="false" customHeight="false" outlineLevel="0" collapsed="false">
      <c r="A9952" s="571" t="s">
        <v>1935</v>
      </c>
      <c r="B9952" s="433" t="s">
        <v>3704</v>
      </c>
      <c r="C9952" s="860" t="s">
        <v>5818</v>
      </c>
      <c r="D9952" s="316" t="s">
        <v>4133</v>
      </c>
      <c r="E9952" s="661" t="n">
        <v>0.01</v>
      </c>
      <c r="F9952" s="617" t="n">
        <v>67687</v>
      </c>
      <c r="G9952" s="615" t="n">
        <f aca="false">E9952*F9952</f>
        <v>676.87</v>
      </c>
      <c r="H9952" s="391"/>
    </row>
    <row r="9953" customFormat="false" ht="15" hidden="false" customHeight="false" outlineLevel="0" collapsed="false">
      <c r="A9953" s="571"/>
      <c r="B9953" s="500"/>
      <c r="C9953" s="860" t="s">
        <v>5819</v>
      </c>
      <c r="D9953" s="316" t="s">
        <v>4191</v>
      </c>
      <c r="E9953" s="954" t="n">
        <v>0.01</v>
      </c>
      <c r="F9953" s="617" t="n">
        <v>316.4</v>
      </c>
      <c r="G9953" s="615" t="n">
        <f aca="false">E9953*F9953</f>
        <v>3.164</v>
      </c>
      <c r="H9953" s="606"/>
    </row>
    <row r="9954" customFormat="false" ht="15" hidden="false" customHeight="false" outlineLevel="0" collapsed="false">
      <c r="A9954" s="571"/>
      <c r="B9954" s="500"/>
      <c r="C9954" s="860" t="s">
        <v>5820</v>
      </c>
      <c r="D9954" s="316" t="s">
        <v>4191</v>
      </c>
      <c r="E9954" s="954" t="n">
        <v>0.01</v>
      </c>
      <c r="F9954" s="617" t="n">
        <v>650</v>
      </c>
      <c r="G9954" s="615" t="n">
        <f aca="false">E9954*F9954</f>
        <v>6.5</v>
      </c>
      <c r="H9954" s="606"/>
    </row>
    <row r="9955" customFormat="false" ht="15" hidden="false" customHeight="false" outlineLevel="0" collapsed="false">
      <c r="A9955" s="571"/>
      <c r="B9955" s="500"/>
      <c r="C9955" s="860" t="s">
        <v>4515</v>
      </c>
      <c r="D9955" s="316" t="s">
        <v>4133</v>
      </c>
      <c r="E9955" s="661" t="n">
        <v>1</v>
      </c>
      <c r="F9955" s="681" t="n">
        <v>350</v>
      </c>
      <c r="G9955" s="615" t="n">
        <f aca="false">E9955*F9955</f>
        <v>350</v>
      </c>
      <c r="H9955" s="606"/>
    </row>
    <row r="9956" customFormat="false" ht="15" hidden="false" customHeight="false" outlineLevel="0" collapsed="false">
      <c r="A9956" s="571"/>
      <c r="B9956" s="500"/>
      <c r="C9956" s="860" t="s">
        <v>4776</v>
      </c>
      <c r="D9956" s="316" t="s">
        <v>4359</v>
      </c>
      <c r="E9956" s="661" t="n">
        <v>0.05</v>
      </c>
      <c r="F9956" s="617" t="n">
        <v>800</v>
      </c>
      <c r="G9956" s="615" t="n">
        <f aca="false">E9956*F9956</f>
        <v>40</v>
      </c>
      <c r="H9956" s="606"/>
    </row>
    <row r="9957" customFormat="false" ht="15" hidden="false" customHeight="false" outlineLevel="0" collapsed="false">
      <c r="A9957" s="571"/>
      <c r="B9957" s="608"/>
      <c r="C9957" s="964"/>
      <c r="D9957" s="965"/>
      <c r="E9957" s="969"/>
      <c r="F9957" s="967"/>
      <c r="G9957" s="613" t="n">
        <f aca="false">SUM(G9952:G9956)</f>
        <v>1076.534</v>
      </c>
      <c r="H9957" s="606"/>
    </row>
    <row r="9958" customFormat="false" ht="30" hidden="false" customHeight="false" outlineLevel="0" collapsed="false">
      <c r="A9958" s="571" t="s">
        <v>1937</v>
      </c>
      <c r="B9958" s="433" t="s">
        <v>3705</v>
      </c>
      <c r="C9958" s="860" t="s">
        <v>5855</v>
      </c>
      <c r="D9958" s="316" t="s">
        <v>4133</v>
      </c>
      <c r="E9958" s="664" t="n">
        <v>0.002</v>
      </c>
      <c r="F9958" s="617" t="n">
        <v>203735</v>
      </c>
      <c r="G9958" s="615" t="n">
        <f aca="false">E9958*F9958</f>
        <v>407.47</v>
      </c>
      <c r="H9958" s="606"/>
    </row>
    <row r="9959" customFormat="false" ht="15" hidden="false" customHeight="false" outlineLevel="0" collapsed="false">
      <c r="A9959" s="571"/>
      <c r="B9959" s="500"/>
      <c r="C9959" s="860" t="s">
        <v>5836</v>
      </c>
      <c r="D9959" s="316" t="s">
        <v>4133</v>
      </c>
      <c r="E9959" s="664" t="n">
        <v>0.002</v>
      </c>
      <c r="F9959" s="617" t="n">
        <v>10500</v>
      </c>
      <c r="G9959" s="615" t="n">
        <f aca="false">E9959*F9959</f>
        <v>21</v>
      </c>
      <c r="H9959" s="391"/>
    </row>
    <row r="9960" customFormat="false" ht="15" hidden="false" customHeight="false" outlineLevel="0" collapsed="false">
      <c r="A9960" s="571"/>
      <c r="B9960" s="500"/>
      <c r="C9960" s="860" t="s">
        <v>5856</v>
      </c>
      <c r="D9960" s="316" t="s">
        <v>4359</v>
      </c>
      <c r="E9960" s="664" t="n">
        <v>0.001</v>
      </c>
      <c r="F9960" s="617" t="n">
        <v>168481</v>
      </c>
      <c r="G9960" s="615" t="n">
        <f aca="false">E9960*F9960</f>
        <v>168.481</v>
      </c>
      <c r="H9960" s="606"/>
    </row>
    <row r="9961" customFormat="false" ht="15" hidden="false" customHeight="false" outlineLevel="0" collapsed="false">
      <c r="A9961" s="571"/>
      <c r="B9961" s="500"/>
      <c r="C9961" s="860" t="s">
        <v>5824</v>
      </c>
      <c r="D9961" s="316" t="s">
        <v>4359</v>
      </c>
      <c r="E9961" s="664" t="n">
        <v>0.001</v>
      </c>
      <c r="F9961" s="617" t="n">
        <v>82115</v>
      </c>
      <c r="G9961" s="615" t="n">
        <f aca="false">E9961*F9961</f>
        <v>82.115</v>
      </c>
      <c r="H9961" s="606"/>
    </row>
    <row r="9962" customFormat="false" ht="15" hidden="false" customHeight="false" outlineLevel="0" collapsed="false">
      <c r="A9962" s="571"/>
      <c r="B9962" s="328"/>
      <c r="C9962" s="860" t="s">
        <v>5857</v>
      </c>
      <c r="D9962" s="316" t="s">
        <v>4359</v>
      </c>
      <c r="E9962" s="664" t="n">
        <v>0.001</v>
      </c>
      <c r="F9962" s="617" t="n">
        <v>175794</v>
      </c>
      <c r="G9962" s="615" t="n">
        <f aca="false">E9962*F9962</f>
        <v>175.794</v>
      </c>
      <c r="H9962" s="606"/>
    </row>
    <row r="9963" customFormat="false" ht="15" hidden="false" customHeight="false" outlineLevel="0" collapsed="false">
      <c r="A9963" s="571"/>
      <c r="B9963" s="500"/>
      <c r="C9963" s="860" t="s">
        <v>5819</v>
      </c>
      <c r="D9963" s="316" t="s">
        <v>4191</v>
      </c>
      <c r="E9963" s="954" t="n">
        <v>0.001</v>
      </c>
      <c r="F9963" s="617" t="n">
        <v>316.4</v>
      </c>
      <c r="G9963" s="615" t="n">
        <f aca="false">E9963*F9963</f>
        <v>0.3164</v>
      </c>
      <c r="H9963" s="912"/>
    </row>
    <row r="9964" customFormat="false" ht="15" hidden="false" customHeight="false" outlineLevel="0" collapsed="false">
      <c r="A9964" s="571"/>
      <c r="B9964" s="500"/>
      <c r="C9964" s="860" t="s">
        <v>5826</v>
      </c>
      <c r="D9964" s="316" t="s">
        <v>4191</v>
      </c>
      <c r="E9964" s="954" t="n">
        <v>0.001</v>
      </c>
      <c r="F9964" s="617" t="n">
        <v>366.25</v>
      </c>
      <c r="G9964" s="615" t="n">
        <f aca="false">E9964*F9964</f>
        <v>0.36625</v>
      </c>
      <c r="H9964" s="606"/>
    </row>
    <row r="9965" customFormat="false" ht="15" hidden="false" customHeight="false" outlineLevel="0" collapsed="false">
      <c r="A9965" s="571"/>
      <c r="B9965" s="500"/>
      <c r="C9965" s="860" t="s">
        <v>5820</v>
      </c>
      <c r="D9965" s="316" t="s">
        <v>4191</v>
      </c>
      <c r="E9965" s="954" t="n">
        <v>0.001</v>
      </c>
      <c r="F9965" s="617" t="n">
        <v>650</v>
      </c>
      <c r="G9965" s="615" t="n">
        <f aca="false">E9965*F9965</f>
        <v>0.65</v>
      </c>
      <c r="H9965" s="606"/>
    </row>
    <row r="9966" customFormat="false" ht="15" hidden="false" customHeight="false" outlineLevel="0" collapsed="false">
      <c r="A9966" s="571"/>
      <c r="B9966" s="500"/>
      <c r="C9966" s="860" t="s">
        <v>4515</v>
      </c>
      <c r="D9966" s="316" t="s">
        <v>4133</v>
      </c>
      <c r="E9966" s="661" t="n">
        <v>0.1</v>
      </c>
      <c r="F9966" s="681" t="n">
        <v>350</v>
      </c>
      <c r="G9966" s="615" t="n">
        <f aca="false">E9966*F9966</f>
        <v>35</v>
      </c>
      <c r="H9966" s="606"/>
    </row>
    <row r="9967" customFormat="false" ht="15" hidden="false" customHeight="false" outlineLevel="0" collapsed="false">
      <c r="A9967" s="571"/>
      <c r="B9967" s="328"/>
      <c r="C9967" s="860" t="s">
        <v>4776</v>
      </c>
      <c r="D9967" s="316" t="s">
        <v>4359</v>
      </c>
      <c r="E9967" s="661" t="n">
        <v>0.4</v>
      </c>
      <c r="F9967" s="617" t="n">
        <v>800</v>
      </c>
      <c r="G9967" s="615" t="n">
        <f aca="false">E9967*F9967</f>
        <v>320</v>
      </c>
      <c r="H9967" s="606"/>
    </row>
    <row r="9968" customFormat="false" ht="15" hidden="false" customHeight="false" outlineLevel="0" collapsed="false">
      <c r="A9968" s="571"/>
      <c r="B9968" s="608" t="s">
        <v>4128</v>
      </c>
      <c r="C9968" s="964"/>
      <c r="D9968" s="965"/>
      <c r="E9968" s="969"/>
      <c r="F9968" s="967"/>
      <c r="G9968" s="613" t="n">
        <f aca="false">SUM(G9958:G9967)</f>
        <v>1211.19265</v>
      </c>
      <c r="H9968" s="606"/>
    </row>
    <row r="9969" customFormat="false" ht="15" hidden="false" customHeight="false" outlineLevel="0" collapsed="false">
      <c r="A9969" s="571" t="s">
        <v>1939</v>
      </c>
      <c r="B9969" s="433" t="s">
        <v>3706</v>
      </c>
      <c r="C9969" s="855" t="s">
        <v>5855</v>
      </c>
      <c r="D9969" s="316" t="s">
        <v>4133</v>
      </c>
      <c r="E9969" s="664" t="n">
        <v>0.001</v>
      </c>
      <c r="F9969" s="617" t="n">
        <v>203735</v>
      </c>
      <c r="G9969" s="615" t="n">
        <f aca="false">E9969*F9969</f>
        <v>203.735</v>
      </c>
      <c r="H9969" s="912"/>
    </row>
    <row r="9970" customFormat="false" ht="15" hidden="false" customHeight="false" outlineLevel="0" collapsed="false">
      <c r="A9970" s="571"/>
      <c r="B9970" s="500"/>
      <c r="C9970" s="860" t="s">
        <v>5836</v>
      </c>
      <c r="D9970" s="316" t="s">
        <v>4133</v>
      </c>
      <c r="E9970" s="664" t="n">
        <v>0.001</v>
      </c>
      <c r="F9970" s="617" t="n">
        <v>10500</v>
      </c>
      <c r="G9970" s="615" t="n">
        <f aca="false">E9970*F9970</f>
        <v>10.5</v>
      </c>
      <c r="H9970" s="606"/>
    </row>
    <row r="9971" customFormat="false" ht="15" hidden="false" customHeight="false" outlineLevel="0" collapsed="false">
      <c r="A9971" s="571"/>
      <c r="B9971" s="500"/>
      <c r="C9971" s="860" t="s">
        <v>5856</v>
      </c>
      <c r="D9971" s="316" t="s">
        <v>4359</v>
      </c>
      <c r="E9971" s="664" t="n">
        <v>0.001</v>
      </c>
      <c r="F9971" s="617" t="n">
        <v>168481</v>
      </c>
      <c r="G9971" s="615" t="n">
        <f aca="false">E9971*F9971</f>
        <v>168.481</v>
      </c>
      <c r="H9971" s="391"/>
    </row>
    <row r="9972" customFormat="false" ht="15" hidden="false" customHeight="false" outlineLevel="0" collapsed="false">
      <c r="A9972" s="571"/>
      <c r="B9972" s="500"/>
      <c r="C9972" s="860" t="s">
        <v>5824</v>
      </c>
      <c r="D9972" s="316" t="s">
        <v>4359</v>
      </c>
      <c r="E9972" s="664" t="n">
        <v>0.001</v>
      </c>
      <c r="F9972" s="617" t="n">
        <v>82115</v>
      </c>
      <c r="G9972" s="615" t="n">
        <f aca="false">E9972*F9972</f>
        <v>82.115</v>
      </c>
      <c r="H9972" s="606"/>
    </row>
    <row r="9973" customFormat="false" ht="15" hidden="false" customHeight="false" outlineLevel="0" collapsed="false">
      <c r="A9973" s="571"/>
      <c r="B9973" s="500"/>
      <c r="C9973" s="860" t="s">
        <v>5857</v>
      </c>
      <c r="D9973" s="316" t="s">
        <v>4359</v>
      </c>
      <c r="E9973" s="661" t="n">
        <v>0.005</v>
      </c>
      <c r="F9973" s="617" t="n">
        <v>175794</v>
      </c>
      <c r="G9973" s="615" t="n">
        <f aca="false">E9973*F9973</f>
        <v>878.97</v>
      </c>
      <c r="H9973" s="606"/>
    </row>
    <row r="9974" customFormat="false" ht="15" hidden="false" customHeight="false" outlineLevel="0" collapsed="false">
      <c r="A9974" s="571"/>
      <c r="B9974" s="500"/>
      <c r="C9974" s="860" t="s">
        <v>5819</v>
      </c>
      <c r="D9974" s="316" t="s">
        <v>4191</v>
      </c>
      <c r="E9974" s="954" t="n">
        <v>0.01</v>
      </c>
      <c r="F9974" s="617" t="n">
        <v>316.4</v>
      </c>
      <c r="G9974" s="615" t="n">
        <f aca="false">E9974*F9974</f>
        <v>3.164</v>
      </c>
      <c r="H9974" s="606"/>
    </row>
    <row r="9975" customFormat="false" ht="15" hidden="false" customHeight="false" outlineLevel="0" collapsed="false">
      <c r="A9975" s="571"/>
      <c r="B9975" s="500"/>
      <c r="C9975" s="860" t="s">
        <v>5826</v>
      </c>
      <c r="D9975" s="316" t="s">
        <v>4191</v>
      </c>
      <c r="E9975" s="954" t="n">
        <v>0.01</v>
      </c>
      <c r="F9975" s="617" t="n">
        <v>366.25</v>
      </c>
      <c r="G9975" s="615" t="n">
        <f aca="false">E9975*F9975</f>
        <v>3.6625</v>
      </c>
      <c r="H9975" s="606"/>
    </row>
    <row r="9976" customFormat="false" ht="15" hidden="false" customHeight="false" outlineLevel="0" collapsed="false">
      <c r="A9976" s="571"/>
      <c r="B9976" s="500"/>
      <c r="C9976" s="860" t="s">
        <v>5820</v>
      </c>
      <c r="D9976" s="316" t="s">
        <v>4191</v>
      </c>
      <c r="E9976" s="954" t="n">
        <v>0.01</v>
      </c>
      <c r="F9976" s="617" t="n">
        <v>650</v>
      </c>
      <c r="G9976" s="615" t="n">
        <f aca="false">E9976*F9976</f>
        <v>6.5</v>
      </c>
      <c r="H9976" s="606"/>
    </row>
    <row r="9977" customFormat="false" ht="15" hidden="false" customHeight="false" outlineLevel="0" collapsed="false">
      <c r="A9977" s="571"/>
      <c r="B9977" s="500"/>
      <c r="C9977" s="860" t="s">
        <v>4515</v>
      </c>
      <c r="D9977" s="316" t="s">
        <v>4133</v>
      </c>
      <c r="E9977" s="661" t="n">
        <v>0.1</v>
      </c>
      <c r="F9977" s="681" t="n">
        <v>350</v>
      </c>
      <c r="G9977" s="615" t="n">
        <f aca="false">E9977*F9977</f>
        <v>35</v>
      </c>
      <c r="H9977" s="606"/>
    </row>
    <row r="9978" customFormat="false" ht="15" hidden="false" customHeight="false" outlineLevel="0" collapsed="false">
      <c r="A9978" s="571"/>
      <c r="B9978" s="500"/>
      <c r="C9978" s="860" t="s">
        <v>4776</v>
      </c>
      <c r="D9978" s="316" t="s">
        <v>4359</v>
      </c>
      <c r="E9978" s="661" t="n">
        <v>0.5</v>
      </c>
      <c r="F9978" s="617" t="n">
        <v>800</v>
      </c>
      <c r="G9978" s="615" t="n">
        <f aca="false">E9978*F9978</f>
        <v>400</v>
      </c>
      <c r="H9978" s="606"/>
    </row>
    <row r="9979" customFormat="false" ht="15" hidden="false" customHeight="false" outlineLevel="0" collapsed="false">
      <c r="A9979" s="571"/>
      <c r="B9979" s="608" t="s">
        <v>4128</v>
      </c>
      <c r="C9979" s="964"/>
      <c r="D9979" s="965"/>
      <c r="E9979" s="969"/>
      <c r="F9979" s="967"/>
      <c r="G9979" s="613" t="n">
        <f aca="false">SUM(G9969:G9978)</f>
        <v>1792.1275</v>
      </c>
      <c r="H9979" s="912"/>
    </row>
    <row r="9980" customFormat="false" ht="30" hidden="false" customHeight="false" outlineLevel="0" collapsed="false">
      <c r="A9980" s="571" t="s">
        <v>1941</v>
      </c>
      <c r="B9980" s="433" t="s">
        <v>3707</v>
      </c>
      <c r="C9980" s="860" t="s">
        <v>5880</v>
      </c>
      <c r="D9980" s="316" t="s">
        <v>4133</v>
      </c>
      <c r="E9980" s="661" t="n">
        <v>0.01</v>
      </c>
      <c r="F9980" s="617" t="n">
        <v>45799</v>
      </c>
      <c r="G9980" s="615" t="n">
        <f aca="false">E9980*F9980</f>
        <v>457.99</v>
      </c>
      <c r="H9980" s="606"/>
    </row>
    <row r="9981" customFormat="false" ht="15" hidden="false" customHeight="false" outlineLevel="0" collapsed="false">
      <c r="A9981" s="571"/>
      <c r="B9981" s="500"/>
      <c r="C9981" s="860" t="s">
        <v>5929</v>
      </c>
      <c r="D9981" s="316" t="s">
        <v>4133</v>
      </c>
      <c r="E9981" s="661" t="n">
        <v>0.01</v>
      </c>
      <c r="F9981" s="617" t="n">
        <v>60290</v>
      </c>
      <c r="G9981" s="615" t="n">
        <f aca="false">E9981*F9981</f>
        <v>602.9</v>
      </c>
      <c r="H9981" s="606"/>
    </row>
    <row r="9982" customFormat="false" ht="15" hidden="false" customHeight="false" outlineLevel="0" collapsed="false">
      <c r="A9982" s="571"/>
      <c r="B9982" s="500"/>
      <c r="C9982" s="860" t="s">
        <v>5824</v>
      </c>
      <c r="D9982" s="316" t="s">
        <v>4359</v>
      </c>
      <c r="E9982" s="661" t="n">
        <v>0.001</v>
      </c>
      <c r="F9982" s="617" t="n">
        <v>82115</v>
      </c>
      <c r="G9982" s="615" t="n">
        <f aca="false">E9982*F9982</f>
        <v>82.115</v>
      </c>
      <c r="H9982" s="606"/>
    </row>
    <row r="9983" customFormat="false" ht="15" hidden="false" customHeight="false" outlineLevel="0" collapsed="false">
      <c r="A9983" s="571"/>
      <c r="B9983" s="608"/>
      <c r="C9983" s="860" t="s">
        <v>5819</v>
      </c>
      <c r="D9983" s="316" t="s">
        <v>4191</v>
      </c>
      <c r="E9983" s="954" t="n">
        <v>0.001</v>
      </c>
      <c r="F9983" s="617" t="n">
        <v>316.4</v>
      </c>
      <c r="G9983" s="615" t="n">
        <f aca="false">E9983*F9983</f>
        <v>0.3164</v>
      </c>
      <c r="H9983" s="391"/>
    </row>
    <row r="9984" customFormat="false" ht="15" hidden="false" customHeight="false" outlineLevel="0" collapsed="false">
      <c r="A9984" s="571"/>
      <c r="B9984" s="328"/>
      <c r="C9984" s="860" t="s">
        <v>5826</v>
      </c>
      <c r="D9984" s="316" t="s">
        <v>4191</v>
      </c>
      <c r="E9984" s="954" t="n">
        <v>0.001</v>
      </c>
      <c r="F9984" s="617" t="n">
        <v>366.25</v>
      </c>
      <c r="G9984" s="615" t="n">
        <f aca="false">E9984*F9984</f>
        <v>0.36625</v>
      </c>
      <c r="H9984" s="606"/>
    </row>
    <row r="9985" customFormat="false" ht="15" hidden="false" customHeight="false" outlineLevel="0" collapsed="false">
      <c r="A9985" s="571"/>
      <c r="B9985" s="500"/>
      <c r="C9985" s="860" t="s">
        <v>5820</v>
      </c>
      <c r="D9985" s="316" t="s">
        <v>4191</v>
      </c>
      <c r="E9985" s="954" t="n">
        <v>0.001</v>
      </c>
      <c r="F9985" s="617" t="n">
        <v>650</v>
      </c>
      <c r="G9985" s="615" t="n">
        <f aca="false">E9985*F9985</f>
        <v>0.65</v>
      </c>
      <c r="H9985" s="606"/>
    </row>
    <row r="9986" customFormat="false" ht="15" hidden="false" customHeight="false" outlineLevel="0" collapsed="false">
      <c r="A9986" s="571"/>
      <c r="B9986" s="500"/>
      <c r="C9986" s="860" t="s">
        <v>4515</v>
      </c>
      <c r="D9986" s="316" t="s">
        <v>4133</v>
      </c>
      <c r="E9986" s="661" t="n">
        <v>0.1</v>
      </c>
      <c r="F9986" s="681" t="n">
        <v>350</v>
      </c>
      <c r="G9986" s="615" t="n">
        <f aca="false">E9986*F9986</f>
        <v>35</v>
      </c>
      <c r="H9986" s="606"/>
    </row>
    <row r="9987" customFormat="false" ht="15" hidden="false" customHeight="false" outlineLevel="0" collapsed="false">
      <c r="A9987" s="571"/>
      <c r="B9987" s="500"/>
      <c r="C9987" s="860" t="s">
        <v>4776</v>
      </c>
      <c r="D9987" s="316" t="s">
        <v>4359</v>
      </c>
      <c r="E9987" s="661" t="n">
        <v>0.1</v>
      </c>
      <c r="F9987" s="617" t="n">
        <v>800</v>
      </c>
      <c r="G9987" s="615" t="n">
        <f aca="false">E9987*F9987</f>
        <v>80</v>
      </c>
      <c r="H9987" s="391"/>
    </row>
    <row r="9988" customFormat="false" ht="15" hidden="false" customHeight="false" outlineLevel="0" collapsed="false">
      <c r="A9988" s="571"/>
      <c r="B9988" s="608" t="s">
        <v>4128</v>
      </c>
      <c r="C9988" s="964"/>
      <c r="D9988" s="965"/>
      <c r="E9988" s="969"/>
      <c r="F9988" s="967"/>
      <c r="G9988" s="613" t="n">
        <f aca="false">SUM(G9980:G9987)</f>
        <v>1259.33765</v>
      </c>
      <c r="H9988" s="606"/>
    </row>
    <row r="9989" customFormat="false" ht="30" hidden="false" customHeight="false" outlineLevel="0" collapsed="false">
      <c r="A9989" s="571" t="s">
        <v>1943</v>
      </c>
      <c r="B9989" s="433" t="s">
        <v>3708</v>
      </c>
      <c r="C9989" s="860" t="s">
        <v>5880</v>
      </c>
      <c r="D9989" s="316" t="s">
        <v>4133</v>
      </c>
      <c r="E9989" s="661" t="n">
        <v>0.01</v>
      </c>
      <c r="F9989" s="617" t="n">
        <v>45799</v>
      </c>
      <c r="G9989" s="615" t="n">
        <f aca="false">E9989*F9989</f>
        <v>457.99</v>
      </c>
      <c r="H9989" s="606"/>
    </row>
    <row r="9990" customFormat="false" ht="15" hidden="false" customHeight="false" outlineLevel="0" collapsed="false">
      <c r="A9990" s="571"/>
      <c r="B9990" s="500"/>
      <c r="C9990" s="860" t="s">
        <v>5929</v>
      </c>
      <c r="D9990" s="316" t="s">
        <v>4133</v>
      </c>
      <c r="E9990" s="661" t="n">
        <v>0.01</v>
      </c>
      <c r="F9990" s="617" t="n">
        <v>60290</v>
      </c>
      <c r="G9990" s="615" t="n">
        <f aca="false">E9990*F9990</f>
        <v>602.9</v>
      </c>
      <c r="H9990" s="606"/>
    </row>
    <row r="9991" customFormat="false" ht="15" hidden="false" customHeight="false" outlineLevel="0" collapsed="false">
      <c r="A9991" s="571"/>
      <c r="B9991" s="500"/>
      <c r="C9991" s="860" t="s">
        <v>5824</v>
      </c>
      <c r="D9991" s="316" t="s">
        <v>4359</v>
      </c>
      <c r="E9991" s="661" t="n">
        <v>0.001</v>
      </c>
      <c r="F9991" s="617" t="n">
        <v>82115</v>
      </c>
      <c r="G9991" s="615" t="n">
        <f aca="false">E9991*F9991</f>
        <v>82.115</v>
      </c>
      <c r="H9991" s="606"/>
    </row>
    <row r="9992" customFormat="false" ht="15" hidden="false" customHeight="false" outlineLevel="0" collapsed="false">
      <c r="A9992" s="571"/>
      <c r="B9992" s="500"/>
      <c r="C9992" s="860" t="s">
        <v>5819</v>
      </c>
      <c r="D9992" s="877" t="s">
        <v>4191</v>
      </c>
      <c r="E9992" s="954" t="n">
        <v>0.001</v>
      </c>
      <c r="F9992" s="681" t="n">
        <v>316.4</v>
      </c>
      <c r="G9992" s="615" t="n">
        <f aca="false">E9992*F9992</f>
        <v>0.3164</v>
      </c>
      <c r="H9992" s="606"/>
    </row>
    <row r="9993" customFormat="false" ht="15" hidden="false" customHeight="false" outlineLevel="0" collapsed="false">
      <c r="A9993" s="571"/>
      <c r="B9993" s="500"/>
      <c r="C9993" s="860" t="s">
        <v>5826</v>
      </c>
      <c r="D9993" s="316" t="s">
        <v>4191</v>
      </c>
      <c r="E9993" s="954" t="n">
        <v>0.001</v>
      </c>
      <c r="F9993" s="617" t="n">
        <v>366.25</v>
      </c>
      <c r="G9993" s="615" t="n">
        <f aca="false">E9993*F9993</f>
        <v>0.36625</v>
      </c>
      <c r="H9993" s="391"/>
    </row>
    <row r="9994" customFormat="false" ht="15" hidden="false" customHeight="false" outlineLevel="0" collapsed="false">
      <c r="A9994" s="571"/>
      <c r="B9994" s="500"/>
      <c r="C9994" s="860" t="s">
        <v>5820</v>
      </c>
      <c r="D9994" s="316" t="s">
        <v>4191</v>
      </c>
      <c r="E9994" s="954" t="n">
        <v>0.001</v>
      </c>
      <c r="F9994" s="617" t="n">
        <v>650</v>
      </c>
      <c r="G9994" s="615" t="n">
        <f aca="false">E9994*F9994</f>
        <v>0.65</v>
      </c>
      <c r="H9994" s="606"/>
    </row>
    <row r="9995" customFormat="false" ht="15" hidden="false" customHeight="false" outlineLevel="0" collapsed="false">
      <c r="A9995" s="571"/>
      <c r="B9995" s="500"/>
      <c r="C9995" s="860" t="s">
        <v>4515</v>
      </c>
      <c r="D9995" s="316" t="s">
        <v>4133</v>
      </c>
      <c r="E9995" s="661" t="n">
        <v>0.1</v>
      </c>
      <c r="F9995" s="681" t="n">
        <v>350</v>
      </c>
      <c r="G9995" s="615" t="n">
        <f aca="false">E9995*F9995</f>
        <v>35</v>
      </c>
      <c r="H9995" s="606"/>
    </row>
    <row r="9996" customFormat="false" ht="15" hidden="false" customHeight="false" outlineLevel="0" collapsed="false">
      <c r="A9996" s="571"/>
      <c r="B9996" s="500"/>
      <c r="C9996" s="860" t="s">
        <v>4776</v>
      </c>
      <c r="D9996" s="316" t="s">
        <v>4359</v>
      </c>
      <c r="E9996" s="661" t="n">
        <v>0.1</v>
      </c>
      <c r="F9996" s="617" t="n">
        <v>800</v>
      </c>
      <c r="G9996" s="615" t="n">
        <f aca="false">E9996*F9996</f>
        <v>80</v>
      </c>
      <c r="H9996" s="606"/>
    </row>
    <row r="9997" customFormat="false" ht="15" hidden="false" customHeight="false" outlineLevel="0" collapsed="false">
      <c r="A9997" s="571"/>
      <c r="B9997" s="608" t="s">
        <v>4128</v>
      </c>
      <c r="C9997" s="718"/>
      <c r="D9997" s="610"/>
      <c r="E9997" s="611"/>
      <c r="F9997" s="612"/>
      <c r="G9997" s="613" t="n">
        <f aca="false">SUM(G9989:G9996)</f>
        <v>1259.33765</v>
      </c>
      <c r="H9997" s="606"/>
    </row>
    <row r="9998" customFormat="false" ht="15" hidden="false" customHeight="false" outlineLevel="0" collapsed="false">
      <c r="A9998" s="350" t="s">
        <v>1945</v>
      </c>
      <c r="B9998" s="346" t="s">
        <v>3709</v>
      </c>
      <c r="C9998" s="811"/>
      <c r="D9998" s="790"/>
      <c r="E9998" s="752"/>
      <c r="F9998" s="519"/>
      <c r="G9998" s="753"/>
      <c r="H9998" s="790"/>
    </row>
    <row r="9999" customFormat="false" ht="60" hidden="false" customHeight="false" outlineLevel="0" collapsed="false">
      <c r="A9999" s="571" t="s">
        <v>1947</v>
      </c>
      <c r="B9999" s="433" t="s">
        <v>3710</v>
      </c>
      <c r="C9999" s="860" t="s">
        <v>5818</v>
      </c>
      <c r="D9999" s="316" t="s">
        <v>4133</v>
      </c>
      <c r="E9999" s="664" t="n">
        <v>0.01</v>
      </c>
      <c r="F9999" s="617" t="n">
        <v>67687</v>
      </c>
      <c r="G9999" s="615" t="n">
        <f aca="false">E9999*F9999</f>
        <v>676.87</v>
      </c>
      <c r="H9999" s="606"/>
    </row>
    <row r="10000" customFormat="false" ht="15" hidden="false" customHeight="false" outlineLevel="0" collapsed="false">
      <c r="A10000" s="571"/>
      <c r="B10000" s="500"/>
      <c r="C10000" s="860" t="s">
        <v>5819</v>
      </c>
      <c r="D10000" s="316" t="s">
        <v>4191</v>
      </c>
      <c r="E10000" s="954" t="n">
        <v>0.01</v>
      </c>
      <c r="F10000" s="617" t="n">
        <v>316.4</v>
      </c>
      <c r="G10000" s="615" t="n">
        <f aca="false">E10000*F10000</f>
        <v>3.164</v>
      </c>
      <c r="H10000" s="606"/>
    </row>
    <row r="10001" customFormat="false" ht="15" hidden="false" customHeight="false" outlineLevel="0" collapsed="false">
      <c r="A10001" s="571"/>
      <c r="B10001" s="500"/>
      <c r="C10001" s="860" t="s">
        <v>5826</v>
      </c>
      <c r="D10001" s="316" t="s">
        <v>4191</v>
      </c>
      <c r="E10001" s="954" t="n">
        <v>0.01</v>
      </c>
      <c r="F10001" s="617" t="n">
        <v>366.25</v>
      </c>
      <c r="G10001" s="615" t="n">
        <f aca="false">E10001*F10001</f>
        <v>3.6625</v>
      </c>
      <c r="H10001" s="606"/>
    </row>
    <row r="10002" customFormat="false" ht="15" hidden="false" customHeight="false" outlineLevel="0" collapsed="false">
      <c r="A10002" s="571"/>
      <c r="B10002" s="500"/>
      <c r="C10002" s="860" t="s">
        <v>5820</v>
      </c>
      <c r="D10002" s="316" t="s">
        <v>4191</v>
      </c>
      <c r="E10002" s="954" t="n">
        <v>0.01</v>
      </c>
      <c r="F10002" s="617" t="n">
        <v>650</v>
      </c>
      <c r="G10002" s="615" t="n">
        <f aca="false">E10002*F10002</f>
        <v>6.5</v>
      </c>
      <c r="H10002" s="912"/>
    </row>
    <row r="10003" customFormat="false" ht="15" hidden="false" customHeight="false" outlineLevel="0" collapsed="false">
      <c r="A10003" s="571"/>
      <c r="B10003" s="500"/>
      <c r="C10003" s="860" t="s">
        <v>5861</v>
      </c>
      <c r="D10003" s="316" t="s">
        <v>5452</v>
      </c>
      <c r="E10003" s="660" t="n">
        <v>0.001</v>
      </c>
      <c r="F10003" s="617" t="n">
        <v>150375</v>
      </c>
      <c r="G10003" s="615" t="n">
        <f aca="false">E10003*F10003</f>
        <v>150.375</v>
      </c>
      <c r="H10003" s="391"/>
    </row>
    <row r="10004" customFormat="false" ht="15" hidden="false" customHeight="false" outlineLevel="0" collapsed="false">
      <c r="A10004" s="571"/>
      <c r="B10004" s="500"/>
      <c r="C10004" s="860" t="s">
        <v>5859</v>
      </c>
      <c r="D10004" s="316" t="s">
        <v>4359</v>
      </c>
      <c r="E10004" s="958" t="n">
        <v>0.1</v>
      </c>
      <c r="F10004" s="617" t="n">
        <v>1995</v>
      </c>
      <c r="G10004" s="615" t="n">
        <f aca="false">E10004*F10004</f>
        <v>199.5</v>
      </c>
      <c r="H10004" s="606"/>
    </row>
    <row r="10005" customFormat="false" ht="15" hidden="false" customHeight="false" outlineLevel="0" collapsed="false">
      <c r="A10005" s="571"/>
      <c r="B10005" s="500"/>
      <c r="C10005" s="860" t="s">
        <v>4515</v>
      </c>
      <c r="D10005" s="316" t="s">
        <v>4133</v>
      </c>
      <c r="E10005" s="661" t="n">
        <v>0.1</v>
      </c>
      <c r="F10005" s="681" t="n">
        <v>350</v>
      </c>
      <c r="G10005" s="615" t="n">
        <f aca="false">E10005*F10005</f>
        <v>35</v>
      </c>
      <c r="H10005" s="606"/>
    </row>
    <row r="10006" customFormat="false" ht="15" hidden="false" customHeight="false" outlineLevel="0" collapsed="false">
      <c r="A10006" s="571"/>
      <c r="B10006" s="500"/>
      <c r="C10006" s="860" t="s">
        <v>4776</v>
      </c>
      <c r="D10006" s="316" t="s">
        <v>4359</v>
      </c>
      <c r="E10006" s="661" t="n">
        <v>0.28</v>
      </c>
      <c r="F10006" s="617" t="n">
        <v>800</v>
      </c>
      <c r="G10006" s="615" t="n">
        <f aca="false">E10006*F10006</f>
        <v>224</v>
      </c>
      <c r="H10006" s="606"/>
    </row>
    <row r="10007" customFormat="false" ht="15" hidden="false" customHeight="false" outlineLevel="0" collapsed="false">
      <c r="A10007" s="571"/>
      <c r="B10007" s="608" t="s">
        <v>4128</v>
      </c>
      <c r="C10007" s="709"/>
      <c r="D10007" s="606"/>
      <c r="E10007" s="622"/>
      <c r="F10007" s="361"/>
      <c r="G10007" s="613" t="n">
        <f aca="false">SUM(G9999:G10006)</f>
        <v>1299.0715</v>
      </c>
      <c r="H10007" s="606"/>
    </row>
    <row r="10008" customFormat="false" ht="30" hidden="false" customHeight="false" outlineLevel="0" collapsed="false">
      <c r="A10008" s="571" t="s">
        <v>1949</v>
      </c>
      <c r="B10008" s="433" t="s">
        <v>3711</v>
      </c>
      <c r="C10008" s="860" t="s">
        <v>5860</v>
      </c>
      <c r="D10008" s="316" t="s">
        <v>4133</v>
      </c>
      <c r="E10008" s="664" t="n">
        <v>0.01</v>
      </c>
      <c r="F10008" s="617" t="n">
        <v>35035</v>
      </c>
      <c r="G10008" s="615" t="n">
        <f aca="false">E10008*F10008</f>
        <v>350.35</v>
      </c>
      <c r="H10008" s="606"/>
    </row>
    <row r="10009" customFormat="false" ht="15" hidden="false" customHeight="false" outlineLevel="0" collapsed="false">
      <c r="A10009" s="571"/>
      <c r="B10009" s="500"/>
      <c r="C10009" s="860" t="s">
        <v>5823</v>
      </c>
      <c r="D10009" s="316" t="s">
        <v>4133</v>
      </c>
      <c r="E10009" s="664" t="n">
        <v>0.01</v>
      </c>
      <c r="F10009" s="617" t="n">
        <v>69797</v>
      </c>
      <c r="G10009" s="615" t="n">
        <f aca="false">E10009*F10009</f>
        <v>697.97</v>
      </c>
      <c r="H10009" s="606"/>
    </row>
    <row r="10010" customFormat="false" ht="15" hidden="false" customHeight="false" outlineLevel="0" collapsed="false">
      <c r="A10010" s="571"/>
      <c r="B10010" s="500"/>
      <c r="C10010" s="860" t="s">
        <v>5825</v>
      </c>
      <c r="D10010" s="316" t="s">
        <v>5452</v>
      </c>
      <c r="E10010" s="661" t="n">
        <v>0.01</v>
      </c>
      <c r="F10010" s="617" t="n">
        <v>8468</v>
      </c>
      <c r="G10010" s="615" t="n">
        <f aca="false">E10010*F10010</f>
        <v>84.68</v>
      </c>
      <c r="H10010" s="606"/>
    </row>
    <row r="10011" customFormat="false" ht="15" hidden="false" customHeight="false" outlineLevel="0" collapsed="false">
      <c r="A10011" s="571"/>
      <c r="B10011" s="500"/>
      <c r="C10011" s="860" t="s">
        <v>5824</v>
      </c>
      <c r="D10011" s="316" t="s">
        <v>4359</v>
      </c>
      <c r="E10011" s="664" t="n">
        <v>0.001</v>
      </c>
      <c r="F10011" s="617" t="n">
        <v>82115</v>
      </c>
      <c r="G10011" s="615" t="n">
        <f aca="false">E10011*F10011</f>
        <v>82.115</v>
      </c>
      <c r="H10011" s="606"/>
    </row>
    <row r="10012" customFormat="false" ht="15" hidden="false" customHeight="false" outlineLevel="0" collapsed="false">
      <c r="A10012" s="571"/>
      <c r="B10012" s="500"/>
      <c r="C10012" s="860" t="s">
        <v>5819</v>
      </c>
      <c r="D10012" s="316" t="s">
        <v>4191</v>
      </c>
      <c r="E10012" s="954" t="n">
        <v>0.01</v>
      </c>
      <c r="F10012" s="617" t="n">
        <v>316.4</v>
      </c>
      <c r="G10012" s="615" t="n">
        <f aca="false">E10012*F10012</f>
        <v>3.164</v>
      </c>
      <c r="H10012" s="606"/>
    </row>
    <row r="10013" customFormat="false" ht="15" hidden="false" customHeight="false" outlineLevel="0" collapsed="false">
      <c r="A10013" s="571"/>
      <c r="B10013" s="500"/>
      <c r="C10013" s="860" t="s">
        <v>5826</v>
      </c>
      <c r="D10013" s="316" t="s">
        <v>4191</v>
      </c>
      <c r="E10013" s="954" t="n">
        <v>0.01</v>
      </c>
      <c r="F10013" s="617" t="n">
        <v>366.25</v>
      </c>
      <c r="G10013" s="615" t="n">
        <f aca="false">E10013*F10013</f>
        <v>3.6625</v>
      </c>
      <c r="H10013" s="606"/>
    </row>
    <row r="10014" customFormat="false" ht="15" hidden="false" customHeight="false" outlineLevel="0" collapsed="false">
      <c r="A10014" s="571"/>
      <c r="B10014" s="500"/>
      <c r="C10014" s="860" t="s">
        <v>5820</v>
      </c>
      <c r="D10014" s="316" t="s">
        <v>4191</v>
      </c>
      <c r="E10014" s="954" t="n">
        <v>0.01</v>
      </c>
      <c r="F10014" s="617" t="n">
        <v>650</v>
      </c>
      <c r="G10014" s="615" t="n">
        <f aca="false">E10014*F10014</f>
        <v>6.5</v>
      </c>
      <c r="H10014" s="606"/>
    </row>
    <row r="10015" customFormat="false" ht="15" hidden="false" customHeight="false" outlineLevel="0" collapsed="false">
      <c r="A10015" s="571"/>
      <c r="B10015" s="500"/>
      <c r="C10015" s="860" t="s">
        <v>5859</v>
      </c>
      <c r="D10015" s="316" t="s">
        <v>4359</v>
      </c>
      <c r="E10015" s="661" t="n">
        <v>0.01</v>
      </c>
      <c r="F10015" s="617" t="n">
        <v>1995</v>
      </c>
      <c r="G10015" s="615" t="n">
        <f aca="false">E10015*F10015</f>
        <v>19.95</v>
      </c>
      <c r="H10015" s="391"/>
    </row>
    <row r="10016" customFormat="false" ht="15" hidden="false" customHeight="false" outlineLevel="0" collapsed="false">
      <c r="A10016" s="571"/>
      <c r="B10016" s="500"/>
      <c r="C10016" s="860" t="s">
        <v>5861</v>
      </c>
      <c r="D10016" s="316" t="s">
        <v>5452</v>
      </c>
      <c r="E10016" s="660" t="n">
        <v>0.001</v>
      </c>
      <c r="F10016" s="617" t="n">
        <v>150375</v>
      </c>
      <c r="G10016" s="615" t="n">
        <f aca="false">E10016*F10016</f>
        <v>150.375</v>
      </c>
      <c r="H10016" s="606"/>
    </row>
    <row r="10017" customFormat="false" ht="15" hidden="false" customHeight="false" outlineLevel="0" collapsed="false">
      <c r="A10017" s="571"/>
      <c r="B10017" s="500"/>
      <c r="C10017" s="860" t="s">
        <v>4515</v>
      </c>
      <c r="D10017" s="316" t="s">
        <v>4133</v>
      </c>
      <c r="E10017" s="661" t="n">
        <v>0.1</v>
      </c>
      <c r="F10017" s="681" t="n">
        <v>350</v>
      </c>
      <c r="G10017" s="615" t="n">
        <f aca="false">E10017*F10017</f>
        <v>35</v>
      </c>
      <c r="H10017" s="606"/>
    </row>
    <row r="10018" customFormat="false" ht="15" hidden="false" customHeight="false" outlineLevel="0" collapsed="false">
      <c r="A10018" s="571"/>
      <c r="B10018" s="608"/>
      <c r="C10018" s="860" t="s">
        <v>4776</v>
      </c>
      <c r="D10018" s="316" t="s">
        <v>4359</v>
      </c>
      <c r="E10018" s="661" t="n">
        <v>0.1</v>
      </c>
      <c r="F10018" s="617" t="n">
        <v>800</v>
      </c>
      <c r="G10018" s="615" t="n">
        <f aca="false">E10018*F10018</f>
        <v>80</v>
      </c>
      <c r="H10018" s="606"/>
    </row>
    <row r="10019" customFormat="false" ht="15" hidden="false" customHeight="false" outlineLevel="0" collapsed="false">
      <c r="A10019" s="571"/>
      <c r="B10019" s="608" t="s">
        <v>4128</v>
      </c>
      <c r="C10019" s="718"/>
      <c r="D10019" s="610"/>
      <c r="E10019" s="611"/>
      <c r="F10019" s="612"/>
      <c r="G10019" s="613" t="n">
        <f aca="false">SUM(G10008:G10018)</f>
        <v>1513.7665</v>
      </c>
      <c r="H10019" s="606"/>
    </row>
    <row r="10020" customFormat="false" ht="30" hidden="false" customHeight="false" outlineLevel="0" collapsed="false">
      <c r="A10020" s="707" t="s">
        <v>1950</v>
      </c>
      <c r="B10020" s="433" t="s">
        <v>3693</v>
      </c>
      <c r="C10020" s="860" t="s">
        <v>5852</v>
      </c>
      <c r="D10020" s="316" t="s">
        <v>4133</v>
      </c>
      <c r="E10020" s="664" t="n">
        <v>0.002</v>
      </c>
      <c r="F10020" s="617" t="n">
        <v>39930</v>
      </c>
      <c r="G10020" s="615" t="n">
        <f aca="false">E10020*F10020</f>
        <v>79.86</v>
      </c>
      <c r="H10020" s="606"/>
    </row>
    <row r="10021" customFormat="false" ht="15" hidden="false" customHeight="false" outlineLevel="0" collapsed="false">
      <c r="A10021" s="571"/>
      <c r="B10021" s="500"/>
      <c r="C10021" s="860" t="s">
        <v>5855</v>
      </c>
      <c r="D10021" s="316" t="s">
        <v>4133</v>
      </c>
      <c r="E10021" s="664" t="n">
        <v>0.002</v>
      </c>
      <c r="F10021" s="617" t="n">
        <v>203735</v>
      </c>
      <c r="G10021" s="615" t="n">
        <f aca="false">E10021*F10021</f>
        <v>407.47</v>
      </c>
      <c r="H10021" s="606"/>
    </row>
    <row r="10022" customFormat="false" ht="15" hidden="false" customHeight="false" outlineLevel="0" collapsed="false">
      <c r="A10022" s="571"/>
      <c r="B10022" s="500"/>
      <c r="C10022" s="860" t="s">
        <v>5856</v>
      </c>
      <c r="D10022" s="316" t="s">
        <v>4359</v>
      </c>
      <c r="E10022" s="664" t="n">
        <v>0.001</v>
      </c>
      <c r="F10022" s="617" t="n">
        <v>168481</v>
      </c>
      <c r="G10022" s="615" t="n">
        <f aca="false">E10022*F10022</f>
        <v>168.481</v>
      </c>
      <c r="H10022" s="606"/>
    </row>
    <row r="10023" customFormat="false" ht="15" hidden="false" customHeight="false" outlineLevel="0" collapsed="false">
      <c r="A10023" s="571"/>
      <c r="B10023" s="608"/>
      <c r="C10023" s="964" t="s">
        <v>5824</v>
      </c>
      <c r="D10023" s="965" t="s">
        <v>4359</v>
      </c>
      <c r="E10023" s="664" t="n">
        <v>0.001</v>
      </c>
      <c r="F10023" s="617" t="n">
        <v>82115</v>
      </c>
      <c r="G10023" s="615" t="n">
        <f aca="false">E10023*F10023</f>
        <v>82.115</v>
      </c>
      <c r="H10023" s="606"/>
    </row>
    <row r="10024" customFormat="false" ht="15" hidden="false" customHeight="false" outlineLevel="0" collapsed="false">
      <c r="A10024" s="571"/>
      <c r="B10024" s="489"/>
      <c r="C10024" s="860" t="s">
        <v>5863</v>
      </c>
      <c r="D10024" s="316" t="s">
        <v>4133</v>
      </c>
      <c r="E10024" s="664" t="n">
        <v>0.001</v>
      </c>
      <c r="F10024" s="617" t="n">
        <v>46585</v>
      </c>
      <c r="G10024" s="615" t="n">
        <f aca="false">E10024*F10024</f>
        <v>46.585</v>
      </c>
      <c r="H10024" s="606"/>
    </row>
    <row r="10025" customFormat="false" ht="15" hidden="false" customHeight="false" outlineLevel="0" collapsed="false">
      <c r="A10025" s="571"/>
      <c r="B10025" s="500"/>
      <c r="C10025" s="860" t="s">
        <v>5859</v>
      </c>
      <c r="D10025" s="316" t="s">
        <v>4359</v>
      </c>
      <c r="E10025" s="661" t="n">
        <v>0.01</v>
      </c>
      <c r="F10025" s="617" t="n">
        <v>1995</v>
      </c>
      <c r="G10025" s="615" t="n">
        <f aca="false">E10025*F10025</f>
        <v>19.95</v>
      </c>
      <c r="H10025" s="606"/>
    </row>
    <row r="10026" customFormat="false" ht="15" hidden="false" customHeight="false" outlineLevel="0" collapsed="false">
      <c r="A10026" s="571"/>
      <c r="B10026" s="500"/>
      <c r="C10026" s="860" t="s">
        <v>5819</v>
      </c>
      <c r="D10026" s="316" t="s">
        <v>4191</v>
      </c>
      <c r="E10026" s="954" t="n">
        <v>0.01</v>
      </c>
      <c r="F10026" s="617" t="n">
        <v>316.4</v>
      </c>
      <c r="G10026" s="615" t="n">
        <f aca="false">E10026*F10026</f>
        <v>3.164</v>
      </c>
      <c r="H10026" s="912"/>
    </row>
    <row r="10027" customFormat="false" ht="15" hidden="false" customHeight="false" outlineLevel="0" collapsed="false">
      <c r="A10027" s="571"/>
      <c r="B10027" s="500"/>
      <c r="C10027" s="860" t="s">
        <v>5826</v>
      </c>
      <c r="D10027" s="316" t="s">
        <v>4191</v>
      </c>
      <c r="E10027" s="954" t="n">
        <v>0.01</v>
      </c>
      <c r="F10027" s="617" t="n">
        <v>366.25</v>
      </c>
      <c r="G10027" s="615" t="n">
        <f aca="false">E10027*F10027</f>
        <v>3.6625</v>
      </c>
      <c r="H10027" s="912"/>
    </row>
    <row r="10028" customFormat="false" ht="15" hidden="false" customHeight="false" outlineLevel="0" collapsed="false">
      <c r="A10028" s="571"/>
      <c r="B10028" s="500"/>
      <c r="C10028" s="860" t="s">
        <v>5820</v>
      </c>
      <c r="D10028" s="316" t="s">
        <v>4191</v>
      </c>
      <c r="E10028" s="954" t="n">
        <v>0.01</v>
      </c>
      <c r="F10028" s="617" t="n">
        <v>650</v>
      </c>
      <c r="G10028" s="615" t="n">
        <f aca="false">E10028*F10028</f>
        <v>6.5</v>
      </c>
      <c r="H10028" s="391"/>
    </row>
    <row r="10029" customFormat="false" ht="15" hidden="false" customHeight="false" outlineLevel="0" collapsed="false">
      <c r="A10029" s="571"/>
      <c r="B10029" s="500"/>
      <c r="C10029" s="860" t="s">
        <v>5857</v>
      </c>
      <c r="D10029" s="316" t="s">
        <v>4359</v>
      </c>
      <c r="E10029" s="661" t="n">
        <v>0.001</v>
      </c>
      <c r="F10029" s="617" t="n">
        <v>175794</v>
      </c>
      <c r="G10029" s="615" t="n">
        <f aca="false">E10029*F10029</f>
        <v>175.794</v>
      </c>
      <c r="H10029" s="606"/>
    </row>
    <row r="10030" customFormat="false" ht="15" hidden="false" customHeight="false" outlineLevel="0" collapsed="false">
      <c r="A10030" s="571"/>
      <c r="B10030" s="500"/>
      <c r="C10030" s="860" t="s">
        <v>5861</v>
      </c>
      <c r="D10030" s="316" t="s">
        <v>5452</v>
      </c>
      <c r="E10030" s="660" t="n">
        <v>0.001</v>
      </c>
      <c r="F10030" s="617" t="n">
        <v>150375</v>
      </c>
      <c r="G10030" s="615" t="n">
        <f aca="false">E10030*F10030</f>
        <v>150.375</v>
      </c>
      <c r="H10030" s="606"/>
    </row>
    <row r="10031" customFormat="false" ht="15" hidden="false" customHeight="false" outlineLevel="0" collapsed="false">
      <c r="A10031" s="571"/>
      <c r="B10031" s="500"/>
      <c r="C10031" s="860" t="s">
        <v>5864</v>
      </c>
      <c r="D10031" s="316" t="s">
        <v>4133</v>
      </c>
      <c r="E10031" s="661" t="n">
        <v>0.01</v>
      </c>
      <c r="F10031" s="617" t="n">
        <v>1995</v>
      </c>
      <c r="G10031" s="615" t="n">
        <f aca="false">E10031*F10031</f>
        <v>19.95</v>
      </c>
      <c r="H10031" s="606"/>
    </row>
    <row r="10032" customFormat="false" ht="15" hidden="false" customHeight="false" outlineLevel="0" collapsed="false">
      <c r="A10032" s="571"/>
      <c r="B10032" s="500"/>
      <c r="C10032" s="860" t="s">
        <v>4645</v>
      </c>
      <c r="D10032" s="316" t="s">
        <v>4133</v>
      </c>
      <c r="E10032" s="958" t="n">
        <v>0.001</v>
      </c>
      <c r="F10032" s="617" t="n">
        <v>15168</v>
      </c>
      <c r="G10032" s="615" t="n">
        <f aca="false">E10032*F10032</f>
        <v>15.168</v>
      </c>
      <c r="H10032" s="391"/>
    </row>
    <row r="10033" customFormat="false" ht="15" hidden="false" customHeight="false" outlineLevel="0" collapsed="false">
      <c r="A10033" s="571"/>
      <c r="B10033" s="500"/>
      <c r="C10033" s="860" t="s">
        <v>4515</v>
      </c>
      <c r="D10033" s="316" t="s">
        <v>4133</v>
      </c>
      <c r="E10033" s="661" t="n">
        <v>0.1</v>
      </c>
      <c r="F10033" s="681" t="n">
        <v>350</v>
      </c>
      <c r="G10033" s="615" t="n">
        <f aca="false">E10033*F10033</f>
        <v>35</v>
      </c>
      <c r="H10033" s="606"/>
    </row>
    <row r="10034" customFormat="false" ht="15" hidden="false" customHeight="false" outlineLevel="0" collapsed="false">
      <c r="A10034" s="571"/>
      <c r="B10034" s="489"/>
      <c r="C10034" s="860" t="s">
        <v>4776</v>
      </c>
      <c r="D10034" s="316" t="s">
        <v>4359</v>
      </c>
      <c r="E10034" s="661" t="n">
        <v>0.1</v>
      </c>
      <c r="F10034" s="617" t="n">
        <v>800</v>
      </c>
      <c r="G10034" s="615" t="n">
        <f aca="false">E10034*F10034</f>
        <v>80</v>
      </c>
      <c r="H10034" s="606"/>
    </row>
    <row r="10035" customFormat="false" ht="15" hidden="false" customHeight="false" outlineLevel="0" collapsed="false">
      <c r="A10035" s="571"/>
      <c r="B10035" s="608" t="s">
        <v>4128</v>
      </c>
      <c r="C10035" s="718"/>
      <c r="D10035" s="610"/>
      <c r="E10035" s="611"/>
      <c r="F10035" s="612"/>
      <c r="G10035" s="613" t="n">
        <f aca="false">SUM(G10020:G10034)</f>
        <v>1294.0745</v>
      </c>
      <c r="H10035" s="606"/>
    </row>
    <row r="10036" customFormat="false" ht="30" hidden="false" customHeight="false" outlineLevel="0" collapsed="false">
      <c r="A10036" s="571" t="s">
        <v>1951</v>
      </c>
      <c r="B10036" s="433" t="s">
        <v>3691</v>
      </c>
      <c r="C10036" s="860" t="s">
        <v>5860</v>
      </c>
      <c r="D10036" s="316" t="s">
        <v>4133</v>
      </c>
      <c r="E10036" s="664" t="n">
        <v>0.002</v>
      </c>
      <c r="F10036" s="617" t="n">
        <v>35035</v>
      </c>
      <c r="G10036" s="615" t="n">
        <f aca="false">E10036*F10036</f>
        <v>70.07</v>
      </c>
      <c r="H10036" s="606"/>
    </row>
    <row r="10037" customFormat="false" ht="15" hidden="false" customHeight="false" outlineLevel="0" collapsed="false">
      <c r="A10037" s="571"/>
      <c r="B10037" s="500"/>
      <c r="C10037" s="860" t="s">
        <v>5865</v>
      </c>
      <c r="D10037" s="316" t="s">
        <v>4133</v>
      </c>
      <c r="E10037" s="664" t="n">
        <v>0.002</v>
      </c>
      <c r="F10037" s="617" t="n">
        <v>68244</v>
      </c>
      <c r="G10037" s="615" t="n">
        <f aca="false">E10037*F10037</f>
        <v>136.488</v>
      </c>
      <c r="H10037" s="606"/>
    </row>
    <row r="10038" customFormat="false" ht="15" hidden="false" customHeight="false" outlineLevel="0" collapsed="false">
      <c r="A10038" s="571"/>
      <c r="B10038" s="500"/>
      <c r="C10038" s="860" t="s">
        <v>5823</v>
      </c>
      <c r="D10038" s="316" t="s">
        <v>4133</v>
      </c>
      <c r="E10038" s="664" t="n">
        <v>0.002</v>
      </c>
      <c r="F10038" s="617" t="n">
        <v>69797</v>
      </c>
      <c r="G10038" s="615" t="n">
        <f aca="false">E10038*F10038</f>
        <v>139.594</v>
      </c>
      <c r="H10038" s="606"/>
    </row>
    <row r="10039" customFormat="false" ht="21" hidden="false" customHeight="true" outlineLevel="0" collapsed="false">
      <c r="A10039" s="571"/>
      <c r="B10039" s="500"/>
      <c r="C10039" s="860" t="s">
        <v>5818</v>
      </c>
      <c r="D10039" s="316" t="s">
        <v>4133</v>
      </c>
      <c r="E10039" s="664" t="n">
        <v>0.002</v>
      </c>
      <c r="F10039" s="617" t="n">
        <v>67687</v>
      </c>
      <c r="G10039" s="615" t="n">
        <f aca="false">E10039*F10039</f>
        <v>135.374</v>
      </c>
      <c r="H10039" s="606"/>
    </row>
    <row r="10040" customFormat="false" ht="15" hidden="false" customHeight="false" outlineLevel="0" collapsed="false">
      <c r="A10040" s="571"/>
      <c r="B10040" s="500"/>
      <c r="C10040" s="860" t="s">
        <v>5836</v>
      </c>
      <c r="D10040" s="316" t="s">
        <v>4133</v>
      </c>
      <c r="E10040" s="664" t="n">
        <v>0.002</v>
      </c>
      <c r="F10040" s="617" t="n">
        <v>10500</v>
      </c>
      <c r="G10040" s="615" t="n">
        <f aca="false">E10040*F10040</f>
        <v>21</v>
      </c>
      <c r="H10040" s="606"/>
    </row>
    <row r="10041" customFormat="false" ht="15" hidden="false" customHeight="false" outlineLevel="0" collapsed="false">
      <c r="A10041" s="571"/>
      <c r="B10041" s="500"/>
      <c r="C10041" s="860" t="s">
        <v>5825</v>
      </c>
      <c r="D10041" s="316" t="s">
        <v>5452</v>
      </c>
      <c r="E10041" s="661" t="n">
        <v>0.01</v>
      </c>
      <c r="F10041" s="617" t="n">
        <v>8468</v>
      </c>
      <c r="G10041" s="615" t="n">
        <f aca="false">E10041*F10041</f>
        <v>84.68</v>
      </c>
      <c r="H10041" s="606"/>
    </row>
    <row r="10042" customFormat="false" ht="15" hidden="false" customHeight="false" outlineLevel="0" collapsed="false">
      <c r="A10042" s="571"/>
      <c r="B10042" s="500"/>
      <c r="C10042" s="860" t="s">
        <v>5841</v>
      </c>
      <c r="D10042" s="316" t="s">
        <v>4133</v>
      </c>
      <c r="E10042" s="664" t="n">
        <v>0.002</v>
      </c>
      <c r="F10042" s="617" t="n">
        <v>10500</v>
      </c>
      <c r="G10042" s="615" t="n">
        <f aca="false">E10042*F10042</f>
        <v>21</v>
      </c>
      <c r="H10042" s="912"/>
    </row>
    <row r="10043" customFormat="false" ht="15" hidden="false" customHeight="false" outlineLevel="0" collapsed="false">
      <c r="A10043" s="571"/>
      <c r="B10043" s="500"/>
      <c r="C10043" s="860" t="s">
        <v>5824</v>
      </c>
      <c r="D10043" s="316" t="s">
        <v>4359</v>
      </c>
      <c r="E10043" s="664" t="n">
        <v>0.001</v>
      </c>
      <c r="F10043" s="617" t="n">
        <v>82115</v>
      </c>
      <c r="G10043" s="615" t="n">
        <f aca="false">E10043*F10043</f>
        <v>82.115</v>
      </c>
      <c r="H10043" s="606"/>
    </row>
    <row r="10044" customFormat="false" ht="15" hidden="false" customHeight="false" outlineLevel="0" collapsed="false">
      <c r="A10044" s="571"/>
      <c r="B10044" s="500"/>
      <c r="C10044" s="860" t="s">
        <v>5819</v>
      </c>
      <c r="D10044" s="316" t="s">
        <v>4191</v>
      </c>
      <c r="E10044" s="954" t="n">
        <v>0.01</v>
      </c>
      <c r="F10044" s="617" t="n">
        <v>316.4</v>
      </c>
      <c r="G10044" s="615" t="n">
        <f aca="false">E10044*F10044</f>
        <v>3.164</v>
      </c>
      <c r="H10044" s="606"/>
    </row>
    <row r="10045" customFormat="false" ht="15" hidden="false" customHeight="false" outlineLevel="0" collapsed="false">
      <c r="A10045" s="571"/>
      <c r="B10045" s="500"/>
      <c r="C10045" s="860" t="s">
        <v>5826</v>
      </c>
      <c r="D10045" s="316" t="s">
        <v>4191</v>
      </c>
      <c r="E10045" s="954" t="n">
        <v>0.01</v>
      </c>
      <c r="F10045" s="617" t="n">
        <v>366.25</v>
      </c>
      <c r="G10045" s="615" t="n">
        <f aca="false">E10045*F10045</f>
        <v>3.6625</v>
      </c>
      <c r="H10045" s="391"/>
    </row>
    <row r="10046" customFormat="false" ht="15" hidden="false" customHeight="false" outlineLevel="0" collapsed="false">
      <c r="A10046" s="571"/>
      <c r="B10046" s="500"/>
      <c r="C10046" s="860" t="s">
        <v>5820</v>
      </c>
      <c r="D10046" s="316" t="s">
        <v>4191</v>
      </c>
      <c r="E10046" s="954" t="n">
        <v>0.01</v>
      </c>
      <c r="F10046" s="617" t="n">
        <v>650</v>
      </c>
      <c r="G10046" s="615" t="n">
        <f aca="false">E10046*F10046</f>
        <v>6.5</v>
      </c>
      <c r="H10046" s="606"/>
    </row>
    <row r="10047" customFormat="false" ht="15" hidden="false" customHeight="false" outlineLevel="0" collapsed="false">
      <c r="A10047" s="571"/>
      <c r="B10047" s="328"/>
      <c r="C10047" s="860" t="s">
        <v>5859</v>
      </c>
      <c r="D10047" s="316" t="s">
        <v>4359</v>
      </c>
      <c r="E10047" s="661" t="n">
        <v>0.01</v>
      </c>
      <c r="F10047" s="617" t="n">
        <v>1995</v>
      </c>
      <c r="G10047" s="615" t="n">
        <f aca="false">E10047*F10047</f>
        <v>19.95</v>
      </c>
      <c r="H10047" s="606"/>
    </row>
    <row r="10048" customFormat="false" ht="15" hidden="false" customHeight="false" outlineLevel="0" collapsed="false">
      <c r="A10048" s="571"/>
      <c r="B10048" s="500"/>
      <c r="C10048" s="860" t="s">
        <v>5844</v>
      </c>
      <c r="D10048" s="316" t="s">
        <v>5452</v>
      </c>
      <c r="E10048" s="661" t="n">
        <v>0.002</v>
      </c>
      <c r="F10048" s="617" t="n">
        <v>74415</v>
      </c>
      <c r="G10048" s="615" t="n">
        <f aca="false">E10048*F10048</f>
        <v>148.83</v>
      </c>
      <c r="H10048" s="606"/>
    </row>
    <row r="10049" customFormat="false" ht="15" hidden="false" customHeight="false" outlineLevel="0" collapsed="false">
      <c r="A10049" s="571"/>
      <c r="B10049" s="500"/>
      <c r="C10049" s="855" t="s">
        <v>4515</v>
      </c>
      <c r="D10049" s="316" t="s">
        <v>4133</v>
      </c>
      <c r="E10049" s="661" t="n">
        <v>0.1</v>
      </c>
      <c r="F10049" s="617" t="n">
        <v>350</v>
      </c>
      <c r="G10049" s="615" t="n">
        <f aca="false">E10049*F10049</f>
        <v>35</v>
      </c>
      <c r="H10049" s="606"/>
    </row>
    <row r="10050" customFormat="false" ht="15" hidden="false" customHeight="false" outlineLevel="0" collapsed="false">
      <c r="A10050" s="571"/>
      <c r="B10050" s="500"/>
      <c r="C10050" s="860" t="s">
        <v>4776</v>
      </c>
      <c r="D10050" s="316" t="s">
        <v>4359</v>
      </c>
      <c r="E10050" s="661" t="n">
        <v>0.1</v>
      </c>
      <c r="F10050" s="617" t="n">
        <v>800</v>
      </c>
      <c r="G10050" s="615" t="n">
        <f aca="false">E10050*F10050</f>
        <v>80</v>
      </c>
      <c r="H10050" s="606"/>
    </row>
    <row r="10051" customFormat="false" ht="15" hidden="false" customHeight="false" outlineLevel="0" collapsed="false">
      <c r="A10051" s="571"/>
      <c r="B10051" s="608" t="s">
        <v>4128</v>
      </c>
      <c r="C10051" s="718"/>
      <c r="D10051" s="610"/>
      <c r="E10051" s="611"/>
      <c r="F10051" s="612"/>
      <c r="G10051" s="613" t="n">
        <f aca="false">SUM(G10036:G10050)</f>
        <v>987.4275</v>
      </c>
      <c r="H10051" s="606"/>
    </row>
    <row r="10052" customFormat="false" ht="45" hidden="false" customHeight="false" outlineLevel="0" collapsed="false">
      <c r="A10052" s="571" t="s">
        <v>1952</v>
      </c>
      <c r="B10052" s="433" t="s">
        <v>3712</v>
      </c>
      <c r="C10052" s="974" t="s">
        <v>5880</v>
      </c>
      <c r="D10052" s="317" t="s">
        <v>4133</v>
      </c>
      <c r="E10052" s="664" t="n">
        <v>0.001</v>
      </c>
      <c r="F10052" s="617" t="n">
        <v>45799</v>
      </c>
      <c r="G10052" s="615" t="n">
        <f aca="false">E10052*F10052</f>
        <v>45.799</v>
      </c>
      <c r="H10052" s="391"/>
    </row>
    <row r="10053" customFormat="false" ht="15" hidden="false" customHeight="false" outlineLevel="0" collapsed="false">
      <c r="A10053" s="571"/>
      <c r="B10053" s="328"/>
      <c r="C10053" s="860" t="s">
        <v>5824</v>
      </c>
      <c r="D10053" s="316" t="s">
        <v>4359</v>
      </c>
      <c r="E10053" s="664" t="n">
        <v>0.001</v>
      </c>
      <c r="F10053" s="617" t="n">
        <v>82115</v>
      </c>
      <c r="G10053" s="615" t="n">
        <f aca="false">E10053*F10053</f>
        <v>82.115</v>
      </c>
      <c r="H10053" s="606"/>
    </row>
    <row r="10054" customFormat="false" ht="15" hidden="false" customHeight="false" outlineLevel="0" collapsed="false">
      <c r="A10054" s="571"/>
      <c r="B10054" s="500"/>
      <c r="C10054" s="860" t="s">
        <v>5819</v>
      </c>
      <c r="D10054" s="316" t="s">
        <v>4191</v>
      </c>
      <c r="E10054" s="954" t="n">
        <v>0.01</v>
      </c>
      <c r="F10054" s="617" t="n">
        <v>316.4</v>
      </c>
      <c r="G10054" s="615" t="n">
        <f aca="false">E10054*F10054</f>
        <v>3.164</v>
      </c>
      <c r="H10054" s="606"/>
    </row>
    <row r="10055" customFormat="false" ht="15" hidden="false" customHeight="false" outlineLevel="0" collapsed="false">
      <c r="A10055" s="571"/>
      <c r="B10055" s="500"/>
      <c r="C10055" s="860" t="s">
        <v>5820</v>
      </c>
      <c r="D10055" s="316" t="s">
        <v>4191</v>
      </c>
      <c r="E10055" s="954" t="n">
        <v>0.01</v>
      </c>
      <c r="F10055" s="617" t="n">
        <v>650</v>
      </c>
      <c r="G10055" s="615" t="n">
        <f aca="false">E10055*F10055</f>
        <v>6.5</v>
      </c>
      <c r="H10055" s="606"/>
    </row>
    <row r="10056" customFormat="false" ht="15" hidden="false" customHeight="false" outlineLevel="0" collapsed="false">
      <c r="A10056" s="571"/>
      <c r="B10056" s="500"/>
      <c r="C10056" s="860" t="s">
        <v>5930</v>
      </c>
      <c r="D10056" s="316" t="s">
        <v>4133</v>
      </c>
      <c r="E10056" s="661" t="n">
        <v>0.01</v>
      </c>
      <c r="F10056" s="617" t="n">
        <v>45799</v>
      </c>
      <c r="G10056" s="615" t="n">
        <f aca="false">E10056*F10056</f>
        <v>457.99</v>
      </c>
      <c r="H10056" s="606"/>
    </row>
    <row r="10057" customFormat="false" ht="15" hidden="false" customHeight="false" outlineLevel="0" collapsed="false">
      <c r="A10057" s="571"/>
      <c r="B10057" s="328"/>
      <c r="C10057" s="860" t="s">
        <v>5861</v>
      </c>
      <c r="D10057" s="316" t="s">
        <v>5452</v>
      </c>
      <c r="E10057" s="660" t="n">
        <v>0.001</v>
      </c>
      <c r="F10057" s="617" t="n">
        <v>150375</v>
      </c>
      <c r="G10057" s="615" t="n">
        <f aca="false">E10057*F10057</f>
        <v>150.375</v>
      </c>
      <c r="H10057" s="606"/>
    </row>
    <row r="10058" customFormat="false" ht="15" hidden="false" customHeight="false" outlineLevel="0" collapsed="false">
      <c r="A10058" s="571"/>
      <c r="B10058" s="500"/>
      <c r="C10058" s="860" t="s">
        <v>5859</v>
      </c>
      <c r="D10058" s="316" t="s">
        <v>4359</v>
      </c>
      <c r="E10058" s="661" t="n">
        <v>0.05</v>
      </c>
      <c r="F10058" s="617" t="n">
        <v>1995</v>
      </c>
      <c r="G10058" s="615" t="n">
        <f aca="false">E10058*F10058</f>
        <v>99.75</v>
      </c>
      <c r="H10058" s="606"/>
    </row>
    <row r="10059" customFormat="false" ht="15" hidden="false" customHeight="false" outlineLevel="0" collapsed="false">
      <c r="A10059" s="571"/>
      <c r="B10059" s="500"/>
      <c r="C10059" s="860" t="s">
        <v>4515</v>
      </c>
      <c r="D10059" s="316" t="s">
        <v>4133</v>
      </c>
      <c r="E10059" s="661" t="n">
        <v>0.1</v>
      </c>
      <c r="F10059" s="681" t="n">
        <v>350</v>
      </c>
      <c r="G10059" s="615" t="n">
        <f aca="false">E10059*F10059</f>
        <v>35</v>
      </c>
      <c r="H10059" s="606"/>
    </row>
    <row r="10060" customFormat="false" ht="15" hidden="false" customHeight="false" outlineLevel="0" collapsed="false">
      <c r="A10060" s="571"/>
      <c r="B10060" s="500"/>
      <c r="C10060" s="860" t="s">
        <v>4776</v>
      </c>
      <c r="D10060" s="316" t="s">
        <v>4359</v>
      </c>
      <c r="E10060" s="661" t="n">
        <v>0.1</v>
      </c>
      <c r="F10060" s="617" t="n">
        <v>800</v>
      </c>
      <c r="G10060" s="615" t="n">
        <f aca="false">E10060*F10060</f>
        <v>80</v>
      </c>
      <c r="H10060" s="606"/>
    </row>
    <row r="10061" customFormat="false" ht="15" hidden="false" customHeight="false" outlineLevel="0" collapsed="false">
      <c r="A10061" s="571"/>
      <c r="B10061" s="608" t="s">
        <v>4128</v>
      </c>
      <c r="C10061" s="718"/>
      <c r="D10061" s="610"/>
      <c r="E10061" s="611"/>
      <c r="F10061" s="612"/>
      <c r="G10061" s="613" t="n">
        <f aca="false">SUM(G10052:G10060)</f>
        <v>960.693</v>
      </c>
      <c r="H10061" s="391"/>
    </row>
    <row r="10062" customFormat="false" ht="15" hidden="false" customHeight="false" outlineLevel="0" collapsed="false">
      <c r="A10062" s="350" t="s">
        <v>1954</v>
      </c>
      <c r="B10062" s="346" t="s">
        <v>3713</v>
      </c>
      <c r="C10062" s="811"/>
      <c r="D10062" s="790"/>
      <c r="E10062" s="752"/>
      <c r="F10062" s="519"/>
      <c r="G10062" s="753"/>
      <c r="H10062" s="790"/>
    </row>
    <row r="10063" customFormat="false" ht="30" hidden="false" customHeight="false" outlineLevel="0" collapsed="false">
      <c r="A10063" s="571" t="s">
        <v>1956</v>
      </c>
      <c r="B10063" s="433" t="s">
        <v>3714</v>
      </c>
      <c r="C10063" s="860" t="s">
        <v>5818</v>
      </c>
      <c r="D10063" s="316" t="s">
        <v>4133</v>
      </c>
      <c r="E10063" s="664" t="n">
        <v>0.005</v>
      </c>
      <c r="F10063" s="617" t="n">
        <v>67687</v>
      </c>
      <c r="G10063" s="615" t="n">
        <f aca="false">E10063*F10063</f>
        <v>338.435</v>
      </c>
      <c r="H10063" s="606"/>
    </row>
    <row r="10064" customFormat="false" ht="15" hidden="false" customHeight="false" outlineLevel="0" collapsed="false">
      <c r="A10064" s="571"/>
      <c r="B10064" s="500"/>
      <c r="C10064" s="860" t="s">
        <v>5819</v>
      </c>
      <c r="D10064" s="316" t="s">
        <v>4191</v>
      </c>
      <c r="E10064" s="954" t="n">
        <v>0.01</v>
      </c>
      <c r="F10064" s="617" t="n">
        <v>316.4</v>
      </c>
      <c r="G10064" s="615" t="n">
        <f aca="false">E10064*F10064</f>
        <v>3.164</v>
      </c>
      <c r="H10064" s="606"/>
    </row>
    <row r="10065" customFormat="false" ht="15" hidden="false" customHeight="false" outlineLevel="0" collapsed="false">
      <c r="A10065" s="571"/>
      <c r="B10065" s="500"/>
      <c r="C10065" s="860" t="s">
        <v>5826</v>
      </c>
      <c r="D10065" s="316" t="s">
        <v>4191</v>
      </c>
      <c r="E10065" s="954" t="n">
        <v>0.01</v>
      </c>
      <c r="F10065" s="617" t="n">
        <v>366.25</v>
      </c>
      <c r="G10065" s="615" t="n">
        <f aca="false">E10065*F10065</f>
        <v>3.6625</v>
      </c>
      <c r="H10065" s="912"/>
    </row>
    <row r="10066" customFormat="false" ht="15" hidden="false" customHeight="false" outlineLevel="0" collapsed="false">
      <c r="A10066" s="571"/>
      <c r="B10066" s="500"/>
      <c r="C10066" s="860" t="s">
        <v>5820</v>
      </c>
      <c r="D10066" s="316" t="s">
        <v>4191</v>
      </c>
      <c r="E10066" s="954" t="n">
        <v>0.01</v>
      </c>
      <c r="F10066" s="617" t="n">
        <v>650</v>
      </c>
      <c r="G10066" s="615" t="n">
        <f aca="false">E10066*F10066</f>
        <v>6.5</v>
      </c>
      <c r="H10066" s="606"/>
    </row>
    <row r="10067" customFormat="false" ht="15" hidden="false" customHeight="false" outlineLevel="0" collapsed="false">
      <c r="A10067" s="571"/>
      <c r="B10067" s="500"/>
      <c r="C10067" s="860" t="s">
        <v>5861</v>
      </c>
      <c r="D10067" s="316" t="s">
        <v>5452</v>
      </c>
      <c r="E10067" s="660" t="n">
        <v>0.002</v>
      </c>
      <c r="F10067" s="617" t="n">
        <v>150375</v>
      </c>
      <c r="G10067" s="615" t="n">
        <f aca="false">E10067*F10067</f>
        <v>300.75</v>
      </c>
      <c r="H10067" s="606"/>
    </row>
    <row r="10068" customFormat="false" ht="15" hidden="false" customHeight="false" outlineLevel="0" collapsed="false">
      <c r="A10068" s="571"/>
      <c r="B10068" s="500"/>
      <c r="C10068" s="860" t="s">
        <v>5859</v>
      </c>
      <c r="D10068" s="316" t="s">
        <v>4359</v>
      </c>
      <c r="E10068" s="661" t="n">
        <v>0.1</v>
      </c>
      <c r="F10068" s="617" t="n">
        <v>1995</v>
      </c>
      <c r="G10068" s="615" t="n">
        <f aca="false">E10068*F10068</f>
        <v>199.5</v>
      </c>
      <c r="H10068" s="606"/>
    </row>
    <row r="10069" customFormat="false" ht="15" hidden="false" customHeight="false" outlineLevel="0" collapsed="false">
      <c r="A10069" s="571"/>
      <c r="B10069" s="500"/>
      <c r="C10069" s="860" t="s">
        <v>4515</v>
      </c>
      <c r="D10069" s="316" t="s">
        <v>4133</v>
      </c>
      <c r="E10069" s="661" t="n">
        <v>0.1</v>
      </c>
      <c r="F10069" s="681" t="n">
        <v>350</v>
      </c>
      <c r="G10069" s="615" t="n">
        <f aca="false">E10069*F10069</f>
        <v>35</v>
      </c>
      <c r="H10069" s="606"/>
    </row>
    <row r="10070" customFormat="false" ht="15" hidden="false" customHeight="false" outlineLevel="0" collapsed="false">
      <c r="A10070" s="571"/>
      <c r="B10070" s="500"/>
      <c r="C10070" s="860" t="s">
        <v>4776</v>
      </c>
      <c r="D10070" s="316" t="s">
        <v>4359</v>
      </c>
      <c r="E10070" s="661" t="n">
        <v>0.2</v>
      </c>
      <c r="F10070" s="617" t="n">
        <v>800</v>
      </c>
      <c r="G10070" s="615" t="n">
        <f aca="false">E10070*F10070</f>
        <v>160</v>
      </c>
      <c r="H10070" s="606"/>
    </row>
    <row r="10071" customFormat="false" ht="15" hidden="false" customHeight="false" outlineLevel="0" collapsed="false">
      <c r="A10071" s="571"/>
      <c r="B10071" s="608" t="s">
        <v>4128</v>
      </c>
      <c r="C10071" s="964"/>
      <c r="D10071" s="965"/>
      <c r="E10071" s="969"/>
      <c r="F10071" s="967"/>
      <c r="G10071" s="613" t="n">
        <f aca="false">SUM(G10063:G10070)</f>
        <v>1047.0115</v>
      </c>
      <c r="H10071" s="606"/>
    </row>
    <row r="10072" customFormat="false" ht="30" hidden="false" customHeight="false" outlineLevel="0" collapsed="false">
      <c r="A10072" s="571" t="s">
        <v>1958</v>
      </c>
      <c r="B10072" s="433" t="s">
        <v>3715</v>
      </c>
      <c r="C10072" s="860" t="s">
        <v>5860</v>
      </c>
      <c r="D10072" s="316" t="s">
        <v>4133</v>
      </c>
      <c r="E10072" s="664" t="n">
        <v>0.01</v>
      </c>
      <c r="F10072" s="617" t="n">
        <v>35035</v>
      </c>
      <c r="G10072" s="615" t="n">
        <f aca="false">E10072*F10072</f>
        <v>350.35</v>
      </c>
      <c r="H10072" s="391"/>
    </row>
    <row r="10073" customFormat="false" ht="15" hidden="false" customHeight="false" outlineLevel="0" collapsed="false">
      <c r="A10073" s="571"/>
      <c r="B10073" s="500"/>
      <c r="C10073" s="860" t="s">
        <v>5823</v>
      </c>
      <c r="D10073" s="316" t="s">
        <v>4133</v>
      </c>
      <c r="E10073" s="664" t="n">
        <v>0.005</v>
      </c>
      <c r="F10073" s="617" t="n">
        <v>69797</v>
      </c>
      <c r="G10073" s="615" t="n">
        <f aca="false">E10073*F10073</f>
        <v>348.985</v>
      </c>
      <c r="H10073" s="606"/>
    </row>
    <row r="10074" customFormat="false" ht="15" hidden="false" customHeight="false" outlineLevel="0" collapsed="false">
      <c r="A10074" s="571"/>
      <c r="B10074" s="500"/>
      <c r="C10074" s="860" t="s">
        <v>5825</v>
      </c>
      <c r="D10074" s="316" t="s">
        <v>5452</v>
      </c>
      <c r="E10074" s="661" t="n">
        <v>0.01</v>
      </c>
      <c r="F10074" s="617" t="n">
        <v>8468</v>
      </c>
      <c r="G10074" s="615" t="n">
        <f aca="false">E10074*F10074</f>
        <v>84.68</v>
      </c>
      <c r="H10074" s="606"/>
    </row>
    <row r="10075" customFormat="false" ht="15" hidden="false" customHeight="false" outlineLevel="0" collapsed="false">
      <c r="A10075" s="571"/>
      <c r="B10075" s="500"/>
      <c r="C10075" s="860" t="s">
        <v>5818</v>
      </c>
      <c r="D10075" s="316" t="s">
        <v>4133</v>
      </c>
      <c r="E10075" s="664" t="n">
        <v>0.005</v>
      </c>
      <c r="F10075" s="617" t="n">
        <v>67687</v>
      </c>
      <c r="G10075" s="615" t="n">
        <f aca="false">E10075*F10075</f>
        <v>338.435</v>
      </c>
      <c r="H10075" s="606"/>
    </row>
    <row r="10076" customFormat="false" ht="15" hidden="false" customHeight="false" outlineLevel="0" collapsed="false">
      <c r="A10076" s="571"/>
      <c r="B10076" s="500"/>
      <c r="C10076" s="860" t="s">
        <v>5836</v>
      </c>
      <c r="D10076" s="316" t="s">
        <v>4133</v>
      </c>
      <c r="E10076" s="664" t="n">
        <v>0.005</v>
      </c>
      <c r="F10076" s="617" t="n">
        <v>10500</v>
      </c>
      <c r="G10076" s="615" t="n">
        <f aca="false">E10076*F10076</f>
        <v>52.5</v>
      </c>
      <c r="H10076" s="606"/>
    </row>
    <row r="10077" customFormat="false" ht="15" hidden="false" customHeight="false" outlineLevel="0" collapsed="false">
      <c r="A10077" s="571"/>
      <c r="B10077" s="500"/>
      <c r="C10077" s="860" t="s">
        <v>5859</v>
      </c>
      <c r="D10077" s="316" t="s">
        <v>4359</v>
      </c>
      <c r="E10077" s="661" t="n">
        <v>0.01</v>
      </c>
      <c r="F10077" s="617" t="n">
        <v>1995</v>
      </c>
      <c r="G10077" s="615" t="n">
        <f aca="false">E10077*F10077</f>
        <v>19.95</v>
      </c>
      <c r="H10077" s="606"/>
    </row>
    <row r="10078" customFormat="false" ht="28.5" hidden="false" customHeight="true" outlineLevel="0" collapsed="false">
      <c r="A10078" s="571"/>
      <c r="B10078" s="500"/>
      <c r="C10078" s="860" t="s">
        <v>5824</v>
      </c>
      <c r="D10078" s="316" t="s">
        <v>4359</v>
      </c>
      <c r="E10078" s="664" t="n">
        <v>0.001</v>
      </c>
      <c r="F10078" s="617" t="n">
        <v>82115</v>
      </c>
      <c r="G10078" s="615" t="n">
        <f aca="false">E10078*F10078</f>
        <v>82.115</v>
      </c>
      <c r="H10078" s="606"/>
    </row>
    <row r="10079" customFormat="false" ht="15" hidden="false" customHeight="false" outlineLevel="0" collapsed="false">
      <c r="A10079" s="571"/>
      <c r="B10079" s="500"/>
      <c r="C10079" s="860" t="s">
        <v>5819</v>
      </c>
      <c r="D10079" s="316" t="s">
        <v>4191</v>
      </c>
      <c r="E10079" s="954" t="n">
        <v>0.01</v>
      </c>
      <c r="F10079" s="617" t="n">
        <v>316.4</v>
      </c>
      <c r="G10079" s="615" t="n">
        <f aca="false">E10079*F10079</f>
        <v>3.164</v>
      </c>
      <c r="H10079" s="606"/>
    </row>
    <row r="10080" customFormat="false" ht="15" hidden="false" customHeight="false" outlineLevel="0" collapsed="false">
      <c r="A10080" s="571"/>
      <c r="B10080" s="328"/>
      <c r="C10080" s="860" t="s">
        <v>5826</v>
      </c>
      <c r="D10080" s="316" t="s">
        <v>4191</v>
      </c>
      <c r="E10080" s="954" t="n">
        <v>0.01</v>
      </c>
      <c r="F10080" s="617" t="n">
        <v>366.25</v>
      </c>
      <c r="G10080" s="615" t="n">
        <f aca="false">E10080*F10080</f>
        <v>3.6625</v>
      </c>
      <c r="H10080" s="912"/>
    </row>
    <row r="10081" customFormat="false" ht="15" hidden="false" customHeight="false" outlineLevel="0" collapsed="false">
      <c r="A10081" s="571"/>
      <c r="B10081" s="500"/>
      <c r="C10081" s="860" t="s">
        <v>5820</v>
      </c>
      <c r="D10081" s="316" t="s">
        <v>4191</v>
      </c>
      <c r="E10081" s="954" t="n">
        <v>0.01</v>
      </c>
      <c r="F10081" s="617" t="n">
        <v>650</v>
      </c>
      <c r="G10081" s="615" t="n">
        <f aca="false">E10081*F10081</f>
        <v>6.5</v>
      </c>
      <c r="H10081" s="606"/>
    </row>
    <row r="10082" customFormat="false" ht="15" hidden="false" customHeight="false" outlineLevel="0" collapsed="false">
      <c r="A10082" s="571"/>
      <c r="B10082" s="500"/>
      <c r="C10082" s="860" t="s">
        <v>4515</v>
      </c>
      <c r="D10082" s="316" t="s">
        <v>4133</v>
      </c>
      <c r="E10082" s="661" t="n">
        <v>0.2</v>
      </c>
      <c r="F10082" s="681" t="n">
        <v>350</v>
      </c>
      <c r="G10082" s="615" t="n">
        <f aca="false">E10082*F10082</f>
        <v>70</v>
      </c>
      <c r="H10082" s="606"/>
    </row>
    <row r="10083" customFormat="false" ht="15" hidden="false" customHeight="false" outlineLevel="0" collapsed="false">
      <c r="A10083" s="571"/>
      <c r="B10083" s="500"/>
      <c r="C10083" s="860" t="s">
        <v>4776</v>
      </c>
      <c r="D10083" s="316" t="s">
        <v>4359</v>
      </c>
      <c r="E10083" s="661" t="n">
        <v>0.1</v>
      </c>
      <c r="F10083" s="617" t="n">
        <v>800</v>
      </c>
      <c r="G10083" s="615" t="n">
        <f aca="false">E10083*F10083</f>
        <v>80</v>
      </c>
      <c r="H10083" s="606"/>
    </row>
    <row r="10084" customFormat="false" ht="15" hidden="false" customHeight="false" outlineLevel="0" collapsed="false">
      <c r="A10084" s="571"/>
      <c r="B10084" s="500"/>
      <c r="C10084" s="860" t="s">
        <v>5861</v>
      </c>
      <c r="D10084" s="316" t="s">
        <v>5452</v>
      </c>
      <c r="E10084" s="975" t="n">
        <v>0.001</v>
      </c>
      <c r="F10084" s="617" t="n">
        <v>150375</v>
      </c>
      <c r="G10084" s="615" t="n">
        <f aca="false">E10084*F10084</f>
        <v>150.375</v>
      </c>
      <c r="H10084" s="606"/>
    </row>
    <row r="10085" customFormat="false" ht="15" hidden="false" customHeight="false" outlineLevel="0" collapsed="false">
      <c r="A10085" s="571"/>
      <c r="B10085" s="608" t="s">
        <v>4128</v>
      </c>
      <c r="C10085" s="964"/>
      <c r="D10085" s="965"/>
      <c r="E10085" s="969"/>
      <c r="F10085" s="967"/>
      <c r="G10085" s="613" t="n">
        <f aca="false">SUM(G10072:G10084)</f>
        <v>1590.7165</v>
      </c>
      <c r="H10085" s="606"/>
    </row>
    <row r="10086" customFormat="false" ht="30" hidden="false" customHeight="false" outlineLevel="0" collapsed="false">
      <c r="A10086" s="571" t="s">
        <v>1960</v>
      </c>
      <c r="B10086" s="433" t="s">
        <v>3716</v>
      </c>
      <c r="C10086" s="860" t="s">
        <v>5860</v>
      </c>
      <c r="D10086" s="316" t="s">
        <v>4133</v>
      </c>
      <c r="E10086" s="975" t="n">
        <v>0.015</v>
      </c>
      <c r="F10086" s="617" t="n">
        <v>35035</v>
      </c>
      <c r="G10086" s="615" t="n">
        <f aca="false">E10086*F10086</f>
        <v>525.525</v>
      </c>
      <c r="H10086" s="606"/>
    </row>
    <row r="10087" customFormat="false" ht="15" hidden="false" customHeight="false" outlineLevel="0" collapsed="false">
      <c r="A10087" s="571"/>
      <c r="B10087" s="500"/>
      <c r="C10087" s="860" t="s">
        <v>5823</v>
      </c>
      <c r="D10087" s="316" t="s">
        <v>4133</v>
      </c>
      <c r="E10087" s="664" t="n">
        <v>0.003</v>
      </c>
      <c r="F10087" s="617" t="n">
        <v>69797</v>
      </c>
      <c r="G10087" s="615" t="n">
        <f aca="false">E10087*F10087</f>
        <v>209.391</v>
      </c>
      <c r="H10087" s="391"/>
    </row>
    <row r="10088" customFormat="false" ht="15" hidden="false" customHeight="false" outlineLevel="0" collapsed="false">
      <c r="A10088" s="571"/>
      <c r="B10088" s="500"/>
      <c r="C10088" s="860" t="s">
        <v>5825</v>
      </c>
      <c r="D10088" s="316" t="s">
        <v>5452</v>
      </c>
      <c r="E10088" s="661" t="n">
        <v>0.01</v>
      </c>
      <c r="F10088" s="617" t="n">
        <v>8468</v>
      </c>
      <c r="G10088" s="615" t="n">
        <f aca="false">E10088*F10088</f>
        <v>84.68</v>
      </c>
      <c r="H10088" s="606"/>
    </row>
    <row r="10089" customFormat="false" ht="15" hidden="false" customHeight="false" outlineLevel="0" collapsed="false">
      <c r="A10089" s="571"/>
      <c r="B10089" s="500"/>
      <c r="C10089" s="860" t="s">
        <v>5818</v>
      </c>
      <c r="D10089" s="316" t="s">
        <v>4133</v>
      </c>
      <c r="E10089" s="664" t="n">
        <v>0.003</v>
      </c>
      <c r="F10089" s="617" t="n">
        <v>67687</v>
      </c>
      <c r="G10089" s="615" t="n">
        <f aca="false">E10089*F10089</f>
        <v>203.061</v>
      </c>
      <c r="H10089" s="606"/>
    </row>
    <row r="10090" customFormat="false" ht="15" hidden="false" customHeight="false" outlineLevel="0" collapsed="false">
      <c r="A10090" s="571"/>
      <c r="B10090" s="500"/>
      <c r="C10090" s="860" t="s">
        <v>5836</v>
      </c>
      <c r="D10090" s="316" t="s">
        <v>4133</v>
      </c>
      <c r="E10090" s="664" t="n">
        <v>0.003</v>
      </c>
      <c r="F10090" s="617" t="n">
        <v>10500</v>
      </c>
      <c r="G10090" s="615" t="n">
        <f aca="false">E10090*F10090</f>
        <v>31.5</v>
      </c>
      <c r="H10090" s="606"/>
    </row>
    <row r="10091" customFormat="false" ht="22.5" hidden="false" customHeight="true" outlineLevel="0" collapsed="false">
      <c r="A10091" s="571"/>
      <c r="B10091" s="500"/>
      <c r="C10091" s="860" t="s">
        <v>5859</v>
      </c>
      <c r="D10091" s="316" t="s">
        <v>4359</v>
      </c>
      <c r="E10091" s="661" t="n">
        <v>0.01</v>
      </c>
      <c r="F10091" s="617" t="n">
        <v>1995</v>
      </c>
      <c r="G10091" s="615" t="n">
        <f aca="false">E10091*F10091</f>
        <v>19.95</v>
      </c>
      <c r="H10091" s="606"/>
    </row>
    <row r="10092" customFormat="false" ht="15" hidden="false" customHeight="false" outlineLevel="0" collapsed="false">
      <c r="A10092" s="571"/>
      <c r="B10092" s="500"/>
      <c r="C10092" s="860" t="s">
        <v>5824</v>
      </c>
      <c r="D10092" s="316" t="s">
        <v>4359</v>
      </c>
      <c r="E10092" s="664" t="n">
        <v>0.001</v>
      </c>
      <c r="F10092" s="617" t="n">
        <v>82115</v>
      </c>
      <c r="G10092" s="615" t="n">
        <f aca="false">E10092*F10092</f>
        <v>82.115</v>
      </c>
      <c r="H10092" s="606"/>
    </row>
    <row r="10093" customFormat="false" ht="21.75" hidden="false" customHeight="true" outlineLevel="0" collapsed="false">
      <c r="A10093" s="571"/>
      <c r="B10093" s="500"/>
      <c r="C10093" s="860" t="s">
        <v>5819</v>
      </c>
      <c r="D10093" s="316" t="s">
        <v>4191</v>
      </c>
      <c r="E10093" s="954" t="n">
        <v>0.01</v>
      </c>
      <c r="F10093" s="617" t="n">
        <v>316.4</v>
      </c>
      <c r="G10093" s="615" t="n">
        <f aca="false">E10093*F10093</f>
        <v>3.164</v>
      </c>
      <c r="H10093" s="606"/>
    </row>
    <row r="10094" customFormat="false" ht="21.75" hidden="false" customHeight="true" outlineLevel="0" collapsed="false">
      <c r="A10094" s="571"/>
      <c r="B10094" s="500"/>
      <c r="C10094" s="860" t="s">
        <v>5826</v>
      </c>
      <c r="D10094" s="316" t="s">
        <v>4191</v>
      </c>
      <c r="E10094" s="954" t="n">
        <v>0.01</v>
      </c>
      <c r="F10094" s="617" t="n">
        <v>366.25</v>
      </c>
      <c r="G10094" s="615" t="n">
        <f aca="false">E10094*F10094</f>
        <v>3.6625</v>
      </c>
      <c r="H10094" s="606"/>
    </row>
    <row r="10095" customFormat="false" ht="15" hidden="false" customHeight="false" outlineLevel="0" collapsed="false">
      <c r="A10095" s="571"/>
      <c r="B10095" s="500"/>
      <c r="C10095" s="860" t="s">
        <v>5820</v>
      </c>
      <c r="D10095" s="316" t="s">
        <v>4191</v>
      </c>
      <c r="E10095" s="954" t="n">
        <v>0.01</v>
      </c>
      <c r="F10095" s="617" t="n">
        <v>650</v>
      </c>
      <c r="G10095" s="615" t="n">
        <f aca="false">E10095*F10095</f>
        <v>6.5</v>
      </c>
      <c r="H10095" s="606"/>
    </row>
    <row r="10096" customFormat="false" ht="15" hidden="false" customHeight="false" outlineLevel="0" collapsed="false">
      <c r="A10096" s="571"/>
      <c r="B10096" s="500"/>
      <c r="C10096" s="860" t="s">
        <v>4515</v>
      </c>
      <c r="D10096" s="316" t="s">
        <v>4133</v>
      </c>
      <c r="E10096" s="661" t="n">
        <v>0.1</v>
      </c>
      <c r="F10096" s="681" t="n">
        <v>350</v>
      </c>
      <c r="G10096" s="615" t="n">
        <f aca="false">E10096*F10096</f>
        <v>35</v>
      </c>
      <c r="H10096" s="606"/>
    </row>
    <row r="10097" customFormat="false" ht="15" hidden="false" customHeight="false" outlineLevel="0" collapsed="false">
      <c r="A10097" s="571"/>
      <c r="B10097" s="328"/>
      <c r="C10097" s="860" t="s">
        <v>4776</v>
      </c>
      <c r="D10097" s="316" t="s">
        <v>4359</v>
      </c>
      <c r="E10097" s="661" t="n">
        <v>0.1</v>
      </c>
      <c r="F10097" s="617" t="n">
        <v>800</v>
      </c>
      <c r="G10097" s="615" t="n">
        <f aca="false">E10097*F10097</f>
        <v>80</v>
      </c>
      <c r="H10097" s="606"/>
    </row>
    <row r="10098" customFormat="false" ht="15" hidden="false" customHeight="false" outlineLevel="0" collapsed="false">
      <c r="A10098" s="571"/>
      <c r="B10098" s="500"/>
      <c r="C10098" s="860" t="s">
        <v>5861</v>
      </c>
      <c r="D10098" s="316" t="s">
        <v>5452</v>
      </c>
      <c r="E10098" s="660" t="n">
        <v>0.002</v>
      </c>
      <c r="F10098" s="617" t="n">
        <v>150375</v>
      </c>
      <c r="G10098" s="615" t="n">
        <f aca="false">E10098*F10098</f>
        <v>300.75</v>
      </c>
      <c r="H10098" s="606"/>
    </row>
    <row r="10099" customFormat="false" ht="15" hidden="false" customHeight="false" outlineLevel="0" collapsed="false">
      <c r="A10099" s="571"/>
      <c r="B10099" s="608" t="s">
        <v>4128</v>
      </c>
      <c r="C10099" s="964"/>
      <c r="D10099" s="965"/>
      <c r="E10099" s="969"/>
      <c r="F10099" s="967"/>
      <c r="G10099" s="613" t="n">
        <f aca="false">SUM(G10086:G10098)</f>
        <v>1585.2985</v>
      </c>
      <c r="H10099" s="606"/>
    </row>
    <row r="10100" customFormat="false" ht="30" hidden="false" customHeight="false" outlineLevel="0" collapsed="false">
      <c r="A10100" s="571" t="s">
        <v>1962</v>
      </c>
      <c r="B10100" s="433" t="s">
        <v>3717</v>
      </c>
      <c r="C10100" s="860" t="s">
        <v>5818</v>
      </c>
      <c r="D10100" s="316" t="s">
        <v>4133</v>
      </c>
      <c r="E10100" s="661" t="n">
        <v>0.01</v>
      </c>
      <c r="F10100" s="617" t="n">
        <v>67687</v>
      </c>
      <c r="G10100" s="615" t="n">
        <f aca="false">E10100*F10100</f>
        <v>676.87</v>
      </c>
      <c r="H10100" s="606"/>
    </row>
    <row r="10101" customFormat="false" ht="15" hidden="false" customHeight="false" outlineLevel="0" collapsed="false">
      <c r="A10101" s="571"/>
      <c r="B10101" s="500"/>
      <c r="C10101" s="860" t="s">
        <v>5819</v>
      </c>
      <c r="D10101" s="316" t="s">
        <v>4191</v>
      </c>
      <c r="E10101" s="954" t="n">
        <v>0.01</v>
      </c>
      <c r="F10101" s="617" t="n">
        <v>316.4</v>
      </c>
      <c r="G10101" s="615" t="n">
        <f aca="false">E10101*F10101</f>
        <v>3.164</v>
      </c>
      <c r="H10101" s="606"/>
    </row>
    <row r="10102" customFormat="false" ht="15" hidden="false" customHeight="false" outlineLevel="0" collapsed="false">
      <c r="A10102" s="571"/>
      <c r="B10102" s="500"/>
      <c r="C10102" s="860" t="s">
        <v>5820</v>
      </c>
      <c r="D10102" s="316" t="s">
        <v>4191</v>
      </c>
      <c r="E10102" s="954" t="n">
        <v>0.01</v>
      </c>
      <c r="F10102" s="617" t="n">
        <v>650</v>
      </c>
      <c r="G10102" s="615" t="n">
        <f aca="false">E10102*F10102</f>
        <v>6.5</v>
      </c>
      <c r="H10102" s="391"/>
    </row>
    <row r="10103" customFormat="false" ht="15" hidden="false" customHeight="false" outlineLevel="0" collapsed="false">
      <c r="A10103" s="571"/>
      <c r="B10103" s="500"/>
      <c r="C10103" s="860" t="s">
        <v>4515</v>
      </c>
      <c r="D10103" s="316" t="s">
        <v>4133</v>
      </c>
      <c r="E10103" s="661" t="n">
        <v>0.3</v>
      </c>
      <c r="F10103" s="681" t="n">
        <v>350</v>
      </c>
      <c r="G10103" s="615" t="n">
        <f aca="false">E10103*F10103</f>
        <v>105</v>
      </c>
      <c r="H10103" s="606"/>
    </row>
    <row r="10104" customFormat="false" ht="15" hidden="false" customHeight="false" outlineLevel="0" collapsed="false">
      <c r="A10104" s="571"/>
      <c r="B10104" s="500"/>
      <c r="C10104" s="860" t="s">
        <v>4776</v>
      </c>
      <c r="D10104" s="316" t="s">
        <v>4359</v>
      </c>
      <c r="E10104" s="661" t="n">
        <v>0.3</v>
      </c>
      <c r="F10104" s="617" t="n">
        <v>800</v>
      </c>
      <c r="G10104" s="615" t="n">
        <f aca="false">E10104*F10104</f>
        <v>240</v>
      </c>
      <c r="H10104" s="606"/>
    </row>
    <row r="10105" customFormat="false" ht="15" hidden="false" customHeight="false" outlineLevel="0" collapsed="false">
      <c r="A10105" s="571"/>
      <c r="B10105" s="500"/>
      <c r="C10105" s="860" t="s">
        <v>5861</v>
      </c>
      <c r="D10105" s="316" t="s">
        <v>5452</v>
      </c>
      <c r="E10105" s="660" t="n">
        <v>0.001</v>
      </c>
      <c r="F10105" s="617" t="n">
        <v>150375</v>
      </c>
      <c r="G10105" s="615" t="n">
        <f aca="false">E10105*F10105</f>
        <v>150.375</v>
      </c>
      <c r="H10105" s="606"/>
    </row>
    <row r="10106" customFormat="false" ht="15" hidden="false" customHeight="false" outlineLevel="0" collapsed="false">
      <c r="A10106" s="571"/>
      <c r="B10106" s="608" t="s">
        <v>4128</v>
      </c>
      <c r="C10106" s="964"/>
      <c r="D10106" s="965"/>
      <c r="E10106" s="969"/>
      <c r="F10106" s="967"/>
      <c r="G10106" s="613" t="n">
        <f aca="false">SUM(G10100:G10105)</f>
        <v>1181.909</v>
      </c>
      <c r="H10106" s="606"/>
    </row>
    <row r="10107" customFormat="false" ht="30" hidden="false" customHeight="false" outlineLevel="0" collapsed="false">
      <c r="A10107" s="571" t="s">
        <v>1964</v>
      </c>
      <c r="B10107" s="433" t="s">
        <v>3693</v>
      </c>
      <c r="C10107" s="860" t="s">
        <v>5854</v>
      </c>
      <c r="D10107" s="316" t="s">
        <v>4133</v>
      </c>
      <c r="E10107" s="975" t="n">
        <v>0.01</v>
      </c>
      <c r="F10107" s="617" t="n">
        <v>33792</v>
      </c>
      <c r="G10107" s="615" t="n">
        <f aca="false">E10107*F10107</f>
        <v>337.92</v>
      </c>
      <c r="H10107" s="606"/>
    </row>
    <row r="10108" customFormat="false" ht="15" hidden="false" customHeight="false" outlineLevel="0" collapsed="false">
      <c r="A10108" s="571"/>
      <c r="B10108" s="500"/>
      <c r="C10108" s="860" t="s">
        <v>5855</v>
      </c>
      <c r="D10108" s="316" t="s">
        <v>4133</v>
      </c>
      <c r="E10108" s="664" t="n">
        <v>0.002</v>
      </c>
      <c r="F10108" s="617" t="n">
        <v>203735</v>
      </c>
      <c r="G10108" s="615" t="n">
        <f aca="false">E10108*F10108</f>
        <v>407.47</v>
      </c>
      <c r="H10108" s="606"/>
    </row>
    <row r="10109" customFormat="false" ht="15" hidden="false" customHeight="false" outlineLevel="0" collapsed="false">
      <c r="A10109" s="571"/>
      <c r="B10109" s="500"/>
      <c r="C10109" s="860" t="s">
        <v>5836</v>
      </c>
      <c r="D10109" s="316" t="s">
        <v>4133</v>
      </c>
      <c r="E10109" s="664" t="n">
        <v>0.001</v>
      </c>
      <c r="F10109" s="617" t="n">
        <v>10500</v>
      </c>
      <c r="G10109" s="615" t="n">
        <f aca="false">E10109*F10109</f>
        <v>10.5</v>
      </c>
      <c r="H10109" s="606"/>
    </row>
    <row r="10110" customFormat="false" ht="15" hidden="false" customHeight="false" outlineLevel="0" collapsed="false">
      <c r="A10110" s="571"/>
      <c r="B10110" s="500"/>
      <c r="C10110" s="860" t="s">
        <v>5856</v>
      </c>
      <c r="D10110" s="316" t="s">
        <v>4359</v>
      </c>
      <c r="E10110" s="664" t="n">
        <v>0.001</v>
      </c>
      <c r="F10110" s="617" t="n">
        <v>168481</v>
      </c>
      <c r="G10110" s="615" t="n">
        <f aca="false">E10110*F10110</f>
        <v>168.481</v>
      </c>
      <c r="H10110" s="391"/>
    </row>
    <row r="10111" customFormat="false" ht="15" hidden="false" customHeight="false" outlineLevel="0" collapsed="false">
      <c r="A10111" s="571"/>
      <c r="B10111" s="500"/>
      <c r="C10111" s="860" t="s">
        <v>5857</v>
      </c>
      <c r="D10111" s="316" t="s">
        <v>4359</v>
      </c>
      <c r="E10111" s="664" t="n">
        <v>0.001</v>
      </c>
      <c r="F10111" s="617" t="n">
        <v>175794</v>
      </c>
      <c r="G10111" s="615" t="n">
        <f aca="false">E10111*F10111</f>
        <v>175.794</v>
      </c>
      <c r="H10111" s="606"/>
    </row>
    <row r="10112" customFormat="false" ht="15" hidden="false" customHeight="false" outlineLevel="0" collapsed="false">
      <c r="A10112" s="571"/>
      <c r="B10112" s="500"/>
      <c r="C10112" s="860" t="s">
        <v>5824</v>
      </c>
      <c r="D10112" s="316" t="s">
        <v>4359</v>
      </c>
      <c r="E10112" s="664" t="n">
        <v>0.001</v>
      </c>
      <c r="F10112" s="617" t="n">
        <v>82115</v>
      </c>
      <c r="G10112" s="615" t="n">
        <f aca="false">E10112*F10112</f>
        <v>82.115</v>
      </c>
      <c r="H10112" s="606"/>
    </row>
    <row r="10113" customFormat="false" ht="15" hidden="false" customHeight="false" outlineLevel="0" collapsed="false">
      <c r="A10113" s="571"/>
      <c r="B10113" s="500"/>
      <c r="C10113" s="860" t="s">
        <v>5819</v>
      </c>
      <c r="D10113" s="316" t="s">
        <v>4191</v>
      </c>
      <c r="E10113" s="954" t="n">
        <v>0.01</v>
      </c>
      <c r="F10113" s="617" t="n">
        <v>316.4</v>
      </c>
      <c r="G10113" s="615" t="n">
        <f aca="false">E10113*F10113</f>
        <v>3.164</v>
      </c>
      <c r="H10113" s="606"/>
    </row>
    <row r="10114" customFormat="false" ht="15" hidden="false" customHeight="false" outlineLevel="0" collapsed="false">
      <c r="A10114" s="571"/>
      <c r="B10114" s="500"/>
      <c r="C10114" s="860" t="s">
        <v>5826</v>
      </c>
      <c r="D10114" s="316" t="s">
        <v>4191</v>
      </c>
      <c r="E10114" s="954" t="n">
        <v>0.01</v>
      </c>
      <c r="F10114" s="617" t="n">
        <v>366.25</v>
      </c>
      <c r="G10114" s="615" t="n">
        <f aca="false">E10114*F10114</f>
        <v>3.6625</v>
      </c>
      <c r="H10114" s="606"/>
    </row>
    <row r="10115" customFormat="false" ht="15" hidden="false" customHeight="false" outlineLevel="0" collapsed="false">
      <c r="A10115" s="571"/>
      <c r="B10115" s="500"/>
      <c r="C10115" s="860" t="s">
        <v>5820</v>
      </c>
      <c r="D10115" s="316" t="s">
        <v>4191</v>
      </c>
      <c r="E10115" s="954" t="n">
        <v>0.01</v>
      </c>
      <c r="F10115" s="617" t="n">
        <v>650</v>
      </c>
      <c r="G10115" s="615" t="n">
        <f aca="false">E10115*F10115</f>
        <v>6.5</v>
      </c>
      <c r="H10115" s="606"/>
    </row>
    <row r="10116" customFormat="false" ht="15" hidden="false" customHeight="false" outlineLevel="0" collapsed="false">
      <c r="A10116" s="571"/>
      <c r="B10116" s="500"/>
      <c r="C10116" s="860" t="s">
        <v>4515</v>
      </c>
      <c r="D10116" s="316" t="s">
        <v>4133</v>
      </c>
      <c r="E10116" s="661" t="n">
        <v>0.1</v>
      </c>
      <c r="F10116" s="681" t="n">
        <v>350</v>
      </c>
      <c r="G10116" s="615" t="n">
        <f aca="false">E10116*F10116</f>
        <v>35</v>
      </c>
      <c r="H10116" s="606"/>
    </row>
    <row r="10117" customFormat="false" ht="15" hidden="false" customHeight="false" outlineLevel="0" collapsed="false">
      <c r="A10117" s="571"/>
      <c r="B10117" s="500"/>
      <c r="C10117" s="860" t="s">
        <v>5861</v>
      </c>
      <c r="D10117" s="316" t="s">
        <v>5452</v>
      </c>
      <c r="E10117" s="660" t="n">
        <v>0.001</v>
      </c>
      <c r="F10117" s="617" t="n">
        <v>150375</v>
      </c>
      <c r="G10117" s="615" t="n">
        <f aca="false">E10117*F10117</f>
        <v>150.375</v>
      </c>
      <c r="H10117" s="606"/>
    </row>
    <row r="10118" customFormat="false" ht="15" hidden="false" customHeight="false" outlineLevel="0" collapsed="false">
      <c r="A10118" s="571"/>
      <c r="B10118" s="328"/>
      <c r="C10118" s="860" t="s">
        <v>4776</v>
      </c>
      <c r="D10118" s="316" t="s">
        <v>4359</v>
      </c>
      <c r="E10118" s="661" t="n">
        <v>0.1</v>
      </c>
      <c r="F10118" s="617" t="n">
        <v>800</v>
      </c>
      <c r="G10118" s="615" t="n">
        <f aca="false">E10118*F10118</f>
        <v>80</v>
      </c>
      <c r="H10118" s="606"/>
    </row>
    <row r="10119" customFormat="false" ht="15" hidden="false" customHeight="false" outlineLevel="0" collapsed="false">
      <c r="A10119" s="571"/>
      <c r="B10119" s="608" t="s">
        <v>4128</v>
      </c>
      <c r="C10119" s="964"/>
      <c r="D10119" s="965"/>
      <c r="E10119" s="969"/>
      <c r="F10119" s="967"/>
      <c r="G10119" s="613" t="n">
        <f aca="false">SUM(G10107:G10118)</f>
        <v>1460.9815</v>
      </c>
      <c r="H10119" s="606"/>
    </row>
    <row r="10120" customFormat="false" ht="30" hidden="false" customHeight="false" outlineLevel="0" collapsed="false">
      <c r="A10120" s="571" t="s">
        <v>1965</v>
      </c>
      <c r="B10120" s="433" t="s">
        <v>3691</v>
      </c>
      <c r="C10120" s="860" t="s">
        <v>5858</v>
      </c>
      <c r="D10120" s="316" t="s">
        <v>4133</v>
      </c>
      <c r="E10120" s="664" t="n">
        <v>0.005</v>
      </c>
      <c r="F10120" s="617" t="n">
        <v>52272</v>
      </c>
      <c r="G10120" s="615" t="n">
        <f aca="false">E10120*F10120</f>
        <v>261.36</v>
      </c>
      <c r="H10120" s="912"/>
    </row>
    <row r="10121" customFormat="false" ht="15" hidden="false" customHeight="false" outlineLevel="0" collapsed="false">
      <c r="A10121" s="571"/>
      <c r="B10121" s="500"/>
      <c r="C10121" s="860" t="s">
        <v>5823</v>
      </c>
      <c r="D10121" s="316" t="s">
        <v>4133</v>
      </c>
      <c r="E10121" s="664" t="n">
        <v>0.005</v>
      </c>
      <c r="F10121" s="617" t="n">
        <v>69797</v>
      </c>
      <c r="G10121" s="615" t="n">
        <f aca="false">E10121*F10121</f>
        <v>348.985</v>
      </c>
      <c r="H10121" s="606"/>
    </row>
    <row r="10122" customFormat="false" ht="15" hidden="false" customHeight="false" outlineLevel="0" collapsed="false">
      <c r="A10122" s="571"/>
      <c r="B10122" s="500"/>
      <c r="C10122" s="860" t="s">
        <v>5825</v>
      </c>
      <c r="D10122" s="316" t="s">
        <v>5452</v>
      </c>
      <c r="E10122" s="661" t="n">
        <v>0.01</v>
      </c>
      <c r="F10122" s="617" t="n">
        <v>8468</v>
      </c>
      <c r="G10122" s="615" t="n">
        <f aca="false">E10122*F10122</f>
        <v>84.68</v>
      </c>
      <c r="H10122" s="606"/>
    </row>
    <row r="10123" customFormat="false" ht="15" hidden="false" customHeight="false" outlineLevel="0" collapsed="false">
      <c r="A10123" s="571"/>
      <c r="B10123" s="500"/>
      <c r="C10123" s="860" t="s">
        <v>5824</v>
      </c>
      <c r="D10123" s="316" t="s">
        <v>4359</v>
      </c>
      <c r="E10123" s="661" t="n">
        <v>0.001</v>
      </c>
      <c r="F10123" s="617" t="n">
        <v>82115</v>
      </c>
      <c r="G10123" s="615" t="n">
        <f aca="false">E10123*F10123</f>
        <v>82.115</v>
      </c>
      <c r="H10123" s="606"/>
    </row>
    <row r="10124" customFormat="false" ht="15" hidden="false" customHeight="false" outlineLevel="0" collapsed="false">
      <c r="A10124" s="571"/>
      <c r="B10124" s="500"/>
      <c r="C10124" s="860" t="s">
        <v>5819</v>
      </c>
      <c r="D10124" s="316" t="s">
        <v>4191</v>
      </c>
      <c r="E10124" s="954" t="n">
        <v>0.01</v>
      </c>
      <c r="F10124" s="617" t="n">
        <v>316.4</v>
      </c>
      <c r="G10124" s="615" t="n">
        <f aca="false">E10124*F10124</f>
        <v>3.164</v>
      </c>
      <c r="H10124" s="391"/>
    </row>
    <row r="10125" customFormat="false" ht="15" hidden="false" customHeight="false" outlineLevel="0" collapsed="false">
      <c r="A10125" s="571"/>
      <c r="B10125" s="500"/>
      <c r="C10125" s="860" t="s">
        <v>5826</v>
      </c>
      <c r="D10125" s="316" t="s">
        <v>4191</v>
      </c>
      <c r="E10125" s="954" t="n">
        <v>0.01</v>
      </c>
      <c r="F10125" s="617" t="n">
        <v>366.25</v>
      </c>
      <c r="G10125" s="615" t="n">
        <f aca="false">E10125*F10125</f>
        <v>3.6625</v>
      </c>
      <c r="H10125" s="606"/>
    </row>
    <row r="10126" customFormat="false" ht="15" hidden="false" customHeight="false" outlineLevel="0" collapsed="false">
      <c r="A10126" s="571"/>
      <c r="B10126" s="500"/>
      <c r="C10126" s="860" t="s">
        <v>5820</v>
      </c>
      <c r="D10126" s="316" t="s">
        <v>4191</v>
      </c>
      <c r="E10126" s="954" t="n">
        <v>0.01</v>
      </c>
      <c r="F10126" s="617" t="n">
        <v>650</v>
      </c>
      <c r="G10126" s="615" t="n">
        <f aca="false">E10126*F10126</f>
        <v>6.5</v>
      </c>
      <c r="H10126" s="606"/>
    </row>
    <row r="10127" customFormat="false" ht="15" hidden="false" customHeight="false" outlineLevel="0" collapsed="false">
      <c r="A10127" s="571"/>
      <c r="B10127" s="500"/>
      <c r="C10127" s="860" t="s">
        <v>5861</v>
      </c>
      <c r="D10127" s="316" t="s">
        <v>5452</v>
      </c>
      <c r="E10127" s="660" t="n">
        <v>0.001</v>
      </c>
      <c r="F10127" s="617" t="n">
        <v>150375</v>
      </c>
      <c r="G10127" s="615" t="n">
        <f aca="false">E10127*F10127</f>
        <v>150.375</v>
      </c>
      <c r="H10127" s="606"/>
    </row>
    <row r="10128" customFormat="false" ht="15" hidden="false" customHeight="false" outlineLevel="0" collapsed="false">
      <c r="A10128" s="571"/>
      <c r="B10128" s="500"/>
      <c r="C10128" s="860" t="s">
        <v>4515</v>
      </c>
      <c r="D10128" s="316" t="s">
        <v>4133</v>
      </c>
      <c r="E10128" s="661" t="n">
        <v>0.3</v>
      </c>
      <c r="F10128" s="681" t="n">
        <v>350</v>
      </c>
      <c r="G10128" s="615" t="n">
        <f aca="false">E10128*F10128</f>
        <v>105</v>
      </c>
      <c r="H10128" s="606"/>
    </row>
    <row r="10129" customFormat="false" ht="15" hidden="false" customHeight="false" outlineLevel="0" collapsed="false">
      <c r="A10129" s="571"/>
      <c r="B10129" s="500"/>
      <c r="C10129" s="860" t="s">
        <v>4776</v>
      </c>
      <c r="D10129" s="316" t="s">
        <v>4359</v>
      </c>
      <c r="E10129" s="661" t="n">
        <v>0.3</v>
      </c>
      <c r="F10129" s="617" t="n">
        <v>800</v>
      </c>
      <c r="G10129" s="615" t="n">
        <f aca="false">E10129*F10129</f>
        <v>240</v>
      </c>
      <c r="H10129" s="606"/>
    </row>
    <row r="10130" customFormat="false" ht="15" hidden="false" customHeight="false" outlineLevel="0" collapsed="false">
      <c r="A10130" s="571"/>
      <c r="B10130" s="608" t="s">
        <v>4128</v>
      </c>
      <c r="C10130" s="718"/>
      <c r="D10130" s="610"/>
      <c r="E10130" s="611"/>
      <c r="F10130" s="612"/>
      <c r="G10130" s="613" t="n">
        <f aca="false">SUM(G10120:G10129)</f>
        <v>1285.8415</v>
      </c>
      <c r="H10130" s="606"/>
    </row>
    <row r="10131" customFormat="false" ht="30" hidden="false" customHeight="false" outlineLevel="0" collapsed="false">
      <c r="A10131" s="571" t="s">
        <v>1966</v>
      </c>
      <c r="B10131" s="433" t="s">
        <v>3718</v>
      </c>
      <c r="C10131" s="974" t="s">
        <v>5931</v>
      </c>
      <c r="D10131" s="317" t="s">
        <v>4359</v>
      </c>
      <c r="E10131" s="661" t="n">
        <v>0.3</v>
      </c>
      <c r="F10131" s="617" t="n">
        <v>2000</v>
      </c>
      <c r="G10131" s="615" t="n">
        <f aca="false">E10131*F10131</f>
        <v>600</v>
      </c>
      <c r="H10131" s="606"/>
    </row>
    <row r="10132" customFormat="false" ht="15" hidden="false" customHeight="false" outlineLevel="0" collapsed="false">
      <c r="A10132" s="571"/>
      <c r="B10132" s="328"/>
      <c r="C10132" s="860" t="s">
        <v>5824</v>
      </c>
      <c r="D10132" s="316" t="s">
        <v>4528</v>
      </c>
      <c r="E10132" s="661" t="n">
        <v>0.002</v>
      </c>
      <c r="F10132" s="617" t="n">
        <v>82115</v>
      </c>
      <c r="G10132" s="615" t="n">
        <f aca="false">E10132*F10132</f>
        <v>164.23</v>
      </c>
      <c r="H10132" s="606"/>
    </row>
    <row r="10133" customFormat="false" ht="15" hidden="false" customHeight="false" outlineLevel="0" collapsed="false">
      <c r="A10133" s="571"/>
      <c r="B10133" s="500"/>
      <c r="C10133" s="860" t="s">
        <v>5861</v>
      </c>
      <c r="D10133" s="316" t="s">
        <v>5452</v>
      </c>
      <c r="E10133" s="660" t="n">
        <v>0.001</v>
      </c>
      <c r="F10133" s="617" t="n">
        <v>150375</v>
      </c>
      <c r="G10133" s="615" t="n">
        <f aca="false">E10133*F10133</f>
        <v>150.375</v>
      </c>
      <c r="H10133" s="912"/>
    </row>
    <row r="10134" customFormat="false" ht="15" hidden="false" customHeight="false" outlineLevel="0" collapsed="false">
      <c r="A10134" s="571"/>
      <c r="B10134" s="500"/>
      <c r="C10134" s="860" t="s">
        <v>5826</v>
      </c>
      <c r="D10134" s="316" t="s">
        <v>4191</v>
      </c>
      <c r="E10134" s="954" t="n">
        <v>0.01</v>
      </c>
      <c r="F10134" s="617" t="n">
        <v>366.25</v>
      </c>
      <c r="G10134" s="615" t="n">
        <f aca="false">E10134*F10134</f>
        <v>3.6625</v>
      </c>
      <c r="H10134" s="606"/>
    </row>
    <row r="10135" customFormat="false" ht="15" hidden="false" customHeight="false" outlineLevel="0" collapsed="false">
      <c r="A10135" s="571"/>
      <c r="B10135" s="500"/>
      <c r="C10135" s="860" t="s">
        <v>5820</v>
      </c>
      <c r="D10135" s="316" t="s">
        <v>4191</v>
      </c>
      <c r="E10135" s="954" t="n">
        <v>0.1</v>
      </c>
      <c r="F10135" s="617" t="n">
        <v>650</v>
      </c>
      <c r="G10135" s="615" t="n">
        <f aca="false">E10135*F10135</f>
        <v>65</v>
      </c>
      <c r="H10135" s="606"/>
    </row>
    <row r="10136" customFormat="false" ht="15" hidden="false" customHeight="false" outlineLevel="0" collapsed="false">
      <c r="A10136" s="571"/>
      <c r="B10136" s="500"/>
      <c r="C10136" s="860" t="s">
        <v>4515</v>
      </c>
      <c r="D10136" s="316" t="s">
        <v>5564</v>
      </c>
      <c r="E10136" s="661" t="n">
        <v>0.2</v>
      </c>
      <c r="F10136" s="681" t="n">
        <v>350</v>
      </c>
      <c r="G10136" s="615" t="n">
        <f aca="false">E10136*F10136</f>
        <v>70</v>
      </c>
      <c r="H10136" s="391"/>
    </row>
    <row r="10137" customFormat="false" ht="15" hidden="false" customHeight="false" outlineLevel="0" collapsed="false">
      <c r="A10137" s="571"/>
      <c r="B10137" s="500"/>
      <c r="C10137" s="860" t="s">
        <v>4776</v>
      </c>
      <c r="D10137" s="316" t="s">
        <v>4528</v>
      </c>
      <c r="E10137" s="661" t="n">
        <v>0.4</v>
      </c>
      <c r="F10137" s="617" t="n">
        <v>800</v>
      </c>
      <c r="G10137" s="615" t="n">
        <f aca="false">E10137*F10137</f>
        <v>320</v>
      </c>
      <c r="H10137" s="391"/>
    </row>
    <row r="10138" customFormat="false" ht="15" hidden="false" customHeight="false" outlineLevel="0" collapsed="false">
      <c r="A10138" s="571"/>
      <c r="B10138" s="500"/>
      <c r="C10138" s="860" t="s">
        <v>5851</v>
      </c>
      <c r="D10138" s="316" t="s">
        <v>4348</v>
      </c>
      <c r="E10138" s="958" t="n">
        <v>0.001</v>
      </c>
      <c r="F10138" s="617" t="n">
        <v>19488</v>
      </c>
      <c r="G10138" s="615" t="n">
        <f aca="false">E10138*F10138</f>
        <v>19.488</v>
      </c>
      <c r="H10138" s="606"/>
    </row>
    <row r="10139" customFormat="false" ht="15" hidden="false" customHeight="false" outlineLevel="0" collapsed="false">
      <c r="A10139" s="571"/>
      <c r="B10139" s="608" t="s">
        <v>4128</v>
      </c>
      <c r="C10139" s="964"/>
      <c r="D10139" s="965"/>
      <c r="E10139" s="969"/>
      <c r="F10139" s="967"/>
      <c r="G10139" s="613" t="n">
        <f aca="false">SUM(G10131:G10138)</f>
        <v>1392.7555</v>
      </c>
      <c r="H10139" s="606"/>
    </row>
    <row r="10140" customFormat="false" ht="30" hidden="false" customHeight="false" outlineLevel="0" collapsed="false">
      <c r="A10140" s="571" t="s">
        <v>1968</v>
      </c>
      <c r="B10140" s="433" t="s">
        <v>3719</v>
      </c>
      <c r="C10140" s="860" t="s">
        <v>5818</v>
      </c>
      <c r="D10140" s="316" t="s">
        <v>4133</v>
      </c>
      <c r="E10140" s="664" t="n">
        <v>0.001</v>
      </c>
      <c r="F10140" s="617" t="n">
        <v>67687</v>
      </c>
      <c r="G10140" s="615" t="n">
        <f aca="false">E10140*F10140</f>
        <v>67.687</v>
      </c>
      <c r="H10140" s="606"/>
    </row>
    <row r="10141" customFormat="false" ht="15" hidden="false" customHeight="false" outlineLevel="0" collapsed="false">
      <c r="A10141" s="571"/>
      <c r="B10141" s="500"/>
      <c r="C10141" s="860" t="s">
        <v>5836</v>
      </c>
      <c r="D10141" s="316" t="s">
        <v>4133</v>
      </c>
      <c r="E10141" s="664" t="n">
        <v>0.001</v>
      </c>
      <c r="F10141" s="617" t="n">
        <v>10500</v>
      </c>
      <c r="G10141" s="615" t="n">
        <f aca="false">E10141*F10141</f>
        <v>10.5</v>
      </c>
      <c r="H10141" s="606"/>
    </row>
    <row r="10142" customFormat="false" ht="15" hidden="false" customHeight="false" outlineLevel="0" collapsed="false">
      <c r="A10142" s="571"/>
      <c r="B10142" s="500"/>
      <c r="C10142" s="860" t="s">
        <v>5838</v>
      </c>
      <c r="D10142" s="316" t="s">
        <v>4133</v>
      </c>
      <c r="E10142" s="664" t="n">
        <v>0.001</v>
      </c>
      <c r="F10142" s="617" t="n">
        <v>80176</v>
      </c>
      <c r="G10142" s="615" t="n">
        <f aca="false">E10142*F10142</f>
        <v>80.176</v>
      </c>
      <c r="H10142" s="606"/>
    </row>
    <row r="10143" customFormat="false" ht="15" hidden="false" customHeight="false" outlineLevel="0" collapsed="false">
      <c r="A10143" s="571"/>
      <c r="B10143" s="500"/>
      <c r="C10143" s="860" t="s">
        <v>5825</v>
      </c>
      <c r="D10143" s="316" t="s">
        <v>4191</v>
      </c>
      <c r="E10143" s="661" t="n">
        <v>0.01</v>
      </c>
      <c r="F10143" s="617" t="n">
        <v>8468</v>
      </c>
      <c r="G10143" s="615" t="n">
        <f aca="false">E10143*F10143</f>
        <v>84.68</v>
      </c>
      <c r="H10143" s="606"/>
    </row>
    <row r="10144" customFormat="false" ht="15" hidden="false" customHeight="false" outlineLevel="0" collapsed="false">
      <c r="A10144" s="571"/>
      <c r="B10144" s="500"/>
      <c r="C10144" s="860" t="s">
        <v>5830</v>
      </c>
      <c r="D10144" s="316" t="s">
        <v>4133</v>
      </c>
      <c r="E10144" s="664" t="n">
        <v>0.001</v>
      </c>
      <c r="F10144" s="617" t="n">
        <v>74448</v>
      </c>
      <c r="G10144" s="615" t="n">
        <f aca="false">E10144*F10144</f>
        <v>74.448</v>
      </c>
      <c r="H10144" s="606"/>
    </row>
    <row r="10145" customFormat="false" ht="15" hidden="false" customHeight="false" outlineLevel="0" collapsed="false">
      <c r="A10145" s="571"/>
      <c r="B10145" s="500"/>
      <c r="C10145" s="860" t="s">
        <v>5831</v>
      </c>
      <c r="D10145" s="316" t="s">
        <v>4133</v>
      </c>
      <c r="E10145" s="664" t="n">
        <v>0.001</v>
      </c>
      <c r="F10145" s="617" t="n">
        <v>45513</v>
      </c>
      <c r="G10145" s="615" t="n">
        <f aca="false">E10145*F10145</f>
        <v>45.513</v>
      </c>
      <c r="H10145" s="912"/>
    </row>
    <row r="10146" customFormat="false" ht="15" hidden="false" customHeight="false" outlineLevel="0" collapsed="false">
      <c r="A10146" s="571"/>
      <c r="B10146" s="500"/>
      <c r="C10146" s="860" t="s">
        <v>5832</v>
      </c>
      <c r="D10146" s="316" t="s">
        <v>4133</v>
      </c>
      <c r="E10146" s="664" t="n">
        <v>0.001</v>
      </c>
      <c r="F10146" s="617" t="n">
        <v>99906</v>
      </c>
      <c r="G10146" s="615" t="n">
        <f aca="false">E10146*F10146</f>
        <v>99.906</v>
      </c>
      <c r="H10146" s="391"/>
    </row>
    <row r="10147" customFormat="false" ht="15" hidden="false" customHeight="false" outlineLevel="0" collapsed="false">
      <c r="A10147" s="571"/>
      <c r="B10147" s="328"/>
      <c r="C10147" s="860" t="s">
        <v>5823</v>
      </c>
      <c r="D10147" s="316" t="s">
        <v>4133</v>
      </c>
      <c r="E10147" s="664" t="n">
        <v>0.001</v>
      </c>
      <c r="F10147" s="617" t="n">
        <v>69797</v>
      </c>
      <c r="G10147" s="615" t="n">
        <f aca="false">E10147*F10147</f>
        <v>69.797</v>
      </c>
      <c r="H10147" s="606"/>
    </row>
    <row r="10148" customFormat="false" ht="15" hidden="false" customHeight="false" outlineLevel="0" collapsed="false">
      <c r="A10148" s="571"/>
      <c r="B10148" s="500"/>
      <c r="C10148" s="860" t="s">
        <v>5833</v>
      </c>
      <c r="D10148" s="316" t="s">
        <v>4133</v>
      </c>
      <c r="E10148" s="664" t="n">
        <v>0.001</v>
      </c>
      <c r="F10148" s="617" t="n">
        <v>34001</v>
      </c>
      <c r="G10148" s="615" t="n">
        <f aca="false">E10148*F10148</f>
        <v>34.001</v>
      </c>
      <c r="H10148" s="606"/>
    </row>
    <row r="10149" customFormat="false" ht="15" hidden="false" customHeight="false" outlineLevel="0" collapsed="false">
      <c r="A10149" s="571"/>
      <c r="B10149" s="500"/>
      <c r="C10149" s="860" t="s">
        <v>5834</v>
      </c>
      <c r="D10149" s="316" t="s">
        <v>4133</v>
      </c>
      <c r="E10149" s="664" t="n">
        <v>0.001</v>
      </c>
      <c r="F10149" s="617" t="n">
        <v>69797</v>
      </c>
      <c r="G10149" s="615" t="n">
        <f aca="false">E10149*F10149</f>
        <v>69.797</v>
      </c>
      <c r="H10149" s="606"/>
    </row>
    <row r="10150" customFormat="false" ht="15" hidden="false" customHeight="false" outlineLevel="0" collapsed="false">
      <c r="A10150" s="571"/>
      <c r="B10150" s="500"/>
      <c r="C10150" s="860" t="s">
        <v>5835</v>
      </c>
      <c r="D10150" s="316" t="s">
        <v>4133</v>
      </c>
      <c r="E10150" s="664" t="n">
        <v>0.001</v>
      </c>
      <c r="F10150" s="617" t="n">
        <v>69797</v>
      </c>
      <c r="G10150" s="615" t="n">
        <f aca="false">E10150*F10150</f>
        <v>69.797</v>
      </c>
      <c r="H10150" s="606"/>
    </row>
    <row r="10151" customFormat="false" ht="15" hidden="false" customHeight="false" outlineLevel="0" collapsed="false">
      <c r="A10151" s="571"/>
      <c r="B10151" s="500"/>
      <c r="C10151" s="860" t="s">
        <v>5837</v>
      </c>
      <c r="D10151" s="316" t="s">
        <v>4133</v>
      </c>
      <c r="E10151" s="664" t="n">
        <v>0.001</v>
      </c>
      <c r="F10151" s="617" t="n">
        <v>91872</v>
      </c>
      <c r="G10151" s="615" t="n">
        <f aca="false">E10151*F10151</f>
        <v>91.872</v>
      </c>
      <c r="H10151" s="606"/>
    </row>
    <row r="10152" customFormat="false" ht="15" hidden="false" customHeight="false" outlineLevel="0" collapsed="false">
      <c r="A10152" s="571"/>
      <c r="B10152" s="500"/>
      <c r="C10152" s="860" t="s">
        <v>5838</v>
      </c>
      <c r="D10152" s="316" t="s">
        <v>4133</v>
      </c>
      <c r="E10152" s="664" t="n">
        <v>0.001</v>
      </c>
      <c r="F10152" s="617" t="n">
        <v>80176</v>
      </c>
      <c r="G10152" s="615" t="n">
        <f aca="false">E10152*F10152</f>
        <v>80.176</v>
      </c>
      <c r="H10152" s="606"/>
    </row>
    <row r="10153" customFormat="false" ht="15" hidden="false" customHeight="false" outlineLevel="0" collapsed="false">
      <c r="A10153" s="571"/>
      <c r="B10153" s="328"/>
      <c r="C10153" s="860" t="s">
        <v>5840</v>
      </c>
      <c r="D10153" s="316" t="s">
        <v>4133</v>
      </c>
      <c r="E10153" s="664" t="n">
        <v>0.0001</v>
      </c>
      <c r="F10153" s="617" t="n">
        <v>158202</v>
      </c>
      <c r="G10153" s="615" t="n">
        <f aca="false">E10153*F10153</f>
        <v>15.8202</v>
      </c>
      <c r="H10153" s="912"/>
    </row>
    <row r="10154" customFormat="false" ht="15" hidden="false" customHeight="false" outlineLevel="0" collapsed="false">
      <c r="A10154" s="571"/>
      <c r="B10154" s="500"/>
      <c r="C10154" s="860" t="s">
        <v>5839</v>
      </c>
      <c r="D10154" s="316" t="s">
        <v>4133</v>
      </c>
      <c r="E10154" s="664" t="n">
        <v>0.001</v>
      </c>
      <c r="F10154" s="617" t="n">
        <v>7982</v>
      </c>
      <c r="G10154" s="615" t="n">
        <f aca="false">E10154*F10154</f>
        <v>7.982</v>
      </c>
      <c r="H10154" s="606"/>
    </row>
    <row r="10155" customFormat="false" ht="15" hidden="false" customHeight="false" outlineLevel="0" collapsed="false">
      <c r="A10155" s="571"/>
      <c r="B10155" s="500"/>
      <c r="C10155" s="860" t="s">
        <v>5841</v>
      </c>
      <c r="D10155" s="316" t="s">
        <v>4133</v>
      </c>
      <c r="E10155" s="664" t="n">
        <v>0.001</v>
      </c>
      <c r="F10155" s="617" t="n">
        <v>10500</v>
      </c>
      <c r="G10155" s="615" t="n">
        <f aca="false">E10155*F10155</f>
        <v>10.5</v>
      </c>
      <c r="H10155" s="606"/>
    </row>
    <row r="10156" customFormat="false" ht="15" hidden="false" customHeight="false" outlineLevel="0" collapsed="false">
      <c r="A10156" s="571"/>
      <c r="B10156" s="328"/>
      <c r="C10156" s="860" t="s">
        <v>5843</v>
      </c>
      <c r="D10156" s="316" t="s">
        <v>4133</v>
      </c>
      <c r="E10156" s="664" t="n">
        <v>0.001</v>
      </c>
      <c r="F10156" s="617" t="n">
        <v>48840</v>
      </c>
      <c r="G10156" s="615" t="n">
        <f aca="false">E10156*F10156</f>
        <v>48.84</v>
      </c>
      <c r="H10156" s="606"/>
    </row>
    <row r="10157" customFormat="false" ht="15" hidden="false" customHeight="false" outlineLevel="0" collapsed="false">
      <c r="A10157" s="571"/>
      <c r="B10157" s="500"/>
      <c r="C10157" s="860" t="s">
        <v>5842</v>
      </c>
      <c r="D10157" s="316" t="s">
        <v>4133</v>
      </c>
      <c r="E10157" s="664" t="n">
        <v>0.001</v>
      </c>
      <c r="F10157" s="617" t="n">
        <v>46343</v>
      </c>
      <c r="G10157" s="615" t="n">
        <f aca="false">E10157*F10157</f>
        <v>46.343</v>
      </c>
      <c r="H10157" s="606"/>
    </row>
    <row r="10158" customFormat="false" ht="15" hidden="false" customHeight="false" outlineLevel="0" collapsed="false">
      <c r="A10158" s="571"/>
      <c r="B10158" s="500"/>
      <c r="C10158" s="860" t="s">
        <v>5844</v>
      </c>
      <c r="D10158" s="316" t="s">
        <v>4191</v>
      </c>
      <c r="E10158" s="664" t="n">
        <v>0.001</v>
      </c>
      <c r="F10158" s="617" t="n">
        <v>74415</v>
      </c>
      <c r="G10158" s="615" t="n">
        <f aca="false">E10158*F10158</f>
        <v>74.415</v>
      </c>
      <c r="H10158" s="606"/>
    </row>
    <row r="10159" customFormat="false" ht="15" hidden="false" customHeight="false" outlineLevel="0" collapsed="false">
      <c r="A10159" s="571"/>
      <c r="B10159" s="500"/>
      <c r="C10159" s="860" t="s">
        <v>5845</v>
      </c>
      <c r="D10159" s="316" t="s">
        <v>4359</v>
      </c>
      <c r="E10159" s="664" t="n">
        <v>0.001</v>
      </c>
      <c r="F10159" s="617" t="n">
        <v>10500</v>
      </c>
      <c r="G10159" s="615" t="n">
        <f aca="false">E10159*F10159</f>
        <v>10.5</v>
      </c>
      <c r="H10159" s="912"/>
    </row>
    <row r="10160" customFormat="false" ht="15" hidden="false" customHeight="false" outlineLevel="0" collapsed="false">
      <c r="A10160" s="571"/>
      <c r="B10160" s="328"/>
      <c r="C10160" s="860" t="s">
        <v>5846</v>
      </c>
      <c r="D10160" s="316" t="s">
        <v>5847</v>
      </c>
      <c r="E10160" s="664" t="n">
        <v>0.001</v>
      </c>
      <c r="F10160" s="617" t="n">
        <v>33371</v>
      </c>
      <c r="G10160" s="615" t="n">
        <f aca="false">E10160*F10160</f>
        <v>33.371</v>
      </c>
      <c r="H10160" s="606"/>
    </row>
    <row r="10161" customFormat="false" ht="15" hidden="false" customHeight="false" outlineLevel="0" collapsed="false">
      <c r="A10161" s="571"/>
      <c r="B10161" s="500"/>
      <c r="C10161" s="860" t="s">
        <v>5848</v>
      </c>
      <c r="D10161" s="316" t="s">
        <v>4359</v>
      </c>
      <c r="E10161" s="664" t="n">
        <v>0.001</v>
      </c>
      <c r="F10161" s="617" t="n">
        <v>10500</v>
      </c>
      <c r="G10161" s="615" t="n">
        <f aca="false">E10161*F10161</f>
        <v>10.5</v>
      </c>
      <c r="H10161" s="606"/>
    </row>
    <row r="10162" customFormat="false" ht="15" hidden="false" customHeight="false" outlineLevel="0" collapsed="false">
      <c r="A10162" s="571"/>
      <c r="B10162" s="500"/>
      <c r="C10162" s="860" t="s">
        <v>5859</v>
      </c>
      <c r="D10162" s="316" t="s">
        <v>4359</v>
      </c>
      <c r="E10162" s="664" t="n">
        <v>0.001</v>
      </c>
      <c r="F10162" s="617" t="n">
        <v>1995</v>
      </c>
      <c r="G10162" s="615" t="n">
        <f aca="false">E10162*F10162</f>
        <v>1.995</v>
      </c>
      <c r="H10162" s="912"/>
    </row>
    <row r="10163" customFormat="false" ht="15" hidden="false" customHeight="false" outlineLevel="0" collapsed="false">
      <c r="A10163" s="571"/>
      <c r="B10163" s="500"/>
      <c r="C10163" s="860" t="s">
        <v>5850</v>
      </c>
      <c r="D10163" s="316" t="s">
        <v>4359</v>
      </c>
      <c r="E10163" s="664" t="n">
        <v>0.001</v>
      </c>
      <c r="F10163" s="617" t="n">
        <v>26500</v>
      </c>
      <c r="G10163" s="615" t="n">
        <f aca="false">E10163*F10163</f>
        <v>26.5</v>
      </c>
      <c r="H10163" s="606"/>
    </row>
    <row r="10164" customFormat="false" ht="15" hidden="false" customHeight="false" outlineLevel="0" collapsed="false">
      <c r="A10164" s="571"/>
      <c r="B10164" s="500"/>
      <c r="C10164" s="860" t="s">
        <v>5824</v>
      </c>
      <c r="D10164" s="316" t="s">
        <v>4359</v>
      </c>
      <c r="E10164" s="664" t="n">
        <v>0.001</v>
      </c>
      <c r="F10164" s="617" t="n">
        <v>82115</v>
      </c>
      <c r="G10164" s="615" t="n">
        <f aca="false">E10164*F10164</f>
        <v>82.115</v>
      </c>
      <c r="H10164" s="606"/>
    </row>
    <row r="10165" customFormat="false" ht="15" hidden="false" customHeight="false" outlineLevel="0" collapsed="false">
      <c r="A10165" s="571"/>
      <c r="B10165" s="500"/>
      <c r="C10165" s="860" t="s">
        <v>5819</v>
      </c>
      <c r="D10165" s="316" t="s">
        <v>4191</v>
      </c>
      <c r="E10165" s="954" t="n">
        <v>0.01</v>
      </c>
      <c r="F10165" s="617" t="n">
        <v>361.4</v>
      </c>
      <c r="G10165" s="615" t="n">
        <f aca="false">E10165*F10165</f>
        <v>3.614</v>
      </c>
      <c r="H10165" s="606"/>
    </row>
    <row r="10166" customFormat="false" ht="15" hidden="false" customHeight="false" outlineLevel="0" collapsed="false">
      <c r="A10166" s="571"/>
      <c r="B10166" s="328"/>
      <c r="C10166" s="860" t="s">
        <v>5826</v>
      </c>
      <c r="D10166" s="316" t="s">
        <v>4191</v>
      </c>
      <c r="E10166" s="954" t="n">
        <v>0.01</v>
      </c>
      <c r="F10166" s="617" t="n">
        <v>366.25</v>
      </c>
      <c r="G10166" s="615" t="n">
        <f aca="false">E10166*F10166</f>
        <v>3.6625</v>
      </c>
      <c r="H10166" s="912"/>
    </row>
    <row r="10167" customFormat="false" ht="15" hidden="false" customHeight="false" outlineLevel="0" collapsed="false">
      <c r="A10167" s="571"/>
      <c r="B10167" s="500"/>
      <c r="C10167" s="860" t="s">
        <v>5820</v>
      </c>
      <c r="D10167" s="316" t="s">
        <v>4191</v>
      </c>
      <c r="E10167" s="954" t="n">
        <v>0.01</v>
      </c>
      <c r="F10167" s="617" t="n">
        <v>650</v>
      </c>
      <c r="G10167" s="615" t="n">
        <f aca="false">E10167*F10167</f>
        <v>6.5</v>
      </c>
      <c r="H10167" s="606"/>
    </row>
    <row r="10168" customFormat="false" ht="15" hidden="false" customHeight="false" outlineLevel="0" collapsed="false">
      <c r="A10168" s="571"/>
      <c r="B10168" s="500"/>
      <c r="C10168" s="860" t="s">
        <v>5861</v>
      </c>
      <c r="D10168" s="316" t="s">
        <v>5452</v>
      </c>
      <c r="E10168" s="664" t="n">
        <v>0.001</v>
      </c>
      <c r="F10168" s="617" t="n">
        <v>150375</v>
      </c>
      <c r="G10168" s="615" t="n">
        <f aca="false">E10168*F10168</f>
        <v>150.375</v>
      </c>
      <c r="H10168" s="606"/>
    </row>
    <row r="10169" customFormat="false" ht="15" hidden="false" customHeight="false" outlineLevel="0" collapsed="false">
      <c r="A10169" s="571"/>
      <c r="B10169" s="328"/>
      <c r="C10169" s="860" t="s">
        <v>4515</v>
      </c>
      <c r="D10169" s="316" t="s">
        <v>4133</v>
      </c>
      <c r="E10169" s="661" t="n">
        <v>0.1</v>
      </c>
      <c r="F10169" s="681" t="n">
        <v>350</v>
      </c>
      <c r="G10169" s="615" t="n">
        <f aca="false">E10169*F10169</f>
        <v>35</v>
      </c>
      <c r="H10169" s="606"/>
    </row>
    <row r="10170" customFormat="false" ht="15" hidden="false" customHeight="false" outlineLevel="0" collapsed="false">
      <c r="A10170" s="571"/>
      <c r="B10170" s="500"/>
      <c r="C10170" s="860" t="s">
        <v>4776</v>
      </c>
      <c r="D10170" s="316" t="s">
        <v>4528</v>
      </c>
      <c r="E10170" s="661" t="n">
        <v>0.1</v>
      </c>
      <c r="F10170" s="617" t="n">
        <v>800</v>
      </c>
      <c r="G10170" s="615" t="n">
        <f aca="false">E10170*F10170</f>
        <v>80</v>
      </c>
      <c r="H10170" s="606"/>
    </row>
    <row r="10171" customFormat="false" ht="15" hidden="false" customHeight="false" outlineLevel="0" collapsed="false">
      <c r="A10171" s="571"/>
      <c r="B10171" s="608" t="s">
        <v>4128</v>
      </c>
      <c r="C10171" s="718"/>
      <c r="D10171" s="610"/>
      <c r="E10171" s="611"/>
      <c r="F10171" s="612"/>
      <c r="G10171" s="613" t="n">
        <f aca="false">SUM(G10140:G10170)</f>
        <v>1526.3827</v>
      </c>
      <c r="H10171" s="606"/>
    </row>
    <row r="10172" customFormat="false" ht="15" hidden="false" customHeight="false" outlineLevel="0" collapsed="false">
      <c r="A10172" s="350" t="s">
        <v>1969</v>
      </c>
      <c r="B10172" s="346" t="s">
        <v>3720</v>
      </c>
      <c r="C10172" s="811"/>
      <c r="D10172" s="790"/>
      <c r="E10172" s="752"/>
      <c r="F10172" s="519"/>
      <c r="G10172" s="753"/>
      <c r="H10172" s="790"/>
    </row>
    <row r="10173" customFormat="false" ht="30" hidden="false" customHeight="false" outlineLevel="0" collapsed="false">
      <c r="A10173" s="571" t="s">
        <v>1971</v>
      </c>
      <c r="B10173" s="433" t="s">
        <v>3721</v>
      </c>
      <c r="C10173" s="855" t="s">
        <v>5818</v>
      </c>
      <c r="D10173" s="316" t="s">
        <v>4133</v>
      </c>
      <c r="E10173" s="661" t="n">
        <v>0.05</v>
      </c>
      <c r="F10173" s="617" t="n">
        <v>67687</v>
      </c>
      <c r="G10173" s="615" t="n">
        <f aca="false">E10173*F10173</f>
        <v>3384.35</v>
      </c>
      <c r="H10173" s="606"/>
    </row>
    <row r="10174" customFormat="false" ht="15" hidden="false" customHeight="false" outlineLevel="0" collapsed="false">
      <c r="A10174" s="571"/>
      <c r="B10174" s="500"/>
      <c r="C10174" s="860" t="s">
        <v>5859</v>
      </c>
      <c r="D10174" s="316" t="s">
        <v>4359</v>
      </c>
      <c r="E10174" s="661" t="n">
        <v>0.1</v>
      </c>
      <c r="F10174" s="617" t="n">
        <v>1995</v>
      </c>
      <c r="G10174" s="615" t="n">
        <f aca="false">E10174*F10174</f>
        <v>199.5</v>
      </c>
      <c r="H10174" s="912"/>
    </row>
    <row r="10175" customFormat="false" ht="30" hidden="false" customHeight="false" outlineLevel="0" collapsed="false">
      <c r="A10175" s="571"/>
      <c r="B10175" s="500"/>
      <c r="C10175" s="860" t="s">
        <v>4636</v>
      </c>
      <c r="D10175" s="316" t="s">
        <v>4133</v>
      </c>
      <c r="E10175" s="661" t="n">
        <v>0.1</v>
      </c>
      <c r="F10175" s="617" t="n">
        <v>8950</v>
      </c>
      <c r="G10175" s="615" t="n">
        <f aca="false">E10175*F10175</f>
        <v>895</v>
      </c>
      <c r="H10175" s="606"/>
    </row>
    <row r="10176" customFormat="false" ht="15" hidden="false" customHeight="false" outlineLevel="0" collapsed="false">
      <c r="A10176" s="571"/>
      <c r="B10176" s="500"/>
      <c r="C10176" s="860" t="s">
        <v>4120</v>
      </c>
      <c r="D10176" s="316" t="s">
        <v>5932</v>
      </c>
      <c r="E10176" s="661" t="n">
        <v>0.01</v>
      </c>
      <c r="F10176" s="617" t="n">
        <v>7565</v>
      </c>
      <c r="G10176" s="615" t="n">
        <f aca="false">E10176*F10176</f>
        <v>75.65</v>
      </c>
      <c r="H10176" s="606"/>
    </row>
    <row r="10177" customFormat="false" ht="15" hidden="false" customHeight="false" outlineLevel="0" collapsed="false">
      <c r="A10177" s="571"/>
      <c r="B10177" s="500"/>
      <c r="C10177" s="860" t="s">
        <v>5852</v>
      </c>
      <c r="D10177" s="316" t="s">
        <v>4133</v>
      </c>
      <c r="E10177" s="661" t="n">
        <v>0.01</v>
      </c>
      <c r="F10177" s="617" t="n">
        <v>39930</v>
      </c>
      <c r="G10177" s="615" t="n">
        <f aca="false">E10177*F10177</f>
        <v>399.3</v>
      </c>
      <c r="H10177" s="606"/>
    </row>
    <row r="10178" customFormat="false" ht="15" hidden="false" customHeight="false" outlineLevel="0" collapsed="false">
      <c r="A10178" s="571"/>
      <c r="B10178" s="500"/>
      <c r="C10178" s="860" t="s">
        <v>5823</v>
      </c>
      <c r="D10178" s="316" t="s">
        <v>4133</v>
      </c>
      <c r="E10178" s="661" t="n">
        <v>0.01</v>
      </c>
      <c r="F10178" s="617" t="n">
        <v>69797</v>
      </c>
      <c r="G10178" s="615" t="n">
        <f aca="false">E10178*F10178</f>
        <v>697.97</v>
      </c>
      <c r="H10178" s="606"/>
    </row>
    <row r="10179" customFormat="false" ht="15" hidden="false" customHeight="false" outlineLevel="0" collapsed="false">
      <c r="A10179" s="571"/>
      <c r="B10179" s="500"/>
      <c r="C10179" s="860" t="s">
        <v>5855</v>
      </c>
      <c r="D10179" s="316" t="s">
        <v>4133</v>
      </c>
      <c r="E10179" s="661" t="n">
        <v>0.01</v>
      </c>
      <c r="F10179" s="617" t="n">
        <v>203735</v>
      </c>
      <c r="G10179" s="615" t="n">
        <f aca="false">E10179*F10179</f>
        <v>2037.35</v>
      </c>
      <c r="H10179" s="391"/>
    </row>
    <row r="10180" customFormat="false" ht="15" hidden="false" customHeight="false" outlineLevel="0" collapsed="false">
      <c r="A10180" s="571"/>
      <c r="B10180" s="500"/>
      <c r="C10180" s="860" t="s">
        <v>5880</v>
      </c>
      <c r="D10180" s="316" t="s">
        <v>4133</v>
      </c>
      <c r="E10180" s="661" t="n">
        <v>0.05</v>
      </c>
      <c r="F10180" s="617" t="n">
        <v>45799</v>
      </c>
      <c r="G10180" s="615" t="n">
        <f aca="false">E10180*F10180</f>
        <v>2289.95</v>
      </c>
      <c r="H10180" s="606"/>
    </row>
    <row r="10181" customFormat="false" ht="15" hidden="false" customHeight="false" outlineLevel="0" collapsed="false">
      <c r="A10181" s="571"/>
      <c r="B10181" s="500"/>
      <c r="C10181" s="860" t="s">
        <v>5933</v>
      </c>
      <c r="D10181" s="316" t="s">
        <v>4359</v>
      </c>
      <c r="E10181" s="661" t="n">
        <v>0.01</v>
      </c>
      <c r="F10181" s="617" t="n">
        <v>26500</v>
      </c>
      <c r="G10181" s="615" t="n">
        <f aca="false">E10181*F10181</f>
        <v>265</v>
      </c>
      <c r="H10181" s="606"/>
    </row>
    <row r="10182" customFormat="false" ht="15" hidden="false" customHeight="false" outlineLevel="0" collapsed="false">
      <c r="A10182" s="571"/>
      <c r="B10182" s="500"/>
      <c r="C10182" s="860" t="s">
        <v>5934</v>
      </c>
      <c r="D10182" s="316" t="s">
        <v>4133</v>
      </c>
      <c r="E10182" s="661" t="n">
        <v>0.02</v>
      </c>
      <c r="F10182" s="617" t="n">
        <v>132000</v>
      </c>
      <c r="G10182" s="615" t="n">
        <f aca="false">E10182*F10182</f>
        <v>2640</v>
      </c>
      <c r="H10182" s="606"/>
    </row>
    <row r="10183" customFormat="false" ht="15" hidden="false" customHeight="false" outlineLevel="0" collapsed="false">
      <c r="A10183" s="571"/>
      <c r="B10183" s="500"/>
      <c r="C10183" s="860" t="s">
        <v>5889</v>
      </c>
      <c r="D10183" s="316" t="s">
        <v>4133</v>
      </c>
      <c r="E10183" s="661" t="n">
        <v>0.005</v>
      </c>
      <c r="F10183" s="617" t="n">
        <v>57057</v>
      </c>
      <c r="G10183" s="615" t="n">
        <f aca="false">E10183*F10183</f>
        <v>285.285</v>
      </c>
      <c r="H10183" s="606"/>
    </row>
    <row r="10184" customFormat="false" ht="15" hidden="false" customHeight="false" outlineLevel="0" collapsed="false">
      <c r="A10184" s="571"/>
      <c r="B10184" s="328"/>
      <c r="C10184" s="860" t="s">
        <v>5819</v>
      </c>
      <c r="D10184" s="316" t="s">
        <v>4191</v>
      </c>
      <c r="E10184" s="954" t="n">
        <v>0.01</v>
      </c>
      <c r="F10184" s="617" t="n">
        <v>316.4</v>
      </c>
      <c r="G10184" s="615" t="n">
        <f aca="false">E10184*F10184</f>
        <v>3.164</v>
      </c>
      <c r="H10184" s="606"/>
    </row>
    <row r="10185" customFormat="false" ht="15" hidden="false" customHeight="false" outlineLevel="0" collapsed="false">
      <c r="A10185" s="571"/>
      <c r="B10185" s="500"/>
      <c r="C10185" s="860" t="s">
        <v>5826</v>
      </c>
      <c r="D10185" s="316" t="s">
        <v>4191</v>
      </c>
      <c r="E10185" s="954" t="n">
        <v>0.01</v>
      </c>
      <c r="F10185" s="617" t="n">
        <v>366.25</v>
      </c>
      <c r="G10185" s="615" t="n">
        <f aca="false">E10185*F10185</f>
        <v>3.6625</v>
      </c>
      <c r="H10185" s="606"/>
    </row>
    <row r="10186" customFormat="false" ht="15" hidden="false" customHeight="false" outlineLevel="0" collapsed="false">
      <c r="A10186" s="571"/>
      <c r="B10186" s="500"/>
      <c r="C10186" s="860" t="s">
        <v>5820</v>
      </c>
      <c r="D10186" s="316" t="s">
        <v>4191</v>
      </c>
      <c r="E10186" s="954" t="n">
        <v>0.01</v>
      </c>
      <c r="F10186" s="617" t="n">
        <v>650</v>
      </c>
      <c r="G10186" s="615" t="n">
        <f aca="false">E10186*F10186</f>
        <v>6.5</v>
      </c>
      <c r="H10186" s="606"/>
    </row>
    <row r="10187" customFormat="false" ht="15" hidden="false" customHeight="false" outlineLevel="0" collapsed="false">
      <c r="A10187" s="571"/>
      <c r="B10187" s="500"/>
      <c r="C10187" s="860" t="s">
        <v>5851</v>
      </c>
      <c r="D10187" s="316" t="s">
        <v>4348</v>
      </c>
      <c r="E10187" s="661" t="n">
        <v>0.01</v>
      </c>
      <c r="F10187" s="617" t="n">
        <v>19488</v>
      </c>
      <c r="G10187" s="615" t="n">
        <f aca="false">E10187*F10187</f>
        <v>194.88</v>
      </c>
      <c r="H10187" s="606"/>
    </row>
    <row r="10188" customFormat="false" ht="15" hidden="false" customHeight="false" outlineLevel="0" collapsed="false">
      <c r="A10188" s="571"/>
      <c r="B10188" s="500"/>
      <c r="C10188" s="860" t="s">
        <v>4515</v>
      </c>
      <c r="D10188" s="316" t="s">
        <v>4133</v>
      </c>
      <c r="E10188" s="661" t="n">
        <v>0.3</v>
      </c>
      <c r="F10188" s="681" t="n">
        <v>350</v>
      </c>
      <c r="G10188" s="615" t="n">
        <f aca="false">E10188*F10188</f>
        <v>105</v>
      </c>
      <c r="H10188" s="606"/>
    </row>
    <row r="10189" customFormat="false" ht="15" hidden="false" customHeight="false" outlineLevel="0" collapsed="false">
      <c r="A10189" s="571"/>
      <c r="B10189" s="500"/>
      <c r="C10189" s="860" t="s">
        <v>4776</v>
      </c>
      <c r="D10189" s="316" t="s">
        <v>4359</v>
      </c>
      <c r="E10189" s="661" t="n">
        <v>0.3</v>
      </c>
      <c r="F10189" s="617" t="n">
        <v>800</v>
      </c>
      <c r="G10189" s="615" t="n">
        <f aca="false">E10189*F10189</f>
        <v>240</v>
      </c>
      <c r="H10189" s="606"/>
    </row>
    <row r="10190" customFormat="false" ht="15" hidden="false" customHeight="false" outlineLevel="0" collapsed="false">
      <c r="A10190" s="571"/>
      <c r="B10190" s="328"/>
      <c r="C10190" s="860" t="s">
        <v>5853</v>
      </c>
      <c r="D10190" s="316" t="s">
        <v>5452</v>
      </c>
      <c r="E10190" s="664" t="n">
        <v>0.005</v>
      </c>
      <c r="F10190" s="617" t="n">
        <v>200000</v>
      </c>
      <c r="G10190" s="615" t="n">
        <f aca="false">E10190*F10190</f>
        <v>1000</v>
      </c>
      <c r="H10190" s="606"/>
    </row>
    <row r="10191" customFormat="false" ht="15" hidden="false" customHeight="false" outlineLevel="0" collapsed="false">
      <c r="A10191" s="571"/>
      <c r="B10191" s="500"/>
      <c r="C10191" s="860" t="s">
        <v>5935</v>
      </c>
      <c r="D10191" s="316" t="s">
        <v>5452</v>
      </c>
      <c r="E10191" s="664" t="n">
        <v>0.005</v>
      </c>
      <c r="F10191" s="617" t="n">
        <v>200000</v>
      </c>
      <c r="G10191" s="615" t="n">
        <f aca="false">E10191*F10191</f>
        <v>1000</v>
      </c>
      <c r="H10191" s="912"/>
    </row>
    <row r="10192" customFormat="false" ht="30" hidden="false" customHeight="false" outlineLevel="0" collapsed="false">
      <c r="A10192" s="571"/>
      <c r="B10192" s="500"/>
      <c r="C10192" s="860" t="s">
        <v>5936</v>
      </c>
      <c r="D10192" s="316" t="s">
        <v>5452</v>
      </c>
      <c r="E10192" s="664" t="n">
        <v>0.005</v>
      </c>
      <c r="F10192" s="617" t="n">
        <v>200000</v>
      </c>
      <c r="G10192" s="615" t="n">
        <f aca="false">E10192*F10192</f>
        <v>1000</v>
      </c>
      <c r="H10192" s="606"/>
    </row>
    <row r="10193" customFormat="false" ht="30" hidden="false" customHeight="false" outlineLevel="0" collapsed="false">
      <c r="A10193" s="571"/>
      <c r="B10193" s="500"/>
      <c r="C10193" s="860" t="s">
        <v>5937</v>
      </c>
      <c r="D10193" s="316" t="s">
        <v>5452</v>
      </c>
      <c r="E10193" s="664" t="n">
        <v>0.005</v>
      </c>
      <c r="F10193" s="617" t="n">
        <v>200000</v>
      </c>
      <c r="G10193" s="615" t="n">
        <f aca="false">E10193*F10193</f>
        <v>1000</v>
      </c>
      <c r="H10193" s="606"/>
    </row>
    <row r="10194" customFormat="false" ht="30" hidden="false" customHeight="false" outlineLevel="0" collapsed="false">
      <c r="A10194" s="571"/>
      <c r="B10194" s="500"/>
      <c r="C10194" s="860" t="s">
        <v>5938</v>
      </c>
      <c r="D10194" s="316" t="s">
        <v>5452</v>
      </c>
      <c r="E10194" s="664" t="n">
        <v>0.01</v>
      </c>
      <c r="F10194" s="617" t="n">
        <v>63000</v>
      </c>
      <c r="G10194" s="615" t="n">
        <f aca="false">E10194*F10194</f>
        <v>630</v>
      </c>
      <c r="H10194" s="606"/>
    </row>
    <row r="10195" customFormat="false" ht="15" hidden="false" customHeight="false" outlineLevel="0" collapsed="false">
      <c r="A10195" s="571"/>
      <c r="B10195" s="608" t="s">
        <v>4128</v>
      </c>
      <c r="C10195" s="964"/>
      <c r="D10195" s="965"/>
      <c r="E10195" s="969"/>
      <c r="F10195" s="967"/>
      <c r="G10195" s="613" t="n">
        <f aca="false">SUM(G10173:G10194)</f>
        <v>18352.5615</v>
      </c>
      <c r="H10195" s="606"/>
    </row>
    <row r="10196" customFormat="false" ht="30" hidden="false" customHeight="false" outlineLevel="0" collapsed="false">
      <c r="A10196" s="571" t="s">
        <v>1973</v>
      </c>
      <c r="B10196" s="500" t="s">
        <v>3722</v>
      </c>
      <c r="C10196" s="860" t="s">
        <v>5860</v>
      </c>
      <c r="D10196" s="316" t="s">
        <v>4133</v>
      </c>
      <c r="E10196" s="664" t="n">
        <v>0.001</v>
      </c>
      <c r="F10196" s="617" t="n">
        <v>35035</v>
      </c>
      <c r="G10196" s="615" t="n">
        <f aca="false">E10196*F10196</f>
        <v>35.035</v>
      </c>
      <c r="H10196" s="606"/>
    </row>
    <row r="10197" customFormat="false" ht="15" hidden="false" customHeight="false" outlineLevel="0" collapsed="false">
      <c r="A10197" s="571"/>
      <c r="B10197" s="608"/>
      <c r="C10197" s="860" t="s">
        <v>5823</v>
      </c>
      <c r="D10197" s="316" t="s">
        <v>4133</v>
      </c>
      <c r="E10197" s="664" t="n">
        <v>0.001</v>
      </c>
      <c r="F10197" s="617" t="n">
        <v>69797</v>
      </c>
      <c r="G10197" s="615" t="n">
        <f aca="false">E10197*F10197</f>
        <v>69.797</v>
      </c>
      <c r="H10197" s="606"/>
    </row>
    <row r="10198" customFormat="false" ht="15" hidden="false" customHeight="false" outlineLevel="0" collapsed="false">
      <c r="A10198" s="571"/>
      <c r="B10198" s="608"/>
      <c r="C10198" s="860" t="s">
        <v>5825</v>
      </c>
      <c r="D10198" s="316" t="s">
        <v>5452</v>
      </c>
      <c r="E10198" s="661" t="n">
        <v>0.01</v>
      </c>
      <c r="F10198" s="617" t="n">
        <v>8468</v>
      </c>
      <c r="G10198" s="615" t="n">
        <f aca="false">E10198*F10198</f>
        <v>84.68</v>
      </c>
      <c r="H10198" s="606"/>
    </row>
    <row r="10199" customFormat="false" ht="15" hidden="false" customHeight="false" outlineLevel="0" collapsed="false">
      <c r="A10199" s="571"/>
      <c r="B10199" s="608"/>
      <c r="C10199" s="860" t="s">
        <v>5818</v>
      </c>
      <c r="D10199" s="316" t="s">
        <v>4133</v>
      </c>
      <c r="E10199" s="664" t="n">
        <v>0.001</v>
      </c>
      <c r="F10199" s="617" t="n">
        <v>67687</v>
      </c>
      <c r="G10199" s="615" t="n">
        <f aca="false">E10199*F10199</f>
        <v>67.687</v>
      </c>
      <c r="H10199" s="606"/>
    </row>
    <row r="10200" customFormat="false" ht="15" hidden="false" customHeight="false" outlineLevel="0" collapsed="false">
      <c r="A10200" s="571"/>
      <c r="B10200" s="608"/>
      <c r="C10200" s="860" t="s">
        <v>5836</v>
      </c>
      <c r="D10200" s="316" t="s">
        <v>4133</v>
      </c>
      <c r="E10200" s="664" t="n">
        <v>0.001</v>
      </c>
      <c r="F10200" s="617" t="n">
        <v>10500</v>
      </c>
      <c r="G10200" s="615" t="n">
        <f aca="false">E10200*F10200</f>
        <v>10.5</v>
      </c>
      <c r="H10200" s="606"/>
    </row>
    <row r="10201" customFormat="false" ht="15" hidden="false" customHeight="false" outlineLevel="0" collapsed="false">
      <c r="A10201" s="571"/>
      <c r="B10201" s="608"/>
      <c r="C10201" s="860" t="s">
        <v>5859</v>
      </c>
      <c r="D10201" s="316" t="s">
        <v>4359</v>
      </c>
      <c r="E10201" s="661" t="n">
        <v>0.01</v>
      </c>
      <c r="F10201" s="617" t="n">
        <v>1995</v>
      </c>
      <c r="G10201" s="615" t="n">
        <f aca="false">E10201*F10201</f>
        <v>19.95</v>
      </c>
      <c r="H10201" s="606"/>
    </row>
    <row r="10202" customFormat="false" ht="15" hidden="false" customHeight="false" outlineLevel="0" collapsed="false">
      <c r="A10202" s="571"/>
      <c r="B10202" s="608"/>
      <c r="C10202" s="860" t="s">
        <v>5824</v>
      </c>
      <c r="D10202" s="316" t="s">
        <v>4359</v>
      </c>
      <c r="E10202" s="664" t="n">
        <v>0.001</v>
      </c>
      <c r="F10202" s="617" t="n">
        <v>82115</v>
      </c>
      <c r="G10202" s="615" t="n">
        <f aca="false">E10202*F10202</f>
        <v>82.115</v>
      </c>
      <c r="H10202" s="606"/>
    </row>
    <row r="10203" customFormat="false" ht="15" hidden="false" customHeight="false" outlineLevel="0" collapsed="false">
      <c r="A10203" s="571"/>
      <c r="B10203" s="608"/>
      <c r="C10203" s="860" t="s">
        <v>5819</v>
      </c>
      <c r="D10203" s="316" t="s">
        <v>4191</v>
      </c>
      <c r="E10203" s="954" t="n">
        <v>0.1</v>
      </c>
      <c r="F10203" s="617" t="n">
        <v>316.4</v>
      </c>
      <c r="G10203" s="615" t="n">
        <f aca="false">E10203*F10203</f>
        <v>31.64</v>
      </c>
      <c r="H10203" s="606"/>
    </row>
    <row r="10204" customFormat="false" ht="15" hidden="false" customHeight="false" outlineLevel="0" collapsed="false">
      <c r="A10204" s="571"/>
      <c r="B10204" s="608"/>
      <c r="C10204" s="860" t="s">
        <v>5826</v>
      </c>
      <c r="D10204" s="316" t="s">
        <v>4191</v>
      </c>
      <c r="E10204" s="954" t="n">
        <v>0.1</v>
      </c>
      <c r="F10204" s="617" t="n">
        <v>366.25</v>
      </c>
      <c r="G10204" s="615" t="n">
        <f aca="false">E10204*F10204</f>
        <v>36.625</v>
      </c>
      <c r="H10204" s="606"/>
    </row>
    <row r="10205" customFormat="false" ht="15" hidden="false" customHeight="false" outlineLevel="0" collapsed="false">
      <c r="A10205" s="571"/>
      <c r="B10205" s="608"/>
      <c r="C10205" s="860" t="s">
        <v>5820</v>
      </c>
      <c r="D10205" s="316" t="s">
        <v>4191</v>
      </c>
      <c r="E10205" s="954" t="n">
        <v>0.1</v>
      </c>
      <c r="F10205" s="617" t="n">
        <v>650</v>
      </c>
      <c r="G10205" s="615" t="n">
        <f aca="false">E10205*F10205</f>
        <v>65</v>
      </c>
      <c r="H10205" s="606"/>
    </row>
    <row r="10206" customFormat="false" ht="15" hidden="false" customHeight="false" outlineLevel="0" collapsed="false">
      <c r="A10206" s="571"/>
      <c r="B10206" s="608"/>
      <c r="C10206" s="860" t="s">
        <v>4515</v>
      </c>
      <c r="D10206" s="316" t="s">
        <v>4133</v>
      </c>
      <c r="E10206" s="661" t="n">
        <v>0.1</v>
      </c>
      <c r="F10206" s="681" t="n">
        <v>350</v>
      </c>
      <c r="G10206" s="615" t="n">
        <f aca="false">E10206*F10206</f>
        <v>35</v>
      </c>
      <c r="H10206" s="606"/>
    </row>
    <row r="10207" customFormat="false" ht="15" hidden="false" customHeight="false" outlineLevel="0" collapsed="false">
      <c r="A10207" s="571"/>
      <c r="B10207" s="608"/>
      <c r="C10207" s="860" t="s">
        <v>4776</v>
      </c>
      <c r="D10207" s="316" t="s">
        <v>4359</v>
      </c>
      <c r="E10207" s="661" t="n">
        <v>0.1</v>
      </c>
      <c r="F10207" s="617" t="n">
        <v>800</v>
      </c>
      <c r="G10207" s="615" t="n">
        <f aca="false">E10207*F10207</f>
        <v>80</v>
      </c>
      <c r="H10207" s="606"/>
    </row>
    <row r="10208" customFormat="false" ht="15" hidden="false" customHeight="false" outlineLevel="0" collapsed="false">
      <c r="A10208" s="571"/>
      <c r="B10208" s="608"/>
      <c r="C10208" s="860" t="s">
        <v>5861</v>
      </c>
      <c r="D10208" s="316" t="s">
        <v>5452</v>
      </c>
      <c r="E10208" s="664" t="n">
        <v>0.0009</v>
      </c>
      <c r="F10208" s="617" t="n">
        <v>150375</v>
      </c>
      <c r="G10208" s="615" t="n">
        <f aca="false">E10208*F10208</f>
        <v>135.3375</v>
      </c>
      <c r="H10208" s="606"/>
    </row>
    <row r="10209" customFormat="false" ht="15" hidden="false" customHeight="false" outlineLevel="0" collapsed="false">
      <c r="A10209" s="571"/>
      <c r="B10209" s="608" t="s">
        <v>4128</v>
      </c>
      <c r="C10209" s="964"/>
      <c r="D10209" s="965"/>
      <c r="E10209" s="969"/>
      <c r="F10209" s="967"/>
      <c r="G10209" s="613" t="n">
        <f aca="false">SUM(G10196:G10208)</f>
        <v>753.3665</v>
      </c>
      <c r="H10209" s="606"/>
    </row>
    <row r="10210" customFormat="false" ht="30" hidden="false" customHeight="false" outlineLevel="0" collapsed="false">
      <c r="A10210" s="571" t="s">
        <v>1974</v>
      </c>
      <c r="B10210" s="500" t="s">
        <v>3693</v>
      </c>
      <c r="C10210" s="860" t="s">
        <v>5854</v>
      </c>
      <c r="D10210" s="316" t="s">
        <v>4133</v>
      </c>
      <c r="E10210" s="664" t="n">
        <v>0.001</v>
      </c>
      <c r="F10210" s="617" t="n">
        <v>33792</v>
      </c>
      <c r="G10210" s="615" t="n">
        <f aca="false">E10210*F10210</f>
        <v>33.792</v>
      </c>
      <c r="H10210" s="606"/>
    </row>
    <row r="10211" customFormat="false" ht="15" hidden="false" customHeight="false" outlineLevel="0" collapsed="false">
      <c r="A10211" s="571"/>
      <c r="B10211" s="608"/>
      <c r="C10211" s="860" t="s">
        <v>5855</v>
      </c>
      <c r="D10211" s="316" t="s">
        <v>4133</v>
      </c>
      <c r="E10211" s="664" t="n">
        <v>0.0005</v>
      </c>
      <c r="F10211" s="617" t="n">
        <v>203735</v>
      </c>
      <c r="G10211" s="615" t="n">
        <f aca="false">E10211*F10211</f>
        <v>101.8675</v>
      </c>
      <c r="H10211" s="606"/>
    </row>
    <row r="10212" customFormat="false" ht="15" hidden="false" customHeight="false" outlineLevel="0" collapsed="false">
      <c r="A10212" s="571"/>
      <c r="B10212" s="608"/>
      <c r="C10212" s="860" t="s">
        <v>5836</v>
      </c>
      <c r="D10212" s="316" t="s">
        <v>4133</v>
      </c>
      <c r="E10212" s="664" t="n">
        <v>0.001</v>
      </c>
      <c r="F10212" s="617" t="n">
        <v>10500</v>
      </c>
      <c r="G10212" s="615" t="n">
        <f aca="false">E10212*F10212</f>
        <v>10.5</v>
      </c>
      <c r="H10212" s="606"/>
    </row>
    <row r="10213" customFormat="false" ht="15" hidden="false" customHeight="false" outlineLevel="0" collapsed="false">
      <c r="A10213" s="571"/>
      <c r="B10213" s="608"/>
      <c r="C10213" s="860" t="s">
        <v>5856</v>
      </c>
      <c r="D10213" s="316" t="s">
        <v>4359</v>
      </c>
      <c r="E10213" s="664" t="n">
        <v>0.0009</v>
      </c>
      <c r="F10213" s="617" t="n">
        <v>168481</v>
      </c>
      <c r="G10213" s="615" t="n">
        <f aca="false">E10213*F10213</f>
        <v>151.6329</v>
      </c>
      <c r="H10213" s="606"/>
    </row>
    <row r="10214" customFormat="false" ht="15" hidden="false" customHeight="false" outlineLevel="0" collapsed="false">
      <c r="A10214" s="571"/>
      <c r="B10214" s="608"/>
      <c r="C10214" s="860" t="s">
        <v>5857</v>
      </c>
      <c r="D10214" s="316" t="s">
        <v>4359</v>
      </c>
      <c r="E10214" s="664" t="n">
        <v>0.0005</v>
      </c>
      <c r="F10214" s="617" t="n">
        <v>175794</v>
      </c>
      <c r="G10214" s="615" t="n">
        <f aca="false">E10214*F10214</f>
        <v>87.897</v>
      </c>
      <c r="H10214" s="606"/>
    </row>
    <row r="10215" customFormat="false" ht="15" hidden="false" customHeight="false" outlineLevel="0" collapsed="false">
      <c r="A10215" s="571"/>
      <c r="B10215" s="608"/>
      <c r="C10215" s="860" t="s">
        <v>5824</v>
      </c>
      <c r="D10215" s="316" t="s">
        <v>4359</v>
      </c>
      <c r="E10215" s="664" t="n">
        <v>0.001</v>
      </c>
      <c r="F10215" s="617" t="n">
        <v>82115</v>
      </c>
      <c r="G10215" s="615" t="n">
        <f aca="false">E10215*F10215</f>
        <v>82.115</v>
      </c>
      <c r="H10215" s="606"/>
    </row>
    <row r="10216" customFormat="false" ht="15" hidden="false" customHeight="false" outlineLevel="0" collapsed="false">
      <c r="A10216" s="571"/>
      <c r="B10216" s="608"/>
      <c r="C10216" s="860" t="s">
        <v>5819</v>
      </c>
      <c r="D10216" s="316" t="s">
        <v>4191</v>
      </c>
      <c r="E10216" s="954" t="n">
        <v>0.01</v>
      </c>
      <c r="F10216" s="617" t="n">
        <v>316.4</v>
      </c>
      <c r="G10216" s="615" t="n">
        <f aca="false">E10216*F10216</f>
        <v>3.164</v>
      </c>
      <c r="H10216" s="606"/>
    </row>
    <row r="10217" customFormat="false" ht="15" hidden="false" customHeight="false" outlineLevel="0" collapsed="false">
      <c r="A10217" s="571"/>
      <c r="B10217" s="608"/>
      <c r="C10217" s="860" t="s">
        <v>5826</v>
      </c>
      <c r="D10217" s="316" t="s">
        <v>4191</v>
      </c>
      <c r="E10217" s="954" t="n">
        <v>0.01</v>
      </c>
      <c r="F10217" s="617" t="n">
        <v>366.25</v>
      </c>
      <c r="G10217" s="615" t="n">
        <f aca="false">E10217*F10217</f>
        <v>3.6625</v>
      </c>
      <c r="H10217" s="606"/>
    </row>
    <row r="10218" customFormat="false" ht="15" hidden="false" customHeight="false" outlineLevel="0" collapsed="false">
      <c r="A10218" s="571"/>
      <c r="B10218" s="608"/>
      <c r="C10218" s="860" t="s">
        <v>5820</v>
      </c>
      <c r="D10218" s="316" t="s">
        <v>4191</v>
      </c>
      <c r="E10218" s="954" t="n">
        <v>0.01</v>
      </c>
      <c r="F10218" s="617" t="n">
        <v>650</v>
      </c>
      <c r="G10218" s="615" t="n">
        <f aca="false">E10218*F10218</f>
        <v>6.5</v>
      </c>
      <c r="H10218" s="606"/>
    </row>
    <row r="10219" customFormat="false" ht="15" hidden="false" customHeight="false" outlineLevel="0" collapsed="false">
      <c r="A10219" s="571"/>
      <c r="B10219" s="608"/>
      <c r="C10219" s="860" t="s">
        <v>4515</v>
      </c>
      <c r="D10219" s="316" t="s">
        <v>4133</v>
      </c>
      <c r="E10219" s="661" t="n">
        <v>0.1</v>
      </c>
      <c r="F10219" s="681" t="n">
        <v>350</v>
      </c>
      <c r="G10219" s="615" t="n">
        <f aca="false">E10219*F10219</f>
        <v>35</v>
      </c>
      <c r="H10219" s="606"/>
    </row>
    <row r="10220" customFormat="false" ht="15" hidden="false" customHeight="false" outlineLevel="0" collapsed="false">
      <c r="A10220" s="571"/>
      <c r="B10220" s="608"/>
      <c r="C10220" s="860" t="s">
        <v>5861</v>
      </c>
      <c r="D10220" s="316" t="s">
        <v>5452</v>
      </c>
      <c r="E10220" s="975" t="n">
        <v>0.001</v>
      </c>
      <c r="F10220" s="617" t="n">
        <v>150375</v>
      </c>
      <c r="G10220" s="615" t="n">
        <f aca="false">E10220*F10220</f>
        <v>150.375</v>
      </c>
      <c r="H10220" s="606"/>
    </row>
    <row r="10221" customFormat="false" ht="15" hidden="false" customHeight="false" outlineLevel="0" collapsed="false">
      <c r="A10221" s="571"/>
      <c r="B10221" s="608"/>
      <c r="C10221" s="860" t="s">
        <v>4776</v>
      </c>
      <c r="D10221" s="316" t="s">
        <v>4359</v>
      </c>
      <c r="E10221" s="661" t="n">
        <v>0.1</v>
      </c>
      <c r="F10221" s="617" t="n">
        <v>800</v>
      </c>
      <c r="G10221" s="615" t="n">
        <f aca="false">E10221*F10221</f>
        <v>80</v>
      </c>
      <c r="H10221" s="606"/>
    </row>
    <row r="10222" customFormat="false" ht="15" hidden="false" customHeight="false" outlineLevel="0" collapsed="false">
      <c r="A10222" s="571"/>
      <c r="B10222" s="608" t="s">
        <v>4128</v>
      </c>
      <c r="C10222" s="964"/>
      <c r="D10222" s="965"/>
      <c r="E10222" s="969"/>
      <c r="F10222" s="967"/>
      <c r="G10222" s="613" t="n">
        <f aca="false">SUM(G10210:G10221)</f>
        <v>746.5059</v>
      </c>
      <c r="H10222" s="606"/>
    </row>
    <row r="10223" customFormat="false" ht="15" hidden="false" customHeight="false" outlineLevel="0" collapsed="false">
      <c r="A10223" s="571" t="s">
        <v>1975</v>
      </c>
      <c r="B10223" s="500" t="s">
        <v>3723</v>
      </c>
      <c r="C10223" s="860" t="s">
        <v>5858</v>
      </c>
      <c r="D10223" s="316" t="s">
        <v>4133</v>
      </c>
      <c r="E10223" s="664" t="n">
        <v>0.001</v>
      </c>
      <c r="F10223" s="617" t="n">
        <v>52272</v>
      </c>
      <c r="G10223" s="615" t="n">
        <f aca="false">E10223*F10223</f>
        <v>52.272</v>
      </c>
      <c r="H10223" s="606"/>
    </row>
    <row r="10224" customFormat="false" ht="15" hidden="false" customHeight="false" outlineLevel="0" collapsed="false">
      <c r="A10224" s="571"/>
      <c r="B10224" s="608"/>
      <c r="C10224" s="860" t="s">
        <v>5823</v>
      </c>
      <c r="D10224" s="316" t="s">
        <v>4133</v>
      </c>
      <c r="E10224" s="664" t="n">
        <v>0.001</v>
      </c>
      <c r="F10224" s="617" t="n">
        <v>69797</v>
      </c>
      <c r="G10224" s="615" t="n">
        <f aca="false">E10224*F10224</f>
        <v>69.797</v>
      </c>
      <c r="H10224" s="606"/>
    </row>
    <row r="10225" customFormat="false" ht="15" hidden="false" customHeight="false" outlineLevel="0" collapsed="false">
      <c r="A10225" s="571"/>
      <c r="B10225" s="608"/>
      <c r="C10225" s="860" t="s">
        <v>5825</v>
      </c>
      <c r="D10225" s="316" t="s">
        <v>4191</v>
      </c>
      <c r="E10225" s="661" t="n">
        <v>0.01</v>
      </c>
      <c r="F10225" s="617" t="n">
        <v>8468</v>
      </c>
      <c r="G10225" s="615" t="n">
        <f aca="false">E10225*F10225</f>
        <v>84.68</v>
      </c>
      <c r="H10225" s="606"/>
    </row>
    <row r="10226" customFormat="false" ht="15" hidden="false" customHeight="false" outlineLevel="0" collapsed="false">
      <c r="A10226" s="571"/>
      <c r="B10226" s="608"/>
      <c r="C10226" s="860" t="s">
        <v>5824</v>
      </c>
      <c r="D10226" s="316" t="s">
        <v>4359</v>
      </c>
      <c r="E10226" s="661" t="n">
        <v>0.001</v>
      </c>
      <c r="F10226" s="617" t="n">
        <v>82115</v>
      </c>
      <c r="G10226" s="615" t="n">
        <f aca="false">E10226*F10226</f>
        <v>82.115</v>
      </c>
      <c r="H10226" s="606"/>
    </row>
    <row r="10227" customFormat="false" ht="15" hidden="false" customHeight="false" outlineLevel="0" collapsed="false">
      <c r="A10227" s="571"/>
      <c r="B10227" s="608"/>
      <c r="C10227" s="860" t="s">
        <v>5819</v>
      </c>
      <c r="D10227" s="316" t="s">
        <v>4191</v>
      </c>
      <c r="E10227" s="954" t="n">
        <v>0.1</v>
      </c>
      <c r="F10227" s="617" t="n">
        <v>316.4</v>
      </c>
      <c r="G10227" s="615" t="n">
        <f aca="false">E10227*F10227</f>
        <v>31.64</v>
      </c>
      <c r="H10227" s="606"/>
    </row>
    <row r="10228" customFormat="false" ht="15" hidden="false" customHeight="false" outlineLevel="0" collapsed="false">
      <c r="A10228" s="571"/>
      <c r="B10228" s="608"/>
      <c r="C10228" s="860" t="s">
        <v>5826</v>
      </c>
      <c r="D10228" s="316" t="s">
        <v>4191</v>
      </c>
      <c r="E10228" s="954" t="n">
        <v>0.1</v>
      </c>
      <c r="F10228" s="617" t="n">
        <v>366.25</v>
      </c>
      <c r="G10228" s="615" t="n">
        <f aca="false">E10228*F10228</f>
        <v>36.625</v>
      </c>
      <c r="H10228" s="606"/>
    </row>
    <row r="10229" customFormat="false" ht="15" hidden="false" customHeight="false" outlineLevel="0" collapsed="false">
      <c r="A10229" s="571"/>
      <c r="B10229" s="608"/>
      <c r="C10229" s="860" t="s">
        <v>5820</v>
      </c>
      <c r="D10229" s="316" t="s">
        <v>4191</v>
      </c>
      <c r="E10229" s="954" t="n">
        <v>0.01</v>
      </c>
      <c r="F10229" s="617" t="n">
        <v>650</v>
      </c>
      <c r="G10229" s="615" t="n">
        <f aca="false">E10229*F10229</f>
        <v>6.5</v>
      </c>
      <c r="H10229" s="606"/>
    </row>
    <row r="10230" customFormat="false" ht="15" hidden="false" customHeight="false" outlineLevel="0" collapsed="false">
      <c r="A10230" s="571"/>
      <c r="B10230" s="608"/>
      <c r="C10230" s="860" t="s">
        <v>5861</v>
      </c>
      <c r="D10230" s="316" t="s">
        <v>5452</v>
      </c>
      <c r="E10230" s="664" t="n">
        <v>0.001</v>
      </c>
      <c r="F10230" s="617" t="n">
        <v>150375</v>
      </c>
      <c r="G10230" s="615" t="n">
        <f aca="false">E10230*F10230</f>
        <v>150.375</v>
      </c>
      <c r="H10230" s="606"/>
    </row>
    <row r="10231" customFormat="false" ht="15" hidden="false" customHeight="false" outlineLevel="0" collapsed="false">
      <c r="A10231" s="571"/>
      <c r="B10231" s="608"/>
      <c r="C10231" s="860" t="s">
        <v>4515</v>
      </c>
      <c r="D10231" s="316" t="s">
        <v>4133</v>
      </c>
      <c r="E10231" s="661" t="n">
        <v>0.22</v>
      </c>
      <c r="F10231" s="681" t="n">
        <v>350</v>
      </c>
      <c r="G10231" s="615" t="n">
        <f aca="false">E10231*F10231</f>
        <v>77</v>
      </c>
      <c r="H10231" s="606"/>
    </row>
    <row r="10232" customFormat="false" ht="15" hidden="false" customHeight="false" outlineLevel="0" collapsed="false">
      <c r="A10232" s="571"/>
      <c r="B10232" s="608"/>
      <c r="C10232" s="860" t="s">
        <v>4776</v>
      </c>
      <c r="D10232" s="316" t="s">
        <v>4359</v>
      </c>
      <c r="E10232" s="661" t="n">
        <v>0.28</v>
      </c>
      <c r="F10232" s="617" t="n">
        <v>800</v>
      </c>
      <c r="G10232" s="615" t="n">
        <f aca="false">E10232*F10232</f>
        <v>224</v>
      </c>
      <c r="H10232" s="606"/>
    </row>
    <row r="10233" customFormat="false" ht="15" hidden="false" customHeight="false" outlineLevel="0" collapsed="false">
      <c r="A10233" s="571"/>
      <c r="B10233" s="608" t="s">
        <v>4128</v>
      </c>
      <c r="C10233" s="718"/>
      <c r="D10233" s="610"/>
      <c r="E10233" s="611"/>
      <c r="F10233" s="612"/>
      <c r="G10233" s="613" t="n">
        <f aca="false">SUM(G10223:G10232)</f>
        <v>815.004</v>
      </c>
      <c r="H10233" s="606"/>
    </row>
    <row r="10234" customFormat="false" ht="30" hidden="false" customHeight="false" outlineLevel="0" collapsed="false">
      <c r="A10234" s="571" t="s">
        <v>1976</v>
      </c>
      <c r="B10234" s="500" t="s">
        <v>3681</v>
      </c>
      <c r="C10234" s="860" t="s">
        <v>5880</v>
      </c>
      <c r="D10234" s="316" t="s">
        <v>4133</v>
      </c>
      <c r="E10234" s="661" t="n">
        <v>0.01</v>
      </c>
      <c r="F10234" s="617" t="n">
        <v>45799</v>
      </c>
      <c r="G10234" s="615" t="n">
        <f aca="false">E10234*F10234</f>
        <v>457.99</v>
      </c>
      <c r="H10234" s="606"/>
    </row>
    <row r="10235" customFormat="false" ht="15" hidden="false" customHeight="false" outlineLevel="0" collapsed="false">
      <c r="A10235" s="571"/>
      <c r="B10235" s="608"/>
      <c r="C10235" s="860" t="s">
        <v>5929</v>
      </c>
      <c r="D10235" s="316" t="s">
        <v>4133</v>
      </c>
      <c r="E10235" s="661" t="n">
        <v>0.005</v>
      </c>
      <c r="F10235" s="617" t="n">
        <v>60290</v>
      </c>
      <c r="G10235" s="615" t="n">
        <f aca="false">E10235*F10235</f>
        <v>301.45</v>
      </c>
      <c r="H10235" s="606"/>
    </row>
    <row r="10236" customFormat="false" ht="15" hidden="false" customHeight="false" outlineLevel="0" collapsed="false">
      <c r="A10236" s="571"/>
      <c r="B10236" s="608"/>
      <c r="C10236" s="860" t="s">
        <v>5824</v>
      </c>
      <c r="D10236" s="316" t="s">
        <v>4359</v>
      </c>
      <c r="E10236" s="975" t="n">
        <v>0.001</v>
      </c>
      <c r="F10236" s="617" t="n">
        <v>82115</v>
      </c>
      <c r="G10236" s="615" t="n">
        <f aca="false">E10236*F10236</f>
        <v>82.115</v>
      </c>
      <c r="H10236" s="606"/>
    </row>
    <row r="10237" customFormat="false" ht="15" hidden="false" customHeight="false" outlineLevel="0" collapsed="false">
      <c r="A10237" s="571"/>
      <c r="B10237" s="608"/>
      <c r="C10237" s="860" t="s">
        <v>5819</v>
      </c>
      <c r="D10237" s="316" t="s">
        <v>4191</v>
      </c>
      <c r="E10237" s="954" t="n">
        <v>1</v>
      </c>
      <c r="F10237" s="617" t="n">
        <v>316.4</v>
      </c>
      <c r="G10237" s="615" t="n">
        <f aca="false">E10237*F10237</f>
        <v>316.4</v>
      </c>
      <c r="H10237" s="606"/>
    </row>
    <row r="10238" customFormat="false" ht="15" hidden="false" customHeight="false" outlineLevel="0" collapsed="false">
      <c r="A10238" s="571"/>
      <c r="B10238" s="608"/>
      <c r="C10238" s="860" t="s">
        <v>5826</v>
      </c>
      <c r="D10238" s="316" t="s">
        <v>4191</v>
      </c>
      <c r="E10238" s="954" t="n">
        <v>0.01</v>
      </c>
      <c r="F10238" s="617" t="n">
        <v>366.25</v>
      </c>
      <c r="G10238" s="615" t="n">
        <f aca="false">E10238*F10238</f>
        <v>3.6625</v>
      </c>
      <c r="H10238" s="606"/>
    </row>
    <row r="10239" customFormat="false" ht="15" hidden="false" customHeight="false" outlineLevel="0" collapsed="false">
      <c r="A10239" s="571"/>
      <c r="B10239" s="608"/>
      <c r="C10239" s="860" t="s">
        <v>5820</v>
      </c>
      <c r="D10239" s="316" t="s">
        <v>4191</v>
      </c>
      <c r="E10239" s="954" t="n">
        <v>0.01</v>
      </c>
      <c r="F10239" s="617" t="n">
        <v>650</v>
      </c>
      <c r="G10239" s="615" t="n">
        <f aca="false">E10239*F10239</f>
        <v>6.5</v>
      </c>
      <c r="H10239" s="606"/>
    </row>
    <row r="10240" customFormat="false" ht="15" hidden="false" customHeight="false" outlineLevel="0" collapsed="false">
      <c r="A10240" s="571"/>
      <c r="B10240" s="608"/>
      <c r="C10240" s="860" t="s">
        <v>4515</v>
      </c>
      <c r="D10240" s="316" t="s">
        <v>4133</v>
      </c>
      <c r="E10240" s="661" t="n">
        <v>0.1</v>
      </c>
      <c r="F10240" s="681" t="n">
        <v>350</v>
      </c>
      <c r="G10240" s="615" t="n">
        <f aca="false">E10240*F10240</f>
        <v>35</v>
      </c>
      <c r="H10240" s="606"/>
    </row>
    <row r="10241" customFormat="false" ht="15" hidden="false" customHeight="false" outlineLevel="0" collapsed="false">
      <c r="A10241" s="571"/>
      <c r="B10241" s="608"/>
      <c r="C10241" s="860" t="s">
        <v>4776</v>
      </c>
      <c r="D10241" s="316" t="s">
        <v>4359</v>
      </c>
      <c r="E10241" s="661" t="n">
        <v>0.1</v>
      </c>
      <c r="F10241" s="617" t="n">
        <v>800</v>
      </c>
      <c r="G10241" s="615" t="n">
        <f aca="false">E10241*F10241</f>
        <v>80</v>
      </c>
      <c r="H10241" s="606"/>
    </row>
    <row r="10242" customFormat="false" ht="15" hidden="false" customHeight="false" outlineLevel="0" collapsed="false">
      <c r="A10242" s="571"/>
      <c r="B10242" s="608" t="s">
        <v>4128</v>
      </c>
      <c r="C10242" s="964"/>
      <c r="D10242" s="965"/>
      <c r="E10242" s="969"/>
      <c r="F10242" s="967"/>
      <c r="G10242" s="613" t="n">
        <f aca="false">SUM(G10234:G10241)</f>
        <v>1283.1175</v>
      </c>
      <c r="H10242" s="606"/>
    </row>
    <row r="10243" customFormat="false" ht="30" hidden="false" customHeight="false" outlineLevel="0" collapsed="false">
      <c r="A10243" s="571" t="s">
        <v>1978</v>
      </c>
      <c r="B10243" s="433" t="s">
        <v>3725</v>
      </c>
      <c r="C10243" s="860" t="s">
        <v>5818</v>
      </c>
      <c r="D10243" s="316" t="s">
        <v>4133</v>
      </c>
      <c r="E10243" s="661" t="n">
        <v>0.1</v>
      </c>
      <c r="F10243" s="617" t="n">
        <v>67687</v>
      </c>
      <c r="G10243" s="615" t="n">
        <f aca="false">E10243*F10243</f>
        <v>6768.7</v>
      </c>
      <c r="H10243" s="606"/>
    </row>
    <row r="10244" customFormat="false" ht="15" hidden="false" customHeight="false" outlineLevel="0" collapsed="false">
      <c r="A10244" s="571"/>
      <c r="B10244" s="500"/>
      <c r="C10244" s="860" t="s">
        <v>5859</v>
      </c>
      <c r="D10244" s="316" t="s">
        <v>4359</v>
      </c>
      <c r="E10244" s="661" t="n">
        <v>0.1</v>
      </c>
      <c r="F10244" s="617" t="n">
        <v>1995</v>
      </c>
      <c r="G10244" s="615" t="n">
        <f aca="false">E10244*F10244</f>
        <v>199.5</v>
      </c>
      <c r="H10244" s="606"/>
    </row>
    <row r="10245" customFormat="false" ht="30" hidden="false" customHeight="false" outlineLevel="0" collapsed="false">
      <c r="A10245" s="571"/>
      <c r="B10245" s="500"/>
      <c r="C10245" s="860" t="s">
        <v>4636</v>
      </c>
      <c r="D10245" s="316" t="s">
        <v>4133</v>
      </c>
      <c r="E10245" s="661" t="n">
        <v>0.1</v>
      </c>
      <c r="F10245" s="617" t="n">
        <v>8950</v>
      </c>
      <c r="G10245" s="615" t="n">
        <f aca="false">E10245*F10245</f>
        <v>895</v>
      </c>
      <c r="H10245" s="912"/>
    </row>
    <row r="10246" customFormat="false" ht="15" hidden="false" customHeight="false" outlineLevel="0" collapsed="false">
      <c r="A10246" s="571"/>
      <c r="B10246" s="500"/>
      <c r="C10246" s="860" t="s">
        <v>4120</v>
      </c>
      <c r="D10246" s="316" t="s">
        <v>4348</v>
      </c>
      <c r="E10246" s="661" t="n">
        <v>0.1</v>
      </c>
      <c r="F10246" s="617" t="n">
        <v>7565</v>
      </c>
      <c r="G10246" s="615" t="n">
        <f aca="false">E10246*F10246</f>
        <v>756.5</v>
      </c>
      <c r="H10246" s="606"/>
    </row>
    <row r="10247" customFormat="false" ht="15" hidden="false" customHeight="false" outlineLevel="0" collapsed="false">
      <c r="A10247" s="571"/>
      <c r="B10247" s="500"/>
      <c r="C10247" s="860" t="s">
        <v>5852</v>
      </c>
      <c r="D10247" s="316" t="s">
        <v>4133</v>
      </c>
      <c r="E10247" s="661" t="n">
        <v>0.01</v>
      </c>
      <c r="F10247" s="617" t="n">
        <v>39930</v>
      </c>
      <c r="G10247" s="615" t="n">
        <f aca="false">E10247*F10247</f>
        <v>399.3</v>
      </c>
      <c r="H10247" s="606"/>
    </row>
    <row r="10248" customFormat="false" ht="30" hidden="false" customHeight="false" outlineLevel="0" collapsed="false">
      <c r="A10248" s="571"/>
      <c r="B10248" s="500"/>
      <c r="C10248" s="860" t="s">
        <v>5939</v>
      </c>
      <c r="D10248" s="316" t="s">
        <v>4359</v>
      </c>
      <c r="E10248" s="661" t="n">
        <v>0.01</v>
      </c>
      <c r="F10248" s="617" t="n">
        <v>26500</v>
      </c>
      <c r="G10248" s="615" t="n">
        <f aca="false">E10248*F10248</f>
        <v>265</v>
      </c>
      <c r="H10248" s="606"/>
    </row>
    <row r="10249" customFormat="false" ht="15" hidden="false" customHeight="false" outlineLevel="0" collapsed="false">
      <c r="A10249" s="571"/>
      <c r="B10249" s="500"/>
      <c r="C10249" s="860" t="s">
        <v>5934</v>
      </c>
      <c r="D10249" s="316" t="s">
        <v>4133</v>
      </c>
      <c r="E10249" s="661" t="n">
        <v>0.01</v>
      </c>
      <c r="F10249" s="617" t="n">
        <v>132000</v>
      </c>
      <c r="G10249" s="615" t="n">
        <f aca="false">E10249*F10249</f>
        <v>1320</v>
      </c>
      <c r="H10249" s="606"/>
    </row>
    <row r="10250" customFormat="false" ht="15" hidden="false" customHeight="false" outlineLevel="0" collapsed="false">
      <c r="A10250" s="571"/>
      <c r="B10250" s="500"/>
      <c r="C10250" s="860" t="s">
        <v>5889</v>
      </c>
      <c r="D10250" s="316" t="s">
        <v>4133</v>
      </c>
      <c r="E10250" s="661" t="n">
        <v>0.01</v>
      </c>
      <c r="F10250" s="617" t="n">
        <v>57057</v>
      </c>
      <c r="G10250" s="615" t="n">
        <f aca="false">E10250*F10250</f>
        <v>570.57</v>
      </c>
      <c r="H10250" s="606"/>
    </row>
    <row r="10251" customFormat="false" ht="15" hidden="false" customHeight="false" outlineLevel="0" collapsed="false">
      <c r="A10251" s="571"/>
      <c r="B10251" s="500"/>
      <c r="C10251" s="860" t="s">
        <v>5819</v>
      </c>
      <c r="D10251" s="316" t="s">
        <v>4191</v>
      </c>
      <c r="E10251" s="954" t="n">
        <v>0.01</v>
      </c>
      <c r="F10251" s="617" t="n">
        <v>316.4</v>
      </c>
      <c r="G10251" s="615" t="n">
        <f aca="false">E10251*F10251</f>
        <v>3.164</v>
      </c>
      <c r="H10251" s="391"/>
    </row>
    <row r="10252" customFormat="false" ht="15" hidden="false" customHeight="false" outlineLevel="0" collapsed="false">
      <c r="A10252" s="571"/>
      <c r="B10252" s="500"/>
      <c r="C10252" s="860" t="s">
        <v>5826</v>
      </c>
      <c r="D10252" s="316" t="s">
        <v>4191</v>
      </c>
      <c r="E10252" s="954" t="n">
        <v>0.01</v>
      </c>
      <c r="F10252" s="617" t="n">
        <v>366.25</v>
      </c>
      <c r="G10252" s="615" t="n">
        <f aca="false">E10252*F10252</f>
        <v>3.6625</v>
      </c>
      <c r="H10252" s="606"/>
    </row>
    <row r="10253" customFormat="false" ht="15" hidden="false" customHeight="false" outlineLevel="0" collapsed="false">
      <c r="A10253" s="571"/>
      <c r="B10253" s="500"/>
      <c r="C10253" s="860" t="s">
        <v>5820</v>
      </c>
      <c r="D10253" s="316" t="s">
        <v>4191</v>
      </c>
      <c r="E10253" s="954" t="n">
        <v>0.01</v>
      </c>
      <c r="F10253" s="617" t="n">
        <v>650</v>
      </c>
      <c r="G10253" s="615" t="n">
        <f aca="false">E10253*F10253</f>
        <v>6.5</v>
      </c>
      <c r="H10253" s="606"/>
    </row>
    <row r="10254" customFormat="false" ht="15" hidden="false" customHeight="false" outlineLevel="0" collapsed="false">
      <c r="A10254" s="571"/>
      <c r="B10254" s="328"/>
      <c r="C10254" s="860" t="s">
        <v>5851</v>
      </c>
      <c r="D10254" s="316" t="s">
        <v>4348</v>
      </c>
      <c r="E10254" s="661" t="n">
        <v>0.001</v>
      </c>
      <c r="F10254" s="617" t="n">
        <v>19488</v>
      </c>
      <c r="G10254" s="615" t="n">
        <f aca="false">E10254*F10254</f>
        <v>19.488</v>
      </c>
      <c r="H10254" s="606"/>
    </row>
    <row r="10255" customFormat="false" ht="15" hidden="false" customHeight="false" outlineLevel="0" collapsed="false">
      <c r="A10255" s="571"/>
      <c r="B10255" s="500"/>
      <c r="C10255" s="860" t="s">
        <v>4515</v>
      </c>
      <c r="D10255" s="316" t="s">
        <v>4133</v>
      </c>
      <c r="E10255" s="661" t="n">
        <v>0.33</v>
      </c>
      <c r="F10255" s="681" t="n">
        <v>350</v>
      </c>
      <c r="G10255" s="615" t="n">
        <f aca="false">E10255*F10255</f>
        <v>115.5</v>
      </c>
      <c r="H10255" s="606"/>
    </row>
    <row r="10256" customFormat="false" ht="15" hidden="false" customHeight="false" outlineLevel="0" collapsed="false">
      <c r="A10256" s="571"/>
      <c r="B10256" s="500"/>
      <c r="C10256" s="860" t="s">
        <v>4776</v>
      </c>
      <c r="D10256" s="316" t="s">
        <v>4359</v>
      </c>
      <c r="E10256" s="661" t="n">
        <v>0.38</v>
      </c>
      <c r="F10256" s="617" t="n">
        <v>800</v>
      </c>
      <c r="G10256" s="615" t="n">
        <f aca="false">E10256*F10256</f>
        <v>304</v>
      </c>
      <c r="H10256" s="606"/>
    </row>
    <row r="10257" customFormat="false" ht="15" hidden="false" customHeight="false" outlineLevel="0" collapsed="false">
      <c r="A10257" s="571"/>
      <c r="B10257" s="500"/>
      <c r="C10257" s="860" t="s">
        <v>5940</v>
      </c>
      <c r="D10257" s="316" t="s">
        <v>4348</v>
      </c>
      <c r="E10257" s="664" t="n">
        <v>0.01</v>
      </c>
      <c r="F10257" s="617" t="n">
        <v>200000</v>
      </c>
      <c r="G10257" s="615" t="n">
        <f aca="false">E10257*F10257</f>
        <v>2000</v>
      </c>
      <c r="H10257" s="606"/>
    </row>
    <row r="10258" customFormat="false" ht="30" hidden="false" customHeight="false" outlineLevel="0" collapsed="false">
      <c r="A10258" s="571"/>
      <c r="B10258" s="500"/>
      <c r="C10258" s="860" t="s">
        <v>5938</v>
      </c>
      <c r="D10258" s="316" t="s">
        <v>4348</v>
      </c>
      <c r="E10258" s="664" t="n">
        <v>0.005</v>
      </c>
      <c r="F10258" s="617" t="n">
        <v>63000</v>
      </c>
      <c r="G10258" s="615" t="n">
        <f aca="false">E10258*F10258</f>
        <v>315</v>
      </c>
      <c r="H10258" s="606"/>
    </row>
    <row r="10259" customFormat="false" ht="15" hidden="false" customHeight="false" outlineLevel="0" collapsed="false">
      <c r="A10259" s="571"/>
      <c r="B10259" s="608" t="s">
        <v>4128</v>
      </c>
      <c r="C10259" s="964"/>
      <c r="D10259" s="965"/>
      <c r="E10259" s="968"/>
      <c r="F10259" s="967"/>
      <c r="G10259" s="613" t="n">
        <f aca="false">SUM(G10243:G10258)</f>
        <v>13941.8845</v>
      </c>
      <c r="H10259" s="391"/>
    </row>
    <row r="10260" customFormat="false" ht="30" hidden="false" customHeight="false" outlineLevel="0" collapsed="false">
      <c r="A10260" s="571" t="s">
        <v>1980</v>
      </c>
      <c r="B10260" s="433" t="s">
        <v>3667</v>
      </c>
      <c r="C10260" s="860" t="s">
        <v>5818</v>
      </c>
      <c r="D10260" s="316" t="s">
        <v>4133</v>
      </c>
      <c r="E10260" s="664" t="n">
        <v>0.001</v>
      </c>
      <c r="F10260" s="617" t="n">
        <v>67687</v>
      </c>
      <c r="G10260" s="615" t="n">
        <f aca="false">E10260*F10260</f>
        <v>67.687</v>
      </c>
      <c r="H10260" s="391"/>
    </row>
    <row r="10261" customFormat="false" ht="15" hidden="false" customHeight="false" outlineLevel="0" collapsed="false">
      <c r="A10261" s="571"/>
      <c r="B10261" s="328"/>
      <c r="C10261" s="860" t="s">
        <v>5843</v>
      </c>
      <c r="D10261" s="316" t="s">
        <v>4133</v>
      </c>
      <c r="E10261" s="664" t="n">
        <v>0.001</v>
      </c>
      <c r="F10261" s="883" t="n">
        <v>48840</v>
      </c>
      <c r="G10261" s="615" t="n">
        <f aca="false">E10261*F10261</f>
        <v>48.84</v>
      </c>
      <c r="H10261" s="391"/>
    </row>
    <row r="10262" customFormat="false" ht="15" hidden="false" customHeight="false" outlineLevel="0" collapsed="false">
      <c r="A10262" s="571"/>
      <c r="B10262" s="500"/>
      <c r="C10262" s="860" t="s">
        <v>5848</v>
      </c>
      <c r="D10262" s="316" t="s">
        <v>4359</v>
      </c>
      <c r="E10262" s="954" t="n">
        <v>0.02</v>
      </c>
      <c r="F10262" s="617" t="n">
        <v>10500</v>
      </c>
      <c r="G10262" s="615" t="n">
        <f aca="false">E10262*F10262</f>
        <v>210</v>
      </c>
      <c r="H10262" s="391"/>
    </row>
    <row r="10263" customFormat="false" ht="15" hidden="false" customHeight="false" outlineLevel="0" collapsed="false">
      <c r="A10263" s="571"/>
      <c r="B10263" s="500"/>
      <c r="C10263" s="860" t="s">
        <v>5824</v>
      </c>
      <c r="D10263" s="316" t="s">
        <v>4528</v>
      </c>
      <c r="E10263" s="954" t="n">
        <v>0.001</v>
      </c>
      <c r="F10263" s="617" t="n">
        <v>82115</v>
      </c>
      <c r="G10263" s="615" t="n">
        <f aca="false">E10263*F10263</f>
        <v>82.115</v>
      </c>
      <c r="H10263" s="391"/>
    </row>
    <row r="10264" customFormat="false" ht="15" hidden="false" customHeight="false" outlineLevel="0" collapsed="false">
      <c r="A10264" s="571"/>
      <c r="B10264" s="500"/>
      <c r="C10264" s="860" t="s">
        <v>5819</v>
      </c>
      <c r="D10264" s="316" t="s">
        <v>4191</v>
      </c>
      <c r="E10264" s="954" t="n">
        <v>0.01</v>
      </c>
      <c r="F10264" s="617" t="n">
        <v>361.4</v>
      </c>
      <c r="G10264" s="615" t="n">
        <f aca="false">E10264*F10264</f>
        <v>3.614</v>
      </c>
      <c r="H10264" s="391"/>
    </row>
    <row r="10265" customFormat="false" ht="15" hidden="false" customHeight="false" outlineLevel="0" collapsed="false">
      <c r="A10265" s="571"/>
      <c r="B10265" s="500"/>
      <c r="C10265" s="860" t="s">
        <v>5826</v>
      </c>
      <c r="D10265" s="316" t="s">
        <v>4191</v>
      </c>
      <c r="E10265" s="954" t="n">
        <v>0.01</v>
      </c>
      <c r="F10265" s="617" t="n">
        <v>366.25</v>
      </c>
      <c r="G10265" s="615" t="n">
        <f aca="false">E10265*F10265</f>
        <v>3.6625</v>
      </c>
      <c r="H10265" s="391"/>
    </row>
    <row r="10266" customFormat="false" ht="15" hidden="false" customHeight="false" outlineLevel="0" collapsed="false">
      <c r="A10266" s="571"/>
      <c r="B10266" s="500"/>
      <c r="C10266" s="860" t="s">
        <v>5820</v>
      </c>
      <c r="D10266" s="316" t="s">
        <v>4191</v>
      </c>
      <c r="E10266" s="954" t="n">
        <v>0.01</v>
      </c>
      <c r="F10266" s="617" t="n">
        <v>650</v>
      </c>
      <c r="G10266" s="615" t="n">
        <f aca="false">E10266*F10266</f>
        <v>6.5</v>
      </c>
      <c r="H10266" s="391"/>
    </row>
    <row r="10267" customFormat="false" ht="15" hidden="false" customHeight="false" outlineLevel="0" collapsed="false">
      <c r="A10267" s="571"/>
      <c r="B10267" s="500"/>
      <c r="C10267" s="860" t="s">
        <v>5861</v>
      </c>
      <c r="D10267" s="316" t="s">
        <v>5452</v>
      </c>
      <c r="E10267" s="954" t="n">
        <v>0.001</v>
      </c>
      <c r="F10267" s="617" t="n">
        <v>150375</v>
      </c>
      <c r="G10267" s="615" t="n">
        <f aca="false">E10267*F10267</f>
        <v>150.375</v>
      </c>
      <c r="H10267" s="391"/>
    </row>
    <row r="10268" customFormat="false" ht="15" hidden="false" customHeight="false" outlineLevel="0" collapsed="false">
      <c r="A10268" s="571"/>
      <c r="B10268" s="500"/>
      <c r="C10268" s="860" t="s">
        <v>4776</v>
      </c>
      <c r="D10268" s="316" t="s">
        <v>4359</v>
      </c>
      <c r="E10268" s="954" t="n">
        <v>0.1</v>
      </c>
      <c r="F10268" s="617" t="n">
        <v>800</v>
      </c>
      <c r="G10268" s="615" t="n">
        <f aca="false">E10268*F10268</f>
        <v>80</v>
      </c>
      <c r="H10268" s="391"/>
    </row>
    <row r="10269" customFormat="false" ht="15" hidden="false" customHeight="false" outlineLevel="0" collapsed="false">
      <c r="A10269" s="571"/>
      <c r="B10269" s="608" t="s">
        <v>4128</v>
      </c>
      <c r="C10269" s="964"/>
      <c r="D10269" s="965"/>
      <c r="E10269" s="966"/>
      <c r="F10269" s="967"/>
      <c r="G10269" s="613" t="n">
        <f aca="false">SUM(G10260:G10268)</f>
        <v>652.7935</v>
      </c>
      <c r="H10269" s="391"/>
    </row>
    <row r="10270" customFormat="false" ht="30" hidden="false" customHeight="false" outlineLevel="0" collapsed="false">
      <c r="A10270" s="571" t="s">
        <v>1982</v>
      </c>
      <c r="B10270" s="433" t="s">
        <v>3668</v>
      </c>
      <c r="C10270" s="860" t="s">
        <v>5818</v>
      </c>
      <c r="D10270" s="316" t="s">
        <v>4133</v>
      </c>
      <c r="E10270" s="664" t="n">
        <v>0.001</v>
      </c>
      <c r="F10270" s="617" t="n">
        <v>67687</v>
      </c>
      <c r="G10270" s="615" t="n">
        <f aca="false">F10270*E10270</f>
        <v>67.687</v>
      </c>
      <c r="H10270" s="391"/>
    </row>
    <row r="10271" customFormat="false" ht="45" hidden="false" customHeight="false" outlineLevel="0" collapsed="false">
      <c r="A10271" s="571"/>
      <c r="B10271" s="500"/>
      <c r="C10271" s="860" t="s">
        <v>5881</v>
      </c>
      <c r="D10271" s="316" t="s">
        <v>4133</v>
      </c>
      <c r="E10271" s="664" t="n">
        <v>0.001</v>
      </c>
      <c r="F10271" s="617" t="n">
        <v>46585</v>
      </c>
      <c r="G10271" s="615" t="n">
        <f aca="false">E10271*F10271</f>
        <v>46.585</v>
      </c>
      <c r="H10271" s="391"/>
    </row>
    <row r="10272" customFormat="false" ht="15" hidden="false" customHeight="false" outlineLevel="0" collapsed="false">
      <c r="A10272" s="571"/>
      <c r="B10272" s="500"/>
      <c r="C10272" s="860" t="s">
        <v>5843</v>
      </c>
      <c r="D10272" s="316" t="s">
        <v>4133</v>
      </c>
      <c r="E10272" s="664" t="n">
        <v>0.001</v>
      </c>
      <c r="F10272" s="883" t="n">
        <v>48840</v>
      </c>
      <c r="G10272" s="615" t="n">
        <f aca="false">E10272*F10272</f>
        <v>48.84</v>
      </c>
      <c r="H10272" s="391"/>
    </row>
    <row r="10273" customFormat="false" ht="15" hidden="false" customHeight="false" outlineLevel="0" collapsed="false">
      <c r="A10273" s="571"/>
      <c r="B10273" s="500"/>
      <c r="C10273" s="860" t="s">
        <v>5848</v>
      </c>
      <c r="D10273" s="316" t="s">
        <v>4359</v>
      </c>
      <c r="E10273" s="954" t="n">
        <v>0.01</v>
      </c>
      <c r="F10273" s="617" t="n">
        <v>10500</v>
      </c>
      <c r="G10273" s="615" t="n">
        <f aca="false">E10273*F10273</f>
        <v>105</v>
      </c>
      <c r="H10273" s="391"/>
    </row>
    <row r="10274" customFormat="false" ht="15" hidden="false" customHeight="false" outlineLevel="0" collapsed="false">
      <c r="A10274" s="571"/>
      <c r="B10274" s="608"/>
      <c r="C10274" s="860" t="s">
        <v>5824</v>
      </c>
      <c r="D10274" s="316" t="s">
        <v>4528</v>
      </c>
      <c r="E10274" s="954" t="n">
        <v>0.001</v>
      </c>
      <c r="F10274" s="617" t="n">
        <v>82115</v>
      </c>
      <c r="G10274" s="615" t="n">
        <f aca="false">E10274*F10274</f>
        <v>82.115</v>
      </c>
      <c r="H10274" s="391"/>
    </row>
    <row r="10275" customFormat="false" ht="15" hidden="false" customHeight="false" outlineLevel="0" collapsed="false">
      <c r="A10275" s="571"/>
      <c r="B10275" s="963"/>
      <c r="C10275" s="860" t="s">
        <v>5819</v>
      </c>
      <c r="D10275" s="316" t="s">
        <v>4191</v>
      </c>
      <c r="E10275" s="954" t="n">
        <v>0.01</v>
      </c>
      <c r="F10275" s="617" t="n">
        <v>316.4</v>
      </c>
      <c r="G10275" s="615" t="n">
        <f aca="false">E10275*F10275</f>
        <v>3.164</v>
      </c>
      <c r="H10275" s="391"/>
    </row>
    <row r="10276" customFormat="false" ht="15" hidden="false" customHeight="false" outlineLevel="0" collapsed="false">
      <c r="A10276" s="571"/>
      <c r="B10276" s="328"/>
      <c r="C10276" s="860" t="s">
        <v>5826</v>
      </c>
      <c r="D10276" s="316" t="s">
        <v>4191</v>
      </c>
      <c r="E10276" s="954" t="n">
        <v>0.01</v>
      </c>
      <c r="F10276" s="617" t="n">
        <v>366.25</v>
      </c>
      <c r="G10276" s="615" t="n">
        <f aca="false">E10276*F10276</f>
        <v>3.6625</v>
      </c>
      <c r="H10276" s="391"/>
    </row>
    <row r="10277" customFormat="false" ht="15" hidden="false" customHeight="false" outlineLevel="0" collapsed="false">
      <c r="A10277" s="571"/>
      <c r="B10277" s="500"/>
      <c r="C10277" s="860" t="s">
        <v>5820</v>
      </c>
      <c r="D10277" s="316" t="s">
        <v>4191</v>
      </c>
      <c r="E10277" s="954" t="n">
        <v>0.01</v>
      </c>
      <c r="F10277" s="617" t="n">
        <v>650</v>
      </c>
      <c r="G10277" s="615" t="n">
        <f aca="false">E10277*F10277</f>
        <v>6.5</v>
      </c>
      <c r="H10277" s="391"/>
    </row>
    <row r="10278" customFormat="false" ht="15" hidden="false" customHeight="false" outlineLevel="0" collapsed="false">
      <c r="A10278" s="571"/>
      <c r="B10278" s="500"/>
      <c r="C10278" s="21" t="s">
        <v>5857</v>
      </c>
      <c r="D10278" s="874" t="s">
        <v>4528</v>
      </c>
      <c r="E10278" s="977" t="n">
        <v>0.001</v>
      </c>
      <c r="F10278" s="883" t="n">
        <v>175794</v>
      </c>
      <c r="G10278" s="615" t="n">
        <f aca="false">E10278*F10278</f>
        <v>175.794</v>
      </c>
      <c r="H10278" s="391"/>
    </row>
    <row r="10279" customFormat="false" ht="15" hidden="false" customHeight="false" outlineLevel="0" collapsed="false">
      <c r="A10279" s="571"/>
      <c r="B10279" s="500"/>
      <c r="C10279" s="860" t="s">
        <v>5861</v>
      </c>
      <c r="D10279" s="316" t="s">
        <v>5452</v>
      </c>
      <c r="E10279" s="954" t="n">
        <v>0.001</v>
      </c>
      <c r="F10279" s="617" t="n">
        <v>150375</v>
      </c>
      <c r="G10279" s="615" t="n">
        <f aca="false">E10279*F10279</f>
        <v>150.375</v>
      </c>
      <c r="H10279" s="391"/>
    </row>
    <row r="10280" customFormat="false" ht="15" hidden="false" customHeight="false" outlineLevel="0" collapsed="false">
      <c r="A10280" s="571"/>
      <c r="B10280" s="608"/>
      <c r="C10280" s="860" t="s">
        <v>4776</v>
      </c>
      <c r="D10280" s="316" t="s">
        <v>4359</v>
      </c>
      <c r="E10280" s="954" t="n">
        <v>0.1</v>
      </c>
      <c r="F10280" s="617" t="n">
        <v>800</v>
      </c>
      <c r="G10280" s="615" t="n">
        <f aca="false">E10280*F10280</f>
        <v>80</v>
      </c>
      <c r="H10280" s="391"/>
    </row>
    <row r="10281" customFormat="false" ht="15" hidden="false" customHeight="false" outlineLevel="0" collapsed="false">
      <c r="A10281" s="571"/>
      <c r="B10281" s="608" t="s">
        <v>4128</v>
      </c>
      <c r="C10281" s="709"/>
      <c r="D10281" s="606"/>
      <c r="E10281" s="606"/>
      <c r="F10281" s="361"/>
      <c r="G10281" s="613" t="n">
        <f aca="false">SUM(G10270:G10280)</f>
        <v>769.7225</v>
      </c>
      <c r="H10281" s="391"/>
    </row>
    <row r="10282" customFormat="false" ht="30" hidden="false" customHeight="false" outlineLevel="0" collapsed="false">
      <c r="A10282" s="571" t="s">
        <v>1984</v>
      </c>
      <c r="B10282" s="500" t="s">
        <v>3726</v>
      </c>
      <c r="C10282" s="860" t="s">
        <v>5941</v>
      </c>
      <c r="D10282" s="316" t="s">
        <v>4133</v>
      </c>
      <c r="E10282" s="975" t="n">
        <v>0.018</v>
      </c>
      <c r="F10282" s="617" t="n">
        <v>65000</v>
      </c>
      <c r="G10282" s="615" t="n">
        <f aca="false">E10282*F10282</f>
        <v>1170</v>
      </c>
      <c r="H10282" s="391"/>
    </row>
    <row r="10283" customFormat="false" ht="15" hidden="false" customHeight="false" outlineLevel="0" collapsed="false">
      <c r="A10283" s="571"/>
      <c r="B10283" s="608"/>
      <c r="C10283" s="860" t="s">
        <v>5942</v>
      </c>
      <c r="D10283" s="316" t="s">
        <v>4359</v>
      </c>
      <c r="E10283" s="975" t="n">
        <v>0.1</v>
      </c>
      <c r="F10283" s="617" t="n">
        <v>800</v>
      </c>
      <c r="G10283" s="615" t="n">
        <f aca="false">E10283*F10283</f>
        <v>80</v>
      </c>
      <c r="H10283" s="391"/>
    </row>
    <row r="10284" customFormat="false" ht="15" hidden="false" customHeight="false" outlineLevel="0" collapsed="false">
      <c r="A10284" s="571"/>
      <c r="B10284" s="608"/>
      <c r="C10284" s="860" t="s">
        <v>4557</v>
      </c>
      <c r="D10284" s="316" t="s">
        <v>4359</v>
      </c>
      <c r="E10284" s="975" t="n">
        <v>0.03</v>
      </c>
      <c r="F10284" s="617" t="n">
        <v>3360</v>
      </c>
      <c r="G10284" s="615" t="n">
        <f aca="false">E10284*F10284</f>
        <v>100.8</v>
      </c>
      <c r="H10284" s="391"/>
    </row>
    <row r="10285" customFormat="false" ht="15" hidden="false" customHeight="false" outlineLevel="0" collapsed="false">
      <c r="A10285" s="571"/>
      <c r="B10285" s="608"/>
      <c r="C10285" s="860" t="s">
        <v>5819</v>
      </c>
      <c r="D10285" s="316" t="s">
        <v>4348</v>
      </c>
      <c r="E10285" s="954" t="n">
        <v>1</v>
      </c>
      <c r="F10285" s="617" t="n">
        <v>316.4</v>
      </c>
      <c r="G10285" s="615" t="n">
        <f aca="false">E10285*F10285</f>
        <v>316.4</v>
      </c>
      <c r="H10285" s="391"/>
    </row>
    <row r="10286" customFormat="false" ht="15" hidden="false" customHeight="false" outlineLevel="0" collapsed="false">
      <c r="A10286" s="571"/>
      <c r="B10286" s="608"/>
      <c r="C10286" s="860" t="s">
        <v>5943</v>
      </c>
      <c r="D10286" s="316" t="s">
        <v>4348</v>
      </c>
      <c r="E10286" s="968" t="n">
        <v>0.1</v>
      </c>
      <c r="F10286" s="617" t="n">
        <v>859</v>
      </c>
      <c r="G10286" s="615" t="n">
        <f aca="false">E10286*F10286</f>
        <v>85.9</v>
      </c>
      <c r="H10286" s="391"/>
    </row>
    <row r="10287" customFormat="false" ht="15" hidden="false" customHeight="false" outlineLevel="0" collapsed="false">
      <c r="A10287" s="571"/>
      <c r="B10287" s="608"/>
      <c r="C10287" s="860" t="s">
        <v>5944</v>
      </c>
      <c r="D10287" s="316" t="s">
        <v>4348</v>
      </c>
      <c r="E10287" s="954" t="n">
        <v>0.01</v>
      </c>
      <c r="F10287" s="617" t="n">
        <v>650</v>
      </c>
      <c r="G10287" s="615" t="n">
        <f aca="false">E10287*F10287</f>
        <v>6.5</v>
      </c>
      <c r="H10287" s="391"/>
    </row>
    <row r="10288" customFormat="false" ht="15" hidden="false" customHeight="false" outlineLevel="0" collapsed="false">
      <c r="A10288" s="571"/>
      <c r="B10288" s="608"/>
      <c r="C10288" s="860" t="s">
        <v>5945</v>
      </c>
      <c r="D10288" s="316" t="s">
        <v>4133</v>
      </c>
      <c r="E10288" s="968" t="n">
        <v>0.03</v>
      </c>
      <c r="F10288" s="681" t="n">
        <v>350</v>
      </c>
      <c r="G10288" s="615" t="n">
        <f aca="false">E10288*F10288</f>
        <v>10.5</v>
      </c>
      <c r="H10288" s="391"/>
    </row>
    <row r="10289" customFormat="false" ht="15" hidden="false" customHeight="false" outlineLevel="0" collapsed="false">
      <c r="A10289" s="571"/>
      <c r="B10289" s="608"/>
      <c r="C10289" s="860" t="s">
        <v>5946</v>
      </c>
      <c r="D10289" s="316" t="s">
        <v>4348</v>
      </c>
      <c r="E10289" s="968" t="n">
        <v>1</v>
      </c>
      <c r="F10289" s="681" t="n">
        <v>80</v>
      </c>
      <c r="G10289" s="615" t="n">
        <f aca="false">E10289*F10289</f>
        <v>80</v>
      </c>
      <c r="H10289" s="391"/>
    </row>
    <row r="10290" customFormat="false" ht="15" hidden="false" customHeight="false" outlineLevel="0" collapsed="false">
      <c r="A10290" s="571"/>
      <c r="B10290" s="608" t="s">
        <v>4128</v>
      </c>
      <c r="C10290" s="709"/>
      <c r="D10290" s="606"/>
      <c r="E10290" s="622"/>
      <c r="F10290" s="361"/>
      <c r="G10290" s="613" t="n">
        <f aca="false">SUM(G10282:G10289)</f>
        <v>1850.1</v>
      </c>
      <c r="H10290" s="391"/>
    </row>
    <row r="10291" customFormat="false" ht="99.75" hidden="false" customHeight="false" outlineLevel="0" collapsed="false">
      <c r="A10291" s="350" t="s">
        <v>1986</v>
      </c>
      <c r="B10291" s="346" t="s">
        <v>3727</v>
      </c>
      <c r="C10291" s="811"/>
      <c r="D10291" s="790"/>
      <c r="E10291" s="752"/>
      <c r="F10291" s="519"/>
      <c r="G10291" s="753"/>
      <c r="H10291" s="790"/>
    </row>
    <row r="10292" customFormat="false" ht="30" hidden="false" customHeight="false" outlineLevel="0" collapsed="false">
      <c r="A10292" s="571" t="s">
        <v>1988</v>
      </c>
      <c r="B10292" s="433" t="s">
        <v>3728</v>
      </c>
      <c r="C10292" s="860" t="s">
        <v>5830</v>
      </c>
      <c r="D10292" s="316" t="s">
        <v>4133</v>
      </c>
      <c r="E10292" s="664" t="n">
        <v>0.001</v>
      </c>
      <c r="F10292" s="617" t="n">
        <v>74448</v>
      </c>
      <c r="G10292" s="615" t="n">
        <f aca="false">E10292*F10292</f>
        <v>74.448</v>
      </c>
      <c r="H10292" s="606"/>
    </row>
    <row r="10293" customFormat="false" ht="15" hidden="false" customHeight="false" outlineLevel="0" collapsed="false">
      <c r="A10293" s="571"/>
      <c r="B10293" s="500"/>
      <c r="C10293" s="860" t="s">
        <v>5831</v>
      </c>
      <c r="D10293" s="316" t="s">
        <v>4133</v>
      </c>
      <c r="E10293" s="664" t="n">
        <v>0.001</v>
      </c>
      <c r="F10293" s="617" t="n">
        <v>45513</v>
      </c>
      <c r="G10293" s="615" t="n">
        <f aca="false">E10293*F10293</f>
        <v>45.513</v>
      </c>
      <c r="H10293" s="606"/>
    </row>
    <row r="10294" customFormat="false" ht="15" hidden="false" customHeight="false" outlineLevel="0" collapsed="false">
      <c r="A10294" s="571"/>
      <c r="B10294" s="500"/>
      <c r="C10294" s="860" t="s">
        <v>5832</v>
      </c>
      <c r="D10294" s="316" t="s">
        <v>4133</v>
      </c>
      <c r="E10294" s="664" t="n">
        <v>0.001</v>
      </c>
      <c r="F10294" s="617" t="n">
        <v>99906</v>
      </c>
      <c r="G10294" s="615" t="n">
        <f aca="false">E10294*F10294</f>
        <v>99.906</v>
      </c>
      <c r="H10294" s="606"/>
    </row>
    <row r="10295" customFormat="false" ht="15" hidden="false" customHeight="false" outlineLevel="0" collapsed="false">
      <c r="A10295" s="571"/>
      <c r="B10295" s="500"/>
      <c r="C10295" s="860" t="s">
        <v>5947</v>
      </c>
      <c r="D10295" s="316" t="s">
        <v>4133</v>
      </c>
      <c r="E10295" s="664" t="n">
        <v>0.001</v>
      </c>
      <c r="F10295" s="617" t="n">
        <v>69797</v>
      </c>
      <c r="G10295" s="615" t="n">
        <f aca="false">E10295*F10295</f>
        <v>69.797</v>
      </c>
      <c r="H10295" s="606"/>
    </row>
    <row r="10296" customFormat="false" ht="15" hidden="false" customHeight="false" outlineLevel="0" collapsed="false">
      <c r="A10296" s="571"/>
      <c r="B10296" s="500"/>
      <c r="C10296" s="860" t="s">
        <v>5948</v>
      </c>
      <c r="D10296" s="316" t="s">
        <v>4133</v>
      </c>
      <c r="E10296" s="664" t="n">
        <v>0.001</v>
      </c>
      <c r="F10296" s="617" t="n">
        <v>34001</v>
      </c>
      <c r="G10296" s="615" t="n">
        <f aca="false">E10296*F10296</f>
        <v>34.001</v>
      </c>
      <c r="H10296" s="606"/>
    </row>
    <row r="10297" customFormat="false" ht="15" hidden="false" customHeight="false" outlineLevel="0" collapsed="false">
      <c r="A10297" s="571"/>
      <c r="B10297" s="500"/>
      <c r="C10297" s="860" t="s">
        <v>5949</v>
      </c>
      <c r="D10297" s="316" t="s">
        <v>4133</v>
      </c>
      <c r="E10297" s="664" t="n">
        <v>0.001</v>
      </c>
      <c r="F10297" s="617" t="n">
        <v>69797</v>
      </c>
      <c r="G10297" s="615" t="n">
        <f aca="false">E10297*F10297</f>
        <v>69.797</v>
      </c>
      <c r="H10297" s="606"/>
    </row>
    <row r="10298" customFormat="false" ht="15" hidden="false" customHeight="false" outlineLevel="0" collapsed="false">
      <c r="A10298" s="571"/>
      <c r="B10298" s="500"/>
      <c r="C10298" s="860" t="s">
        <v>5835</v>
      </c>
      <c r="D10298" s="316" t="s">
        <v>4133</v>
      </c>
      <c r="E10298" s="664" t="n">
        <v>0.001</v>
      </c>
      <c r="F10298" s="617" t="n">
        <v>69797</v>
      </c>
      <c r="G10298" s="615" t="n">
        <f aca="false">E10298*F10298</f>
        <v>69.797</v>
      </c>
      <c r="H10298" s="606"/>
    </row>
    <row r="10299" customFormat="false" ht="15" hidden="false" customHeight="false" outlineLevel="0" collapsed="false">
      <c r="A10299" s="571"/>
      <c r="B10299" s="500"/>
      <c r="C10299" s="860" t="s">
        <v>5836</v>
      </c>
      <c r="D10299" s="316" t="s">
        <v>4133</v>
      </c>
      <c r="E10299" s="664" t="n">
        <v>0.001</v>
      </c>
      <c r="F10299" s="617" t="n">
        <v>10500</v>
      </c>
      <c r="G10299" s="615" t="n">
        <f aca="false">E10299*F10299</f>
        <v>10.5</v>
      </c>
      <c r="H10299" s="606"/>
    </row>
    <row r="10300" customFormat="false" ht="15" hidden="false" customHeight="false" outlineLevel="0" collapsed="false">
      <c r="A10300" s="571"/>
      <c r="B10300" s="500"/>
      <c r="C10300" s="860" t="s">
        <v>5837</v>
      </c>
      <c r="D10300" s="316" t="s">
        <v>4133</v>
      </c>
      <c r="E10300" s="664" t="n">
        <v>0.001</v>
      </c>
      <c r="F10300" s="617" t="n">
        <v>91872</v>
      </c>
      <c r="G10300" s="615" t="n">
        <f aca="false">E10300*F10300</f>
        <v>91.872</v>
      </c>
      <c r="H10300" s="606"/>
    </row>
    <row r="10301" customFormat="false" ht="15" hidden="false" customHeight="false" outlineLevel="0" collapsed="false">
      <c r="A10301" s="571"/>
      <c r="B10301" s="500"/>
      <c r="C10301" s="860" t="s">
        <v>5950</v>
      </c>
      <c r="D10301" s="316" t="s">
        <v>4133</v>
      </c>
      <c r="E10301" s="664" t="n">
        <v>0.001</v>
      </c>
      <c r="F10301" s="617" t="n">
        <v>80176</v>
      </c>
      <c r="G10301" s="615" t="n">
        <f aca="false">E10301*F10301</f>
        <v>80.176</v>
      </c>
      <c r="H10301" s="606"/>
    </row>
    <row r="10302" customFormat="false" ht="15" hidden="false" customHeight="false" outlineLevel="0" collapsed="false">
      <c r="A10302" s="571"/>
      <c r="B10302" s="500"/>
      <c r="C10302" s="860" t="s">
        <v>5951</v>
      </c>
      <c r="D10302" s="316" t="s">
        <v>4133</v>
      </c>
      <c r="E10302" s="664" t="n">
        <v>0.001</v>
      </c>
      <c r="F10302" s="617" t="n">
        <v>7982</v>
      </c>
      <c r="G10302" s="615" t="n">
        <f aca="false">E10302*F10302</f>
        <v>7.982</v>
      </c>
      <c r="H10302" s="912"/>
    </row>
    <row r="10303" customFormat="false" ht="15" hidden="false" customHeight="false" outlineLevel="0" collapsed="false">
      <c r="A10303" s="571"/>
      <c r="B10303" s="328"/>
      <c r="C10303" s="860" t="s">
        <v>5952</v>
      </c>
      <c r="D10303" s="316" t="s">
        <v>4133</v>
      </c>
      <c r="E10303" s="664" t="n">
        <v>0.001</v>
      </c>
      <c r="F10303" s="617" t="n">
        <v>158202</v>
      </c>
      <c r="G10303" s="615" t="n">
        <f aca="false">E10303*F10303</f>
        <v>158.202</v>
      </c>
      <c r="H10303" s="606"/>
    </row>
    <row r="10304" customFormat="false" ht="15" hidden="false" customHeight="false" outlineLevel="0" collapsed="false">
      <c r="A10304" s="571"/>
      <c r="B10304" s="500"/>
      <c r="C10304" s="860" t="s">
        <v>5953</v>
      </c>
      <c r="D10304" s="316" t="s">
        <v>4133</v>
      </c>
      <c r="E10304" s="664" t="n">
        <v>0.001</v>
      </c>
      <c r="F10304" s="617" t="n">
        <v>10500</v>
      </c>
      <c r="G10304" s="615" t="n">
        <f aca="false">E10304*F10304</f>
        <v>10.5</v>
      </c>
      <c r="H10304" s="606"/>
    </row>
    <row r="10305" customFormat="false" ht="15" hidden="false" customHeight="false" outlineLevel="0" collapsed="false">
      <c r="A10305" s="571"/>
      <c r="B10305" s="500"/>
      <c r="C10305" s="860" t="s">
        <v>5954</v>
      </c>
      <c r="D10305" s="316" t="s">
        <v>4133</v>
      </c>
      <c r="E10305" s="664" t="n">
        <v>0.001</v>
      </c>
      <c r="F10305" s="617" t="n">
        <v>48840</v>
      </c>
      <c r="G10305" s="615" t="n">
        <f aca="false">E10305*F10305</f>
        <v>48.84</v>
      </c>
      <c r="H10305" s="606"/>
    </row>
    <row r="10306" customFormat="false" ht="15" hidden="false" customHeight="false" outlineLevel="0" collapsed="false">
      <c r="A10306" s="571"/>
      <c r="B10306" s="500"/>
      <c r="C10306" s="860" t="s">
        <v>5955</v>
      </c>
      <c r="D10306" s="316" t="s">
        <v>5847</v>
      </c>
      <c r="E10306" s="661" t="n">
        <v>0.005</v>
      </c>
      <c r="F10306" s="617" t="n">
        <v>74415</v>
      </c>
      <c r="G10306" s="615" t="n">
        <f aca="false">E10306*F10306</f>
        <v>372.075</v>
      </c>
      <c r="H10306" s="606"/>
    </row>
    <row r="10307" customFormat="false" ht="15" hidden="false" customHeight="false" outlineLevel="0" collapsed="false">
      <c r="A10307" s="571"/>
      <c r="B10307" s="500"/>
      <c r="C10307" s="860" t="s">
        <v>5956</v>
      </c>
      <c r="D10307" s="316" t="s">
        <v>4359</v>
      </c>
      <c r="E10307" s="661" t="n">
        <v>0.01</v>
      </c>
      <c r="F10307" s="617" t="n">
        <v>10500</v>
      </c>
      <c r="G10307" s="615" t="n">
        <f aca="false">E10307*F10307</f>
        <v>105</v>
      </c>
      <c r="H10307" s="606"/>
    </row>
    <row r="10308" customFormat="false" ht="15" hidden="false" customHeight="false" outlineLevel="0" collapsed="false">
      <c r="A10308" s="571"/>
      <c r="B10308" s="500"/>
      <c r="C10308" s="860" t="s">
        <v>5846</v>
      </c>
      <c r="D10308" s="316" t="s">
        <v>4359</v>
      </c>
      <c r="E10308" s="661" t="n">
        <v>0.01</v>
      </c>
      <c r="F10308" s="617" t="n">
        <v>10500</v>
      </c>
      <c r="G10308" s="615" t="n">
        <f aca="false">E10308*F10308</f>
        <v>105</v>
      </c>
      <c r="H10308" s="606"/>
    </row>
    <row r="10309" customFormat="false" ht="15" hidden="false" customHeight="false" outlineLevel="0" collapsed="false">
      <c r="A10309" s="571"/>
      <c r="B10309" s="500"/>
      <c r="C10309" s="860" t="s">
        <v>5848</v>
      </c>
      <c r="D10309" s="316" t="s">
        <v>4359</v>
      </c>
      <c r="E10309" s="661" t="n">
        <v>0.01</v>
      </c>
      <c r="F10309" s="617" t="n">
        <v>10500</v>
      </c>
      <c r="G10309" s="615" t="n">
        <f aca="false">E10309*F10309</f>
        <v>105</v>
      </c>
      <c r="H10309" s="606"/>
    </row>
    <row r="10310" customFormat="false" ht="15" hidden="false" customHeight="false" outlineLevel="0" collapsed="false">
      <c r="A10310" s="571"/>
      <c r="B10310" s="500"/>
      <c r="C10310" s="860" t="s">
        <v>5825</v>
      </c>
      <c r="D10310" s="316" t="s">
        <v>4359</v>
      </c>
      <c r="E10310" s="661" t="n">
        <v>0.01</v>
      </c>
      <c r="F10310" s="617" t="n">
        <v>8468</v>
      </c>
      <c r="G10310" s="615" t="n">
        <f aca="false">E10310*F10310</f>
        <v>84.68</v>
      </c>
      <c r="H10310" s="606"/>
    </row>
    <row r="10311" customFormat="false" ht="15" hidden="false" customHeight="false" outlineLevel="0" collapsed="false">
      <c r="A10311" s="571"/>
      <c r="B10311" s="500"/>
      <c r="C10311" s="860" t="s">
        <v>5849</v>
      </c>
      <c r="D10311" s="316" t="s">
        <v>4359</v>
      </c>
      <c r="E10311" s="661" t="n">
        <v>0.01</v>
      </c>
      <c r="F10311" s="617" t="n">
        <v>15500</v>
      </c>
      <c r="G10311" s="615" t="n">
        <f aca="false">E10311*F10311</f>
        <v>155</v>
      </c>
      <c r="H10311" s="606"/>
    </row>
    <row r="10312" customFormat="false" ht="15" hidden="false" customHeight="false" outlineLevel="0" collapsed="false">
      <c r="A10312" s="571"/>
      <c r="B10312" s="500"/>
      <c r="C10312" s="860" t="s">
        <v>5957</v>
      </c>
      <c r="D10312" s="316" t="s">
        <v>4359</v>
      </c>
      <c r="E10312" s="664" t="n">
        <v>0.001</v>
      </c>
      <c r="F10312" s="617" t="n">
        <v>26500</v>
      </c>
      <c r="G10312" s="615" t="n">
        <f aca="false">E10312*F10312</f>
        <v>26.5</v>
      </c>
      <c r="H10312" s="606"/>
    </row>
    <row r="10313" customFormat="false" ht="15" hidden="false" customHeight="false" outlineLevel="0" collapsed="false">
      <c r="A10313" s="571"/>
      <c r="B10313" s="500"/>
      <c r="C10313" s="860" t="s">
        <v>5824</v>
      </c>
      <c r="D10313" s="316" t="s">
        <v>4359</v>
      </c>
      <c r="E10313" s="661" t="n">
        <v>0.001</v>
      </c>
      <c r="F10313" s="617" t="n">
        <v>82115</v>
      </c>
      <c r="G10313" s="615" t="n">
        <f aca="false">E10313*F10313</f>
        <v>82.115</v>
      </c>
      <c r="H10313" s="606"/>
    </row>
    <row r="10314" customFormat="false" ht="15" hidden="false" customHeight="false" outlineLevel="0" collapsed="false">
      <c r="A10314" s="571"/>
      <c r="B10314" s="500"/>
      <c r="C10314" s="860" t="s">
        <v>5819</v>
      </c>
      <c r="D10314" s="316" t="s">
        <v>4191</v>
      </c>
      <c r="E10314" s="954" t="n">
        <v>0.01</v>
      </c>
      <c r="F10314" s="617" t="n">
        <v>316.4</v>
      </c>
      <c r="G10314" s="615" t="n">
        <f aca="false">E10314*F10314</f>
        <v>3.164</v>
      </c>
      <c r="H10314" s="912"/>
    </row>
    <row r="10315" customFormat="false" ht="15" hidden="false" customHeight="false" outlineLevel="0" collapsed="false">
      <c r="A10315" s="571"/>
      <c r="B10315" s="500"/>
      <c r="C10315" s="860" t="s">
        <v>5820</v>
      </c>
      <c r="D10315" s="316" t="s">
        <v>4191</v>
      </c>
      <c r="E10315" s="954" t="n">
        <v>0.01</v>
      </c>
      <c r="F10315" s="617" t="n">
        <v>650</v>
      </c>
      <c r="G10315" s="615" t="n">
        <f aca="false">E10315*F10315</f>
        <v>6.5</v>
      </c>
      <c r="H10315" s="606"/>
    </row>
    <row r="10316" customFormat="false" ht="15" hidden="false" customHeight="false" outlineLevel="0" collapsed="false">
      <c r="A10316" s="571"/>
      <c r="B10316" s="500"/>
      <c r="C10316" s="860" t="s">
        <v>5927</v>
      </c>
      <c r="D10316" s="316" t="s">
        <v>4191</v>
      </c>
      <c r="E10316" s="660" t="n">
        <v>1</v>
      </c>
      <c r="F10316" s="617" t="n">
        <v>32</v>
      </c>
      <c r="G10316" s="615" t="n">
        <f aca="false">E10316*F10316</f>
        <v>32</v>
      </c>
      <c r="H10316" s="606"/>
    </row>
    <row r="10317" customFormat="false" ht="15" hidden="false" customHeight="false" outlineLevel="0" collapsed="false">
      <c r="A10317" s="571"/>
      <c r="B10317" s="500"/>
      <c r="C10317" s="860" t="s">
        <v>4515</v>
      </c>
      <c r="D10317" s="316" t="s">
        <v>4133</v>
      </c>
      <c r="E10317" s="661" t="n">
        <v>0.1</v>
      </c>
      <c r="F10317" s="681" t="n">
        <v>350</v>
      </c>
      <c r="G10317" s="615" t="n">
        <f aca="false">E10317*F10317</f>
        <v>35</v>
      </c>
      <c r="H10317" s="606"/>
    </row>
    <row r="10318" customFormat="false" ht="15" hidden="false" customHeight="false" outlineLevel="0" collapsed="false">
      <c r="A10318" s="571"/>
      <c r="B10318" s="608" t="s">
        <v>4128</v>
      </c>
      <c r="C10318" s="718"/>
      <c r="D10318" s="610"/>
      <c r="E10318" s="611"/>
      <c r="F10318" s="612"/>
      <c r="G10318" s="613" t="n">
        <f aca="false">SUM(G10292:G10317)</f>
        <v>1983.365</v>
      </c>
      <c r="H10318" s="391"/>
    </row>
    <row r="10319" customFormat="false" ht="60" hidden="false" customHeight="false" outlineLevel="0" collapsed="false">
      <c r="A10319" s="571" t="s">
        <v>1989</v>
      </c>
      <c r="B10319" s="433" t="s">
        <v>3729</v>
      </c>
      <c r="C10319" s="974" t="s">
        <v>5947</v>
      </c>
      <c r="D10319" s="317" t="s">
        <v>4133</v>
      </c>
      <c r="E10319" s="664" t="n">
        <v>0.001</v>
      </c>
      <c r="F10319" s="617" t="n">
        <v>69797</v>
      </c>
      <c r="G10319" s="615" t="n">
        <f aca="false">E10319*F10319</f>
        <v>69.797</v>
      </c>
      <c r="H10319" s="912"/>
    </row>
    <row r="10320" customFormat="false" ht="15" hidden="false" customHeight="false" outlineLevel="0" collapsed="false">
      <c r="A10320" s="571"/>
      <c r="B10320" s="328"/>
      <c r="C10320" s="860" t="s">
        <v>5948</v>
      </c>
      <c r="D10320" s="317" t="s">
        <v>4133</v>
      </c>
      <c r="E10320" s="664" t="n">
        <v>0.001</v>
      </c>
      <c r="F10320" s="617" t="n">
        <v>34001</v>
      </c>
      <c r="G10320" s="615" t="n">
        <f aca="false">E10320*F10320</f>
        <v>34.001</v>
      </c>
      <c r="H10320" s="606"/>
    </row>
    <row r="10321" customFormat="false" ht="15" hidden="false" customHeight="false" outlineLevel="0" collapsed="false">
      <c r="A10321" s="571"/>
      <c r="B10321" s="500"/>
      <c r="C10321" s="860" t="s">
        <v>5818</v>
      </c>
      <c r="D10321" s="317" t="s">
        <v>4133</v>
      </c>
      <c r="E10321" s="664" t="n">
        <v>0.001</v>
      </c>
      <c r="F10321" s="617" t="n">
        <v>67687</v>
      </c>
      <c r="G10321" s="615" t="n">
        <f aca="false">E10321*F10321</f>
        <v>67.687</v>
      </c>
      <c r="H10321" s="606"/>
    </row>
    <row r="10322" customFormat="false" ht="15" hidden="false" customHeight="false" outlineLevel="0" collapsed="false">
      <c r="A10322" s="571"/>
      <c r="B10322" s="500"/>
      <c r="C10322" s="860" t="s">
        <v>5835</v>
      </c>
      <c r="D10322" s="317" t="s">
        <v>4133</v>
      </c>
      <c r="E10322" s="664" t="n">
        <v>0.001</v>
      </c>
      <c r="F10322" s="617" t="n">
        <v>69797</v>
      </c>
      <c r="G10322" s="615" t="n">
        <f aca="false">E10322*F10322</f>
        <v>69.797</v>
      </c>
      <c r="H10322" s="606"/>
    </row>
    <row r="10323" customFormat="false" ht="15" hidden="false" customHeight="false" outlineLevel="0" collapsed="false">
      <c r="A10323" s="571"/>
      <c r="B10323" s="500"/>
      <c r="C10323" s="860" t="s">
        <v>5958</v>
      </c>
      <c r="D10323" s="317" t="s">
        <v>4133</v>
      </c>
      <c r="E10323" s="664" t="n">
        <v>0.001</v>
      </c>
      <c r="F10323" s="617" t="n">
        <v>10500</v>
      </c>
      <c r="G10323" s="615" t="n">
        <f aca="false">E10323*F10323</f>
        <v>10.5</v>
      </c>
      <c r="H10323" s="606"/>
    </row>
    <row r="10324" customFormat="false" ht="15" hidden="false" customHeight="false" outlineLevel="0" collapsed="false">
      <c r="A10324" s="571"/>
      <c r="B10324" s="500"/>
      <c r="C10324" s="860" t="s">
        <v>5837</v>
      </c>
      <c r="D10324" s="317" t="s">
        <v>4133</v>
      </c>
      <c r="E10324" s="664" t="n">
        <v>0.001</v>
      </c>
      <c r="F10324" s="617" t="n">
        <v>91872</v>
      </c>
      <c r="G10324" s="615" t="n">
        <f aca="false">E10324*F10324</f>
        <v>91.872</v>
      </c>
      <c r="H10324" s="606"/>
    </row>
    <row r="10325" customFormat="false" ht="15" hidden="false" customHeight="false" outlineLevel="0" collapsed="false">
      <c r="A10325" s="571"/>
      <c r="B10325" s="500"/>
      <c r="C10325" s="860" t="s">
        <v>5950</v>
      </c>
      <c r="D10325" s="317" t="s">
        <v>4133</v>
      </c>
      <c r="E10325" s="664" t="n">
        <v>0.001</v>
      </c>
      <c r="F10325" s="617" t="n">
        <v>80176</v>
      </c>
      <c r="G10325" s="615" t="n">
        <f aca="false">E10325*F10325</f>
        <v>80.176</v>
      </c>
      <c r="H10325" s="606"/>
    </row>
    <row r="10326" customFormat="false" ht="15" hidden="false" customHeight="false" outlineLevel="0" collapsed="false">
      <c r="A10326" s="571"/>
      <c r="B10326" s="500"/>
      <c r="C10326" s="860" t="s">
        <v>5951</v>
      </c>
      <c r="D10326" s="317" t="s">
        <v>4133</v>
      </c>
      <c r="E10326" s="664" t="n">
        <v>0.001</v>
      </c>
      <c r="F10326" s="617" t="n">
        <v>7982</v>
      </c>
      <c r="G10326" s="615" t="n">
        <f aca="false">E10326*F10326</f>
        <v>7.982</v>
      </c>
      <c r="H10326" s="912"/>
    </row>
    <row r="10327" customFormat="false" ht="15" hidden="false" customHeight="false" outlineLevel="0" collapsed="false">
      <c r="A10327" s="571"/>
      <c r="B10327" s="328"/>
      <c r="C10327" s="860" t="s">
        <v>5952</v>
      </c>
      <c r="D10327" s="317" t="s">
        <v>4133</v>
      </c>
      <c r="E10327" s="664" t="n">
        <v>0.0005</v>
      </c>
      <c r="F10327" s="617" t="n">
        <v>158202</v>
      </c>
      <c r="G10327" s="615" t="n">
        <f aca="false">E10327*F10327</f>
        <v>79.101</v>
      </c>
      <c r="H10327" s="606"/>
    </row>
    <row r="10328" customFormat="false" ht="15" hidden="false" customHeight="false" outlineLevel="0" collapsed="false">
      <c r="A10328" s="571"/>
      <c r="B10328" s="500"/>
      <c r="C10328" s="860" t="s">
        <v>5953</v>
      </c>
      <c r="D10328" s="317" t="s">
        <v>4133</v>
      </c>
      <c r="E10328" s="664" t="n">
        <v>0.001</v>
      </c>
      <c r="F10328" s="617" t="n">
        <v>10500</v>
      </c>
      <c r="G10328" s="615" t="n">
        <f aca="false">E10328*F10328</f>
        <v>10.5</v>
      </c>
      <c r="H10328" s="606"/>
    </row>
    <row r="10329" customFormat="false" ht="15" hidden="false" customHeight="false" outlineLevel="0" collapsed="false">
      <c r="A10329" s="571"/>
      <c r="B10329" s="500"/>
      <c r="C10329" s="860" t="s">
        <v>5959</v>
      </c>
      <c r="D10329" s="317" t="s">
        <v>4133</v>
      </c>
      <c r="E10329" s="664" t="n">
        <v>0.001</v>
      </c>
      <c r="F10329" s="617" t="n">
        <v>48840</v>
      </c>
      <c r="G10329" s="615" t="n">
        <f aca="false">E10329*F10329</f>
        <v>48.84</v>
      </c>
      <c r="H10329" s="606"/>
    </row>
    <row r="10330" customFormat="false" ht="15" hidden="false" customHeight="false" outlineLevel="0" collapsed="false">
      <c r="A10330" s="571"/>
      <c r="B10330" s="500"/>
      <c r="C10330" s="860" t="s">
        <v>5955</v>
      </c>
      <c r="D10330" s="316" t="s">
        <v>5847</v>
      </c>
      <c r="E10330" s="661" t="n">
        <v>0.001</v>
      </c>
      <c r="F10330" s="617" t="n">
        <v>74415</v>
      </c>
      <c r="G10330" s="615" t="n">
        <f aca="false">E10330*F10330</f>
        <v>74.415</v>
      </c>
      <c r="H10330" s="606"/>
    </row>
    <row r="10331" customFormat="false" ht="15" hidden="false" customHeight="false" outlineLevel="0" collapsed="false">
      <c r="A10331" s="571"/>
      <c r="B10331" s="500"/>
      <c r="C10331" s="860" t="s">
        <v>5956</v>
      </c>
      <c r="D10331" s="316" t="s">
        <v>4359</v>
      </c>
      <c r="E10331" s="661" t="n">
        <v>0.005</v>
      </c>
      <c r="F10331" s="617" t="n">
        <v>10500</v>
      </c>
      <c r="G10331" s="615" t="n">
        <f aca="false">E10331*F10331</f>
        <v>52.5</v>
      </c>
      <c r="H10331" s="606"/>
    </row>
    <row r="10332" customFormat="false" ht="15" hidden="false" customHeight="false" outlineLevel="0" collapsed="false">
      <c r="A10332" s="571"/>
      <c r="B10332" s="500"/>
      <c r="C10332" s="860" t="s">
        <v>5846</v>
      </c>
      <c r="D10332" s="316" t="s">
        <v>4359</v>
      </c>
      <c r="E10332" s="661" t="n">
        <v>0.005</v>
      </c>
      <c r="F10332" s="617" t="n">
        <v>10500</v>
      </c>
      <c r="G10332" s="615" t="n">
        <f aca="false">E10332*F10332</f>
        <v>52.5</v>
      </c>
      <c r="H10332" s="606"/>
    </row>
    <row r="10333" customFormat="false" ht="15" hidden="false" customHeight="false" outlineLevel="0" collapsed="false">
      <c r="A10333" s="571"/>
      <c r="B10333" s="500"/>
      <c r="C10333" s="860" t="s">
        <v>5848</v>
      </c>
      <c r="D10333" s="316" t="s">
        <v>4359</v>
      </c>
      <c r="E10333" s="661" t="n">
        <v>0.005</v>
      </c>
      <c r="F10333" s="617" t="n">
        <v>10500</v>
      </c>
      <c r="G10333" s="615" t="n">
        <f aca="false">E10333*F10333</f>
        <v>52.5</v>
      </c>
      <c r="H10333" s="606"/>
    </row>
    <row r="10334" customFormat="false" ht="15" hidden="false" customHeight="false" outlineLevel="0" collapsed="false">
      <c r="A10334" s="571"/>
      <c r="B10334" s="500"/>
      <c r="C10334" s="860" t="s">
        <v>5960</v>
      </c>
      <c r="D10334" s="316" t="s">
        <v>5452</v>
      </c>
      <c r="E10334" s="661" t="n">
        <v>0.01</v>
      </c>
      <c r="F10334" s="617" t="n">
        <v>8468</v>
      </c>
      <c r="G10334" s="615" t="n">
        <f aca="false">E10334*F10334</f>
        <v>84.68</v>
      </c>
      <c r="H10334" s="912"/>
    </row>
    <row r="10335" customFormat="false" ht="15" hidden="false" customHeight="false" outlineLevel="0" collapsed="false">
      <c r="A10335" s="571"/>
      <c r="B10335" s="328"/>
      <c r="C10335" s="860" t="s">
        <v>5961</v>
      </c>
      <c r="D10335" s="316" t="s">
        <v>4359</v>
      </c>
      <c r="E10335" s="661" t="n">
        <v>0.001</v>
      </c>
      <c r="F10335" s="617" t="n">
        <v>82115</v>
      </c>
      <c r="G10335" s="615" t="n">
        <f aca="false">E10335*F10335</f>
        <v>82.115</v>
      </c>
      <c r="H10335" s="606"/>
    </row>
    <row r="10336" customFormat="false" ht="15" hidden="false" customHeight="false" outlineLevel="0" collapsed="false">
      <c r="A10336" s="571"/>
      <c r="B10336" s="500"/>
      <c r="C10336" s="860" t="s">
        <v>5962</v>
      </c>
      <c r="D10336" s="316" t="s">
        <v>4191</v>
      </c>
      <c r="E10336" s="660" t="n">
        <v>0.5</v>
      </c>
      <c r="F10336" s="617" t="n">
        <v>316.4</v>
      </c>
      <c r="G10336" s="615" t="n">
        <f aca="false">E10336*F10336</f>
        <v>158.2</v>
      </c>
      <c r="H10336" s="606"/>
    </row>
    <row r="10337" customFormat="false" ht="15" hidden="false" customHeight="false" outlineLevel="0" collapsed="false">
      <c r="A10337" s="571"/>
      <c r="B10337" s="500"/>
      <c r="C10337" s="860" t="s">
        <v>5826</v>
      </c>
      <c r="D10337" s="316" t="s">
        <v>4191</v>
      </c>
      <c r="E10337" s="954" t="n">
        <v>0.01</v>
      </c>
      <c r="F10337" s="617" t="n">
        <v>366.25</v>
      </c>
      <c r="G10337" s="615" t="n">
        <f aca="false">E10337*F10337</f>
        <v>3.6625</v>
      </c>
      <c r="H10337" s="606"/>
    </row>
    <row r="10338" customFormat="false" ht="15" hidden="false" customHeight="false" outlineLevel="0" collapsed="false">
      <c r="A10338" s="571"/>
      <c r="B10338" s="500"/>
      <c r="C10338" s="860" t="s">
        <v>5820</v>
      </c>
      <c r="D10338" s="316" t="s">
        <v>4191</v>
      </c>
      <c r="E10338" s="954" t="n">
        <v>0.01</v>
      </c>
      <c r="F10338" s="617" t="n">
        <v>650</v>
      </c>
      <c r="G10338" s="615" t="n">
        <f aca="false">E10338*F10338</f>
        <v>6.5</v>
      </c>
      <c r="H10338" s="606"/>
    </row>
    <row r="10339" customFormat="false" ht="15" hidden="false" customHeight="false" outlineLevel="0" collapsed="false">
      <c r="A10339" s="571"/>
      <c r="B10339" s="500"/>
      <c r="C10339" s="860" t="s">
        <v>5927</v>
      </c>
      <c r="D10339" s="316" t="s">
        <v>4191</v>
      </c>
      <c r="E10339" s="660" t="n">
        <v>1</v>
      </c>
      <c r="F10339" s="617" t="n">
        <v>32</v>
      </c>
      <c r="G10339" s="615" t="n">
        <f aca="false">E10339*F10339</f>
        <v>32</v>
      </c>
      <c r="H10339" s="606"/>
    </row>
    <row r="10340" customFormat="false" ht="15" hidden="false" customHeight="false" outlineLevel="0" collapsed="false">
      <c r="A10340" s="571"/>
      <c r="B10340" s="500"/>
      <c r="C10340" s="860" t="s">
        <v>4515</v>
      </c>
      <c r="D10340" s="316" t="s">
        <v>4133</v>
      </c>
      <c r="E10340" s="661" t="n">
        <v>0.1</v>
      </c>
      <c r="F10340" s="681" t="n">
        <v>350</v>
      </c>
      <c r="G10340" s="615" t="n">
        <f aca="false">E10340*F10340</f>
        <v>35</v>
      </c>
      <c r="H10340" s="606"/>
    </row>
    <row r="10341" customFormat="false" ht="15" hidden="false" customHeight="false" outlineLevel="0" collapsed="false">
      <c r="A10341" s="571"/>
      <c r="B10341" s="608" t="s">
        <v>4128</v>
      </c>
      <c r="C10341" s="718"/>
      <c r="D10341" s="610"/>
      <c r="E10341" s="611"/>
      <c r="F10341" s="612"/>
      <c r="G10341" s="613" t="n">
        <f aca="false">SUM(G10319:G10340)</f>
        <v>1204.3255</v>
      </c>
      <c r="H10341" s="391"/>
    </row>
    <row r="10342" customFormat="false" ht="45" hidden="false" customHeight="false" outlineLevel="0" collapsed="false">
      <c r="A10342" s="571" t="s">
        <v>1991</v>
      </c>
      <c r="B10342" s="433" t="s">
        <v>3730</v>
      </c>
      <c r="C10342" s="860" t="s">
        <v>5818</v>
      </c>
      <c r="D10342" s="316" t="s">
        <v>4133</v>
      </c>
      <c r="E10342" s="661" t="n">
        <v>0.001</v>
      </c>
      <c r="F10342" s="617" t="n">
        <v>67687</v>
      </c>
      <c r="G10342" s="615" t="n">
        <f aca="false">E10342*F10342</f>
        <v>67.687</v>
      </c>
      <c r="H10342" s="606"/>
    </row>
    <row r="10343" customFormat="false" ht="15" hidden="false" customHeight="false" outlineLevel="0" collapsed="false">
      <c r="A10343" s="571"/>
      <c r="B10343" s="500"/>
      <c r="C10343" s="860" t="s">
        <v>5880</v>
      </c>
      <c r="D10343" s="316" t="s">
        <v>4133</v>
      </c>
      <c r="E10343" s="661" t="n">
        <v>0.001</v>
      </c>
      <c r="F10343" s="617" t="n">
        <v>45799</v>
      </c>
      <c r="G10343" s="615" t="n">
        <f aca="false">E10343*F10343</f>
        <v>45.799</v>
      </c>
      <c r="H10343" s="606"/>
    </row>
    <row r="10344" customFormat="false" ht="15" hidden="false" customHeight="false" outlineLevel="0" collapsed="false">
      <c r="A10344" s="571"/>
      <c r="B10344" s="500"/>
      <c r="C10344" s="860" t="s">
        <v>5947</v>
      </c>
      <c r="D10344" s="316" t="s">
        <v>4133</v>
      </c>
      <c r="E10344" s="661" t="n">
        <v>0.001</v>
      </c>
      <c r="F10344" s="617" t="n">
        <v>69797</v>
      </c>
      <c r="G10344" s="615" t="n">
        <f aca="false">E10344*F10344</f>
        <v>69.797</v>
      </c>
      <c r="H10344" s="606"/>
    </row>
    <row r="10345" customFormat="false" ht="15" hidden="false" customHeight="false" outlineLevel="0" collapsed="false">
      <c r="A10345" s="571"/>
      <c r="B10345" s="500"/>
      <c r="C10345" s="860" t="s">
        <v>5963</v>
      </c>
      <c r="D10345" s="316" t="s">
        <v>4133</v>
      </c>
      <c r="E10345" s="661" t="n">
        <v>0.005</v>
      </c>
      <c r="F10345" s="617" t="n">
        <v>75072</v>
      </c>
      <c r="G10345" s="615" t="n">
        <f aca="false">E10345*F10345</f>
        <v>375.36</v>
      </c>
      <c r="H10345" s="606"/>
    </row>
    <row r="10346" customFormat="false" ht="15" hidden="false" customHeight="false" outlineLevel="0" collapsed="false">
      <c r="A10346" s="571"/>
      <c r="B10346" s="500"/>
      <c r="C10346" s="860" t="s">
        <v>5962</v>
      </c>
      <c r="D10346" s="316" t="s">
        <v>4191</v>
      </c>
      <c r="E10346" s="660" t="n">
        <v>0.5</v>
      </c>
      <c r="F10346" s="617" t="n">
        <v>316.4</v>
      </c>
      <c r="G10346" s="615" t="n">
        <f aca="false">E10346*F10346</f>
        <v>158.2</v>
      </c>
      <c r="H10346" s="606"/>
    </row>
    <row r="10347" customFormat="false" ht="15" hidden="false" customHeight="false" outlineLevel="0" collapsed="false">
      <c r="A10347" s="571"/>
      <c r="B10347" s="500"/>
      <c r="C10347" s="860" t="s">
        <v>5927</v>
      </c>
      <c r="D10347" s="316" t="s">
        <v>4191</v>
      </c>
      <c r="E10347" s="660" t="n">
        <v>0.5</v>
      </c>
      <c r="F10347" s="617" t="n">
        <v>32</v>
      </c>
      <c r="G10347" s="615" t="n">
        <f aca="false">E10347*F10347</f>
        <v>16</v>
      </c>
      <c r="H10347" s="912"/>
    </row>
    <row r="10348" customFormat="false" ht="15" hidden="false" customHeight="false" outlineLevel="0" collapsed="false">
      <c r="A10348" s="571"/>
      <c r="B10348" s="328"/>
      <c r="C10348" s="860" t="s">
        <v>5964</v>
      </c>
      <c r="D10348" s="316" t="s">
        <v>4191</v>
      </c>
      <c r="E10348" s="660" t="n">
        <v>0.5</v>
      </c>
      <c r="F10348" s="617" t="n">
        <v>125</v>
      </c>
      <c r="G10348" s="615" t="n">
        <f aca="false">E10348*F10348</f>
        <v>62.5</v>
      </c>
      <c r="H10348" s="606"/>
    </row>
    <row r="10349" customFormat="false" ht="15" hidden="false" customHeight="false" outlineLevel="0" collapsed="false">
      <c r="A10349" s="571"/>
      <c r="B10349" s="500"/>
      <c r="C10349" s="860" t="s">
        <v>5961</v>
      </c>
      <c r="D10349" s="316" t="s">
        <v>4359</v>
      </c>
      <c r="E10349" s="661" t="n">
        <v>0.001</v>
      </c>
      <c r="F10349" s="617" t="n">
        <v>82115</v>
      </c>
      <c r="G10349" s="615" t="n">
        <f aca="false">E10349*F10349</f>
        <v>82.115</v>
      </c>
      <c r="H10349" s="606"/>
    </row>
    <row r="10350" customFormat="false" ht="15" hidden="false" customHeight="false" outlineLevel="0" collapsed="false">
      <c r="A10350" s="571"/>
      <c r="B10350" s="608" t="s">
        <v>4128</v>
      </c>
      <c r="C10350" s="964"/>
      <c r="D10350" s="965"/>
      <c r="E10350" s="969"/>
      <c r="F10350" s="967"/>
      <c r="G10350" s="613" t="n">
        <f aca="false">SUM(G10342:G10349)</f>
        <v>877.458</v>
      </c>
      <c r="H10350" s="391"/>
    </row>
    <row r="10351" customFormat="false" ht="60" hidden="false" customHeight="false" outlineLevel="0" collapsed="false">
      <c r="A10351" s="571" t="s">
        <v>1993</v>
      </c>
      <c r="B10351" s="433" t="s">
        <v>3731</v>
      </c>
      <c r="C10351" s="860" t="s">
        <v>5894</v>
      </c>
      <c r="D10351" s="316" t="s">
        <v>4359</v>
      </c>
      <c r="E10351" s="664" t="n">
        <v>0.001</v>
      </c>
      <c r="F10351" s="617" t="n">
        <v>51800</v>
      </c>
      <c r="G10351" s="615" t="n">
        <f aca="false">E10351*F10351</f>
        <v>51.8</v>
      </c>
      <c r="H10351" s="606"/>
    </row>
    <row r="10352" customFormat="false" ht="15" hidden="false" customHeight="false" outlineLevel="0" collapsed="false">
      <c r="A10352" s="571"/>
      <c r="B10352" s="500"/>
      <c r="C10352" s="860" t="s">
        <v>5818</v>
      </c>
      <c r="D10352" s="316" t="s">
        <v>4133</v>
      </c>
      <c r="E10352" s="664" t="n">
        <v>0.001</v>
      </c>
      <c r="F10352" s="617" t="n">
        <v>67687</v>
      </c>
      <c r="G10352" s="615" t="n">
        <f aca="false">E10352*F10352</f>
        <v>67.687</v>
      </c>
      <c r="H10352" s="606"/>
    </row>
    <row r="10353" customFormat="false" ht="15" hidden="false" customHeight="false" outlineLevel="0" collapsed="false">
      <c r="A10353" s="571"/>
      <c r="B10353" s="500"/>
      <c r="C10353" s="860" t="s">
        <v>5965</v>
      </c>
      <c r="D10353" s="316" t="s">
        <v>4133</v>
      </c>
      <c r="E10353" s="664" t="n">
        <v>0.001</v>
      </c>
      <c r="F10353" s="617" t="n">
        <v>58991</v>
      </c>
      <c r="G10353" s="615" t="n">
        <f aca="false">E10353*F10353</f>
        <v>58.991</v>
      </c>
      <c r="H10353" s="912"/>
    </row>
    <row r="10354" customFormat="false" ht="15" hidden="false" customHeight="false" outlineLevel="0" collapsed="false">
      <c r="A10354" s="571"/>
      <c r="B10354" s="328"/>
      <c r="C10354" s="860" t="s">
        <v>5966</v>
      </c>
      <c r="D10354" s="316" t="s">
        <v>5913</v>
      </c>
      <c r="E10354" s="968" t="n">
        <v>0.0008</v>
      </c>
      <c r="F10354" s="617" t="n">
        <v>21912</v>
      </c>
      <c r="G10354" s="615" t="n">
        <f aca="false">E10354*F10354</f>
        <v>17.5296</v>
      </c>
      <c r="H10354" s="606"/>
    </row>
    <row r="10355" customFormat="false" ht="15" hidden="false" customHeight="false" outlineLevel="0" collapsed="false">
      <c r="A10355" s="571"/>
      <c r="B10355" s="500"/>
      <c r="C10355" s="860" t="s">
        <v>5967</v>
      </c>
      <c r="D10355" s="316" t="s">
        <v>4133</v>
      </c>
      <c r="E10355" s="664" t="n">
        <v>0.001</v>
      </c>
      <c r="F10355" s="617" t="n">
        <v>54735</v>
      </c>
      <c r="G10355" s="615" t="n">
        <f aca="false">E10355*F10355</f>
        <v>54.735</v>
      </c>
      <c r="H10355" s="606"/>
    </row>
    <row r="10356" customFormat="false" ht="15" hidden="false" customHeight="false" outlineLevel="0" collapsed="false">
      <c r="A10356" s="571"/>
      <c r="B10356" s="500"/>
      <c r="C10356" s="860" t="s">
        <v>5968</v>
      </c>
      <c r="D10356" s="316" t="s">
        <v>4133</v>
      </c>
      <c r="E10356" s="664" t="n">
        <v>0.001</v>
      </c>
      <c r="F10356" s="617" t="n">
        <v>112107</v>
      </c>
      <c r="G10356" s="615" t="n">
        <f aca="false">E10356*F10356</f>
        <v>112.107</v>
      </c>
      <c r="H10356" s="606"/>
    </row>
    <row r="10357" customFormat="false" ht="15" hidden="false" customHeight="false" outlineLevel="0" collapsed="false">
      <c r="A10357" s="571"/>
      <c r="B10357" s="500"/>
      <c r="C10357" s="860" t="s">
        <v>5969</v>
      </c>
      <c r="D10357" s="316" t="s">
        <v>5913</v>
      </c>
      <c r="E10357" s="664" t="n">
        <v>0.001</v>
      </c>
      <c r="F10357" s="617" t="n">
        <v>87200</v>
      </c>
      <c r="G10357" s="615" t="n">
        <f aca="false">E10357*F10357</f>
        <v>87.2</v>
      </c>
      <c r="H10357" s="606"/>
    </row>
    <row r="10358" customFormat="false" ht="15" hidden="false" customHeight="false" outlineLevel="0" collapsed="false">
      <c r="A10358" s="571"/>
      <c r="B10358" s="500"/>
      <c r="C10358" s="860" t="s">
        <v>5970</v>
      </c>
      <c r="D10358" s="316" t="s">
        <v>4133</v>
      </c>
      <c r="E10358" s="664" t="n">
        <v>0.001</v>
      </c>
      <c r="F10358" s="617" t="n">
        <v>52300</v>
      </c>
      <c r="G10358" s="615" t="n">
        <f aca="false">E10358*F10358</f>
        <v>52.3</v>
      </c>
      <c r="H10358" s="606"/>
    </row>
    <row r="10359" customFormat="false" ht="15" hidden="false" customHeight="false" outlineLevel="0" collapsed="false">
      <c r="A10359" s="571"/>
      <c r="B10359" s="500"/>
      <c r="C10359" s="860" t="s">
        <v>5929</v>
      </c>
      <c r="D10359" s="316" t="s">
        <v>4133</v>
      </c>
      <c r="E10359" s="664" t="n">
        <v>0.001</v>
      </c>
      <c r="F10359" s="617" t="n">
        <v>60290</v>
      </c>
      <c r="G10359" s="615" t="n">
        <f aca="false">E10359*F10359</f>
        <v>60.29</v>
      </c>
      <c r="H10359" s="606"/>
    </row>
    <row r="10360" customFormat="false" ht="15" hidden="false" customHeight="false" outlineLevel="0" collapsed="false">
      <c r="A10360" s="571"/>
      <c r="B10360" s="500"/>
      <c r="C10360" s="860" t="s">
        <v>4202</v>
      </c>
      <c r="D10360" s="316" t="s">
        <v>4133</v>
      </c>
      <c r="E10360" s="661" t="n">
        <v>0.01</v>
      </c>
      <c r="F10360" s="617" t="n">
        <v>11154</v>
      </c>
      <c r="G10360" s="615" t="n">
        <f aca="false">E10360*F10360</f>
        <v>111.54</v>
      </c>
      <c r="H10360" s="912"/>
    </row>
    <row r="10361" customFormat="false" ht="15" hidden="false" customHeight="false" outlineLevel="0" collapsed="false">
      <c r="A10361" s="571"/>
      <c r="B10361" s="328"/>
      <c r="C10361" s="860" t="s">
        <v>4645</v>
      </c>
      <c r="D10361" s="316" t="s">
        <v>4133</v>
      </c>
      <c r="E10361" s="661" t="n">
        <v>0.01</v>
      </c>
      <c r="F10361" s="617" t="n">
        <v>15168</v>
      </c>
      <c r="G10361" s="615" t="n">
        <f aca="false">E10361*F10361</f>
        <v>151.68</v>
      </c>
      <c r="H10361" s="606"/>
    </row>
    <row r="10362" customFormat="false" ht="15" hidden="false" customHeight="false" outlineLevel="0" collapsed="false">
      <c r="A10362" s="571"/>
      <c r="B10362" s="500"/>
      <c r="C10362" s="860" t="s">
        <v>5971</v>
      </c>
      <c r="D10362" s="316" t="s">
        <v>4133</v>
      </c>
      <c r="E10362" s="661" t="n">
        <v>0.001</v>
      </c>
      <c r="F10362" s="617" t="n">
        <v>78382</v>
      </c>
      <c r="G10362" s="615" t="n">
        <f aca="false">E10362*F10362</f>
        <v>78.382</v>
      </c>
      <c r="H10362" s="606"/>
    </row>
    <row r="10363" customFormat="false" ht="15" hidden="false" customHeight="false" outlineLevel="0" collapsed="false">
      <c r="A10363" s="571"/>
      <c r="B10363" s="500"/>
      <c r="C10363" s="860" t="s">
        <v>4659</v>
      </c>
      <c r="D10363" s="316" t="s">
        <v>4133</v>
      </c>
      <c r="E10363" s="661" t="n">
        <v>0.01</v>
      </c>
      <c r="F10363" s="617" t="n">
        <v>17424</v>
      </c>
      <c r="G10363" s="615" t="n">
        <f aca="false">E10363*F10363</f>
        <v>174.24</v>
      </c>
      <c r="H10363" s="606"/>
    </row>
    <row r="10364" customFormat="false" ht="15" hidden="false" customHeight="false" outlineLevel="0" collapsed="false">
      <c r="A10364" s="571"/>
      <c r="B10364" s="500"/>
      <c r="C10364" s="860" t="s">
        <v>5972</v>
      </c>
      <c r="D10364" s="316" t="s">
        <v>4133</v>
      </c>
      <c r="E10364" s="661" t="n">
        <v>0.01</v>
      </c>
      <c r="F10364" s="617" t="n">
        <v>29809</v>
      </c>
      <c r="G10364" s="615" t="n">
        <f aca="false">E10364*F10364</f>
        <v>298.09</v>
      </c>
      <c r="H10364" s="606"/>
    </row>
    <row r="10365" customFormat="false" ht="15" hidden="false" customHeight="false" outlineLevel="0" collapsed="false">
      <c r="A10365" s="571"/>
      <c r="B10365" s="500"/>
      <c r="C10365" s="860" t="s">
        <v>4515</v>
      </c>
      <c r="D10365" s="316" t="s">
        <v>4133</v>
      </c>
      <c r="E10365" s="661" t="n">
        <v>0.15</v>
      </c>
      <c r="F10365" s="681" t="n">
        <v>350</v>
      </c>
      <c r="G10365" s="615" t="n">
        <f aca="false">E10365*F10365</f>
        <v>52.5</v>
      </c>
      <c r="H10365" s="606"/>
    </row>
    <row r="10366" customFormat="false" ht="15" hidden="false" customHeight="false" outlineLevel="0" collapsed="false">
      <c r="A10366" s="571"/>
      <c r="B10366" s="500"/>
      <c r="C10366" s="860" t="s">
        <v>5951</v>
      </c>
      <c r="D10366" s="316" t="s">
        <v>4133</v>
      </c>
      <c r="E10366" s="661" t="n">
        <v>0.01</v>
      </c>
      <c r="F10366" s="617" t="n">
        <v>7982</v>
      </c>
      <c r="G10366" s="615" t="n">
        <f aca="false">E10366*F10366</f>
        <v>79.82</v>
      </c>
      <c r="H10366" s="606"/>
    </row>
    <row r="10367" customFormat="false" ht="15" hidden="false" customHeight="false" outlineLevel="0" collapsed="false">
      <c r="A10367" s="571"/>
      <c r="B10367" s="500"/>
      <c r="C10367" s="860" t="s">
        <v>5973</v>
      </c>
      <c r="D10367" s="316" t="s">
        <v>4359</v>
      </c>
      <c r="E10367" s="664" t="n">
        <v>0.001</v>
      </c>
      <c r="F10367" s="617" t="n">
        <v>180000</v>
      </c>
      <c r="G10367" s="615" t="n">
        <f aca="false">E10367*F10367</f>
        <v>180</v>
      </c>
      <c r="H10367" s="912"/>
    </row>
    <row r="10368" customFormat="false" ht="15" hidden="false" customHeight="false" outlineLevel="0" collapsed="false">
      <c r="A10368" s="571"/>
      <c r="B10368" s="328"/>
      <c r="C10368" s="860" t="s">
        <v>5933</v>
      </c>
      <c r="D10368" s="316" t="s">
        <v>4359</v>
      </c>
      <c r="E10368" s="661" t="n">
        <v>0.001</v>
      </c>
      <c r="F10368" s="617" t="n">
        <v>26500</v>
      </c>
      <c r="G10368" s="615" t="n">
        <f aca="false">E10368*F10368</f>
        <v>26.5</v>
      </c>
      <c r="H10368" s="606"/>
    </row>
    <row r="10369" customFormat="false" ht="15" hidden="false" customHeight="false" outlineLevel="0" collapsed="false">
      <c r="A10369" s="571"/>
      <c r="B10369" s="500"/>
      <c r="C10369" s="860" t="s">
        <v>5974</v>
      </c>
      <c r="D10369" s="316" t="s">
        <v>4133</v>
      </c>
      <c r="E10369" s="664" t="n">
        <v>0.001</v>
      </c>
      <c r="F10369" s="617" t="n">
        <v>54600</v>
      </c>
      <c r="G10369" s="615" t="n">
        <f aca="false">E10369*F10369</f>
        <v>54.6</v>
      </c>
      <c r="H10369" s="606"/>
    </row>
    <row r="10370" customFormat="false" ht="15" hidden="false" customHeight="false" outlineLevel="0" collapsed="false">
      <c r="A10370" s="571"/>
      <c r="B10370" s="500"/>
      <c r="C10370" s="860" t="s">
        <v>5826</v>
      </c>
      <c r="D10370" s="316" t="s">
        <v>4191</v>
      </c>
      <c r="E10370" s="954" t="n">
        <v>0.01</v>
      </c>
      <c r="F10370" s="617" t="n">
        <v>366.25</v>
      </c>
      <c r="G10370" s="615" t="n">
        <f aca="false">E10370*F10370</f>
        <v>3.6625</v>
      </c>
      <c r="H10370" s="606"/>
    </row>
    <row r="10371" customFormat="false" ht="15" hidden="false" customHeight="false" outlineLevel="0" collapsed="false">
      <c r="A10371" s="571"/>
      <c r="B10371" s="500"/>
      <c r="C10371" s="860" t="s">
        <v>5975</v>
      </c>
      <c r="D10371" s="316" t="s">
        <v>4191</v>
      </c>
      <c r="E10371" s="660" t="n">
        <v>1</v>
      </c>
      <c r="F10371" s="617" t="n">
        <v>32</v>
      </c>
      <c r="G10371" s="615" t="n">
        <f aca="false">E10371*F10371</f>
        <v>32</v>
      </c>
      <c r="H10371" s="912"/>
    </row>
    <row r="10372" customFormat="false" ht="15" hidden="false" customHeight="false" outlineLevel="0" collapsed="false">
      <c r="A10372" s="571"/>
      <c r="B10372" s="328"/>
      <c r="C10372" s="860" t="s">
        <v>5820</v>
      </c>
      <c r="D10372" s="316" t="s">
        <v>4191</v>
      </c>
      <c r="E10372" s="954" t="n">
        <v>0.01</v>
      </c>
      <c r="F10372" s="617" t="n">
        <v>650</v>
      </c>
      <c r="G10372" s="615" t="n">
        <f aca="false">E10372*F10372</f>
        <v>6.5</v>
      </c>
      <c r="H10372" s="606"/>
    </row>
    <row r="10373" customFormat="false" ht="15" hidden="false" customHeight="false" outlineLevel="0" collapsed="false">
      <c r="A10373" s="571"/>
      <c r="B10373" s="500"/>
      <c r="C10373" s="860" t="s">
        <v>5962</v>
      </c>
      <c r="D10373" s="316" t="s">
        <v>4191</v>
      </c>
      <c r="E10373" s="660" t="n">
        <v>1</v>
      </c>
      <c r="F10373" s="617" t="n">
        <v>316.4</v>
      </c>
      <c r="G10373" s="615" t="n">
        <f aca="false">E10373*F10373</f>
        <v>316.4</v>
      </c>
      <c r="H10373" s="912"/>
    </row>
    <row r="10374" customFormat="false" ht="15" hidden="false" customHeight="false" outlineLevel="0" collapsed="false">
      <c r="A10374" s="571"/>
      <c r="B10374" s="608" t="s">
        <v>4128</v>
      </c>
      <c r="C10374" s="964"/>
      <c r="D10374" s="965"/>
      <c r="E10374" s="969"/>
      <c r="F10374" s="967"/>
      <c r="G10374" s="613" t="n">
        <f aca="false">SUM(G10351:G10373)</f>
        <v>2128.5541</v>
      </c>
      <c r="H10374" s="391"/>
    </row>
    <row r="10375" customFormat="false" ht="60" hidden="false" customHeight="false" outlineLevel="0" collapsed="false">
      <c r="A10375" s="571" t="s">
        <v>1995</v>
      </c>
      <c r="B10375" s="433" t="s">
        <v>3732</v>
      </c>
      <c r="C10375" s="860" t="s">
        <v>5874</v>
      </c>
      <c r="D10375" s="316" t="s">
        <v>4133</v>
      </c>
      <c r="E10375" s="664" t="n">
        <v>0.002</v>
      </c>
      <c r="F10375" s="617" t="n">
        <v>67687</v>
      </c>
      <c r="G10375" s="615" t="n">
        <f aca="false">E10375*F10375</f>
        <v>135.374</v>
      </c>
      <c r="H10375" s="606"/>
    </row>
    <row r="10376" customFormat="false" ht="30" hidden="false" customHeight="false" outlineLevel="0" collapsed="false">
      <c r="A10376" s="571"/>
      <c r="B10376" s="500"/>
      <c r="C10376" s="860" t="s">
        <v>5939</v>
      </c>
      <c r="D10376" s="316" t="s">
        <v>4359</v>
      </c>
      <c r="E10376" s="664" t="n">
        <v>0.002</v>
      </c>
      <c r="F10376" s="617" t="n">
        <v>26500</v>
      </c>
      <c r="G10376" s="615" t="n">
        <f aca="false">E10376*F10376</f>
        <v>53</v>
      </c>
      <c r="H10376" s="606"/>
    </row>
    <row r="10377" customFormat="false" ht="15" hidden="false" customHeight="false" outlineLevel="0" collapsed="false">
      <c r="A10377" s="571"/>
      <c r="B10377" s="500"/>
      <c r="C10377" s="860" t="s">
        <v>5958</v>
      </c>
      <c r="D10377" s="316" t="s">
        <v>4133</v>
      </c>
      <c r="E10377" s="664" t="n">
        <v>0.002</v>
      </c>
      <c r="F10377" s="617" t="n">
        <v>10500</v>
      </c>
      <c r="G10377" s="615" t="n">
        <f aca="false">E10377*F10377</f>
        <v>21</v>
      </c>
      <c r="H10377" s="606"/>
    </row>
    <row r="10378" customFormat="false" ht="15" hidden="false" customHeight="false" outlineLevel="0" collapsed="false">
      <c r="A10378" s="571"/>
      <c r="B10378" s="500"/>
      <c r="C10378" s="860" t="s">
        <v>5839</v>
      </c>
      <c r="D10378" s="316" t="s">
        <v>4133</v>
      </c>
      <c r="E10378" s="661" t="n">
        <v>0.02</v>
      </c>
      <c r="F10378" s="617" t="n">
        <v>7982</v>
      </c>
      <c r="G10378" s="615" t="n">
        <f aca="false">E10378*F10378</f>
        <v>159.64</v>
      </c>
      <c r="H10378" s="606"/>
    </row>
    <row r="10379" customFormat="false" ht="15" hidden="false" customHeight="false" outlineLevel="0" collapsed="false">
      <c r="A10379" s="571"/>
      <c r="B10379" s="500"/>
      <c r="C10379" s="860" t="s">
        <v>5976</v>
      </c>
      <c r="D10379" s="316" t="s">
        <v>4133</v>
      </c>
      <c r="E10379" s="661" t="n">
        <v>0.01</v>
      </c>
      <c r="F10379" s="617" t="n">
        <v>67386</v>
      </c>
      <c r="G10379" s="615" t="n">
        <f aca="false">E10379*F10379</f>
        <v>673.86</v>
      </c>
      <c r="H10379" s="606"/>
    </row>
    <row r="10380" customFormat="false" ht="15" hidden="false" customHeight="false" outlineLevel="0" collapsed="false">
      <c r="A10380" s="571"/>
      <c r="B10380" s="500"/>
      <c r="C10380" s="860" t="s">
        <v>5977</v>
      </c>
      <c r="D10380" s="316" t="s">
        <v>4359</v>
      </c>
      <c r="E10380" s="661" t="n">
        <v>0.001</v>
      </c>
      <c r="F10380" s="617" t="n">
        <v>68401</v>
      </c>
      <c r="G10380" s="615" t="n">
        <f aca="false">E10380*F10380</f>
        <v>68.401</v>
      </c>
      <c r="H10380" s="606"/>
    </row>
    <row r="10381" customFormat="false" ht="30" hidden="false" customHeight="false" outlineLevel="0" collapsed="false">
      <c r="A10381" s="571"/>
      <c r="B10381" s="500"/>
      <c r="C10381" s="860" t="s">
        <v>5978</v>
      </c>
      <c r="D10381" s="316" t="s">
        <v>4359</v>
      </c>
      <c r="E10381" s="664" t="n">
        <v>0.002</v>
      </c>
      <c r="F10381" s="617" t="n">
        <v>127369</v>
      </c>
      <c r="G10381" s="615" t="n">
        <f aca="false">E10381*F10381</f>
        <v>254.738</v>
      </c>
      <c r="H10381" s="606"/>
    </row>
    <row r="10382" customFormat="false" ht="15" hidden="false" customHeight="false" outlineLevel="0" collapsed="false">
      <c r="A10382" s="571"/>
      <c r="B10382" s="500"/>
      <c r="C10382" s="860" t="s">
        <v>5962</v>
      </c>
      <c r="D10382" s="316" t="s">
        <v>4191</v>
      </c>
      <c r="E10382" s="660" t="n">
        <v>1</v>
      </c>
      <c r="F10382" s="617" t="n">
        <v>316.4</v>
      </c>
      <c r="G10382" s="615" t="n">
        <f aca="false">E10382*F10382</f>
        <v>316.4</v>
      </c>
      <c r="H10382" s="606"/>
    </row>
    <row r="10383" customFormat="false" ht="15" hidden="false" customHeight="false" outlineLevel="0" collapsed="false">
      <c r="A10383" s="571"/>
      <c r="B10383" s="500"/>
      <c r="C10383" s="860" t="s">
        <v>5826</v>
      </c>
      <c r="D10383" s="316" t="s">
        <v>4191</v>
      </c>
      <c r="E10383" s="954" t="n">
        <v>0.01</v>
      </c>
      <c r="F10383" s="617" t="n">
        <v>366.25</v>
      </c>
      <c r="G10383" s="615" t="n">
        <f aca="false">E10383*F10383</f>
        <v>3.6625</v>
      </c>
      <c r="H10383" s="912"/>
    </row>
    <row r="10384" customFormat="false" ht="15" hidden="false" customHeight="false" outlineLevel="0" collapsed="false">
      <c r="A10384" s="571"/>
      <c r="B10384" s="500"/>
      <c r="C10384" s="860" t="s">
        <v>5927</v>
      </c>
      <c r="D10384" s="316" t="s">
        <v>4191</v>
      </c>
      <c r="E10384" s="660" t="n">
        <v>1</v>
      </c>
      <c r="F10384" s="617" t="n">
        <v>32</v>
      </c>
      <c r="G10384" s="615" t="n">
        <f aca="false">E10384*F10384</f>
        <v>32</v>
      </c>
      <c r="H10384" s="606"/>
    </row>
    <row r="10385" customFormat="false" ht="15" hidden="false" customHeight="false" outlineLevel="0" collapsed="false">
      <c r="A10385" s="571"/>
      <c r="B10385" s="500"/>
      <c r="C10385" s="860" t="s">
        <v>5820</v>
      </c>
      <c r="D10385" s="316" t="s">
        <v>4191</v>
      </c>
      <c r="E10385" s="954" t="n">
        <v>0.01</v>
      </c>
      <c r="F10385" s="617" t="n">
        <v>650</v>
      </c>
      <c r="G10385" s="615" t="n">
        <f aca="false">E10385*F10385</f>
        <v>6.5</v>
      </c>
      <c r="H10385" s="912"/>
    </row>
    <row r="10386" customFormat="false" ht="15" hidden="false" customHeight="false" outlineLevel="0" collapsed="false">
      <c r="A10386" s="571"/>
      <c r="B10386" s="328"/>
      <c r="C10386" s="860" t="s">
        <v>5961</v>
      </c>
      <c r="D10386" s="316" t="s">
        <v>4528</v>
      </c>
      <c r="E10386" s="661" t="n">
        <v>0.002</v>
      </c>
      <c r="F10386" s="617" t="n">
        <v>82115</v>
      </c>
      <c r="G10386" s="615" t="n">
        <f aca="false">E10386*F10386</f>
        <v>164.23</v>
      </c>
      <c r="H10386" s="606"/>
    </row>
    <row r="10387" customFormat="false" ht="15" hidden="false" customHeight="false" outlineLevel="0" collapsed="false">
      <c r="A10387" s="571"/>
      <c r="B10387" s="500"/>
      <c r="C10387" s="860" t="s">
        <v>4515</v>
      </c>
      <c r="D10387" s="316" t="s">
        <v>4133</v>
      </c>
      <c r="E10387" s="661" t="n">
        <v>0.2</v>
      </c>
      <c r="F10387" s="681" t="n">
        <v>350</v>
      </c>
      <c r="G10387" s="615" t="n">
        <f aca="false">E10387*F10387</f>
        <v>70</v>
      </c>
      <c r="H10387" s="606"/>
    </row>
    <row r="10388" customFormat="false" ht="15" hidden="false" customHeight="false" outlineLevel="0" collapsed="false">
      <c r="A10388" s="571"/>
      <c r="B10388" s="608" t="s">
        <v>4128</v>
      </c>
      <c r="C10388" s="964"/>
      <c r="D10388" s="965"/>
      <c r="E10388" s="969"/>
      <c r="F10388" s="967"/>
      <c r="G10388" s="613" t="n">
        <f aca="false">SUM(G10375:G10387)</f>
        <v>1958.8055</v>
      </c>
      <c r="H10388" s="391"/>
    </row>
    <row r="10389" customFormat="false" ht="60" hidden="false" customHeight="false" outlineLevel="0" collapsed="false">
      <c r="A10389" s="571" t="s">
        <v>1997</v>
      </c>
      <c r="B10389" s="433" t="s">
        <v>3733</v>
      </c>
      <c r="C10389" s="860" t="s">
        <v>5979</v>
      </c>
      <c r="D10389" s="316" t="s">
        <v>4133</v>
      </c>
      <c r="E10389" s="664" t="n">
        <v>0.001</v>
      </c>
      <c r="F10389" s="617" t="n">
        <v>76258</v>
      </c>
      <c r="G10389" s="615" t="n">
        <f aca="false">E10389*F10389</f>
        <v>76.258</v>
      </c>
      <c r="H10389" s="606"/>
    </row>
    <row r="10390" customFormat="false" ht="15" hidden="false" customHeight="false" outlineLevel="0" collapsed="false">
      <c r="A10390" s="571"/>
      <c r="B10390" s="500"/>
      <c r="C10390" s="860" t="s">
        <v>5980</v>
      </c>
      <c r="D10390" s="316" t="s">
        <v>4133</v>
      </c>
      <c r="E10390" s="664" t="n">
        <v>0.01</v>
      </c>
      <c r="F10390" s="617" t="n">
        <v>37500</v>
      </c>
      <c r="G10390" s="615" t="n">
        <f aca="false">E10390*F10390</f>
        <v>375</v>
      </c>
      <c r="H10390" s="606"/>
    </row>
    <row r="10391" customFormat="false" ht="15" hidden="false" customHeight="false" outlineLevel="0" collapsed="false">
      <c r="A10391" s="571"/>
      <c r="B10391" s="500"/>
      <c r="C10391" s="860" t="s">
        <v>5950</v>
      </c>
      <c r="D10391" s="316" t="s">
        <v>4133</v>
      </c>
      <c r="E10391" s="664" t="n">
        <v>0.001</v>
      </c>
      <c r="F10391" s="617" t="n">
        <v>80176</v>
      </c>
      <c r="G10391" s="615" t="n">
        <f aca="false">E10391*F10391</f>
        <v>80.176</v>
      </c>
      <c r="H10391" s="606"/>
    </row>
    <row r="10392" customFormat="false" ht="15" hidden="false" customHeight="false" outlineLevel="0" collapsed="false">
      <c r="A10392" s="571"/>
      <c r="B10392" s="500"/>
      <c r="C10392" s="860" t="s">
        <v>5839</v>
      </c>
      <c r="D10392" s="316" t="s">
        <v>4133</v>
      </c>
      <c r="E10392" s="664" t="n">
        <v>0.001</v>
      </c>
      <c r="F10392" s="617" t="n">
        <v>7982</v>
      </c>
      <c r="G10392" s="615" t="n">
        <f aca="false">E10392*F10392</f>
        <v>7.982</v>
      </c>
      <c r="H10392" s="606"/>
    </row>
    <row r="10393" customFormat="false" ht="15" hidden="false" customHeight="false" outlineLevel="0" collapsed="false">
      <c r="A10393" s="571"/>
      <c r="B10393" s="500"/>
      <c r="C10393" s="860" t="s">
        <v>5958</v>
      </c>
      <c r="D10393" s="316" t="s">
        <v>4133</v>
      </c>
      <c r="E10393" s="664" t="n">
        <v>0.01</v>
      </c>
      <c r="F10393" s="617" t="n">
        <v>10500</v>
      </c>
      <c r="G10393" s="615" t="n">
        <f aca="false">E10393*F10393</f>
        <v>105</v>
      </c>
      <c r="H10393" s="912"/>
    </row>
    <row r="10394" customFormat="false" ht="15" hidden="false" customHeight="false" outlineLevel="0" collapsed="false">
      <c r="A10394" s="571"/>
      <c r="B10394" s="328"/>
      <c r="C10394" s="860" t="s">
        <v>5818</v>
      </c>
      <c r="D10394" s="316" t="s">
        <v>4133</v>
      </c>
      <c r="E10394" s="664" t="n">
        <v>0.001</v>
      </c>
      <c r="F10394" s="617" t="n">
        <v>67687</v>
      </c>
      <c r="G10394" s="615" t="n">
        <f aca="false">E10394*F10394</f>
        <v>67.687</v>
      </c>
      <c r="H10394" s="606"/>
    </row>
    <row r="10395" customFormat="false" ht="15" hidden="false" customHeight="false" outlineLevel="0" collapsed="false">
      <c r="A10395" s="571"/>
      <c r="B10395" s="500"/>
      <c r="C10395" s="860" t="s">
        <v>5953</v>
      </c>
      <c r="D10395" s="316" t="s">
        <v>4133</v>
      </c>
      <c r="E10395" s="661" t="n">
        <v>0.003</v>
      </c>
      <c r="F10395" s="617" t="n">
        <v>158202</v>
      </c>
      <c r="G10395" s="615" t="n">
        <f aca="false">E10395*F10395</f>
        <v>474.606</v>
      </c>
      <c r="H10395" s="606"/>
    </row>
    <row r="10396" customFormat="false" ht="15" hidden="false" customHeight="false" outlineLevel="0" collapsed="false">
      <c r="A10396" s="571"/>
      <c r="B10396" s="500"/>
      <c r="C10396" s="860" t="s">
        <v>5826</v>
      </c>
      <c r="D10396" s="316" t="s">
        <v>4191</v>
      </c>
      <c r="E10396" s="954" t="n">
        <v>0.01</v>
      </c>
      <c r="F10396" s="617" t="n">
        <v>366.25</v>
      </c>
      <c r="G10396" s="615" t="n">
        <f aca="false">E10396*F10396</f>
        <v>3.6625</v>
      </c>
      <c r="H10396" s="606"/>
    </row>
    <row r="10397" customFormat="false" ht="15" hidden="false" customHeight="false" outlineLevel="0" collapsed="false">
      <c r="A10397" s="571"/>
      <c r="B10397" s="500"/>
      <c r="C10397" s="860" t="s">
        <v>5961</v>
      </c>
      <c r="D10397" s="316" t="s">
        <v>4359</v>
      </c>
      <c r="E10397" s="664" t="n">
        <v>0.001</v>
      </c>
      <c r="F10397" s="617" t="n">
        <v>82115</v>
      </c>
      <c r="G10397" s="615" t="n">
        <f aca="false">E10397*F10397</f>
        <v>82.115</v>
      </c>
      <c r="H10397" s="606"/>
    </row>
    <row r="10398" customFormat="false" ht="15" hidden="false" customHeight="false" outlineLevel="0" collapsed="false">
      <c r="A10398" s="571"/>
      <c r="B10398" s="500"/>
      <c r="C10398" s="860" t="s">
        <v>5962</v>
      </c>
      <c r="D10398" s="316" t="s">
        <v>4191</v>
      </c>
      <c r="E10398" s="660" t="n">
        <v>1</v>
      </c>
      <c r="F10398" s="617" t="n">
        <v>316.4</v>
      </c>
      <c r="G10398" s="615" t="n">
        <f aca="false">E10398*F10398</f>
        <v>316.4</v>
      </c>
      <c r="H10398" s="912"/>
    </row>
    <row r="10399" customFormat="false" ht="15" hidden="false" customHeight="false" outlineLevel="0" collapsed="false">
      <c r="A10399" s="571"/>
      <c r="B10399" s="328"/>
      <c r="C10399" s="860" t="s">
        <v>5927</v>
      </c>
      <c r="D10399" s="316" t="s">
        <v>4191</v>
      </c>
      <c r="E10399" s="660" t="n">
        <v>1</v>
      </c>
      <c r="F10399" s="617" t="n">
        <v>32</v>
      </c>
      <c r="G10399" s="615" t="n">
        <f aca="false">E10399*F10399</f>
        <v>32</v>
      </c>
      <c r="H10399" s="606"/>
    </row>
    <row r="10400" customFormat="false" ht="15" hidden="false" customHeight="false" outlineLevel="0" collapsed="false">
      <c r="A10400" s="571"/>
      <c r="B10400" s="500"/>
      <c r="C10400" s="860" t="s">
        <v>5820</v>
      </c>
      <c r="D10400" s="316" t="s">
        <v>4191</v>
      </c>
      <c r="E10400" s="954" t="n">
        <v>0.01</v>
      </c>
      <c r="F10400" s="617" t="n">
        <v>650</v>
      </c>
      <c r="G10400" s="615" t="n">
        <f aca="false">E10400*F10400</f>
        <v>6.5</v>
      </c>
      <c r="H10400" s="606"/>
    </row>
    <row r="10401" customFormat="false" ht="15" hidden="false" customHeight="false" outlineLevel="0" collapsed="false">
      <c r="A10401" s="571"/>
      <c r="B10401" s="500"/>
      <c r="C10401" s="860" t="s">
        <v>4515</v>
      </c>
      <c r="D10401" s="316" t="s">
        <v>4133</v>
      </c>
      <c r="E10401" s="661" t="n">
        <v>0.1</v>
      </c>
      <c r="F10401" s="681" t="n">
        <v>350</v>
      </c>
      <c r="G10401" s="615" t="n">
        <f aca="false">E10401*F10401</f>
        <v>35</v>
      </c>
      <c r="H10401" s="606"/>
    </row>
    <row r="10402" customFormat="false" ht="15" hidden="false" customHeight="false" outlineLevel="0" collapsed="false">
      <c r="A10402" s="571"/>
      <c r="B10402" s="608" t="s">
        <v>4128</v>
      </c>
      <c r="C10402" s="964"/>
      <c r="D10402" s="965"/>
      <c r="E10402" s="969"/>
      <c r="F10402" s="967"/>
      <c r="G10402" s="613" t="n">
        <f aca="false">SUM(G10389:G10401)</f>
        <v>1662.3865</v>
      </c>
      <c r="H10402" s="391"/>
    </row>
    <row r="10403" customFormat="false" ht="45" hidden="false" customHeight="false" outlineLevel="0" collapsed="false">
      <c r="A10403" s="571" t="s">
        <v>1999</v>
      </c>
      <c r="B10403" s="433" t="s">
        <v>3734</v>
      </c>
      <c r="C10403" s="860" t="s">
        <v>5981</v>
      </c>
      <c r="D10403" s="316" t="s">
        <v>4133</v>
      </c>
      <c r="E10403" s="664" t="n">
        <v>0.005</v>
      </c>
      <c r="F10403" s="617" t="n">
        <v>67687</v>
      </c>
      <c r="G10403" s="615" t="n">
        <f aca="false">E10403*F10403</f>
        <v>338.435</v>
      </c>
      <c r="H10403" s="606"/>
    </row>
    <row r="10404" customFormat="false" ht="30" hidden="false" customHeight="false" outlineLevel="0" collapsed="false">
      <c r="A10404" s="571"/>
      <c r="B10404" s="500"/>
      <c r="C10404" s="860" t="s">
        <v>5982</v>
      </c>
      <c r="D10404" s="316" t="s">
        <v>4133</v>
      </c>
      <c r="E10404" s="664" t="n">
        <v>0.005</v>
      </c>
      <c r="F10404" s="617" t="n">
        <v>42290</v>
      </c>
      <c r="G10404" s="615" t="n">
        <f aca="false">E10404*F10404</f>
        <v>211.45</v>
      </c>
      <c r="H10404" s="606"/>
    </row>
    <row r="10405" customFormat="false" ht="15" hidden="false" customHeight="false" outlineLevel="0" collapsed="false">
      <c r="A10405" s="571"/>
      <c r="B10405" s="500"/>
      <c r="C10405" s="860" t="s">
        <v>5958</v>
      </c>
      <c r="D10405" s="316" t="s">
        <v>4133</v>
      </c>
      <c r="E10405" s="664" t="n">
        <v>0.01</v>
      </c>
      <c r="F10405" s="617" t="n">
        <v>10500</v>
      </c>
      <c r="G10405" s="615" t="n">
        <f aca="false">E10405*F10405</f>
        <v>105</v>
      </c>
      <c r="H10405" s="606"/>
    </row>
    <row r="10406" customFormat="false" ht="15" hidden="false" customHeight="false" outlineLevel="0" collapsed="false">
      <c r="A10406" s="571"/>
      <c r="B10406" s="500"/>
      <c r="C10406" s="860" t="s">
        <v>5839</v>
      </c>
      <c r="D10406" s="316" t="s">
        <v>4133</v>
      </c>
      <c r="E10406" s="664" t="n">
        <v>0.01</v>
      </c>
      <c r="F10406" s="617" t="n">
        <v>7982</v>
      </c>
      <c r="G10406" s="615" t="n">
        <f aca="false">E10406*F10406</f>
        <v>79.82</v>
      </c>
      <c r="H10406" s="606"/>
    </row>
    <row r="10407" customFormat="false" ht="15" hidden="false" customHeight="false" outlineLevel="0" collapsed="false">
      <c r="A10407" s="571"/>
      <c r="B10407" s="500"/>
      <c r="C10407" s="860" t="s">
        <v>5983</v>
      </c>
      <c r="D10407" s="316" t="s">
        <v>4133</v>
      </c>
      <c r="E10407" s="664" t="n">
        <v>0.009</v>
      </c>
      <c r="F10407" s="617" t="n">
        <v>90000</v>
      </c>
      <c r="G10407" s="615" t="n">
        <f aca="false">E10407*F10407</f>
        <v>810</v>
      </c>
      <c r="H10407" s="606"/>
    </row>
    <row r="10408" customFormat="false" ht="15" hidden="false" customHeight="false" outlineLevel="0" collapsed="false">
      <c r="A10408" s="571"/>
      <c r="B10408" s="500"/>
      <c r="C10408" s="860" t="s">
        <v>5984</v>
      </c>
      <c r="D10408" s="316" t="s">
        <v>4133</v>
      </c>
      <c r="E10408" s="664" t="n">
        <v>0.001</v>
      </c>
      <c r="F10408" s="617" t="n">
        <v>10500</v>
      </c>
      <c r="G10408" s="615" t="n">
        <f aca="false">E10408*F10408</f>
        <v>10.5</v>
      </c>
      <c r="H10408" s="606"/>
    </row>
    <row r="10409" customFormat="false" ht="15" hidden="false" customHeight="false" outlineLevel="0" collapsed="false">
      <c r="A10409" s="571"/>
      <c r="B10409" s="500"/>
      <c r="C10409" s="860" t="s">
        <v>5959</v>
      </c>
      <c r="D10409" s="316" t="s">
        <v>4133</v>
      </c>
      <c r="E10409" s="664" t="n">
        <v>0.001</v>
      </c>
      <c r="F10409" s="617" t="n">
        <v>48840</v>
      </c>
      <c r="G10409" s="615" t="n">
        <f aca="false">E10409*F10409</f>
        <v>48.84</v>
      </c>
      <c r="H10409" s="606"/>
    </row>
    <row r="10410" customFormat="false" ht="15" hidden="false" customHeight="false" outlineLevel="0" collapsed="false">
      <c r="A10410" s="571"/>
      <c r="B10410" s="500"/>
      <c r="C10410" s="860" t="s">
        <v>5848</v>
      </c>
      <c r="D10410" s="316" t="s">
        <v>4359</v>
      </c>
      <c r="E10410" s="664" t="n">
        <v>0.001</v>
      </c>
      <c r="F10410" s="617" t="n">
        <v>10500</v>
      </c>
      <c r="G10410" s="615" t="n">
        <f aca="false">E10410*F10410</f>
        <v>10.5</v>
      </c>
      <c r="H10410" s="606"/>
    </row>
    <row r="10411" customFormat="false" ht="15" hidden="false" customHeight="false" outlineLevel="0" collapsed="false">
      <c r="A10411" s="571"/>
      <c r="B10411" s="500"/>
      <c r="C10411" s="860" t="s">
        <v>5985</v>
      </c>
      <c r="D10411" s="316" t="s">
        <v>5847</v>
      </c>
      <c r="E10411" s="664" t="n">
        <v>0.001</v>
      </c>
      <c r="F10411" s="617" t="n">
        <v>10500</v>
      </c>
      <c r="G10411" s="615" t="n">
        <f aca="false">E10411*F10411</f>
        <v>10.5</v>
      </c>
      <c r="H10411" s="606"/>
    </row>
    <row r="10412" customFormat="false" ht="15" hidden="false" customHeight="false" outlineLevel="0" collapsed="false">
      <c r="A10412" s="571"/>
      <c r="B10412" s="500"/>
      <c r="C10412" s="860" t="s">
        <v>5986</v>
      </c>
      <c r="D10412" s="316" t="s">
        <v>4359</v>
      </c>
      <c r="E10412" s="664" t="n">
        <v>0.001</v>
      </c>
      <c r="F10412" s="617" t="n">
        <v>10500</v>
      </c>
      <c r="G10412" s="615" t="n">
        <f aca="false">E10412*F10412</f>
        <v>10.5</v>
      </c>
      <c r="H10412" s="606"/>
    </row>
    <row r="10413" customFormat="false" ht="15" hidden="false" customHeight="false" outlineLevel="0" collapsed="false">
      <c r="A10413" s="571"/>
      <c r="B10413" s="500"/>
      <c r="C10413" s="860" t="s">
        <v>5961</v>
      </c>
      <c r="D10413" s="316" t="s">
        <v>4359</v>
      </c>
      <c r="E10413" s="664" t="n">
        <v>0.001</v>
      </c>
      <c r="F10413" s="617" t="n">
        <v>82115</v>
      </c>
      <c r="G10413" s="615" t="n">
        <f aca="false">E10413*F10413</f>
        <v>82.115</v>
      </c>
      <c r="H10413" s="912"/>
    </row>
    <row r="10414" customFormat="false" ht="15" hidden="false" customHeight="false" outlineLevel="0" collapsed="false">
      <c r="A10414" s="571"/>
      <c r="B10414" s="328"/>
      <c r="C10414" s="860" t="s">
        <v>5962</v>
      </c>
      <c r="D10414" s="316" t="s">
        <v>4191</v>
      </c>
      <c r="E10414" s="660" t="n">
        <v>1</v>
      </c>
      <c r="F10414" s="617" t="n">
        <v>316.4</v>
      </c>
      <c r="G10414" s="615" t="n">
        <f aca="false">E10414*F10414</f>
        <v>316.4</v>
      </c>
      <c r="H10414" s="606"/>
    </row>
    <row r="10415" customFormat="false" ht="15" hidden="false" customHeight="false" outlineLevel="0" collapsed="false">
      <c r="A10415" s="571"/>
      <c r="B10415" s="500"/>
      <c r="C10415" s="860" t="s">
        <v>5826</v>
      </c>
      <c r="D10415" s="316" t="s">
        <v>4191</v>
      </c>
      <c r="E10415" s="954" t="n">
        <v>0.01</v>
      </c>
      <c r="F10415" s="617" t="n">
        <v>366.25</v>
      </c>
      <c r="G10415" s="615" t="n">
        <f aca="false">E10415*F10415</f>
        <v>3.6625</v>
      </c>
      <c r="H10415" s="606"/>
    </row>
    <row r="10416" customFormat="false" ht="15" hidden="false" customHeight="false" outlineLevel="0" collapsed="false">
      <c r="A10416" s="571"/>
      <c r="B10416" s="500"/>
      <c r="C10416" s="860" t="s">
        <v>5927</v>
      </c>
      <c r="D10416" s="316" t="s">
        <v>4191</v>
      </c>
      <c r="E10416" s="660" t="n">
        <v>1</v>
      </c>
      <c r="F10416" s="617" t="n">
        <v>32</v>
      </c>
      <c r="G10416" s="615" t="n">
        <f aca="false">E10416*F10416</f>
        <v>32</v>
      </c>
      <c r="H10416" s="606"/>
    </row>
    <row r="10417" customFormat="false" ht="15" hidden="false" customHeight="false" outlineLevel="0" collapsed="false">
      <c r="A10417" s="571"/>
      <c r="B10417" s="500"/>
      <c r="C10417" s="860" t="s">
        <v>5820</v>
      </c>
      <c r="D10417" s="316" t="s">
        <v>4191</v>
      </c>
      <c r="E10417" s="954" t="n">
        <v>0.01</v>
      </c>
      <c r="F10417" s="617" t="n">
        <v>650</v>
      </c>
      <c r="G10417" s="615" t="n">
        <f aca="false">E10417*F10417</f>
        <v>6.5</v>
      </c>
      <c r="H10417" s="606"/>
    </row>
    <row r="10418" customFormat="false" ht="15" hidden="false" customHeight="false" outlineLevel="0" collapsed="false">
      <c r="A10418" s="571"/>
      <c r="B10418" s="500"/>
      <c r="C10418" s="860" t="s">
        <v>5829</v>
      </c>
      <c r="D10418" s="316" t="s">
        <v>4191</v>
      </c>
      <c r="E10418" s="958" t="n">
        <v>0.01</v>
      </c>
      <c r="F10418" s="617" t="n">
        <v>3250</v>
      </c>
      <c r="G10418" s="615" t="n">
        <f aca="false">E10418*F10418</f>
        <v>32.5</v>
      </c>
      <c r="H10418" s="606"/>
    </row>
    <row r="10419" customFormat="false" ht="15" hidden="false" customHeight="false" outlineLevel="0" collapsed="false">
      <c r="A10419" s="571"/>
      <c r="B10419" s="500"/>
      <c r="C10419" s="860" t="s">
        <v>4515</v>
      </c>
      <c r="D10419" s="316" t="s">
        <v>4133</v>
      </c>
      <c r="E10419" s="661" t="n">
        <v>0.1</v>
      </c>
      <c r="F10419" s="617" t="n">
        <v>350</v>
      </c>
      <c r="G10419" s="615" t="n">
        <f aca="false">E10419*F10419</f>
        <v>35</v>
      </c>
      <c r="H10419" s="606"/>
    </row>
    <row r="10420" customFormat="false" ht="15" hidden="false" customHeight="false" outlineLevel="0" collapsed="false">
      <c r="A10420" s="571"/>
      <c r="B10420" s="608"/>
      <c r="C10420" s="964"/>
      <c r="D10420" s="965"/>
      <c r="E10420" s="969"/>
      <c r="F10420" s="967"/>
      <c r="G10420" s="613" t="n">
        <f aca="false">SUM(G10403:G10419)</f>
        <v>2143.7225</v>
      </c>
      <c r="H10420" s="391"/>
    </row>
    <row r="10421" customFormat="false" ht="45" hidden="false" customHeight="false" outlineLevel="0" collapsed="false">
      <c r="A10421" s="571" t="s">
        <v>2001</v>
      </c>
      <c r="B10421" s="433" t="s">
        <v>3735</v>
      </c>
      <c r="C10421" s="860" t="s">
        <v>5987</v>
      </c>
      <c r="D10421" s="316" t="s">
        <v>4133</v>
      </c>
      <c r="E10421" s="664" t="n">
        <v>0.001</v>
      </c>
      <c r="F10421" s="617" t="n">
        <v>203735</v>
      </c>
      <c r="G10421" s="615" t="n">
        <f aca="false">E10421*F10421</f>
        <v>203.735</v>
      </c>
      <c r="H10421" s="606"/>
    </row>
    <row r="10422" customFormat="false" ht="15" hidden="false" customHeight="false" outlineLevel="0" collapsed="false">
      <c r="A10422" s="571"/>
      <c r="B10422" s="500"/>
      <c r="C10422" s="860" t="s">
        <v>5958</v>
      </c>
      <c r="D10422" s="316" t="s">
        <v>4133</v>
      </c>
      <c r="E10422" s="664" t="n">
        <v>0.001</v>
      </c>
      <c r="F10422" s="617" t="n">
        <v>10500</v>
      </c>
      <c r="G10422" s="615" t="n">
        <f aca="false">E10422*F10422</f>
        <v>10.5</v>
      </c>
      <c r="H10422" s="606"/>
    </row>
    <row r="10423" customFormat="false" ht="15" hidden="false" customHeight="false" outlineLevel="0" collapsed="false">
      <c r="A10423" s="571"/>
      <c r="B10423" s="500"/>
      <c r="C10423" s="860" t="s">
        <v>5856</v>
      </c>
      <c r="D10423" s="316" t="s">
        <v>4359</v>
      </c>
      <c r="E10423" s="664" t="n">
        <v>0.001</v>
      </c>
      <c r="F10423" s="617" t="n">
        <v>168481</v>
      </c>
      <c r="G10423" s="615" t="n">
        <f aca="false">E10423*F10423</f>
        <v>168.481</v>
      </c>
      <c r="H10423" s="606"/>
    </row>
    <row r="10424" customFormat="false" ht="15" hidden="false" customHeight="false" outlineLevel="0" collapsed="false">
      <c r="A10424" s="571"/>
      <c r="B10424" s="500"/>
      <c r="C10424" s="860" t="s">
        <v>5818</v>
      </c>
      <c r="D10424" s="316" t="s">
        <v>4133</v>
      </c>
      <c r="E10424" s="664" t="n">
        <v>0.001</v>
      </c>
      <c r="F10424" s="617" t="n">
        <v>67687</v>
      </c>
      <c r="G10424" s="615" t="n">
        <f aca="false">E10424*F10424</f>
        <v>67.687</v>
      </c>
      <c r="H10424" s="606"/>
    </row>
    <row r="10425" customFormat="false" ht="15" hidden="false" customHeight="false" outlineLevel="0" collapsed="false">
      <c r="A10425" s="571"/>
      <c r="B10425" s="500"/>
      <c r="C10425" s="860" t="s">
        <v>5961</v>
      </c>
      <c r="D10425" s="316" t="s">
        <v>4359</v>
      </c>
      <c r="E10425" s="664" t="n">
        <v>0.001</v>
      </c>
      <c r="F10425" s="617" t="n">
        <v>82115</v>
      </c>
      <c r="G10425" s="615" t="n">
        <f aca="false">E10425*F10425</f>
        <v>82.115</v>
      </c>
      <c r="H10425" s="606"/>
    </row>
    <row r="10426" customFormat="false" ht="15" hidden="false" customHeight="false" outlineLevel="0" collapsed="false">
      <c r="A10426" s="571"/>
      <c r="B10426" s="500"/>
      <c r="C10426" s="860" t="s">
        <v>5962</v>
      </c>
      <c r="D10426" s="316" t="s">
        <v>4191</v>
      </c>
      <c r="E10426" s="660" t="n">
        <v>1</v>
      </c>
      <c r="F10426" s="617" t="n">
        <v>316.4</v>
      </c>
      <c r="G10426" s="615" t="n">
        <f aca="false">E10426*F10426</f>
        <v>316.4</v>
      </c>
      <c r="H10426" s="606"/>
    </row>
    <row r="10427" customFormat="false" ht="15" hidden="false" customHeight="false" outlineLevel="0" collapsed="false">
      <c r="A10427" s="571"/>
      <c r="B10427" s="500"/>
      <c r="C10427" s="860" t="s">
        <v>5826</v>
      </c>
      <c r="D10427" s="316" t="s">
        <v>4191</v>
      </c>
      <c r="E10427" s="954" t="n">
        <v>0.01</v>
      </c>
      <c r="F10427" s="617" t="n">
        <v>366.25</v>
      </c>
      <c r="G10427" s="615" t="n">
        <f aca="false">E10427*F10427</f>
        <v>3.6625</v>
      </c>
      <c r="H10427" s="606"/>
    </row>
    <row r="10428" customFormat="false" ht="15" hidden="false" customHeight="false" outlineLevel="0" collapsed="false">
      <c r="A10428" s="571"/>
      <c r="B10428" s="500"/>
      <c r="C10428" s="860" t="s">
        <v>5927</v>
      </c>
      <c r="D10428" s="316" t="s">
        <v>4191</v>
      </c>
      <c r="E10428" s="660" t="n">
        <v>1</v>
      </c>
      <c r="F10428" s="617" t="n">
        <v>32</v>
      </c>
      <c r="G10428" s="615" t="n">
        <f aca="false">E10428*F10428</f>
        <v>32</v>
      </c>
      <c r="H10428" s="912"/>
    </row>
    <row r="10429" customFormat="false" ht="15" hidden="false" customHeight="false" outlineLevel="0" collapsed="false">
      <c r="A10429" s="571"/>
      <c r="B10429" s="328"/>
      <c r="C10429" s="860" t="s">
        <v>5820</v>
      </c>
      <c r="D10429" s="316" t="s">
        <v>4191</v>
      </c>
      <c r="E10429" s="954" t="n">
        <v>0.01</v>
      </c>
      <c r="F10429" s="617" t="n">
        <v>650</v>
      </c>
      <c r="G10429" s="615" t="n">
        <f aca="false">E10429*F10429</f>
        <v>6.5</v>
      </c>
      <c r="H10429" s="606"/>
    </row>
    <row r="10430" customFormat="false" ht="15" hidden="false" customHeight="false" outlineLevel="0" collapsed="false">
      <c r="A10430" s="571"/>
      <c r="B10430" s="500"/>
      <c r="C10430" s="860" t="s">
        <v>5988</v>
      </c>
      <c r="D10430" s="316" t="s">
        <v>4359</v>
      </c>
      <c r="E10430" s="661" t="n">
        <v>0.003</v>
      </c>
      <c r="F10430" s="617" t="n">
        <v>175794</v>
      </c>
      <c r="G10430" s="615" t="n">
        <f aca="false">E10430*F10430</f>
        <v>527.382</v>
      </c>
      <c r="H10430" s="606"/>
    </row>
    <row r="10431" customFormat="false" ht="15" hidden="false" customHeight="false" outlineLevel="0" collapsed="false">
      <c r="A10431" s="571"/>
      <c r="B10431" s="608" t="s">
        <v>4128</v>
      </c>
      <c r="C10431" s="709"/>
      <c r="D10431" s="606"/>
      <c r="E10431" s="622"/>
      <c r="F10431" s="361"/>
      <c r="G10431" s="613" t="n">
        <f aca="false">SUM(G10421:G10430)</f>
        <v>1418.4625</v>
      </c>
      <c r="H10431" s="391"/>
    </row>
    <row r="10432" customFormat="false" ht="45" hidden="false" customHeight="false" outlineLevel="0" collapsed="false">
      <c r="A10432" s="571" t="s">
        <v>2003</v>
      </c>
      <c r="B10432" s="433" t="s">
        <v>3736</v>
      </c>
      <c r="C10432" s="860" t="s">
        <v>5981</v>
      </c>
      <c r="D10432" s="316" t="s">
        <v>4133</v>
      </c>
      <c r="E10432" s="661" t="n">
        <v>0.005</v>
      </c>
      <c r="F10432" s="617" t="n">
        <v>67687</v>
      </c>
      <c r="G10432" s="615" t="n">
        <f aca="false">E10432*F10432</f>
        <v>338.435</v>
      </c>
      <c r="H10432" s="606"/>
    </row>
    <row r="10433" customFormat="false" ht="15" hidden="false" customHeight="false" outlineLevel="0" collapsed="false">
      <c r="A10433" s="571"/>
      <c r="B10433" s="500"/>
      <c r="C10433" s="860" t="s">
        <v>5836</v>
      </c>
      <c r="D10433" s="316" t="s">
        <v>4133</v>
      </c>
      <c r="E10433" s="661" t="n">
        <v>0.005</v>
      </c>
      <c r="F10433" s="617" t="n">
        <v>10500</v>
      </c>
      <c r="G10433" s="615" t="n">
        <f aca="false">E10433*F10433</f>
        <v>52.5</v>
      </c>
      <c r="H10433" s="606"/>
    </row>
    <row r="10434" customFormat="false" ht="15" hidden="false" customHeight="false" outlineLevel="0" collapsed="false">
      <c r="A10434" s="571"/>
      <c r="B10434" s="500"/>
      <c r="C10434" s="860" t="s">
        <v>5839</v>
      </c>
      <c r="D10434" s="316" t="s">
        <v>4133</v>
      </c>
      <c r="E10434" s="661" t="n">
        <v>0.01</v>
      </c>
      <c r="F10434" s="617" t="n">
        <v>7982</v>
      </c>
      <c r="G10434" s="615" t="n">
        <f aca="false">E10434*F10434</f>
        <v>79.82</v>
      </c>
      <c r="H10434" s="606"/>
    </row>
    <row r="10435" customFormat="false" ht="15" hidden="false" customHeight="false" outlineLevel="0" collapsed="false">
      <c r="A10435" s="571"/>
      <c r="B10435" s="500"/>
      <c r="C10435" s="860" t="s">
        <v>5894</v>
      </c>
      <c r="D10435" s="316" t="s">
        <v>4359</v>
      </c>
      <c r="E10435" s="661" t="n">
        <v>0.005</v>
      </c>
      <c r="F10435" s="617" t="n">
        <v>51800</v>
      </c>
      <c r="G10435" s="615" t="n">
        <f aca="false">E10435*F10435</f>
        <v>259</v>
      </c>
      <c r="H10435" s="606"/>
    </row>
    <row r="10436" customFormat="false" ht="15" hidden="false" customHeight="false" outlineLevel="0" collapsed="false">
      <c r="A10436" s="571"/>
      <c r="B10436" s="500"/>
      <c r="C10436" s="860" t="s">
        <v>5983</v>
      </c>
      <c r="D10436" s="316" t="s">
        <v>4133</v>
      </c>
      <c r="E10436" s="661" t="n">
        <v>0.005</v>
      </c>
      <c r="F10436" s="617" t="n">
        <v>90000</v>
      </c>
      <c r="G10436" s="615" t="n">
        <f aca="false">E10436*F10436</f>
        <v>450</v>
      </c>
      <c r="H10436" s="606"/>
    </row>
    <row r="10437" customFormat="false" ht="15" hidden="false" customHeight="false" outlineLevel="0" collapsed="false">
      <c r="A10437" s="571"/>
      <c r="B10437" s="500"/>
      <c r="C10437" s="860" t="s">
        <v>5989</v>
      </c>
      <c r="D10437" s="316" t="s">
        <v>4133</v>
      </c>
      <c r="E10437" s="661" t="n">
        <v>0.01</v>
      </c>
      <c r="F10437" s="617" t="n">
        <v>10500</v>
      </c>
      <c r="G10437" s="615" t="n">
        <f aca="false">E10437*F10437</f>
        <v>105</v>
      </c>
      <c r="H10437" s="606"/>
    </row>
    <row r="10438" customFormat="false" ht="15" hidden="false" customHeight="false" outlineLevel="0" collapsed="false">
      <c r="A10438" s="571"/>
      <c r="B10438" s="500"/>
      <c r="C10438" s="860" t="s">
        <v>5959</v>
      </c>
      <c r="D10438" s="316" t="s">
        <v>4133</v>
      </c>
      <c r="E10438" s="661" t="n">
        <v>0.01</v>
      </c>
      <c r="F10438" s="617" t="n">
        <v>48840</v>
      </c>
      <c r="G10438" s="615" t="n">
        <f aca="false">E10438*F10438</f>
        <v>488.4</v>
      </c>
      <c r="H10438" s="606"/>
    </row>
    <row r="10439" customFormat="false" ht="15" hidden="false" customHeight="false" outlineLevel="0" collapsed="false">
      <c r="A10439" s="571"/>
      <c r="B10439" s="500"/>
      <c r="C10439" s="860" t="s">
        <v>5848</v>
      </c>
      <c r="D10439" s="316" t="s">
        <v>4359</v>
      </c>
      <c r="E10439" s="661" t="n">
        <v>0.07</v>
      </c>
      <c r="F10439" s="617" t="n">
        <v>10500</v>
      </c>
      <c r="G10439" s="615" t="n">
        <f aca="false">E10439*F10439</f>
        <v>735</v>
      </c>
      <c r="H10439" s="606"/>
    </row>
    <row r="10440" customFormat="false" ht="15" hidden="false" customHeight="false" outlineLevel="0" collapsed="false">
      <c r="A10440" s="571"/>
      <c r="B10440" s="500"/>
      <c r="C10440" s="860" t="s">
        <v>5990</v>
      </c>
      <c r="D10440" s="316" t="s">
        <v>4359</v>
      </c>
      <c r="E10440" s="664" t="n">
        <v>0.01</v>
      </c>
      <c r="F10440" s="617" t="n">
        <v>26500</v>
      </c>
      <c r="G10440" s="615" t="n">
        <f aca="false">E10440*F10440</f>
        <v>265</v>
      </c>
      <c r="H10440" s="606"/>
    </row>
    <row r="10441" customFormat="false" ht="15" hidden="false" customHeight="false" outlineLevel="0" collapsed="false">
      <c r="A10441" s="571"/>
      <c r="B10441" s="500"/>
      <c r="C10441" s="860" t="s">
        <v>5961</v>
      </c>
      <c r="D10441" s="316" t="s">
        <v>4359</v>
      </c>
      <c r="E10441" s="661" t="n">
        <v>0.001</v>
      </c>
      <c r="F10441" s="617" t="n">
        <v>82115</v>
      </c>
      <c r="G10441" s="615" t="n">
        <f aca="false">E10441*F10441</f>
        <v>82.115</v>
      </c>
      <c r="H10441" s="606"/>
    </row>
    <row r="10442" customFormat="false" ht="15" hidden="false" customHeight="false" outlineLevel="0" collapsed="false">
      <c r="A10442" s="571"/>
      <c r="B10442" s="608"/>
      <c r="C10442" s="860" t="s">
        <v>5962</v>
      </c>
      <c r="D10442" s="316" t="s">
        <v>4191</v>
      </c>
      <c r="E10442" s="660" t="n">
        <v>0.5</v>
      </c>
      <c r="F10442" s="617" t="n">
        <v>316.4</v>
      </c>
      <c r="G10442" s="615" t="n">
        <f aca="false">E10442*F10442</f>
        <v>158.2</v>
      </c>
      <c r="H10442" s="391"/>
    </row>
    <row r="10443" customFormat="false" ht="15" hidden="false" customHeight="false" outlineLevel="0" collapsed="false">
      <c r="A10443" s="571"/>
      <c r="B10443" s="328"/>
      <c r="C10443" s="860" t="s">
        <v>5826</v>
      </c>
      <c r="D10443" s="316" t="s">
        <v>4191</v>
      </c>
      <c r="E10443" s="954" t="n">
        <v>0.01</v>
      </c>
      <c r="F10443" s="617" t="n">
        <v>366.25</v>
      </c>
      <c r="G10443" s="615" t="n">
        <f aca="false">E10443*F10443</f>
        <v>3.6625</v>
      </c>
      <c r="H10443" s="606"/>
    </row>
    <row r="10444" customFormat="false" ht="15" hidden="false" customHeight="false" outlineLevel="0" collapsed="false">
      <c r="A10444" s="571"/>
      <c r="B10444" s="500"/>
      <c r="C10444" s="860" t="s">
        <v>5927</v>
      </c>
      <c r="D10444" s="316" t="s">
        <v>4191</v>
      </c>
      <c r="E10444" s="660" t="n">
        <v>1</v>
      </c>
      <c r="F10444" s="617" t="n">
        <v>32</v>
      </c>
      <c r="G10444" s="615" t="n">
        <f aca="false">E10444*F10444</f>
        <v>32</v>
      </c>
      <c r="H10444" s="606"/>
    </row>
    <row r="10445" customFormat="false" ht="15" hidden="false" customHeight="false" outlineLevel="0" collapsed="false">
      <c r="A10445" s="571"/>
      <c r="B10445" s="500"/>
      <c r="C10445" s="860" t="s">
        <v>5820</v>
      </c>
      <c r="D10445" s="316" t="s">
        <v>4191</v>
      </c>
      <c r="E10445" s="954" t="n">
        <v>0.01</v>
      </c>
      <c r="F10445" s="617" t="n">
        <v>650</v>
      </c>
      <c r="G10445" s="615" t="n">
        <f aca="false">E10445*F10445</f>
        <v>6.5</v>
      </c>
      <c r="H10445" s="606"/>
    </row>
    <row r="10446" customFormat="false" ht="15" hidden="false" customHeight="false" outlineLevel="0" collapsed="false">
      <c r="A10446" s="571"/>
      <c r="B10446" s="500"/>
      <c r="C10446" s="860" t="s">
        <v>4515</v>
      </c>
      <c r="D10446" s="316" t="s">
        <v>4133</v>
      </c>
      <c r="E10446" s="661" t="n">
        <v>0.1</v>
      </c>
      <c r="F10446" s="681" t="n">
        <v>350</v>
      </c>
      <c r="G10446" s="615" t="n">
        <f aca="false">E10446*F10446</f>
        <v>35</v>
      </c>
      <c r="H10446" s="606"/>
    </row>
    <row r="10447" customFormat="false" ht="15" hidden="false" customHeight="false" outlineLevel="0" collapsed="false">
      <c r="A10447" s="571"/>
      <c r="B10447" s="608" t="s">
        <v>4128</v>
      </c>
      <c r="C10447" s="964"/>
      <c r="D10447" s="965"/>
      <c r="E10447" s="969"/>
      <c r="F10447" s="967"/>
      <c r="G10447" s="613" t="n">
        <f aca="false">SUM(G10432:G10446)</f>
        <v>3090.6325</v>
      </c>
      <c r="H10447" s="391"/>
    </row>
    <row r="10448" customFormat="false" ht="30" hidden="false" customHeight="false" outlineLevel="0" collapsed="false">
      <c r="A10448" s="571" t="s">
        <v>2005</v>
      </c>
      <c r="B10448" s="433" t="s">
        <v>3737</v>
      </c>
      <c r="C10448" s="860" t="s">
        <v>5991</v>
      </c>
      <c r="D10448" s="316" t="s">
        <v>4133</v>
      </c>
      <c r="E10448" s="661" t="n">
        <v>0.01</v>
      </c>
      <c r="F10448" s="617" t="n">
        <v>20000</v>
      </c>
      <c r="G10448" s="615" t="n">
        <f aca="false">E10448*F10448</f>
        <v>200</v>
      </c>
      <c r="H10448" s="606"/>
    </row>
    <row r="10449" customFormat="false" ht="15" hidden="false" customHeight="false" outlineLevel="0" collapsed="false">
      <c r="A10449" s="571"/>
      <c r="B10449" s="500"/>
      <c r="C10449" s="860" t="s">
        <v>5992</v>
      </c>
      <c r="D10449" s="316" t="s">
        <v>4133</v>
      </c>
      <c r="E10449" s="661" t="n">
        <v>0.01</v>
      </c>
      <c r="F10449" s="617" t="n">
        <v>36250</v>
      </c>
      <c r="G10449" s="615" t="n">
        <f aca="false">E10449*F10449</f>
        <v>362.5</v>
      </c>
      <c r="H10449" s="606"/>
    </row>
    <row r="10450" customFormat="false" ht="15" hidden="false" customHeight="false" outlineLevel="0" collapsed="false">
      <c r="A10450" s="571"/>
      <c r="B10450" s="500"/>
      <c r="C10450" s="860" t="s">
        <v>5993</v>
      </c>
      <c r="D10450" s="316" t="s">
        <v>4133</v>
      </c>
      <c r="E10450" s="661" t="n">
        <v>0.01</v>
      </c>
      <c r="F10450" s="617" t="n">
        <v>40500</v>
      </c>
      <c r="G10450" s="615" t="n">
        <f aca="false">E10450*F10450</f>
        <v>405</v>
      </c>
      <c r="H10450" s="606"/>
    </row>
    <row r="10451" customFormat="false" ht="15" hidden="false" customHeight="false" outlineLevel="0" collapsed="false">
      <c r="A10451" s="571"/>
      <c r="B10451" s="500"/>
      <c r="C10451" s="860" t="s">
        <v>5994</v>
      </c>
      <c r="D10451" s="316" t="s">
        <v>4133</v>
      </c>
      <c r="E10451" s="661" t="n">
        <v>0.005</v>
      </c>
      <c r="F10451" s="617" t="n">
        <v>74718</v>
      </c>
      <c r="G10451" s="615" t="n">
        <f aca="false">E10451*F10451</f>
        <v>373.59</v>
      </c>
      <c r="H10451" s="606"/>
    </row>
    <row r="10452" customFormat="false" ht="15" hidden="false" customHeight="false" outlineLevel="0" collapsed="false">
      <c r="A10452" s="571"/>
      <c r="B10452" s="500"/>
      <c r="C10452" s="860" t="s">
        <v>5962</v>
      </c>
      <c r="D10452" s="316" t="s">
        <v>4191</v>
      </c>
      <c r="E10452" s="660" t="n">
        <v>1</v>
      </c>
      <c r="F10452" s="617" t="n">
        <v>316.4</v>
      </c>
      <c r="G10452" s="615" t="n">
        <f aca="false">E10452*F10452</f>
        <v>316.4</v>
      </c>
      <c r="H10452" s="606"/>
    </row>
    <row r="10453" customFormat="false" ht="15" hidden="false" customHeight="false" outlineLevel="0" collapsed="false">
      <c r="A10453" s="571"/>
      <c r="B10453" s="500"/>
      <c r="C10453" s="860" t="s">
        <v>5826</v>
      </c>
      <c r="D10453" s="316" t="s">
        <v>4191</v>
      </c>
      <c r="E10453" s="954" t="n">
        <v>0.01</v>
      </c>
      <c r="F10453" s="617" t="n">
        <v>366.25</v>
      </c>
      <c r="G10453" s="615" t="n">
        <f aca="false">E10453*F10453</f>
        <v>3.6625</v>
      </c>
      <c r="H10453" s="606"/>
    </row>
    <row r="10454" customFormat="false" ht="15" hidden="false" customHeight="false" outlineLevel="0" collapsed="false">
      <c r="A10454" s="571"/>
      <c r="B10454" s="500"/>
      <c r="C10454" s="860" t="s">
        <v>5820</v>
      </c>
      <c r="D10454" s="316" t="s">
        <v>4191</v>
      </c>
      <c r="E10454" s="954" t="n">
        <v>0.01</v>
      </c>
      <c r="F10454" s="617" t="n">
        <v>650</v>
      </c>
      <c r="G10454" s="615" t="n">
        <f aca="false">E10454*F10454</f>
        <v>6.5</v>
      </c>
      <c r="H10454" s="606"/>
    </row>
    <row r="10455" customFormat="false" ht="15" hidden="false" customHeight="false" outlineLevel="0" collapsed="false">
      <c r="A10455" s="571"/>
      <c r="B10455" s="500"/>
      <c r="C10455" s="860" t="s">
        <v>4515</v>
      </c>
      <c r="D10455" s="316" t="s">
        <v>4133</v>
      </c>
      <c r="E10455" s="661" t="n">
        <v>0.1</v>
      </c>
      <c r="F10455" s="681" t="n">
        <v>350</v>
      </c>
      <c r="G10455" s="615" t="n">
        <f aca="false">E10455*F10455</f>
        <v>35</v>
      </c>
      <c r="H10455" s="606"/>
    </row>
    <row r="10456" customFormat="false" ht="15" hidden="false" customHeight="false" outlineLevel="0" collapsed="false">
      <c r="A10456" s="571"/>
      <c r="B10456" s="500"/>
      <c r="C10456" s="860" t="s">
        <v>5995</v>
      </c>
      <c r="D10456" s="316" t="s">
        <v>5913</v>
      </c>
      <c r="E10456" s="661" t="n">
        <v>0.01</v>
      </c>
      <c r="F10456" s="617" t="n">
        <v>21200</v>
      </c>
      <c r="G10456" s="615" t="n">
        <f aca="false">E10456*F10456</f>
        <v>212</v>
      </c>
      <c r="H10456" s="606"/>
    </row>
    <row r="10457" customFormat="false" ht="15" hidden="false" customHeight="false" outlineLevel="0" collapsed="false">
      <c r="A10457" s="571"/>
      <c r="B10457" s="608" t="s">
        <v>4128</v>
      </c>
      <c r="C10457" s="964"/>
      <c r="D10457" s="965"/>
      <c r="E10457" s="969"/>
      <c r="F10457" s="967"/>
      <c r="G10457" s="613" t="n">
        <f aca="false">SUM(G10448:G10456)</f>
        <v>1914.6525</v>
      </c>
      <c r="H10457" s="391"/>
    </row>
    <row r="10458" customFormat="false" ht="30" hidden="false" customHeight="false" outlineLevel="0" collapsed="false">
      <c r="A10458" s="571" t="s">
        <v>2007</v>
      </c>
      <c r="B10458" s="433" t="s">
        <v>3738</v>
      </c>
      <c r="C10458" s="860" t="s">
        <v>5880</v>
      </c>
      <c r="D10458" s="316" t="s">
        <v>4133</v>
      </c>
      <c r="E10458" s="661" t="n">
        <v>0.01</v>
      </c>
      <c r="F10458" s="617" t="n">
        <v>45799</v>
      </c>
      <c r="G10458" s="615" t="n">
        <f aca="false">E10458*F10458</f>
        <v>457.99</v>
      </c>
      <c r="H10458" s="606"/>
    </row>
    <row r="10459" customFormat="false" ht="15" hidden="false" customHeight="false" outlineLevel="0" collapsed="false">
      <c r="A10459" s="571"/>
      <c r="B10459" s="500"/>
      <c r="C10459" s="860" t="s">
        <v>5996</v>
      </c>
      <c r="D10459" s="316" t="s">
        <v>4133</v>
      </c>
      <c r="E10459" s="661" t="n">
        <v>0.01</v>
      </c>
      <c r="F10459" s="617" t="n">
        <v>37440</v>
      </c>
      <c r="G10459" s="615" t="n">
        <f aca="false">E10459*F10459</f>
        <v>374.4</v>
      </c>
      <c r="H10459" s="606"/>
    </row>
    <row r="10460" customFormat="false" ht="15" hidden="false" customHeight="false" outlineLevel="0" collapsed="false">
      <c r="A10460" s="571"/>
      <c r="B10460" s="500"/>
      <c r="C10460" s="860" t="s">
        <v>5961</v>
      </c>
      <c r="D10460" s="316" t="s">
        <v>4359</v>
      </c>
      <c r="E10460" s="661" t="n">
        <v>0.001</v>
      </c>
      <c r="F10460" s="617" t="n">
        <v>82115</v>
      </c>
      <c r="G10460" s="615" t="n">
        <f aca="false">E10460*F10460</f>
        <v>82.115</v>
      </c>
      <c r="H10460" s="606"/>
    </row>
    <row r="10461" customFormat="false" ht="15" hidden="false" customHeight="false" outlineLevel="0" collapsed="false">
      <c r="A10461" s="571"/>
      <c r="B10461" s="500"/>
      <c r="C10461" s="860" t="s">
        <v>5958</v>
      </c>
      <c r="D10461" s="316" t="s">
        <v>4133</v>
      </c>
      <c r="E10461" s="664" t="n">
        <v>0.001</v>
      </c>
      <c r="F10461" s="617" t="n">
        <v>10500</v>
      </c>
      <c r="G10461" s="615" t="n">
        <f aca="false">E10461*F10461</f>
        <v>10.5</v>
      </c>
      <c r="H10461" s="606"/>
    </row>
    <row r="10462" customFormat="false" ht="15" hidden="false" customHeight="false" outlineLevel="0" collapsed="false">
      <c r="A10462" s="571"/>
      <c r="B10462" s="500"/>
      <c r="C10462" s="860" t="s">
        <v>5959</v>
      </c>
      <c r="D10462" s="316" t="s">
        <v>4133</v>
      </c>
      <c r="E10462" s="661" t="n">
        <v>0.01</v>
      </c>
      <c r="F10462" s="617" t="n">
        <v>48840</v>
      </c>
      <c r="G10462" s="615" t="n">
        <f aca="false">E10462*F10462</f>
        <v>488.4</v>
      </c>
      <c r="H10462" s="606"/>
    </row>
    <row r="10463" customFormat="false" ht="15" hidden="false" customHeight="false" outlineLevel="0" collapsed="false">
      <c r="A10463" s="571"/>
      <c r="B10463" s="500"/>
      <c r="C10463" s="860" t="s">
        <v>5848</v>
      </c>
      <c r="D10463" s="316" t="s">
        <v>4359</v>
      </c>
      <c r="E10463" s="661" t="n">
        <v>0.01</v>
      </c>
      <c r="F10463" s="617" t="n">
        <v>10500</v>
      </c>
      <c r="G10463" s="615" t="n">
        <f aca="false">E10463*F10463</f>
        <v>105</v>
      </c>
      <c r="H10463" s="606"/>
    </row>
    <row r="10464" customFormat="false" ht="15" hidden="false" customHeight="false" outlineLevel="0" collapsed="false">
      <c r="A10464" s="571"/>
      <c r="B10464" s="500"/>
      <c r="C10464" s="860" t="s">
        <v>5819</v>
      </c>
      <c r="D10464" s="316" t="s">
        <v>4191</v>
      </c>
      <c r="E10464" s="954" t="n">
        <v>0.5</v>
      </c>
      <c r="F10464" s="617" t="n">
        <v>316.4</v>
      </c>
      <c r="G10464" s="615" t="n">
        <f aca="false">E10464*F10464</f>
        <v>158.2</v>
      </c>
      <c r="H10464" s="912"/>
    </row>
    <row r="10465" customFormat="false" ht="15" hidden="false" customHeight="false" outlineLevel="0" collapsed="false">
      <c r="A10465" s="571"/>
      <c r="B10465" s="328"/>
      <c r="C10465" s="974" t="s">
        <v>5826</v>
      </c>
      <c r="D10465" s="317" t="s">
        <v>4191</v>
      </c>
      <c r="E10465" s="954" t="n">
        <v>0.01</v>
      </c>
      <c r="F10465" s="617" t="n">
        <v>366.25</v>
      </c>
      <c r="G10465" s="615" t="n">
        <f aca="false">E10465*F10465</f>
        <v>3.6625</v>
      </c>
      <c r="H10465" s="912"/>
    </row>
    <row r="10466" customFormat="false" ht="15" hidden="false" customHeight="false" outlineLevel="0" collapsed="false">
      <c r="A10466" s="571"/>
      <c r="B10466" s="500"/>
      <c r="C10466" s="860" t="s">
        <v>5820</v>
      </c>
      <c r="D10466" s="316" t="s">
        <v>4191</v>
      </c>
      <c r="E10466" s="954" t="n">
        <v>0.01</v>
      </c>
      <c r="F10466" s="617" t="n">
        <v>650</v>
      </c>
      <c r="G10466" s="615" t="n">
        <f aca="false">E10466*F10466</f>
        <v>6.5</v>
      </c>
      <c r="H10466" s="606"/>
    </row>
    <row r="10467" customFormat="false" ht="15" hidden="false" customHeight="false" outlineLevel="0" collapsed="false">
      <c r="A10467" s="571"/>
      <c r="B10467" s="500"/>
      <c r="C10467" s="860" t="s">
        <v>5927</v>
      </c>
      <c r="D10467" s="316" t="s">
        <v>4191</v>
      </c>
      <c r="E10467" s="660" t="n">
        <v>1</v>
      </c>
      <c r="F10467" s="617" t="n">
        <v>32</v>
      </c>
      <c r="G10467" s="615" t="n">
        <f aca="false">E10467*F10467</f>
        <v>32</v>
      </c>
      <c r="H10467" s="912"/>
    </row>
    <row r="10468" customFormat="false" ht="15" hidden="false" customHeight="false" outlineLevel="0" collapsed="false">
      <c r="A10468" s="571"/>
      <c r="B10468" s="328"/>
      <c r="C10468" s="860" t="s">
        <v>4515</v>
      </c>
      <c r="D10468" s="316" t="s">
        <v>4133</v>
      </c>
      <c r="E10468" s="661" t="n">
        <v>0.1</v>
      </c>
      <c r="F10468" s="681" t="n">
        <v>350</v>
      </c>
      <c r="G10468" s="615" t="n">
        <f aca="false">E10468*F10468</f>
        <v>35</v>
      </c>
      <c r="H10468" s="606"/>
    </row>
    <row r="10469" customFormat="false" ht="15" hidden="false" customHeight="false" outlineLevel="0" collapsed="false">
      <c r="A10469" s="571"/>
      <c r="B10469" s="608" t="s">
        <v>4128</v>
      </c>
      <c r="C10469" s="964"/>
      <c r="D10469" s="965"/>
      <c r="E10469" s="969"/>
      <c r="F10469" s="967"/>
      <c r="G10469" s="613" t="n">
        <f aca="false">SUM(G10458:G10468)</f>
        <v>1753.7675</v>
      </c>
      <c r="H10469" s="391"/>
    </row>
    <row r="10470" customFormat="false" ht="30" hidden="false" customHeight="false" outlineLevel="0" collapsed="false">
      <c r="A10470" s="707" t="s">
        <v>2009</v>
      </c>
      <c r="B10470" s="433" t="s">
        <v>5997</v>
      </c>
      <c r="C10470" s="860" t="s">
        <v>5830</v>
      </c>
      <c r="D10470" s="316" t="s">
        <v>4133</v>
      </c>
      <c r="E10470" s="664" t="n">
        <v>0.001</v>
      </c>
      <c r="F10470" s="617" t="n">
        <v>74448</v>
      </c>
      <c r="G10470" s="615" t="n">
        <f aca="false">E10470*F10470</f>
        <v>74.448</v>
      </c>
      <c r="H10470" s="606"/>
    </row>
    <row r="10471" customFormat="false" ht="15" hidden="false" customHeight="false" outlineLevel="0" collapsed="false">
      <c r="A10471" s="571"/>
      <c r="B10471" s="500"/>
      <c r="C10471" s="860" t="s">
        <v>5831</v>
      </c>
      <c r="D10471" s="316" t="s">
        <v>4133</v>
      </c>
      <c r="E10471" s="664" t="n">
        <v>0.001</v>
      </c>
      <c r="F10471" s="617" t="n">
        <v>45513</v>
      </c>
      <c r="G10471" s="615" t="n">
        <f aca="false">E10471*F10471</f>
        <v>45.513</v>
      </c>
      <c r="H10471" s="606"/>
    </row>
    <row r="10472" customFormat="false" ht="15" hidden="false" customHeight="false" outlineLevel="0" collapsed="false">
      <c r="A10472" s="571"/>
      <c r="B10472" s="500"/>
      <c r="C10472" s="860" t="s">
        <v>5832</v>
      </c>
      <c r="D10472" s="316" t="s">
        <v>4133</v>
      </c>
      <c r="E10472" s="664" t="n">
        <v>0.0005</v>
      </c>
      <c r="F10472" s="617" t="n">
        <v>99906</v>
      </c>
      <c r="G10472" s="615" t="n">
        <f aca="false">E10472*F10472</f>
        <v>49.953</v>
      </c>
      <c r="H10472" s="606"/>
    </row>
    <row r="10473" customFormat="false" ht="15" hidden="false" customHeight="false" outlineLevel="0" collapsed="false">
      <c r="A10473" s="571"/>
      <c r="B10473" s="500"/>
      <c r="C10473" s="860" t="s">
        <v>5947</v>
      </c>
      <c r="D10473" s="316" t="s">
        <v>4133</v>
      </c>
      <c r="E10473" s="664" t="n">
        <v>0.001</v>
      </c>
      <c r="F10473" s="617" t="n">
        <v>69797</v>
      </c>
      <c r="G10473" s="615" t="n">
        <f aca="false">E10473*F10473</f>
        <v>69.797</v>
      </c>
      <c r="H10473" s="606"/>
    </row>
    <row r="10474" customFormat="false" ht="15" hidden="false" customHeight="false" outlineLevel="0" collapsed="false">
      <c r="A10474" s="571"/>
      <c r="B10474" s="500"/>
      <c r="C10474" s="860" t="s">
        <v>5948</v>
      </c>
      <c r="D10474" s="316" t="s">
        <v>4133</v>
      </c>
      <c r="E10474" s="664" t="n">
        <v>0.001</v>
      </c>
      <c r="F10474" s="617" t="n">
        <v>33761</v>
      </c>
      <c r="G10474" s="615" t="n">
        <f aca="false">E10474*F10474</f>
        <v>33.761</v>
      </c>
      <c r="H10474" s="912"/>
    </row>
    <row r="10475" customFormat="false" ht="15" hidden="false" customHeight="false" outlineLevel="0" collapsed="false">
      <c r="A10475" s="571"/>
      <c r="B10475" s="328"/>
      <c r="C10475" s="860" t="s">
        <v>5949</v>
      </c>
      <c r="D10475" s="316" t="s">
        <v>4133</v>
      </c>
      <c r="E10475" s="664" t="n">
        <v>0.001</v>
      </c>
      <c r="F10475" s="617" t="n">
        <v>69797</v>
      </c>
      <c r="G10475" s="615" t="n">
        <f aca="false">E10475*F10475</f>
        <v>69.797</v>
      </c>
      <c r="H10475" s="606"/>
    </row>
    <row r="10476" customFormat="false" ht="15" hidden="false" customHeight="false" outlineLevel="0" collapsed="false">
      <c r="A10476" s="571"/>
      <c r="B10476" s="500"/>
      <c r="C10476" s="860" t="s">
        <v>5835</v>
      </c>
      <c r="D10476" s="316" t="s">
        <v>4133</v>
      </c>
      <c r="E10476" s="664" t="n">
        <v>0.001</v>
      </c>
      <c r="F10476" s="617" t="n">
        <v>69797</v>
      </c>
      <c r="G10476" s="615" t="n">
        <f aca="false">E10476*F10476</f>
        <v>69.797</v>
      </c>
      <c r="H10476" s="606"/>
    </row>
    <row r="10477" customFormat="false" ht="15" hidden="false" customHeight="false" outlineLevel="0" collapsed="false">
      <c r="A10477" s="571"/>
      <c r="B10477" s="328"/>
      <c r="C10477" s="860" t="s">
        <v>5958</v>
      </c>
      <c r="D10477" s="316" t="s">
        <v>4133</v>
      </c>
      <c r="E10477" s="664" t="n">
        <v>0.001</v>
      </c>
      <c r="F10477" s="617" t="n">
        <v>10500</v>
      </c>
      <c r="G10477" s="615" t="n">
        <f aca="false">E10477*F10477</f>
        <v>10.5</v>
      </c>
      <c r="H10477" s="606"/>
    </row>
    <row r="10478" customFormat="false" ht="15" hidden="false" customHeight="false" outlineLevel="0" collapsed="false">
      <c r="A10478" s="571"/>
      <c r="B10478" s="500"/>
      <c r="C10478" s="860" t="s">
        <v>5837</v>
      </c>
      <c r="D10478" s="316" t="s">
        <v>4133</v>
      </c>
      <c r="E10478" s="664" t="n">
        <v>0.001</v>
      </c>
      <c r="F10478" s="617" t="n">
        <v>91872</v>
      </c>
      <c r="G10478" s="615" t="n">
        <f aca="false">E10478*F10478</f>
        <v>91.872</v>
      </c>
      <c r="H10478" s="606"/>
    </row>
    <row r="10479" customFormat="false" ht="15" hidden="false" customHeight="false" outlineLevel="0" collapsed="false">
      <c r="A10479" s="571"/>
      <c r="B10479" s="500"/>
      <c r="C10479" s="860" t="s">
        <v>5950</v>
      </c>
      <c r="D10479" s="316" t="s">
        <v>4133</v>
      </c>
      <c r="E10479" s="664" t="n">
        <v>0.001</v>
      </c>
      <c r="F10479" s="617" t="n">
        <v>80176</v>
      </c>
      <c r="G10479" s="615" t="n">
        <f aca="false">E10479*F10479</f>
        <v>80.176</v>
      </c>
      <c r="H10479" s="606"/>
    </row>
    <row r="10480" customFormat="false" ht="15" hidden="false" customHeight="false" outlineLevel="0" collapsed="false">
      <c r="A10480" s="571"/>
      <c r="B10480" s="500"/>
      <c r="C10480" s="860" t="s">
        <v>5951</v>
      </c>
      <c r="D10480" s="316" t="s">
        <v>4133</v>
      </c>
      <c r="E10480" s="661" t="n">
        <v>0.001</v>
      </c>
      <c r="F10480" s="617" t="n">
        <v>43500</v>
      </c>
      <c r="G10480" s="615" t="n">
        <f aca="false">E10480*F10480</f>
        <v>43.5</v>
      </c>
      <c r="H10480" s="606"/>
    </row>
    <row r="10481" customFormat="false" ht="15" hidden="false" customHeight="false" outlineLevel="0" collapsed="false">
      <c r="A10481" s="571"/>
      <c r="B10481" s="500"/>
      <c r="C10481" s="860" t="s">
        <v>5952</v>
      </c>
      <c r="D10481" s="316" t="s">
        <v>4133</v>
      </c>
      <c r="E10481" s="664" t="n">
        <v>0.0005</v>
      </c>
      <c r="F10481" s="617" t="n">
        <v>158202</v>
      </c>
      <c r="G10481" s="615" t="n">
        <f aca="false">E10481*F10481</f>
        <v>79.101</v>
      </c>
      <c r="H10481" s="912"/>
    </row>
    <row r="10482" customFormat="false" ht="15" hidden="false" customHeight="false" outlineLevel="0" collapsed="false">
      <c r="A10482" s="571"/>
      <c r="B10482" s="328"/>
      <c r="C10482" s="860" t="s">
        <v>5998</v>
      </c>
      <c r="D10482" s="316" t="s">
        <v>4133</v>
      </c>
      <c r="E10482" s="664" t="n">
        <v>0.001</v>
      </c>
      <c r="F10482" s="617" t="n">
        <v>10500</v>
      </c>
      <c r="G10482" s="615" t="n">
        <f aca="false">E10482*F10482</f>
        <v>10.5</v>
      </c>
      <c r="H10482" s="606"/>
    </row>
    <row r="10483" customFormat="false" ht="15" hidden="false" customHeight="false" outlineLevel="0" collapsed="false">
      <c r="A10483" s="571"/>
      <c r="B10483" s="500"/>
      <c r="C10483" s="860" t="s">
        <v>5959</v>
      </c>
      <c r="D10483" s="316" t="s">
        <v>4133</v>
      </c>
      <c r="E10483" s="664" t="n">
        <v>0.001</v>
      </c>
      <c r="F10483" s="617" t="n">
        <v>48840</v>
      </c>
      <c r="G10483" s="615" t="n">
        <f aca="false">E10483*F10483</f>
        <v>48.84</v>
      </c>
      <c r="H10483" s="606"/>
    </row>
    <row r="10484" customFormat="false" ht="15" hidden="false" customHeight="false" outlineLevel="0" collapsed="false">
      <c r="A10484" s="571"/>
      <c r="B10484" s="500"/>
      <c r="C10484" s="860" t="s">
        <v>5987</v>
      </c>
      <c r="D10484" s="316" t="s">
        <v>4133</v>
      </c>
      <c r="E10484" s="664" t="n">
        <v>0.0001</v>
      </c>
      <c r="F10484" s="617" t="n">
        <v>203735</v>
      </c>
      <c r="G10484" s="615" t="n">
        <f aca="false">E10484*F10484</f>
        <v>20.3735</v>
      </c>
      <c r="H10484" s="606"/>
    </row>
    <row r="10485" customFormat="false" ht="15" hidden="false" customHeight="false" outlineLevel="0" collapsed="false">
      <c r="A10485" s="571"/>
      <c r="B10485" s="500"/>
      <c r="C10485" s="860" t="s">
        <v>5880</v>
      </c>
      <c r="D10485" s="316" t="s">
        <v>4133</v>
      </c>
      <c r="E10485" s="664" t="n">
        <v>0.001</v>
      </c>
      <c r="F10485" s="617" t="n">
        <v>45799</v>
      </c>
      <c r="G10485" s="615" t="n">
        <f aca="false">E10485*F10485</f>
        <v>45.799</v>
      </c>
      <c r="H10485" s="606"/>
    </row>
    <row r="10486" customFormat="false" ht="15" hidden="false" customHeight="false" outlineLevel="0" collapsed="false">
      <c r="A10486" s="571"/>
      <c r="B10486" s="500"/>
      <c r="C10486" s="860" t="s">
        <v>5818</v>
      </c>
      <c r="D10486" s="316" t="s">
        <v>4133</v>
      </c>
      <c r="E10486" s="664" t="n">
        <v>0.001</v>
      </c>
      <c r="F10486" s="617" t="n">
        <v>37800</v>
      </c>
      <c r="G10486" s="615" t="n">
        <f aca="false">E10486*F10486</f>
        <v>37.8</v>
      </c>
      <c r="H10486" s="912"/>
    </row>
    <row r="10487" customFormat="false" ht="15" hidden="false" customHeight="false" outlineLevel="0" collapsed="false">
      <c r="A10487" s="571"/>
      <c r="B10487" s="328"/>
      <c r="C10487" s="860" t="s">
        <v>5999</v>
      </c>
      <c r="D10487" s="316" t="s">
        <v>4133</v>
      </c>
      <c r="E10487" s="664" t="n">
        <v>0.001</v>
      </c>
      <c r="F10487" s="617" t="n">
        <v>63500</v>
      </c>
      <c r="G10487" s="615" t="n">
        <f aca="false">E10487*F10487</f>
        <v>63.5</v>
      </c>
      <c r="H10487" s="606"/>
    </row>
    <row r="10488" customFormat="false" ht="15" hidden="false" customHeight="false" outlineLevel="0" collapsed="false">
      <c r="A10488" s="571"/>
      <c r="B10488" s="500"/>
      <c r="C10488" s="860" t="s">
        <v>5888</v>
      </c>
      <c r="D10488" s="316" t="s">
        <v>4133</v>
      </c>
      <c r="E10488" s="664" t="n">
        <v>0.0005</v>
      </c>
      <c r="F10488" s="617" t="n">
        <v>121303</v>
      </c>
      <c r="G10488" s="615" t="n">
        <f aca="false">E10488*F10488</f>
        <v>60.6515</v>
      </c>
      <c r="H10488" s="606"/>
    </row>
    <row r="10489" customFormat="false" ht="15" hidden="false" customHeight="false" outlineLevel="0" collapsed="false">
      <c r="A10489" s="571"/>
      <c r="B10489" s="500"/>
      <c r="C10489" s="860" t="s">
        <v>5856</v>
      </c>
      <c r="D10489" s="316" t="s">
        <v>4359</v>
      </c>
      <c r="E10489" s="664" t="n">
        <v>0.0005</v>
      </c>
      <c r="F10489" s="617" t="n">
        <v>168481</v>
      </c>
      <c r="G10489" s="615" t="n">
        <f aca="false">E10489*F10489</f>
        <v>84.2405</v>
      </c>
      <c r="H10489" s="606"/>
    </row>
    <row r="10490" customFormat="false" ht="15" hidden="false" customHeight="false" outlineLevel="0" collapsed="false">
      <c r="A10490" s="571"/>
      <c r="B10490" s="500"/>
      <c r="C10490" s="860" t="s">
        <v>5957</v>
      </c>
      <c r="D10490" s="316" t="s">
        <v>4359</v>
      </c>
      <c r="E10490" s="664" t="n">
        <v>0.001</v>
      </c>
      <c r="F10490" s="617" t="n">
        <v>7800</v>
      </c>
      <c r="G10490" s="615" t="n">
        <f aca="false">E10490*F10490</f>
        <v>7.8</v>
      </c>
      <c r="H10490" s="606"/>
    </row>
    <row r="10491" customFormat="false" ht="15" hidden="false" customHeight="false" outlineLevel="0" collapsed="false">
      <c r="A10491" s="571"/>
      <c r="B10491" s="500"/>
      <c r="C10491" s="860" t="s">
        <v>5955</v>
      </c>
      <c r="D10491" s="316" t="s">
        <v>5452</v>
      </c>
      <c r="E10491" s="661" t="n">
        <v>0.001</v>
      </c>
      <c r="F10491" s="617" t="n">
        <v>74415</v>
      </c>
      <c r="G10491" s="615" t="n">
        <f aca="false">E10491*F10491</f>
        <v>74.415</v>
      </c>
      <c r="H10491" s="606"/>
    </row>
    <row r="10492" customFormat="false" ht="15" hidden="false" customHeight="false" outlineLevel="0" collapsed="false">
      <c r="A10492" s="571"/>
      <c r="B10492" s="500"/>
      <c r="C10492" s="860" t="s">
        <v>5960</v>
      </c>
      <c r="D10492" s="316" t="s">
        <v>5452</v>
      </c>
      <c r="E10492" s="664" t="n">
        <v>0.001</v>
      </c>
      <c r="F10492" s="617" t="n">
        <v>8468</v>
      </c>
      <c r="G10492" s="615" t="n">
        <f aca="false">E10492*F10492</f>
        <v>8.468</v>
      </c>
      <c r="H10492" s="912"/>
    </row>
    <row r="10493" customFormat="false" ht="15" hidden="false" customHeight="false" outlineLevel="0" collapsed="false">
      <c r="A10493" s="571"/>
      <c r="B10493" s="328"/>
      <c r="C10493" s="860" t="s">
        <v>5986</v>
      </c>
      <c r="D10493" s="316" t="s">
        <v>4359</v>
      </c>
      <c r="E10493" s="661" t="n">
        <v>0.001</v>
      </c>
      <c r="F10493" s="617" t="n">
        <v>68401</v>
      </c>
      <c r="G10493" s="615" t="n">
        <f aca="false">E10493*F10493</f>
        <v>68.401</v>
      </c>
      <c r="H10493" s="606"/>
    </row>
    <row r="10494" customFormat="false" ht="15" hidden="false" customHeight="false" outlineLevel="0" collapsed="false">
      <c r="A10494" s="571"/>
      <c r="B10494" s="500"/>
      <c r="C10494" s="860" t="s">
        <v>5828</v>
      </c>
      <c r="D10494" s="316" t="s">
        <v>4133</v>
      </c>
      <c r="E10494" s="664" t="n">
        <v>0.0005</v>
      </c>
      <c r="F10494" s="617" t="n">
        <v>91113</v>
      </c>
      <c r="G10494" s="615" t="n">
        <f aca="false">E10494*F10494</f>
        <v>45.5565</v>
      </c>
      <c r="H10494" s="606"/>
    </row>
    <row r="10495" customFormat="false" ht="15" hidden="false" customHeight="false" outlineLevel="0" collapsed="false">
      <c r="A10495" s="571"/>
      <c r="B10495" s="500"/>
      <c r="C10495" s="860" t="s">
        <v>5961</v>
      </c>
      <c r="D10495" s="316" t="s">
        <v>4359</v>
      </c>
      <c r="E10495" s="664" t="n">
        <v>0.0005</v>
      </c>
      <c r="F10495" s="617" t="n">
        <v>82115</v>
      </c>
      <c r="G10495" s="615" t="n">
        <f aca="false">E10495*F10495</f>
        <v>41.0575</v>
      </c>
      <c r="H10495" s="606"/>
    </row>
    <row r="10496" customFormat="false" ht="15" hidden="false" customHeight="false" outlineLevel="0" collapsed="false">
      <c r="A10496" s="571"/>
      <c r="B10496" s="500"/>
      <c r="C10496" s="860" t="s">
        <v>5962</v>
      </c>
      <c r="D10496" s="316" t="s">
        <v>4191</v>
      </c>
      <c r="E10496" s="660" t="n">
        <v>0.01</v>
      </c>
      <c r="F10496" s="617" t="n">
        <v>316.4</v>
      </c>
      <c r="G10496" s="615" t="n">
        <f aca="false">E10496*F10496</f>
        <v>3.164</v>
      </c>
      <c r="H10496" s="606"/>
    </row>
    <row r="10497" customFormat="false" ht="15" hidden="false" customHeight="false" outlineLevel="0" collapsed="false">
      <c r="A10497" s="571"/>
      <c r="B10497" s="500"/>
      <c r="C10497" s="860" t="s">
        <v>5826</v>
      </c>
      <c r="D10497" s="316" t="s">
        <v>4191</v>
      </c>
      <c r="E10497" s="954" t="n">
        <v>0.01</v>
      </c>
      <c r="F10497" s="617" t="n">
        <v>366.25</v>
      </c>
      <c r="G10497" s="615" t="n">
        <f aca="false">E10497*F10497</f>
        <v>3.6625</v>
      </c>
      <c r="H10497" s="912"/>
    </row>
    <row r="10498" customFormat="false" ht="15" hidden="false" customHeight="false" outlineLevel="0" collapsed="false">
      <c r="A10498" s="571"/>
      <c r="B10498" s="500"/>
      <c r="C10498" s="860" t="s">
        <v>5820</v>
      </c>
      <c r="D10498" s="316" t="s">
        <v>4191</v>
      </c>
      <c r="E10498" s="954" t="n">
        <v>0.01</v>
      </c>
      <c r="F10498" s="617" t="n">
        <v>650</v>
      </c>
      <c r="G10498" s="615" t="n">
        <f aca="false">E10498*F10498</f>
        <v>6.5</v>
      </c>
      <c r="H10498" s="606"/>
    </row>
    <row r="10499" customFormat="false" ht="15" hidden="false" customHeight="false" outlineLevel="0" collapsed="false">
      <c r="A10499" s="571"/>
      <c r="B10499" s="500"/>
      <c r="C10499" s="860" t="s">
        <v>5927</v>
      </c>
      <c r="D10499" s="316" t="s">
        <v>4191</v>
      </c>
      <c r="E10499" s="660" t="n">
        <v>1</v>
      </c>
      <c r="F10499" s="617" t="n">
        <v>32</v>
      </c>
      <c r="G10499" s="615" t="n">
        <f aca="false">E10499*F10499</f>
        <v>32</v>
      </c>
      <c r="H10499" s="606"/>
    </row>
    <row r="10500" customFormat="false" ht="15" hidden="false" customHeight="false" outlineLevel="0" collapsed="false">
      <c r="A10500" s="571"/>
      <c r="B10500" s="500"/>
      <c r="C10500" s="860" t="s">
        <v>4515</v>
      </c>
      <c r="D10500" s="316" t="s">
        <v>4133</v>
      </c>
      <c r="E10500" s="661" t="n">
        <v>0.1</v>
      </c>
      <c r="F10500" s="681" t="n">
        <v>350</v>
      </c>
      <c r="G10500" s="615" t="n">
        <f aca="false">E10500*F10500</f>
        <v>35</v>
      </c>
      <c r="H10500" s="606"/>
    </row>
    <row r="10501" customFormat="false" ht="15" hidden="false" customHeight="false" outlineLevel="0" collapsed="false">
      <c r="A10501" s="571"/>
      <c r="B10501" s="608" t="s">
        <v>4128</v>
      </c>
      <c r="C10501" s="718"/>
      <c r="D10501" s="610"/>
      <c r="E10501" s="611"/>
      <c r="F10501" s="612"/>
      <c r="G10501" s="613" t="n">
        <f aca="false">SUM(G10470:G10500)</f>
        <v>1415.944</v>
      </c>
      <c r="H10501" s="391"/>
    </row>
    <row r="10502" customFormat="false" ht="60" hidden="false" customHeight="false" outlineLevel="0" collapsed="false">
      <c r="A10502" s="571" t="s">
        <v>2011</v>
      </c>
      <c r="B10502" s="488" t="s">
        <v>3740</v>
      </c>
      <c r="C10502" s="860" t="s">
        <v>5963</v>
      </c>
      <c r="D10502" s="316" t="s">
        <v>4133</v>
      </c>
      <c r="E10502" s="661" t="n">
        <v>0.001</v>
      </c>
      <c r="F10502" s="617" t="n">
        <v>75072</v>
      </c>
      <c r="G10502" s="615" t="n">
        <f aca="false">E10502*F10502</f>
        <v>75.072</v>
      </c>
      <c r="H10502" s="606"/>
    </row>
    <row r="10503" customFormat="false" ht="15" hidden="false" customHeight="false" outlineLevel="0" collapsed="false">
      <c r="A10503" s="571"/>
      <c r="B10503" s="500"/>
      <c r="C10503" s="860" t="s">
        <v>6000</v>
      </c>
      <c r="D10503" s="316" t="s">
        <v>5452</v>
      </c>
      <c r="E10503" s="661" t="n">
        <v>0.01</v>
      </c>
      <c r="F10503" s="617" t="n">
        <v>14085</v>
      </c>
      <c r="G10503" s="615" t="n">
        <f aca="false">E10503*F10503</f>
        <v>140.85</v>
      </c>
      <c r="H10503" s="606"/>
    </row>
    <row r="10504" customFormat="false" ht="15" hidden="false" customHeight="false" outlineLevel="0" collapsed="false">
      <c r="A10504" s="571"/>
      <c r="B10504" s="500"/>
      <c r="C10504" s="860" t="s">
        <v>5818</v>
      </c>
      <c r="D10504" s="316" t="s">
        <v>4133</v>
      </c>
      <c r="E10504" s="661" t="n">
        <v>0.015</v>
      </c>
      <c r="F10504" s="617" t="n">
        <v>67687</v>
      </c>
      <c r="G10504" s="615" t="n">
        <f aca="false">E10504*F10504</f>
        <v>1015.305</v>
      </c>
      <c r="H10504" s="606"/>
    </row>
    <row r="10505" customFormat="false" ht="15" hidden="false" customHeight="false" outlineLevel="0" collapsed="false">
      <c r="A10505" s="571"/>
      <c r="B10505" s="500"/>
      <c r="C10505" s="860" t="s">
        <v>5962</v>
      </c>
      <c r="D10505" s="316" t="s">
        <v>4191</v>
      </c>
      <c r="E10505" s="660" t="n">
        <v>0.5</v>
      </c>
      <c r="F10505" s="617" t="n">
        <v>316.4</v>
      </c>
      <c r="G10505" s="615" t="n">
        <f aca="false">E10505*F10505</f>
        <v>158.2</v>
      </c>
      <c r="H10505" s="606"/>
    </row>
    <row r="10506" customFormat="false" ht="15" hidden="false" customHeight="false" outlineLevel="0" collapsed="false">
      <c r="A10506" s="571"/>
      <c r="B10506" s="500"/>
      <c r="C10506" s="860" t="s">
        <v>5826</v>
      </c>
      <c r="D10506" s="316" t="s">
        <v>4191</v>
      </c>
      <c r="E10506" s="954" t="n">
        <v>0.01</v>
      </c>
      <c r="F10506" s="617" t="n">
        <v>366.25</v>
      </c>
      <c r="G10506" s="615" t="n">
        <f aca="false">E10506*F10506</f>
        <v>3.6625</v>
      </c>
      <c r="H10506" s="606"/>
    </row>
    <row r="10507" customFormat="false" ht="15" hidden="false" customHeight="false" outlineLevel="0" collapsed="false">
      <c r="A10507" s="571"/>
      <c r="B10507" s="500"/>
      <c r="C10507" s="860" t="s">
        <v>5975</v>
      </c>
      <c r="D10507" s="316" t="s">
        <v>4191</v>
      </c>
      <c r="E10507" s="660" t="n">
        <v>1</v>
      </c>
      <c r="F10507" s="617" t="n">
        <v>32</v>
      </c>
      <c r="G10507" s="615" t="n">
        <f aca="false">E10507*F10507</f>
        <v>32</v>
      </c>
      <c r="H10507" s="606"/>
    </row>
    <row r="10508" customFormat="false" ht="15" hidden="false" customHeight="false" outlineLevel="0" collapsed="false">
      <c r="A10508" s="571"/>
      <c r="B10508" s="608" t="s">
        <v>4128</v>
      </c>
      <c r="C10508" s="964"/>
      <c r="D10508" s="965"/>
      <c r="E10508" s="969"/>
      <c r="F10508" s="967"/>
      <c r="G10508" s="613" t="n">
        <f aca="false">SUM(G10502:G10507)</f>
        <v>1425.0895</v>
      </c>
      <c r="H10508" s="391"/>
    </row>
    <row r="10509" customFormat="false" ht="45" hidden="false" customHeight="false" outlineLevel="0" collapsed="false">
      <c r="A10509" s="571" t="s">
        <v>2013</v>
      </c>
      <c r="B10509" s="433" t="s">
        <v>6001</v>
      </c>
      <c r="C10509" s="860" t="s">
        <v>6002</v>
      </c>
      <c r="D10509" s="316" t="s">
        <v>4133</v>
      </c>
      <c r="E10509" s="661" t="n">
        <v>0.01</v>
      </c>
      <c r="F10509" s="617" t="n">
        <v>25805</v>
      </c>
      <c r="G10509" s="615" t="n">
        <f aca="false">E10509*F10509</f>
        <v>258.05</v>
      </c>
      <c r="H10509" s="606"/>
    </row>
    <row r="10510" customFormat="false" ht="15" hidden="false" customHeight="false" outlineLevel="0" collapsed="false">
      <c r="A10510" s="571"/>
      <c r="B10510" s="500"/>
      <c r="C10510" s="860" t="s">
        <v>6003</v>
      </c>
      <c r="D10510" s="316" t="s">
        <v>4191</v>
      </c>
      <c r="E10510" s="661" t="n">
        <v>0.1</v>
      </c>
      <c r="F10510" s="617" t="n">
        <v>4800</v>
      </c>
      <c r="G10510" s="615" t="n">
        <f aca="false">E10510*F10510</f>
        <v>480</v>
      </c>
      <c r="H10510" s="606"/>
    </row>
    <row r="10511" customFormat="false" ht="15" hidden="false" customHeight="false" outlineLevel="0" collapsed="false">
      <c r="A10511" s="571"/>
      <c r="B10511" s="500"/>
      <c r="C10511" s="860" t="s">
        <v>5818</v>
      </c>
      <c r="D10511" s="316" t="s">
        <v>4133</v>
      </c>
      <c r="E10511" s="661" t="n">
        <v>0.01</v>
      </c>
      <c r="F10511" s="617" t="n">
        <v>67687</v>
      </c>
      <c r="G10511" s="615" t="n">
        <f aca="false">E10511*F10511</f>
        <v>676.87</v>
      </c>
      <c r="H10511" s="606"/>
    </row>
    <row r="10512" customFormat="false" ht="15" hidden="false" customHeight="false" outlineLevel="0" collapsed="false">
      <c r="A10512" s="571"/>
      <c r="B10512" s="500"/>
      <c r="C10512" s="860" t="s">
        <v>5927</v>
      </c>
      <c r="D10512" s="316" t="s">
        <v>4191</v>
      </c>
      <c r="E10512" s="660" t="n">
        <v>1</v>
      </c>
      <c r="F10512" s="617" t="n">
        <v>32</v>
      </c>
      <c r="G10512" s="615" t="n">
        <f aca="false">E10512*F10512</f>
        <v>32</v>
      </c>
      <c r="H10512" s="606"/>
    </row>
    <row r="10513" customFormat="false" ht="15" hidden="false" customHeight="false" outlineLevel="0" collapsed="false">
      <c r="A10513" s="571"/>
      <c r="B10513" s="500"/>
      <c r="C10513" s="860" t="s">
        <v>5826</v>
      </c>
      <c r="D10513" s="316" t="s">
        <v>4191</v>
      </c>
      <c r="E10513" s="954" t="n">
        <v>0.01</v>
      </c>
      <c r="F10513" s="617" t="n">
        <v>366.25</v>
      </c>
      <c r="G10513" s="615" t="n">
        <f aca="false">E10513*F10513</f>
        <v>3.6625</v>
      </c>
      <c r="H10513" s="606"/>
    </row>
    <row r="10514" customFormat="false" ht="15" hidden="false" customHeight="false" outlineLevel="0" collapsed="false">
      <c r="A10514" s="571"/>
      <c r="B10514" s="500"/>
      <c r="C10514" s="860" t="s">
        <v>6004</v>
      </c>
      <c r="D10514" s="316" t="s">
        <v>4191</v>
      </c>
      <c r="E10514" s="661" t="n">
        <v>0.01</v>
      </c>
      <c r="F10514" s="617" t="n">
        <v>10.9</v>
      </c>
      <c r="G10514" s="615" t="n">
        <f aca="false">E10514*F10514</f>
        <v>0.109</v>
      </c>
      <c r="H10514" s="606"/>
    </row>
    <row r="10515" customFormat="false" ht="15" hidden="false" customHeight="false" outlineLevel="0" collapsed="false">
      <c r="A10515" s="571"/>
      <c r="B10515" s="608" t="s">
        <v>4128</v>
      </c>
      <c r="C10515" s="964"/>
      <c r="D10515" s="965"/>
      <c r="E10515" s="969"/>
      <c r="F10515" s="967"/>
      <c r="G10515" s="613" t="n">
        <f aca="false">SUM(G10509:G10514)</f>
        <v>1450.6915</v>
      </c>
      <c r="H10515" s="391"/>
    </row>
    <row r="10516" customFormat="false" ht="45" hidden="false" customHeight="false" outlineLevel="0" collapsed="false">
      <c r="A10516" s="571" t="s">
        <v>2015</v>
      </c>
      <c r="B10516" s="433" t="s">
        <v>6005</v>
      </c>
      <c r="C10516" s="860" t="s">
        <v>6006</v>
      </c>
      <c r="D10516" s="316" t="s">
        <v>5847</v>
      </c>
      <c r="E10516" s="661" t="n">
        <v>0.01</v>
      </c>
      <c r="F10516" s="617" t="n">
        <v>700000</v>
      </c>
      <c r="G10516" s="615" t="n">
        <f aca="false">E10516*F10516</f>
        <v>7000</v>
      </c>
      <c r="H10516" s="606"/>
    </row>
    <row r="10517" customFormat="false" ht="15" hidden="false" customHeight="false" outlineLevel="0" collapsed="false">
      <c r="A10517" s="571"/>
      <c r="B10517" s="500"/>
      <c r="C10517" s="860" t="s">
        <v>5898</v>
      </c>
      <c r="D10517" s="316" t="s">
        <v>4191</v>
      </c>
      <c r="E10517" s="660" t="n">
        <v>2</v>
      </c>
      <c r="F10517" s="617" t="n">
        <v>121</v>
      </c>
      <c r="G10517" s="615" t="n">
        <f aca="false">E10517*F10517</f>
        <v>242</v>
      </c>
      <c r="H10517" s="606"/>
    </row>
    <row r="10518" customFormat="false" ht="15" hidden="false" customHeight="false" outlineLevel="0" collapsed="false">
      <c r="A10518" s="571"/>
      <c r="B10518" s="500"/>
      <c r="C10518" s="860" t="s">
        <v>6007</v>
      </c>
      <c r="D10518" s="316" t="s">
        <v>4191</v>
      </c>
      <c r="E10518" s="661" t="n">
        <v>5</v>
      </c>
      <c r="F10518" s="617" t="n">
        <v>10.9</v>
      </c>
      <c r="G10518" s="615" t="n">
        <f aca="false">E10518*F10518</f>
        <v>54.5</v>
      </c>
      <c r="H10518" s="606"/>
    </row>
    <row r="10519" customFormat="false" ht="15" hidden="false" customHeight="false" outlineLevel="0" collapsed="false">
      <c r="A10519" s="571"/>
      <c r="B10519" s="500"/>
      <c r="C10519" s="860" t="s">
        <v>6008</v>
      </c>
      <c r="D10519" s="316" t="s">
        <v>6009</v>
      </c>
      <c r="E10519" s="661" t="n">
        <v>0.02</v>
      </c>
      <c r="F10519" s="617" t="n">
        <v>1050</v>
      </c>
      <c r="G10519" s="615" t="n">
        <f aca="false">E10519*F10519</f>
        <v>21</v>
      </c>
      <c r="H10519" s="606"/>
    </row>
    <row r="10520" customFormat="false" ht="15" hidden="false" customHeight="false" outlineLevel="0" collapsed="false">
      <c r="A10520" s="571"/>
      <c r="B10520" s="500"/>
      <c r="C10520" s="860" t="s">
        <v>5927</v>
      </c>
      <c r="D10520" s="316" t="s">
        <v>4191</v>
      </c>
      <c r="E10520" s="660" t="n">
        <v>3</v>
      </c>
      <c r="F10520" s="617" t="n">
        <v>32</v>
      </c>
      <c r="G10520" s="615" t="n">
        <f aca="false">E10520*F10520</f>
        <v>96</v>
      </c>
      <c r="H10520" s="606"/>
    </row>
    <row r="10521" customFormat="false" ht="15" hidden="false" customHeight="false" outlineLevel="0" collapsed="false">
      <c r="A10521" s="571"/>
      <c r="B10521" s="608" t="s">
        <v>6010</v>
      </c>
      <c r="C10521" s="964"/>
      <c r="D10521" s="965"/>
      <c r="E10521" s="969"/>
      <c r="F10521" s="967"/>
      <c r="G10521" s="613" t="n">
        <f aca="false">SUM(G10516:G10520)</f>
        <v>7413.5</v>
      </c>
      <c r="H10521" s="391"/>
    </row>
    <row r="10522" customFormat="false" ht="28.5" hidden="false" customHeight="false" outlineLevel="0" collapsed="false">
      <c r="A10522" s="350" t="s">
        <v>2017</v>
      </c>
      <c r="B10522" s="346" t="s">
        <v>3743</v>
      </c>
      <c r="C10522" s="601"/>
      <c r="D10522" s="600"/>
      <c r="E10522" s="843"/>
      <c r="F10522" s="364"/>
      <c r="G10522" s="713"/>
      <c r="H10522" s="600"/>
    </row>
    <row r="10523" customFormat="false" ht="30" hidden="false" customHeight="false" outlineLevel="0" collapsed="false">
      <c r="A10523" s="571" t="s">
        <v>2019</v>
      </c>
      <c r="B10523" s="374" t="s">
        <v>3744</v>
      </c>
      <c r="C10523" s="978" t="s">
        <v>6011</v>
      </c>
      <c r="D10523" s="255" t="s">
        <v>5847</v>
      </c>
      <c r="E10523" s="979" t="n">
        <v>0.02</v>
      </c>
      <c r="F10523" s="604" t="n">
        <v>80650</v>
      </c>
      <c r="G10523" s="948" t="n">
        <f aca="false">E10523*F10523</f>
        <v>1613</v>
      </c>
      <c r="H10523" s="606"/>
    </row>
    <row r="10524" customFormat="false" ht="15" hidden="false" customHeight="false" outlineLevel="0" collapsed="false">
      <c r="A10524" s="571"/>
      <c r="B10524" s="638"/>
      <c r="C10524" s="978" t="s">
        <v>6004</v>
      </c>
      <c r="D10524" s="255" t="s">
        <v>4191</v>
      </c>
      <c r="E10524" s="979" t="n">
        <v>0.01</v>
      </c>
      <c r="F10524" s="604" t="n">
        <v>160</v>
      </c>
      <c r="G10524" s="948" t="n">
        <f aca="false">E10524*F10524</f>
        <v>1.6</v>
      </c>
      <c r="H10524" s="606"/>
    </row>
    <row r="10525" customFormat="false" ht="15" hidden="false" customHeight="false" outlineLevel="0" collapsed="false">
      <c r="A10525" s="571"/>
      <c r="B10525" s="638"/>
      <c r="C10525" s="978" t="s">
        <v>5826</v>
      </c>
      <c r="D10525" s="255" t="s">
        <v>4191</v>
      </c>
      <c r="E10525" s="954" t="n">
        <v>0.01</v>
      </c>
      <c r="F10525" s="604" t="n">
        <v>266.25</v>
      </c>
      <c r="G10525" s="948" t="n">
        <f aca="false">E10525*F10525</f>
        <v>2.6625</v>
      </c>
      <c r="H10525" s="606"/>
    </row>
    <row r="10526" customFormat="false" ht="15" hidden="false" customHeight="false" outlineLevel="0" collapsed="false">
      <c r="A10526" s="571"/>
      <c r="B10526" s="980" t="s">
        <v>4128</v>
      </c>
      <c r="C10526" s="981"/>
      <c r="D10526" s="982"/>
      <c r="E10526" s="983"/>
      <c r="F10526" s="984"/>
      <c r="G10526" s="613" t="n">
        <f aca="false">SUM(G10523:G10525)</f>
        <v>1617.2625</v>
      </c>
      <c r="H10526" s="391"/>
    </row>
    <row r="10527" customFormat="false" ht="30" hidden="false" customHeight="false" outlineLevel="0" collapsed="false">
      <c r="A10527" s="571" t="s">
        <v>2021</v>
      </c>
      <c r="B10527" s="374" t="s">
        <v>3745</v>
      </c>
      <c r="C10527" s="985" t="s">
        <v>6012</v>
      </c>
      <c r="D10527" s="986" t="s">
        <v>5847</v>
      </c>
      <c r="E10527" s="979" t="n">
        <v>0.014</v>
      </c>
      <c r="F10527" s="604" t="n">
        <v>130000</v>
      </c>
      <c r="G10527" s="948" t="n">
        <f aca="false">E10527*F10527</f>
        <v>1820</v>
      </c>
      <c r="H10527" s="391"/>
    </row>
    <row r="10528" customFormat="false" ht="15" hidden="false" customHeight="false" outlineLevel="0" collapsed="false">
      <c r="A10528" s="571"/>
      <c r="B10528" s="987"/>
      <c r="C10528" s="978" t="s">
        <v>6004</v>
      </c>
      <c r="D10528" s="255" t="s">
        <v>4191</v>
      </c>
      <c r="E10528" s="979" t="n">
        <v>0.1</v>
      </c>
      <c r="F10528" s="604" t="n">
        <v>160</v>
      </c>
      <c r="G10528" s="948" t="n">
        <f aca="false">E10528*F10528</f>
        <v>16</v>
      </c>
      <c r="H10528" s="606"/>
    </row>
    <row r="10529" customFormat="false" ht="15" hidden="false" customHeight="false" outlineLevel="0" collapsed="false">
      <c r="A10529" s="571"/>
      <c r="B10529" s="638"/>
      <c r="C10529" s="978" t="s">
        <v>5826</v>
      </c>
      <c r="D10529" s="255" t="s">
        <v>4191</v>
      </c>
      <c r="E10529" s="954" t="n">
        <v>0.01</v>
      </c>
      <c r="F10529" s="604" t="n">
        <v>236</v>
      </c>
      <c r="G10529" s="948" t="n">
        <f aca="false">E10529*F10529</f>
        <v>2.36</v>
      </c>
      <c r="H10529" s="606"/>
    </row>
    <row r="10530" customFormat="false" ht="15" hidden="false" customHeight="false" outlineLevel="0" collapsed="false">
      <c r="A10530" s="571" t="s">
        <v>6013</v>
      </c>
      <c r="B10530" s="980" t="s">
        <v>4128</v>
      </c>
      <c r="C10530" s="981"/>
      <c r="D10530" s="982"/>
      <c r="E10530" s="983"/>
      <c r="F10530" s="984"/>
      <c r="G10530" s="947" t="n">
        <f aca="false">SUM(G10527:G10529)</f>
        <v>1838.36</v>
      </c>
      <c r="H10530" s="391"/>
    </row>
    <row r="10531" customFormat="false" ht="30" hidden="false" customHeight="false" outlineLevel="0" collapsed="false">
      <c r="A10531" s="571" t="s">
        <v>2023</v>
      </c>
      <c r="B10531" s="374" t="s">
        <v>3746</v>
      </c>
      <c r="C10531" s="978" t="s">
        <v>6014</v>
      </c>
      <c r="D10531" s="255" t="s">
        <v>5847</v>
      </c>
      <c r="E10531" s="979" t="n">
        <v>0.003</v>
      </c>
      <c r="F10531" s="604" t="n">
        <v>308000</v>
      </c>
      <c r="G10531" s="948" t="n">
        <f aca="false">E10531*F10531</f>
        <v>924</v>
      </c>
      <c r="H10531" s="606"/>
    </row>
    <row r="10532" customFormat="false" ht="15" hidden="false" customHeight="false" outlineLevel="0" collapsed="false">
      <c r="A10532" s="571"/>
      <c r="B10532" s="638"/>
      <c r="C10532" s="978" t="s">
        <v>6015</v>
      </c>
      <c r="D10532" s="255" t="s">
        <v>5847</v>
      </c>
      <c r="E10532" s="979" t="n">
        <v>0.003</v>
      </c>
      <c r="F10532" s="604" t="n">
        <v>308000</v>
      </c>
      <c r="G10532" s="948" t="n">
        <f aca="false">F10532*E10532</f>
        <v>924</v>
      </c>
      <c r="H10532" s="606"/>
    </row>
    <row r="10533" customFormat="false" ht="15" hidden="false" customHeight="false" outlineLevel="0" collapsed="false">
      <c r="A10533" s="571"/>
      <c r="B10533" s="638"/>
      <c r="C10533" s="978" t="s">
        <v>6004</v>
      </c>
      <c r="D10533" s="255" t="s">
        <v>4191</v>
      </c>
      <c r="E10533" s="979" t="n">
        <v>2</v>
      </c>
      <c r="F10533" s="604" t="n">
        <v>160</v>
      </c>
      <c r="G10533" s="948" t="n">
        <f aca="false">F10533*E10533</f>
        <v>320</v>
      </c>
      <c r="H10533" s="606"/>
    </row>
    <row r="10534" customFormat="false" ht="15" hidden="false" customHeight="false" outlineLevel="0" collapsed="false">
      <c r="A10534" s="571"/>
      <c r="B10534" s="638"/>
      <c r="C10534" s="978" t="s">
        <v>5826</v>
      </c>
      <c r="D10534" s="255" t="s">
        <v>4191</v>
      </c>
      <c r="E10534" s="954" t="n">
        <v>0.01</v>
      </c>
      <c r="F10534" s="604" t="n">
        <v>266.25</v>
      </c>
      <c r="G10534" s="948" t="n">
        <f aca="false">F10534*E10534</f>
        <v>2.6625</v>
      </c>
      <c r="H10534" s="912"/>
    </row>
    <row r="10535" customFormat="false" ht="15" hidden="false" customHeight="false" outlineLevel="0" collapsed="false">
      <c r="A10535" s="571"/>
      <c r="B10535" s="980" t="s">
        <v>4128</v>
      </c>
      <c r="C10535" s="981"/>
      <c r="D10535" s="982"/>
      <c r="E10535" s="983"/>
      <c r="F10535" s="984"/>
      <c r="G10535" s="947" t="n">
        <f aca="false">SUM(G10531:G10534)</f>
        <v>2170.6625</v>
      </c>
      <c r="H10535" s="391"/>
    </row>
    <row r="10536" s="451" customFormat="true" ht="15" hidden="false" customHeight="false" outlineLevel="0" collapsed="false">
      <c r="A10536" s="707" t="s">
        <v>2025</v>
      </c>
      <c r="B10536" s="533" t="s">
        <v>6016</v>
      </c>
      <c r="C10536" s="978" t="s">
        <v>6017</v>
      </c>
      <c r="D10536" s="988" t="s">
        <v>5847</v>
      </c>
      <c r="E10536" s="989" t="n">
        <v>0.02</v>
      </c>
      <c r="F10536" s="604" t="n">
        <v>90000</v>
      </c>
      <c r="G10536" s="990" t="n">
        <f aca="false">E10536*F10536</f>
        <v>1800</v>
      </c>
      <c r="H10536" s="679"/>
    </row>
    <row r="10537" s="451" customFormat="true" ht="15" hidden="false" customHeight="false" outlineLevel="0" collapsed="false">
      <c r="A10537" s="707"/>
      <c r="B10537" s="991"/>
      <c r="C10537" s="978" t="s">
        <v>6004</v>
      </c>
      <c r="D10537" s="988" t="s">
        <v>4191</v>
      </c>
      <c r="E10537" s="989" t="n">
        <v>0.01</v>
      </c>
      <c r="F10537" s="604" t="n">
        <v>1800</v>
      </c>
      <c r="G10537" s="990" t="n">
        <f aca="false">E10537*F10537</f>
        <v>18</v>
      </c>
      <c r="H10537" s="679"/>
    </row>
    <row r="10538" s="451" customFormat="true" ht="15" hidden="false" customHeight="false" outlineLevel="0" collapsed="false">
      <c r="A10538" s="707"/>
      <c r="B10538" s="522"/>
      <c r="C10538" s="860" t="s">
        <v>5826</v>
      </c>
      <c r="D10538" s="877" t="s">
        <v>4191</v>
      </c>
      <c r="E10538" s="954" t="n">
        <v>0.01</v>
      </c>
      <c r="F10538" s="681" t="n">
        <v>80</v>
      </c>
      <c r="G10538" s="990" t="n">
        <f aca="false">E10538*F10538</f>
        <v>0.8</v>
      </c>
      <c r="H10538" s="679"/>
    </row>
    <row r="10539" s="451" customFormat="true" ht="15" hidden="false" customHeight="false" outlineLevel="0" collapsed="false">
      <c r="A10539" s="707"/>
      <c r="B10539" s="708" t="s">
        <v>4128</v>
      </c>
      <c r="C10539" s="718"/>
      <c r="D10539" s="719"/>
      <c r="E10539" s="722"/>
      <c r="F10539" s="366"/>
      <c r="G10539" s="992" t="n">
        <f aca="false">SUM(G10536:G10538)</f>
        <v>1818.8</v>
      </c>
      <c r="H10539" s="392"/>
    </row>
    <row r="10540" customFormat="false" ht="15" hidden="false" customHeight="false" outlineLevel="0" collapsed="false">
      <c r="A10540" s="350" t="s">
        <v>2027</v>
      </c>
      <c r="B10540" s="346" t="s">
        <v>3748</v>
      </c>
      <c r="C10540" s="811"/>
      <c r="D10540" s="790"/>
      <c r="E10540" s="752"/>
      <c r="F10540" s="519"/>
      <c r="G10540" s="753"/>
      <c r="H10540" s="790"/>
    </row>
    <row r="10541" customFormat="false" ht="60" hidden="false" customHeight="false" outlineLevel="0" collapsed="false">
      <c r="A10541" s="571" t="s">
        <v>2029</v>
      </c>
      <c r="B10541" s="433" t="s">
        <v>3749</v>
      </c>
      <c r="C10541" s="860" t="s">
        <v>5818</v>
      </c>
      <c r="D10541" s="316" t="s">
        <v>4133</v>
      </c>
      <c r="E10541" s="661" t="n">
        <v>0.04</v>
      </c>
      <c r="F10541" s="617" t="n">
        <v>67687</v>
      </c>
      <c r="G10541" s="615" t="n">
        <f aca="false">E10541*F10541</f>
        <v>2707.48</v>
      </c>
      <c r="H10541" s="606"/>
    </row>
    <row r="10542" customFormat="false" ht="15" hidden="false" customHeight="false" outlineLevel="0" collapsed="false">
      <c r="A10542" s="571"/>
      <c r="B10542" s="433"/>
      <c r="C10542" s="860" t="s">
        <v>5819</v>
      </c>
      <c r="D10542" s="316" t="s">
        <v>4191</v>
      </c>
      <c r="E10542" s="954" t="n">
        <v>0.01</v>
      </c>
      <c r="F10542" s="617" t="n">
        <v>316.4</v>
      </c>
      <c r="G10542" s="615" t="n">
        <f aca="false">E10542*F10542</f>
        <v>3.164</v>
      </c>
      <c r="H10542" s="606"/>
    </row>
    <row r="10543" customFormat="false" ht="15" hidden="false" customHeight="false" outlineLevel="0" collapsed="false">
      <c r="A10543" s="571"/>
      <c r="B10543" s="433"/>
      <c r="C10543" s="860" t="s">
        <v>5820</v>
      </c>
      <c r="D10543" s="316" t="s">
        <v>4191</v>
      </c>
      <c r="E10543" s="954" t="n">
        <v>0.01</v>
      </c>
      <c r="F10543" s="617" t="n">
        <v>650</v>
      </c>
      <c r="G10543" s="615" t="n">
        <f aca="false">E10543*F10543</f>
        <v>6.5</v>
      </c>
      <c r="H10543" s="391"/>
    </row>
    <row r="10544" customFormat="false" ht="15" hidden="false" customHeight="false" outlineLevel="0" collapsed="false">
      <c r="A10544" s="571"/>
      <c r="B10544" s="433"/>
      <c r="C10544" s="860" t="s">
        <v>6018</v>
      </c>
      <c r="D10544" s="316" t="s">
        <v>4191</v>
      </c>
      <c r="E10544" s="664" t="n">
        <v>0.001</v>
      </c>
      <c r="F10544" s="681" t="n">
        <v>38000</v>
      </c>
      <c r="G10544" s="615" t="n">
        <f aca="false">E10544*F10544</f>
        <v>38</v>
      </c>
      <c r="H10544" s="606"/>
    </row>
    <row r="10545" customFormat="false" ht="15" hidden="false" customHeight="false" outlineLevel="0" collapsed="false">
      <c r="A10545" s="571"/>
      <c r="B10545" s="433"/>
      <c r="C10545" s="860" t="s">
        <v>4515</v>
      </c>
      <c r="D10545" s="316" t="s">
        <v>4133</v>
      </c>
      <c r="E10545" s="661" t="n">
        <v>0.1</v>
      </c>
      <c r="F10545" s="681" t="n">
        <v>350</v>
      </c>
      <c r="G10545" s="615" t="n">
        <f aca="false">E10545*F10545</f>
        <v>35</v>
      </c>
      <c r="H10545" s="606"/>
    </row>
    <row r="10546" customFormat="false" ht="15" hidden="false" customHeight="false" outlineLevel="0" collapsed="false">
      <c r="A10546" s="571"/>
      <c r="B10546" s="608" t="s">
        <v>4128</v>
      </c>
      <c r="C10546" s="964"/>
      <c r="D10546" s="965"/>
      <c r="E10546" s="969"/>
      <c r="F10546" s="967"/>
      <c r="G10546" s="947" t="n">
        <f aca="false">SUM(G10541:G10545)</f>
        <v>2790.144</v>
      </c>
      <c r="H10546" s="606"/>
    </row>
    <row r="10547" customFormat="false" ht="15" hidden="false" customHeight="false" outlineLevel="0" collapsed="false">
      <c r="A10547" s="571" t="s">
        <v>2031</v>
      </c>
      <c r="B10547" s="328" t="s">
        <v>3750</v>
      </c>
      <c r="C10547" s="860" t="s">
        <v>6006</v>
      </c>
      <c r="D10547" s="316" t="s">
        <v>5847</v>
      </c>
      <c r="E10547" s="661" t="n">
        <v>0.005</v>
      </c>
      <c r="F10547" s="617" t="n">
        <v>700000</v>
      </c>
      <c r="G10547" s="615" t="n">
        <f aca="false">E10547*F10547</f>
        <v>3500</v>
      </c>
      <c r="H10547" s="606"/>
    </row>
    <row r="10548" customFormat="false" ht="15" hidden="false" customHeight="false" outlineLevel="0" collapsed="false">
      <c r="A10548" s="571"/>
      <c r="B10548" s="500"/>
      <c r="C10548" s="860" t="s">
        <v>5898</v>
      </c>
      <c r="D10548" s="316" t="s">
        <v>4191</v>
      </c>
      <c r="E10548" s="660" t="n">
        <v>1</v>
      </c>
      <c r="F10548" s="617" t="n">
        <v>121</v>
      </c>
      <c r="G10548" s="615" t="n">
        <f aca="false">E10548*F10548</f>
        <v>121</v>
      </c>
      <c r="H10548" s="606"/>
    </row>
    <row r="10549" customFormat="false" ht="15" hidden="false" customHeight="false" outlineLevel="0" collapsed="false">
      <c r="A10549" s="571"/>
      <c r="B10549" s="500"/>
      <c r="C10549" s="860" t="s">
        <v>6007</v>
      </c>
      <c r="D10549" s="316" t="s">
        <v>4191</v>
      </c>
      <c r="E10549" s="661" t="n">
        <v>1</v>
      </c>
      <c r="F10549" s="617" t="n">
        <v>10.9</v>
      </c>
      <c r="G10549" s="615" t="n">
        <f aca="false">E10549*F10549</f>
        <v>10.9</v>
      </c>
      <c r="H10549" s="912"/>
    </row>
    <row r="10550" customFormat="false" ht="15" hidden="false" customHeight="false" outlineLevel="0" collapsed="false">
      <c r="A10550" s="571"/>
      <c r="B10550" s="500"/>
      <c r="C10550" s="860" t="s">
        <v>6008</v>
      </c>
      <c r="D10550" s="316" t="s">
        <v>6009</v>
      </c>
      <c r="E10550" s="661" t="n">
        <v>0.01</v>
      </c>
      <c r="F10550" s="617" t="n">
        <v>1050</v>
      </c>
      <c r="G10550" s="615" t="n">
        <f aca="false">E10550*F10550</f>
        <v>10.5</v>
      </c>
      <c r="H10550" s="606"/>
    </row>
    <row r="10551" customFormat="false" ht="15" hidden="false" customHeight="false" outlineLevel="0" collapsed="false">
      <c r="A10551" s="571"/>
      <c r="B10551" s="328"/>
      <c r="C10551" s="860" t="s">
        <v>5927</v>
      </c>
      <c r="D10551" s="316" t="s">
        <v>4191</v>
      </c>
      <c r="E10551" s="660" t="n">
        <v>2</v>
      </c>
      <c r="F10551" s="617" t="n">
        <v>32</v>
      </c>
      <c r="G10551" s="615" t="n">
        <f aca="false">E10551*F10551</f>
        <v>64</v>
      </c>
      <c r="H10551" s="391"/>
    </row>
    <row r="10552" customFormat="false" ht="15" hidden="false" customHeight="false" outlineLevel="0" collapsed="false">
      <c r="A10552" s="571"/>
      <c r="B10552" s="608" t="s">
        <v>4128</v>
      </c>
      <c r="C10552" s="718"/>
      <c r="D10552" s="610"/>
      <c r="E10552" s="611"/>
      <c r="F10552" s="612"/>
      <c r="G10552" s="947" t="n">
        <f aca="false">SUM(G10547:G10551)</f>
        <v>3706.4</v>
      </c>
      <c r="H10552" s="606"/>
    </row>
    <row r="10553" customFormat="false" ht="28.5" hidden="false" customHeight="false" outlineLevel="0" collapsed="false">
      <c r="A10553" s="350" t="s">
        <v>2033</v>
      </c>
      <c r="B10553" s="346" t="s">
        <v>6019</v>
      </c>
      <c r="C10553" s="811"/>
      <c r="D10553" s="790"/>
      <c r="E10553" s="752"/>
      <c r="F10553" s="519"/>
      <c r="G10553" s="753"/>
      <c r="H10553" s="790"/>
    </row>
    <row r="10554" customFormat="false" ht="45" hidden="false" customHeight="false" outlineLevel="0" collapsed="false">
      <c r="A10554" s="571" t="s">
        <v>2035</v>
      </c>
      <c r="B10554" s="433" t="s">
        <v>3752</v>
      </c>
      <c r="C10554" s="860" t="s">
        <v>5819</v>
      </c>
      <c r="D10554" s="316" t="s">
        <v>4191</v>
      </c>
      <c r="E10554" s="954" t="n">
        <v>0.01</v>
      </c>
      <c r="F10554" s="617" t="n">
        <v>316.4</v>
      </c>
      <c r="G10554" s="615" t="n">
        <f aca="false">E10554*F10554</f>
        <v>3.164</v>
      </c>
      <c r="H10554" s="606"/>
    </row>
    <row r="10555" customFormat="false" ht="15" hidden="false" customHeight="false" outlineLevel="0" collapsed="false">
      <c r="A10555" s="571"/>
      <c r="B10555" s="500"/>
      <c r="C10555" s="860" t="s">
        <v>5826</v>
      </c>
      <c r="D10555" s="316" t="s">
        <v>4191</v>
      </c>
      <c r="E10555" s="954" t="n">
        <v>0.01</v>
      </c>
      <c r="F10555" s="617" t="n">
        <v>650</v>
      </c>
      <c r="G10555" s="615" t="n">
        <f aca="false">E10555*F10555</f>
        <v>6.5</v>
      </c>
      <c r="H10555" s="606"/>
    </row>
    <row r="10556" customFormat="false" ht="15" hidden="false" customHeight="false" outlineLevel="0" collapsed="false">
      <c r="A10556" s="571"/>
      <c r="B10556" s="500"/>
      <c r="C10556" s="860" t="s">
        <v>5820</v>
      </c>
      <c r="D10556" s="316" t="s">
        <v>4191</v>
      </c>
      <c r="E10556" s="954" t="n">
        <v>0.01</v>
      </c>
      <c r="F10556" s="617" t="n">
        <v>366.25</v>
      </c>
      <c r="G10556" s="615" t="n">
        <f aca="false">E10556*F10556</f>
        <v>3.6625</v>
      </c>
      <c r="H10556" s="606"/>
    </row>
    <row r="10557" customFormat="false" ht="15" hidden="false" customHeight="false" outlineLevel="0" collapsed="false">
      <c r="A10557" s="571"/>
      <c r="B10557" s="500"/>
      <c r="C10557" s="860" t="s">
        <v>5851</v>
      </c>
      <c r="D10557" s="316" t="s">
        <v>4348</v>
      </c>
      <c r="E10557" s="661" t="n">
        <v>0.01</v>
      </c>
      <c r="F10557" s="617" t="n">
        <v>19488</v>
      </c>
      <c r="G10557" s="615" t="n">
        <f aca="false">E10557*F10557</f>
        <v>194.88</v>
      </c>
      <c r="H10557" s="606"/>
    </row>
    <row r="10558" customFormat="false" ht="15" hidden="false" customHeight="false" outlineLevel="0" collapsed="false">
      <c r="A10558" s="571"/>
      <c r="B10558" s="500"/>
      <c r="C10558" s="860" t="s">
        <v>4515</v>
      </c>
      <c r="D10558" s="316" t="s">
        <v>4133</v>
      </c>
      <c r="E10558" s="661" t="n">
        <v>0.3</v>
      </c>
      <c r="F10558" s="681" t="n">
        <v>350</v>
      </c>
      <c r="G10558" s="615" t="n">
        <f aca="false">E10558*F10558</f>
        <v>105</v>
      </c>
      <c r="H10558" s="606"/>
    </row>
    <row r="10559" customFormat="false" ht="15" hidden="false" customHeight="false" outlineLevel="0" collapsed="false">
      <c r="A10559" s="571"/>
      <c r="B10559" s="500"/>
      <c r="C10559" s="860" t="s">
        <v>4776</v>
      </c>
      <c r="D10559" s="316" t="s">
        <v>4359</v>
      </c>
      <c r="E10559" s="661" t="n">
        <v>0.3</v>
      </c>
      <c r="F10559" s="617" t="n">
        <v>800</v>
      </c>
      <c r="G10559" s="615" t="n">
        <f aca="false">E10559*F10559</f>
        <v>240</v>
      </c>
      <c r="H10559" s="606"/>
    </row>
    <row r="10560" customFormat="false" ht="15" hidden="false" customHeight="false" outlineLevel="0" collapsed="false">
      <c r="A10560" s="571"/>
      <c r="B10560" s="500"/>
      <c r="C10560" s="860" t="s">
        <v>5896</v>
      </c>
      <c r="D10560" s="316" t="s">
        <v>4348</v>
      </c>
      <c r="E10560" s="664" t="n">
        <v>0.005</v>
      </c>
      <c r="F10560" s="617" t="n">
        <v>200000</v>
      </c>
      <c r="G10560" s="615" t="n">
        <f aca="false">E10560*F10560</f>
        <v>1000</v>
      </c>
      <c r="H10560" s="606"/>
    </row>
    <row r="10561" customFormat="false" ht="30" hidden="false" customHeight="false" outlineLevel="0" collapsed="false">
      <c r="A10561" s="571"/>
      <c r="B10561" s="500"/>
      <c r="C10561" s="860" t="s">
        <v>5938</v>
      </c>
      <c r="D10561" s="316" t="s">
        <v>4348</v>
      </c>
      <c r="E10561" s="975" t="n">
        <v>0.005</v>
      </c>
      <c r="F10561" s="617" t="n">
        <v>63000</v>
      </c>
      <c r="G10561" s="615" t="n">
        <f aca="false">E10561*F10561</f>
        <v>315</v>
      </c>
      <c r="H10561" s="912"/>
    </row>
    <row r="10562" customFormat="false" ht="15" hidden="false" customHeight="false" outlineLevel="0" collapsed="false">
      <c r="A10562" s="571"/>
      <c r="B10562" s="500"/>
      <c r="C10562" s="860" t="s">
        <v>5818</v>
      </c>
      <c r="D10562" s="316" t="s">
        <v>4133</v>
      </c>
      <c r="E10562" s="661" t="n">
        <v>0.002</v>
      </c>
      <c r="F10562" s="617" t="n">
        <v>67687</v>
      </c>
      <c r="G10562" s="615" t="n">
        <f aca="false">E10562*F10562</f>
        <v>135.374</v>
      </c>
      <c r="H10562" s="606"/>
    </row>
    <row r="10563" customFormat="false" ht="15" hidden="false" customHeight="false" outlineLevel="0" collapsed="false">
      <c r="A10563" s="571"/>
      <c r="B10563" s="328"/>
      <c r="C10563" s="860" t="s">
        <v>5827</v>
      </c>
      <c r="D10563" s="316" t="s">
        <v>4348</v>
      </c>
      <c r="E10563" s="661" t="n">
        <v>0.01</v>
      </c>
      <c r="F10563" s="617" t="n">
        <v>370</v>
      </c>
      <c r="G10563" s="615" t="n">
        <f aca="false">E10563*F10563</f>
        <v>3.7</v>
      </c>
      <c r="H10563" s="606"/>
    </row>
    <row r="10564" customFormat="false" ht="15" hidden="false" customHeight="false" outlineLevel="0" collapsed="false">
      <c r="A10564" s="571"/>
      <c r="B10564" s="500"/>
      <c r="C10564" s="860" t="s">
        <v>5859</v>
      </c>
      <c r="D10564" s="316" t="s">
        <v>4359</v>
      </c>
      <c r="E10564" s="661" t="n">
        <v>0.001</v>
      </c>
      <c r="F10564" s="617" t="n">
        <v>1995</v>
      </c>
      <c r="G10564" s="926" t="n">
        <f aca="false">E10564*F10564</f>
        <v>1.995</v>
      </c>
      <c r="H10564" s="391"/>
    </row>
    <row r="10565" customFormat="false" ht="15" hidden="false" customHeight="false" outlineLevel="0" collapsed="false">
      <c r="A10565" s="571"/>
      <c r="B10565" s="608" t="s">
        <v>4128</v>
      </c>
      <c r="C10565" s="860"/>
      <c r="D10565" s="316"/>
      <c r="E10565" s="661"/>
      <c r="F10565" s="617"/>
      <c r="G10565" s="993" t="n">
        <f aca="false">SUM(G10554:G10564)</f>
        <v>2009.2755</v>
      </c>
      <c r="H10565" s="391"/>
    </row>
    <row r="10566" customFormat="false" ht="15" hidden="false" customHeight="false" outlineLevel="0" collapsed="false">
      <c r="A10566" s="350" t="s">
        <v>2037</v>
      </c>
      <c r="B10566" s="509" t="s">
        <v>6020</v>
      </c>
      <c r="C10566" s="601"/>
      <c r="D10566" s="600"/>
      <c r="E10566" s="994"/>
      <c r="F10566" s="364"/>
      <c r="G10566" s="995"/>
      <c r="H10566" s="339"/>
    </row>
    <row r="10567" customFormat="false" ht="60" hidden="false" customHeight="false" outlineLevel="0" collapsed="false">
      <c r="A10567" s="571" t="s">
        <v>2039</v>
      </c>
      <c r="B10567" s="525" t="s">
        <v>3754</v>
      </c>
      <c r="C10567" s="996" t="s">
        <v>6021</v>
      </c>
      <c r="D10567" s="997" t="s">
        <v>4359</v>
      </c>
      <c r="E10567" s="998" t="n">
        <v>0.01</v>
      </c>
      <c r="F10567" s="999" t="n">
        <v>3250</v>
      </c>
      <c r="G10567" s="615" t="n">
        <f aca="false">E10567*F10567</f>
        <v>32.5</v>
      </c>
      <c r="H10567" s="606"/>
    </row>
    <row r="10568" customFormat="false" ht="30" hidden="false" customHeight="false" outlineLevel="0" collapsed="false">
      <c r="A10568" s="571"/>
      <c r="B10568" s="500"/>
      <c r="C10568" s="996" t="s">
        <v>6022</v>
      </c>
      <c r="D10568" s="997" t="s">
        <v>4359</v>
      </c>
      <c r="E10568" s="998" t="n">
        <v>0.01</v>
      </c>
      <c r="F10568" s="999" t="n">
        <v>4440</v>
      </c>
      <c r="G10568" s="615" t="n">
        <f aca="false">E10568*F10568</f>
        <v>44.4</v>
      </c>
      <c r="H10568" s="606"/>
    </row>
    <row r="10569" customFormat="false" ht="45" hidden="false" customHeight="false" outlineLevel="0" collapsed="false">
      <c r="A10569" s="571"/>
      <c r="B10569" s="500"/>
      <c r="C10569" s="996" t="s">
        <v>6023</v>
      </c>
      <c r="D10569" s="997" t="s">
        <v>5788</v>
      </c>
      <c r="E10569" s="998" t="n">
        <v>1</v>
      </c>
      <c r="F10569" s="999" t="n">
        <v>36</v>
      </c>
      <c r="G10569" s="615" t="n">
        <f aca="false">E10569*F10569</f>
        <v>36</v>
      </c>
      <c r="H10569" s="606"/>
    </row>
    <row r="10570" customFormat="false" ht="45" hidden="false" customHeight="false" outlineLevel="0" collapsed="false">
      <c r="A10570" s="571"/>
      <c r="B10570" s="500"/>
      <c r="C10570" s="1000" t="s">
        <v>6024</v>
      </c>
      <c r="D10570" s="997" t="s">
        <v>4348</v>
      </c>
      <c r="E10570" s="998" t="n">
        <v>0.1</v>
      </c>
      <c r="F10570" s="999" t="n">
        <v>110</v>
      </c>
      <c r="G10570" s="615" t="n">
        <f aca="false">E10570*F10570</f>
        <v>11</v>
      </c>
      <c r="H10570" s="606"/>
    </row>
    <row r="10571" customFormat="false" ht="30" hidden="false" customHeight="false" outlineLevel="0" collapsed="false">
      <c r="A10571" s="571"/>
      <c r="B10571" s="500"/>
      <c r="C10571" s="1001" t="s">
        <v>6025</v>
      </c>
      <c r="D10571" s="1002" t="s">
        <v>4359</v>
      </c>
      <c r="E10571" s="1003" t="n">
        <v>0.05</v>
      </c>
      <c r="F10571" s="1004" t="n">
        <v>800</v>
      </c>
      <c r="G10571" s="615" t="n">
        <f aca="false">E10571*F10571</f>
        <v>40</v>
      </c>
      <c r="H10571" s="606"/>
    </row>
    <row r="10572" customFormat="false" ht="15" hidden="false" customHeight="false" outlineLevel="0" collapsed="false">
      <c r="A10572" s="571"/>
      <c r="B10572" s="500"/>
      <c r="C10572" s="1001" t="s">
        <v>6026</v>
      </c>
      <c r="D10572" s="1002" t="s">
        <v>6027</v>
      </c>
      <c r="E10572" s="1003" t="n">
        <v>0.05</v>
      </c>
      <c r="F10572" s="1005" t="n">
        <v>350</v>
      </c>
      <c r="G10572" s="615" t="n">
        <f aca="false">E10572*F10572</f>
        <v>17.5</v>
      </c>
      <c r="H10572" s="606"/>
    </row>
    <row r="10573" customFormat="false" ht="15" hidden="false" customHeight="false" outlineLevel="0" collapsed="false">
      <c r="A10573" s="571"/>
      <c r="B10573" s="500"/>
      <c r="C10573" s="1001" t="s">
        <v>6028</v>
      </c>
      <c r="D10573" s="1002" t="s">
        <v>4348</v>
      </c>
      <c r="E10573" s="1003" t="n">
        <v>1</v>
      </c>
      <c r="F10573" s="1004" t="n">
        <v>370</v>
      </c>
      <c r="G10573" s="615" t="n">
        <f aca="false">E10573*F10573</f>
        <v>370</v>
      </c>
      <c r="H10573" s="606"/>
    </row>
    <row r="10574" customFormat="false" ht="30" hidden="false" customHeight="false" outlineLevel="0" collapsed="false">
      <c r="A10574" s="571"/>
      <c r="B10574" s="500"/>
      <c r="C10574" s="1001" t="s">
        <v>6029</v>
      </c>
      <c r="D10574" s="1002" t="s">
        <v>4348</v>
      </c>
      <c r="E10574" s="954" t="n">
        <v>0.01</v>
      </c>
      <c r="F10574" s="1004" t="n">
        <v>581</v>
      </c>
      <c r="G10574" s="615" t="n">
        <f aca="false">E10574*F10574</f>
        <v>5.81</v>
      </c>
      <c r="H10574" s="606"/>
    </row>
    <row r="10575" customFormat="false" ht="15" hidden="false" customHeight="false" outlineLevel="0" collapsed="false">
      <c r="A10575" s="571"/>
      <c r="B10575" s="500"/>
      <c r="C10575" s="1001" t="s">
        <v>6030</v>
      </c>
      <c r="D10575" s="1002" t="s">
        <v>4348</v>
      </c>
      <c r="E10575" s="1003" t="n">
        <v>1</v>
      </c>
      <c r="F10575" s="1004" t="n">
        <v>9050</v>
      </c>
      <c r="G10575" s="615" t="n">
        <f aca="false">E10575*F10575</f>
        <v>9050</v>
      </c>
      <c r="H10575" s="606"/>
    </row>
    <row r="10576" customFormat="false" ht="60" hidden="false" customHeight="false" outlineLevel="0" collapsed="false">
      <c r="A10576" s="571"/>
      <c r="B10576" s="500"/>
      <c r="C10576" s="1006" t="s">
        <v>6031</v>
      </c>
      <c r="D10576" s="1002" t="s">
        <v>5452</v>
      </c>
      <c r="E10576" s="1003" t="n">
        <v>0.01</v>
      </c>
      <c r="F10576" s="1004" t="n">
        <v>30600</v>
      </c>
      <c r="G10576" s="615" t="n">
        <f aca="false">E10576*F10576</f>
        <v>306</v>
      </c>
      <c r="H10576" s="606"/>
    </row>
    <row r="10577" customFormat="false" ht="30" hidden="false" customHeight="false" outlineLevel="0" collapsed="false">
      <c r="A10577" s="571"/>
      <c r="B10577" s="500"/>
      <c r="C10577" s="1007" t="s">
        <v>6032</v>
      </c>
      <c r="D10577" s="1002" t="s">
        <v>4348</v>
      </c>
      <c r="E10577" s="1003" t="n">
        <v>1</v>
      </c>
      <c r="F10577" s="1004" t="n">
        <v>10</v>
      </c>
      <c r="G10577" s="615" t="n">
        <f aca="false">E10577*F10577</f>
        <v>10</v>
      </c>
      <c r="H10577" s="606"/>
    </row>
    <row r="10578" customFormat="false" ht="30" hidden="false" customHeight="false" outlineLevel="0" collapsed="false">
      <c r="A10578" s="571"/>
      <c r="B10578" s="500"/>
      <c r="C10578" s="1007" t="s">
        <v>6033</v>
      </c>
      <c r="D10578" s="1002" t="s">
        <v>4348</v>
      </c>
      <c r="E10578" s="1003" t="n">
        <v>1</v>
      </c>
      <c r="F10578" s="1004" t="n">
        <v>42</v>
      </c>
      <c r="G10578" s="615" t="n">
        <f aca="false">E10578*F10578</f>
        <v>42</v>
      </c>
      <c r="H10578" s="606"/>
    </row>
    <row r="10579" customFormat="false" ht="30" hidden="false" customHeight="false" outlineLevel="0" collapsed="false">
      <c r="A10579" s="571"/>
      <c r="B10579" s="500"/>
      <c r="C10579" s="1001" t="s">
        <v>6034</v>
      </c>
      <c r="D10579" s="1002" t="s">
        <v>4348</v>
      </c>
      <c r="E10579" s="1003" t="n">
        <v>1</v>
      </c>
      <c r="F10579" s="1004" t="n">
        <v>76</v>
      </c>
      <c r="G10579" s="615" t="n">
        <f aca="false">E10579*F10579</f>
        <v>76</v>
      </c>
      <c r="H10579" s="606"/>
    </row>
    <row r="10580" customFormat="false" ht="15" hidden="false" customHeight="false" outlineLevel="0" collapsed="false">
      <c r="A10580" s="571"/>
      <c r="B10580" s="500"/>
      <c r="C10580" s="1008" t="s">
        <v>5818</v>
      </c>
      <c r="D10580" s="1009" t="s">
        <v>6035</v>
      </c>
      <c r="E10580" s="1010" t="n">
        <v>0.01</v>
      </c>
      <c r="F10580" s="1011" t="n">
        <v>67687</v>
      </c>
      <c r="G10580" s="615" t="n">
        <f aca="false">E10580*F10580</f>
        <v>676.87</v>
      </c>
      <c r="H10580" s="606"/>
    </row>
    <row r="10581" customFormat="false" ht="15" hidden="false" customHeight="false" outlineLevel="0" collapsed="false">
      <c r="A10581" s="571"/>
      <c r="B10581" s="608" t="s">
        <v>4128</v>
      </c>
      <c r="C10581" s="1001"/>
      <c r="D10581" s="1002"/>
      <c r="E10581" s="1003"/>
      <c r="F10581" s="1004"/>
      <c r="G10581" s="1012" t="n">
        <f aca="false">SUM(G10567:G10580)</f>
        <v>10718.08</v>
      </c>
      <c r="H10581" s="606"/>
    </row>
    <row r="10582" customFormat="false" ht="60" hidden="false" customHeight="false" outlineLevel="0" collapsed="false">
      <c r="A10582" s="571" t="s">
        <v>2041</v>
      </c>
      <c r="B10582" s="525" t="s">
        <v>3755</v>
      </c>
      <c r="C10582" s="996" t="s">
        <v>6021</v>
      </c>
      <c r="D10582" s="997" t="s">
        <v>4359</v>
      </c>
      <c r="E10582" s="998" t="n">
        <v>0.01</v>
      </c>
      <c r="F10582" s="999" t="n">
        <v>3250</v>
      </c>
      <c r="G10582" s="615" t="n">
        <f aca="false">E10582*F10582</f>
        <v>32.5</v>
      </c>
      <c r="H10582" s="606"/>
    </row>
    <row r="10583" customFormat="false" ht="30" hidden="false" customHeight="false" outlineLevel="0" collapsed="false">
      <c r="A10583" s="571"/>
      <c r="B10583" s="500"/>
      <c r="C10583" s="996" t="s">
        <v>6022</v>
      </c>
      <c r="D10583" s="997" t="s">
        <v>4359</v>
      </c>
      <c r="E10583" s="998" t="n">
        <v>0.01</v>
      </c>
      <c r="F10583" s="999" t="n">
        <v>3440</v>
      </c>
      <c r="G10583" s="615" t="n">
        <f aca="false">E10583*F10583</f>
        <v>34.4</v>
      </c>
      <c r="H10583" s="606"/>
    </row>
    <row r="10584" customFormat="false" ht="45" hidden="false" customHeight="false" outlineLevel="0" collapsed="false">
      <c r="A10584" s="571"/>
      <c r="B10584" s="500"/>
      <c r="C10584" s="996" t="s">
        <v>6023</v>
      </c>
      <c r="D10584" s="997" t="s">
        <v>5788</v>
      </c>
      <c r="E10584" s="998" t="n">
        <v>1</v>
      </c>
      <c r="F10584" s="999" t="n">
        <v>36</v>
      </c>
      <c r="G10584" s="615" t="n">
        <f aca="false">E10584*F10584</f>
        <v>36</v>
      </c>
      <c r="H10584" s="606"/>
    </row>
    <row r="10585" customFormat="false" ht="45" hidden="false" customHeight="false" outlineLevel="0" collapsed="false">
      <c r="A10585" s="571"/>
      <c r="B10585" s="500"/>
      <c r="C10585" s="1000" t="s">
        <v>6024</v>
      </c>
      <c r="D10585" s="997" t="s">
        <v>4348</v>
      </c>
      <c r="E10585" s="998" t="n">
        <v>1</v>
      </c>
      <c r="F10585" s="999" t="n">
        <v>110</v>
      </c>
      <c r="G10585" s="615" t="n">
        <f aca="false">E10585*F10585</f>
        <v>110</v>
      </c>
      <c r="H10585" s="606"/>
    </row>
    <row r="10586" customFormat="false" ht="75" hidden="false" customHeight="false" outlineLevel="0" collapsed="false">
      <c r="A10586" s="571"/>
      <c r="B10586" s="500"/>
      <c r="C10586" s="1013" t="s">
        <v>6036</v>
      </c>
      <c r="D10586" s="1002" t="s">
        <v>5452</v>
      </c>
      <c r="E10586" s="1003" t="n">
        <v>0.1</v>
      </c>
      <c r="F10586" s="1004" t="n">
        <v>4950</v>
      </c>
      <c r="G10586" s="615" t="n">
        <f aca="false">E10586*F10586</f>
        <v>495</v>
      </c>
      <c r="H10586" s="606"/>
    </row>
    <row r="10587" customFormat="false" ht="30" hidden="false" customHeight="false" outlineLevel="0" collapsed="false">
      <c r="A10587" s="571"/>
      <c r="B10587" s="500"/>
      <c r="C10587" s="1001" t="s">
        <v>6025</v>
      </c>
      <c r="D10587" s="1002" t="s">
        <v>4359</v>
      </c>
      <c r="E10587" s="1003" t="n">
        <v>0.05</v>
      </c>
      <c r="F10587" s="1004" t="n">
        <v>720</v>
      </c>
      <c r="G10587" s="615" t="n">
        <f aca="false">E10587*F10587</f>
        <v>36</v>
      </c>
      <c r="H10587" s="606"/>
    </row>
    <row r="10588" customFormat="false" ht="15" hidden="false" customHeight="false" outlineLevel="0" collapsed="false">
      <c r="A10588" s="571"/>
      <c r="B10588" s="500"/>
      <c r="C10588" s="1001" t="s">
        <v>6026</v>
      </c>
      <c r="D10588" s="1002" t="s">
        <v>6027</v>
      </c>
      <c r="E10588" s="1003" t="n">
        <v>0.05</v>
      </c>
      <c r="F10588" s="1004" t="n">
        <v>350</v>
      </c>
      <c r="G10588" s="615" t="n">
        <f aca="false">E10588*F10588</f>
        <v>17.5</v>
      </c>
      <c r="H10588" s="606"/>
    </row>
    <row r="10589" customFormat="false" ht="15" hidden="false" customHeight="false" outlineLevel="0" collapsed="false">
      <c r="A10589" s="571"/>
      <c r="B10589" s="500"/>
      <c r="C10589" s="1001" t="s">
        <v>6028</v>
      </c>
      <c r="D10589" s="1002" t="s">
        <v>4348</v>
      </c>
      <c r="E10589" s="1003" t="n">
        <v>2</v>
      </c>
      <c r="F10589" s="1004" t="n">
        <v>77</v>
      </c>
      <c r="G10589" s="615" t="n">
        <f aca="false">E10589*F10589</f>
        <v>154</v>
      </c>
      <c r="H10589" s="606"/>
    </row>
    <row r="10590" customFormat="false" ht="30" hidden="false" customHeight="false" outlineLevel="0" collapsed="false">
      <c r="A10590" s="571"/>
      <c r="B10590" s="500"/>
      <c r="C10590" s="1001" t="s">
        <v>6037</v>
      </c>
      <c r="D10590" s="1002" t="s">
        <v>4348</v>
      </c>
      <c r="E10590" s="1003" t="n">
        <v>2</v>
      </c>
      <c r="F10590" s="1004" t="n">
        <v>19.369</v>
      </c>
      <c r="G10590" s="615" t="n">
        <f aca="false">E10590*F10590</f>
        <v>38.738</v>
      </c>
      <c r="H10590" s="606"/>
    </row>
    <row r="10591" customFormat="false" ht="15" hidden="false" customHeight="false" outlineLevel="0" collapsed="false">
      <c r="A10591" s="571"/>
      <c r="B10591" s="500"/>
      <c r="C10591" s="1008" t="s">
        <v>5818</v>
      </c>
      <c r="D10591" s="1009" t="s">
        <v>6035</v>
      </c>
      <c r="E10591" s="1010" t="n">
        <v>0.01</v>
      </c>
      <c r="F10591" s="1011" t="n">
        <v>37800</v>
      </c>
      <c r="G10591" s="615" t="n">
        <f aca="false">E10591*F10591</f>
        <v>378</v>
      </c>
      <c r="H10591" s="606"/>
    </row>
    <row r="10592" customFormat="false" ht="15" hidden="false" customHeight="false" outlineLevel="0" collapsed="false">
      <c r="A10592" s="571"/>
      <c r="B10592" s="608" t="s">
        <v>4128</v>
      </c>
      <c r="C10592" s="1001"/>
      <c r="D10592" s="1002"/>
      <c r="E10592" s="1003"/>
      <c r="F10592" s="1004"/>
      <c r="G10592" s="1012" t="n">
        <f aca="false">SUM(G10582:G10591)</f>
        <v>1332.138</v>
      </c>
      <c r="H10592" s="606"/>
    </row>
    <row r="10593" customFormat="false" ht="30" hidden="false" customHeight="false" outlineLevel="0" collapsed="false">
      <c r="A10593" s="571" t="s">
        <v>2043</v>
      </c>
      <c r="B10593" s="526" t="s">
        <v>3756</v>
      </c>
      <c r="C10593" s="1014" t="s">
        <v>6038</v>
      </c>
      <c r="D10593" s="1009" t="s">
        <v>5788</v>
      </c>
      <c r="E10593" s="1010" t="n">
        <v>1</v>
      </c>
      <c r="F10593" s="1011" t="n">
        <v>36</v>
      </c>
      <c r="G10593" s="615" t="n">
        <f aca="false">E10593*F10593</f>
        <v>36</v>
      </c>
      <c r="H10593" s="606"/>
    </row>
    <row r="10594" customFormat="false" ht="30" hidden="false" customHeight="false" outlineLevel="0" collapsed="false">
      <c r="A10594" s="571"/>
      <c r="B10594" s="1015"/>
      <c r="C10594" s="1014" t="s">
        <v>6025</v>
      </c>
      <c r="D10594" s="1009" t="s">
        <v>4359</v>
      </c>
      <c r="E10594" s="1010" t="n">
        <v>0.05</v>
      </c>
      <c r="F10594" s="1011" t="n">
        <v>800</v>
      </c>
      <c r="G10594" s="615" t="n">
        <f aca="false">E10594*F10594</f>
        <v>40</v>
      </c>
      <c r="H10594" s="606"/>
    </row>
    <row r="10595" customFormat="false" ht="15" hidden="false" customHeight="false" outlineLevel="0" collapsed="false">
      <c r="A10595" s="571"/>
      <c r="B10595" s="1015"/>
      <c r="C10595" s="1014" t="s">
        <v>6026</v>
      </c>
      <c r="D10595" s="1009" t="s">
        <v>6027</v>
      </c>
      <c r="E10595" s="1010" t="n">
        <v>0.05</v>
      </c>
      <c r="F10595" s="1011" t="n">
        <v>350</v>
      </c>
      <c r="G10595" s="615" t="n">
        <f aca="false">E10595*F10595</f>
        <v>17.5</v>
      </c>
      <c r="H10595" s="606"/>
    </row>
    <row r="10596" customFormat="false" ht="15" hidden="false" customHeight="false" outlineLevel="0" collapsed="false">
      <c r="A10596" s="571"/>
      <c r="B10596" s="1015"/>
      <c r="C10596" s="1014" t="s">
        <v>6039</v>
      </c>
      <c r="D10596" s="1009" t="s">
        <v>4348</v>
      </c>
      <c r="E10596" s="1010" t="n">
        <v>1</v>
      </c>
      <c r="F10596" s="1011" t="n">
        <v>50</v>
      </c>
      <c r="G10596" s="615" t="n">
        <f aca="false">E10596*F10596</f>
        <v>50</v>
      </c>
      <c r="H10596" s="606"/>
    </row>
    <row r="10597" customFormat="false" ht="15" hidden="false" customHeight="false" outlineLevel="0" collapsed="false">
      <c r="A10597" s="571"/>
      <c r="B10597" s="1015"/>
      <c r="C10597" s="1014" t="s">
        <v>6028</v>
      </c>
      <c r="D10597" s="1009" t="s">
        <v>4348</v>
      </c>
      <c r="E10597" s="1010" t="n">
        <v>1</v>
      </c>
      <c r="F10597" s="1011" t="n">
        <v>370</v>
      </c>
      <c r="G10597" s="615" t="n">
        <f aca="false">E10597*F10597</f>
        <v>370</v>
      </c>
      <c r="H10597" s="606"/>
    </row>
    <row r="10598" customFormat="false" ht="45" hidden="false" customHeight="false" outlineLevel="0" collapsed="false">
      <c r="A10598" s="571"/>
      <c r="B10598" s="1015"/>
      <c r="C10598" s="1014" t="s">
        <v>6040</v>
      </c>
      <c r="D10598" s="1009" t="s">
        <v>4348</v>
      </c>
      <c r="E10598" s="1010" t="n">
        <v>1</v>
      </c>
      <c r="F10598" s="1011" t="n">
        <v>295</v>
      </c>
      <c r="G10598" s="615" t="n">
        <f aca="false">E10598*F10598</f>
        <v>295</v>
      </c>
      <c r="H10598" s="606"/>
    </row>
    <row r="10599" customFormat="false" ht="30" hidden="false" customHeight="false" outlineLevel="0" collapsed="false">
      <c r="A10599" s="571"/>
      <c r="B10599" s="1015"/>
      <c r="C10599" s="1014" t="s">
        <v>6029</v>
      </c>
      <c r="D10599" s="1009" t="s">
        <v>4348</v>
      </c>
      <c r="E10599" s="954" t="n">
        <v>0.01</v>
      </c>
      <c r="F10599" s="1011" t="n">
        <v>581</v>
      </c>
      <c r="G10599" s="615" t="n">
        <f aca="false">E10599*F10599</f>
        <v>5.81</v>
      </c>
      <c r="H10599" s="606"/>
    </row>
    <row r="10600" customFormat="false" ht="15" hidden="false" customHeight="false" outlineLevel="0" collapsed="false">
      <c r="A10600" s="571"/>
      <c r="B10600" s="1015"/>
      <c r="C10600" s="1014" t="s">
        <v>5818</v>
      </c>
      <c r="D10600" s="1009" t="s">
        <v>6035</v>
      </c>
      <c r="E10600" s="1010" t="n">
        <v>0.01</v>
      </c>
      <c r="F10600" s="1011" t="n">
        <v>67687</v>
      </c>
      <c r="G10600" s="615" t="n">
        <f aca="false">E10600*F10600</f>
        <v>676.87</v>
      </c>
      <c r="H10600" s="606"/>
    </row>
    <row r="10601" customFormat="false" ht="15" hidden="false" customHeight="false" outlineLevel="0" collapsed="false">
      <c r="A10601" s="571"/>
      <c r="B10601" s="1015"/>
      <c r="C10601" s="1014" t="s">
        <v>6041</v>
      </c>
      <c r="D10601" s="1009" t="s">
        <v>6035</v>
      </c>
      <c r="E10601" s="1010" t="n">
        <v>0.01</v>
      </c>
      <c r="F10601" s="1011" t="n">
        <v>69797</v>
      </c>
      <c r="G10601" s="615" t="n">
        <f aca="false">E10601*F10601</f>
        <v>697.97</v>
      </c>
      <c r="H10601" s="606"/>
    </row>
    <row r="10602" customFormat="false" ht="15" hidden="false" customHeight="false" outlineLevel="0" collapsed="false">
      <c r="A10602" s="571"/>
      <c r="B10602" s="1015"/>
      <c r="C10602" s="1014" t="s">
        <v>6042</v>
      </c>
      <c r="D10602" s="1009" t="s">
        <v>6035</v>
      </c>
      <c r="E10602" s="1010" t="n">
        <v>0.001</v>
      </c>
      <c r="F10602" s="1011" t="n">
        <v>203735</v>
      </c>
      <c r="G10602" s="615" t="n">
        <f aca="false">E10602*F10602</f>
        <v>203.735</v>
      </c>
      <c r="H10602" s="606"/>
    </row>
    <row r="10603" customFormat="false" ht="15" hidden="false" customHeight="false" outlineLevel="0" collapsed="false">
      <c r="A10603" s="571"/>
      <c r="B10603" s="1015"/>
      <c r="C10603" s="1014" t="s">
        <v>6043</v>
      </c>
      <c r="D10603" s="1009" t="s">
        <v>6035</v>
      </c>
      <c r="E10603" s="1010" t="n">
        <v>0.01</v>
      </c>
      <c r="F10603" s="1011" t="n">
        <v>45799</v>
      </c>
      <c r="G10603" s="615" t="n">
        <f aca="false">E10603*F10603</f>
        <v>457.99</v>
      </c>
      <c r="H10603" s="606"/>
    </row>
    <row r="10604" customFormat="false" ht="15" hidden="false" customHeight="false" outlineLevel="0" collapsed="false">
      <c r="A10604" s="571"/>
      <c r="B10604" s="1015"/>
      <c r="C10604" s="1014" t="s">
        <v>6044</v>
      </c>
      <c r="D10604" s="1009" t="s">
        <v>5908</v>
      </c>
      <c r="E10604" s="1010" t="n">
        <v>0.01</v>
      </c>
      <c r="F10604" s="1011" t="n">
        <v>82115</v>
      </c>
      <c r="G10604" s="615" t="n">
        <f aca="false">E10604*F10604</f>
        <v>821.15</v>
      </c>
      <c r="H10604" s="606"/>
    </row>
    <row r="10605" customFormat="false" ht="15" hidden="false" customHeight="false" outlineLevel="0" collapsed="false">
      <c r="A10605" s="571"/>
      <c r="B10605" s="1015"/>
      <c r="C10605" s="1014" t="s">
        <v>6045</v>
      </c>
      <c r="D10605" s="1009" t="s">
        <v>6035</v>
      </c>
      <c r="E10605" s="1010" t="n">
        <v>0.01</v>
      </c>
      <c r="F10605" s="1011" t="n">
        <v>34001</v>
      </c>
      <c r="G10605" s="615" t="n">
        <f aca="false">E10605*F10605</f>
        <v>340.01</v>
      </c>
      <c r="H10605" s="606"/>
    </row>
    <row r="10606" customFormat="false" ht="15" hidden="false" customHeight="false" outlineLevel="0" collapsed="false">
      <c r="A10606" s="571"/>
      <c r="B10606" s="1015"/>
      <c r="C10606" s="1014" t="s">
        <v>6046</v>
      </c>
      <c r="D10606" s="1009" t="s">
        <v>6035</v>
      </c>
      <c r="E10606" s="1010" t="n">
        <v>0.01</v>
      </c>
      <c r="F10606" s="1011" t="n">
        <v>69797</v>
      </c>
      <c r="G10606" s="615" t="n">
        <f aca="false">E10606*F10606</f>
        <v>697.97</v>
      </c>
      <c r="H10606" s="606"/>
    </row>
    <row r="10607" customFormat="false" ht="15" hidden="false" customHeight="false" outlineLevel="0" collapsed="false">
      <c r="A10607" s="571"/>
      <c r="B10607" s="1015"/>
      <c r="C10607" s="1014" t="s">
        <v>6047</v>
      </c>
      <c r="D10607" s="1009" t="s">
        <v>6035</v>
      </c>
      <c r="E10607" s="1010" t="n">
        <v>0.005</v>
      </c>
      <c r="F10607" s="1011" t="n">
        <v>131285</v>
      </c>
      <c r="G10607" s="615" t="n">
        <f aca="false">E10607*F10607</f>
        <v>656.425</v>
      </c>
      <c r="H10607" s="606"/>
    </row>
    <row r="10608" customFormat="false" ht="15" hidden="false" customHeight="false" outlineLevel="0" collapsed="false">
      <c r="A10608" s="571"/>
      <c r="B10608" s="1015"/>
      <c r="C10608" s="1014" t="s">
        <v>6048</v>
      </c>
      <c r="D10608" s="1009" t="s">
        <v>6035</v>
      </c>
      <c r="E10608" s="1010" t="n">
        <v>0.005</v>
      </c>
      <c r="F10608" s="1011" t="n">
        <v>144777</v>
      </c>
      <c r="G10608" s="615" t="n">
        <f aca="false">E10608*F10608</f>
        <v>723.885</v>
      </c>
      <c r="H10608" s="606"/>
    </row>
    <row r="10609" customFormat="false" ht="15" hidden="false" customHeight="false" outlineLevel="0" collapsed="false">
      <c r="A10609" s="571"/>
      <c r="B10609" s="608" t="s">
        <v>4128</v>
      </c>
      <c r="C10609" s="1001"/>
      <c r="D10609" s="1002"/>
      <c r="E10609" s="1003"/>
      <c r="F10609" s="1004"/>
      <c r="G10609" s="1016" t="n">
        <f aca="false">SUM(G10593:G10608)</f>
        <v>6090.315</v>
      </c>
      <c r="H10609" s="606"/>
    </row>
    <row r="10610" customFormat="false" ht="45" hidden="false" customHeight="false" outlineLevel="0" collapsed="false">
      <c r="A10610" s="571" t="s">
        <v>2045</v>
      </c>
      <c r="B10610" s="527" t="s">
        <v>3757</v>
      </c>
      <c r="C10610" s="1008"/>
      <c r="D10610" s="1009"/>
      <c r="E10610" s="1010"/>
      <c r="F10610" s="1011"/>
      <c r="G10610" s="1016"/>
      <c r="H10610" s="606"/>
    </row>
    <row r="10611" customFormat="false" ht="45" hidden="false" customHeight="false" outlineLevel="0" collapsed="false">
      <c r="A10611" s="571"/>
      <c r="B10611" s="1015"/>
      <c r="C10611" s="1014" t="s">
        <v>6049</v>
      </c>
      <c r="D10611" s="1017" t="s">
        <v>6050</v>
      </c>
      <c r="E10611" s="1010" t="n">
        <v>0.01</v>
      </c>
      <c r="F10611" s="1011" t="n">
        <v>64000</v>
      </c>
      <c r="G10611" s="615" t="n">
        <f aca="false">E10611*F10611</f>
        <v>640</v>
      </c>
      <c r="H10611" s="606"/>
    </row>
    <row r="10612" customFormat="false" ht="120" hidden="false" customHeight="false" outlineLevel="0" collapsed="false">
      <c r="A10612" s="571"/>
      <c r="B10612" s="1015"/>
      <c r="C10612" s="1014" t="s">
        <v>6051</v>
      </c>
      <c r="D10612" s="1009" t="n">
        <v>55</v>
      </c>
      <c r="E10612" s="1010" t="n">
        <v>0.018</v>
      </c>
      <c r="F10612" s="1011" t="n">
        <v>134039</v>
      </c>
      <c r="G10612" s="615" t="n">
        <f aca="false">E10612*F10612</f>
        <v>2412.702</v>
      </c>
      <c r="H10612" s="606"/>
    </row>
    <row r="10613" customFormat="false" ht="30" hidden="false" customHeight="false" outlineLevel="0" collapsed="false">
      <c r="A10613" s="571"/>
      <c r="B10613" s="1015"/>
      <c r="C10613" s="1014" t="s">
        <v>6052</v>
      </c>
      <c r="D10613" s="1009" t="s">
        <v>4348</v>
      </c>
      <c r="E10613" s="1010" t="n">
        <v>1</v>
      </c>
      <c r="F10613" s="1011" t="n">
        <v>38.5</v>
      </c>
      <c r="G10613" s="615" t="n">
        <f aca="false">E10613*F10613</f>
        <v>38.5</v>
      </c>
      <c r="H10613" s="606"/>
    </row>
    <row r="10614" customFormat="false" ht="30" hidden="false" customHeight="false" outlineLevel="0" collapsed="false">
      <c r="A10614" s="571"/>
      <c r="B10614" s="1015"/>
      <c r="C10614" s="1014" t="s">
        <v>6053</v>
      </c>
      <c r="D10614" s="1009" t="s">
        <v>4348</v>
      </c>
      <c r="E10614" s="1010" t="n">
        <v>1</v>
      </c>
      <c r="F10614" s="1011" t="n">
        <v>62.5</v>
      </c>
      <c r="G10614" s="615" t="n">
        <f aca="false">E10614*F10614</f>
        <v>62.5</v>
      </c>
      <c r="H10614" s="606"/>
    </row>
    <row r="10615" customFormat="false" ht="30" hidden="false" customHeight="false" outlineLevel="0" collapsed="false">
      <c r="A10615" s="571"/>
      <c r="B10615" s="1015"/>
      <c r="C10615" s="1014" t="s">
        <v>6054</v>
      </c>
      <c r="D10615" s="1009" t="s">
        <v>4348</v>
      </c>
      <c r="E10615" s="1010" t="n">
        <v>1</v>
      </c>
      <c r="F10615" s="1011" t="n">
        <v>84.8</v>
      </c>
      <c r="G10615" s="615" t="n">
        <f aca="false">E10615*F10615</f>
        <v>84.8</v>
      </c>
      <c r="H10615" s="606"/>
    </row>
    <row r="10616" customFormat="false" ht="45" hidden="false" customHeight="false" outlineLevel="0" collapsed="false">
      <c r="A10616" s="571"/>
      <c r="B10616" s="1015"/>
      <c r="C10616" s="1014" t="s">
        <v>6055</v>
      </c>
      <c r="D10616" s="1009" t="s">
        <v>4348</v>
      </c>
      <c r="E10616" s="1010" t="n">
        <v>1</v>
      </c>
      <c r="F10616" s="1011" t="n">
        <v>10.9</v>
      </c>
      <c r="G10616" s="615" t="n">
        <f aca="false">E10616*F10616</f>
        <v>10.9</v>
      </c>
      <c r="H10616" s="606"/>
    </row>
    <row r="10617" customFormat="false" ht="30" hidden="false" customHeight="false" outlineLevel="0" collapsed="false">
      <c r="A10617" s="571"/>
      <c r="B10617" s="1015"/>
      <c r="C10617" s="1014" t="s">
        <v>6056</v>
      </c>
      <c r="D10617" s="1009" t="s">
        <v>4348</v>
      </c>
      <c r="E10617" s="1010" t="n">
        <v>3</v>
      </c>
      <c r="F10617" s="1011" t="n">
        <v>17.3</v>
      </c>
      <c r="G10617" s="615" t="n">
        <f aca="false">E10617*F10617</f>
        <v>51.9</v>
      </c>
      <c r="H10617" s="606"/>
    </row>
    <row r="10618" customFormat="false" ht="45" hidden="false" customHeight="false" outlineLevel="0" collapsed="false">
      <c r="A10618" s="571"/>
      <c r="B10618" s="1015"/>
      <c r="C10618" s="1014" t="s">
        <v>6057</v>
      </c>
      <c r="D10618" s="1009" t="s">
        <v>4348</v>
      </c>
      <c r="E10618" s="1010" t="n">
        <v>1</v>
      </c>
      <c r="F10618" s="1011" t="n">
        <v>128</v>
      </c>
      <c r="G10618" s="615" t="n">
        <f aca="false">E10618*F10618</f>
        <v>128</v>
      </c>
      <c r="H10618" s="606"/>
    </row>
    <row r="10619" customFormat="false" ht="15" hidden="false" customHeight="false" outlineLevel="0" collapsed="false">
      <c r="A10619" s="571"/>
      <c r="B10619" s="1015"/>
      <c r="C10619" s="118" t="s">
        <v>6058</v>
      </c>
      <c r="D10619" s="316" t="s">
        <v>4348</v>
      </c>
      <c r="E10619" s="954" t="n">
        <v>1</v>
      </c>
      <c r="F10619" s="617" t="n">
        <v>352</v>
      </c>
      <c r="G10619" s="615" t="n">
        <f aca="false">E10619*F10619</f>
        <v>352</v>
      </c>
      <c r="H10619" s="606"/>
    </row>
    <row r="10620" customFormat="false" ht="15" hidden="false" customHeight="false" outlineLevel="0" collapsed="false">
      <c r="A10620" s="571"/>
      <c r="B10620" s="1018" t="s">
        <v>4128</v>
      </c>
      <c r="C10620" s="1019"/>
      <c r="D10620" s="1020"/>
      <c r="E10620" s="1020"/>
      <c r="F10620" s="1021"/>
      <c r="G10620" s="1022" t="n">
        <f aca="false">SUM(G10611:G10619)</f>
        <v>3781.302</v>
      </c>
      <c r="H10620" s="606"/>
    </row>
    <row r="10621" customFormat="false" ht="30" hidden="false" customHeight="false" outlineLevel="0" collapsed="false">
      <c r="A10621" s="571" t="s">
        <v>2047</v>
      </c>
      <c r="B10621" s="527" t="s">
        <v>3758</v>
      </c>
      <c r="C10621" s="1008"/>
      <c r="D10621" s="1009"/>
      <c r="E10621" s="1010"/>
      <c r="F10621" s="1011"/>
      <c r="G10621" s="1016"/>
      <c r="H10621" s="606"/>
    </row>
    <row r="10622" customFormat="false" ht="30" hidden="false" customHeight="false" outlineLevel="0" collapsed="false">
      <c r="A10622" s="571"/>
      <c r="B10622" s="1015"/>
      <c r="C10622" s="1014" t="s">
        <v>6038</v>
      </c>
      <c r="D10622" s="1009" t="s">
        <v>5788</v>
      </c>
      <c r="E10622" s="1010" t="n">
        <v>1</v>
      </c>
      <c r="F10622" s="1011" t="n">
        <v>36</v>
      </c>
      <c r="G10622" s="615" t="n">
        <f aca="false">E10622*F10622</f>
        <v>36</v>
      </c>
      <c r="H10622" s="606"/>
    </row>
    <row r="10623" customFormat="false" ht="30" hidden="false" customHeight="false" outlineLevel="0" collapsed="false">
      <c r="A10623" s="571"/>
      <c r="B10623" s="1015"/>
      <c r="C10623" s="1014" t="s">
        <v>6025</v>
      </c>
      <c r="D10623" s="1009" t="s">
        <v>4359</v>
      </c>
      <c r="E10623" s="1010" t="n">
        <v>0.05</v>
      </c>
      <c r="F10623" s="1011" t="n">
        <v>800</v>
      </c>
      <c r="G10623" s="615" t="n">
        <f aca="false">E10623*F10623</f>
        <v>40</v>
      </c>
      <c r="H10623" s="606"/>
    </row>
    <row r="10624" customFormat="false" ht="15" hidden="false" customHeight="false" outlineLevel="0" collapsed="false">
      <c r="A10624" s="571"/>
      <c r="B10624" s="1015"/>
      <c r="C10624" s="1014" t="s">
        <v>6026</v>
      </c>
      <c r="D10624" s="1009" t="s">
        <v>6027</v>
      </c>
      <c r="E10624" s="1010" t="n">
        <v>0.05</v>
      </c>
      <c r="F10624" s="1011" t="n">
        <v>350</v>
      </c>
      <c r="G10624" s="615" t="n">
        <f aca="false">E10624*F10624</f>
        <v>17.5</v>
      </c>
      <c r="H10624" s="606"/>
    </row>
    <row r="10625" customFormat="false" ht="15" hidden="false" customHeight="false" outlineLevel="0" collapsed="false">
      <c r="A10625" s="571"/>
      <c r="B10625" s="1015"/>
      <c r="C10625" s="1014" t="s">
        <v>6039</v>
      </c>
      <c r="D10625" s="1009" t="s">
        <v>4348</v>
      </c>
      <c r="E10625" s="1010" t="n">
        <v>1</v>
      </c>
      <c r="F10625" s="1011" t="n">
        <v>50</v>
      </c>
      <c r="G10625" s="615" t="n">
        <f aca="false">E10625*F10625</f>
        <v>50</v>
      </c>
      <c r="H10625" s="606"/>
    </row>
    <row r="10626" customFormat="false" ht="15" hidden="false" customHeight="false" outlineLevel="0" collapsed="false">
      <c r="A10626" s="571"/>
      <c r="B10626" s="1015"/>
      <c r="C10626" s="1014" t="s">
        <v>6028</v>
      </c>
      <c r="D10626" s="1009" t="s">
        <v>4348</v>
      </c>
      <c r="E10626" s="1010" t="n">
        <v>1</v>
      </c>
      <c r="F10626" s="1011" t="n">
        <v>370</v>
      </c>
      <c r="G10626" s="615" t="n">
        <f aca="false">E10626*F10626</f>
        <v>370</v>
      </c>
      <c r="H10626" s="606"/>
    </row>
    <row r="10627" customFormat="false" ht="45" hidden="false" customHeight="false" outlineLevel="0" collapsed="false">
      <c r="A10627" s="571"/>
      <c r="B10627" s="1015"/>
      <c r="C10627" s="1014" t="s">
        <v>6040</v>
      </c>
      <c r="D10627" s="1009" t="s">
        <v>4348</v>
      </c>
      <c r="E10627" s="1010" t="n">
        <v>1</v>
      </c>
      <c r="F10627" s="1011" t="n">
        <v>295</v>
      </c>
      <c r="G10627" s="615" t="n">
        <f aca="false">E10627*F10627</f>
        <v>295</v>
      </c>
      <c r="H10627" s="606"/>
    </row>
    <row r="10628" customFormat="false" ht="30" hidden="false" customHeight="false" outlineLevel="0" collapsed="false">
      <c r="A10628" s="571"/>
      <c r="B10628" s="1015"/>
      <c r="C10628" s="1014" t="s">
        <v>6029</v>
      </c>
      <c r="D10628" s="1009" t="s">
        <v>4348</v>
      </c>
      <c r="E10628" s="954" t="n">
        <v>0.01</v>
      </c>
      <c r="F10628" s="1011" t="n">
        <v>581</v>
      </c>
      <c r="G10628" s="615" t="n">
        <f aca="false">E10628*F10628</f>
        <v>5.81</v>
      </c>
      <c r="H10628" s="606"/>
    </row>
    <row r="10629" customFormat="false" ht="15" hidden="false" customHeight="false" outlineLevel="0" collapsed="false">
      <c r="A10629" s="571"/>
      <c r="B10629" s="1015"/>
      <c r="C10629" s="1014" t="s">
        <v>5818</v>
      </c>
      <c r="D10629" s="1009" t="s">
        <v>6035</v>
      </c>
      <c r="E10629" s="1010" t="n">
        <v>0.01</v>
      </c>
      <c r="F10629" s="1011" t="n">
        <v>67687</v>
      </c>
      <c r="G10629" s="615" t="n">
        <f aca="false">E10629*F10629</f>
        <v>676.87</v>
      </c>
      <c r="H10629" s="606"/>
    </row>
    <row r="10630" customFormat="false" ht="15" hidden="false" customHeight="false" outlineLevel="0" collapsed="false">
      <c r="A10630" s="571"/>
      <c r="B10630" s="1015"/>
      <c r="C10630" s="1014" t="s">
        <v>6041</v>
      </c>
      <c r="D10630" s="1009" t="s">
        <v>6035</v>
      </c>
      <c r="E10630" s="1010" t="n">
        <v>0.01</v>
      </c>
      <c r="F10630" s="1011" t="n">
        <v>69797</v>
      </c>
      <c r="G10630" s="615" t="n">
        <f aca="false">E10630*F10630</f>
        <v>697.97</v>
      </c>
      <c r="H10630" s="606"/>
    </row>
    <row r="10631" customFormat="false" ht="15" hidden="false" customHeight="false" outlineLevel="0" collapsed="false">
      <c r="A10631" s="571"/>
      <c r="B10631" s="1015"/>
      <c r="C10631" s="1014" t="s">
        <v>6042</v>
      </c>
      <c r="D10631" s="1009" t="s">
        <v>6035</v>
      </c>
      <c r="E10631" s="1010" t="n">
        <v>0.001</v>
      </c>
      <c r="F10631" s="1011" t="n">
        <v>203735</v>
      </c>
      <c r="G10631" s="615" t="n">
        <f aca="false">E10631*F10631</f>
        <v>203.735</v>
      </c>
      <c r="H10631" s="606"/>
    </row>
    <row r="10632" customFormat="false" ht="15" hidden="false" customHeight="false" outlineLevel="0" collapsed="false">
      <c r="A10632" s="571"/>
      <c r="B10632" s="500"/>
      <c r="C10632" s="1001" t="s">
        <v>6030</v>
      </c>
      <c r="D10632" s="1002" t="s">
        <v>4348</v>
      </c>
      <c r="E10632" s="1003" t="n">
        <v>1</v>
      </c>
      <c r="F10632" s="1004" t="n">
        <v>9050</v>
      </c>
      <c r="G10632" s="615" t="n">
        <f aca="false">E10632*F10632</f>
        <v>9050</v>
      </c>
      <c r="H10632" s="606"/>
    </row>
    <row r="10633" customFormat="false" ht="15" hidden="false" customHeight="false" outlineLevel="0" collapsed="false">
      <c r="A10633" s="571"/>
      <c r="B10633" s="1015"/>
      <c r="C10633" s="1014" t="s">
        <v>6043</v>
      </c>
      <c r="D10633" s="1009" t="s">
        <v>6035</v>
      </c>
      <c r="E10633" s="1010" t="n">
        <v>0.001</v>
      </c>
      <c r="F10633" s="1011" t="n">
        <v>45799</v>
      </c>
      <c r="G10633" s="615" t="n">
        <f aca="false">E10633*F10633</f>
        <v>45.799</v>
      </c>
      <c r="H10633" s="606"/>
    </row>
    <row r="10634" customFormat="false" ht="15" hidden="false" customHeight="false" outlineLevel="0" collapsed="false">
      <c r="A10634" s="571"/>
      <c r="B10634" s="1015"/>
      <c r="C10634" s="1014" t="s">
        <v>6044</v>
      </c>
      <c r="D10634" s="1009" t="s">
        <v>5908</v>
      </c>
      <c r="E10634" s="1010" t="n">
        <v>0.001</v>
      </c>
      <c r="F10634" s="1011" t="n">
        <v>82115</v>
      </c>
      <c r="G10634" s="615" t="n">
        <f aca="false">E10634*F10634</f>
        <v>82.115</v>
      </c>
      <c r="H10634" s="606"/>
    </row>
    <row r="10635" customFormat="false" ht="15" hidden="false" customHeight="false" outlineLevel="0" collapsed="false">
      <c r="A10635" s="571"/>
      <c r="B10635" s="1015"/>
      <c r="C10635" s="1014" t="s">
        <v>6045</v>
      </c>
      <c r="D10635" s="1009" t="s">
        <v>6035</v>
      </c>
      <c r="E10635" s="1010" t="n">
        <v>0.01</v>
      </c>
      <c r="F10635" s="1011" t="n">
        <v>34001</v>
      </c>
      <c r="G10635" s="615" t="n">
        <f aca="false">E10635*F10635</f>
        <v>340.01</v>
      </c>
      <c r="H10635" s="606"/>
    </row>
    <row r="10636" customFormat="false" ht="15" hidden="false" customHeight="false" outlineLevel="0" collapsed="false">
      <c r="A10636" s="571"/>
      <c r="B10636" s="1015"/>
      <c r="C10636" s="1014" t="s">
        <v>6046</v>
      </c>
      <c r="D10636" s="1009" t="s">
        <v>6035</v>
      </c>
      <c r="E10636" s="1010" t="n">
        <v>0.001</v>
      </c>
      <c r="F10636" s="1011" t="n">
        <v>69797</v>
      </c>
      <c r="G10636" s="615" t="n">
        <f aca="false">E10636*F10636</f>
        <v>69.797</v>
      </c>
      <c r="H10636" s="606"/>
    </row>
    <row r="10637" customFormat="false" ht="15" hidden="false" customHeight="false" outlineLevel="0" collapsed="false">
      <c r="A10637" s="571"/>
      <c r="B10637" s="1015"/>
      <c r="C10637" s="118" t="s">
        <v>6058</v>
      </c>
      <c r="D10637" s="316" t="s">
        <v>4348</v>
      </c>
      <c r="E10637" s="954" t="n">
        <v>1</v>
      </c>
      <c r="F10637" s="617" t="n">
        <v>352</v>
      </c>
      <c r="G10637" s="615" t="n">
        <f aca="false">E10637*F10637</f>
        <v>352</v>
      </c>
      <c r="H10637" s="606"/>
    </row>
    <row r="10638" customFormat="false" ht="15" hidden="false" customHeight="false" outlineLevel="0" collapsed="false">
      <c r="A10638" s="571"/>
      <c r="B10638" s="708" t="s">
        <v>4562</v>
      </c>
      <c r="C10638" s="1008"/>
      <c r="D10638" s="1009"/>
      <c r="E10638" s="1010"/>
      <c r="F10638" s="1011"/>
      <c r="G10638" s="1022" t="n">
        <f aca="false">SUM(G10622:G10637)</f>
        <v>12332.606</v>
      </c>
      <c r="H10638" s="606"/>
    </row>
    <row r="10639" customFormat="false" ht="75" hidden="false" customHeight="false" outlineLevel="0" collapsed="false">
      <c r="A10639" s="571" t="s">
        <v>2049</v>
      </c>
      <c r="B10639" s="528" t="s">
        <v>3759</v>
      </c>
      <c r="C10639" s="964"/>
      <c r="D10639" s="965"/>
      <c r="E10639" s="966"/>
      <c r="F10639" s="967"/>
      <c r="G10639" s="767"/>
      <c r="H10639" s="606"/>
    </row>
    <row r="10640" customFormat="false" ht="60" hidden="false" customHeight="false" outlineLevel="0" collapsed="false">
      <c r="A10640" s="571"/>
      <c r="B10640" s="624"/>
      <c r="C10640" s="872" t="s">
        <v>6021</v>
      </c>
      <c r="D10640" s="628" t="s">
        <v>4359</v>
      </c>
      <c r="E10640" s="1023" t="n">
        <v>0.01</v>
      </c>
      <c r="F10640" s="1024" t="n">
        <v>3900</v>
      </c>
      <c r="G10640" s="615" t="n">
        <f aca="false">E10640*F10640</f>
        <v>39</v>
      </c>
      <c r="H10640" s="606"/>
    </row>
    <row r="10641" customFormat="false" ht="30" hidden="false" customHeight="false" outlineLevel="0" collapsed="false">
      <c r="A10641" s="571"/>
      <c r="B10641" s="624"/>
      <c r="C10641" s="872" t="s">
        <v>6022</v>
      </c>
      <c r="D10641" s="628" t="s">
        <v>4359</v>
      </c>
      <c r="E10641" s="1023" t="n">
        <v>0.01</v>
      </c>
      <c r="F10641" s="1024" t="n">
        <v>4400</v>
      </c>
      <c r="G10641" s="615" t="n">
        <f aca="false">E10641*F10641</f>
        <v>44</v>
      </c>
      <c r="H10641" s="606"/>
    </row>
    <row r="10642" customFormat="false" ht="45" hidden="false" customHeight="false" outlineLevel="0" collapsed="false">
      <c r="A10642" s="571"/>
      <c r="B10642" s="624"/>
      <c r="C10642" s="872" t="s">
        <v>6023</v>
      </c>
      <c r="D10642" s="628" t="s">
        <v>5788</v>
      </c>
      <c r="E10642" s="1023" t="n">
        <v>1</v>
      </c>
      <c r="F10642" s="1024" t="n">
        <v>36</v>
      </c>
      <c r="G10642" s="615" t="n">
        <f aca="false">E10642*F10642</f>
        <v>36</v>
      </c>
      <c r="H10642" s="606"/>
    </row>
    <row r="10643" customFormat="false" ht="45" hidden="false" customHeight="false" outlineLevel="0" collapsed="false">
      <c r="A10643" s="571"/>
      <c r="B10643" s="624"/>
      <c r="C10643" s="978" t="s">
        <v>6024</v>
      </c>
      <c r="D10643" s="628" t="s">
        <v>4348</v>
      </c>
      <c r="E10643" s="1023" t="n">
        <v>0.1</v>
      </c>
      <c r="F10643" s="1024" t="n">
        <v>110</v>
      </c>
      <c r="G10643" s="615" t="n">
        <f aca="false">E10643*F10643</f>
        <v>11</v>
      </c>
      <c r="H10643" s="606"/>
    </row>
    <row r="10644" customFormat="false" ht="60" hidden="false" customHeight="false" outlineLevel="0" collapsed="false">
      <c r="A10644" s="571"/>
      <c r="B10644" s="528"/>
      <c r="C10644" s="860" t="s">
        <v>6059</v>
      </c>
      <c r="D10644" s="316" t="s">
        <v>6050</v>
      </c>
      <c r="E10644" s="954" t="n">
        <v>0.001</v>
      </c>
      <c r="F10644" s="617" t="n">
        <v>64000</v>
      </c>
      <c r="G10644" s="615" t="n">
        <f aca="false">E10644*F10644</f>
        <v>64</v>
      </c>
      <c r="H10644" s="606"/>
    </row>
    <row r="10645" customFormat="false" ht="75" hidden="false" customHeight="false" outlineLevel="0" collapsed="false">
      <c r="A10645" s="571"/>
      <c r="B10645" s="500"/>
      <c r="C10645" s="860" t="s">
        <v>6060</v>
      </c>
      <c r="D10645" s="316" t="n">
        <v>55</v>
      </c>
      <c r="E10645" s="954" t="n">
        <v>0.021</v>
      </c>
      <c r="F10645" s="617" t="n">
        <v>323215</v>
      </c>
      <c r="G10645" s="615" t="n">
        <f aca="false">E10645*F10645</f>
        <v>6787.515</v>
      </c>
      <c r="H10645" s="606"/>
    </row>
    <row r="10646" customFormat="false" ht="30" hidden="false" customHeight="false" outlineLevel="0" collapsed="false">
      <c r="A10646" s="571"/>
      <c r="B10646" s="500"/>
      <c r="C10646" s="860" t="s">
        <v>6061</v>
      </c>
      <c r="D10646" s="316" t="s">
        <v>4348</v>
      </c>
      <c r="E10646" s="954" t="n">
        <v>1</v>
      </c>
      <c r="F10646" s="617" t="n">
        <v>41.48</v>
      </c>
      <c r="G10646" s="615" t="n">
        <f aca="false">E10646*F10646</f>
        <v>41.48</v>
      </c>
      <c r="H10646" s="606"/>
    </row>
    <row r="10647" customFormat="false" ht="30" hidden="false" customHeight="false" outlineLevel="0" collapsed="false">
      <c r="A10647" s="571"/>
      <c r="B10647" s="500"/>
      <c r="C10647" s="860" t="s">
        <v>6053</v>
      </c>
      <c r="D10647" s="316" t="s">
        <v>4348</v>
      </c>
      <c r="E10647" s="954" t="n">
        <v>1</v>
      </c>
      <c r="F10647" s="617" t="n">
        <v>62.5</v>
      </c>
      <c r="G10647" s="615" t="n">
        <f aca="false">E10647*F10647</f>
        <v>62.5</v>
      </c>
      <c r="H10647" s="606"/>
    </row>
    <row r="10648" customFormat="false" ht="30" hidden="false" customHeight="false" outlineLevel="0" collapsed="false">
      <c r="A10648" s="571"/>
      <c r="B10648" s="500"/>
      <c r="C10648" s="860" t="s">
        <v>6054</v>
      </c>
      <c r="D10648" s="316" t="s">
        <v>4348</v>
      </c>
      <c r="E10648" s="954" t="n">
        <v>1</v>
      </c>
      <c r="F10648" s="617" t="n">
        <v>84.8</v>
      </c>
      <c r="G10648" s="615" t="n">
        <f aca="false">E10648*F10648</f>
        <v>84.8</v>
      </c>
      <c r="H10648" s="606"/>
    </row>
    <row r="10649" customFormat="false" ht="45" hidden="false" customHeight="false" outlineLevel="0" collapsed="false">
      <c r="A10649" s="571"/>
      <c r="B10649" s="500"/>
      <c r="C10649" s="860" t="s">
        <v>6055</v>
      </c>
      <c r="D10649" s="316" t="s">
        <v>4348</v>
      </c>
      <c r="E10649" s="954" t="n">
        <v>1</v>
      </c>
      <c r="F10649" s="617" t="n">
        <v>10.9</v>
      </c>
      <c r="G10649" s="615" t="n">
        <f aca="false">E10649*F10649</f>
        <v>10.9</v>
      </c>
      <c r="H10649" s="606"/>
    </row>
    <row r="10650" customFormat="false" ht="30" hidden="false" customHeight="false" outlineLevel="0" collapsed="false">
      <c r="A10650" s="571"/>
      <c r="B10650" s="500"/>
      <c r="C10650" s="860" t="s">
        <v>6056</v>
      </c>
      <c r="D10650" s="316" t="s">
        <v>4348</v>
      </c>
      <c r="E10650" s="954" t="n">
        <v>1</v>
      </c>
      <c r="F10650" s="617" t="n">
        <v>17.3</v>
      </c>
      <c r="G10650" s="615" t="n">
        <f aca="false">E10650*F10650</f>
        <v>17.3</v>
      </c>
      <c r="H10650" s="606"/>
    </row>
    <row r="10651" customFormat="false" ht="45" hidden="false" customHeight="false" outlineLevel="0" collapsed="false">
      <c r="A10651" s="571"/>
      <c r="B10651" s="500"/>
      <c r="C10651" s="860" t="s">
        <v>6057</v>
      </c>
      <c r="D10651" s="316" t="s">
        <v>4348</v>
      </c>
      <c r="E10651" s="954" t="n">
        <v>1</v>
      </c>
      <c r="F10651" s="617" t="n">
        <v>128</v>
      </c>
      <c r="G10651" s="615" t="n">
        <f aca="false">E10651*F10651</f>
        <v>128</v>
      </c>
      <c r="H10651" s="606"/>
    </row>
    <row r="10652" customFormat="false" ht="15" hidden="false" customHeight="false" outlineLevel="0" collapsed="false">
      <c r="A10652" s="571"/>
      <c r="B10652" s="708" t="s">
        <v>4562</v>
      </c>
      <c r="C10652" s="860"/>
      <c r="D10652" s="316"/>
      <c r="E10652" s="954"/>
      <c r="F10652" s="617"/>
      <c r="G10652" s="1025" t="n">
        <f aca="false">SUM(G10640:G10651)</f>
        <v>7326.495</v>
      </c>
      <c r="H10652" s="606"/>
    </row>
    <row r="10653" customFormat="false" ht="60" hidden="false" customHeight="false" outlineLevel="0" collapsed="false">
      <c r="A10653" s="571" t="s">
        <v>2051</v>
      </c>
      <c r="B10653" s="528" t="s">
        <v>3760</v>
      </c>
      <c r="C10653" s="860"/>
      <c r="D10653" s="316"/>
      <c r="E10653" s="954"/>
      <c r="F10653" s="617"/>
      <c r="G10653" s="767"/>
      <c r="H10653" s="606"/>
    </row>
    <row r="10654" customFormat="false" ht="45" hidden="false" customHeight="false" outlineLevel="0" collapsed="false">
      <c r="A10654" s="412"/>
      <c r="B10654" s="412"/>
      <c r="C10654" s="860" t="s">
        <v>6049</v>
      </c>
      <c r="D10654" s="316" t="s">
        <v>6050</v>
      </c>
      <c r="E10654" s="954" t="n">
        <v>0.01</v>
      </c>
      <c r="F10654" s="617" t="n">
        <v>64000</v>
      </c>
      <c r="G10654" s="615" t="n">
        <f aca="false">E10654*F10654</f>
        <v>640</v>
      </c>
      <c r="H10654" s="606"/>
    </row>
    <row r="10655" customFormat="false" ht="120" hidden="false" customHeight="false" outlineLevel="0" collapsed="false">
      <c r="A10655" s="707"/>
      <c r="B10655" s="522"/>
      <c r="C10655" s="860" t="s">
        <v>6051</v>
      </c>
      <c r="D10655" s="316" t="n">
        <v>55</v>
      </c>
      <c r="E10655" s="954" t="n">
        <v>0.02</v>
      </c>
      <c r="F10655" s="617" t="n">
        <v>134039</v>
      </c>
      <c r="G10655" s="615" t="n">
        <f aca="false">E10655*F10655</f>
        <v>2680.78</v>
      </c>
      <c r="H10655" s="606"/>
    </row>
    <row r="10656" customFormat="false" ht="30" hidden="false" customHeight="false" outlineLevel="0" collapsed="false">
      <c r="A10656" s="707"/>
      <c r="B10656" s="522"/>
      <c r="C10656" s="860" t="s">
        <v>6052</v>
      </c>
      <c r="D10656" s="316" t="s">
        <v>4348</v>
      </c>
      <c r="E10656" s="954" t="n">
        <v>3</v>
      </c>
      <c r="F10656" s="617" t="n">
        <v>41.48</v>
      </c>
      <c r="G10656" s="615" t="n">
        <f aca="false">E10656*F10656</f>
        <v>124.44</v>
      </c>
      <c r="H10656" s="606"/>
    </row>
    <row r="10657" customFormat="false" ht="30" hidden="false" customHeight="false" outlineLevel="0" collapsed="false">
      <c r="A10657" s="707"/>
      <c r="B10657" s="522"/>
      <c r="C10657" s="860" t="s">
        <v>6053</v>
      </c>
      <c r="D10657" s="316" t="s">
        <v>4348</v>
      </c>
      <c r="E10657" s="954" t="n">
        <v>3</v>
      </c>
      <c r="F10657" s="617" t="n">
        <v>62.5</v>
      </c>
      <c r="G10657" s="615" t="n">
        <f aca="false">E10657*F10657</f>
        <v>187.5</v>
      </c>
      <c r="H10657" s="606"/>
    </row>
    <row r="10658" customFormat="false" ht="30" hidden="false" customHeight="false" outlineLevel="0" collapsed="false">
      <c r="A10658" s="707"/>
      <c r="B10658" s="522"/>
      <c r="C10658" s="860" t="s">
        <v>6054</v>
      </c>
      <c r="D10658" s="316" t="s">
        <v>4348</v>
      </c>
      <c r="E10658" s="954" t="n">
        <v>3</v>
      </c>
      <c r="F10658" s="617" t="n">
        <v>84.8</v>
      </c>
      <c r="G10658" s="615" t="n">
        <f aca="false">E10658*F10658</f>
        <v>254.4</v>
      </c>
      <c r="H10658" s="606"/>
    </row>
    <row r="10659" customFormat="false" ht="45" hidden="false" customHeight="false" outlineLevel="0" collapsed="false">
      <c r="A10659" s="707"/>
      <c r="B10659" s="522"/>
      <c r="C10659" s="860" t="s">
        <v>6055</v>
      </c>
      <c r="D10659" s="316" t="s">
        <v>4348</v>
      </c>
      <c r="E10659" s="954" t="n">
        <v>5</v>
      </c>
      <c r="F10659" s="617" t="n">
        <v>10.9</v>
      </c>
      <c r="G10659" s="615" t="n">
        <f aca="false">E10659*F10659</f>
        <v>54.5</v>
      </c>
      <c r="H10659" s="606"/>
    </row>
    <row r="10660" customFormat="false" ht="30" hidden="false" customHeight="false" outlineLevel="0" collapsed="false">
      <c r="A10660" s="707"/>
      <c r="B10660" s="522"/>
      <c r="C10660" s="860" t="s">
        <v>6056</v>
      </c>
      <c r="D10660" s="316" t="s">
        <v>4348</v>
      </c>
      <c r="E10660" s="954" t="n">
        <v>4</v>
      </c>
      <c r="F10660" s="617" t="n">
        <v>17.3</v>
      </c>
      <c r="G10660" s="615" t="n">
        <f aca="false">E10660*F10660</f>
        <v>69.2</v>
      </c>
      <c r="H10660" s="606"/>
    </row>
    <row r="10661" customFormat="false" ht="45" hidden="false" customHeight="false" outlineLevel="0" collapsed="false">
      <c r="A10661" s="707"/>
      <c r="B10661" s="522"/>
      <c r="C10661" s="860" t="s">
        <v>6057</v>
      </c>
      <c r="D10661" s="316" t="s">
        <v>4348</v>
      </c>
      <c r="E10661" s="954" t="n">
        <v>3</v>
      </c>
      <c r="F10661" s="617" t="n">
        <v>128</v>
      </c>
      <c r="G10661" s="615" t="n">
        <f aca="false">E10661*F10661</f>
        <v>384</v>
      </c>
      <c r="H10661" s="606"/>
    </row>
    <row r="10662" customFormat="false" ht="15" hidden="false" customHeight="false" outlineLevel="0" collapsed="false">
      <c r="A10662" s="707"/>
      <c r="B10662" s="708" t="s">
        <v>4562</v>
      </c>
      <c r="C10662" s="860"/>
      <c r="D10662" s="316"/>
      <c r="E10662" s="954"/>
      <c r="F10662" s="617"/>
      <c r="G10662" s="613" t="n">
        <f aca="false">SUM(G10654:G10661)</f>
        <v>4394.82</v>
      </c>
      <c r="H10662" s="606"/>
    </row>
    <row r="10663" customFormat="false" ht="30" hidden="false" customHeight="false" outlineLevel="0" collapsed="false">
      <c r="A10663" s="571" t="s">
        <v>2053</v>
      </c>
      <c r="B10663" s="374" t="s">
        <v>3761</v>
      </c>
      <c r="C10663" s="964"/>
      <c r="D10663" s="965"/>
      <c r="E10663" s="966"/>
      <c r="F10663" s="967"/>
      <c r="G10663" s="767"/>
      <c r="H10663" s="606"/>
    </row>
    <row r="10664" customFormat="false" ht="60" hidden="false" customHeight="false" outlineLevel="0" collapsed="false">
      <c r="A10664" s="571"/>
      <c r="B10664" s="624"/>
      <c r="C10664" s="872" t="s">
        <v>6021</v>
      </c>
      <c r="D10664" s="628" t="s">
        <v>4359</v>
      </c>
      <c r="E10664" s="1023" t="n">
        <v>0.01</v>
      </c>
      <c r="F10664" s="1024" t="n">
        <v>3250</v>
      </c>
      <c r="G10664" s="615" t="n">
        <f aca="false">E10664*F10664</f>
        <v>32.5</v>
      </c>
      <c r="H10664" s="606"/>
    </row>
    <row r="10665" customFormat="false" ht="30" hidden="false" customHeight="false" outlineLevel="0" collapsed="false">
      <c r="A10665" s="571"/>
      <c r="B10665" s="624"/>
      <c r="C10665" s="872" t="s">
        <v>6022</v>
      </c>
      <c r="D10665" s="628" t="s">
        <v>4359</v>
      </c>
      <c r="E10665" s="1023" t="n">
        <v>0.01</v>
      </c>
      <c r="F10665" s="1024" t="n">
        <v>4400</v>
      </c>
      <c r="G10665" s="615" t="n">
        <f aca="false">E10665*F10665</f>
        <v>44</v>
      </c>
      <c r="H10665" s="606"/>
    </row>
    <row r="10666" customFormat="false" ht="45" hidden="false" customHeight="false" outlineLevel="0" collapsed="false">
      <c r="A10666" s="571"/>
      <c r="B10666" s="624"/>
      <c r="C10666" s="872" t="s">
        <v>6023</v>
      </c>
      <c r="D10666" s="628" t="s">
        <v>5788</v>
      </c>
      <c r="E10666" s="1023" t="n">
        <v>1</v>
      </c>
      <c r="F10666" s="1024" t="n">
        <v>36</v>
      </c>
      <c r="G10666" s="615" t="n">
        <f aca="false">E10666*F10666</f>
        <v>36</v>
      </c>
      <c r="H10666" s="606"/>
    </row>
    <row r="10667" customFormat="false" ht="45" hidden="false" customHeight="false" outlineLevel="0" collapsed="false">
      <c r="A10667" s="571"/>
      <c r="B10667" s="624"/>
      <c r="C10667" s="978" t="s">
        <v>6024</v>
      </c>
      <c r="D10667" s="628" t="s">
        <v>4348</v>
      </c>
      <c r="E10667" s="1023" t="n">
        <v>1</v>
      </c>
      <c r="F10667" s="1024" t="n">
        <v>110</v>
      </c>
      <c r="G10667" s="615" t="n">
        <f aca="false">E10667*F10667</f>
        <v>110</v>
      </c>
      <c r="H10667" s="606"/>
    </row>
    <row r="10668" customFormat="false" ht="15" hidden="false" customHeight="false" outlineLevel="0" collapsed="false">
      <c r="A10668" s="571"/>
      <c r="B10668" s="374"/>
      <c r="C10668" s="860" t="s">
        <v>5818</v>
      </c>
      <c r="D10668" s="316" t="s">
        <v>6035</v>
      </c>
      <c r="E10668" s="954" t="n">
        <v>0.01</v>
      </c>
      <c r="F10668" s="617" t="n">
        <v>67687</v>
      </c>
      <c r="G10668" s="615" t="n">
        <f aca="false">E10668*F10668</f>
        <v>676.87</v>
      </c>
      <c r="H10668" s="606"/>
    </row>
    <row r="10669" customFormat="false" ht="30" hidden="false" customHeight="false" outlineLevel="0" collapsed="false">
      <c r="A10669" s="571"/>
      <c r="B10669" s="374"/>
      <c r="C10669" s="860" t="s">
        <v>6062</v>
      </c>
      <c r="D10669" s="316" t="s">
        <v>5452</v>
      </c>
      <c r="E10669" s="954" t="n">
        <v>0.001</v>
      </c>
      <c r="F10669" s="617" t="n">
        <v>439900</v>
      </c>
      <c r="G10669" s="615" t="n">
        <f aca="false">E10669*F10669</f>
        <v>439.9</v>
      </c>
      <c r="H10669" s="606"/>
    </row>
    <row r="10670" customFormat="false" ht="30" hidden="false" customHeight="false" outlineLevel="0" collapsed="false">
      <c r="A10670" s="571"/>
      <c r="B10670" s="374"/>
      <c r="C10670" s="860" t="s">
        <v>6063</v>
      </c>
      <c r="D10670" s="316" t="s">
        <v>5452</v>
      </c>
      <c r="E10670" s="954" t="n">
        <v>0.01</v>
      </c>
      <c r="F10670" s="617" t="n">
        <v>406336</v>
      </c>
      <c r="G10670" s="615" t="n">
        <f aca="false">E10670*F10670</f>
        <v>4063.36</v>
      </c>
      <c r="H10670" s="606"/>
    </row>
    <row r="10671" customFormat="false" ht="30" hidden="false" customHeight="false" outlineLevel="0" collapsed="false">
      <c r="A10671" s="571"/>
      <c r="B10671" s="500"/>
      <c r="C10671" s="860" t="s">
        <v>6025</v>
      </c>
      <c r="D10671" s="316" t="s">
        <v>4359</v>
      </c>
      <c r="E10671" s="954" t="n">
        <v>0.05</v>
      </c>
      <c r="F10671" s="617" t="n">
        <v>800</v>
      </c>
      <c r="G10671" s="615" t="n">
        <f aca="false">E10671*F10671</f>
        <v>40</v>
      </c>
      <c r="H10671" s="606"/>
    </row>
    <row r="10672" customFormat="false" ht="15" hidden="false" customHeight="false" outlineLevel="0" collapsed="false">
      <c r="A10672" s="571"/>
      <c r="B10672" s="500"/>
      <c r="C10672" s="860" t="s">
        <v>6026</v>
      </c>
      <c r="D10672" s="316" t="s">
        <v>6027</v>
      </c>
      <c r="E10672" s="954" t="n">
        <v>0.05</v>
      </c>
      <c r="F10672" s="617" t="n">
        <v>350</v>
      </c>
      <c r="G10672" s="615" t="n">
        <f aca="false">E10672*F10672</f>
        <v>17.5</v>
      </c>
      <c r="H10672" s="606"/>
    </row>
    <row r="10673" customFormat="false" ht="15" hidden="false" customHeight="false" outlineLevel="0" collapsed="false">
      <c r="A10673" s="571"/>
      <c r="B10673" s="500"/>
      <c r="C10673" s="860" t="s">
        <v>6028</v>
      </c>
      <c r="D10673" s="316" t="s">
        <v>4348</v>
      </c>
      <c r="E10673" s="954" t="n">
        <v>1</v>
      </c>
      <c r="F10673" s="617" t="n">
        <v>370</v>
      </c>
      <c r="G10673" s="615" t="n">
        <f aca="false">E10673*F10673</f>
        <v>370</v>
      </c>
      <c r="H10673" s="606"/>
    </row>
    <row r="10674" customFormat="false" ht="30" hidden="false" customHeight="false" outlineLevel="0" collapsed="false">
      <c r="A10674" s="571"/>
      <c r="B10674" s="500"/>
      <c r="C10674" s="860" t="s">
        <v>6029</v>
      </c>
      <c r="D10674" s="316" t="s">
        <v>4348</v>
      </c>
      <c r="E10674" s="954" t="n">
        <v>0.01</v>
      </c>
      <c r="F10674" s="617" t="n">
        <v>581</v>
      </c>
      <c r="G10674" s="615" t="n">
        <f aca="false">E10674*F10674</f>
        <v>5.81</v>
      </c>
      <c r="H10674" s="606"/>
    </row>
    <row r="10675" customFormat="false" ht="30" hidden="false" customHeight="false" outlineLevel="0" collapsed="false">
      <c r="A10675" s="571"/>
      <c r="B10675" s="500"/>
      <c r="C10675" s="860" t="s">
        <v>6037</v>
      </c>
      <c r="D10675" s="316" t="s">
        <v>4348</v>
      </c>
      <c r="E10675" s="954" t="n">
        <v>1</v>
      </c>
      <c r="F10675" s="617" t="n">
        <v>19.369</v>
      </c>
      <c r="G10675" s="615" t="n">
        <f aca="false">E10675*F10675</f>
        <v>19.369</v>
      </c>
      <c r="H10675" s="606"/>
    </row>
    <row r="10676" customFormat="false" ht="30" hidden="false" customHeight="false" outlineLevel="0" collapsed="false">
      <c r="A10676" s="571"/>
      <c r="B10676" s="500"/>
      <c r="C10676" s="860" t="s">
        <v>6053</v>
      </c>
      <c r="D10676" s="316" t="s">
        <v>4348</v>
      </c>
      <c r="E10676" s="954" t="n">
        <v>1</v>
      </c>
      <c r="F10676" s="617" t="n">
        <v>62.5</v>
      </c>
      <c r="G10676" s="615" t="n">
        <f aca="false">E10676*F10676</f>
        <v>62.5</v>
      </c>
      <c r="H10676" s="606"/>
    </row>
    <row r="10677" customFormat="false" ht="60" hidden="false" customHeight="false" outlineLevel="0" collapsed="false">
      <c r="A10677" s="571"/>
      <c r="B10677" s="1026"/>
      <c r="C10677" s="1027" t="s">
        <v>6064</v>
      </c>
      <c r="D10677" s="1028" t="s">
        <v>5452</v>
      </c>
      <c r="E10677" s="1029" t="n">
        <v>1</v>
      </c>
      <c r="F10677" s="1030" t="n">
        <v>32</v>
      </c>
      <c r="G10677" s="615" t="n">
        <f aca="false">E10677*F10677</f>
        <v>32</v>
      </c>
      <c r="H10677" s="606"/>
    </row>
    <row r="10678" customFormat="false" ht="75" hidden="false" customHeight="false" outlineLevel="0" collapsed="false">
      <c r="A10678" s="571"/>
      <c r="B10678" s="1026"/>
      <c r="C10678" s="1027" t="s">
        <v>6065</v>
      </c>
      <c r="D10678" s="1028" t="s">
        <v>5452</v>
      </c>
      <c r="E10678" s="1029" t="n">
        <v>0.01</v>
      </c>
      <c r="F10678" s="1030" t="n">
        <v>243</v>
      </c>
      <c r="G10678" s="615" t="n">
        <f aca="false">E10678*F10678</f>
        <v>2.43</v>
      </c>
      <c r="H10678" s="606"/>
    </row>
    <row r="10679" customFormat="false" ht="15" hidden="false" customHeight="false" outlineLevel="0" collapsed="false">
      <c r="A10679" s="571"/>
      <c r="B10679" s="708" t="s">
        <v>4562</v>
      </c>
      <c r="C10679" s="1031"/>
      <c r="D10679" s="1028"/>
      <c r="E10679" s="1028"/>
      <c r="F10679" s="1032"/>
      <c r="G10679" s="767" t="n">
        <f aca="false">SUM(G10664:G10678)</f>
        <v>5952.239</v>
      </c>
      <c r="H10679" s="606"/>
    </row>
    <row r="10680" customFormat="false" ht="15" hidden="false" customHeight="false" outlineLevel="0" collapsed="false">
      <c r="A10680" s="571" t="s">
        <v>2055</v>
      </c>
      <c r="B10680" s="500" t="s">
        <v>3762</v>
      </c>
      <c r="C10680" s="718"/>
      <c r="D10680" s="610"/>
      <c r="E10680" s="610"/>
      <c r="F10680" s="612"/>
      <c r="G10680" s="767"/>
      <c r="H10680" s="606"/>
    </row>
    <row r="10681" customFormat="false" ht="60" hidden="false" customHeight="false" outlineLevel="0" collapsed="false">
      <c r="A10681" s="571"/>
      <c r="B10681" s="624"/>
      <c r="C10681" s="872" t="s">
        <v>6021</v>
      </c>
      <c r="D10681" s="628" t="s">
        <v>4359</v>
      </c>
      <c r="E10681" s="1023" t="n">
        <v>0.01</v>
      </c>
      <c r="F10681" s="1024" t="n">
        <v>3250</v>
      </c>
      <c r="G10681" s="615" t="n">
        <f aca="false">E10681*F10681</f>
        <v>32.5</v>
      </c>
      <c r="H10681" s="606"/>
    </row>
    <row r="10682" customFormat="false" ht="30" hidden="false" customHeight="false" outlineLevel="0" collapsed="false">
      <c r="A10682" s="571"/>
      <c r="B10682" s="624"/>
      <c r="C10682" s="872" t="s">
        <v>6022</v>
      </c>
      <c r="D10682" s="628" t="s">
        <v>4359</v>
      </c>
      <c r="E10682" s="1023" t="n">
        <v>0.01</v>
      </c>
      <c r="F10682" s="1024" t="n">
        <v>4400</v>
      </c>
      <c r="G10682" s="615" t="n">
        <f aca="false">E10682*F10682</f>
        <v>44</v>
      </c>
      <c r="H10682" s="606"/>
    </row>
    <row r="10683" customFormat="false" ht="45" hidden="false" customHeight="false" outlineLevel="0" collapsed="false">
      <c r="A10683" s="571"/>
      <c r="B10683" s="624"/>
      <c r="C10683" s="872" t="s">
        <v>6023</v>
      </c>
      <c r="D10683" s="628" t="s">
        <v>5788</v>
      </c>
      <c r="E10683" s="1023" t="n">
        <v>1</v>
      </c>
      <c r="F10683" s="1024" t="n">
        <v>36</v>
      </c>
      <c r="G10683" s="615" t="n">
        <f aca="false">E10683*F10683</f>
        <v>36</v>
      </c>
      <c r="H10683" s="606"/>
    </row>
    <row r="10684" customFormat="false" ht="45" hidden="false" customHeight="false" outlineLevel="0" collapsed="false">
      <c r="A10684" s="571"/>
      <c r="B10684" s="624"/>
      <c r="C10684" s="978" t="s">
        <v>6024</v>
      </c>
      <c r="D10684" s="628" t="s">
        <v>4348</v>
      </c>
      <c r="E10684" s="1023" t="n">
        <v>0.1</v>
      </c>
      <c r="F10684" s="1024" t="n">
        <v>110</v>
      </c>
      <c r="G10684" s="615" t="n">
        <f aca="false">E10684*F10684</f>
        <v>11</v>
      </c>
      <c r="H10684" s="606"/>
    </row>
    <row r="10685" customFormat="false" ht="30" hidden="false" customHeight="false" outlineLevel="0" collapsed="false">
      <c r="A10685" s="571"/>
      <c r="B10685" s="500"/>
      <c r="C10685" s="860" t="s">
        <v>6025</v>
      </c>
      <c r="D10685" s="316" t="s">
        <v>4359</v>
      </c>
      <c r="E10685" s="954" t="n">
        <v>0.05</v>
      </c>
      <c r="F10685" s="617" t="n">
        <v>800</v>
      </c>
      <c r="G10685" s="615" t="n">
        <f aca="false">E10685*F10685</f>
        <v>40</v>
      </c>
      <c r="H10685" s="606"/>
    </row>
    <row r="10686" customFormat="false" ht="15" hidden="false" customHeight="false" outlineLevel="0" collapsed="false">
      <c r="A10686" s="571"/>
      <c r="B10686" s="500"/>
      <c r="C10686" s="860" t="s">
        <v>6026</v>
      </c>
      <c r="D10686" s="316" t="s">
        <v>6027</v>
      </c>
      <c r="E10686" s="954" t="n">
        <v>0.05</v>
      </c>
      <c r="F10686" s="617" t="n">
        <v>350</v>
      </c>
      <c r="G10686" s="615" t="n">
        <f aca="false">E10686*F10686</f>
        <v>17.5</v>
      </c>
      <c r="H10686" s="606"/>
    </row>
    <row r="10687" customFormat="false" ht="15" hidden="false" customHeight="false" outlineLevel="0" collapsed="false">
      <c r="A10687" s="571"/>
      <c r="B10687" s="608"/>
      <c r="C10687" s="860" t="s">
        <v>6028</v>
      </c>
      <c r="D10687" s="316" t="s">
        <v>4348</v>
      </c>
      <c r="E10687" s="954" t="n">
        <v>1</v>
      </c>
      <c r="F10687" s="617" t="n">
        <v>370</v>
      </c>
      <c r="G10687" s="615" t="n">
        <f aca="false">E10687*F10687</f>
        <v>370</v>
      </c>
      <c r="H10687" s="606"/>
    </row>
    <row r="10688" customFormat="false" ht="30" hidden="false" customHeight="false" outlineLevel="0" collapsed="false">
      <c r="A10688" s="571"/>
      <c r="B10688" s="1033"/>
      <c r="C10688" s="860" t="s">
        <v>6029</v>
      </c>
      <c r="D10688" s="316" t="s">
        <v>4348</v>
      </c>
      <c r="E10688" s="954" t="n">
        <v>0.01</v>
      </c>
      <c r="F10688" s="617" t="n">
        <v>581</v>
      </c>
      <c r="G10688" s="615" t="n">
        <f aca="false">E10688*F10688</f>
        <v>5.81</v>
      </c>
      <c r="H10688" s="606"/>
    </row>
    <row r="10689" customFormat="false" ht="15" hidden="false" customHeight="false" outlineLevel="0" collapsed="false">
      <c r="A10689" s="571"/>
      <c r="B10689" s="500"/>
      <c r="C10689" s="860" t="s">
        <v>6066</v>
      </c>
      <c r="D10689" s="316" t="s">
        <v>4348</v>
      </c>
      <c r="E10689" s="954" t="n">
        <v>1</v>
      </c>
      <c r="F10689" s="617" t="n">
        <v>9050</v>
      </c>
      <c r="G10689" s="615" t="n">
        <f aca="false">E10689*F10689</f>
        <v>9050</v>
      </c>
      <c r="H10689" s="606"/>
    </row>
    <row r="10690" customFormat="false" ht="60" hidden="false" customHeight="false" outlineLevel="0" collapsed="false">
      <c r="A10690" s="571"/>
      <c r="B10690" s="500"/>
      <c r="C10690" s="1006" t="s">
        <v>6031</v>
      </c>
      <c r="D10690" s="316" t="s">
        <v>5452</v>
      </c>
      <c r="E10690" s="954" t="n">
        <v>0.005</v>
      </c>
      <c r="F10690" s="617" t="n">
        <v>30600</v>
      </c>
      <c r="G10690" s="615" t="n">
        <f aca="false">E10690*F10690</f>
        <v>153</v>
      </c>
      <c r="H10690" s="606"/>
    </row>
    <row r="10691" customFormat="false" ht="30" hidden="false" customHeight="false" outlineLevel="0" collapsed="false">
      <c r="A10691" s="571"/>
      <c r="B10691" s="500"/>
      <c r="C10691" s="118" t="s">
        <v>6032</v>
      </c>
      <c r="D10691" s="316" t="s">
        <v>4348</v>
      </c>
      <c r="E10691" s="954" t="n">
        <v>1</v>
      </c>
      <c r="F10691" s="617" t="n">
        <v>62</v>
      </c>
      <c r="G10691" s="615" t="n">
        <f aca="false">E10691*F10691</f>
        <v>62</v>
      </c>
      <c r="H10691" s="606"/>
    </row>
    <row r="10692" customFormat="false" ht="30" hidden="false" customHeight="false" outlineLevel="0" collapsed="false">
      <c r="A10692" s="571"/>
      <c r="B10692" s="500"/>
      <c r="C10692" s="118" t="s">
        <v>6033</v>
      </c>
      <c r="D10692" s="316" t="s">
        <v>4348</v>
      </c>
      <c r="E10692" s="954" t="n">
        <v>1</v>
      </c>
      <c r="F10692" s="617" t="n">
        <v>10</v>
      </c>
      <c r="G10692" s="615" t="n">
        <f aca="false">E10692*F10692</f>
        <v>10</v>
      </c>
      <c r="H10692" s="606"/>
    </row>
    <row r="10693" customFormat="false" ht="30" hidden="false" customHeight="false" outlineLevel="0" collapsed="false">
      <c r="A10693" s="571"/>
      <c r="B10693" s="500"/>
      <c r="C10693" s="860" t="s">
        <v>6034</v>
      </c>
      <c r="D10693" s="316" t="s">
        <v>5452</v>
      </c>
      <c r="E10693" s="954" t="n">
        <v>1</v>
      </c>
      <c r="F10693" s="617" t="n">
        <v>76</v>
      </c>
      <c r="G10693" s="615" t="n">
        <f aca="false">E10693*F10693</f>
        <v>76</v>
      </c>
      <c r="H10693" s="606"/>
    </row>
    <row r="10694" customFormat="false" ht="15" hidden="false" customHeight="false" outlineLevel="0" collapsed="false">
      <c r="A10694" s="571"/>
      <c r="B10694" s="708" t="s">
        <v>4562</v>
      </c>
      <c r="C10694" s="860"/>
      <c r="D10694" s="316"/>
      <c r="E10694" s="954"/>
      <c r="F10694" s="617"/>
      <c r="G10694" s="1025" t="n">
        <f aca="false">SUM(G10681:G10693)</f>
        <v>9907.81</v>
      </c>
      <c r="H10694" s="606"/>
    </row>
    <row r="10695" customFormat="false" ht="30" hidden="false" customHeight="false" outlineLevel="0" collapsed="false">
      <c r="A10695" s="571" t="s">
        <v>2057</v>
      </c>
      <c r="B10695" s="374" t="s">
        <v>3763</v>
      </c>
      <c r="C10695" s="860"/>
      <c r="D10695" s="316"/>
      <c r="E10695" s="954"/>
      <c r="F10695" s="617"/>
      <c r="G10695" s="1034"/>
      <c r="H10695" s="606"/>
    </row>
    <row r="10696" customFormat="false" ht="29.25" hidden="false" customHeight="true" outlineLevel="0" collapsed="false">
      <c r="A10696" s="571"/>
      <c r="B10696" s="412"/>
      <c r="C10696" s="1035" t="s">
        <v>6067</v>
      </c>
      <c r="D10696" s="1036" t="s">
        <v>5452</v>
      </c>
      <c r="E10696" s="418" t="n">
        <v>0.001</v>
      </c>
      <c r="F10696" s="1037" t="n">
        <v>200000</v>
      </c>
      <c r="G10696" s="615" t="n">
        <f aca="false">E10696*F10696</f>
        <v>200</v>
      </c>
      <c r="H10696" s="606"/>
    </row>
    <row r="10697" customFormat="false" ht="15" hidden="false" customHeight="false" outlineLevel="0" collapsed="false">
      <c r="A10697" s="571"/>
      <c r="B10697" s="412"/>
      <c r="C10697" s="1035" t="s">
        <v>6068</v>
      </c>
      <c r="D10697" s="1036" t="s">
        <v>6069</v>
      </c>
      <c r="E10697" s="418" t="n">
        <v>0.001</v>
      </c>
      <c r="F10697" s="1037" t="n">
        <v>76412</v>
      </c>
      <c r="G10697" s="615" t="n">
        <f aca="false">E10697*F10697</f>
        <v>76.412</v>
      </c>
      <c r="H10697" s="606"/>
    </row>
    <row r="10698" customFormat="false" ht="15" hidden="false" customHeight="false" outlineLevel="0" collapsed="false">
      <c r="A10698" s="571"/>
      <c r="B10698" s="412"/>
      <c r="C10698" s="1035" t="s">
        <v>6070</v>
      </c>
      <c r="D10698" s="1036" t="s">
        <v>4348</v>
      </c>
      <c r="E10698" s="418" t="n">
        <v>1</v>
      </c>
      <c r="F10698" s="1037" t="n">
        <v>366.25</v>
      </c>
      <c r="G10698" s="615" t="n">
        <f aca="false">E10698*F10698</f>
        <v>366.25</v>
      </c>
      <c r="H10698" s="606"/>
    </row>
    <row r="10699" customFormat="false" ht="15" hidden="false" customHeight="false" outlineLevel="0" collapsed="false">
      <c r="A10699" s="571"/>
      <c r="B10699" s="412"/>
      <c r="C10699" s="860" t="s">
        <v>6028</v>
      </c>
      <c r="D10699" s="316" t="s">
        <v>4348</v>
      </c>
      <c r="E10699" s="954" t="n">
        <v>1</v>
      </c>
      <c r="F10699" s="617" t="n">
        <v>370</v>
      </c>
      <c r="G10699" s="615" t="n">
        <f aca="false">E10699*F10699</f>
        <v>370</v>
      </c>
      <c r="H10699" s="606"/>
    </row>
    <row r="10700" customFormat="false" ht="60" hidden="false" customHeight="false" outlineLevel="0" collapsed="false">
      <c r="A10700" s="571"/>
      <c r="B10700" s="412"/>
      <c r="C10700" s="1035" t="s">
        <v>6021</v>
      </c>
      <c r="D10700" s="1036" t="s">
        <v>4359</v>
      </c>
      <c r="E10700" s="418" t="n">
        <v>0.01</v>
      </c>
      <c r="F10700" s="1037" t="n">
        <v>3250</v>
      </c>
      <c r="G10700" s="615" t="n">
        <f aca="false">E10700*F10700</f>
        <v>32.5</v>
      </c>
      <c r="H10700" s="606"/>
    </row>
    <row r="10701" customFormat="false" ht="30" hidden="false" customHeight="false" outlineLevel="0" collapsed="false">
      <c r="A10701" s="571"/>
      <c r="B10701" s="412"/>
      <c r="C10701" s="1035" t="s">
        <v>6022</v>
      </c>
      <c r="D10701" s="1036" t="s">
        <v>4359</v>
      </c>
      <c r="E10701" s="418" t="n">
        <v>0.01</v>
      </c>
      <c r="F10701" s="1037" t="n">
        <v>4400</v>
      </c>
      <c r="G10701" s="615" t="n">
        <f aca="false">E10701*F10701</f>
        <v>44</v>
      </c>
      <c r="H10701" s="606"/>
    </row>
    <row r="10702" customFormat="false" ht="45" hidden="false" customHeight="false" outlineLevel="0" collapsed="false">
      <c r="A10702" s="571"/>
      <c r="B10702" s="412"/>
      <c r="C10702" s="1035" t="s">
        <v>6023</v>
      </c>
      <c r="D10702" s="1036" t="s">
        <v>5788</v>
      </c>
      <c r="E10702" s="418" t="n">
        <v>1</v>
      </c>
      <c r="F10702" s="1037" t="n">
        <v>36</v>
      </c>
      <c r="G10702" s="615" t="n">
        <f aca="false">E10702*F10702</f>
        <v>36</v>
      </c>
      <c r="H10702" s="606"/>
    </row>
    <row r="10703" customFormat="false" ht="45" hidden="false" customHeight="false" outlineLevel="0" collapsed="false">
      <c r="A10703" s="571"/>
      <c r="B10703" s="412"/>
      <c r="C10703" s="1035" t="s">
        <v>6024</v>
      </c>
      <c r="D10703" s="1036" t="s">
        <v>4348</v>
      </c>
      <c r="E10703" s="418" t="n">
        <v>0.1</v>
      </c>
      <c r="F10703" s="1037" t="n">
        <v>110</v>
      </c>
      <c r="G10703" s="615" t="n">
        <f aca="false">E10703*F10703</f>
        <v>11</v>
      </c>
      <c r="H10703" s="606"/>
    </row>
    <row r="10704" customFormat="false" ht="30" hidden="false" customHeight="false" outlineLevel="0" collapsed="false">
      <c r="A10704" s="571"/>
      <c r="B10704" s="412"/>
      <c r="C10704" s="1035" t="s">
        <v>6025</v>
      </c>
      <c r="D10704" s="1036" t="s">
        <v>4359</v>
      </c>
      <c r="E10704" s="418" t="n">
        <v>0.05</v>
      </c>
      <c r="F10704" s="1037" t="n">
        <v>800</v>
      </c>
      <c r="G10704" s="615" t="n">
        <f aca="false">E10704*F10704</f>
        <v>40</v>
      </c>
      <c r="H10704" s="606"/>
    </row>
    <row r="10705" customFormat="false" ht="15" hidden="false" customHeight="false" outlineLevel="0" collapsed="false">
      <c r="A10705" s="571"/>
      <c r="B10705" s="412"/>
      <c r="C10705" s="1035" t="s">
        <v>6026</v>
      </c>
      <c r="D10705" s="1036" t="s">
        <v>6027</v>
      </c>
      <c r="E10705" s="418" t="n">
        <v>0.05</v>
      </c>
      <c r="F10705" s="1037" t="n">
        <v>350</v>
      </c>
      <c r="G10705" s="615" t="n">
        <f aca="false">E10705*F10705</f>
        <v>17.5</v>
      </c>
      <c r="H10705" s="606"/>
    </row>
    <row r="10706" customFormat="false" ht="30" hidden="false" customHeight="false" outlineLevel="0" collapsed="false">
      <c r="A10706" s="571"/>
      <c r="B10706" s="412"/>
      <c r="C10706" s="1035" t="s">
        <v>6053</v>
      </c>
      <c r="D10706" s="1036" t="s">
        <v>4348</v>
      </c>
      <c r="E10706" s="418" t="n">
        <v>1</v>
      </c>
      <c r="F10706" s="1037" t="n">
        <v>62.5</v>
      </c>
      <c r="G10706" s="615" t="n">
        <f aca="false">E10706*F10706</f>
        <v>62.5</v>
      </c>
      <c r="H10706" s="606"/>
    </row>
    <row r="10707" customFormat="false" ht="15" hidden="false" customHeight="false" outlineLevel="0" collapsed="false">
      <c r="A10707" s="571"/>
      <c r="B10707" s="412"/>
      <c r="C10707" s="1014" t="s">
        <v>5818</v>
      </c>
      <c r="D10707" s="1009" t="s">
        <v>6035</v>
      </c>
      <c r="E10707" s="1010" t="n">
        <v>0.005</v>
      </c>
      <c r="F10707" s="1011" t="n">
        <v>67687</v>
      </c>
      <c r="G10707" s="615" t="n">
        <f aca="false">E10707*F10707</f>
        <v>338.435</v>
      </c>
      <c r="H10707" s="606"/>
    </row>
    <row r="10708" customFormat="false" ht="15" hidden="false" customHeight="false" outlineLevel="0" collapsed="false">
      <c r="A10708" s="571"/>
      <c r="B10708" s="412"/>
      <c r="C10708" s="860" t="s">
        <v>6028</v>
      </c>
      <c r="D10708" s="316" t="s">
        <v>4348</v>
      </c>
      <c r="E10708" s="954" t="n">
        <v>0.5</v>
      </c>
      <c r="F10708" s="617" t="n">
        <v>370</v>
      </c>
      <c r="G10708" s="615" t="n">
        <f aca="false">E10708*F10708</f>
        <v>185</v>
      </c>
      <c r="H10708" s="606"/>
    </row>
    <row r="10709" customFormat="false" ht="30" hidden="false" customHeight="false" outlineLevel="0" collapsed="false">
      <c r="A10709" s="571"/>
      <c r="B10709" s="412"/>
      <c r="C10709" s="860" t="s">
        <v>6029</v>
      </c>
      <c r="D10709" s="316" t="s">
        <v>4348</v>
      </c>
      <c r="E10709" s="954" t="n">
        <v>0.01</v>
      </c>
      <c r="F10709" s="617" t="n">
        <v>316.4</v>
      </c>
      <c r="G10709" s="615" t="n">
        <f aca="false">E10709*F10709</f>
        <v>3.164</v>
      </c>
      <c r="H10709" s="606"/>
    </row>
    <row r="10710" customFormat="false" ht="15" hidden="false" customHeight="false" outlineLevel="0" collapsed="false">
      <c r="A10710" s="571"/>
      <c r="B10710" s="412"/>
      <c r="C10710" s="860" t="s">
        <v>6058</v>
      </c>
      <c r="D10710" s="316" t="s">
        <v>4348</v>
      </c>
      <c r="E10710" s="954" t="n">
        <v>0.5</v>
      </c>
      <c r="F10710" s="617" t="n">
        <v>352</v>
      </c>
      <c r="G10710" s="615" t="n">
        <f aca="false">E10710*F10710</f>
        <v>176</v>
      </c>
      <c r="H10710" s="606"/>
    </row>
    <row r="10711" customFormat="false" ht="15" hidden="false" customHeight="false" outlineLevel="0" collapsed="false">
      <c r="A10711" s="571"/>
      <c r="B10711" s="708" t="s">
        <v>4562</v>
      </c>
      <c r="C10711" s="964"/>
      <c r="D10711" s="965"/>
      <c r="E10711" s="969"/>
      <c r="F10711" s="967"/>
      <c r="G10711" s="947" t="n">
        <f aca="false">SUM(G10696:G10710)</f>
        <v>1958.761</v>
      </c>
      <c r="H10711" s="606"/>
    </row>
    <row r="10712" customFormat="false" ht="30" hidden="false" customHeight="false" outlineLevel="0" collapsed="false">
      <c r="A10712" s="571" t="s">
        <v>2059</v>
      </c>
      <c r="B10712" s="528" t="s">
        <v>3764</v>
      </c>
      <c r="C10712" s="964"/>
      <c r="D10712" s="965"/>
      <c r="E10712" s="966"/>
      <c r="F10712" s="967"/>
      <c r="G10712" s="767"/>
      <c r="H10712" s="606"/>
    </row>
    <row r="10713" customFormat="false" ht="60" hidden="false" customHeight="false" outlineLevel="0" collapsed="false">
      <c r="A10713" s="571"/>
      <c r="B10713" s="624"/>
      <c r="C10713" s="872" t="s">
        <v>6021</v>
      </c>
      <c r="D10713" s="628" t="s">
        <v>4359</v>
      </c>
      <c r="E10713" s="1023" t="n">
        <v>0.01</v>
      </c>
      <c r="F10713" s="1024" t="n">
        <v>3250</v>
      </c>
      <c r="G10713" s="615" t="n">
        <f aca="false">E10713*F10713</f>
        <v>32.5</v>
      </c>
      <c r="H10713" s="606"/>
    </row>
    <row r="10714" customFormat="false" ht="30" hidden="false" customHeight="false" outlineLevel="0" collapsed="false">
      <c r="A10714" s="571"/>
      <c r="B10714" s="624"/>
      <c r="C10714" s="872" t="s">
        <v>6022</v>
      </c>
      <c r="D10714" s="628" t="s">
        <v>4359</v>
      </c>
      <c r="E10714" s="1023" t="n">
        <v>0.01</v>
      </c>
      <c r="F10714" s="1024" t="n">
        <v>4400</v>
      </c>
      <c r="G10714" s="615" t="n">
        <f aca="false">E10714*F10714</f>
        <v>44</v>
      </c>
      <c r="H10714" s="606"/>
    </row>
    <row r="10715" customFormat="false" ht="45" hidden="false" customHeight="false" outlineLevel="0" collapsed="false">
      <c r="A10715" s="571"/>
      <c r="B10715" s="624"/>
      <c r="C10715" s="872" t="s">
        <v>6023</v>
      </c>
      <c r="D10715" s="628" t="s">
        <v>5788</v>
      </c>
      <c r="E10715" s="1023" t="n">
        <v>1</v>
      </c>
      <c r="F10715" s="1024" t="n">
        <v>36</v>
      </c>
      <c r="G10715" s="615" t="n">
        <f aca="false">E10715*F10715</f>
        <v>36</v>
      </c>
      <c r="H10715" s="606"/>
    </row>
    <row r="10716" customFormat="false" ht="45" hidden="false" customHeight="false" outlineLevel="0" collapsed="false">
      <c r="A10716" s="571"/>
      <c r="B10716" s="624"/>
      <c r="C10716" s="978" t="s">
        <v>6024</v>
      </c>
      <c r="D10716" s="628" t="s">
        <v>4348</v>
      </c>
      <c r="E10716" s="1023" t="n">
        <v>0.1</v>
      </c>
      <c r="F10716" s="1024" t="n">
        <v>110</v>
      </c>
      <c r="G10716" s="615" t="n">
        <f aca="false">E10716*F10716</f>
        <v>11</v>
      </c>
      <c r="H10716" s="606"/>
    </row>
    <row r="10717" customFormat="false" ht="15" hidden="false" customHeight="false" outlineLevel="0" collapsed="false">
      <c r="A10717" s="571"/>
      <c r="B10717" s="528"/>
      <c r="C10717" s="860" t="s">
        <v>6071</v>
      </c>
      <c r="D10717" s="316" t="s">
        <v>6072</v>
      </c>
      <c r="E10717" s="954" t="n">
        <v>0.004</v>
      </c>
      <c r="F10717" s="617" t="n">
        <v>674000</v>
      </c>
      <c r="G10717" s="615" t="n">
        <f aca="false">E10717*F10717</f>
        <v>2696</v>
      </c>
      <c r="H10717" s="606"/>
    </row>
    <row r="10718" customFormat="false" ht="30" hidden="false" customHeight="false" outlineLevel="0" collapsed="false">
      <c r="A10718" s="571"/>
      <c r="B10718" s="500"/>
      <c r="C10718" s="860" t="s">
        <v>6073</v>
      </c>
      <c r="D10718" s="316" t="s">
        <v>6074</v>
      </c>
      <c r="E10718" s="954" t="n">
        <v>0.01</v>
      </c>
      <c r="F10718" s="617" t="n">
        <v>862000</v>
      </c>
      <c r="G10718" s="615" t="n">
        <f aca="false">E10718*F10718</f>
        <v>8620</v>
      </c>
      <c r="H10718" s="606"/>
    </row>
    <row r="10719" customFormat="false" ht="30" hidden="false" customHeight="false" outlineLevel="0" collapsed="false">
      <c r="A10719" s="571"/>
      <c r="B10719" s="500"/>
      <c r="C10719" s="860" t="s">
        <v>6075</v>
      </c>
      <c r="D10719" s="316" t="s">
        <v>5908</v>
      </c>
      <c r="E10719" s="954" t="n">
        <v>0.001</v>
      </c>
      <c r="F10719" s="617" t="n">
        <v>188000</v>
      </c>
      <c r="G10719" s="615" t="n">
        <f aca="false">E10719*F10719</f>
        <v>188</v>
      </c>
      <c r="H10719" s="606"/>
    </row>
    <row r="10720" customFormat="false" ht="30" hidden="false" customHeight="false" outlineLevel="0" collapsed="false">
      <c r="A10720" s="571"/>
      <c r="B10720" s="500"/>
      <c r="C10720" s="860" t="s">
        <v>6061</v>
      </c>
      <c r="D10720" s="316" t="s">
        <v>4348</v>
      </c>
      <c r="E10720" s="954" t="n">
        <v>5</v>
      </c>
      <c r="F10720" s="617" t="n">
        <v>62.5</v>
      </c>
      <c r="G10720" s="615" t="n">
        <f aca="false">E10720*F10720</f>
        <v>312.5</v>
      </c>
      <c r="H10720" s="606"/>
    </row>
    <row r="10721" customFormat="false" ht="30" hidden="false" customHeight="false" outlineLevel="0" collapsed="false">
      <c r="A10721" s="571"/>
      <c r="B10721" s="500"/>
      <c r="C10721" s="860" t="s">
        <v>6053</v>
      </c>
      <c r="D10721" s="316" t="s">
        <v>4348</v>
      </c>
      <c r="E10721" s="954" t="n">
        <v>5</v>
      </c>
      <c r="F10721" s="617" t="n">
        <v>62.5</v>
      </c>
      <c r="G10721" s="615" t="n">
        <f aca="false">E10721*F10721</f>
        <v>312.5</v>
      </c>
      <c r="H10721" s="606"/>
    </row>
    <row r="10722" customFormat="false" ht="30" hidden="false" customHeight="false" outlineLevel="0" collapsed="false">
      <c r="A10722" s="571"/>
      <c r="B10722" s="500"/>
      <c r="C10722" s="860" t="s">
        <v>6054</v>
      </c>
      <c r="D10722" s="316" t="s">
        <v>4348</v>
      </c>
      <c r="E10722" s="954" t="n">
        <v>5</v>
      </c>
      <c r="F10722" s="617" t="n">
        <v>84.8</v>
      </c>
      <c r="G10722" s="615" t="n">
        <f aca="false">E10722*F10722</f>
        <v>424</v>
      </c>
      <c r="H10722" s="606"/>
    </row>
    <row r="10723" customFormat="false" ht="45" hidden="false" customHeight="false" outlineLevel="0" collapsed="false">
      <c r="A10723" s="571"/>
      <c r="B10723" s="500"/>
      <c r="C10723" s="860" t="s">
        <v>6055</v>
      </c>
      <c r="D10723" s="316" t="s">
        <v>4348</v>
      </c>
      <c r="E10723" s="954" t="n">
        <v>10</v>
      </c>
      <c r="F10723" s="617" t="n">
        <v>10.9</v>
      </c>
      <c r="G10723" s="615" t="n">
        <f aca="false">E10723*F10723</f>
        <v>109</v>
      </c>
      <c r="H10723" s="606"/>
    </row>
    <row r="10724" customFormat="false" ht="30" hidden="false" customHeight="false" outlineLevel="0" collapsed="false">
      <c r="A10724" s="571"/>
      <c r="B10724" s="500"/>
      <c r="C10724" s="860" t="s">
        <v>6056</v>
      </c>
      <c r="D10724" s="316" t="s">
        <v>4348</v>
      </c>
      <c r="E10724" s="954" t="n">
        <v>5</v>
      </c>
      <c r="F10724" s="617" t="n">
        <v>17.3</v>
      </c>
      <c r="G10724" s="615" t="n">
        <f aca="false">E10724*F10724</f>
        <v>86.5</v>
      </c>
      <c r="H10724" s="606"/>
    </row>
    <row r="10725" customFormat="false" ht="45" hidden="false" customHeight="false" outlineLevel="0" collapsed="false">
      <c r="A10725" s="571"/>
      <c r="B10725" s="500"/>
      <c r="C10725" s="860" t="s">
        <v>6057</v>
      </c>
      <c r="D10725" s="316" t="s">
        <v>4348</v>
      </c>
      <c r="E10725" s="954" t="n">
        <v>1</v>
      </c>
      <c r="F10725" s="617" t="n">
        <v>128</v>
      </c>
      <c r="G10725" s="615" t="n">
        <f aca="false">E10725*F10725</f>
        <v>128</v>
      </c>
      <c r="H10725" s="606"/>
    </row>
    <row r="10726" customFormat="false" ht="15" hidden="false" customHeight="false" outlineLevel="0" collapsed="false">
      <c r="A10726" s="571"/>
      <c r="B10726" s="500"/>
      <c r="C10726" s="860" t="s">
        <v>6058</v>
      </c>
      <c r="D10726" s="316" t="s">
        <v>4348</v>
      </c>
      <c r="E10726" s="954" t="n">
        <v>1</v>
      </c>
      <c r="F10726" s="617" t="n">
        <v>352</v>
      </c>
      <c r="G10726" s="615" t="n">
        <f aca="false">E10726*F10726</f>
        <v>352</v>
      </c>
      <c r="H10726" s="606"/>
    </row>
    <row r="10727" customFormat="false" ht="15" hidden="false" customHeight="false" outlineLevel="0" collapsed="false">
      <c r="A10727" s="571"/>
      <c r="B10727" s="708" t="s">
        <v>4562</v>
      </c>
      <c r="C10727" s="709"/>
      <c r="D10727" s="606"/>
      <c r="E10727" s="606"/>
      <c r="F10727" s="361"/>
      <c r="G10727" s="1025" t="n">
        <f aca="false">SUM(G10713:G10726)</f>
        <v>13352</v>
      </c>
      <c r="H10727" s="391"/>
    </row>
    <row r="10728" customFormat="false" ht="15" hidden="false" customHeight="false" outlineLevel="0" collapsed="false">
      <c r="A10728" s="375" t="s">
        <v>2061</v>
      </c>
      <c r="B10728" s="1038" t="s">
        <v>6076</v>
      </c>
      <c r="C10728" s="375"/>
      <c r="D10728" s="375"/>
      <c r="E10728" s="375"/>
      <c r="F10728" s="375"/>
      <c r="G10728" s="1039"/>
      <c r="H10728" s="375"/>
    </row>
    <row r="10729" customFormat="false" ht="30" hidden="false" customHeight="false" outlineLevel="0" collapsed="false">
      <c r="A10729" s="571" t="s">
        <v>2063</v>
      </c>
      <c r="B10729" s="433" t="s">
        <v>3766</v>
      </c>
      <c r="C10729" s="709" t="s">
        <v>6077</v>
      </c>
      <c r="D10729" s="1040" t="s">
        <v>4348</v>
      </c>
      <c r="E10729" s="1040" t="n">
        <v>1</v>
      </c>
      <c r="F10729" s="1041" t="n">
        <v>37</v>
      </c>
      <c r="G10729" s="1042" t="n">
        <f aca="false">F10729*E10729</f>
        <v>37</v>
      </c>
      <c r="H10729" s="1043"/>
    </row>
    <row r="10730" customFormat="false" ht="30" hidden="false" customHeight="false" outlineLevel="0" collapsed="false">
      <c r="A10730" s="571"/>
      <c r="B10730" s="500"/>
      <c r="C10730" s="709" t="s">
        <v>6078</v>
      </c>
      <c r="D10730" s="1040" t="s">
        <v>6079</v>
      </c>
      <c r="E10730" s="1040" t="n">
        <v>1</v>
      </c>
      <c r="F10730" s="1044" t="n">
        <f aca="false">5429/1000</f>
        <v>5.429</v>
      </c>
      <c r="G10730" s="547" t="n">
        <f aca="false">F10730*E10730</f>
        <v>5.429</v>
      </c>
      <c r="H10730" s="1043"/>
    </row>
    <row r="10731" customFormat="false" ht="16.5" hidden="false" customHeight="true" outlineLevel="0" collapsed="false">
      <c r="A10731" s="571"/>
      <c r="C10731" s="709" t="s">
        <v>5139</v>
      </c>
      <c r="D10731" s="606" t="s">
        <v>4359</v>
      </c>
      <c r="E10731" s="606" t="n">
        <v>0.0002</v>
      </c>
      <c r="F10731" s="361" t="n">
        <v>6240</v>
      </c>
      <c r="G10731" s="1042" t="n">
        <f aca="false">F10731*E10731</f>
        <v>1.248</v>
      </c>
      <c r="H10731" s="606"/>
    </row>
    <row r="10732" customFormat="false" ht="15" hidden="false" customHeight="false" outlineLevel="0" collapsed="false">
      <c r="A10732" s="571"/>
      <c r="B10732" s="500"/>
      <c r="C10732" s="709" t="s">
        <v>6080</v>
      </c>
      <c r="D10732" s="606" t="s">
        <v>4348</v>
      </c>
      <c r="E10732" s="606" t="n">
        <v>1</v>
      </c>
      <c r="F10732" s="361" t="n">
        <v>30</v>
      </c>
      <c r="G10732" s="1042" t="n">
        <f aca="false">F10732*E10732</f>
        <v>30</v>
      </c>
      <c r="H10732" s="606"/>
    </row>
    <row r="10733" customFormat="false" ht="15" hidden="false" customHeight="false" outlineLevel="0" collapsed="false">
      <c r="A10733" s="571"/>
      <c r="B10733" s="500"/>
      <c r="C10733" s="709" t="s">
        <v>6081</v>
      </c>
      <c r="D10733" s="606" t="s">
        <v>5788</v>
      </c>
      <c r="E10733" s="606" t="n">
        <v>2</v>
      </c>
      <c r="F10733" s="361" t="n">
        <v>81</v>
      </c>
      <c r="G10733" s="1042" t="n">
        <f aca="false">F10733*E10733</f>
        <v>162</v>
      </c>
      <c r="H10733" s="606"/>
    </row>
    <row r="10734" customFormat="false" ht="35.25" hidden="false" customHeight="true" outlineLevel="0" collapsed="false">
      <c r="A10734" s="571"/>
      <c r="B10734" s="500"/>
      <c r="C10734" s="709" t="s">
        <v>6082</v>
      </c>
      <c r="D10734" s="606" t="s">
        <v>6083</v>
      </c>
      <c r="E10734" s="606" t="n">
        <v>2</v>
      </c>
      <c r="F10734" s="361" t="n">
        <f aca="false">6100/300</f>
        <v>20.3333333333333</v>
      </c>
      <c r="G10734" s="1042" t="n">
        <f aca="false">F10734*E10734</f>
        <v>40.6666666666667</v>
      </c>
      <c r="H10734" s="606"/>
    </row>
    <row r="10735" customFormat="false" ht="15" hidden="false" customHeight="false" outlineLevel="0" collapsed="false">
      <c r="A10735" s="571"/>
      <c r="B10735" s="500"/>
      <c r="C10735" s="709" t="s">
        <v>6084</v>
      </c>
      <c r="D10735" s="606" t="s">
        <v>4348</v>
      </c>
      <c r="E10735" s="606" t="n">
        <v>1</v>
      </c>
      <c r="F10735" s="361" t="n">
        <v>25</v>
      </c>
      <c r="G10735" s="1042" t="n">
        <f aca="false">F10735*E10735</f>
        <v>25</v>
      </c>
      <c r="H10735" s="606"/>
    </row>
    <row r="10736" customFormat="false" ht="15" hidden="false" customHeight="false" outlineLevel="0" collapsed="false">
      <c r="A10736" s="571"/>
      <c r="B10736" s="500"/>
      <c r="C10736" s="709" t="s">
        <v>6085</v>
      </c>
      <c r="D10736" s="606" t="s">
        <v>4348</v>
      </c>
      <c r="E10736" s="606" t="n">
        <v>1</v>
      </c>
      <c r="F10736" s="361" t="n">
        <v>57</v>
      </c>
      <c r="G10736" s="1042" t="n">
        <f aca="false">F10736*E10736</f>
        <v>57</v>
      </c>
      <c r="H10736" s="606"/>
    </row>
    <row r="10737" customFormat="false" ht="15" hidden="false" customHeight="false" outlineLevel="0" collapsed="false">
      <c r="A10737" s="571"/>
      <c r="B10737" s="608" t="s">
        <v>4128</v>
      </c>
      <c r="C10737" s="794"/>
      <c r="D10737" s="610"/>
      <c r="E10737" s="610"/>
      <c r="F10737" s="612"/>
      <c r="G10737" s="613" t="n">
        <f aca="false">SUM(G10729:G10736)</f>
        <v>358.343666666667</v>
      </c>
      <c r="H10737" s="606"/>
    </row>
    <row r="10738" customFormat="false" ht="15" hidden="false" customHeight="false" outlineLevel="0" collapsed="false">
      <c r="A10738" s="571" t="s">
        <v>2065</v>
      </c>
      <c r="B10738" s="433" t="s">
        <v>3767</v>
      </c>
      <c r="C10738" s="709"/>
      <c r="D10738" s="606"/>
      <c r="E10738" s="606"/>
      <c r="F10738" s="361"/>
      <c r="G10738" s="615"/>
      <c r="H10738" s="606"/>
    </row>
    <row r="10739" customFormat="false" ht="15" hidden="false" customHeight="false" outlineLevel="0" collapsed="false">
      <c r="A10739" s="571"/>
      <c r="B10739" s="500"/>
      <c r="C10739" s="709" t="s">
        <v>6077</v>
      </c>
      <c r="D10739" s="1040" t="s">
        <v>4348</v>
      </c>
      <c r="E10739" s="1040" t="n">
        <v>1</v>
      </c>
      <c r="F10739" s="1041" t="n">
        <v>37</v>
      </c>
      <c r="G10739" s="615" t="n">
        <f aca="false">F10739*E10739</f>
        <v>37</v>
      </c>
      <c r="H10739" s="606"/>
    </row>
    <row r="10740" customFormat="false" ht="15" hidden="false" customHeight="false" outlineLevel="0" collapsed="false">
      <c r="A10740" s="571"/>
      <c r="B10740" s="500"/>
      <c r="C10740" s="709" t="s">
        <v>6085</v>
      </c>
      <c r="D10740" s="606" t="s">
        <v>4348</v>
      </c>
      <c r="E10740" s="606" t="n">
        <v>1</v>
      </c>
      <c r="F10740" s="361" t="n">
        <v>57</v>
      </c>
      <c r="G10740" s="615" t="n">
        <f aca="false">F10740*E10740</f>
        <v>57</v>
      </c>
      <c r="H10740" s="606"/>
    </row>
    <row r="10741" customFormat="false" ht="37.5" hidden="false" customHeight="true" outlineLevel="0" collapsed="false">
      <c r="A10741" s="571"/>
      <c r="B10741" s="500"/>
      <c r="C10741" s="709" t="s">
        <v>6086</v>
      </c>
      <c r="D10741" s="606" t="s">
        <v>6087</v>
      </c>
      <c r="E10741" s="606" t="n">
        <v>1</v>
      </c>
      <c r="F10741" s="361" t="n">
        <f aca="false">21250/500</f>
        <v>42.5</v>
      </c>
      <c r="G10741" s="615" t="n">
        <f aca="false">F10741*E10741</f>
        <v>42.5</v>
      </c>
      <c r="H10741" s="1043"/>
    </row>
    <row r="10742" customFormat="false" ht="36" hidden="false" customHeight="true" outlineLevel="0" collapsed="false">
      <c r="A10742" s="571"/>
      <c r="B10742" s="500"/>
      <c r="C10742" s="709" t="s">
        <v>6088</v>
      </c>
      <c r="D10742" s="606" t="s">
        <v>5788</v>
      </c>
      <c r="E10742" s="606" t="n">
        <v>2</v>
      </c>
      <c r="F10742" s="361" t="n">
        <v>81</v>
      </c>
      <c r="G10742" s="615" t="n">
        <f aca="false">F10742*E10742</f>
        <v>162</v>
      </c>
      <c r="H10742" s="606"/>
    </row>
    <row r="10743" customFormat="false" ht="45" hidden="false" customHeight="false" outlineLevel="0" collapsed="false">
      <c r="A10743" s="571"/>
      <c r="B10743" s="500"/>
      <c r="C10743" s="709" t="s">
        <v>6082</v>
      </c>
      <c r="D10743" s="606" t="s">
        <v>6089</v>
      </c>
      <c r="E10743" s="606" t="n">
        <v>2</v>
      </c>
      <c r="F10743" s="361" t="n">
        <f aca="false">6100/300</f>
        <v>20.3333333333333</v>
      </c>
      <c r="G10743" s="615" t="n">
        <f aca="false">F10743*E10743</f>
        <v>40.6666666666667</v>
      </c>
      <c r="H10743" s="606"/>
    </row>
    <row r="10744" customFormat="false" ht="15" hidden="false" customHeight="false" outlineLevel="0" collapsed="false">
      <c r="A10744" s="571"/>
      <c r="B10744" s="500"/>
      <c r="C10744" s="709" t="s">
        <v>6084</v>
      </c>
      <c r="D10744" s="606" t="s">
        <v>4348</v>
      </c>
      <c r="E10744" s="606" t="n">
        <v>1</v>
      </c>
      <c r="F10744" s="361" t="n">
        <v>25</v>
      </c>
      <c r="G10744" s="615" t="n">
        <f aca="false">F10744*E10744</f>
        <v>25</v>
      </c>
      <c r="H10744" s="606"/>
    </row>
    <row r="10745" customFormat="false" ht="15" hidden="false" customHeight="false" outlineLevel="0" collapsed="false">
      <c r="A10745" s="571"/>
      <c r="B10745" s="608" t="s">
        <v>4128</v>
      </c>
      <c r="C10745" s="709"/>
      <c r="D10745" s="610"/>
      <c r="E10745" s="610"/>
      <c r="F10745" s="612"/>
      <c r="G10745" s="613" t="n">
        <f aca="false">SUM(G10739:G10744)</f>
        <v>364.166666666667</v>
      </c>
      <c r="H10745" s="606"/>
    </row>
    <row r="10746" customFormat="false" ht="15" hidden="false" customHeight="false" outlineLevel="0" collapsed="false">
      <c r="A10746" s="571" t="s">
        <v>2067</v>
      </c>
      <c r="B10746" s="500" t="s">
        <v>3768</v>
      </c>
      <c r="C10746" s="709" t="s">
        <v>6090</v>
      </c>
      <c r="D10746" s="606" t="s">
        <v>4133</v>
      </c>
      <c r="E10746" s="606" t="n">
        <v>0.045</v>
      </c>
      <c r="F10746" s="361" t="n">
        <v>10296</v>
      </c>
      <c r="G10746" s="615" t="n">
        <f aca="false">F10746*E10746</f>
        <v>463.32</v>
      </c>
      <c r="H10746" s="606"/>
    </row>
    <row r="10747" customFormat="false" ht="15" hidden="false" customHeight="false" outlineLevel="0" collapsed="false">
      <c r="A10747" s="571"/>
      <c r="B10747" s="608"/>
      <c r="C10747" s="709" t="s">
        <v>5139</v>
      </c>
      <c r="D10747" s="606" t="s">
        <v>4359</v>
      </c>
      <c r="E10747" s="606" t="n">
        <v>0.0002</v>
      </c>
      <c r="F10747" s="361" t="n">
        <v>6240</v>
      </c>
      <c r="G10747" s="615" t="n">
        <f aca="false">F10747*E10747</f>
        <v>1.248</v>
      </c>
      <c r="H10747" s="606"/>
    </row>
    <row r="10748" customFormat="false" ht="30" hidden="false" customHeight="false" outlineLevel="0" collapsed="false">
      <c r="A10748" s="571"/>
      <c r="B10748" s="608"/>
      <c r="C10748" s="709" t="s">
        <v>6091</v>
      </c>
      <c r="D10748" s="1040" t="s">
        <v>6079</v>
      </c>
      <c r="E10748" s="1040" t="n">
        <v>1</v>
      </c>
      <c r="F10748" s="1044" t="n">
        <f aca="false">5429/1000</f>
        <v>5.429</v>
      </c>
      <c r="G10748" s="615" t="n">
        <f aca="false">F10748*E10748</f>
        <v>5.429</v>
      </c>
      <c r="H10748" s="606"/>
    </row>
    <row r="10749" customFormat="false" ht="15" hidden="false" customHeight="false" outlineLevel="0" collapsed="false">
      <c r="A10749" s="571"/>
      <c r="B10749" s="608"/>
      <c r="C10749" s="709" t="s">
        <v>6092</v>
      </c>
      <c r="D10749" s="606" t="s">
        <v>5788</v>
      </c>
      <c r="E10749" s="606" t="n">
        <v>2</v>
      </c>
      <c r="F10749" s="361" t="n">
        <v>81</v>
      </c>
      <c r="G10749" s="615" t="n">
        <f aca="false">F10749*E10749</f>
        <v>162</v>
      </c>
      <c r="H10749" s="606"/>
    </row>
    <row r="10750" customFormat="false" ht="15" hidden="false" customHeight="false" outlineLevel="0" collapsed="false">
      <c r="A10750" s="571"/>
      <c r="B10750" s="608"/>
      <c r="C10750" s="709" t="s">
        <v>6084</v>
      </c>
      <c r="D10750" s="606" t="s">
        <v>4348</v>
      </c>
      <c r="E10750" s="606" t="n">
        <v>1</v>
      </c>
      <c r="F10750" s="361" t="n">
        <v>25</v>
      </c>
      <c r="G10750" s="615" t="n">
        <f aca="false">F10750*E10750</f>
        <v>25</v>
      </c>
      <c r="H10750" s="606"/>
    </row>
    <row r="10751" customFormat="false" ht="15" hidden="false" customHeight="false" outlineLevel="0" collapsed="false">
      <c r="A10751" s="571"/>
      <c r="B10751" s="608"/>
      <c r="C10751" s="794"/>
      <c r="D10751" s="610"/>
      <c r="E10751" s="610"/>
      <c r="F10751" s="612"/>
      <c r="G10751" s="613" t="n">
        <f aca="false">SUM(G10746:G10750)</f>
        <v>656.997</v>
      </c>
      <c r="H10751" s="606"/>
    </row>
    <row r="10752" customFormat="false" ht="15" hidden="false" customHeight="false" outlineLevel="0" collapsed="false">
      <c r="A10752" s="571" t="s">
        <v>2069</v>
      </c>
      <c r="B10752" s="433" t="s">
        <v>3769</v>
      </c>
      <c r="C10752" s="709" t="s">
        <v>6093</v>
      </c>
      <c r="D10752" s="606" t="s">
        <v>4133</v>
      </c>
      <c r="E10752" s="606" t="n">
        <v>0.02</v>
      </c>
      <c r="F10752" s="361" t="n">
        <v>10296</v>
      </c>
      <c r="G10752" s="615" t="n">
        <f aca="false">F10752*E10752</f>
        <v>205.92</v>
      </c>
      <c r="H10752" s="606"/>
    </row>
    <row r="10753" customFormat="false" ht="15" hidden="false" customHeight="false" outlineLevel="0" collapsed="false">
      <c r="A10753" s="571"/>
      <c r="B10753" s="500"/>
      <c r="C10753" s="709" t="s">
        <v>5139</v>
      </c>
      <c r="D10753" s="606" t="s">
        <v>4359</v>
      </c>
      <c r="E10753" s="606" t="n">
        <v>0.0002</v>
      </c>
      <c r="F10753" s="361" t="n">
        <v>6240</v>
      </c>
      <c r="G10753" s="615" t="n">
        <f aca="false">F10753*E10753</f>
        <v>1.248</v>
      </c>
      <c r="H10753" s="606"/>
    </row>
    <row r="10754" customFormat="false" ht="30" hidden="false" customHeight="false" outlineLevel="0" collapsed="false">
      <c r="A10754" s="571"/>
      <c r="B10754" s="500"/>
      <c r="C10754" s="709" t="s">
        <v>6091</v>
      </c>
      <c r="D10754" s="1040" t="s">
        <v>6079</v>
      </c>
      <c r="E10754" s="1040" t="n">
        <v>1</v>
      </c>
      <c r="F10754" s="1044" t="n">
        <f aca="false">5429/1000</f>
        <v>5.429</v>
      </c>
      <c r="G10754" s="615" t="n">
        <f aca="false">F10754*E10754</f>
        <v>5.429</v>
      </c>
      <c r="H10754" s="610"/>
    </row>
    <row r="10755" customFormat="false" ht="15" hidden="false" customHeight="false" outlineLevel="0" collapsed="false">
      <c r="A10755" s="571"/>
      <c r="B10755" s="500"/>
      <c r="C10755" s="709" t="s">
        <v>6092</v>
      </c>
      <c r="D10755" s="606" t="s">
        <v>5788</v>
      </c>
      <c r="E10755" s="606" t="n">
        <v>2</v>
      </c>
      <c r="F10755" s="361" t="n">
        <v>81</v>
      </c>
      <c r="G10755" s="615" t="n">
        <f aca="false">F10755*E10755</f>
        <v>162</v>
      </c>
      <c r="H10755" s="606"/>
    </row>
    <row r="10756" customFormat="false" ht="15" hidden="false" customHeight="false" outlineLevel="0" collapsed="false">
      <c r="A10756" s="571"/>
      <c r="B10756" s="500"/>
      <c r="C10756" s="709" t="s">
        <v>6084</v>
      </c>
      <c r="D10756" s="606" t="s">
        <v>4348</v>
      </c>
      <c r="E10756" s="606" t="n">
        <v>1</v>
      </c>
      <c r="F10756" s="361" t="n">
        <v>25</v>
      </c>
      <c r="G10756" s="615" t="n">
        <f aca="false">F10756*E10756</f>
        <v>25</v>
      </c>
      <c r="H10756" s="606"/>
    </row>
    <row r="10757" customFormat="false" ht="15" hidden="false" customHeight="false" outlineLevel="0" collapsed="false">
      <c r="A10757" s="571"/>
      <c r="B10757" s="608" t="s">
        <v>4128</v>
      </c>
      <c r="C10757" s="709"/>
      <c r="D10757" s="610"/>
      <c r="E10757" s="610"/>
      <c r="F10757" s="612"/>
      <c r="G10757" s="613" t="n">
        <f aca="false">SUM(G10752:G10756)</f>
        <v>399.597</v>
      </c>
      <c r="H10757" s="606"/>
    </row>
    <row r="10758" customFormat="false" ht="45" hidden="false" customHeight="false" outlineLevel="0" collapsed="false">
      <c r="A10758" s="571" t="s">
        <v>2071</v>
      </c>
      <c r="B10758" s="500" t="s">
        <v>6094</v>
      </c>
      <c r="C10758" s="709" t="s">
        <v>6095</v>
      </c>
      <c r="D10758" s="606" t="s">
        <v>6096</v>
      </c>
      <c r="E10758" s="606" t="n">
        <v>1</v>
      </c>
      <c r="F10758" s="361" t="n">
        <f aca="false">49200/40</f>
        <v>1230</v>
      </c>
      <c r="G10758" s="615" t="n">
        <f aca="false">F10758*E10758</f>
        <v>1230</v>
      </c>
      <c r="H10758" s="606"/>
    </row>
    <row r="10759" customFormat="false" ht="15" hidden="false" customHeight="false" outlineLevel="0" collapsed="false">
      <c r="A10759" s="571"/>
      <c r="B10759" s="608"/>
      <c r="C10759" s="709" t="s">
        <v>6077</v>
      </c>
      <c r="D10759" s="606" t="s">
        <v>4348</v>
      </c>
      <c r="E10759" s="606" t="n">
        <v>1</v>
      </c>
      <c r="F10759" s="361" t="n">
        <v>37</v>
      </c>
      <c r="G10759" s="615" t="n">
        <f aca="false">F10759*E10759</f>
        <v>37</v>
      </c>
      <c r="H10759" s="606"/>
    </row>
    <row r="10760" customFormat="false" ht="30" hidden="false" customHeight="false" outlineLevel="0" collapsed="false">
      <c r="A10760" s="571"/>
      <c r="B10760" s="608"/>
      <c r="C10760" s="709" t="s">
        <v>6078</v>
      </c>
      <c r="D10760" s="606" t="s">
        <v>6079</v>
      </c>
      <c r="E10760" s="606" t="n">
        <v>1</v>
      </c>
      <c r="F10760" s="1044" t="n">
        <f aca="false">5429/1000</f>
        <v>5.429</v>
      </c>
      <c r="G10760" s="615" t="n">
        <f aca="false">F10760*E10760</f>
        <v>5.429</v>
      </c>
      <c r="H10760" s="606"/>
    </row>
    <row r="10761" customFormat="false" ht="15" hidden="false" customHeight="false" outlineLevel="0" collapsed="false">
      <c r="A10761" s="571"/>
      <c r="B10761" s="608"/>
      <c r="C10761" s="709" t="s">
        <v>6080</v>
      </c>
      <c r="D10761" s="606" t="s">
        <v>4348</v>
      </c>
      <c r="E10761" s="606" t="n">
        <v>1</v>
      </c>
      <c r="F10761" s="361" t="n">
        <v>30</v>
      </c>
      <c r="G10761" s="615" t="n">
        <f aca="false">F10761*E10761</f>
        <v>30</v>
      </c>
      <c r="H10761" s="606"/>
    </row>
    <row r="10762" customFormat="false" ht="30" hidden="false" customHeight="false" outlineLevel="0" collapsed="false">
      <c r="A10762" s="571"/>
      <c r="B10762" s="608"/>
      <c r="C10762" s="709" t="s">
        <v>6088</v>
      </c>
      <c r="D10762" s="606" t="s">
        <v>5788</v>
      </c>
      <c r="E10762" s="606" t="n">
        <v>2</v>
      </c>
      <c r="F10762" s="361" t="n">
        <v>81</v>
      </c>
      <c r="G10762" s="615" t="n">
        <f aca="false">F10762*E10762</f>
        <v>162</v>
      </c>
      <c r="H10762" s="606"/>
    </row>
    <row r="10763" customFormat="false" ht="45" hidden="false" customHeight="false" outlineLevel="0" collapsed="false">
      <c r="A10763" s="571"/>
      <c r="B10763" s="608"/>
      <c r="C10763" s="709" t="s">
        <v>6082</v>
      </c>
      <c r="D10763" s="606" t="s">
        <v>6089</v>
      </c>
      <c r="E10763" s="606" t="n">
        <v>2</v>
      </c>
      <c r="F10763" s="361" t="n">
        <f aca="false">6100/300</f>
        <v>20.3333333333333</v>
      </c>
      <c r="G10763" s="615" t="n">
        <f aca="false">F10763*E10763</f>
        <v>40.6666666666667</v>
      </c>
      <c r="H10763" s="606"/>
    </row>
    <row r="10764" customFormat="false" ht="15" hidden="false" customHeight="false" outlineLevel="0" collapsed="false">
      <c r="A10764" s="571"/>
      <c r="B10764" s="608"/>
      <c r="C10764" s="709" t="s">
        <v>6097</v>
      </c>
      <c r="D10764" s="606" t="s">
        <v>4348</v>
      </c>
      <c r="E10764" s="606" t="n">
        <v>1</v>
      </c>
      <c r="F10764" s="361" t="n">
        <v>25</v>
      </c>
      <c r="G10764" s="615" t="n">
        <f aca="false">F10764*E10764</f>
        <v>25</v>
      </c>
      <c r="H10764" s="606"/>
    </row>
    <row r="10765" customFormat="false" ht="15" hidden="false" customHeight="false" outlineLevel="0" collapsed="false">
      <c r="A10765" s="571"/>
      <c r="B10765" s="608"/>
      <c r="C10765" s="709" t="s">
        <v>6098</v>
      </c>
      <c r="D10765" s="606" t="s">
        <v>4359</v>
      </c>
      <c r="E10765" s="606" t="n">
        <v>0.0005</v>
      </c>
      <c r="F10765" s="361" t="n">
        <v>4992</v>
      </c>
      <c r="G10765" s="615" t="n">
        <v>3</v>
      </c>
      <c r="H10765" s="606"/>
    </row>
    <row r="10766" customFormat="false" ht="15" hidden="false" customHeight="false" outlineLevel="0" collapsed="false">
      <c r="A10766" s="571"/>
      <c r="B10766" s="608" t="s">
        <v>4128</v>
      </c>
      <c r="C10766" s="709"/>
      <c r="D10766" s="606"/>
      <c r="E10766" s="606"/>
      <c r="F10766" s="361"/>
      <c r="G10766" s="613" t="n">
        <f aca="false">SUM(G10758:G10765)</f>
        <v>1533.09566666667</v>
      </c>
      <c r="H10766" s="606"/>
    </row>
    <row r="10767" customFormat="false" ht="15" hidden="false" customHeight="false" outlineLevel="0" collapsed="false">
      <c r="A10767" s="571" t="s">
        <v>2073</v>
      </c>
      <c r="B10767" s="328" t="s">
        <v>3771</v>
      </c>
      <c r="C10767" s="709"/>
      <c r="D10767" s="606"/>
      <c r="E10767" s="606"/>
      <c r="F10767" s="361"/>
      <c r="G10767" s="615"/>
      <c r="H10767" s="606"/>
    </row>
    <row r="10768" customFormat="false" ht="30" hidden="false" customHeight="false" outlineLevel="0" collapsed="false">
      <c r="A10768" s="571"/>
      <c r="B10768" s="500"/>
      <c r="C10768" s="709" t="s">
        <v>6099</v>
      </c>
      <c r="D10768" s="606" t="s">
        <v>6100</v>
      </c>
      <c r="E10768" s="705" t="n">
        <v>1</v>
      </c>
      <c r="F10768" s="361" t="n">
        <f aca="false">4710/10</f>
        <v>471</v>
      </c>
      <c r="G10768" s="615" t="n">
        <f aca="false">F10768*E10768</f>
        <v>471</v>
      </c>
      <c r="H10768" s="610"/>
    </row>
    <row r="10769" customFormat="false" ht="15" hidden="false" customHeight="false" outlineLevel="0" collapsed="false">
      <c r="A10769" s="571"/>
      <c r="B10769" s="500"/>
      <c r="C10769" s="709" t="s">
        <v>6092</v>
      </c>
      <c r="D10769" s="606" t="s">
        <v>5788</v>
      </c>
      <c r="E10769" s="606" t="n">
        <v>2</v>
      </c>
      <c r="F10769" s="361" t="n">
        <v>81</v>
      </c>
      <c r="G10769" s="615" t="n">
        <f aca="false">F10769*E10769</f>
        <v>162</v>
      </c>
      <c r="H10769" s="606"/>
    </row>
    <row r="10770" customFormat="false" ht="45" hidden="false" customHeight="false" outlineLevel="0" collapsed="false">
      <c r="A10770" s="571"/>
      <c r="B10770" s="500"/>
      <c r="C10770" s="709" t="s">
        <v>6082</v>
      </c>
      <c r="D10770" s="606" t="s">
        <v>6089</v>
      </c>
      <c r="E10770" s="606" t="n">
        <v>2</v>
      </c>
      <c r="F10770" s="361" t="n">
        <f aca="false">6100/300</f>
        <v>20.3333333333333</v>
      </c>
      <c r="G10770" s="615" t="n">
        <f aca="false">F10770*E10770</f>
        <v>40.6666666666667</v>
      </c>
      <c r="H10770" s="606"/>
    </row>
    <row r="10771" customFormat="false" ht="15" hidden="false" customHeight="false" outlineLevel="0" collapsed="false">
      <c r="A10771" s="571"/>
      <c r="B10771" s="500"/>
      <c r="C10771" s="709" t="s">
        <v>6084</v>
      </c>
      <c r="D10771" s="606" t="s">
        <v>4348</v>
      </c>
      <c r="E10771" s="606" t="n">
        <v>1</v>
      </c>
      <c r="F10771" s="361" t="n">
        <v>25</v>
      </c>
      <c r="G10771" s="615" t="n">
        <f aca="false">F10771*E10771</f>
        <v>25</v>
      </c>
      <c r="H10771" s="606"/>
    </row>
    <row r="10772" customFormat="false" ht="15" hidden="false" customHeight="false" outlineLevel="0" collapsed="false">
      <c r="A10772" s="571"/>
      <c r="B10772" s="608" t="s">
        <v>4128</v>
      </c>
      <c r="C10772" s="794"/>
      <c r="D10772" s="610"/>
      <c r="E10772" s="610"/>
      <c r="F10772" s="612"/>
      <c r="G10772" s="613" t="n">
        <f aca="false">SUM(G10768:G10771)</f>
        <v>698.666666666667</v>
      </c>
      <c r="H10772" s="606"/>
    </row>
    <row r="10773" customFormat="false" ht="30" hidden="false" customHeight="false" outlineLevel="0" collapsed="false">
      <c r="A10773" s="571" t="s">
        <v>2075</v>
      </c>
      <c r="B10773" s="328" t="s">
        <v>3772</v>
      </c>
      <c r="C10773" s="709" t="s">
        <v>4120</v>
      </c>
      <c r="D10773" s="606" t="s">
        <v>6101</v>
      </c>
      <c r="E10773" s="606" t="n">
        <v>10</v>
      </c>
      <c r="F10773" s="822" t="n">
        <f aca="false">7565/1000</f>
        <v>7.565</v>
      </c>
      <c r="G10773" s="615" t="n">
        <f aca="false">F10773*E10773</f>
        <v>75.65</v>
      </c>
      <c r="H10773" s="606"/>
    </row>
    <row r="10774" customFormat="false" ht="30" hidden="false" customHeight="false" outlineLevel="0" collapsed="false">
      <c r="A10774" s="571"/>
      <c r="B10774" s="500"/>
      <c r="C10774" s="709" t="s">
        <v>6088</v>
      </c>
      <c r="D10774" s="606" t="s">
        <v>5788</v>
      </c>
      <c r="E10774" s="606" t="n">
        <v>2</v>
      </c>
      <c r="F10774" s="361" t="n">
        <v>81</v>
      </c>
      <c r="G10774" s="615" t="n">
        <f aca="false">F10774*E10774</f>
        <v>162</v>
      </c>
      <c r="H10774" s="606"/>
    </row>
    <row r="10775" customFormat="false" ht="45" hidden="false" customHeight="false" outlineLevel="0" collapsed="false">
      <c r="A10775" s="571"/>
      <c r="B10775" s="500"/>
      <c r="C10775" s="709" t="s">
        <v>6082</v>
      </c>
      <c r="D10775" s="606" t="s">
        <v>6089</v>
      </c>
      <c r="E10775" s="606" t="n">
        <v>2</v>
      </c>
      <c r="F10775" s="361" t="n">
        <f aca="false">6100/300</f>
        <v>20.3333333333333</v>
      </c>
      <c r="G10775" s="615" t="n">
        <f aca="false">F10775*E10775</f>
        <v>40.6666666666667</v>
      </c>
      <c r="H10775" s="606"/>
    </row>
    <row r="10776" customFormat="false" ht="15" hidden="false" customHeight="false" outlineLevel="0" collapsed="false">
      <c r="A10776" s="571"/>
      <c r="B10776" s="500"/>
      <c r="C10776" s="709" t="s">
        <v>6084</v>
      </c>
      <c r="D10776" s="606" t="s">
        <v>4348</v>
      </c>
      <c r="E10776" s="606" t="n">
        <v>1</v>
      </c>
      <c r="F10776" s="361" t="n">
        <v>25</v>
      </c>
      <c r="G10776" s="615" t="n">
        <f aca="false">F10776*E10776</f>
        <v>25</v>
      </c>
      <c r="H10776" s="606"/>
    </row>
    <row r="10777" customFormat="false" ht="15" hidden="false" customHeight="false" outlineLevel="0" collapsed="false">
      <c r="A10777" s="571"/>
      <c r="B10777" s="608" t="s">
        <v>4128</v>
      </c>
      <c r="C10777" s="794"/>
      <c r="D10777" s="610"/>
      <c r="E10777" s="610"/>
      <c r="F10777" s="612"/>
      <c r="G10777" s="613" t="n">
        <f aca="false">SUM(G10773:G10776)</f>
        <v>303.316666666667</v>
      </c>
      <c r="H10777" s="606"/>
    </row>
    <row r="10778" customFormat="false" ht="45" hidden="false" customHeight="false" outlineLevel="0" collapsed="false">
      <c r="A10778" s="571" t="s">
        <v>2077</v>
      </c>
      <c r="B10778" s="433" t="s">
        <v>3773</v>
      </c>
      <c r="C10778" s="709" t="s">
        <v>6098</v>
      </c>
      <c r="D10778" s="606" t="s">
        <v>4359</v>
      </c>
      <c r="E10778" s="606" t="n">
        <v>0.0005</v>
      </c>
      <c r="F10778" s="361" t="n">
        <v>4992</v>
      </c>
      <c r="G10778" s="615" t="n">
        <f aca="false">F10778*E10778</f>
        <v>2.496</v>
      </c>
      <c r="H10778" s="606"/>
    </row>
    <row r="10779" customFormat="false" ht="15" hidden="false" customHeight="false" outlineLevel="0" collapsed="false">
      <c r="A10779" s="571"/>
      <c r="B10779" s="500"/>
      <c r="C10779" s="709" t="s">
        <v>6077</v>
      </c>
      <c r="D10779" s="606" t="s">
        <v>4348</v>
      </c>
      <c r="E10779" s="606" t="n">
        <v>1</v>
      </c>
      <c r="F10779" s="361" t="n">
        <v>37</v>
      </c>
      <c r="G10779" s="615" t="n">
        <f aca="false">F10779*E10779</f>
        <v>37</v>
      </c>
      <c r="H10779" s="606"/>
    </row>
    <row r="10780" customFormat="false" ht="21" hidden="false" customHeight="true" outlineLevel="0" collapsed="false">
      <c r="A10780" s="571"/>
      <c r="B10780" s="500"/>
      <c r="C10780" s="709" t="s">
        <v>6078</v>
      </c>
      <c r="D10780" s="606" t="s">
        <v>6079</v>
      </c>
      <c r="E10780" s="606" t="n">
        <v>1</v>
      </c>
      <c r="F10780" s="1044" t="n">
        <f aca="false">5429/1000</f>
        <v>5.429</v>
      </c>
      <c r="G10780" s="615" t="n">
        <f aca="false">F10780*E10780</f>
        <v>5.429</v>
      </c>
      <c r="H10780" s="610"/>
    </row>
    <row r="10781" customFormat="false" ht="15" hidden="false" customHeight="false" outlineLevel="0" collapsed="false">
      <c r="A10781" s="571"/>
      <c r="B10781" s="500"/>
      <c r="C10781" s="709" t="s">
        <v>6080</v>
      </c>
      <c r="D10781" s="606" t="s">
        <v>4348</v>
      </c>
      <c r="E10781" s="606" t="n">
        <v>1</v>
      </c>
      <c r="F10781" s="361" t="n">
        <v>30</v>
      </c>
      <c r="G10781" s="615" t="n">
        <f aca="false">F10781*E10781</f>
        <v>30</v>
      </c>
      <c r="H10781" s="606"/>
    </row>
    <row r="10782" customFormat="false" ht="30" hidden="false" customHeight="false" outlineLevel="0" collapsed="false">
      <c r="A10782" s="571"/>
      <c r="B10782" s="500"/>
      <c r="C10782" s="709" t="s">
        <v>6088</v>
      </c>
      <c r="D10782" s="606" t="s">
        <v>5788</v>
      </c>
      <c r="E10782" s="606" t="n">
        <v>1</v>
      </c>
      <c r="F10782" s="361" t="n">
        <v>81</v>
      </c>
      <c r="G10782" s="615" t="n">
        <f aca="false">F10782*E10782</f>
        <v>81</v>
      </c>
      <c r="H10782" s="606"/>
    </row>
    <row r="10783" customFormat="false" ht="45" hidden="false" customHeight="false" outlineLevel="0" collapsed="false">
      <c r="A10783" s="571"/>
      <c r="B10783" s="500"/>
      <c r="C10783" s="709" t="s">
        <v>6082</v>
      </c>
      <c r="D10783" s="606" t="s">
        <v>6089</v>
      </c>
      <c r="E10783" s="606" t="n">
        <v>2</v>
      </c>
      <c r="F10783" s="361" t="n">
        <f aca="false">6100/300</f>
        <v>20.3333333333333</v>
      </c>
      <c r="G10783" s="615" t="n">
        <f aca="false">F10783*E10783</f>
        <v>40.6666666666667</v>
      </c>
      <c r="H10783" s="606"/>
    </row>
    <row r="10784" customFormat="false" ht="15" hidden="false" customHeight="false" outlineLevel="0" collapsed="false">
      <c r="A10784" s="571"/>
      <c r="B10784" s="500"/>
      <c r="C10784" s="709" t="s">
        <v>6097</v>
      </c>
      <c r="D10784" s="606" t="s">
        <v>4348</v>
      </c>
      <c r="E10784" s="606" t="n">
        <v>1</v>
      </c>
      <c r="F10784" s="361" t="n">
        <v>25</v>
      </c>
      <c r="G10784" s="615" t="n">
        <f aca="false">F10784*E10784</f>
        <v>25</v>
      </c>
      <c r="H10784" s="606"/>
    </row>
    <row r="10785" customFormat="false" ht="15" hidden="false" customHeight="false" outlineLevel="0" collapsed="false">
      <c r="A10785" s="571"/>
      <c r="B10785" s="608" t="s">
        <v>4128</v>
      </c>
      <c r="C10785" s="794"/>
      <c r="D10785" s="610"/>
      <c r="E10785" s="610"/>
      <c r="F10785" s="612"/>
      <c r="G10785" s="613" t="n">
        <f aca="false">SUM(G10778:G10784)</f>
        <v>221.591666666667</v>
      </c>
      <c r="H10785" s="606"/>
    </row>
    <row r="10786" customFormat="false" ht="40.5" hidden="false" customHeight="true" outlineLevel="0" collapsed="false">
      <c r="A10786" s="571" t="s">
        <v>2079</v>
      </c>
      <c r="B10786" s="500" t="s">
        <v>3774</v>
      </c>
      <c r="C10786" s="709" t="s">
        <v>6102</v>
      </c>
      <c r="D10786" s="606" t="s">
        <v>4359</v>
      </c>
      <c r="E10786" s="606" t="n">
        <v>0.001</v>
      </c>
      <c r="F10786" s="361" t="n">
        <v>8836</v>
      </c>
      <c r="G10786" s="615" t="n">
        <f aca="false">F10786*E10786</f>
        <v>8.836</v>
      </c>
      <c r="H10786" s="606"/>
    </row>
    <row r="10787" customFormat="false" ht="45" hidden="false" customHeight="false" outlineLevel="0" collapsed="false">
      <c r="A10787" s="571"/>
      <c r="B10787" s="608"/>
      <c r="C10787" s="709" t="s">
        <v>6082</v>
      </c>
      <c r="D10787" s="606" t="s">
        <v>6089</v>
      </c>
      <c r="E10787" s="606" t="n">
        <v>2</v>
      </c>
      <c r="F10787" s="361" t="n">
        <f aca="false">6100/300</f>
        <v>20.3333333333333</v>
      </c>
      <c r="G10787" s="615" t="n">
        <f aca="false">F10787*E10787</f>
        <v>40.6666666666667</v>
      </c>
      <c r="H10787" s="606"/>
    </row>
    <row r="10788" customFormat="false" ht="15" hidden="false" customHeight="false" outlineLevel="0" collapsed="false">
      <c r="A10788" s="571"/>
      <c r="B10788" s="608"/>
      <c r="C10788" s="709" t="s">
        <v>6084</v>
      </c>
      <c r="D10788" s="606" t="s">
        <v>4348</v>
      </c>
      <c r="E10788" s="606" t="n">
        <v>1</v>
      </c>
      <c r="F10788" s="361" t="n">
        <v>25</v>
      </c>
      <c r="G10788" s="615" t="n">
        <f aca="false">F10788*E10788</f>
        <v>25</v>
      </c>
      <c r="H10788" s="606"/>
    </row>
    <row r="10789" customFormat="false" ht="30" hidden="false" customHeight="false" outlineLevel="0" collapsed="false">
      <c r="A10789" s="571"/>
      <c r="B10789" s="608"/>
      <c r="C10789" s="709" t="s">
        <v>6088</v>
      </c>
      <c r="D10789" s="606" t="s">
        <v>5788</v>
      </c>
      <c r="E10789" s="606" t="n">
        <v>2</v>
      </c>
      <c r="F10789" s="361" t="n">
        <v>81</v>
      </c>
      <c r="G10789" s="615" t="n">
        <f aca="false">F10789*E10789</f>
        <v>162</v>
      </c>
      <c r="H10789" s="606"/>
    </row>
    <row r="10790" customFormat="false" ht="15" hidden="false" customHeight="false" outlineLevel="0" collapsed="false">
      <c r="A10790" s="571"/>
      <c r="B10790" s="608" t="s">
        <v>4128</v>
      </c>
      <c r="C10790" s="794"/>
      <c r="D10790" s="610"/>
      <c r="E10790" s="610"/>
      <c r="F10790" s="612"/>
      <c r="G10790" s="613" t="n">
        <f aca="false">SUM(G10786:G10789)</f>
        <v>236.502666666667</v>
      </c>
      <c r="H10790" s="606"/>
    </row>
    <row r="10791" customFormat="false" ht="30" hidden="false" customHeight="false" outlineLevel="0" collapsed="false">
      <c r="A10791" s="571" t="s">
        <v>2081</v>
      </c>
      <c r="B10791" s="500" t="s">
        <v>3775</v>
      </c>
      <c r="C10791" s="1045" t="s">
        <v>6099</v>
      </c>
      <c r="D10791" s="606" t="s">
        <v>6103</v>
      </c>
      <c r="E10791" s="606" t="n">
        <v>1</v>
      </c>
      <c r="F10791" s="361" t="n">
        <f aca="false">4700/10</f>
        <v>470</v>
      </c>
      <c r="G10791" s="615" t="n">
        <f aca="false">F10791*E10791</f>
        <v>470</v>
      </c>
      <c r="H10791" s="606"/>
    </row>
    <row r="10792" customFormat="false" ht="15" hidden="false" customHeight="false" outlineLevel="0" collapsed="false">
      <c r="A10792" s="571"/>
      <c r="B10792" s="608"/>
      <c r="C10792" s="709" t="s">
        <v>6092</v>
      </c>
      <c r="D10792" s="606" t="s">
        <v>5788</v>
      </c>
      <c r="E10792" s="606" t="n">
        <v>2</v>
      </c>
      <c r="F10792" s="361" t="n">
        <v>81</v>
      </c>
      <c r="G10792" s="615" t="n">
        <f aca="false">F10792*E10792</f>
        <v>162</v>
      </c>
      <c r="H10792" s="606"/>
    </row>
    <row r="10793" customFormat="false" ht="15" hidden="false" customHeight="false" outlineLevel="0" collapsed="false">
      <c r="A10793" s="571"/>
      <c r="B10793" s="608"/>
      <c r="C10793" s="709" t="s">
        <v>6097</v>
      </c>
      <c r="D10793" s="606" t="s">
        <v>4348</v>
      </c>
      <c r="E10793" s="606" t="n">
        <v>1</v>
      </c>
      <c r="F10793" s="361" t="n">
        <v>25</v>
      </c>
      <c r="G10793" s="615" t="n">
        <f aca="false">F10793*E10793</f>
        <v>25</v>
      </c>
      <c r="H10793" s="606"/>
    </row>
    <row r="10794" customFormat="false" ht="45" hidden="false" customHeight="false" outlineLevel="0" collapsed="false">
      <c r="A10794" s="571"/>
      <c r="B10794" s="608"/>
      <c r="C10794" s="709" t="s">
        <v>6082</v>
      </c>
      <c r="D10794" s="606" t="s">
        <v>6089</v>
      </c>
      <c r="E10794" s="606" t="n">
        <v>2</v>
      </c>
      <c r="F10794" s="361" t="n">
        <f aca="false">6100/300</f>
        <v>20.3333333333333</v>
      </c>
      <c r="G10794" s="615" t="n">
        <f aca="false">F10794*E10794</f>
        <v>40.6666666666667</v>
      </c>
      <c r="H10794" s="606"/>
    </row>
    <row r="10795" customFormat="false" ht="15" hidden="false" customHeight="false" outlineLevel="0" collapsed="false">
      <c r="A10795" s="571"/>
      <c r="B10795" s="608" t="s">
        <v>4128</v>
      </c>
      <c r="C10795" s="794"/>
      <c r="D10795" s="1046"/>
      <c r="E10795" s="1046"/>
      <c r="F10795" s="1047"/>
      <c r="G10795" s="1048" t="n">
        <f aca="false">SUM(G10791:G10794)</f>
        <v>697.666666666667</v>
      </c>
      <c r="H10795" s="606"/>
    </row>
    <row r="10796" customFormat="false" ht="30" hidden="false" customHeight="false" outlineLevel="0" collapsed="false">
      <c r="A10796" s="571" t="s">
        <v>2083</v>
      </c>
      <c r="B10796" s="328" t="s">
        <v>3776</v>
      </c>
      <c r="C10796" s="709" t="s">
        <v>6099</v>
      </c>
      <c r="D10796" s="606" t="s">
        <v>6103</v>
      </c>
      <c r="E10796" s="606" t="n">
        <v>1</v>
      </c>
      <c r="F10796" s="361" t="n">
        <f aca="false">4700/10</f>
        <v>470</v>
      </c>
      <c r="G10796" s="615" t="n">
        <f aca="false">F10796*E10796</f>
        <v>470</v>
      </c>
      <c r="H10796" s="606"/>
    </row>
    <row r="10797" customFormat="false" ht="15" hidden="false" customHeight="false" outlineLevel="0" collapsed="false">
      <c r="A10797" s="571"/>
      <c r="B10797" s="500"/>
      <c r="C10797" s="709" t="s">
        <v>6092</v>
      </c>
      <c r="D10797" s="606" t="s">
        <v>5788</v>
      </c>
      <c r="E10797" s="606" t="n">
        <v>2</v>
      </c>
      <c r="F10797" s="361" t="n">
        <v>81</v>
      </c>
      <c r="G10797" s="615" t="n">
        <f aca="false">F10797*E10797</f>
        <v>162</v>
      </c>
      <c r="H10797" s="606"/>
    </row>
    <row r="10798" customFormat="false" ht="15" hidden="false" customHeight="false" outlineLevel="0" collapsed="false">
      <c r="A10798" s="571"/>
      <c r="B10798" s="500"/>
      <c r="C10798" s="709" t="s">
        <v>6080</v>
      </c>
      <c r="D10798" s="606" t="s">
        <v>4348</v>
      </c>
      <c r="E10798" s="606" t="n">
        <v>1</v>
      </c>
      <c r="F10798" s="361" t="n">
        <v>30</v>
      </c>
      <c r="G10798" s="615" t="n">
        <f aca="false">F10798*E10798</f>
        <v>30</v>
      </c>
      <c r="H10798" s="606"/>
    </row>
    <row r="10799" customFormat="false" ht="36.75" hidden="false" customHeight="true" outlineLevel="0" collapsed="false">
      <c r="A10799" s="571"/>
      <c r="B10799" s="500"/>
      <c r="C10799" s="709" t="s">
        <v>6082</v>
      </c>
      <c r="D10799" s="606" t="s">
        <v>6089</v>
      </c>
      <c r="E10799" s="606" t="n">
        <v>2</v>
      </c>
      <c r="F10799" s="361" t="n">
        <f aca="false">6100/300</f>
        <v>20.3333333333333</v>
      </c>
      <c r="G10799" s="615" t="n">
        <f aca="false">F10799*E10799</f>
        <v>40.6666666666667</v>
      </c>
      <c r="H10799" s="606"/>
    </row>
    <row r="10800" customFormat="false" ht="15" hidden="false" customHeight="false" outlineLevel="0" collapsed="false">
      <c r="A10800" s="571"/>
      <c r="B10800" s="500"/>
      <c r="C10800" s="709" t="s">
        <v>6097</v>
      </c>
      <c r="D10800" s="606" t="s">
        <v>4348</v>
      </c>
      <c r="E10800" s="606" t="n">
        <v>1</v>
      </c>
      <c r="F10800" s="361" t="n">
        <v>25</v>
      </c>
      <c r="G10800" s="615" t="n">
        <f aca="false">F10800*E10800</f>
        <v>25</v>
      </c>
      <c r="H10800" s="606"/>
    </row>
    <row r="10801" customFormat="false" ht="15" hidden="false" customHeight="false" outlineLevel="0" collapsed="false">
      <c r="A10801" s="571"/>
      <c r="B10801" s="608" t="s">
        <v>4128</v>
      </c>
      <c r="C10801" s="794"/>
      <c r="D10801" s="610"/>
      <c r="E10801" s="610"/>
      <c r="F10801" s="612"/>
      <c r="G10801" s="613" t="n">
        <f aca="false">SUM(G10796:G10800)</f>
        <v>727.666666666667</v>
      </c>
      <c r="H10801" s="606"/>
    </row>
    <row r="10802" customFormat="false" ht="30" hidden="false" customHeight="false" outlineLevel="0" collapsed="false">
      <c r="A10802" s="571" t="s">
        <v>2085</v>
      </c>
      <c r="B10802" s="433" t="s">
        <v>3777</v>
      </c>
      <c r="C10802" s="709" t="s">
        <v>6104</v>
      </c>
      <c r="D10802" s="606" t="s">
        <v>6105</v>
      </c>
      <c r="E10802" s="606" t="n">
        <v>0.03</v>
      </c>
      <c r="F10802" s="361" t="n">
        <v>72400</v>
      </c>
      <c r="G10802" s="615" t="n">
        <f aca="false">F10802*E10802</f>
        <v>2172</v>
      </c>
      <c r="H10802" s="606"/>
    </row>
    <row r="10803" customFormat="false" ht="33.75" hidden="false" customHeight="true" outlineLevel="0" collapsed="false">
      <c r="A10803" s="606"/>
      <c r="B10803" s="606"/>
      <c r="C10803" s="709" t="s">
        <v>6007</v>
      </c>
      <c r="D10803" s="606" t="s">
        <v>6106</v>
      </c>
      <c r="E10803" s="606" t="n">
        <v>6</v>
      </c>
      <c r="F10803" s="822" t="n">
        <f aca="false">7161/1000</f>
        <v>7.161</v>
      </c>
      <c r="G10803" s="615" t="n">
        <f aca="false">F10803*E10803</f>
        <v>42.966</v>
      </c>
      <c r="H10803" s="606"/>
    </row>
    <row r="10804" customFormat="false" ht="15" hidden="false" customHeight="false" outlineLevel="0" collapsed="false">
      <c r="A10804" s="571"/>
      <c r="B10804" s="500"/>
      <c r="C10804" s="709" t="s">
        <v>6092</v>
      </c>
      <c r="D10804" s="606" t="s">
        <v>5788</v>
      </c>
      <c r="E10804" s="606" t="n">
        <v>2</v>
      </c>
      <c r="F10804" s="361" t="n">
        <v>81</v>
      </c>
      <c r="G10804" s="615" t="n">
        <f aca="false">F10804*E10804</f>
        <v>162</v>
      </c>
      <c r="H10804" s="606"/>
    </row>
    <row r="10805" customFormat="false" ht="15" hidden="false" customHeight="false" outlineLevel="0" collapsed="false">
      <c r="A10805" s="571"/>
      <c r="B10805" s="500"/>
      <c r="C10805" s="709" t="s">
        <v>6097</v>
      </c>
      <c r="D10805" s="606" t="s">
        <v>4348</v>
      </c>
      <c r="E10805" s="606" t="n">
        <v>1</v>
      </c>
      <c r="F10805" s="361" t="n">
        <v>25</v>
      </c>
      <c r="G10805" s="615" t="n">
        <f aca="false">F10805*E10805</f>
        <v>25</v>
      </c>
      <c r="H10805" s="606"/>
    </row>
    <row r="10806" customFormat="false" ht="45" hidden="false" customHeight="false" outlineLevel="0" collapsed="false">
      <c r="A10806" s="571"/>
      <c r="B10806" s="500"/>
      <c r="C10806" s="709" t="s">
        <v>6082</v>
      </c>
      <c r="D10806" s="606" t="s">
        <v>6089</v>
      </c>
      <c r="E10806" s="606" t="n">
        <v>2</v>
      </c>
      <c r="F10806" s="361" t="n">
        <f aca="false">6100/300</f>
        <v>20.3333333333333</v>
      </c>
      <c r="G10806" s="615" t="n">
        <f aca="false">F10806*E10806</f>
        <v>40.6666666666667</v>
      </c>
      <c r="H10806" s="606"/>
    </row>
    <row r="10807" customFormat="false" ht="30" hidden="false" customHeight="false" outlineLevel="0" collapsed="false">
      <c r="A10807" s="571"/>
      <c r="B10807" s="500"/>
      <c r="C10807" s="709" t="s">
        <v>6107</v>
      </c>
      <c r="D10807" s="606" t="s">
        <v>6108</v>
      </c>
      <c r="E10807" s="606" t="n">
        <v>1</v>
      </c>
      <c r="F10807" s="822" t="n">
        <f aca="false">4990/1000</f>
        <v>4.99</v>
      </c>
      <c r="G10807" s="615" t="n">
        <f aca="false">F10807*E10807</f>
        <v>4.99</v>
      </c>
      <c r="H10807" s="606"/>
    </row>
    <row r="10808" customFormat="false" ht="15" hidden="false" customHeight="false" outlineLevel="0" collapsed="false">
      <c r="A10808" s="571"/>
      <c r="B10808" s="608" t="s">
        <v>4128</v>
      </c>
      <c r="C10808" s="709"/>
      <c r="D10808" s="606"/>
      <c r="E10808" s="606"/>
      <c r="F10808" s="361"/>
      <c r="G10808" s="613" t="n">
        <f aca="false">SUM(G10802:G10807)</f>
        <v>2447.62266666667</v>
      </c>
      <c r="H10808" s="606"/>
    </row>
    <row r="10809" customFormat="false" ht="30" hidden="false" customHeight="false" outlineLevel="0" collapsed="false">
      <c r="A10809" s="571" t="s">
        <v>2087</v>
      </c>
      <c r="B10809" s="433" t="s">
        <v>3778</v>
      </c>
      <c r="C10809" s="709" t="s">
        <v>6109</v>
      </c>
      <c r="D10809" s="606" t="s">
        <v>6105</v>
      </c>
      <c r="E10809" s="606" t="n">
        <v>0.03</v>
      </c>
      <c r="F10809" s="361" t="n">
        <v>77500</v>
      </c>
      <c r="G10809" s="615" t="n">
        <f aca="false">E10809*F10809</f>
        <v>2325</v>
      </c>
      <c r="H10809" s="610"/>
    </row>
    <row r="10810" customFormat="false" ht="30" hidden="false" customHeight="false" outlineLevel="0" collapsed="false">
      <c r="A10810" s="606"/>
      <c r="B10810" s="606"/>
      <c r="C10810" s="709" t="s">
        <v>6007</v>
      </c>
      <c r="D10810" s="606" t="s">
        <v>6106</v>
      </c>
      <c r="E10810" s="606" t="n">
        <v>6</v>
      </c>
      <c r="F10810" s="361" t="n">
        <f aca="false">7161/1000</f>
        <v>7.161</v>
      </c>
      <c r="G10810" s="615" t="n">
        <f aca="false">E10810*F10810</f>
        <v>42.966</v>
      </c>
      <c r="H10810" s="606"/>
    </row>
    <row r="10811" customFormat="false" ht="15" hidden="false" customHeight="false" outlineLevel="0" collapsed="false">
      <c r="A10811" s="571"/>
      <c r="B10811" s="500"/>
      <c r="C10811" s="709" t="s">
        <v>6092</v>
      </c>
      <c r="D10811" s="606" t="s">
        <v>5788</v>
      </c>
      <c r="E10811" s="606" t="n">
        <v>2</v>
      </c>
      <c r="F10811" s="361" t="n">
        <v>81</v>
      </c>
      <c r="G10811" s="615" t="n">
        <f aca="false">E10811*F10811</f>
        <v>162</v>
      </c>
      <c r="H10811" s="606"/>
    </row>
    <row r="10812" customFormat="false" ht="15" hidden="false" customHeight="false" outlineLevel="0" collapsed="false">
      <c r="A10812" s="571"/>
      <c r="B10812" s="500"/>
      <c r="C10812" s="709" t="s">
        <v>6097</v>
      </c>
      <c r="D10812" s="606" t="s">
        <v>4348</v>
      </c>
      <c r="E10812" s="606" t="n">
        <v>1</v>
      </c>
      <c r="F10812" s="361" t="n">
        <v>25</v>
      </c>
      <c r="G10812" s="615" t="n">
        <f aca="false">E10812*F10812</f>
        <v>25</v>
      </c>
      <c r="H10812" s="606"/>
    </row>
    <row r="10813" customFormat="false" ht="36" hidden="false" customHeight="true" outlineLevel="0" collapsed="false">
      <c r="A10813" s="571"/>
      <c r="B10813" s="500"/>
      <c r="C10813" s="709" t="s">
        <v>6082</v>
      </c>
      <c r="D10813" s="606" t="s">
        <v>6089</v>
      </c>
      <c r="E10813" s="606" t="n">
        <v>2</v>
      </c>
      <c r="F10813" s="361" t="n">
        <f aca="false">6100/300</f>
        <v>20.3333333333333</v>
      </c>
      <c r="G10813" s="615" t="n">
        <f aca="false">E10813*F10813</f>
        <v>40.6666666666667</v>
      </c>
      <c r="H10813" s="606"/>
    </row>
    <row r="10814" customFormat="false" ht="30" hidden="false" customHeight="false" outlineLevel="0" collapsed="false">
      <c r="A10814" s="571"/>
      <c r="B10814" s="500"/>
      <c r="C10814" s="709" t="s">
        <v>6107</v>
      </c>
      <c r="D10814" s="606" t="s">
        <v>6108</v>
      </c>
      <c r="E10814" s="606" t="n">
        <v>1</v>
      </c>
      <c r="F10814" s="822" t="n">
        <f aca="false">4990/1000</f>
        <v>4.99</v>
      </c>
      <c r="G10814" s="615" t="n">
        <f aca="false">E10814*F10814</f>
        <v>4.99</v>
      </c>
      <c r="H10814" s="606"/>
    </row>
    <row r="10815" customFormat="false" ht="15" hidden="false" customHeight="false" outlineLevel="0" collapsed="false">
      <c r="A10815" s="571"/>
      <c r="B10815" s="608" t="s">
        <v>4128</v>
      </c>
      <c r="C10815" s="794"/>
      <c r="D10815" s="610"/>
      <c r="E10815" s="610"/>
      <c r="F10815" s="612"/>
      <c r="G10815" s="613" t="n">
        <f aca="false">SUM(G10809:G10814)</f>
        <v>2600.62266666667</v>
      </c>
      <c r="H10815" s="606"/>
    </row>
    <row r="10816" customFormat="false" ht="30" hidden="false" customHeight="false" outlineLevel="0" collapsed="false">
      <c r="A10816" s="571" t="s">
        <v>2089</v>
      </c>
      <c r="B10816" s="433" t="s">
        <v>3779</v>
      </c>
      <c r="C10816" s="709" t="s">
        <v>6110</v>
      </c>
      <c r="D10816" s="606" t="s">
        <v>6105</v>
      </c>
      <c r="E10816" s="606" t="n">
        <v>0.03</v>
      </c>
      <c r="F10816" s="361" t="n">
        <v>54500</v>
      </c>
      <c r="G10816" s="615" t="n">
        <f aca="false">F10816*E10816</f>
        <v>1635</v>
      </c>
      <c r="H10816" s="610"/>
    </row>
    <row r="10817" customFormat="false" ht="19.5" hidden="false" customHeight="true" outlineLevel="0" collapsed="false">
      <c r="A10817" s="571"/>
      <c r="B10817" s="500"/>
      <c r="C10817" s="709" t="s">
        <v>6007</v>
      </c>
      <c r="D10817" s="606" t="s">
        <v>6106</v>
      </c>
      <c r="E10817" s="606" t="n">
        <v>6</v>
      </c>
      <c r="F10817" s="361" t="n">
        <f aca="false">7161/1000</f>
        <v>7.161</v>
      </c>
      <c r="G10817" s="615" t="n">
        <f aca="false">F10817*E10817</f>
        <v>42.966</v>
      </c>
      <c r="H10817" s="606"/>
    </row>
    <row r="10818" customFormat="false" ht="15" hidden="false" customHeight="false" outlineLevel="0" collapsed="false">
      <c r="A10818" s="571"/>
      <c r="B10818" s="500"/>
      <c r="C10818" s="709" t="s">
        <v>6092</v>
      </c>
      <c r="D10818" s="606" t="s">
        <v>5788</v>
      </c>
      <c r="E10818" s="606" t="n">
        <v>2</v>
      </c>
      <c r="F10818" s="361" t="n">
        <v>81</v>
      </c>
      <c r="G10818" s="615" t="n">
        <f aca="false">F10818*E10818</f>
        <v>162</v>
      </c>
      <c r="H10818" s="606"/>
    </row>
    <row r="10819" customFormat="false" ht="15" hidden="false" customHeight="false" outlineLevel="0" collapsed="false">
      <c r="A10819" s="571"/>
      <c r="B10819" s="500"/>
      <c r="C10819" s="709" t="s">
        <v>6097</v>
      </c>
      <c r="D10819" s="606" t="s">
        <v>4348</v>
      </c>
      <c r="E10819" s="606" t="n">
        <v>1</v>
      </c>
      <c r="F10819" s="361" t="n">
        <v>25</v>
      </c>
      <c r="G10819" s="615" t="n">
        <f aca="false">F10819*E10819</f>
        <v>25</v>
      </c>
      <c r="H10819" s="606"/>
    </row>
    <row r="10820" customFormat="false" ht="33.75" hidden="false" customHeight="true" outlineLevel="0" collapsed="false">
      <c r="A10820" s="571"/>
      <c r="B10820" s="500"/>
      <c r="C10820" s="709" t="s">
        <v>6082</v>
      </c>
      <c r="D10820" s="606" t="s">
        <v>6089</v>
      </c>
      <c r="E10820" s="606" t="n">
        <v>2</v>
      </c>
      <c r="F10820" s="361" t="n">
        <f aca="false">6100/300</f>
        <v>20.3333333333333</v>
      </c>
      <c r="G10820" s="615" t="n">
        <f aca="false">F10820*E10820</f>
        <v>40.6666666666667</v>
      </c>
      <c r="H10820" s="606"/>
    </row>
    <row r="10821" customFormat="false" ht="30" hidden="false" customHeight="false" outlineLevel="0" collapsed="false">
      <c r="A10821" s="571"/>
      <c r="B10821" s="500"/>
      <c r="C10821" s="709" t="s">
        <v>6107</v>
      </c>
      <c r="D10821" s="606" t="s">
        <v>6108</v>
      </c>
      <c r="E10821" s="606" t="n">
        <v>1</v>
      </c>
      <c r="F10821" s="822" t="n">
        <f aca="false">4990/1000</f>
        <v>4.99</v>
      </c>
      <c r="G10821" s="615" t="n">
        <f aca="false">F10821*E10821</f>
        <v>4.99</v>
      </c>
      <c r="H10821" s="606"/>
    </row>
    <row r="10822" customFormat="false" ht="15" hidden="false" customHeight="false" outlineLevel="0" collapsed="false">
      <c r="A10822" s="571"/>
      <c r="B10822" s="608" t="s">
        <v>4128</v>
      </c>
      <c r="C10822" s="794"/>
      <c r="D10822" s="610"/>
      <c r="E10822" s="610"/>
      <c r="F10822" s="612"/>
      <c r="G10822" s="613" t="n">
        <f aca="false">SUM(G10816:G10821)</f>
        <v>1910.62266666667</v>
      </c>
      <c r="H10822" s="606"/>
    </row>
    <row r="10823" customFormat="false" ht="30" hidden="false" customHeight="false" outlineLevel="0" collapsed="false">
      <c r="A10823" s="571" t="s">
        <v>2091</v>
      </c>
      <c r="B10823" s="433" t="s">
        <v>3780</v>
      </c>
      <c r="C10823" s="709" t="s">
        <v>6111</v>
      </c>
      <c r="D10823" s="606" t="s">
        <v>6105</v>
      </c>
      <c r="E10823" s="606" t="n">
        <v>0.04</v>
      </c>
      <c r="F10823" s="361" t="n">
        <v>56300</v>
      </c>
      <c r="G10823" s="615" t="n">
        <f aca="false">E10823*F10823</f>
        <v>2252</v>
      </c>
      <c r="H10823" s="610"/>
    </row>
    <row r="10824" customFormat="false" ht="15" hidden="false" customHeight="false" outlineLevel="0" collapsed="false">
      <c r="A10824" s="571"/>
      <c r="B10824" s="500"/>
      <c r="C10824" s="709" t="s">
        <v>6092</v>
      </c>
      <c r="D10824" s="606" t="s">
        <v>5788</v>
      </c>
      <c r="E10824" s="606" t="n">
        <v>2</v>
      </c>
      <c r="F10824" s="361" t="n">
        <v>81</v>
      </c>
      <c r="G10824" s="615" t="n">
        <f aca="false">E10824*F10824</f>
        <v>162</v>
      </c>
      <c r="H10824" s="606"/>
    </row>
    <row r="10825" customFormat="false" ht="15" hidden="false" customHeight="false" outlineLevel="0" collapsed="false">
      <c r="A10825" s="571"/>
      <c r="B10825" s="500"/>
      <c r="C10825" s="709" t="s">
        <v>6097</v>
      </c>
      <c r="D10825" s="606" t="s">
        <v>4348</v>
      </c>
      <c r="E10825" s="606" t="n">
        <v>1</v>
      </c>
      <c r="F10825" s="361" t="n">
        <v>25</v>
      </c>
      <c r="G10825" s="615" t="n">
        <f aca="false">E10825*F10825</f>
        <v>25</v>
      </c>
      <c r="H10825" s="606"/>
    </row>
    <row r="10826" customFormat="false" ht="32.25" hidden="false" customHeight="true" outlineLevel="0" collapsed="false">
      <c r="A10826" s="571"/>
      <c r="B10826" s="500"/>
      <c r="C10826" s="709" t="s">
        <v>6082</v>
      </c>
      <c r="D10826" s="606" t="s">
        <v>6089</v>
      </c>
      <c r="E10826" s="606" t="n">
        <v>2</v>
      </c>
      <c r="F10826" s="361" t="n">
        <f aca="false">6100/300</f>
        <v>20.3333333333333</v>
      </c>
      <c r="G10826" s="615" t="n">
        <f aca="false">E10826*F10826</f>
        <v>40.6666666666667</v>
      </c>
      <c r="H10826" s="606"/>
    </row>
    <row r="10827" customFormat="false" ht="19.5" hidden="false" customHeight="true" outlineLevel="0" collapsed="false">
      <c r="A10827" s="571"/>
      <c r="B10827" s="500"/>
      <c r="C10827" s="709" t="s">
        <v>6007</v>
      </c>
      <c r="D10827" s="606" t="s">
        <v>6106</v>
      </c>
      <c r="E10827" s="606" t="n">
        <v>6</v>
      </c>
      <c r="F10827" s="822" t="n">
        <f aca="false">7161/1000</f>
        <v>7.161</v>
      </c>
      <c r="G10827" s="615" t="n">
        <f aca="false">F10827*E10827</f>
        <v>42.966</v>
      </c>
      <c r="H10827" s="606"/>
    </row>
    <row r="10828" customFormat="false" ht="30" hidden="false" customHeight="false" outlineLevel="0" collapsed="false">
      <c r="A10828" s="571"/>
      <c r="B10828" s="500"/>
      <c r="C10828" s="709" t="s">
        <v>6107</v>
      </c>
      <c r="D10828" s="606" t="s">
        <v>6108</v>
      </c>
      <c r="E10828" s="606" t="n">
        <v>1</v>
      </c>
      <c r="F10828" s="822" t="n">
        <f aca="false">4990/1000</f>
        <v>4.99</v>
      </c>
      <c r="G10828" s="615" t="n">
        <f aca="false">E10828*F10828</f>
        <v>4.99</v>
      </c>
      <c r="H10828" s="606"/>
    </row>
    <row r="10829" customFormat="false" ht="15" hidden="false" customHeight="false" outlineLevel="0" collapsed="false">
      <c r="A10829" s="571"/>
      <c r="B10829" s="608" t="s">
        <v>4128</v>
      </c>
      <c r="C10829" s="794"/>
      <c r="D10829" s="610"/>
      <c r="E10829" s="610"/>
      <c r="F10829" s="612"/>
      <c r="G10829" s="613" t="n">
        <f aca="false">SUM(G10823:G10828)</f>
        <v>2527.62266666667</v>
      </c>
      <c r="H10829" s="606"/>
    </row>
    <row r="10830" customFormat="false" ht="30" hidden="false" customHeight="false" outlineLevel="0" collapsed="false">
      <c r="A10830" s="571" t="s">
        <v>2093</v>
      </c>
      <c r="B10830" s="433" t="s">
        <v>3781</v>
      </c>
      <c r="C10830" s="709" t="s">
        <v>6112</v>
      </c>
      <c r="D10830" s="606" t="s">
        <v>6105</v>
      </c>
      <c r="E10830" s="606" t="n">
        <v>0.04</v>
      </c>
      <c r="F10830" s="361" t="n">
        <v>57500</v>
      </c>
      <c r="G10830" s="615" t="n">
        <f aca="false">E10830*F10830</f>
        <v>2300</v>
      </c>
      <c r="H10830" s="610"/>
    </row>
    <row r="10831" customFormat="false" ht="15" hidden="false" customHeight="false" outlineLevel="0" collapsed="false">
      <c r="A10831" s="571"/>
      <c r="B10831" s="500"/>
      <c r="C10831" s="709" t="s">
        <v>6092</v>
      </c>
      <c r="D10831" s="606" t="s">
        <v>5788</v>
      </c>
      <c r="E10831" s="606" t="n">
        <v>2</v>
      </c>
      <c r="F10831" s="361" t="n">
        <v>81</v>
      </c>
      <c r="G10831" s="615" t="n">
        <f aca="false">F10831*E10831</f>
        <v>162</v>
      </c>
      <c r="H10831" s="606"/>
    </row>
    <row r="10832" customFormat="false" ht="15" hidden="false" customHeight="false" outlineLevel="0" collapsed="false">
      <c r="A10832" s="571"/>
      <c r="B10832" s="500"/>
      <c r="C10832" s="709" t="s">
        <v>6097</v>
      </c>
      <c r="D10832" s="606" t="s">
        <v>4348</v>
      </c>
      <c r="E10832" s="606" t="n">
        <v>1</v>
      </c>
      <c r="F10832" s="361" t="n">
        <v>25</v>
      </c>
      <c r="G10832" s="615" t="n">
        <f aca="false">F10832*E10832</f>
        <v>25</v>
      </c>
      <c r="H10832" s="606"/>
    </row>
    <row r="10833" customFormat="false" ht="30" hidden="false" customHeight="true" outlineLevel="0" collapsed="false">
      <c r="A10833" s="571"/>
      <c r="B10833" s="500"/>
      <c r="C10833" s="709" t="s">
        <v>6082</v>
      </c>
      <c r="D10833" s="606" t="s">
        <v>6089</v>
      </c>
      <c r="E10833" s="606" t="n">
        <v>2</v>
      </c>
      <c r="F10833" s="361" t="n">
        <f aca="false">6100/300</f>
        <v>20.3333333333333</v>
      </c>
      <c r="G10833" s="615" t="n">
        <f aca="false">F10833*E10833</f>
        <v>40.6666666666667</v>
      </c>
      <c r="H10833" s="606"/>
    </row>
    <row r="10834" customFormat="false" ht="18.75" hidden="false" customHeight="true" outlineLevel="0" collapsed="false">
      <c r="A10834" s="571"/>
      <c r="B10834" s="500"/>
      <c r="C10834" s="709" t="s">
        <v>6007</v>
      </c>
      <c r="D10834" s="606" t="s">
        <v>6106</v>
      </c>
      <c r="E10834" s="606" t="n">
        <v>6</v>
      </c>
      <c r="F10834" s="834" t="n">
        <f aca="false">7161/1000</f>
        <v>7.161</v>
      </c>
      <c r="G10834" s="615" t="n">
        <f aca="false">F10834*E10834</f>
        <v>42.966</v>
      </c>
    </row>
    <row r="10835" customFormat="false" ht="30" hidden="false" customHeight="false" outlineLevel="0" collapsed="false">
      <c r="A10835" s="571"/>
      <c r="B10835" s="500"/>
      <c r="C10835" s="709" t="s">
        <v>6107</v>
      </c>
      <c r="D10835" s="606" t="s">
        <v>6108</v>
      </c>
      <c r="E10835" s="606" t="n">
        <v>1</v>
      </c>
      <c r="F10835" s="834" t="n">
        <f aca="false">4990/1000</f>
        <v>4.99</v>
      </c>
      <c r="G10835" s="615" t="n">
        <f aca="false">F10835*E10835</f>
        <v>4.99</v>
      </c>
      <c r="H10835" s="606"/>
    </row>
    <row r="10836" customFormat="false" ht="15" hidden="false" customHeight="false" outlineLevel="0" collapsed="false">
      <c r="A10836" s="571"/>
      <c r="B10836" s="608" t="s">
        <v>4128</v>
      </c>
      <c r="C10836" s="794"/>
      <c r="D10836" s="610"/>
      <c r="E10836" s="610"/>
      <c r="F10836" s="612"/>
      <c r="G10836" s="613" t="n">
        <f aca="false">SUM(G10830:G10835)</f>
        <v>2575.62266666667</v>
      </c>
      <c r="H10836" s="606"/>
    </row>
    <row r="10837" customFormat="false" ht="30" hidden="false" customHeight="false" outlineLevel="0" collapsed="false">
      <c r="A10837" s="571" t="s">
        <v>2095</v>
      </c>
      <c r="B10837" s="433" t="s">
        <v>3782</v>
      </c>
      <c r="C10837" s="709" t="s">
        <v>6113</v>
      </c>
      <c r="D10837" s="606" t="s">
        <v>6105</v>
      </c>
      <c r="E10837" s="606" t="n">
        <v>0.04</v>
      </c>
      <c r="F10837" s="361" t="n">
        <v>52900</v>
      </c>
      <c r="G10837" s="615" t="n">
        <f aca="false">F10837*E10837</f>
        <v>2116</v>
      </c>
      <c r="H10837" s="610"/>
    </row>
    <row r="10838" customFormat="false" ht="15" hidden="false" customHeight="false" outlineLevel="0" collapsed="false">
      <c r="A10838" s="571"/>
      <c r="B10838" s="500"/>
      <c r="C10838" s="709" t="s">
        <v>6092</v>
      </c>
      <c r="D10838" s="606" t="s">
        <v>5788</v>
      </c>
      <c r="E10838" s="606" t="n">
        <v>2</v>
      </c>
      <c r="F10838" s="361" t="n">
        <v>81</v>
      </c>
      <c r="G10838" s="615" t="n">
        <f aca="false">F10838*E10838</f>
        <v>162</v>
      </c>
      <c r="H10838" s="606"/>
    </row>
    <row r="10839" customFormat="false" ht="15" hidden="false" customHeight="false" outlineLevel="0" collapsed="false">
      <c r="A10839" s="571"/>
      <c r="B10839" s="500"/>
      <c r="C10839" s="709" t="s">
        <v>6097</v>
      </c>
      <c r="D10839" s="606" t="s">
        <v>4348</v>
      </c>
      <c r="E10839" s="606" t="n">
        <v>1</v>
      </c>
      <c r="F10839" s="361" t="n">
        <v>25</v>
      </c>
      <c r="G10839" s="615" t="n">
        <f aca="false">F10839*E10839</f>
        <v>25</v>
      </c>
      <c r="H10839" s="606"/>
    </row>
    <row r="10840" customFormat="false" ht="33.75" hidden="false" customHeight="true" outlineLevel="0" collapsed="false">
      <c r="A10840" s="571"/>
      <c r="B10840" s="500"/>
      <c r="C10840" s="709" t="s">
        <v>6082</v>
      </c>
      <c r="D10840" s="606" t="s">
        <v>6089</v>
      </c>
      <c r="E10840" s="606" t="n">
        <v>2</v>
      </c>
      <c r="F10840" s="361" t="n">
        <f aca="false">6100/300</f>
        <v>20.3333333333333</v>
      </c>
      <c r="G10840" s="615" t="n">
        <f aca="false">F10840*E10840</f>
        <v>40.6666666666667</v>
      </c>
      <c r="H10840" s="606"/>
    </row>
    <row r="10841" customFormat="false" ht="20.25" hidden="false" customHeight="true" outlineLevel="0" collapsed="false">
      <c r="A10841" s="571"/>
      <c r="B10841" s="500"/>
      <c r="C10841" s="709" t="s">
        <v>6007</v>
      </c>
      <c r="D10841" s="606" t="s">
        <v>6106</v>
      </c>
      <c r="E10841" s="606" t="n">
        <v>6</v>
      </c>
      <c r="F10841" s="822" t="n">
        <f aca="false">7161/1000</f>
        <v>7.161</v>
      </c>
      <c r="G10841" s="615" t="n">
        <f aca="false">F10841*E10841</f>
        <v>42.966</v>
      </c>
      <c r="H10841" s="606"/>
    </row>
    <row r="10842" customFormat="false" ht="30" hidden="false" customHeight="false" outlineLevel="0" collapsed="false">
      <c r="A10842" s="571"/>
      <c r="B10842" s="500"/>
      <c r="C10842" s="709" t="s">
        <v>6107</v>
      </c>
      <c r="D10842" s="606" t="s">
        <v>6108</v>
      </c>
      <c r="E10842" s="606" t="n">
        <v>1</v>
      </c>
      <c r="F10842" s="822" t="n">
        <f aca="false">4990/1000</f>
        <v>4.99</v>
      </c>
      <c r="G10842" s="615" t="n">
        <f aca="false">F10842*E10842</f>
        <v>4.99</v>
      </c>
      <c r="H10842" s="606"/>
    </row>
    <row r="10843" customFormat="false" ht="15" hidden="false" customHeight="false" outlineLevel="0" collapsed="false">
      <c r="A10843" s="571"/>
      <c r="B10843" s="608" t="s">
        <v>4128</v>
      </c>
      <c r="C10843" s="794"/>
      <c r="D10843" s="610"/>
      <c r="E10843" s="610"/>
      <c r="F10843" s="612"/>
      <c r="G10843" s="613" t="n">
        <f aca="false">SUM(G10837:G10842)</f>
        <v>2391.62266666667</v>
      </c>
      <c r="H10843" s="606"/>
    </row>
    <row r="10844" customFormat="false" ht="30" hidden="false" customHeight="false" outlineLevel="0" collapsed="false">
      <c r="A10844" s="571" t="s">
        <v>2097</v>
      </c>
      <c r="B10844" s="433" t="s">
        <v>3783</v>
      </c>
      <c r="C10844" s="709" t="s">
        <v>6114</v>
      </c>
      <c r="D10844" s="606" t="s">
        <v>6105</v>
      </c>
      <c r="E10844" s="606" t="n">
        <v>0.04</v>
      </c>
      <c r="F10844" s="361" t="n">
        <v>52900</v>
      </c>
      <c r="G10844" s="615" t="n">
        <f aca="false">F10844*E10844</f>
        <v>2116</v>
      </c>
      <c r="H10844" s="610"/>
    </row>
    <row r="10845" customFormat="false" ht="15" hidden="false" customHeight="false" outlineLevel="0" collapsed="false">
      <c r="A10845" s="571"/>
      <c r="B10845" s="500"/>
      <c r="C10845" s="709" t="s">
        <v>6092</v>
      </c>
      <c r="D10845" s="606" t="s">
        <v>5788</v>
      </c>
      <c r="E10845" s="606" t="n">
        <v>2</v>
      </c>
      <c r="F10845" s="361" t="n">
        <v>81</v>
      </c>
      <c r="G10845" s="615" t="n">
        <f aca="false">F10845*E10845</f>
        <v>162</v>
      </c>
      <c r="H10845" s="606"/>
    </row>
    <row r="10846" customFormat="false" ht="15" hidden="false" customHeight="false" outlineLevel="0" collapsed="false">
      <c r="A10846" s="571"/>
      <c r="B10846" s="500"/>
      <c r="C10846" s="709" t="s">
        <v>6097</v>
      </c>
      <c r="D10846" s="606" t="s">
        <v>4348</v>
      </c>
      <c r="E10846" s="606" t="n">
        <v>1</v>
      </c>
      <c r="F10846" s="361" t="n">
        <v>25</v>
      </c>
      <c r="G10846" s="615" t="n">
        <f aca="false">F10846*E10846</f>
        <v>25</v>
      </c>
      <c r="H10846" s="606"/>
    </row>
    <row r="10847" customFormat="false" ht="32.25" hidden="false" customHeight="true" outlineLevel="0" collapsed="false">
      <c r="A10847" s="571"/>
      <c r="B10847" s="500"/>
      <c r="C10847" s="709" t="s">
        <v>6082</v>
      </c>
      <c r="D10847" s="606" t="s">
        <v>6089</v>
      </c>
      <c r="E10847" s="606" t="n">
        <v>2</v>
      </c>
      <c r="F10847" s="361" t="n">
        <f aca="false">6100/300</f>
        <v>20.3333333333333</v>
      </c>
      <c r="G10847" s="615" t="n">
        <f aca="false">F10847*E10847</f>
        <v>40.6666666666667</v>
      </c>
      <c r="H10847" s="606"/>
    </row>
    <row r="10848" customFormat="false" ht="15.75" hidden="false" customHeight="true" outlineLevel="0" collapsed="false">
      <c r="A10848" s="571"/>
      <c r="B10848" s="500"/>
      <c r="C10848" s="709" t="s">
        <v>6007</v>
      </c>
      <c r="D10848" s="606" t="s">
        <v>6106</v>
      </c>
      <c r="E10848" s="606" t="n">
        <v>6</v>
      </c>
      <c r="F10848" s="822" t="n">
        <f aca="false">7161/1000</f>
        <v>7.161</v>
      </c>
      <c r="G10848" s="615" t="n">
        <f aca="false">F10848*E10848</f>
        <v>42.966</v>
      </c>
      <c r="H10848" s="606"/>
    </row>
    <row r="10849" customFormat="false" ht="30" hidden="false" customHeight="false" outlineLevel="0" collapsed="false">
      <c r="A10849" s="571"/>
      <c r="B10849" s="500"/>
      <c r="C10849" s="709" t="s">
        <v>6107</v>
      </c>
      <c r="D10849" s="606" t="s">
        <v>6108</v>
      </c>
      <c r="E10849" s="606" t="n">
        <v>1</v>
      </c>
      <c r="F10849" s="822" t="n">
        <f aca="false">4990/1000</f>
        <v>4.99</v>
      </c>
      <c r="G10849" s="615" t="n">
        <f aca="false">F10849*E10849</f>
        <v>4.99</v>
      </c>
      <c r="H10849" s="606"/>
    </row>
    <row r="10850" customFormat="false" ht="15" hidden="false" customHeight="false" outlineLevel="0" collapsed="false">
      <c r="A10850" s="571"/>
      <c r="B10850" s="608" t="s">
        <v>4128</v>
      </c>
      <c r="C10850" s="794"/>
      <c r="D10850" s="610"/>
      <c r="E10850" s="610"/>
      <c r="F10850" s="612"/>
      <c r="G10850" s="613" t="n">
        <f aca="false">SUM(G10844:G10849)</f>
        <v>2391.62266666667</v>
      </c>
      <c r="H10850" s="606"/>
    </row>
    <row r="10851" customFormat="false" ht="30" hidden="false" customHeight="false" outlineLevel="0" collapsed="false">
      <c r="A10851" s="571" t="s">
        <v>2099</v>
      </c>
      <c r="B10851" s="433" t="s">
        <v>3784</v>
      </c>
      <c r="C10851" s="709" t="s">
        <v>6115</v>
      </c>
      <c r="D10851" s="606" t="s">
        <v>6105</v>
      </c>
      <c r="E10851" s="606" t="n">
        <v>0.03</v>
      </c>
      <c r="F10851" s="361" t="n">
        <v>67046</v>
      </c>
      <c r="G10851" s="615" t="n">
        <f aca="false">F10851*E10851</f>
        <v>2011.38</v>
      </c>
      <c r="H10851" s="610"/>
    </row>
    <row r="10852" customFormat="false" ht="15" hidden="false" customHeight="false" outlineLevel="0" collapsed="false">
      <c r="A10852" s="571"/>
      <c r="B10852" s="500"/>
      <c r="C10852" s="709" t="s">
        <v>6092</v>
      </c>
      <c r="D10852" s="606" t="s">
        <v>5788</v>
      </c>
      <c r="E10852" s="606" t="n">
        <v>2</v>
      </c>
      <c r="F10852" s="361" t="n">
        <v>81</v>
      </c>
      <c r="G10852" s="615" t="n">
        <f aca="false">F10852*E10852</f>
        <v>162</v>
      </c>
      <c r="H10852" s="606"/>
    </row>
    <row r="10853" customFormat="false" ht="15" hidden="false" customHeight="false" outlineLevel="0" collapsed="false">
      <c r="A10853" s="571"/>
      <c r="B10853" s="500"/>
      <c r="C10853" s="614" t="s">
        <v>6097</v>
      </c>
      <c r="D10853" s="606" t="s">
        <v>4348</v>
      </c>
      <c r="E10853" s="606" t="n">
        <v>1</v>
      </c>
      <c r="F10853" s="361" t="n">
        <v>25</v>
      </c>
      <c r="G10853" s="615" t="n">
        <f aca="false">F10853*E10853</f>
        <v>25</v>
      </c>
      <c r="H10853" s="606"/>
    </row>
    <row r="10854" customFormat="false" ht="34.5" hidden="false" customHeight="true" outlineLevel="0" collapsed="false">
      <c r="A10854" s="571"/>
      <c r="B10854" s="500"/>
      <c r="C10854" s="614" t="s">
        <v>6082</v>
      </c>
      <c r="D10854" s="606" t="s">
        <v>6089</v>
      </c>
      <c r="E10854" s="606" t="n">
        <v>2</v>
      </c>
      <c r="F10854" s="361" t="n">
        <f aca="false">6100/300</f>
        <v>20.3333333333333</v>
      </c>
      <c r="G10854" s="615" t="n">
        <f aca="false">F10854*E10854</f>
        <v>40.6666666666667</v>
      </c>
      <c r="H10854" s="606"/>
    </row>
    <row r="10855" customFormat="false" ht="21" hidden="false" customHeight="true" outlineLevel="0" collapsed="false">
      <c r="A10855" s="571"/>
      <c r="B10855" s="500"/>
      <c r="C10855" s="614" t="s">
        <v>6007</v>
      </c>
      <c r="D10855" s="606" t="s">
        <v>6106</v>
      </c>
      <c r="E10855" s="606" t="n">
        <v>6</v>
      </c>
      <c r="F10855" s="822" t="n">
        <f aca="false">7161/1000</f>
        <v>7.161</v>
      </c>
      <c r="G10855" s="615" t="n">
        <f aca="false">F10855*E10855</f>
        <v>42.966</v>
      </c>
      <c r="H10855" s="606"/>
    </row>
    <row r="10856" customFormat="false" ht="30" hidden="false" customHeight="false" outlineLevel="0" collapsed="false">
      <c r="A10856" s="571"/>
      <c r="B10856" s="500"/>
      <c r="C10856" s="614" t="s">
        <v>6107</v>
      </c>
      <c r="D10856" s="606" t="s">
        <v>6108</v>
      </c>
      <c r="E10856" s="606" t="n">
        <v>1</v>
      </c>
      <c r="F10856" s="822" t="n">
        <f aca="false">4990/1000</f>
        <v>4.99</v>
      </c>
      <c r="G10856" s="615" t="n">
        <f aca="false">F10856*E10856</f>
        <v>4.99</v>
      </c>
      <c r="H10856" s="606"/>
    </row>
    <row r="10857" customFormat="false" ht="15" hidden="false" customHeight="false" outlineLevel="0" collapsed="false">
      <c r="A10857" s="571"/>
      <c r="B10857" s="608" t="s">
        <v>4128</v>
      </c>
      <c r="D10857" s="610"/>
      <c r="E10857" s="610"/>
      <c r="F10857" s="612"/>
      <c r="G10857" s="613" t="n">
        <f aca="false">SUM(G10851:G10856)</f>
        <v>2287.00266666667</v>
      </c>
      <c r="H10857" s="606"/>
    </row>
    <row r="10858" customFormat="false" ht="30" hidden="false" customHeight="false" outlineLevel="0" collapsed="false">
      <c r="A10858" s="571" t="s">
        <v>2101</v>
      </c>
      <c r="B10858" s="433" t="s">
        <v>3785</v>
      </c>
      <c r="C10858" s="614" t="s">
        <v>6116</v>
      </c>
      <c r="D10858" s="606" t="s">
        <v>6105</v>
      </c>
      <c r="E10858" s="606" t="n">
        <v>0.04</v>
      </c>
      <c r="F10858" s="361" t="n">
        <v>56500</v>
      </c>
      <c r="G10858" s="615" t="n">
        <f aca="false">F10858*E10858</f>
        <v>2260</v>
      </c>
      <c r="H10858" s="610"/>
    </row>
    <row r="10859" customFormat="false" ht="15" hidden="false" customHeight="false" outlineLevel="0" collapsed="false">
      <c r="A10859" s="571"/>
      <c r="B10859" s="500"/>
      <c r="C10859" s="614" t="s">
        <v>6092</v>
      </c>
      <c r="D10859" s="606" t="s">
        <v>5788</v>
      </c>
      <c r="E10859" s="606" t="n">
        <v>2</v>
      </c>
      <c r="F10859" s="361" t="n">
        <v>81</v>
      </c>
      <c r="G10859" s="615" t="n">
        <f aca="false">F10859*E10859</f>
        <v>162</v>
      </c>
      <c r="H10859" s="606"/>
    </row>
    <row r="10860" customFormat="false" ht="15" hidden="false" customHeight="false" outlineLevel="0" collapsed="false">
      <c r="A10860" s="571"/>
      <c r="B10860" s="500"/>
      <c r="C10860" s="614" t="s">
        <v>6097</v>
      </c>
      <c r="D10860" s="606" t="s">
        <v>4348</v>
      </c>
      <c r="E10860" s="606" t="n">
        <v>1</v>
      </c>
      <c r="F10860" s="361" t="n">
        <v>25</v>
      </c>
      <c r="G10860" s="615" t="n">
        <f aca="false">F10860*E10860</f>
        <v>25</v>
      </c>
      <c r="H10860" s="606"/>
    </row>
    <row r="10861" customFormat="false" ht="31.5" hidden="false" customHeight="true" outlineLevel="0" collapsed="false">
      <c r="A10861" s="571"/>
      <c r="B10861" s="500"/>
      <c r="C10861" s="614" t="s">
        <v>6082</v>
      </c>
      <c r="D10861" s="606" t="s">
        <v>6089</v>
      </c>
      <c r="E10861" s="606" t="n">
        <v>2</v>
      </c>
      <c r="F10861" s="361" t="n">
        <f aca="false">6100/300</f>
        <v>20.3333333333333</v>
      </c>
      <c r="G10861" s="615" t="n">
        <f aca="false">F10861*E10861</f>
        <v>40.6666666666667</v>
      </c>
      <c r="H10861" s="606"/>
    </row>
    <row r="10862" customFormat="false" ht="15.75" hidden="false" customHeight="true" outlineLevel="0" collapsed="false">
      <c r="A10862" s="571"/>
      <c r="B10862" s="500"/>
      <c r="C10862" s="614" t="s">
        <v>6007</v>
      </c>
      <c r="D10862" s="606" t="s">
        <v>6106</v>
      </c>
      <c r="E10862" s="606" t="n">
        <v>6</v>
      </c>
      <c r="F10862" s="822" t="n">
        <f aca="false">7161/1000</f>
        <v>7.161</v>
      </c>
      <c r="G10862" s="615" t="n">
        <f aca="false">F10862*E10862</f>
        <v>42.966</v>
      </c>
      <c r="H10862" s="606"/>
    </row>
    <row r="10863" customFormat="false" ht="30" hidden="false" customHeight="false" outlineLevel="0" collapsed="false">
      <c r="A10863" s="571"/>
      <c r="B10863" s="500"/>
      <c r="C10863" s="614" t="s">
        <v>6107</v>
      </c>
      <c r="D10863" s="606" t="s">
        <v>6108</v>
      </c>
      <c r="E10863" s="606" t="n">
        <v>1</v>
      </c>
      <c r="F10863" s="822" t="n">
        <f aca="false">4990/1000</f>
        <v>4.99</v>
      </c>
      <c r="G10863" s="615" t="n">
        <f aca="false">F10863*E10863</f>
        <v>4.99</v>
      </c>
      <c r="H10863" s="606"/>
    </row>
    <row r="10864" customFormat="false" ht="15" hidden="false" customHeight="false" outlineLevel="0" collapsed="false">
      <c r="A10864" s="571"/>
      <c r="B10864" s="608" t="s">
        <v>4128</v>
      </c>
      <c r="D10864" s="610"/>
      <c r="E10864" s="610"/>
      <c r="F10864" s="612"/>
      <c r="G10864" s="613" t="n">
        <f aca="false">SUM(G10858:G10863)</f>
        <v>2535.62266666667</v>
      </c>
      <c r="H10864" s="606"/>
    </row>
    <row r="10865" customFormat="false" ht="30" hidden="false" customHeight="false" outlineLevel="0" collapsed="false">
      <c r="A10865" s="571" t="s">
        <v>2103</v>
      </c>
      <c r="B10865" s="433" t="s">
        <v>3786</v>
      </c>
      <c r="C10865" s="614" t="s">
        <v>6117</v>
      </c>
      <c r="D10865" s="606" t="s">
        <v>6105</v>
      </c>
      <c r="E10865" s="606" t="n">
        <v>0.04</v>
      </c>
      <c r="F10865" s="361" t="n">
        <v>52900</v>
      </c>
      <c r="G10865" s="615" t="n">
        <f aca="false">E10865*F10865</f>
        <v>2116</v>
      </c>
      <c r="H10865" s="610"/>
    </row>
    <row r="10866" customFormat="false" ht="15" hidden="false" customHeight="false" outlineLevel="0" collapsed="false">
      <c r="A10866" s="571"/>
      <c r="B10866" s="500"/>
      <c r="C10866" s="614" t="s">
        <v>6092</v>
      </c>
      <c r="D10866" s="606" t="s">
        <v>5788</v>
      </c>
      <c r="E10866" s="606" t="n">
        <v>2</v>
      </c>
      <c r="F10866" s="361" t="n">
        <v>81</v>
      </c>
      <c r="G10866" s="615" t="n">
        <f aca="false">E10866*F10866</f>
        <v>162</v>
      </c>
      <c r="H10866" s="606"/>
    </row>
    <row r="10867" customFormat="false" ht="15" hidden="false" customHeight="false" outlineLevel="0" collapsed="false">
      <c r="A10867" s="571"/>
      <c r="B10867" s="500"/>
      <c r="C10867" s="614" t="s">
        <v>6097</v>
      </c>
      <c r="D10867" s="606" t="s">
        <v>4348</v>
      </c>
      <c r="E10867" s="606" t="n">
        <v>1</v>
      </c>
      <c r="F10867" s="361" t="n">
        <v>25</v>
      </c>
      <c r="G10867" s="615" t="n">
        <f aca="false">E10867*F10867</f>
        <v>25</v>
      </c>
      <c r="H10867" s="606"/>
    </row>
    <row r="10868" customFormat="false" ht="34.5" hidden="false" customHeight="true" outlineLevel="0" collapsed="false">
      <c r="A10868" s="571"/>
      <c r="B10868" s="500"/>
      <c r="C10868" s="614" t="s">
        <v>6082</v>
      </c>
      <c r="D10868" s="606" t="s">
        <v>6089</v>
      </c>
      <c r="E10868" s="606" t="n">
        <v>2</v>
      </c>
      <c r="F10868" s="361" t="n">
        <f aca="false">6100/300</f>
        <v>20.3333333333333</v>
      </c>
      <c r="G10868" s="615" t="n">
        <f aca="false">E10868*F10868</f>
        <v>40.6666666666667</v>
      </c>
      <c r="H10868" s="606"/>
    </row>
    <row r="10869" customFormat="false" ht="15.75" hidden="false" customHeight="true" outlineLevel="0" collapsed="false">
      <c r="A10869" s="571"/>
      <c r="B10869" s="500"/>
      <c r="C10869" s="614" t="s">
        <v>6007</v>
      </c>
      <c r="D10869" s="606" t="s">
        <v>6106</v>
      </c>
      <c r="E10869" s="606" t="n">
        <v>6</v>
      </c>
      <c r="F10869" s="822" t="n">
        <f aca="false">7161/1000</f>
        <v>7.161</v>
      </c>
      <c r="G10869" s="615" t="n">
        <f aca="false">E10869*F10869</f>
        <v>42.966</v>
      </c>
      <c r="H10869" s="606"/>
    </row>
    <row r="10870" customFormat="false" ht="30" hidden="false" customHeight="false" outlineLevel="0" collapsed="false">
      <c r="A10870" s="571"/>
      <c r="B10870" s="500"/>
      <c r="C10870" s="614" t="s">
        <v>6107</v>
      </c>
      <c r="D10870" s="606" t="s">
        <v>6108</v>
      </c>
      <c r="E10870" s="606" t="n">
        <v>1</v>
      </c>
      <c r="F10870" s="822" t="n">
        <f aca="false">4990/1000</f>
        <v>4.99</v>
      </c>
      <c r="G10870" s="615" t="n">
        <f aca="false">E10870*F10870</f>
        <v>4.99</v>
      </c>
      <c r="H10870" s="606"/>
    </row>
    <row r="10871" customFormat="false" ht="15" hidden="false" customHeight="false" outlineLevel="0" collapsed="false">
      <c r="A10871" s="571"/>
      <c r="B10871" s="608" t="s">
        <v>4128</v>
      </c>
      <c r="D10871" s="610"/>
      <c r="E10871" s="610"/>
      <c r="F10871" s="612"/>
      <c r="G10871" s="613" t="n">
        <f aca="false">SUM(G10865:G10870)</f>
        <v>2391.62266666667</v>
      </c>
      <c r="H10871" s="606"/>
    </row>
    <row r="10872" customFormat="false" ht="30" hidden="false" customHeight="false" outlineLevel="0" collapsed="false">
      <c r="A10872" s="571" t="s">
        <v>2105</v>
      </c>
      <c r="B10872" s="328" t="s">
        <v>3787</v>
      </c>
      <c r="C10872" s="614" t="s">
        <v>6118</v>
      </c>
      <c r="D10872" s="606" t="s">
        <v>6105</v>
      </c>
      <c r="E10872" s="606" t="n">
        <v>0.03</v>
      </c>
      <c r="F10872" s="361" t="n">
        <v>68100</v>
      </c>
      <c r="G10872" s="615" t="n">
        <f aca="false">E10872*F10872</f>
        <v>2043</v>
      </c>
      <c r="H10872" s="610"/>
    </row>
    <row r="10873" customFormat="false" ht="15" hidden="false" customHeight="false" outlineLevel="0" collapsed="false">
      <c r="A10873" s="571"/>
      <c r="B10873" s="500"/>
      <c r="C10873" s="614" t="s">
        <v>6092</v>
      </c>
      <c r="D10873" s="606" t="s">
        <v>5788</v>
      </c>
      <c r="E10873" s="606" t="n">
        <v>2</v>
      </c>
      <c r="F10873" s="361" t="n">
        <v>81</v>
      </c>
      <c r="G10873" s="615" t="n">
        <f aca="false">E10873*F10873</f>
        <v>162</v>
      </c>
      <c r="H10873" s="606"/>
    </row>
    <row r="10874" customFormat="false" ht="15" hidden="false" customHeight="false" outlineLevel="0" collapsed="false">
      <c r="A10874" s="571"/>
      <c r="B10874" s="500"/>
      <c r="C10874" s="614" t="s">
        <v>6097</v>
      </c>
      <c r="D10874" s="606" t="s">
        <v>4348</v>
      </c>
      <c r="E10874" s="606" t="n">
        <v>1</v>
      </c>
      <c r="F10874" s="361" t="n">
        <v>25</v>
      </c>
      <c r="G10874" s="615" t="n">
        <f aca="false">E10874*F10874</f>
        <v>25</v>
      </c>
      <c r="H10874" s="606"/>
    </row>
    <row r="10875" customFormat="false" ht="30.75" hidden="false" customHeight="true" outlineLevel="0" collapsed="false">
      <c r="A10875" s="571"/>
      <c r="B10875" s="500"/>
      <c r="C10875" s="614" t="s">
        <v>6082</v>
      </c>
      <c r="D10875" s="606" t="s">
        <v>6089</v>
      </c>
      <c r="E10875" s="606" t="n">
        <v>2</v>
      </c>
      <c r="F10875" s="361" t="n">
        <f aca="false">6100/300</f>
        <v>20.3333333333333</v>
      </c>
      <c r="G10875" s="615" t="n">
        <f aca="false">E10875*F10875</f>
        <v>40.6666666666667</v>
      </c>
      <c r="H10875" s="606"/>
    </row>
    <row r="10876" customFormat="false" ht="19.5" hidden="false" customHeight="true" outlineLevel="0" collapsed="false">
      <c r="A10876" s="571"/>
      <c r="B10876" s="500"/>
      <c r="C10876" s="614" t="s">
        <v>6007</v>
      </c>
      <c r="D10876" s="606" t="s">
        <v>6106</v>
      </c>
      <c r="E10876" s="606" t="n">
        <v>6</v>
      </c>
      <c r="F10876" s="822" t="n">
        <f aca="false">7161/1000</f>
        <v>7.161</v>
      </c>
      <c r="G10876" s="615" t="n">
        <f aca="false">E10876*F10876</f>
        <v>42.966</v>
      </c>
      <c r="H10876" s="606"/>
    </row>
    <row r="10877" customFormat="false" ht="30" hidden="false" customHeight="false" outlineLevel="0" collapsed="false">
      <c r="A10877" s="571"/>
      <c r="B10877" s="500"/>
      <c r="C10877" s="614" t="s">
        <v>6107</v>
      </c>
      <c r="D10877" s="606" t="s">
        <v>6108</v>
      </c>
      <c r="E10877" s="606" t="n">
        <v>1</v>
      </c>
      <c r="F10877" s="822" t="n">
        <f aca="false">4990/1000</f>
        <v>4.99</v>
      </c>
      <c r="G10877" s="615" t="n">
        <f aca="false">E10877*F10877</f>
        <v>4.99</v>
      </c>
      <c r="H10877" s="606"/>
    </row>
    <row r="10878" customFormat="false" ht="15" hidden="false" customHeight="false" outlineLevel="0" collapsed="false">
      <c r="A10878" s="571"/>
      <c r="B10878" s="608" t="s">
        <v>4128</v>
      </c>
      <c r="D10878" s="610"/>
      <c r="E10878" s="610"/>
      <c r="F10878" s="612"/>
      <c r="G10878" s="613" t="n">
        <f aca="false">SUM(G10872:G10877)</f>
        <v>2318.62266666667</v>
      </c>
      <c r="H10878" s="606"/>
    </row>
    <row r="10879" customFormat="false" ht="30" hidden="false" customHeight="false" outlineLevel="0" collapsed="false">
      <c r="A10879" s="571" t="s">
        <v>2107</v>
      </c>
      <c r="B10879" s="328" t="s">
        <v>3788</v>
      </c>
      <c r="C10879" s="614" t="s">
        <v>6119</v>
      </c>
      <c r="D10879" s="606" t="s">
        <v>6105</v>
      </c>
      <c r="E10879" s="606" t="n">
        <v>0.03</v>
      </c>
      <c r="F10879" s="361" t="n">
        <v>62900</v>
      </c>
      <c r="G10879" s="615" t="n">
        <f aca="false">E10879*F10879</f>
        <v>1887</v>
      </c>
      <c r="H10879" s="610"/>
    </row>
    <row r="10880" customFormat="false" ht="15" hidden="false" customHeight="false" outlineLevel="0" collapsed="false">
      <c r="A10880" s="571"/>
      <c r="B10880" s="500"/>
      <c r="C10880" s="614" t="s">
        <v>6092</v>
      </c>
      <c r="D10880" s="606" t="s">
        <v>5788</v>
      </c>
      <c r="E10880" s="606" t="n">
        <v>2</v>
      </c>
      <c r="F10880" s="361" t="n">
        <v>81</v>
      </c>
      <c r="G10880" s="615" t="n">
        <f aca="false">E10880*F10880</f>
        <v>162</v>
      </c>
      <c r="H10880" s="606"/>
    </row>
    <row r="10881" customFormat="false" ht="15" hidden="false" customHeight="false" outlineLevel="0" collapsed="false">
      <c r="A10881" s="571"/>
      <c r="B10881" s="500"/>
      <c r="C10881" s="614" t="s">
        <v>6097</v>
      </c>
      <c r="D10881" s="606" t="s">
        <v>4348</v>
      </c>
      <c r="E10881" s="606" t="n">
        <v>1</v>
      </c>
      <c r="F10881" s="361" t="n">
        <v>25</v>
      </c>
      <c r="G10881" s="615" t="n">
        <f aca="false">E10881*F10881</f>
        <v>25</v>
      </c>
      <c r="H10881" s="606"/>
    </row>
    <row r="10882" customFormat="false" ht="34.5" hidden="false" customHeight="true" outlineLevel="0" collapsed="false">
      <c r="A10882" s="571"/>
      <c r="B10882" s="500"/>
      <c r="C10882" s="614" t="s">
        <v>6082</v>
      </c>
      <c r="D10882" s="606" t="s">
        <v>6089</v>
      </c>
      <c r="E10882" s="606" t="n">
        <v>2</v>
      </c>
      <c r="F10882" s="361" t="n">
        <f aca="false">6100/300</f>
        <v>20.3333333333333</v>
      </c>
      <c r="G10882" s="615" t="n">
        <f aca="false">E10882*F10882</f>
        <v>40.6666666666667</v>
      </c>
      <c r="H10882" s="606"/>
    </row>
    <row r="10883" customFormat="false" ht="19.5" hidden="false" customHeight="true" outlineLevel="0" collapsed="false">
      <c r="A10883" s="571"/>
      <c r="B10883" s="500"/>
      <c r="C10883" s="614" t="s">
        <v>6007</v>
      </c>
      <c r="D10883" s="606" t="s">
        <v>6106</v>
      </c>
      <c r="E10883" s="606" t="n">
        <v>7</v>
      </c>
      <c r="F10883" s="822" t="n">
        <f aca="false">7161/1000</f>
        <v>7.161</v>
      </c>
      <c r="G10883" s="615" t="n">
        <f aca="false">E10883*F10883</f>
        <v>50.127</v>
      </c>
      <c r="H10883" s="606"/>
    </row>
    <row r="10884" customFormat="false" ht="30" hidden="false" customHeight="false" outlineLevel="0" collapsed="false">
      <c r="A10884" s="571"/>
      <c r="B10884" s="500"/>
      <c r="C10884" s="614" t="s">
        <v>6107</v>
      </c>
      <c r="D10884" s="606" t="s">
        <v>6108</v>
      </c>
      <c r="E10884" s="606" t="n">
        <v>1</v>
      </c>
      <c r="F10884" s="822" t="n">
        <f aca="false">4990/1000</f>
        <v>4.99</v>
      </c>
      <c r="G10884" s="615" t="n">
        <f aca="false">E10884*F10884</f>
        <v>4.99</v>
      </c>
      <c r="H10884" s="606"/>
    </row>
    <row r="10885" customFormat="false" ht="15" hidden="false" customHeight="false" outlineLevel="0" collapsed="false">
      <c r="A10885" s="571"/>
      <c r="B10885" s="608" t="s">
        <v>4128</v>
      </c>
      <c r="D10885" s="610"/>
      <c r="E10885" s="610"/>
      <c r="F10885" s="612"/>
      <c r="G10885" s="613" t="n">
        <f aca="false">SUM(G10879:G10884)</f>
        <v>2169.78366666667</v>
      </c>
      <c r="H10885" s="606"/>
    </row>
    <row r="10886" customFormat="false" ht="45" hidden="false" customHeight="false" outlineLevel="0" collapsed="false">
      <c r="A10886" s="571" t="s">
        <v>2109</v>
      </c>
      <c r="B10886" s="328" t="s">
        <v>3789</v>
      </c>
      <c r="C10886" s="614" t="s">
        <v>6120</v>
      </c>
      <c r="D10886" s="606" t="s">
        <v>4348</v>
      </c>
      <c r="E10886" s="606" t="n">
        <v>1</v>
      </c>
      <c r="F10886" s="361" t="n">
        <v>416</v>
      </c>
      <c r="G10886" s="615" t="n">
        <f aca="false">E10886*F10886</f>
        <v>416</v>
      </c>
      <c r="H10886" s="606"/>
    </row>
    <row r="10887" customFormat="false" ht="30" hidden="false" customHeight="false" outlineLevel="0" collapsed="false">
      <c r="A10887" s="571"/>
      <c r="B10887" s="500"/>
      <c r="C10887" s="614" t="s">
        <v>6088</v>
      </c>
      <c r="D10887" s="606" t="s">
        <v>5788</v>
      </c>
      <c r="E10887" s="606" t="n">
        <v>2</v>
      </c>
      <c r="F10887" s="361" t="n">
        <v>81</v>
      </c>
      <c r="G10887" s="615" t="n">
        <f aca="false">E10887*F10887</f>
        <v>162</v>
      </c>
      <c r="H10887" s="606"/>
    </row>
    <row r="10888" customFormat="false" ht="32.25" hidden="false" customHeight="true" outlineLevel="0" collapsed="false">
      <c r="A10888" s="571"/>
      <c r="B10888" s="500"/>
      <c r="C10888" s="614" t="s">
        <v>6082</v>
      </c>
      <c r="D10888" s="606" t="s">
        <v>6089</v>
      </c>
      <c r="E10888" s="606" t="n">
        <v>2</v>
      </c>
      <c r="F10888" s="361" t="n">
        <f aca="false">6100/300</f>
        <v>20.3333333333333</v>
      </c>
      <c r="G10888" s="615" t="n">
        <f aca="false">E10888*F10888</f>
        <v>40.6666666666667</v>
      </c>
      <c r="H10888" s="606"/>
    </row>
    <row r="10889" customFormat="false" ht="15" hidden="false" customHeight="false" outlineLevel="0" collapsed="false">
      <c r="A10889" s="571"/>
      <c r="B10889" s="500"/>
      <c r="C10889" s="614" t="s">
        <v>6097</v>
      </c>
      <c r="D10889" s="606" t="s">
        <v>4348</v>
      </c>
      <c r="E10889" s="606" t="n">
        <v>1</v>
      </c>
      <c r="F10889" s="361" t="n">
        <v>25</v>
      </c>
      <c r="G10889" s="615" t="n">
        <f aca="false">E10889*F10889</f>
        <v>25</v>
      </c>
      <c r="H10889" s="610"/>
    </row>
    <row r="10890" customFormat="false" ht="15" hidden="false" customHeight="false" outlineLevel="0" collapsed="false">
      <c r="A10890" s="571"/>
      <c r="B10890" s="608" t="s">
        <v>4128</v>
      </c>
      <c r="D10890" s="610"/>
      <c r="E10890" s="610"/>
      <c r="F10890" s="612"/>
      <c r="G10890" s="613" t="n">
        <f aca="false">SUM(G10886:G10889)</f>
        <v>643.666666666667</v>
      </c>
      <c r="H10890" s="606"/>
    </row>
    <row r="10891" customFormat="false" ht="15" hidden="false" customHeight="false" outlineLevel="0" collapsed="false">
      <c r="A10891" s="571" t="s">
        <v>2111</v>
      </c>
      <c r="B10891" s="328" t="s">
        <v>3790</v>
      </c>
      <c r="C10891" s="614" t="s">
        <v>5139</v>
      </c>
      <c r="D10891" s="606" t="s">
        <v>4359</v>
      </c>
      <c r="E10891" s="606" t="n">
        <v>0.02</v>
      </c>
      <c r="F10891" s="361" t="n">
        <v>6240</v>
      </c>
      <c r="G10891" s="615" t="n">
        <f aca="false">E10891*F10891</f>
        <v>124.8</v>
      </c>
      <c r="H10891" s="610"/>
    </row>
    <row r="10892" customFormat="false" ht="15" hidden="false" customHeight="false" outlineLevel="0" collapsed="false">
      <c r="A10892" s="571"/>
      <c r="B10892" s="500"/>
      <c r="C10892" s="614" t="s">
        <v>6077</v>
      </c>
      <c r="D10892" s="606" t="s">
        <v>4348</v>
      </c>
      <c r="E10892" s="606" t="n">
        <v>1</v>
      </c>
      <c r="F10892" s="361" t="n">
        <v>37</v>
      </c>
      <c r="G10892" s="615" t="n">
        <f aca="false">E10892*F10892</f>
        <v>37</v>
      </c>
      <c r="H10892" s="606"/>
    </row>
    <row r="10893" customFormat="false" ht="17.25" hidden="false" customHeight="true" outlineLevel="0" collapsed="false">
      <c r="A10893" s="571"/>
      <c r="B10893" s="500"/>
      <c r="C10893" s="614" t="s">
        <v>6078</v>
      </c>
      <c r="D10893" s="606" t="s">
        <v>6079</v>
      </c>
      <c r="E10893" s="606" t="n">
        <v>1</v>
      </c>
      <c r="F10893" s="361" t="n">
        <f aca="false">5429/1000</f>
        <v>5.429</v>
      </c>
      <c r="G10893" s="615" t="n">
        <f aca="false">E10893*F10893</f>
        <v>5.429</v>
      </c>
      <c r="H10893" s="606"/>
    </row>
    <row r="10894" customFormat="false" ht="30" hidden="false" customHeight="false" outlineLevel="0" collapsed="false">
      <c r="A10894" s="571"/>
      <c r="B10894" s="500"/>
      <c r="C10894" s="614" t="s">
        <v>6088</v>
      </c>
      <c r="D10894" s="606" t="s">
        <v>5788</v>
      </c>
      <c r="E10894" s="606" t="n">
        <v>2</v>
      </c>
      <c r="F10894" s="361" t="n">
        <v>81</v>
      </c>
      <c r="G10894" s="615" t="n">
        <f aca="false">E10894*F10894</f>
        <v>162</v>
      </c>
      <c r="H10894" s="606"/>
    </row>
    <row r="10895" customFormat="false" ht="33" hidden="false" customHeight="true" outlineLevel="0" collapsed="false">
      <c r="A10895" s="571"/>
      <c r="B10895" s="500"/>
      <c r="C10895" s="614" t="s">
        <v>6082</v>
      </c>
      <c r="D10895" s="606" t="s">
        <v>6089</v>
      </c>
      <c r="E10895" s="606" t="n">
        <v>2</v>
      </c>
      <c r="F10895" s="361" t="n">
        <f aca="false">6100/300</f>
        <v>20.3333333333333</v>
      </c>
      <c r="G10895" s="615" t="n">
        <f aca="false">E10895*F10895</f>
        <v>40.6666666666667</v>
      </c>
      <c r="H10895" s="606"/>
    </row>
    <row r="10896" customFormat="false" ht="15" hidden="false" customHeight="false" outlineLevel="0" collapsed="false">
      <c r="A10896" s="571"/>
      <c r="B10896" s="500"/>
      <c r="C10896" s="614" t="s">
        <v>6097</v>
      </c>
      <c r="D10896" s="606" t="s">
        <v>4348</v>
      </c>
      <c r="E10896" s="606" t="n">
        <v>1</v>
      </c>
      <c r="F10896" s="361" t="n">
        <v>25</v>
      </c>
      <c r="G10896" s="615" t="n">
        <f aca="false">E10896*F10896</f>
        <v>25</v>
      </c>
      <c r="H10896" s="606"/>
    </row>
    <row r="10897" customFormat="false" ht="15" hidden="false" customHeight="false" outlineLevel="0" collapsed="false">
      <c r="A10897" s="571"/>
      <c r="B10897" s="608" t="s">
        <v>4128</v>
      </c>
      <c r="D10897" s="610"/>
      <c r="E10897" s="610"/>
      <c r="F10897" s="612"/>
      <c r="G10897" s="613" t="n">
        <f aca="false">SUM(G10891:G10896)</f>
        <v>394.895666666667</v>
      </c>
      <c r="H10897" s="606"/>
    </row>
    <row r="10898" customFormat="false" ht="30" hidden="false" customHeight="false" outlineLevel="0" collapsed="false">
      <c r="A10898" s="571" t="s">
        <v>2113</v>
      </c>
      <c r="B10898" s="328" t="s">
        <v>3791</v>
      </c>
      <c r="C10898" s="614" t="s">
        <v>6088</v>
      </c>
      <c r="D10898" s="606" t="s">
        <v>5788</v>
      </c>
      <c r="E10898" s="606" t="n">
        <v>2</v>
      </c>
      <c r="F10898" s="361" t="n">
        <v>81</v>
      </c>
      <c r="G10898" s="615" t="n">
        <f aca="false">E10898*F10898</f>
        <v>162</v>
      </c>
      <c r="H10898" s="606"/>
    </row>
    <row r="10899" s="531" customFormat="true" ht="32.25" hidden="false" customHeight="true" outlineLevel="0" collapsed="false">
      <c r="B10899" s="606"/>
      <c r="C10899" s="614" t="s">
        <v>6082</v>
      </c>
      <c r="D10899" s="606" t="s">
        <v>6089</v>
      </c>
      <c r="E10899" s="606" t="n">
        <v>2</v>
      </c>
      <c r="F10899" s="361" t="n">
        <f aca="false">6100/300</f>
        <v>20.3333333333333</v>
      </c>
      <c r="G10899" s="615" t="n">
        <f aca="false">E10899*F10899</f>
        <v>40.6666666666667</v>
      </c>
      <c r="H10899" s="606"/>
    </row>
    <row r="10900" customFormat="false" ht="15" hidden="false" customHeight="false" outlineLevel="0" collapsed="false">
      <c r="A10900" s="571"/>
      <c r="B10900" s="500"/>
      <c r="C10900" s="614" t="s">
        <v>6097</v>
      </c>
      <c r="D10900" s="606" t="s">
        <v>4348</v>
      </c>
      <c r="E10900" s="606" t="n">
        <v>1</v>
      </c>
      <c r="F10900" s="361" t="n">
        <v>25</v>
      </c>
      <c r="G10900" s="615" t="n">
        <f aca="false">E10900*F10900</f>
        <v>25</v>
      </c>
      <c r="H10900" s="606"/>
    </row>
    <row r="10901" customFormat="false" ht="15" hidden="false" customHeight="false" outlineLevel="0" collapsed="false">
      <c r="A10901" s="571"/>
      <c r="B10901" s="500"/>
      <c r="C10901" s="614" t="s">
        <v>6077</v>
      </c>
      <c r="D10901" s="606" t="s">
        <v>4348</v>
      </c>
      <c r="E10901" s="606" t="n">
        <v>1</v>
      </c>
      <c r="F10901" s="361" t="n">
        <v>37</v>
      </c>
      <c r="G10901" s="615" t="n">
        <f aca="false">E10901*F10901</f>
        <v>37</v>
      </c>
      <c r="H10901" s="606"/>
    </row>
    <row r="10902" customFormat="false" ht="15" hidden="false" customHeight="false" outlineLevel="0" collapsed="false">
      <c r="A10902" s="571"/>
      <c r="B10902" s="608" t="s">
        <v>4128</v>
      </c>
      <c r="C10902" s="614"/>
      <c r="D10902" s="606"/>
      <c r="E10902" s="606"/>
      <c r="F10902" s="361"/>
      <c r="G10902" s="613" t="n">
        <f aca="false">SUM(G10898:G10901)</f>
        <v>264.666666666667</v>
      </c>
      <c r="H10902" s="610"/>
    </row>
    <row r="10903" customFormat="false" ht="30" hidden="false" customHeight="false" outlineLevel="0" collapsed="false">
      <c r="A10903" s="571" t="s">
        <v>2115</v>
      </c>
      <c r="B10903" s="433" t="s">
        <v>3792</v>
      </c>
      <c r="C10903" s="614" t="s">
        <v>6099</v>
      </c>
      <c r="D10903" s="606" t="s">
        <v>6121</v>
      </c>
      <c r="E10903" s="606" t="n">
        <v>1</v>
      </c>
      <c r="F10903" s="361" t="n">
        <f aca="false">4700/10</f>
        <v>470</v>
      </c>
      <c r="G10903" s="615" t="n">
        <f aca="false">E10903*F10903</f>
        <v>470</v>
      </c>
      <c r="H10903" s="606"/>
    </row>
    <row r="10904" customFormat="false" ht="30" hidden="false" customHeight="false" outlineLevel="0" collapsed="false">
      <c r="A10904" s="606"/>
      <c r="B10904" s="606"/>
      <c r="C10904" s="614" t="s">
        <v>6088</v>
      </c>
      <c r="D10904" s="606" t="s">
        <v>5788</v>
      </c>
      <c r="E10904" s="606" t="n">
        <v>2</v>
      </c>
      <c r="F10904" s="361" t="n">
        <v>81</v>
      </c>
      <c r="G10904" s="615" t="n">
        <f aca="false">E10904*F10904</f>
        <v>162</v>
      </c>
      <c r="H10904" s="606"/>
    </row>
    <row r="10905" customFormat="false" ht="32.25" hidden="false" customHeight="true" outlineLevel="0" collapsed="false">
      <c r="A10905" s="606"/>
      <c r="B10905" s="606"/>
      <c r="C10905" s="614" t="s">
        <v>6082</v>
      </c>
      <c r="D10905" s="606" t="s">
        <v>6089</v>
      </c>
      <c r="E10905" s="531" t="n">
        <v>2</v>
      </c>
      <c r="F10905" s="912" t="n">
        <f aca="false">6100/300</f>
        <v>20.3333333333333</v>
      </c>
      <c r="G10905" s="615" t="n">
        <f aca="false">E10905*F10905</f>
        <v>40.6666666666667</v>
      </c>
      <c r="H10905" s="606"/>
    </row>
    <row r="10906" customFormat="false" ht="15" hidden="false" customHeight="false" outlineLevel="0" collapsed="false">
      <c r="A10906" s="571"/>
      <c r="B10906" s="500"/>
      <c r="C10906" s="614" t="s">
        <v>6097</v>
      </c>
      <c r="D10906" s="606" t="s">
        <v>4348</v>
      </c>
      <c r="E10906" s="606" t="n">
        <v>1</v>
      </c>
      <c r="F10906" s="606" t="n">
        <v>25</v>
      </c>
      <c r="G10906" s="615" t="n">
        <f aca="false">E10906*F10906</f>
        <v>25</v>
      </c>
      <c r="H10906" s="606"/>
    </row>
    <row r="10907" customFormat="false" ht="15" hidden="false" customHeight="false" outlineLevel="0" collapsed="false">
      <c r="A10907" s="571"/>
      <c r="B10907" s="500"/>
      <c r="C10907" s="614" t="s">
        <v>6077</v>
      </c>
      <c r="D10907" s="606" t="s">
        <v>4348</v>
      </c>
      <c r="E10907" s="606" t="n">
        <v>1</v>
      </c>
      <c r="F10907" s="606" t="n">
        <v>37</v>
      </c>
      <c r="G10907" s="615" t="n">
        <f aca="false">E10907*F10907</f>
        <v>37</v>
      </c>
      <c r="H10907" s="606"/>
    </row>
    <row r="10908" customFormat="false" ht="20.25" hidden="false" customHeight="true" outlineLevel="0" collapsed="false">
      <c r="A10908" s="571"/>
      <c r="B10908" s="500"/>
      <c r="C10908" s="614" t="s">
        <v>6078</v>
      </c>
      <c r="D10908" s="606" t="s">
        <v>6079</v>
      </c>
      <c r="E10908" s="606" t="n">
        <v>1</v>
      </c>
      <c r="F10908" s="822" t="n">
        <f aca="false">5429/1000</f>
        <v>5.429</v>
      </c>
      <c r="G10908" s="615" t="n">
        <f aca="false">E10908*F10908</f>
        <v>5.429</v>
      </c>
      <c r="H10908" s="606"/>
    </row>
    <row r="10909" customFormat="false" ht="15" hidden="false" customHeight="false" outlineLevel="0" collapsed="false">
      <c r="A10909" s="571"/>
      <c r="B10909" s="608" t="s">
        <v>4128</v>
      </c>
      <c r="D10909" s="610"/>
      <c r="E10909" s="610"/>
      <c r="F10909" s="612"/>
      <c r="G10909" s="613" t="n">
        <f aca="false">SUM(G10903:G10908)</f>
        <v>740.095666666667</v>
      </c>
      <c r="H10909" s="606"/>
    </row>
    <row r="10910" customFormat="false" ht="15" hidden="false" customHeight="false" outlineLevel="0" collapsed="false">
      <c r="A10910" s="571" t="s">
        <v>2117</v>
      </c>
      <c r="B10910" s="433" t="s">
        <v>3793</v>
      </c>
      <c r="C10910" s="614" t="s">
        <v>6122</v>
      </c>
      <c r="D10910" s="606" t="s">
        <v>6123</v>
      </c>
      <c r="E10910" s="606" t="n">
        <v>1</v>
      </c>
      <c r="F10910" s="361" t="n">
        <f aca="false">16184/40</f>
        <v>404.6</v>
      </c>
      <c r="G10910" s="615" t="n">
        <f aca="false">E10910*F10910</f>
        <v>404.6</v>
      </c>
      <c r="H10910" s="610"/>
    </row>
    <row r="10911" customFormat="false" ht="30" hidden="false" customHeight="false" outlineLevel="0" collapsed="false">
      <c r="A10911" s="571"/>
      <c r="B10911" s="500"/>
      <c r="C10911" s="614" t="s">
        <v>6088</v>
      </c>
      <c r="D10911" s="606" t="s">
        <v>5788</v>
      </c>
      <c r="E10911" s="606" t="n">
        <v>2</v>
      </c>
      <c r="F10911" s="361" t="n">
        <v>81</v>
      </c>
      <c r="G10911" s="615" t="n">
        <f aca="false">E10911*F10911</f>
        <v>162</v>
      </c>
      <c r="H10911" s="606"/>
    </row>
    <row r="10912" customFormat="false" ht="35.25" hidden="false" customHeight="true" outlineLevel="0" collapsed="false">
      <c r="A10912" s="571"/>
      <c r="B10912" s="500"/>
      <c r="C10912" s="614" t="s">
        <v>6082</v>
      </c>
      <c r="D10912" s="606" t="s">
        <v>6089</v>
      </c>
      <c r="E10912" s="531" t="n">
        <v>2</v>
      </c>
      <c r="F10912" s="912" t="n">
        <f aca="false">6100/300</f>
        <v>20.3333333333333</v>
      </c>
      <c r="G10912" s="615" t="n">
        <f aca="false">E10912*F10912</f>
        <v>40.6666666666667</v>
      </c>
      <c r="H10912" s="606"/>
    </row>
    <row r="10913" customFormat="false" ht="15" hidden="false" customHeight="false" outlineLevel="0" collapsed="false">
      <c r="A10913" s="571"/>
      <c r="B10913" s="500"/>
      <c r="C10913" s="614" t="s">
        <v>6097</v>
      </c>
      <c r="D10913" s="606" t="s">
        <v>4348</v>
      </c>
      <c r="E10913" s="606" t="n">
        <v>1</v>
      </c>
      <c r="F10913" s="606" t="n">
        <v>25</v>
      </c>
      <c r="G10913" s="615" t="n">
        <f aca="false">E10913*F10913</f>
        <v>25</v>
      </c>
      <c r="H10913" s="606"/>
    </row>
    <row r="10914" customFormat="false" ht="15" hidden="false" customHeight="false" outlineLevel="0" collapsed="false">
      <c r="A10914" s="571"/>
      <c r="B10914" s="500"/>
      <c r="C10914" s="614" t="s">
        <v>6077</v>
      </c>
      <c r="D10914" s="606" t="s">
        <v>4348</v>
      </c>
      <c r="E10914" s="606" t="n">
        <v>1</v>
      </c>
      <c r="F10914" s="606" t="n">
        <v>37</v>
      </c>
      <c r="G10914" s="615" t="n">
        <f aca="false">E10914*F10914</f>
        <v>37</v>
      </c>
      <c r="H10914" s="606"/>
    </row>
    <row r="10915" customFormat="false" ht="21" hidden="false" customHeight="true" outlineLevel="0" collapsed="false">
      <c r="A10915" s="571"/>
      <c r="B10915" s="500"/>
      <c r="C10915" s="614" t="s">
        <v>6078</v>
      </c>
      <c r="D10915" s="606" t="s">
        <v>6079</v>
      </c>
      <c r="E10915" s="606" t="n">
        <v>1</v>
      </c>
      <c r="F10915" s="361" t="n">
        <f aca="false">5429/1000</f>
        <v>5.429</v>
      </c>
      <c r="G10915" s="615" t="n">
        <f aca="false">E10915*F10915</f>
        <v>5.429</v>
      </c>
      <c r="H10915" s="606"/>
    </row>
    <row r="10916" customFormat="false" ht="15" hidden="false" customHeight="false" outlineLevel="0" collapsed="false">
      <c r="A10916" s="571"/>
      <c r="B10916" s="608" t="s">
        <v>4128</v>
      </c>
      <c r="D10916" s="610"/>
      <c r="E10916" s="610"/>
      <c r="F10916" s="612"/>
      <c r="G10916" s="613" t="n">
        <f aca="false">SUM(G10910:G10915)</f>
        <v>674.695666666667</v>
      </c>
      <c r="H10916" s="606"/>
    </row>
    <row r="10917" customFormat="false" ht="30" hidden="false" customHeight="false" outlineLevel="0" collapsed="false">
      <c r="A10917" s="571" t="s">
        <v>2119</v>
      </c>
      <c r="B10917" s="433" t="s">
        <v>3794</v>
      </c>
      <c r="C10917" s="614" t="s">
        <v>6088</v>
      </c>
      <c r="D10917" s="606" t="s">
        <v>5788</v>
      </c>
      <c r="E10917" s="606" t="n">
        <v>2</v>
      </c>
      <c r="F10917" s="361" t="n">
        <v>81</v>
      </c>
      <c r="G10917" s="615" t="n">
        <f aca="false">E10917*F10917</f>
        <v>162</v>
      </c>
      <c r="H10917" s="606"/>
    </row>
    <row r="10918" customFormat="false" ht="31.5" hidden="false" customHeight="true" outlineLevel="0" collapsed="false">
      <c r="A10918" s="571"/>
      <c r="B10918" s="608"/>
      <c r="C10918" s="614" t="s">
        <v>6082</v>
      </c>
      <c r="D10918" s="606" t="s">
        <v>6089</v>
      </c>
      <c r="E10918" s="531" t="n">
        <v>2</v>
      </c>
      <c r="F10918" s="912" t="n">
        <f aca="false">6100/300</f>
        <v>20.3333333333333</v>
      </c>
      <c r="G10918" s="615" t="n">
        <f aca="false">E10918*F10918</f>
        <v>40.6666666666667</v>
      </c>
      <c r="H10918" s="606"/>
    </row>
    <row r="10919" customFormat="false" ht="15" hidden="false" customHeight="false" outlineLevel="0" collapsed="false">
      <c r="A10919" s="571"/>
      <c r="B10919" s="433"/>
      <c r="C10919" s="614" t="s">
        <v>6097</v>
      </c>
      <c r="D10919" s="606" t="s">
        <v>4348</v>
      </c>
      <c r="E10919" s="606" t="n">
        <v>1</v>
      </c>
      <c r="F10919" s="606" t="n">
        <v>25</v>
      </c>
      <c r="G10919" s="615" t="n">
        <f aca="false">E10919*F10919</f>
        <v>25</v>
      </c>
      <c r="H10919" s="606"/>
    </row>
    <row r="10920" customFormat="false" ht="15" hidden="false" customHeight="false" outlineLevel="0" collapsed="false">
      <c r="A10920" s="571"/>
      <c r="B10920" s="500"/>
      <c r="C10920" s="614" t="s">
        <v>6077</v>
      </c>
      <c r="D10920" s="606" t="s">
        <v>4348</v>
      </c>
      <c r="E10920" s="606" t="n">
        <v>1</v>
      </c>
      <c r="F10920" s="606" t="n">
        <v>37</v>
      </c>
      <c r="G10920" s="615" t="n">
        <f aca="false">E10920*F10920</f>
        <v>37</v>
      </c>
      <c r="H10920" s="606"/>
    </row>
    <row r="10921" customFormat="false" ht="30" hidden="false" customHeight="false" outlineLevel="0" collapsed="false">
      <c r="A10921" s="571"/>
      <c r="B10921" s="500"/>
      <c r="C10921" s="614" t="s">
        <v>6078</v>
      </c>
      <c r="D10921" s="606" t="s">
        <v>6079</v>
      </c>
      <c r="E10921" s="606" t="n">
        <v>1</v>
      </c>
      <c r="F10921" s="822" t="n">
        <f aca="false">5429/1000</f>
        <v>5.429</v>
      </c>
      <c r="G10921" s="615" t="n">
        <f aca="false">E10921*F10921</f>
        <v>5.429</v>
      </c>
      <c r="H10921" s="606"/>
    </row>
    <row r="10922" customFormat="false" ht="15" hidden="false" customHeight="false" outlineLevel="0" collapsed="false">
      <c r="A10922" s="571"/>
      <c r="B10922" s="608" t="s">
        <v>4128</v>
      </c>
      <c r="D10922" s="610"/>
      <c r="E10922" s="610"/>
      <c r="F10922" s="612"/>
      <c r="G10922" s="613" t="n">
        <f aca="false">SUM(G10917:G10921)</f>
        <v>270.095666666667</v>
      </c>
      <c r="H10922" s="606"/>
    </row>
    <row r="10923" customFormat="false" ht="21" hidden="false" customHeight="true" outlineLevel="0" collapsed="false">
      <c r="A10923" s="571" t="s">
        <v>2121</v>
      </c>
      <c r="B10923" s="433" t="s">
        <v>3795</v>
      </c>
      <c r="C10923" s="614" t="s">
        <v>6124</v>
      </c>
      <c r="D10923" s="606" t="s">
        <v>4127</v>
      </c>
      <c r="E10923" s="606" t="n">
        <v>0.0009</v>
      </c>
      <c r="F10923" s="361" t="n">
        <v>9048</v>
      </c>
      <c r="G10923" s="615" t="n">
        <f aca="false">E10923*F10923</f>
        <v>8.1432</v>
      </c>
      <c r="H10923" s="606"/>
    </row>
    <row r="10924" customFormat="false" ht="15" hidden="false" customHeight="false" outlineLevel="0" collapsed="false">
      <c r="A10924" s="571"/>
      <c r="B10924" s="608"/>
      <c r="C10924" s="614" t="s">
        <v>6125</v>
      </c>
      <c r="D10924" s="606" t="s">
        <v>4133</v>
      </c>
      <c r="E10924" s="606" t="n">
        <v>0.04</v>
      </c>
      <c r="F10924" s="361" t="n">
        <v>10296</v>
      </c>
      <c r="G10924" s="615" t="n">
        <f aca="false">E10924*F10924</f>
        <v>411.84</v>
      </c>
      <c r="H10924" s="606"/>
    </row>
    <row r="10925" customFormat="false" ht="15" hidden="false" customHeight="false" outlineLevel="0" collapsed="false">
      <c r="A10925" s="571"/>
      <c r="B10925" s="433"/>
      <c r="C10925" s="614" t="s">
        <v>5139</v>
      </c>
      <c r="D10925" s="606" t="s">
        <v>4133</v>
      </c>
      <c r="E10925" s="606" t="n">
        <v>0.0002</v>
      </c>
      <c r="F10925" s="361" t="n">
        <v>6240</v>
      </c>
      <c r="G10925" s="615" t="n">
        <f aca="false">E10925*F10925</f>
        <v>1.248</v>
      </c>
      <c r="H10925" s="606"/>
    </row>
    <row r="10926" customFormat="false" ht="15" hidden="false" customHeight="false" outlineLevel="0" collapsed="false">
      <c r="A10926" s="571"/>
      <c r="B10926" s="433"/>
      <c r="C10926" s="614" t="s">
        <v>6077</v>
      </c>
      <c r="D10926" s="606" t="s">
        <v>4348</v>
      </c>
      <c r="E10926" s="606" t="n">
        <v>1</v>
      </c>
      <c r="F10926" s="606" t="n">
        <v>37</v>
      </c>
      <c r="G10926" s="615" t="n">
        <f aca="false">E10926*F10926</f>
        <v>37</v>
      </c>
      <c r="H10926" s="606"/>
    </row>
    <row r="10927" customFormat="false" ht="19.5" hidden="false" customHeight="true" outlineLevel="0" collapsed="false">
      <c r="A10927" s="571"/>
      <c r="B10927" s="500"/>
      <c r="C10927" s="614" t="s">
        <v>6078</v>
      </c>
      <c r="D10927" s="606" t="s">
        <v>6079</v>
      </c>
      <c r="E10927" s="606" t="n">
        <v>1</v>
      </c>
      <c r="F10927" s="822" t="n">
        <f aca="false">5429/1000</f>
        <v>5.429</v>
      </c>
      <c r="G10927" s="615" t="n">
        <f aca="false">E10927*F10927</f>
        <v>5.429</v>
      </c>
      <c r="H10927" s="610"/>
    </row>
    <row r="10928" customFormat="false" ht="30" hidden="false" customHeight="false" outlineLevel="0" collapsed="false">
      <c r="A10928" s="571"/>
      <c r="B10928" s="500"/>
      <c r="C10928" s="614" t="s">
        <v>6088</v>
      </c>
      <c r="D10928" s="606" t="s">
        <v>5788</v>
      </c>
      <c r="E10928" s="606" t="n">
        <v>2</v>
      </c>
      <c r="F10928" s="361" t="n">
        <v>81</v>
      </c>
      <c r="G10928" s="615" t="n">
        <f aca="false">E10928*F10928</f>
        <v>162</v>
      </c>
      <c r="H10928" s="606"/>
    </row>
    <row r="10929" customFormat="false" ht="30" hidden="false" customHeight="true" outlineLevel="0" collapsed="false">
      <c r="A10929" s="571"/>
      <c r="B10929" s="500"/>
      <c r="C10929" s="614" t="s">
        <v>6082</v>
      </c>
      <c r="D10929" s="606" t="s">
        <v>6089</v>
      </c>
      <c r="E10929" s="531" t="n">
        <v>2</v>
      </c>
      <c r="F10929" s="912" t="n">
        <f aca="false">6100/300</f>
        <v>20.3333333333333</v>
      </c>
      <c r="G10929" s="615" t="n">
        <f aca="false">E10929*F10929</f>
        <v>40.6666666666667</v>
      </c>
      <c r="H10929" s="606"/>
    </row>
    <row r="10930" customFormat="false" ht="15" hidden="false" customHeight="false" outlineLevel="0" collapsed="false">
      <c r="A10930" s="571"/>
      <c r="B10930" s="608" t="s">
        <v>4128</v>
      </c>
      <c r="D10930" s="610"/>
      <c r="E10930" s="610"/>
      <c r="F10930" s="612"/>
      <c r="G10930" s="613" t="n">
        <f aca="false">SUM(G10923:G10929)</f>
        <v>666.326866666667</v>
      </c>
      <c r="H10930" s="610"/>
    </row>
    <row r="10931" customFormat="false" ht="15" hidden="false" customHeight="false" outlineLevel="0" collapsed="false">
      <c r="A10931" s="571" t="s">
        <v>2123</v>
      </c>
      <c r="B10931" s="433" t="s">
        <v>3796</v>
      </c>
      <c r="C10931" s="614" t="s">
        <v>6124</v>
      </c>
      <c r="D10931" s="606" t="s">
        <v>4133</v>
      </c>
      <c r="E10931" s="606" t="n">
        <v>0.0009</v>
      </c>
      <c r="F10931" s="361" t="n">
        <v>9048</v>
      </c>
      <c r="G10931" s="615" t="n">
        <f aca="false">E10931*F10931</f>
        <v>8.1432</v>
      </c>
      <c r="H10931" s="606"/>
    </row>
    <row r="10932" customFormat="false" ht="15" hidden="false" customHeight="false" outlineLevel="0" collapsed="false">
      <c r="A10932" s="571"/>
      <c r="B10932" s="608"/>
      <c r="C10932" s="614" t="s">
        <v>6125</v>
      </c>
      <c r="D10932" s="606" t="s">
        <v>4133</v>
      </c>
      <c r="E10932" s="606" t="n">
        <v>0.04</v>
      </c>
      <c r="F10932" s="361" t="n">
        <v>10296</v>
      </c>
      <c r="G10932" s="615" t="n">
        <f aca="false">E10932*F10932</f>
        <v>411.84</v>
      </c>
      <c r="H10932" s="606"/>
    </row>
    <row r="10933" customFormat="false" ht="15" hidden="false" customHeight="false" outlineLevel="0" collapsed="false">
      <c r="A10933" s="571"/>
      <c r="B10933" s="433"/>
      <c r="C10933" s="614" t="s">
        <v>5139</v>
      </c>
      <c r="D10933" s="606" t="s">
        <v>4133</v>
      </c>
      <c r="E10933" s="606" t="n">
        <v>0.0002</v>
      </c>
      <c r="F10933" s="361" t="n">
        <v>6240</v>
      </c>
      <c r="G10933" s="615" t="n">
        <f aca="false">E10933*F10933</f>
        <v>1.248</v>
      </c>
      <c r="H10933" s="606"/>
    </row>
    <row r="10934" customFormat="false" ht="15" hidden="false" customHeight="false" outlineLevel="0" collapsed="false">
      <c r="A10934" s="571"/>
      <c r="B10934" s="500"/>
      <c r="C10934" s="614" t="s">
        <v>6077</v>
      </c>
      <c r="D10934" s="606" t="s">
        <v>4348</v>
      </c>
      <c r="E10934" s="606" t="n">
        <v>1</v>
      </c>
      <c r="F10934" s="606" t="n">
        <v>37</v>
      </c>
      <c r="G10934" s="615" t="n">
        <f aca="false">E10934*F10934</f>
        <v>37</v>
      </c>
      <c r="H10934" s="606"/>
    </row>
    <row r="10935" customFormat="false" ht="18.75" hidden="false" customHeight="true" outlineLevel="0" collapsed="false">
      <c r="A10935" s="571"/>
      <c r="B10935" s="500"/>
      <c r="C10935" s="614" t="s">
        <v>6078</v>
      </c>
      <c r="D10935" s="606" t="s">
        <v>6079</v>
      </c>
      <c r="E10935" s="606" t="n">
        <v>1</v>
      </c>
      <c r="F10935" s="361" t="n">
        <f aca="false">5429/1000</f>
        <v>5.429</v>
      </c>
      <c r="G10935" s="615" t="n">
        <f aca="false">E10935*F10935</f>
        <v>5.429</v>
      </c>
      <c r="H10935" s="606"/>
    </row>
    <row r="10936" customFormat="false" ht="30" hidden="false" customHeight="false" outlineLevel="0" collapsed="false">
      <c r="A10936" s="571"/>
      <c r="B10936" s="500"/>
      <c r="C10936" s="614" t="s">
        <v>6088</v>
      </c>
      <c r="D10936" s="606" t="s">
        <v>5788</v>
      </c>
      <c r="E10936" s="606" t="n">
        <v>2</v>
      </c>
      <c r="F10936" s="361" t="n">
        <v>81</v>
      </c>
      <c r="G10936" s="615" t="n">
        <f aca="false">E10936*F10936</f>
        <v>162</v>
      </c>
      <c r="H10936" s="606"/>
    </row>
    <row r="10937" customFormat="false" ht="30.75" hidden="false" customHeight="true" outlineLevel="0" collapsed="false">
      <c r="A10937" s="571"/>
      <c r="B10937" s="500"/>
      <c r="C10937" s="614" t="s">
        <v>6082</v>
      </c>
      <c r="D10937" s="606" t="s">
        <v>6089</v>
      </c>
      <c r="E10937" s="531" t="n">
        <v>2</v>
      </c>
      <c r="F10937" s="912" t="n">
        <f aca="false">6100/300</f>
        <v>20.3333333333333</v>
      </c>
      <c r="G10937" s="615" t="n">
        <f aca="false">E10937*F10937</f>
        <v>40.6666666666667</v>
      </c>
      <c r="H10937" s="610"/>
    </row>
    <row r="10938" customFormat="false" ht="15" hidden="false" customHeight="false" outlineLevel="0" collapsed="false">
      <c r="A10938" s="571"/>
      <c r="B10938" s="608" t="s">
        <v>4128</v>
      </c>
      <c r="D10938" s="610"/>
      <c r="E10938" s="610"/>
      <c r="F10938" s="612"/>
      <c r="G10938" s="613" t="n">
        <f aca="false">SUM(G10931:G10937)</f>
        <v>666.326866666667</v>
      </c>
      <c r="H10938" s="606"/>
    </row>
    <row r="10939" customFormat="false" ht="30" hidden="false" customHeight="false" outlineLevel="0" collapsed="false">
      <c r="A10939" s="571" t="s">
        <v>2125</v>
      </c>
      <c r="B10939" s="433" t="s">
        <v>3797</v>
      </c>
      <c r="C10939" s="614" t="s">
        <v>6077</v>
      </c>
      <c r="D10939" s="606" t="s">
        <v>4348</v>
      </c>
      <c r="E10939" s="606" t="n">
        <v>1</v>
      </c>
      <c r="F10939" s="606" t="n">
        <v>37</v>
      </c>
      <c r="G10939" s="615" t="n">
        <f aca="false">E10939*F10939</f>
        <v>37</v>
      </c>
      <c r="H10939" s="606"/>
    </row>
    <row r="10940" customFormat="false" ht="20.25" hidden="false" customHeight="true" outlineLevel="0" collapsed="false">
      <c r="A10940" s="571"/>
      <c r="B10940" s="433"/>
      <c r="C10940" s="614" t="s">
        <v>6078</v>
      </c>
      <c r="D10940" s="606" t="s">
        <v>6079</v>
      </c>
      <c r="E10940" s="606" t="n">
        <v>1</v>
      </c>
      <c r="F10940" s="361" t="n">
        <f aca="false">5429/1000</f>
        <v>5.429</v>
      </c>
      <c r="G10940" s="615" t="n">
        <f aca="false">E10940*F10940</f>
        <v>5.429</v>
      </c>
      <c r="H10940" s="606"/>
    </row>
    <row r="10941" customFormat="false" ht="15" hidden="false" customHeight="false" outlineLevel="0" collapsed="false">
      <c r="A10941" s="571"/>
      <c r="B10941" s="500"/>
      <c r="C10941" s="614" t="s">
        <v>5139</v>
      </c>
      <c r="D10941" s="606" t="s">
        <v>4133</v>
      </c>
      <c r="E10941" s="606" t="n">
        <v>0.0002</v>
      </c>
      <c r="F10941" s="361" t="n">
        <v>6240</v>
      </c>
      <c r="G10941" s="615" t="n">
        <f aca="false">E10941*F10941</f>
        <v>1.248</v>
      </c>
      <c r="H10941" s="606"/>
    </row>
    <row r="10942" customFormat="false" ht="30" hidden="false" customHeight="false" outlineLevel="0" collapsed="false">
      <c r="A10942" s="571"/>
      <c r="B10942" s="500"/>
      <c r="C10942" s="614" t="s">
        <v>6088</v>
      </c>
      <c r="D10942" s="606" t="s">
        <v>5788</v>
      </c>
      <c r="E10942" s="606" t="n">
        <v>2</v>
      </c>
      <c r="F10942" s="361" t="n">
        <v>81</v>
      </c>
      <c r="G10942" s="615" t="n">
        <f aca="false">E10942*F10942</f>
        <v>162</v>
      </c>
      <c r="H10942" s="606"/>
    </row>
    <row r="10943" customFormat="false" ht="31.5" hidden="false" customHeight="true" outlineLevel="0" collapsed="false">
      <c r="A10943" s="571"/>
      <c r="B10943" s="500"/>
      <c r="C10943" s="614" t="s">
        <v>6082</v>
      </c>
      <c r="D10943" s="606" t="s">
        <v>6089</v>
      </c>
      <c r="E10943" s="531" t="n">
        <v>2</v>
      </c>
      <c r="F10943" s="912" t="n">
        <f aca="false">6100/300</f>
        <v>20.3333333333333</v>
      </c>
      <c r="G10943" s="615" t="n">
        <f aca="false">E10943*F10943</f>
        <v>40.6666666666667</v>
      </c>
      <c r="H10943" s="606"/>
    </row>
    <row r="10944" customFormat="false" ht="15" hidden="false" customHeight="false" outlineLevel="0" collapsed="false">
      <c r="A10944" s="571"/>
      <c r="B10944" s="608" t="s">
        <v>4128</v>
      </c>
      <c r="D10944" s="610"/>
      <c r="E10944" s="610"/>
      <c r="F10944" s="612"/>
      <c r="G10944" s="613" t="n">
        <f aca="false">SUM(G10939:G10943)</f>
        <v>246.343666666667</v>
      </c>
      <c r="H10944" s="606"/>
    </row>
    <row r="10945" customFormat="false" ht="30" hidden="false" customHeight="false" outlineLevel="0" collapsed="false">
      <c r="A10945" s="571" t="s">
        <v>2127</v>
      </c>
      <c r="B10945" s="433" t="s">
        <v>3798</v>
      </c>
      <c r="C10945" s="614" t="s">
        <v>6126</v>
      </c>
      <c r="D10945" s="606" t="s">
        <v>6127</v>
      </c>
      <c r="E10945" s="606" t="n">
        <v>1</v>
      </c>
      <c r="F10945" s="361" t="n">
        <f aca="false">214000/25</f>
        <v>8560</v>
      </c>
      <c r="G10945" s="615" t="n">
        <f aca="false">E10945*F10945/25</f>
        <v>342.4</v>
      </c>
      <c r="H10945" s="610"/>
    </row>
    <row r="10946" customFormat="false" ht="15" hidden="false" customHeight="false" outlineLevel="0" collapsed="false">
      <c r="A10946" s="606"/>
      <c r="B10946" s="606"/>
      <c r="C10946" s="614" t="s">
        <v>6077</v>
      </c>
      <c r="D10946" s="606" t="s">
        <v>4348</v>
      </c>
      <c r="E10946" s="606" t="n">
        <v>1</v>
      </c>
      <c r="F10946" s="606" t="n">
        <v>37</v>
      </c>
      <c r="G10946" s="615" t="n">
        <f aca="false">E10946*F10946</f>
        <v>37</v>
      </c>
      <c r="H10946" s="606"/>
    </row>
    <row r="10947" customFormat="false" ht="20.25" hidden="false" customHeight="true" outlineLevel="0" collapsed="false">
      <c r="A10947" s="571"/>
      <c r="B10947" s="500"/>
      <c r="C10947" s="614" t="s">
        <v>6078</v>
      </c>
      <c r="D10947" s="606" t="s">
        <v>6079</v>
      </c>
      <c r="E10947" s="606" t="n">
        <v>1</v>
      </c>
      <c r="F10947" s="822" t="n">
        <f aca="false">5429/1000</f>
        <v>5.429</v>
      </c>
      <c r="G10947" s="615" t="n">
        <f aca="false">E10947*F10947</f>
        <v>5.429</v>
      </c>
      <c r="H10947" s="606"/>
    </row>
    <row r="10948" customFormat="false" ht="15" hidden="false" customHeight="false" outlineLevel="0" collapsed="false">
      <c r="A10948" s="571"/>
      <c r="B10948" s="500"/>
      <c r="C10948" s="614" t="s">
        <v>5139</v>
      </c>
      <c r="D10948" s="606" t="s">
        <v>4133</v>
      </c>
      <c r="E10948" s="606" t="n">
        <v>0.0002</v>
      </c>
      <c r="F10948" s="361" t="n">
        <v>6240</v>
      </c>
      <c r="G10948" s="615" t="n">
        <f aca="false">E10948*F10948</f>
        <v>1.248</v>
      </c>
      <c r="H10948" s="606"/>
    </row>
    <row r="10949" customFormat="false" ht="15" hidden="false" customHeight="false" outlineLevel="0" collapsed="false">
      <c r="A10949" s="571"/>
      <c r="B10949" s="500"/>
      <c r="C10949" s="614" t="s">
        <v>6098</v>
      </c>
      <c r="D10949" s="606" t="s">
        <v>6128</v>
      </c>
      <c r="E10949" s="606" t="n">
        <v>0.002</v>
      </c>
      <c r="F10949" s="361" t="n">
        <v>4992</v>
      </c>
      <c r="G10949" s="615" t="n">
        <f aca="false">E10949*F10949</f>
        <v>9.984</v>
      </c>
      <c r="H10949" s="606"/>
    </row>
    <row r="10950" customFormat="false" ht="15" hidden="false" customHeight="false" outlineLevel="0" collapsed="false">
      <c r="A10950" s="571"/>
      <c r="B10950" s="500"/>
      <c r="C10950" s="614" t="s">
        <v>6099</v>
      </c>
      <c r="D10950" s="606" t="s">
        <v>6121</v>
      </c>
      <c r="E10950" s="606" t="n">
        <v>1</v>
      </c>
      <c r="F10950" s="361" t="n">
        <f aca="false">4700/10</f>
        <v>470</v>
      </c>
      <c r="G10950" s="615" t="n">
        <f aca="false">E10950*F10950</f>
        <v>470</v>
      </c>
      <c r="H10950" s="606"/>
    </row>
    <row r="10951" customFormat="false" ht="15" hidden="false" customHeight="false" outlineLevel="0" collapsed="false">
      <c r="A10951" s="571"/>
      <c r="B10951" s="608" t="s">
        <v>4128</v>
      </c>
      <c r="D10951" s="610"/>
      <c r="E10951" s="610"/>
      <c r="F10951" s="612"/>
      <c r="G10951" s="613" t="n">
        <f aca="false">SUM(G10945:G10950)</f>
        <v>866.061</v>
      </c>
      <c r="H10951" s="606"/>
    </row>
    <row r="10952" customFormat="false" ht="30" hidden="false" customHeight="false" outlineLevel="0" collapsed="false">
      <c r="A10952" s="571" t="s">
        <v>2129</v>
      </c>
      <c r="B10952" s="433" t="s">
        <v>3799</v>
      </c>
      <c r="C10952" s="614" t="s">
        <v>6126</v>
      </c>
      <c r="D10952" s="606" t="s">
        <v>6127</v>
      </c>
      <c r="E10952" s="606" t="n">
        <v>1</v>
      </c>
      <c r="F10952" s="361" t="n">
        <f aca="false">214000/25</f>
        <v>8560</v>
      </c>
      <c r="G10952" s="615" t="n">
        <f aca="false">E10952*F10952/25</f>
        <v>342.4</v>
      </c>
      <c r="H10952" s="610"/>
    </row>
    <row r="10953" customFormat="false" ht="15" hidden="false" customHeight="false" outlineLevel="0" collapsed="false">
      <c r="A10953" s="571"/>
      <c r="B10953" s="433"/>
      <c r="C10953" s="614" t="s">
        <v>6077</v>
      </c>
      <c r="D10953" s="606" t="s">
        <v>4348</v>
      </c>
      <c r="E10953" s="606" t="n">
        <v>1</v>
      </c>
      <c r="F10953" s="606" t="n">
        <v>37</v>
      </c>
      <c r="G10953" s="615" t="n">
        <f aca="false">E10953*F10953</f>
        <v>37</v>
      </c>
      <c r="H10953" s="606"/>
    </row>
    <row r="10954" customFormat="false" ht="17.25" hidden="false" customHeight="true" outlineLevel="0" collapsed="false">
      <c r="A10954" s="571"/>
      <c r="B10954" s="500"/>
      <c r="C10954" s="614" t="s">
        <v>6078</v>
      </c>
      <c r="D10954" s="606" t="s">
        <v>6079</v>
      </c>
      <c r="E10954" s="606" t="n">
        <v>1</v>
      </c>
      <c r="F10954" s="361" t="n">
        <f aca="false">5429/1000</f>
        <v>5.429</v>
      </c>
      <c r="G10954" s="615" t="n">
        <f aca="false">E10954*F10954</f>
        <v>5.429</v>
      </c>
      <c r="H10954" s="606"/>
    </row>
    <row r="10955" customFormat="false" ht="15" hidden="false" customHeight="false" outlineLevel="0" collapsed="false">
      <c r="A10955" s="571"/>
      <c r="B10955" s="500"/>
      <c r="C10955" s="614" t="s">
        <v>5139</v>
      </c>
      <c r="D10955" s="606" t="s">
        <v>4133</v>
      </c>
      <c r="E10955" s="606" t="n">
        <v>0.0002</v>
      </c>
      <c r="F10955" s="361" t="n">
        <v>6240</v>
      </c>
      <c r="G10955" s="615" t="n">
        <f aca="false">E10955*F10955</f>
        <v>1.248</v>
      </c>
      <c r="H10955" s="606"/>
    </row>
    <row r="10956" customFormat="false" ht="15" hidden="false" customHeight="false" outlineLevel="0" collapsed="false">
      <c r="A10956" s="571"/>
      <c r="B10956" s="500"/>
      <c r="C10956" s="614" t="s">
        <v>6098</v>
      </c>
      <c r="D10956" s="606" t="s">
        <v>6128</v>
      </c>
      <c r="E10956" s="606" t="n">
        <v>0.0005</v>
      </c>
      <c r="F10956" s="361" t="n">
        <v>4992</v>
      </c>
      <c r="G10956" s="615" t="n">
        <f aca="false">E10956*F10956</f>
        <v>2.496</v>
      </c>
      <c r="H10956" s="606"/>
    </row>
    <row r="10957" customFormat="false" ht="15" hidden="false" customHeight="false" outlineLevel="0" collapsed="false">
      <c r="A10957" s="571"/>
      <c r="B10957" s="500"/>
      <c r="C10957" s="614" t="s">
        <v>6099</v>
      </c>
      <c r="D10957" s="606" t="s">
        <v>6121</v>
      </c>
      <c r="E10957" s="606" t="n">
        <v>1</v>
      </c>
      <c r="F10957" s="361" t="n">
        <f aca="false">4700/10</f>
        <v>470</v>
      </c>
      <c r="G10957" s="615" t="n">
        <f aca="false">E10957*F10957</f>
        <v>470</v>
      </c>
      <c r="H10957" s="606"/>
    </row>
    <row r="10958" customFormat="false" ht="15" hidden="false" customHeight="false" outlineLevel="0" collapsed="false">
      <c r="A10958" s="571"/>
      <c r="B10958" s="608" t="s">
        <v>4128</v>
      </c>
      <c r="D10958" s="610"/>
      <c r="E10958" s="610"/>
      <c r="F10958" s="612"/>
      <c r="G10958" s="613" t="n">
        <f aca="false">SUM(G10952:G10957)</f>
        <v>858.573</v>
      </c>
      <c r="H10958" s="606"/>
    </row>
    <row r="10959" customFormat="false" ht="30" hidden="false" customHeight="false" outlineLevel="0" collapsed="false">
      <c r="A10959" s="571" t="s">
        <v>2131</v>
      </c>
      <c r="B10959" s="433" t="s">
        <v>3800</v>
      </c>
      <c r="C10959" s="614" t="s">
        <v>6124</v>
      </c>
      <c r="D10959" s="606" t="s">
        <v>4133</v>
      </c>
      <c r="E10959" s="606" t="n">
        <v>0.005</v>
      </c>
      <c r="F10959" s="361" t="n">
        <v>9048</v>
      </c>
      <c r="G10959" s="615" t="n">
        <f aca="false">E10959*F10959</f>
        <v>45.24</v>
      </c>
      <c r="H10959" s="606"/>
    </row>
    <row r="10960" customFormat="false" ht="15" hidden="false" customHeight="false" outlineLevel="0" collapsed="false">
      <c r="A10960" s="571"/>
      <c r="B10960" s="608"/>
      <c r="C10960" s="614" t="s">
        <v>6125</v>
      </c>
      <c r="D10960" s="606" t="s">
        <v>4133</v>
      </c>
      <c r="E10960" s="606" t="n">
        <v>0.04</v>
      </c>
      <c r="F10960" s="361" t="n">
        <v>10296</v>
      </c>
      <c r="G10960" s="615" t="n">
        <f aca="false">E10960*F10960</f>
        <v>411.84</v>
      </c>
      <c r="H10960" s="606"/>
    </row>
    <row r="10961" customFormat="false" ht="15" hidden="false" customHeight="false" outlineLevel="0" collapsed="false">
      <c r="A10961" s="571"/>
      <c r="B10961" s="433"/>
      <c r="C10961" s="614" t="s">
        <v>6077</v>
      </c>
      <c r="D10961" s="606" t="s">
        <v>4348</v>
      </c>
      <c r="E10961" s="606" t="n">
        <v>1</v>
      </c>
      <c r="F10961" s="606" t="n">
        <v>37</v>
      </c>
      <c r="G10961" s="615" t="n">
        <f aca="false">E10961*F10961</f>
        <v>37</v>
      </c>
      <c r="H10961" s="606"/>
    </row>
    <row r="10962" customFormat="false" ht="20.25" hidden="false" customHeight="true" outlineLevel="0" collapsed="false">
      <c r="A10962" s="571"/>
      <c r="B10962" s="500"/>
      <c r="C10962" s="614" t="s">
        <v>6078</v>
      </c>
      <c r="D10962" s="606" t="s">
        <v>6079</v>
      </c>
      <c r="E10962" s="606" t="n">
        <v>1</v>
      </c>
      <c r="F10962" s="822" t="n">
        <f aca="false">5429/1000</f>
        <v>5.429</v>
      </c>
      <c r="G10962" s="615" t="n">
        <f aca="false">E10962*F10962</f>
        <v>5.429</v>
      </c>
      <c r="H10962" s="610"/>
    </row>
    <row r="10963" customFormat="false" ht="15" hidden="false" customHeight="false" outlineLevel="0" collapsed="false">
      <c r="A10963" s="571"/>
      <c r="B10963" s="500"/>
      <c r="C10963" s="614" t="s">
        <v>5139</v>
      </c>
      <c r="D10963" s="606" t="s">
        <v>4133</v>
      </c>
      <c r="E10963" s="606" t="n">
        <v>0.0002</v>
      </c>
      <c r="F10963" s="361" t="n">
        <v>6240</v>
      </c>
      <c r="G10963" s="615" t="n">
        <f aca="false">E10963*F10963</f>
        <v>1.248</v>
      </c>
      <c r="H10963" s="606"/>
    </row>
    <row r="10964" customFormat="false" ht="30" hidden="false" customHeight="false" outlineLevel="0" collapsed="false">
      <c r="A10964" s="571"/>
      <c r="B10964" s="500"/>
      <c r="C10964" s="614" t="s">
        <v>6088</v>
      </c>
      <c r="D10964" s="606" t="s">
        <v>5788</v>
      </c>
      <c r="E10964" s="606" t="n">
        <v>2</v>
      </c>
      <c r="F10964" s="361" t="n">
        <v>81</v>
      </c>
      <c r="G10964" s="615" t="n">
        <f aca="false">E10964*F10964</f>
        <v>162</v>
      </c>
      <c r="H10964" s="606"/>
    </row>
    <row r="10965" customFormat="false" ht="29.25" hidden="false" customHeight="true" outlineLevel="0" collapsed="false">
      <c r="A10965" s="571"/>
      <c r="B10965" s="500"/>
      <c r="C10965" s="614" t="s">
        <v>6082</v>
      </c>
      <c r="D10965" s="606" t="s">
        <v>6129</v>
      </c>
      <c r="E10965" s="531" t="n">
        <v>2</v>
      </c>
      <c r="F10965" s="912" t="n">
        <f aca="false">6100/300</f>
        <v>20.3333333333333</v>
      </c>
      <c r="G10965" s="615" t="n">
        <f aca="false">E10965*F10965</f>
        <v>40.6666666666667</v>
      </c>
      <c r="H10965" s="606"/>
    </row>
    <row r="10966" customFormat="false" ht="15" hidden="false" customHeight="false" outlineLevel="0" collapsed="false">
      <c r="A10966" s="571"/>
      <c r="B10966" s="608" t="s">
        <v>4128</v>
      </c>
      <c r="D10966" s="610"/>
      <c r="E10966" s="610"/>
      <c r="F10966" s="612"/>
      <c r="G10966" s="613" t="n">
        <f aca="false">SUM(G10959:G10965)</f>
        <v>703.423666666667</v>
      </c>
      <c r="H10966" s="606"/>
    </row>
    <row r="10967" customFormat="false" ht="15" hidden="false" customHeight="false" outlineLevel="0" collapsed="false">
      <c r="A10967" s="571" t="s">
        <v>2133</v>
      </c>
      <c r="B10967" s="433" t="s">
        <v>6130</v>
      </c>
      <c r="C10967" s="614" t="s">
        <v>6077</v>
      </c>
      <c r="D10967" s="606" t="s">
        <v>4348</v>
      </c>
      <c r="E10967" s="606" t="n">
        <v>1</v>
      </c>
      <c r="F10967" s="606" t="n">
        <v>37</v>
      </c>
      <c r="G10967" s="615" t="n">
        <f aca="false">E10967*F10967</f>
        <v>37</v>
      </c>
      <c r="H10967" s="606"/>
    </row>
    <row r="10968" customFormat="false" ht="16.5" hidden="false" customHeight="true" outlineLevel="0" collapsed="false">
      <c r="A10968" s="571"/>
      <c r="B10968" s="433"/>
      <c r="C10968" s="614" t="s">
        <v>6078</v>
      </c>
      <c r="D10968" s="606" t="s">
        <v>6079</v>
      </c>
      <c r="E10968" s="606" t="n">
        <v>1</v>
      </c>
      <c r="F10968" s="822" t="n">
        <f aca="false">5429/1000</f>
        <v>5.429</v>
      </c>
      <c r="G10968" s="615" t="n">
        <f aca="false">E10968*F10968</f>
        <v>5.429</v>
      </c>
      <c r="H10968" s="606"/>
    </row>
    <row r="10969" customFormat="false" ht="15" hidden="false" customHeight="false" outlineLevel="0" collapsed="false">
      <c r="A10969" s="571"/>
      <c r="B10969" s="433"/>
      <c r="C10969" s="614" t="s">
        <v>5139</v>
      </c>
      <c r="D10969" s="606" t="s">
        <v>4133</v>
      </c>
      <c r="E10969" s="606" t="n">
        <v>0.0002</v>
      </c>
      <c r="F10969" s="361" t="n">
        <v>6240</v>
      </c>
      <c r="G10969" s="615" t="n">
        <f aca="false">E10969*F10969</f>
        <v>1.248</v>
      </c>
      <c r="H10969" s="606"/>
    </row>
    <row r="10970" customFormat="false" ht="30" hidden="false" customHeight="false" outlineLevel="0" collapsed="false">
      <c r="A10970" s="571"/>
      <c r="B10970" s="433"/>
      <c r="C10970" s="614" t="s">
        <v>6088</v>
      </c>
      <c r="D10970" s="606" t="s">
        <v>5788</v>
      </c>
      <c r="E10970" s="606" t="n">
        <v>2</v>
      </c>
      <c r="F10970" s="361" t="n">
        <v>81</v>
      </c>
      <c r="G10970" s="615" t="n">
        <f aca="false">E10970*F10970</f>
        <v>162</v>
      </c>
      <c r="H10970" s="606"/>
    </row>
    <row r="10971" customFormat="false" ht="34.5" hidden="false" customHeight="true" outlineLevel="0" collapsed="false">
      <c r="A10971" s="571"/>
      <c r="B10971" s="433"/>
      <c r="C10971" s="614" t="s">
        <v>6082</v>
      </c>
      <c r="D10971" s="606" t="s">
        <v>6089</v>
      </c>
      <c r="E10971" s="531" t="n">
        <v>2</v>
      </c>
      <c r="F10971" s="912" t="n">
        <f aca="false">6100/300</f>
        <v>20.3333333333333</v>
      </c>
      <c r="G10971" s="615" t="n">
        <f aca="false">E10971*F10971</f>
        <v>40.6666666666667</v>
      </c>
      <c r="H10971" s="606"/>
    </row>
    <row r="10972" customFormat="false" ht="15" hidden="false" customHeight="false" outlineLevel="0" collapsed="false">
      <c r="A10972" s="571"/>
      <c r="B10972" s="608" t="s">
        <v>4128</v>
      </c>
      <c r="D10972" s="610"/>
      <c r="E10972" s="610"/>
      <c r="F10972" s="612"/>
      <c r="G10972" s="613" t="n">
        <f aca="false">SUM(G10967:G10971)</f>
        <v>246.343666666667</v>
      </c>
      <c r="H10972" s="606"/>
    </row>
    <row r="10973" customFormat="false" ht="15" hidden="false" customHeight="false" outlineLevel="0" collapsed="false">
      <c r="A10973" s="571" t="s">
        <v>2135</v>
      </c>
      <c r="B10973" s="433" t="s">
        <v>3802</v>
      </c>
      <c r="C10973" s="614" t="s">
        <v>6131</v>
      </c>
      <c r="D10973" s="606" t="s">
        <v>4133</v>
      </c>
      <c r="E10973" s="606" t="n">
        <v>0.04</v>
      </c>
      <c r="F10973" s="361" t="n">
        <v>10296</v>
      </c>
      <c r="G10973" s="615" t="n">
        <f aca="false">E10973*F10973</f>
        <v>411.84</v>
      </c>
      <c r="H10973" s="606"/>
    </row>
    <row r="10974" customFormat="false" ht="15" hidden="false" customHeight="false" outlineLevel="0" collapsed="false">
      <c r="A10974" s="571"/>
      <c r="B10974" s="500"/>
      <c r="C10974" s="614" t="s">
        <v>6085</v>
      </c>
      <c r="D10974" s="606" t="s">
        <v>4348</v>
      </c>
      <c r="E10974" s="606" t="n">
        <v>1</v>
      </c>
      <c r="F10974" s="361" t="n">
        <v>57</v>
      </c>
      <c r="G10974" s="615" t="n">
        <f aca="false">E10974*F10974</f>
        <v>57</v>
      </c>
      <c r="H10974" s="610"/>
    </row>
    <row r="10975" customFormat="false" ht="15" hidden="false" customHeight="false" outlineLevel="0" collapsed="false">
      <c r="A10975" s="571"/>
      <c r="B10975" s="500"/>
      <c r="C10975" s="614" t="s">
        <v>6077</v>
      </c>
      <c r="D10975" s="606" t="s">
        <v>4348</v>
      </c>
      <c r="E10975" s="606" t="n">
        <v>1</v>
      </c>
      <c r="F10975" s="606" t="n">
        <v>37</v>
      </c>
      <c r="G10975" s="615" t="n">
        <f aca="false">E10975*F10975</f>
        <v>37</v>
      </c>
      <c r="H10975" s="606"/>
    </row>
    <row r="10976" customFormat="false" ht="30" hidden="false" customHeight="false" outlineLevel="0" collapsed="false">
      <c r="A10976" s="571"/>
      <c r="B10976" s="500"/>
      <c r="C10976" s="614" t="s">
        <v>6078</v>
      </c>
      <c r="D10976" s="606" t="s">
        <v>6079</v>
      </c>
      <c r="E10976" s="606" t="n">
        <v>1</v>
      </c>
      <c r="F10976" s="822" t="n">
        <f aca="false">5429/1000</f>
        <v>5.429</v>
      </c>
      <c r="G10976" s="615" t="n">
        <f aca="false">E10976*F10976</f>
        <v>5.429</v>
      </c>
      <c r="H10976" s="606"/>
    </row>
    <row r="10977" customFormat="false" ht="15" hidden="false" customHeight="false" outlineLevel="0" collapsed="false">
      <c r="A10977" s="571"/>
      <c r="B10977" s="500"/>
      <c r="C10977" s="614" t="s">
        <v>5139</v>
      </c>
      <c r="D10977" s="606" t="s">
        <v>4133</v>
      </c>
      <c r="E10977" s="606" t="n">
        <v>0.0002</v>
      </c>
      <c r="F10977" s="361" t="n">
        <v>6240</v>
      </c>
      <c r="G10977" s="615" t="n">
        <f aca="false">E10977*F10977</f>
        <v>1.248</v>
      </c>
      <c r="H10977" s="606"/>
    </row>
    <row r="10978" customFormat="false" ht="30" hidden="false" customHeight="false" outlineLevel="0" collapsed="false">
      <c r="A10978" s="571"/>
      <c r="B10978" s="500"/>
      <c r="C10978" s="614" t="s">
        <v>6088</v>
      </c>
      <c r="D10978" s="606" t="s">
        <v>5788</v>
      </c>
      <c r="E10978" s="606" t="n">
        <v>2</v>
      </c>
      <c r="F10978" s="361" t="n">
        <v>81</v>
      </c>
      <c r="G10978" s="615" t="n">
        <f aca="false">E10978*F10978</f>
        <v>162</v>
      </c>
      <c r="H10978" s="606"/>
    </row>
    <row r="10979" customFormat="false" ht="32.25" hidden="false" customHeight="true" outlineLevel="0" collapsed="false">
      <c r="A10979" s="571"/>
      <c r="B10979" s="500"/>
      <c r="C10979" s="614" t="s">
        <v>6082</v>
      </c>
      <c r="D10979" s="606" t="s">
        <v>6089</v>
      </c>
      <c r="E10979" s="531" t="n">
        <v>2</v>
      </c>
      <c r="F10979" s="912" t="n">
        <f aca="false">6100/300</f>
        <v>20.3333333333333</v>
      </c>
      <c r="G10979" s="615" t="n">
        <f aca="false">E10979*F10979</f>
        <v>40.6666666666667</v>
      </c>
      <c r="H10979" s="606"/>
    </row>
    <row r="10980" customFormat="false" ht="15" hidden="false" customHeight="false" outlineLevel="0" collapsed="false">
      <c r="A10980" s="571"/>
      <c r="B10980" s="608" t="s">
        <v>4128</v>
      </c>
      <c r="D10980" s="610"/>
      <c r="E10980" s="610"/>
      <c r="F10980" s="612"/>
      <c r="G10980" s="613" t="n">
        <f aca="false">SUM(G10973:G10979)</f>
        <v>715.183666666667</v>
      </c>
      <c r="H10980" s="606"/>
    </row>
    <row r="10981" customFormat="false" ht="15" hidden="false" customHeight="false" outlineLevel="0" collapsed="false">
      <c r="A10981" s="571" t="s">
        <v>2137</v>
      </c>
      <c r="B10981" s="433" t="s">
        <v>3803</v>
      </c>
      <c r="C10981" s="614" t="s">
        <v>6098</v>
      </c>
      <c r="D10981" s="606" t="s">
        <v>6128</v>
      </c>
      <c r="E10981" s="606" t="n">
        <v>0.005</v>
      </c>
      <c r="F10981" s="361" t="n">
        <v>4992</v>
      </c>
      <c r="G10981" s="615" t="n">
        <f aca="false">E10981*F10981</f>
        <v>24.96</v>
      </c>
      <c r="H10981" s="606"/>
    </row>
    <row r="10982" customFormat="false" ht="15" hidden="false" customHeight="false" outlineLevel="0" collapsed="false">
      <c r="A10982" s="571"/>
      <c r="B10982" s="500"/>
      <c r="C10982" s="614" t="s">
        <v>5139</v>
      </c>
      <c r="D10982" s="606" t="s">
        <v>4133</v>
      </c>
      <c r="E10982" s="606" t="n">
        <v>0.0002</v>
      </c>
      <c r="F10982" s="361" t="n">
        <v>6240</v>
      </c>
      <c r="G10982" s="615" t="n">
        <f aca="false">E10982*F10982</f>
        <v>1.248</v>
      </c>
      <c r="H10982" s="606"/>
    </row>
    <row r="10983" customFormat="false" ht="15" hidden="false" customHeight="false" outlineLevel="0" collapsed="false">
      <c r="A10983" s="571"/>
      <c r="B10983" s="500"/>
      <c r="C10983" s="614" t="s">
        <v>6077</v>
      </c>
      <c r="D10983" s="606" t="s">
        <v>4348</v>
      </c>
      <c r="E10983" s="606" t="n">
        <v>1</v>
      </c>
      <c r="F10983" s="606" t="n">
        <v>37</v>
      </c>
      <c r="G10983" s="615" t="n">
        <f aca="false">E10983*F10983</f>
        <v>37</v>
      </c>
      <c r="H10983" s="606"/>
    </row>
    <row r="10984" customFormat="false" ht="19.5" hidden="false" customHeight="true" outlineLevel="0" collapsed="false">
      <c r="A10984" s="571"/>
      <c r="B10984" s="500"/>
      <c r="C10984" s="614" t="s">
        <v>6078</v>
      </c>
      <c r="D10984" s="606" t="s">
        <v>6079</v>
      </c>
      <c r="E10984" s="606" t="n">
        <v>1</v>
      </c>
      <c r="F10984" s="822" t="n">
        <f aca="false">5429/1000</f>
        <v>5.429</v>
      </c>
      <c r="G10984" s="615" t="n">
        <f aca="false">E10984*F10984</f>
        <v>5.429</v>
      </c>
      <c r="H10984" s="606"/>
    </row>
    <row r="10985" customFormat="false" ht="30" hidden="false" customHeight="false" outlineLevel="0" collapsed="false">
      <c r="A10985" s="571"/>
      <c r="B10985" s="500"/>
      <c r="C10985" s="614" t="s">
        <v>6088</v>
      </c>
      <c r="D10985" s="606" t="s">
        <v>5788</v>
      </c>
      <c r="E10985" s="606" t="n">
        <v>2</v>
      </c>
      <c r="F10985" s="361" t="n">
        <v>81</v>
      </c>
      <c r="G10985" s="615" t="n">
        <f aca="false">E10985*F10985</f>
        <v>162</v>
      </c>
      <c r="H10985" s="606"/>
    </row>
    <row r="10986" customFormat="false" ht="32.25" hidden="false" customHeight="true" outlineLevel="0" collapsed="false">
      <c r="A10986" s="571"/>
      <c r="B10986" s="500"/>
      <c r="C10986" s="614" t="s">
        <v>6082</v>
      </c>
      <c r="D10986" s="606" t="s">
        <v>6089</v>
      </c>
      <c r="E10986" s="531" t="n">
        <v>2</v>
      </c>
      <c r="F10986" s="912" t="n">
        <f aca="false">6100/300</f>
        <v>20.3333333333333</v>
      </c>
      <c r="G10986" s="615" t="n">
        <f aca="false">E10986*F10986</f>
        <v>40.6666666666667</v>
      </c>
      <c r="H10986" s="610"/>
    </row>
    <row r="10987" customFormat="false" ht="15" hidden="false" customHeight="false" outlineLevel="0" collapsed="false">
      <c r="A10987" s="571"/>
      <c r="B10987" s="608" t="s">
        <v>4128</v>
      </c>
      <c r="C10987" s="614"/>
      <c r="D10987" s="610"/>
      <c r="E10987" s="610"/>
      <c r="F10987" s="612"/>
      <c r="G10987" s="613" t="n">
        <f aca="false">SUM(G10981:G10986)</f>
        <v>271.303666666667</v>
      </c>
      <c r="H10987" s="606"/>
    </row>
    <row r="10988" customFormat="false" ht="30" hidden="false" customHeight="false" outlineLevel="0" collapsed="false">
      <c r="A10988" s="571" t="s">
        <v>2139</v>
      </c>
      <c r="B10988" s="433" t="s">
        <v>3804</v>
      </c>
      <c r="C10988" s="614" t="s">
        <v>6088</v>
      </c>
      <c r="D10988" s="606" t="s">
        <v>5788</v>
      </c>
      <c r="E10988" s="606" t="n">
        <v>2</v>
      </c>
      <c r="F10988" s="361" t="n">
        <v>81</v>
      </c>
      <c r="G10988" s="615" t="n">
        <f aca="false">E10988*F10988</f>
        <v>162</v>
      </c>
      <c r="H10988" s="606"/>
    </row>
    <row r="10989" customFormat="false" ht="15" hidden="false" customHeight="false" outlineLevel="0" collapsed="false">
      <c r="A10989" s="571"/>
      <c r="B10989" s="500"/>
      <c r="C10989" s="614" t="s">
        <v>5819</v>
      </c>
      <c r="D10989" s="606" t="s">
        <v>6132</v>
      </c>
      <c r="E10989" s="606" t="n">
        <v>1</v>
      </c>
      <c r="F10989" s="361" t="n">
        <f aca="false">4700/10</f>
        <v>470</v>
      </c>
      <c r="G10989" s="615" t="n">
        <f aca="false">E10989*F10989</f>
        <v>470</v>
      </c>
      <c r="H10989" s="606"/>
    </row>
    <row r="10990" customFormat="false" ht="33" hidden="false" customHeight="true" outlineLevel="0" collapsed="false">
      <c r="A10990" s="571"/>
      <c r="B10990" s="500"/>
      <c r="C10990" s="614" t="s">
        <v>6082</v>
      </c>
      <c r="D10990" s="606" t="s">
        <v>6089</v>
      </c>
      <c r="E10990" s="531" t="n">
        <v>2</v>
      </c>
      <c r="F10990" s="912" t="n">
        <f aca="false">6100/300</f>
        <v>20.3333333333333</v>
      </c>
      <c r="G10990" s="615" t="n">
        <f aca="false">E10990*F10990</f>
        <v>40.6666666666667</v>
      </c>
      <c r="H10990" s="606"/>
    </row>
    <row r="10991" customFormat="false" ht="15" hidden="false" customHeight="false" outlineLevel="0" collapsed="false">
      <c r="A10991" s="571"/>
      <c r="B10991" s="500"/>
      <c r="C10991" s="614" t="s">
        <v>6077</v>
      </c>
      <c r="D10991" s="606" t="s">
        <v>4348</v>
      </c>
      <c r="E10991" s="606" t="n">
        <v>1</v>
      </c>
      <c r="F10991" s="606" t="n">
        <v>37</v>
      </c>
      <c r="G10991" s="615" t="n">
        <f aca="false">E10991*F10991</f>
        <v>37</v>
      </c>
      <c r="H10991" s="606"/>
    </row>
    <row r="10992" customFormat="false" ht="21" hidden="false" customHeight="true" outlineLevel="0" collapsed="false">
      <c r="A10992" s="571"/>
      <c r="B10992" s="500"/>
      <c r="C10992" s="614" t="s">
        <v>6078</v>
      </c>
      <c r="D10992" s="606" t="s">
        <v>6079</v>
      </c>
      <c r="E10992" s="606" t="n">
        <v>1</v>
      </c>
      <c r="F10992" s="822" t="n">
        <f aca="false">5429/1000</f>
        <v>5.429</v>
      </c>
      <c r="G10992" s="615" t="n">
        <f aca="false">E10992*F10992</f>
        <v>5.429</v>
      </c>
      <c r="H10992" s="606"/>
    </row>
    <row r="10993" customFormat="false" ht="15" hidden="false" customHeight="false" outlineLevel="0" collapsed="false">
      <c r="A10993" s="571"/>
      <c r="B10993" s="608" t="s">
        <v>4128</v>
      </c>
      <c r="C10993" s="609"/>
      <c r="D10993" s="610"/>
      <c r="E10993" s="610"/>
      <c r="F10993" s="612"/>
      <c r="G10993" s="613" t="n">
        <f aca="false">SUM(G10988:G10992)</f>
        <v>715.095666666667</v>
      </c>
      <c r="H10993" s="606"/>
    </row>
    <row r="10994" customFormat="false" ht="15" hidden="false" customHeight="false" outlineLevel="0" collapsed="false">
      <c r="A10994" s="571" t="s">
        <v>2141</v>
      </c>
      <c r="B10994" s="433" t="s">
        <v>3805</v>
      </c>
      <c r="C10994" s="614" t="s">
        <v>5015</v>
      </c>
      <c r="D10994" s="606" t="s">
        <v>4133</v>
      </c>
      <c r="E10994" s="606" t="n">
        <v>0.09</v>
      </c>
      <c r="F10994" s="361" t="n">
        <v>4680</v>
      </c>
      <c r="G10994" s="615" t="n">
        <f aca="false">E10994*F10994</f>
        <v>421.2</v>
      </c>
      <c r="H10994" s="610"/>
    </row>
    <row r="10995" customFormat="false" ht="15" hidden="false" customHeight="false" outlineLevel="0" collapsed="false">
      <c r="A10995" s="571"/>
      <c r="B10995" s="500"/>
      <c r="C10995" s="614" t="s">
        <v>6099</v>
      </c>
      <c r="D10995" s="606" t="s">
        <v>6132</v>
      </c>
      <c r="E10995" s="606" t="n">
        <v>1</v>
      </c>
      <c r="F10995" s="361" t="n">
        <f aca="false">4700/10</f>
        <v>470</v>
      </c>
      <c r="G10995" s="615" t="n">
        <f aca="false">E10995*F10995</f>
        <v>470</v>
      </c>
      <c r="H10995" s="606"/>
    </row>
    <row r="10996" customFormat="false" ht="30" hidden="false" customHeight="false" outlineLevel="0" collapsed="false">
      <c r="A10996" s="571"/>
      <c r="B10996" s="500"/>
      <c r="C10996" s="614" t="s">
        <v>6088</v>
      </c>
      <c r="D10996" s="606" t="s">
        <v>5788</v>
      </c>
      <c r="E10996" s="606" t="n">
        <v>2</v>
      </c>
      <c r="F10996" s="361" t="n">
        <v>81</v>
      </c>
      <c r="G10996" s="615" t="n">
        <f aca="false">E10996*F10996</f>
        <v>162</v>
      </c>
      <c r="H10996" s="606"/>
    </row>
    <row r="10997" customFormat="false" ht="15" hidden="false" customHeight="false" outlineLevel="0" collapsed="false">
      <c r="A10997" s="571"/>
      <c r="B10997" s="500"/>
      <c r="C10997" s="614" t="s">
        <v>6077</v>
      </c>
      <c r="D10997" s="606" t="s">
        <v>4348</v>
      </c>
      <c r="E10997" s="606" t="n">
        <v>1</v>
      </c>
      <c r="F10997" s="606" t="n">
        <v>37</v>
      </c>
      <c r="G10997" s="615" t="n">
        <f aca="false">E10997*F10997</f>
        <v>37</v>
      </c>
      <c r="H10997" s="606"/>
    </row>
    <row r="10998" customFormat="false" ht="17.25" hidden="false" customHeight="true" outlineLevel="0" collapsed="false">
      <c r="A10998" s="571"/>
      <c r="B10998" s="500"/>
      <c r="C10998" s="614" t="s">
        <v>6078</v>
      </c>
      <c r="D10998" s="606" t="s">
        <v>6079</v>
      </c>
      <c r="E10998" s="606" t="n">
        <v>1</v>
      </c>
      <c r="F10998" s="822" t="n">
        <f aca="false">5429/1000</f>
        <v>5.429</v>
      </c>
      <c r="G10998" s="615" t="n">
        <f aca="false">E10998*F10998</f>
        <v>5.429</v>
      </c>
      <c r="H10998" s="606"/>
    </row>
    <row r="10999" customFormat="false" ht="35.25" hidden="false" customHeight="true" outlineLevel="0" collapsed="false">
      <c r="A10999" s="571"/>
      <c r="B10999" s="500"/>
      <c r="C10999" s="614" t="s">
        <v>6082</v>
      </c>
      <c r="D10999" s="606" t="s">
        <v>6089</v>
      </c>
      <c r="E10999" s="531" t="n">
        <v>2</v>
      </c>
      <c r="F10999" s="912" t="n">
        <f aca="false">6100/300</f>
        <v>20.3333333333333</v>
      </c>
      <c r="G10999" s="615" t="n">
        <f aca="false">E10999*F10999</f>
        <v>40.6666666666667</v>
      </c>
      <c r="H10999" s="606"/>
    </row>
    <row r="11000" customFormat="false" ht="15" hidden="false" customHeight="false" outlineLevel="0" collapsed="false">
      <c r="A11000" s="571"/>
      <c r="B11000" s="500"/>
      <c r="C11000" s="614" t="s">
        <v>6097</v>
      </c>
      <c r="D11000" s="606" t="s">
        <v>4348</v>
      </c>
      <c r="E11000" s="606" t="n">
        <v>1</v>
      </c>
      <c r="F11000" s="361" t="n">
        <v>25</v>
      </c>
      <c r="G11000" s="615" t="n">
        <f aca="false">E11000*F11000</f>
        <v>25</v>
      </c>
      <c r="H11000" s="610"/>
    </row>
    <row r="11001" customFormat="false" ht="15" hidden="false" customHeight="false" outlineLevel="0" collapsed="false">
      <c r="A11001" s="571"/>
      <c r="B11001" s="608" t="s">
        <v>4128</v>
      </c>
      <c r="D11001" s="610"/>
      <c r="E11001" s="610"/>
      <c r="F11001" s="612"/>
      <c r="G11001" s="613" t="n">
        <f aca="false">SUM(G10994:G11000)</f>
        <v>1161.29566666667</v>
      </c>
      <c r="H11001" s="606"/>
    </row>
    <row r="11002" customFormat="false" ht="30" hidden="false" customHeight="false" outlineLevel="0" collapsed="false">
      <c r="A11002" s="571" t="s">
        <v>2143</v>
      </c>
      <c r="B11002" s="433" t="s">
        <v>3806</v>
      </c>
      <c r="C11002" s="614" t="s">
        <v>6088</v>
      </c>
      <c r="D11002" s="606" t="s">
        <v>5788</v>
      </c>
      <c r="E11002" s="606" t="n">
        <v>2</v>
      </c>
      <c r="F11002" s="361" t="n">
        <v>81</v>
      </c>
      <c r="G11002" s="615" t="n">
        <f aca="false">E11002*F11002</f>
        <v>162</v>
      </c>
      <c r="H11002" s="606"/>
    </row>
    <row r="11003" customFormat="false" ht="15" hidden="false" customHeight="false" outlineLevel="0" collapsed="false">
      <c r="A11003" s="571"/>
      <c r="B11003" s="500"/>
      <c r="C11003" s="614" t="s">
        <v>5819</v>
      </c>
      <c r="D11003" s="606" t="s">
        <v>6132</v>
      </c>
      <c r="E11003" s="606" t="n">
        <v>1</v>
      </c>
      <c r="F11003" s="361" t="n">
        <f aca="false">4700/10</f>
        <v>470</v>
      </c>
      <c r="G11003" s="615" t="n">
        <f aca="false">E11003*F11003</f>
        <v>470</v>
      </c>
      <c r="H11003" s="606"/>
    </row>
    <row r="11004" customFormat="false" ht="30.75" hidden="false" customHeight="true" outlineLevel="0" collapsed="false">
      <c r="A11004" s="571"/>
      <c r="B11004" s="500"/>
      <c r="C11004" s="614" t="s">
        <v>6082</v>
      </c>
      <c r="D11004" s="606" t="s">
        <v>6089</v>
      </c>
      <c r="E11004" s="531" t="n">
        <v>2</v>
      </c>
      <c r="F11004" s="912" t="n">
        <f aca="false">6100/300</f>
        <v>20.3333333333333</v>
      </c>
      <c r="G11004" s="615" t="n">
        <f aca="false">E11004*F11004</f>
        <v>40.6666666666667</v>
      </c>
      <c r="H11004" s="606"/>
    </row>
    <row r="11005" customFormat="false" ht="15" hidden="false" customHeight="false" outlineLevel="0" collapsed="false">
      <c r="A11005" s="571"/>
      <c r="B11005" s="500"/>
      <c r="C11005" s="614" t="s">
        <v>6077</v>
      </c>
      <c r="D11005" s="606" t="s">
        <v>4348</v>
      </c>
      <c r="E11005" s="606" t="n">
        <v>1</v>
      </c>
      <c r="F11005" s="606" t="n">
        <v>37</v>
      </c>
      <c r="G11005" s="615" t="n">
        <f aca="false">E11005*F11005</f>
        <v>37</v>
      </c>
      <c r="H11005" s="606"/>
    </row>
    <row r="11006" customFormat="false" ht="18" hidden="false" customHeight="true" outlineLevel="0" collapsed="false">
      <c r="A11006" s="571"/>
      <c r="B11006" s="500"/>
      <c r="C11006" s="614" t="s">
        <v>6078</v>
      </c>
      <c r="D11006" s="606" t="s">
        <v>6079</v>
      </c>
      <c r="E11006" s="606" t="n">
        <v>1</v>
      </c>
      <c r="F11006" s="822" t="n">
        <f aca="false">5429/1000</f>
        <v>5.429</v>
      </c>
      <c r="G11006" s="615" t="n">
        <f aca="false">E11006*F11006</f>
        <v>5.429</v>
      </c>
      <c r="H11006" s="606"/>
    </row>
    <row r="11007" customFormat="false" ht="15" hidden="false" customHeight="false" outlineLevel="0" collapsed="false">
      <c r="A11007" s="571"/>
      <c r="B11007" s="608" t="s">
        <v>4128</v>
      </c>
      <c r="C11007" s="609"/>
      <c r="D11007" s="610"/>
      <c r="E11007" s="610"/>
      <c r="F11007" s="612"/>
      <c r="G11007" s="613" t="n">
        <f aca="false">SUM(G11002:G11006)</f>
        <v>715.095666666667</v>
      </c>
      <c r="H11007" s="606"/>
    </row>
    <row r="11008" customFormat="false" ht="15" hidden="false" customHeight="false" outlineLevel="0" collapsed="false">
      <c r="A11008" s="571" t="s">
        <v>2145</v>
      </c>
      <c r="B11008" s="433" t="s">
        <v>3807</v>
      </c>
      <c r="C11008" s="614" t="s">
        <v>5015</v>
      </c>
      <c r="D11008" s="606" t="s">
        <v>4133</v>
      </c>
      <c r="E11008" s="606" t="n">
        <v>0.09</v>
      </c>
      <c r="F11008" s="361" t="n">
        <v>4680</v>
      </c>
      <c r="G11008" s="615" t="n">
        <f aca="false">E11008*F11008</f>
        <v>421.2</v>
      </c>
      <c r="H11008" s="606"/>
    </row>
    <row r="11009" customFormat="false" ht="15" hidden="false" customHeight="false" outlineLevel="0" collapsed="false">
      <c r="A11009" s="571"/>
      <c r="B11009" s="500"/>
      <c r="C11009" s="614" t="s">
        <v>6099</v>
      </c>
      <c r="D11009" s="606" t="s">
        <v>6132</v>
      </c>
      <c r="E11009" s="606" t="n">
        <v>1</v>
      </c>
      <c r="F11009" s="361" t="n">
        <f aca="false">4700/10</f>
        <v>470</v>
      </c>
      <c r="G11009" s="615" t="n">
        <f aca="false">E11009*F11009</f>
        <v>470</v>
      </c>
      <c r="H11009" s="606"/>
    </row>
    <row r="11010" customFormat="false" ht="30" hidden="false" customHeight="false" outlineLevel="0" collapsed="false">
      <c r="A11010" s="571"/>
      <c r="B11010" s="500"/>
      <c r="C11010" s="614" t="s">
        <v>6088</v>
      </c>
      <c r="D11010" s="606" t="s">
        <v>5788</v>
      </c>
      <c r="E11010" s="606" t="n">
        <v>2</v>
      </c>
      <c r="F11010" s="361" t="n">
        <v>81</v>
      </c>
      <c r="G11010" s="615" t="n">
        <f aca="false">E11010*F11010</f>
        <v>162</v>
      </c>
      <c r="H11010" s="606"/>
    </row>
    <row r="11011" customFormat="false" ht="15" hidden="false" customHeight="false" outlineLevel="0" collapsed="false">
      <c r="A11011" s="571"/>
      <c r="B11011" s="500"/>
      <c r="C11011" s="614" t="s">
        <v>6077</v>
      </c>
      <c r="D11011" s="606" t="s">
        <v>4348</v>
      </c>
      <c r="E11011" s="606" t="n">
        <v>1</v>
      </c>
      <c r="F11011" s="361" t="n">
        <v>37</v>
      </c>
      <c r="G11011" s="615" t="n">
        <f aca="false">E11011*F11011</f>
        <v>37</v>
      </c>
      <c r="H11011" s="606"/>
    </row>
    <row r="11012" customFormat="false" ht="15.75" hidden="false" customHeight="true" outlineLevel="0" collapsed="false">
      <c r="A11012" s="571"/>
      <c r="B11012" s="500"/>
      <c r="C11012" s="614" t="s">
        <v>6078</v>
      </c>
      <c r="D11012" s="606" t="s">
        <v>6079</v>
      </c>
      <c r="E11012" s="606" t="n">
        <v>1</v>
      </c>
      <c r="F11012" s="822" t="n">
        <f aca="false">5429/1000</f>
        <v>5.429</v>
      </c>
      <c r="G11012" s="615" t="n">
        <f aca="false">E11012*F11012</f>
        <v>5.429</v>
      </c>
      <c r="H11012" s="610"/>
    </row>
    <row r="11013" customFormat="false" ht="30" hidden="false" customHeight="true" outlineLevel="0" collapsed="false">
      <c r="A11013" s="571"/>
      <c r="B11013" s="500"/>
      <c r="C11013" s="614" t="s">
        <v>6082</v>
      </c>
      <c r="D11013" s="606" t="s">
        <v>6089</v>
      </c>
      <c r="E11013" s="531" t="n">
        <v>2</v>
      </c>
      <c r="F11013" s="912" t="n">
        <f aca="false">6100/300</f>
        <v>20.3333333333333</v>
      </c>
      <c r="G11013" s="615" t="n">
        <f aca="false">E11013*F11013</f>
        <v>40.6666666666667</v>
      </c>
      <c r="H11013" s="610"/>
    </row>
    <row r="11014" customFormat="false" ht="15" hidden="false" customHeight="false" outlineLevel="0" collapsed="false">
      <c r="A11014" s="571"/>
      <c r="B11014" s="500"/>
      <c r="C11014" s="614" t="s">
        <v>6097</v>
      </c>
      <c r="D11014" s="606" t="s">
        <v>4348</v>
      </c>
      <c r="E11014" s="606" t="n">
        <v>1</v>
      </c>
      <c r="F11014" s="361" t="n">
        <v>25</v>
      </c>
      <c r="G11014" s="615" t="n">
        <f aca="false">E11014*F11014</f>
        <v>25</v>
      </c>
      <c r="H11014" s="606"/>
    </row>
    <row r="11015" customFormat="false" ht="15" hidden="false" customHeight="false" outlineLevel="0" collapsed="false">
      <c r="A11015" s="571"/>
      <c r="B11015" s="608" t="s">
        <v>4128</v>
      </c>
      <c r="D11015" s="610"/>
      <c r="E11015" s="610"/>
      <c r="F11015" s="612"/>
      <c r="G11015" s="613" t="n">
        <f aca="false">SUM(G11008:G11014)</f>
        <v>1161.29566666667</v>
      </c>
      <c r="H11015" s="606"/>
    </row>
    <row r="11016" customFormat="false" ht="30" hidden="false" customHeight="false" outlineLevel="0" collapsed="false">
      <c r="A11016" s="571" t="s">
        <v>2147</v>
      </c>
      <c r="B11016" s="433" t="s">
        <v>3808</v>
      </c>
      <c r="C11016" s="614" t="s">
        <v>6077</v>
      </c>
      <c r="D11016" s="606" t="s">
        <v>4348</v>
      </c>
      <c r="E11016" s="606" t="n">
        <v>1</v>
      </c>
      <c r="F11016" s="361" t="n">
        <v>37</v>
      </c>
      <c r="G11016" s="615" t="n">
        <f aca="false">E11016*F11016</f>
        <v>37</v>
      </c>
      <c r="H11016" s="606"/>
    </row>
    <row r="11017" customFormat="false" ht="21.75" hidden="false" customHeight="true" outlineLevel="0" collapsed="false">
      <c r="A11017" s="571"/>
      <c r="B11017" s="433"/>
      <c r="C11017" s="614" t="s">
        <v>6078</v>
      </c>
      <c r="D11017" s="606" t="s">
        <v>6079</v>
      </c>
      <c r="E11017" s="606" t="n">
        <v>1</v>
      </c>
      <c r="F11017" s="822" t="n">
        <f aca="false">5429/1000</f>
        <v>5.429</v>
      </c>
      <c r="G11017" s="615" t="n">
        <f aca="false">E11017*F11017</f>
        <v>5.429</v>
      </c>
      <c r="H11017" s="606"/>
    </row>
    <row r="11018" customFormat="false" ht="15" hidden="false" customHeight="false" outlineLevel="0" collapsed="false">
      <c r="A11018" s="571"/>
      <c r="B11018" s="433"/>
      <c r="C11018" s="614" t="s">
        <v>5139</v>
      </c>
      <c r="D11018" s="606" t="s">
        <v>4133</v>
      </c>
      <c r="E11018" s="606" t="n">
        <v>0.0002</v>
      </c>
      <c r="F11018" s="361" t="n">
        <v>6240</v>
      </c>
      <c r="G11018" s="615" t="n">
        <f aca="false">E11018*F11018</f>
        <v>1.248</v>
      </c>
      <c r="H11018" s="606"/>
    </row>
    <row r="11019" customFormat="false" ht="30" hidden="false" customHeight="false" outlineLevel="0" collapsed="false">
      <c r="A11019" s="571"/>
      <c r="B11019" s="433"/>
      <c r="C11019" s="614" t="s">
        <v>6088</v>
      </c>
      <c r="D11019" s="606" t="s">
        <v>5788</v>
      </c>
      <c r="E11019" s="606" t="n">
        <v>2</v>
      </c>
      <c r="F11019" s="361" t="n">
        <v>81</v>
      </c>
      <c r="G11019" s="615" t="n">
        <f aca="false">E11019*F11019</f>
        <v>162</v>
      </c>
      <c r="H11019" s="606"/>
    </row>
    <row r="11020" customFormat="false" ht="33.75" hidden="false" customHeight="true" outlineLevel="0" collapsed="false">
      <c r="A11020" s="571"/>
      <c r="B11020" s="433"/>
      <c r="C11020" s="614" t="s">
        <v>6082</v>
      </c>
      <c r="D11020" s="606" t="s">
        <v>6089</v>
      </c>
      <c r="E11020" s="531" t="n">
        <v>2</v>
      </c>
      <c r="F11020" s="912" t="n">
        <f aca="false">6100/300</f>
        <v>20.3333333333333</v>
      </c>
      <c r="G11020" s="615" t="n">
        <f aca="false">E11020*F11020</f>
        <v>40.6666666666667</v>
      </c>
      <c r="H11020" s="606"/>
    </row>
    <row r="11021" customFormat="false" ht="15" hidden="false" customHeight="false" outlineLevel="0" collapsed="false">
      <c r="A11021" s="571"/>
      <c r="B11021" s="433"/>
      <c r="C11021" s="614" t="s">
        <v>6097</v>
      </c>
      <c r="D11021" s="606" t="s">
        <v>4348</v>
      </c>
      <c r="E11021" s="606" t="n">
        <v>1</v>
      </c>
      <c r="F11021" s="361" t="n">
        <v>25</v>
      </c>
      <c r="G11021" s="615" t="n">
        <f aca="false">E11021*F11021</f>
        <v>25</v>
      </c>
      <c r="H11021" s="610"/>
    </row>
    <row r="11022" customFormat="false" ht="15" hidden="false" customHeight="false" outlineLevel="0" collapsed="false">
      <c r="A11022" s="571"/>
      <c r="B11022" s="608" t="s">
        <v>4128</v>
      </c>
      <c r="D11022" s="610"/>
      <c r="E11022" s="610"/>
      <c r="F11022" s="612"/>
      <c r="G11022" s="613" t="n">
        <f aca="false">SUM(G11016:G11021)</f>
        <v>271.343666666667</v>
      </c>
      <c r="H11022" s="610"/>
    </row>
    <row r="11023" customFormat="false" ht="30" hidden="false" customHeight="false" outlineLevel="0" collapsed="false">
      <c r="A11023" s="571" t="s">
        <v>2149</v>
      </c>
      <c r="B11023" s="433" t="s">
        <v>3809</v>
      </c>
      <c r="C11023" s="614" t="s">
        <v>5819</v>
      </c>
      <c r="D11023" s="606" t="s">
        <v>6132</v>
      </c>
      <c r="E11023" s="606" t="n">
        <v>1</v>
      </c>
      <c r="F11023" s="361" t="n">
        <f aca="false">4700/10</f>
        <v>470</v>
      </c>
      <c r="G11023" s="615" t="n">
        <f aca="false">E11023*F11023</f>
        <v>470</v>
      </c>
      <c r="H11023" s="610"/>
    </row>
    <row r="11024" customFormat="false" ht="30" hidden="false" customHeight="false" outlineLevel="0" collapsed="false">
      <c r="A11024" s="571"/>
      <c r="B11024" s="433"/>
      <c r="C11024" s="614" t="s">
        <v>6088</v>
      </c>
      <c r="D11024" s="606" t="s">
        <v>5788</v>
      </c>
      <c r="E11024" s="606" t="n">
        <v>2</v>
      </c>
      <c r="F11024" s="361" t="n">
        <v>81</v>
      </c>
      <c r="G11024" s="615" t="n">
        <f aca="false">E11024*F11024</f>
        <v>162</v>
      </c>
      <c r="H11024" s="610"/>
    </row>
    <row r="11025" customFormat="false" ht="34.5" hidden="false" customHeight="true" outlineLevel="0" collapsed="false">
      <c r="A11025" s="571"/>
      <c r="B11025" s="433"/>
      <c r="C11025" s="614" t="s">
        <v>6082</v>
      </c>
      <c r="D11025" s="606" t="s">
        <v>6089</v>
      </c>
      <c r="E11025" s="531" t="n">
        <v>2</v>
      </c>
      <c r="F11025" s="912" t="n">
        <f aca="false">6100/300</f>
        <v>20.3333333333333</v>
      </c>
      <c r="G11025" s="615" t="n">
        <f aca="false">E11025*F11025</f>
        <v>40.6666666666667</v>
      </c>
      <c r="H11025" s="610"/>
    </row>
    <row r="11026" customFormat="false" ht="15" hidden="false" customHeight="false" outlineLevel="0" collapsed="false">
      <c r="A11026" s="571"/>
      <c r="B11026" s="433"/>
      <c r="C11026" s="614" t="s">
        <v>6097</v>
      </c>
      <c r="D11026" s="606" t="s">
        <v>4348</v>
      </c>
      <c r="E11026" s="606" t="n">
        <v>1</v>
      </c>
      <c r="F11026" s="361" t="n">
        <v>25</v>
      </c>
      <c r="G11026" s="615" t="n">
        <f aca="false">E11026*F11026</f>
        <v>25</v>
      </c>
      <c r="H11026" s="606"/>
    </row>
    <row r="11027" customFormat="false" ht="15" hidden="false" customHeight="false" outlineLevel="0" collapsed="false">
      <c r="A11027" s="571"/>
      <c r="B11027" s="608" t="s">
        <v>4128</v>
      </c>
      <c r="D11027" s="610"/>
      <c r="E11027" s="610"/>
      <c r="F11027" s="612"/>
      <c r="G11027" s="613" t="n">
        <f aca="false">SUM(G11023:G11026)</f>
        <v>697.666666666667</v>
      </c>
      <c r="H11027" s="606"/>
    </row>
    <row r="11028" customFormat="false" ht="30" hidden="false" customHeight="false" outlineLevel="0" collapsed="false">
      <c r="A11028" s="571" t="s">
        <v>2151</v>
      </c>
      <c r="B11028" s="433" t="s">
        <v>3810</v>
      </c>
      <c r="C11028" s="614" t="s">
        <v>6102</v>
      </c>
      <c r="D11028" s="606" t="s">
        <v>4359</v>
      </c>
      <c r="E11028" s="606" t="n">
        <v>0.001</v>
      </c>
      <c r="F11028" s="1049" t="n">
        <v>8836</v>
      </c>
      <c r="G11028" s="615" t="n">
        <f aca="false">E11028*F11028</f>
        <v>8.836</v>
      </c>
      <c r="H11028" s="606"/>
    </row>
    <row r="11029" customFormat="false" ht="30" hidden="false" customHeight="false" outlineLevel="0" collapsed="false">
      <c r="A11029" s="571"/>
      <c r="B11029" s="433"/>
      <c r="C11029" s="614" t="s">
        <v>6088</v>
      </c>
      <c r="D11029" s="606" t="s">
        <v>5788</v>
      </c>
      <c r="E11029" s="606" t="n">
        <v>2</v>
      </c>
      <c r="F11029" s="361" t="n">
        <v>81</v>
      </c>
      <c r="G11029" s="615" t="n">
        <f aca="false">E11029*F11029</f>
        <v>162</v>
      </c>
      <c r="H11029" s="610"/>
    </row>
    <row r="11030" customFormat="false" ht="15" hidden="false" customHeight="false" outlineLevel="0" collapsed="false">
      <c r="A11030" s="571"/>
      <c r="B11030" s="608" t="s">
        <v>4128</v>
      </c>
      <c r="D11030" s="610"/>
      <c r="E11030" s="610"/>
      <c r="F11030" s="612"/>
      <c r="G11030" s="613" t="n">
        <f aca="false">SUM(G11028:G11029)</f>
        <v>170.836</v>
      </c>
      <c r="H11030" s="606"/>
    </row>
    <row r="11031" customFormat="false" ht="30" hidden="false" customHeight="false" outlineLevel="0" collapsed="false">
      <c r="A11031" s="571" t="s">
        <v>2153</v>
      </c>
      <c r="B11031" s="433" t="s">
        <v>3811</v>
      </c>
      <c r="C11031" s="614" t="s">
        <v>6102</v>
      </c>
      <c r="D11031" s="606" t="s">
        <v>4359</v>
      </c>
      <c r="E11031" s="606" t="n">
        <v>0.001</v>
      </c>
      <c r="F11031" s="1049" t="n">
        <v>8836</v>
      </c>
      <c r="G11031" s="615" t="n">
        <f aca="false">E11031*F11031</f>
        <v>8.836</v>
      </c>
      <c r="H11031" s="606"/>
    </row>
    <row r="11032" customFormat="false" ht="30" hidden="false" customHeight="false" outlineLevel="0" collapsed="false">
      <c r="A11032" s="571"/>
      <c r="B11032" s="500"/>
      <c r="C11032" s="614" t="s">
        <v>6088</v>
      </c>
      <c r="D11032" s="606" t="s">
        <v>5788</v>
      </c>
      <c r="E11032" s="606" t="n">
        <v>2</v>
      </c>
      <c r="F11032" s="361" t="n">
        <v>81</v>
      </c>
      <c r="G11032" s="615" t="n">
        <f aca="false">E11032*F11032</f>
        <v>162</v>
      </c>
      <c r="H11032" s="610"/>
    </row>
    <row r="11033" customFormat="false" ht="15" hidden="false" customHeight="false" outlineLevel="0" collapsed="false">
      <c r="A11033" s="571"/>
      <c r="B11033" s="608" t="s">
        <v>4128</v>
      </c>
      <c r="D11033" s="610"/>
      <c r="E11033" s="610"/>
      <c r="F11033" s="612"/>
      <c r="G11033" s="613" t="n">
        <f aca="false">SUM(G11031:G11032)</f>
        <v>170.836</v>
      </c>
      <c r="H11033" s="606"/>
    </row>
    <row r="11034" customFormat="false" ht="30" hidden="false" customHeight="false" outlineLevel="0" collapsed="false">
      <c r="A11034" s="571" t="s">
        <v>2155</v>
      </c>
      <c r="B11034" s="433" t="s">
        <v>3812</v>
      </c>
      <c r="C11034" s="614" t="s">
        <v>6102</v>
      </c>
      <c r="D11034" s="606" t="s">
        <v>4359</v>
      </c>
      <c r="E11034" s="606" t="n">
        <v>0.001</v>
      </c>
      <c r="F11034" s="1049" t="n">
        <v>8836</v>
      </c>
      <c r="G11034" s="615" t="n">
        <f aca="false">E11034*F11034</f>
        <v>8.836</v>
      </c>
      <c r="H11034" s="606"/>
    </row>
    <row r="11035" customFormat="false" ht="30" hidden="false" customHeight="false" outlineLevel="0" collapsed="false">
      <c r="A11035" s="571"/>
      <c r="B11035" s="433"/>
      <c r="C11035" s="614" t="s">
        <v>6088</v>
      </c>
      <c r="D11035" s="606" t="s">
        <v>5788</v>
      </c>
      <c r="E11035" s="606" t="n">
        <v>2</v>
      </c>
      <c r="F11035" s="361" t="n">
        <v>81</v>
      </c>
      <c r="G11035" s="615" t="n">
        <f aca="false">E11035*F11035</f>
        <v>162</v>
      </c>
      <c r="H11035" s="606"/>
    </row>
    <row r="11036" customFormat="false" ht="15" hidden="false" customHeight="false" outlineLevel="0" collapsed="false">
      <c r="A11036" s="571"/>
      <c r="B11036" s="608" t="s">
        <v>4128</v>
      </c>
      <c r="C11036" s="614"/>
      <c r="D11036" s="610"/>
      <c r="E11036" s="610"/>
      <c r="F11036" s="612"/>
      <c r="G11036" s="613" t="n">
        <f aca="false">SUM(G11034:G11035)</f>
        <v>170.836</v>
      </c>
      <c r="H11036" s="606"/>
    </row>
    <row r="11037" customFormat="false" ht="30" hidden="false" customHeight="false" outlineLevel="0" collapsed="false">
      <c r="A11037" s="571" t="s">
        <v>2157</v>
      </c>
      <c r="B11037" s="500" t="s">
        <v>3813</v>
      </c>
      <c r="C11037" s="614" t="s">
        <v>6102</v>
      </c>
      <c r="D11037" s="606" t="s">
        <v>4359</v>
      </c>
      <c r="E11037" s="606" t="n">
        <v>0.001</v>
      </c>
      <c r="F11037" s="1049" t="n">
        <v>8836</v>
      </c>
      <c r="G11037" s="615" t="n">
        <f aca="false">E11037*F11037</f>
        <v>8.836</v>
      </c>
      <c r="H11037" s="606"/>
    </row>
    <row r="11038" customFormat="false" ht="30" hidden="false" customHeight="false" outlineLevel="0" collapsed="false">
      <c r="A11038" s="571"/>
      <c r="B11038" s="608"/>
      <c r="C11038" s="614" t="s">
        <v>6088</v>
      </c>
      <c r="D11038" s="606" t="s">
        <v>5788</v>
      </c>
      <c r="E11038" s="606" t="n">
        <v>2</v>
      </c>
      <c r="F11038" s="361" t="n">
        <v>81</v>
      </c>
      <c r="G11038" s="615" t="n">
        <f aca="false">E11038*F11038</f>
        <v>162</v>
      </c>
      <c r="H11038" s="606"/>
    </row>
    <row r="11039" customFormat="false" ht="15" hidden="false" customHeight="false" outlineLevel="0" collapsed="false">
      <c r="A11039" s="571"/>
      <c r="B11039" s="608"/>
      <c r="D11039" s="610"/>
      <c r="E11039" s="610"/>
      <c r="F11039" s="612"/>
      <c r="G11039" s="613" t="n">
        <f aca="false">SUM(G11037:G11038)</f>
        <v>170.836</v>
      </c>
    </row>
    <row r="11040" customFormat="false" ht="28.5" hidden="false" customHeight="false" outlineLevel="0" collapsed="false">
      <c r="A11040" s="343" t="s">
        <v>2159</v>
      </c>
      <c r="B11040" s="318" t="s">
        <v>3814</v>
      </c>
      <c r="C11040" s="917"/>
      <c r="D11040" s="918"/>
      <c r="E11040" s="918"/>
      <c r="F11040" s="516"/>
      <c r="G11040" s="919"/>
    </row>
    <row r="11041" s="311" customFormat="true" ht="43.5" hidden="false" customHeight="true" outlineLevel="0" collapsed="false">
      <c r="A11041" s="216" t="s">
        <v>2161</v>
      </c>
      <c r="B11041" s="29" t="s">
        <v>3815</v>
      </c>
      <c r="C11041" s="59" t="s">
        <v>6133</v>
      </c>
      <c r="D11041" s="874" t="s">
        <v>6134</v>
      </c>
      <c r="E11041" s="874" t="n">
        <v>1</v>
      </c>
      <c r="F11041" s="1050" t="n">
        <v>146820</v>
      </c>
      <c r="G11041" s="1051" t="n">
        <f aca="false">F11041*E11041/55</f>
        <v>2669.45454545455</v>
      </c>
      <c r="H11041" s="874" t="s">
        <v>6135</v>
      </c>
    </row>
    <row r="11042" s="311" customFormat="true" ht="135" hidden="false" customHeight="false" outlineLevel="0" collapsed="false">
      <c r="A11042" s="28"/>
      <c r="B11042" s="971"/>
      <c r="C11042" s="40" t="s">
        <v>6136</v>
      </c>
      <c r="D11042" s="874" t="s">
        <v>6137</v>
      </c>
      <c r="E11042" s="874" t="n">
        <v>1</v>
      </c>
      <c r="F11042" s="1050" t="n">
        <v>55906</v>
      </c>
      <c r="G11042" s="1051" t="n">
        <f aca="false">E11042*F11042/100</f>
        <v>559.06</v>
      </c>
      <c r="H11042" s="874"/>
    </row>
    <row r="11043" s="311" customFormat="true" ht="31.5" hidden="false" customHeight="true" outlineLevel="0" collapsed="false">
      <c r="A11043" s="28"/>
      <c r="B11043" s="971"/>
      <c r="C11043" s="40" t="s">
        <v>6138</v>
      </c>
      <c r="D11043" s="874" t="s">
        <v>6139</v>
      </c>
      <c r="E11043" s="874" t="n">
        <v>1</v>
      </c>
      <c r="F11043" s="1050" t="n">
        <v>27200</v>
      </c>
      <c r="G11043" s="1051" t="n">
        <f aca="false">E11043*F11043/100</f>
        <v>272</v>
      </c>
      <c r="H11043" s="874"/>
    </row>
    <row r="11044" s="311" customFormat="true" ht="27.75" hidden="false" customHeight="true" outlineLevel="0" collapsed="false">
      <c r="A11044" s="28"/>
      <c r="B11044" s="971"/>
      <c r="C11044" s="59" t="s">
        <v>6140</v>
      </c>
      <c r="D11044" s="874" t="s">
        <v>6134</v>
      </c>
      <c r="E11044" s="874" t="n">
        <v>1</v>
      </c>
      <c r="F11044" s="1050" t="n">
        <v>150000</v>
      </c>
      <c r="G11044" s="1051" t="n">
        <f aca="false">F11044*E11044/55</f>
        <v>2727.27272727273</v>
      </c>
      <c r="H11044" s="874"/>
    </row>
    <row r="11045" s="311" customFormat="true" ht="30" hidden="false" customHeight="false" outlineLevel="0" collapsed="false">
      <c r="A11045" s="28"/>
      <c r="B11045" s="971"/>
      <c r="C11045" s="59" t="s">
        <v>6141</v>
      </c>
      <c r="D11045" s="874" t="s">
        <v>6134</v>
      </c>
      <c r="E11045" s="874" t="n">
        <v>1</v>
      </c>
      <c r="F11045" s="1050"/>
      <c r="G11045" s="1051"/>
      <c r="H11045" s="874"/>
    </row>
    <row r="11046" s="311" customFormat="true" ht="32.25" hidden="false" customHeight="true" outlineLevel="0" collapsed="false">
      <c r="A11046" s="28"/>
      <c r="B11046" s="971"/>
      <c r="C11046" s="52" t="s">
        <v>6142</v>
      </c>
      <c r="D11046" s="316" t="s">
        <v>6143</v>
      </c>
      <c r="E11046" s="316" t="n">
        <v>10</v>
      </c>
      <c r="F11046" s="112" t="n">
        <v>29800</v>
      </c>
      <c r="G11046" s="894" t="n">
        <f aca="false">E11046*F11046/1000</f>
        <v>298</v>
      </c>
      <c r="H11046" s="874"/>
    </row>
    <row r="11047" s="311" customFormat="true" ht="30" hidden="false" customHeight="false" outlineLevel="0" collapsed="false">
      <c r="A11047" s="28"/>
      <c r="B11047" s="971"/>
      <c r="C11047" s="108" t="s">
        <v>6144</v>
      </c>
      <c r="D11047" s="1052" t="s">
        <v>6145</v>
      </c>
      <c r="E11047" s="255" t="n">
        <v>5</v>
      </c>
      <c r="F11047" s="1050" t="n">
        <v>9000</v>
      </c>
      <c r="G11047" s="1051" t="n">
        <f aca="false">E11047*F11047/500</f>
        <v>90</v>
      </c>
      <c r="H11047" s="874"/>
    </row>
    <row r="11048" s="311" customFormat="true" ht="30" hidden="false" customHeight="false" outlineLevel="0" collapsed="false">
      <c r="A11048" s="28"/>
      <c r="B11048" s="971"/>
      <c r="C11048" s="108" t="s">
        <v>6146</v>
      </c>
      <c r="D11048" s="1052" t="s">
        <v>6147</v>
      </c>
      <c r="E11048" s="255" t="n">
        <v>5</v>
      </c>
      <c r="F11048" s="1050" t="n">
        <v>31200</v>
      </c>
      <c r="G11048" s="1051" t="n">
        <f aca="false">E11048*F11048/1000</f>
        <v>156</v>
      </c>
      <c r="H11048" s="874"/>
    </row>
    <row r="11049" s="311" customFormat="true" ht="15" hidden="false" customHeight="false" outlineLevel="0" collapsed="false">
      <c r="A11049" s="28"/>
      <c r="B11049" s="971" t="s">
        <v>4562</v>
      </c>
      <c r="C11049" s="1053"/>
      <c r="D11049" s="316"/>
      <c r="E11049" s="316"/>
      <c r="F11049" s="1054"/>
      <c r="G11049" s="1055" t="n">
        <f aca="false">SUM(G11041:G11048)</f>
        <v>6771.78727272727</v>
      </c>
      <c r="H11049" s="874"/>
    </row>
    <row r="11050" s="311" customFormat="true" ht="30" hidden="false" customHeight="false" outlineLevel="0" collapsed="false">
      <c r="A11050" s="216" t="s">
        <v>2163</v>
      </c>
      <c r="B11050" s="29" t="s">
        <v>3816</v>
      </c>
      <c r="C11050" s="108" t="s">
        <v>6148</v>
      </c>
      <c r="D11050" s="1052" t="s">
        <v>6149</v>
      </c>
      <c r="E11050" s="316" t="n">
        <v>15</v>
      </c>
      <c r="F11050" s="1050" t="n">
        <v>11400</v>
      </c>
      <c r="G11050" s="1051" t="n">
        <f aca="false">E11050*F11050/1000</f>
        <v>171</v>
      </c>
      <c r="H11050" s="316"/>
    </row>
    <row r="11051" s="311" customFormat="true" ht="15" hidden="false" customHeight="false" outlineLevel="0" collapsed="false">
      <c r="A11051" s="28"/>
      <c r="B11051" s="972"/>
      <c r="C11051" s="108" t="s">
        <v>6150</v>
      </c>
      <c r="D11051" s="1052" t="s">
        <v>6149</v>
      </c>
      <c r="E11051" s="255" t="n">
        <v>10</v>
      </c>
      <c r="F11051" s="1050" t="n">
        <v>5800</v>
      </c>
      <c r="G11051" s="1051" t="n">
        <f aca="false">E11051*F11051/500</f>
        <v>116</v>
      </c>
      <c r="H11051" s="316"/>
    </row>
    <row r="11052" s="311" customFormat="true" ht="75" hidden="false" customHeight="false" outlineLevel="0" collapsed="false">
      <c r="A11052" s="28"/>
      <c r="B11052" s="78"/>
      <c r="C11052" s="40" t="s">
        <v>6151</v>
      </c>
      <c r="D11052" s="316" t="s">
        <v>6152</v>
      </c>
      <c r="E11052" s="316" t="n">
        <v>2</v>
      </c>
      <c r="F11052" s="112" t="n">
        <v>76900</v>
      </c>
      <c r="G11052" s="894" t="n">
        <f aca="false">F11052/50*2</f>
        <v>3076</v>
      </c>
      <c r="H11052" s="316"/>
    </row>
    <row r="11053" s="311" customFormat="true" ht="30" hidden="false" customHeight="false" outlineLevel="0" collapsed="false">
      <c r="A11053" s="28"/>
      <c r="B11053" s="78"/>
      <c r="C11053" s="108" t="s">
        <v>6144</v>
      </c>
      <c r="D11053" s="1052" t="s">
        <v>6153</v>
      </c>
      <c r="E11053" s="255" t="n">
        <v>5</v>
      </c>
      <c r="F11053" s="1050" t="n">
        <v>9000</v>
      </c>
      <c r="G11053" s="1051" t="n">
        <f aca="false">E11053*F11053/500</f>
        <v>90</v>
      </c>
      <c r="H11053" s="316"/>
    </row>
    <row r="11054" s="311" customFormat="true" ht="30" hidden="false" customHeight="false" outlineLevel="0" collapsed="false">
      <c r="A11054" s="28"/>
      <c r="B11054" s="971"/>
      <c r="C11054" s="40" t="s">
        <v>6154</v>
      </c>
      <c r="D11054" s="1052" t="s">
        <v>6149</v>
      </c>
      <c r="E11054" s="316" t="n">
        <v>0.5</v>
      </c>
      <c r="F11054" s="1050" t="n">
        <v>8875</v>
      </c>
      <c r="G11054" s="1051" t="n">
        <f aca="false">E11054*F11054/160</f>
        <v>27.734375</v>
      </c>
      <c r="H11054" s="316"/>
    </row>
    <row r="11055" s="311" customFormat="true" ht="33.75" hidden="false" customHeight="true" outlineLevel="0" collapsed="false">
      <c r="A11055" s="28"/>
      <c r="B11055" s="78"/>
      <c r="C11055" s="52" t="s">
        <v>6142</v>
      </c>
      <c r="D11055" s="316" t="s">
        <v>6143</v>
      </c>
      <c r="E11055" s="316" t="n">
        <v>10</v>
      </c>
      <c r="F11055" s="112" t="n">
        <v>29800</v>
      </c>
      <c r="G11055" s="894" t="n">
        <f aca="false">E11055*F11055/1000</f>
        <v>298</v>
      </c>
      <c r="H11055" s="316"/>
    </row>
    <row r="11056" s="311" customFormat="true" ht="15" hidden="false" customHeight="false" outlineLevel="0" collapsed="false">
      <c r="A11056" s="28"/>
      <c r="B11056" s="971" t="s">
        <v>4128</v>
      </c>
      <c r="C11056" s="40"/>
      <c r="D11056" s="316"/>
      <c r="E11056" s="316"/>
      <c r="F11056" s="112"/>
      <c r="G11056" s="1055" t="n">
        <f aca="false">SUM(G11050:G11055)</f>
        <v>3778.734375</v>
      </c>
      <c r="H11056" s="316"/>
    </row>
    <row r="11057" s="311" customFormat="true" ht="30" hidden="false" customHeight="false" outlineLevel="0" collapsed="false">
      <c r="A11057" s="216" t="s">
        <v>2165</v>
      </c>
      <c r="B11057" s="40" t="s">
        <v>3817</v>
      </c>
      <c r="C11057" s="108" t="s">
        <v>6148</v>
      </c>
      <c r="D11057" s="1052" t="s">
        <v>6149</v>
      </c>
      <c r="E11057" s="316" t="n">
        <v>15</v>
      </c>
      <c r="F11057" s="1050" t="n">
        <v>11400</v>
      </c>
      <c r="G11057" s="1051" t="n">
        <f aca="false">E11057*F11057/1000</f>
        <v>171</v>
      </c>
      <c r="H11057" s="874"/>
    </row>
    <row r="11058" s="311" customFormat="true" ht="15" hidden="false" customHeight="false" outlineLevel="0" collapsed="false">
      <c r="A11058" s="28"/>
      <c r="B11058" s="1053"/>
      <c r="C11058" s="108" t="s">
        <v>6150</v>
      </c>
      <c r="D11058" s="1052" t="s">
        <v>6149</v>
      </c>
      <c r="E11058" s="255" t="n">
        <v>10</v>
      </c>
      <c r="F11058" s="1050" t="n">
        <v>5800</v>
      </c>
      <c r="G11058" s="1051" t="n">
        <f aca="false">E11058*F11058/500</f>
        <v>116</v>
      </c>
      <c r="H11058" s="874"/>
    </row>
    <row r="11059" s="311" customFormat="true" ht="75" hidden="false" customHeight="false" outlineLevel="0" collapsed="false">
      <c r="A11059" s="28"/>
      <c r="B11059" s="78"/>
      <c r="C11059" s="40" t="s">
        <v>6151</v>
      </c>
      <c r="D11059" s="316" t="s">
        <v>6152</v>
      </c>
      <c r="E11059" s="316" t="n">
        <v>2</v>
      </c>
      <c r="F11059" s="112" t="n">
        <v>76900</v>
      </c>
      <c r="G11059" s="894" t="n">
        <f aca="false">F11059/50*2</f>
        <v>3076</v>
      </c>
      <c r="H11059" s="874"/>
    </row>
    <row r="11060" s="311" customFormat="true" ht="90" hidden="false" customHeight="false" outlineLevel="0" collapsed="false">
      <c r="A11060" s="28"/>
      <c r="B11060" s="971"/>
      <c r="C11060" s="108" t="s">
        <v>6155</v>
      </c>
      <c r="D11060" s="1052" t="s">
        <v>6153</v>
      </c>
      <c r="E11060" s="255" t="n">
        <v>3</v>
      </c>
      <c r="F11060" s="1050" t="n">
        <v>1889</v>
      </c>
      <c r="G11060" s="1051" t="n">
        <f aca="false">E11060*F11060/10</f>
        <v>566.7</v>
      </c>
      <c r="H11060" s="874"/>
    </row>
    <row r="11061" s="311" customFormat="true" ht="30" hidden="false" customHeight="false" outlineLevel="0" collapsed="false">
      <c r="A11061" s="28"/>
      <c r="B11061" s="971"/>
      <c r="C11061" s="108" t="s">
        <v>6156</v>
      </c>
      <c r="D11061" s="1052" t="s">
        <v>6157</v>
      </c>
      <c r="E11061" s="255" t="n">
        <v>2</v>
      </c>
      <c r="F11061" s="1056" t="n">
        <v>81200</v>
      </c>
      <c r="G11061" s="1051" t="n">
        <f aca="false">E11061*F11061/500</f>
        <v>324.8</v>
      </c>
      <c r="H11061" s="874"/>
    </row>
    <row r="11062" s="311" customFormat="true" ht="30" hidden="false" customHeight="false" outlineLevel="0" collapsed="false">
      <c r="A11062" s="28"/>
      <c r="B11062" s="971"/>
      <c r="C11062" s="40" t="s">
        <v>6154</v>
      </c>
      <c r="D11062" s="1052" t="s">
        <v>6149</v>
      </c>
      <c r="E11062" s="316" t="n">
        <v>0.5</v>
      </c>
      <c r="F11062" s="1050" t="n">
        <v>8875</v>
      </c>
      <c r="G11062" s="1051" t="n">
        <f aca="false">E11062*F11062/160</f>
        <v>27.734375</v>
      </c>
      <c r="H11062" s="874"/>
    </row>
    <row r="11063" s="311" customFormat="true" ht="45" hidden="false" customHeight="false" outlineLevel="0" collapsed="false">
      <c r="A11063" s="28"/>
      <c r="B11063" s="971"/>
      <c r="C11063" s="52" t="s">
        <v>6158</v>
      </c>
      <c r="D11063" s="316" t="s">
        <v>6143</v>
      </c>
      <c r="E11063" s="316" t="n">
        <v>5</v>
      </c>
      <c r="F11063" s="112" t="n">
        <v>29800</v>
      </c>
      <c r="G11063" s="894" t="n">
        <f aca="false">E11063*F11063/1000</f>
        <v>149</v>
      </c>
      <c r="H11063" s="874"/>
    </row>
    <row r="11064" s="311" customFormat="true" ht="90" hidden="false" customHeight="false" outlineLevel="0" collapsed="false">
      <c r="A11064" s="28"/>
      <c r="B11064" s="971"/>
      <c r="C11064" s="40" t="s">
        <v>6159</v>
      </c>
      <c r="D11064" s="316" t="s">
        <v>4348</v>
      </c>
      <c r="E11064" s="316" t="n">
        <v>4</v>
      </c>
      <c r="F11064" s="112" t="n">
        <v>74905</v>
      </c>
      <c r="G11064" s="894" t="n">
        <f aca="false">F11064/75*E11064</f>
        <v>3994.93333333333</v>
      </c>
      <c r="H11064" s="874"/>
    </row>
    <row r="11065" s="311" customFormat="true" ht="15" hidden="false" customHeight="false" outlineLevel="0" collapsed="false">
      <c r="A11065" s="28"/>
      <c r="B11065" s="971"/>
      <c r="C11065" s="1053" t="s">
        <v>4562</v>
      </c>
      <c r="D11065" s="316"/>
      <c r="E11065" s="316"/>
      <c r="F11065" s="1054"/>
      <c r="G11065" s="1055" t="n">
        <f aca="false">SUM(G11057:G11064)</f>
        <v>8426.16770833333</v>
      </c>
      <c r="H11065" s="874"/>
    </row>
    <row r="11066" s="311" customFormat="true" ht="34.5" hidden="false" customHeight="true" outlineLevel="0" collapsed="false">
      <c r="A11066" s="216" t="s">
        <v>2167</v>
      </c>
      <c r="B11066" s="40" t="s">
        <v>3818</v>
      </c>
      <c r="C11066" s="108" t="s">
        <v>6160</v>
      </c>
      <c r="D11066" s="874" t="s">
        <v>6134</v>
      </c>
      <c r="E11066" s="874" t="n">
        <v>1</v>
      </c>
      <c r="F11066" s="1050" t="n">
        <v>235800</v>
      </c>
      <c r="G11066" s="1051" t="n">
        <f aca="false">E11066*F11066/55</f>
        <v>4287.27272727273</v>
      </c>
      <c r="H11066" s="874" t="s">
        <v>6135</v>
      </c>
    </row>
    <row r="11067" s="311" customFormat="true" ht="110.25" hidden="false" customHeight="true" outlineLevel="0" collapsed="false">
      <c r="A11067" s="28"/>
      <c r="B11067" s="971"/>
      <c r="C11067" s="40" t="s">
        <v>6136</v>
      </c>
      <c r="D11067" s="874" t="s">
        <v>6137</v>
      </c>
      <c r="E11067" s="874" t="n">
        <v>1</v>
      </c>
      <c r="F11067" s="1050" t="n">
        <v>55906</v>
      </c>
      <c r="G11067" s="1051" t="n">
        <f aca="false">E11067*F11067/100</f>
        <v>559.06</v>
      </c>
      <c r="H11067" s="874"/>
    </row>
    <row r="11068" s="311" customFormat="true" ht="36" hidden="false" customHeight="true" outlineLevel="0" collapsed="false">
      <c r="A11068" s="28"/>
      <c r="B11068" s="971"/>
      <c r="C11068" s="40" t="s">
        <v>6138</v>
      </c>
      <c r="D11068" s="874" t="s">
        <v>6139</v>
      </c>
      <c r="E11068" s="874" t="n">
        <v>1</v>
      </c>
      <c r="F11068" s="1050" t="n">
        <v>27200</v>
      </c>
      <c r="G11068" s="1051" t="n">
        <f aca="false">E11068*F11068/100</f>
        <v>272</v>
      </c>
      <c r="H11068" s="874"/>
    </row>
    <row r="11069" s="311" customFormat="true" ht="45" hidden="false" customHeight="false" outlineLevel="0" collapsed="false">
      <c r="A11069" s="28"/>
      <c r="B11069" s="971"/>
      <c r="C11069" s="40" t="s">
        <v>6161</v>
      </c>
      <c r="D11069" s="874" t="s">
        <v>6162</v>
      </c>
      <c r="E11069" s="874" t="n">
        <v>5</v>
      </c>
      <c r="F11069" s="1050" t="n">
        <v>40200</v>
      </c>
      <c r="G11069" s="1051" t="n">
        <f aca="false">E11069*F11069/1000</f>
        <v>201</v>
      </c>
      <c r="H11069" s="874"/>
    </row>
    <row r="11070" s="311" customFormat="true" ht="30" hidden="false" customHeight="false" outlineLevel="0" collapsed="false">
      <c r="A11070" s="28"/>
      <c r="B11070" s="971"/>
      <c r="C11070" s="108" t="s">
        <v>6144</v>
      </c>
      <c r="D11070" s="1052" t="s">
        <v>6157</v>
      </c>
      <c r="E11070" s="255" t="n">
        <v>5</v>
      </c>
      <c r="F11070" s="1050" t="n">
        <v>9000</v>
      </c>
      <c r="G11070" s="1051" t="n">
        <f aca="false">E11070*F11070/500</f>
        <v>90</v>
      </c>
      <c r="H11070" s="874"/>
    </row>
    <row r="11071" s="311" customFormat="true" ht="15" hidden="false" customHeight="false" outlineLevel="0" collapsed="false">
      <c r="A11071" s="28"/>
      <c r="B11071" s="971"/>
      <c r="C11071" s="1057" t="s">
        <v>6163</v>
      </c>
      <c r="D11071" s="1058"/>
      <c r="E11071" s="1058"/>
      <c r="F11071" s="1054"/>
      <c r="G11071" s="896" t="n">
        <f aca="false">SUM(G11066:G11070)</f>
        <v>5409.33272727273</v>
      </c>
      <c r="H11071" s="874"/>
    </row>
    <row r="11072" s="311" customFormat="true" ht="49.5" hidden="false" customHeight="true" outlineLevel="0" collapsed="false">
      <c r="A11072" s="216" t="s">
        <v>2169</v>
      </c>
      <c r="B11072" s="29" t="s">
        <v>3819</v>
      </c>
      <c r="C11072" s="108" t="s">
        <v>6148</v>
      </c>
      <c r="D11072" s="1052" t="s">
        <v>6149</v>
      </c>
      <c r="E11072" s="316" t="n">
        <v>45</v>
      </c>
      <c r="F11072" s="1050" t="n">
        <v>11400</v>
      </c>
      <c r="G11072" s="1051" t="n">
        <f aca="false">E11072*F11072/1000</f>
        <v>513</v>
      </c>
      <c r="H11072" s="874" t="s">
        <v>6164</v>
      </c>
    </row>
    <row r="11073" s="311" customFormat="true" ht="20.25" hidden="false" customHeight="true" outlineLevel="0" collapsed="false">
      <c r="A11073" s="28"/>
      <c r="B11073" s="29"/>
      <c r="C11073" s="108" t="s">
        <v>6165</v>
      </c>
      <c r="D11073" s="1052" t="s">
        <v>6149</v>
      </c>
      <c r="E11073" s="316" t="n">
        <v>0.5</v>
      </c>
      <c r="F11073" s="1050" t="n">
        <v>80000</v>
      </c>
      <c r="G11073" s="1051" t="n">
        <f aca="false">E11073*F11073/100</f>
        <v>400</v>
      </c>
      <c r="H11073" s="874"/>
    </row>
    <row r="11074" s="311" customFormat="true" ht="30" hidden="false" customHeight="false" outlineLevel="0" collapsed="false">
      <c r="A11074" s="28"/>
      <c r="B11074" s="29"/>
      <c r="C11074" s="108" t="s">
        <v>6166</v>
      </c>
      <c r="D11074" s="1052" t="s">
        <v>6149</v>
      </c>
      <c r="E11074" s="255" t="n">
        <v>3</v>
      </c>
      <c r="F11074" s="1050" t="n">
        <v>9900</v>
      </c>
      <c r="G11074" s="1051" t="n">
        <f aca="false">E11074*F11074/500</f>
        <v>59.4</v>
      </c>
      <c r="H11074" s="874"/>
    </row>
    <row r="11075" s="311" customFormat="true" ht="30" hidden="false" customHeight="false" outlineLevel="0" collapsed="false">
      <c r="A11075" s="28"/>
      <c r="B11075" s="971"/>
      <c r="C11075" s="40" t="s">
        <v>6154</v>
      </c>
      <c r="D11075" s="1052" t="s">
        <v>6149</v>
      </c>
      <c r="E11075" s="316" t="n">
        <v>0.5</v>
      </c>
      <c r="F11075" s="1050" t="n">
        <v>8875</v>
      </c>
      <c r="G11075" s="1051" t="n">
        <f aca="false">E11075*F11075/160</f>
        <v>27.734375</v>
      </c>
      <c r="H11075" s="874"/>
    </row>
    <row r="11076" s="311" customFormat="true" ht="75" hidden="false" customHeight="false" outlineLevel="0" collapsed="false">
      <c r="A11076" s="28"/>
      <c r="B11076" s="78"/>
      <c r="C11076" s="40" t="s">
        <v>6151</v>
      </c>
      <c r="D11076" s="316" t="s">
        <v>6152</v>
      </c>
      <c r="E11076" s="316" t="n">
        <v>3</v>
      </c>
      <c r="F11076" s="112" t="n">
        <v>76900</v>
      </c>
      <c r="G11076" s="894" t="n">
        <f aca="false">F11076/50*3</f>
        <v>4614</v>
      </c>
      <c r="H11076" s="874"/>
    </row>
    <row r="11077" s="311" customFormat="true" ht="45" hidden="false" customHeight="false" outlineLevel="0" collapsed="false">
      <c r="A11077" s="28"/>
      <c r="B11077" s="971"/>
      <c r="C11077" s="40" t="s">
        <v>6167</v>
      </c>
      <c r="D11077" s="1052" t="s">
        <v>6168</v>
      </c>
      <c r="E11077" s="1059" t="n">
        <v>12</v>
      </c>
      <c r="F11077" s="1050" t="n">
        <v>29800</v>
      </c>
      <c r="G11077" s="1051" t="n">
        <f aca="false">E11077*F11077/1000</f>
        <v>357.6</v>
      </c>
      <c r="H11077" s="874"/>
    </row>
    <row r="11078" s="311" customFormat="true" ht="90" hidden="false" customHeight="false" outlineLevel="0" collapsed="false">
      <c r="A11078" s="28"/>
      <c r="B11078" s="29"/>
      <c r="C11078" s="108" t="s">
        <v>6155</v>
      </c>
      <c r="D11078" s="1052" t="s">
        <v>6153</v>
      </c>
      <c r="E11078" s="255" t="n">
        <v>3</v>
      </c>
      <c r="F11078" s="1050" t="n">
        <v>1889</v>
      </c>
      <c r="G11078" s="1051" t="n">
        <f aca="false">E11078*F11078/10</f>
        <v>566.7</v>
      </c>
      <c r="H11078" s="874"/>
    </row>
    <row r="11079" s="311" customFormat="true" ht="90" hidden="false" customHeight="false" outlineLevel="0" collapsed="false">
      <c r="A11079" s="28"/>
      <c r="B11079" s="29"/>
      <c r="C11079" s="40" t="s">
        <v>6159</v>
      </c>
      <c r="D11079" s="316" t="s">
        <v>4348</v>
      </c>
      <c r="E11079" s="316" t="n">
        <v>4</v>
      </c>
      <c r="F11079" s="112" t="n">
        <v>74905</v>
      </c>
      <c r="G11079" s="894" t="n">
        <f aca="false">F11079/75*E11079</f>
        <v>3994.93333333333</v>
      </c>
      <c r="H11079" s="874"/>
    </row>
    <row r="11080" s="311" customFormat="true" ht="15" hidden="false" customHeight="false" outlineLevel="0" collapsed="false">
      <c r="A11080" s="28"/>
      <c r="B11080" s="971" t="s">
        <v>4128</v>
      </c>
      <c r="C11080" s="40"/>
      <c r="D11080" s="316"/>
      <c r="E11080" s="316"/>
      <c r="F11080" s="112"/>
      <c r="G11080" s="896" t="n">
        <f aca="false">SUM(G11072:G11079)</f>
        <v>10533.3677083333</v>
      </c>
      <c r="H11080" s="874"/>
    </row>
    <row r="11081" s="311" customFormat="true" ht="60" hidden="false" customHeight="true" outlineLevel="0" collapsed="false">
      <c r="A11081" s="216" t="s">
        <v>2171</v>
      </c>
      <c r="B11081" s="29" t="s">
        <v>3820</v>
      </c>
      <c r="C11081" s="108" t="s">
        <v>6169</v>
      </c>
      <c r="D11081" s="874" t="s">
        <v>6134</v>
      </c>
      <c r="E11081" s="874" t="n">
        <v>1</v>
      </c>
      <c r="F11081" s="1050" t="n">
        <v>167000</v>
      </c>
      <c r="G11081" s="1051" t="n">
        <f aca="false">E11081*F11081/55</f>
        <v>3036.36363636364</v>
      </c>
      <c r="H11081" s="874" t="s">
        <v>6170</v>
      </c>
    </row>
    <row r="11082" s="311" customFormat="true" ht="135" hidden="false" customHeight="false" outlineLevel="0" collapsed="false">
      <c r="A11082" s="28"/>
      <c r="B11082" s="78"/>
      <c r="C11082" s="40" t="s">
        <v>6136</v>
      </c>
      <c r="D11082" s="874" t="s">
        <v>6139</v>
      </c>
      <c r="E11082" s="874" t="n">
        <v>1</v>
      </c>
      <c r="F11082" s="1050" t="n">
        <v>55906</v>
      </c>
      <c r="G11082" s="1051" t="n">
        <f aca="false">E11082*F11082/100</f>
        <v>559.06</v>
      </c>
      <c r="H11082" s="874"/>
    </row>
    <row r="11083" s="311" customFormat="true" ht="35.25" hidden="false" customHeight="true" outlineLevel="0" collapsed="false">
      <c r="A11083" s="28"/>
      <c r="B11083" s="78"/>
      <c r="C11083" s="40" t="s">
        <v>6138</v>
      </c>
      <c r="D11083" s="874" t="s">
        <v>6171</v>
      </c>
      <c r="E11083" s="874" t="n">
        <v>1</v>
      </c>
      <c r="F11083" s="1050" t="n">
        <v>27200</v>
      </c>
      <c r="G11083" s="1051" t="n">
        <f aca="false">E11083*F11083/100</f>
        <v>272</v>
      </c>
      <c r="H11083" s="874"/>
    </row>
    <row r="11084" s="311" customFormat="true" ht="45" hidden="false" customHeight="false" outlineLevel="0" collapsed="false">
      <c r="A11084" s="28"/>
      <c r="B11084" s="78"/>
      <c r="C11084" s="40" t="s">
        <v>6167</v>
      </c>
      <c r="D11084" s="1052" t="s">
        <v>6168</v>
      </c>
      <c r="E11084" s="1059" t="n">
        <v>12</v>
      </c>
      <c r="F11084" s="1050" t="n">
        <v>29800</v>
      </c>
      <c r="G11084" s="1051" t="n">
        <f aca="false">E11084*F11084/1000</f>
        <v>357.6</v>
      </c>
      <c r="H11084" s="874"/>
    </row>
    <row r="11085" s="311" customFormat="true" ht="30" hidden="false" customHeight="false" outlineLevel="0" collapsed="false">
      <c r="A11085" s="28"/>
      <c r="B11085" s="78"/>
      <c r="C11085" s="108" t="s">
        <v>6144</v>
      </c>
      <c r="D11085" s="1052" t="s">
        <v>6153</v>
      </c>
      <c r="E11085" s="255" t="n">
        <v>5</v>
      </c>
      <c r="F11085" s="1050" t="n">
        <v>9000</v>
      </c>
      <c r="G11085" s="1051" t="n">
        <f aca="false">E11085*F11085/500</f>
        <v>90</v>
      </c>
      <c r="H11085" s="874"/>
    </row>
    <row r="11086" s="311" customFormat="true" ht="15" hidden="false" customHeight="false" outlineLevel="0" collapsed="false">
      <c r="A11086" s="28"/>
      <c r="B11086" s="971" t="s">
        <v>4128</v>
      </c>
      <c r="C11086" s="40"/>
      <c r="D11086" s="316"/>
      <c r="E11086" s="316"/>
      <c r="F11086" s="112"/>
      <c r="G11086" s="1055" t="n">
        <f aca="false">SUM(G11081:G11085)</f>
        <v>4315.02363636364</v>
      </c>
      <c r="H11086" s="874"/>
    </row>
    <row r="11087" s="311" customFormat="true" ht="59.25" hidden="false" customHeight="true" outlineLevel="0" collapsed="false">
      <c r="A11087" s="216" t="s">
        <v>2173</v>
      </c>
      <c r="B11087" s="108" t="s">
        <v>3821</v>
      </c>
      <c r="C11087" s="108" t="s">
        <v>6148</v>
      </c>
      <c r="D11087" s="1052" t="s">
        <v>6149</v>
      </c>
      <c r="E11087" s="316" t="n">
        <v>35</v>
      </c>
      <c r="F11087" s="1050" t="n">
        <v>11400</v>
      </c>
      <c r="G11087" s="1051" t="n">
        <f aca="false">E11087*F11087/1000</f>
        <v>399</v>
      </c>
      <c r="H11087" s="874" t="s">
        <v>6172</v>
      </c>
    </row>
    <row r="11088" s="311" customFormat="true" ht="30" hidden="false" customHeight="false" outlineLevel="0" collapsed="false">
      <c r="A11088" s="28"/>
      <c r="B11088" s="971"/>
      <c r="C11088" s="108" t="s">
        <v>6173</v>
      </c>
      <c r="D11088" s="1052" t="s">
        <v>6149</v>
      </c>
      <c r="E11088" s="316" t="n">
        <v>1</v>
      </c>
      <c r="F11088" s="1050" t="n">
        <v>80000</v>
      </c>
      <c r="G11088" s="1051" t="n">
        <f aca="false">E11088*F11088/100</f>
        <v>800</v>
      </c>
      <c r="H11088" s="874"/>
    </row>
    <row r="11089" s="311" customFormat="true" ht="15" hidden="false" customHeight="false" outlineLevel="0" collapsed="false">
      <c r="A11089" s="28"/>
      <c r="B11089" s="971"/>
      <c r="C11089" s="108" t="s">
        <v>6174</v>
      </c>
      <c r="D11089" s="1052" t="s">
        <v>6149</v>
      </c>
      <c r="E11089" s="255" t="n">
        <v>3</v>
      </c>
      <c r="F11089" s="1050" t="n">
        <v>9900</v>
      </c>
      <c r="G11089" s="1051" t="n">
        <f aca="false">E11089*F11089/1000</f>
        <v>29.7</v>
      </c>
      <c r="H11089" s="874"/>
    </row>
    <row r="11090" s="311" customFormat="true" ht="30" hidden="false" customHeight="false" outlineLevel="0" collapsed="false">
      <c r="A11090" s="28"/>
      <c r="B11090" s="78"/>
      <c r="C11090" s="40" t="s">
        <v>6154</v>
      </c>
      <c r="D11090" s="1052" t="s">
        <v>6149</v>
      </c>
      <c r="E11090" s="316" t="n">
        <v>1</v>
      </c>
      <c r="F11090" s="1050" t="n">
        <v>8875</v>
      </c>
      <c r="G11090" s="1051" t="n">
        <f aca="false">E11090*F11090/500</f>
        <v>17.75</v>
      </c>
      <c r="H11090" s="874"/>
    </row>
    <row r="11091" s="311" customFormat="true" ht="45" hidden="false" customHeight="false" outlineLevel="0" collapsed="false">
      <c r="A11091" s="28"/>
      <c r="B11091" s="971"/>
      <c r="C11091" s="40" t="s">
        <v>6167</v>
      </c>
      <c r="D11091" s="1052" t="s">
        <v>6168</v>
      </c>
      <c r="E11091" s="1059" t="n">
        <v>12</v>
      </c>
      <c r="F11091" s="1050" t="n">
        <v>29800</v>
      </c>
      <c r="G11091" s="1051" t="n">
        <f aca="false">E11091*F11091/1000</f>
        <v>357.6</v>
      </c>
      <c r="H11091" s="874"/>
    </row>
    <row r="11092" s="311" customFormat="true" ht="75" hidden="false" customHeight="false" outlineLevel="0" collapsed="false">
      <c r="A11092" s="28"/>
      <c r="B11092" s="78"/>
      <c r="C11092" s="40" t="s">
        <v>6151</v>
      </c>
      <c r="D11092" s="316" t="s">
        <v>6152</v>
      </c>
      <c r="E11092" s="316" t="n">
        <v>2</v>
      </c>
      <c r="F11092" s="112" t="n">
        <v>76900</v>
      </c>
      <c r="G11092" s="894" t="n">
        <f aca="false">F11092/50*1</f>
        <v>1538</v>
      </c>
      <c r="H11092" s="874"/>
    </row>
    <row r="11093" s="311" customFormat="true" ht="90" hidden="false" customHeight="false" outlineLevel="0" collapsed="false">
      <c r="A11093" s="28"/>
      <c r="B11093" s="971"/>
      <c r="C11093" s="108" t="s">
        <v>6155</v>
      </c>
      <c r="D11093" s="1052" t="s">
        <v>6153</v>
      </c>
      <c r="E11093" s="255" t="n">
        <v>3</v>
      </c>
      <c r="F11093" s="1050" t="n">
        <v>1889</v>
      </c>
      <c r="G11093" s="1051" t="n">
        <f aca="false">E11093*F11093/10</f>
        <v>566.7</v>
      </c>
      <c r="H11093" s="874"/>
    </row>
    <row r="11094" s="311" customFormat="true" ht="15" hidden="false" customHeight="false" outlineLevel="0" collapsed="false">
      <c r="A11094" s="28"/>
      <c r="B11094" s="971"/>
      <c r="C11094" s="1053" t="s">
        <v>6163</v>
      </c>
      <c r="D11094" s="1060"/>
      <c r="E11094" s="965"/>
      <c r="F11094" s="1054"/>
      <c r="G11094" s="896" t="n">
        <f aca="false">SUM(G11087:G11093)</f>
        <v>3708.75</v>
      </c>
      <c r="H11094" s="874"/>
    </row>
    <row r="11095" s="311" customFormat="true" ht="32.25" hidden="false" customHeight="true" outlineLevel="0" collapsed="false">
      <c r="A11095" s="216" t="s">
        <v>2175</v>
      </c>
      <c r="B11095" s="40" t="s">
        <v>3822</v>
      </c>
      <c r="C11095" s="108" t="s">
        <v>6148</v>
      </c>
      <c r="D11095" s="1052" t="s">
        <v>6149</v>
      </c>
      <c r="E11095" s="316" t="n">
        <v>35</v>
      </c>
      <c r="F11095" s="1050" t="n">
        <v>11400</v>
      </c>
      <c r="G11095" s="1051" t="n">
        <f aca="false">E11095*F11095/1000</f>
        <v>399</v>
      </c>
      <c r="H11095" s="874" t="s">
        <v>6164</v>
      </c>
    </row>
    <row r="11096" s="311" customFormat="true" ht="30" hidden="false" customHeight="false" outlineLevel="0" collapsed="false">
      <c r="A11096" s="28"/>
      <c r="B11096" s="971"/>
      <c r="C11096" s="108" t="s">
        <v>6175</v>
      </c>
      <c r="D11096" s="1052" t="s">
        <v>6176</v>
      </c>
      <c r="E11096" s="316" t="n">
        <v>3</v>
      </c>
      <c r="F11096" s="1050" t="n">
        <v>80000</v>
      </c>
      <c r="G11096" s="1051" t="n">
        <f aca="false">E11096*F11096/100</f>
        <v>2400</v>
      </c>
      <c r="H11096" s="874"/>
    </row>
    <row r="11097" s="311" customFormat="true" ht="30" hidden="false" customHeight="false" outlineLevel="0" collapsed="false">
      <c r="A11097" s="28"/>
      <c r="B11097" s="971"/>
      <c r="C11097" s="108" t="s">
        <v>6177</v>
      </c>
      <c r="D11097" s="1052" t="s">
        <v>6149</v>
      </c>
      <c r="E11097" s="255" t="n">
        <v>3</v>
      </c>
      <c r="F11097" s="1050" t="n">
        <v>9900</v>
      </c>
      <c r="G11097" s="1051" t="n">
        <f aca="false">E11097*F11097/1000</f>
        <v>29.7</v>
      </c>
      <c r="H11097" s="874"/>
    </row>
    <row r="11098" s="311" customFormat="true" ht="30" hidden="false" customHeight="false" outlineLevel="0" collapsed="false">
      <c r="A11098" s="28"/>
      <c r="B11098" s="971"/>
      <c r="C11098" s="40" t="s">
        <v>6154</v>
      </c>
      <c r="D11098" s="1052" t="s">
        <v>6149</v>
      </c>
      <c r="E11098" s="316" t="n">
        <v>1</v>
      </c>
      <c r="F11098" s="1050" t="n">
        <v>8875</v>
      </c>
      <c r="G11098" s="1051" t="n">
        <f aca="false">E11098*F11098/160</f>
        <v>55.46875</v>
      </c>
      <c r="H11098" s="874"/>
    </row>
    <row r="11099" s="311" customFormat="true" ht="75" hidden="false" customHeight="false" outlineLevel="0" collapsed="false">
      <c r="A11099" s="28"/>
      <c r="B11099" s="78"/>
      <c r="C11099" s="40" t="s">
        <v>6151</v>
      </c>
      <c r="D11099" s="316" t="s">
        <v>6152</v>
      </c>
      <c r="E11099" s="316" t="n">
        <v>2</v>
      </c>
      <c r="F11099" s="112" t="n">
        <v>76900</v>
      </c>
      <c r="G11099" s="894" t="n">
        <f aca="false">F11099/50*1</f>
        <v>1538</v>
      </c>
      <c r="H11099" s="874"/>
    </row>
    <row r="11100" s="311" customFormat="true" ht="90" hidden="false" customHeight="false" outlineLevel="0" collapsed="false">
      <c r="A11100" s="28"/>
      <c r="B11100" s="971"/>
      <c r="C11100" s="108" t="s">
        <v>6155</v>
      </c>
      <c r="D11100" s="1052" t="s">
        <v>6153</v>
      </c>
      <c r="E11100" s="255" t="n">
        <v>3</v>
      </c>
      <c r="F11100" s="1050" t="n">
        <v>1889</v>
      </c>
      <c r="G11100" s="1051" t="n">
        <f aca="false">E11100*F11100/10</f>
        <v>566.7</v>
      </c>
      <c r="H11100" s="874"/>
    </row>
    <row r="11101" s="311" customFormat="true" ht="15" hidden="false" customHeight="false" outlineLevel="0" collapsed="false">
      <c r="A11101" s="28"/>
      <c r="B11101" s="971"/>
      <c r="C11101" s="1057" t="s">
        <v>6163</v>
      </c>
      <c r="D11101" s="1058"/>
      <c r="E11101" s="1058"/>
      <c r="F11101" s="1054"/>
      <c r="G11101" s="896" t="n">
        <f aca="false">SUM(G11095:G11100)</f>
        <v>4988.86875</v>
      </c>
      <c r="H11101" s="874"/>
    </row>
    <row r="11102" s="311" customFormat="true" ht="35.25" hidden="false" customHeight="true" outlineLevel="0" collapsed="false">
      <c r="A11102" s="216" t="s">
        <v>2177</v>
      </c>
      <c r="B11102" s="29" t="s">
        <v>3823</v>
      </c>
      <c r="C11102" s="108" t="s">
        <v>6178</v>
      </c>
      <c r="D11102" s="255" t="s">
        <v>6179</v>
      </c>
      <c r="E11102" s="255" t="n">
        <v>2</v>
      </c>
      <c r="F11102" s="1050" t="n">
        <v>69000</v>
      </c>
      <c r="G11102" s="1051" t="n">
        <f aca="false">E11102*F11102/96</f>
        <v>1437.5</v>
      </c>
      <c r="H11102" s="874" t="s">
        <v>6180</v>
      </c>
    </row>
    <row r="11103" s="311" customFormat="true" ht="45" hidden="false" customHeight="false" outlineLevel="0" collapsed="false">
      <c r="A11103" s="216"/>
      <c r="B11103" s="78"/>
      <c r="C11103" s="52" t="s">
        <v>6181</v>
      </c>
      <c r="D11103" s="1052" t="s">
        <v>6153</v>
      </c>
      <c r="E11103" s="1059" t="n">
        <v>3</v>
      </c>
      <c r="F11103" s="1050" t="n">
        <v>29800</v>
      </c>
      <c r="G11103" s="1051" t="n">
        <f aca="false">E11103*F11103/1000</f>
        <v>89.4</v>
      </c>
      <c r="H11103" s="874"/>
    </row>
    <row r="11104" s="311" customFormat="true" ht="15" hidden="false" customHeight="false" outlineLevel="0" collapsed="false">
      <c r="A11104" s="216"/>
      <c r="B11104" s="78" t="s">
        <v>4128</v>
      </c>
      <c r="C11104" s="40"/>
      <c r="D11104" s="316"/>
      <c r="E11104" s="316"/>
      <c r="F11104" s="112"/>
      <c r="G11104" s="1055" t="n">
        <f aca="false">SUM(G11102:G11103)</f>
        <v>1526.9</v>
      </c>
      <c r="H11104" s="874"/>
    </row>
    <row r="11105" s="311" customFormat="true" ht="45" hidden="false" customHeight="true" outlineLevel="0" collapsed="false">
      <c r="A11105" s="216" t="s">
        <v>2179</v>
      </c>
      <c r="B11105" s="29" t="s">
        <v>6182</v>
      </c>
      <c r="C11105" s="108" t="s">
        <v>6183</v>
      </c>
      <c r="D11105" s="255" t="s">
        <v>6179</v>
      </c>
      <c r="E11105" s="255" t="n">
        <v>2</v>
      </c>
      <c r="F11105" s="1050" t="n">
        <v>49900</v>
      </c>
      <c r="G11105" s="1051" t="n">
        <f aca="false">E11105*F11105/96</f>
        <v>1039.58333333333</v>
      </c>
      <c r="H11105" s="874" t="s">
        <v>6180</v>
      </c>
    </row>
    <row r="11106" s="311" customFormat="true" ht="45" hidden="false" customHeight="false" outlineLevel="0" collapsed="false">
      <c r="A11106" s="28"/>
      <c r="B11106" s="78"/>
      <c r="C11106" s="40" t="s">
        <v>6167</v>
      </c>
      <c r="D11106" s="1052" t="s">
        <v>6168</v>
      </c>
      <c r="E11106" s="1059" t="n">
        <v>12</v>
      </c>
      <c r="F11106" s="1050" t="n">
        <v>29800</v>
      </c>
      <c r="G11106" s="1051" t="n">
        <f aca="false">E11106*F11106/1000</f>
        <v>357.6</v>
      </c>
      <c r="H11106" s="874"/>
    </row>
    <row r="11107" s="311" customFormat="true" ht="15" hidden="false" customHeight="false" outlineLevel="0" collapsed="false">
      <c r="A11107" s="28"/>
      <c r="B11107" s="971" t="s">
        <v>4128</v>
      </c>
      <c r="C11107" s="40"/>
      <c r="D11107" s="316"/>
      <c r="E11107" s="316"/>
      <c r="F11107" s="112"/>
      <c r="G11107" s="1055" t="n">
        <f aca="false">SUM(G11105:G11106)</f>
        <v>1397.18333333333</v>
      </c>
      <c r="H11107" s="874"/>
    </row>
    <row r="11108" s="311" customFormat="true" ht="30" hidden="false" customHeight="false" outlineLevel="0" collapsed="false">
      <c r="A11108" s="216" t="s">
        <v>2181</v>
      </c>
      <c r="B11108" s="29" t="s">
        <v>3825</v>
      </c>
      <c r="C11108" s="108" t="s">
        <v>6144</v>
      </c>
      <c r="D11108" s="1052" t="s">
        <v>6157</v>
      </c>
      <c r="E11108" s="255" t="n">
        <v>5</v>
      </c>
      <c r="F11108" s="1050" t="n">
        <v>9000</v>
      </c>
      <c r="G11108" s="1051" t="n">
        <f aca="false">E11108*F11108/500</f>
        <v>90</v>
      </c>
      <c r="H11108" s="874"/>
    </row>
    <row r="11109" s="311" customFormat="true" ht="30" hidden="false" customHeight="false" outlineLevel="0" collapsed="false">
      <c r="A11109" s="28"/>
      <c r="B11109" s="78"/>
      <c r="C11109" s="108" t="s">
        <v>6184</v>
      </c>
      <c r="D11109" s="1052" t="s">
        <v>6157</v>
      </c>
      <c r="E11109" s="255" t="n">
        <v>2</v>
      </c>
      <c r="F11109" s="1056" t="n">
        <v>81200</v>
      </c>
      <c r="G11109" s="1051" t="n">
        <f aca="false">E11109*F11109/500</f>
        <v>324.8</v>
      </c>
      <c r="H11109" s="874"/>
    </row>
    <row r="11110" s="311" customFormat="true" ht="45" hidden="false" customHeight="false" outlineLevel="0" collapsed="false">
      <c r="A11110" s="28"/>
      <c r="B11110" s="78"/>
      <c r="C11110" s="40" t="s">
        <v>6167</v>
      </c>
      <c r="D11110" s="1052" t="s">
        <v>6168</v>
      </c>
      <c r="E11110" s="1059" t="n">
        <v>24</v>
      </c>
      <c r="F11110" s="1050" t="n">
        <v>29800</v>
      </c>
      <c r="G11110" s="1051" t="n">
        <f aca="false">E11110*F11110/1000</f>
        <v>715.2</v>
      </c>
      <c r="H11110" s="874"/>
    </row>
    <row r="11111" s="311" customFormat="true" ht="15" hidden="false" customHeight="false" outlineLevel="0" collapsed="false">
      <c r="A11111" s="28"/>
      <c r="B11111" s="78"/>
      <c r="C11111" s="40" t="s">
        <v>6185</v>
      </c>
      <c r="D11111" s="316"/>
      <c r="E11111" s="316" t="n">
        <v>3</v>
      </c>
      <c r="F11111" s="112" t="n">
        <v>44000</v>
      </c>
      <c r="G11111" s="894" t="n">
        <f aca="false">E11111*F11111/96</f>
        <v>1375</v>
      </c>
      <c r="H11111" s="874"/>
    </row>
    <row r="11112" s="311" customFormat="true" ht="15" hidden="false" customHeight="false" outlineLevel="0" collapsed="false">
      <c r="A11112" s="28"/>
      <c r="B11112" s="78"/>
      <c r="C11112" s="40" t="s">
        <v>6186</v>
      </c>
      <c r="D11112" s="316"/>
      <c r="E11112" s="316" t="n">
        <v>3</v>
      </c>
      <c r="F11112" s="112" t="n">
        <v>41900</v>
      </c>
      <c r="G11112" s="894" t="n">
        <f aca="false">E11112*F11112/96</f>
        <v>1309.375</v>
      </c>
      <c r="H11112" s="874"/>
    </row>
    <row r="11113" s="311" customFormat="true" ht="15" hidden="false" customHeight="false" outlineLevel="0" collapsed="false">
      <c r="A11113" s="28"/>
      <c r="B11113" s="78"/>
      <c r="C11113" s="40" t="s">
        <v>6187</v>
      </c>
      <c r="D11113" s="316"/>
      <c r="E11113" s="316" t="n">
        <v>3</v>
      </c>
      <c r="F11113" s="112" t="n">
        <v>44000</v>
      </c>
      <c r="G11113" s="894" t="n">
        <f aca="false">E11113*F11113/96</f>
        <v>1375</v>
      </c>
      <c r="H11113" s="874"/>
    </row>
    <row r="11114" s="311" customFormat="true" ht="15" hidden="false" customHeight="false" outlineLevel="0" collapsed="false">
      <c r="A11114" s="28"/>
      <c r="B11114" s="78"/>
      <c r="C11114" s="40" t="s">
        <v>6188</v>
      </c>
      <c r="D11114" s="316"/>
      <c r="E11114" s="316" t="n">
        <v>3</v>
      </c>
      <c r="F11114" s="112" t="n">
        <v>39000</v>
      </c>
      <c r="G11114" s="894" t="n">
        <f aca="false">E11114*F11114/96</f>
        <v>1218.75</v>
      </c>
      <c r="H11114" s="874"/>
    </row>
    <row r="11115" s="311" customFormat="true" ht="15" hidden="false" customHeight="false" outlineLevel="0" collapsed="false">
      <c r="A11115" s="28"/>
      <c r="B11115" s="78"/>
      <c r="C11115" s="40" t="s">
        <v>6189</v>
      </c>
      <c r="D11115" s="316"/>
      <c r="E11115" s="316" t="n">
        <v>3</v>
      </c>
      <c r="F11115" s="112" t="n">
        <v>39000</v>
      </c>
      <c r="G11115" s="894" t="n">
        <f aca="false">E11115*F11115/96</f>
        <v>1218.75</v>
      </c>
      <c r="H11115" s="874"/>
    </row>
    <row r="11116" s="311" customFormat="true" ht="15" hidden="false" customHeight="false" outlineLevel="0" collapsed="false">
      <c r="A11116" s="28"/>
      <c r="B11116" s="78"/>
      <c r="C11116" s="40" t="s">
        <v>6190</v>
      </c>
      <c r="D11116" s="316"/>
      <c r="E11116" s="316" t="n">
        <v>3</v>
      </c>
      <c r="F11116" s="112" t="n">
        <v>44000</v>
      </c>
      <c r="G11116" s="894" t="n">
        <f aca="false">E11116*F11116/96</f>
        <v>1375</v>
      </c>
      <c r="H11116" s="874"/>
    </row>
    <row r="11117" s="311" customFormat="true" ht="15" hidden="false" customHeight="false" outlineLevel="0" collapsed="false">
      <c r="A11117" s="28"/>
      <c r="B11117" s="78"/>
      <c r="C11117" s="40" t="s">
        <v>6191</v>
      </c>
      <c r="D11117" s="316"/>
      <c r="E11117" s="316" t="n">
        <v>3</v>
      </c>
      <c r="F11117" s="112" t="n">
        <v>44000</v>
      </c>
      <c r="G11117" s="894" t="n">
        <f aca="false">E11117*F11117/96</f>
        <v>1375</v>
      </c>
      <c r="H11117" s="874"/>
    </row>
    <row r="11118" s="311" customFormat="true" ht="15" hidden="false" customHeight="false" outlineLevel="0" collapsed="false">
      <c r="A11118" s="28"/>
      <c r="B11118" s="971" t="s">
        <v>4128</v>
      </c>
      <c r="C11118" s="40"/>
      <c r="D11118" s="316"/>
      <c r="E11118" s="316"/>
      <c r="F11118" s="112"/>
      <c r="G11118" s="1055" t="n">
        <f aca="false">SUM(G11108:G11117)</f>
        <v>10376.875</v>
      </c>
      <c r="H11118" s="874"/>
    </row>
    <row r="11119" s="311" customFormat="true" ht="45" hidden="false" customHeight="true" outlineLevel="0" collapsed="false">
      <c r="A11119" s="216" t="s">
        <v>2183</v>
      </c>
      <c r="B11119" s="40" t="s">
        <v>3826</v>
      </c>
      <c r="C11119" s="108" t="s">
        <v>6192</v>
      </c>
      <c r="D11119" s="255" t="s">
        <v>6179</v>
      </c>
      <c r="E11119" s="255" t="n">
        <v>2</v>
      </c>
      <c r="F11119" s="1050" t="n">
        <v>44000</v>
      </c>
      <c r="G11119" s="1051" t="n">
        <f aca="false">F11119*E11119/96</f>
        <v>916.666666666667</v>
      </c>
      <c r="H11119" s="874" t="s">
        <v>6180</v>
      </c>
    </row>
    <row r="11120" s="311" customFormat="true" ht="45" hidden="false" customHeight="false" outlineLevel="0" collapsed="false">
      <c r="A11120" s="216"/>
      <c r="B11120" s="78"/>
      <c r="C11120" s="40" t="s">
        <v>6167</v>
      </c>
      <c r="D11120" s="1052" t="s">
        <v>6168</v>
      </c>
      <c r="E11120" s="1059" t="n">
        <v>12</v>
      </c>
      <c r="F11120" s="1050" t="n">
        <v>29800</v>
      </c>
      <c r="G11120" s="1051" t="n">
        <f aca="false">E11120*F11120/1000</f>
        <v>357.6</v>
      </c>
      <c r="H11120" s="874"/>
    </row>
    <row r="11121" s="311" customFormat="true" ht="15" hidden="false" customHeight="false" outlineLevel="0" collapsed="false">
      <c r="A11121" s="216"/>
      <c r="B11121" s="971" t="s">
        <v>4128</v>
      </c>
      <c r="C11121" s="40"/>
      <c r="D11121" s="316"/>
      <c r="E11121" s="316"/>
      <c r="F11121" s="112"/>
      <c r="G11121" s="1055" t="n">
        <f aca="false">SUM(G11119:G11120)</f>
        <v>1274.26666666667</v>
      </c>
      <c r="H11121" s="874"/>
    </row>
    <row r="11122" s="311" customFormat="true" ht="45" hidden="false" customHeight="true" outlineLevel="0" collapsed="false">
      <c r="A11122" s="216" t="s">
        <v>2185</v>
      </c>
      <c r="B11122" s="40" t="s">
        <v>3827</v>
      </c>
      <c r="C11122" s="108" t="s">
        <v>6193</v>
      </c>
      <c r="D11122" s="255" t="s">
        <v>6179</v>
      </c>
      <c r="E11122" s="255" t="n">
        <v>2</v>
      </c>
      <c r="F11122" s="1050" t="n">
        <v>41900</v>
      </c>
      <c r="G11122" s="1051" t="n">
        <f aca="false">F11122*E11122/96</f>
        <v>872.916666666667</v>
      </c>
      <c r="H11122" s="874" t="s">
        <v>6180</v>
      </c>
    </row>
    <row r="11123" s="311" customFormat="true" ht="45" hidden="false" customHeight="false" outlineLevel="0" collapsed="false">
      <c r="A11123" s="216"/>
      <c r="B11123" s="78"/>
      <c r="C11123" s="40" t="s">
        <v>6167</v>
      </c>
      <c r="D11123" s="1052" t="s">
        <v>6168</v>
      </c>
      <c r="E11123" s="1059" t="n">
        <v>12</v>
      </c>
      <c r="F11123" s="1050" t="n">
        <v>29800</v>
      </c>
      <c r="G11123" s="1051" t="n">
        <f aca="false">E11123*F11123/1000</f>
        <v>357.6</v>
      </c>
      <c r="H11123" s="874"/>
    </row>
    <row r="11124" s="311" customFormat="true" ht="15" hidden="false" customHeight="false" outlineLevel="0" collapsed="false">
      <c r="A11124" s="216"/>
      <c r="B11124" s="971" t="s">
        <v>4128</v>
      </c>
      <c r="C11124" s="40"/>
      <c r="D11124" s="316"/>
      <c r="E11124" s="316"/>
      <c r="F11124" s="112"/>
      <c r="G11124" s="1055" t="n">
        <f aca="false">SUM(G11122:G11123)</f>
        <v>1230.51666666667</v>
      </c>
      <c r="H11124" s="874"/>
    </row>
    <row r="11125" s="311" customFormat="true" ht="45" hidden="false" customHeight="true" outlineLevel="0" collapsed="false">
      <c r="A11125" s="216" t="s">
        <v>2187</v>
      </c>
      <c r="B11125" s="40" t="s">
        <v>3828</v>
      </c>
      <c r="C11125" s="108" t="s">
        <v>6194</v>
      </c>
      <c r="D11125" s="255" t="s">
        <v>6179</v>
      </c>
      <c r="E11125" s="255" t="n">
        <v>2</v>
      </c>
      <c r="F11125" s="1050" t="n">
        <v>44000</v>
      </c>
      <c r="G11125" s="1051" t="n">
        <f aca="false">F11125*E11125/96</f>
        <v>916.666666666667</v>
      </c>
      <c r="H11125" s="874" t="s">
        <v>6180</v>
      </c>
    </row>
    <row r="11126" s="311" customFormat="true" ht="45" hidden="false" customHeight="false" outlineLevel="0" collapsed="false">
      <c r="A11126" s="28"/>
      <c r="B11126" s="78"/>
      <c r="C11126" s="40" t="s">
        <v>6167</v>
      </c>
      <c r="D11126" s="1052" t="s">
        <v>6168</v>
      </c>
      <c r="E11126" s="1059" t="n">
        <v>12</v>
      </c>
      <c r="F11126" s="1050" t="n">
        <v>29800</v>
      </c>
      <c r="G11126" s="1051" t="n">
        <f aca="false">E11126*F11126/1000</f>
        <v>357.6</v>
      </c>
      <c r="H11126" s="874"/>
    </row>
    <row r="11127" s="311" customFormat="true" ht="15" hidden="false" customHeight="false" outlineLevel="0" collapsed="false">
      <c r="A11127" s="28"/>
      <c r="B11127" s="78"/>
      <c r="C11127" s="1061" t="s">
        <v>6163</v>
      </c>
      <c r="D11127" s="1062"/>
      <c r="E11127" s="1063"/>
      <c r="F11127" s="1054"/>
      <c r="G11127" s="1055" t="n">
        <f aca="false">SUM(G11125:G11126)</f>
        <v>1274.26666666667</v>
      </c>
      <c r="H11127" s="874"/>
    </row>
    <row r="11128" s="311" customFormat="true" ht="45" hidden="false" customHeight="true" outlineLevel="0" collapsed="false">
      <c r="A11128" s="216" t="s">
        <v>2189</v>
      </c>
      <c r="B11128" s="40" t="s">
        <v>3829</v>
      </c>
      <c r="C11128" s="108" t="s">
        <v>6195</v>
      </c>
      <c r="D11128" s="255" t="s">
        <v>6179</v>
      </c>
      <c r="E11128" s="255" t="n">
        <v>2</v>
      </c>
      <c r="F11128" s="1050" t="n">
        <v>39000</v>
      </c>
      <c r="G11128" s="1051" t="n">
        <f aca="false">F11128*E11128/96</f>
        <v>812.5</v>
      </c>
      <c r="H11128" s="874" t="s">
        <v>6180</v>
      </c>
    </row>
    <row r="11129" s="311" customFormat="true" ht="45" hidden="false" customHeight="false" outlineLevel="0" collapsed="false">
      <c r="A11129" s="28"/>
      <c r="B11129" s="78"/>
      <c r="C11129" s="40" t="s">
        <v>6167</v>
      </c>
      <c r="D11129" s="1052" t="s">
        <v>6168</v>
      </c>
      <c r="E11129" s="1059" t="n">
        <v>12</v>
      </c>
      <c r="F11129" s="1050" t="n">
        <v>29800</v>
      </c>
      <c r="G11129" s="1051" t="n">
        <f aca="false">E11129*F11129/1000</f>
        <v>357.6</v>
      </c>
      <c r="H11129" s="874"/>
    </row>
    <row r="11130" s="311" customFormat="true" ht="15" hidden="false" customHeight="false" outlineLevel="0" collapsed="false">
      <c r="A11130" s="28"/>
      <c r="B11130" s="971" t="s">
        <v>4128</v>
      </c>
      <c r="C11130" s="40"/>
      <c r="D11130" s="316"/>
      <c r="E11130" s="316"/>
      <c r="F11130" s="112"/>
      <c r="G11130" s="1055" t="n">
        <f aca="false">SUM(G11128:G11129)</f>
        <v>1170.1</v>
      </c>
      <c r="H11130" s="874"/>
    </row>
    <row r="11131" s="311" customFormat="true" ht="45" hidden="false" customHeight="true" outlineLevel="0" collapsed="false">
      <c r="A11131" s="216" t="s">
        <v>2191</v>
      </c>
      <c r="B11131" s="40" t="s">
        <v>3830</v>
      </c>
      <c r="C11131" s="108" t="s">
        <v>6196</v>
      </c>
      <c r="D11131" s="255" t="s">
        <v>6179</v>
      </c>
      <c r="E11131" s="255" t="n">
        <v>2</v>
      </c>
      <c r="F11131" s="1050" t="n">
        <v>39000</v>
      </c>
      <c r="G11131" s="1051" t="n">
        <f aca="false">F11131*E11131/96</f>
        <v>812.5</v>
      </c>
      <c r="H11131" s="874" t="s">
        <v>6180</v>
      </c>
    </row>
    <row r="11132" s="311" customFormat="true" ht="45" hidden="false" customHeight="false" outlineLevel="0" collapsed="false">
      <c r="A11132" s="28"/>
      <c r="B11132" s="78"/>
      <c r="C11132" s="40" t="s">
        <v>6167</v>
      </c>
      <c r="D11132" s="1052" t="s">
        <v>6168</v>
      </c>
      <c r="E11132" s="1059" t="n">
        <v>12</v>
      </c>
      <c r="F11132" s="1050" t="n">
        <v>29800</v>
      </c>
      <c r="G11132" s="1051" t="n">
        <f aca="false">E11132*F11132/1000</f>
        <v>357.6</v>
      </c>
      <c r="H11132" s="874"/>
    </row>
    <row r="11133" s="311" customFormat="true" ht="15" hidden="false" customHeight="false" outlineLevel="0" collapsed="false">
      <c r="A11133" s="28"/>
      <c r="B11133" s="971" t="s">
        <v>4128</v>
      </c>
      <c r="C11133" s="40"/>
      <c r="D11133" s="316"/>
      <c r="E11133" s="316"/>
      <c r="F11133" s="112"/>
      <c r="G11133" s="1055" t="n">
        <f aca="false">SUM(G11131:G11132)</f>
        <v>1170.1</v>
      </c>
      <c r="H11133" s="874"/>
    </row>
    <row r="11134" s="311" customFormat="true" ht="45" hidden="false" customHeight="true" outlineLevel="0" collapsed="false">
      <c r="A11134" s="216" t="s">
        <v>2193</v>
      </c>
      <c r="B11134" s="40" t="s">
        <v>3831</v>
      </c>
      <c r="C11134" s="108" t="s">
        <v>6197</v>
      </c>
      <c r="D11134" s="255" t="s">
        <v>6179</v>
      </c>
      <c r="E11134" s="255" t="n">
        <v>2</v>
      </c>
      <c r="F11134" s="1050" t="n">
        <v>44000</v>
      </c>
      <c r="G11134" s="1051" t="n">
        <f aca="false">F11134*E11134/96</f>
        <v>916.666666666667</v>
      </c>
      <c r="H11134" s="874" t="s">
        <v>6180</v>
      </c>
    </row>
    <row r="11135" s="311" customFormat="true" ht="45" hidden="false" customHeight="false" outlineLevel="0" collapsed="false">
      <c r="A11135" s="28"/>
      <c r="B11135" s="78"/>
      <c r="C11135" s="40" t="s">
        <v>6167</v>
      </c>
      <c r="D11135" s="1052" t="s">
        <v>6168</v>
      </c>
      <c r="E11135" s="1059" t="n">
        <v>12</v>
      </c>
      <c r="F11135" s="1050" t="n">
        <v>29800</v>
      </c>
      <c r="G11135" s="1051" t="n">
        <f aca="false">E11135*F11135/1000</f>
        <v>357.6</v>
      </c>
      <c r="H11135" s="874"/>
    </row>
    <row r="11136" s="311" customFormat="true" ht="15" hidden="false" customHeight="false" outlineLevel="0" collapsed="false">
      <c r="A11136" s="28"/>
      <c r="B11136" s="971" t="s">
        <v>4128</v>
      </c>
      <c r="C11136" s="40"/>
      <c r="D11136" s="316"/>
      <c r="E11136" s="316"/>
      <c r="F11136" s="112"/>
      <c r="G11136" s="1055" t="n">
        <f aca="false">SUM(G11134:G11135)</f>
        <v>1274.26666666667</v>
      </c>
      <c r="H11136" s="874"/>
    </row>
    <row r="11137" s="311" customFormat="true" ht="45" hidden="false" customHeight="true" outlineLevel="0" collapsed="false">
      <c r="A11137" s="216" t="s">
        <v>2195</v>
      </c>
      <c r="B11137" s="40" t="s">
        <v>3832</v>
      </c>
      <c r="C11137" s="108" t="s">
        <v>6198</v>
      </c>
      <c r="D11137" s="255" t="s">
        <v>6179</v>
      </c>
      <c r="E11137" s="255" t="n">
        <v>2</v>
      </c>
      <c r="F11137" s="1050" t="n">
        <v>44000</v>
      </c>
      <c r="G11137" s="1051" t="n">
        <f aca="false">F11137*E11137/96</f>
        <v>916.666666666667</v>
      </c>
      <c r="H11137" s="874" t="s">
        <v>6180</v>
      </c>
    </row>
    <row r="11138" s="311" customFormat="true" ht="45" hidden="false" customHeight="false" outlineLevel="0" collapsed="false">
      <c r="A11138" s="216"/>
      <c r="B11138" s="78"/>
      <c r="C11138" s="40" t="s">
        <v>6167</v>
      </c>
      <c r="D11138" s="1052" t="s">
        <v>6168</v>
      </c>
      <c r="E11138" s="1059" t="n">
        <v>12</v>
      </c>
      <c r="F11138" s="1050" t="n">
        <v>29800</v>
      </c>
      <c r="G11138" s="1051" t="n">
        <f aca="false">E11138*F11138/1000</f>
        <v>357.6</v>
      </c>
      <c r="H11138" s="874"/>
    </row>
    <row r="11139" s="311" customFormat="true" ht="15" hidden="false" customHeight="false" outlineLevel="0" collapsed="false">
      <c r="A11139" s="216"/>
      <c r="B11139" s="971" t="s">
        <v>4128</v>
      </c>
      <c r="C11139" s="1061" t="s">
        <v>6163</v>
      </c>
      <c r="D11139" s="1062"/>
      <c r="E11139" s="1063"/>
      <c r="F11139" s="1054"/>
      <c r="G11139" s="896" t="n">
        <f aca="false">SUM(G11137:G11138)</f>
        <v>1274.26666666667</v>
      </c>
      <c r="H11139" s="874"/>
    </row>
    <row r="11140" s="311" customFormat="true" ht="45" hidden="false" customHeight="true" outlineLevel="0" collapsed="false">
      <c r="A11140" s="216" t="s">
        <v>2197</v>
      </c>
      <c r="B11140" s="29" t="s">
        <v>3833</v>
      </c>
      <c r="C11140" s="40" t="s">
        <v>6199</v>
      </c>
      <c r="D11140" s="255" t="s">
        <v>6179</v>
      </c>
      <c r="E11140" s="255" t="n">
        <v>2</v>
      </c>
      <c r="F11140" s="1050" t="n">
        <v>57400</v>
      </c>
      <c r="G11140" s="1051" t="n">
        <f aca="false">F11140*E11140/112</f>
        <v>1025</v>
      </c>
      <c r="H11140" s="874" t="s">
        <v>6200</v>
      </c>
    </row>
    <row r="11141" s="311" customFormat="true" ht="135" hidden="false" customHeight="false" outlineLevel="0" collapsed="false">
      <c r="A11141" s="28"/>
      <c r="B11141" s="78"/>
      <c r="C11141" s="40" t="s">
        <v>6136</v>
      </c>
      <c r="D11141" s="874" t="s">
        <v>6137</v>
      </c>
      <c r="E11141" s="874" t="n">
        <v>1</v>
      </c>
      <c r="F11141" s="1050" t="n">
        <v>55906</v>
      </c>
      <c r="G11141" s="1051" t="n">
        <f aca="false">E11141*F11141/96</f>
        <v>582.354166666667</v>
      </c>
      <c r="H11141" s="874"/>
    </row>
    <row r="11142" s="311" customFormat="true" ht="45" hidden="false" customHeight="false" outlineLevel="0" collapsed="false">
      <c r="A11142" s="28"/>
      <c r="B11142" s="78"/>
      <c r="C11142" s="40" t="s">
        <v>6167</v>
      </c>
      <c r="D11142" s="1052" t="s">
        <v>6168</v>
      </c>
      <c r="E11142" s="1059" t="n">
        <v>12</v>
      </c>
      <c r="F11142" s="1050" t="n">
        <v>29800</v>
      </c>
      <c r="G11142" s="1051" t="n">
        <f aca="false">E11142*F11142/1000</f>
        <v>357.6</v>
      </c>
      <c r="H11142" s="874"/>
    </row>
    <row r="11143" s="311" customFormat="true" ht="30" hidden="false" customHeight="false" outlineLevel="0" collapsed="false">
      <c r="A11143" s="28"/>
      <c r="B11143" s="78"/>
      <c r="C11143" s="108" t="s">
        <v>6144</v>
      </c>
      <c r="D11143" s="1052" t="s">
        <v>6157</v>
      </c>
      <c r="E11143" s="255" t="n">
        <v>5</v>
      </c>
      <c r="F11143" s="1050" t="n">
        <v>9000</v>
      </c>
      <c r="G11143" s="1051" t="n">
        <f aca="false">E11143*F11143/500</f>
        <v>90</v>
      </c>
      <c r="H11143" s="874"/>
    </row>
    <row r="11144" s="311" customFormat="true" ht="15" hidden="false" customHeight="false" outlineLevel="0" collapsed="false">
      <c r="A11144" s="28"/>
      <c r="B11144" s="971" t="s">
        <v>4128</v>
      </c>
      <c r="C11144" s="40"/>
      <c r="D11144" s="316"/>
      <c r="E11144" s="316"/>
      <c r="F11144" s="112"/>
      <c r="G11144" s="1055" t="n">
        <f aca="false">SUM(G11140:G11143)</f>
        <v>2054.95416666667</v>
      </c>
      <c r="H11144" s="1064"/>
    </row>
    <row r="11145" s="311" customFormat="true" ht="60" hidden="false" customHeight="true" outlineLevel="0" collapsed="false">
      <c r="A11145" s="216" t="s">
        <v>2199</v>
      </c>
      <c r="B11145" s="29" t="s">
        <v>3834</v>
      </c>
      <c r="C11145" s="40" t="s">
        <v>6201</v>
      </c>
      <c r="D11145" s="255" t="s">
        <v>6202</v>
      </c>
      <c r="E11145" s="255" t="n">
        <v>1</v>
      </c>
      <c r="F11145" s="1050" t="n">
        <v>143600</v>
      </c>
      <c r="G11145" s="1051" t="n">
        <f aca="false">F11145*E11145/48</f>
        <v>2991.66666666667</v>
      </c>
      <c r="H11145" s="874" t="s">
        <v>6200</v>
      </c>
    </row>
    <row r="11146" s="311" customFormat="true" ht="135" hidden="false" customHeight="false" outlineLevel="0" collapsed="false">
      <c r="A11146" s="216"/>
      <c r="B11146" s="78"/>
      <c r="C11146" s="40" t="s">
        <v>6136</v>
      </c>
      <c r="D11146" s="874" t="s">
        <v>6137</v>
      </c>
      <c r="E11146" s="874" t="n">
        <v>1</v>
      </c>
      <c r="F11146" s="1050" t="n">
        <v>55906</v>
      </c>
      <c r="G11146" s="1051" t="n">
        <f aca="false">E11146*F11146/96</f>
        <v>582.354166666667</v>
      </c>
      <c r="H11146" s="874"/>
    </row>
    <row r="11147" s="311" customFormat="true" ht="45" hidden="false" customHeight="false" outlineLevel="0" collapsed="false">
      <c r="A11147" s="216"/>
      <c r="B11147" s="78"/>
      <c r="C11147" s="40" t="s">
        <v>6167</v>
      </c>
      <c r="D11147" s="1052" t="s">
        <v>6168</v>
      </c>
      <c r="E11147" s="1059" t="n">
        <v>12</v>
      </c>
      <c r="F11147" s="1050" t="n">
        <v>29800</v>
      </c>
      <c r="G11147" s="1051" t="n">
        <f aca="false">E11147*F11147/1000</f>
        <v>357.6</v>
      </c>
      <c r="H11147" s="874"/>
    </row>
    <row r="11148" s="311" customFormat="true" ht="30" hidden="false" customHeight="false" outlineLevel="0" collapsed="false">
      <c r="A11148" s="216"/>
      <c r="B11148" s="78"/>
      <c r="C11148" s="108" t="s">
        <v>6144</v>
      </c>
      <c r="D11148" s="1052" t="s">
        <v>6157</v>
      </c>
      <c r="E11148" s="255" t="n">
        <v>5</v>
      </c>
      <c r="F11148" s="1050" t="n">
        <v>9000</v>
      </c>
      <c r="G11148" s="1051" t="n">
        <f aca="false">E11148*F11148/500</f>
        <v>90</v>
      </c>
      <c r="H11148" s="874"/>
    </row>
    <row r="11149" s="311" customFormat="true" ht="15" hidden="false" customHeight="false" outlineLevel="0" collapsed="false">
      <c r="A11149" s="216"/>
      <c r="B11149" s="971"/>
      <c r="C11149" s="971" t="s">
        <v>4128</v>
      </c>
      <c r="D11149" s="316"/>
      <c r="E11149" s="316"/>
      <c r="F11149" s="112"/>
      <c r="G11149" s="1055" t="n">
        <f aca="false">SUM(G11145:G11148)</f>
        <v>4021.62083333333</v>
      </c>
      <c r="H11149" s="1064"/>
    </row>
    <row r="11150" s="311" customFormat="true" ht="75" hidden="false" customHeight="true" outlineLevel="0" collapsed="false">
      <c r="A11150" s="216" t="s">
        <v>2201</v>
      </c>
      <c r="B11150" s="40" t="s">
        <v>3835</v>
      </c>
      <c r="C11150" s="40" t="s">
        <v>6203</v>
      </c>
      <c r="D11150" s="255" t="s">
        <v>6204</v>
      </c>
      <c r="E11150" s="255" t="n">
        <v>1</v>
      </c>
      <c r="F11150" s="1050" t="n">
        <v>81600</v>
      </c>
      <c r="G11150" s="1051" t="n">
        <f aca="false">F11150*E11150/48</f>
        <v>1700</v>
      </c>
      <c r="H11150" s="874" t="s">
        <v>6205</v>
      </c>
    </row>
    <row r="11151" s="311" customFormat="true" ht="75" hidden="false" customHeight="false" outlineLevel="0" collapsed="false">
      <c r="A11151" s="216"/>
      <c r="B11151" s="40"/>
      <c r="C11151" s="40" t="s">
        <v>6206</v>
      </c>
      <c r="D11151" s="255" t="s">
        <v>6204</v>
      </c>
      <c r="E11151" s="255" t="n">
        <v>1</v>
      </c>
      <c r="F11151" s="1050" t="n">
        <v>79800</v>
      </c>
      <c r="G11151" s="1051" t="n">
        <f aca="false">F11151*E11151/48</f>
        <v>1662.5</v>
      </c>
      <c r="H11151" s="874"/>
    </row>
    <row r="11152" s="311" customFormat="true" ht="135" hidden="false" customHeight="false" outlineLevel="0" collapsed="false">
      <c r="A11152" s="28"/>
      <c r="B11152" s="40"/>
      <c r="C11152" s="40" t="s">
        <v>6136</v>
      </c>
      <c r="D11152" s="874" t="s">
        <v>6137</v>
      </c>
      <c r="E11152" s="874" t="n">
        <v>1</v>
      </c>
      <c r="F11152" s="1050" t="n">
        <v>55906</v>
      </c>
      <c r="G11152" s="1051" t="n">
        <f aca="false">E11152*F11152/100</f>
        <v>559.06</v>
      </c>
      <c r="H11152" s="874"/>
    </row>
    <row r="11153" s="311" customFormat="true" ht="45" hidden="false" customHeight="false" outlineLevel="0" collapsed="false">
      <c r="A11153" s="28"/>
      <c r="B11153" s="40"/>
      <c r="C11153" s="40" t="s">
        <v>6167</v>
      </c>
      <c r="D11153" s="1052" t="s">
        <v>6168</v>
      </c>
      <c r="E11153" s="1059" t="n">
        <v>12</v>
      </c>
      <c r="F11153" s="1050" t="n">
        <v>29800</v>
      </c>
      <c r="G11153" s="1051" t="n">
        <f aca="false">E11153*F11153/1000</f>
        <v>357.6</v>
      </c>
      <c r="H11153" s="874"/>
    </row>
    <row r="11154" s="311" customFormat="true" ht="30" hidden="false" customHeight="false" outlineLevel="0" collapsed="false">
      <c r="A11154" s="28"/>
      <c r="B11154" s="40"/>
      <c r="C11154" s="108" t="s">
        <v>6144</v>
      </c>
      <c r="D11154" s="1052" t="s">
        <v>6157</v>
      </c>
      <c r="E11154" s="255" t="n">
        <v>5</v>
      </c>
      <c r="F11154" s="1050" t="n">
        <v>9000</v>
      </c>
      <c r="G11154" s="1051" t="n">
        <f aca="false">E11154*F11154/500</f>
        <v>90</v>
      </c>
      <c r="H11154" s="1065"/>
    </row>
    <row r="11155" s="311" customFormat="true" ht="15" hidden="false" customHeight="false" outlineLevel="0" collapsed="false">
      <c r="A11155" s="28"/>
      <c r="B11155" s="40"/>
      <c r="C11155" s="1066" t="s">
        <v>6163</v>
      </c>
      <c r="D11155" s="1062"/>
      <c r="E11155" s="982"/>
      <c r="F11155" s="1054"/>
      <c r="G11155" s="896" t="n">
        <f aca="false">SUM(G11150:G11154)</f>
        <v>4369.16</v>
      </c>
      <c r="H11155" s="1065"/>
    </row>
    <row r="11156" s="311" customFormat="true" ht="63" hidden="false" customHeight="true" outlineLevel="0" collapsed="false">
      <c r="A11156" s="216" t="s">
        <v>2203</v>
      </c>
      <c r="B11156" s="108" t="s">
        <v>3836</v>
      </c>
      <c r="C11156" s="108" t="s">
        <v>6207</v>
      </c>
      <c r="D11156" s="255" t="s">
        <v>6208</v>
      </c>
      <c r="E11156" s="1052" t="n">
        <v>1</v>
      </c>
      <c r="F11156" s="1067" t="n">
        <v>785108.8</v>
      </c>
      <c r="G11156" s="1051" t="n">
        <f aca="false">E11156*F11156/100</f>
        <v>7851.088</v>
      </c>
      <c r="H11156" s="1068" t="s">
        <v>6209</v>
      </c>
    </row>
    <row r="11157" s="311" customFormat="true" ht="95.25" hidden="false" customHeight="true" outlineLevel="0" collapsed="false">
      <c r="A11157" s="216"/>
      <c r="B11157" s="108"/>
      <c r="C11157" s="40" t="s">
        <v>6136</v>
      </c>
      <c r="D11157" s="874" t="s">
        <v>6137</v>
      </c>
      <c r="E11157" s="874" t="n">
        <v>1</v>
      </c>
      <c r="F11157" s="1050" t="n">
        <v>55906</v>
      </c>
      <c r="G11157" s="1051" t="n">
        <f aca="false">E11157*F11157/96</f>
        <v>582.354166666667</v>
      </c>
      <c r="H11157" s="1068"/>
    </row>
    <row r="11158" s="311" customFormat="true" ht="60" hidden="false" customHeight="false" outlineLevel="0" collapsed="false">
      <c r="A11158" s="28"/>
      <c r="B11158" s="108"/>
      <c r="C11158" s="40" t="s">
        <v>6210</v>
      </c>
      <c r="D11158" s="255" t="s">
        <v>6211</v>
      </c>
      <c r="E11158" s="1052" t="n">
        <v>1</v>
      </c>
      <c r="F11158" s="1067" t="n">
        <v>1206048</v>
      </c>
      <c r="G11158" s="1051" t="n">
        <f aca="false">E11158*F11158/100</f>
        <v>12060.48</v>
      </c>
      <c r="H11158" s="1068"/>
    </row>
    <row r="11159" s="311" customFormat="true" ht="45" hidden="false" customHeight="false" outlineLevel="0" collapsed="false">
      <c r="A11159" s="28"/>
      <c r="B11159" s="40"/>
      <c r="C11159" s="40" t="s">
        <v>6167</v>
      </c>
      <c r="D11159" s="1052" t="s">
        <v>6168</v>
      </c>
      <c r="E11159" s="1059" t="n">
        <v>12</v>
      </c>
      <c r="F11159" s="1050" t="n">
        <v>29800</v>
      </c>
      <c r="G11159" s="1051" t="n">
        <f aca="false">E11159*F11159/1000</f>
        <v>357.6</v>
      </c>
      <c r="H11159" s="1068"/>
    </row>
    <row r="11160" s="311" customFormat="true" ht="30" hidden="false" customHeight="false" outlineLevel="0" collapsed="false">
      <c r="A11160" s="28"/>
      <c r="B11160" s="40"/>
      <c r="C11160" s="1069" t="s">
        <v>6212</v>
      </c>
      <c r="D11160" s="874" t="s">
        <v>6213</v>
      </c>
      <c r="E11160" s="874" t="n">
        <v>1</v>
      </c>
      <c r="F11160" s="1050" t="n">
        <v>283784</v>
      </c>
      <c r="G11160" s="1051" t="n">
        <f aca="false">F11160/55</f>
        <v>5159.70909090909</v>
      </c>
      <c r="H11160" s="1070"/>
    </row>
    <row r="11161" s="311" customFormat="true" ht="15" hidden="false" customHeight="false" outlineLevel="0" collapsed="false">
      <c r="A11161" s="28"/>
      <c r="B11161" s="40"/>
      <c r="C11161" s="40" t="s">
        <v>6214</v>
      </c>
      <c r="D11161" s="874" t="s">
        <v>6215</v>
      </c>
      <c r="E11161" s="874" t="n">
        <v>1</v>
      </c>
      <c r="F11161" s="1050" t="n">
        <v>279418</v>
      </c>
      <c r="G11161" s="1051" t="n">
        <f aca="false">F11161/284*E11161</f>
        <v>983.866197183099</v>
      </c>
      <c r="H11161" s="1070"/>
    </row>
    <row r="11162" s="311" customFormat="true" ht="30" hidden="false" customHeight="false" outlineLevel="0" collapsed="false">
      <c r="A11162" s="28"/>
      <c r="B11162" s="971"/>
      <c r="C11162" s="108" t="s">
        <v>6144</v>
      </c>
      <c r="D11162" s="1052" t="s">
        <v>6157</v>
      </c>
      <c r="E11162" s="255" t="n">
        <v>5</v>
      </c>
      <c r="F11162" s="1050" t="n">
        <v>9000</v>
      </c>
      <c r="G11162" s="1051" t="n">
        <f aca="false">E11162*F11162/500</f>
        <v>90</v>
      </c>
      <c r="H11162" s="1071"/>
    </row>
    <row r="11163" s="311" customFormat="true" ht="15" hidden="false" customHeight="false" outlineLevel="0" collapsed="false">
      <c r="A11163" s="28"/>
      <c r="B11163" s="971"/>
      <c r="C11163" s="1066" t="s">
        <v>6163</v>
      </c>
      <c r="D11163" s="1062"/>
      <c r="E11163" s="982"/>
      <c r="F11163" s="1054"/>
      <c r="G11163" s="896" t="n">
        <f aca="false">SUM(G11156:G11162)</f>
        <v>27085.0974547589</v>
      </c>
      <c r="H11163" s="1065"/>
    </row>
    <row r="11164" s="311" customFormat="true" ht="45" hidden="false" customHeight="true" outlineLevel="0" collapsed="false">
      <c r="A11164" s="216" t="s">
        <v>2205</v>
      </c>
      <c r="B11164" s="29" t="s">
        <v>3837</v>
      </c>
      <c r="C11164" s="108" t="s">
        <v>6216</v>
      </c>
      <c r="D11164" s="255" t="s">
        <v>6179</v>
      </c>
      <c r="E11164" s="255" t="n">
        <v>2</v>
      </c>
      <c r="F11164" s="1050" t="n">
        <v>52100</v>
      </c>
      <c r="G11164" s="1051" t="n">
        <f aca="false">F11164*E11164/96</f>
        <v>1085.41666666667</v>
      </c>
      <c r="H11164" s="874" t="s">
        <v>6180</v>
      </c>
    </row>
    <row r="11165" s="311" customFormat="true" ht="45" hidden="false" customHeight="false" outlineLevel="0" collapsed="false">
      <c r="A11165" s="216"/>
      <c r="B11165" s="78"/>
      <c r="C11165" s="40" t="s">
        <v>6167</v>
      </c>
      <c r="D11165" s="1052" t="s">
        <v>6168</v>
      </c>
      <c r="E11165" s="1059" t="n">
        <v>3</v>
      </c>
      <c r="F11165" s="1050" t="n">
        <v>29800</v>
      </c>
      <c r="G11165" s="1051" t="n">
        <f aca="false">E11165*F11165/1000</f>
        <v>89.4</v>
      </c>
      <c r="H11165" s="874"/>
    </row>
    <row r="11166" s="311" customFormat="true" ht="15" hidden="false" customHeight="false" outlineLevel="0" collapsed="false">
      <c r="A11166" s="216"/>
      <c r="B11166" s="78"/>
      <c r="C11166" s="1061" t="s">
        <v>6163</v>
      </c>
      <c r="D11166" s="1062"/>
      <c r="E11166" s="1063"/>
      <c r="F11166" s="1054"/>
      <c r="G11166" s="896" t="n">
        <f aca="false">SUM(G11164:G11165)</f>
        <v>1174.81666666667</v>
      </c>
      <c r="H11166" s="874"/>
    </row>
    <row r="11167" s="311" customFormat="true" ht="45" hidden="false" customHeight="true" outlineLevel="0" collapsed="false">
      <c r="A11167" s="216" t="s">
        <v>2207</v>
      </c>
      <c r="B11167" s="40" t="s">
        <v>3838</v>
      </c>
      <c r="C11167" s="40" t="s">
        <v>6217</v>
      </c>
      <c r="D11167" s="255" t="s">
        <v>6218</v>
      </c>
      <c r="E11167" s="255" t="n">
        <v>1</v>
      </c>
      <c r="F11167" s="1050" t="n">
        <v>55200</v>
      </c>
      <c r="G11167" s="1051" t="n">
        <f aca="false">F11167*E11167/48</f>
        <v>1150</v>
      </c>
      <c r="H11167" s="874" t="s">
        <v>6200</v>
      </c>
    </row>
    <row r="11168" s="311" customFormat="true" ht="108" hidden="false" customHeight="true" outlineLevel="0" collapsed="false">
      <c r="A11168" s="28"/>
      <c r="B11168" s="78"/>
      <c r="C11168" s="40" t="s">
        <v>6136</v>
      </c>
      <c r="D11168" s="874" t="s">
        <v>6137</v>
      </c>
      <c r="E11168" s="874" t="n">
        <v>1</v>
      </c>
      <c r="F11168" s="1050" t="n">
        <v>55906</v>
      </c>
      <c r="G11168" s="1051" t="n">
        <f aca="false">E11168*F11168/96</f>
        <v>582.354166666667</v>
      </c>
      <c r="H11168" s="874"/>
    </row>
    <row r="11169" s="311" customFormat="true" ht="51.75" hidden="false" customHeight="true" outlineLevel="0" collapsed="false">
      <c r="A11169" s="28"/>
      <c r="B11169" s="78"/>
      <c r="C11169" s="40" t="s">
        <v>6167</v>
      </c>
      <c r="D11169" s="1052" t="s">
        <v>6168</v>
      </c>
      <c r="E11169" s="1059" t="n">
        <v>3</v>
      </c>
      <c r="F11169" s="1050" t="n">
        <v>29800</v>
      </c>
      <c r="G11169" s="1051" t="n">
        <f aca="false">E11169*F11169/1000</f>
        <v>89.4</v>
      </c>
      <c r="H11169" s="874"/>
    </row>
    <row r="11170" s="311" customFormat="true" ht="30" hidden="false" customHeight="false" outlineLevel="0" collapsed="false">
      <c r="A11170" s="28"/>
      <c r="B11170" s="78"/>
      <c r="C11170" s="108" t="s">
        <v>6144</v>
      </c>
      <c r="D11170" s="1052" t="s">
        <v>6157</v>
      </c>
      <c r="E11170" s="255" t="n">
        <v>5</v>
      </c>
      <c r="F11170" s="1050" t="n">
        <v>9000</v>
      </c>
      <c r="G11170" s="1051" t="n">
        <f aca="false">E11170*F11170/500</f>
        <v>90</v>
      </c>
      <c r="H11170" s="874"/>
    </row>
    <row r="11171" s="311" customFormat="true" ht="15" hidden="false" customHeight="false" outlineLevel="0" collapsed="false">
      <c r="A11171" s="28"/>
      <c r="B11171" s="78"/>
      <c r="C11171" s="1066" t="s">
        <v>6163</v>
      </c>
      <c r="D11171" s="1062"/>
      <c r="E11171" s="982"/>
      <c r="F11171" s="1054"/>
      <c r="G11171" s="896" t="n">
        <f aca="false">SUM(G11167:G11170)</f>
        <v>1911.75416666667</v>
      </c>
      <c r="H11171" s="1065"/>
    </row>
    <row r="11172" s="311" customFormat="true" ht="60" hidden="false" customHeight="true" outlineLevel="0" collapsed="false">
      <c r="A11172" s="216" t="s">
        <v>2209</v>
      </c>
      <c r="B11172" s="40" t="s">
        <v>3839</v>
      </c>
      <c r="C11172" s="40" t="s">
        <v>6219</v>
      </c>
      <c r="D11172" s="255" t="s">
        <v>6220</v>
      </c>
      <c r="E11172" s="255" t="n">
        <v>2</v>
      </c>
      <c r="F11172" s="1050" t="n">
        <v>183800</v>
      </c>
      <c r="G11172" s="1051" t="n">
        <f aca="false">F11172*E11172/80</f>
        <v>4595</v>
      </c>
      <c r="H11172" s="874" t="s">
        <v>6200</v>
      </c>
    </row>
    <row r="11173" s="311" customFormat="true" ht="135" hidden="false" customHeight="false" outlineLevel="0" collapsed="false">
      <c r="A11173" s="216"/>
      <c r="B11173" s="78"/>
      <c r="C11173" s="40" t="s">
        <v>6136</v>
      </c>
      <c r="D11173" s="874" t="s">
        <v>6137</v>
      </c>
      <c r="E11173" s="874" t="n">
        <v>1</v>
      </c>
      <c r="F11173" s="1050" t="n">
        <v>55906</v>
      </c>
      <c r="G11173" s="1051" t="n">
        <f aca="false">E11173*F11173/96</f>
        <v>582.354166666667</v>
      </c>
      <c r="H11173" s="874"/>
    </row>
    <row r="11174" s="311" customFormat="true" ht="45" hidden="false" customHeight="false" outlineLevel="0" collapsed="false">
      <c r="A11174" s="216"/>
      <c r="B11174" s="78"/>
      <c r="C11174" s="40" t="s">
        <v>6167</v>
      </c>
      <c r="D11174" s="1052" t="s">
        <v>6168</v>
      </c>
      <c r="E11174" s="1059" t="n">
        <v>3</v>
      </c>
      <c r="F11174" s="1050" t="n">
        <v>29800</v>
      </c>
      <c r="G11174" s="1051" t="n">
        <f aca="false">E11174*F11174/1000</f>
        <v>89.4</v>
      </c>
      <c r="H11174" s="874"/>
    </row>
    <row r="11175" s="311" customFormat="true" ht="15" hidden="false" customHeight="false" outlineLevel="0" collapsed="false">
      <c r="A11175" s="216"/>
      <c r="B11175" s="78"/>
      <c r="C11175" s="108" t="s">
        <v>6221</v>
      </c>
      <c r="D11175" s="1052" t="s">
        <v>6153</v>
      </c>
      <c r="E11175" s="255" t="n">
        <v>2</v>
      </c>
      <c r="F11175" s="1050" t="n">
        <v>15180</v>
      </c>
      <c r="G11175" s="1051" t="n">
        <f aca="false">E11175*F11175/500</f>
        <v>60.72</v>
      </c>
      <c r="H11175" s="874"/>
    </row>
    <row r="11176" s="311" customFormat="true" ht="15" hidden="false" customHeight="false" outlineLevel="0" collapsed="false">
      <c r="A11176" s="216"/>
      <c r="B11176" s="78"/>
      <c r="C11176" s="1066" t="s">
        <v>6163</v>
      </c>
      <c r="D11176" s="1062"/>
      <c r="E11176" s="982"/>
      <c r="F11176" s="1054"/>
      <c r="G11176" s="896" t="n">
        <f aca="false">SUM(G11172:G11175)</f>
        <v>5327.47416666667</v>
      </c>
      <c r="H11176" s="1065"/>
    </row>
    <row r="11177" s="311" customFormat="true" ht="45" hidden="false" customHeight="true" outlineLevel="0" collapsed="false">
      <c r="A11177" s="216" t="s">
        <v>2211</v>
      </c>
      <c r="B11177" s="29" t="s">
        <v>3840</v>
      </c>
      <c r="C11177" s="108" t="s">
        <v>6222</v>
      </c>
      <c r="D11177" s="255" t="s">
        <v>6179</v>
      </c>
      <c r="E11177" s="255" t="n">
        <v>2</v>
      </c>
      <c r="F11177" s="1050" t="n">
        <v>31570</v>
      </c>
      <c r="G11177" s="1051" t="n">
        <f aca="false">F11177*E11177/96</f>
        <v>657.708333333333</v>
      </c>
      <c r="H11177" s="874" t="s">
        <v>6180</v>
      </c>
    </row>
    <row r="11178" s="311" customFormat="true" ht="45" hidden="false" customHeight="false" outlineLevel="0" collapsed="false">
      <c r="A11178" s="28"/>
      <c r="B11178" s="29"/>
      <c r="C11178" s="52" t="s">
        <v>6181</v>
      </c>
      <c r="D11178" s="1052" t="s">
        <v>6153</v>
      </c>
      <c r="E11178" s="1059" t="n">
        <v>3</v>
      </c>
      <c r="F11178" s="1050" t="n">
        <v>29800</v>
      </c>
      <c r="G11178" s="1051" t="n">
        <f aca="false">E11178*F11178/1000</f>
        <v>89.4</v>
      </c>
      <c r="H11178" s="874"/>
    </row>
    <row r="11179" s="311" customFormat="true" ht="15" hidden="false" customHeight="false" outlineLevel="0" collapsed="false">
      <c r="A11179" s="28"/>
      <c r="B11179" s="29"/>
      <c r="C11179" s="971" t="s">
        <v>4128</v>
      </c>
      <c r="D11179" s="316"/>
      <c r="E11179" s="316"/>
      <c r="F11179" s="112"/>
      <c r="G11179" s="1055" t="n">
        <f aca="false">SUM(G11177:G11178)</f>
        <v>747.108333333333</v>
      </c>
      <c r="H11179" s="1064"/>
    </row>
    <row r="11180" s="311" customFormat="true" ht="45" hidden="false" customHeight="true" outlineLevel="0" collapsed="false">
      <c r="A11180" s="216" t="s">
        <v>2213</v>
      </c>
      <c r="B11180" s="29" t="s">
        <v>3841</v>
      </c>
      <c r="C11180" s="108" t="s">
        <v>6223</v>
      </c>
      <c r="D11180" s="255" t="s">
        <v>6218</v>
      </c>
      <c r="E11180" s="255" t="n">
        <v>2</v>
      </c>
      <c r="F11180" s="1050" t="n">
        <v>56090</v>
      </c>
      <c r="G11180" s="1051" t="n">
        <f aca="false">F11180*E11180/48</f>
        <v>2337.08333333333</v>
      </c>
      <c r="H11180" s="874" t="s">
        <v>6180</v>
      </c>
    </row>
    <row r="11181" s="311" customFormat="true" ht="45" hidden="false" customHeight="false" outlineLevel="0" collapsed="false">
      <c r="A11181" s="28"/>
      <c r="B11181" s="29"/>
      <c r="C11181" s="40" t="s">
        <v>6167</v>
      </c>
      <c r="D11181" s="1052" t="s">
        <v>6168</v>
      </c>
      <c r="E11181" s="1059" t="n">
        <v>3</v>
      </c>
      <c r="F11181" s="1050" t="n">
        <v>29800</v>
      </c>
      <c r="G11181" s="1051" t="n">
        <f aca="false">E11181*F11181/1000</f>
        <v>89.4</v>
      </c>
      <c r="H11181" s="874"/>
    </row>
    <row r="11182" s="311" customFormat="true" ht="15" hidden="false" customHeight="false" outlineLevel="0" collapsed="false">
      <c r="A11182" s="28"/>
      <c r="B11182" s="29"/>
      <c r="C11182" s="1061" t="s">
        <v>6163</v>
      </c>
      <c r="D11182" s="1062"/>
      <c r="E11182" s="1063"/>
      <c r="F11182" s="1054"/>
      <c r="G11182" s="896" t="n">
        <f aca="false">SUM(G11180:G11181)</f>
        <v>2426.48333333333</v>
      </c>
      <c r="H11182" s="1065"/>
    </row>
    <row r="11183" s="311" customFormat="true" ht="45" hidden="false" customHeight="true" outlineLevel="0" collapsed="false">
      <c r="A11183" s="216" t="s">
        <v>2215</v>
      </c>
      <c r="B11183" s="29" t="s">
        <v>3842</v>
      </c>
      <c r="C11183" s="40" t="s">
        <v>6224</v>
      </c>
      <c r="D11183" s="255" t="s">
        <v>6225</v>
      </c>
      <c r="E11183" s="255" t="n">
        <v>1</v>
      </c>
      <c r="F11183" s="1050" t="n">
        <v>71800</v>
      </c>
      <c r="G11183" s="1051" t="n">
        <f aca="false">F11183*E11183/112</f>
        <v>641.071428571429</v>
      </c>
      <c r="H11183" s="874" t="s">
        <v>6200</v>
      </c>
    </row>
    <row r="11184" s="311" customFormat="true" ht="135" hidden="false" customHeight="false" outlineLevel="0" collapsed="false">
      <c r="A11184" s="216"/>
      <c r="B11184" s="29"/>
      <c r="C11184" s="40" t="s">
        <v>6136</v>
      </c>
      <c r="D11184" s="874" t="s">
        <v>6137</v>
      </c>
      <c r="E11184" s="874" t="n">
        <v>1</v>
      </c>
      <c r="F11184" s="1050" t="n">
        <v>55906</v>
      </c>
      <c r="G11184" s="1051" t="n">
        <f aca="false">E11184*F11184/96</f>
        <v>582.354166666667</v>
      </c>
      <c r="H11184" s="874"/>
    </row>
    <row r="11185" s="311" customFormat="true" ht="45" hidden="false" customHeight="false" outlineLevel="0" collapsed="false">
      <c r="A11185" s="216"/>
      <c r="B11185" s="29"/>
      <c r="C11185" s="40" t="s">
        <v>6167</v>
      </c>
      <c r="D11185" s="1052" t="s">
        <v>6168</v>
      </c>
      <c r="E11185" s="1059" t="n">
        <v>3</v>
      </c>
      <c r="F11185" s="1050" t="n">
        <v>29800</v>
      </c>
      <c r="G11185" s="1051" t="n">
        <f aca="false">E11185*F11185/1000</f>
        <v>89.4</v>
      </c>
      <c r="H11185" s="874"/>
    </row>
    <row r="11186" s="311" customFormat="true" ht="30" hidden="false" customHeight="false" outlineLevel="0" collapsed="false">
      <c r="A11186" s="216"/>
      <c r="B11186" s="29"/>
      <c r="C11186" s="108" t="s">
        <v>6144</v>
      </c>
      <c r="D11186" s="1052" t="s">
        <v>6157</v>
      </c>
      <c r="E11186" s="255" t="n">
        <v>5</v>
      </c>
      <c r="F11186" s="1050" t="n">
        <v>9000</v>
      </c>
      <c r="G11186" s="1051" t="n">
        <f aca="false">E11186*F11186/500</f>
        <v>90</v>
      </c>
      <c r="H11186" s="874"/>
    </row>
    <row r="11187" s="311" customFormat="true" ht="15" hidden="false" customHeight="false" outlineLevel="0" collapsed="false">
      <c r="A11187" s="216"/>
      <c r="B11187" s="29"/>
      <c r="C11187" s="971" t="s">
        <v>4128</v>
      </c>
      <c r="D11187" s="316"/>
      <c r="E11187" s="316"/>
      <c r="F11187" s="112"/>
      <c r="G11187" s="1055" t="n">
        <f aca="false">SUM(G11183:G11186)</f>
        <v>1402.8255952381</v>
      </c>
      <c r="H11187" s="1064"/>
    </row>
    <row r="11188" s="311" customFormat="true" ht="60" hidden="false" customHeight="true" outlineLevel="0" collapsed="false">
      <c r="A11188" s="216" t="s">
        <v>2217</v>
      </c>
      <c r="B11188" s="29" t="s">
        <v>3843</v>
      </c>
      <c r="C11188" s="40" t="s">
        <v>6226</v>
      </c>
      <c r="D11188" s="255" t="s">
        <v>6202</v>
      </c>
      <c r="E11188" s="255" t="n">
        <v>1</v>
      </c>
      <c r="F11188" s="1050" t="n">
        <v>183800</v>
      </c>
      <c r="G11188" s="1051" t="n">
        <f aca="false">F11188*E11188/48</f>
        <v>3829.16666666667</v>
      </c>
      <c r="H11188" s="874" t="s">
        <v>6200</v>
      </c>
    </row>
    <row r="11189" s="311" customFormat="true" ht="135" hidden="false" customHeight="false" outlineLevel="0" collapsed="false">
      <c r="A11189" s="216"/>
      <c r="B11189" s="78"/>
      <c r="C11189" s="40" t="s">
        <v>6136</v>
      </c>
      <c r="D11189" s="874" t="s">
        <v>6139</v>
      </c>
      <c r="E11189" s="874" t="n">
        <v>1</v>
      </c>
      <c r="F11189" s="1050" t="n">
        <v>55906</v>
      </c>
      <c r="G11189" s="1051" t="n">
        <f aca="false">E11189*F11189/96</f>
        <v>582.354166666667</v>
      </c>
      <c r="H11189" s="874"/>
    </row>
    <row r="11190" s="311" customFormat="true" ht="45" hidden="false" customHeight="false" outlineLevel="0" collapsed="false">
      <c r="A11190" s="216"/>
      <c r="B11190" s="78"/>
      <c r="C11190" s="40" t="s">
        <v>6167</v>
      </c>
      <c r="D11190" s="1052" t="s">
        <v>6168</v>
      </c>
      <c r="E11190" s="1059" t="n">
        <v>3</v>
      </c>
      <c r="F11190" s="1050" t="n">
        <v>29800</v>
      </c>
      <c r="G11190" s="1051" t="n">
        <f aca="false">E11190*F11190/1000</f>
        <v>89.4</v>
      </c>
      <c r="H11190" s="874"/>
    </row>
    <row r="11191" s="311" customFormat="true" ht="30" hidden="false" customHeight="false" outlineLevel="0" collapsed="false">
      <c r="A11191" s="216"/>
      <c r="B11191" s="78"/>
      <c r="C11191" s="108" t="s">
        <v>6144</v>
      </c>
      <c r="D11191" s="1052" t="s">
        <v>6157</v>
      </c>
      <c r="E11191" s="255" t="n">
        <v>5</v>
      </c>
      <c r="F11191" s="1050" t="n">
        <v>9000</v>
      </c>
      <c r="G11191" s="1051" t="n">
        <f aca="false">E11191*F11191/500</f>
        <v>90</v>
      </c>
      <c r="H11191" s="874"/>
    </row>
    <row r="11192" s="311" customFormat="true" ht="15" hidden="false" customHeight="false" outlineLevel="0" collapsed="false">
      <c r="A11192" s="216"/>
      <c r="B11192" s="971" t="s">
        <v>4128</v>
      </c>
      <c r="C11192" s="40"/>
      <c r="D11192" s="316"/>
      <c r="E11192" s="316"/>
      <c r="F11192" s="112"/>
      <c r="G11192" s="1055" t="n">
        <f aca="false">SUM(G11188:G11191)</f>
        <v>4590.92083333333</v>
      </c>
      <c r="H11192" s="1064"/>
    </row>
    <row r="11193" s="311" customFormat="true" ht="46.5" hidden="false" customHeight="true" outlineLevel="0" collapsed="false">
      <c r="A11193" s="216" t="s">
        <v>2219</v>
      </c>
      <c r="B11193" s="40" t="s">
        <v>3844</v>
      </c>
      <c r="C11193" s="40" t="s">
        <v>6203</v>
      </c>
      <c r="D11193" s="255" t="s">
        <v>6204</v>
      </c>
      <c r="E11193" s="255" t="n">
        <v>1</v>
      </c>
      <c r="F11193" s="1050" t="n">
        <v>81600</v>
      </c>
      <c r="G11193" s="1051" t="n">
        <f aca="false">F11193*E11193/48</f>
        <v>1700</v>
      </c>
      <c r="H11193" s="874" t="s">
        <v>6200</v>
      </c>
    </row>
    <row r="11194" s="311" customFormat="true" ht="51" hidden="false" customHeight="true" outlineLevel="0" collapsed="false">
      <c r="A11194" s="216"/>
      <c r="B11194" s="40"/>
      <c r="C11194" s="40" t="s">
        <v>6206</v>
      </c>
      <c r="D11194" s="255" t="s">
        <v>6204</v>
      </c>
      <c r="E11194" s="255" t="n">
        <v>1</v>
      </c>
      <c r="F11194" s="1050" t="n">
        <v>79800</v>
      </c>
      <c r="G11194" s="1051" t="n">
        <f aca="false">F11194*E11194/48</f>
        <v>1662.5</v>
      </c>
      <c r="H11194" s="874"/>
    </row>
    <row r="11195" s="311" customFormat="true" ht="135" hidden="false" customHeight="false" outlineLevel="0" collapsed="false">
      <c r="A11195" s="28"/>
      <c r="B11195" s="78"/>
      <c r="C11195" s="40" t="s">
        <v>6136</v>
      </c>
      <c r="D11195" s="874" t="s">
        <v>6227</v>
      </c>
      <c r="E11195" s="874" t="n">
        <v>1</v>
      </c>
      <c r="F11195" s="1050" t="n">
        <v>55906</v>
      </c>
      <c r="G11195" s="1051" t="n">
        <f aca="false">E11195*F11195/96</f>
        <v>582.354166666667</v>
      </c>
      <c r="H11195" s="874"/>
    </row>
    <row r="11196" s="311" customFormat="true" ht="32.25" hidden="false" customHeight="true" outlineLevel="0" collapsed="false">
      <c r="A11196" s="28"/>
      <c r="B11196" s="78"/>
      <c r="C11196" s="40" t="s">
        <v>6138</v>
      </c>
      <c r="D11196" s="874" t="s">
        <v>6134</v>
      </c>
      <c r="E11196" s="874" t="n">
        <v>1</v>
      </c>
      <c r="F11196" s="1050" t="n">
        <v>27200</v>
      </c>
      <c r="G11196" s="1051" t="n">
        <f aca="false">E11196*F11196/55</f>
        <v>494.545454545455</v>
      </c>
      <c r="H11196" s="874"/>
    </row>
    <row r="11197" s="311" customFormat="true" ht="45" hidden="false" customHeight="false" outlineLevel="0" collapsed="false">
      <c r="A11197" s="28"/>
      <c r="B11197" s="78"/>
      <c r="C11197" s="40" t="s">
        <v>6167</v>
      </c>
      <c r="D11197" s="1052" t="s">
        <v>6168</v>
      </c>
      <c r="E11197" s="1059" t="n">
        <v>3</v>
      </c>
      <c r="F11197" s="1050" t="n">
        <v>29800</v>
      </c>
      <c r="G11197" s="1051" t="n">
        <f aca="false">E11197*F11197/1000</f>
        <v>89.4</v>
      </c>
      <c r="H11197" s="874"/>
    </row>
    <row r="11198" s="311" customFormat="true" ht="15" hidden="false" customHeight="false" outlineLevel="0" collapsed="false">
      <c r="A11198" s="28"/>
      <c r="B11198" s="78"/>
      <c r="C11198" s="108" t="s">
        <v>6221</v>
      </c>
      <c r="D11198" s="1052" t="s">
        <v>6153</v>
      </c>
      <c r="E11198" s="255" t="n">
        <v>2</v>
      </c>
      <c r="F11198" s="1050" t="n">
        <v>15180</v>
      </c>
      <c r="G11198" s="1051" t="n">
        <f aca="false">E11198*F11198/500</f>
        <v>60.72</v>
      </c>
      <c r="H11198" s="874"/>
    </row>
    <row r="11199" s="311" customFormat="true" ht="15" hidden="false" customHeight="false" outlineLevel="0" collapsed="false">
      <c r="A11199" s="28"/>
      <c r="B11199" s="78"/>
      <c r="C11199" s="1066" t="s">
        <v>6163</v>
      </c>
      <c r="D11199" s="1062"/>
      <c r="E11199" s="982"/>
      <c r="F11199" s="1054"/>
      <c r="G11199" s="896" t="n">
        <f aca="false">SUM(G11193:G11198)</f>
        <v>4589.51962121212</v>
      </c>
      <c r="H11199" s="1065"/>
    </row>
    <row r="11200" s="451" customFormat="true" ht="60" hidden="false" customHeight="false" outlineLevel="0" collapsed="false">
      <c r="A11200" s="707" t="s">
        <v>2221</v>
      </c>
      <c r="B11200" s="487" t="s">
        <v>3845</v>
      </c>
      <c r="C11200" s="533" t="s">
        <v>6228</v>
      </c>
      <c r="D11200" s="868" t="s">
        <v>6179</v>
      </c>
      <c r="E11200" s="868" t="n">
        <v>2</v>
      </c>
      <c r="F11200" s="729" t="n">
        <v>78260</v>
      </c>
      <c r="G11200" s="765" t="n">
        <v>1630.41666666667</v>
      </c>
      <c r="H11200" s="796" t="s">
        <v>6180</v>
      </c>
    </row>
    <row r="11201" s="451" customFormat="true" ht="45" hidden="false" customHeight="false" outlineLevel="0" collapsed="false">
      <c r="A11201" s="707"/>
      <c r="B11201" s="522"/>
      <c r="C11201" s="762" t="s">
        <v>6167</v>
      </c>
      <c r="D11201" s="1072" t="s">
        <v>6168</v>
      </c>
      <c r="E11201" s="728" t="n">
        <v>3</v>
      </c>
      <c r="F11201" s="729" t="n">
        <v>29800</v>
      </c>
      <c r="G11201" s="765" t="n">
        <v>89.4</v>
      </c>
      <c r="H11201" s="796"/>
    </row>
    <row r="11202" s="451" customFormat="true" ht="15" hidden="false" customHeight="false" outlineLevel="0" collapsed="false">
      <c r="A11202" s="707"/>
      <c r="B11202" s="708" t="s">
        <v>4128</v>
      </c>
      <c r="C11202" s="532"/>
      <c r="D11202" s="679"/>
      <c r="E11202" s="679"/>
      <c r="F11202" s="369"/>
      <c r="G11202" s="711" t="n">
        <v>1719.81666666667</v>
      </c>
      <c r="H11202" s="532"/>
    </row>
    <row r="11203" s="451" customFormat="true" ht="105" hidden="false" customHeight="false" outlineLevel="0" collapsed="false">
      <c r="A11203" s="707" t="s">
        <v>2223</v>
      </c>
      <c r="B11203" s="532" t="s">
        <v>3846</v>
      </c>
      <c r="C11203" s="1073" t="s">
        <v>6229</v>
      </c>
      <c r="D11203" s="868" t="s">
        <v>6230</v>
      </c>
      <c r="E11203" s="868" t="n">
        <v>2</v>
      </c>
      <c r="F11203" s="729" t="n">
        <v>78900</v>
      </c>
      <c r="G11203" s="765" t="n">
        <v>2869.09090909091</v>
      </c>
      <c r="H11203" s="796" t="s">
        <v>6200</v>
      </c>
    </row>
    <row r="11204" s="451" customFormat="true" ht="135" hidden="false" customHeight="false" outlineLevel="0" collapsed="false">
      <c r="A11204" s="707"/>
      <c r="B11204" s="522"/>
      <c r="C11204" s="532" t="s">
        <v>6136</v>
      </c>
      <c r="D11204" s="737" t="s">
        <v>6139</v>
      </c>
      <c r="E11204" s="737" t="n">
        <v>1</v>
      </c>
      <c r="F11204" s="729" t="n">
        <v>55906</v>
      </c>
      <c r="G11204" s="765" t="n">
        <v>559.06</v>
      </c>
      <c r="H11204" s="796"/>
    </row>
    <row r="11205" s="451" customFormat="true" ht="45" hidden="false" customHeight="false" outlineLevel="0" collapsed="false">
      <c r="A11205" s="707"/>
      <c r="B11205" s="522"/>
      <c r="C11205" s="532" t="s">
        <v>6167</v>
      </c>
      <c r="D11205" s="737" t="s">
        <v>6162</v>
      </c>
      <c r="E11205" s="737" t="n">
        <v>5</v>
      </c>
      <c r="F11205" s="729" t="n">
        <v>29800</v>
      </c>
      <c r="G11205" s="765" t="n">
        <v>149</v>
      </c>
      <c r="H11205" s="796"/>
    </row>
    <row r="11206" s="451" customFormat="true" ht="30" hidden="false" customHeight="false" outlineLevel="0" collapsed="false">
      <c r="A11206" s="707"/>
      <c r="B11206" s="522"/>
      <c r="C11206" s="533" t="s">
        <v>6144</v>
      </c>
      <c r="D11206" s="1072" t="s">
        <v>6157</v>
      </c>
      <c r="E11206" s="868" t="n">
        <v>5</v>
      </c>
      <c r="F11206" s="729" t="n">
        <v>9000</v>
      </c>
      <c r="G11206" s="765" t="n">
        <v>90</v>
      </c>
      <c r="H11206" s="796"/>
    </row>
    <row r="11207" s="451" customFormat="true" ht="15" hidden="false" customHeight="false" outlineLevel="0" collapsed="false">
      <c r="A11207" s="707"/>
      <c r="B11207" s="708" t="s">
        <v>4128</v>
      </c>
      <c r="C11207" s="532"/>
      <c r="D11207" s="679"/>
      <c r="E11207" s="679"/>
      <c r="F11207" s="369"/>
      <c r="G11207" s="711" t="n">
        <v>3667.15090909091</v>
      </c>
      <c r="H11207" s="532"/>
    </row>
    <row r="11208" s="451" customFormat="true" ht="60" hidden="false" customHeight="false" outlineLevel="0" collapsed="false">
      <c r="A11208" s="707" t="s">
        <v>2225</v>
      </c>
      <c r="B11208" s="487" t="s">
        <v>3847</v>
      </c>
      <c r="C11208" s="533" t="s">
        <v>6231</v>
      </c>
      <c r="D11208" s="868" t="s">
        <v>6179</v>
      </c>
      <c r="E11208" s="868" t="n">
        <v>2</v>
      </c>
      <c r="F11208" s="729" t="n">
        <v>105710</v>
      </c>
      <c r="G11208" s="765" t="n">
        <v>2202.29166666667</v>
      </c>
      <c r="H11208" s="796" t="s">
        <v>6180</v>
      </c>
    </row>
    <row r="11209" s="451" customFormat="true" ht="45" hidden="false" customHeight="false" outlineLevel="0" collapsed="false">
      <c r="A11209" s="380"/>
      <c r="B11209" s="522"/>
      <c r="C11209" s="762" t="s">
        <v>6167</v>
      </c>
      <c r="D11209" s="1072" t="s">
        <v>6153</v>
      </c>
      <c r="E11209" s="728" t="n">
        <v>3</v>
      </c>
      <c r="F11209" s="729" t="n">
        <v>29800</v>
      </c>
      <c r="G11209" s="765" t="n">
        <v>89.4</v>
      </c>
      <c r="H11209" s="796"/>
    </row>
    <row r="11210" s="451" customFormat="true" ht="15" hidden="false" customHeight="false" outlineLevel="0" collapsed="false">
      <c r="A11210" s="380"/>
      <c r="B11210" s="708" t="s">
        <v>4128</v>
      </c>
      <c r="C11210" s="532"/>
      <c r="D11210" s="679"/>
      <c r="E11210" s="679"/>
      <c r="F11210" s="369"/>
      <c r="G11210" s="711" t="n">
        <v>2291.69166666667</v>
      </c>
      <c r="H11210" s="532"/>
    </row>
    <row r="11211" s="451" customFormat="true" ht="60" hidden="false" customHeight="false" outlineLevel="0" collapsed="false">
      <c r="A11211" s="707" t="s">
        <v>2227</v>
      </c>
      <c r="B11211" s="487" t="s">
        <v>3848</v>
      </c>
      <c r="C11211" s="533" t="s">
        <v>6232</v>
      </c>
      <c r="D11211" s="868" t="s">
        <v>6179</v>
      </c>
      <c r="E11211" s="868" t="n">
        <v>2</v>
      </c>
      <c r="F11211" s="729" t="n">
        <v>87590</v>
      </c>
      <c r="G11211" s="765" t="n">
        <v>1824.79166666667</v>
      </c>
      <c r="H11211" s="796" t="s">
        <v>6180</v>
      </c>
    </row>
    <row r="11212" s="451" customFormat="true" ht="45" hidden="false" customHeight="false" outlineLevel="0" collapsed="false">
      <c r="A11212" s="707"/>
      <c r="B11212" s="522"/>
      <c r="C11212" s="762" t="s">
        <v>6167</v>
      </c>
      <c r="D11212" s="1072" t="s">
        <v>6153</v>
      </c>
      <c r="E11212" s="728" t="n">
        <v>3</v>
      </c>
      <c r="F11212" s="729" t="n">
        <v>29800</v>
      </c>
      <c r="G11212" s="765" t="n">
        <v>89.4</v>
      </c>
      <c r="H11212" s="796"/>
    </row>
    <row r="11213" s="451" customFormat="true" ht="15" hidden="false" customHeight="false" outlineLevel="0" collapsed="false">
      <c r="A11213" s="707"/>
      <c r="B11213" s="708" t="s">
        <v>4128</v>
      </c>
      <c r="C11213" s="532"/>
      <c r="D11213" s="679"/>
      <c r="E11213" s="679"/>
      <c r="F11213" s="369"/>
      <c r="G11213" s="711" t="n">
        <v>1914.19166666667</v>
      </c>
      <c r="H11213" s="532"/>
    </row>
    <row r="11214" s="451" customFormat="true" ht="60" hidden="false" customHeight="false" outlineLevel="0" collapsed="false">
      <c r="A11214" s="707" t="s">
        <v>2229</v>
      </c>
      <c r="B11214" s="487" t="s">
        <v>3849</v>
      </c>
      <c r="C11214" s="533" t="s">
        <v>6233</v>
      </c>
      <c r="D11214" s="868" t="s">
        <v>6179</v>
      </c>
      <c r="E11214" s="868" t="n">
        <v>2</v>
      </c>
      <c r="F11214" s="729" t="n">
        <v>83090</v>
      </c>
      <c r="G11214" s="765" t="n">
        <v>1731.04166666667</v>
      </c>
      <c r="H11214" s="796" t="s">
        <v>6180</v>
      </c>
    </row>
    <row r="11215" s="451" customFormat="true" ht="45" hidden="false" customHeight="false" outlineLevel="0" collapsed="false">
      <c r="A11215" s="707"/>
      <c r="B11215" s="522"/>
      <c r="C11215" s="762" t="s">
        <v>6167</v>
      </c>
      <c r="D11215" s="1072" t="s">
        <v>6153</v>
      </c>
      <c r="E11215" s="728" t="n">
        <v>3</v>
      </c>
      <c r="F11215" s="729" t="n">
        <v>29800</v>
      </c>
      <c r="G11215" s="765" t="n">
        <v>89.4</v>
      </c>
      <c r="H11215" s="796"/>
    </row>
    <row r="11216" s="451" customFormat="true" ht="15" hidden="false" customHeight="false" outlineLevel="0" collapsed="false">
      <c r="A11216" s="707"/>
      <c r="B11216" s="708" t="s">
        <v>4128</v>
      </c>
      <c r="C11216" s="532"/>
      <c r="D11216" s="679"/>
      <c r="E11216" s="679"/>
      <c r="F11216" s="369"/>
      <c r="G11216" s="711" t="n">
        <v>1820.44166666667</v>
      </c>
      <c r="H11216" s="532"/>
    </row>
    <row r="11217" s="451" customFormat="true" ht="60" hidden="false" customHeight="false" outlineLevel="0" collapsed="false">
      <c r="A11217" s="707" t="s">
        <v>2231</v>
      </c>
      <c r="B11217" s="487" t="s">
        <v>3850</v>
      </c>
      <c r="C11217" s="533" t="s">
        <v>6234</v>
      </c>
      <c r="D11217" s="868" t="s">
        <v>6179</v>
      </c>
      <c r="E11217" s="868" t="n">
        <v>2</v>
      </c>
      <c r="F11217" s="729" t="n">
        <v>78680</v>
      </c>
      <c r="G11217" s="765" t="n">
        <v>1639.16666666667</v>
      </c>
      <c r="H11217" s="796" t="s">
        <v>6180</v>
      </c>
    </row>
    <row r="11218" s="451" customFormat="true" ht="45" hidden="false" customHeight="false" outlineLevel="0" collapsed="false">
      <c r="A11218" s="707"/>
      <c r="B11218" s="522"/>
      <c r="C11218" s="762" t="s">
        <v>6167</v>
      </c>
      <c r="D11218" s="1072" t="s">
        <v>6153</v>
      </c>
      <c r="E11218" s="728" t="n">
        <v>8</v>
      </c>
      <c r="F11218" s="729" t="n">
        <v>29800</v>
      </c>
      <c r="G11218" s="765" t="n">
        <v>238.4</v>
      </c>
      <c r="H11218" s="796"/>
    </row>
    <row r="11219" s="451" customFormat="true" ht="15" hidden="false" customHeight="false" outlineLevel="0" collapsed="false">
      <c r="A11219" s="707"/>
      <c r="B11219" s="708" t="s">
        <v>4128</v>
      </c>
      <c r="C11219" s="532"/>
      <c r="D11219" s="679"/>
      <c r="E11219" s="679"/>
      <c r="F11219" s="369"/>
      <c r="G11219" s="711" t="n">
        <v>1877.56666666667</v>
      </c>
      <c r="H11219" s="532"/>
    </row>
    <row r="11220" s="451" customFormat="true" ht="60" hidden="false" customHeight="false" outlineLevel="0" collapsed="false">
      <c r="A11220" s="707" t="s">
        <v>2233</v>
      </c>
      <c r="B11220" s="487" t="s">
        <v>3851</v>
      </c>
      <c r="C11220" s="533" t="s">
        <v>6235</v>
      </c>
      <c r="D11220" s="868" t="s">
        <v>6179</v>
      </c>
      <c r="E11220" s="868" t="n">
        <v>2</v>
      </c>
      <c r="F11220" s="729" t="n">
        <v>87070</v>
      </c>
      <c r="G11220" s="765" t="n">
        <v>1813.95833333333</v>
      </c>
      <c r="H11220" s="796" t="s">
        <v>6180</v>
      </c>
    </row>
    <row r="11221" s="451" customFormat="true" ht="45" hidden="false" customHeight="false" outlineLevel="0" collapsed="false">
      <c r="A11221" s="380"/>
      <c r="B11221" s="487"/>
      <c r="C11221" s="762" t="s">
        <v>6167</v>
      </c>
      <c r="D11221" s="1072" t="s">
        <v>6162</v>
      </c>
      <c r="E11221" s="728" t="n">
        <v>8</v>
      </c>
      <c r="F11221" s="729" t="n">
        <v>29800</v>
      </c>
      <c r="G11221" s="765" t="n">
        <v>238.4</v>
      </c>
      <c r="H11221" s="796"/>
    </row>
    <row r="11222" s="451" customFormat="true" ht="15" hidden="false" customHeight="false" outlineLevel="0" collapsed="false">
      <c r="A11222" s="380"/>
      <c r="B11222" s="522"/>
      <c r="C11222" s="1074" t="s">
        <v>6163</v>
      </c>
      <c r="D11222" s="1075"/>
      <c r="E11222" s="1076"/>
      <c r="F11222" s="807"/>
      <c r="G11222" s="739" t="n">
        <v>2052.35833333333</v>
      </c>
      <c r="H11222" s="796"/>
    </row>
    <row r="11223" s="451" customFormat="true" ht="75" hidden="false" customHeight="false" outlineLevel="0" collapsed="false">
      <c r="A11223" s="707" t="s">
        <v>2235</v>
      </c>
      <c r="B11223" s="522" t="s">
        <v>3852</v>
      </c>
      <c r="C11223" s="533" t="s">
        <v>6207</v>
      </c>
      <c r="D11223" s="868" t="s">
        <v>6208</v>
      </c>
      <c r="E11223" s="1072" t="n">
        <v>1</v>
      </c>
      <c r="F11223" s="936" t="n">
        <v>785108.8</v>
      </c>
      <c r="G11223" s="765" t="n">
        <v>7851</v>
      </c>
      <c r="H11223" s="796" t="s">
        <v>6236</v>
      </c>
    </row>
    <row r="11224" s="451" customFormat="true" ht="135" hidden="false" customHeight="false" outlineLevel="0" collapsed="false">
      <c r="A11224" s="707"/>
      <c r="B11224" s="522"/>
      <c r="C11224" s="532" t="s">
        <v>6136</v>
      </c>
      <c r="D11224" s="737" t="s">
        <v>6139</v>
      </c>
      <c r="E11224" s="737" t="n">
        <v>1</v>
      </c>
      <c r="F11224" s="729" t="n">
        <v>55906</v>
      </c>
      <c r="G11224" s="765" t="n">
        <v>559.06</v>
      </c>
      <c r="H11224" s="796"/>
    </row>
    <row r="11225" s="451" customFormat="true" ht="45" hidden="false" customHeight="false" outlineLevel="0" collapsed="false">
      <c r="A11225" s="707"/>
      <c r="B11225" s="522"/>
      <c r="C11225" s="532" t="s">
        <v>6167</v>
      </c>
      <c r="D11225" s="737" t="s">
        <v>6162</v>
      </c>
      <c r="E11225" s="737" t="n">
        <v>8</v>
      </c>
      <c r="F11225" s="729" t="n">
        <v>29800</v>
      </c>
      <c r="G11225" s="765" t="n">
        <v>238.4</v>
      </c>
      <c r="H11225" s="796"/>
    </row>
    <row r="11226" s="451" customFormat="true" ht="15" hidden="false" customHeight="false" outlineLevel="0" collapsed="false">
      <c r="A11226" s="707"/>
      <c r="B11226" s="522"/>
      <c r="C11226" s="533" t="s">
        <v>6221</v>
      </c>
      <c r="D11226" s="1072" t="s">
        <v>6153</v>
      </c>
      <c r="E11226" s="868" t="n">
        <v>2</v>
      </c>
      <c r="F11226" s="729" t="n">
        <v>15180</v>
      </c>
      <c r="G11226" s="765" t="n">
        <v>60.72</v>
      </c>
      <c r="H11226" s="796"/>
    </row>
    <row r="11227" s="451" customFormat="true" ht="15" hidden="false" customHeight="false" outlineLevel="0" collapsed="false">
      <c r="A11227" s="707"/>
      <c r="B11227" s="522"/>
      <c r="C11227" s="1077" t="s">
        <v>6163</v>
      </c>
      <c r="D11227" s="1075"/>
      <c r="E11227" s="1078"/>
      <c r="F11227" s="807"/>
      <c r="G11227" s="739" t="n">
        <f aca="false">SUM(G11223:G11226)</f>
        <v>8709.18</v>
      </c>
      <c r="H11227" s="796"/>
    </row>
    <row r="11228" s="451" customFormat="true" ht="30" hidden="false" customHeight="false" outlineLevel="0" collapsed="false">
      <c r="A11228" s="707" t="s">
        <v>2237</v>
      </c>
      <c r="B11228" s="487" t="s">
        <v>3853</v>
      </c>
      <c r="C11228" s="40" t="s">
        <v>6148</v>
      </c>
      <c r="D11228" s="316" t="s">
        <v>6237</v>
      </c>
      <c r="E11228" s="316" t="n">
        <v>125</v>
      </c>
      <c r="F11228" s="112" t="n">
        <v>11400</v>
      </c>
      <c r="G11228" s="894" t="n">
        <f aca="false">E11228*F11228/1000</f>
        <v>1425</v>
      </c>
      <c r="H11228" s="532"/>
    </row>
    <row r="11229" s="451" customFormat="true" ht="30" hidden="false" customHeight="false" outlineLevel="0" collapsed="false">
      <c r="A11229" s="380"/>
      <c r="B11229" s="522"/>
      <c r="C11229" s="40" t="s">
        <v>6238</v>
      </c>
      <c r="D11229" s="316" t="s">
        <v>6237</v>
      </c>
      <c r="E11229" s="316" t="n">
        <v>9</v>
      </c>
      <c r="F11229" s="112" t="n">
        <v>80000</v>
      </c>
      <c r="G11229" s="894" t="n">
        <f aca="false">E11229*F11229/100</f>
        <v>7200</v>
      </c>
      <c r="H11229" s="532"/>
    </row>
    <row r="11230" s="451" customFormat="true" ht="15" hidden="false" customHeight="false" outlineLevel="0" collapsed="false">
      <c r="A11230" s="380"/>
      <c r="B11230" s="522"/>
      <c r="C11230" s="40" t="s">
        <v>6239</v>
      </c>
      <c r="D11230" s="316" t="s">
        <v>6237</v>
      </c>
      <c r="E11230" s="316" t="n">
        <v>20</v>
      </c>
      <c r="F11230" s="112" t="n">
        <v>12960</v>
      </c>
      <c r="G11230" s="894" t="n">
        <f aca="false">E11230*F11230/500</f>
        <v>518.4</v>
      </c>
      <c r="H11230" s="532"/>
    </row>
    <row r="11231" s="451" customFormat="true" ht="15" hidden="false" customHeight="false" outlineLevel="0" collapsed="false">
      <c r="A11231" s="380"/>
      <c r="B11231" s="522"/>
      <c r="C11231" s="40" t="s">
        <v>6240</v>
      </c>
      <c r="D11231" s="316" t="s">
        <v>6237</v>
      </c>
      <c r="E11231" s="316" t="n">
        <v>10</v>
      </c>
      <c r="F11231" s="112" t="n">
        <v>9900</v>
      </c>
      <c r="G11231" s="894" t="n">
        <f aca="false">E11231*F11231/500</f>
        <v>198</v>
      </c>
      <c r="H11231" s="532"/>
    </row>
    <row r="11232" s="451" customFormat="true" ht="30" hidden="false" customHeight="false" outlineLevel="0" collapsed="false">
      <c r="A11232" s="380"/>
      <c r="B11232" s="522"/>
      <c r="C11232" s="40" t="s">
        <v>6154</v>
      </c>
      <c r="D11232" s="1052" t="s">
        <v>6149</v>
      </c>
      <c r="E11232" s="316" t="n">
        <v>20</v>
      </c>
      <c r="F11232" s="1050" t="n">
        <v>8875</v>
      </c>
      <c r="G11232" s="1051" t="n">
        <f aca="false">E11232*F11232/500</f>
        <v>355</v>
      </c>
      <c r="H11232" s="532"/>
    </row>
    <row r="11233" s="451" customFormat="true" ht="15" hidden="false" customHeight="false" outlineLevel="0" collapsed="false">
      <c r="A11233" s="380"/>
      <c r="B11233" s="522"/>
      <c r="C11233" s="40" t="s">
        <v>6241</v>
      </c>
      <c r="D11233" s="316" t="s">
        <v>6242</v>
      </c>
      <c r="E11233" s="316" t="n">
        <v>2</v>
      </c>
      <c r="F11233" s="112" t="n">
        <v>41000</v>
      </c>
      <c r="G11233" s="894" t="n">
        <f aca="false">E11233*F11233/500</f>
        <v>164</v>
      </c>
      <c r="H11233" s="532"/>
    </row>
    <row r="11234" s="451" customFormat="true" ht="90" hidden="false" customHeight="false" outlineLevel="0" collapsed="false">
      <c r="A11234" s="380"/>
      <c r="B11234" s="522"/>
      <c r="C11234" s="108" t="s">
        <v>6155</v>
      </c>
      <c r="D11234" s="1052" t="s">
        <v>6153</v>
      </c>
      <c r="E11234" s="255" t="n">
        <v>3</v>
      </c>
      <c r="F11234" s="1050" t="n">
        <v>1889</v>
      </c>
      <c r="G11234" s="1051" t="n">
        <f aca="false">E11234*F11234/10</f>
        <v>566.7</v>
      </c>
      <c r="H11234" s="532"/>
    </row>
    <row r="11235" s="451" customFormat="true" ht="15" hidden="false" customHeight="false" outlineLevel="0" collapsed="false">
      <c r="A11235" s="380"/>
      <c r="B11235" s="708" t="s">
        <v>4128</v>
      </c>
      <c r="C11235" s="532"/>
      <c r="D11235" s="679"/>
      <c r="E11235" s="679"/>
      <c r="F11235" s="369"/>
      <c r="G11235" s="711" t="n">
        <f aca="false">SUM(G11228:G11234)</f>
        <v>10427.1</v>
      </c>
      <c r="H11235" s="532"/>
    </row>
    <row r="11236" s="451" customFormat="true" ht="84.75" hidden="false" customHeight="true" outlineLevel="0" collapsed="false">
      <c r="A11236" s="707" t="s">
        <v>2239</v>
      </c>
      <c r="B11236" s="532" t="s">
        <v>6243</v>
      </c>
      <c r="C11236" s="108" t="s">
        <v>6148</v>
      </c>
      <c r="D11236" s="1052" t="s">
        <v>6149</v>
      </c>
      <c r="E11236" s="316" t="n">
        <v>7.8</v>
      </c>
      <c r="F11236" s="1050" t="n">
        <v>11400</v>
      </c>
      <c r="G11236" s="1051" t="n">
        <f aca="false">E11236*F11236/500</f>
        <v>177.84</v>
      </c>
      <c r="H11236" s="796" t="s">
        <v>6164</v>
      </c>
    </row>
    <row r="11237" s="451" customFormat="true" ht="30" hidden="false" customHeight="false" outlineLevel="0" collapsed="false">
      <c r="A11237" s="380"/>
      <c r="B11237" s="532"/>
      <c r="C11237" s="108" t="s">
        <v>6244</v>
      </c>
      <c r="D11237" s="1052" t="s">
        <v>6149</v>
      </c>
      <c r="E11237" s="316" t="n">
        <v>1.5</v>
      </c>
      <c r="F11237" s="1050" t="n">
        <v>80000</v>
      </c>
      <c r="G11237" s="1051" t="n">
        <f aca="false">E11237*F11237/100</f>
        <v>1200</v>
      </c>
      <c r="H11237" s="796"/>
    </row>
    <row r="11238" s="451" customFormat="true" ht="15" hidden="false" customHeight="false" outlineLevel="0" collapsed="false">
      <c r="A11238" s="380"/>
      <c r="B11238" s="532"/>
      <c r="C11238" s="108" t="s">
        <v>6174</v>
      </c>
      <c r="D11238" s="1052" t="s">
        <v>6149</v>
      </c>
      <c r="E11238" s="255" t="n">
        <v>9</v>
      </c>
      <c r="F11238" s="1050" t="n">
        <v>9900</v>
      </c>
      <c r="G11238" s="1051" t="n">
        <f aca="false">E11238*F11238/500</f>
        <v>178.2</v>
      </c>
      <c r="H11238" s="796"/>
    </row>
    <row r="11239" s="451" customFormat="true" ht="30" hidden="false" customHeight="false" outlineLevel="0" collapsed="false">
      <c r="A11239" s="380"/>
      <c r="B11239" s="708"/>
      <c r="C11239" s="40" t="s">
        <v>6154</v>
      </c>
      <c r="D11239" s="1052" t="s">
        <v>6149</v>
      </c>
      <c r="E11239" s="316" t="n">
        <v>1</v>
      </c>
      <c r="F11239" s="1050" t="n">
        <v>8875</v>
      </c>
      <c r="G11239" s="1051" t="n">
        <f aca="false">E11239*F11239/500</f>
        <v>17.75</v>
      </c>
      <c r="H11239" s="796"/>
    </row>
    <row r="11240" s="451" customFormat="true" ht="90" hidden="false" customHeight="false" outlineLevel="0" collapsed="false">
      <c r="A11240" s="380"/>
      <c r="B11240" s="708"/>
      <c r="C11240" s="40" t="s">
        <v>6159</v>
      </c>
      <c r="D11240" s="316" t="s">
        <v>4348</v>
      </c>
      <c r="E11240" s="316" t="n">
        <v>9</v>
      </c>
      <c r="F11240" s="112" t="n">
        <v>74905</v>
      </c>
      <c r="G11240" s="894" t="n">
        <f aca="false">F11240/75*E11240</f>
        <v>8988.6</v>
      </c>
      <c r="H11240" s="796"/>
    </row>
    <row r="11241" s="451" customFormat="true" ht="75" hidden="false" customHeight="false" outlineLevel="0" collapsed="false">
      <c r="A11241" s="380"/>
      <c r="B11241" s="522"/>
      <c r="C11241" s="40" t="s">
        <v>6151</v>
      </c>
      <c r="D11241" s="316" t="s">
        <v>6152</v>
      </c>
      <c r="E11241" s="316" t="n">
        <v>1</v>
      </c>
      <c r="F11241" s="112" t="n">
        <v>76900</v>
      </c>
      <c r="G11241" s="894" t="n">
        <f aca="false">F11241/50*1</f>
        <v>1538</v>
      </c>
      <c r="H11241" s="532"/>
    </row>
    <row r="11242" s="451" customFormat="true" ht="45" hidden="false" customHeight="false" outlineLevel="0" collapsed="false">
      <c r="A11242" s="380"/>
      <c r="B11242" s="532"/>
      <c r="C11242" s="40" t="s">
        <v>6167</v>
      </c>
      <c r="D11242" s="874" t="s">
        <v>6162</v>
      </c>
      <c r="E11242" s="874" t="n">
        <v>12</v>
      </c>
      <c r="F11242" s="1050" t="n">
        <v>29800</v>
      </c>
      <c r="G11242" s="1051" t="n">
        <f aca="false">E11242*F11242/1000</f>
        <v>357.6</v>
      </c>
      <c r="H11242" s="796"/>
    </row>
    <row r="11243" s="451" customFormat="true" ht="90" hidden="false" customHeight="false" outlineLevel="0" collapsed="false">
      <c r="A11243" s="380"/>
      <c r="B11243" s="522"/>
      <c r="C11243" s="108" t="s">
        <v>6155</v>
      </c>
      <c r="D11243" s="1052" t="s">
        <v>6153</v>
      </c>
      <c r="E11243" s="255" t="n">
        <v>3</v>
      </c>
      <c r="F11243" s="1050" t="n">
        <v>1889</v>
      </c>
      <c r="G11243" s="1051" t="n">
        <f aca="false">E11243*F11243/10</f>
        <v>566.7</v>
      </c>
      <c r="H11243" s="532"/>
    </row>
    <row r="11244" s="451" customFormat="true" ht="30" hidden="false" customHeight="false" outlineLevel="0" collapsed="false">
      <c r="A11244" s="380"/>
      <c r="B11244" s="533"/>
      <c r="C11244" s="108" t="s">
        <v>6144</v>
      </c>
      <c r="D11244" s="1052" t="s">
        <v>6153</v>
      </c>
      <c r="E11244" s="255" t="n">
        <v>5</v>
      </c>
      <c r="F11244" s="1050" t="n">
        <v>9000</v>
      </c>
      <c r="G11244" s="1051" t="n">
        <f aca="false">E11244*F11244/500</f>
        <v>90</v>
      </c>
      <c r="H11244" s="796"/>
    </row>
    <row r="11245" s="451" customFormat="true" ht="15" hidden="false" customHeight="false" outlineLevel="0" collapsed="false">
      <c r="A11245" s="707"/>
      <c r="B11245" s="532"/>
      <c r="C11245" s="1079" t="s">
        <v>6163</v>
      </c>
      <c r="D11245" s="930"/>
      <c r="E11245" s="930"/>
      <c r="F11245" s="807"/>
      <c r="G11245" s="739" t="n">
        <f aca="false">SUM(G11236:G11244)</f>
        <v>13114.69</v>
      </c>
      <c r="H11245" s="796"/>
    </row>
    <row r="11246" s="311" customFormat="true" ht="51" hidden="false" customHeight="true" outlineLevel="0" collapsed="false">
      <c r="A11246" s="216" t="s">
        <v>2241</v>
      </c>
      <c r="B11246" s="40" t="s">
        <v>6245</v>
      </c>
      <c r="C11246" s="108" t="s">
        <v>6148</v>
      </c>
      <c r="D11246" s="1052" t="s">
        <v>6149</v>
      </c>
      <c r="E11246" s="316" t="n">
        <v>7.8</v>
      </c>
      <c r="F11246" s="1050" t="n">
        <v>11400</v>
      </c>
      <c r="G11246" s="1051" t="n">
        <f aca="false">E11246*F11246/500</f>
        <v>177.84</v>
      </c>
      <c r="H11246" s="874" t="s">
        <v>6246</v>
      </c>
    </row>
    <row r="11247" s="311" customFormat="true" ht="30" hidden="false" customHeight="false" outlineLevel="0" collapsed="false">
      <c r="A11247" s="216"/>
      <c r="B11247" s="40"/>
      <c r="C11247" s="108" t="s">
        <v>6244</v>
      </c>
      <c r="D11247" s="1052" t="s">
        <v>6149</v>
      </c>
      <c r="E11247" s="316" t="n">
        <v>4</v>
      </c>
      <c r="F11247" s="1050" t="n">
        <v>80000</v>
      </c>
      <c r="G11247" s="1051" t="n">
        <f aca="false">E11247*F11247/100</f>
        <v>3200</v>
      </c>
      <c r="H11247" s="874"/>
    </row>
    <row r="11248" s="311" customFormat="true" ht="15" hidden="false" customHeight="false" outlineLevel="0" collapsed="false">
      <c r="A11248" s="216"/>
      <c r="B11248" s="40"/>
      <c r="C11248" s="108" t="s">
        <v>6174</v>
      </c>
      <c r="D11248" s="1052" t="s">
        <v>6149</v>
      </c>
      <c r="E11248" s="255" t="n">
        <v>9</v>
      </c>
      <c r="F11248" s="1050" t="n">
        <v>9900</v>
      </c>
      <c r="G11248" s="1051" t="n">
        <f aca="false">E11248*F11248/500</f>
        <v>178.2</v>
      </c>
      <c r="H11248" s="874"/>
    </row>
    <row r="11249" s="311" customFormat="true" ht="30" hidden="false" customHeight="false" outlineLevel="0" collapsed="false">
      <c r="A11249" s="216"/>
      <c r="B11249" s="78"/>
      <c r="C11249" s="40" t="s">
        <v>6154</v>
      </c>
      <c r="D11249" s="1052" t="s">
        <v>6149</v>
      </c>
      <c r="E11249" s="316" t="n">
        <v>1</v>
      </c>
      <c r="F11249" s="1050" t="n">
        <v>8875</v>
      </c>
      <c r="G11249" s="1051" t="n">
        <f aca="false">E11249*F11249/500</f>
        <v>17.75</v>
      </c>
      <c r="H11249" s="874"/>
    </row>
    <row r="11250" s="311" customFormat="true" ht="90" hidden="false" customHeight="false" outlineLevel="0" collapsed="false">
      <c r="A11250" s="216"/>
      <c r="B11250" s="40"/>
      <c r="C11250" s="40" t="s">
        <v>6159</v>
      </c>
      <c r="D11250" s="316" t="s">
        <v>4348</v>
      </c>
      <c r="E11250" s="316" t="n">
        <v>10</v>
      </c>
      <c r="F11250" s="112" t="n">
        <v>74905</v>
      </c>
      <c r="G11250" s="894" t="n">
        <f aca="false">F11250/75*E11250</f>
        <v>9987.33333333333</v>
      </c>
      <c r="H11250" s="874"/>
    </row>
    <row r="11251" s="311" customFormat="true" ht="75" hidden="false" customHeight="false" outlineLevel="0" collapsed="false">
      <c r="A11251" s="216"/>
      <c r="B11251" s="78"/>
      <c r="C11251" s="40" t="s">
        <v>6151</v>
      </c>
      <c r="D11251" s="316" t="s">
        <v>6152</v>
      </c>
      <c r="E11251" s="316" t="n">
        <v>1</v>
      </c>
      <c r="F11251" s="112" t="n">
        <v>76900</v>
      </c>
      <c r="G11251" s="894" t="n">
        <f aca="false">F11251/50*1</f>
        <v>1538</v>
      </c>
      <c r="H11251" s="874"/>
    </row>
    <row r="11252" s="311" customFormat="true" ht="45" hidden="false" customHeight="false" outlineLevel="0" collapsed="false">
      <c r="A11252" s="216"/>
      <c r="B11252" s="108"/>
      <c r="C11252" s="40" t="s">
        <v>6167</v>
      </c>
      <c r="D11252" s="1052" t="s">
        <v>6153</v>
      </c>
      <c r="E11252" s="1059" t="n">
        <v>18</v>
      </c>
      <c r="F11252" s="1050" t="n">
        <v>29800</v>
      </c>
      <c r="G11252" s="1051" t="n">
        <f aca="false">E11252*F11252/1000</f>
        <v>536.4</v>
      </c>
      <c r="H11252" s="874"/>
    </row>
    <row r="11253" s="311" customFormat="true" ht="90" hidden="false" customHeight="false" outlineLevel="0" collapsed="false">
      <c r="A11253" s="216"/>
      <c r="B11253" s="108"/>
      <c r="C11253" s="108" t="s">
        <v>6155</v>
      </c>
      <c r="D11253" s="1052" t="s">
        <v>6153</v>
      </c>
      <c r="E11253" s="255" t="n">
        <v>3</v>
      </c>
      <c r="F11253" s="1050" t="n">
        <v>1889</v>
      </c>
      <c r="G11253" s="1051" t="n">
        <f aca="false">E11253*F11253/10</f>
        <v>566.7</v>
      </c>
      <c r="H11253" s="874"/>
    </row>
    <row r="11254" s="311" customFormat="true" ht="30" hidden="false" customHeight="false" outlineLevel="0" collapsed="false">
      <c r="A11254" s="216"/>
      <c r="B11254" s="108"/>
      <c r="C11254" s="108" t="s">
        <v>6144</v>
      </c>
      <c r="D11254" s="1052" t="s">
        <v>6153</v>
      </c>
      <c r="E11254" s="255" t="n">
        <v>5</v>
      </c>
      <c r="F11254" s="1050" t="n">
        <v>9000</v>
      </c>
      <c r="G11254" s="1051" t="n">
        <f aca="false">E11254*F11254/500</f>
        <v>90</v>
      </c>
      <c r="H11254" s="874"/>
    </row>
    <row r="11255" s="311" customFormat="true" ht="15" hidden="false" customHeight="false" outlineLevel="0" collapsed="false">
      <c r="A11255" s="216"/>
      <c r="B11255" s="108"/>
      <c r="C11255" s="1057" t="s">
        <v>6163</v>
      </c>
      <c r="D11255" s="1052"/>
      <c r="E11255" s="255"/>
      <c r="F11255" s="1050"/>
      <c r="G11255" s="896" t="n">
        <f aca="false">SUM(G11246:G11254)</f>
        <v>16292.2233333333</v>
      </c>
      <c r="H11255" s="1080"/>
    </row>
    <row r="11256" s="311" customFormat="true" ht="122.25" hidden="false" customHeight="true" outlineLevel="0" collapsed="false">
      <c r="A11256" s="284" t="s">
        <v>2243</v>
      </c>
      <c r="B11256" s="1081" t="s">
        <v>3856</v>
      </c>
      <c r="C11256" s="1082" t="s">
        <v>6247</v>
      </c>
      <c r="D11256" s="255" t="s">
        <v>6179</v>
      </c>
      <c r="E11256" s="255" t="n">
        <v>2</v>
      </c>
      <c r="F11256" s="1050" t="n">
        <v>75456</v>
      </c>
      <c r="G11256" s="1051" t="n">
        <f aca="false">F11256/96*E11256</f>
        <v>1572</v>
      </c>
      <c r="H11256" s="1080"/>
    </row>
    <row r="11257" s="311" customFormat="true" ht="114" hidden="false" customHeight="true" outlineLevel="0" collapsed="false">
      <c r="A11257" s="284"/>
      <c r="B11257" s="1081"/>
      <c r="C11257" s="1083" t="s">
        <v>6136</v>
      </c>
      <c r="D11257" s="874" t="s">
        <v>6139</v>
      </c>
      <c r="E11257" s="874" t="n">
        <v>1</v>
      </c>
      <c r="F11257" s="1050" t="n">
        <v>55906</v>
      </c>
      <c r="G11257" s="1051" t="n">
        <f aca="false">E11257*F11257/100</f>
        <v>559.06</v>
      </c>
      <c r="H11257" s="1080"/>
    </row>
    <row r="11258" s="311" customFormat="true" ht="45" hidden="false" customHeight="false" outlineLevel="0" collapsed="false">
      <c r="A11258" s="284"/>
      <c r="B11258" s="1081"/>
      <c r="C11258" s="40" t="s">
        <v>6167</v>
      </c>
      <c r="D11258" s="874" t="s">
        <v>6162</v>
      </c>
      <c r="E11258" s="874" t="n">
        <v>2</v>
      </c>
      <c r="F11258" s="1050" t="n">
        <v>29800</v>
      </c>
      <c r="G11258" s="1051" t="n">
        <f aca="false">E11258*F11258/1000</f>
        <v>59.6</v>
      </c>
      <c r="H11258" s="1080"/>
    </row>
    <row r="11259" s="311" customFormat="true" ht="30" hidden="false" customHeight="false" outlineLevel="0" collapsed="false">
      <c r="A11259" s="284"/>
      <c r="B11259" s="1081"/>
      <c r="C11259" s="108" t="s">
        <v>6144</v>
      </c>
      <c r="D11259" s="1052" t="s">
        <v>6153</v>
      </c>
      <c r="E11259" s="255" t="n">
        <v>5</v>
      </c>
      <c r="F11259" s="1050" t="n">
        <v>9000</v>
      </c>
      <c r="G11259" s="1051" t="n">
        <f aca="false">E11259*F11259/500</f>
        <v>90</v>
      </c>
      <c r="H11259" s="1080"/>
    </row>
    <row r="11260" s="311" customFormat="true" ht="15" hidden="false" customHeight="false" outlineLevel="0" collapsed="false">
      <c r="A11260" s="284"/>
      <c r="B11260" s="1081"/>
      <c r="C11260" s="1057" t="s">
        <v>6163</v>
      </c>
      <c r="D11260" s="1052"/>
      <c r="E11260" s="255"/>
      <c r="F11260" s="1050"/>
      <c r="G11260" s="896" t="n">
        <f aca="false">SUM(G11256:G11259)</f>
        <v>2280.66</v>
      </c>
      <c r="H11260" s="1080"/>
    </row>
    <row r="11261" s="311" customFormat="true" ht="75" hidden="false" customHeight="false" outlineLevel="0" collapsed="false">
      <c r="A11261" s="284" t="s">
        <v>2245</v>
      </c>
      <c r="B11261" s="383" t="s">
        <v>3857</v>
      </c>
      <c r="C11261" s="108" t="s">
        <v>6248</v>
      </c>
      <c r="D11261" s="255" t="s">
        <v>6179</v>
      </c>
      <c r="E11261" s="255" t="n">
        <v>2</v>
      </c>
      <c r="F11261" s="1050" t="n">
        <v>134600</v>
      </c>
      <c r="G11261" s="1051" t="n">
        <f aca="false">F11261*E11261/96</f>
        <v>2804.16666666667</v>
      </c>
      <c r="H11261" s="1080"/>
    </row>
    <row r="11262" s="311" customFormat="true" ht="31.5" hidden="false" customHeight="true" outlineLevel="0" collapsed="false">
      <c r="A11262" s="284"/>
      <c r="B11262" s="383"/>
      <c r="C11262" s="52" t="s">
        <v>6181</v>
      </c>
      <c r="D11262" s="1052" t="s">
        <v>6153</v>
      </c>
      <c r="E11262" s="1059" t="n">
        <v>3</v>
      </c>
      <c r="F11262" s="1050" t="n">
        <v>29800</v>
      </c>
      <c r="G11262" s="1051" t="n">
        <f aca="false">E11262*F11262/1000</f>
        <v>89.4</v>
      </c>
      <c r="H11262" s="1080"/>
    </row>
    <row r="11263" s="311" customFormat="true" ht="15" hidden="false" customHeight="false" outlineLevel="0" collapsed="false">
      <c r="A11263" s="284"/>
      <c r="B11263" s="383"/>
      <c r="C11263" s="1057" t="s">
        <v>6163</v>
      </c>
      <c r="D11263" s="1052"/>
      <c r="E11263" s="1059"/>
      <c r="F11263" s="1050"/>
      <c r="G11263" s="896" t="n">
        <f aca="false">SUM(G11261:G11262)</f>
        <v>2893.56666666667</v>
      </c>
      <c r="H11263" s="1080"/>
    </row>
    <row r="11264" s="311" customFormat="true" ht="75" hidden="false" customHeight="false" outlineLevel="0" collapsed="false">
      <c r="A11264" s="284" t="s">
        <v>2247</v>
      </c>
      <c r="B11264" s="1084" t="s">
        <v>3858</v>
      </c>
      <c r="C11264" s="108" t="s">
        <v>6249</v>
      </c>
      <c r="D11264" s="255" t="s">
        <v>6179</v>
      </c>
      <c r="E11264" s="255" t="n">
        <v>2</v>
      </c>
      <c r="F11264" s="1050" t="n">
        <v>134600</v>
      </c>
      <c r="G11264" s="1051" t="n">
        <f aca="false">F11264*E11264/96</f>
        <v>2804.16666666667</v>
      </c>
      <c r="H11264" s="1080"/>
    </row>
    <row r="11265" s="311" customFormat="true" ht="33.75" hidden="false" customHeight="true" outlineLevel="0" collapsed="false">
      <c r="A11265" s="216"/>
      <c r="B11265" s="108"/>
      <c r="C11265" s="52" t="s">
        <v>6250</v>
      </c>
      <c r="D11265" s="1052" t="s">
        <v>6153</v>
      </c>
      <c r="E11265" s="1059" t="n">
        <v>3</v>
      </c>
      <c r="F11265" s="1050" t="n">
        <v>29800</v>
      </c>
      <c r="G11265" s="1051" t="n">
        <f aca="false">E11265*F11265/1000</f>
        <v>89.4</v>
      </c>
      <c r="H11265" s="1080"/>
    </row>
    <row r="11266" s="311" customFormat="true" ht="15" hidden="false" customHeight="false" outlineLevel="0" collapsed="false">
      <c r="A11266" s="216"/>
      <c r="B11266" s="108"/>
      <c r="C11266" s="1057" t="s">
        <v>6163</v>
      </c>
      <c r="D11266" s="1052"/>
      <c r="E11266" s="255"/>
      <c r="F11266" s="1050"/>
      <c r="G11266" s="896" t="n">
        <f aca="false">SUM(G11264:G11265)</f>
        <v>2893.56666666667</v>
      </c>
      <c r="H11266" s="1080"/>
    </row>
    <row r="11267" s="311" customFormat="true" ht="30" hidden="false" customHeight="true" outlineLevel="0" collapsed="false">
      <c r="A11267" s="216" t="s">
        <v>2249</v>
      </c>
      <c r="B11267" s="29" t="s">
        <v>3859</v>
      </c>
      <c r="C11267" s="108" t="s">
        <v>6148</v>
      </c>
      <c r="D11267" s="1052" t="s">
        <v>6149</v>
      </c>
      <c r="E11267" s="316" t="n">
        <v>6</v>
      </c>
      <c r="F11267" s="1050" t="n">
        <v>11400</v>
      </c>
      <c r="G11267" s="1051" t="n">
        <f aca="false">E11267*F11267/500</f>
        <v>136.8</v>
      </c>
      <c r="H11267" s="316"/>
    </row>
    <row r="11268" s="311" customFormat="true" ht="30" hidden="false" customHeight="false" outlineLevel="0" collapsed="false">
      <c r="A11268" s="216"/>
      <c r="B11268" s="29"/>
      <c r="C11268" s="108" t="s">
        <v>6244</v>
      </c>
      <c r="D11268" s="1052" t="s">
        <v>6149</v>
      </c>
      <c r="E11268" s="316" t="n">
        <v>1</v>
      </c>
      <c r="F11268" s="1050" t="n">
        <v>80000</v>
      </c>
      <c r="G11268" s="1051" t="n">
        <f aca="false">E11268*F11268/100</f>
        <v>800</v>
      </c>
      <c r="H11268" s="316"/>
    </row>
    <row r="11269" s="311" customFormat="true" ht="15" hidden="false" customHeight="false" outlineLevel="0" collapsed="false">
      <c r="A11269" s="216"/>
      <c r="B11269" s="29"/>
      <c r="C11269" s="108" t="s">
        <v>6251</v>
      </c>
      <c r="D11269" s="1052" t="s">
        <v>6149</v>
      </c>
      <c r="E11269" s="255" t="n">
        <v>1</v>
      </c>
      <c r="F11269" s="1050" t="n">
        <v>9900</v>
      </c>
      <c r="G11269" s="1051" t="n">
        <f aca="false">E11269*F11269/100</f>
        <v>99</v>
      </c>
      <c r="H11269" s="316"/>
    </row>
    <row r="11270" s="311" customFormat="true" ht="30" hidden="false" customHeight="false" outlineLevel="0" collapsed="false">
      <c r="A11270" s="216"/>
      <c r="B11270" s="29"/>
      <c r="C11270" s="40" t="s">
        <v>6154</v>
      </c>
      <c r="D11270" s="1052" t="s">
        <v>6149</v>
      </c>
      <c r="E11270" s="316" t="n">
        <v>1</v>
      </c>
      <c r="F11270" s="1050" t="n">
        <v>8875</v>
      </c>
      <c r="G11270" s="1051" t="n">
        <f aca="false">E11270*F11270/500</f>
        <v>17.75</v>
      </c>
      <c r="H11270" s="316"/>
    </row>
    <row r="11271" s="311" customFormat="true" ht="90" hidden="false" customHeight="false" outlineLevel="0" collapsed="false">
      <c r="A11271" s="216"/>
      <c r="B11271" s="29"/>
      <c r="C11271" s="40" t="s">
        <v>6159</v>
      </c>
      <c r="D11271" s="316" t="s">
        <v>4348</v>
      </c>
      <c r="E11271" s="316" t="n">
        <v>1</v>
      </c>
      <c r="F11271" s="112" t="n">
        <v>74905</v>
      </c>
      <c r="G11271" s="894" t="n">
        <f aca="false">F11271/75*E11271</f>
        <v>998.733333333333</v>
      </c>
      <c r="H11271" s="316"/>
    </row>
    <row r="11272" s="311" customFormat="true" ht="75" hidden="false" customHeight="false" outlineLevel="0" collapsed="false">
      <c r="A11272" s="216"/>
      <c r="B11272" s="29"/>
      <c r="C11272" s="40" t="s">
        <v>6151</v>
      </c>
      <c r="D11272" s="316" t="s">
        <v>6152</v>
      </c>
      <c r="E11272" s="316" t="n">
        <v>1</v>
      </c>
      <c r="F11272" s="112" t="n">
        <v>76900</v>
      </c>
      <c r="G11272" s="894" t="n">
        <f aca="false">F11272/50*1</f>
        <v>1538</v>
      </c>
      <c r="H11272" s="316"/>
    </row>
    <row r="11273" s="311" customFormat="true" ht="30" hidden="false" customHeight="false" outlineLevel="0" collapsed="false">
      <c r="A11273" s="216"/>
      <c r="B11273" s="29"/>
      <c r="C11273" s="40" t="s">
        <v>6252</v>
      </c>
      <c r="D11273" s="1052" t="s">
        <v>6168</v>
      </c>
      <c r="E11273" s="255" t="n">
        <v>1</v>
      </c>
      <c r="F11273" s="1056" t="n">
        <v>445500</v>
      </c>
      <c r="G11273" s="894" t="n">
        <f aca="false">F11273/1000*1</f>
        <v>445.5</v>
      </c>
      <c r="H11273" s="316"/>
    </row>
    <row r="11274" s="311" customFormat="true" ht="45" hidden="false" customHeight="false" outlineLevel="0" collapsed="false">
      <c r="A11274" s="216"/>
      <c r="B11274" s="29"/>
      <c r="C11274" s="40" t="s">
        <v>6167</v>
      </c>
      <c r="D11274" s="1052" t="s">
        <v>6168</v>
      </c>
      <c r="E11274" s="874" t="n">
        <v>10</v>
      </c>
      <c r="F11274" s="1050" t="n">
        <v>29800</v>
      </c>
      <c r="G11274" s="1051" t="n">
        <f aca="false">E11274*F11274/1000</f>
        <v>298</v>
      </c>
      <c r="H11274" s="316"/>
    </row>
    <row r="11275" s="311" customFormat="true" ht="30" hidden="false" customHeight="false" outlineLevel="0" collapsed="false">
      <c r="A11275" s="216"/>
      <c r="B11275" s="29"/>
      <c r="C11275" s="108" t="s">
        <v>6144</v>
      </c>
      <c r="D11275" s="1052" t="s">
        <v>6153</v>
      </c>
      <c r="E11275" s="255" t="n">
        <v>5</v>
      </c>
      <c r="F11275" s="1050" t="n">
        <v>9000</v>
      </c>
      <c r="G11275" s="1051" t="n">
        <f aca="false">E11275*F11275/500</f>
        <v>90</v>
      </c>
      <c r="H11275" s="316"/>
    </row>
    <row r="11276" s="311" customFormat="true" ht="15" hidden="false" customHeight="false" outlineLevel="0" collapsed="false">
      <c r="A11276" s="216"/>
      <c r="B11276" s="40"/>
      <c r="C11276" s="1057" t="s">
        <v>6163</v>
      </c>
      <c r="D11276" s="1058"/>
      <c r="E11276" s="1058"/>
      <c r="F11276" s="1054"/>
      <c r="G11276" s="896" t="n">
        <f aca="false">SUM(G11267:G11275)</f>
        <v>4423.78333333333</v>
      </c>
      <c r="H11276" s="316"/>
    </row>
    <row r="11277" s="451" customFormat="true" ht="29.25" hidden="false" customHeight="true" outlineLevel="0" collapsed="false">
      <c r="A11277" s="375" t="s">
        <v>2259</v>
      </c>
      <c r="B11277" s="318" t="s">
        <v>6253</v>
      </c>
      <c r="C11277" s="917"/>
      <c r="D11277" s="918"/>
      <c r="E11277" s="918"/>
      <c r="F11277" s="918"/>
      <c r="G11277" s="917"/>
      <c r="H11277" s="917"/>
    </row>
    <row r="11278" s="451" customFormat="true" ht="15" hidden="false" customHeight="true" outlineLevel="0" collapsed="false">
      <c r="A11278" s="350" t="s">
        <v>2261</v>
      </c>
      <c r="B11278" s="346" t="s">
        <v>3865</v>
      </c>
      <c r="C11278" s="811"/>
      <c r="D11278" s="790"/>
      <c r="E11278" s="790"/>
      <c r="F11278" s="790"/>
      <c r="G11278" s="811"/>
      <c r="H11278" s="811"/>
    </row>
    <row r="11279" s="451" customFormat="true" ht="30" hidden="false" customHeight="false" outlineLevel="0" collapsed="false">
      <c r="A11279" s="571" t="s">
        <v>2263</v>
      </c>
      <c r="B11279" s="532" t="s">
        <v>6254</v>
      </c>
      <c r="C11279" s="709" t="s">
        <v>6255</v>
      </c>
      <c r="D11279" s="679" t="s">
        <v>6256</v>
      </c>
      <c r="E11279" s="709" t="n">
        <v>0.004</v>
      </c>
      <c r="F11279" s="681" t="n">
        <v>161663</v>
      </c>
      <c r="G11279" s="716" t="n">
        <f aca="false">F11279*E11279</f>
        <v>646.652</v>
      </c>
      <c r="H11279" s="679"/>
    </row>
    <row r="11280" s="451" customFormat="true" ht="15" hidden="false" customHeight="false" outlineLevel="0" collapsed="false">
      <c r="A11280" s="915"/>
      <c r="B11280" s="522"/>
      <c r="C11280" s="709" t="s">
        <v>6257</v>
      </c>
      <c r="D11280" s="679" t="s">
        <v>6258</v>
      </c>
      <c r="E11280" s="709" t="n">
        <v>0.014</v>
      </c>
      <c r="F11280" s="681" t="n">
        <v>45172</v>
      </c>
      <c r="G11280" s="716" t="n">
        <f aca="false">F11280*E11280</f>
        <v>632.408</v>
      </c>
      <c r="H11280" s="679" t="s">
        <v>6259</v>
      </c>
    </row>
    <row r="11281" s="451" customFormat="true" ht="15" hidden="false" customHeight="false" outlineLevel="0" collapsed="false">
      <c r="A11281" s="915"/>
      <c r="B11281" s="522"/>
      <c r="C11281" s="709" t="s">
        <v>6260</v>
      </c>
      <c r="D11281" s="679" t="s">
        <v>6261</v>
      </c>
      <c r="E11281" s="709" t="n">
        <v>0.004</v>
      </c>
      <c r="F11281" s="681" t="n">
        <v>88707</v>
      </c>
      <c r="G11281" s="716" t="n">
        <f aca="false">F11281*E11281</f>
        <v>354.828</v>
      </c>
      <c r="H11281" s="679"/>
    </row>
    <row r="11282" s="451" customFormat="true" ht="15" hidden="false" customHeight="false" outlineLevel="0" collapsed="false">
      <c r="A11282" s="915"/>
      <c r="B11282" s="522"/>
      <c r="C11282" s="709" t="s">
        <v>6262</v>
      </c>
      <c r="D11282" s="679" t="s">
        <v>4138</v>
      </c>
      <c r="E11282" s="709" t="n">
        <v>0.001</v>
      </c>
      <c r="F11282" s="681" t="n">
        <v>7910</v>
      </c>
      <c r="G11282" s="716" t="n">
        <f aca="false">F11282*E11282</f>
        <v>7.91</v>
      </c>
      <c r="H11282" s="679"/>
    </row>
    <row r="11283" s="451" customFormat="true" ht="15" hidden="false" customHeight="false" outlineLevel="0" collapsed="false">
      <c r="A11283" s="915"/>
      <c r="B11283" s="522"/>
      <c r="C11283" s="709" t="s">
        <v>6263</v>
      </c>
      <c r="D11283" s="679" t="s">
        <v>6264</v>
      </c>
      <c r="E11283" s="709" t="n">
        <v>2</v>
      </c>
      <c r="F11283" s="1085" t="n">
        <v>52</v>
      </c>
      <c r="G11283" s="716" t="n">
        <f aca="false">F11283*E11283</f>
        <v>104</v>
      </c>
      <c r="H11283" s="679"/>
    </row>
    <row r="11284" s="451" customFormat="true" ht="18" hidden="false" customHeight="true" outlineLevel="0" collapsed="false">
      <c r="A11284" s="915"/>
      <c r="B11284" s="522"/>
      <c r="C11284" s="709" t="s">
        <v>6078</v>
      </c>
      <c r="D11284" s="679" t="s">
        <v>6265</v>
      </c>
      <c r="E11284" s="709" t="n">
        <v>1</v>
      </c>
      <c r="F11284" s="1085" t="n">
        <v>43</v>
      </c>
      <c r="G11284" s="716" t="n">
        <f aca="false">F11284*E11284</f>
        <v>43</v>
      </c>
      <c r="H11284" s="679"/>
    </row>
    <row r="11285" s="451" customFormat="true" ht="40.5" hidden="false" customHeight="true" outlineLevel="0" collapsed="false">
      <c r="A11285" s="915"/>
      <c r="B11285" s="522"/>
      <c r="C11285" s="709" t="s">
        <v>6266</v>
      </c>
      <c r="D11285" s="679" t="s">
        <v>5908</v>
      </c>
      <c r="E11285" s="709" t="n">
        <v>0.001</v>
      </c>
      <c r="F11285" s="681" t="n">
        <v>22450</v>
      </c>
      <c r="G11285" s="716" t="n">
        <f aca="false">F11285*E11285</f>
        <v>22.45</v>
      </c>
      <c r="H11285" s="679"/>
    </row>
    <row r="11286" s="451" customFormat="true" ht="15" hidden="false" customHeight="false" outlineLevel="0" collapsed="false">
      <c r="A11286" s="915"/>
      <c r="B11286" s="522"/>
      <c r="C11286" s="709" t="s">
        <v>6267</v>
      </c>
      <c r="D11286" s="679" t="s">
        <v>6268</v>
      </c>
      <c r="E11286" s="709" t="n">
        <v>4</v>
      </c>
      <c r="F11286" s="681" t="n">
        <v>353</v>
      </c>
      <c r="G11286" s="716" t="n">
        <f aca="false">F11286*E11286</f>
        <v>1412</v>
      </c>
      <c r="H11286" s="679"/>
    </row>
    <row r="11287" s="451" customFormat="true" ht="45" hidden="false" customHeight="false" outlineLevel="0" collapsed="false">
      <c r="A11287" s="915"/>
      <c r="B11287" s="522"/>
      <c r="C11287" s="709" t="s">
        <v>6269</v>
      </c>
      <c r="D11287" s="679" t="s">
        <v>6270</v>
      </c>
      <c r="E11287" s="709" t="n">
        <v>0.002</v>
      </c>
      <c r="F11287" s="681" t="n">
        <v>38170</v>
      </c>
      <c r="G11287" s="716" t="n">
        <f aca="false">F11287*E11287</f>
        <v>76.34</v>
      </c>
      <c r="H11287" s="679"/>
    </row>
    <row r="11288" s="451" customFormat="true" ht="15" hidden="false" customHeight="false" outlineLevel="0" collapsed="false">
      <c r="A11288" s="915"/>
      <c r="B11288" s="522"/>
      <c r="C11288" s="709" t="s">
        <v>6271</v>
      </c>
      <c r="D11288" s="679" t="s">
        <v>6270</v>
      </c>
      <c r="E11288" s="709" t="n">
        <v>0.002</v>
      </c>
      <c r="F11288" s="681" t="n">
        <v>38170</v>
      </c>
      <c r="G11288" s="716" t="n">
        <f aca="false">F11288*E11288</f>
        <v>76.34</v>
      </c>
      <c r="H11288" s="679"/>
    </row>
    <row r="11289" s="451" customFormat="true" ht="45" hidden="false" customHeight="false" outlineLevel="0" collapsed="false">
      <c r="A11289" s="915"/>
      <c r="B11289" s="522"/>
      <c r="C11289" s="709" t="s">
        <v>6272</v>
      </c>
      <c r="D11289" s="679" t="s">
        <v>6270</v>
      </c>
      <c r="E11289" s="709" t="n">
        <v>0.002</v>
      </c>
      <c r="F11289" s="681" t="n">
        <v>12550</v>
      </c>
      <c r="G11289" s="716" t="n">
        <f aca="false">F11289*E11289</f>
        <v>25.1</v>
      </c>
      <c r="H11289" s="679"/>
    </row>
    <row r="11290" s="451" customFormat="true" ht="45" hidden="false" customHeight="false" outlineLevel="0" collapsed="false">
      <c r="A11290" s="915"/>
      <c r="B11290" s="522"/>
      <c r="C11290" s="709" t="s">
        <v>6273</v>
      </c>
      <c r="D11290" s="679" t="s">
        <v>6270</v>
      </c>
      <c r="E11290" s="709" t="n">
        <v>0.002</v>
      </c>
      <c r="F11290" s="681" t="n">
        <v>39293</v>
      </c>
      <c r="G11290" s="615" t="n">
        <f aca="false">F11290*E11290</f>
        <v>78.586</v>
      </c>
      <c r="H11290" s="679"/>
    </row>
    <row r="11291" s="451" customFormat="true" ht="15" hidden="false" customHeight="false" outlineLevel="0" collapsed="false">
      <c r="A11291" s="915"/>
      <c r="B11291" s="522"/>
      <c r="C11291" s="709" t="s">
        <v>6274</v>
      </c>
      <c r="D11291" s="679" t="s">
        <v>6261</v>
      </c>
      <c r="E11291" s="709" t="n">
        <v>0.002</v>
      </c>
      <c r="F11291" s="681" t="n">
        <v>33679.75</v>
      </c>
      <c r="G11291" s="615" t="n">
        <f aca="false">F11291*E11291</f>
        <v>67.3595</v>
      </c>
      <c r="H11291" s="679"/>
    </row>
    <row r="11292" s="451" customFormat="true" ht="15" hidden="false" customHeight="false" outlineLevel="0" collapsed="false">
      <c r="A11292" s="915"/>
      <c r="B11292" s="522"/>
      <c r="C11292" s="709" t="s">
        <v>6275</v>
      </c>
      <c r="D11292" s="679" t="s">
        <v>6276</v>
      </c>
      <c r="E11292" s="709" t="n">
        <v>1</v>
      </c>
      <c r="F11292" s="681" t="n">
        <v>11610</v>
      </c>
      <c r="G11292" s="615" t="n">
        <f aca="false">F11292*E11292/25</f>
        <v>464.4</v>
      </c>
      <c r="H11292" s="679"/>
    </row>
    <row r="11293" s="451" customFormat="true" ht="15" hidden="false" customHeight="false" outlineLevel="0" collapsed="false">
      <c r="A11293" s="915"/>
      <c r="B11293" s="522"/>
      <c r="C11293" s="709" t="s">
        <v>4122</v>
      </c>
      <c r="D11293" s="679" t="s">
        <v>4359</v>
      </c>
      <c r="E11293" s="709" t="n">
        <v>0.07</v>
      </c>
      <c r="F11293" s="681" t="n">
        <v>800</v>
      </c>
      <c r="G11293" s="615" t="n">
        <f aca="false">F11293*E11293</f>
        <v>56</v>
      </c>
      <c r="H11293" s="679"/>
    </row>
    <row r="11294" s="451" customFormat="true" ht="30" hidden="false" customHeight="false" outlineLevel="0" collapsed="false">
      <c r="A11294" s="915"/>
      <c r="B11294" s="522"/>
      <c r="C11294" s="709" t="s">
        <v>4347</v>
      </c>
      <c r="D11294" s="679" t="s">
        <v>6277</v>
      </c>
      <c r="E11294" s="709" t="n">
        <v>1</v>
      </c>
      <c r="F11294" s="681" t="n">
        <v>1106</v>
      </c>
      <c r="G11294" s="615" t="n">
        <f aca="false">F11294*E11294/100</f>
        <v>11.06</v>
      </c>
      <c r="H11294" s="679"/>
    </row>
    <row r="11295" s="451" customFormat="true" ht="15" hidden="false" customHeight="false" outlineLevel="0" collapsed="false">
      <c r="A11295" s="915"/>
      <c r="B11295" s="522"/>
      <c r="C11295" s="709" t="s">
        <v>4270</v>
      </c>
      <c r="D11295" s="679" t="s">
        <v>4359</v>
      </c>
      <c r="E11295" s="709" t="n">
        <v>0.02</v>
      </c>
      <c r="F11295" s="681" t="n">
        <v>9866</v>
      </c>
      <c r="G11295" s="615" t="n">
        <f aca="false">F11295*E11295</f>
        <v>197.32</v>
      </c>
      <c r="H11295" s="679"/>
    </row>
    <row r="11296" s="451" customFormat="true" ht="15" hidden="false" customHeight="false" outlineLevel="0" collapsed="false">
      <c r="A11296" s="915"/>
      <c r="B11296" s="522"/>
      <c r="C11296" s="1086" t="s">
        <v>6278</v>
      </c>
      <c r="D11296" s="1087" t="s">
        <v>6279</v>
      </c>
      <c r="E11296" s="1086" t="n">
        <v>5</v>
      </c>
      <c r="F11296" s="1088" t="n">
        <v>393</v>
      </c>
      <c r="G11296" s="615" t="n">
        <f aca="false">F11296*E11296/20</f>
        <v>98.25</v>
      </c>
      <c r="H11296" s="679"/>
    </row>
    <row r="11297" s="451" customFormat="true" ht="15" hidden="false" customHeight="false" outlineLevel="0" collapsed="false">
      <c r="A11297" s="915"/>
      <c r="B11297" s="522"/>
      <c r="C11297" s="1086" t="s">
        <v>6280</v>
      </c>
      <c r="D11297" s="1087" t="s">
        <v>6281</v>
      </c>
      <c r="E11297" s="1086" t="n">
        <v>1</v>
      </c>
      <c r="F11297" s="1088" t="n">
        <v>842</v>
      </c>
      <c r="G11297" s="615" t="n">
        <f aca="false">F11297*E11297</f>
        <v>842</v>
      </c>
      <c r="H11297" s="679"/>
    </row>
    <row r="11298" s="451" customFormat="true" ht="30" hidden="false" customHeight="false" outlineLevel="0" collapsed="false">
      <c r="A11298" s="915"/>
      <c r="B11298" s="522"/>
      <c r="C11298" s="709" t="s">
        <v>6282</v>
      </c>
      <c r="D11298" s="679" t="s">
        <v>4348</v>
      </c>
      <c r="E11298" s="709" t="n">
        <v>1</v>
      </c>
      <c r="F11298" s="681" t="n">
        <v>450</v>
      </c>
      <c r="G11298" s="716" t="n">
        <f aca="false">F11298*E11298</f>
        <v>450</v>
      </c>
      <c r="H11298" s="679"/>
    </row>
    <row r="11299" s="451" customFormat="true" ht="30" hidden="false" customHeight="false" outlineLevel="0" collapsed="false">
      <c r="A11299" s="915"/>
      <c r="B11299" s="522"/>
      <c r="C11299" s="709" t="s">
        <v>6283</v>
      </c>
      <c r="D11299" s="679" t="s">
        <v>6268</v>
      </c>
      <c r="E11299" s="709" t="n">
        <v>1</v>
      </c>
      <c r="F11299" s="681" t="n">
        <v>460</v>
      </c>
      <c r="G11299" s="716" t="n">
        <f aca="false">F11299*E11299</f>
        <v>460</v>
      </c>
      <c r="H11299" s="679"/>
    </row>
    <row r="11300" s="451" customFormat="true" ht="15" hidden="false" customHeight="false" outlineLevel="0" collapsed="false">
      <c r="A11300" s="915"/>
      <c r="B11300" s="522"/>
      <c r="C11300" s="709" t="s">
        <v>6284</v>
      </c>
      <c r="D11300" s="679" t="s">
        <v>6268</v>
      </c>
      <c r="E11300" s="709" t="n">
        <v>1</v>
      </c>
      <c r="F11300" s="681" t="n">
        <v>175</v>
      </c>
      <c r="G11300" s="716" t="n">
        <f aca="false">F11300*E11300</f>
        <v>175</v>
      </c>
      <c r="H11300" s="679"/>
    </row>
    <row r="11301" s="451" customFormat="true" ht="15" hidden="false" customHeight="false" outlineLevel="0" collapsed="false">
      <c r="A11301" s="915"/>
      <c r="B11301" s="522"/>
      <c r="C11301" s="709" t="s">
        <v>6102</v>
      </c>
      <c r="D11301" s="679" t="s">
        <v>4528</v>
      </c>
      <c r="E11301" s="709" t="n">
        <v>0.02</v>
      </c>
      <c r="F11301" s="681" t="n">
        <v>864</v>
      </c>
      <c r="G11301" s="716" t="n">
        <f aca="false">F11301*E11301</f>
        <v>17.28</v>
      </c>
      <c r="H11301" s="679"/>
    </row>
    <row r="11302" s="451" customFormat="true" ht="15" hidden="false" customHeight="false" outlineLevel="0" collapsed="false">
      <c r="A11302" s="915"/>
      <c r="B11302" s="708" t="s">
        <v>4562</v>
      </c>
      <c r="C11302" s="718"/>
      <c r="D11302" s="679"/>
      <c r="E11302" s="679"/>
      <c r="F11302" s="369"/>
      <c r="G11302" s="711" t="n">
        <f aca="false">SUM(G11279:G11301)</f>
        <v>6318.2835</v>
      </c>
      <c r="H11302" s="679"/>
    </row>
    <row r="11303" s="451" customFormat="true" ht="15" hidden="false" customHeight="false" outlineLevel="0" collapsed="false">
      <c r="A11303" s="915" t="s">
        <v>6285</v>
      </c>
      <c r="B11303" s="532" t="s">
        <v>3867</v>
      </c>
      <c r="C11303" s="709" t="s">
        <v>6257</v>
      </c>
      <c r="D11303" s="679" t="n">
        <v>250</v>
      </c>
      <c r="E11303" s="709" t="n">
        <v>0.04</v>
      </c>
      <c r="F11303" s="681" t="n">
        <v>45172</v>
      </c>
      <c r="G11303" s="716" t="n">
        <f aca="false">F11303*E11303</f>
        <v>1806.88</v>
      </c>
      <c r="H11303" s="679"/>
    </row>
    <row r="11304" s="451" customFormat="true" ht="45" hidden="false" customHeight="false" outlineLevel="0" collapsed="false">
      <c r="A11304" s="915"/>
      <c r="B11304" s="532"/>
      <c r="C11304" s="709" t="s">
        <v>6273</v>
      </c>
      <c r="D11304" s="679" t="s">
        <v>6286</v>
      </c>
      <c r="E11304" s="709" t="n">
        <v>0.002</v>
      </c>
      <c r="F11304" s="681" t="n">
        <v>39293</v>
      </c>
      <c r="G11304" s="716" t="n">
        <f aca="false">F11304*E11304</f>
        <v>78.586</v>
      </c>
      <c r="H11304" s="679"/>
    </row>
    <row r="11305" s="451" customFormat="true" ht="45" hidden="false" customHeight="false" outlineLevel="0" collapsed="false">
      <c r="A11305" s="915"/>
      <c r="B11305" s="532"/>
      <c r="C11305" s="709" t="s">
        <v>6287</v>
      </c>
      <c r="D11305" s="679" t="s">
        <v>6286</v>
      </c>
      <c r="E11305" s="709" t="n">
        <v>0.002</v>
      </c>
      <c r="F11305" s="681" t="n">
        <v>38170</v>
      </c>
      <c r="G11305" s="716" t="n">
        <f aca="false">F11305*E11305</f>
        <v>76.34</v>
      </c>
      <c r="H11305" s="679"/>
    </row>
    <row r="11306" s="451" customFormat="true" ht="45" hidden="false" customHeight="false" outlineLevel="0" collapsed="false">
      <c r="A11306" s="915"/>
      <c r="B11306" s="532"/>
      <c r="C11306" s="709" t="s">
        <v>6288</v>
      </c>
      <c r="D11306" s="679" t="s">
        <v>6286</v>
      </c>
      <c r="E11306" s="709" t="n">
        <v>0.002</v>
      </c>
      <c r="F11306" s="681" t="n">
        <v>38817</v>
      </c>
      <c r="G11306" s="716" t="n">
        <f aca="false">F11306*E11306</f>
        <v>77.634</v>
      </c>
      <c r="H11306" s="679"/>
    </row>
    <row r="11307" s="451" customFormat="true" ht="45" hidden="false" customHeight="false" outlineLevel="0" collapsed="false">
      <c r="A11307" s="915"/>
      <c r="B11307" s="532"/>
      <c r="C11307" s="709" t="s">
        <v>6289</v>
      </c>
      <c r="D11307" s="679" t="s">
        <v>6286</v>
      </c>
      <c r="E11307" s="709" t="n">
        <v>0.002</v>
      </c>
      <c r="F11307" s="681" t="n">
        <v>12550</v>
      </c>
      <c r="G11307" s="716" t="n">
        <f aca="false">F11307*E11307</f>
        <v>25.1</v>
      </c>
      <c r="H11307" s="679"/>
    </row>
    <row r="11308" s="451" customFormat="true" ht="15" hidden="false" customHeight="false" outlineLevel="0" collapsed="false">
      <c r="A11308" s="915"/>
      <c r="B11308" s="532"/>
      <c r="C11308" s="709" t="s">
        <v>6290</v>
      </c>
      <c r="D11308" s="679" t="s">
        <v>6270</v>
      </c>
      <c r="E11308" s="709" t="n">
        <v>0.002</v>
      </c>
      <c r="F11308" s="681" t="n">
        <v>43233</v>
      </c>
      <c r="G11308" s="716" t="n">
        <f aca="false">F11308*E11308</f>
        <v>86.466</v>
      </c>
      <c r="H11308" s="679"/>
    </row>
    <row r="11309" s="451" customFormat="true" ht="75" hidden="false" customHeight="false" outlineLevel="0" collapsed="false">
      <c r="A11309" s="915"/>
      <c r="B11309" s="532"/>
      <c r="C11309" s="709" t="s">
        <v>6291</v>
      </c>
      <c r="D11309" s="679" t="s">
        <v>6292</v>
      </c>
      <c r="E11309" s="709" t="n">
        <v>0.02</v>
      </c>
      <c r="F11309" s="681" t="n">
        <v>39752</v>
      </c>
      <c r="G11309" s="716" t="n">
        <f aca="false">F11309*E11309</f>
        <v>795.04</v>
      </c>
      <c r="H11309" s="679"/>
    </row>
    <row r="11310" s="451" customFormat="true" ht="15" hidden="false" customHeight="false" outlineLevel="0" collapsed="false">
      <c r="A11310" s="915"/>
      <c r="B11310" s="532"/>
      <c r="C11310" s="709" t="s">
        <v>6260</v>
      </c>
      <c r="D11310" s="679" t="s">
        <v>6261</v>
      </c>
      <c r="E11310" s="709" t="n">
        <v>0.022</v>
      </c>
      <c r="F11310" s="681" t="n">
        <v>88707</v>
      </c>
      <c r="G11310" s="716" t="n">
        <f aca="false">F11310*E11310</f>
        <v>1951.554</v>
      </c>
      <c r="H11310" s="679"/>
    </row>
    <row r="11311" s="451" customFormat="true" ht="15" hidden="false" customHeight="true" outlineLevel="0" collapsed="false">
      <c r="A11311" s="915"/>
      <c r="B11311" s="532"/>
      <c r="C11311" s="709" t="s">
        <v>6293</v>
      </c>
      <c r="D11311" s="679" t="s">
        <v>6276</v>
      </c>
      <c r="E11311" s="709" t="n">
        <v>1</v>
      </c>
      <c r="F11311" s="681" t="n">
        <v>19863</v>
      </c>
      <c r="G11311" s="716" t="n">
        <f aca="false">F11311*E11311/25</f>
        <v>794.52</v>
      </c>
      <c r="H11311" s="679"/>
    </row>
    <row r="11312" s="451" customFormat="true" ht="15" hidden="false" customHeight="true" outlineLevel="0" collapsed="false">
      <c r="A11312" s="915"/>
      <c r="B11312" s="532"/>
      <c r="C11312" s="709" t="s">
        <v>6294</v>
      </c>
      <c r="D11312" s="679" t="s">
        <v>6276</v>
      </c>
      <c r="E11312" s="709" t="n">
        <v>1</v>
      </c>
      <c r="F11312" s="681" t="n">
        <v>11610</v>
      </c>
      <c r="G11312" s="716" t="n">
        <f aca="false">F11312*E11312/25</f>
        <v>464.4</v>
      </c>
      <c r="H11312" s="679"/>
    </row>
    <row r="11313" s="451" customFormat="true" ht="15" hidden="false" customHeight="true" outlineLevel="0" collapsed="false">
      <c r="A11313" s="915"/>
      <c r="B11313" s="532"/>
      <c r="C11313" s="709" t="s">
        <v>6295</v>
      </c>
      <c r="D11313" s="679" t="s">
        <v>6276</v>
      </c>
      <c r="E11313" s="709" t="n">
        <v>1</v>
      </c>
      <c r="F11313" s="681" t="n">
        <v>27079</v>
      </c>
      <c r="G11313" s="716" t="n">
        <f aca="false">F11313*E11313/25</f>
        <v>1083.16</v>
      </c>
      <c r="H11313" s="679"/>
    </row>
    <row r="11314" s="451" customFormat="true" ht="45" hidden="false" customHeight="false" outlineLevel="0" collapsed="false">
      <c r="A11314" s="915"/>
      <c r="B11314" s="532"/>
      <c r="C11314" s="532" t="s">
        <v>6296</v>
      </c>
      <c r="D11314" s="679" t="s">
        <v>6297</v>
      </c>
      <c r="E11314" s="709" t="n">
        <v>0.01</v>
      </c>
      <c r="F11314" s="681" t="n">
        <v>18146</v>
      </c>
      <c r="G11314" s="716" t="n">
        <f aca="false">F11314*E11314</f>
        <v>181.46</v>
      </c>
      <c r="H11314" s="679"/>
    </row>
    <row r="11315" s="451" customFormat="true" ht="15" hidden="false" customHeight="false" outlineLevel="0" collapsed="false">
      <c r="A11315" s="915"/>
      <c r="B11315" s="532"/>
      <c r="C11315" s="709" t="s">
        <v>6298</v>
      </c>
      <c r="D11315" s="679" t="s">
        <v>6261</v>
      </c>
      <c r="E11315" s="709" t="n">
        <v>0.001</v>
      </c>
      <c r="F11315" s="681" t="n">
        <v>62937</v>
      </c>
      <c r="G11315" s="716" t="n">
        <f aca="false">F11315*E11315</f>
        <v>62.937</v>
      </c>
      <c r="H11315" s="679"/>
    </row>
    <row r="11316" s="451" customFormat="true" ht="15" hidden="false" customHeight="true" outlineLevel="0" collapsed="false">
      <c r="A11316" s="915"/>
      <c r="B11316" s="532"/>
      <c r="C11316" s="709" t="s">
        <v>6299</v>
      </c>
      <c r="D11316" s="679" t="s">
        <v>6276</v>
      </c>
      <c r="E11316" s="709" t="n">
        <v>1</v>
      </c>
      <c r="F11316" s="681" t="n">
        <v>17469</v>
      </c>
      <c r="G11316" s="716" t="n">
        <f aca="false">F11316*E11316/25</f>
        <v>698.76</v>
      </c>
      <c r="H11316" s="679"/>
    </row>
    <row r="11317" s="451" customFormat="true" ht="15" hidden="false" customHeight="true" outlineLevel="0" collapsed="false">
      <c r="A11317" s="915"/>
      <c r="B11317" s="532"/>
      <c r="C11317" s="709" t="s">
        <v>6300</v>
      </c>
      <c r="D11317" s="679" t="s">
        <v>6276</v>
      </c>
      <c r="E11317" s="709" t="n">
        <v>1</v>
      </c>
      <c r="F11317" s="681" t="n">
        <v>11610</v>
      </c>
      <c r="G11317" s="716" t="n">
        <f aca="false">F11317*E11317/25</f>
        <v>464.4</v>
      </c>
      <c r="H11317" s="679"/>
    </row>
    <row r="11318" s="451" customFormat="true" ht="15" hidden="false" customHeight="true" outlineLevel="0" collapsed="false">
      <c r="A11318" s="915"/>
      <c r="B11318" s="532"/>
      <c r="C11318" s="709" t="s">
        <v>6301</v>
      </c>
      <c r="D11318" s="679" t="s">
        <v>6276</v>
      </c>
      <c r="E11318" s="709" t="n">
        <v>1</v>
      </c>
      <c r="F11318" s="681" t="n">
        <v>11610</v>
      </c>
      <c r="G11318" s="716" t="n">
        <f aca="false">F11318*E11318/25</f>
        <v>464.4</v>
      </c>
      <c r="H11318" s="679"/>
    </row>
    <row r="11319" s="451" customFormat="true" ht="15" hidden="false" customHeight="true" outlineLevel="0" collapsed="false">
      <c r="A11319" s="915"/>
      <c r="B11319" s="532"/>
      <c r="C11319" s="709" t="s">
        <v>6302</v>
      </c>
      <c r="D11319" s="679" t="s">
        <v>6276</v>
      </c>
      <c r="E11319" s="709" t="n">
        <v>1</v>
      </c>
      <c r="F11319" s="681" t="n">
        <v>11610</v>
      </c>
      <c r="G11319" s="716" t="n">
        <f aca="false">F11319*E11319/25</f>
        <v>464.4</v>
      </c>
      <c r="H11319" s="679"/>
    </row>
    <row r="11320" s="451" customFormat="true" ht="15" hidden="false" customHeight="true" outlineLevel="0" collapsed="false">
      <c r="A11320" s="915"/>
      <c r="B11320" s="532"/>
      <c r="C11320" s="709" t="s">
        <v>6303</v>
      </c>
      <c r="D11320" s="679" t="s">
        <v>6276</v>
      </c>
      <c r="E11320" s="709" t="n">
        <v>1</v>
      </c>
      <c r="F11320" s="681" t="n">
        <v>27079</v>
      </c>
      <c r="G11320" s="716" t="n">
        <f aca="false">F11320*E11320/25</f>
        <v>1083.16</v>
      </c>
      <c r="H11320" s="679"/>
    </row>
    <row r="11321" s="451" customFormat="true" ht="15" hidden="false" customHeight="true" outlineLevel="0" collapsed="false">
      <c r="A11321" s="915"/>
      <c r="B11321" s="532"/>
      <c r="C11321" s="709" t="s">
        <v>6304</v>
      </c>
      <c r="D11321" s="679" t="s">
        <v>6305</v>
      </c>
      <c r="E11321" s="709" t="n">
        <v>1</v>
      </c>
      <c r="F11321" s="681" t="n">
        <v>47370</v>
      </c>
      <c r="G11321" s="716" t="n">
        <f aca="false">F11321*E11321/25</f>
        <v>1894.8</v>
      </c>
      <c r="H11321" s="679"/>
    </row>
    <row r="11322" s="451" customFormat="true" ht="15" hidden="false" customHeight="true" outlineLevel="0" collapsed="false">
      <c r="A11322" s="915"/>
      <c r="B11322" s="532"/>
      <c r="C11322" s="709" t="s">
        <v>6306</v>
      </c>
      <c r="D11322" s="679" t="s">
        <v>6305</v>
      </c>
      <c r="E11322" s="709" t="n">
        <v>1</v>
      </c>
      <c r="F11322" s="681" t="n">
        <v>48335</v>
      </c>
      <c r="G11322" s="716" t="n">
        <f aca="false">F11322*E11322/25</f>
        <v>1933.4</v>
      </c>
      <c r="H11322" s="679"/>
    </row>
    <row r="11323" s="451" customFormat="true" ht="15" hidden="false" customHeight="true" outlineLevel="0" collapsed="false">
      <c r="A11323" s="915"/>
      <c r="B11323" s="532"/>
      <c r="C11323" s="709" t="s">
        <v>6307</v>
      </c>
      <c r="D11323" s="679" t="s">
        <v>6305</v>
      </c>
      <c r="E11323" s="709" t="n">
        <v>1</v>
      </c>
      <c r="F11323" s="681" t="n">
        <v>57000</v>
      </c>
      <c r="G11323" s="716" t="n">
        <f aca="false">F11323*E11323/25</f>
        <v>2280</v>
      </c>
      <c r="H11323" s="679"/>
    </row>
    <row r="11324" s="451" customFormat="true" ht="30" hidden="false" customHeight="false" outlineLevel="0" collapsed="false">
      <c r="A11324" s="915"/>
      <c r="B11324" s="532"/>
      <c r="C11324" s="709" t="s">
        <v>6308</v>
      </c>
      <c r="D11324" s="679" t="s">
        <v>6261</v>
      </c>
      <c r="E11324" s="709" t="n">
        <v>0.003</v>
      </c>
      <c r="F11324" s="681" t="n">
        <v>83859</v>
      </c>
      <c r="G11324" s="716" t="n">
        <f aca="false">F11324*E11324</f>
        <v>251.577</v>
      </c>
      <c r="H11324" s="679"/>
    </row>
    <row r="11325" s="451" customFormat="true" ht="15" hidden="false" customHeight="false" outlineLevel="0" collapsed="false">
      <c r="A11325" s="915"/>
      <c r="B11325" s="532"/>
      <c r="C11325" s="709" t="s">
        <v>6263</v>
      </c>
      <c r="D11325" s="679" t="s">
        <v>6264</v>
      </c>
      <c r="E11325" s="709" t="n">
        <v>2</v>
      </c>
      <c r="F11325" s="1085" t="n">
        <v>52</v>
      </c>
      <c r="G11325" s="716" t="n">
        <f aca="false">F11325*E11325</f>
        <v>104</v>
      </c>
      <c r="H11325" s="679"/>
    </row>
    <row r="11326" s="451" customFormat="true" ht="15" hidden="false" customHeight="true" outlineLevel="0" collapsed="false">
      <c r="A11326" s="915"/>
      <c r="B11326" s="532"/>
      <c r="C11326" s="709" t="s">
        <v>6078</v>
      </c>
      <c r="D11326" s="679" t="s">
        <v>6265</v>
      </c>
      <c r="E11326" s="709" t="n">
        <v>1</v>
      </c>
      <c r="F11326" s="1085" t="n">
        <v>43</v>
      </c>
      <c r="G11326" s="716" t="n">
        <f aca="false">F11326*E11326</f>
        <v>43</v>
      </c>
      <c r="H11326" s="679"/>
    </row>
    <row r="11327" s="451" customFormat="true" ht="60" hidden="false" customHeight="true" outlineLevel="0" collapsed="false">
      <c r="A11327" s="915"/>
      <c r="B11327" s="532"/>
      <c r="C11327" s="709" t="s">
        <v>6266</v>
      </c>
      <c r="D11327" s="679" t="s">
        <v>5908</v>
      </c>
      <c r="E11327" s="709" t="n">
        <v>0.001</v>
      </c>
      <c r="F11327" s="681" t="n">
        <v>10798</v>
      </c>
      <c r="G11327" s="615" t="n">
        <f aca="false">F11327*E11327</f>
        <v>10.798</v>
      </c>
      <c r="H11327" s="679"/>
    </row>
    <row r="11328" s="451" customFormat="true" ht="15" hidden="false" customHeight="false" outlineLevel="0" collapsed="false">
      <c r="A11328" s="915"/>
      <c r="B11328" s="532"/>
      <c r="C11328" s="709" t="s">
        <v>6267</v>
      </c>
      <c r="D11328" s="679" t="s">
        <v>6268</v>
      </c>
      <c r="E11328" s="709" t="n">
        <v>5</v>
      </c>
      <c r="F11328" s="681" t="n">
        <v>353</v>
      </c>
      <c r="G11328" s="615" t="n">
        <f aca="false">F11328*E11328</f>
        <v>1765</v>
      </c>
      <c r="H11328" s="679"/>
    </row>
    <row r="11329" s="451" customFormat="true" ht="15" hidden="false" customHeight="false" outlineLevel="0" collapsed="false">
      <c r="A11329" s="915"/>
      <c r="B11329" s="532"/>
      <c r="C11329" s="709" t="s">
        <v>4122</v>
      </c>
      <c r="D11329" s="679" t="s">
        <v>4359</v>
      </c>
      <c r="E11329" s="709" t="n">
        <v>0.1</v>
      </c>
      <c r="F11329" s="681" t="n">
        <v>800</v>
      </c>
      <c r="G11329" s="615" t="n">
        <f aca="false">F11329*E11329</f>
        <v>80</v>
      </c>
      <c r="H11329" s="679"/>
    </row>
    <row r="11330" s="451" customFormat="true" ht="15" hidden="false" customHeight="false" outlineLevel="0" collapsed="false">
      <c r="A11330" s="915"/>
      <c r="B11330" s="532"/>
      <c r="C11330" s="709" t="s">
        <v>4347</v>
      </c>
      <c r="D11330" s="679" t="s">
        <v>6309</v>
      </c>
      <c r="E11330" s="709" t="n">
        <v>1</v>
      </c>
      <c r="F11330" s="681" t="n">
        <v>1106</v>
      </c>
      <c r="G11330" s="615" t="n">
        <f aca="false">F11330*E11330/100</f>
        <v>11.06</v>
      </c>
      <c r="H11330" s="679"/>
    </row>
    <row r="11331" s="451" customFormat="true" ht="15" hidden="false" customHeight="false" outlineLevel="0" collapsed="false">
      <c r="A11331" s="915"/>
      <c r="B11331" s="532"/>
      <c r="C11331" s="709" t="s">
        <v>4270</v>
      </c>
      <c r="D11331" s="679" t="s">
        <v>4133</v>
      </c>
      <c r="E11331" s="709" t="n">
        <v>0.2</v>
      </c>
      <c r="F11331" s="681" t="n">
        <v>9866</v>
      </c>
      <c r="G11331" s="615" t="n">
        <f aca="false">F11331*E11331</f>
        <v>1973.2</v>
      </c>
      <c r="H11331" s="679"/>
    </row>
    <row r="11332" s="451" customFormat="true" ht="15" hidden="false" customHeight="false" outlineLevel="0" collapsed="false">
      <c r="A11332" s="915"/>
      <c r="B11332" s="532"/>
      <c r="C11332" s="1086" t="s">
        <v>6278</v>
      </c>
      <c r="D11332" s="1087" t="s">
        <v>6310</v>
      </c>
      <c r="E11332" s="1086" t="n">
        <v>5</v>
      </c>
      <c r="F11332" s="1088" t="n">
        <v>393</v>
      </c>
      <c r="G11332" s="615" t="n">
        <f aca="false">F11332*E11332</f>
        <v>1965</v>
      </c>
      <c r="H11332" s="679"/>
    </row>
    <row r="11333" s="451" customFormat="true" ht="15" hidden="false" customHeight="false" outlineLevel="0" collapsed="false">
      <c r="A11333" s="915"/>
      <c r="B11333" s="532"/>
      <c r="C11333" s="1086" t="s">
        <v>6280</v>
      </c>
      <c r="D11333" s="1087" t="s">
        <v>6311</v>
      </c>
      <c r="E11333" s="1086" t="n">
        <v>1</v>
      </c>
      <c r="F11333" s="1088" t="n">
        <v>393</v>
      </c>
      <c r="G11333" s="716" t="n">
        <f aca="false">F11333*E11333</f>
        <v>393</v>
      </c>
      <c r="H11333" s="679"/>
    </row>
    <row r="11334" s="451" customFormat="true" ht="30" hidden="false" customHeight="false" outlineLevel="0" collapsed="false">
      <c r="A11334" s="915"/>
      <c r="B11334" s="532"/>
      <c r="C11334" s="709" t="s">
        <v>6282</v>
      </c>
      <c r="D11334" s="679" t="s">
        <v>4348</v>
      </c>
      <c r="E11334" s="709" t="n">
        <v>1</v>
      </c>
      <c r="F11334" s="681" t="n">
        <v>450</v>
      </c>
      <c r="G11334" s="716" t="n">
        <f aca="false">F11334*E11334</f>
        <v>450</v>
      </c>
      <c r="H11334" s="679"/>
    </row>
    <row r="11335" s="451" customFormat="true" ht="30" hidden="false" customHeight="false" outlineLevel="0" collapsed="false">
      <c r="A11335" s="915"/>
      <c r="B11335" s="532"/>
      <c r="C11335" s="709" t="s">
        <v>6283</v>
      </c>
      <c r="D11335" s="679" t="s">
        <v>6268</v>
      </c>
      <c r="E11335" s="709" t="n">
        <v>1</v>
      </c>
      <c r="F11335" s="681" t="n">
        <v>460</v>
      </c>
      <c r="G11335" s="716" t="n">
        <f aca="false">F11335*E11335</f>
        <v>460</v>
      </c>
      <c r="H11335" s="679"/>
    </row>
    <row r="11336" s="451" customFormat="true" ht="15" hidden="false" customHeight="false" outlineLevel="0" collapsed="false">
      <c r="A11336" s="915"/>
      <c r="B11336" s="532"/>
      <c r="C11336" s="709" t="s">
        <v>6284</v>
      </c>
      <c r="D11336" s="679" t="s">
        <v>6268</v>
      </c>
      <c r="E11336" s="709" t="n">
        <v>1</v>
      </c>
      <c r="F11336" s="681" t="n">
        <v>175</v>
      </c>
      <c r="G11336" s="716" t="n">
        <f aca="false">F11336*E11336</f>
        <v>175</v>
      </c>
      <c r="H11336" s="679"/>
    </row>
    <row r="11337" s="451" customFormat="true" ht="15" hidden="false" customHeight="false" outlineLevel="0" collapsed="false">
      <c r="A11337" s="915"/>
      <c r="B11337" s="532"/>
      <c r="C11337" s="709" t="s">
        <v>6102</v>
      </c>
      <c r="D11337" s="679" t="s">
        <v>4528</v>
      </c>
      <c r="E11337" s="709" t="n">
        <v>0.02</v>
      </c>
      <c r="F11337" s="681" t="n">
        <v>864</v>
      </c>
      <c r="G11337" s="716" t="n">
        <f aca="false">F11337*E11337</f>
        <v>17.28</v>
      </c>
      <c r="H11337" s="679"/>
    </row>
    <row r="11338" s="451" customFormat="true" ht="15" hidden="false" customHeight="false" outlineLevel="0" collapsed="false">
      <c r="A11338" s="915"/>
      <c r="B11338" s="532"/>
      <c r="C11338" s="709"/>
      <c r="D11338" s="679"/>
      <c r="E11338" s="679"/>
      <c r="F11338" s="369"/>
      <c r="G11338" s="711" t="n">
        <f aca="false">SUM(G11303:G11337)</f>
        <v>24466.312</v>
      </c>
      <c r="H11338" s="679"/>
    </row>
    <row r="11339" s="451" customFormat="true" ht="45" hidden="false" customHeight="false" outlineLevel="0" collapsed="false">
      <c r="A11339" s="915" t="s">
        <v>6312</v>
      </c>
      <c r="B11339" s="532" t="s">
        <v>6313</v>
      </c>
      <c r="C11339" s="709" t="s">
        <v>6314</v>
      </c>
      <c r="D11339" s="679" t="s">
        <v>6315</v>
      </c>
      <c r="E11339" s="709" t="n">
        <v>0.001</v>
      </c>
      <c r="F11339" s="681" t="n">
        <v>12550</v>
      </c>
      <c r="G11339" s="716" t="n">
        <f aca="false">F11339*E11339</f>
        <v>12.55</v>
      </c>
      <c r="H11339" s="679"/>
    </row>
    <row r="11340" s="451" customFormat="true" ht="15" hidden="false" customHeight="false" outlineLevel="0" collapsed="false">
      <c r="A11340" s="915"/>
      <c r="B11340" s="532"/>
      <c r="C11340" s="709" t="s">
        <v>6263</v>
      </c>
      <c r="D11340" s="679" t="s">
        <v>6264</v>
      </c>
      <c r="E11340" s="709" t="n">
        <v>1</v>
      </c>
      <c r="F11340" s="1085" t="n">
        <v>52</v>
      </c>
      <c r="G11340" s="716" t="n">
        <f aca="false">F11340*E11340</f>
        <v>52</v>
      </c>
      <c r="H11340" s="679"/>
    </row>
    <row r="11341" s="451" customFormat="true" ht="15" hidden="false" customHeight="true" outlineLevel="0" collapsed="false">
      <c r="A11341" s="915"/>
      <c r="B11341" s="532"/>
      <c r="C11341" s="709" t="s">
        <v>6078</v>
      </c>
      <c r="D11341" s="679" t="s">
        <v>6265</v>
      </c>
      <c r="E11341" s="709" t="n">
        <v>1</v>
      </c>
      <c r="F11341" s="1085" t="n">
        <v>43</v>
      </c>
      <c r="G11341" s="716" t="n">
        <v>43</v>
      </c>
      <c r="H11341" s="679"/>
    </row>
    <row r="11342" s="451" customFormat="true" ht="30" hidden="false" customHeight="false" outlineLevel="0" collapsed="false">
      <c r="A11342" s="915"/>
      <c r="B11342" s="532"/>
      <c r="C11342" s="709" t="s">
        <v>6316</v>
      </c>
      <c r="D11342" s="679" t="s">
        <v>6268</v>
      </c>
      <c r="E11342" s="709" t="n">
        <v>1</v>
      </c>
      <c r="F11342" s="681" t="n">
        <v>353301</v>
      </c>
      <c r="G11342" s="716" t="n">
        <v>353</v>
      </c>
      <c r="H11342" s="679"/>
    </row>
    <row r="11343" s="451" customFormat="true" ht="15" hidden="false" customHeight="false" outlineLevel="0" collapsed="false">
      <c r="A11343" s="915"/>
      <c r="B11343" s="532"/>
      <c r="C11343" s="709" t="s">
        <v>4122</v>
      </c>
      <c r="D11343" s="679" t="s">
        <v>4359</v>
      </c>
      <c r="E11343" s="709" t="n">
        <v>0.1</v>
      </c>
      <c r="F11343" s="681" t="n">
        <v>800</v>
      </c>
      <c r="G11343" s="716" t="n">
        <f aca="false">F11343*E11343</f>
        <v>80</v>
      </c>
      <c r="H11343" s="679"/>
    </row>
    <row r="11344" s="451" customFormat="true" ht="15" hidden="false" customHeight="false" outlineLevel="0" collapsed="false">
      <c r="A11344" s="915"/>
      <c r="B11344" s="532"/>
      <c r="C11344" s="709" t="s">
        <v>4347</v>
      </c>
      <c r="D11344" s="679" t="s">
        <v>6309</v>
      </c>
      <c r="E11344" s="709" t="n">
        <v>2</v>
      </c>
      <c r="F11344" s="681" t="n">
        <v>1106</v>
      </c>
      <c r="G11344" s="716" t="n">
        <v>22</v>
      </c>
      <c r="H11344" s="679"/>
    </row>
    <row r="11345" s="451" customFormat="true" ht="15" hidden="false" customHeight="false" outlineLevel="0" collapsed="false">
      <c r="A11345" s="915"/>
      <c r="B11345" s="532"/>
      <c r="C11345" s="709" t="s">
        <v>4270</v>
      </c>
      <c r="D11345" s="679" t="s">
        <v>4359</v>
      </c>
      <c r="E11345" s="709" t="n">
        <v>0.01</v>
      </c>
      <c r="F11345" s="681" t="n">
        <v>9866</v>
      </c>
      <c r="G11345" s="716" t="n">
        <f aca="false">F11345*E11345</f>
        <v>98.66</v>
      </c>
      <c r="H11345" s="679"/>
    </row>
    <row r="11346" s="451" customFormat="true" ht="15" hidden="false" customHeight="false" outlineLevel="0" collapsed="false">
      <c r="A11346" s="915"/>
      <c r="B11346" s="532"/>
      <c r="C11346" s="1086" t="s">
        <v>6278</v>
      </c>
      <c r="D11346" s="1087" t="s">
        <v>6310</v>
      </c>
      <c r="E11346" s="1086" t="n">
        <v>5</v>
      </c>
      <c r="F11346" s="1088" t="n">
        <v>393</v>
      </c>
      <c r="G11346" s="716" t="n">
        <f aca="false">F11346*E11346</f>
        <v>1965</v>
      </c>
      <c r="H11346" s="679"/>
    </row>
    <row r="11347" s="451" customFormat="true" ht="15" hidden="false" customHeight="false" outlineLevel="0" collapsed="false">
      <c r="A11347" s="915"/>
      <c r="B11347" s="532"/>
      <c r="C11347" s="1086" t="s">
        <v>6280</v>
      </c>
      <c r="D11347" s="1087" t="s">
        <v>6311</v>
      </c>
      <c r="E11347" s="1086" t="n">
        <v>1</v>
      </c>
      <c r="F11347" s="1088" t="n">
        <v>842</v>
      </c>
      <c r="G11347" s="716" t="n">
        <f aca="false">F11347*E11347</f>
        <v>842</v>
      </c>
      <c r="H11347" s="679"/>
    </row>
    <row r="11348" s="451" customFormat="true" ht="30" hidden="false" customHeight="false" outlineLevel="0" collapsed="false">
      <c r="A11348" s="915"/>
      <c r="B11348" s="532"/>
      <c r="C11348" s="709" t="s">
        <v>6282</v>
      </c>
      <c r="D11348" s="679" t="s">
        <v>4348</v>
      </c>
      <c r="E11348" s="709" t="n">
        <v>1</v>
      </c>
      <c r="F11348" s="681" t="n">
        <v>450</v>
      </c>
      <c r="G11348" s="615" t="n">
        <f aca="false">F11348*E11348</f>
        <v>450</v>
      </c>
      <c r="H11348" s="679"/>
    </row>
    <row r="11349" s="451" customFormat="true" ht="30" hidden="false" customHeight="false" outlineLevel="0" collapsed="false">
      <c r="A11349" s="915"/>
      <c r="B11349" s="532"/>
      <c r="C11349" s="709" t="s">
        <v>6283</v>
      </c>
      <c r="D11349" s="679" t="s">
        <v>6268</v>
      </c>
      <c r="E11349" s="709" t="n">
        <v>1</v>
      </c>
      <c r="F11349" s="681" t="n">
        <v>460</v>
      </c>
      <c r="G11349" s="716" t="n">
        <f aca="false">F11349*E11349</f>
        <v>460</v>
      </c>
      <c r="H11349" s="679"/>
    </row>
    <row r="11350" s="451" customFormat="true" ht="15" hidden="false" customHeight="false" outlineLevel="0" collapsed="false">
      <c r="A11350" s="915"/>
      <c r="B11350" s="532"/>
      <c r="C11350" s="709" t="s">
        <v>6284</v>
      </c>
      <c r="D11350" s="679" t="s">
        <v>6268</v>
      </c>
      <c r="E11350" s="709" t="n">
        <v>1</v>
      </c>
      <c r="F11350" s="681" t="n">
        <v>175</v>
      </c>
      <c r="G11350" s="716" t="n">
        <f aca="false">F11350*E11350</f>
        <v>175</v>
      </c>
      <c r="H11350" s="679"/>
    </row>
    <row r="11351" s="451" customFormat="true" ht="15" hidden="false" customHeight="false" outlineLevel="0" collapsed="false">
      <c r="A11351" s="915"/>
      <c r="B11351" s="532"/>
      <c r="C11351" s="709" t="s">
        <v>6102</v>
      </c>
      <c r="D11351" s="679" t="s">
        <v>4528</v>
      </c>
      <c r="E11351" s="709" t="n">
        <v>0.02</v>
      </c>
      <c r="F11351" s="681" t="n">
        <v>864</v>
      </c>
      <c r="G11351" s="716" t="n">
        <f aca="false">F11351*E11351</f>
        <v>17.28</v>
      </c>
      <c r="H11351" s="679"/>
    </row>
    <row r="11352" s="451" customFormat="true" ht="15" hidden="false" customHeight="false" outlineLevel="0" collapsed="false">
      <c r="A11352" s="915"/>
      <c r="B11352" s="532"/>
      <c r="C11352" s="709"/>
      <c r="D11352" s="679"/>
      <c r="E11352" s="679"/>
      <c r="F11352" s="369"/>
      <c r="G11352" s="711" t="n">
        <f aca="false">SUM(G11339:G11351)</f>
        <v>4570.49</v>
      </c>
      <c r="H11352" s="679"/>
    </row>
    <row r="11353" s="451" customFormat="true" ht="54" hidden="false" customHeight="true" outlineLevel="0" collapsed="false">
      <c r="A11353" s="915" t="s">
        <v>6317</v>
      </c>
      <c r="B11353" s="532" t="s">
        <v>6318</v>
      </c>
      <c r="C11353" s="709" t="s">
        <v>6319</v>
      </c>
      <c r="D11353" s="679" t="s">
        <v>6320</v>
      </c>
      <c r="E11353" s="709" t="n">
        <v>0.01</v>
      </c>
      <c r="F11353" s="681" t="n">
        <v>38078</v>
      </c>
      <c r="G11353" s="716" t="n">
        <f aca="false">F11353*E11353</f>
        <v>380.78</v>
      </c>
      <c r="H11353" s="679"/>
    </row>
    <row r="11354" s="451" customFormat="true" ht="23.25" hidden="false" customHeight="true" outlineLevel="0" collapsed="false">
      <c r="A11354" s="915"/>
      <c r="B11354" s="532"/>
      <c r="C11354" s="614" t="s">
        <v>6321</v>
      </c>
      <c r="D11354" s="606" t="s">
        <v>6322</v>
      </c>
      <c r="E11354" s="614" t="n">
        <v>2</v>
      </c>
      <c r="F11354" s="617" t="n">
        <v>4771</v>
      </c>
      <c r="G11354" s="615" t="n">
        <v>9.54</v>
      </c>
      <c r="H11354" s="679"/>
    </row>
    <row r="11355" s="451" customFormat="true" ht="29.25" hidden="false" customHeight="true" outlineLevel="0" collapsed="false">
      <c r="A11355" s="915"/>
      <c r="B11355" s="532"/>
      <c r="C11355" s="614" t="s">
        <v>6282</v>
      </c>
      <c r="D11355" s="606" t="s">
        <v>4348</v>
      </c>
      <c r="E11355" s="614" t="n">
        <v>1</v>
      </c>
      <c r="F11355" s="617" t="n">
        <v>450</v>
      </c>
      <c r="G11355" s="615" t="n">
        <f aca="false">F11355*E11355</f>
        <v>450</v>
      </c>
      <c r="H11355" s="679"/>
    </row>
    <row r="11356" s="451" customFormat="true" ht="27.75" hidden="false" customHeight="true" outlineLevel="0" collapsed="false">
      <c r="A11356" s="915"/>
      <c r="B11356" s="532"/>
      <c r="C11356" s="614" t="s">
        <v>6283</v>
      </c>
      <c r="D11356" s="606" t="s">
        <v>6268</v>
      </c>
      <c r="E11356" s="614" t="n">
        <v>1</v>
      </c>
      <c r="F11356" s="617" t="n">
        <v>475</v>
      </c>
      <c r="G11356" s="615" t="n">
        <f aca="false">F11356*E11356</f>
        <v>475</v>
      </c>
      <c r="H11356" s="679"/>
    </row>
    <row r="11357" s="451" customFormat="true" ht="23.25" hidden="false" customHeight="true" outlineLevel="0" collapsed="false">
      <c r="A11357" s="915"/>
      <c r="B11357" s="532"/>
      <c r="C11357" s="614" t="s">
        <v>4122</v>
      </c>
      <c r="D11357" s="606" t="s">
        <v>4359</v>
      </c>
      <c r="E11357" s="614" t="n">
        <v>0.1</v>
      </c>
      <c r="F11357" s="617" t="n">
        <v>800</v>
      </c>
      <c r="G11357" s="615" t="n">
        <f aca="false">F11357*E11357</f>
        <v>80</v>
      </c>
      <c r="H11357" s="679"/>
    </row>
    <row r="11358" s="451" customFormat="true" ht="15" hidden="false" customHeight="false" outlineLevel="0" collapsed="false">
      <c r="A11358" s="915"/>
      <c r="B11358" s="532"/>
      <c r="C11358" s="614"/>
      <c r="D11358" s="606"/>
      <c r="E11358" s="606"/>
      <c r="F11358" s="361"/>
      <c r="G11358" s="613" t="n">
        <f aca="false">SUM(G11353:G11357)</f>
        <v>1395.32</v>
      </c>
      <c r="H11358" s="679"/>
    </row>
    <row r="11359" s="451" customFormat="true" ht="30" hidden="false" customHeight="false" outlineLevel="0" collapsed="false">
      <c r="A11359" s="915" t="s">
        <v>6323</v>
      </c>
      <c r="B11359" s="532" t="s">
        <v>6324</v>
      </c>
      <c r="C11359" s="614" t="s">
        <v>6325</v>
      </c>
      <c r="D11359" s="606" t="s">
        <v>6326</v>
      </c>
      <c r="E11359" s="614" t="n">
        <v>1</v>
      </c>
      <c r="F11359" s="617" t="n">
        <v>371672</v>
      </c>
      <c r="G11359" s="615" t="n">
        <v>6194.5</v>
      </c>
      <c r="H11359" s="679"/>
    </row>
    <row r="11360" s="451" customFormat="true" ht="30" hidden="false" customHeight="false" outlineLevel="0" collapsed="false">
      <c r="A11360" s="915"/>
      <c r="B11360" s="532"/>
      <c r="C11360" s="614" t="s">
        <v>6327</v>
      </c>
      <c r="D11360" s="606" t="s">
        <v>6322</v>
      </c>
      <c r="E11360" s="614" t="n">
        <v>5</v>
      </c>
      <c r="F11360" s="617" t="n">
        <v>4771</v>
      </c>
      <c r="G11360" s="615" t="n">
        <v>23.8555</v>
      </c>
      <c r="H11360" s="679"/>
    </row>
    <row r="11361" s="451" customFormat="true" ht="30" hidden="false" customHeight="false" outlineLevel="0" collapsed="false">
      <c r="A11361" s="915"/>
      <c r="B11361" s="532"/>
      <c r="C11361" s="614" t="s">
        <v>6328</v>
      </c>
      <c r="D11361" s="606" t="s">
        <v>6329</v>
      </c>
      <c r="E11361" s="614" t="n">
        <v>1</v>
      </c>
      <c r="F11361" s="617" t="n">
        <v>353301</v>
      </c>
      <c r="G11361" s="615" t="n">
        <v>353.301</v>
      </c>
      <c r="H11361" s="679"/>
    </row>
    <row r="11362" s="451" customFormat="true" ht="15" hidden="false" customHeight="false" outlineLevel="0" collapsed="false">
      <c r="A11362" s="915"/>
      <c r="B11362" s="532"/>
      <c r="C11362" s="614" t="s">
        <v>4122</v>
      </c>
      <c r="D11362" s="606" t="s">
        <v>4359</v>
      </c>
      <c r="E11362" s="614" t="n">
        <v>0.2</v>
      </c>
      <c r="F11362" s="617" t="n">
        <v>800</v>
      </c>
      <c r="G11362" s="615" t="n">
        <f aca="false">F11362*E11362</f>
        <v>160</v>
      </c>
      <c r="H11362" s="679"/>
    </row>
    <row r="11363" s="451" customFormat="true" ht="15" hidden="false" customHeight="false" outlineLevel="0" collapsed="false">
      <c r="A11363" s="915"/>
      <c r="B11363" s="532"/>
      <c r="C11363" s="614" t="s">
        <v>4347</v>
      </c>
      <c r="D11363" s="606" t="s">
        <v>6309</v>
      </c>
      <c r="E11363" s="614" t="n">
        <v>1</v>
      </c>
      <c r="F11363" s="617" t="n">
        <v>1106</v>
      </c>
      <c r="G11363" s="615" t="n">
        <f aca="false">F11363*E11363/100</f>
        <v>11.06</v>
      </c>
      <c r="H11363" s="679"/>
    </row>
    <row r="11364" s="451" customFormat="true" ht="15" hidden="false" customHeight="false" outlineLevel="0" collapsed="false">
      <c r="A11364" s="915"/>
      <c r="B11364" s="532"/>
      <c r="C11364" s="614" t="s">
        <v>4270</v>
      </c>
      <c r="D11364" s="606" t="s">
        <v>4133</v>
      </c>
      <c r="E11364" s="614" t="n">
        <v>0.1</v>
      </c>
      <c r="F11364" s="617" t="n">
        <v>9866</v>
      </c>
      <c r="G11364" s="615" t="n">
        <f aca="false">F11364*E11364</f>
        <v>986.6</v>
      </c>
      <c r="H11364" s="679"/>
    </row>
    <row r="11365" s="451" customFormat="true" ht="30" hidden="false" customHeight="false" outlineLevel="0" collapsed="false">
      <c r="A11365" s="915"/>
      <c r="B11365" s="532"/>
      <c r="C11365" s="614" t="s">
        <v>6282</v>
      </c>
      <c r="D11365" s="606" t="s">
        <v>4348</v>
      </c>
      <c r="E11365" s="614" t="n">
        <v>1</v>
      </c>
      <c r="F11365" s="617" t="n">
        <v>450</v>
      </c>
      <c r="G11365" s="615" t="n">
        <f aca="false">F11365*E11365</f>
        <v>450</v>
      </c>
      <c r="H11365" s="679"/>
    </row>
    <row r="11366" s="451" customFormat="true" ht="30" hidden="false" customHeight="false" outlineLevel="0" collapsed="false">
      <c r="A11366" s="915"/>
      <c r="B11366" s="532"/>
      <c r="C11366" s="709" t="s">
        <v>6283</v>
      </c>
      <c r="D11366" s="679" t="s">
        <v>6268</v>
      </c>
      <c r="E11366" s="709" t="n">
        <v>1</v>
      </c>
      <c r="F11366" s="681" t="n">
        <v>460</v>
      </c>
      <c r="G11366" s="716" t="n">
        <f aca="false">F11366*E11366</f>
        <v>460</v>
      </c>
      <c r="H11366" s="679"/>
    </row>
    <row r="11367" s="451" customFormat="true" ht="15" hidden="false" customHeight="false" outlineLevel="0" collapsed="false">
      <c r="A11367" s="915"/>
      <c r="B11367" s="532"/>
      <c r="C11367" s="709"/>
      <c r="D11367" s="679"/>
      <c r="E11367" s="679"/>
      <c r="F11367" s="369"/>
      <c r="G11367" s="711" t="n">
        <f aca="false">SUM(G11359:G11366)</f>
        <v>8639.3165</v>
      </c>
      <c r="H11367" s="679"/>
    </row>
    <row r="11368" s="451" customFormat="true" ht="15" hidden="false" customHeight="false" outlineLevel="0" collapsed="false">
      <c r="A11368" s="388" t="s">
        <v>2273</v>
      </c>
      <c r="B11368" s="346" t="s">
        <v>3871</v>
      </c>
      <c r="C11368" s="811"/>
      <c r="D11368" s="790"/>
      <c r="E11368" s="790"/>
      <c r="F11368" s="519"/>
      <c r="G11368" s="753"/>
      <c r="H11368" s="790"/>
    </row>
    <row r="11369" s="451" customFormat="true" ht="30" hidden="false" customHeight="false" outlineLevel="0" collapsed="false">
      <c r="A11369" s="571" t="s">
        <v>2275</v>
      </c>
      <c r="B11369" s="532" t="s">
        <v>6330</v>
      </c>
      <c r="C11369" s="1089" t="s">
        <v>6331</v>
      </c>
      <c r="D11369" s="1090" t="s">
        <v>6332</v>
      </c>
      <c r="E11369" s="1090" t="n">
        <v>0.0043</v>
      </c>
      <c r="F11369" s="1091" t="n">
        <v>111075</v>
      </c>
      <c r="G11369" s="716" t="n">
        <f aca="false">F11369*E11369</f>
        <v>477.6225</v>
      </c>
      <c r="H11369" s="679"/>
    </row>
    <row r="11370" s="451" customFormat="true" ht="15" hidden="false" customHeight="false" outlineLevel="0" collapsed="false">
      <c r="A11370" s="709"/>
      <c r="B11370" s="532"/>
      <c r="C11370" s="709" t="s">
        <v>6333</v>
      </c>
      <c r="D11370" s="679" t="s">
        <v>6261</v>
      </c>
      <c r="E11370" s="709" t="n">
        <v>0.002</v>
      </c>
      <c r="F11370" s="681" t="n">
        <v>45172</v>
      </c>
      <c r="G11370" s="615" t="n">
        <f aca="false">F11370*E11370</f>
        <v>90.344</v>
      </c>
      <c r="H11370" s="679"/>
    </row>
    <row r="11371" s="451" customFormat="true" ht="15" hidden="false" customHeight="false" outlineLevel="0" collapsed="false">
      <c r="A11371" s="709"/>
      <c r="B11371" s="532"/>
      <c r="C11371" s="709" t="s">
        <v>6334</v>
      </c>
      <c r="D11371" s="679" t="s">
        <v>6335</v>
      </c>
      <c r="E11371" s="709" t="n">
        <v>0.001</v>
      </c>
      <c r="F11371" s="681" t="n">
        <v>34700</v>
      </c>
      <c r="G11371" s="716" t="n">
        <f aca="false">F11371*E11371</f>
        <v>34.7</v>
      </c>
      <c r="H11371" s="679"/>
    </row>
    <row r="11372" s="451" customFormat="true" ht="15" hidden="false" customHeight="false" outlineLevel="0" collapsed="false">
      <c r="A11372" s="709"/>
      <c r="B11372" s="532"/>
      <c r="C11372" s="709" t="s">
        <v>5852</v>
      </c>
      <c r="D11372" s="679" t="s">
        <v>6336</v>
      </c>
      <c r="E11372" s="709" t="n">
        <v>0.001</v>
      </c>
      <c r="F11372" s="681" t="n">
        <v>41249</v>
      </c>
      <c r="G11372" s="716" t="n">
        <f aca="false">F11372*E11372</f>
        <v>41.249</v>
      </c>
      <c r="H11372" s="679"/>
    </row>
    <row r="11373" s="451" customFormat="true" ht="15" hidden="false" customHeight="false" outlineLevel="0" collapsed="false">
      <c r="A11373" s="709"/>
      <c r="B11373" s="532"/>
      <c r="C11373" s="1086" t="s">
        <v>6278</v>
      </c>
      <c r="D11373" s="1087" t="s">
        <v>6310</v>
      </c>
      <c r="E11373" s="1086" t="n">
        <v>5</v>
      </c>
      <c r="F11373" s="1088" t="n">
        <v>393</v>
      </c>
      <c r="G11373" s="716" t="n">
        <v>98.25</v>
      </c>
      <c r="H11373" s="679"/>
    </row>
    <row r="11374" s="451" customFormat="true" ht="15" hidden="false" customHeight="false" outlineLevel="0" collapsed="false">
      <c r="A11374" s="709"/>
      <c r="B11374" s="532"/>
      <c r="C11374" s="709" t="s">
        <v>6280</v>
      </c>
      <c r="D11374" s="1087" t="s">
        <v>6311</v>
      </c>
      <c r="E11374" s="1086" t="n">
        <v>1</v>
      </c>
      <c r="F11374" s="1088" t="n">
        <v>842</v>
      </c>
      <c r="G11374" s="716" t="n">
        <f aca="false">F11374*E11374</f>
        <v>842</v>
      </c>
      <c r="H11374" s="679"/>
    </row>
    <row r="11375" s="451" customFormat="true" ht="30" hidden="false" customHeight="false" outlineLevel="0" collapsed="false">
      <c r="A11375" s="709"/>
      <c r="B11375" s="532"/>
      <c r="C11375" s="709" t="s">
        <v>6337</v>
      </c>
      <c r="D11375" s="679" t="s">
        <v>6338</v>
      </c>
      <c r="E11375" s="709" t="n">
        <v>0.002</v>
      </c>
      <c r="F11375" s="681" t="n">
        <v>21171</v>
      </c>
      <c r="G11375" s="716" t="n">
        <f aca="false">F11375*E11375</f>
        <v>42.342</v>
      </c>
      <c r="H11375" s="679"/>
    </row>
    <row r="11376" s="451" customFormat="true" ht="15" hidden="false" customHeight="false" outlineLevel="0" collapsed="false">
      <c r="A11376" s="709"/>
      <c r="B11376" s="532"/>
      <c r="C11376" s="709" t="s">
        <v>6339</v>
      </c>
      <c r="D11376" s="679" t="s">
        <v>6336</v>
      </c>
      <c r="E11376" s="709" t="n">
        <v>0.003</v>
      </c>
      <c r="F11376" s="681" t="n">
        <v>10941</v>
      </c>
      <c r="G11376" s="716" t="n">
        <f aca="false">F11376*E11376</f>
        <v>32.823</v>
      </c>
      <c r="H11376" s="679"/>
    </row>
    <row r="11377" s="451" customFormat="true" ht="30" hidden="false" customHeight="false" outlineLevel="0" collapsed="false">
      <c r="A11377" s="709"/>
      <c r="B11377" s="532"/>
      <c r="C11377" s="709" t="s">
        <v>6340</v>
      </c>
      <c r="D11377" s="679" t="s">
        <v>6341</v>
      </c>
      <c r="E11377" s="709" t="n">
        <v>0.01</v>
      </c>
      <c r="F11377" s="681" t="n">
        <v>9883</v>
      </c>
      <c r="G11377" s="716" t="n">
        <f aca="false">F11377*E11377</f>
        <v>98.83</v>
      </c>
      <c r="H11377" s="679"/>
    </row>
    <row r="11378" s="451" customFormat="true" ht="30" hidden="false" customHeight="false" outlineLevel="0" collapsed="false">
      <c r="A11378" s="709"/>
      <c r="B11378" s="532"/>
      <c r="C11378" s="709" t="s">
        <v>6282</v>
      </c>
      <c r="D11378" s="679" t="s">
        <v>4348</v>
      </c>
      <c r="E11378" s="709" t="n">
        <v>1</v>
      </c>
      <c r="F11378" s="681" t="n">
        <v>450</v>
      </c>
      <c r="G11378" s="615" t="n">
        <f aca="false">F11378*E11378</f>
        <v>450</v>
      </c>
      <c r="H11378" s="679"/>
    </row>
    <row r="11379" s="451" customFormat="true" ht="15" hidden="false" customHeight="false" outlineLevel="0" collapsed="false">
      <c r="A11379" s="709"/>
      <c r="B11379" s="532"/>
      <c r="C11379" s="709" t="s">
        <v>4347</v>
      </c>
      <c r="D11379" s="679" t="s">
        <v>6309</v>
      </c>
      <c r="E11379" s="709" t="n">
        <v>2</v>
      </c>
      <c r="F11379" s="681" t="n">
        <v>1106</v>
      </c>
      <c r="G11379" s="615" t="n">
        <v>22.12</v>
      </c>
      <c r="H11379" s="679"/>
    </row>
    <row r="11380" s="451" customFormat="true" ht="30" hidden="false" customHeight="false" outlineLevel="0" collapsed="false">
      <c r="A11380" s="709"/>
      <c r="B11380" s="532"/>
      <c r="C11380" s="709" t="s">
        <v>6342</v>
      </c>
      <c r="D11380" s="679" t="s">
        <v>6343</v>
      </c>
      <c r="E11380" s="709" t="n">
        <v>0.001</v>
      </c>
      <c r="F11380" s="681" t="n">
        <v>522325</v>
      </c>
      <c r="G11380" s="615" t="n">
        <f aca="false">F11380*E11380</f>
        <v>522.325</v>
      </c>
      <c r="H11380" s="679"/>
    </row>
    <row r="11381" s="451" customFormat="true" ht="30" hidden="false" customHeight="false" outlineLevel="0" collapsed="false">
      <c r="A11381" s="709"/>
      <c r="B11381" s="532"/>
      <c r="C11381" s="709" t="s">
        <v>6344</v>
      </c>
      <c r="D11381" s="679" t="s">
        <v>6345</v>
      </c>
      <c r="E11381" s="709" t="n">
        <v>0.02</v>
      </c>
      <c r="F11381" s="681" t="n">
        <v>16430</v>
      </c>
      <c r="G11381" s="615" t="n">
        <f aca="false">F11381*E11381</f>
        <v>328.6</v>
      </c>
      <c r="H11381" s="679"/>
    </row>
    <row r="11382" s="451" customFormat="true" ht="15" hidden="false" customHeight="false" outlineLevel="0" collapsed="false">
      <c r="A11382" s="709"/>
      <c r="B11382" s="532"/>
      <c r="C11382" s="709" t="s">
        <v>6346</v>
      </c>
      <c r="D11382" s="679" t="s">
        <v>4392</v>
      </c>
      <c r="E11382" s="1092" t="n">
        <v>0.001</v>
      </c>
      <c r="F11382" s="681" t="n">
        <v>1670</v>
      </c>
      <c r="G11382" s="615" t="n">
        <f aca="false">F11382*E11382</f>
        <v>1.67</v>
      </c>
      <c r="H11382" s="679"/>
    </row>
    <row r="11383" s="451" customFormat="true" ht="15" hidden="false" customHeight="false" outlineLevel="0" collapsed="false">
      <c r="A11383" s="709"/>
      <c r="B11383" s="532"/>
      <c r="C11383" s="709" t="s">
        <v>4122</v>
      </c>
      <c r="D11383" s="679" t="s">
        <v>4359</v>
      </c>
      <c r="E11383" s="709" t="n">
        <v>0.6</v>
      </c>
      <c r="F11383" s="681" t="n">
        <v>800</v>
      </c>
      <c r="G11383" s="716" t="n">
        <f aca="false">F11383*E11383</f>
        <v>480</v>
      </c>
      <c r="H11383" s="679"/>
    </row>
    <row r="11384" s="451" customFormat="true" ht="15" hidden="false" customHeight="false" outlineLevel="0" collapsed="false">
      <c r="A11384" s="709"/>
      <c r="B11384" s="532"/>
      <c r="C11384" s="709" t="s">
        <v>6347</v>
      </c>
      <c r="D11384" s="679" t="s">
        <v>6264</v>
      </c>
      <c r="E11384" s="709" t="n">
        <v>2</v>
      </c>
      <c r="F11384" s="1085" t="n">
        <v>52</v>
      </c>
      <c r="G11384" s="716" t="n">
        <f aca="false">F11384*E11384</f>
        <v>104</v>
      </c>
      <c r="H11384" s="679"/>
    </row>
    <row r="11385" s="451" customFormat="true" ht="15" hidden="false" customHeight="true" outlineLevel="0" collapsed="false">
      <c r="A11385" s="709"/>
      <c r="B11385" s="532"/>
      <c r="C11385" s="709" t="s">
        <v>6078</v>
      </c>
      <c r="D11385" s="679" t="s">
        <v>6265</v>
      </c>
      <c r="E11385" s="709" t="n">
        <v>1</v>
      </c>
      <c r="F11385" s="1085" t="n">
        <v>43</v>
      </c>
      <c r="G11385" s="716" t="n">
        <f aca="false">F11385*E11385</f>
        <v>43</v>
      </c>
      <c r="H11385" s="679"/>
    </row>
    <row r="11386" s="451" customFormat="true" ht="15" hidden="false" customHeight="false" outlineLevel="0" collapsed="false">
      <c r="A11386" s="709"/>
      <c r="B11386" s="532"/>
      <c r="C11386" s="709" t="s">
        <v>4270</v>
      </c>
      <c r="D11386" s="679" t="s">
        <v>4359</v>
      </c>
      <c r="E11386" s="709" t="n">
        <v>0.2</v>
      </c>
      <c r="F11386" s="681" t="n">
        <v>9866</v>
      </c>
      <c r="G11386" s="716" t="n">
        <f aca="false">F11386*E11386</f>
        <v>1973.2</v>
      </c>
      <c r="H11386" s="679"/>
    </row>
    <row r="11387" s="451" customFormat="true" ht="60" hidden="false" customHeight="true" outlineLevel="0" collapsed="false">
      <c r="A11387" s="709"/>
      <c r="B11387" s="532"/>
      <c r="C11387" s="709" t="s">
        <v>6266</v>
      </c>
      <c r="D11387" s="679" t="s">
        <v>5908</v>
      </c>
      <c r="E11387" s="709" t="n">
        <v>0.001</v>
      </c>
      <c r="F11387" s="681" t="n">
        <v>22453</v>
      </c>
      <c r="G11387" s="716" t="n">
        <f aca="false">F11387*E11387</f>
        <v>22.453</v>
      </c>
      <c r="H11387" s="679"/>
    </row>
    <row r="11388" s="451" customFormat="true" ht="15" hidden="false" customHeight="false" outlineLevel="0" collapsed="false">
      <c r="A11388" s="709"/>
      <c r="B11388" s="532"/>
      <c r="C11388" s="709" t="s">
        <v>6348</v>
      </c>
      <c r="D11388" s="679" t="s">
        <v>5908</v>
      </c>
      <c r="E11388" s="709" t="n">
        <v>0.001</v>
      </c>
      <c r="F11388" s="681" t="n">
        <v>14186</v>
      </c>
      <c r="G11388" s="716" t="n">
        <f aca="false">F11388*E11388</f>
        <v>14.186</v>
      </c>
      <c r="H11388" s="679"/>
    </row>
    <row r="11389" s="451" customFormat="true" ht="30" hidden="false" customHeight="false" outlineLevel="0" collapsed="false">
      <c r="A11389" s="709"/>
      <c r="B11389" s="532"/>
      <c r="C11389" s="709" t="s">
        <v>6283</v>
      </c>
      <c r="D11389" s="679" t="s">
        <v>6268</v>
      </c>
      <c r="E11389" s="709" t="n">
        <v>1</v>
      </c>
      <c r="F11389" s="681" t="n">
        <v>460</v>
      </c>
      <c r="G11389" s="716" t="n">
        <f aca="false">F11389*E11389</f>
        <v>460</v>
      </c>
      <c r="H11389" s="679"/>
    </row>
    <row r="11390" s="451" customFormat="true" ht="15" hidden="false" customHeight="false" outlineLevel="0" collapsed="false">
      <c r="A11390" s="709"/>
      <c r="B11390" s="532"/>
      <c r="C11390" s="709" t="s">
        <v>4122</v>
      </c>
      <c r="D11390" s="679" t="s">
        <v>4359</v>
      </c>
      <c r="E11390" s="709" t="n">
        <v>0.1</v>
      </c>
      <c r="F11390" s="681" t="n">
        <v>800</v>
      </c>
      <c r="G11390" s="716" t="n">
        <f aca="false">F11390*E11390</f>
        <v>80</v>
      </c>
      <c r="H11390" s="679"/>
    </row>
    <row r="11391" s="451" customFormat="true" ht="15" hidden="false" customHeight="false" outlineLevel="0" collapsed="false">
      <c r="A11391" s="709"/>
      <c r="B11391" s="532"/>
      <c r="C11391" s="709" t="s">
        <v>6102</v>
      </c>
      <c r="D11391" s="679" t="s">
        <v>4528</v>
      </c>
      <c r="E11391" s="709" t="n">
        <v>0.02</v>
      </c>
      <c r="F11391" s="681" t="n">
        <v>842</v>
      </c>
      <c r="G11391" s="716" t="n">
        <f aca="false">F11391*E11391</f>
        <v>16.84</v>
      </c>
      <c r="H11391" s="679"/>
    </row>
    <row r="11392" s="451" customFormat="true" ht="15" hidden="false" customHeight="false" outlineLevel="0" collapsed="false">
      <c r="A11392" s="709"/>
      <c r="B11392" s="532"/>
      <c r="C11392" s="709" t="s">
        <v>6284</v>
      </c>
      <c r="D11392" s="679" t="s">
        <v>6268</v>
      </c>
      <c r="E11392" s="709" t="n">
        <v>1</v>
      </c>
      <c r="F11392" s="681" t="n">
        <v>175</v>
      </c>
      <c r="G11392" s="716" t="n">
        <f aca="false">F11392*E11392</f>
        <v>175</v>
      </c>
      <c r="H11392" s="679"/>
    </row>
    <row r="11393" s="451" customFormat="true" ht="15" hidden="false" customHeight="false" outlineLevel="0" collapsed="false">
      <c r="A11393" s="709"/>
      <c r="B11393" s="532"/>
      <c r="C11393" s="709"/>
      <c r="D11393" s="1093"/>
      <c r="E11393" s="679"/>
      <c r="F11393" s="369"/>
      <c r="G11393" s="711" t="n">
        <f aca="false">SUM(G11369:G11392)</f>
        <v>6451.5545</v>
      </c>
      <c r="H11393" s="679"/>
    </row>
    <row r="11394" s="451" customFormat="true" ht="75" hidden="false" customHeight="false" outlineLevel="0" collapsed="false">
      <c r="A11394" s="709" t="s">
        <v>6349</v>
      </c>
      <c r="B11394" s="532" t="s">
        <v>6350</v>
      </c>
      <c r="C11394" s="614" t="s">
        <v>6351</v>
      </c>
      <c r="D11394" s="1094" t="s">
        <v>6352</v>
      </c>
      <c r="E11394" s="614" t="n">
        <v>0.004</v>
      </c>
      <c r="F11394" s="617" t="n">
        <v>40831</v>
      </c>
      <c r="G11394" s="615" t="n">
        <f aca="false">F11394*E11394</f>
        <v>163.324</v>
      </c>
      <c r="H11394" s="679"/>
    </row>
    <row r="11395" s="451" customFormat="true" ht="15" hidden="false" customHeight="false" outlineLevel="0" collapsed="false">
      <c r="A11395" s="709"/>
      <c r="B11395" s="532"/>
      <c r="C11395" s="614" t="s">
        <v>4347</v>
      </c>
      <c r="D11395" s="606" t="s">
        <v>5788</v>
      </c>
      <c r="E11395" s="614" t="n">
        <v>2</v>
      </c>
      <c r="F11395" s="617" t="n">
        <v>1106</v>
      </c>
      <c r="G11395" s="615" t="n">
        <v>22</v>
      </c>
      <c r="H11395" s="679"/>
    </row>
    <row r="11396" s="451" customFormat="true" ht="30" hidden="false" customHeight="false" outlineLevel="0" collapsed="false">
      <c r="A11396" s="709"/>
      <c r="B11396" s="532"/>
      <c r="C11396" s="614" t="s">
        <v>6282</v>
      </c>
      <c r="D11396" s="606" t="s">
        <v>4348</v>
      </c>
      <c r="E11396" s="614" t="n">
        <v>1</v>
      </c>
      <c r="F11396" s="617" t="n">
        <v>1720</v>
      </c>
      <c r="G11396" s="615" t="n">
        <f aca="false">F11396*E11396</f>
        <v>1720</v>
      </c>
      <c r="H11396" s="679"/>
    </row>
    <row r="11397" s="451" customFormat="true" ht="15" hidden="false" customHeight="false" outlineLevel="0" collapsed="false">
      <c r="A11397" s="709"/>
      <c r="B11397" s="532"/>
      <c r="C11397" s="614" t="s">
        <v>6321</v>
      </c>
      <c r="D11397" s="606" t="s">
        <v>6168</v>
      </c>
      <c r="E11397" s="614" t="n">
        <v>6</v>
      </c>
      <c r="F11397" s="617" t="n">
        <v>4771</v>
      </c>
      <c r="G11397" s="615" t="n">
        <v>24</v>
      </c>
      <c r="H11397" s="679"/>
    </row>
    <row r="11398" s="451" customFormat="true" ht="30" hidden="false" customHeight="false" outlineLevel="0" collapsed="false">
      <c r="A11398" s="709"/>
      <c r="B11398" s="532"/>
      <c r="C11398" s="614" t="s">
        <v>6283</v>
      </c>
      <c r="D11398" s="606" t="s">
        <v>6268</v>
      </c>
      <c r="E11398" s="614" t="n">
        <v>1</v>
      </c>
      <c r="F11398" s="617" t="n">
        <v>460</v>
      </c>
      <c r="G11398" s="615" t="n">
        <f aca="false">F11398*E11398</f>
        <v>460</v>
      </c>
      <c r="H11398" s="679"/>
    </row>
    <row r="11399" s="451" customFormat="true" ht="15" hidden="false" customHeight="false" outlineLevel="0" collapsed="false">
      <c r="A11399" s="709"/>
      <c r="B11399" s="532"/>
      <c r="C11399" s="614"/>
      <c r="D11399" s="606"/>
      <c r="E11399" s="606"/>
      <c r="F11399" s="361"/>
      <c r="G11399" s="613" t="n">
        <f aca="false">SUM(G11394:G11398)</f>
        <v>2389.324</v>
      </c>
      <c r="H11399" s="679"/>
    </row>
    <row r="11400" s="451" customFormat="true" ht="30" hidden="false" customHeight="true" outlineLevel="0" collapsed="false">
      <c r="A11400" s="709" t="s">
        <v>6353</v>
      </c>
      <c r="B11400" s="532" t="s">
        <v>6354</v>
      </c>
      <c r="C11400" s="614" t="s">
        <v>6355</v>
      </c>
      <c r="D11400" s="606" t="s">
        <v>4348</v>
      </c>
      <c r="E11400" s="614" t="n">
        <v>3</v>
      </c>
      <c r="F11400" s="617" t="n">
        <v>514</v>
      </c>
      <c r="G11400" s="615" t="n">
        <f aca="false">F11400*E11400</f>
        <v>1542</v>
      </c>
      <c r="H11400" s="679"/>
    </row>
    <row r="11401" s="451" customFormat="true" ht="15" hidden="false" customHeight="false" outlineLevel="0" collapsed="false">
      <c r="A11401" s="709"/>
      <c r="B11401" s="532"/>
      <c r="C11401" s="412" t="s">
        <v>6331</v>
      </c>
      <c r="D11401" s="417" t="s">
        <v>6332</v>
      </c>
      <c r="E11401" s="417" t="n">
        <v>0.08</v>
      </c>
      <c r="F11401" s="1095" t="n">
        <v>111075</v>
      </c>
      <c r="G11401" s="615" t="n">
        <f aca="false">F11401*E11401</f>
        <v>8886</v>
      </c>
      <c r="H11401" s="679"/>
    </row>
    <row r="11402" s="451" customFormat="true" ht="15" hidden="false" customHeight="false" outlineLevel="0" collapsed="false">
      <c r="A11402" s="709"/>
      <c r="B11402" s="532"/>
      <c r="C11402" s="614" t="s">
        <v>6333</v>
      </c>
      <c r="D11402" s="606" t="s">
        <v>6261</v>
      </c>
      <c r="E11402" s="614" t="n">
        <v>0.02</v>
      </c>
      <c r="F11402" s="617" t="n">
        <v>45172</v>
      </c>
      <c r="G11402" s="615" t="n">
        <f aca="false">F11402*E11402</f>
        <v>903.44</v>
      </c>
      <c r="H11402" s="679"/>
    </row>
    <row r="11403" s="451" customFormat="true" ht="15" hidden="false" customHeight="false" outlineLevel="0" collapsed="false">
      <c r="A11403" s="709"/>
      <c r="B11403" s="532"/>
      <c r="C11403" s="614" t="s">
        <v>6334</v>
      </c>
      <c r="D11403" s="606" t="s">
        <v>6335</v>
      </c>
      <c r="E11403" s="614" t="n">
        <v>0.01</v>
      </c>
      <c r="F11403" s="617" t="n">
        <v>34700</v>
      </c>
      <c r="G11403" s="615" t="n">
        <f aca="false">F11403*E11403</f>
        <v>347</v>
      </c>
      <c r="H11403" s="679"/>
    </row>
    <row r="11404" s="451" customFormat="true" ht="15" hidden="false" customHeight="false" outlineLevel="0" collapsed="false">
      <c r="A11404" s="709"/>
      <c r="B11404" s="532"/>
      <c r="C11404" s="614" t="s">
        <v>5852</v>
      </c>
      <c r="D11404" s="606" t="s">
        <v>6336</v>
      </c>
      <c r="E11404" s="614" t="n">
        <v>0.01</v>
      </c>
      <c r="F11404" s="617" t="n">
        <v>41249</v>
      </c>
      <c r="G11404" s="615" t="n">
        <f aca="false">F11404*E11404</f>
        <v>412.49</v>
      </c>
      <c r="H11404" s="679"/>
    </row>
    <row r="11405" s="451" customFormat="true" ht="15" hidden="false" customHeight="false" outlineLevel="0" collapsed="false">
      <c r="A11405" s="709"/>
      <c r="B11405" s="532"/>
      <c r="C11405" s="1096" t="s">
        <v>6278</v>
      </c>
      <c r="D11405" s="1097" t="s">
        <v>6310</v>
      </c>
      <c r="E11405" s="1096" t="n">
        <v>5</v>
      </c>
      <c r="F11405" s="1098" t="n">
        <v>393</v>
      </c>
      <c r="G11405" s="615" t="n">
        <f aca="false">F11405*E11405</f>
        <v>1965</v>
      </c>
      <c r="H11405" s="679"/>
    </row>
    <row r="11406" s="451" customFormat="true" ht="15" hidden="false" customHeight="false" outlineLevel="0" collapsed="false">
      <c r="A11406" s="709"/>
      <c r="B11406" s="532"/>
      <c r="C11406" s="614" t="s">
        <v>6280</v>
      </c>
      <c r="D11406" s="1097" t="s">
        <v>6311</v>
      </c>
      <c r="E11406" s="1096" t="n">
        <v>1</v>
      </c>
      <c r="F11406" s="1098" t="n">
        <v>842</v>
      </c>
      <c r="G11406" s="615" t="n">
        <f aca="false">F11406*E11406</f>
        <v>842</v>
      </c>
      <c r="H11406" s="679"/>
    </row>
    <row r="11407" s="451" customFormat="true" ht="30" hidden="false" customHeight="false" outlineLevel="0" collapsed="false">
      <c r="A11407" s="709"/>
      <c r="B11407" s="532"/>
      <c r="C11407" s="614" t="s">
        <v>6337</v>
      </c>
      <c r="D11407" s="606" t="s">
        <v>6356</v>
      </c>
      <c r="E11407" s="614" t="n">
        <v>0.001</v>
      </c>
      <c r="F11407" s="617" t="n">
        <v>21171</v>
      </c>
      <c r="G11407" s="615" t="n">
        <f aca="false">F11407*E11407</f>
        <v>21.171</v>
      </c>
      <c r="H11407" s="679"/>
    </row>
    <row r="11408" s="451" customFormat="true" ht="30" hidden="false" customHeight="false" outlineLevel="0" collapsed="false">
      <c r="A11408" s="709"/>
      <c r="B11408" s="532"/>
      <c r="C11408" s="614" t="s">
        <v>6340</v>
      </c>
      <c r="D11408" s="606" t="s">
        <v>6341</v>
      </c>
      <c r="E11408" s="614" t="n">
        <v>0.01</v>
      </c>
      <c r="F11408" s="617" t="n">
        <v>9883</v>
      </c>
      <c r="G11408" s="615" t="n">
        <f aca="false">F11408*E11408</f>
        <v>98.83</v>
      </c>
      <c r="H11408" s="679"/>
    </row>
    <row r="11409" s="451" customFormat="true" ht="30" hidden="false" customHeight="false" outlineLevel="0" collapsed="false">
      <c r="A11409" s="709"/>
      <c r="B11409" s="532"/>
      <c r="C11409" s="614" t="s">
        <v>6282</v>
      </c>
      <c r="D11409" s="606" t="s">
        <v>4348</v>
      </c>
      <c r="E11409" s="614" t="n">
        <v>1</v>
      </c>
      <c r="F11409" s="617" t="n">
        <v>11500</v>
      </c>
      <c r="G11409" s="615" t="n">
        <f aca="false">F11409*E11409</f>
        <v>11500</v>
      </c>
      <c r="H11409" s="679"/>
    </row>
    <row r="11410" s="451" customFormat="true" ht="15" hidden="false" customHeight="false" outlineLevel="0" collapsed="false">
      <c r="A11410" s="709"/>
      <c r="B11410" s="532"/>
      <c r="C11410" s="614" t="s">
        <v>4347</v>
      </c>
      <c r="D11410" s="606" t="s">
        <v>6309</v>
      </c>
      <c r="E11410" s="614" t="n">
        <v>2</v>
      </c>
      <c r="F11410" s="617" t="n">
        <v>1106</v>
      </c>
      <c r="G11410" s="615" t="n">
        <v>22</v>
      </c>
      <c r="H11410" s="679"/>
    </row>
    <row r="11411" s="451" customFormat="true" ht="15" hidden="false" customHeight="false" outlineLevel="0" collapsed="false">
      <c r="A11411" s="709"/>
      <c r="B11411" s="532"/>
      <c r="C11411" s="614" t="s">
        <v>6357</v>
      </c>
      <c r="D11411" s="606" t="s">
        <v>4133</v>
      </c>
      <c r="E11411" s="614" t="n">
        <v>0.001</v>
      </c>
      <c r="F11411" s="617" t="n">
        <v>66594</v>
      </c>
      <c r="G11411" s="615" t="n">
        <f aca="false">F11411*E11411</f>
        <v>66.594</v>
      </c>
      <c r="H11411" s="679"/>
    </row>
    <row r="11412" s="451" customFormat="true" ht="30" hidden="false" customHeight="false" outlineLevel="0" collapsed="false">
      <c r="A11412" s="709"/>
      <c r="B11412" s="532"/>
      <c r="C11412" s="614" t="s">
        <v>6358</v>
      </c>
      <c r="D11412" s="606" t="s">
        <v>6345</v>
      </c>
      <c r="E11412" s="614" t="n">
        <v>0.005</v>
      </c>
      <c r="F11412" s="617" t="n">
        <v>16430</v>
      </c>
      <c r="G11412" s="615" t="n">
        <f aca="false">F11412*E11412</f>
        <v>82.15</v>
      </c>
      <c r="H11412" s="679"/>
    </row>
    <row r="11413" s="451" customFormat="true" ht="15" hidden="false" customHeight="false" outlineLevel="0" collapsed="false">
      <c r="A11413" s="709"/>
      <c r="B11413" s="532"/>
      <c r="C11413" s="614" t="s">
        <v>6346</v>
      </c>
      <c r="D11413" s="606" t="s">
        <v>4392</v>
      </c>
      <c r="E11413" s="954" t="n">
        <v>0.01</v>
      </c>
      <c r="F11413" s="617" t="n">
        <v>1670</v>
      </c>
      <c r="G11413" s="615" t="n">
        <f aca="false">F11413*E11413</f>
        <v>16.7</v>
      </c>
      <c r="H11413" s="679"/>
    </row>
    <row r="11414" s="451" customFormat="true" ht="15" hidden="false" customHeight="false" outlineLevel="0" collapsed="false">
      <c r="A11414" s="471"/>
      <c r="B11414" s="796"/>
      <c r="C11414" s="614" t="s">
        <v>4122</v>
      </c>
      <c r="D11414" s="606" t="s">
        <v>4359</v>
      </c>
      <c r="E11414" s="614" t="n">
        <v>0.1</v>
      </c>
      <c r="F11414" s="617" t="n">
        <v>800</v>
      </c>
      <c r="G11414" s="615" t="n">
        <f aca="false">F11414*E11414</f>
        <v>80</v>
      </c>
      <c r="H11414" s="679"/>
    </row>
    <row r="11415" s="451" customFormat="true" ht="15" hidden="false" customHeight="false" outlineLevel="0" collapsed="false">
      <c r="A11415" s="471"/>
      <c r="B11415" s="796"/>
      <c r="C11415" s="614" t="s">
        <v>6263</v>
      </c>
      <c r="D11415" s="606" t="s">
        <v>6264</v>
      </c>
      <c r="E11415" s="614" t="n">
        <v>2</v>
      </c>
      <c r="F11415" s="1099" t="n">
        <v>52</v>
      </c>
      <c r="G11415" s="615" t="n">
        <f aca="false">F11415*E11415</f>
        <v>104</v>
      </c>
      <c r="H11415" s="679"/>
    </row>
    <row r="11416" s="451" customFormat="true" ht="15" hidden="false" customHeight="true" outlineLevel="0" collapsed="false">
      <c r="A11416" s="471"/>
      <c r="B11416" s="796"/>
      <c r="C11416" s="614" t="s">
        <v>6078</v>
      </c>
      <c r="D11416" s="606" t="s">
        <v>6265</v>
      </c>
      <c r="E11416" s="614" t="n">
        <v>2</v>
      </c>
      <c r="F11416" s="1099" t="n">
        <v>43</v>
      </c>
      <c r="G11416" s="615" t="n">
        <f aca="false">F11416*E11416</f>
        <v>86</v>
      </c>
      <c r="H11416" s="679"/>
    </row>
    <row r="11417" s="451" customFormat="true" ht="15" hidden="false" customHeight="false" outlineLevel="0" collapsed="false">
      <c r="A11417" s="471"/>
      <c r="B11417" s="796"/>
      <c r="C11417" s="614" t="s">
        <v>4270</v>
      </c>
      <c r="D11417" s="606" t="s">
        <v>4359</v>
      </c>
      <c r="E11417" s="614" t="n">
        <v>0.1</v>
      </c>
      <c r="F11417" s="617" t="n">
        <v>9866</v>
      </c>
      <c r="G11417" s="615" t="n">
        <f aca="false">F11417*E11417</f>
        <v>986.6</v>
      </c>
      <c r="H11417" s="679"/>
    </row>
    <row r="11418" s="451" customFormat="true" ht="60" hidden="false" customHeight="true" outlineLevel="0" collapsed="false">
      <c r="A11418" s="709"/>
      <c r="B11418" s="532"/>
      <c r="C11418" s="709" t="s">
        <v>6266</v>
      </c>
      <c r="D11418" s="679" t="s">
        <v>5908</v>
      </c>
      <c r="E11418" s="709" t="n">
        <v>0.001</v>
      </c>
      <c r="F11418" s="681" t="n">
        <v>22453</v>
      </c>
      <c r="G11418" s="716" t="n">
        <f aca="false">F11418*E11418</f>
        <v>22.453</v>
      </c>
      <c r="H11418" s="679"/>
    </row>
    <row r="11419" s="451" customFormat="true" ht="15" hidden="false" customHeight="false" outlineLevel="0" collapsed="false">
      <c r="A11419" s="709"/>
      <c r="B11419" s="532"/>
      <c r="C11419" s="709" t="s">
        <v>6348</v>
      </c>
      <c r="D11419" s="679" t="s">
        <v>5908</v>
      </c>
      <c r="E11419" s="709" t="n">
        <v>0.001</v>
      </c>
      <c r="F11419" s="681" t="n">
        <v>14186</v>
      </c>
      <c r="G11419" s="716" t="n">
        <f aca="false">F11419*E11419</f>
        <v>14.186</v>
      </c>
      <c r="H11419" s="679"/>
    </row>
    <row r="11420" s="451" customFormat="true" ht="30" hidden="false" customHeight="false" outlineLevel="0" collapsed="false">
      <c r="A11420" s="709"/>
      <c r="B11420" s="532"/>
      <c r="C11420" s="709" t="s">
        <v>6283</v>
      </c>
      <c r="D11420" s="679" t="s">
        <v>6268</v>
      </c>
      <c r="E11420" s="709" t="n">
        <v>1</v>
      </c>
      <c r="F11420" s="681" t="n">
        <v>460</v>
      </c>
      <c r="G11420" s="716" t="n">
        <f aca="false">F11420*E11420</f>
        <v>460</v>
      </c>
      <c r="H11420" s="679"/>
    </row>
    <row r="11421" s="451" customFormat="true" ht="15" hidden="false" customHeight="false" outlineLevel="0" collapsed="false">
      <c r="A11421" s="709"/>
      <c r="B11421" s="532"/>
      <c r="C11421" s="709" t="s">
        <v>6102</v>
      </c>
      <c r="D11421" s="679" t="s">
        <v>4528</v>
      </c>
      <c r="E11421" s="709" t="n">
        <v>0.02</v>
      </c>
      <c r="F11421" s="681" t="n">
        <v>842</v>
      </c>
      <c r="G11421" s="716" t="n">
        <f aca="false">F11421*E11421</f>
        <v>16.84</v>
      </c>
      <c r="H11421" s="679"/>
    </row>
    <row r="11422" s="451" customFormat="true" ht="15" hidden="false" customHeight="false" outlineLevel="0" collapsed="false">
      <c r="A11422" s="709"/>
      <c r="B11422" s="532"/>
      <c r="C11422" s="709" t="s">
        <v>6284</v>
      </c>
      <c r="D11422" s="679" t="s">
        <v>6268</v>
      </c>
      <c r="E11422" s="709" t="n">
        <v>1</v>
      </c>
      <c r="F11422" s="681" t="n">
        <v>175</v>
      </c>
      <c r="G11422" s="716" t="n">
        <f aca="false">F11422*E11422</f>
        <v>175</v>
      </c>
      <c r="H11422" s="679"/>
    </row>
    <row r="11423" s="451" customFormat="true" ht="15" hidden="false" customHeight="false" outlineLevel="0" collapsed="false">
      <c r="A11423" s="709"/>
      <c r="B11423" s="532"/>
      <c r="C11423" s="614" t="s">
        <v>4737</v>
      </c>
      <c r="D11423" s="606" t="s">
        <v>4133</v>
      </c>
      <c r="E11423" s="614" t="n">
        <v>0.05</v>
      </c>
      <c r="F11423" s="617" t="n">
        <v>11397</v>
      </c>
      <c r="G11423" s="615" t="n">
        <f aca="false">F11423*E11423</f>
        <v>569.85</v>
      </c>
      <c r="H11423" s="679"/>
    </row>
    <row r="11424" s="451" customFormat="true" ht="15" hidden="false" customHeight="false" outlineLevel="0" collapsed="false">
      <c r="A11424" s="709"/>
      <c r="B11424" s="532"/>
      <c r="C11424" s="614"/>
      <c r="D11424" s="606"/>
      <c r="E11424" s="606"/>
      <c r="F11424" s="361"/>
      <c r="G11424" s="613" t="n">
        <f aca="false">SUM(G11400:G11423)</f>
        <v>29220.304</v>
      </c>
      <c r="H11424" s="679"/>
    </row>
    <row r="11425" s="451" customFormat="true" ht="45" hidden="false" customHeight="false" outlineLevel="0" collapsed="false">
      <c r="A11425" s="709" t="s">
        <v>6359</v>
      </c>
      <c r="B11425" s="532" t="s">
        <v>6360</v>
      </c>
      <c r="C11425" s="614" t="s">
        <v>6361</v>
      </c>
      <c r="D11425" s="606" t="s">
        <v>6362</v>
      </c>
      <c r="E11425" s="614" t="n">
        <v>1</v>
      </c>
      <c r="F11425" s="617" t="n">
        <v>353810</v>
      </c>
      <c r="G11425" s="615" t="n">
        <v>7076.2</v>
      </c>
      <c r="H11425" s="679"/>
    </row>
    <row r="11426" s="451" customFormat="true" ht="30" hidden="false" customHeight="false" outlineLevel="0" collapsed="false">
      <c r="A11426" s="709"/>
      <c r="B11426" s="532"/>
      <c r="C11426" s="614" t="s">
        <v>6327</v>
      </c>
      <c r="D11426" s="606" t="s">
        <v>6363</v>
      </c>
      <c r="E11426" s="614" t="n">
        <v>5</v>
      </c>
      <c r="F11426" s="617" t="n">
        <v>4771</v>
      </c>
      <c r="G11426" s="615" t="n">
        <v>24</v>
      </c>
      <c r="H11426" s="679"/>
    </row>
    <row r="11427" s="451" customFormat="true" ht="30" hidden="false" customHeight="false" outlineLevel="0" collapsed="false">
      <c r="A11427" s="709"/>
      <c r="B11427" s="532"/>
      <c r="C11427" s="614" t="s">
        <v>6364</v>
      </c>
      <c r="D11427" s="606" t="s">
        <v>6365</v>
      </c>
      <c r="E11427" s="614" t="n">
        <v>3</v>
      </c>
      <c r="F11427" s="617" t="n">
        <v>353301</v>
      </c>
      <c r="G11427" s="615" t="n">
        <v>1059</v>
      </c>
      <c r="H11427" s="679"/>
    </row>
    <row r="11428" s="451" customFormat="true" ht="15" hidden="false" customHeight="false" outlineLevel="0" collapsed="false">
      <c r="A11428" s="709"/>
      <c r="B11428" s="532"/>
      <c r="C11428" s="614" t="s">
        <v>4122</v>
      </c>
      <c r="D11428" s="606" t="s">
        <v>4359</v>
      </c>
      <c r="E11428" s="614" t="n">
        <v>0.1</v>
      </c>
      <c r="F11428" s="617" t="n">
        <v>800</v>
      </c>
      <c r="G11428" s="615" t="n">
        <f aca="false">F11428*E11428</f>
        <v>80</v>
      </c>
      <c r="H11428" s="679"/>
    </row>
    <row r="11429" s="451" customFormat="true" ht="30" hidden="false" customHeight="false" outlineLevel="0" collapsed="false">
      <c r="A11429" s="709"/>
      <c r="B11429" s="532"/>
      <c r="C11429" s="614" t="s">
        <v>6282</v>
      </c>
      <c r="D11429" s="606" t="s">
        <v>4348</v>
      </c>
      <c r="E11429" s="614" t="n">
        <v>1</v>
      </c>
      <c r="F11429" s="617" t="n">
        <v>450</v>
      </c>
      <c r="G11429" s="615" t="n">
        <f aca="false">F11429*E11429</f>
        <v>450</v>
      </c>
      <c r="H11429" s="679"/>
    </row>
    <row r="11430" s="451" customFormat="true" ht="15" hidden="false" customHeight="false" outlineLevel="0" collapsed="false">
      <c r="A11430" s="709"/>
      <c r="B11430" s="532"/>
      <c r="C11430" s="614" t="s">
        <v>6366</v>
      </c>
      <c r="D11430" s="606" t="s">
        <v>5788</v>
      </c>
      <c r="E11430" s="614" t="n">
        <v>1</v>
      </c>
      <c r="F11430" s="617" t="n">
        <v>1106</v>
      </c>
      <c r="G11430" s="615" t="n">
        <v>11</v>
      </c>
      <c r="H11430" s="679"/>
    </row>
    <row r="11431" s="451" customFormat="true" ht="15" hidden="false" customHeight="false" outlineLevel="0" collapsed="false">
      <c r="A11431" s="709"/>
      <c r="B11431" s="532"/>
      <c r="C11431" s="614" t="s">
        <v>4270</v>
      </c>
      <c r="D11431" s="606" t="s">
        <v>4359</v>
      </c>
      <c r="E11431" s="614" t="n">
        <v>0.1</v>
      </c>
      <c r="F11431" s="617" t="n">
        <v>9866</v>
      </c>
      <c r="G11431" s="615" t="n">
        <f aca="false">F11431*E11431</f>
        <v>986.6</v>
      </c>
      <c r="H11431" s="679"/>
    </row>
    <row r="11432" s="451" customFormat="true" ht="15" hidden="false" customHeight="false" outlineLevel="0" collapsed="false">
      <c r="A11432" s="709"/>
      <c r="B11432" s="532"/>
      <c r="C11432" s="614" t="s">
        <v>6284</v>
      </c>
      <c r="D11432" s="606" t="s">
        <v>6268</v>
      </c>
      <c r="E11432" s="614" t="n">
        <v>1</v>
      </c>
      <c r="F11432" s="617" t="n">
        <v>175</v>
      </c>
      <c r="G11432" s="615" t="n">
        <f aca="false">F11432*E11432</f>
        <v>175</v>
      </c>
      <c r="H11432" s="679"/>
    </row>
    <row r="11433" s="451" customFormat="true" ht="30" hidden="false" customHeight="false" outlineLevel="0" collapsed="false">
      <c r="A11433" s="709"/>
      <c r="B11433" s="532"/>
      <c r="C11433" s="709" t="s">
        <v>6283</v>
      </c>
      <c r="D11433" s="679" t="s">
        <v>6268</v>
      </c>
      <c r="E11433" s="709" t="n">
        <v>1</v>
      </c>
      <c r="F11433" s="681" t="n">
        <v>460</v>
      </c>
      <c r="G11433" s="716" t="n">
        <f aca="false">F11433*E11433</f>
        <v>460</v>
      </c>
      <c r="H11433" s="679"/>
    </row>
    <row r="11434" s="451" customFormat="true" ht="15" hidden="false" customHeight="false" outlineLevel="0" collapsed="false">
      <c r="A11434" s="709"/>
      <c r="B11434" s="532"/>
      <c r="C11434" s="709"/>
      <c r="D11434" s="679"/>
      <c r="E11434" s="679"/>
      <c r="F11434" s="369"/>
      <c r="G11434" s="711" t="n">
        <f aca="false">SUM(G11425:G11433)</f>
        <v>10321.8</v>
      </c>
      <c r="H11434" s="679"/>
    </row>
    <row r="11435" s="451" customFormat="true" ht="15" hidden="false" customHeight="false" outlineLevel="0" collapsed="false">
      <c r="A11435" s="510" t="s">
        <v>2283</v>
      </c>
      <c r="B11435" s="346" t="s">
        <v>6367</v>
      </c>
      <c r="C11435" s="811"/>
      <c r="D11435" s="790"/>
      <c r="E11435" s="790"/>
      <c r="F11435" s="519"/>
      <c r="G11435" s="753"/>
      <c r="H11435" s="790"/>
    </row>
    <row r="11436" s="451" customFormat="true" ht="30" hidden="false" customHeight="false" outlineLevel="0" collapsed="false">
      <c r="A11436" s="709" t="s">
        <v>6368</v>
      </c>
      <c r="B11436" s="532" t="s">
        <v>6369</v>
      </c>
      <c r="C11436" s="614" t="s">
        <v>6370</v>
      </c>
      <c r="D11436" s="606" t="s">
        <v>6332</v>
      </c>
      <c r="E11436" s="614" t="n">
        <v>0.001</v>
      </c>
      <c r="F11436" s="615" t="n">
        <v>103421</v>
      </c>
      <c r="G11436" s="615" t="n">
        <f aca="false">F11436*E11436</f>
        <v>103.421</v>
      </c>
      <c r="H11436" s="679"/>
    </row>
    <row r="11437" s="451" customFormat="true" ht="15" hidden="false" customHeight="false" outlineLevel="0" collapsed="false">
      <c r="A11437" s="709"/>
      <c r="B11437" s="532"/>
      <c r="C11437" s="1096" t="s">
        <v>6278</v>
      </c>
      <c r="D11437" s="1097" t="s">
        <v>6310</v>
      </c>
      <c r="E11437" s="1096" t="n">
        <v>5</v>
      </c>
      <c r="F11437" s="1098" t="n">
        <v>393</v>
      </c>
      <c r="G11437" s="615" t="n">
        <v>98.25</v>
      </c>
      <c r="H11437" s="679"/>
    </row>
    <row r="11438" s="451" customFormat="true" ht="15" hidden="false" customHeight="false" outlineLevel="0" collapsed="false">
      <c r="A11438" s="709"/>
      <c r="B11438" s="532"/>
      <c r="C11438" s="614" t="s">
        <v>6280</v>
      </c>
      <c r="D11438" s="1097" t="s">
        <v>6311</v>
      </c>
      <c r="E11438" s="1096" t="n">
        <v>1</v>
      </c>
      <c r="F11438" s="1098" t="n">
        <v>842</v>
      </c>
      <c r="G11438" s="615" t="n">
        <f aca="false">F11438*E11438</f>
        <v>842</v>
      </c>
      <c r="H11438" s="679"/>
    </row>
    <row r="11439" s="451" customFormat="true" ht="15" hidden="false" customHeight="false" outlineLevel="0" collapsed="false">
      <c r="A11439" s="709"/>
      <c r="B11439" s="532"/>
      <c r="C11439" s="614" t="s">
        <v>6371</v>
      </c>
      <c r="D11439" s="606" t="s">
        <v>6372</v>
      </c>
      <c r="E11439" s="614" t="n">
        <v>0.001</v>
      </c>
      <c r="F11439" s="617" t="n">
        <v>42661</v>
      </c>
      <c r="G11439" s="615" t="n">
        <f aca="false">F11439*E11439</f>
        <v>42.661</v>
      </c>
      <c r="H11439" s="679"/>
    </row>
    <row r="11440" s="451" customFormat="true" ht="45" hidden="false" customHeight="false" outlineLevel="0" collapsed="false">
      <c r="A11440" s="709"/>
      <c r="B11440" s="532"/>
      <c r="C11440" s="614" t="s">
        <v>6373</v>
      </c>
      <c r="D11440" s="606" t="s">
        <v>6374</v>
      </c>
      <c r="E11440" s="614" t="n">
        <v>0.001</v>
      </c>
      <c r="F11440" s="617" t="n">
        <v>96123</v>
      </c>
      <c r="G11440" s="615" t="n">
        <f aca="false">F11440*E11440</f>
        <v>96.123</v>
      </c>
      <c r="H11440" s="679"/>
    </row>
    <row r="11441" s="451" customFormat="true" ht="45" hidden="false" customHeight="false" outlineLevel="0" collapsed="false">
      <c r="A11441" s="709"/>
      <c r="B11441" s="532"/>
      <c r="C11441" s="614" t="s">
        <v>6375</v>
      </c>
      <c r="D11441" s="606" t="s">
        <v>6374</v>
      </c>
      <c r="E11441" s="614" t="n">
        <v>0.001</v>
      </c>
      <c r="F11441" s="617" t="n">
        <v>96123</v>
      </c>
      <c r="G11441" s="615" t="n">
        <f aca="false">F11441*E11441</f>
        <v>96.123</v>
      </c>
      <c r="H11441" s="679"/>
    </row>
    <row r="11442" s="451" customFormat="true" ht="30" hidden="false" customHeight="false" outlineLevel="0" collapsed="false">
      <c r="A11442" s="709"/>
      <c r="B11442" s="532"/>
      <c r="C11442" s="614" t="s">
        <v>6376</v>
      </c>
      <c r="D11442" s="606" t="s">
        <v>6377</v>
      </c>
      <c r="E11442" s="614" t="n">
        <v>0</v>
      </c>
      <c r="F11442" s="617" t="n">
        <v>0</v>
      </c>
      <c r="G11442" s="615" t="n">
        <v>0</v>
      </c>
      <c r="H11442" s="679"/>
    </row>
    <row r="11443" s="451" customFormat="true" ht="15" hidden="false" customHeight="false" outlineLevel="0" collapsed="false">
      <c r="A11443" s="709"/>
      <c r="B11443" s="532"/>
      <c r="C11443" s="614" t="s">
        <v>6347</v>
      </c>
      <c r="D11443" s="606" t="s">
        <v>6264</v>
      </c>
      <c r="E11443" s="614" t="n">
        <v>1</v>
      </c>
      <c r="F11443" s="1099" t="n">
        <v>52</v>
      </c>
      <c r="G11443" s="615" t="n">
        <f aca="false">F11443*E11443</f>
        <v>52</v>
      </c>
      <c r="H11443" s="679"/>
    </row>
    <row r="11444" s="451" customFormat="true" ht="15" hidden="false" customHeight="true" outlineLevel="0" collapsed="false">
      <c r="A11444" s="709"/>
      <c r="B11444" s="532"/>
      <c r="C11444" s="614" t="s">
        <v>6078</v>
      </c>
      <c r="D11444" s="606" t="s">
        <v>6265</v>
      </c>
      <c r="E11444" s="614" t="n">
        <v>1</v>
      </c>
      <c r="F11444" s="1099" t="n">
        <v>65.4</v>
      </c>
      <c r="G11444" s="615" t="n">
        <f aca="false">F11444*E11444</f>
        <v>65.4</v>
      </c>
      <c r="H11444" s="679"/>
    </row>
    <row r="11445" s="451" customFormat="true" ht="15" hidden="false" customHeight="false" outlineLevel="0" collapsed="false">
      <c r="A11445" s="709"/>
      <c r="B11445" s="532"/>
      <c r="C11445" s="374" t="s">
        <v>4120</v>
      </c>
      <c r="D11445" s="602" t="s">
        <v>4133</v>
      </c>
      <c r="E11445" s="614" t="n">
        <v>0.01</v>
      </c>
      <c r="F11445" s="617" t="n">
        <v>11414</v>
      </c>
      <c r="G11445" s="615" t="n">
        <f aca="false">F11445*E11445</f>
        <v>114.14</v>
      </c>
      <c r="H11445" s="679"/>
    </row>
    <row r="11446" s="451" customFormat="true" ht="15" hidden="false" customHeight="false" outlineLevel="0" collapsed="false">
      <c r="A11446" s="709"/>
      <c r="B11446" s="532"/>
      <c r="C11446" s="1096" t="s">
        <v>6280</v>
      </c>
      <c r="D11446" s="1097" t="s">
        <v>6311</v>
      </c>
      <c r="E11446" s="1096" t="n">
        <v>1</v>
      </c>
      <c r="F11446" s="1098" t="n">
        <v>842</v>
      </c>
      <c r="G11446" s="615" t="n">
        <f aca="false">F11446*E11446</f>
        <v>842</v>
      </c>
      <c r="H11446" s="679"/>
    </row>
    <row r="11447" s="451" customFormat="true" ht="30" hidden="false" customHeight="false" outlineLevel="0" collapsed="false">
      <c r="A11447" s="709"/>
      <c r="B11447" s="532"/>
      <c r="C11447" s="614" t="s">
        <v>6282</v>
      </c>
      <c r="D11447" s="606" t="s">
        <v>4348</v>
      </c>
      <c r="E11447" s="614" t="n">
        <v>1</v>
      </c>
      <c r="F11447" s="617" t="n">
        <v>450</v>
      </c>
      <c r="G11447" s="615" t="n">
        <f aca="false">F11447*E11447</f>
        <v>450</v>
      </c>
      <c r="H11447" s="679"/>
    </row>
    <row r="11448" s="451" customFormat="true" ht="15" hidden="false" customHeight="false" outlineLevel="0" collapsed="false">
      <c r="A11448" s="709"/>
      <c r="B11448" s="532"/>
      <c r="C11448" s="614" t="s">
        <v>4347</v>
      </c>
      <c r="D11448" s="606" t="s">
        <v>5788</v>
      </c>
      <c r="E11448" s="614" t="n">
        <v>1</v>
      </c>
      <c r="F11448" s="617" t="n">
        <v>1106</v>
      </c>
      <c r="G11448" s="615" t="n">
        <v>11</v>
      </c>
      <c r="H11448" s="679"/>
    </row>
    <row r="11449" s="451" customFormat="true" ht="15" hidden="false" customHeight="false" outlineLevel="0" collapsed="false">
      <c r="A11449" s="709"/>
      <c r="B11449" s="532"/>
      <c r="C11449" s="614" t="s">
        <v>6378</v>
      </c>
      <c r="D11449" s="606" t="s">
        <v>4525</v>
      </c>
      <c r="E11449" s="614" t="n">
        <v>0.0001</v>
      </c>
      <c r="F11449" s="617" t="n">
        <v>343602</v>
      </c>
      <c r="G11449" s="615" t="n">
        <f aca="false">F11449*E11449</f>
        <v>34.3602</v>
      </c>
      <c r="H11449" s="679"/>
    </row>
    <row r="11450" s="451" customFormat="true" ht="15" hidden="false" customHeight="false" outlineLevel="0" collapsed="false">
      <c r="A11450" s="709"/>
      <c r="B11450" s="532"/>
      <c r="C11450" s="614" t="s">
        <v>6379</v>
      </c>
      <c r="D11450" s="606" t="s">
        <v>4525</v>
      </c>
      <c r="E11450" s="614" t="n">
        <v>0.0001</v>
      </c>
      <c r="F11450" s="617" t="n">
        <v>204305</v>
      </c>
      <c r="G11450" s="615" t="n">
        <f aca="false">F11450*E11450</f>
        <v>20.4305</v>
      </c>
      <c r="H11450" s="679"/>
    </row>
    <row r="11451" s="451" customFormat="true" ht="15" hidden="false" customHeight="false" outlineLevel="0" collapsed="false">
      <c r="A11451" s="709"/>
      <c r="B11451" s="532"/>
      <c r="C11451" s="614" t="s">
        <v>4122</v>
      </c>
      <c r="D11451" s="606" t="s">
        <v>4359</v>
      </c>
      <c r="E11451" s="614" t="n">
        <v>0.1</v>
      </c>
      <c r="F11451" s="617" t="n">
        <v>800</v>
      </c>
      <c r="G11451" s="615" t="n">
        <f aca="false">F11451*E11451</f>
        <v>80</v>
      </c>
      <c r="H11451" s="679"/>
    </row>
    <row r="11452" s="451" customFormat="true" ht="30" hidden="false" customHeight="false" outlineLevel="0" collapsed="false">
      <c r="A11452" s="709"/>
      <c r="B11452" s="532"/>
      <c r="C11452" s="614" t="s">
        <v>6283</v>
      </c>
      <c r="D11452" s="606" t="s">
        <v>6268</v>
      </c>
      <c r="E11452" s="614" t="n">
        <v>1</v>
      </c>
      <c r="F11452" s="617" t="n">
        <v>460</v>
      </c>
      <c r="G11452" s="615" t="n">
        <f aca="false">F11452*E11452</f>
        <v>460</v>
      </c>
      <c r="H11452" s="679"/>
    </row>
    <row r="11453" s="451" customFormat="true" ht="60" hidden="false" customHeight="true" outlineLevel="0" collapsed="false">
      <c r="A11453" s="709"/>
      <c r="B11453" s="532"/>
      <c r="C11453" s="614" t="s">
        <v>6266</v>
      </c>
      <c r="D11453" s="606" t="s">
        <v>5908</v>
      </c>
      <c r="E11453" s="614" t="n">
        <v>0.001</v>
      </c>
      <c r="F11453" s="617" t="n">
        <v>22453</v>
      </c>
      <c r="G11453" s="615" t="n">
        <f aca="false">F11453*E11453</f>
        <v>22.453</v>
      </c>
      <c r="H11453" s="679"/>
    </row>
    <row r="11454" s="451" customFormat="true" ht="15" hidden="false" customHeight="false" outlineLevel="0" collapsed="false">
      <c r="A11454" s="709"/>
      <c r="B11454" s="532"/>
      <c r="C11454" s="614" t="s">
        <v>6102</v>
      </c>
      <c r="D11454" s="606" t="s">
        <v>4528</v>
      </c>
      <c r="E11454" s="614" t="n">
        <v>0.02</v>
      </c>
      <c r="F11454" s="617" t="n">
        <v>842</v>
      </c>
      <c r="G11454" s="615" t="n">
        <f aca="false">F11454*E11454</f>
        <v>16.84</v>
      </c>
      <c r="H11454" s="679"/>
    </row>
    <row r="11455" s="451" customFormat="true" ht="15" hidden="false" customHeight="false" outlineLevel="0" collapsed="false">
      <c r="A11455" s="709"/>
      <c r="B11455" s="532"/>
      <c r="C11455" s="614" t="s">
        <v>4515</v>
      </c>
      <c r="D11455" s="606" t="s">
        <v>6380</v>
      </c>
      <c r="E11455" s="616" t="n">
        <v>0.01</v>
      </c>
      <c r="F11455" s="617" t="n">
        <v>1079.21</v>
      </c>
      <c r="G11455" s="615" t="n">
        <f aca="false">F11455*E11455</f>
        <v>10.7921</v>
      </c>
      <c r="H11455" s="679"/>
    </row>
    <row r="11456" s="451" customFormat="true" ht="15" hidden="false" customHeight="false" outlineLevel="0" collapsed="false">
      <c r="A11456" s="709"/>
      <c r="B11456" s="532"/>
      <c r="C11456" s="614" t="s">
        <v>4270</v>
      </c>
      <c r="D11456" s="606" t="s">
        <v>4359</v>
      </c>
      <c r="E11456" s="614" t="n">
        <v>0.1</v>
      </c>
      <c r="F11456" s="617" t="n">
        <v>9866</v>
      </c>
      <c r="G11456" s="615" t="n">
        <f aca="false">F11456*E11456</f>
        <v>986.6</v>
      </c>
      <c r="H11456" s="679"/>
    </row>
    <row r="11457" s="451" customFormat="true" ht="15" hidden="false" customHeight="false" outlineLevel="0" collapsed="false">
      <c r="A11457" s="709"/>
      <c r="B11457" s="532"/>
      <c r="C11457" s="614" t="s">
        <v>6284</v>
      </c>
      <c r="D11457" s="606" t="s">
        <v>6268</v>
      </c>
      <c r="E11457" s="614" t="n">
        <v>1</v>
      </c>
      <c r="F11457" s="617" t="n">
        <v>175</v>
      </c>
      <c r="G11457" s="615" t="n">
        <f aca="false">F11457*E11457</f>
        <v>175</v>
      </c>
      <c r="H11457" s="679"/>
    </row>
    <row r="11458" s="451" customFormat="true" ht="30" hidden="false" customHeight="false" outlineLevel="0" collapsed="false">
      <c r="A11458" s="709"/>
      <c r="B11458" s="532"/>
      <c r="C11458" s="614" t="s">
        <v>6283</v>
      </c>
      <c r="D11458" s="606" t="s">
        <v>6268</v>
      </c>
      <c r="E11458" s="614" t="n">
        <v>1</v>
      </c>
      <c r="F11458" s="617" t="n">
        <v>460</v>
      </c>
      <c r="G11458" s="615" t="n">
        <v>460</v>
      </c>
      <c r="H11458" s="679"/>
    </row>
    <row r="11459" s="451" customFormat="true" ht="15" hidden="false" customHeight="false" outlineLevel="0" collapsed="false">
      <c r="A11459" s="709"/>
      <c r="B11459" s="532"/>
      <c r="C11459" s="606"/>
      <c r="D11459" s="606"/>
      <c r="E11459" s="606"/>
      <c r="F11459" s="361"/>
      <c r="G11459" s="613" t="n">
        <f aca="false">SUM(G11436:G11458)</f>
        <v>5079.5938</v>
      </c>
      <c r="H11459" s="679"/>
    </row>
    <row r="11460" s="451" customFormat="true" ht="29.25" hidden="false" customHeight="true" outlineLevel="0" collapsed="false">
      <c r="A11460" s="709" t="s">
        <v>6381</v>
      </c>
      <c r="B11460" s="532" t="s">
        <v>6382</v>
      </c>
      <c r="C11460" s="614" t="s">
        <v>6383</v>
      </c>
      <c r="D11460" s="606" t="s">
        <v>6384</v>
      </c>
      <c r="E11460" s="954" t="n">
        <v>0.05</v>
      </c>
      <c r="F11460" s="617" t="n">
        <v>24469</v>
      </c>
      <c r="G11460" s="615" t="n">
        <f aca="false">F11460*E11460</f>
        <v>1223.45</v>
      </c>
      <c r="H11460" s="679"/>
    </row>
    <row r="11461" s="451" customFormat="true" ht="30" hidden="false" customHeight="false" outlineLevel="0" collapsed="false">
      <c r="A11461" s="709"/>
      <c r="B11461" s="532"/>
      <c r="C11461" s="614" t="s">
        <v>6327</v>
      </c>
      <c r="D11461" s="606" t="s">
        <v>6385</v>
      </c>
      <c r="E11461" s="614" t="n">
        <v>10</v>
      </c>
      <c r="F11461" s="617" t="n">
        <v>4771</v>
      </c>
      <c r="G11461" s="615" t="n">
        <v>497</v>
      </c>
      <c r="H11461" s="679"/>
    </row>
    <row r="11462" s="451" customFormat="true" ht="15" hidden="false" customHeight="false" outlineLevel="0" collapsed="false">
      <c r="A11462" s="709"/>
      <c r="B11462" s="532"/>
      <c r="C11462" s="614" t="s">
        <v>6267</v>
      </c>
      <c r="D11462" s="606" t="s">
        <v>6268</v>
      </c>
      <c r="E11462" s="614" t="n">
        <v>1</v>
      </c>
      <c r="F11462" s="617" t="n">
        <v>73</v>
      </c>
      <c r="G11462" s="615" t="n">
        <f aca="false">F11462*E11462</f>
        <v>73</v>
      </c>
      <c r="H11462" s="679"/>
    </row>
    <row r="11463" s="451" customFormat="true" ht="15" hidden="false" customHeight="false" outlineLevel="0" collapsed="false">
      <c r="A11463" s="709"/>
      <c r="B11463" s="532"/>
      <c r="C11463" s="709" t="s">
        <v>4347</v>
      </c>
      <c r="D11463" s="679" t="s">
        <v>5788</v>
      </c>
      <c r="E11463" s="709" t="n">
        <v>2</v>
      </c>
      <c r="F11463" s="681" t="n">
        <v>1106</v>
      </c>
      <c r="G11463" s="716" t="n">
        <v>22</v>
      </c>
      <c r="H11463" s="679"/>
    </row>
    <row r="11464" s="451" customFormat="true" ht="15" hidden="false" customHeight="false" outlineLevel="0" collapsed="false">
      <c r="A11464" s="709"/>
      <c r="B11464" s="532"/>
      <c r="C11464" s="709" t="s">
        <v>4122</v>
      </c>
      <c r="D11464" s="679" t="s">
        <v>4359</v>
      </c>
      <c r="E11464" s="709" t="n">
        <v>0.1</v>
      </c>
      <c r="F11464" s="681" t="n">
        <v>800</v>
      </c>
      <c r="G11464" s="716" t="n">
        <f aca="false">F11464*E11464</f>
        <v>80</v>
      </c>
      <c r="H11464" s="679"/>
    </row>
    <row r="11465" s="451" customFormat="true" ht="15" hidden="false" customHeight="false" outlineLevel="0" collapsed="false">
      <c r="A11465" s="709"/>
      <c r="B11465" s="532"/>
      <c r="C11465" s="709" t="s">
        <v>4270</v>
      </c>
      <c r="D11465" s="679" t="s">
        <v>4359</v>
      </c>
      <c r="E11465" s="709" t="n">
        <v>0.1</v>
      </c>
      <c r="F11465" s="681" t="n">
        <v>9866</v>
      </c>
      <c r="G11465" s="716" t="n">
        <f aca="false">F11465*E11465</f>
        <v>986.6</v>
      </c>
      <c r="H11465" s="679"/>
    </row>
    <row r="11466" s="451" customFormat="true" ht="30" hidden="false" customHeight="false" outlineLevel="0" collapsed="false">
      <c r="A11466" s="709"/>
      <c r="B11466" s="532"/>
      <c r="C11466" s="709" t="s">
        <v>6283</v>
      </c>
      <c r="D11466" s="679" t="s">
        <v>6268</v>
      </c>
      <c r="E11466" s="709" t="n">
        <v>1</v>
      </c>
      <c r="F11466" s="681" t="n">
        <v>460</v>
      </c>
      <c r="G11466" s="716" t="n">
        <f aca="false">F11466*E11466</f>
        <v>460</v>
      </c>
      <c r="H11466" s="679"/>
    </row>
    <row r="11467" s="451" customFormat="true" ht="30" hidden="false" customHeight="false" outlineLevel="0" collapsed="false">
      <c r="A11467" s="709"/>
      <c r="B11467" s="532"/>
      <c r="C11467" s="709" t="s">
        <v>6282</v>
      </c>
      <c r="D11467" s="679" t="s">
        <v>4348</v>
      </c>
      <c r="E11467" s="709" t="n">
        <v>1</v>
      </c>
      <c r="F11467" s="681" t="n">
        <v>450</v>
      </c>
      <c r="G11467" s="716" t="n">
        <f aca="false">F11467*E11467</f>
        <v>450</v>
      </c>
      <c r="H11467" s="679"/>
    </row>
    <row r="11468" s="451" customFormat="true" ht="15" hidden="false" customHeight="false" outlineLevel="0" collapsed="false">
      <c r="A11468" s="709"/>
      <c r="B11468" s="532"/>
      <c r="C11468" s="679"/>
      <c r="D11468" s="679"/>
      <c r="E11468" s="679"/>
      <c r="F11468" s="366"/>
      <c r="G11468" s="711" t="n">
        <f aca="false">SUM(G11460:G11467)</f>
        <v>3792.05</v>
      </c>
      <c r="H11468" s="679"/>
    </row>
    <row r="11469" s="451" customFormat="true" ht="45" hidden="false" customHeight="false" outlineLevel="0" collapsed="false">
      <c r="A11469" s="709" t="s">
        <v>6386</v>
      </c>
      <c r="B11469" s="532" t="s">
        <v>6387</v>
      </c>
      <c r="C11469" s="614" t="s">
        <v>6383</v>
      </c>
      <c r="D11469" s="606" t="s">
        <v>6384</v>
      </c>
      <c r="E11469" s="954" t="n">
        <v>0.012</v>
      </c>
      <c r="F11469" s="617" t="n">
        <v>24469</v>
      </c>
      <c r="G11469" s="615" t="n">
        <f aca="false">F11469*E11469</f>
        <v>293.628</v>
      </c>
      <c r="H11469" s="679"/>
    </row>
    <row r="11470" s="451" customFormat="true" ht="15" hidden="false" customHeight="false" outlineLevel="0" collapsed="false">
      <c r="A11470" s="709"/>
      <c r="B11470" s="532"/>
      <c r="C11470" s="614" t="s">
        <v>4347</v>
      </c>
      <c r="D11470" s="606" t="s">
        <v>5788</v>
      </c>
      <c r="E11470" s="954" t="n">
        <v>1</v>
      </c>
      <c r="F11470" s="617" t="n">
        <v>1106</v>
      </c>
      <c r="G11470" s="615" t="n">
        <v>11</v>
      </c>
      <c r="H11470" s="679"/>
    </row>
    <row r="11471" s="451" customFormat="true" ht="15" hidden="false" customHeight="false" outlineLevel="0" collapsed="false">
      <c r="A11471" s="709"/>
      <c r="B11471" s="532"/>
      <c r="C11471" s="614" t="s">
        <v>4122</v>
      </c>
      <c r="D11471" s="606" t="s">
        <v>4359</v>
      </c>
      <c r="E11471" s="954" t="n">
        <v>0.001</v>
      </c>
      <c r="F11471" s="617" t="n">
        <v>800</v>
      </c>
      <c r="G11471" s="615" t="n">
        <v>80</v>
      </c>
      <c r="H11471" s="679"/>
    </row>
    <row r="11472" s="451" customFormat="true" ht="15" hidden="false" customHeight="false" outlineLevel="0" collapsed="false">
      <c r="A11472" s="709"/>
      <c r="B11472" s="532"/>
      <c r="C11472" s="614" t="s">
        <v>4270</v>
      </c>
      <c r="D11472" s="606" t="s">
        <v>4133</v>
      </c>
      <c r="E11472" s="954" t="n">
        <v>0.001</v>
      </c>
      <c r="F11472" s="617" t="n">
        <v>9866</v>
      </c>
      <c r="G11472" s="615" t="n">
        <v>986</v>
      </c>
      <c r="H11472" s="679"/>
    </row>
    <row r="11473" s="451" customFormat="true" ht="30" hidden="false" customHeight="false" outlineLevel="0" collapsed="false">
      <c r="A11473" s="709"/>
      <c r="B11473" s="532"/>
      <c r="C11473" s="614" t="s">
        <v>6282</v>
      </c>
      <c r="D11473" s="606" t="s">
        <v>4348</v>
      </c>
      <c r="E11473" s="954" t="n">
        <v>1</v>
      </c>
      <c r="F11473" s="617" t="n">
        <v>450</v>
      </c>
      <c r="G11473" s="615" t="n">
        <f aca="false">F11473*E11473</f>
        <v>450</v>
      </c>
      <c r="H11473" s="679"/>
    </row>
    <row r="11474" s="451" customFormat="true" ht="15" hidden="false" customHeight="false" outlineLevel="0" collapsed="false">
      <c r="A11474" s="709"/>
      <c r="B11474" s="532"/>
      <c r="C11474" s="606"/>
      <c r="D11474" s="606"/>
      <c r="E11474" s="606"/>
      <c r="F11474" s="612"/>
      <c r="G11474" s="613" t="n">
        <f aca="false">SUM(G11469:G11473)</f>
        <v>1820.628</v>
      </c>
      <c r="H11474" s="679"/>
    </row>
    <row r="11475" s="451" customFormat="true" ht="45" hidden="false" customHeight="false" outlineLevel="0" collapsed="false">
      <c r="A11475" s="709" t="s">
        <v>6388</v>
      </c>
      <c r="B11475" s="532" t="s">
        <v>6389</v>
      </c>
      <c r="C11475" s="614" t="s">
        <v>6383</v>
      </c>
      <c r="D11475" s="606" t="s">
        <v>6384</v>
      </c>
      <c r="E11475" s="954" t="n">
        <v>0.012</v>
      </c>
      <c r="F11475" s="617" t="n">
        <v>24469</v>
      </c>
      <c r="G11475" s="615" t="n">
        <f aca="false">F11475*E11475</f>
        <v>293.628</v>
      </c>
      <c r="H11475" s="679"/>
    </row>
    <row r="11476" s="451" customFormat="true" ht="15" hidden="false" customHeight="false" outlineLevel="0" collapsed="false">
      <c r="A11476" s="709"/>
      <c r="B11476" s="532"/>
      <c r="C11476" s="614" t="s">
        <v>6267</v>
      </c>
      <c r="D11476" s="1094" t="s">
        <v>6390</v>
      </c>
      <c r="E11476" s="614" t="n">
        <v>2</v>
      </c>
      <c r="F11476" s="617" t="n">
        <v>353301</v>
      </c>
      <c r="G11476" s="615" t="n">
        <v>706.6</v>
      </c>
      <c r="H11476" s="679"/>
    </row>
    <row r="11477" s="451" customFormat="true" ht="15" hidden="false" customHeight="false" outlineLevel="0" collapsed="false">
      <c r="A11477" s="709"/>
      <c r="B11477" s="532"/>
      <c r="C11477" s="614" t="s">
        <v>4347</v>
      </c>
      <c r="D11477" s="606" t="s">
        <v>5788</v>
      </c>
      <c r="E11477" s="954" t="n">
        <v>1</v>
      </c>
      <c r="F11477" s="617" t="n">
        <v>1106</v>
      </c>
      <c r="G11477" s="615" t="n">
        <v>22.12</v>
      </c>
      <c r="H11477" s="679"/>
    </row>
    <row r="11478" s="451" customFormat="true" ht="15" hidden="false" customHeight="false" outlineLevel="0" collapsed="false">
      <c r="A11478" s="709"/>
      <c r="B11478" s="532"/>
      <c r="C11478" s="614" t="s">
        <v>4122</v>
      </c>
      <c r="D11478" s="606" t="s">
        <v>4359</v>
      </c>
      <c r="E11478" s="954" t="n">
        <v>0.01</v>
      </c>
      <c r="F11478" s="617" t="n">
        <v>800</v>
      </c>
      <c r="G11478" s="615" t="n">
        <v>80</v>
      </c>
      <c r="H11478" s="679"/>
    </row>
    <row r="11479" s="451" customFormat="true" ht="15" hidden="false" customHeight="false" outlineLevel="0" collapsed="false">
      <c r="A11479" s="709"/>
      <c r="B11479" s="532"/>
      <c r="C11479" s="614" t="s">
        <v>4270</v>
      </c>
      <c r="D11479" s="606" t="s">
        <v>4359</v>
      </c>
      <c r="E11479" s="954" t="n">
        <v>0.001</v>
      </c>
      <c r="F11479" s="617" t="n">
        <v>9866</v>
      </c>
      <c r="G11479" s="615" t="n">
        <v>986</v>
      </c>
      <c r="H11479" s="679"/>
    </row>
    <row r="11480" s="451" customFormat="true" ht="30" hidden="false" customHeight="false" outlineLevel="0" collapsed="false">
      <c r="A11480" s="709"/>
      <c r="B11480" s="532"/>
      <c r="C11480" s="614" t="s">
        <v>6282</v>
      </c>
      <c r="D11480" s="606" t="s">
        <v>4348</v>
      </c>
      <c r="E11480" s="954" t="n">
        <v>1</v>
      </c>
      <c r="F11480" s="617" t="n">
        <v>450</v>
      </c>
      <c r="G11480" s="615" t="n">
        <f aca="false">F11480*E11480</f>
        <v>450</v>
      </c>
      <c r="H11480" s="679"/>
    </row>
    <row r="11481" s="451" customFormat="true" ht="30" hidden="false" customHeight="false" outlineLevel="0" collapsed="false">
      <c r="A11481" s="709"/>
      <c r="B11481" s="532"/>
      <c r="C11481" s="614" t="s">
        <v>6327</v>
      </c>
      <c r="D11481" s="606" t="s">
        <v>6363</v>
      </c>
      <c r="E11481" s="614" t="n">
        <v>5</v>
      </c>
      <c r="F11481" s="617" t="n">
        <v>4771</v>
      </c>
      <c r="G11481" s="615" t="n">
        <v>24</v>
      </c>
      <c r="H11481" s="679"/>
    </row>
    <row r="11482" s="451" customFormat="true" ht="15" hidden="false" customHeight="false" outlineLevel="0" collapsed="false">
      <c r="A11482" s="709"/>
      <c r="B11482" s="532"/>
      <c r="C11482" s="606"/>
      <c r="D11482" s="606"/>
      <c r="E11482" s="606"/>
      <c r="F11482" s="612"/>
      <c r="G11482" s="613" t="n">
        <f aca="false">SUM(G11475:G11481)</f>
        <v>2562.348</v>
      </c>
      <c r="H11482" s="679"/>
    </row>
    <row r="11483" s="451" customFormat="true" ht="30" hidden="false" customHeight="false" outlineLevel="0" collapsed="false">
      <c r="A11483" s="709" t="s">
        <v>6391</v>
      </c>
      <c r="B11483" s="532" t="s">
        <v>6392</v>
      </c>
      <c r="C11483" s="709" t="s">
        <v>6393</v>
      </c>
      <c r="D11483" s="679" t="s">
        <v>6213</v>
      </c>
      <c r="E11483" s="709" t="n">
        <v>1</v>
      </c>
      <c r="F11483" s="681" t="n">
        <v>408577</v>
      </c>
      <c r="G11483" s="716" t="n">
        <f aca="false">E11483*F11483/55</f>
        <v>7428.67272727273</v>
      </c>
      <c r="H11483" s="679"/>
    </row>
    <row r="11484" s="451" customFormat="true" ht="30" hidden="false" customHeight="false" outlineLevel="0" collapsed="false">
      <c r="A11484" s="709"/>
      <c r="B11484" s="532"/>
      <c r="C11484" s="709" t="s">
        <v>6283</v>
      </c>
      <c r="D11484" s="679" t="s">
        <v>6268</v>
      </c>
      <c r="E11484" s="709" t="n">
        <v>1</v>
      </c>
      <c r="F11484" s="681" t="n">
        <v>460</v>
      </c>
      <c r="G11484" s="716" t="n">
        <f aca="false">F11484*E11484</f>
        <v>460</v>
      </c>
      <c r="H11484" s="679"/>
    </row>
    <row r="11485" s="451" customFormat="true" ht="30" hidden="false" customHeight="false" outlineLevel="0" collapsed="false">
      <c r="A11485" s="709"/>
      <c r="B11485" s="532"/>
      <c r="C11485" s="709" t="s">
        <v>6282</v>
      </c>
      <c r="D11485" s="679" t="s">
        <v>4348</v>
      </c>
      <c r="E11485" s="709" t="n">
        <v>1</v>
      </c>
      <c r="F11485" s="681" t="n">
        <v>450</v>
      </c>
      <c r="G11485" s="716" t="n">
        <f aca="false">F11485*E11485</f>
        <v>450</v>
      </c>
      <c r="H11485" s="679"/>
    </row>
    <row r="11486" s="451" customFormat="true" ht="30" hidden="false" customHeight="false" outlineLevel="0" collapsed="false">
      <c r="A11486" s="709"/>
      <c r="B11486" s="532"/>
      <c r="C11486" s="614" t="s">
        <v>6327</v>
      </c>
      <c r="D11486" s="606" t="s">
        <v>6363</v>
      </c>
      <c r="E11486" s="614" t="n">
        <v>3</v>
      </c>
      <c r="F11486" s="617" t="n">
        <v>4771</v>
      </c>
      <c r="G11486" s="615" t="n">
        <f aca="false">F11486*E11486/1000</f>
        <v>14.313</v>
      </c>
      <c r="H11486" s="679"/>
    </row>
    <row r="11487" s="451" customFormat="true" ht="15" hidden="false" customHeight="false" outlineLevel="0" collapsed="false">
      <c r="A11487" s="709"/>
      <c r="B11487" s="532"/>
      <c r="C11487" s="614" t="s">
        <v>6394</v>
      </c>
      <c r="D11487" s="1094" t="s">
        <v>6390</v>
      </c>
      <c r="E11487" s="614" t="n">
        <v>1</v>
      </c>
      <c r="F11487" s="617" t="n">
        <v>353301</v>
      </c>
      <c r="G11487" s="615" t="n">
        <f aca="false">F11487*E11487/1000</f>
        <v>353.301</v>
      </c>
      <c r="H11487" s="679"/>
    </row>
    <row r="11488" s="451" customFormat="true" ht="15" hidden="false" customHeight="false" outlineLevel="0" collapsed="false">
      <c r="A11488" s="709"/>
      <c r="B11488" s="532"/>
      <c r="C11488" s="614" t="s">
        <v>4122</v>
      </c>
      <c r="D11488" s="606" t="s">
        <v>4359</v>
      </c>
      <c r="E11488" s="614" t="n">
        <v>0.001</v>
      </c>
      <c r="F11488" s="617" t="n">
        <v>800</v>
      </c>
      <c r="G11488" s="615" t="n">
        <v>80</v>
      </c>
      <c r="H11488" s="679"/>
    </row>
    <row r="11489" s="451" customFormat="true" ht="15" hidden="false" customHeight="false" outlineLevel="0" collapsed="false">
      <c r="A11489" s="709"/>
      <c r="B11489" s="532"/>
      <c r="C11489" s="614" t="s">
        <v>6366</v>
      </c>
      <c r="D11489" s="606" t="s">
        <v>5788</v>
      </c>
      <c r="E11489" s="614" t="n">
        <v>2</v>
      </c>
      <c r="F11489" s="617" t="n">
        <v>1106</v>
      </c>
      <c r="G11489" s="615" t="n">
        <v>22</v>
      </c>
      <c r="H11489" s="679"/>
    </row>
    <row r="11490" s="451" customFormat="true" ht="15" hidden="false" customHeight="false" outlineLevel="0" collapsed="false">
      <c r="A11490" s="709"/>
      <c r="B11490" s="532"/>
      <c r="C11490" s="614"/>
      <c r="D11490" s="606"/>
      <c r="E11490" s="606"/>
      <c r="F11490" s="361"/>
      <c r="G11490" s="613" t="n">
        <f aca="false">SUM(G11483:G11489)</f>
        <v>8808.28672727273</v>
      </c>
      <c r="H11490" s="679"/>
    </row>
    <row r="11491" s="451" customFormat="true" ht="45" hidden="false" customHeight="false" outlineLevel="0" collapsed="false">
      <c r="A11491" s="709" t="s">
        <v>6395</v>
      </c>
      <c r="B11491" s="532" t="s">
        <v>6396</v>
      </c>
      <c r="C11491" s="614" t="s">
        <v>6383</v>
      </c>
      <c r="D11491" s="606" t="s">
        <v>6397</v>
      </c>
      <c r="E11491" s="954" t="n">
        <v>0.012</v>
      </c>
      <c r="F11491" s="617" t="n">
        <v>24469</v>
      </c>
      <c r="G11491" s="615" t="n">
        <f aca="false">F11491*E11491</f>
        <v>293.628</v>
      </c>
      <c r="H11491" s="679"/>
    </row>
    <row r="11492" s="451" customFormat="true" ht="15" hidden="false" customHeight="false" outlineLevel="0" collapsed="false">
      <c r="A11492" s="709"/>
      <c r="B11492" s="532"/>
      <c r="C11492" s="614" t="s">
        <v>6267</v>
      </c>
      <c r="D11492" s="606" t="s">
        <v>6268</v>
      </c>
      <c r="E11492" s="614" t="n">
        <v>3</v>
      </c>
      <c r="F11492" s="617" t="n">
        <v>636</v>
      </c>
      <c r="G11492" s="615" t="n">
        <v>5</v>
      </c>
      <c r="H11492" s="679"/>
    </row>
    <row r="11493" s="451" customFormat="true" ht="15" hidden="false" customHeight="false" outlineLevel="0" collapsed="false">
      <c r="A11493" s="709"/>
      <c r="B11493" s="532"/>
      <c r="C11493" s="614" t="s">
        <v>4347</v>
      </c>
      <c r="D11493" s="606" t="s">
        <v>5788</v>
      </c>
      <c r="E11493" s="614" t="n">
        <v>1</v>
      </c>
      <c r="F11493" s="617" t="n">
        <v>1106</v>
      </c>
      <c r="G11493" s="615" t="n">
        <v>11</v>
      </c>
      <c r="H11493" s="679"/>
    </row>
    <row r="11494" s="451" customFormat="true" ht="15" hidden="false" customHeight="false" outlineLevel="0" collapsed="false">
      <c r="A11494" s="709"/>
      <c r="B11494" s="532"/>
      <c r="C11494" s="614" t="s">
        <v>4122</v>
      </c>
      <c r="D11494" s="606" t="s">
        <v>4359</v>
      </c>
      <c r="E11494" s="614" t="n">
        <v>0.01</v>
      </c>
      <c r="F11494" s="617" t="n">
        <v>800</v>
      </c>
      <c r="G11494" s="615" t="n">
        <v>80</v>
      </c>
      <c r="H11494" s="679"/>
    </row>
    <row r="11495" s="451" customFormat="true" ht="30" hidden="false" customHeight="false" outlineLevel="0" collapsed="false">
      <c r="A11495" s="709"/>
      <c r="B11495" s="532"/>
      <c r="C11495" s="614" t="s">
        <v>6282</v>
      </c>
      <c r="D11495" s="606" t="s">
        <v>4348</v>
      </c>
      <c r="E11495" s="614" t="n">
        <v>1</v>
      </c>
      <c r="F11495" s="617" t="n">
        <v>450</v>
      </c>
      <c r="G11495" s="615" t="n">
        <f aca="false">F11495*E11495</f>
        <v>450</v>
      </c>
      <c r="H11495" s="679"/>
    </row>
    <row r="11496" s="451" customFormat="true" ht="30" hidden="false" customHeight="false" outlineLevel="0" collapsed="false">
      <c r="A11496" s="709"/>
      <c r="B11496" s="532"/>
      <c r="C11496" s="614" t="s">
        <v>6283</v>
      </c>
      <c r="D11496" s="606" t="s">
        <v>6268</v>
      </c>
      <c r="E11496" s="614" t="n">
        <v>1</v>
      </c>
      <c r="F11496" s="617" t="n">
        <v>460</v>
      </c>
      <c r="G11496" s="615" t="n">
        <f aca="false">F11496*E11496</f>
        <v>460</v>
      </c>
      <c r="H11496" s="679"/>
    </row>
    <row r="11497" s="451" customFormat="true" ht="30" hidden="false" customHeight="false" outlineLevel="0" collapsed="false">
      <c r="A11497" s="709"/>
      <c r="B11497" s="532"/>
      <c r="C11497" s="614" t="s">
        <v>6327</v>
      </c>
      <c r="D11497" s="606" t="s">
        <v>6363</v>
      </c>
      <c r="E11497" s="614" t="n">
        <v>5</v>
      </c>
      <c r="F11497" s="617" t="n">
        <v>4771</v>
      </c>
      <c r="G11497" s="615" t="n">
        <v>24</v>
      </c>
      <c r="H11497" s="679"/>
    </row>
    <row r="11498" s="451" customFormat="true" ht="15" hidden="false" customHeight="false" outlineLevel="0" collapsed="false">
      <c r="A11498" s="709"/>
      <c r="B11498" s="532"/>
      <c r="C11498" s="709"/>
      <c r="D11498" s="679"/>
      <c r="E11498" s="679"/>
      <c r="F11498" s="369"/>
      <c r="G11498" s="711" t="n">
        <f aca="false">SUM(G11491:G11497)</f>
        <v>1323.628</v>
      </c>
      <c r="H11498" s="679"/>
    </row>
    <row r="11499" s="451" customFormat="true" ht="30" hidden="false" customHeight="false" outlineLevel="0" collapsed="false">
      <c r="A11499" s="709" t="s">
        <v>6398</v>
      </c>
      <c r="B11499" s="532" t="s">
        <v>3882</v>
      </c>
      <c r="C11499" s="679"/>
      <c r="D11499" s="679"/>
      <c r="E11499" s="679"/>
      <c r="F11499" s="369"/>
      <c r="G11499" s="716"/>
      <c r="H11499" s="679"/>
    </row>
    <row r="11500" s="451" customFormat="true" ht="30" hidden="false" customHeight="false" outlineLevel="0" collapsed="false">
      <c r="A11500" s="709"/>
      <c r="B11500" s="532"/>
      <c r="C11500" s="709" t="s">
        <v>6399</v>
      </c>
      <c r="D11500" s="679" t="s">
        <v>4359</v>
      </c>
      <c r="E11500" s="709" t="n">
        <v>0.003</v>
      </c>
      <c r="F11500" s="681" t="n">
        <v>170100</v>
      </c>
      <c r="G11500" s="716" t="n">
        <f aca="false">F11500*E11500</f>
        <v>510.3</v>
      </c>
      <c r="H11500" s="679"/>
    </row>
    <row r="11501" s="451" customFormat="true" ht="15" hidden="false" customHeight="false" outlineLevel="0" collapsed="false">
      <c r="A11501" s="709"/>
      <c r="B11501" s="532"/>
      <c r="C11501" s="614" t="s">
        <v>4122</v>
      </c>
      <c r="D11501" s="606" t="s">
        <v>4359</v>
      </c>
      <c r="E11501" s="614" t="n">
        <v>0.001</v>
      </c>
      <c r="F11501" s="617" t="n">
        <v>800</v>
      </c>
      <c r="G11501" s="615" t="n">
        <v>80</v>
      </c>
      <c r="H11501" s="679"/>
    </row>
    <row r="11502" s="451" customFormat="true" ht="15" hidden="false" customHeight="false" outlineLevel="0" collapsed="false">
      <c r="A11502" s="709"/>
      <c r="B11502" s="532"/>
      <c r="C11502" s="614" t="s">
        <v>4126</v>
      </c>
      <c r="D11502" s="606" t="s">
        <v>4133</v>
      </c>
      <c r="E11502" s="614" t="n">
        <v>0.02</v>
      </c>
      <c r="F11502" s="617" t="n">
        <v>1079.21</v>
      </c>
      <c r="G11502" s="615" t="n">
        <f aca="false">F11502*E11502</f>
        <v>21.5842</v>
      </c>
      <c r="H11502" s="679"/>
    </row>
    <row r="11503" s="451" customFormat="true" ht="15" hidden="false" customHeight="false" outlineLevel="0" collapsed="false">
      <c r="A11503" s="709"/>
      <c r="B11503" s="532"/>
      <c r="C11503" s="614" t="s">
        <v>6007</v>
      </c>
      <c r="D11503" s="606" t="s">
        <v>6363</v>
      </c>
      <c r="E11503" s="614" t="n">
        <v>5</v>
      </c>
      <c r="F11503" s="617" t="n">
        <v>4771</v>
      </c>
      <c r="G11503" s="615" t="n">
        <v>24</v>
      </c>
      <c r="H11503" s="679"/>
    </row>
    <row r="11504" s="451" customFormat="true" ht="15" hidden="false" customHeight="false" outlineLevel="0" collapsed="false">
      <c r="A11504" s="709"/>
      <c r="B11504" s="532"/>
      <c r="C11504" s="614" t="s">
        <v>4347</v>
      </c>
      <c r="D11504" s="606" t="s">
        <v>5788</v>
      </c>
      <c r="E11504" s="614" t="n">
        <v>1</v>
      </c>
      <c r="F11504" s="617" t="n">
        <v>1106</v>
      </c>
      <c r="G11504" s="615" t="n">
        <v>11</v>
      </c>
      <c r="H11504" s="679"/>
    </row>
    <row r="11505" s="451" customFormat="true" ht="30" hidden="false" customHeight="false" outlineLevel="0" collapsed="false">
      <c r="A11505" s="709"/>
      <c r="B11505" s="532"/>
      <c r="C11505" s="614" t="s">
        <v>6282</v>
      </c>
      <c r="D11505" s="606" t="s">
        <v>4348</v>
      </c>
      <c r="E11505" s="614" t="n">
        <v>1</v>
      </c>
      <c r="F11505" s="617" t="n">
        <v>450</v>
      </c>
      <c r="G11505" s="615" t="n">
        <f aca="false">F11505*E11505</f>
        <v>450</v>
      </c>
      <c r="H11505" s="679"/>
    </row>
    <row r="11506" s="451" customFormat="true" ht="30" hidden="false" customHeight="false" outlineLevel="0" collapsed="false">
      <c r="A11506" s="709"/>
      <c r="B11506" s="532"/>
      <c r="C11506" s="614" t="s">
        <v>6283</v>
      </c>
      <c r="D11506" s="606" t="s">
        <v>6268</v>
      </c>
      <c r="E11506" s="614" t="n">
        <v>1</v>
      </c>
      <c r="F11506" s="617" t="n">
        <v>460</v>
      </c>
      <c r="G11506" s="615" t="n">
        <f aca="false">F11506*E11506</f>
        <v>460</v>
      </c>
      <c r="H11506" s="679"/>
    </row>
    <row r="11507" s="451" customFormat="true" ht="15" hidden="false" customHeight="false" outlineLevel="0" collapsed="false">
      <c r="A11507" s="709"/>
      <c r="B11507" s="532"/>
      <c r="C11507" s="614"/>
      <c r="D11507" s="606"/>
      <c r="E11507" s="606"/>
      <c r="F11507" s="361"/>
      <c r="G11507" s="613" t="n">
        <f aca="false">SUM(G11500:G11506)</f>
        <v>1556.8842</v>
      </c>
      <c r="H11507" s="679"/>
    </row>
    <row r="11508" s="451" customFormat="true" ht="30" hidden="false" customHeight="false" outlineLevel="0" collapsed="false">
      <c r="A11508" s="709" t="s">
        <v>6400</v>
      </c>
      <c r="B11508" s="532" t="s">
        <v>6401</v>
      </c>
      <c r="C11508" s="614"/>
      <c r="D11508" s="606"/>
      <c r="E11508" s="606"/>
      <c r="F11508" s="361"/>
      <c r="G11508" s="613"/>
      <c r="H11508" s="679"/>
    </row>
    <row r="11509" s="451" customFormat="true" ht="45" hidden="false" customHeight="false" outlineLevel="0" collapsed="false">
      <c r="A11509" s="709"/>
      <c r="B11509" s="532"/>
      <c r="C11509" s="614" t="s">
        <v>6402</v>
      </c>
      <c r="D11509" s="606" t="s">
        <v>6403</v>
      </c>
      <c r="E11509" s="954" t="n">
        <v>0.003</v>
      </c>
      <c r="F11509" s="617" t="n">
        <v>113500</v>
      </c>
      <c r="G11509" s="615" t="n">
        <f aca="false">F11509*E11509</f>
        <v>340.5</v>
      </c>
      <c r="H11509" s="679"/>
    </row>
    <row r="11510" s="451" customFormat="true" ht="30" hidden="false" customHeight="false" outlineLevel="0" collapsed="false">
      <c r="A11510" s="709"/>
      <c r="B11510" s="532"/>
      <c r="C11510" s="614" t="s">
        <v>6327</v>
      </c>
      <c r="D11510" s="606" t="s">
        <v>6363</v>
      </c>
      <c r="E11510" s="614" t="n">
        <v>5</v>
      </c>
      <c r="F11510" s="617" t="n">
        <v>4771</v>
      </c>
      <c r="G11510" s="615" t="n">
        <v>24</v>
      </c>
      <c r="H11510" s="679"/>
    </row>
    <row r="11511" s="451" customFormat="true" ht="15" hidden="false" customHeight="false" outlineLevel="0" collapsed="false">
      <c r="A11511" s="709"/>
      <c r="B11511" s="532"/>
      <c r="C11511" s="614" t="s">
        <v>4347</v>
      </c>
      <c r="D11511" s="606" t="s">
        <v>5788</v>
      </c>
      <c r="E11511" s="614" t="n">
        <v>1</v>
      </c>
      <c r="F11511" s="617" t="n">
        <v>1106</v>
      </c>
      <c r="G11511" s="615" t="n">
        <v>11</v>
      </c>
      <c r="H11511" s="679"/>
    </row>
    <row r="11512" s="451" customFormat="true" ht="15" hidden="false" customHeight="false" outlineLevel="0" collapsed="false">
      <c r="A11512" s="709"/>
      <c r="B11512" s="532"/>
      <c r="C11512" s="614" t="s">
        <v>4122</v>
      </c>
      <c r="D11512" s="606" t="s">
        <v>4359</v>
      </c>
      <c r="E11512" s="614" t="n">
        <v>0.01</v>
      </c>
      <c r="F11512" s="617" t="n">
        <v>800</v>
      </c>
      <c r="G11512" s="615" t="n">
        <v>80</v>
      </c>
      <c r="H11512" s="679"/>
    </row>
    <row r="11513" s="451" customFormat="true" ht="30" hidden="false" customHeight="false" outlineLevel="0" collapsed="false">
      <c r="A11513" s="709"/>
      <c r="B11513" s="532"/>
      <c r="C11513" s="614" t="s">
        <v>6282</v>
      </c>
      <c r="D11513" s="606" t="s">
        <v>4348</v>
      </c>
      <c r="E11513" s="614" t="n">
        <v>1</v>
      </c>
      <c r="F11513" s="617" t="n">
        <v>450</v>
      </c>
      <c r="G11513" s="615" t="n">
        <f aca="false">F11513*E11513</f>
        <v>450</v>
      </c>
      <c r="H11513" s="679"/>
    </row>
    <row r="11514" s="451" customFormat="true" ht="15" hidden="false" customHeight="false" outlineLevel="0" collapsed="false">
      <c r="A11514" s="709"/>
      <c r="B11514" s="532"/>
      <c r="C11514" s="709"/>
      <c r="D11514" s="679"/>
      <c r="E11514" s="679"/>
      <c r="F11514" s="369"/>
      <c r="G11514" s="711" t="n">
        <f aca="false">SUM(G11509:G11513)</f>
        <v>905.5</v>
      </c>
      <c r="H11514" s="679"/>
    </row>
    <row r="11515" s="451" customFormat="true" ht="30" hidden="false" customHeight="false" outlineLevel="0" collapsed="false">
      <c r="A11515" s="915" t="s">
        <v>2301</v>
      </c>
      <c r="B11515" s="796" t="s">
        <v>6404</v>
      </c>
      <c r="C11515" s="709" t="s">
        <v>6405</v>
      </c>
      <c r="D11515" s="679" t="s">
        <v>6406</v>
      </c>
      <c r="E11515" s="709" t="n">
        <v>1</v>
      </c>
      <c r="F11515" s="681" t="n">
        <v>39514</v>
      </c>
      <c r="G11515" s="716" t="n">
        <f aca="false">F11515/96</f>
        <v>411.604166666667</v>
      </c>
      <c r="H11515" s="679"/>
    </row>
    <row r="11516" s="451" customFormat="true" ht="15" hidden="false" customHeight="false" outlineLevel="0" collapsed="false">
      <c r="A11516" s="915"/>
      <c r="B11516" s="796"/>
      <c r="C11516" s="614" t="s">
        <v>4122</v>
      </c>
      <c r="D11516" s="606" t="s">
        <v>4359</v>
      </c>
      <c r="E11516" s="614" t="n">
        <v>0.01</v>
      </c>
      <c r="F11516" s="617" t="n">
        <v>800</v>
      </c>
      <c r="G11516" s="615" t="n">
        <f aca="false">F11516*E11516</f>
        <v>8</v>
      </c>
      <c r="H11516" s="679"/>
    </row>
    <row r="11517" s="451" customFormat="true" ht="30" hidden="false" customHeight="false" outlineLevel="0" collapsed="false">
      <c r="A11517" s="915"/>
      <c r="B11517" s="796"/>
      <c r="C11517" s="614" t="s">
        <v>6407</v>
      </c>
      <c r="D11517" s="606" t="s">
        <v>6363</v>
      </c>
      <c r="E11517" s="614" t="n">
        <v>10</v>
      </c>
      <c r="F11517" s="617" t="n">
        <v>4771</v>
      </c>
      <c r="G11517" s="615" t="n">
        <v>47.7</v>
      </c>
      <c r="H11517" s="679"/>
    </row>
    <row r="11518" s="451" customFormat="true" ht="15" hidden="false" customHeight="false" outlineLevel="0" collapsed="false">
      <c r="A11518" s="915"/>
      <c r="B11518" s="796"/>
      <c r="C11518" s="614" t="s">
        <v>6394</v>
      </c>
      <c r="D11518" s="1094" t="s">
        <v>6390</v>
      </c>
      <c r="E11518" s="614" t="n">
        <v>3</v>
      </c>
      <c r="F11518" s="617" t="n">
        <v>353301</v>
      </c>
      <c r="G11518" s="615" t="n">
        <v>1059.9</v>
      </c>
      <c r="H11518" s="679"/>
    </row>
    <row r="11519" s="451" customFormat="true" ht="30" hidden="false" customHeight="false" outlineLevel="0" collapsed="false">
      <c r="A11519" s="915"/>
      <c r="B11519" s="796"/>
      <c r="C11519" s="614" t="s">
        <v>6282</v>
      </c>
      <c r="D11519" s="606" t="s">
        <v>4348</v>
      </c>
      <c r="E11519" s="614" t="n">
        <v>1</v>
      </c>
      <c r="F11519" s="617" t="n">
        <v>450</v>
      </c>
      <c r="G11519" s="615" t="n">
        <f aca="false">F11519*E11519</f>
        <v>450</v>
      </c>
      <c r="H11519" s="679"/>
    </row>
    <row r="11520" s="451" customFormat="true" ht="30" hidden="false" customHeight="false" outlineLevel="0" collapsed="false">
      <c r="A11520" s="915"/>
      <c r="B11520" s="796"/>
      <c r="C11520" s="614" t="s">
        <v>6283</v>
      </c>
      <c r="D11520" s="606" t="s">
        <v>6268</v>
      </c>
      <c r="E11520" s="614" t="n">
        <v>1</v>
      </c>
      <c r="F11520" s="617" t="n">
        <v>460</v>
      </c>
      <c r="G11520" s="615" t="n">
        <f aca="false">F11520*E11520</f>
        <v>460</v>
      </c>
      <c r="H11520" s="679"/>
    </row>
    <row r="11521" s="451" customFormat="true" ht="15" hidden="false" customHeight="false" outlineLevel="0" collapsed="false">
      <c r="A11521" s="915"/>
      <c r="B11521" s="796"/>
      <c r="C11521" s="614" t="s">
        <v>4347</v>
      </c>
      <c r="D11521" s="606" t="s">
        <v>5788</v>
      </c>
      <c r="E11521" s="614" t="n">
        <v>2</v>
      </c>
      <c r="F11521" s="617" t="n">
        <v>1106</v>
      </c>
      <c r="G11521" s="615" t="n">
        <v>22</v>
      </c>
      <c r="H11521" s="679"/>
    </row>
    <row r="11522" s="451" customFormat="true" ht="15" hidden="false" customHeight="false" outlineLevel="0" collapsed="false">
      <c r="A11522" s="915"/>
      <c r="B11522" s="796"/>
      <c r="C11522" s="606"/>
      <c r="D11522" s="606"/>
      <c r="E11522" s="606"/>
      <c r="F11522" s="361"/>
      <c r="G11522" s="613" t="n">
        <f aca="false">SUM(G11515:G11521)</f>
        <v>2459.20416666667</v>
      </c>
      <c r="H11522" s="679"/>
    </row>
    <row r="11523" s="451" customFormat="true" ht="15" hidden="false" customHeight="false" outlineLevel="0" collapsed="false">
      <c r="A11523" s="915"/>
      <c r="B11523" s="796"/>
      <c r="C11523" s="614"/>
      <c r="D11523" s="606"/>
      <c r="E11523" s="606"/>
      <c r="F11523" s="361"/>
      <c r="G11523" s="613"/>
      <c r="H11523" s="679"/>
    </row>
    <row r="11524" s="451" customFormat="true" ht="30" hidden="false" customHeight="false" outlineLevel="0" collapsed="false">
      <c r="A11524" s="915" t="s">
        <v>6408</v>
      </c>
      <c r="B11524" s="796" t="s">
        <v>6409</v>
      </c>
      <c r="C11524" s="614" t="s">
        <v>6410</v>
      </c>
      <c r="D11524" s="606" t="s">
        <v>6406</v>
      </c>
      <c r="E11524" s="954" t="n">
        <v>1</v>
      </c>
      <c r="F11524" s="617" t="n">
        <v>39514</v>
      </c>
      <c r="G11524" s="615" t="n">
        <f aca="false">F11524/60</f>
        <v>658.566666666667</v>
      </c>
      <c r="H11524" s="679"/>
    </row>
    <row r="11525" s="451" customFormat="true" ht="15" hidden="false" customHeight="false" outlineLevel="0" collapsed="false">
      <c r="A11525" s="915"/>
      <c r="B11525" s="796"/>
      <c r="C11525" s="614" t="s">
        <v>4122</v>
      </c>
      <c r="D11525" s="606" t="s">
        <v>4359</v>
      </c>
      <c r="E11525" s="954" t="n">
        <v>0.1</v>
      </c>
      <c r="F11525" s="617" t="n">
        <v>800</v>
      </c>
      <c r="G11525" s="615" t="n">
        <v>80</v>
      </c>
      <c r="H11525" s="679"/>
    </row>
    <row r="11526" s="451" customFormat="true" ht="30" hidden="false" customHeight="false" outlineLevel="0" collapsed="false">
      <c r="A11526" s="915"/>
      <c r="B11526" s="796"/>
      <c r="C11526" s="614" t="s">
        <v>6407</v>
      </c>
      <c r="D11526" s="606" t="s">
        <v>6363</v>
      </c>
      <c r="E11526" s="614" t="n">
        <v>5</v>
      </c>
      <c r="F11526" s="617" t="n">
        <v>4771</v>
      </c>
      <c r="G11526" s="615" t="n">
        <v>24</v>
      </c>
      <c r="H11526" s="679"/>
    </row>
    <row r="11527" s="451" customFormat="true" ht="15" hidden="false" customHeight="false" outlineLevel="0" collapsed="false">
      <c r="A11527" s="915"/>
      <c r="B11527" s="796"/>
      <c r="C11527" s="709" t="s">
        <v>6394</v>
      </c>
      <c r="D11527" s="1100" t="s">
        <v>6411</v>
      </c>
      <c r="E11527" s="709" t="n">
        <v>3</v>
      </c>
      <c r="F11527" s="681" t="n">
        <v>39480</v>
      </c>
      <c r="G11527" s="716" t="n">
        <v>234</v>
      </c>
      <c r="H11527" s="679"/>
    </row>
    <row r="11528" s="451" customFormat="true" ht="15" hidden="false" customHeight="false" outlineLevel="0" collapsed="false">
      <c r="A11528" s="915"/>
      <c r="B11528" s="796"/>
      <c r="C11528" s="709" t="s">
        <v>4347</v>
      </c>
      <c r="D11528" s="679" t="s">
        <v>5788</v>
      </c>
      <c r="E11528" s="1092" t="n">
        <v>2</v>
      </c>
      <c r="F11528" s="681" t="n">
        <v>1106</v>
      </c>
      <c r="G11528" s="716" t="n">
        <v>22</v>
      </c>
      <c r="H11528" s="679"/>
    </row>
    <row r="11529" s="451" customFormat="true" ht="30" hidden="false" customHeight="false" outlineLevel="0" collapsed="false">
      <c r="A11529" s="915"/>
      <c r="B11529" s="796"/>
      <c r="C11529" s="709" t="s">
        <v>6282</v>
      </c>
      <c r="D11529" s="679" t="s">
        <v>4348</v>
      </c>
      <c r="E11529" s="1092" t="n">
        <v>1</v>
      </c>
      <c r="F11529" s="681" t="n">
        <v>450</v>
      </c>
      <c r="G11529" s="716" t="n">
        <f aca="false">F11529*E11529</f>
        <v>450</v>
      </c>
      <c r="H11529" s="679"/>
    </row>
    <row r="11530" s="451" customFormat="true" ht="30" hidden="false" customHeight="false" outlineLevel="0" collapsed="false">
      <c r="A11530" s="915"/>
      <c r="B11530" s="796"/>
      <c r="C11530" s="709" t="s">
        <v>6283</v>
      </c>
      <c r="D11530" s="679" t="s">
        <v>4348</v>
      </c>
      <c r="E11530" s="1092" t="n">
        <v>1</v>
      </c>
      <c r="F11530" s="681" t="n">
        <v>460</v>
      </c>
      <c r="G11530" s="716" t="n">
        <f aca="false">F11530*E11530</f>
        <v>460</v>
      </c>
      <c r="H11530" s="679"/>
    </row>
    <row r="11531" s="451" customFormat="true" ht="15" hidden="false" customHeight="false" outlineLevel="0" collapsed="false">
      <c r="A11531" s="915"/>
      <c r="B11531" s="796"/>
      <c r="C11531" s="709"/>
      <c r="D11531" s="679"/>
      <c r="E11531" s="679"/>
      <c r="F11531" s="369"/>
      <c r="G11531" s="711" t="n">
        <f aca="false">SUM(G11524:G11530)</f>
        <v>1928.56666666667</v>
      </c>
      <c r="H11531" s="679"/>
    </row>
    <row r="11532" s="451" customFormat="true" ht="45" hidden="false" customHeight="false" outlineLevel="0" collapsed="false">
      <c r="A11532" s="915" t="s">
        <v>6412</v>
      </c>
      <c r="B11532" s="487" t="s">
        <v>3886</v>
      </c>
      <c r="C11532" s="709" t="s">
        <v>6393</v>
      </c>
      <c r="D11532" s="679" t="s">
        <v>6213</v>
      </c>
      <c r="E11532" s="1092" t="n">
        <v>1</v>
      </c>
      <c r="F11532" s="681" t="n">
        <v>408577</v>
      </c>
      <c r="G11532" s="716" t="n">
        <v>7428.67</v>
      </c>
      <c r="H11532" s="679"/>
    </row>
    <row r="11533" s="451" customFormat="true" ht="30" hidden="false" customHeight="false" outlineLevel="0" collapsed="false">
      <c r="A11533" s="915"/>
      <c r="B11533" s="796"/>
      <c r="C11533" s="614" t="s">
        <v>6327</v>
      </c>
      <c r="D11533" s="606" t="s">
        <v>6363</v>
      </c>
      <c r="E11533" s="614" t="n">
        <v>5</v>
      </c>
      <c r="F11533" s="617" t="n">
        <v>4771</v>
      </c>
      <c r="G11533" s="615" t="n">
        <v>24</v>
      </c>
      <c r="H11533" s="679"/>
    </row>
    <row r="11534" s="451" customFormat="true" ht="15" hidden="false" customHeight="false" outlineLevel="0" collapsed="false">
      <c r="A11534" s="915"/>
      <c r="B11534" s="796"/>
      <c r="C11534" s="614" t="s">
        <v>6413</v>
      </c>
      <c r="D11534" s="1094" t="s">
        <v>6390</v>
      </c>
      <c r="E11534" s="614" t="n">
        <v>3</v>
      </c>
      <c r="F11534" s="617" t="n">
        <v>353301</v>
      </c>
      <c r="G11534" s="615" t="n">
        <v>1059.9</v>
      </c>
      <c r="H11534" s="679"/>
    </row>
    <row r="11535" s="451" customFormat="true" ht="30" hidden="false" customHeight="false" outlineLevel="0" collapsed="false">
      <c r="A11535" s="915"/>
      <c r="B11535" s="796"/>
      <c r="C11535" s="614" t="s">
        <v>6414</v>
      </c>
      <c r="D11535" s="606" t="s">
        <v>6415</v>
      </c>
      <c r="E11535" s="954" t="n">
        <v>2</v>
      </c>
      <c r="F11535" s="617" t="n">
        <v>39480</v>
      </c>
      <c r="G11535" s="615" t="n">
        <v>158</v>
      </c>
      <c r="H11535" s="679"/>
    </row>
    <row r="11536" s="451" customFormat="true" ht="15" hidden="false" customHeight="false" outlineLevel="0" collapsed="false">
      <c r="A11536" s="915"/>
      <c r="B11536" s="796"/>
      <c r="C11536" s="614" t="s">
        <v>4122</v>
      </c>
      <c r="D11536" s="606" t="s">
        <v>4359</v>
      </c>
      <c r="E11536" s="954" t="n">
        <v>0.1</v>
      </c>
      <c r="F11536" s="617" t="n">
        <v>800</v>
      </c>
      <c r="G11536" s="615" t="n">
        <f aca="false">F11536*E11536</f>
        <v>80</v>
      </c>
      <c r="H11536" s="679"/>
    </row>
    <row r="11537" s="451" customFormat="true" ht="30" hidden="false" customHeight="false" outlineLevel="0" collapsed="false">
      <c r="A11537" s="915"/>
      <c r="B11537" s="796"/>
      <c r="C11537" s="614" t="s">
        <v>6282</v>
      </c>
      <c r="D11537" s="606" t="s">
        <v>4348</v>
      </c>
      <c r="E11537" s="954" t="n">
        <v>1</v>
      </c>
      <c r="F11537" s="617" t="n">
        <v>450</v>
      </c>
      <c r="G11537" s="615" t="n">
        <f aca="false">F11537*E11537</f>
        <v>450</v>
      </c>
      <c r="H11537" s="679"/>
    </row>
    <row r="11538" s="451" customFormat="true" ht="15" hidden="false" customHeight="false" outlineLevel="0" collapsed="false">
      <c r="A11538" s="915"/>
      <c r="B11538" s="796"/>
      <c r="C11538" s="614" t="s">
        <v>6366</v>
      </c>
      <c r="D11538" s="606" t="s">
        <v>5788</v>
      </c>
      <c r="E11538" s="954" t="n">
        <v>1</v>
      </c>
      <c r="F11538" s="617" t="n">
        <v>1106</v>
      </c>
      <c r="G11538" s="615" t="n">
        <v>11</v>
      </c>
      <c r="H11538" s="679"/>
    </row>
    <row r="11539" s="451" customFormat="true" ht="30" hidden="false" customHeight="false" outlineLevel="0" collapsed="false">
      <c r="A11539" s="915"/>
      <c r="B11539" s="796"/>
      <c r="C11539" s="614" t="s">
        <v>6283</v>
      </c>
      <c r="D11539" s="606" t="s">
        <v>6416</v>
      </c>
      <c r="E11539" s="954" t="n">
        <v>1</v>
      </c>
      <c r="F11539" s="617" t="n">
        <v>460</v>
      </c>
      <c r="G11539" s="615" t="n">
        <f aca="false">F11539*E11539</f>
        <v>460</v>
      </c>
      <c r="H11539" s="679"/>
    </row>
    <row r="11540" s="451" customFormat="true" ht="15" hidden="false" customHeight="false" outlineLevel="0" collapsed="false">
      <c r="A11540" s="915"/>
      <c r="B11540" s="796"/>
      <c r="C11540" s="709"/>
      <c r="D11540" s="679"/>
      <c r="E11540" s="679"/>
      <c r="F11540" s="369"/>
      <c r="G11540" s="711" t="n">
        <f aca="false">SUM(G11532:G11539)</f>
        <v>9671.57</v>
      </c>
      <c r="H11540" s="679"/>
    </row>
    <row r="11541" s="451" customFormat="true" ht="15" hidden="false" customHeight="false" outlineLevel="0" collapsed="false">
      <c r="A11541" s="510" t="s">
        <v>2307</v>
      </c>
      <c r="B11541" s="1101" t="s">
        <v>6417</v>
      </c>
      <c r="C11541" s="601"/>
      <c r="D11541" s="600"/>
      <c r="E11541" s="600"/>
      <c r="F11541" s="364"/>
      <c r="G11541" s="753"/>
      <c r="H11541" s="790"/>
    </row>
    <row r="11542" s="451" customFormat="true" ht="30" hidden="false" customHeight="false" outlineLevel="0" collapsed="false">
      <c r="A11542" s="709" t="s">
        <v>6418</v>
      </c>
      <c r="B11542" s="532" t="s">
        <v>3887</v>
      </c>
      <c r="C11542" s="709" t="s">
        <v>6419</v>
      </c>
      <c r="D11542" s="679" t="s">
        <v>6420</v>
      </c>
      <c r="E11542" s="709" t="n">
        <v>0.002</v>
      </c>
      <c r="F11542" s="681" t="n">
        <v>34500</v>
      </c>
      <c r="G11542" s="716" t="n">
        <f aca="false">F11542*E11542</f>
        <v>69</v>
      </c>
      <c r="H11542" s="679"/>
    </row>
    <row r="11543" s="451" customFormat="true" ht="15" hidden="false" customHeight="false" outlineLevel="0" collapsed="false">
      <c r="A11543" s="471"/>
      <c r="B11543" s="796"/>
      <c r="C11543" s="709" t="s">
        <v>6333</v>
      </c>
      <c r="D11543" s="679" t="s">
        <v>6421</v>
      </c>
      <c r="E11543" s="709" t="n">
        <v>0.001</v>
      </c>
      <c r="F11543" s="681" t="n">
        <v>45172</v>
      </c>
      <c r="G11543" s="615" t="n">
        <f aca="false">F11543*E11543</f>
        <v>45.172</v>
      </c>
      <c r="H11543" s="679"/>
    </row>
    <row r="11544" s="451" customFormat="true" ht="30" hidden="false" customHeight="false" outlineLevel="0" collapsed="false">
      <c r="A11544" s="471"/>
      <c r="B11544" s="796"/>
      <c r="C11544" s="614" t="s">
        <v>6422</v>
      </c>
      <c r="D11544" s="606" t="s">
        <v>6423</v>
      </c>
      <c r="E11544" s="614" t="n">
        <v>0.001</v>
      </c>
      <c r="F11544" s="617" t="n">
        <v>26415</v>
      </c>
      <c r="G11544" s="615" t="n">
        <f aca="false">F11544*E11544</f>
        <v>26.415</v>
      </c>
      <c r="H11544" s="679"/>
    </row>
    <row r="11545" s="451" customFormat="true" ht="15" hidden="false" customHeight="false" outlineLevel="0" collapsed="false">
      <c r="A11545" s="471"/>
      <c r="B11545" s="796"/>
      <c r="C11545" s="614" t="s">
        <v>4122</v>
      </c>
      <c r="D11545" s="606" t="s">
        <v>4359</v>
      </c>
      <c r="E11545" s="614" t="n">
        <v>0.03</v>
      </c>
      <c r="F11545" s="617" t="n">
        <v>800</v>
      </c>
      <c r="G11545" s="615" t="n">
        <f aca="false">F11545*E11545</f>
        <v>24</v>
      </c>
      <c r="H11545" s="679"/>
    </row>
    <row r="11546" s="451" customFormat="true" ht="30" hidden="false" customHeight="false" outlineLevel="0" collapsed="false">
      <c r="A11546" s="471"/>
      <c r="B11546" s="796"/>
      <c r="C11546" s="614" t="s">
        <v>6282</v>
      </c>
      <c r="D11546" s="606" t="s">
        <v>4348</v>
      </c>
      <c r="E11546" s="614" t="n">
        <v>1</v>
      </c>
      <c r="F11546" s="617" t="n">
        <v>450</v>
      </c>
      <c r="G11546" s="615" t="n">
        <f aca="false">F11546*E11546</f>
        <v>450</v>
      </c>
      <c r="H11546" s="679"/>
    </row>
    <row r="11547" s="451" customFormat="true" ht="15" hidden="false" customHeight="false" outlineLevel="0" collapsed="false">
      <c r="A11547" s="471"/>
      <c r="B11547" s="796"/>
      <c r="C11547" s="614" t="s">
        <v>4347</v>
      </c>
      <c r="D11547" s="606" t="s">
        <v>5788</v>
      </c>
      <c r="E11547" s="614" t="n">
        <v>1</v>
      </c>
      <c r="F11547" s="617" t="n">
        <v>1106</v>
      </c>
      <c r="G11547" s="615" t="n">
        <v>11</v>
      </c>
      <c r="H11547" s="679"/>
    </row>
    <row r="11548" s="451" customFormat="true" ht="15" hidden="false" customHeight="false" outlineLevel="0" collapsed="false">
      <c r="A11548" s="471"/>
      <c r="B11548" s="796"/>
      <c r="C11548" s="614" t="s">
        <v>5826</v>
      </c>
      <c r="D11548" s="1094" t="s">
        <v>6424</v>
      </c>
      <c r="E11548" s="614" t="n">
        <v>3</v>
      </c>
      <c r="F11548" s="617" t="n">
        <v>602</v>
      </c>
      <c r="G11548" s="615" t="n">
        <f aca="false">F11548*E11548</f>
        <v>1806</v>
      </c>
      <c r="H11548" s="679"/>
    </row>
    <row r="11549" s="451" customFormat="true" ht="15" hidden="false" customHeight="false" outlineLevel="0" collapsed="false">
      <c r="A11549" s="471"/>
      <c r="B11549" s="796"/>
      <c r="C11549" s="614" t="s">
        <v>6007</v>
      </c>
      <c r="D11549" s="606" t="s">
        <v>6363</v>
      </c>
      <c r="E11549" s="614" t="n">
        <v>5</v>
      </c>
      <c r="F11549" s="617" t="n">
        <v>4771</v>
      </c>
      <c r="G11549" s="615" t="n">
        <v>24</v>
      </c>
      <c r="H11549" s="679"/>
    </row>
    <row r="11550" s="451" customFormat="true" ht="30" hidden="false" customHeight="false" outlineLevel="0" collapsed="false">
      <c r="A11550" s="471"/>
      <c r="B11550" s="796"/>
      <c r="C11550" s="614" t="s">
        <v>6283</v>
      </c>
      <c r="D11550" s="606" t="s">
        <v>6416</v>
      </c>
      <c r="E11550" s="954" t="n">
        <v>1</v>
      </c>
      <c r="F11550" s="617" t="n">
        <v>460</v>
      </c>
      <c r="G11550" s="615" t="n">
        <f aca="false">F11550*E11550</f>
        <v>460</v>
      </c>
      <c r="H11550" s="679"/>
    </row>
    <row r="11551" s="451" customFormat="true" ht="15" hidden="false" customHeight="false" outlineLevel="0" collapsed="false">
      <c r="A11551" s="471"/>
      <c r="B11551" s="796"/>
      <c r="C11551" s="614" t="s">
        <v>4270</v>
      </c>
      <c r="D11551" s="606" t="s">
        <v>4359</v>
      </c>
      <c r="E11551" s="614" t="n">
        <v>0.02</v>
      </c>
      <c r="F11551" s="617" t="n">
        <v>9866</v>
      </c>
      <c r="G11551" s="615" t="n">
        <f aca="false">F11551*E11551</f>
        <v>197.32</v>
      </c>
      <c r="H11551" s="679"/>
    </row>
    <row r="11552" s="451" customFormat="true" ht="15" hidden="false" customHeight="false" outlineLevel="0" collapsed="false">
      <c r="A11552" s="471"/>
      <c r="B11552" s="796"/>
      <c r="C11552" s="614" t="s">
        <v>6425</v>
      </c>
      <c r="D11552" s="606" t="s">
        <v>6426</v>
      </c>
      <c r="E11552" s="614" t="n">
        <v>1</v>
      </c>
      <c r="F11552" s="617" t="n">
        <v>17469</v>
      </c>
      <c r="G11552" s="615" t="n">
        <v>698.76</v>
      </c>
      <c r="H11552" s="679"/>
    </row>
    <row r="11553" s="451" customFormat="true" ht="15" hidden="false" customHeight="true" outlineLevel="0" collapsed="false">
      <c r="A11553" s="471"/>
      <c r="B11553" s="796"/>
      <c r="C11553" s="614" t="s">
        <v>6304</v>
      </c>
      <c r="D11553" s="606" t="s">
        <v>6305</v>
      </c>
      <c r="E11553" s="614" t="n">
        <v>1</v>
      </c>
      <c r="F11553" s="617" t="n">
        <v>47370</v>
      </c>
      <c r="G11553" s="615" t="n">
        <v>1894.8</v>
      </c>
      <c r="H11553" s="679"/>
    </row>
    <row r="11554" s="451" customFormat="true" ht="15" hidden="false" customHeight="true" outlineLevel="0" collapsed="false">
      <c r="A11554" s="471"/>
      <c r="B11554" s="796"/>
      <c r="C11554" s="614" t="s">
        <v>6302</v>
      </c>
      <c r="D11554" s="606" t="s">
        <v>6305</v>
      </c>
      <c r="E11554" s="614" t="n">
        <v>0</v>
      </c>
      <c r="F11554" s="617" t="n">
        <v>3384</v>
      </c>
      <c r="G11554" s="615" t="n">
        <v>135.36</v>
      </c>
      <c r="H11554" s="679"/>
    </row>
    <row r="11555" s="451" customFormat="true" ht="15" hidden="false" customHeight="true" outlineLevel="0" collapsed="false">
      <c r="A11555" s="471"/>
      <c r="B11555" s="796"/>
      <c r="C11555" s="614" t="s">
        <v>6306</v>
      </c>
      <c r="D11555" s="606" t="s">
        <v>6427</v>
      </c>
      <c r="E11555" s="614" t="n">
        <v>0</v>
      </c>
      <c r="F11555" s="617" t="n">
        <v>10818</v>
      </c>
      <c r="G11555" s="615" t="n">
        <v>216.36</v>
      </c>
      <c r="H11555" s="679"/>
    </row>
    <row r="11556" s="451" customFormat="true" ht="15" hidden="false" customHeight="true" outlineLevel="0" collapsed="false">
      <c r="A11556" s="471"/>
      <c r="B11556" s="796"/>
      <c r="C11556" s="614" t="s">
        <v>6428</v>
      </c>
      <c r="D11556" s="606" t="s">
        <v>6261</v>
      </c>
      <c r="E11556" s="614" t="n">
        <v>0.001</v>
      </c>
      <c r="F11556" s="617" t="n">
        <v>83859</v>
      </c>
      <c r="G11556" s="615" t="n">
        <f aca="false">F11556*E11556</f>
        <v>83.859</v>
      </c>
      <c r="H11556" s="679"/>
    </row>
    <row r="11557" s="451" customFormat="true" ht="15" hidden="false" customHeight="true" outlineLevel="0" collapsed="false">
      <c r="A11557" s="471"/>
      <c r="B11557" s="796"/>
      <c r="C11557" s="614" t="s">
        <v>6429</v>
      </c>
      <c r="D11557" s="606" t="s">
        <v>6430</v>
      </c>
      <c r="E11557" s="614" t="n">
        <v>0.002</v>
      </c>
      <c r="F11557" s="617" t="n">
        <v>215551</v>
      </c>
      <c r="G11557" s="615" t="n">
        <f aca="false">F11557*E11557</f>
        <v>431.102</v>
      </c>
      <c r="H11557" s="679"/>
    </row>
    <row r="11558" s="451" customFormat="true" ht="15" hidden="false" customHeight="true" outlineLevel="0" collapsed="false">
      <c r="A11558" s="471"/>
      <c r="B11558" s="796"/>
      <c r="C11558" s="614" t="s">
        <v>6431</v>
      </c>
      <c r="D11558" s="606" t="s">
        <v>5908</v>
      </c>
      <c r="E11558" s="614" t="n">
        <v>1</v>
      </c>
      <c r="F11558" s="617" t="n">
        <v>67360</v>
      </c>
      <c r="G11558" s="615" t="n">
        <v>341.9</v>
      </c>
      <c r="H11558" s="679"/>
    </row>
    <row r="11559" s="451" customFormat="true" ht="15" hidden="false" customHeight="true" outlineLevel="0" collapsed="false">
      <c r="A11559" s="471"/>
      <c r="B11559" s="796"/>
      <c r="C11559" s="1096" t="s">
        <v>6278</v>
      </c>
      <c r="D11559" s="1097" t="s">
        <v>6310</v>
      </c>
      <c r="E11559" s="531" t="n">
        <v>2</v>
      </c>
      <c r="F11559" s="1096" t="n">
        <v>393</v>
      </c>
      <c r="G11559" s="1102" t="n">
        <v>39</v>
      </c>
      <c r="H11559" s="679"/>
    </row>
    <row r="11560" s="451" customFormat="true" ht="15" hidden="false" customHeight="true" outlineLevel="0" collapsed="false">
      <c r="A11560" s="471"/>
      <c r="B11560" s="796"/>
      <c r="C11560" s="1096" t="s">
        <v>6280</v>
      </c>
      <c r="D11560" s="1097" t="s">
        <v>6311</v>
      </c>
      <c r="E11560" s="1096" t="n">
        <v>1</v>
      </c>
      <c r="F11560" s="1098" t="n">
        <v>842</v>
      </c>
      <c r="G11560" s="615" t="n">
        <f aca="false">F11560*E11560</f>
        <v>842</v>
      </c>
      <c r="H11560" s="679"/>
    </row>
    <row r="11561" s="451" customFormat="true" ht="15" hidden="false" customHeight="true" outlineLevel="0" collapsed="false">
      <c r="A11561" s="471"/>
      <c r="B11561" s="796"/>
      <c r="C11561" s="614" t="s">
        <v>6284</v>
      </c>
      <c r="D11561" s="606" t="s">
        <v>6268</v>
      </c>
      <c r="E11561" s="614" t="n">
        <v>1</v>
      </c>
      <c r="F11561" s="617" t="n">
        <v>175</v>
      </c>
      <c r="G11561" s="615" t="n">
        <f aca="false">F11561*E11561</f>
        <v>175</v>
      </c>
      <c r="H11561" s="679"/>
    </row>
    <row r="11562" s="451" customFormat="true" ht="15" hidden="false" customHeight="false" outlineLevel="0" collapsed="false">
      <c r="A11562" s="471"/>
      <c r="B11562" s="796"/>
      <c r="C11562" s="614"/>
      <c r="D11562" s="606"/>
      <c r="E11562" s="606"/>
      <c r="F11562" s="361"/>
      <c r="G11562" s="613" t="n">
        <f aca="false">SUM(G11542:G11561)</f>
        <v>7971.048</v>
      </c>
      <c r="H11562" s="679"/>
    </row>
    <row r="11563" s="451" customFormat="true" ht="30" hidden="false" customHeight="false" outlineLevel="0" collapsed="false">
      <c r="A11563" s="709" t="s">
        <v>6432</v>
      </c>
      <c r="B11563" s="532" t="s">
        <v>6433</v>
      </c>
      <c r="C11563" s="614" t="s">
        <v>6419</v>
      </c>
      <c r="D11563" s="606" t="s">
        <v>6434</v>
      </c>
      <c r="E11563" s="614" t="n">
        <v>0.001</v>
      </c>
      <c r="F11563" s="617" t="n">
        <v>34700</v>
      </c>
      <c r="G11563" s="615" t="n">
        <f aca="false">F11563*E11563</f>
        <v>34.7</v>
      </c>
      <c r="H11563" s="679"/>
    </row>
    <row r="11564" s="451" customFormat="true" ht="15" hidden="false" customHeight="false" outlineLevel="0" collapsed="false">
      <c r="A11564" s="471"/>
      <c r="B11564" s="796"/>
      <c r="C11564" s="614" t="s">
        <v>6333</v>
      </c>
      <c r="D11564" s="606" t="s">
        <v>6332</v>
      </c>
      <c r="E11564" s="614" t="n">
        <v>0.002</v>
      </c>
      <c r="F11564" s="617" t="n">
        <v>45172</v>
      </c>
      <c r="G11564" s="615" t="n">
        <f aca="false">F11564*E11564</f>
        <v>90.344</v>
      </c>
      <c r="H11564" s="679"/>
    </row>
    <row r="11565" s="451" customFormat="true" ht="30" hidden="false" customHeight="false" outlineLevel="0" collapsed="false">
      <c r="A11565" s="471"/>
      <c r="B11565" s="796"/>
      <c r="C11565" s="614" t="s">
        <v>6422</v>
      </c>
      <c r="D11565" s="606" t="s">
        <v>6423</v>
      </c>
      <c r="E11565" s="614" t="n">
        <v>0.001</v>
      </c>
      <c r="F11565" s="617" t="n">
        <v>26415</v>
      </c>
      <c r="G11565" s="615" t="n">
        <f aca="false">F11565*E11565</f>
        <v>26.415</v>
      </c>
      <c r="H11565" s="679"/>
    </row>
    <row r="11566" s="451" customFormat="true" ht="15" hidden="false" customHeight="false" outlineLevel="0" collapsed="false">
      <c r="A11566" s="471"/>
      <c r="B11566" s="796"/>
      <c r="C11566" s="614" t="s">
        <v>4122</v>
      </c>
      <c r="D11566" s="606" t="s">
        <v>4359</v>
      </c>
      <c r="E11566" s="614" t="n">
        <v>0.03</v>
      </c>
      <c r="F11566" s="617" t="n">
        <v>800</v>
      </c>
      <c r="G11566" s="615" t="n">
        <f aca="false">F11566*E11566</f>
        <v>24</v>
      </c>
      <c r="H11566" s="679"/>
    </row>
    <row r="11567" s="451" customFormat="true" ht="30" hidden="false" customHeight="false" outlineLevel="0" collapsed="false">
      <c r="A11567" s="471"/>
      <c r="B11567" s="796"/>
      <c r="C11567" s="614" t="s">
        <v>6282</v>
      </c>
      <c r="D11567" s="606" t="s">
        <v>4348</v>
      </c>
      <c r="E11567" s="614" t="n">
        <v>1</v>
      </c>
      <c r="F11567" s="617" t="n">
        <v>11500</v>
      </c>
      <c r="G11567" s="615" t="n">
        <f aca="false">F11567*E11567</f>
        <v>11500</v>
      </c>
      <c r="H11567" s="679"/>
    </row>
    <row r="11568" s="451" customFormat="true" ht="15" hidden="false" customHeight="false" outlineLevel="0" collapsed="false">
      <c r="A11568" s="471"/>
      <c r="B11568" s="796"/>
      <c r="C11568" s="1096" t="s">
        <v>6278</v>
      </c>
      <c r="D11568" s="1097" t="s">
        <v>6310</v>
      </c>
      <c r="E11568" s="1096" t="n">
        <v>2</v>
      </c>
      <c r="F11568" s="1096" t="n">
        <v>393</v>
      </c>
      <c r="G11568" s="1102" t="n">
        <v>39</v>
      </c>
      <c r="H11568" s="679"/>
    </row>
    <row r="11569" s="451" customFormat="true" ht="30" hidden="false" customHeight="false" outlineLevel="0" collapsed="false">
      <c r="A11569" s="471"/>
      <c r="B11569" s="796"/>
      <c r="C11569" s="614" t="s">
        <v>6435</v>
      </c>
      <c r="D11569" s="606" t="s">
        <v>6436</v>
      </c>
      <c r="E11569" s="614" t="n">
        <v>1</v>
      </c>
      <c r="F11569" s="617" t="n">
        <v>22734</v>
      </c>
      <c r="G11569" s="615" t="n">
        <v>909</v>
      </c>
      <c r="H11569" s="679"/>
    </row>
    <row r="11570" s="451" customFormat="true" ht="30" hidden="false" customHeight="false" outlineLevel="0" collapsed="false">
      <c r="A11570" s="471"/>
      <c r="B11570" s="796"/>
      <c r="C11570" s="614" t="s">
        <v>6437</v>
      </c>
      <c r="D11570" s="606" t="s">
        <v>6436</v>
      </c>
      <c r="E11570" s="614" t="n">
        <v>1</v>
      </c>
      <c r="F11570" s="617" t="n">
        <v>13210</v>
      </c>
      <c r="G11570" s="615" t="n">
        <v>528</v>
      </c>
      <c r="H11570" s="679"/>
    </row>
    <row r="11571" s="451" customFormat="true" ht="15" hidden="false" customHeight="false" outlineLevel="0" collapsed="false">
      <c r="A11571" s="471"/>
      <c r="B11571" s="796"/>
      <c r="C11571" s="1096" t="s">
        <v>6280</v>
      </c>
      <c r="D11571" s="1097" t="s">
        <v>6311</v>
      </c>
      <c r="E11571" s="1096" t="n">
        <v>1</v>
      </c>
      <c r="F11571" s="1098" t="n">
        <v>842</v>
      </c>
      <c r="G11571" s="615" t="n">
        <f aca="false">F11571*E11571</f>
        <v>842</v>
      </c>
      <c r="H11571" s="679"/>
    </row>
    <row r="11572" s="451" customFormat="true" ht="15" hidden="false" customHeight="false" outlineLevel="0" collapsed="false">
      <c r="A11572" s="471"/>
      <c r="B11572" s="796"/>
      <c r="C11572" s="614" t="s">
        <v>4347</v>
      </c>
      <c r="D11572" s="606" t="s">
        <v>5788</v>
      </c>
      <c r="E11572" s="614" t="n">
        <v>1</v>
      </c>
      <c r="F11572" s="617" t="n">
        <v>1106</v>
      </c>
      <c r="G11572" s="615" t="n">
        <v>11</v>
      </c>
      <c r="H11572" s="679"/>
    </row>
    <row r="11573" s="451" customFormat="true" ht="15" hidden="false" customHeight="false" outlineLevel="0" collapsed="false">
      <c r="A11573" s="471"/>
      <c r="B11573" s="796"/>
      <c r="C11573" s="614" t="s">
        <v>4270</v>
      </c>
      <c r="D11573" s="606" t="s">
        <v>4359</v>
      </c>
      <c r="E11573" s="614" t="n">
        <v>0.2</v>
      </c>
      <c r="F11573" s="617" t="n">
        <v>9866</v>
      </c>
      <c r="G11573" s="615" t="n">
        <f aca="false">F11573*E11573</f>
        <v>1973.2</v>
      </c>
      <c r="H11573" s="679"/>
    </row>
    <row r="11574" s="451" customFormat="true" ht="15" hidden="false" customHeight="false" outlineLevel="0" collapsed="false">
      <c r="A11574" s="471"/>
      <c r="B11574" s="796"/>
      <c r="C11574" s="614" t="s">
        <v>6355</v>
      </c>
      <c r="D11574" s="606" t="s">
        <v>4348</v>
      </c>
      <c r="E11574" s="614" t="n">
        <v>3</v>
      </c>
      <c r="F11574" s="617" t="n">
        <v>514</v>
      </c>
      <c r="G11574" s="615" t="n">
        <f aca="false">F11574*E11574</f>
        <v>1542</v>
      </c>
      <c r="H11574" s="679"/>
    </row>
    <row r="11575" s="451" customFormat="true" ht="30" hidden="false" customHeight="false" outlineLevel="0" collapsed="false">
      <c r="A11575" s="471"/>
      <c r="B11575" s="796"/>
      <c r="C11575" s="614" t="s">
        <v>6283</v>
      </c>
      <c r="D11575" s="606" t="s">
        <v>6416</v>
      </c>
      <c r="E11575" s="954" t="n">
        <v>2</v>
      </c>
      <c r="F11575" s="617" t="n">
        <v>460</v>
      </c>
      <c r="G11575" s="615" t="n">
        <f aca="false">F11575*E11575</f>
        <v>920</v>
      </c>
      <c r="H11575" s="679"/>
    </row>
    <row r="11576" s="451" customFormat="true" ht="15" hidden="false" customHeight="false" outlineLevel="0" collapsed="false">
      <c r="A11576" s="471"/>
      <c r="B11576" s="796"/>
      <c r="C11576" s="614" t="s">
        <v>6284</v>
      </c>
      <c r="D11576" s="606" t="s">
        <v>6268</v>
      </c>
      <c r="E11576" s="614" t="n">
        <v>1</v>
      </c>
      <c r="F11576" s="617" t="n">
        <v>175</v>
      </c>
      <c r="G11576" s="615" t="n">
        <f aca="false">F11576*E11576</f>
        <v>175</v>
      </c>
      <c r="H11576" s="679"/>
    </row>
    <row r="11577" s="451" customFormat="true" ht="15" hidden="false" customHeight="false" outlineLevel="0" collapsed="false">
      <c r="A11577" s="471"/>
      <c r="B11577" s="796"/>
      <c r="C11577" s="614"/>
      <c r="D11577" s="606"/>
      <c r="E11577" s="606"/>
      <c r="F11577" s="361"/>
      <c r="G11577" s="613" t="n">
        <f aca="false">SUM(G11563:G11576)</f>
        <v>18614.659</v>
      </c>
      <c r="H11577" s="679"/>
    </row>
    <row r="11578" s="451" customFormat="true" ht="15" hidden="false" customHeight="false" outlineLevel="0" collapsed="false">
      <c r="A11578" s="471"/>
      <c r="B11578" s="796"/>
      <c r="C11578" s="679"/>
      <c r="D11578" s="679"/>
      <c r="E11578" s="679"/>
      <c r="F11578" s="369"/>
      <c r="G11578" s="716"/>
      <c r="H11578" s="679"/>
    </row>
    <row r="11579" s="451" customFormat="true" ht="30" hidden="false" customHeight="false" outlineLevel="0" collapsed="false">
      <c r="A11579" s="709" t="s">
        <v>6438</v>
      </c>
      <c r="B11579" s="532" t="s">
        <v>6439</v>
      </c>
      <c r="C11579" s="709" t="s">
        <v>6440</v>
      </c>
      <c r="D11579" s="679" t="s">
        <v>6441</v>
      </c>
      <c r="E11579" s="709" t="n">
        <v>0.002</v>
      </c>
      <c r="F11579" s="681" t="n">
        <v>38132</v>
      </c>
      <c r="G11579" s="716" t="n">
        <f aca="false">F11579*E11579</f>
        <v>76.264</v>
      </c>
      <c r="H11579" s="679"/>
    </row>
    <row r="11580" s="451" customFormat="true" ht="15" hidden="false" customHeight="false" outlineLevel="0" collapsed="false">
      <c r="A11580" s="471"/>
      <c r="B11580" s="796"/>
      <c r="C11580" s="614" t="s">
        <v>6007</v>
      </c>
      <c r="D11580" s="606" t="s">
        <v>6363</v>
      </c>
      <c r="E11580" s="614" t="n">
        <v>5</v>
      </c>
      <c r="F11580" s="617" t="n">
        <v>4771</v>
      </c>
      <c r="G11580" s="615" t="n">
        <v>24</v>
      </c>
      <c r="H11580" s="679"/>
    </row>
    <row r="11581" s="451" customFormat="true" ht="15" hidden="false" customHeight="false" outlineLevel="0" collapsed="false">
      <c r="A11581" s="471"/>
      <c r="B11581" s="796"/>
      <c r="C11581" s="614" t="s">
        <v>4270</v>
      </c>
      <c r="D11581" s="606" t="s">
        <v>4359</v>
      </c>
      <c r="E11581" s="614" t="n">
        <v>0</v>
      </c>
      <c r="F11581" s="617" t="n">
        <v>9866</v>
      </c>
      <c r="G11581" s="615" t="n">
        <f aca="false">F11581*E11581</f>
        <v>0</v>
      </c>
      <c r="H11581" s="679"/>
    </row>
    <row r="11582" s="451" customFormat="true" ht="15" hidden="false" customHeight="false" outlineLevel="0" collapsed="false">
      <c r="A11582" s="471"/>
      <c r="B11582" s="796"/>
      <c r="C11582" s="614" t="s">
        <v>4347</v>
      </c>
      <c r="D11582" s="606" t="s">
        <v>5788</v>
      </c>
      <c r="E11582" s="614" t="n">
        <v>2</v>
      </c>
      <c r="F11582" s="617" t="n">
        <v>1106</v>
      </c>
      <c r="G11582" s="615" t="n">
        <v>22</v>
      </c>
      <c r="H11582" s="679"/>
    </row>
    <row r="11583" s="451" customFormat="true" ht="30" hidden="false" customHeight="false" outlineLevel="0" collapsed="false">
      <c r="A11583" s="471"/>
      <c r="B11583" s="796"/>
      <c r="C11583" s="614" t="s">
        <v>6282</v>
      </c>
      <c r="D11583" s="606" t="s">
        <v>4348</v>
      </c>
      <c r="E11583" s="614" t="n">
        <v>1</v>
      </c>
      <c r="F11583" s="617" t="n">
        <v>1970</v>
      </c>
      <c r="G11583" s="615" t="n">
        <f aca="false">F11583*E11583</f>
        <v>1970</v>
      </c>
      <c r="H11583" s="679"/>
    </row>
    <row r="11584" s="451" customFormat="true" ht="30" hidden="false" customHeight="false" outlineLevel="0" collapsed="false">
      <c r="A11584" s="471"/>
      <c r="B11584" s="796"/>
      <c r="C11584" s="614" t="s">
        <v>6283</v>
      </c>
      <c r="D11584" s="606" t="s">
        <v>6416</v>
      </c>
      <c r="E11584" s="954" t="n">
        <v>1</v>
      </c>
      <c r="F11584" s="617" t="n">
        <v>460</v>
      </c>
      <c r="G11584" s="615" t="n">
        <f aca="false">F11584*E11584</f>
        <v>460</v>
      </c>
      <c r="H11584" s="679"/>
    </row>
    <row r="11585" s="451" customFormat="true" ht="15" hidden="false" customHeight="false" outlineLevel="0" collapsed="false">
      <c r="A11585" s="471"/>
      <c r="B11585" s="796"/>
      <c r="C11585" s="614" t="s">
        <v>4122</v>
      </c>
      <c r="D11585" s="606" t="s">
        <v>4359</v>
      </c>
      <c r="E11585" s="614" t="n">
        <v>0.02</v>
      </c>
      <c r="F11585" s="617" t="n">
        <v>800</v>
      </c>
      <c r="G11585" s="615" t="n">
        <f aca="false">F11585*E11585</f>
        <v>16</v>
      </c>
      <c r="H11585" s="679"/>
    </row>
    <row r="11586" s="451" customFormat="true" ht="15" hidden="false" customHeight="false" outlineLevel="0" collapsed="false">
      <c r="A11586" s="471"/>
      <c r="B11586" s="796"/>
      <c r="C11586" s="709"/>
      <c r="D11586" s="679"/>
      <c r="E11586" s="679"/>
      <c r="F11586" s="369"/>
      <c r="G11586" s="711" t="n">
        <f aca="false">SUM(G11579:G11585)</f>
        <v>2568.264</v>
      </c>
      <c r="H11586" s="679"/>
    </row>
    <row r="11587" s="451" customFormat="true" ht="15" hidden="false" customHeight="false" outlineLevel="0" collapsed="false">
      <c r="A11587" s="1103" t="s">
        <v>2315</v>
      </c>
      <c r="B11587" s="1101" t="s">
        <v>2316</v>
      </c>
      <c r="C11587" s="601"/>
      <c r="D11587" s="600"/>
      <c r="E11587" s="600"/>
      <c r="F11587" s="364"/>
      <c r="G11587" s="753"/>
      <c r="H11587" s="790"/>
    </row>
    <row r="11588" s="451" customFormat="true" ht="30" hidden="false" customHeight="false" outlineLevel="0" collapsed="false">
      <c r="A11588" s="709" t="s">
        <v>6442</v>
      </c>
      <c r="B11588" s="532" t="s">
        <v>6443</v>
      </c>
      <c r="C11588" s="709" t="s">
        <v>6444</v>
      </c>
      <c r="D11588" s="679" t="s">
        <v>6261</v>
      </c>
      <c r="E11588" s="709" t="n">
        <v>0.006</v>
      </c>
      <c r="F11588" s="681" t="n">
        <v>101890</v>
      </c>
      <c r="G11588" s="716" t="n">
        <f aca="false">F11588*E11588</f>
        <v>611.34</v>
      </c>
      <c r="H11588" s="679"/>
    </row>
    <row r="11589" s="451" customFormat="true" ht="15" hidden="false" customHeight="false" outlineLevel="0" collapsed="false">
      <c r="A11589" s="709"/>
      <c r="B11589" s="532"/>
      <c r="C11589" s="709" t="s">
        <v>6333</v>
      </c>
      <c r="D11589" s="679" t="s">
        <v>6261</v>
      </c>
      <c r="E11589" s="709" t="n">
        <v>0.002</v>
      </c>
      <c r="F11589" s="681" t="n">
        <v>44141</v>
      </c>
      <c r="G11589" s="716" t="n">
        <f aca="false">F11589*E11589</f>
        <v>88.282</v>
      </c>
      <c r="H11589" s="679"/>
    </row>
    <row r="11590" s="451" customFormat="true" ht="15" hidden="false" customHeight="false" outlineLevel="0" collapsed="false">
      <c r="A11590" s="709"/>
      <c r="B11590" s="532"/>
      <c r="C11590" s="709" t="s">
        <v>5852</v>
      </c>
      <c r="D11590" s="679" t="s">
        <v>6336</v>
      </c>
      <c r="E11590" s="709" t="n">
        <v>0.001</v>
      </c>
      <c r="F11590" s="681" t="n">
        <v>41249</v>
      </c>
      <c r="G11590" s="716" t="n">
        <f aca="false">F11590*E11590</f>
        <v>41.249</v>
      </c>
      <c r="H11590" s="679"/>
    </row>
    <row r="11591" s="451" customFormat="true" ht="15" hidden="false" customHeight="false" outlineLevel="0" collapsed="false">
      <c r="A11591" s="709"/>
      <c r="B11591" s="532"/>
      <c r="C11591" s="709" t="s">
        <v>6445</v>
      </c>
      <c r="D11591" s="679" t="s">
        <v>4133</v>
      </c>
      <c r="E11591" s="709" t="n">
        <v>0.001</v>
      </c>
      <c r="F11591" s="681" t="n">
        <v>22964</v>
      </c>
      <c r="G11591" s="716" t="n">
        <f aca="false">F11591*E11591</f>
        <v>22.964</v>
      </c>
      <c r="H11591" s="679"/>
    </row>
    <row r="11592" s="451" customFormat="true" ht="15" hidden="false" customHeight="false" outlineLevel="0" collapsed="false">
      <c r="A11592" s="709"/>
      <c r="B11592" s="532"/>
      <c r="C11592" s="709" t="s">
        <v>6446</v>
      </c>
      <c r="D11592" s="679" t="s">
        <v>6447</v>
      </c>
      <c r="E11592" s="709" t="n">
        <v>2</v>
      </c>
      <c r="F11592" s="681" t="n">
        <v>80</v>
      </c>
      <c r="G11592" s="615" t="n">
        <f aca="false">F11592*E11592</f>
        <v>160</v>
      </c>
      <c r="H11592" s="679"/>
    </row>
    <row r="11593" s="451" customFormat="true" ht="15" hidden="false" customHeight="false" outlineLevel="0" collapsed="false">
      <c r="A11593" s="709"/>
      <c r="B11593" s="532"/>
      <c r="C11593" s="709" t="s">
        <v>6448</v>
      </c>
      <c r="D11593" s="679" t="s">
        <v>6449</v>
      </c>
      <c r="E11593" s="709" t="n">
        <v>15</v>
      </c>
      <c r="F11593" s="681" t="n">
        <v>3776</v>
      </c>
      <c r="G11593" s="716" t="n">
        <v>566.4</v>
      </c>
      <c r="H11593" s="679"/>
    </row>
    <row r="11594" s="451" customFormat="true" ht="15" hidden="false" customHeight="false" outlineLevel="0" collapsed="false">
      <c r="A11594" s="709"/>
      <c r="B11594" s="532"/>
      <c r="C11594" s="709" t="s">
        <v>6450</v>
      </c>
      <c r="D11594" s="679" t="s">
        <v>6451</v>
      </c>
      <c r="E11594" s="709" t="n">
        <v>1</v>
      </c>
      <c r="F11594" s="681" t="n">
        <v>2841</v>
      </c>
      <c r="G11594" s="716" t="n">
        <v>189.4</v>
      </c>
      <c r="H11594" s="679"/>
    </row>
    <row r="11595" s="451" customFormat="true" ht="30" hidden="false" customHeight="false" outlineLevel="0" collapsed="false">
      <c r="A11595" s="709"/>
      <c r="B11595" s="532"/>
      <c r="C11595" s="709" t="s">
        <v>6422</v>
      </c>
      <c r="D11595" s="679" t="s">
        <v>6423</v>
      </c>
      <c r="E11595" s="709" t="n">
        <v>0.001</v>
      </c>
      <c r="F11595" s="681" t="n">
        <v>26415</v>
      </c>
      <c r="G11595" s="716" t="n">
        <f aca="false">F11595*E11595</f>
        <v>26.415</v>
      </c>
      <c r="H11595" s="679"/>
    </row>
    <row r="11596" s="451" customFormat="true" ht="30" hidden="false" customHeight="false" outlineLevel="0" collapsed="false">
      <c r="A11596" s="709"/>
      <c r="B11596" s="532"/>
      <c r="C11596" s="709" t="s">
        <v>6282</v>
      </c>
      <c r="D11596" s="679" t="s">
        <v>4348</v>
      </c>
      <c r="E11596" s="709" t="n">
        <v>2</v>
      </c>
      <c r="F11596" s="681" t="n">
        <v>450</v>
      </c>
      <c r="G11596" s="716" t="n">
        <f aca="false">F11596*E11596</f>
        <v>900</v>
      </c>
      <c r="H11596" s="679"/>
    </row>
    <row r="11597" s="451" customFormat="true" ht="15" hidden="false" customHeight="false" outlineLevel="0" collapsed="false">
      <c r="A11597" s="709"/>
      <c r="B11597" s="532"/>
      <c r="C11597" s="709" t="s">
        <v>4347</v>
      </c>
      <c r="D11597" s="679" t="s">
        <v>5788</v>
      </c>
      <c r="E11597" s="709" t="n">
        <v>2</v>
      </c>
      <c r="F11597" s="681" t="n">
        <v>1106</v>
      </c>
      <c r="G11597" s="716" t="n">
        <v>22</v>
      </c>
      <c r="H11597" s="679"/>
    </row>
    <row r="11598" s="451" customFormat="true" ht="15" hidden="false" customHeight="false" outlineLevel="0" collapsed="false">
      <c r="A11598" s="709"/>
      <c r="B11598" s="532"/>
      <c r="C11598" s="709" t="s">
        <v>4122</v>
      </c>
      <c r="D11598" s="679" t="s">
        <v>4359</v>
      </c>
      <c r="E11598" s="709" t="n">
        <v>0.2</v>
      </c>
      <c r="F11598" s="681" t="n">
        <v>800</v>
      </c>
      <c r="G11598" s="716" t="n">
        <f aca="false">F11598*E11598</f>
        <v>160</v>
      </c>
      <c r="H11598" s="679"/>
    </row>
    <row r="11599" s="451" customFormat="true" ht="15" hidden="false" customHeight="false" outlineLevel="0" collapsed="false">
      <c r="A11599" s="709"/>
      <c r="B11599" s="532"/>
      <c r="C11599" s="709" t="s">
        <v>4270</v>
      </c>
      <c r="D11599" s="679" t="s">
        <v>4359</v>
      </c>
      <c r="E11599" s="709" t="n">
        <v>0.2</v>
      </c>
      <c r="F11599" s="681" t="n">
        <v>9866</v>
      </c>
      <c r="G11599" s="716" t="n">
        <f aca="false">F11599*E11599</f>
        <v>1973.2</v>
      </c>
      <c r="H11599" s="679"/>
    </row>
    <row r="11600" s="451" customFormat="true" ht="30" hidden="false" customHeight="false" outlineLevel="0" collapsed="false">
      <c r="A11600" s="709"/>
      <c r="B11600" s="532"/>
      <c r="C11600" s="709" t="s">
        <v>6283</v>
      </c>
      <c r="D11600" s="679" t="s">
        <v>6416</v>
      </c>
      <c r="E11600" s="1092" t="n">
        <v>2</v>
      </c>
      <c r="F11600" s="681" t="n">
        <v>460</v>
      </c>
      <c r="G11600" s="716" t="n">
        <f aca="false">F11600*E11600</f>
        <v>920</v>
      </c>
      <c r="H11600" s="679"/>
    </row>
    <row r="11601" s="451" customFormat="true" ht="15" hidden="false" customHeight="false" outlineLevel="0" collapsed="false">
      <c r="A11601" s="709"/>
      <c r="B11601" s="532"/>
      <c r="C11601" s="1086" t="s">
        <v>6278</v>
      </c>
      <c r="D11601" s="1087" t="s">
        <v>6310</v>
      </c>
      <c r="E11601" s="1086" t="n">
        <v>5</v>
      </c>
      <c r="F11601" s="1088" t="n">
        <v>393</v>
      </c>
      <c r="G11601" s="716" t="n">
        <v>98.25</v>
      </c>
      <c r="H11601" s="679"/>
    </row>
    <row r="11602" s="451" customFormat="true" ht="15" hidden="false" customHeight="false" outlineLevel="0" collapsed="false">
      <c r="A11602" s="709"/>
      <c r="B11602" s="532"/>
      <c r="C11602" s="709" t="s">
        <v>6267</v>
      </c>
      <c r="D11602" s="679" t="s">
        <v>6268</v>
      </c>
      <c r="E11602" s="709" t="n">
        <v>5</v>
      </c>
      <c r="F11602" s="681" t="n">
        <v>602</v>
      </c>
      <c r="G11602" s="716" t="n">
        <v>15</v>
      </c>
      <c r="H11602" s="679"/>
    </row>
    <row r="11603" s="451" customFormat="true" ht="15" hidden="false" customHeight="false" outlineLevel="0" collapsed="false">
      <c r="A11603" s="709"/>
      <c r="B11603" s="532"/>
      <c r="C11603" s="1086" t="s">
        <v>6280</v>
      </c>
      <c r="D11603" s="1087" t="s">
        <v>6311</v>
      </c>
      <c r="E11603" s="1086" t="n">
        <v>1</v>
      </c>
      <c r="F11603" s="1088" t="n">
        <v>842</v>
      </c>
      <c r="G11603" s="716" t="n">
        <f aca="false">F11603*E11603</f>
        <v>842</v>
      </c>
      <c r="H11603" s="679"/>
    </row>
    <row r="11604" s="451" customFormat="true" ht="15" hidden="false" customHeight="false" outlineLevel="0" collapsed="false">
      <c r="A11604" s="709"/>
      <c r="B11604" s="532"/>
      <c r="C11604" s="709" t="s">
        <v>6284</v>
      </c>
      <c r="D11604" s="679" t="s">
        <v>6268</v>
      </c>
      <c r="E11604" s="709" t="n">
        <v>1</v>
      </c>
      <c r="F11604" s="681" t="n">
        <v>175</v>
      </c>
      <c r="G11604" s="716" t="n">
        <f aca="false">F11604*E11604</f>
        <v>175</v>
      </c>
      <c r="H11604" s="679"/>
    </row>
    <row r="11605" s="451" customFormat="true" ht="15" hidden="false" customHeight="false" outlineLevel="0" collapsed="false">
      <c r="A11605" s="709"/>
      <c r="B11605" s="532"/>
      <c r="C11605" s="709"/>
      <c r="D11605" s="679"/>
      <c r="E11605" s="679"/>
      <c r="F11605" s="369"/>
      <c r="G11605" s="711" t="n">
        <f aca="false">SUM(G11588:G11604)</f>
        <v>6811.5</v>
      </c>
      <c r="H11605" s="679"/>
    </row>
    <row r="11606" s="451" customFormat="true" ht="30" hidden="false" customHeight="false" outlineLevel="0" collapsed="false">
      <c r="A11606" s="709" t="s">
        <v>6452</v>
      </c>
      <c r="B11606" s="532" t="s">
        <v>3891</v>
      </c>
      <c r="C11606" s="709" t="s">
        <v>6444</v>
      </c>
      <c r="D11606" s="679" t="s">
        <v>6261</v>
      </c>
      <c r="E11606" s="709" t="n">
        <v>0.006</v>
      </c>
      <c r="F11606" s="681" t="n">
        <v>101890</v>
      </c>
      <c r="G11606" s="716" t="n">
        <f aca="false">F11606*E11606</f>
        <v>611.34</v>
      </c>
      <c r="H11606" s="679"/>
    </row>
    <row r="11607" s="451" customFormat="true" ht="30" hidden="false" customHeight="false" outlineLevel="0" collapsed="false">
      <c r="A11607" s="471"/>
      <c r="B11607" s="796"/>
      <c r="C11607" s="709" t="s">
        <v>6422</v>
      </c>
      <c r="D11607" s="679" t="s">
        <v>6423</v>
      </c>
      <c r="E11607" s="709" t="n">
        <v>0.001</v>
      </c>
      <c r="F11607" s="681" t="n">
        <v>26415</v>
      </c>
      <c r="G11607" s="716" t="n">
        <f aca="false">F11607*E11607</f>
        <v>26.415</v>
      </c>
      <c r="H11607" s="679"/>
    </row>
    <row r="11608" s="451" customFormat="true" ht="15" hidden="false" customHeight="false" outlineLevel="0" collapsed="false">
      <c r="A11608" s="471"/>
      <c r="B11608" s="796"/>
      <c r="C11608" s="709" t="s">
        <v>4122</v>
      </c>
      <c r="D11608" s="679" t="s">
        <v>4359</v>
      </c>
      <c r="E11608" s="709" t="n">
        <v>0.1</v>
      </c>
      <c r="F11608" s="681" t="n">
        <v>800</v>
      </c>
      <c r="G11608" s="716" t="n">
        <f aca="false">F11608*E11608</f>
        <v>80</v>
      </c>
      <c r="H11608" s="679"/>
    </row>
    <row r="11609" s="451" customFormat="true" ht="15" hidden="false" customHeight="false" outlineLevel="0" collapsed="false">
      <c r="A11609" s="471"/>
      <c r="B11609" s="796"/>
      <c r="C11609" s="709" t="s">
        <v>4347</v>
      </c>
      <c r="D11609" s="679" t="s">
        <v>5788</v>
      </c>
      <c r="E11609" s="709" t="n">
        <v>2</v>
      </c>
      <c r="F11609" s="681" t="n">
        <v>1106</v>
      </c>
      <c r="G11609" s="716" t="n">
        <v>22</v>
      </c>
      <c r="H11609" s="679"/>
    </row>
    <row r="11610" s="451" customFormat="true" ht="30" hidden="false" customHeight="false" outlineLevel="0" collapsed="false">
      <c r="A11610" s="471"/>
      <c r="B11610" s="796"/>
      <c r="C11610" s="614" t="s">
        <v>6282</v>
      </c>
      <c r="D11610" s="606" t="s">
        <v>4348</v>
      </c>
      <c r="E11610" s="614" t="n">
        <v>1</v>
      </c>
      <c r="F11610" s="617" t="n">
        <v>11500</v>
      </c>
      <c r="G11610" s="615" t="n">
        <v>11500</v>
      </c>
      <c r="H11610" s="679"/>
    </row>
    <row r="11611" s="451" customFormat="true" ht="15" hidden="false" customHeight="false" outlineLevel="0" collapsed="false">
      <c r="A11611" s="471"/>
      <c r="B11611" s="796"/>
      <c r="C11611" s="614" t="s">
        <v>4270</v>
      </c>
      <c r="D11611" s="606" t="s">
        <v>4359</v>
      </c>
      <c r="E11611" s="614" t="n">
        <v>0.2</v>
      </c>
      <c r="F11611" s="617" t="n">
        <v>9866</v>
      </c>
      <c r="G11611" s="615" t="n">
        <f aca="false">F11611*E11611</f>
        <v>1973.2</v>
      </c>
      <c r="H11611" s="679"/>
    </row>
    <row r="11612" s="451" customFormat="true" ht="15" hidden="false" customHeight="false" outlineLevel="0" collapsed="false">
      <c r="A11612" s="471"/>
      <c r="B11612" s="796"/>
      <c r="C11612" s="614" t="s">
        <v>6007</v>
      </c>
      <c r="D11612" s="606" t="s">
        <v>6363</v>
      </c>
      <c r="E11612" s="614" t="n">
        <v>20</v>
      </c>
      <c r="F11612" s="617" t="n">
        <v>4771</v>
      </c>
      <c r="G11612" s="615" t="n">
        <v>95</v>
      </c>
      <c r="H11612" s="679"/>
    </row>
    <row r="11613" s="451" customFormat="true" ht="15" hidden="false" customHeight="false" outlineLevel="0" collapsed="false">
      <c r="A11613" s="471"/>
      <c r="B11613" s="796"/>
      <c r="C11613" s="614" t="s">
        <v>6355</v>
      </c>
      <c r="D11613" s="606" t="s">
        <v>4348</v>
      </c>
      <c r="E11613" s="614" t="n">
        <v>3</v>
      </c>
      <c r="F11613" s="617" t="n">
        <v>514</v>
      </c>
      <c r="G11613" s="615" t="n">
        <f aca="false">F11613*E11613</f>
        <v>1542</v>
      </c>
      <c r="H11613" s="679"/>
    </row>
    <row r="11614" s="451" customFormat="true" ht="30" hidden="false" customHeight="false" outlineLevel="0" collapsed="false">
      <c r="A11614" s="471"/>
      <c r="B11614" s="796"/>
      <c r="C11614" s="614" t="s">
        <v>6283</v>
      </c>
      <c r="D11614" s="606" t="s">
        <v>6416</v>
      </c>
      <c r="E11614" s="954" t="n">
        <v>2</v>
      </c>
      <c r="F11614" s="617" t="n">
        <v>460</v>
      </c>
      <c r="G11614" s="615" t="n">
        <f aca="false">F11614*E11614</f>
        <v>920</v>
      </c>
      <c r="H11614" s="679"/>
    </row>
    <row r="11615" s="451" customFormat="true" ht="15" hidden="false" customHeight="false" outlineLevel="0" collapsed="false">
      <c r="A11615" s="471"/>
      <c r="B11615" s="796"/>
      <c r="C11615" s="1096" t="s">
        <v>6278</v>
      </c>
      <c r="D11615" s="1097" t="s">
        <v>6310</v>
      </c>
      <c r="E11615" s="1096" t="n">
        <v>5</v>
      </c>
      <c r="F11615" s="1098" t="n">
        <v>393</v>
      </c>
      <c r="G11615" s="615" t="n">
        <v>98.25</v>
      </c>
      <c r="H11615" s="679"/>
    </row>
    <row r="11616" s="451" customFormat="true" ht="45" hidden="false" customHeight="false" outlineLevel="0" collapsed="false">
      <c r="A11616" s="471"/>
      <c r="B11616" s="796"/>
      <c r="C11616" s="614" t="s">
        <v>6453</v>
      </c>
      <c r="D11616" s="606" t="s">
        <v>6268</v>
      </c>
      <c r="E11616" s="614" t="n">
        <v>6</v>
      </c>
      <c r="F11616" s="617" t="n">
        <v>602</v>
      </c>
      <c r="G11616" s="615" t="n">
        <v>18.06</v>
      </c>
      <c r="H11616" s="679"/>
    </row>
    <row r="11617" s="451" customFormat="true" ht="15" hidden="false" customHeight="false" outlineLevel="0" collapsed="false">
      <c r="A11617" s="471"/>
      <c r="B11617" s="796"/>
      <c r="C11617" s="1086" t="s">
        <v>6280</v>
      </c>
      <c r="D11617" s="1087" t="s">
        <v>6311</v>
      </c>
      <c r="E11617" s="1086" t="n">
        <v>1</v>
      </c>
      <c r="F11617" s="1088" t="n">
        <v>842</v>
      </c>
      <c r="G11617" s="716" t="n">
        <f aca="false">F11617*E11617</f>
        <v>842</v>
      </c>
      <c r="H11617" s="679"/>
    </row>
    <row r="11618" s="451" customFormat="true" ht="15" hidden="false" customHeight="false" outlineLevel="0" collapsed="false">
      <c r="A11618" s="471"/>
      <c r="B11618" s="796"/>
      <c r="C11618" s="709" t="s">
        <v>6284</v>
      </c>
      <c r="D11618" s="679" t="s">
        <v>6268</v>
      </c>
      <c r="E11618" s="709" t="n">
        <v>1</v>
      </c>
      <c r="F11618" s="681" t="n">
        <v>175</v>
      </c>
      <c r="G11618" s="716" t="n">
        <f aca="false">F11618*E11618</f>
        <v>175</v>
      </c>
      <c r="H11618" s="679"/>
    </row>
    <row r="11619" s="451" customFormat="true" ht="15" hidden="false" customHeight="false" outlineLevel="0" collapsed="false">
      <c r="A11619" s="471"/>
      <c r="B11619" s="796"/>
      <c r="C11619" s="709"/>
      <c r="D11619" s="679"/>
      <c r="E11619" s="679"/>
      <c r="F11619" s="369"/>
      <c r="G11619" s="711" t="n">
        <f aca="false">SUM(G11606:G11618)</f>
        <v>17903.265</v>
      </c>
      <c r="H11619" s="679"/>
    </row>
    <row r="11620" s="451" customFormat="true" ht="15" hidden="false" customHeight="true" outlineLevel="0" collapsed="false">
      <c r="A11620" s="709" t="s">
        <v>6454</v>
      </c>
      <c r="B11620" s="532" t="s">
        <v>6455</v>
      </c>
      <c r="C11620" s="679"/>
      <c r="D11620" s="679"/>
      <c r="E11620" s="679"/>
      <c r="F11620" s="369"/>
      <c r="G11620" s="711"/>
      <c r="H11620" s="679"/>
    </row>
    <row r="11621" s="451" customFormat="true" ht="30" hidden="false" customHeight="false" outlineLevel="0" collapsed="false">
      <c r="A11621" s="471"/>
      <c r="B11621" s="796"/>
      <c r="C11621" s="709" t="s">
        <v>6440</v>
      </c>
      <c r="D11621" s="679" t="s">
        <v>6456</v>
      </c>
      <c r="E11621" s="709" t="n">
        <v>0.003</v>
      </c>
      <c r="F11621" s="681" t="n">
        <v>45207</v>
      </c>
      <c r="G11621" s="716" t="n">
        <f aca="false">F11621*E11621</f>
        <v>135.621</v>
      </c>
      <c r="H11621" s="679"/>
    </row>
    <row r="11622" s="451" customFormat="true" ht="15" hidden="false" customHeight="false" outlineLevel="0" collapsed="false">
      <c r="A11622" s="471"/>
      <c r="B11622" s="796"/>
      <c r="C11622" s="614" t="s">
        <v>6007</v>
      </c>
      <c r="D11622" s="606" t="s">
        <v>6363</v>
      </c>
      <c r="E11622" s="614" t="n">
        <v>20</v>
      </c>
      <c r="F11622" s="617" t="n">
        <v>4771</v>
      </c>
      <c r="G11622" s="615" t="n">
        <v>95</v>
      </c>
      <c r="H11622" s="679"/>
    </row>
    <row r="11623" s="451" customFormat="true" ht="15" hidden="false" customHeight="false" outlineLevel="0" collapsed="false">
      <c r="A11623" s="471"/>
      <c r="B11623" s="796"/>
      <c r="C11623" s="614" t="s">
        <v>4270</v>
      </c>
      <c r="D11623" s="606" t="s">
        <v>4359</v>
      </c>
      <c r="E11623" s="614" t="n">
        <v>0</v>
      </c>
      <c r="F11623" s="617" t="n">
        <v>9866</v>
      </c>
      <c r="G11623" s="615" t="n">
        <f aca="false">F11623*E11623</f>
        <v>0</v>
      </c>
      <c r="H11623" s="679"/>
    </row>
    <row r="11624" s="451" customFormat="true" ht="15" hidden="false" customHeight="false" outlineLevel="0" collapsed="false">
      <c r="A11624" s="471"/>
      <c r="B11624" s="796"/>
      <c r="C11624" s="614" t="s">
        <v>4347</v>
      </c>
      <c r="D11624" s="606" t="s">
        <v>5788</v>
      </c>
      <c r="E11624" s="614" t="n">
        <v>1</v>
      </c>
      <c r="F11624" s="617" t="n">
        <v>1106</v>
      </c>
      <c r="G11624" s="615" t="n">
        <v>11</v>
      </c>
      <c r="H11624" s="679"/>
    </row>
    <row r="11625" s="451" customFormat="true" ht="30" hidden="false" customHeight="false" outlineLevel="0" collapsed="false">
      <c r="A11625" s="471"/>
      <c r="B11625" s="796"/>
      <c r="C11625" s="614" t="s">
        <v>6282</v>
      </c>
      <c r="D11625" s="606" t="s">
        <v>4348</v>
      </c>
      <c r="E11625" s="614" t="n">
        <v>1</v>
      </c>
      <c r="F11625" s="617" t="n">
        <v>450</v>
      </c>
      <c r="G11625" s="615" t="n">
        <f aca="false">F11625*E11625</f>
        <v>450</v>
      </c>
      <c r="H11625" s="679"/>
    </row>
    <row r="11626" s="451" customFormat="true" ht="15" hidden="false" customHeight="false" outlineLevel="0" collapsed="false">
      <c r="A11626" s="471"/>
      <c r="B11626" s="796"/>
      <c r="C11626" s="614" t="s">
        <v>4122</v>
      </c>
      <c r="D11626" s="606" t="s">
        <v>4359</v>
      </c>
      <c r="E11626" s="614" t="n">
        <v>0.1</v>
      </c>
      <c r="F11626" s="617" t="n">
        <v>800</v>
      </c>
      <c r="G11626" s="615" t="n">
        <f aca="false">F11626*E11626</f>
        <v>80</v>
      </c>
      <c r="H11626" s="679"/>
    </row>
    <row r="11627" s="451" customFormat="true" ht="30" hidden="false" customHeight="false" outlineLevel="0" collapsed="false">
      <c r="A11627" s="471"/>
      <c r="B11627" s="796"/>
      <c r="C11627" s="614" t="s">
        <v>6283</v>
      </c>
      <c r="D11627" s="606" t="s">
        <v>6416</v>
      </c>
      <c r="E11627" s="954" t="n">
        <v>1</v>
      </c>
      <c r="F11627" s="617" t="n">
        <v>460</v>
      </c>
      <c r="G11627" s="615" t="n">
        <f aca="false">F11627*E11627</f>
        <v>460</v>
      </c>
      <c r="H11627" s="679"/>
    </row>
    <row r="11628" s="451" customFormat="true" ht="15" hidden="false" customHeight="false" outlineLevel="0" collapsed="false">
      <c r="A11628" s="471"/>
      <c r="B11628" s="796"/>
      <c r="C11628" s="709"/>
      <c r="D11628" s="679"/>
      <c r="E11628" s="679"/>
      <c r="F11628" s="369"/>
      <c r="G11628" s="711" t="n">
        <f aca="false">SUM(G11621:G11627)</f>
        <v>1231.621</v>
      </c>
      <c r="H11628" s="679"/>
    </row>
    <row r="11629" s="451" customFormat="true" ht="30" hidden="false" customHeight="false" outlineLevel="0" collapsed="false">
      <c r="A11629" s="709" t="s">
        <v>6457</v>
      </c>
      <c r="B11629" s="532" t="s">
        <v>6458</v>
      </c>
      <c r="C11629" s="709"/>
      <c r="D11629" s="679"/>
      <c r="E11629" s="679"/>
      <c r="F11629" s="369"/>
      <c r="G11629" s="711"/>
      <c r="H11629" s="679"/>
    </row>
    <row r="11630" s="451" customFormat="true" ht="30" hidden="false" customHeight="false" outlineLevel="0" collapsed="false">
      <c r="A11630" s="471"/>
      <c r="B11630" s="796"/>
      <c r="C11630" s="614" t="s">
        <v>6459</v>
      </c>
      <c r="D11630" s="606" t="s">
        <v>6441</v>
      </c>
      <c r="E11630" s="614" t="n">
        <v>0.003</v>
      </c>
      <c r="F11630" s="617" t="n">
        <v>45207</v>
      </c>
      <c r="G11630" s="615" t="n">
        <f aca="false">F11630*E11630</f>
        <v>135.621</v>
      </c>
      <c r="H11630" s="679"/>
    </row>
    <row r="11631" s="451" customFormat="true" ht="15" hidden="false" customHeight="false" outlineLevel="0" collapsed="false">
      <c r="A11631" s="471"/>
      <c r="B11631" s="796"/>
      <c r="C11631" s="614" t="s">
        <v>4347</v>
      </c>
      <c r="D11631" s="606" t="s">
        <v>5788</v>
      </c>
      <c r="E11631" s="614" t="n">
        <v>1</v>
      </c>
      <c r="F11631" s="617" t="n">
        <v>1106</v>
      </c>
      <c r="G11631" s="615" t="n">
        <v>11</v>
      </c>
      <c r="H11631" s="679"/>
    </row>
    <row r="11632" s="451" customFormat="true" ht="30" hidden="false" customHeight="false" outlineLevel="0" collapsed="false">
      <c r="A11632" s="471"/>
      <c r="B11632" s="796"/>
      <c r="C11632" s="614" t="s">
        <v>6282</v>
      </c>
      <c r="D11632" s="606" t="s">
        <v>4348</v>
      </c>
      <c r="E11632" s="614" t="n">
        <v>1</v>
      </c>
      <c r="F11632" s="617" t="n">
        <v>1970</v>
      </c>
      <c r="G11632" s="615" t="n">
        <f aca="false">F11632*E11632</f>
        <v>1970</v>
      </c>
      <c r="H11632" s="679"/>
    </row>
    <row r="11633" s="451" customFormat="true" ht="15" hidden="false" customHeight="false" outlineLevel="0" collapsed="false">
      <c r="A11633" s="471"/>
      <c r="B11633" s="796"/>
      <c r="C11633" s="614" t="s">
        <v>4122</v>
      </c>
      <c r="D11633" s="606" t="s">
        <v>4359</v>
      </c>
      <c r="E11633" s="614" t="n">
        <v>0.1</v>
      </c>
      <c r="F11633" s="617" t="n">
        <v>800</v>
      </c>
      <c r="G11633" s="615" t="n">
        <f aca="false">F11633*E11633</f>
        <v>80</v>
      </c>
      <c r="H11633" s="679"/>
    </row>
    <row r="11634" s="451" customFormat="true" ht="15" hidden="false" customHeight="false" outlineLevel="0" collapsed="false">
      <c r="A11634" s="471"/>
      <c r="B11634" s="796"/>
      <c r="C11634" s="614" t="s">
        <v>6007</v>
      </c>
      <c r="D11634" s="606" t="s">
        <v>6363</v>
      </c>
      <c r="E11634" s="614" t="n">
        <v>20</v>
      </c>
      <c r="F11634" s="617" t="n">
        <v>4771</v>
      </c>
      <c r="G11634" s="615" t="n">
        <v>95</v>
      </c>
      <c r="H11634" s="679"/>
    </row>
    <row r="11635" s="451" customFormat="true" ht="30" hidden="false" customHeight="false" outlineLevel="0" collapsed="false">
      <c r="A11635" s="471"/>
      <c r="B11635" s="796"/>
      <c r="C11635" s="614" t="s">
        <v>6283</v>
      </c>
      <c r="D11635" s="606" t="s">
        <v>6416</v>
      </c>
      <c r="E11635" s="954" t="n">
        <v>1</v>
      </c>
      <c r="F11635" s="617" t="n">
        <v>460</v>
      </c>
      <c r="G11635" s="615" t="n">
        <f aca="false">F11635*E11635</f>
        <v>460</v>
      </c>
      <c r="H11635" s="679"/>
    </row>
    <row r="11636" s="451" customFormat="true" ht="15" hidden="false" customHeight="false" outlineLevel="0" collapsed="false">
      <c r="A11636" s="471"/>
      <c r="B11636" s="796"/>
      <c r="C11636" s="614"/>
      <c r="D11636" s="606"/>
      <c r="E11636" s="606"/>
      <c r="F11636" s="361"/>
      <c r="G11636" s="613" t="n">
        <f aca="false">SUM(G11630:G11635)</f>
        <v>2751.621</v>
      </c>
      <c r="H11636" s="679"/>
    </row>
    <row r="11637" s="451" customFormat="true" ht="15" hidden="false" customHeight="false" outlineLevel="0" collapsed="false">
      <c r="A11637" s="709" t="s">
        <v>6460</v>
      </c>
      <c r="B11637" s="532" t="s">
        <v>6461</v>
      </c>
      <c r="C11637" s="614"/>
      <c r="D11637" s="606"/>
      <c r="E11637" s="606"/>
      <c r="F11637" s="361"/>
      <c r="G11637" s="613"/>
      <c r="H11637" s="679"/>
    </row>
    <row r="11638" s="451" customFormat="true" ht="15" hidden="false" customHeight="false" outlineLevel="0" collapsed="false">
      <c r="A11638" s="709"/>
      <c r="B11638" s="532"/>
      <c r="C11638" s="614" t="s">
        <v>6462</v>
      </c>
      <c r="D11638" s="606" t="s">
        <v>6463</v>
      </c>
      <c r="E11638" s="614" t="n">
        <v>1</v>
      </c>
      <c r="F11638" s="617" t="n">
        <v>39514</v>
      </c>
      <c r="G11638" s="615" t="n">
        <f aca="false">F11638/90</f>
        <v>439.044444444444</v>
      </c>
      <c r="H11638" s="679"/>
    </row>
    <row r="11639" s="451" customFormat="true" ht="15" hidden="false" customHeight="false" outlineLevel="0" collapsed="false">
      <c r="A11639" s="709"/>
      <c r="B11639" s="532"/>
      <c r="C11639" s="614" t="s">
        <v>4122</v>
      </c>
      <c r="D11639" s="606" t="s">
        <v>4359</v>
      </c>
      <c r="E11639" s="614" t="n">
        <v>0.1</v>
      </c>
      <c r="F11639" s="617" t="n">
        <v>800</v>
      </c>
      <c r="G11639" s="615" t="n">
        <f aca="false">F11639*E11639</f>
        <v>80</v>
      </c>
      <c r="H11639" s="679"/>
    </row>
    <row r="11640" s="451" customFormat="true" ht="15" hidden="false" customHeight="false" outlineLevel="0" collapsed="false">
      <c r="A11640" s="709"/>
      <c r="B11640" s="532"/>
      <c r="C11640" s="614" t="s">
        <v>6007</v>
      </c>
      <c r="D11640" s="606" t="s">
        <v>6363</v>
      </c>
      <c r="E11640" s="614" t="n">
        <v>20</v>
      </c>
      <c r="F11640" s="617" t="n">
        <v>4771</v>
      </c>
      <c r="G11640" s="615" t="n">
        <v>95</v>
      </c>
      <c r="H11640" s="679"/>
    </row>
    <row r="11641" s="451" customFormat="true" ht="30" hidden="false" customHeight="false" outlineLevel="0" collapsed="false">
      <c r="A11641" s="709"/>
      <c r="B11641" s="532"/>
      <c r="C11641" s="614" t="s">
        <v>6394</v>
      </c>
      <c r="D11641" s="606" t="s">
        <v>6464</v>
      </c>
      <c r="E11641" s="614" t="n">
        <v>2</v>
      </c>
      <c r="F11641" s="617" t="n">
        <v>636</v>
      </c>
      <c r="G11641" s="615" t="n">
        <v>3</v>
      </c>
      <c r="H11641" s="679"/>
    </row>
    <row r="11642" s="451" customFormat="true" ht="15" hidden="false" customHeight="false" outlineLevel="0" collapsed="false">
      <c r="A11642" s="709"/>
      <c r="B11642" s="532"/>
      <c r="C11642" s="614" t="s">
        <v>4347</v>
      </c>
      <c r="D11642" s="606" t="s">
        <v>5788</v>
      </c>
      <c r="E11642" s="614" t="n">
        <v>1</v>
      </c>
      <c r="F11642" s="617" t="n">
        <v>1106</v>
      </c>
      <c r="G11642" s="615" t="n">
        <v>11</v>
      </c>
      <c r="H11642" s="679"/>
    </row>
    <row r="11643" s="451" customFormat="true" ht="30" hidden="false" customHeight="false" outlineLevel="0" collapsed="false">
      <c r="A11643" s="709"/>
      <c r="B11643" s="532"/>
      <c r="C11643" s="709" t="s">
        <v>6282</v>
      </c>
      <c r="D11643" s="679" t="s">
        <v>4348</v>
      </c>
      <c r="E11643" s="709" t="n">
        <v>1</v>
      </c>
      <c r="F11643" s="681" t="n">
        <v>1970</v>
      </c>
      <c r="G11643" s="716" t="n">
        <f aca="false">F11643*E11643</f>
        <v>1970</v>
      </c>
      <c r="H11643" s="679"/>
    </row>
    <row r="11644" s="451" customFormat="true" ht="30" hidden="false" customHeight="false" outlineLevel="0" collapsed="false">
      <c r="A11644" s="471"/>
      <c r="B11644" s="796"/>
      <c r="C11644" s="709" t="s">
        <v>6283</v>
      </c>
      <c r="D11644" s="679" t="s">
        <v>6416</v>
      </c>
      <c r="E11644" s="1092" t="n">
        <v>1</v>
      </c>
      <c r="F11644" s="681" t="n">
        <v>460</v>
      </c>
      <c r="G11644" s="716" t="n">
        <f aca="false">F11644*E11644</f>
        <v>460</v>
      </c>
      <c r="H11644" s="679"/>
    </row>
    <row r="11645" s="451" customFormat="true" ht="15" hidden="false" customHeight="false" outlineLevel="0" collapsed="false">
      <c r="A11645" s="471"/>
      <c r="B11645" s="796"/>
      <c r="C11645" s="709"/>
      <c r="D11645" s="679"/>
      <c r="E11645" s="679"/>
      <c r="F11645" s="369"/>
      <c r="G11645" s="711" t="n">
        <f aca="false">SUM(G11638:G11644)</f>
        <v>3058.04444444444</v>
      </c>
      <c r="H11645" s="679"/>
    </row>
    <row r="11646" s="451" customFormat="true" ht="30" hidden="false" customHeight="false" outlineLevel="0" collapsed="false">
      <c r="A11646" s="709" t="s">
        <v>6465</v>
      </c>
      <c r="B11646" s="532" t="s">
        <v>3895</v>
      </c>
      <c r="C11646" s="709"/>
      <c r="D11646" s="679"/>
      <c r="E11646" s="679"/>
      <c r="F11646" s="369"/>
      <c r="G11646" s="711"/>
      <c r="H11646" s="679"/>
    </row>
    <row r="11647" s="451" customFormat="true" ht="15" hidden="false" customHeight="false" outlineLevel="0" collapsed="false">
      <c r="A11647" s="709"/>
      <c r="B11647" s="532"/>
      <c r="C11647" s="614" t="s">
        <v>6466</v>
      </c>
      <c r="D11647" s="606" t="s">
        <v>6467</v>
      </c>
      <c r="E11647" s="614" t="n">
        <v>1</v>
      </c>
      <c r="F11647" s="617" t="n">
        <v>365120</v>
      </c>
      <c r="G11647" s="615" t="n">
        <v>3651.2</v>
      </c>
      <c r="H11647" s="679"/>
    </row>
    <row r="11648" s="451" customFormat="true" ht="15" hidden="false" customHeight="false" outlineLevel="0" collapsed="false">
      <c r="A11648" s="709"/>
      <c r="B11648" s="532"/>
      <c r="C11648" s="614" t="s">
        <v>6007</v>
      </c>
      <c r="D11648" s="606" t="s">
        <v>6363</v>
      </c>
      <c r="E11648" s="614" t="n">
        <v>20</v>
      </c>
      <c r="F11648" s="617" t="n">
        <v>4771</v>
      </c>
      <c r="G11648" s="615" t="n">
        <v>95</v>
      </c>
      <c r="H11648" s="679"/>
    </row>
    <row r="11649" s="451" customFormat="true" ht="30" hidden="false" customHeight="false" outlineLevel="0" collapsed="false">
      <c r="A11649" s="709"/>
      <c r="B11649" s="532"/>
      <c r="C11649" s="614" t="s">
        <v>6364</v>
      </c>
      <c r="D11649" s="606" t="s">
        <v>6365</v>
      </c>
      <c r="E11649" s="614" t="n">
        <v>3</v>
      </c>
      <c r="F11649" s="617" t="n">
        <v>353301</v>
      </c>
      <c r="G11649" s="615" t="n">
        <v>1059</v>
      </c>
      <c r="H11649" s="679"/>
    </row>
    <row r="11650" s="451" customFormat="true" ht="30" hidden="false" customHeight="false" outlineLevel="0" collapsed="false">
      <c r="A11650" s="709"/>
      <c r="B11650" s="532"/>
      <c r="C11650" s="614" t="s">
        <v>6414</v>
      </c>
      <c r="D11650" s="606" t="s">
        <v>6415</v>
      </c>
      <c r="E11650" s="614" t="n">
        <v>5</v>
      </c>
      <c r="F11650" s="617" t="n">
        <v>636</v>
      </c>
      <c r="G11650" s="615" t="n">
        <v>7</v>
      </c>
      <c r="H11650" s="679"/>
    </row>
    <row r="11651" s="451" customFormat="true" ht="15" hidden="false" customHeight="false" outlineLevel="0" collapsed="false">
      <c r="A11651" s="709"/>
      <c r="B11651" s="532"/>
      <c r="C11651" s="614" t="s">
        <v>4122</v>
      </c>
      <c r="D11651" s="606" t="s">
        <v>4359</v>
      </c>
      <c r="E11651" s="614" t="n">
        <v>0.1</v>
      </c>
      <c r="F11651" s="617" t="n">
        <v>800</v>
      </c>
      <c r="G11651" s="615" t="n">
        <f aca="false">F11651*E11651</f>
        <v>80</v>
      </c>
      <c r="H11651" s="679"/>
    </row>
    <row r="11652" s="451" customFormat="true" ht="30" hidden="false" customHeight="false" outlineLevel="0" collapsed="false">
      <c r="A11652" s="709"/>
      <c r="B11652" s="532"/>
      <c r="C11652" s="614" t="s">
        <v>6282</v>
      </c>
      <c r="D11652" s="606" t="s">
        <v>4348</v>
      </c>
      <c r="E11652" s="614" t="n">
        <v>1</v>
      </c>
      <c r="F11652" s="617" t="n">
        <v>450</v>
      </c>
      <c r="G11652" s="615" t="n">
        <f aca="false">F11652*E11652</f>
        <v>450</v>
      </c>
      <c r="H11652" s="679"/>
    </row>
    <row r="11653" s="451" customFormat="true" ht="15" hidden="false" customHeight="false" outlineLevel="0" collapsed="false">
      <c r="A11653" s="709"/>
      <c r="B11653" s="532"/>
      <c r="C11653" s="614" t="s">
        <v>6366</v>
      </c>
      <c r="D11653" s="606" t="s">
        <v>5788</v>
      </c>
      <c r="E11653" s="614" t="n">
        <v>2</v>
      </c>
      <c r="F11653" s="617" t="n">
        <v>1106</v>
      </c>
      <c r="G11653" s="615" t="n">
        <v>22</v>
      </c>
      <c r="H11653" s="679"/>
    </row>
    <row r="11654" s="451" customFormat="true" ht="30" hidden="false" customHeight="false" outlineLevel="0" collapsed="false">
      <c r="A11654" s="709"/>
      <c r="B11654" s="532"/>
      <c r="C11654" s="614" t="s">
        <v>6283</v>
      </c>
      <c r="D11654" s="606" t="s">
        <v>6416</v>
      </c>
      <c r="E11654" s="954" t="n">
        <v>1</v>
      </c>
      <c r="F11654" s="617" t="n">
        <v>460</v>
      </c>
      <c r="G11654" s="615" t="n">
        <f aca="false">F11654*E11654</f>
        <v>460</v>
      </c>
      <c r="H11654" s="679"/>
    </row>
    <row r="11655" s="451" customFormat="true" ht="15" hidden="false" customHeight="false" outlineLevel="0" collapsed="false">
      <c r="A11655" s="709"/>
      <c r="B11655" s="532"/>
      <c r="C11655" s="709"/>
      <c r="D11655" s="679"/>
      <c r="E11655" s="679"/>
      <c r="F11655" s="369"/>
      <c r="G11655" s="711" t="n">
        <f aca="false">SUM(G11647:G11654)</f>
        <v>5824.2</v>
      </c>
      <c r="H11655" s="679"/>
    </row>
    <row r="11656" s="451" customFormat="true" ht="30" hidden="false" customHeight="false" outlineLevel="0" collapsed="false">
      <c r="A11656" s="709" t="s">
        <v>6468</v>
      </c>
      <c r="B11656" s="532" t="s">
        <v>6469</v>
      </c>
      <c r="C11656" s="709"/>
      <c r="D11656" s="679"/>
      <c r="E11656" s="679"/>
      <c r="F11656" s="369"/>
      <c r="G11656" s="711"/>
      <c r="H11656" s="679"/>
    </row>
    <row r="11657" s="451" customFormat="true" ht="30" hidden="false" customHeight="false" outlineLevel="0" collapsed="false">
      <c r="A11657" s="709"/>
      <c r="B11657" s="532"/>
      <c r="C11657" s="614" t="s">
        <v>6282</v>
      </c>
      <c r="D11657" s="606" t="s">
        <v>4348</v>
      </c>
      <c r="E11657" s="614" t="n">
        <v>1</v>
      </c>
      <c r="F11657" s="617" t="n">
        <v>1720</v>
      </c>
      <c r="G11657" s="615" t="n">
        <f aca="false">F11657*E11657</f>
        <v>1720</v>
      </c>
      <c r="H11657" s="679"/>
    </row>
    <row r="11658" s="451" customFormat="true" ht="75" hidden="false" customHeight="false" outlineLevel="0" collapsed="false">
      <c r="A11658" s="709"/>
      <c r="B11658" s="532"/>
      <c r="C11658" s="614" t="s">
        <v>6470</v>
      </c>
      <c r="D11658" s="606" t="s">
        <v>6471</v>
      </c>
      <c r="E11658" s="614" t="n">
        <v>0.01</v>
      </c>
      <c r="F11658" s="617" t="n">
        <v>64553</v>
      </c>
      <c r="G11658" s="615" t="n">
        <f aca="false">F11658*E11658</f>
        <v>645.53</v>
      </c>
      <c r="H11658" s="679"/>
    </row>
    <row r="11659" s="451" customFormat="true" ht="15" hidden="false" customHeight="false" outlineLevel="0" collapsed="false">
      <c r="A11659" s="709"/>
      <c r="B11659" s="532"/>
      <c r="C11659" s="614" t="s">
        <v>6007</v>
      </c>
      <c r="D11659" s="606" t="s">
        <v>6363</v>
      </c>
      <c r="E11659" s="614" t="n">
        <v>20</v>
      </c>
      <c r="F11659" s="617" t="n">
        <v>4771</v>
      </c>
      <c r="G11659" s="615" t="n">
        <v>95</v>
      </c>
      <c r="H11659" s="679"/>
    </row>
    <row r="11660" s="451" customFormat="true" ht="15" hidden="false" customHeight="false" outlineLevel="0" collapsed="false">
      <c r="A11660" s="709"/>
      <c r="B11660" s="532"/>
      <c r="C11660" s="614" t="s">
        <v>4347</v>
      </c>
      <c r="D11660" s="606" t="s">
        <v>5788</v>
      </c>
      <c r="E11660" s="614" t="n">
        <v>2</v>
      </c>
      <c r="F11660" s="617" t="n">
        <v>1106</v>
      </c>
      <c r="G11660" s="615" t="n">
        <v>22</v>
      </c>
      <c r="H11660" s="679"/>
    </row>
    <row r="11661" s="451" customFormat="true" ht="15" hidden="false" customHeight="false" outlineLevel="0" collapsed="false">
      <c r="A11661" s="471"/>
      <c r="B11661" s="796"/>
      <c r="C11661" s="614" t="s">
        <v>4122</v>
      </c>
      <c r="D11661" s="606" t="s">
        <v>4359</v>
      </c>
      <c r="E11661" s="614" t="n">
        <v>0.1</v>
      </c>
      <c r="F11661" s="617" t="n">
        <v>800</v>
      </c>
      <c r="G11661" s="615" t="n">
        <f aca="false">F11661*E11661</f>
        <v>80</v>
      </c>
      <c r="H11661" s="679"/>
    </row>
    <row r="11662" s="451" customFormat="true" ht="15" hidden="false" customHeight="false" outlineLevel="0" collapsed="false">
      <c r="A11662" s="471"/>
      <c r="B11662" s="796"/>
      <c r="C11662" s="614" t="s">
        <v>4270</v>
      </c>
      <c r="D11662" s="606" t="s">
        <v>4359</v>
      </c>
      <c r="E11662" s="614" t="n">
        <v>0.01</v>
      </c>
      <c r="F11662" s="617" t="n">
        <v>9866</v>
      </c>
      <c r="G11662" s="615" t="n">
        <f aca="false">F11662*E11662</f>
        <v>98.66</v>
      </c>
      <c r="H11662" s="679"/>
    </row>
    <row r="11663" s="451" customFormat="true" ht="30" hidden="false" customHeight="false" outlineLevel="0" collapsed="false">
      <c r="A11663" s="471"/>
      <c r="B11663" s="796"/>
      <c r="C11663" s="614" t="s">
        <v>6283</v>
      </c>
      <c r="D11663" s="606" t="s">
        <v>6416</v>
      </c>
      <c r="E11663" s="954" t="n">
        <v>1</v>
      </c>
      <c r="F11663" s="617" t="n">
        <v>460</v>
      </c>
      <c r="G11663" s="615" t="n">
        <f aca="false">F11663*E11663</f>
        <v>460</v>
      </c>
      <c r="H11663" s="679"/>
    </row>
    <row r="11664" s="451" customFormat="true" ht="15" hidden="false" customHeight="false" outlineLevel="0" collapsed="false">
      <c r="A11664" s="471"/>
      <c r="B11664" s="796"/>
      <c r="C11664" s="614"/>
      <c r="D11664" s="606"/>
      <c r="E11664" s="606"/>
      <c r="F11664" s="361"/>
      <c r="G11664" s="613" t="n">
        <f aca="false">SUM(G11657:G11663)</f>
        <v>3121.19</v>
      </c>
      <c r="H11664" s="679"/>
    </row>
    <row r="11665" s="451" customFormat="true" ht="53.25" hidden="false" customHeight="true" outlineLevel="0" collapsed="false">
      <c r="A11665" s="709" t="s">
        <v>6472</v>
      </c>
      <c r="B11665" s="487" t="s">
        <v>3897</v>
      </c>
      <c r="C11665" s="614" t="s">
        <v>6466</v>
      </c>
      <c r="D11665" s="606" t="s">
        <v>6473</v>
      </c>
      <c r="E11665" s="614" t="n">
        <v>1</v>
      </c>
      <c r="F11665" s="617" t="n">
        <v>365120</v>
      </c>
      <c r="G11665" s="615" t="n">
        <v>3651.2</v>
      </c>
      <c r="H11665" s="679"/>
    </row>
    <row r="11666" s="451" customFormat="true" ht="15" hidden="false" customHeight="false" outlineLevel="0" collapsed="false">
      <c r="A11666" s="709"/>
      <c r="B11666" s="532"/>
      <c r="C11666" s="614" t="s">
        <v>6007</v>
      </c>
      <c r="D11666" s="606" t="s">
        <v>6363</v>
      </c>
      <c r="E11666" s="614" t="n">
        <v>20</v>
      </c>
      <c r="F11666" s="617" t="n">
        <v>4771</v>
      </c>
      <c r="G11666" s="615" t="n">
        <v>95</v>
      </c>
      <c r="H11666" s="679"/>
    </row>
    <row r="11667" s="451" customFormat="true" ht="15" hidden="false" customHeight="false" outlineLevel="0" collapsed="false">
      <c r="A11667" s="709"/>
      <c r="B11667" s="532"/>
      <c r="C11667" s="614" t="s">
        <v>6413</v>
      </c>
      <c r="D11667" s="1094" t="s">
        <v>6390</v>
      </c>
      <c r="E11667" s="614" t="n">
        <v>3</v>
      </c>
      <c r="F11667" s="617" t="n">
        <v>353301</v>
      </c>
      <c r="G11667" s="615" t="n">
        <v>1059.9</v>
      </c>
      <c r="H11667" s="679"/>
    </row>
    <row r="11668" s="451" customFormat="true" ht="30" hidden="false" customHeight="false" outlineLevel="0" collapsed="false">
      <c r="A11668" s="709"/>
      <c r="B11668" s="532"/>
      <c r="C11668" s="614" t="s">
        <v>6414</v>
      </c>
      <c r="D11668" s="606" t="s">
        <v>6415</v>
      </c>
      <c r="E11668" s="954" t="n">
        <v>2</v>
      </c>
      <c r="F11668" s="617" t="n">
        <v>39480</v>
      </c>
      <c r="G11668" s="615" t="n">
        <v>158</v>
      </c>
      <c r="H11668" s="679"/>
    </row>
    <row r="11669" s="451" customFormat="true" ht="15" hidden="false" customHeight="false" outlineLevel="0" collapsed="false">
      <c r="A11669" s="709"/>
      <c r="B11669" s="532"/>
      <c r="C11669" s="709" t="s">
        <v>4122</v>
      </c>
      <c r="D11669" s="679" t="s">
        <v>4359</v>
      </c>
      <c r="E11669" s="709" t="n">
        <v>0.1</v>
      </c>
      <c r="F11669" s="681" t="n">
        <v>800</v>
      </c>
      <c r="G11669" s="716" t="n">
        <f aca="false">F11669*E11669</f>
        <v>80</v>
      </c>
      <c r="H11669" s="679"/>
    </row>
    <row r="11670" s="451" customFormat="true" ht="30" hidden="false" customHeight="false" outlineLevel="0" collapsed="false">
      <c r="A11670" s="709"/>
      <c r="B11670" s="532"/>
      <c r="C11670" s="709" t="s">
        <v>6282</v>
      </c>
      <c r="D11670" s="679" t="s">
        <v>4348</v>
      </c>
      <c r="E11670" s="709" t="n">
        <v>1</v>
      </c>
      <c r="F11670" s="681" t="n">
        <v>1970</v>
      </c>
      <c r="G11670" s="716" t="n">
        <f aca="false">F11670*E11670</f>
        <v>1970</v>
      </c>
      <c r="H11670" s="679"/>
    </row>
    <row r="11671" s="451" customFormat="true" ht="15" hidden="false" customHeight="false" outlineLevel="0" collapsed="false">
      <c r="A11671" s="709"/>
      <c r="B11671" s="532"/>
      <c r="C11671" s="614" t="s">
        <v>6366</v>
      </c>
      <c r="D11671" s="606" t="s">
        <v>5788</v>
      </c>
      <c r="E11671" s="614" t="n">
        <v>2</v>
      </c>
      <c r="F11671" s="617" t="n">
        <v>1106</v>
      </c>
      <c r="G11671" s="615" t="n">
        <v>22</v>
      </c>
      <c r="H11671" s="606"/>
    </row>
    <row r="11672" s="451" customFormat="true" ht="15" hidden="false" customHeight="false" outlineLevel="0" collapsed="false">
      <c r="A11672" s="709"/>
      <c r="B11672" s="532"/>
      <c r="C11672" s="709" t="s">
        <v>4270</v>
      </c>
      <c r="D11672" s="679" t="s">
        <v>4359</v>
      </c>
      <c r="E11672" s="709" t="n">
        <v>0.01</v>
      </c>
      <c r="F11672" s="681" t="n">
        <v>9866</v>
      </c>
      <c r="G11672" s="716" t="n">
        <f aca="false">F11672*E11672</f>
        <v>98.66</v>
      </c>
      <c r="H11672" s="679"/>
    </row>
    <row r="11673" s="451" customFormat="true" ht="30" hidden="false" customHeight="false" outlineLevel="0" collapsed="false">
      <c r="A11673" s="471"/>
      <c r="B11673" s="796"/>
      <c r="C11673" s="709" t="s">
        <v>6283</v>
      </c>
      <c r="D11673" s="679" t="s">
        <v>6416</v>
      </c>
      <c r="E11673" s="1092" t="n">
        <v>1</v>
      </c>
      <c r="F11673" s="681" t="n">
        <v>460</v>
      </c>
      <c r="G11673" s="716" t="n">
        <f aca="false">F11673*E11673</f>
        <v>460</v>
      </c>
      <c r="H11673" s="679"/>
    </row>
    <row r="11674" s="451" customFormat="true" ht="15" hidden="false" customHeight="false" outlineLevel="0" collapsed="false">
      <c r="A11674" s="471"/>
      <c r="B11674" s="796"/>
      <c r="C11674" s="709"/>
      <c r="D11674" s="679"/>
      <c r="E11674" s="679"/>
      <c r="F11674" s="369"/>
      <c r="G11674" s="711" t="n">
        <f aca="false">SUM(G11665:G11673)</f>
        <v>7594.76</v>
      </c>
      <c r="H11674" s="679"/>
    </row>
    <row r="11675" s="451" customFormat="true" ht="15" hidden="false" customHeight="false" outlineLevel="0" collapsed="false">
      <c r="A11675" s="1104" t="s">
        <v>2333</v>
      </c>
      <c r="B11675" s="1079" t="s">
        <v>6474</v>
      </c>
      <c r="C11675" s="709"/>
      <c r="D11675" s="679"/>
      <c r="E11675" s="679"/>
      <c r="F11675" s="369"/>
      <c r="G11675" s="711"/>
      <c r="H11675" s="719"/>
    </row>
    <row r="11676" s="451" customFormat="true" ht="30" hidden="false" customHeight="false" outlineLevel="0" collapsed="false">
      <c r="A11676" s="709" t="s">
        <v>6475</v>
      </c>
      <c r="B11676" s="532" t="s">
        <v>6476</v>
      </c>
      <c r="C11676" s="709" t="s">
        <v>6477</v>
      </c>
      <c r="D11676" s="679" t="s">
        <v>6261</v>
      </c>
      <c r="E11676" s="709" t="n">
        <v>0.002</v>
      </c>
      <c r="F11676" s="681" t="n">
        <v>58599</v>
      </c>
      <c r="G11676" s="716" t="n">
        <f aca="false">F11676*E11676</f>
        <v>117.198</v>
      </c>
      <c r="H11676" s="679"/>
    </row>
    <row r="11677" s="451" customFormat="true" ht="30" hidden="false" customHeight="false" outlineLevel="0" collapsed="false">
      <c r="A11677" s="709"/>
      <c r="B11677" s="532"/>
      <c r="C11677" s="709" t="s">
        <v>6419</v>
      </c>
      <c r="D11677" s="679" t="s">
        <v>6478</v>
      </c>
      <c r="E11677" s="709" t="n">
        <v>0.002</v>
      </c>
      <c r="F11677" s="681" t="n">
        <v>34700</v>
      </c>
      <c r="G11677" s="716" t="n">
        <f aca="false">F11677*E11677</f>
        <v>69.4</v>
      </c>
      <c r="H11677" s="679"/>
    </row>
    <row r="11678" s="451" customFormat="true" ht="30" hidden="false" customHeight="false" outlineLevel="0" collapsed="false">
      <c r="A11678" s="471"/>
      <c r="B11678" s="796"/>
      <c r="C11678" s="709" t="s">
        <v>6479</v>
      </c>
      <c r="D11678" s="679" t="s">
        <v>6480</v>
      </c>
      <c r="E11678" s="709" t="n">
        <v>0.002</v>
      </c>
      <c r="F11678" s="681" t="n">
        <v>134719</v>
      </c>
      <c r="G11678" s="716" t="n">
        <f aca="false">F11678*E11678</f>
        <v>269.438</v>
      </c>
      <c r="H11678" s="679"/>
    </row>
    <row r="11679" s="451" customFormat="true" ht="30" hidden="false" customHeight="false" outlineLevel="0" collapsed="false">
      <c r="A11679" s="471"/>
      <c r="B11679" s="796"/>
      <c r="C11679" s="709" t="s">
        <v>6282</v>
      </c>
      <c r="D11679" s="679" t="s">
        <v>4348</v>
      </c>
      <c r="E11679" s="709" t="n">
        <v>1</v>
      </c>
      <c r="F11679" s="681" t="n">
        <v>1970</v>
      </c>
      <c r="G11679" s="716" t="n">
        <f aca="false">F11679*E11679</f>
        <v>1970</v>
      </c>
      <c r="H11679" s="679"/>
    </row>
    <row r="11680" s="451" customFormat="true" ht="15" hidden="false" customHeight="false" outlineLevel="0" collapsed="false">
      <c r="A11680" s="471"/>
      <c r="B11680" s="796"/>
      <c r="C11680" s="709" t="s">
        <v>6481</v>
      </c>
      <c r="D11680" s="679" t="s">
        <v>6482</v>
      </c>
      <c r="E11680" s="709" t="n">
        <v>0.001</v>
      </c>
      <c r="F11680" s="681" t="n">
        <v>328823</v>
      </c>
      <c r="G11680" s="716" t="n">
        <f aca="false">F11680*E11680</f>
        <v>328.823</v>
      </c>
      <c r="H11680" s="679"/>
    </row>
    <row r="11681" s="451" customFormat="true" ht="30" hidden="false" customHeight="false" outlineLevel="0" collapsed="false">
      <c r="A11681" s="471"/>
      <c r="B11681" s="796"/>
      <c r="C11681" s="709" t="s">
        <v>6483</v>
      </c>
      <c r="D11681" s="679" t="s">
        <v>6336</v>
      </c>
      <c r="E11681" s="709" t="n">
        <v>0.002</v>
      </c>
      <c r="F11681" s="681" t="n">
        <v>82924</v>
      </c>
      <c r="G11681" s="716" t="n">
        <f aca="false">F11681*E11681</f>
        <v>165.848</v>
      </c>
      <c r="H11681" s="679"/>
    </row>
    <row r="11682" s="451" customFormat="true" ht="15" hidden="false" customHeight="false" outlineLevel="0" collapsed="false">
      <c r="A11682" s="707"/>
      <c r="B11682" s="522" t="s">
        <v>6484</v>
      </c>
      <c r="C11682" s="709" t="s">
        <v>6485</v>
      </c>
      <c r="D11682" s="679" t="s">
        <v>4133</v>
      </c>
      <c r="E11682" s="709" t="n">
        <v>0.001</v>
      </c>
      <c r="F11682" s="681" t="n">
        <v>22964</v>
      </c>
      <c r="G11682" s="716" t="n">
        <f aca="false">F11682*E11682</f>
        <v>22.964</v>
      </c>
      <c r="H11682" s="679"/>
    </row>
    <row r="11683" s="451" customFormat="true" ht="15" hidden="false" customHeight="true" outlineLevel="0" collapsed="false">
      <c r="A11683" s="707"/>
      <c r="B11683" s="522"/>
      <c r="C11683" s="709" t="s">
        <v>6300</v>
      </c>
      <c r="D11683" s="679" t="s">
        <v>6305</v>
      </c>
      <c r="E11683" s="709" t="n">
        <v>1</v>
      </c>
      <c r="F11683" s="681" t="n">
        <v>11610</v>
      </c>
      <c r="G11683" s="716" t="n">
        <v>464.4</v>
      </c>
      <c r="H11683" s="679"/>
    </row>
    <row r="11684" s="451" customFormat="true" ht="30" hidden="false" customHeight="false" outlineLevel="0" collapsed="false">
      <c r="A11684" s="707"/>
      <c r="B11684" s="522"/>
      <c r="C11684" s="709" t="s">
        <v>6308</v>
      </c>
      <c r="D11684" s="679" t="s">
        <v>6261</v>
      </c>
      <c r="E11684" s="709" t="n">
        <v>0.001</v>
      </c>
      <c r="F11684" s="681" t="n">
        <v>30250</v>
      </c>
      <c r="G11684" s="716" t="n">
        <f aca="false">F11684*E11684</f>
        <v>30.25</v>
      </c>
      <c r="H11684" s="679"/>
    </row>
    <row r="11685" s="451" customFormat="true" ht="15" hidden="false" customHeight="false" outlineLevel="0" collapsed="false">
      <c r="A11685" s="471"/>
      <c r="B11685" s="796"/>
      <c r="C11685" s="709" t="s">
        <v>4122</v>
      </c>
      <c r="D11685" s="679" t="s">
        <v>4359</v>
      </c>
      <c r="E11685" s="709" t="n">
        <v>0.1</v>
      </c>
      <c r="F11685" s="681" t="n">
        <v>720</v>
      </c>
      <c r="G11685" s="716" t="n">
        <f aca="false">F11685*E11685</f>
        <v>72</v>
      </c>
      <c r="H11685" s="679"/>
    </row>
    <row r="11686" s="451" customFormat="true" ht="15" hidden="false" customHeight="false" outlineLevel="0" collapsed="false">
      <c r="A11686" s="471"/>
      <c r="B11686" s="796"/>
      <c r="C11686" s="614" t="s">
        <v>4347</v>
      </c>
      <c r="D11686" s="606" t="s">
        <v>5788</v>
      </c>
      <c r="E11686" s="614" t="n">
        <v>2</v>
      </c>
      <c r="F11686" s="617" t="n">
        <v>1106</v>
      </c>
      <c r="G11686" s="615" t="n">
        <v>22</v>
      </c>
      <c r="H11686" s="679"/>
    </row>
    <row r="11687" s="451" customFormat="true" ht="15" hidden="false" customHeight="false" outlineLevel="0" collapsed="false">
      <c r="A11687" s="471"/>
      <c r="B11687" s="796"/>
      <c r="C11687" s="614" t="s">
        <v>4270</v>
      </c>
      <c r="D11687" s="606" t="s">
        <v>4359</v>
      </c>
      <c r="E11687" s="614" t="n">
        <v>0.02</v>
      </c>
      <c r="F11687" s="617" t="n">
        <v>9866</v>
      </c>
      <c r="G11687" s="615" t="n">
        <f aca="false">F11687*E11687</f>
        <v>197.32</v>
      </c>
      <c r="H11687" s="679"/>
    </row>
    <row r="11688" s="451" customFormat="true" ht="15" hidden="false" customHeight="false" outlineLevel="0" collapsed="false">
      <c r="A11688" s="471"/>
      <c r="B11688" s="796"/>
      <c r="C11688" s="1096" t="s">
        <v>6278</v>
      </c>
      <c r="D11688" s="1097" t="s">
        <v>6310</v>
      </c>
      <c r="E11688" s="1096" t="n">
        <v>5</v>
      </c>
      <c r="F11688" s="1098" t="n">
        <v>393</v>
      </c>
      <c r="G11688" s="615" t="n">
        <v>98.25</v>
      </c>
      <c r="H11688" s="679"/>
    </row>
    <row r="11689" s="451" customFormat="true" ht="15" hidden="false" customHeight="false" outlineLevel="0" collapsed="false">
      <c r="A11689" s="471"/>
      <c r="B11689" s="796"/>
      <c r="C11689" s="709" t="s">
        <v>6267</v>
      </c>
      <c r="D11689" s="679" t="s">
        <v>6268</v>
      </c>
      <c r="E11689" s="709" t="n">
        <v>2</v>
      </c>
      <c r="F11689" s="681" t="n">
        <v>602</v>
      </c>
      <c r="G11689" s="716" t="n">
        <v>6</v>
      </c>
      <c r="H11689" s="679"/>
    </row>
    <row r="11690" s="451" customFormat="true" ht="15" hidden="false" customHeight="false" outlineLevel="0" collapsed="false">
      <c r="A11690" s="471"/>
      <c r="B11690" s="796"/>
      <c r="C11690" s="1086" t="s">
        <v>6280</v>
      </c>
      <c r="D11690" s="1087" t="s">
        <v>6311</v>
      </c>
      <c r="E11690" s="1086" t="n">
        <v>1</v>
      </c>
      <c r="F11690" s="1088" t="n">
        <v>842</v>
      </c>
      <c r="G11690" s="716" t="n">
        <f aca="false">F11690*E11690</f>
        <v>842</v>
      </c>
      <c r="H11690" s="679"/>
    </row>
    <row r="11691" s="451" customFormat="true" ht="30" hidden="false" customHeight="false" outlineLevel="0" collapsed="false">
      <c r="A11691" s="471"/>
      <c r="B11691" s="796"/>
      <c r="C11691" s="709" t="s">
        <v>6283</v>
      </c>
      <c r="D11691" s="679" t="s">
        <v>6416</v>
      </c>
      <c r="E11691" s="1092" t="n">
        <v>1</v>
      </c>
      <c r="F11691" s="681" t="n">
        <v>460</v>
      </c>
      <c r="G11691" s="716" t="n">
        <f aca="false">F11691*E11691</f>
        <v>460</v>
      </c>
      <c r="H11691" s="679"/>
    </row>
    <row r="11692" s="451" customFormat="true" ht="15" hidden="false" customHeight="false" outlineLevel="0" collapsed="false">
      <c r="A11692" s="471"/>
      <c r="B11692" s="796"/>
      <c r="C11692" s="709"/>
      <c r="D11692" s="679"/>
      <c r="E11692" s="679"/>
      <c r="F11692" s="369"/>
      <c r="G11692" s="711" t="n">
        <f aca="false">SUM(G11676:G11691)</f>
        <v>5135.891</v>
      </c>
      <c r="H11692" s="679"/>
    </row>
    <row r="11693" s="451" customFormat="true" ht="45" hidden="false" customHeight="false" outlineLevel="0" collapsed="false">
      <c r="A11693" s="709" t="s">
        <v>6486</v>
      </c>
      <c r="B11693" s="487" t="s">
        <v>3899</v>
      </c>
      <c r="C11693" s="709" t="s">
        <v>6487</v>
      </c>
      <c r="D11693" s="679" t="s">
        <v>6488</v>
      </c>
      <c r="E11693" s="709" t="n">
        <v>0.005</v>
      </c>
      <c r="F11693" s="681" t="n">
        <v>52867</v>
      </c>
      <c r="G11693" s="716" t="n">
        <f aca="false">F11693*E11693</f>
        <v>264.335</v>
      </c>
      <c r="H11693" s="679"/>
    </row>
    <row r="11694" s="451" customFormat="true" ht="45" hidden="false" customHeight="false" outlineLevel="0" collapsed="false">
      <c r="A11694" s="709"/>
      <c r="B11694" s="532"/>
      <c r="C11694" s="709" t="s">
        <v>6489</v>
      </c>
      <c r="D11694" s="679" t="s">
        <v>6488</v>
      </c>
      <c r="E11694" s="709" t="n">
        <v>0.005</v>
      </c>
      <c r="F11694" s="681" t="n">
        <v>52867</v>
      </c>
      <c r="G11694" s="716" t="n">
        <f aca="false">F11694*E11694</f>
        <v>264.335</v>
      </c>
      <c r="H11694" s="679"/>
    </row>
    <row r="11695" s="451" customFormat="true" ht="75" hidden="false" customHeight="false" outlineLevel="0" collapsed="false">
      <c r="A11695" s="709"/>
      <c r="B11695" s="532"/>
      <c r="C11695" s="709" t="s">
        <v>6490</v>
      </c>
      <c r="D11695" s="679" t="s">
        <v>6488</v>
      </c>
      <c r="E11695" s="709" t="n">
        <v>0.005</v>
      </c>
      <c r="F11695" s="681" t="n">
        <v>40716</v>
      </c>
      <c r="G11695" s="716" t="n">
        <f aca="false">F11695*E11695</f>
        <v>203.58</v>
      </c>
      <c r="H11695" s="679"/>
    </row>
    <row r="11696" s="451" customFormat="true" ht="15" hidden="false" customHeight="false" outlineLevel="0" collapsed="false">
      <c r="A11696" s="709"/>
      <c r="B11696" s="532"/>
      <c r="C11696" s="614" t="s">
        <v>6007</v>
      </c>
      <c r="D11696" s="606" t="s">
        <v>6363</v>
      </c>
      <c r="E11696" s="614" t="n">
        <v>20</v>
      </c>
      <c r="F11696" s="617" t="n">
        <v>4771</v>
      </c>
      <c r="G11696" s="615" t="n">
        <v>95</v>
      </c>
      <c r="H11696" s="679"/>
    </row>
    <row r="11697" s="451" customFormat="true" ht="15" hidden="false" customHeight="false" outlineLevel="0" collapsed="false">
      <c r="A11697" s="709"/>
      <c r="B11697" s="532"/>
      <c r="C11697" s="614" t="s">
        <v>4347</v>
      </c>
      <c r="D11697" s="606" t="s">
        <v>5788</v>
      </c>
      <c r="E11697" s="614" t="n">
        <v>2</v>
      </c>
      <c r="F11697" s="617" t="n">
        <v>1106</v>
      </c>
      <c r="G11697" s="615" t="n">
        <v>22</v>
      </c>
      <c r="H11697" s="679"/>
    </row>
    <row r="11698" s="451" customFormat="true" ht="30" hidden="false" customHeight="false" outlineLevel="0" collapsed="false">
      <c r="A11698" s="709"/>
      <c r="B11698" s="532"/>
      <c r="C11698" s="614" t="s">
        <v>6282</v>
      </c>
      <c r="D11698" s="606" t="s">
        <v>4348</v>
      </c>
      <c r="E11698" s="614" t="n">
        <v>1</v>
      </c>
      <c r="F11698" s="617" t="n">
        <v>1720</v>
      </c>
      <c r="G11698" s="615" t="n">
        <f aca="false">F11698*E11698</f>
        <v>1720</v>
      </c>
      <c r="H11698" s="679"/>
    </row>
    <row r="11699" s="451" customFormat="true" ht="15" hidden="false" customHeight="false" outlineLevel="0" collapsed="false">
      <c r="A11699" s="709"/>
      <c r="B11699" s="532"/>
      <c r="C11699" s="614" t="s">
        <v>4122</v>
      </c>
      <c r="D11699" s="606" t="s">
        <v>4359</v>
      </c>
      <c r="E11699" s="614" t="n">
        <v>0.1</v>
      </c>
      <c r="F11699" s="617" t="n">
        <v>800</v>
      </c>
      <c r="G11699" s="615" t="n">
        <f aca="false">F11699*E11699</f>
        <v>80</v>
      </c>
      <c r="H11699" s="679"/>
    </row>
    <row r="11700" s="451" customFormat="true" ht="30" hidden="false" customHeight="false" outlineLevel="0" collapsed="false">
      <c r="A11700" s="709"/>
      <c r="B11700" s="532"/>
      <c r="C11700" s="709" t="s">
        <v>6283</v>
      </c>
      <c r="D11700" s="679" t="s">
        <v>6416</v>
      </c>
      <c r="E11700" s="1092" t="n">
        <v>1</v>
      </c>
      <c r="F11700" s="681" t="n">
        <v>460</v>
      </c>
      <c r="G11700" s="716" t="n">
        <f aca="false">F11700*E11700</f>
        <v>460</v>
      </c>
      <c r="H11700" s="679"/>
    </row>
    <row r="11701" s="451" customFormat="true" ht="15" hidden="false" customHeight="false" outlineLevel="0" collapsed="false">
      <c r="A11701" s="709"/>
      <c r="B11701" s="532"/>
      <c r="C11701" s="709"/>
      <c r="D11701" s="679"/>
      <c r="E11701" s="679"/>
      <c r="F11701" s="369"/>
      <c r="G11701" s="711" t="n">
        <f aca="false">SUM(G11693:G11700)</f>
        <v>3109.25</v>
      </c>
      <c r="H11701" s="679"/>
    </row>
    <row r="11702" s="451" customFormat="true" ht="50.25" hidden="false" customHeight="true" outlineLevel="0" collapsed="false">
      <c r="A11702" s="614" t="s">
        <v>6491</v>
      </c>
      <c r="B11702" s="487" t="s">
        <v>3900</v>
      </c>
      <c r="C11702" s="709" t="s">
        <v>6466</v>
      </c>
      <c r="D11702" s="679" t="s">
        <v>6213</v>
      </c>
      <c r="E11702" s="709" t="n">
        <v>1</v>
      </c>
      <c r="F11702" s="681" t="n">
        <v>547670</v>
      </c>
      <c r="G11702" s="716" t="n">
        <f aca="false">F11702/55</f>
        <v>9957.63636363636</v>
      </c>
      <c r="H11702" s="679"/>
    </row>
    <row r="11703" s="451" customFormat="true" ht="21" hidden="false" customHeight="true" outlineLevel="0" collapsed="false">
      <c r="A11703" s="709"/>
      <c r="B11703" s="487"/>
      <c r="C11703" s="614" t="s">
        <v>6007</v>
      </c>
      <c r="D11703" s="606" t="s">
        <v>6363</v>
      </c>
      <c r="E11703" s="614" t="n">
        <v>20</v>
      </c>
      <c r="F11703" s="617" t="n">
        <v>4771</v>
      </c>
      <c r="G11703" s="615" t="n">
        <v>95</v>
      </c>
      <c r="H11703" s="679"/>
    </row>
    <row r="11704" s="451" customFormat="true" ht="25.5" hidden="false" customHeight="true" outlineLevel="0" collapsed="false">
      <c r="A11704" s="709"/>
      <c r="B11704" s="487"/>
      <c r="C11704" s="614" t="s">
        <v>6413</v>
      </c>
      <c r="D11704" s="1094" t="s">
        <v>6390</v>
      </c>
      <c r="E11704" s="614" t="n">
        <v>3</v>
      </c>
      <c r="F11704" s="617" t="n">
        <v>353301</v>
      </c>
      <c r="G11704" s="615" t="n">
        <v>1059.9</v>
      </c>
      <c r="H11704" s="679"/>
    </row>
    <row r="11705" s="451" customFormat="true" ht="27" hidden="false" customHeight="true" outlineLevel="0" collapsed="false">
      <c r="A11705" s="709"/>
      <c r="B11705" s="487"/>
      <c r="C11705" s="614" t="s">
        <v>6414</v>
      </c>
      <c r="D11705" s="606" t="s">
        <v>6415</v>
      </c>
      <c r="E11705" s="954" t="n">
        <v>2</v>
      </c>
      <c r="F11705" s="617" t="n">
        <v>39480</v>
      </c>
      <c r="G11705" s="615" t="n">
        <v>158</v>
      </c>
      <c r="H11705" s="679"/>
    </row>
    <row r="11706" s="451" customFormat="true" ht="15" hidden="false" customHeight="false" outlineLevel="0" collapsed="false">
      <c r="A11706" s="471"/>
      <c r="B11706" s="796"/>
      <c r="C11706" s="614" t="s">
        <v>4122</v>
      </c>
      <c r="D11706" s="606" t="s">
        <v>4359</v>
      </c>
      <c r="E11706" s="614" t="n">
        <v>0.1</v>
      </c>
      <c r="F11706" s="617" t="n">
        <v>800</v>
      </c>
      <c r="G11706" s="615" t="n">
        <f aca="false">F11706*E11706</f>
        <v>80</v>
      </c>
      <c r="H11706" s="679"/>
    </row>
    <row r="11707" s="451" customFormat="true" ht="30" hidden="false" customHeight="false" outlineLevel="0" collapsed="false">
      <c r="A11707" s="471"/>
      <c r="B11707" s="796"/>
      <c r="C11707" s="614" t="s">
        <v>6282</v>
      </c>
      <c r="D11707" s="606" t="s">
        <v>4348</v>
      </c>
      <c r="E11707" s="614" t="n">
        <v>1</v>
      </c>
      <c r="F11707" s="617" t="n">
        <v>1720</v>
      </c>
      <c r="G11707" s="615" t="n">
        <f aca="false">F11707*E11707</f>
        <v>1720</v>
      </c>
      <c r="H11707" s="679"/>
    </row>
    <row r="11708" s="451" customFormat="true" ht="15" hidden="false" customHeight="false" outlineLevel="0" collapsed="false">
      <c r="A11708" s="471"/>
      <c r="B11708" s="796"/>
      <c r="C11708" s="614" t="s">
        <v>6366</v>
      </c>
      <c r="D11708" s="606" t="s">
        <v>5788</v>
      </c>
      <c r="E11708" s="614" t="n">
        <v>3</v>
      </c>
      <c r="F11708" s="617" t="n">
        <v>1106</v>
      </c>
      <c r="G11708" s="615" t="n">
        <v>33</v>
      </c>
      <c r="H11708" s="679"/>
    </row>
    <row r="11709" s="451" customFormat="true" ht="15" hidden="false" customHeight="false" outlineLevel="0" collapsed="false">
      <c r="A11709" s="471"/>
      <c r="B11709" s="796"/>
      <c r="C11709" s="614" t="s">
        <v>4270</v>
      </c>
      <c r="D11709" s="606" t="s">
        <v>4359</v>
      </c>
      <c r="E11709" s="614" t="n">
        <v>0</v>
      </c>
      <c r="F11709" s="617" t="n">
        <v>690</v>
      </c>
      <c r="G11709" s="615" t="n">
        <f aca="false">F11709*E11709</f>
        <v>0</v>
      </c>
      <c r="H11709" s="679"/>
    </row>
    <row r="11710" s="451" customFormat="true" ht="30" hidden="false" customHeight="false" outlineLevel="0" collapsed="false">
      <c r="A11710" s="471"/>
      <c r="B11710" s="796"/>
      <c r="C11710" s="614" t="s">
        <v>6283</v>
      </c>
      <c r="D11710" s="606" t="s">
        <v>6416</v>
      </c>
      <c r="E11710" s="954" t="n">
        <v>1</v>
      </c>
      <c r="F11710" s="617" t="n">
        <v>460</v>
      </c>
      <c r="G11710" s="615" t="n">
        <f aca="false">F11710*E11710</f>
        <v>460</v>
      </c>
      <c r="H11710" s="679"/>
    </row>
    <row r="11711" s="451" customFormat="true" ht="15" hidden="false" customHeight="false" outlineLevel="0" collapsed="false">
      <c r="A11711" s="471"/>
      <c r="B11711" s="796"/>
      <c r="C11711" s="614"/>
      <c r="D11711" s="606"/>
      <c r="E11711" s="606"/>
      <c r="F11711" s="361"/>
      <c r="G11711" s="613" t="n">
        <f aca="false">SUM(G11702:G11710)</f>
        <v>13563.5363636364</v>
      </c>
      <c r="H11711" s="679"/>
    </row>
    <row r="11712" s="451" customFormat="true" ht="15" hidden="false" customHeight="false" outlineLevel="0" collapsed="false">
      <c r="A11712" s="709" t="s">
        <v>6492</v>
      </c>
      <c r="B11712" s="532" t="s">
        <v>6493</v>
      </c>
      <c r="C11712" s="614" t="s">
        <v>6494</v>
      </c>
      <c r="D11712" s="606" t="s">
        <v>6495</v>
      </c>
      <c r="E11712" s="614" t="n">
        <v>1</v>
      </c>
      <c r="F11712" s="617" t="n">
        <v>505.2</v>
      </c>
      <c r="G11712" s="615" t="n">
        <f aca="false">F11712*E11712</f>
        <v>505.2</v>
      </c>
      <c r="H11712" s="679"/>
    </row>
    <row r="11713" s="451" customFormat="true" ht="15" hidden="false" customHeight="false" outlineLevel="0" collapsed="false">
      <c r="A11713" s="709"/>
      <c r="B11713" s="532"/>
      <c r="C11713" s="614" t="s">
        <v>4122</v>
      </c>
      <c r="D11713" s="606" t="s">
        <v>4359</v>
      </c>
      <c r="E11713" s="614" t="n">
        <v>0.1</v>
      </c>
      <c r="F11713" s="617" t="n">
        <v>800</v>
      </c>
      <c r="G11713" s="615" t="n">
        <f aca="false">F11713*E11713</f>
        <v>80</v>
      </c>
      <c r="H11713" s="679"/>
    </row>
    <row r="11714" s="451" customFormat="true" ht="15" hidden="false" customHeight="false" outlineLevel="0" collapsed="false">
      <c r="A11714" s="709"/>
      <c r="B11714" s="532"/>
      <c r="C11714" s="614" t="s">
        <v>6007</v>
      </c>
      <c r="D11714" s="606" t="s">
        <v>6363</v>
      </c>
      <c r="E11714" s="614" t="n">
        <v>20</v>
      </c>
      <c r="F11714" s="617" t="n">
        <v>4771</v>
      </c>
      <c r="G11714" s="615" t="n">
        <v>95</v>
      </c>
      <c r="H11714" s="679"/>
    </row>
    <row r="11715" s="451" customFormat="true" ht="30" hidden="false" customHeight="false" outlineLevel="0" collapsed="false">
      <c r="A11715" s="709"/>
      <c r="B11715" s="532"/>
      <c r="C11715" s="614" t="s">
        <v>6394</v>
      </c>
      <c r="D11715" s="606" t="s">
        <v>6415</v>
      </c>
      <c r="E11715" s="614" t="n">
        <v>2</v>
      </c>
      <c r="F11715" s="617" t="n">
        <v>636</v>
      </c>
      <c r="G11715" s="615" t="n">
        <v>2.5</v>
      </c>
      <c r="H11715" s="679"/>
    </row>
    <row r="11716" s="451" customFormat="true" ht="15" hidden="false" customHeight="false" outlineLevel="0" collapsed="false">
      <c r="A11716" s="709"/>
      <c r="B11716" s="532"/>
      <c r="C11716" s="614" t="s">
        <v>4347</v>
      </c>
      <c r="D11716" s="606" t="s">
        <v>5788</v>
      </c>
      <c r="E11716" s="614" t="n">
        <v>2</v>
      </c>
      <c r="F11716" s="617" t="n">
        <v>1106</v>
      </c>
      <c r="G11716" s="615" t="n">
        <v>22</v>
      </c>
      <c r="H11716" s="679"/>
    </row>
    <row r="11717" s="451" customFormat="true" ht="30" hidden="false" customHeight="false" outlineLevel="0" collapsed="false">
      <c r="A11717" s="709"/>
      <c r="B11717" s="532"/>
      <c r="C11717" s="614" t="s">
        <v>6282</v>
      </c>
      <c r="D11717" s="606" t="s">
        <v>4348</v>
      </c>
      <c r="E11717" s="614" t="n">
        <v>1</v>
      </c>
      <c r="F11717" s="617" t="n">
        <v>1720</v>
      </c>
      <c r="G11717" s="615" t="n">
        <f aca="false">F11717*E11717</f>
        <v>1720</v>
      </c>
      <c r="H11717" s="679"/>
    </row>
    <row r="11718" s="451" customFormat="true" ht="30" hidden="false" customHeight="false" outlineLevel="0" collapsed="false">
      <c r="A11718" s="709"/>
      <c r="B11718" s="532"/>
      <c r="C11718" s="614" t="s">
        <v>6283</v>
      </c>
      <c r="D11718" s="606" t="s">
        <v>6416</v>
      </c>
      <c r="E11718" s="954" t="n">
        <v>1</v>
      </c>
      <c r="F11718" s="617" t="n">
        <v>460</v>
      </c>
      <c r="G11718" s="615" t="n">
        <f aca="false">F11718*E11718</f>
        <v>460</v>
      </c>
      <c r="H11718" s="679"/>
    </row>
    <row r="11719" s="451" customFormat="true" ht="15" hidden="false" customHeight="false" outlineLevel="0" collapsed="false">
      <c r="A11719" s="709"/>
      <c r="B11719" s="532"/>
      <c r="C11719" s="709"/>
      <c r="D11719" s="679"/>
      <c r="E11719" s="679"/>
      <c r="F11719" s="369"/>
      <c r="G11719" s="711" t="n">
        <f aca="false">SUM(G11712:G11718)</f>
        <v>2884.7</v>
      </c>
      <c r="H11719" s="679"/>
    </row>
    <row r="11720" s="451" customFormat="true" ht="15" hidden="false" customHeight="false" outlineLevel="0" collapsed="false">
      <c r="A11720" s="510" t="s">
        <v>2343</v>
      </c>
      <c r="B11720" s="346" t="s">
        <v>2344</v>
      </c>
      <c r="C11720" s="601"/>
      <c r="D11720" s="600"/>
      <c r="E11720" s="600"/>
      <c r="F11720" s="364"/>
      <c r="G11720" s="753"/>
      <c r="H11720" s="790"/>
    </row>
    <row r="11721" s="451" customFormat="true" ht="75" hidden="false" customHeight="false" outlineLevel="0" collapsed="false">
      <c r="A11721" s="1105" t="s">
        <v>6496</v>
      </c>
      <c r="B11721" s="532" t="s">
        <v>3902</v>
      </c>
      <c r="C11721" s="709" t="s">
        <v>6497</v>
      </c>
      <c r="D11721" s="679" t="s">
        <v>6336</v>
      </c>
      <c r="E11721" s="709" t="n">
        <v>0.001</v>
      </c>
      <c r="F11721" s="681" t="n">
        <v>71612</v>
      </c>
      <c r="G11721" s="716" t="n">
        <f aca="false">F11721*E11721</f>
        <v>71.612</v>
      </c>
      <c r="H11721" s="679"/>
    </row>
    <row r="11722" s="451" customFormat="true" ht="15" hidden="false" customHeight="false" outlineLevel="0" collapsed="false">
      <c r="A11722" s="471"/>
      <c r="B11722" s="796"/>
      <c r="C11722" s="709" t="s">
        <v>6498</v>
      </c>
      <c r="D11722" s="679" t="s">
        <v>6499</v>
      </c>
      <c r="E11722" s="709" t="n">
        <v>0</v>
      </c>
      <c r="F11722" s="681" t="n">
        <v>137144</v>
      </c>
      <c r="G11722" s="716" t="n">
        <f aca="false">F11722*E11722</f>
        <v>0</v>
      </c>
      <c r="H11722" s="679"/>
    </row>
    <row r="11723" s="451" customFormat="true" ht="90" hidden="false" customHeight="false" outlineLevel="0" collapsed="false">
      <c r="A11723" s="1105"/>
      <c r="B11723" s="532"/>
      <c r="C11723" s="709" t="s">
        <v>6500</v>
      </c>
      <c r="D11723" s="679" t="s">
        <v>6336</v>
      </c>
      <c r="E11723" s="709" t="n">
        <v>0.002</v>
      </c>
      <c r="F11723" s="681" t="n">
        <v>78841</v>
      </c>
      <c r="G11723" s="716" t="n">
        <f aca="false">F11723*E11723</f>
        <v>157.682</v>
      </c>
      <c r="H11723" s="679"/>
    </row>
    <row r="11724" s="451" customFormat="true" ht="15" hidden="false" customHeight="false" outlineLevel="0" collapsed="false">
      <c r="A11724" s="1105"/>
      <c r="B11724" s="532"/>
      <c r="C11724" s="614" t="s">
        <v>4122</v>
      </c>
      <c r="D11724" s="606" t="s">
        <v>4359</v>
      </c>
      <c r="E11724" s="614" t="n">
        <v>0.03</v>
      </c>
      <c r="F11724" s="617" t="n">
        <v>800</v>
      </c>
      <c r="G11724" s="615" t="n">
        <f aca="false">F11724*E11724</f>
        <v>24</v>
      </c>
      <c r="H11724" s="679"/>
    </row>
    <row r="11725" s="451" customFormat="true" ht="15" hidden="false" customHeight="true" outlineLevel="0" collapsed="false">
      <c r="A11725" s="1105"/>
      <c r="B11725" s="532"/>
      <c r="C11725" s="614" t="s">
        <v>6501</v>
      </c>
      <c r="D11725" s="606" t="s">
        <v>6305</v>
      </c>
      <c r="E11725" s="614" t="n">
        <v>1</v>
      </c>
      <c r="F11725" s="617" t="n">
        <v>135.36</v>
      </c>
      <c r="G11725" s="615" t="n">
        <f aca="false">F11725*E11725</f>
        <v>135.36</v>
      </c>
      <c r="H11725" s="679"/>
    </row>
    <row r="11726" s="451" customFormat="true" ht="15" hidden="false" customHeight="true" outlineLevel="0" collapsed="false">
      <c r="A11726" s="1105"/>
      <c r="B11726" s="532"/>
      <c r="C11726" s="614" t="s">
        <v>6308</v>
      </c>
      <c r="D11726" s="606" t="s">
        <v>6261</v>
      </c>
      <c r="E11726" s="614" t="n">
        <v>0.001</v>
      </c>
      <c r="F11726" s="617" t="n">
        <v>30250</v>
      </c>
      <c r="G11726" s="615" t="n">
        <f aca="false">F11726*E11726</f>
        <v>30.25</v>
      </c>
      <c r="H11726" s="679"/>
    </row>
    <row r="11727" s="451" customFormat="true" ht="15" hidden="false" customHeight="true" outlineLevel="0" collapsed="false">
      <c r="A11727" s="1105"/>
      <c r="B11727" s="532"/>
      <c r="C11727" s="614" t="s">
        <v>6502</v>
      </c>
      <c r="D11727" s="606" t="s">
        <v>6503</v>
      </c>
      <c r="E11727" s="614" t="n">
        <v>0.001</v>
      </c>
      <c r="F11727" s="617" t="n">
        <v>71442</v>
      </c>
      <c r="G11727" s="615" t="n">
        <f aca="false">F11727*E11727</f>
        <v>71.442</v>
      </c>
      <c r="H11727" s="679"/>
    </row>
    <row r="11728" s="451" customFormat="true" ht="15" hidden="false" customHeight="true" outlineLevel="0" collapsed="false">
      <c r="A11728" s="1105"/>
      <c r="B11728" s="532"/>
      <c r="C11728" s="614" t="s">
        <v>4347</v>
      </c>
      <c r="D11728" s="606" t="s">
        <v>5788</v>
      </c>
      <c r="E11728" s="614" t="n">
        <v>2</v>
      </c>
      <c r="F11728" s="617" t="n">
        <v>1106</v>
      </c>
      <c r="G11728" s="615" t="n">
        <v>22</v>
      </c>
      <c r="H11728" s="679"/>
    </row>
    <row r="11729" s="451" customFormat="true" ht="15" hidden="false" customHeight="true" outlineLevel="0" collapsed="false">
      <c r="A11729" s="1105"/>
      <c r="B11729" s="532"/>
      <c r="C11729" s="614" t="s">
        <v>4270</v>
      </c>
      <c r="D11729" s="606" t="s">
        <v>4359</v>
      </c>
      <c r="E11729" s="614" t="n">
        <v>0</v>
      </c>
      <c r="F11729" s="617" t="n">
        <v>690</v>
      </c>
      <c r="G11729" s="615" t="n">
        <f aca="false">F11729*E11729</f>
        <v>0</v>
      </c>
      <c r="H11729" s="679"/>
    </row>
    <row r="11730" s="451" customFormat="true" ht="15" hidden="false" customHeight="true" outlineLevel="0" collapsed="false">
      <c r="A11730" s="1105"/>
      <c r="B11730" s="532"/>
      <c r="C11730" s="614" t="s">
        <v>6282</v>
      </c>
      <c r="D11730" s="606" t="s">
        <v>4348</v>
      </c>
      <c r="E11730" s="614" t="n">
        <v>1</v>
      </c>
      <c r="F11730" s="617" t="n">
        <v>1720</v>
      </c>
      <c r="G11730" s="615" t="n">
        <f aca="false">F11730*E11730</f>
        <v>1720</v>
      </c>
      <c r="H11730" s="679"/>
    </row>
    <row r="11731" s="451" customFormat="true" ht="15" hidden="false" customHeight="true" outlineLevel="0" collapsed="false">
      <c r="A11731" s="1105"/>
      <c r="B11731" s="532"/>
      <c r="C11731" s="1096" t="s">
        <v>6278</v>
      </c>
      <c r="D11731" s="1097" t="s">
        <v>6310</v>
      </c>
      <c r="E11731" s="1096" t="n">
        <v>5</v>
      </c>
      <c r="F11731" s="1098" t="n">
        <v>393</v>
      </c>
      <c r="G11731" s="615" t="n">
        <v>98.25</v>
      </c>
      <c r="H11731" s="679"/>
    </row>
    <row r="11732" s="451" customFormat="true" ht="15" hidden="false" customHeight="true" outlineLevel="0" collapsed="false">
      <c r="A11732" s="1105"/>
      <c r="B11732" s="532"/>
      <c r="C11732" s="614" t="s">
        <v>6267</v>
      </c>
      <c r="D11732" s="606" t="s">
        <v>6268</v>
      </c>
      <c r="E11732" s="614" t="n">
        <v>3</v>
      </c>
      <c r="F11732" s="617" t="n">
        <v>602</v>
      </c>
      <c r="G11732" s="615" t="n">
        <v>9</v>
      </c>
      <c r="H11732" s="679"/>
    </row>
    <row r="11733" s="451" customFormat="true" ht="15" hidden="false" customHeight="false" outlineLevel="0" collapsed="false">
      <c r="A11733" s="1105"/>
      <c r="B11733" s="532"/>
      <c r="C11733" s="1096" t="s">
        <v>6280</v>
      </c>
      <c r="D11733" s="1097" t="s">
        <v>6311</v>
      </c>
      <c r="E11733" s="1096" t="n">
        <v>1</v>
      </c>
      <c r="F11733" s="1098" t="n">
        <v>842</v>
      </c>
      <c r="G11733" s="615" t="n">
        <f aca="false">F11733*E11733</f>
        <v>842</v>
      </c>
      <c r="H11733" s="679"/>
    </row>
    <row r="11734" s="451" customFormat="true" ht="30" hidden="false" customHeight="false" outlineLevel="0" collapsed="false">
      <c r="A11734" s="1105"/>
      <c r="B11734" s="532"/>
      <c r="C11734" s="614" t="s">
        <v>6283</v>
      </c>
      <c r="D11734" s="606" t="s">
        <v>6416</v>
      </c>
      <c r="E11734" s="954" t="n">
        <v>1</v>
      </c>
      <c r="F11734" s="617" t="n">
        <v>460</v>
      </c>
      <c r="G11734" s="615" t="n">
        <f aca="false">F11734*E11734</f>
        <v>460</v>
      </c>
      <c r="H11734" s="679"/>
    </row>
    <row r="11735" s="451" customFormat="true" ht="15" hidden="false" customHeight="false" outlineLevel="0" collapsed="false">
      <c r="A11735" s="1105"/>
      <c r="B11735" s="532"/>
      <c r="C11735" s="614"/>
      <c r="D11735" s="606"/>
      <c r="E11735" s="606"/>
      <c r="F11735" s="361"/>
      <c r="G11735" s="613" t="n">
        <f aca="false">SUM(G11721:G11734)</f>
        <v>3641.596</v>
      </c>
      <c r="H11735" s="679"/>
    </row>
    <row r="11736" s="451" customFormat="true" ht="30" hidden="false" customHeight="false" outlineLevel="0" collapsed="false">
      <c r="A11736" s="1105" t="s">
        <v>6504</v>
      </c>
      <c r="B11736" s="532" t="s">
        <v>6505</v>
      </c>
      <c r="C11736" s="614"/>
      <c r="D11736" s="606"/>
      <c r="E11736" s="606"/>
      <c r="F11736" s="361"/>
      <c r="G11736" s="613"/>
      <c r="H11736" s="679"/>
    </row>
    <row r="11737" s="451" customFormat="true" ht="45" hidden="false" customHeight="false" outlineLevel="0" collapsed="false">
      <c r="A11737" s="1105"/>
      <c r="B11737" s="532"/>
      <c r="C11737" s="614" t="s">
        <v>6506</v>
      </c>
      <c r="D11737" s="606" t="s">
        <v>6352</v>
      </c>
      <c r="E11737" s="614" t="n">
        <v>0.001</v>
      </c>
      <c r="F11737" s="617" t="n">
        <v>39598</v>
      </c>
      <c r="G11737" s="615" t="n">
        <f aca="false">F11737*E11737</f>
        <v>39.598</v>
      </c>
      <c r="H11737" s="679"/>
    </row>
    <row r="11738" s="451" customFormat="true" ht="15" hidden="false" customHeight="false" outlineLevel="0" collapsed="false">
      <c r="A11738" s="1105"/>
      <c r="B11738" s="532"/>
      <c r="C11738" s="614" t="s">
        <v>4122</v>
      </c>
      <c r="D11738" s="606" t="s">
        <v>4359</v>
      </c>
      <c r="E11738" s="614" t="n">
        <v>0.1</v>
      </c>
      <c r="F11738" s="617" t="n">
        <v>800</v>
      </c>
      <c r="G11738" s="615" t="n">
        <f aca="false">F11738*E11738</f>
        <v>80</v>
      </c>
      <c r="H11738" s="679"/>
    </row>
    <row r="11739" s="451" customFormat="true" ht="15" hidden="false" customHeight="false" outlineLevel="0" collapsed="false">
      <c r="A11739" s="1105"/>
      <c r="B11739" s="532"/>
      <c r="C11739" s="614" t="s">
        <v>6007</v>
      </c>
      <c r="D11739" s="606" t="s">
        <v>6363</v>
      </c>
      <c r="E11739" s="614" t="n">
        <v>20</v>
      </c>
      <c r="F11739" s="617" t="n">
        <v>4771</v>
      </c>
      <c r="G11739" s="615" t="n">
        <v>95</v>
      </c>
      <c r="H11739" s="679"/>
    </row>
    <row r="11740" s="451" customFormat="true" ht="15" hidden="false" customHeight="false" outlineLevel="0" collapsed="false">
      <c r="A11740" s="1105"/>
      <c r="B11740" s="532"/>
      <c r="C11740" s="614" t="s">
        <v>4347</v>
      </c>
      <c r="D11740" s="606" t="s">
        <v>5788</v>
      </c>
      <c r="E11740" s="614" t="n">
        <v>2</v>
      </c>
      <c r="F11740" s="617" t="n">
        <v>1106</v>
      </c>
      <c r="G11740" s="615" t="n">
        <v>22</v>
      </c>
      <c r="H11740" s="679"/>
    </row>
    <row r="11741" s="451" customFormat="true" ht="30" hidden="false" customHeight="false" outlineLevel="0" collapsed="false">
      <c r="A11741" s="1105"/>
      <c r="B11741" s="532"/>
      <c r="C11741" s="614" t="s">
        <v>6394</v>
      </c>
      <c r="D11741" s="606" t="s">
        <v>6329</v>
      </c>
      <c r="E11741" s="614" t="n">
        <v>2</v>
      </c>
      <c r="F11741" s="617" t="n">
        <v>636</v>
      </c>
      <c r="G11741" s="615" t="n">
        <v>2.5</v>
      </c>
      <c r="H11741" s="679"/>
    </row>
    <row r="11742" s="451" customFormat="true" ht="30" hidden="false" customHeight="false" outlineLevel="0" collapsed="false">
      <c r="A11742" s="1105"/>
      <c r="B11742" s="532"/>
      <c r="C11742" s="614" t="s">
        <v>6282</v>
      </c>
      <c r="D11742" s="606" t="s">
        <v>4348</v>
      </c>
      <c r="E11742" s="614" t="n">
        <v>1</v>
      </c>
      <c r="F11742" s="617" t="n">
        <v>1720</v>
      </c>
      <c r="G11742" s="615" t="n">
        <f aca="false">F11742*E11742</f>
        <v>1720</v>
      </c>
      <c r="H11742" s="679"/>
    </row>
    <row r="11743" s="451" customFormat="true" ht="30" hidden="false" customHeight="false" outlineLevel="0" collapsed="false">
      <c r="A11743" s="1105"/>
      <c r="B11743" s="532"/>
      <c r="C11743" s="614" t="s">
        <v>6283</v>
      </c>
      <c r="D11743" s="606" t="s">
        <v>6416</v>
      </c>
      <c r="E11743" s="954" t="n">
        <v>1</v>
      </c>
      <c r="F11743" s="617" t="n">
        <v>460</v>
      </c>
      <c r="G11743" s="615" t="n">
        <f aca="false">F11743*E11743</f>
        <v>460</v>
      </c>
      <c r="H11743" s="679"/>
    </row>
    <row r="11744" s="451" customFormat="true" ht="15" hidden="false" customHeight="false" outlineLevel="0" collapsed="false">
      <c r="A11744" s="1105"/>
      <c r="B11744" s="532"/>
      <c r="C11744" s="614"/>
      <c r="D11744" s="606"/>
      <c r="E11744" s="606"/>
      <c r="F11744" s="361"/>
      <c r="G11744" s="613" t="n">
        <f aca="false">SUM(G11737:G11743)</f>
        <v>2419.098</v>
      </c>
      <c r="H11744" s="679"/>
    </row>
    <row r="11745" s="451" customFormat="true" ht="195" hidden="false" customHeight="false" outlineLevel="0" collapsed="false">
      <c r="A11745" s="1105" t="s">
        <v>6507</v>
      </c>
      <c r="B11745" s="532" t="s">
        <v>3904</v>
      </c>
      <c r="C11745" s="614" t="s">
        <v>6508</v>
      </c>
      <c r="D11745" s="606" t="s">
        <v>6213</v>
      </c>
      <c r="E11745" s="614" t="n">
        <v>1</v>
      </c>
      <c r="F11745" s="617" t="n">
        <v>217755</v>
      </c>
      <c r="G11745" s="615" t="n">
        <v>3959.18</v>
      </c>
      <c r="H11745" s="679"/>
      <c r="XES11745" s="451" t="n">
        <f aca="false">SUM(H11745:XER11745)</f>
        <v>0</v>
      </c>
    </row>
    <row r="11746" s="451" customFormat="true" ht="15" hidden="false" customHeight="false" outlineLevel="0" collapsed="false">
      <c r="A11746" s="1105"/>
      <c r="B11746" s="532"/>
      <c r="C11746" s="614" t="s">
        <v>6007</v>
      </c>
      <c r="D11746" s="606" t="s">
        <v>6363</v>
      </c>
      <c r="E11746" s="614" t="n">
        <v>20</v>
      </c>
      <c r="F11746" s="617" t="n">
        <v>4771</v>
      </c>
      <c r="G11746" s="615" t="n">
        <v>95</v>
      </c>
      <c r="H11746" s="679"/>
    </row>
    <row r="11747" s="451" customFormat="true" ht="15" hidden="false" customHeight="false" outlineLevel="0" collapsed="false">
      <c r="A11747" s="1105"/>
      <c r="B11747" s="532"/>
      <c r="C11747" s="614" t="s">
        <v>6413</v>
      </c>
      <c r="D11747" s="1094" t="s">
        <v>6390</v>
      </c>
      <c r="E11747" s="614" t="n">
        <v>3</v>
      </c>
      <c r="F11747" s="617" t="n">
        <v>353301</v>
      </c>
      <c r="G11747" s="615" t="n">
        <v>1059.9</v>
      </c>
      <c r="H11747" s="679"/>
    </row>
    <row r="11748" s="451" customFormat="true" ht="30" hidden="false" customHeight="false" outlineLevel="0" collapsed="false">
      <c r="A11748" s="1105"/>
      <c r="B11748" s="532"/>
      <c r="C11748" s="614" t="s">
        <v>6414</v>
      </c>
      <c r="D11748" s="606" t="s">
        <v>6415</v>
      </c>
      <c r="E11748" s="954" t="n">
        <v>2</v>
      </c>
      <c r="F11748" s="617" t="n">
        <v>39480</v>
      </c>
      <c r="G11748" s="615" t="n">
        <v>158</v>
      </c>
      <c r="H11748" s="679"/>
    </row>
    <row r="11749" s="451" customFormat="true" ht="15" hidden="false" customHeight="false" outlineLevel="0" collapsed="false">
      <c r="A11749" s="1105"/>
      <c r="B11749" s="532"/>
      <c r="C11749" s="614" t="s">
        <v>4122</v>
      </c>
      <c r="D11749" s="606" t="s">
        <v>4359</v>
      </c>
      <c r="E11749" s="614" t="n">
        <v>0.1</v>
      </c>
      <c r="F11749" s="617" t="n">
        <v>800</v>
      </c>
      <c r="G11749" s="615" t="n">
        <f aca="false">F11749*E11749</f>
        <v>80</v>
      </c>
      <c r="H11749" s="679"/>
      <c r="XES11749" s="451" t="n">
        <f aca="false">SUM(E11749:XER11749)</f>
        <v>880.1</v>
      </c>
    </row>
    <row r="11750" s="451" customFormat="true" ht="30" hidden="false" customHeight="false" outlineLevel="0" collapsed="false">
      <c r="A11750" s="1105"/>
      <c r="B11750" s="532"/>
      <c r="C11750" s="614" t="s">
        <v>6282</v>
      </c>
      <c r="D11750" s="606" t="s">
        <v>4348</v>
      </c>
      <c r="E11750" s="614" t="n">
        <v>1</v>
      </c>
      <c r="F11750" s="617" t="n">
        <v>1720</v>
      </c>
      <c r="G11750" s="615" t="n">
        <f aca="false">F11750*E11750</f>
        <v>1720</v>
      </c>
      <c r="H11750" s="679"/>
      <c r="XES11750" s="451" t="n">
        <f aca="false">SUM(E11750:XER11750)</f>
        <v>3441</v>
      </c>
    </row>
    <row r="11751" s="451" customFormat="true" ht="15" hidden="false" customHeight="false" outlineLevel="0" collapsed="false">
      <c r="A11751" s="1105"/>
      <c r="B11751" s="532"/>
      <c r="C11751" s="614" t="s">
        <v>6366</v>
      </c>
      <c r="D11751" s="606" t="s">
        <v>5788</v>
      </c>
      <c r="E11751" s="614" t="n">
        <v>2</v>
      </c>
      <c r="F11751" s="617" t="n">
        <v>1106</v>
      </c>
      <c r="G11751" s="615" t="n">
        <v>22</v>
      </c>
      <c r="H11751" s="679"/>
      <c r="XES11751" s="451" t="n">
        <f aca="false">SUM(E11751:XER11751)</f>
        <v>1130</v>
      </c>
    </row>
    <row r="11752" s="451" customFormat="true" ht="15" hidden="false" customHeight="false" outlineLevel="0" collapsed="false">
      <c r="A11752" s="1105"/>
      <c r="B11752" s="532"/>
      <c r="C11752" s="614" t="s">
        <v>4270</v>
      </c>
      <c r="D11752" s="606" t="s">
        <v>4359</v>
      </c>
      <c r="E11752" s="614" t="n">
        <v>0</v>
      </c>
      <c r="F11752" s="617" t="n">
        <v>690</v>
      </c>
      <c r="G11752" s="615" t="n">
        <f aca="false">F11752*E11752</f>
        <v>0</v>
      </c>
      <c r="H11752" s="679"/>
      <c r="XES11752" s="451" t="n">
        <f aca="false">SUM(E11752:XER11752)</f>
        <v>690</v>
      </c>
    </row>
    <row r="11753" s="451" customFormat="true" ht="30" hidden="false" customHeight="false" outlineLevel="0" collapsed="false">
      <c r="A11753" s="1105"/>
      <c r="B11753" s="532"/>
      <c r="C11753" s="614" t="s">
        <v>6283</v>
      </c>
      <c r="D11753" s="606" t="s">
        <v>6416</v>
      </c>
      <c r="E11753" s="954" t="n">
        <v>1</v>
      </c>
      <c r="F11753" s="617" t="n">
        <v>460</v>
      </c>
      <c r="G11753" s="615" t="n">
        <f aca="false">F11753*E11753</f>
        <v>460</v>
      </c>
      <c r="H11753" s="679"/>
      <c r="XES11753" s="451" t="n">
        <f aca="false">SUM(E11753:XER11753)</f>
        <v>921</v>
      </c>
    </row>
    <row r="11754" s="451" customFormat="true" ht="15" hidden="false" customHeight="false" outlineLevel="0" collapsed="false">
      <c r="A11754" s="1105"/>
      <c r="B11754" s="532"/>
      <c r="C11754" s="614"/>
      <c r="D11754" s="606"/>
      <c r="E11754" s="606"/>
      <c r="F11754" s="361"/>
      <c r="G11754" s="613" t="n">
        <f aca="false">SUM(G11745:G11753)</f>
        <v>7554.08</v>
      </c>
      <c r="H11754" s="679"/>
    </row>
    <row r="11755" s="451" customFormat="true" ht="15" hidden="false" customHeight="false" outlineLevel="0" collapsed="false">
      <c r="A11755" s="471" t="s">
        <v>6509</v>
      </c>
      <c r="B11755" s="532" t="s">
        <v>6510</v>
      </c>
      <c r="C11755" s="614" t="s">
        <v>6511</v>
      </c>
      <c r="D11755" s="606" t="s">
        <v>6512</v>
      </c>
      <c r="E11755" s="614" t="n">
        <v>1</v>
      </c>
      <c r="F11755" s="617" t="n">
        <v>4041.6</v>
      </c>
      <c r="G11755" s="615" t="n">
        <f aca="false">F11755/96</f>
        <v>42.1</v>
      </c>
      <c r="H11755" s="679"/>
    </row>
    <row r="11756" s="451" customFormat="true" ht="15" hidden="false" customHeight="false" outlineLevel="0" collapsed="false">
      <c r="A11756" s="471"/>
      <c r="B11756" s="532"/>
      <c r="C11756" s="614" t="s">
        <v>4122</v>
      </c>
      <c r="D11756" s="606" t="s">
        <v>4359</v>
      </c>
      <c r="E11756" s="614" t="n">
        <v>0.1</v>
      </c>
      <c r="F11756" s="617" t="n">
        <v>800</v>
      </c>
      <c r="G11756" s="615" t="n">
        <f aca="false">F11756*E11756</f>
        <v>80</v>
      </c>
      <c r="H11756" s="679"/>
    </row>
    <row r="11757" s="451" customFormat="true" ht="15" hidden="false" customHeight="false" outlineLevel="0" collapsed="false">
      <c r="A11757" s="471"/>
      <c r="B11757" s="532"/>
      <c r="C11757" s="614" t="s">
        <v>6007</v>
      </c>
      <c r="D11757" s="606" t="s">
        <v>6363</v>
      </c>
      <c r="E11757" s="614" t="n">
        <v>20</v>
      </c>
      <c r="F11757" s="617" t="n">
        <v>4771</v>
      </c>
      <c r="G11757" s="615" t="n">
        <v>95</v>
      </c>
      <c r="H11757" s="679"/>
    </row>
    <row r="11758" s="451" customFormat="true" ht="26.25" hidden="false" customHeight="true" outlineLevel="0" collapsed="false">
      <c r="A11758" s="471"/>
      <c r="B11758" s="532"/>
      <c r="C11758" s="614" t="s">
        <v>6394</v>
      </c>
      <c r="D11758" s="606" t="s">
        <v>6329</v>
      </c>
      <c r="E11758" s="614" t="n">
        <v>2</v>
      </c>
      <c r="F11758" s="617" t="n">
        <v>636</v>
      </c>
      <c r="G11758" s="615" t="n">
        <v>2.5</v>
      </c>
      <c r="H11758" s="679"/>
    </row>
    <row r="11759" s="451" customFormat="true" ht="18.75" hidden="false" customHeight="true" outlineLevel="0" collapsed="false">
      <c r="A11759" s="471"/>
      <c r="B11759" s="532"/>
      <c r="C11759" s="614" t="s">
        <v>4270</v>
      </c>
      <c r="D11759" s="606" t="s">
        <v>4359</v>
      </c>
      <c r="E11759" s="614" t="n">
        <v>0</v>
      </c>
      <c r="F11759" s="617" t="n">
        <v>690</v>
      </c>
      <c r="G11759" s="615" t="n">
        <f aca="false">F11759*E11759</f>
        <v>0</v>
      </c>
      <c r="H11759" s="679"/>
    </row>
    <row r="11760" s="451" customFormat="true" ht="15" hidden="false" customHeight="false" outlineLevel="0" collapsed="false">
      <c r="A11760" s="471"/>
      <c r="B11760" s="532"/>
      <c r="C11760" s="614" t="s">
        <v>4347</v>
      </c>
      <c r="D11760" s="606" t="s">
        <v>5788</v>
      </c>
      <c r="E11760" s="614" t="n">
        <v>2</v>
      </c>
      <c r="F11760" s="617" t="n">
        <v>1106</v>
      </c>
      <c r="G11760" s="615" t="n">
        <v>22</v>
      </c>
      <c r="H11760" s="679"/>
    </row>
    <row r="11761" s="451" customFormat="true" ht="30" hidden="false" customHeight="false" outlineLevel="0" collapsed="false">
      <c r="A11761" s="471"/>
      <c r="B11761" s="532"/>
      <c r="C11761" s="614" t="s">
        <v>6282</v>
      </c>
      <c r="D11761" s="606" t="s">
        <v>4348</v>
      </c>
      <c r="E11761" s="614" t="n">
        <v>1</v>
      </c>
      <c r="F11761" s="617" t="n">
        <v>1720</v>
      </c>
      <c r="G11761" s="615" t="n">
        <f aca="false">F11761*E11761</f>
        <v>1720</v>
      </c>
      <c r="H11761" s="679"/>
    </row>
    <row r="11762" s="451" customFormat="true" ht="30" hidden="false" customHeight="false" outlineLevel="0" collapsed="false">
      <c r="A11762" s="471"/>
      <c r="B11762" s="532"/>
      <c r="C11762" s="614" t="s">
        <v>6283</v>
      </c>
      <c r="D11762" s="606" t="s">
        <v>6416</v>
      </c>
      <c r="E11762" s="954" t="n">
        <v>1</v>
      </c>
      <c r="F11762" s="617" t="n">
        <v>460</v>
      </c>
      <c r="G11762" s="615" t="n">
        <f aca="false">F11762*E11762</f>
        <v>460</v>
      </c>
      <c r="H11762" s="679"/>
    </row>
    <row r="11763" s="451" customFormat="true" ht="15" hidden="false" customHeight="false" outlineLevel="0" collapsed="false">
      <c r="A11763" s="471"/>
      <c r="B11763" s="796"/>
      <c r="C11763" s="614"/>
      <c r="D11763" s="606"/>
      <c r="E11763" s="606"/>
      <c r="F11763" s="361"/>
      <c r="G11763" s="613" t="n">
        <f aca="false">SUM(G11755:G11762)</f>
        <v>2421.6</v>
      </c>
      <c r="H11763" s="679"/>
    </row>
    <row r="11764" s="451" customFormat="true" ht="15" hidden="false" customHeight="false" outlineLevel="0" collapsed="false">
      <c r="A11764" s="1106" t="s">
        <v>2353</v>
      </c>
      <c r="B11764" s="1079" t="s">
        <v>2354</v>
      </c>
      <c r="C11764" s="614"/>
      <c r="D11764" s="606"/>
      <c r="E11764" s="606"/>
      <c r="F11764" s="361"/>
      <c r="G11764" s="613"/>
      <c r="H11764" s="719"/>
    </row>
    <row r="11765" s="451" customFormat="true" ht="34.5" hidden="false" customHeight="true" outlineLevel="0" collapsed="false">
      <c r="A11765" s="709" t="s">
        <v>6513</v>
      </c>
      <c r="B11765" s="532" t="s">
        <v>6514</v>
      </c>
      <c r="C11765" s="614" t="s">
        <v>6419</v>
      </c>
      <c r="D11765" s="606" t="s">
        <v>6420</v>
      </c>
      <c r="E11765" s="614" t="n">
        <v>0.002</v>
      </c>
      <c r="F11765" s="617" t="n">
        <v>34500</v>
      </c>
      <c r="G11765" s="615" t="n">
        <f aca="false">F11765*E11765</f>
        <v>69</v>
      </c>
      <c r="H11765" s="679"/>
    </row>
    <row r="11766" s="451" customFormat="true" ht="15" hidden="false" customHeight="false" outlineLevel="0" collapsed="false">
      <c r="A11766" s="471"/>
      <c r="B11766" s="796"/>
      <c r="C11766" s="614" t="s">
        <v>6333</v>
      </c>
      <c r="D11766" s="606" t="s">
        <v>6421</v>
      </c>
      <c r="E11766" s="614" t="n">
        <v>0.001</v>
      </c>
      <c r="F11766" s="617" t="n">
        <v>45172</v>
      </c>
      <c r="G11766" s="615" t="n">
        <f aca="false">F11766*E11766</f>
        <v>45.172</v>
      </c>
      <c r="H11766" s="679"/>
    </row>
    <row r="11767" s="451" customFormat="true" ht="15" hidden="false" customHeight="false" outlineLevel="0" collapsed="false">
      <c r="A11767" s="471"/>
      <c r="B11767" s="796"/>
      <c r="C11767" s="614" t="s">
        <v>4347</v>
      </c>
      <c r="D11767" s="606" t="s">
        <v>5788</v>
      </c>
      <c r="E11767" s="614" t="n">
        <v>2</v>
      </c>
      <c r="F11767" s="617" t="n">
        <v>1106</v>
      </c>
      <c r="G11767" s="615" t="n">
        <v>22</v>
      </c>
      <c r="H11767" s="679"/>
    </row>
    <row r="11768" s="451" customFormat="true" ht="30" hidden="false" customHeight="false" outlineLevel="0" collapsed="false">
      <c r="A11768" s="471"/>
      <c r="B11768" s="796"/>
      <c r="C11768" s="614" t="s">
        <v>6282</v>
      </c>
      <c r="D11768" s="606" t="s">
        <v>4348</v>
      </c>
      <c r="E11768" s="614" t="n">
        <v>1</v>
      </c>
      <c r="F11768" s="617" t="n">
        <v>1970</v>
      </c>
      <c r="G11768" s="615" t="n">
        <f aca="false">F11768*E11768</f>
        <v>1970</v>
      </c>
      <c r="H11768" s="679"/>
    </row>
    <row r="11769" s="451" customFormat="true" ht="15" hidden="false" customHeight="false" outlineLevel="0" collapsed="false">
      <c r="A11769" s="471"/>
      <c r="B11769" s="796"/>
      <c r="C11769" s="614" t="s">
        <v>4122</v>
      </c>
      <c r="D11769" s="606" t="s">
        <v>4359</v>
      </c>
      <c r="E11769" s="614" t="n">
        <v>0.2</v>
      </c>
      <c r="F11769" s="617" t="n">
        <v>800</v>
      </c>
      <c r="G11769" s="615" t="n">
        <f aca="false">F11769*E11769</f>
        <v>160</v>
      </c>
      <c r="H11769" s="679"/>
    </row>
    <row r="11770" s="451" customFormat="true" ht="30" hidden="false" customHeight="false" outlineLevel="0" collapsed="false">
      <c r="A11770" s="471"/>
      <c r="B11770" s="796"/>
      <c r="C11770" s="614" t="s">
        <v>6394</v>
      </c>
      <c r="D11770" s="606" t="s">
        <v>6329</v>
      </c>
      <c r="E11770" s="614" t="n">
        <v>2</v>
      </c>
      <c r="F11770" s="617" t="n">
        <v>636</v>
      </c>
      <c r="G11770" s="615" t="n">
        <v>2.5</v>
      </c>
      <c r="H11770" s="679"/>
    </row>
    <row r="11771" s="451" customFormat="true" ht="15" hidden="false" customHeight="false" outlineLevel="0" collapsed="false">
      <c r="A11771" s="471"/>
      <c r="B11771" s="796"/>
      <c r="C11771" s="614" t="s">
        <v>6007</v>
      </c>
      <c r="D11771" s="606" t="s">
        <v>6363</v>
      </c>
      <c r="E11771" s="614" t="n">
        <v>20</v>
      </c>
      <c r="F11771" s="617" t="n">
        <v>4771</v>
      </c>
      <c r="G11771" s="615" t="n">
        <v>95</v>
      </c>
      <c r="H11771" s="679"/>
    </row>
    <row r="11772" s="451" customFormat="true" ht="30" hidden="false" customHeight="false" outlineLevel="0" collapsed="false">
      <c r="A11772" s="471"/>
      <c r="B11772" s="796"/>
      <c r="C11772" s="614" t="s">
        <v>6283</v>
      </c>
      <c r="D11772" s="606" t="s">
        <v>6416</v>
      </c>
      <c r="E11772" s="954" t="n">
        <v>1</v>
      </c>
      <c r="F11772" s="617" t="n">
        <v>460</v>
      </c>
      <c r="G11772" s="615" t="n">
        <f aca="false">F11772*E11772</f>
        <v>460</v>
      </c>
      <c r="H11772" s="679"/>
    </row>
    <row r="11773" s="451" customFormat="true" ht="15" hidden="false" customHeight="false" outlineLevel="0" collapsed="false">
      <c r="A11773" s="471"/>
      <c r="B11773" s="796"/>
      <c r="C11773" s="1096" t="s">
        <v>6278</v>
      </c>
      <c r="D11773" s="1097" t="s">
        <v>6310</v>
      </c>
      <c r="E11773" s="1096" t="n">
        <v>5</v>
      </c>
      <c r="F11773" s="1098" t="n">
        <v>393</v>
      </c>
      <c r="G11773" s="615" t="n">
        <v>98.25</v>
      </c>
      <c r="H11773" s="679"/>
    </row>
    <row r="11774" s="451" customFormat="true" ht="15" hidden="false" customHeight="false" outlineLevel="0" collapsed="false">
      <c r="A11774" s="471"/>
      <c r="B11774" s="796"/>
      <c r="C11774" s="614" t="s">
        <v>6267</v>
      </c>
      <c r="D11774" s="606" t="s">
        <v>6268</v>
      </c>
      <c r="E11774" s="614" t="n">
        <v>2</v>
      </c>
      <c r="F11774" s="617" t="n">
        <v>602</v>
      </c>
      <c r="G11774" s="615" t="n">
        <v>6</v>
      </c>
      <c r="H11774" s="679"/>
    </row>
    <row r="11775" s="451" customFormat="true" ht="15" hidden="false" customHeight="false" outlineLevel="0" collapsed="false">
      <c r="A11775" s="471"/>
      <c r="B11775" s="796"/>
      <c r="C11775" s="1096" t="s">
        <v>6280</v>
      </c>
      <c r="D11775" s="1097" t="s">
        <v>6311</v>
      </c>
      <c r="E11775" s="1096" t="n">
        <v>1</v>
      </c>
      <c r="F11775" s="1098" t="n">
        <v>842</v>
      </c>
      <c r="G11775" s="615" t="n">
        <f aca="false">F11775*E11775</f>
        <v>842</v>
      </c>
      <c r="H11775" s="679"/>
    </row>
    <row r="11776" s="451" customFormat="true" ht="15" hidden="false" customHeight="false" outlineLevel="0" collapsed="false">
      <c r="A11776" s="471"/>
      <c r="B11776" s="796"/>
      <c r="C11776" s="614"/>
      <c r="D11776" s="606"/>
      <c r="E11776" s="606"/>
      <c r="F11776" s="361"/>
      <c r="G11776" s="613" t="n">
        <f aca="false">SUM(G11765:G11775)</f>
        <v>3769.922</v>
      </c>
      <c r="H11776" s="679"/>
    </row>
    <row r="11777" s="451" customFormat="true" ht="30" hidden="false" customHeight="false" outlineLevel="0" collapsed="false">
      <c r="A11777" s="709" t="s">
        <v>6515</v>
      </c>
      <c r="B11777" s="532" t="s">
        <v>6516</v>
      </c>
      <c r="C11777" s="614" t="s">
        <v>6517</v>
      </c>
      <c r="D11777" s="606" t="s">
        <v>6518</v>
      </c>
      <c r="E11777" s="614" t="n">
        <v>0.002</v>
      </c>
      <c r="F11777" s="617" t="n">
        <v>40037</v>
      </c>
      <c r="G11777" s="615" t="n">
        <f aca="false">F11777*E11777</f>
        <v>80.074</v>
      </c>
      <c r="H11777" s="679"/>
    </row>
    <row r="11778" s="451" customFormat="true" ht="15" hidden="false" customHeight="false" outlineLevel="0" collapsed="false">
      <c r="A11778" s="709"/>
      <c r="B11778" s="532"/>
      <c r="C11778" s="614" t="s">
        <v>4122</v>
      </c>
      <c r="D11778" s="606" t="s">
        <v>4359</v>
      </c>
      <c r="E11778" s="614" t="n">
        <v>0.1</v>
      </c>
      <c r="F11778" s="617" t="n">
        <v>800</v>
      </c>
      <c r="G11778" s="615" t="n">
        <f aca="false">F11778*E11778</f>
        <v>80</v>
      </c>
      <c r="H11778" s="679"/>
    </row>
    <row r="11779" s="451" customFormat="true" ht="15" hidden="false" customHeight="false" outlineLevel="0" collapsed="false">
      <c r="A11779" s="709"/>
      <c r="B11779" s="532"/>
      <c r="C11779" s="614" t="s">
        <v>6007</v>
      </c>
      <c r="D11779" s="606" t="s">
        <v>6363</v>
      </c>
      <c r="E11779" s="614" t="n">
        <v>20</v>
      </c>
      <c r="F11779" s="617" t="n">
        <v>4771</v>
      </c>
      <c r="G11779" s="615" t="n">
        <v>95</v>
      </c>
      <c r="H11779" s="679"/>
    </row>
    <row r="11780" s="451" customFormat="true" ht="15" hidden="false" customHeight="false" outlineLevel="0" collapsed="false">
      <c r="A11780" s="709"/>
      <c r="B11780" s="532"/>
      <c r="C11780" s="614" t="s">
        <v>4347</v>
      </c>
      <c r="D11780" s="606" t="s">
        <v>5788</v>
      </c>
      <c r="E11780" s="614" t="n">
        <v>2</v>
      </c>
      <c r="F11780" s="617" t="n">
        <v>1106</v>
      </c>
      <c r="G11780" s="615" t="n">
        <v>22</v>
      </c>
      <c r="H11780" s="679"/>
    </row>
    <row r="11781" s="451" customFormat="true" ht="30" hidden="false" customHeight="false" outlineLevel="0" collapsed="false">
      <c r="A11781" s="471"/>
      <c r="B11781" s="796"/>
      <c r="C11781" s="614" t="s">
        <v>6394</v>
      </c>
      <c r="D11781" s="606" t="s">
        <v>6329</v>
      </c>
      <c r="E11781" s="614" t="n">
        <v>2</v>
      </c>
      <c r="F11781" s="617" t="n">
        <v>636</v>
      </c>
      <c r="G11781" s="615" t="n">
        <v>2.5</v>
      </c>
      <c r="H11781" s="679"/>
    </row>
    <row r="11782" s="451" customFormat="true" ht="15" hidden="false" customHeight="false" outlineLevel="0" collapsed="false">
      <c r="A11782" s="471"/>
      <c r="B11782" s="796"/>
      <c r="C11782" s="614" t="s">
        <v>4270</v>
      </c>
      <c r="D11782" s="606" t="s">
        <v>4359</v>
      </c>
      <c r="E11782" s="614" t="n">
        <v>0.02</v>
      </c>
      <c r="F11782" s="617" t="n">
        <v>9866</v>
      </c>
      <c r="G11782" s="615" t="n">
        <f aca="false">F11782*E11782</f>
        <v>197.32</v>
      </c>
      <c r="H11782" s="679"/>
    </row>
    <row r="11783" s="451" customFormat="true" ht="30" hidden="false" customHeight="false" outlineLevel="0" collapsed="false">
      <c r="A11783" s="471"/>
      <c r="B11783" s="796"/>
      <c r="C11783" s="614" t="s">
        <v>6283</v>
      </c>
      <c r="D11783" s="606" t="s">
        <v>6416</v>
      </c>
      <c r="E11783" s="954" t="n">
        <v>1</v>
      </c>
      <c r="F11783" s="617" t="n">
        <v>460</v>
      </c>
      <c r="G11783" s="615" t="n">
        <f aca="false">F11783*E11783</f>
        <v>460</v>
      </c>
      <c r="H11783" s="679"/>
    </row>
    <row r="11784" s="451" customFormat="true" ht="15" hidden="false" customHeight="false" outlineLevel="0" collapsed="false">
      <c r="A11784" s="709"/>
      <c r="B11784" s="532"/>
      <c r="C11784" s="614"/>
      <c r="D11784" s="606"/>
      <c r="E11784" s="606"/>
      <c r="F11784" s="361"/>
      <c r="G11784" s="613" t="n">
        <f aca="false">SUM(G11777:G11783)</f>
        <v>936.894</v>
      </c>
      <c r="H11784" s="679"/>
    </row>
    <row r="11785" s="451" customFormat="true" ht="15" hidden="false" customHeight="true" outlineLevel="0" collapsed="false">
      <c r="A11785" s="709" t="s">
        <v>6519</v>
      </c>
      <c r="B11785" s="532" t="s">
        <v>6520</v>
      </c>
      <c r="C11785" s="614" t="s">
        <v>6521</v>
      </c>
      <c r="D11785" s="606" t="s">
        <v>6512</v>
      </c>
      <c r="E11785" s="614" t="n">
        <v>1</v>
      </c>
      <c r="F11785" s="617" t="n">
        <v>269438</v>
      </c>
      <c r="G11785" s="615" t="n">
        <v>2245.316</v>
      </c>
      <c r="H11785" s="679"/>
    </row>
    <row r="11786" s="451" customFormat="true" ht="15" hidden="false" customHeight="false" outlineLevel="0" collapsed="false">
      <c r="A11786" s="471"/>
      <c r="B11786" s="796"/>
      <c r="C11786" s="614" t="s">
        <v>4122</v>
      </c>
      <c r="D11786" s="606" t="s">
        <v>4359</v>
      </c>
      <c r="E11786" s="614" t="n">
        <v>0.1</v>
      </c>
      <c r="F11786" s="617" t="n">
        <v>800</v>
      </c>
      <c r="G11786" s="615" t="n">
        <f aca="false">F11786*E11786</f>
        <v>80</v>
      </c>
      <c r="H11786" s="679"/>
    </row>
    <row r="11787" s="451" customFormat="true" ht="15" hidden="false" customHeight="false" outlineLevel="0" collapsed="false">
      <c r="A11787" s="471"/>
      <c r="B11787" s="796"/>
      <c r="C11787" s="614" t="s">
        <v>6007</v>
      </c>
      <c r="D11787" s="606" t="s">
        <v>6363</v>
      </c>
      <c r="E11787" s="614" t="n">
        <v>20</v>
      </c>
      <c r="F11787" s="617" t="n">
        <v>4771</v>
      </c>
      <c r="G11787" s="615" t="n">
        <v>95</v>
      </c>
      <c r="H11787" s="679"/>
    </row>
    <row r="11788" s="451" customFormat="true" ht="30" hidden="false" customHeight="false" outlineLevel="0" collapsed="false">
      <c r="A11788" s="471"/>
      <c r="B11788" s="796"/>
      <c r="C11788" s="614" t="s">
        <v>6394</v>
      </c>
      <c r="D11788" s="606" t="s">
        <v>6329</v>
      </c>
      <c r="E11788" s="614" t="n">
        <v>2</v>
      </c>
      <c r="F11788" s="617" t="n">
        <v>636</v>
      </c>
      <c r="G11788" s="615" t="n">
        <v>2.5</v>
      </c>
      <c r="H11788" s="679"/>
    </row>
    <row r="11789" s="451" customFormat="true" ht="15" hidden="false" customHeight="false" outlineLevel="0" collapsed="false">
      <c r="A11789" s="471"/>
      <c r="B11789" s="796"/>
      <c r="C11789" s="614" t="s">
        <v>4270</v>
      </c>
      <c r="D11789" s="606" t="s">
        <v>4359</v>
      </c>
      <c r="E11789" s="614" t="n">
        <v>0</v>
      </c>
      <c r="F11789" s="617" t="n">
        <v>690</v>
      </c>
      <c r="G11789" s="615" t="n">
        <f aca="false">F11789*E11789</f>
        <v>0</v>
      </c>
      <c r="H11789" s="679"/>
    </row>
    <row r="11790" s="451" customFormat="true" ht="15" hidden="false" customHeight="false" outlineLevel="0" collapsed="false">
      <c r="A11790" s="471"/>
      <c r="B11790" s="796"/>
      <c r="C11790" s="614" t="s">
        <v>4347</v>
      </c>
      <c r="D11790" s="606" t="s">
        <v>5788</v>
      </c>
      <c r="E11790" s="614" t="n">
        <v>2</v>
      </c>
      <c r="F11790" s="617" t="n">
        <v>1106</v>
      </c>
      <c r="G11790" s="615" t="n">
        <v>22</v>
      </c>
      <c r="H11790" s="679"/>
    </row>
    <row r="11791" s="451" customFormat="true" ht="30" hidden="false" customHeight="false" outlineLevel="0" collapsed="false">
      <c r="A11791" s="471"/>
      <c r="B11791" s="796"/>
      <c r="C11791" s="614" t="s">
        <v>6282</v>
      </c>
      <c r="D11791" s="606" t="s">
        <v>4348</v>
      </c>
      <c r="E11791" s="614" t="n">
        <v>1</v>
      </c>
      <c r="F11791" s="617" t="n">
        <v>1720</v>
      </c>
      <c r="G11791" s="615" t="n">
        <f aca="false">F11791*E11791</f>
        <v>1720</v>
      </c>
      <c r="H11791" s="679"/>
    </row>
    <row r="11792" s="451" customFormat="true" ht="30" hidden="false" customHeight="false" outlineLevel="0" collapsed="false">
      <c r="A11792" s="471"/>
      <c r="B11792" s="796"/>
      <c r="C11792" s="614" t="s">
        <v>6283</v>
      </c>
      <c r="D11792" s="606" t="s">
        <v>6416</v>
      </c>
      <c r="E11792" s="954" t="n">
        <v>1</v>
      </c>
      <c r="F11792" s="617" t="n">
        <v>460</v>
      </c>
      <c r="G11792" s="615" t="n">
        <f aca="false">F11792*E11792</f>
        <v>460</v>
      </c>
      <c r="H11792" s="679"/>
    </row>
    <row r="11793" s="451" customFormat="true" ht="15" hidden="false" customHeight="false" outlineLevel="0" collapsed="false">
      <c r="A11793" s="471"/>
      <c r="B11793" s="796"/>
      <c r="C11793" s="614"/>
      <c r="D11793" s="606"/>
      <c r="E11793" s="606"/>
      <c r="F11793" s="361"/>
      <c r="G11793" s="613" t="n">
        <f aca="false">SUM(G11785:G11792)</f>
        <v>4624.816</v>
      </c>
      <c r="H11793" s="679"/>
    </row>
    <row r="11794" s="451" customFormat="true" ht="30" hidden="false" customHeight="false" outlineLevel="0" collapsed="false">
      <c r="A11794" s="709" t="s">
        <v>6522</v>
      </c>
      <c r="B11794" s="532" t="s">
        <v>6523</v>
      </c>
      <c r="C11794" s="614" t="s">
        <v>6524</v>
      </c>
      <c r="D11794" s="606" t="s">
        <v>6326</v>
      </c>
      <c r="E11794" s="614" t="n">
        <v>1</v>
      </c>
      <c r="F11794" s="617" t="n">
        <v>350170</v>
      </c>
      <c r="G11794" s="615" t="n">
        <v>5836.1</v>
      </c>
      <c r="H11794" s="679"/>
    </row>
    <row r="11795" s="451" customFormat="true" ht="15" hidden="false" customHeight="false" outlineLevel="0" collapsed="false">
      <c r="A11795" s="709"/>
      <c r="B11795" s="532"/>
      <c r="C11795" s="614" t="s">
        <v>6007</v>
      </c>
      <c r="D11795" s="606" t="s">
        <v>6363</v>
      </c>
      <c r="E11795" s="614" t="n">
        <v>20</v>
      </c>
      <c r="F11795" s="617" t="n">
        <v>4771</v>
      </c>
      <c r="G11795" s="615" t="n">
        <v>95</v>
      </c>
      <c r="H11795" s="679"/>
    </row>
    <row r="11796" s="451" customFormat="true" ht="15" hidden="false" customHeight="false" outlineLevel="0" collapsed="false">
      <c r="A11796" s="709"/>
      <c r="B11796" s="532"/>
      <c r="C11796" s="614" t="s">
        <v>6413</v>
      </c>
      <c r="D11796" s="1094" t="s">
        <v>6390</v>
      </c>
      <c r="E11796" s="614" t="n">
        <v>3</v>
      </c>
      <c r="F11796" s="617" t="n">
        <v>353301</v>
      </c>
      <c r="G11796" s="615" t="n">
        <v>1059.9</v>
      </c>
      <c r="H11796" s="679"/>
    </row>
    <row r="11797" s="451" customFormat="true" ht="30" hidden="false" customHeight="false" outlineLevel="0" collapsed="false">
      <c r="A11797" s="709"/>
      <c r="B11797" s="532"/>
      <c r="C11797" s="614" t="s">
        <v>6414</v>
      </c>
      <c r="D11797" s="606" t="s">
        <v>6415</v>
      </c>
      <c r="E11797" s="954" t="n">
        <v>2</v>
      </c>
      <c r="F11797" s="617" t="n">
        <v>39480</v>
      </c>
      <c r="G11797" s="615" t="n">
        <v>158</v>
      </c>
      <c r="H11797" s="679"/>
    </row>
    <row r="11798" s="451" customFormat="true" ht="15" hidden="false" customHeight="false" outlineLevel="0" collapsed="false">
      <c r="A11798" s="709"/>
      <c r="B11798" s="532"/>
      <c r="C11798" s="614" t="s">
        <v>4122</v>
      </c>
      <c r="D11798" s="606" t="s">
        <v>4359</v>
      </c>
      <c r="E11798" s="614" t="n">
        <v>0.1</v>
      </c>
      <c r="F11798" s="617" t="n">
        <v>800</v>
      </c>
      <c r="G11798" s="615" t="n">
        <f aca="false">F11798*E11798</f>
        <v>80</v>
      </c>
      <c r="H11798" s="679"/>
    </row>
    <row r="11799" s="451" customFormat="true" ht="30" hidden="false" customHeight="false" outlineLevel="0" collapsed="false">
      <c r="A11799" s="709"/>
      <c r="B11799" s="532"/>
      <c r="C11799" s="614" t="s">
        <v>6282</v>
      </c>
      <c r="D11799" s="606" t="s">
        <v>4348</v>
      </c>
      <c r="E11799" s="614" t="n">
        <v>1</v>
      </c>
      <c r="F11799" s="617" t="n">
        <v>1720</v>
      </c>
      <c r="G11799" s="615" t="n">
        <f aca="false">F11799*E11799</f>
        <v>1720</v>
      </c>
      <c r="H11799" s="679"/>
    </row>
    <row r="11800" s="451" customFormat="true" ht="15" hidden="false" customHeight="false" outlineLevel="0" collapsed="false">
      <c r="A11800" s="709"/>
      <c r="B11800" s="532"/>
      <c r="C11800" s="614" t="s">
        <v>6366</v>
      </c>
      <c r="D11800" s="606" t="s">
        <v>5788</v>
      </c>
      <c r="E11800" s="614" t="n">
        <v>2</v>
      </c>
      <c r="F11800" s="617" t="n">
        <v>1106</v>
      </c>
      <c r="G11800" s="615" t="n">
        <v>22</v>
      </c>
      <c r="H11800" s="679"/>
    </row>
    <row r="11801" s="451" customFormat="true" ht="15" hidden="false" customHeight="false" outlineLevel="0" collapsed="false">
      <c r="A11801" s="709"/>
      <c r="B11801" s="532"/>
      <c r="C11801" s="614" t="s">
        <v>4270</v>
      </c>
      <c r="D11801" s="606" t="s">
        <v>4359</v>
      </c>
      <c r="E11801" s="614" t="n">
        <v>0</v>
      </c>
      <c r="F11801" s="617" t="n">
        <v>690</v>
      </c>
      <c r="G11801" s="615" t="n">
        <f aca="false">F11801*E11801</f>
        <v>0</v>
      </c>
      <c r="H11801" s="679"/>
    </row>
    <row r="11802" s="451" customFormat="true" ht="30" hidden="false" customHeight="false" outlineLevel="0" collapsed="false">
      <c r="A11802" s="471"/>
      <c r="B11802" s="796"/>
      <c r="C11802" s="614" t="s">
        <v>6283</v>
      </c>
      <c r="D11802" s="606" t="s">
        <v>6416</v>
      </c>
      <c r="E11802" s="954" t="n">
        <v>1</v>
      </c>
      <c r="F11802" s="617" t="n">
        <v>460</v>
      </c>
      <c r="G11802" s="615" t="n">
        <f aca="false">F11802*E11802</f>
        <v>460</v>
      </c>
      <c r="H11802" s="679"/>
    </row>
    <row r="11803" s="451" customFormat="true" ht="15" hidden="false" customHeight="false" outlineLevel="0" collapsed="false">
      <c r="A11803" s="709"/>
      <c r="B11803" s="532"/>
      <c r="C11803" s="709"/>
      <c r="D11803" s="679"/>
      <c r="E11803" s="679"/>
      <c r="F11803" s="369"/>
      <c r="G11803" s="711" t="n">
        <f aca="false">SUM(G11794:G11802)</f>
        <v>9431</v>
      </c>
      <c r="H11803" s="679"/>
    </row>
    <row r="11804" s="451" customFormat="true" ht="28.5" hidden="false" customHeight="false" outlineLevel="0" collapsed="false">
      <c r="A11804" s="510" t="s">
        <v>2363</v>
      </c>
      <c r="B11804" s="346" t="s">
        <v>3910</v>
      </c>
      <c r="C11804" s="600"/>
      <c r="D11804" s="600"/>
      <c r="E11804" s="600"/>
      <c r="F11804" s="364"/>
      <c r="G11804" s="713"/>
      <c r="H11804" s="790"/>
    </row>
    <row r="11805" s="451" customFormat="true" ht="75" hidden="false" customHeight="false" outlineLevel="0" collapsed="false">
      <c r="A11805" s="709" t="s">
        <v>6525</v>
      </c>
      <c r="B11805" s="532" t="s">
        <v>6526</v>
      </c>
      <c r="C11805" s="709" t="s">
        <v>6527</v>
      </c>
      <c r="D11805" s="1093" t="s">
        <v>6488</v>
      </c>
      <c r="E11805" s="709" t="n">
        <v>0.001</v>
      </c>
      <c r="F11805" s="681" t="n">
        <v>116706</v>
      </c>
      <c r="G11805" s="716" t="n">
        <f aca="false">F11805*E11805</f>
        <v>116.706</v>
      </c>
      <c r="H11805" s="679"/>
    </row>
    <row r="11806" s="451" customFormat="true" ht="15" hidden="false" customHeight="false" outlineLevel="0" collapsed="false">
      <c r="A11806" s="471"/>
      <c r="B11806" s="796"/>
      <c r="C11806" s="614" t="s">
        <v>4122</v>
      </c>
      <c r="D11806" s="606" t="s">
        <v>4359</v>
      </c>
      <c r="E11806" s="614" t="n">
        <v>0.1</v>
      </c>
      <c r="F11806" s="617" t="n">
        <v>800</v>
      </c>
      <c r="G11806" s="615" t="n">
        <f aca="false">F11806*E11806</f>
        <v>80</v>
      </c>
      <c r="H11806" s="679"/>
    </row>
    <row r="11807" s="451" customFormat="true" ht="30" hidden="false" customHeight="false" outlineLevel="0" collapsed="false">
      <c r="A11807" s="471"/>
      <c r="B11807" s="796"/>
      <c r="C11807" s="614" t="s">
        <v>6282</v>
      </c>
      <c r="D11807" s="606" t="s">
        <v>4348</v>
      </c>
      <c r="E11807" s="614" t="n">
        <v>1</v>
      </c>
      <c r="F11807" s="617" t="n">
        <v>1970</v>
      </c>
      <c r="G11807" s="615" t="n">
        <f aca="false">F11807*E11807</f>
        <v>1970</v>
      </c>
      <c r="H11807" s="679"/>
    </row>
    <row r="11808" s="451" customFormat="true" ht="15" hidden="false" customHeight="false" outlineLevel="0" collapsed="false">
      <c r="A11808" s="471"/>
      <c r="B11808" s="796"/>
      <c r="C11808" s="614" t="s">
        <v>6366</v>
      </c>
      <c r="D11808" s="606" t="s">
        <v>5788</v>
      </c>
      <c r="E11808" s="614" t="n">
        <v>2</v>
      </c>
      <c r="F11808" s="617" t="n">
        <v>1106</v>
      </c>
      <c r="G11808" s="615" t="n">
        <v>22</v>
      </c>
      <c r="H11808" s="679"/>
    </row>
    <row r="11809" s="451" customFormat="true" ht="15" hidden="false" customHeight="false" outlineLevel="0" collapsed="false">
      <c r="A11809" s="471"/>
      <c r="B11809" s="796"/>
      <c r="C11809" s="614" t="s">
        <v>4270</v>
      </c>
      <c r="D11809" s="606" t="s">
        <v>4359</v>
      </c>
      <c r="E11809" s="614" t="n">
        <v>0.1</v>
      </c>
      <c r="F11809" s="617" t="n">
        <v>9866</v>
      </c>
      <c r="G11809" s="615" t="n">
        <f aca="false">F11809*E11809</f>
        <v>986.6</v>
      </c>
      <c r="H11809" s="679"/>
    </row>
    <row r="11810" s="451" customFormat="true" ht="30" hidden="false" customHeight="false" outlineLevel="0" collapsed="false">
      <c r="A11810" s="471"/>
      <c r="B11810" s="796"/>
      <c r="C11810" s="614" t="s">
        <v>6283</v>
      </c>
      <c r="D11810" s="606" t="s">
        <v>6416</v>
      </c>
      <c r="E11810" s="954" t="n">
        <v>1</v>
      </c>
      <c r="F11810" s="617" t="n">
        <v>460</v>
      </c>
      <c r="G11810" s="615" t="n">
        <f aca="false">F11810*E11810</f>
        <v>460</v>
      </c>
      <c r="H11810" s="679"/>
    </row>
    <row r="11811" s="451" customFormat="true" ht="15" hidden="false" customHeight="false" outlineLevel="0" collapsed="false">
      <c r="A11811" s="471"/>
      <c r="B11811" s="796"/>
      <c r="C11811" s="614"/>
      <c r="D11811" s="606"/>
      <c r="E11811" s="606"/>
      <c r="F11811" s="361"/>
      <c r="G11811" s="613" t="n">
        <f aca="false">SUM(G11805:G11810)</f>
        <v>3635.306</v>
      </c>
      <c r="H11811" s="679"/>
    </row>
    <row r="11812" s="451" customFormat="true" ht="15" hidden="false" customHeight="false" outlineLevel="0" collapsed="false">
      <c r="A11812" s="709" t="s">
        <v>6528</v>
      </c>
      <c r="B11812" s="532" t="s">
        <v>6529</v>
      </c>
      <c r="C11812" s="614" t="s">
        <v>6530</v>
      </c>
      <c r="D11812" s="606" t="s">
        <v>6512</v>
      </c>
      <c r="E11812" s="614" t="n">
        <v>1</v>
      </c>
      <c r="F11812" s="617" t="n">
        <v>2225</v>
      </c>
      <c r="G11812" s="615" t="n">
        <f aca="false">F11812*E11812</f>
        <v>2225</v>
      </c>
      <c r="H11812" s="679"/>
    </row>
    <row r="11813" s="451" customFormat="true" ht="15" hidden="false" customHeight="false" outlineLevel="0" collapsed="false">
      <c r="A11813" s="471"/>
      <c r="B11813" s="796"/>
      <c r="C11813" s="614" t="s">
        <v>4122</v>
      </c>
      <c r="D11813" s="606" t="s">
        <v>4359</v>
      </c>
      <c r="E11813" s="614" t="n">
        <v>0.1</v>
      </c>
      <c r="F11813" s="617" t="n">
        <v>800</v>
      </c>
      <c r="G11813" s="615" t="n">
        <f aca="false">F11813*E11813</f>
        <v>80</v>
      </c>
      <c r="H11813" s="679"/>
    </row>
    <row r="11814" s="451" customFormat="true" ht="15" hidden="false" customHeight="false" outlineLevel="0" collapsed="false">
      <c r="A11814" s="471"/>
      <c r="B11814" s="796"/>
      <c r="C11814" s="614" t="s">
        <v>6007</v>
      </c>
      <c r="D11814" s="606" t="s">
        <v>6363</v>
      </c>
      <c r="E11814" s="614" t="n">
        <v>20</v>
      </c>
      <c r="F11814" s="617" t="n">
        <v>4771</v>
      </c>
      <c r="G11814" s="615" t="n">
        <v>95</v>
      </c>
      <c r="H11814" s="679"/>
    </row>
    <row r="11815" s="451" customFormat="true" ht="30" hidden="false" customHeight="false" outlineLevel="0" collapsed="false">
      <c r="A11815" s="471"/>
      <c r="B11815" s="796"/>
      <c r="C11815" s="614" t="s">
        <v>6394</v>
      </c>
      <c r="D11815" s="606" t="s">
        <v>6329</v>
      </c>
      <c r="E11815" s="614" t="n">
        <v>2</v>
      </c>
      <c r="F11815" s="617" t="n">
        <v>636</v>
      </c>
      <c r="G11815" s="615" t="n">
        <v>2.5</v>
      </c>
      <c r="H11815" s="679"/>
    </row>
    <row r="11816" s="451" customFormat="true" ht="15" hidden="false" customHeight="false" outlineLevel="0" collapsed="false">
      <c r="A11816" s="471"/>
      <c r="B11816" s="796"/>
      <c r="C11816" s="614" t="s">
        <v>4270</v>
      </c>
      <c r="D11816" s="606" t="s">
        <v>4359</v>
      </c>
      <c r="E11816" s="614" t="n">
        <v>0</v>
      </c>
      <c r="F11816" s="617" t="n">
        <v>690</v>
      </c>
      <c r="G11816" s="615" t="n">
        <f aca="false">F11816*E11816</f>
        <v>0</v>
      </c>
      <c r="H11816" s="679"/>
    </row>
    <row r="11817" s="451" customFormat="true" ht="15" hidden="false" customHeight="false" outlineLevel="0" collapsed="false">
      <c r="A11817" s="471"/>
      <c r="B11817" s="796"/>
      <c r="C11817" s="614" t="s">
        <v>4347</v>
      </c>
      <c r="D11817" s="606" t="s">
        <v>5788</v>
      </c>
      <c r="E11817" s="614" t="n">
        <v>2</v>
      </c>
      <c r="F11817" s="617" t="n">
        <v>1106</v>
      </c>
      <c r="G11817" s="615" t="n">
        <v>22</v>
      </c>
      <c r="H11817" s="679"/>
    </row>
    <row r="11818" s="451" customFormat="true" ht="30" hidden="false" customHeight="false" outlineLevel="0" collapsed="false">
      <c r="A11818" s="471"/>
      <c r="B11818" s="796"/>
      <c r="C11818" s="614" t="s">
        <v>6282</v>
      </c>
      <c r="D11818" s="606" t="s">
        <v>4348</v>
      </c>
      <c r="E11818" s="614" t="n">
        <v>1</v>
      </c>
      <c r="F11818" s="617" t="n">
        <v>1720</v>
      </c>
      <c r="G11818" s="615" t="n">
        <f aca="false">F11818*E11818</f>
        <v>1720</v>
      </c>
      <c r="H11818" s="679"/>
    </row>
    <row r="11819" s="451" customFormat="true" ht="30" hidden="false" customHeight="false" outlineLevel="0" collapsed="false">
      <c r="A11819" s="471"/>
      <c r="B11819" s="796"/>
      <c r="C11819" s="614" t="s">
        <v>6283</v>
      </c>
      <c r="D11819" s="606" t="s">
        <v>6416</v>
      </c>
      <c r="E11819" s="954" t="n">
        <v>1</v>
      </c>
      <c r="F11819" s="617" t="n">
        <v>460</v>
      </c>
      <c r="G11819" s="615" t="n">
        <f aca="false">F11819*E11819</f>
        <v>460</v>
      </c>
      <c r="H11819" s="679"/>
    </row>
    <row r="11820" s="451" customFormat="true" ht="15" hidden="false" customHeight="false" outlineLevel="0" collapsed="false">
      <c r="A11820" s="471"/>
      <c r="B11820" s="796"/>
      <c r="C11820" s="709"/>
      <c r="D11820" s="679"/>
      <c r="E11820" s="679"/>
      <c r="F11820" s="369"/>
      <c r="G11820" s="711" t="n">
        <f aca="false">SUM(G11812:G11819)</f>
        <v>4604.5</v>
      </c>
      <c r="H11820" s="679"/>
    </row>
    <row r="11821" s="451" customFormat="true" ht="30" hidden="false" customHeight="false" outlineLevel="0" collapsed="false">
      <c r="A11821" s="709" t="s">
        <v>6531</v>
      </c>
      <c r="B11821" s="532" t="s">
        <v>6532</v>
      </c>
      <c r="C11821" s="709" t="s">
        <v>6530</v>
      </c>
      <c r="D11821" s="679" t="s">
        <v>6326</v>
      </c>
      <c r="E11821" s="709" t="n">
        <v>1</v>
      </c>
      <c r="F11821" s="681" t="n">
        <v>2224.75</v>
      </c>
      <c r="G11821" s="716" t="n">
        <f aca="false">F11821*E11821</f>
        <v>2224.75</v>
      </c>
      <c r="H11821" s="679"/>
    </row>
    <row r="11822" s="451" customFormat="true" ht="15" hidden="false" customHeight="false" outlineLevel="0" collapsed="false">
      <c r="A11822" s="709"/>
      <c r="B11822" s="532"/>
      <c r="C11822" s="614" t="s">
        <v>6007</v>
      </c>
      <c r="D11822" s="606" t="s">
        <v>6363</v>
      </c>
      <c r="E11822" s="614" t="n">
        <v>20</v>
      </c>
      <c r="F11822" s="617" t="n">
        <v>4771</v>
      </c>
      <c r="G11822" s="615" t="n">
        <v>95</v>
      </c>
      <c r="H11822" s="679"/>
    </row>
    <row r="11823" s="451" customFormat="true" ht="15" hidden="false" customHeight="false" outlineLevel="0" collapsed="false">
      <c r="A11823" s="709"/>
      <c r="B11823" s="532"/>
      <c r="C11823" s="614" t="s">
        <v>6413</v>
      </c>
      <c r="D11823" s="1094" t="s">
        <v>6390</v>
      </c>
      <c r="E11823" s="614" t="n">
        <v>3</v>
      </c>
      <c r="F11823" s="617" t="n">
        <v>353301</v>
      </c>
      <c r="G11823" s="615" t="n">
        <v>1059.9</v>
      </c>
      <c r="H11823" s="679"/>
    </row>
    <row r="11824" s="451" customFormat="true" ht="30" hidden="false" customHeight="false" outlineLevel="0" collapsed="false">
      <c r="A11824" s="709"/>
      <c r="B11824" s="532"/>
      <c r="C11824" s="614" t="s">
        <v>6414</v>
      </c>
      <c r="D11824" s="606" t="s">
        <v>6415</v>
      </c>
      <c r="E11824" s="954" t="n">
        <v>2</v>
      </c>
      <c r="F11824" s="617" t="n">
        <v>39480</v>
      </c>
      <c r="G11824" s="615" t="n">
        <v>158</v>
      </c>
      <c r="H11824" s="679"/>
    </row>
    <row r="11825" s="451" customFormat="true" ht="15" hidden="false" customHeight="false" outlineLevel="0" collapsed="false">
      <c r="A11825" s="471"/>
      <c r="B11825" s="796"/>
      <c r="C11825" s="614" t="s">
        <v>4122</v>
      </c>
      <c r="D11825" s="606" t="s">
        <v>4359</v>
      </c>
      <c r="E11825" s="614" t="n">
        <v>0.1</v>
      </c>
      <c r="F11825" s="617" t="n">
        <v>800</v>
      </c>
      <c r="G11825" s="615" t="n">
        <f aca="false">F11825*E11825</f>
        <v>80</v>
      </c>
      <c r="H11825" s="679"/>
    </row>
    <row r="11826" s="451" customFormat="true" ht="30" hidden="false" customHeight="false" outlineLevel="0" collapsed="false">
      <c r="A11826" s="471"/>
      <c r="B11826" s="796"/>
      <c r="C11826" s="614" t="s">
        <v>6282</v>
      </c>
      <c r="D11826" s="606" t="s">
        <v>4348</v>
      </c>
      <c r="E11826" s="614" t="n">
        <v>1</v>
      </c>
      <c r="F11826" s="617" t="n">
        <v>1720</v>
      </c>
      <c r="G11826" s="615" t="n">
        <f aca="false">F11826*E11826</f>
        <v>1720</v>
      </c>
      <c r="H11826" s="679"/>
    </row>
    <row r="11827" s="451" customFormat="true" ht="15" hidden="false" customHeight="false" outlineLevel="0" collapsed="false">
      <c r="A11827" s="471"/>
      <c r="B11827" s="796"/>
      <c r="C11827" s="614" t="s">
        <v>6366</v>
      </c>
      <c r="D11827" s="606" t="s">
        <v>5788</v>
      </c>
      <c r="E11827" s="614" t="n">
        <v>2</v>
      </c>
      <c r="F11827" s="617" t="n">
        <v>1106</v>
      </c>
      <c r="G11827" s="615" t="n">
        <v>22</v>
      </c>
      <c r="H11827" s="679"/>
    </row>
    <row r="11828" s="451" customFormat="true" ht="15" hidden="false" customHeight="false" outlineLevel="0" collapsed="false">
      <c r="A11828" s="471"/>
      <c r="B11828" s="796"/>
      <c r="C11828" s="614" t="s">
        <v>4270</v>
      </c>
      <c r="D11828" s="606" t="s">
        <v>4359</v>
      </c>
      <c r="E11828" s="614" t="n">
        <v>0</v>
      </c>
      <c r="F11828" s="617" t="n">
        <v>690</v>
      </c>
      <c r="G11828" s="615" t="n">
        <f aca="false">F11828*E11828</f>
        <v>0</v>
      </c>
      <c r="H11828" s="679"/>
    </row>
    <row r="11829" s="451" customFormat="true" ht="30" hidden="false" customHeight="false" outlineLevel="0" collapsed="false">
      <c r="A11829" s="471"/>
      <c r="B11829" s="796"/>
      <c r="C11829" s="709" t="s">
        <v>6283</v>
      </c>
      <c r="D11829" s="679" t="s">
        <v>6416</v>
      </c>
      <c r="E11829" s="1092" t="n">
        <v>1</v>
      </c>
      <c r="F11829" s="681" t="n">
        <v>460</v>
      </c>
      <c r="G11829" s="716" t="n">
        <f aca="false">F11829*E11829</f>
        <v>460</v>
      </c>
      <c r="H11829" s="679"/>
    </row>
    <row r="11830" s="451" customFormat="true" ht="15" hidden="false" customHeight="false" outlineLevel="0" collapsed="false">
      <c r="A11830" s="471"/>
      <c r="B11830" s="796"/>
      <c r="C11830" s="709"/>
      <c r="D11830" s="679"/>
      <c r="E11830" s="679"/>
      <c r="F11830" s="369"/>
      <c r="G11830" s="711" t="n">
        <f aca="false">SUM(G11821:G11829)</f>
        <v>5819.65</v>
      </c>
      <c r="H11830" s="679"/>
    </row>
    <row r="11831" s="451" customFormat="true" ht="15" hidden="false" customHeight="false" outlineLevel="0" collapsed="false">
      <c r="A11831" s="1103" t="s">
        <v>2371</v>
      </c>
      <c r="B11831" s="1101" t="s">
        <v>3914</v>
      </c>
      <c r="C11831" s="600"/>
      <c r="D11831" s="600"/>
      <c r="E11831" s="600"/>
      <c r="F11831" s="364"/>
      <c r="G11831" s="713"/>
      <c r="H11831" s="790"/>
    </row>
    <row r="11832" s="451" customFormat="true" ht="30" hidden="false" customHeight="false" outlineLevel="0" collapsed="false">
      <c r="A11832" s="709" t="s">
        <v>6533</v>
      </c>
      <c r="B11832" s="532" t="s">
        <v>6534</v>
      </c>
      <c r="C11832" s="709" t="s">
        <v>6535</v>
      </c>
      <c r="D11832" s="1093" t="s">
        <v>6320</v>
      </c>
      <c r="E11832" s="709" t="n">
        <v>0.001</v>
      </c>
      <c r="F11832" s="681" t="n">
        <v>116706</v>
      </c>
      <c r="G11832" s="716" t="n">
        <f aca="false">F11832*E11832</f>
        <v>116.706</v>
      </c>
      <c r="H11832" s="679"/>
    </row>
    <row r="11833" s="451" customFormat="true" ht="15" hidden="false" customHeight="false" outlineLevel="0" collapsed="false">
      <c r="A11833" s="471"/>
      <c r="B11833" s="796"/>
      <c r="C11833" s="709" t="s">
        <v>4122</v>
      </c>
      <c r="D11833" s="679" t="s">
        <v>4359</v>
      </c>
      <c r="E11833" s="709" t="n">
        <v>0.1</v>
      </c>
      <c r="F11833" s="681" t="n">
        <v>800</v>
      </c>
      <c r="G11833" s="716" t="n">
        <f aca="false">F11833*E11833</f>
        <v>80</v>
      </c>
      <c r="H11833" s="679"/>
    </row>
    <row r="11834" s="451" customFormat="true" ht="30" hidden="false" customHeight="false" outlineLevel="0" collapsed="false">
      <c r="A11834" s="709"/>
      <c r="B11834" s="532"/>
      <c r="C11834" s="709" t="s">
        <v>6282</v>
      </c>
      <c r="D11834" s="679" t="s">
        <v>4348</v>
      </c>
      <c r="E11834" s="709" t="n">
        <v>1</v>
      </c>
      <c r="F11834" s="681" t="n">
        <v>1970</v>
      </c>
      <c r="G11834" s="716" t="n">
        <f aca="false">F11834*E11834</f>
        <v>1970</v>
      </c>
      <c r="H11834" s="679" t="s">
        <v>6536</v>
      </c>
    </row>
    <row r="11835" s="451" customFormat="true" ht="15" hidden="false" customHeight="false" outlineLevel="0" collapsed="false">
      <c r="A11835" s="471"/>
      <c r="B11835" s="796"/>
      <c r="C11835" s="614" t="s">
        <v>6366</v>
      </c>
      <c r="D11835" s="606" t="s">
        <v>5788</v>
      </c>
      <c r="E11835" s="614" t="n">
        <v>2</v>
      </c>
      <c r="F11835" s="617" t="n">
        <v>1106</v>
      </c>
      <c r="G11835" s="615" t="n">
        <v>22</v>
      </c>
      <c r="H11835" s="679"/>
    </row>
    <row r="11836" s="451" customFormat="true" ht="30" hidden="false" customHeight="false" outlineLevel="0" collapsed="false">
      <c r="A11836" s="471"/>
      <c r="B11836" s="796"/>
      <c r="C11836" s="614" t="s">
        <v>6537</v>
      </c>
      <c r="D11836" s="606" t="s">
        <v>6538</v>
      </c>
      <c r="E11836" s="614" t="n">
        <v>20</v>
      </c>
      <c r="F11836" s="617" t="n">
        <v>4771</v>
      </c>
      <c r="G11836" s="615" t="n">
        <v>95</v>
      </c>
      <c r="H11836" s="679"/>
    </row>
    <row r="11837" s="451" customFormat="true" ht="15" hidden="false" customHeight="false" outlineLevel="0" collapsed="false">
      <c r="A11837" s="471"/>
      <c r="B11837" s="796"/>
      <c r="C11837" s="614" t="s">
        <v>4270</v>
      </c>
      <c r="D11837" s="606" t="s">
        <v>4359</v>
      </c>
      <c r="E11837" s="614" t="n">
        <v>0.1</v>
      </c>
      <c r="F11837" s="617" t="n">
        <v>9866</v>
      </c>
      <c r="G11837" s="615" t="n">
        <f aca="false">F11837*E11837</f>
        <v>986.6</v>
      </c>
      <c r="H11837" s="679"/>
    </row>
    <row r="11838" s="451" customFormat="true" ht="30" hidden="false" customHeight="false" outlineLevel="0" collapsed="false">
      <c r="A11838" s="471"/>
      <c r="B11838" s="796"/>
      <c r="C11838" s="614" t="s">
        <v>6283</v>
      </c>
      <c r="D11838" s="606" t="s">
        <v>6416</v>
      </c>
      <c r="E11838" s="954" t="n">
        <v>1</v>
      </c>
      <c r="F11838" s="617" t="n">
        <v>460</v>
      </c>
      <c r="G11838" s="615" t="n">
        <f aca="false">F11838*E11838</f>
        <v>460</v>
      </c>
      <c r="H11838" s="679"/>
    </row>
    <row r="11839" s="451" customFormat="true" ht="15" hidden="false" customHeight="false" outlineLevel="0" collapsed="false">
      <c r="A11839" s="709"/>
      <c r="B11839" s="532"/>
      <c r="C11839" s="614"/>
      <c r="D11839" s="606"/>
      <c r="E11839" s="606"/>
      <c r="F11839" s="361"/>
      <c r="G11839" s="613" t="n">
        <f aca="false">SUM(G11832:G11838)</f>
        <v>3730.306</v>
      </c>
      <c r="H11839" s="679"/>
    </row>
    <row r="11840" s="451" customFormat="true" ht="30" hidden="false" customHeight="false" outlineLevel="0" collapsed="false">
      <c r="A11840" s="709" t="s">
        <v>6539</v>
      </c>
      <c r="B11840" s="532" t="s">
        <v>6540</v>
      </c>
      <c r="C11840" s="614" t="s">
        <v>6530</v>
      </c>
      <c r="D11840" s="606" t="s">
        <v>6512</v>
      </c>
      <c r="E11840" s="614" t="n">
        <v>1</v>
      </c>
      <c r="F11840" s="617" t="n">
        <v>52750</v>
      </c>
      <c r="G11840" s="615" t="n">
        <f aca="false">F11840*E11840/96</f>
        <v>549.479166666667</v>
      </c>
      <c r="H11840" s="679"/>
    </row>
    <row r="11841" s="451" customFormat="true" ht="15" hidden="false" customHeight="false" outlineLevel="0" collapsed="false">
      <c r="A11841" s="471"/>
      <c r="B11841" s="796"/>
      <c r="C11841" s="614" t="s">
        <v>4122</v>
      </c>
      <c r="D11841" s="606" t="s">
        <v>4359</v>
      </c>
      <c r="E11841" s="614" t="n">
        <v>0.2</v>
      </c>
      <c r="F11841" s="617" t="n">
        <v>800</v>
      </c>
      <c r="G11841" s="615" t="n">
        <f aca="false">F11841*E11841</f>
        <v>160</v>
      </c>
      <c r="H11841" s="679"/>
    </row>
    <row r="11842" s="451" customFormat="true" ht="30" hidden="false" customHeight="false" outlineLevel="0" collapsed="false">
      <c r="A11842" s="471"/>
      <c r="B11842" s="796"/>
      <c r="C11842" s="614" t="s">
        <v>6537</v>
      </c>
      <c r="D11842" s="606" t="s">
        <v>6538</v>
      </c>
      <c r="E11842" s="614" t="n">
        <v>20</v>
      </c>
      <c r="F11842" s="617" t="n">
        <v>4771</v>
      </c>
      <c r="G11842" s="615" t="n">
        <v>95</v>
      </c>
      <c r="H11842" s="679"/>
    </row>
    <row r="11843" s="451" customFormat="true" ht="30" hidden="false" customHeight="false" outlineLevel="0" collapsed="false">
      <c r="A11843" s="471"/>
      <c r="B11843" s="796"/>
      <c r="C11843" s="614" t="s">
        <v>6394</v>
      </c>
      <c r="D11843" s="606" t="s">
        <v>6329</v>
      </c>
      <c r="E11843" s="954" t="n">
        <v>2</v>
      </c>
      <c r="F11843" s="617" t="n">
        <v>39480</v>
      </c>
      <c r="G11843" s="615" t="n">
        <v>158</v>
      </c>
      <c r="H11843" s="679"/>
    </row>
    <row r="11844" s="451" customFormat="true" ht="15" hidden="false" customHeight="false" outlineLevel="0" collapsed="false">
      <c r="A11844" s="471"/>
      <c r="B11844" s="796"/>
      <c r="C11844" s="614" t="s">
        <v>4270</v>
      </c>
      <c r="D11844" s="606" t="s">
        <v>4133</v>
      </c>
      <c r="E11844" s="614" t="n">
        <v>0.2</v>
      </c>
      <c r="F11844" s="617" t="n">
        <v>690</v>
      </c>
      <c r="G11844" s="615" t="n">
        <f aca="false">F11844*E11844/1000</f>
        <v>0.138</v>
      </c>
      <c r="H11844" s="679"/>
    </row>
    <row r="11845" s="451" customFormat="true" ht="15" hidden="false" customHeight="false" outlineLevel="0" collapsed="false">
      <c r="A11845" s="471"/>
      <c r="B11845" s="796"/>
      <c r="C11845" s="614" t="s">
        <v>4347</v>
      </c>
      <c r="D11845" s="606" t="s">
        <v>5788</v>
      </c>
      <c r="E11845" s="614" t="n">
        <v>2</v>
      </c>
      <c r="F11845" s="617" t="n">
        <v>1106</v>
      </c>
      <c r="G11845" s="615" t="n">
        <v>22</v>
      </c>
      <c r="H11845" s="679"/>
    </row>
    <row r="11846" s="451" customFormat="true" ht="30" hidden="false" customHeight="false" outlineLevel="0" collapsed="false">
      <c r="A11846" s="471"/>
      <c r="B11846" s="796"/>
      <c r="C11846" s="614" t="s">
        <v>6282</v>
      </c>
      <c r="D11846" s="606" t="s">
        <v>4348</v>
      </c>
      <c r="E11846" s="614" t="n">
        <v>1</v>
      </c>
      <c r="F11846" s="617" t="n">
        <v>1970</v>
      </c>
      <c r="G11846" s="615" t="n">
        <f aca="false">F11846*E11846</f>
        <v>1970</v>
      </c>
      <c r="H11846" s="679"/>
    </row>
    <row r="11847" s="451" customFormat="true" ht="15" hidden="false" customHeight="false" outlineLevel="0" collapsed="false">
      <c r="A11847" s="471"/>
      <c r="B11847" s="796"/>
      <c r="C11847" s="614"/>
      <c r="D11847" s="606"/>
      <c r="E11847" s="606"/>
      <c r="F11847" s="361"/>
      <c r="G11847" s="613" t="n">
        <f aca="false">SUM(G11840:G11846)</f>
        <v>2954.61716666667</v>
      </c>
      <c r="H11847" s="679"/>
    </row>
    <row r="11848" s="451" customFormat="true" ht="30" hidden="false" customHeight="false" outlineLevel="0" collapsed="false">
      <c r="A11848" s="709" t="s">
        <v>6541</v>
      </c>
      <c r="B11848" s="532" t="s">
        <v>3917</v>
      </c>
      <c r="C11848" s="614" t="s">
        <v>6530</v>
      </c>
      <c r="D11848" s="606" t="s">
        <v>6326</v>
      </c>
      <c r="E11848" s="614" t="n">
        <v>1</v>
      </c>
      <c r="F11848" s="617" t="n">
        <v>133485</v>
      </c>
      <c r="G11848" s="615" t="n">
        <f aca="false">F11848*E11848/60</f>
        <v>2224.75</v>
      </c>
      <c r="H11848" s="679"/>
    </row>
    <row r="11849" s="451" customFormat="true" ht="19.5" hidden="false" customHeight="true" outlineLevel="0" collapsed="false">
      <c r="A11849" s="471"/>
      <c r="B11849" s="796"/>
      <c r="C11849" s="614" t="s">
        <v>6537</v>
      </c>
      <c r="D11849" s="606" t="s">
        <v>6538</v>
      </c>
      <c r="E11849" s="614" t="n">
        <v>20</v>
      </c>
      <c r="F11849" s="617" t="n">
        <v>4771</v>
      </c>
      <c r="G11849" s="615" t="n">
        <v>95</v>
      </c>
      <c r="H11849" s="679"/>
    </row>
    <row r="11850" s="451" customFormat="true" ht="30" hidden="false" customHeight="false" outlineLevel="0" collapsed="false">
      <c r="A11850" s="471"/>
      <c r="B11850" s="796"/>
      <c r="C11850" s="614" t="s">
        <v>6394</v>
      </c>
      <c r="D11850" s="606" t="s">
        <v>6329</v>
      </c>
      <c r="E11850" s="954" t="n">
        <v>2</v>
      </c>
      <c r="F11850" s="617" t="n">
        <v>39480</v>
      </c>
      <c r="G11850" s="615" t="n">
        <v>158</v>
      </c>
      <c r="H11850" s="679"/>
    </row>
    <row r="11851" s="451" customFormat="true" ht="15" hidden="false" customHeight="false" outlineLevel="0" collapsed="false">
      <c r="A11851" s="471"/>
      <c r="B11851" s="796"/>
      <c r="C11851" s="614" t="s">
        <v>4122</v>
      </c>
      <c r="D11851" s="606" t="s">
        <v>4359</v>
      </c>
      <c r="E11851" s="614" t="n">
        <v>0.1</v>
      </c>
      <c r="F11851" s="617" t="n">
        <v>800</v>
      </c>
      <c r="G11851" s="615" t="n">
        <f aca="false">F11851*E11851</f>
        <v>80</v>
      </c>
      <c r="H11851" s="679"/>
    </row>
    <row r="11852" s="451" customFormat="true" ht="30" hidden="false" customHeight="false" outlineLevel="0" collapsed="false">
      <c r="A11852" s="471"/>
      <c r="B11852" s="796"/>
      <c r="C11852" s="614" t="s">
        <v>6282</v>
      </c>
      <c r="D11852" s="606" t="s">
        <v>4348</v>
      </c>
      <c r="E11852" s="614" t="n">
        <v>1</v>
      </c>
      <c r="F11852" s="617" t="n">
        <v>1970</v>
      </c>
      <c r="G11852" s="615" t="n">
        <v>1970</v>
      </c>
      <c r="H11852" s="679"/>
    </row>
    <row r="11853" s="451" customFormat="true" ht="15" hidden="false" customHeight="false" outlineLevel="0" collapsed="false">
      <c r="A11853" s="471"/>
      <c r="B11853" s="796"/>
      <c r="C11853" s="614" t="s">
        <v>6366</v>
      </c>
      <c r="D11853" s="606" t="s">
        <v>5788</v>
      </c>
      <c r="E11853" s="614" t="n">
        <v>2</v>
      </c>
      <c r="F11853" s="617" t="n">
        <v>1106</v>
      </c>
      <c r="G11853" s="615" t="n">
        <v>22</v>
      </c>
      <c r="H11853" s="679"/>
    </row>
    <row r="11854" s="451" customFormat="true" ht="15" hidden="false" customHeight="false" outlineLevel="0" collapsed="false">
      <c r="A11854" s="471"/>
      <c r="B11854" s="796"/>
      <c r="C11854" s="709"/>
      <c r="D11854" s="679"/>
      <c r="E11854" s="679"/>
      <c r="F11854" s="369"/>
      <c r="G11854" s="711" t="n">
        <f aca="false">SUM(G11848:G11853)</f>
        <v>4549.75</v>
      </c>
      <c r="H11854" s="679"/>
    </row>
    <row r="11855" s="451" customFormat="true" ht="15" hidden="false" customHeight="false" outlineLevel="0" collapsed="false">
      <c r="A11855" s="1103" t="s">
        <v>2379</v>
      </c>
      <c r="B11855" s="1101" t="s">
        <v>3918</v>
      </c>
      <c r="C11855" s="600"/>
      <c r="D11855" s="600"/>
      <c r="E11855" s="600"/>
      <c r="F11855" s="364"/>
      <c r="G11855" s="713"/>
      <c r="H11855" s="790"/>
    </row>
    <row r="11856" s="451" customFormat="true" ht="30" hidden="false" customHeight="false" outlineLevel="0" collapsed="false">
      <c r="A11856" s="709" t="s">
        <v>6542</v>
      </c>
      <c r="B11856" s="532" t="s">
        <v>6543</v>
      </c>
      <c r="C11856" s="709" t="s">
        <v>6535</v>
      </c>
      <c r="D11856" s="1093" t="s">
        <v>6320</v>
      </c>
      <c r="E11856" s="709" t="n">
        <v>0.001</v>
      </c>
      <c r="F11856" s="681" t="n">
        <v>59671</v>
      </c>
      <c r="G11856" s="716" t="n">
        <f aca="false">F11856*E11856</f>
        <v>59.671</v>
      </c>
      <c r="H11856" s="679"/>
    </row>
    <row r="11857" s="451" customFormat="true" ht="15" hidden="false" customHeight="false" outlineLevel="0" collapsed="false">
      <c r="A11857" s="471"/>
      <c r="B11857" s="796"/>
      <c r="C11857" s="614" t="s">
        <v>4122</v>
      </c>
      <c r="D11857" s="606" t="s">
        <v>4359</v>
      </c>
      <c r="E11857" s="614" t="n">
        <v>0.1</v>
      </c>
      <c r="F11857" s="617" t="n">
        <v>800</v>
      </c>
      <c r="G11857" s="615" t="n">
        <f aca="false">F11857*E11857</f>
        <v>80</v>
      </c>
      <c r="H11857" s="679"/>
    </row>
    <row r="11858" s="451" customFormat="true" ht="30" hidden="false" customHeight="false" outlineLevel="0" collapsed="false">
      <c r="A11858" s="471"/>
      <c r="B11858" s="796"/>
      <c r="C11858" s="614" t="s">
        <v>6282</v>
      </c>
      <c r="D11858" s="606" t="s">
        <v>4348</v>
      </c>
      <c r="E11858" s="614" t="n">
        <v>1</v>
      </c>
      <c r="F11858" s="617" t="n">
        <v>1970</v>
      </c>
      <c r="G11858" s="615" t="n">
        <f aca="false">F11858*E11858</f>
        <v>1970</v>
      </c>
      <c r="H11858" s="679"/>
    </row>
    <row r="11859" s="451" customFormat="true" ht="15" hidden="false" customHeight="false" outlineLevel="0" collapsed="false">
      <c r="A11859" s="471"/>
      <c r="B11859" s="796"/>
      <c r="C11859" s="614" t="s">
        <v>6007</v>
      </c>
      <c r="D11859" s="606" t="s">
        <v>6363</v>
      </c>
      <c r="E11859" s="614" t="n">
        <v>20</v>
      </c>
      <c r="F11859" s="617" t="n">
        <v>4771</v>
      </c>
      <c r="G11859" s="615" t="n">
        <v>95</v>
      </c>
      <c r="H11859" s="679"/>
    </row>
    <row r="11860" s="451" customFormat="true" ht="15" hidden="false" customHeight="false" outlineLevel="0" collapsed="false">
      <c r="A11860" s="471"/>
      <c r="B11860" s="796"/>
      <c r="C11860" s="614" t="s">
        <v>6366</v>
      </c>
      <c r="D11860" s="606" t="s">
        <v>5788</v>
      </c>
      <c r="E11860" s="614" t="n">
        <v>2</v>
      </c>
      <c r="F11860" s="617" t="n">
        <v>1106</v>
      </c>
      <c r="G11860" s="615" t="n">
        <v>22</v>
      </c>
      <c r="H11860" s="679"/>
    </row>
    <row r="11861" s="451" customFormat="true" ht="15" hidden="false" customHeight="false" outlineLevel="0" collapsed="false">
      <c r="A11861" s="471"/>
      <c r="B11861" s="796"/>
      <c r="C11861" s="614" t="s">
        <v>4270</v>
      </c>
      <c r="D11861" s="606" t="s">
        <v>4359</v>
      </c>
      <c r="E11861" s="614" t="n">
        <v>0.2</v>
      </c>
      <c r="F11861" s="617" t="n">
        <v>9866</v>
      </c>
      <c r="G11861" s="615" t="n">
        <f aca="false">F11861*E11861</f>
        <v>1973.2</v>
      </c>
      <c r="H11861" s="679"/>
    </row>
    <row r="11862" s="451" customFormat="true" ht="30" hidden="false" customHeight="false" outlineLevel="0" collapsed="false">
      <c r="A11862" s="471"/>
      <c r="B11862" s="796"/>
      <c r="C11862" s="614" t="s">
        <v>6283</v>
      </c>
      <c r="D11862" s="606" t="s">
        <v>6416</v>
      </c>
      <c r="E11862" s="954" t="n">
        <v>1</v>
      </c>
      <c r="F11862" s="617" t="n">
        <v>460</v>
      </c>
      <c r="G11862" s="615" t="n">
        <f aca="false">F11862*E11862</f>
        <v>460</v>
      </c>
      <c r="H11862" s="679"/>
    </row>
    <row r="11863" s="451" customFormat="true" ht="15" hidden="false" customHeight="false" outlineLevel="0" collapsed="false">
      <c r="A11863" s="471"/>
      <c r="B11863" s="796"/>
      <c r="C11863" s="614"/>
      <c r="D11863" s="606"/>
      <c r="E11863" s="606"/>
      <c r="F11863" s="361"/>
      <c r="G11863" s="613" t="n">
        <f aca="false">SUM(G11856:G11862)</f>
        <v>4659.871</v>
      </c>
      <c r="H11863" s="679"/>
    </row>
    <row r="11864" s="451" customFormat="true" ht="30" hidden="false" customHeight="false" outlineLevel="0" collapsed="false">
      <c r="A11864" s="471" t="s">
        <v>6544</v>
      </c>
      <c r="B11864" s="796" t="s">
        <v>6545</v>
      </c>
      <c r="C11864" s="614" t="s">
        <v>6530</v>
      </c>
      <c r="D11864" s="606" t="s">
        <v>6512</v>
      </c>
      <c r="E11864" s="614" t="n">
        <v>1</v>
      </c>
      <c r="F11864" s="617" t="n">
        <v>549.4</v>
      </c>
      <c r="G11864" s="615" t="n">
        <f aca="false">F11864*E11864</f>
        <v>549.4</v>
      </c>
      <c r="H11864" s="679"/>
    </row>
    <row r="11865" s="451" customFormat="true" ht="15" hidden="false" customHeight="false" outlineLevel="0" collapsed="false">
      <c r="A11865" s="471"/>
      <c r="B11865" s="796"/>
      <c r="C11865" s="614" t="s">
        <v>4122</v>
      </c>
      <c r="D11865" s="606" t="s">
        <v>4359</v>
      </c>
      <c r="E11865" s="614" t="n">
        <v>0.1</v>
      </c>
      <c r="F11865" s="617" t="n">
        <v>800</v>
      </c>
      <c r="G11865" s="615" t="n">
        <f aca="false">F11865*E11865</f>
        <v>80</v>
      </c>
      <c r="H11865" s="679"/>
    </row>
    <row r="11866" s="451" customFormat="true" ht="15" hidden="false" customHeight="false" outlineLevel="0" collapsed="false">
      <c r="A11866" s="471"/>
      <c r="B11866" s="796"/>
      <c r="C11866" s="614" t="s">
        <v>6007</v>
      </c>
      <c r="D11866" s="606" t="s">
        <v>6363</v>
      </c>
      <c r="E11866" s="614" t="n">
        <v>20</v>
      </c>
      <c r="F11866" s="617" t="n">
        <v>4771</v>
      </c>
      <c r="G11866" s="615" t="n">
        <v>95</v>
      </c>
      <c r="H11866" s="679"/>
    </row>
    <row r="11867" s="451" customFormat="true" ht="30" hidden="false" customHeight="false" outlineLevel="0" collapsed="false">
      <c r="A11867" s="471"/>
      <c r="B11867" s="796"/>
      <c r="C11867" s="614" t="s">
        <v>6394</v>
      </c>
      <c r="D11867" s="606" t="s">
        <v>6329</v>
      </c>
      <c r="E11867" s="954" t="n">
        <v>2</v>
      </c>
      <c r="F11867" s="617" t="n">
        <v>39480</v>
      </c>
      <c r="G11867" s="615" t="n">
        <v>158</v>
      </c>
      <c r="H11867" s="679"/>
    </row>
    <row r="11868" s="451" customFormat="true" ht="15" hidden="false" customHeight="false" outlineLevel="0" collapsed="false">
      <c r="A11868" s="471"/>
      <c r="B11868" s="796"/>
      <c r="C11868" s="614" t="s">
        <v>4347</v>
      </c>
      <c r="D11868" s="606" t="s">
        <v>5788</v>
      </c>
      <c r="E11868" s="614" t="n">
        <v>2</v>
      </c>
      <c r="F11868" s="617" t="n">
        <v>1106</v>
      </c>
      <c r="G11868" s="615" t="n">
        <v>22</v>
      </c>
      <c r="H11868" s="679"/>
    </row>
    <row r="11869" s="451" customFormat="true" ht="30" hidden="false" customHeight="false" outlineLevel="0" collapsed="false">
      <c r="A11869" s="471"/>
      <c r="B11869" s="796"/>
      <c r="C11869" s="709" t="s">
        <v>6282</v>
      </c>
      <c r="D11869" s="679" t="s">
        <v>4348</v>
      </c>
      <c r="E11869" s="709" t="n">
        <v>1</v>
      </c>
      <c r="F11869" s="681" t="n">
        <v>1970</v>
      </c>
      <c r="G11869" s="716" t="n">
        <f aca="false">F11869*E11869</f>
        <v>1970</v>
      </c>
      <c r="H11869" s="679"/>
    </row>
    <row r="11870" s="451" customFormat="true" ht="30" hidden="false" customHeight="false" outlineLevel="0" collapsed="false">
      <c r="A11870" s="471"/>
      <c r="B11870" s="796"/>
      <c r="C11870" s="709" t="s">
        <v>6283</v>
      </c>
      <c r="D11870" s="679" t="s">
        <v>6416</v>
      </c>
      <c r="E11870" s="1092" t="n">
        <v>1</v>
      </c>
      <c r="F11870" s="681" t="n">
        <v>460</v>
      </c>
      <c r="G11870" s="716" t="n">
        <f aca="false">F11870*E11870</f>
        <v>460</v>
      </c>
      <c r="H11870" s="679"/>
    </row>
    <row r="11871" s="451" customFormat="true" ht="15" hidden="false" customHeight="false" outlineLevel="0" collapsed="false">
      <c r="A11871" s="471"/>
      <c r="B11871" s="796"/>
      <c r="C11871" s="709"/>
      <c r="D11871" s="679"/>
      <c r="E11871" s="679"/>
      <c r="F11871" s="369"/>
      <c r="G11871" s="711" t="n">
        <f aca="false">SUM(G11864:G11870)</f>
        <v>3334.4</v>
      </c>
      <c r="H11871" s="679"/>
    </row>
    <row r="11872" s="451" customFormat="true" ht="30" hidden="false" customHeight="false" outlineLevel="0" collapsed="false">
      <c r="A11872" s="471" t="s">
        <v>6546</v>
      </c>
      <c r="B11872" s="796" t="s">
        <v>3921</v>
      </c>
      <c r="C11872" s="614" t="s">
        <v>6530</v>
      </c>
      <c r="D11872" s="606" t="s">
        <v>6326</v>
      </c>
      <c r="E11872" s="614" t="n">
        <v>1</v>
      </c>
      <c r="F11872" s="617" t="n">
        <v>2224.75</v>
      </c>
      <c r="G11872" s="615" t="n">
        <f aca="false">F11872*E11872</f>
        <v>2224.75</v>
      </c>
      <c r="H11872" s="679"/>
    </row>
    <row r="11873" s="451" customFormat="true" ht="15" hidden="false" customHeight="false" outlineLevel="0" collapsed="false">
      <c r="A11873" s="471"/>
      <c r="B11873" s="796"/>
      <c r="C11873" s="614" t="s">
        <v>6007</v>
      </c>
      <c r="D11873" s="606" t="s">
        <v>6363</v>
      </c>
      <c r="E11873" s="614" t="n">
        <v>20</v>
      </c>
      <c r="F11873" s="617" t="n">
        <v>4771</v>
      </c>
      <c r="G11873" s="615" t="n">
        <v>95</v>
      </c>
      <c r="H11873" s="679"/>
    </row>
    <row r="11874" s="451" customFormat="true" ht="15" hidden="false" customHeight="false" outlineLevel="0" collapsed="false">
      <c r="A11874" s="471"/>
      <c r="B11874" s="796"/>
      <c r="C11874" s="614" t="s">
        <v>6413</v>
      </c>
      <c r="D11874" s="1094" t="s">
        <v>6390</v>
      </c>
      <c r="E11874" s="614" t="n">
        <v>3</v>
      </c>
      <c r="F11874" s="617" t="n">
        <v>353301</v>
      </c>
      <c r="G11874" s="615" t="n">
        <v>1059.9</v>
      </c>
      <c r="H11874" s="679"/>
    </row>
    <row r="11875" s="451" customFormat="true" ht="30" hidden="false" customHeight="false" outlineLevel="0" collapsed="false">
      <c r="A11875" s="471"/>
      <c r="B11875" s="796"/>
      <c r="C11875" s="614" t="s">
        <v>6414</v>
      </c>
      <c r="D11875" s="606" t="s">
        <v>6415</v>
      </c>
      <c r="E11875" s="954" t="n">
        <v>2</v>
      </c>
      <c r="F11875" s="617" t="n">
        <v>39480</v>
      </c>
      <c r="G11875" s="615" t="n">
        <v>158</v>
      </c>
      <c r="H11875" s="679"/>
    </row>
    <row r="11876" s="451" customFormat="true" ht="15" hidden="false" customHeight="false" outlineLevel="0" collapsed="false">
      <c r="A11876" s="471"/>
      <c r="B11876" s="796"/>
      <c r="C11876" s="614" t="s">
        <v>4122</v>
      </c>
      <c r="D11876" s="606" t="s">
        <v>4359</v>
      </c>
      <c r="E11876" s="614" t="n">
        <v>0.1</v>
      </c>
      <c r="F11876" s="617" t="n">
        <v>800</v>
      </c>
      <c r="G11876" s="615" t="n">
        <f aca="false">F11876*E11876</f>
        <v>80</v>
      </c>
      <c r="H11876" s="679"/>
    </row>
    <row r="11877" s="451" customFormat="true" ht="30" hidden="false" customHeight="false" outlineLevel="0" collapsed="false">
      <c r="A11877" s="471"/>
      <c r="B11877" s="796"/>
      <c r="C11877" s="614" t="s">
        <v>6282</v>
      </c>
      <c r="D11877" s="606" t="s">
        <v>4348</v>
      </c>
      <c r="E11877" s="614" t="n">
        <v>1</v>
      </c>
      <c r="F11877" s="617" t="n">
        <v>1970</v>
      </c>
      <c r="G11877" s="615" t="n">
        <f aca="false">F11877*E11877</f>
        <v>1970</v>
      </c>
      <c r="H11877" s="679"/>
    </row>
    <row r="11878" s="451" customFormat="true" ht="15" hidden="false" customHeight="false" outlineLevel="0" collapsed="false">
      <c r="A11878" s="471"/>
      <c r="B11878" s="796"/>
      <c r="C11878" s="614" t="s">
        <v>6366</v>
      </c>
      <c r="D11878" s="606" t="s">
        <v>5788</v>
      </c>
      <c r="E11878" s="614" t="n">
        <v>2</v>
      </c>
      <c r="F11878" s="617" t="n">
        <v>1106</v>
      </c>
      <c r="G11878" s="615" t="n">
        <v>22</v>
      </c>
      <c r="H11878" s="679"/>
    </row>
    <row r="11879" s="451" customFormat="true" ht="30" hidden="false" customHeight="false" outlineLevel="0" collapsed="false">
      <c r="A11879" s="471"/>
      <c r="B11879" s="796"/>
      <c r="C11879" s="709" t="s">
        <v>6283</v>
      </c>
      <c r="D11879" s="679" t="s">
        <v>6416</v>
      </c>
      <c r="E11879" s="1092" t="n">
        <v>1</v>
      </c>
      <c r="F11879" s="681" t="n">
        <v>460</v>
      </c>
      <c r="G11879" s="716" t="n">
        <f aca="false">F11879*E11879</f>
        <v>460</v>
      </c>
      <c r="H11879" s="679"/>
    </row>
    <row r="11880" s="451" customFormat="true" ht="15" hidden="false" customHeight="false" outlineLevel="0" collapsed="false">
      <c r="A11880" s="471"/>
      <c r="B11880" s="796"/>
      <c r="C11880" s="679"/>
      <c r="D11880" s="679"/>
      <c r="E11880" s="679"/>
      <c r="F11880" s="369"/>
      <c r="G11880" s="711" t="n">
        <f aca="false">SUM(G11872:G11879)</f>
        <v>6069.65</v>
      </c>
      <c r="H11880" s="679"/>
    </row>
    <row r="11881" s="451" customFormat="true" ht="15" hidden="false" customHeight="false" outlineLevel="0" collapsed="false">
      <c r="A11881" s="1103" t="s">
        <v>2387</v>
      </c>
      <c r="B11881" s="1101" t="s">
        <v>3922</v>
      </c>
      <c r="C11881" s="600"/>
      <c r="D11881" s="600"/>
      <c r="E11881" s="600"/>
      <c r="F11881" s="364"/>
      <c r="G11881" s="713"/>
      <c r="H11881" s="790"/>
    </row>
    <row r="11882" s="451" customFormat="true" ht="30" hidden="false" customHeight="false" outlineLevel="0" collapsed="false">
      <c r="A11882" s="471" t="s">
        <v>6547</v>
      </c>
      <c r="B11882" s="796" t="s">
        <v>6548</v>
      </c>
      <c r="C11882" s="614" t="s">
        <v>6549</v>
      </c>
      <c r="D11882" s="593" t="s">
        <v>6512</v>
      </c>
      <c r="E11882" s="614" t="n">
        <v>1</v>
      </c>
      <c r="F11882" s="617" t="n">
        <v>275800</v>
      </c>
      <c r="G11882" s="615" t="n">
        <v>22983.3</v>
      </c>
      <c r="H11882" s="679"/>
    </row>
    <row r="11883" s="451" customFormat="true" ht="15" hidden="false" customHeight="false" outlineLevel="0" collapsed="false">
      <c r="A11883" s="471"/>
      <c r="B11883" s="796"/>
      <c r="C11883" s="614" t="s">
        <v>4122</v>
      </c>
      <c r="D11883" s="606" t="s">
        <v>4359</v>
      </c>
      <c r="E11883" s="614" t="n">
        <v>0.1</v>
      </c>
      <c r="F11883" s="617" t="n">
        <v>800</v>
      </c>
      <c r="G11883" s="615" t="n">
        <f aca="false">F11883*E11883</f>
        <v>80</v>
      </c>
      <c r="H11883" s="679"/>
    </row>
    <row r="11884" s="451" customFormat="true" ht="15" hidden="false" customHeight="false" outlineLevel="0" collapsed="false">
      <c r="A11884" s="471"/>
      <c r="B11884" s="796"/>
      <c r="C11884" s="614" t="s">
        <v>6007</v>
      </c>
      <c r="D11884" s="606" t="s">
        <v>6363</v>
      </c>
      <c r="E11884" s="614" t="n">
        <v>20</v>
      </c>
      <c r="F11884" s="617" t="n">
        <v>4771</v>
      </c>
      <c r="G11884" s="615" t="n">
        <v>95</v>
      </c>
      <c r="H11884" s="679"/>
    </row>
    <row r="11885" s="451" customFormat="true" ht="30" hidden="false" customHeight="false" outlineLevel="0" collapsed="false">
      <c r="A11885" s="471"/>
      <c r="B11885" s="796"/>
      <c r="C11885" s="614" t="s">
        <v>6394</v>
      </c>
      <c r="D11885" s="606" t="s">
        <v>6329</v>
      </c>
      <c r="E11885" s="954" t="n">
        <v>2</v>
      </c>
      <c r="F11885" s="617" t="n">
        <v>39480</v>
      </c>
      <c r="G11885" s="615" t="n">
        <v>158</v>
      </c>
      <c r="H11885" s="679"/>
    </row>
    <row r="11886" s="451" customFormat="true" ht="15" hidden="false" customHeight="false" outlineLevel="0" collapsed="false">
      <c r="A11886" s="471"/>
      <c r="B11886" s="796"/>
      <c r="C11886" s="614" t="s">
        <v>4270</v>
      </c>
      <c r="D11886" s="606" t="s">
        <v>4359</v>
      </c>
      <c r="E11886" s="614" t="n">
        <v>0</v>
      </c>
      <c r="F11886" s="617" t="n">
        <v>690</v>
      </c>
      <c r="G11886" s="615" t="n">
        <f aca="false">F11886*E11886</f>
        <v>0</v>
      </c>
      <c r="H11886" s="679"/>
    </row>
    <row r="11887" s="451" customFormat="true" ht="15" hidden="false" customHeight="false" outlineLevel="0" collapsed="false">
      <c r="A11887" s="471"/>
      <c r="B11887" s="796"/>
      <c r="C11887" s="614" t="s">
        <v>4347</v>
      </c>
      <c r="D11887" s="606" t="s">
        <v>5788</v>
      </c>
      <c r="E11887" s="614" t="n">
        <v>2</v>
      </c>
      <c r="F11887" s="617" t="n">
        <v>1106</v>
      </c>
      <c r="G11887" s="615" t="n">
        <v>22</v>
      </c>
      <c r="H11887" s="679"/>
    </row>
    <row r="11888" s="451" customFormat="true" ht="30" hidden="false" customHeight="false" outlineLevel="0" collapsed="false">
      <c r="A11888" s="471"/>
      <c r="B11888" s="796"/>
      <c r="C11888" s="614" t="s">
        <v>6282</v>
      </c>
      <c r="D11888" s="606" t="s">
        <v>4348</v>
      </c>
      <c r="E11888" s="614" t="n">
        <v>1</v>
      </c>
      <c r="F11888" s="617" t="n">
        <v>1720</v>
      </c>
      <c r="G11888" s="615" t="n">
        <f aca="false">F11888*E11888</f>
        <v>1720</v>
      </c>
      <c r="H11888" s="679"/>
    </row>
    <row r="11889" s="451" customFormat="true" ht="30" hidden="false" customHeight="false" outlineLevel="0" collapsed="false">
      <c r="A11889" s="471"/>
      <c r="B11889" s="796"/>
      <c r="C11889" s="614" t="s">
        <v>6283</v>
      </c>
      <c r="D11889" s="606" t="s">
        <v>6416</v>
      </c>
      <c r="E11889" s="954" t="n">
        <v>1</v>
      </c>
      <c r="F11889" s="617" t="n">
        <v>460</v>
      </c>
      <c r="G11889" s="615" t="n">
        <f aca="false">F11889*E11889</f>
        <v>460</v>
      </c>
      <c r="H11889" s="679"/>
    </row>
    <row r="11890" s="451" customFormat="true" ht="15" hidden="false" customHeight="false" outlineLevel="0" collapsed="false">
      <c r="A11890" s="471"/>
      <c r="B11890" s="796"/>
      <c r="C11890" s="709"/>
      <c r="D11890" s="679"/>
      <c r="E11890" s="679"/>
      <c r="F11890" s="369"/>
      <c r="G11890" s="711" t="n">
        <f aca="false">SUM(G11882:G11889)</f>
        <v>25518.3</v>
      </c>
      <c r="H11890" s="679"/>
    </row>
    <row r="11891" s="451" customFormat="true" ht="30" hidden="false" customHeight="false" outlineLevel="0" collapsed="false">
      <c r="A11891" s="471" t="s">
        <v>6550</v>
      </c>
      <c r="B11891" s="796" t="s">
        <v>6551</v>
      </c>
      <c r="C11891" s="614" t="s">
        <v>6530</v>
      </c>
      <c r="D11891" s="606" t="s">
        <v>6326</v>
      </c>
      <c r="E11891" s="614" t="n">
        <v>1</v>
      </c>
      <c r="F11891" s="617" t="n">
        <v>2963.3</v>
      </c>
      <c r="G11891" s="615" t="n">
        <f aca="false">F11891*E11891</f>
        <v>2963.3</v>
      </c>
      <c r="H11891" s="679"/>
    </row>
    <row r="11892" s="451" customFormat="true" ht="15" hidden="false" customHeight="false" outlineLevel="0" collapsed="false">
      <c r="A11892" s="471"/>
      <c r="B11892" s="796"/>
      <c r="C11892" s="614" t="s">
        <v>6007</v>
      </c>
      <c r="D11892" s="606" t="s">
        <v>6363</v>
      </c>
      <c r="E11892" s="614" t="n">
        <v>20</v>
      </c>
      <c r="F11892" s="617" t="n">
        <v>4771</v>
      </c>
      <c r="G11892" s="615" t="n">
        <v>95</v>
      </c>
      <c r="H11892" s="679"/>
    </row>
    <row r="11893" s="451" customFormat="true" ht="15" hidden="false" customHeight="false" outlineLevel="0" collapsed="false">
      <c r="A11893" s="471"/>
      <c r="B11893" s="796"/>
      <c r="C11893" s="614" t="s">
        <v>6413</v>
      </c>
      <c r="D11893" s="1094" t="s">
        <v>6390</v>
      </c>
      <c r="E11893" s="614" t="n">
        <v>3</v>
      </c>
      <c r="F11893" s="617" t="n">
        <v>353301</v>
      </c>
      <c r="G11893" s="615" t="n">
        <v>1059.9</v>
      </c>
      <c r="H11893" s="679"/>
    </row>
    <row r="11894" s="451" customFormat="true" ht="30" hidden="false" customHeight="false" outlineLevel="0" collapsed="false">
      <c r="A11894" s="471"/>
      <c r="B11894" s="796"/>
      <c r="C11894" s="614" t="s">
        <v>6414</v>
      </c>
      <c r="D11894" s="606" t="s">
        <v>6415</v>
      </c>
      <c r="E11894" s="954" t="n">
        <v>2</v>
      </c>
      <c r="F11894" s="617" t="n">
        <v>39480</v>
      </c>
      <c r="G11894" s="615" t="n">
        <v>158</v>
      </c>
      <c r="H11894" s="679"/>
    </row>
    <row r="11895" s="451" customFormat="true" ht="15" hidden="false" customHeight="false" outlineLevel="0" collapsed="false">
      <c r="A11895" s="471"/>
      <c r="B11895" s="796"/>
      <c r="C11895" s="614" t="s">
        <v>4122</v>
      </c>
      <c r="D11895" s="606" t="s">
        <v>4359</v>
      </c>
      <c r="E11895" s="614" t="n">
        <v>0.1</v>
      </c>
      <c r="F11895" s="617" t="n">
        <v>800</v>
      </c>
      <c r="G11895" s="615" t="n">
        <f aca="false">F11895*E11895</f>
        <v>80</v>
      </c>
      <c r="H11895" s="679"/>
    </row>
    <row r="11896" s="451" customFormat="true" ht="30" hidden="false" customHeight="false" outlineLevel="0" collapsed="false">
      <c r="A11896" s="471"/>
      <c r="B11896" s="796"/>
      <c r="C11896" s="614" t="s">
        <v>6282</v>
      </c>
      <c r="D11896" s="606" t="s">
        <v>4348</v>
      </c>
      <c r="E11896" s="614" t="n">
        <v>1</v>
      </c>
      <c r="F11896" s="617" t="n">
        <v>1720</v>
      </c>
      <c r="G11896" s="615" t="n">
        <f aca="false">F11896*E11896</f>
        <v>1720</v>
      </c>
      <c r="H11896" s="679"/>
    </row>
    <row r="11897" s="451" customFormat="true" ht="15" hidden="false" customHeight="false" outlineLevel="0" collapsed="false">
      <c r="A11897" s="471"/>
      <c r="B11897" s="796"/>
      <c r="C11897" s="614" t="s">
        <v>6366</v>
      </c>
      <c r="D11897" s="606" t="s">
        <v>5788</v>
      </c>
      <c r="E11897" s="614" t="n">
        <v>2</v>
      </c>
      <c r="F11897" s="617" t="n">
        <v>1106</v>
      </c>
      <c r="G11897" s="615" t="n">
        <v>22</v>
      </c>
      <c r="H11897" s="679"/>
    </row>
    <row r="11898" s="451" customFormat="true" ht="15" hidden="false" customHeight="false" outlineLevel="0" collapsed="false">
      <c r="A11898" s="471"/>
      <c r="B11898" s="796"/>
      <c r="C11898" s="614" t="s">
        <v>4270</v>
      </c>
      <c r="D11898" s="606" t="s">
        <v>4359</v>
      </c>
      <c r="E11898" s="614" t="n">
        <v>0</v>
      </c>
      <c r="F11898" s="617" t="n">
        <v>690</v>
      </c>
      <c r="G11898" s="615" t="n">
        <f aca="false">F11898*E11898</f>
        <v>0</v>
      </c>
      <c r="H11898" s="679"/>
    </row>
    <row r="11899" s="451" customFormat="true" ht="30" hidden="false" customHeight="false" outlineLevel="0" collapsed="false">
      <c r="A11899" s="471"/>
      <c r="B11899" s="796"/>
      <c r="C11899" s="709" t="s">
        <v>6283</v>
      </c>
      <c r="D11899" s="679" t="s">
        <v>6416</v>
      </c>
      <c r="E11899" s="1092" t="n">
        <v>1</v>
      </c>
      <c r="F11899" s="681" t="n">
        <v>460</v>
      </c>
      <c r="G11899" s="716" t="n">
        <f aca="false">F11899*E11899</f>
        <v>460</v>
      </c>
      <c r="H11899" s="679"/>
    </row>
    <row r="11900" s="451" customFormat="true" ht="15" hidden="false" customHeight="false" outlineLevel="0" collapsed="false">
      <c r="A11900" s="471"/>
      <c r="B11900" s="796"/>
      <c r="C11900" s="709"/>
      <c r="D11900" s="679"/>
      <c r="E11900" s="679"/>
      <c r="F11900" s="369"/>
      <c r="G11900" s="711" t="n">
        <f aca="false">SUM(G11891:G11899)</f>
        <v>6558.2</v>
      </c>
      <c r="H11900" s="679"/>
    </row>
    <row r="11901" s="451" customFormat="true" ht="15" hidden="false" customHeight="false" outlineLevel="0" collapsed="false">
      <c r="A11901" s="1103" t="s">
        <v>2393</v>
      </c>
      <c r="B11901" s="1101" t="s">
        <v>2394</v>
      </c>
      <c r="C11901" s="600"/>
      <c r="D11901" s="600"/>
      <c r="E11901" s="600"/>
      <c r="F11901" s="364"/>
      <c r="G11901" s="713"/>
      <c r="H11901" s="790"/>
    </row>
    <row r="11902" s="1111" customFormat="true" ht="30" hidden="false" customHeight="false" outlineLevel="0" collapsed="false">
      <c r="A11902" s="1107" t="s">
        <v>6552</v>
      </c>
      <c r="B11902" s="1108" t="s">
        <v>6553</v>
      </c>
      <c r="C11902" s="1045" t="s">
        <v>6554</v>
      </c>
      <c r="D11902" s="1109" t="s">
        <v>6326</v>
      </c>
      <c r="E11902" s="709" t="n">
        <v>1</v>
      </c>
      <c r="F11902" s="681" t="n">
        <v>457694</v>
      </c>
      <c r="G11902" s="716" t="n">
        <v>7628.2</v>
      </c>
      <c r="H11902" s="1110"/>
    </row>
    <row r="11903" s="1111" customFormat="true" ht="15" hidden="false" customHeight="false" outlineLevel="0" collapsed="false">
      <c r="A11903" s="1107"/>
      <c r="B11903" s="1108"/>
      <c r="C11903" s="614" t="s">
        <v>6007</v>
      </c>
      <c r="D11903" s="606" t="s">
        <v>6363</v>
      </c>
      <c r="E11903" s="614" t="n">
        <v>20</v>
      </c>
      <c r="F11903" s="617" t="n">
        <v>4771</v>
      </c>
      <c r="G11903" s="615" t="n">
        <v>95</v>
      </c>
      <c r="H11903" s="1110"/>
    </row>
    <row r="11904" s="1111" customFormat="true" ht="15" hidden="false" customHeight="false" outlineLevel="0" collapsed="false">
      <c r="A11904" s="1107"/>
      <c r="B11904" s="1108"/>
      <c r="C11904" s="614" t="s">
        <v>6413</v>
      </c>
      <c r="D11904" s="1094" t="s">
        <v>6390</v>
      </c>
      <c r="E11904" s="614" t="n">
        <v>3</v>
      </c>
      <c r="F11904" s="617" t="n">
        <v>353301</v>
      </c>
      <c r="G11904" s="615" t="n">
        <v>1059.9</v>
      </c>
      <c r="H11904" s="1110"/>
    </row>
    <row r="11905" s="1111" customFormat="true" ht="30" hidden="false" customHeight="false" outlineLevel="0" collapsed="false">
      <c r="A11905" s="1107"/>
      <c r="B11905" s="1108"/>
      <c r="C11905" s="614" t="s">
        <v>6414</v>
      </c>
      <c r="D11905" s="606" t="s">
        <v>6415</v>
      </c>
      <c r="E11905" s="954" t="n">
        <v>2</v>
      </c>
      <c r="F11905" s="617" t="n">
        <v>39480</v>
      </c>
      <c r="G11905" s="615" t="n">
        <v>158</v>
      </c>
      <c r="H11905" s="1110"/>
    </row>
    <row r="11906" s="1111" customFormat="true" ht="15" hidden="false" customHeight="false" outlineLevel="0" collapsed="false">
      <c r="A11906" s="1107"/>
      <c r="B11906" s="1108"/>
      <c r="C11906" s="614" t="s">
        <v>4122</v>
      </c>
      <c r="D11906" s="606" t="s">
        <v>4359</v>
      </c>
      <c r="E11906" s="614" t="n">
        <v>0.1</v>
      </c>
      <c r="F11906" s="617" t="n">
        <v>800</v>
      </c>
      <c r="G11906" s="615" t="n">
        <f aca="false">F11906*E11906</f>
        <v>80</v>
      </c>
      <c r="H11906" s="1110"/>
    </row>
    <row r="11907" s="1111" customFormat="true" ht="30" hidden="false" customHeight="false" outlineLevel="0" collapsed="false">
      <c r="A11907" s="1107"/>
      <c r="B11907" s="1108"/>
      <c r="C11907" s="614" t="s">
        <v>6282</v>
      </c>
      <c r="D11907" s="606" t="s">
        <v>4348</v>
      </c>
      <c r="E11907" s="614" t="n">
        <v>1</v>
      </c>
      <c r="F11907" s="617" t="n">
        <v>1970</v>
      </c>
      <c r="G11907" s="615" t="n">
        <f aca="false">F11907*E11907</f>
        <v>1970</v>
      </c>
      <c r="H11907" s="679"/>
    </row>
    <row r="11908" s="1111" customFormat="true" ht="15.75" hidden="false" customHeight="true" outlineLevel="0" collapsed="false">
      <c r="A11908" s="1107"/>
      <c r="B11908" s="1108"/>
      <c r="C11908" s="614" t="s">
        <v>6366</v>
      </c>
      <c r="D11908" s="606" t="s">
        <v>5788</v>
      </c>
      <c r="E11908" s="614" t="n">
        <v>2</v>
      </c>
      <c r="F11908" s="617" t="n">
        <v>1106</v>
      </c>
      <c r="G11908" s="615" t="n">
        <v>44.24</v>
      </c>
      <c r="H11908" s="1110"/>
    </row>
    <row r="11909" s="1111" customFormat="true" ht="30" hidden="false" customHeight="false" outlineLevel="0" collapsed="false">
      <c r="A11909" s="1107"/>
      <c r="B11909" s="1108"/>
      <c r="C11909" s="614" t="s">
        <v>6283</v>
      </c>
      <c r="D11909" s="606" t="s">
        <v>6416</v>
      </c>
      <c r="E11909" s="954" t="n">
        <v>1</v>
      </c>
      <c r="F11909" s="617" t="n">
        <v>460</v>
      </c>
      <c r="G11909" s="615" t="n">
        <f aca="false">F11909*E11909</f>
        <v>460</v>
      </c>
      <c r="H11909" s="1110"/>
    </row>
    <row r="11910" s="1111" customFormat="true" ht="15" hidden="false" customHeight="false" outlineLevel="0" collapsed="false">
      <c r="A11910" s="1107"/>
      <c r="B11910" s="1108"/>
      <c r="C11910" s="379"/>
      <c r="D11910" s="1040"/>
      <c r="E11910" s="1040"/>
      <c r="F11910" s="1041"/>
      <c r="G11910" s="1112" t="n">
        <f aca="false">SUM(G11902:G11909)</f>
        <v>11495.34</v>
      </c>
      <c r="H11910" s="1110"/>
    </row>
    <row r="11911" s="451" customFormat="true" ht="30" hidden="false" customHeight="false" outlineLevel="0" collapsed="false">
      <c r="A11911" s="471" t="s">
        <v>6555</v>
      </c>
      <c r="B11911" s="796" t="s">
        <v>6556</v>
      </c>
      <c r="C11911" s="614" t="s">
        <v>6557</v>
      </c>
      <c r="D11911" s="606" t="s">
        <v>6558</v>
      </c>
      <c r="E11911" s="614" t="n">
        <v>1</v>
      </c>
      <c r="F11911" s="617" t="n">
        <v>73500</v>
      </c>
      <c r="G11911" s="615" t="n">
        <f aca="false">F11911/96</f>
        <v>765.625</v>
      </c>
      <c r="H11911" s="679"/>
    </row>
    <row r="11912" s="451" customFormat="true" ht="15" hidden="false" customHeight="false" outlineLevel="0" collapsed="false">
      <c r="A11912" s="471"/>
      <c r="B11912" s="796"/>
      <c r="C11912" s="614" t="s">
        <v>4122</v>
      </c>
      <c r="D11912" s="606" t="s">
        <v>4359</v>
      </c>
      <c r="E11912" s="614" t="n">
        <v>0.1</v>
      </c>
      <c r="F11912" s="617" t="n">
        <v>800</v>
      </c>
      <c r="G11912" s="615" t="n">
        <f aca="false">F11912*E11912</f>
        <v>80</v>
      </c>
      <c r="H11912" s="679"/>
    </row>
    <row r="11913" s="451" customFormat="true" ht="15" hidden="false" customHeight="false" outlineLevel="0" collapsed="false">
      <c r="A11913" s="471"/>
      <c r="B11913" s="796"/>
      <c r="C11913" s="614" t="s">
        <v>6007</v>
      </c>
      <c r="D11913" s="606" t="s">
        <v>6363</v>
      </c>
      <c r="E11913" s="614" t="n">
        <v>20</v>
      </c>
      <c r="F11913" s="617" t="n">
        <v>4771</v>
      </c>
      <c r="G11913" s="615" t="n">
        <v>95</v>
      </c>
      <c r="H11913" s="679"/>
    </row>
    <row r="11914" s="451" customFormat="true" ht="30" hidden="false" customHeight="false" outlineLevel="0" collapsed="false">
      <c r="A11914" s="471"/>
      <c r="B11914" s="796"/>
      <c r="C11914" s="614" t="s">
        <v>6394</v>
      </c>
      <c r="D11914" s="606" t="s">
        <v>6329</v>
      </c>
      <c r="E11914" s="954" t="n">
        <v>2</v>
      </c>
      <c r="F11914" s="617" t="n">
        <v>39480</v>
      </c>
      <c r="G11914" s="615" t="n">
        <v>158</v>
      </c>
      <c r="H11914" s="679"/>
    </row>
    <row r="11915" s="451" customFormat="true" ht="15" hidden="false" customHeight="false" outlineLevel="0" collapsed="false">
      <c r="A11915" s="471"/>
      <c r="B11915" s="796"/>
      <c r="C11915" s="614" t="s">
        <v>4347</v>
      </c>
      <c r="D11915" s="606" t="s">
        <v>5788</v>
      </c>
      <c r="E11915" s="614" t="n">
        <v>2</v>
      </c>
      <c r="F11915" s="617" t="n">
        <v>1106</v>
      </c>
      <c r="G11915" s="615" t="n">
        <v>22</v>
      </c>
      <c r="H11915" s="679"/>
    </row>
    <row r="11916" s="451" customFormat="true" ht="30" hidden="false" customHeight="false" outlineLevel="0" collapsed="false">
      <c r="A11916" s="471"/>
      <c r="B11916" s="796"/>
      <c r="C11916" s="614" t="s">
        <v>6282</v>
      </c>
      <c r="D11916" s="606" t="s">
        <v>4348</v>
      </c>
      <c r="E11916" s="614" t="n">
        <v>1</v>
      </c>
      <c r="F11916" s="617" t="n">
        <v>1970</v>
      </c>
      <c r="G11916" s="615" t="n">
        <f aca="false">F11916*E11916</f>
        <v>1970</v>
      </c>
      <c r="H11916" s="679"/>
    </row>
    <row r="11917" s="451" customFormat="true" ht="25.5" hidden="false" customHeight="true" outlineLevel="0" collapsed="false">
      <c r="A11917" s="471"/>
      <c r="B11917" s="796"/>
      <c r="C11917" s="709" t="s">
        <v>6283</v>
      </c>
      <c r="D11917" s="679" t="s">
        <v>6416</v>
      </c>
      <c r="E11917" s="1092" t="n">
        <v>1</v>
      </c>
      <c r="F11917" s="681" t="n">
        <v>460</v>
      </c>
      <c r="G11917" s="716" t="n">
        <f aca="false">F11917*E11917</f>
        <v>460</v>
      </c>
      <c r="H11917" s="679"/>
    </row>
    <row r="11918" s="451" customFormat="true" ht="15" hidden="false" customHeight="false" outlineLevel="0" collapsed="false">
      <c r="A11918" s="471"/>
      <c r="B11918" s="796" t="s">
        <v>4562</v>
      </c>
      <c r="C11918" s="709"/>
      <c r="D11918" s="679"/>
      <c r="E11918" s="679"/>
      <c r="F11918" s="369"/>
      <c r="G11918" s="711" t="n">
        <f aca="false">SUM(G11911:G11917)</f>
        <v>3550.625</v>
      </c>
      <c r="H11918" s="679"/>
    </row>
    <row r="11919" s="451" customFormat="true" ht="15" hidden="false" customHeight="false" outlineLevel="0" collapsed="false">
      <c r="A11919" s="1103" t="s">
        <v>2399</v>
      </c>
      <c r="B11919" s="1101" t="s">
        <v>3927</v>
      </c>
      <c r="C11919" s="600"/>
      <c r="D11919" s="600"/>
      <c r="E11919" s="600"/>
      <c r="F11919" s="364"/>
      <c r="G11919" s="713"/>
      <c r="H11919" s="790"/>
    </row>
    <row r="11920" s="451" customFormat="true" ht="75" hidden="false" customHeight="false" outlineLevel="0" collapsed="false">
      <c r="A11920" s="471" t="s">
        <v>6559</v>
      </c>
      <c r="B11920" s="487" t="s">
        <v>3928</v>
      </c>
      <c r="C11920" s="709" t="s">
        <v>6527</v>
      </c>
      <c r="D11920" s="679" t="s">
        <v>6488</v>
      </c>
      <c r="E11920" s="709" t="n">
        <v>0.001</v>
      </c>
      <c r="F11920" s="681" t="n">
        <v>116706</v>
      </c>
      <c r="G11920" s="716" t="n">
        <f aca="false">F11920*E11920</f>
        <v>116.706</v>
      </c>
      <c r="H11920" s="679"/>
    </row>
    <row r="11921" s="451" customFormat="true" ht="15" hidden="false" customHeight="false" outlineLevel="0" collapsed="false">
      <c r="A11921" s="471"/>
      <c r="B11921" s="796"/>
      <c r="C11921" s="614" t="s">
        <v>6007</v>
      </c>
      <c r="D11921" s="606" t="s">
        <v>6363</v>
      </c>
      <c r="E11921" s="614" t="n">
        <v>20</v>
      </c>
      <c r="F11921" s="617" t="n">
        <v>4771</v>
      </c>
      <c r="G11921" s="615" t="n">
        <v>95</v>
      </c>
      <c r="H11921" s="679"/>
    </row>
    <row r="11922" s="451" customFormat="true" ht="30" hidden="false" customHeight="false" outlineLevel="0" collapsed="false">
      <c r="A11922" s="471"/>
      <c r="B11922" s="796"/>
      <c r="C11922" s="614" t="s">
        <v>6394</v>
      </c>
      <c r="D11922" s="606" t="s">
        <v>6560</v>
      </c>
      <c r="E11922" s="614" t="n">
        <v>3</v>
      </c>
      <c r="F11922" s="617" t="n">
        <v>13210</v>
      </c>
      <c r="G11922" s="615" t="n">
        <v>1585.2</v>
      </c>
      <c r="H11922" s="679"/>
    </row>
    <row r="11923" s="451" customFormat="true" ht="15" hidden="false" customHeight="false" outlineLevel="0" collapsed="false">
      <c r="A11923" s="471"/>
      <c r="B11923" s="796"/>
      <c r="C11923" s="614" t="s">
        <v>4122</v>
      </c>
      <c r="D11923" s="606" t="s">
        <v>4359</v>
      </c>
      <c r="E11923" s="614" t="n">
        <v>0.1</v>
      </c>
      <c r="F11923" s="617" t="n">
        <v>800</v>
      </c>
      <c r="G11923" s="615" t="n">
        <f aca="false">F11923*E11923</f>
        <v>80</v>
      </c>
      <c r="H11923" s="679"/>
    </row>
    <row r="11924" s="451" customFormat="true" ht="30" hidden="false" customHeight="false" outlineLevel="0" collapsed="false">
      <c r="A11924" s="471"/>
      <c r="B11924" s="796"/>
      <c r="C11924" s="614" t="s">
        <v>6282</v>
      </c>
      <c r="D11924" s="606" t="s">
        <v>4348</v>
      </c>
      <c r="E11924" s="614" t="n">
        <v>1</v>
      </c>
      <c r="F11924" s="617" t="n">
        <v>1720</v>
      </c>
      <c r="G11924" s="615" t="n">
        <f aca="false">F11924*E11924</f>
        <v>1720</v>
      </c>
      <c r="H11924" s="679"/>
    </row>
    <row r="11925" s="451" customFormat="true" ht="15" hidden="false" customHeight="false" outlineLevel="0" collapsed="false">
      <c r="A11925" s="471"/>
      <c r="B11925" s="796"/>
      <c r="C11925" s="614" t="s">
        <v>6366</v>
      </c>
      <c r="D11925" s="606" t="s">
        <v>5788</v>
      </c>
      <c r="E11925" s="614" t="n">
        <v>2</v>
      </c>
      <c r="F11925" s="617" t="n">
        <v>1106</v>
      </c>
      <c r="G11925" s="615" t="n">
        <v>22</v>
      </c>
      <c r="H11925" s="679"/>
    </row>
    <row r="11926" s="451" customFormat="true" ht="15" hidden="false" customHeight="false" outlineLevel="0" collapsed="false">
      <c r="A11926" s="471"/>
      <c r="B11926" s="796"/>
      <c r="C11926" s="614" t="s">
        <v>4270</v>
      </c>
      <c r="D11926" s="606" t="s">
        <v>4359</v>
      </c>
      <c r="E11926" s="614" t="n">
        <v>0</v>
      </c>
      <c r="F11926" s="617" t="n">
        <v>690</v>
      </c>
      <c r="G11926" s="615" t="n">
        <f aca="false">F11926*E11926</f>
        <v>0</v>
      </c>
      <c r="H11926" s="679"/>
    </row>
    <row r="11927" s="451" customFormat="true" ht="30" hidden="false" customHeight="false" outlineLevel="0" collapsed="false">
      <c r="A11927" s="471"/>
      <c r="B11927" s="796"/>
      <c r="C11927" s="379" t="s">
        <v>6283</v>
      </c>
      <c r="D11927" s="1040" t="s">
        <v>6416</v>
      </c>
      <c r="E11927" s="954" t="n">
        <v>1</v>
      </c>
      <c r="F11927" s="617" t="n">
        <v>460</v>
      </c>
      <c r="G11927" s="615" t="n">
        <f aca="false">F11927*E11927</f>
        <v>460</v>
      </c>
      <c r="H11927" s="679"/>
    </row>
    <row r="11928" s="451" customFormat="true" ht="15" hidden="false" customHeight="false" outlineLevel="0" collapsed="false">
      <c r="A11928" s="471"/>
      <c r="B11928" s="796" t="s">
        <v>4562</v>
      </c>
      <c r="C11928" s="614"/>
      <c r="D11928" s="606"/>
      <c r="E11928" s="606"/>
      <c r="F11928" s="361"/>
      <c r="G11928" s="613" t="n">
        <f aca="false">SUM(G11920:G11927)</f>
        <v>4078.906</v>
      </c>
      <c r="H11928" s="679"/>
    </row>
    <row r="11929" s="451" customFormat="true" ht="30" hidden="false" customHeight="false" outlineLevel="0" collapsed="false">
      <c r="A11929" s="569" t="s">
        <v>6561</v>
      </c>
      <c r="B11929" s="796" t="s">
        <v>6562</v>
      </c>
      <c r="C11929" s="614" t="s">
        <v>6563</v>
      </c>
      <c r="D11929" s="606" t="s">
        <v>6326</v>
      </c>
      <c r="E11929" s="614" t="n">
        <v>1</v>
      </c>
      <c r="F11929" s="617" t="n">
        <v>457694</v>
      </c>
      <c r="G11929" s="615" t="n">
        <v>7628.2</v>
      </c>
      <c r="H11929" s="679"/>
    </row>
    <row r="11930" s="451" customFormat="true" ht="15" hidden="false" customHeight="false" outlineLevel="0" collapsed="false">
      <c r="A11930" s="569"/>
      <c r="B11930" s="796"/>
      <c r="C11930" s="614" t="s">
        <v>6007</v>
      </c>
      <c r="D11930" s="606" t="s">
        <v>6363</v>
      </c>
      <c r="E11930" s="614" t="n">
        <v>20</v>
      </c>
      <c r="F11930" s="617" t="n">
        <v>4771</v>
      </c>
      <c r="G11930" s="615" t="n">
        <v>95</v>
      </c>
      <c r="H11930" s="679"/>
    </row>
    <row r="11931" s="451" customFormat="true" ht="15" hidden="false" customHeight="false" outlineLevel="0" collapsed="false">
      <c r="A11931" s="471"/>
      <c r="B11931" s="796"/>
      <c r="C11931" s="614" t="s">
        <v>6413</v>
      </c>
      <c r="D11931" s="1094" t="s">
        <v>6390</v>
      </c>
      <c r="E11931" s="614" t="n">
        <v>3</v>
      </c>
      <c r="F11931" s="617" t="n">
        <v>353301</v>
      </c>
      <c r="G11931" s="615" t="n">
        <v>1059.9</v>
      </c>
      <c r="H11931" s="679"/>
    </row>
    <row r="11932" s="451" customFormat="true" ht="30" hidden="false" customHeight="false" outlineLevel="0" collapsed="false">
      <c r="A11932" s="471"/>
      <c r="B11932" s="796"/>
      <c r="C11932" s="614" t="s">
        <v>6414</v>
      </c>
      <c r="D11932" s="606" t="s">
        <v>6415</v>
      </c>
      <c r="E11932" s="954" t="n">
        <v>2</v>
      </c>
      <c r="F11932" s="617" t="n">
        <v>39480</v>
      </c>
      <c r="G11932" s="615" t="n">
        <v>158</v>
      </c>
      <c r="H11932" s="679"/>
    </row>
    <row r="11933" s="451" customFormat="true" ht="15" hidden="false" customHeight="false" outlineLevel="0" collapsed="false">
      <c r="A11933" s="471"/>
      <c r="B11933" s="796"/>
      <c r="C11933" s="614" t="s">
        <v>4122</v>
      </c>
      <c r="D11933" s="606" t="s">
        <v>4359</v>
      </c>
      <c r="E11933" s="614" t="n">
        <v>0.1</v>
      </c>
      <c r="F11933" s="617" t="n">
        <v>800</v>
      </c>
      <c r="G11933" s="615" t="n">
        <f aca="false">F11933*E11933</f>
        <v>80</v>
      </c>
      <c r="H11933" s="679"/>
    </row>
    <row r="11934" s="451" customFormat="true" ht="30" hidden="false" customHeight="false" outlineLevel="0" collapsed="false">
      <c r="A11934" s="471"/>
      <c r="B11934" s="796"/>
      <c r="C11934" s="614" t="s">
        <v>6282</v>
      </c>
      <c r="D11934" s="606" t="s">
        <v>4348</v>
      </c>
      <c r="E11934" s="614" t="n">
        <v>1</v>
      </c>
      <c r="F11934" s="617" t="n">
        <v>1720</v>
      </c>
      <c r="G11934" s="615" t="n">
        <f aca="false">F11934*E11934</f>
        <v>1720</v>
      </c>
      <c r="H11934" s="679"/>
    </row>
    <row r="11935" s="451" customFormat="true" ht="15" hidden="false" customHeight="false" outlineLevel="0" collapsed="false">
      <c r="A11935" s="471"/>
      <c r="B11935" s="796"/>
      <c r="C11935" s="614" t="s">
        <v>6366</v>
      </c>
      <c r="D11935" s="606" t="s">
        <v>5788</v>
      </c>
      <c r="E11935" s="614" t="n">
        <v>2</v>
      </c>
      <c r="F11935" s="617" t="n">
        <v>1106</v>
      </c>
      <c r="G11935" s="615" t="n">
        <v>22</v>
      </c>
      <c r="H11935" s="679"/>
    </row>
    <row r="11936" s="451" customFormat="true" ht="15" hidden="false" customHeight="false" outlineLevel="0" collapsed="false">
      <c r="A11936" s="471"/>
      <c r="B11936" s="796"/>
      <c r="C11936" s="614" t="s">
        <v>4270</v>
      </c>
      <c r="D11936" s="606" t="s">
        <v>4359</v>
      </c>
      <c r="E11936" s="614" t="n">
        <v>0</v>
      </c>
      <c r="F11936" s="617" t="n">
        <v>690</v>
      </c>
      <c r="G11936" s="615" t="n">
        <f aca="false">F11936*E11936</f>
        <v>0</v>
      </c>
      <c r="H11936" s="679"/>
    </row>
    <row r="11937" s="451" customFormat="true" ht="30" hidden="false" customHeight="false" outlineLevel="0" collapsed="false">
      <c r="A11937" s="471"/>
      <c r="B11937" s="796"/>
      <c r="C11937" s="614" t="s">
        <v>6283</v>
      </c>
      <c r="D11937" s="606" t="s">
        <v>6416</v>
      </c>
      <c r="E11937" s="954" t="n">
        <v>1</v>
      </c>
      <c r="F11937" s="617" t="n">
        <v>460</v>
      </c>
      <c r="G11937" s="615" t="n">
        <f aca="false">F11937*E11937</f>
        <v>460</v>
      </c>
      <c r="H11937" s="679"/>
    </row>
    <row r="11938" s="451" customFormat="true" ht="15" hidden="false" customHeight="false" outlineLevel="0" collapsed="false">
      <c r="A11938" s="471"/>
      <c r="B11938" s="796"/>
      <c r="C11938" s="614"/>
      <c r="D11938" s="606"/>
      <c r="E11938" s="606"/>
      <c r="F11938" s="361"/>
      <c r="G11938" s="613" t="n">
        <f aca="false">SUM(G11929:G11937)</f>
        <v>11223.1</v>
      </c>
      <c r="H11938" s="679"/>
    </row>
    <row r="11939" s="451" customFormat="true" ht="30" hidden="false" customHeight="false" outlineLevel="0" collapsed="false">
      <c r="A11939" s="471" t="s">
        <v>6564</v>
      </c>
      <c r="B11939" s="328" t="s">
        <v>3930</v>
      </c>
      <c r="C11939" s="614" t="s">
        <v>6563</v>
      </c>
      <c r="D11939" s="606" t="s">
        <v>6512</v>
      </c>
      <c r="E11939" s="614" t="n">
        <v>1</v>
      </c>
      <c r="F11939" s="617" t="n">
        <v>2620</v>
      </c>
      <c r="G11939" s="615" t="n">
        <f aca="false">F11939*E11939</f>
        <v>2620</v>
      </c>
      <c r="H11939" s="679"/>
    </row>
    <row r="11940" s="451" customFormat="true" ht="15" hidden="false" customHeight="false" outlineLevel="0" collapsed="false">
      <c r="A11940" s="471"/>
      <c r="B11940" s="796"/>
      <c r="C11940" s="614" t="s">
        <v>4122</v>
      </c>
      <c r="D11940" s="606" t="s">
        <v>4359</v>
      </c>
      <c r="E11940" s="614" t="n">
        <v>0.1</v>
      </c>
      <c r="F11940" s="617" t="n">
        <v>800</v>
      </c>
      <c r="G11940" s="615" t="n">
        <f aca="false">F11940*E11940</f>
        <v>80</v>
      </c>
      <c r="H11940" s="679"/>
    </row>
    <row r="11941" s="451" customFormat="true" ht="15" hidden="false" customHeight="false" outlineLevel="0" collapsed="false">
      <c r="A11941" s="471"/>
      <c r="B11941" s="796"/>
      <c r="C11941" s="614" t="s">
        <v>6007</v>
      </c>
      <c r="D11941" s="606" t="s">
        <v>6363</v>
      </c>
      <c r="E11941" s="614" t="n">
        <v>20</v>
      </c>
      <c r="F11941" s="617" t="n">
        <v>4771</v>
      </c>
      <c r="G11941" s="615" t="n">
        <v>95</v>
      </c>
      <c r="H11941" s="679"/>
    </row>
    <row r="11942" s="451" customFormat="true" ht="30" hidden="false" customHeight="false" outlineLevel="0" collapsed="false">
      <c r="A11942" s="471"/>
      <c r="B11942" s="796"/>
      <c r="C11942" s="614" t="s">
        <v>6394</v>
      </c>
      <c r="D11942" s="606" t="s">
        <v>6329</v>
      </c>
      <c r="E11942" s="954" t="n">
        <v>2</v>
      </c>
      <c r="F11942" s="617" t="n">
        <v>39480</v>
      </c>
      <c r="G11942" s="615" t="n">
        <v>158</v>
      </c>
      <c r="H11942" s="679"/>
    </row>
    <row r="11943" s="451" customFormat="true" ht="15" hidden="false" customHeight="false" outlineLevel="0" collapsed="false">
      <c r="A11943" s="471"/>
      <c r="B11943" s="796"/>
      <c r="C11943" s="614" t="s">
        <v>4347</v>
      </c>
      <c r="D11943" s="606" t="s">
        <v>5788</v>
      </c>
      <c r="E11943" s="614" t="n">
        <v>2</v>
      </c>
      <c r="F11943" s="617" t="n">
        <v>1106</v>
      </c>
      <c r="G11943" s="615" t="n">
        <v>22</v>
      </c>
      <c r="H11943" s="679"/>
    </row>
    <row r="11944" s="451" customFormat="true" ht="30" hidden="false" customHeight="false" outlineLevel="0" collapsed="false">
      <c r="A11944" s="471"/>
      <c r="B11944" s="796"/>
      <c r="C11944" s="614" t="s">
        <v>6282</v>
      </c>
      <c r="D11944" s="606" t="s">
        <v>4348</v>
      </c>
      <c r="E11944" s="614" t="n">
        <v>1</v>
      </c>
      <c r="F11944" s="617" t="n">
        <v>1720</v>
      </c>
      <c r="G11944" s="615" t="n">
        <f aca="false">F11944*E11944</f>
        <v>1720</v>
      </c>
      <c r="H11944" s="679"/>
    </row>
    <row r="11945" s="451" customFormat="true" ht="30" hidden="false" customHeight="false" outlineLevel="0" collapsed="false">
      <c r="A11945" s="471"/>
      <c r="B11945" s="796"/>
      <c r="C11945" s="709" t="s">
        <v>6283</v>
      </c>
      <c r="D11945" s="679" t="s">
        <v>6416</v>
      </c>
      <c r="E11945" s="1092" t="n">
        <v>1</v>
      </c>
      <c r="F11945" s="681" t="n">
        <v>460</v>
      </c>
      <c r="G11945" s="716" t="n">
        <f aca="false">F11945*E11945</f>
        <v>460</v>
      </c>
      <c r="H11945" s="679"/>
    </row>
    <row r="11946" s="451" customFormat="true" ht="15" hidden="false" customHeight="false" outlineLevel="0" collapsed="false">
      <c r="A11946" s="471"/>
      <c r="B11946" s="796"/>
      <c r="C11946" s="709"/>
      <c r="D11946" s="679"/>
      <c r="E11946" s="679"/>
      <c r="F11946" s="369"/>
      <c r="G11946" s="711" t="n">
        <f aca="false">SUM(G11939:G11945)</f>
        <v>5155</v>
      </c>
      <c r="H11946" s="679"/>
    </row>
    <row r="11947" s="451" customFormat="true" ht="15" hidden="false" customHeight="false" outlineLevel="0" collapsed="false">
      <c r="A11947" s="1103" t="s">
        <v>2407</v>
      </c>
      <c r="B11947" s="1101" t="s">
        <v>6565</v>
      </c>
      <c r="C11947" s="600"/>
      <c r="D11947" s="600"/>
      <c r="E11947" s="600"/>
      <c r="F11947" s="364"/>
      <c r="G11947" s="713"/>
      <c r="H11947" s="790"/>
    </row>
    <row r="11948" s="451" customFormat="true" ht="26.25" hidden="false" customHeight="true" outlineLevel="0" collapsed="false">
      <c r="A11948" s="471" t="s">
        <v>6566</v>
      </c>
      <c r="B11948" s="796" t="s">
        <v>3931</v>
      </c>
      <c r="C11948" s="709" t="s">
        <v>6567</v>
      </c>
      <c r="D11948" s="679" t="s">
        <v>6568</v>
      </c>
      <c r="E11948" s="709" t="n">
        <v>0.002</v>
      </c>
      <c r="F11948" s="681" t="n">
        <v>55112</v>
      </c>
      <c r="G11948" s="716" t="n">
        <f aca="false">F11948*E11948</f>
        <v>110.224</v>
      </c>
      <c r="H11948" s="679"/>
    </row>
    <row r="11949" s="451" customFormat="true" ht="15" hidden="false" customHeight="false" outlineLevel="0" collapsed="false">
      <c r="A11949" s="471"/>
      <c r="B11949" s="796"/>
      <c r="C11949" s="709" t="s">
        <v>6339</v>
      </c>
      <c r="D11949" s="679" t="s">
        <v>6336</v>
      </c>
      <c r="E11949" s="709" t="n">
        <v>0.003</v>
      </c>
      <c r="F11949" s="681" t="n">
        <v>10941</v>
      </c>
      <c r="G11949" s="716" t="n">
        <f aca="false">F11949*E11949</f>
        <v>32.823</v>
      </c>
      <c r="H11949" s="679"/>
    </row>
    <row r="11950" s="451" customFormat="true" ht="15" hidden="false" customHeight="false" outlineLevel="0" collapsed="false">
      <c r="A11950" s="471"/>
      <c r="B11950" s="796"/>
      <c r="C11950" s="709" t="s">
        <v>6481</v>
      </c>
      <c r="D11950" s="679" t="s">
        <v>6482</v>
      </c>
      <c r="E11950" s="709" t="n">
        <v>0.001</v>
      </c>
      <c r="F11950" s="681" t="n">
        <v>328823</v>
      </c>
      <c r="G11950" s="716" t="n">
        <f aca="false">F11950*E11950</f>
        <v>328.823</v>
      </c>
      <c r="H11950" s="679"/>
    </row>
    <row r="11951" s="451" customFormat="true" ht="15" hidden="false" customHeight="false" outlineLevel="0" collapsed="false">
      <c r="A11951" s="471"/>
      <c r="B11951" s="796"/>
      <c r="C11951" s="709" t="s">
        <v>6569</v>
      </c>
      <c r="D11951" s="679" t="s">
        <v>6570</v>
      </c>
      <c r="E11951" s="709" t="n">
        <v>1</v>
      </c>
      <c r="F11951" s="681" t="n">
        <v>20291</v>
      </c>
      <c r="G11951" s="716" t="n">
        <v>405.82</v>
      </c>
      <c r="H11951" s="679"/>
    </row>
    <row r="11952" s="451" customFormat="true" ht="15" hidden="false" customHeight="false" outlineLevel="0" collapsed="false">
      <c r="A11952" s="471"/>
      <c r="B11952" s="796"/>
      <c r="C11952" s="709" t="s">
        <v>6571</v>
      </c>
      <c r="D11952" s="679" t="s">
        <v>6572</v>
      </c>
      <c r="E11952" s="709" t="n">
        <v>1</v>
      </c>
      <c r="F11952" s="681" t="n">
        <v>6307</v>
      </c>
      <c r="G11952" s="716" t="n">
        <v>63</v>
      </c>
      <c r="H11952" s="679"/>
    </row>
    <row r="11953" s="451" customFormat="true" ht="60" hidden="false" customHeight="false" outlineLevel="0" collapsed="false">
      <c r="A11953" s="471"/>
      <c r="B11953" s="796"/>
      <c r="C11953" s="614" t="s">
        <v>6266</v>
      </c>
      <c r="D11953" s="606" t="s">
        <v>5908</v>
      </c>
      <c r="E11953" s="614" t="n">
        <v>0.001</v>
      </c>
      <c r="F11953" s="617" t="n">
        <v>22450</v>
      </c>
      <c r="G11953" s="615" t="n">
        <f aca="false">F11953*E11953</f>
        <v>22.45</v>
      </c>
      <c r="H11953" s="679"/>
    </row>
    <row r="11954" s="451" customFormat="true" ht="21.75" hidden="false" customHeight="true" outlineLevel="0" collapsed="false">
      <c r="A11954" s="471"/>
      <c r="B11954" s="796"/>
      <c r="C11954" s="1096" t="s">
        <v>6278</v>
      </c>
      <c r="D11954" s="1097" t="s">
        <v>6310</v>
      </c>
      <c r="E11954" s="1096" t="n">
        <v>5</v>
      </c>
      <c r="F11954" s="1098" t="n">
        <v>393</v>
      </c>
      <c r="G11954" s="615" t="n">
        <v>98.25</v>
      </c>
      <c r="H11954" s="679"/>
    </row>
    <row r="11955" s="451" customFormat="true" ht="15" hidden="false" customHeight="false" outlineLevel="0" collapsed="false">
      <c r="A11955" s="471"/>
      <c r="B11955" s="796"/>
      <c r="C11955" s="614" t="s">
        <v>4347</v>
      </c>
      <c r="D11955" s="606" t="s">
        <v>5788</v>
      </c>
      <c r="E11955" s="614" t="n">
        <v>2</v>
      </c>
      <c r="F11955" s="617" t="n">
        <v>1106</v>
      </c>
      <c r="G11955" s="615" t="n">
        <v>22</v>
      </c>
      <c r="H11955" s="679"/>
    </row>
    <row r="11956" s="451" customFormat="true" ht="30" hidden="false" customHeight="false" outlineLevel="0" collapsed="false">
      <c r="A11956" s="471"/>
      <c r="B11956" s="796"/>
      <c r="C11956" s="614" t="s">
        <v>6282</v>
      </c>
      <c r="D11956" s="606" t="s">
        <v>4348</v>
      </c>
      <c r="E11956" s="614" t="n">
        <v>1</v>
      </c>
      <c r="F11956" s="617" t="n">
        <v>1970</v>
      </c>
      <c r="G11956" s="615" t="n">
        <v>1970</v>
      </c>
      <c r="H11956" s="679"/>
    </row>
    <row r="11957" s="451" customFormat="true" ht="15" hidden="false" customHeight="false" outlineLevel="0" collapsed="false">
      <c r="A11957" s="471"/>
      <c r="B11957" s="796"/>
      <c r="C11957" s="614" t="s">
        <v>4122</v>
      </c>
      <c r="D11957" s="606" t="s">
        <v>4359</v>
      </c>
      <c r="E11957" s="614" t="n">
        <v>0.2</v>
      </c>
      <c r="F11957" s="617" t="n">
        <v>800</v>
      </c>
      <c r="G11957" s="615" t="n">
        <f aca="false">F11957*E11957</f>
        <v>160</v>
      </c>
      <c r="H11957" s="679"/>
    </row>
    <row r="11958" s="451" customFormat="true" ht="30" hidden="false" customHeight="false" outlineLevel="0" collapsed="false">
      <c r="A11958" s="471"/>
      <c r="B11958" s="796"/>
      <c r="C11958" s="614" t="s">
        <v>6394</v>
      </c>
      <c r="D11958" s="606" t="s">
        <v>6329</v>
      </c>
      <c r="E11958" s="614" t="n">
        <v>2</v>
      </c>
      <c r="F11958" s="617" t="n">
        <v>636</v>
      </c>
      <c r="G11958" s="615" t="n">
        <v>2.5</v>
      </c>
      <c r="H11958" s="679"/>
    </row>
    <row r="11959" s="451" customFormat="true" ht="15" hidden="false" customHeight="false" outlineLevel="0" collapsed="false">
      <c r="A11959" s="471"/>
      <c r="B11959" s="796"/>
      <c r="C11959" s="614" t="s">
        <v>6007</v>
      </c>
      <c r="D11959" s="606" t="s">
        <v>6363</v>
      </c>
      <c r="E11959" s="614" t="n">
        <v>20</v>
      </c>
      <c r="F11959" s="617" t="n">
        <v>4771</v>
      </c>
      <c r="G11959" s="615" t="n">
        <v>95</v>
      </c>
      <c r="H11959" s="679"/>
    </row>
    <row r="11960" s="451" customFormat="true" ht="30" hidden="false" customHeight="false" outlineLevel="0" collapsed="false">
      <c r="A11960" s="471"/>
      <c r="B11960" s="796"/>
      <c r="C11960" s="379" t="s">
        <v>6283</v>
      </c>
      <c r="D11960" s="1040" t="s">
        <v>6416</v>
      </c>
      <c r="E11960" s="1113" t="n">
        <v>1</v>
      </c>
      <c r="F11960" s="1099" t="n">
        <v>460</v>
      </c>
      <c r="G11960" s="615" t="n">
        <f aca="false">F11960*E11960</f>
        <v>460</v>
      </c>
      <c r="H11960" s="679"/>
    </row>
    <row r="11961" s="451" customFormat="true" ht="15" hidden="false" customHeight="false" outlineLevel="0" collapsed="false">
      <c r="A11961" s="471"/>
      <c r="B11961" s="796"/>
      <c r="C11961" s="709"/>
      <c r="D11961" s="679"/>
      <c r="E11961" s="679"/>
      <c r="F11961" s="369"/>
      <c r="G11961" s="711" t="n">
        <f aca="false">SUM(G11948:G11960)</f>
        <v>3770.89</v>
      </c>
      <c r="H11961" s="679"/>
    </row>
    <row r="11962" s="451" customFormat="true" ht="36" hidden="false" customHeight="true" outlineLevel="0" collapsed="false">
      <c r="A11962" s="709" t="s">
        <v>6573</v>
      </c>
      <c r="B11962" s="532" t="s">
        <v>3932</v>
      </c>
      <c r="C11962" s="709" t="s">
        <v>6574</v>
      </c>
      <c r="D11962" s="679" t="s">
        <v>6326</v>
      </c>
      <c r="E11962" s="709" t="n">
        <v>1</v>
      </c>
      <c r="F11962" s="681" t="n">
        <v>348000</v>
      </c>
      <c r="G11962" s="716" t="n">
        <v>5800</v>
      </c>
      <c r="H11962" s="679"/>
    </row>
    <row r="11963" s="451" customFormat="true" ht="26.25" hidden="false" customHeight="true" outlineLevel="0" collapsed="false">
      <c r="A11963" s="709"/>
      <c r="B11963" s="532"/>
      <c r="C11963" s="614" t="s">
        <v>6007</v>
      </c>
      <c r="D11963" s="606" t="s">
        <v>6363</v>
      </c>
      <c r="E11963" s="614" t="n">
        <v>20</v>
      </c>
      <c r="F11963" s="617" t="n">
        <v>4771</v>
      </c>
      <c r="G11963" s="615" t="n">
        <v>95</v>
      </c>
      <c r="H11963" s="679"/>
    </row>
    <row r="11964" s="451" customFormat="true" ht="26.25" hidden="false" customHeight="true" outlineLevel="0" collapsed="false">
      <c r="A11964" s="709"/>
      <c r="B11964" s="532"/>
      <c r="C11964" s="614" t="s">
        <v>6413</v>
      </c>
      <c r="D11964" s="1094" t="s">
        <v>6390</v>
      </c>
      <c r="E11964" s="614" t="n">
        <v>3</v>
      </c>
      <c r="F11964" s="617" t="n">
        <v>353301</v>
      </c>
      <c r="G11964" s="615" t="n">
        <v>1059.9</v>
      </c>
      <c r="H11964" s="679"/>
    </row>
    <row r="11965" s="451" customFormat="true" ht="26.25" hidden="false" customHeight="true" outlineLevel="0" collapsed="false">
      <c r="A11965" s="709"/>
      <c r="B11965" s="532"/>
      <c r="C11965" s="614" t="s">
        <v>6414</v>
      </c>
      <c r="D11965" s="606" t="s">
        <v>6415</v>
      </c>
      <c r="E11965" s="954" t="n">
        <v>2</v>
      </c>
      <c r="F11965" s="617" t="n">
        <v>39480</v>
      </c>
      <c r="G11965" s="615" t="n">
        <v>158</v>
      </c>
      <c r="H11965" s="679"/>
    </row>
    <row r="11966" s="451" customFormat="true" ht="15" hidden="false" customHeight="false" outlineLevel="0" collapsed="false">
      <c r="A11966" s="709"/>
      <c r="B11966" s="532"/>
      <c r="C11966" s="614" t="s">
        <v>4122</v>
      </c>
      <c r="D11966" s="606" t="s">
        <v>4359</v>
      </c>
      <c r="E11966" s="614" t="n">
        <v>0.1</v>
      </c>
      <c r="F11966" s="617" t="n">
        <v>800</v>
      </c>
      <c r="G11966" s="615" t="n">
        <f aca="false">F11966*E11966</f>
        <v>80</v>
      </c>
      <c r="H11966" s="679"/>
    </row>
    <row r="11967" s="451" customFormat="true" ht="30" hidden="false" customHeight="false" outlineLevel="0" collapsed="false">
      <c r="A11967" s="709"/>
      <c r="B11967" s="532"/>
      <c r="C11967" s="614" t="s">
        <v>6282</v>
      </c>
      <c r="D11967" s="606" t="s">
        <v>4348</v>
      </c>
      <c r="E11967" s="614" t="n">
        <v>1</v>
      </c>
      <c r="F11967" s="617" t="n">
        <v>1720</v>
      </c>
      <c r="G11967" s="615" t="n">
        <f aca="false">F11967*E11967</f>
        <v>1720</v>
      </c>
      <c r="H11967" s="679"/>
    </row>
    <row r="11968" s="451" customFormat="true" ht="15" hidden="false" customHeight="false" outlineLevel="0" collapsed="false">
      <c r="A11968" s="709"/>
      <c r="B11968" s="532"/>
      <c r="C11968" s="614" t="s">
        <v>6366</v>
      </c>
      <c r="D11968" s="606" t="s">
        <v>5788</v>
      </c>
      <c r="E11968" s="614" t="n">
        <v>2</v>
      </c>
      <c r="F11968" s="617" t="n">
        <v>1106</v>
      </c>
      <c r="G11968" s="615" t="n">
        <v>22</v>
      </c>
      <c r="H11968" s="679"/>
    </row>
    <row r="11969" s="451" customFormat="true" ht="15" hidden="false" customHeight="false" outlineLevel="0" collapsed="false">
      <c r="A11969" s="709"/>
      <c r="B11969" s="532"/>
      <c r="C11969" s="614" t="s">
        <v>4270</v>
      </c>
      <c r="D11969" s="606" t="s">
        <v>4359</v>
      </c>
      <c r="E11969" s="614" t="n">
        <v>0</v>
      </c>
      <c r="F11969" s="617" t="n">
        <v>690</v>
      </c>
      <c r="G11969" s="615" t="n">
        <f aca="false">F11969*E11969</f>
        <v>0</v>
      </c>
      <c r="H11969" s="679"/>
    </row>
    <row r="11970" s="451" customFormat="true" ht="30" hidden="false" customHeight="false" outlineLevel="0" collapsed="false">
      <c r="A11970" s="709"/>
      <c r="B11970" s="532"/>
      <c r="C11970" s="614" t="s">
        <v>6283</v>
      </c>
      <c r="D11970" s="606" t="s">
        <v>6416</v>
      </c>
      <c r="E11970" s="954" t="n">
        <v>1</v>
      </c>
      <c r="F11970" s="617" t="n">
        <v>460</v>
      </c>
      <c r="G11970" s="615" t="n">
        <f aca="false">F11970*E11970</f>
        <v>460</v>
      </c>
      <c r="H11970" s="679"/>
    </row>
    <row r="11971" s="451" customFormat="true" ht="15" hidden="false" customHeight="false" outlineLevel="0" collapsed="false">
      <c r="A11971" s="709"/>
      <c r="B11971" s="532"/>
      <c r="C11971" s="709"/>
      <c r="D11971" s="679"/>
      <c r="E11971" s="679"/>
      <c r="F11971" s="369"/>
      <c r="G11971" s="711" t="n">
        <f aca="false">SUM(G11962:G11970)</f>
        <v>9394.9</v>
      </c>
      <c r="H11971" s="679"/>
    </row>
    <row r="11972" s="451" customFormat="true" ht="28.5" hidden="false" customHeight="false" outlineLevel="0" collapsed="false">
      <c r="A11972" s="510" t="s">
        <v>2413</v>
      </c>
      <c r="B11972" s="346" t="s">
        <v>6575</v>
      </c>
      <c r="C11972" s="600"/>
      <c r="D11972" s="600"/>
      <c r="E11972" s="600"/>
      <c r="F11972" s="364"/>
      <c r="G11972" s="713"/>
      <c r="H11972" s="790"/>
    </row>
    <row r="11973" s="451" customFormat="true" ht="30" hidden="false" customHeight="false" outlineLevel="0" collapsed="false">
      <c r="A11973" s="1105" t="s">
        <v>6576</v>
      </c>
      <c r="B11973" s="532" t="s">
        <v>3934</v>
      </c>
      <c r="C11973" s="614" t="s">
        <v>6577</v>
      </c>
      <c r="D11973" s="606" t="s">
        <v>6326</v>
      </c>
      <c r="E11973" s="614" t="n">
        <v>1</v>
      </c>
      <c r="F11973" s="617" t="n">
        <v>357288</v>
      </c>
      <c r="G11973" s="615" t="n">
        <v>5954.8</v>
      </c>
      <c r="H11973" s="679"/>
    </row>
    <row r="11974" s="451" customFormat="true" ht="15" hidden="false" customHeight="false" outlineLevel="0" collapsed="false">
      <c r="A11974" s="1105"/>
      <c r="B11974" s="532"/>
      <c r="C11974" s="614" t="s">
        <v>6007</v>
      </c>
      <c r="D11974" s="606" t="s">
        <v>6363</v>
      </c>
      <c r="E11974" s="614" t="n">
        <v>20</v>
      </c>
      <c r="F11974" s="617" t="n">
        <v>4771</v>
      </c>
      <c r="G11974" s="615" t="n">
        <v>95</v>
      </c>
      <c r="H11974" s="679"/>
    </row>
    <row r="11975" s="451" customFormat="true" ht="15" hidden="false" customHeight="false" outlineLevel="0" collapsed="false">
      <c r="A11975" s="1105"/>
      <c r="B11975" s="532"/>
      <c r="C11975" s="614" t="s">
        <v>6413</v>
      </c>
      <c r="D11975" s="1094" t="s">
        <v>6390</v>
      </c>
      <c r="E11975" s="614" t="n">
        <v>3</v>
      </c>
      <c r="F11975" s="617" t="n">
        <v>353301</v>
      </c>
      <c r="G11975" s="615" t="n">
        <v>1059.9</v>
      </c>
      <c r="H11975" s="679"/>
    </row>
    <row r="11976" s="451" customFormat="true" ht="30" hidden="false" customHeight="false" outlineLevel="0" collapsed="false">
      <c r="A11976" s="1105"/>
      <c r="B11976" s="532"/>
      <c r="C11976" s="614" t="s">
        <v>6414</v>
      </c>
      <c r="D11976" s="606" t="s">
        <v>6415</v>
      </c>
      <c r="E11976" s="954" t="n">
        <v>2</v>
      </c>
      <c r="F11976" s="617" t="n">
        <v>39480</v>
      </c>
      <c r="G11976" s="615" t="n">
        <v>158</v>
      </c>
      <c r="H11976" s="679"/>
    </row>
    <row r="11977" s="451" customFormat="true" ht="15" hidden="false" customHeight="false" outlineLevel="0" collapsed="false">
      <c r="A11977" s="1105"/>
      <c r="B11977" s="532"/>
      <c r="C11977" s="614" t="s">
        <v>4122</v>
      </c>
      <c r="D11977" s="606" t="s">
        <v>4359</v>
      </c>
      <c r="E11977" s="614" t="n">
        <v>0.1</v>
      </c>
      <c r="F11977" s="617" t="n">
        <v>800</v>
      </c>
      <c r="G11977" s="615" t="n">
        <f aca="false">F11977*E11977</f>
        <v>80</v>
      </c>
      <c r="H11977" s="679"/>
    </row>
    <row r="11978" s="451" customFormat="true" ht="30" hidden="false" customHeight="false" outlineLevel="0" collapsed="false">
      <c r="A11978" s="1105"/>
      <c r="B11978" s="532"/>
      <c r="C11978" s="614" t="s">
        <v>6282</v>
      </c>
      <c r="D11978" s="606" t="s">
        <v>4348</v>
      </c>
      <c r="E11978" s="614" t="n">
        <v>1</v>
      </c>
      <c r="F11978" s="617" t="n">
        <v>1970</v>
      </c>
      <c r="G11978" s="615" t="n">
        <f aca="false">F11978*E11978</f>
        <v>1970</v>
      </c>
      <c r="H11978" s="679"/>
    </row>
    <row r="11979" s="451" customFormat="true" ht="15" hidden="false" customHeight="false" outlineLevel="0" collapsed="false">
      <c r="A11979" s="1105"/>
      <c r="B11979" s="532"/>
      <c r="C11979" s="614" t="s">
        <v>6366</v>
      </c>
      <c r="D11979" s="606" t="s">
        <v>5788</v>
      </c>
      <c r="E11979" s="614" t="n">
        <v>2</v>
      </c>
      <c r="F11979" s="617" t="n">
        <v>1106</v>
      </c>
      <c r="G11979" s="615" t="n">
        <v>22</v>
      </c>
      <c r="H11979" s="679"/>
    </row>
    <row r="11980" s="451" customFormat="true" ht="15" hidden="false" customHeight="false" outlineLevel="0" collapsed="false">
      <c r="A11980" s="1105"/>
      <c r="B11980" s="532"/>
      <c r="C11980" s="614" t="s">
        <v>4270</v>
      </c>
      <c r="D11980" s="606" t="s">
        <v>4359</v>
      </c>
      <c r="E11980" s="614" t="n">
        <v>0.02</v>
      </c>
      <c r="F11980" s="617" t="n">
        <v>9866</v>
      </c>
      <c r="G11980" s="615" t="n">
        <f aca="false">F11980*E11980</f>
        <v>197.32</v>
      </c>
      <c r="H11980" s="679"/>
    </row>
    <row r="11981" s="451" customFormat="true" ht="30" hidden="false" customHeight="false" outlineLevel="0" collapsed="false">
      <c r="A11981" s="1105"/>
      <c r="B11981" s="532"/>
      <c r="C11981" s="709" t="s">
        <v>6283</v>
      </c>
      <c r="D11981" s="679" t="s">
        <v>6416</v>
      </c>
      <c r="E11981" s="1092" t="n">
        <v>1</v>
      </c>
      <c r="F11981" s="681" t="n">
        <v>460</v>
      </c>
      <c r="G11981" s="716" t="n">
        <f aca="false">F11981*E11981</f>
        <v>460</v>
      </c>
      <c r="H11981" s="679"/>
    </row>
    <row r="11982" s="451" customFormat="true" ht="15" hidden="false" customHeight="false" outlineLevel="0" collapsed="false">
      <c r="A11982" s="1105"/>
      <c r="B11982" s="532"/>
      <c r="C11982" s="709"/>
      <c r="D11982" s="679"/>
      <c r="E11982" s="679"/>
      <c r="F11982" s="369"/>
      <c r="G11982" s="711" t="n">
        <f aca="false">SUM(G11973:G11981)</f>
        <v>9997.02</v>
      </c>
      <c r="H11982" s="679"/>
    </row>
    <row r="11983" s="451" customFormat="true" ht="15" hidden="false" customHeight="false" outlineLevel="0" collapsed="false">
      <c r="A11983" s="1105" t="s">
        <v>6578</v>
      </c>
      <c r="B11983" s="1105" t="s">
        <v>3935</v>
      </c>
      <c r="C11983" s="614" t="s">
        <v>6579</v>
      </c>
      <c r="D11983" s="606" t="s">
        <v>6512</v>
      </c>
      <c r="E11983" s="614" t="n">
        <v>1</v>
      </c>
      <c r="F11983" s="617" t="n">
        <v>116800</v>
      </c>
      <c r="G11983" s="615" t="n">
        <f aca="false">F11983/90</f>
        <v>1297.77777777778</v>
      </c>
      <c r="H11983" s="679"/>
    </row>
    <row r="11984" s="451" customFormat="true" ht="15" hidden="false" customHeight="false" outlineLevel="0" collapsed="false">
      <c r="A11984" s="1105"/>
      <c r="B11984" s="1105"/>
      <c r="C11984" s="614" t="s">
        <v>4122</v>
      </c>
      <c r="D11984" s="606" t="s">
        <v>4359</v>
      </c>
      <c r="E11984" s="614" t="n">
        <v>0.2</v>
      </c>
      <c r="F11984" s="617" t="n">
        <v>800</v>
      </c>
      <c r="G11984" s="615" t="n">
        <f aca="false">F11984*E11984</f>
        <v>160</v>
      </c>
      <c r="H11984" s="679"/>
    </row>
    <row r="11985" s="451" customFormat="true" ht="15" hidden="false" customHeight="false" outlineLevel="0" collapsed="false">
      <c r="A11985" s="1105"/>
      <c r="B11985" s="1105"/>
      <c r="C11985" s="614" t="s">
        <v>6007</v>
      </c>
      <c r="D11985" s="606" t="s">
        <v>6363</v>
      </c>
      <c r="E11985" s="614" t="n">
        <v>20</v>
      </c>
      <c r="F11985" s="617" t="n">
        <v>4771</v>
      </c>
      <c r="G11985" s="615" t="n">
        <v>95</v>
      </c>
      <c r="H11985" s="679"/>
    </row>
    <row r="11986" s="451" customFormat="true" ht="30" hidden="false" customHeight="false" outlineLevel="0" collapsed="false">
      <c r="A11986" s="1105"/>
      <c r="B11986" s="1105"/>
      <c r="C11986" s="614" t="s">
        <v>6394</v>
      </c>
      <c r="D11986" s="606" t="s">
        <v>6329</v>
      </c>
      <c r="E11986" s="954" t="n">
        <v>2</v>
      </c>
      <c r="F11986" s="617" t="n">
        <v>39480</v>
      </c>
      <c r="G11986" s="615" t="n">
        <v>158</v>
      </c>
      <c r="H11986" s="679"/>
    </row>
    <row r="11987" s="451" customFormat="true" ht="15" hidden="false" customHeight="false" outlineLevel="0" collapsed="false">
      <c r="A11987" s="1105"/>
      <c r="B11987" s="1105"/>
      <c r="C11987" s="614" t="s">
        <v>4270</v>
      </c>
      <c r="D11987" s="606" t="s">
        <v>4359</v>
      </c>
      <c r="E11987" s="614" t="n">
        <v>0.02</v>
      </c>
      <c r="F11987" s="617" t="n">
        <v>9866</v>
      </c>
      <c r="G11987" s="615" t="n">
        <f aca="false">F11987*E11987</f>
        <v>197.32</v>
      </c>
      <c r="H11987" s="679"/>
    </row>
    <row r="11988" s="451" customFormat="true" ht="15" hidden="false" customHeight="false" outlineLevel="0" collapsed="false">
      <c r="A11988" s="1105"/>
      <c r="B11988" s="1105"/>
      <c r="C11988" s="614" t="s">
        <v>4347</v>
      </c>
      <c r="D11988" s="606" t="s">
        <v>5788</v>
      </c>
      <c r="E11988" s="614" t="n">
        <v>2</v>
      </c>
      <c r="F11988" s="617" t="n">
        <v>1106</v>
      </c>
      <c r="G11988" s="615" t="n">
        <v>22</v>
      </c>
      <c r="H11988" s="679"/>
    </row>
    <row r="11989" s="451" customFormat="true" ht="30" hidden="false" customHeight="false" outlineLevel="0" collapsed="false">
      <c r="A11989" s="1105"/>
      <c r="B11989" s="1105"/>
      <c r="C11989" s="614" t="s">
        <v>6282</v>
      </c>
      <c r="D11989" s="606" t="s">
        <v>4348</v>
      </c>
      <c r="E11989" s="614" t="n">
        <v>1</v>
      </c>
      <c r="F11989" s="617" t="n">
        <v>1970</v>
      </c>
      <c r="G11989" s="615" t="n">
        <f aca="false">F11989*E11989</f>
        <v>1970</v>
      </c>
      <c r="H11989" s="679"/>
    </row>
    <row r="11990" s="451" customFormat="true" ht="30" hidden="false" customHeight="false" outlineLevel="0" collapsed="false">
      <c r="A11990" s="1105"/>
      <c r="B11990" s="1105"/>
      <c r="C11990" s="709" t="s">
        <v>6283</v>
      </c>
      <c r="D11990" s="679" t="s">
        <v>6416</v>
      </c>
      <c r="E11990" s="1092" t="n">
        <v>1</v>
      </c>
      <c r="F11990" s="681" t="n">
        <v>460</v>
      </c>
      <c r="G11990" s="716" t="n">
        <f aca="false">F11990*E11990</f>
        <v>460</v>
      </c>
      <c r="H11990" s="679"/>
    </row>
    <row r="11991" s="451" customFormat="true" ht="15" hidden="false" customHeight="false" outlineLevel="0" collapsed="false">
      <c r="A11991" s="1105"/>
      <c r="B11991" s="1105"/>
      <c r="C11991" s="709"/>
      <c r="D11991" s="679"/>
      <c r="E11991" s="679"/>
      <c r="F11991" s="369"/>
      <c r="G11991" s="711" t="n">
        <f aca="false">SUM(G11983:G11990)</f>
        <v>4360.09777777778</v>
      </c>
      <c r="H11991" s="679"/>
    </row>
    <row r="11992" s="451" customFormat="true" ht="28.5" hidden="false" customHeight="false" outlineLevel="0" collapsed="false">
      <c r="A11992" s="510" t="s">
        <v>2419</v>
      </c>
      <c r="B11992" s="751" t="s">
        <v>6580</v>
      </c>
      <c r="C11992" s="600"/>
      <c r="D11992" s="600"/>
      <c r="E11992" s="600"/>
      <c r="F11992" s="364"/>
      <c r="G11992" s="713"/>
      <c r="H11992" s="790"/>
    </row>
    <row r="11993" s="451" customFormat="true" ht="30" hidden="false" customHeight="false" outlineLevel="0" collapsed="false">
      <c r="A11993" s="1105" t="s">
        <v>6581</v>
      </c>
      <c r="B11993" s="532" t="s">
        <v>3937</v>
      </c>
      <c r="C11993" s="709" t="s">
        <v>6530</v>
      </c>
      <c r="D11993" s="679" t="s">
        <v>6326</v>
      </c>
      <c r="E11993" s="709" t="n">
        <v>1</v>
      </c>
      <c r="F11993" s="681" t="n">
        <v>2224.75</v>
      </c>
      <c r="G11993" s="716" t="n">
        <f aca="false">F11993*E11993</f>
        <v>2224.75</v>
      </c>
      <c r="H11993" s="679"/>
    </row>
    <row r="11994" s="451" customFormat="true" ht="15" hidden="false" customHeight="false" outlineLevel="0" collapsed="false">
      <c r="A11994" s="1105"/>
      <c r="B11994" s="532"/>
      <c r="C11994" s="614" t="s">
        <v>6007</v>
      </c>
      <c r="D11994" s="606" t="s">
        <v>6363</v>
      </c>
      <c r="E11994" s="614" t="n">
        <v>20</v>
      </c>
      <c r="F11994" s="617" t="n">
        <v>4771</v>
      </c>
      <c r="G11994" s="615" t="n">
        <v>95</v>
      </c>
      <c r="H11994" s="679"/>
    </row>
    <row r="11995" s="451" customFormat="true" ht="15" hidden="false" customHeight="false" outlineLevel="0" collapsed="false">
      <c r="A11995" s="1105"/>
      <c r="B11995" s="532"/>
      <c r="C11995" s="614" t="s">
        <v>6413</v>
      </c>
      <c r="D11995" s="1094" t="s">
        <v>6390</v>
      </c>
      <c r="E11995" s="614" t="n">
        <v>3</v>
      </c>
      <c r="F11995" s="617" t="n">
        <v>353301</v>
      </c>
      <c r="G11995" s="615" t="n">
        <v>1059.9</v>
      </c>
      <c r="H11995" s="679"/>
    </row>
    <row r="11996" s="451" customFormat="true" ht="30" hidden="false" customHeight="false" outlineLevel="0" collapsed="false">
      <c r="A11996" s="1105"/>
      <c r="B11996" s="532"/>
      <c r="C11996" s="614" t="s">
        <v>6414</v>
      </c>
      <c r="D11996" s="606" t="s">
        <v>6415</v>
      </c>
      <c r="E11996" s="954" t="n">
        <v>2</v>
      </c>
      <c r="F11996" s="617" t="n">
        <v>39480</v>
      </c>
      <c r="G11996" s="615" t="n">
        <v>158</v>
      </c>
      <c r="H11996" s="679"/>
    </row>
    <row r="11997" s="451" customFormat="true" ht="15" hidden="false" customHeight="false" outlineLevel="0" collapsed="false">
      <c r="A11997" s="1105"/>
      <c r="B11997" s="532"/>
      <c r="C11997" s="614" t="s">
        <v>4122</v>
      </c>
      <c r="D11997" s="606" t="s">
        <v>4359</v>
      </c>
      <c r="E11997" s="614" t="n">
        <v>0.1</v>
      </c>
      <c r="F11997" s="617" t="n">
        <v>800</v>
      </c>
      <c r="G11997" s="615" t="n">
        <f aca="false">F11997*E11997</f>
        <v>80</v>
      </c>
      <c r="H11997" s="679"/>
    </row>
    <row r="11998" s="451" customFormat="true" ht="30" hidden="false" customHeight="false" outlineLevel="0" collapsed="false">
      <c r="A11998" s="1105"/>
      <c r="B11998" s="532"/>
      <c r="C11998" s="614" t="s">
        <v>6282</v>
      </c>
      <c r="D11998" s="606" t="s">
        <v>4348</v>
      </c>
      <c r="E11998" s="614" t="n">
        <v>1</v>
      </c>
      <c r="F11998" s="617" t="n">
        <v>1720</v>
      </c>
      <c r="G11998" s="615" t="n">
        <f aca="false">F11998*E11998</f>
        <v>1720</v>
      </c>
      <c r="H11998" s="679"/>
    </row>
    <row r="11999" s="451" customFormat="true" ht="15" hidden="false" customHeight="false" outlineLevel="0" collapsed="false">
      <c r="A11999" s="1105"/>
      <c r="B11999" s="532"/>
      <c r="C11999" s="614" t="s">
        <v>6366</v>
      </c>
      <c r="D11999" s="606" t="s">
        <v>5788</v>
      </c>
      <c r="E11999" s="614" t="n">
        <v>2</v>
      </c>
      <c r="F11999" s="617" t="n">
        <v>1106</v>
      </c>
      <c r="G11999" s="615" t="n">
        <v>22</v>
      </c>
      <c r="H11999" s="679"/>
    </row>
    <row r="12000" s="451" customFormat="true" ht="15" hidden="false" customHeight="false" outlineLevel="0" collapsed="false">
      <c r="A12000" s="1105"/>
      <c r="B12000" s="532"/>
      <c r="C12000" s="614" t="s">
        <v>4270</v>
      </c>
      <c r="D12000" s="606" t="s">
        <v>4359</v>
      </c>
      <c r="E12000" s="614" t="n">
        <v>0.02</v>
      </c>
      <c r="F12000" s="617" t="n">
        <v>9866</v>
      </c>
      <c r="G12000" s="615" t="n">
        <f aca="false">F12000*E12000</f>
        <v>197.32</v>
      </c>
      <c r="H12000" s="679"/>
    </row>
    <row r="12001" s="451" customFormat="true" ht="30" hidden="false" customHeight="false" outlineLevel="0" collapsed="false">
      <c r="A12001" s="1105"/>
      <c r="B12001" s="532"/>
      <c r="C12001" s="709" t="s">
        <v>6283</v>
      </c>
      <c r="D12001" s="679" t="s">
        <v>6416</v>
      </c>
      <c r="E12001" s="1092" t="n">
        <v>1</v>
      </c>
      <c r="F12001" s="681" t="n">
        <v>460</v>
      </c>
      <c r="G12001" s="716" t="n">
        <f aca="false">F12001*E12001</f>
        <v>460</v>
      </c>
      <c r="H12001" s="679"/>
    </row>
    <row r="12002" s="451" customFormat="true" ht="15" hidden="false" customHeight="false" outlineLevel="0" collapsed="false">
      <c r="A12002" s="1105"/>
      <c r="B12002" s="532"/>
      <c r="C12002" s="709"/>
      <c r="D12002" s="679"/>
      <c r="E12002" s="679"/>
      <c r="F12002" s="369"/>
      <c r="G12002" s="711" t="n">
        <f aca="false">SUM(G11993:G12001)</f>
        <v>6016.97</v>
      </c>
      <c r="H12002" s="679"/>
    </row>
    <row r="12003" s="451" customFormat="true" ht="135" hidden="false" customHeight="false" outlineLevel="0" collapsed="false">
      <c r="A12003" s="1105" t="s">
        <v>6582</v>
      </c>
      <c r="B12003" s="532" t="s">
        <v>6583</v>
      </c>
      <c r="C12003" s="709" t="s">
        <v>6584</v>
      </c>
      <c r="D12003" s="679" t="s">
        <v>5908</v>
      </c>
      <c r="E12003" s="709" t="n">
        <v>0.01</v>
      </c>
      <c r="F12003" s="681" t="n">
        <v>165000</v>
      </c>
      <c r="G12003" s="615" t="n">
        <v>1650</v>
      </c>
      <c r="H12003" s="679"/>
    </row>
    <row r="12004" s="451" customFormat="true" ht="15" hidden="false" customHeight="false" outlineLevel="0" collapsed="false">
      <c r="A12004" s="1105"/>
      <c r="B12004" s="532"/>
      <c r="C12004" s="614" t="s">
        <v>6007</v>
      </c>
      <c r="D12004" s="606" t="s">
        <v>6363</v>
      </c>
      <c r="E12004" s="614" t="n">
        <v>20</v>
      </c>
      <c r="F12004" s="617" t="n">
        <v>4771</v>
      </c>
      <c r="G12004" s="615" t="n">
        <v>95</v>
      </c>
      <c r="H12004" s="679"/>
    </row>
    <row r="12005" s="451" customFormat="true" ht="30" hidden="false" customHeight="false" outlineLevel="0" collapsed="false">
      <c r="A12005" s="1105"/>
      <c r="B12005" s="532"/>
      <c r="C12005" s="614" t="s">
        <v>6394</v>
      </c>
      <c r="D12005" s="606" t="s">
        <v>6329</v>
      </c>
      <c r="E12005" s="954" t="n">
        <v>2</v>
      </c>
      <c r="F12005" s="617" t="n">
        <v>39480</v>
      </c>
      <c r="G12005" s="615" t="n">
        <v>158</v>
      </c>
      <c r="H12005" s="679"/>
    </row>
    <row r="12006" s="451" customFormat="true" ht="15" hidden="false" customHeight="false" outlineLevel="0" collapsed="false">
      <c r="A12006" s="1105"/>
      <c r="B12006" s="532"/>
      <c r="C12006" s="614" t="s">
        <v>4122</v>
      </c>
      <c r="D12006" s="606" t="s">
        <v>4359</v>
      </c>
      <c r="E12006" s="614" t="n">
        <v>0.1</v>
      </c>
      <c r="F12006" s="617" t="n">
        <v>800</v>
      </c>
      <c r="G12006" s="615" t="n">
        <f aca="false">F12006*E12006</f>
        <v>80</v>
      </c>
      <c r="H12006" s="679"/>
    </row>
    <row r="12007" s="451" customFormat="true" ht="30" hidden="false" customHeight="false" outlineLevel="0" collapsed="false">
      <c r="A12007" s="1105"/>
      <c r="B12007" s="532"/>
      <c r="C12007" s="614" t="s">
        <v>6282</v>
      </c>
      <c r="D12007" s="606" t="s">
        <v>4348</v>
      </c>
      <c r="E12007" s="614" t="n">
        <v>1</v>
      </c>
      <c r="F12007" s="617" t="n">
        <v>1720</v>
      </c>
      <c r="G12007" s="615" t="n">
        <f aca="false">F12007*E12007</f>
        <v>1720</v>
      </c>
      <c r="H12007" s="679"/>
    </row>
    <row r="12008" s="451" customFormat="true" ht="15" hidden="false" customHeight="false" outlineLevel="0" collapsed="false">
      <c r="A12008" s="1105"/>
      <c r="B12008" s="532"/>
      <c r="C12008" s="614" t="s">
        <v>6366</v>
      </c>
      <c r="D12008" s="606" t="s">
        <v>5788</v>
      </c>
      <c r="E12008" s="614" t="n">
        <v>2</v>
      </c>
      <c r="F12008" s="617" t="n">
        <v>1106</v>
      </c>
      <c r="G12008" s="615" t="n">
        <v>22</v>
      </c>
      <c r="H12008" s="679"/>
    </row>
    <row r="12009" s="451" customFormat="true" ht="15" hidden="false" customHeight="false" outlineLevel="0" collapsed="false">
      <c r="A12009" s="1105"/>
      <c r="B12009" s="532"/>
      <c r="C12009" s="614" t="s">
        <v>4270</v>
      </c>
      <c r="D12009" s="606" t="s">
        <v>4359</v>
      </c>
      <c r="E12009" s="614" t="n">
        <v>0.02</v>
      </c>
      <c r="F12009" s="617" t="n">
        <v>9866</v>
      </c>
      <c r="G12009" s="615" t="n">
        <f aca="false">F12009*E12009</f>
        <v>197.32</v>
      </c>
      <c r="H12009" s="679"/>
    </row>
    <row r="12010" s="451" customFormat="true" ht="30" hidden="false" customHeight="false" outlineLevel="0" collapsed="false">
      <c r="A12010" s="1105"/>
      <c r="B12010" s="532"/>
      <c r="C12010" s="379" t="s">
        <v>6283</v>
      </c>
      <c r="D12010" s="1040" t="s">
        <v>6416</v>
      </c>
      <c r="E12010" s="954" t="n">
        <v>1</v>
      </c>
      <c r="F12010" s="617" t="n">
        <v>460</v>
      </c>
      <c r="G12010" s="615" t="n">
        <f aca="false">F12010*E12010</f>
        <v>460</v>
      </c>
      <c r="H12010" s="679"/>
    </row>
    <row r="12011" s="451" customFormat="true" ht="15" hidden="false" customHeight="false" outlineLevel="0" collapsed="false">
      <c r="A12011" s="1105"/>
      <c r="B12011" s="532"/>
      <c r="C12011" s="614"/>
      <c r="D12011" s="606"/>
      <c r="E12011" s="606"/>
      <c r="F12011" s="361"/>
      <c r="G12011" s="613" t="n">
        <f aca="false">SUM(G12003:G12010)</f>
        <v>4382.32</v>
      </c>
      <c r="H12011" s="679"/>
    </row>
    <row r="12012" s="451" customFormat="true" ht="28.5" hidden="false" customHeight="true" outlineLevel="0" collapsed="false">
      <c r="A12012" s="1105" t="s">
        <v>6585</v>
      </c>
      <c r="B12012" s="532" t="s">
        <v>6586</v>
      </c>
      <c r="C12012" s="614" t="s">
        <v>6587</v>
      </c>
      <c r="D12012" s="606" t="s">
        <v>6512</v>
      </c>
      <c r="E12012" s="614" t="n">
        <v>0.002</v>
      </c>
      <c r="F12012" s="617" t="n">
        <v>25250</v>
      </c>
      <c r="G12012" s="615" t="n">
        <f aca="false">F12012*E12012</f>
        <v>50.5</v>
      </c>
      <c r="H12012" s="679"/>
    </row>
    <row r="12013" s="451" customFormat="true" ht="28.5" hidden="false" customHeight="true" outlineLevel="0" collapsed="false">
      <c r="A12013" s="1105"/>
      <c r="B12013" s="532"/>
      <c r="C12013" s="614" t="s">
        <v>4122</v>
      </c>
      <c r="D12013" s="606" t="s">
        <v>4359</v>
      </c>
      <c r="E12013" s="614" t="n">
        <v>0.2</v>
      </c>
      <c r="F12013" s="617" t="n">
        <v>800</v>
      </c>
      <c r="G12013" s="615" t="n">
        <f aca="false">F12013*E12013</f>
        <v>160</v>
      </c>
      <c r="H12013" s="679"/>
    </row>
    <row r="12014" s="451" customFormat="true" ht="28.5" hidden="false" customHeight="true" outlineLevel="0" collapsed="false">
      <c r="A12014" s="1105"/>
      <c r="B12014" s="532"/>
      <c r="C12014" s="614" t="s">
        <v>6007</v>
      </c>
      <c r="D12014" s="606" t="s">
        <v>6363</v>
      </c>
      <c r="E12014" s="614" t="n">
        <v>20</v>
      </c>
      <c r="F12014" s="617" t="n">
        <v>4771</v>
      </c>
      <c r="G12014" s="615" t="n">
        <v>95</v>
      </c>
      <c r="H12014" s="679"/>
    </row>
    <row r="12015" s="451" customFormat="true" ht="28.5" hidden="false" customHeight="true" outlineLevel="0" collapsed="false">
      <c r="A12015" s="1105"/>
      <c r="B12015" s="532"/>
      <c r="C12015" s="614" t="s">
        <v>6394</v>
      </c>
      <c r="D12015" s="606" t="s">
        <v>6329</v>
      </c>
      <c r="E12015" s="954" t="n">
        <v>2</v>
      </c>
      <c r="F12015" s="617" t="n">
        <v>39480</v>
      </c>
      <c r="G12015" s="615" t="n">
        <v>158</v>
      </c>
      <c r="H12015" s="679"/>
    </row>
    <row r="12016" s="451" customFormat="true" ht="15" hidden="false" customHeight="false" outlineLevel="0" collapsed="false">
      <c r="A12016" s="1105"/>
      <c r="B12016" s="532"/>
      <c r="C12016" s="614" t="s">
        <v>4270</v>
      </c>
      <c r="D12016" s="606" t="s">
        <v>4359</v>
      </c>
      <c r="E12016" s="614" t="n">
        <v>0</v>
      </c>
      <c r="F12016" s="617" t="n">
        <v>690</v>
      </c>
      <c r="G12016" s="615" t="n">
        <f aca="false">F12016*E12016</f>
        <v>0</v>
      </c>
      <c r="H12016" s="679"/>
    </row>
    <row r="12017" s="451" customFormat="true" ht="15" hidden="false" customHeight="false" outlineLevel="0" collapsed="false">
      <c r="A12017" s="1105"/>
      <c r="B12017" s="532"/>
      <c r="C12017" s="614" t="s">
        <v>4347</v>
      </c>
      <c r="D12017" s="606" t="s">
        <v>5788</v>
      </c>
      <c r="E12017" s="614" t="n">
        <v>2</v>
      </c>
      <c r="F12017" s="617" t="n">
        <v>1106</v>
      </c>
      <c r="G12017" s="615" t="n">
        <v>22</v>
      </c>
      <c r="H12017" s="679"/>
    </row>
    <row r="12018" s="451" customFormat="true" ht="30" hidden="false" customHeight="false" outlineLevel="0" collapsed="false">
      <c r="A12018" s="1105"/>
      <c r="B12018" s="532"/>
      <c r="C12018" s="614" t="s">
        <v>6282</v>
      </c>
      <c r="D12018" s="606" t="s">
        <v>4348</v>
      </c>
      <c r="E12018" s="614" t="n">
        <v>1</v>
      </c>
      <c r="F12018" s="617" t="n">
        <v>1720</v>
      </c>
      <c r="G12018" s="615" t="n">
        <f aca="false">F12018*E12018</f>
        <v>1720</v>
      </c>
      <c r="H12018" s="679"/>
    </row>
    <row r="12019" s="451" customFormat="true" ht="30" hidden="false" customHeight="false" outlineLevel="0" collapsed="false">
      <c r="A12019" s="1105"/>
      <c r="B12019" s="532"/>
      <c r="C12019" s="614" t="s">
        <v>6283</v>
      </c>
      <c r="D12019" s="606" t="s">
        <v>6416</v>
      </c>
      <c r="E12019" s="954" t="n">
        <v>1</v>
      </c>
      <c r="F12019" s="617" t="n">
        <v>460</v>
      </c>
      <c r="G12019" s="615" t="n">
        <f aca="false">F12019*E12019</f>
        <v>460</v>
      </c>
      <c r="H12019" s="679"/>
    </row>
    <row r="12020" s="451" customFormat="true" ht="15" hidden="false" customHeight="false" outlineLevel="0" collapsed="false">
      <c r="A12020" s="1105"/>
      <c r="B12020" s="532"/>
      <c r="C12020" s="709"/>
      <c r="D12020" s="679"/>
      <c r="E12020" s="679"/>
      <c r="F12020" s="369"/>
      <c r="G12020" s="711" t="n">
        <f aca="false">SUM(G12012:G12019)</f>
        <v>2665.5</v>
      </c>
      <c r="H12020" s="679"/>
    </row>
    <row r="12021" s="451" customFormat="true" ht="15" hidden="false" customHeight="false" outlineLevel="0" collapsed="false">
      <c r="A12021" s="510" t="s">
        <v>2427</v>
      </c>
      <c r="B12021" s="346" t="s">
        <v>6588</v>
      </c>
      <c r="C12021" s="600"/>
      <c r="D12021" s="600"/>
      <c r="E12021" s="600"/>
      <c r="F12021" s="364"/>
      <c r="G12021" s="713"/>
      <c r="H12021" s="790"/>
    </row>
    <row r="12022" s="451" customFormat="true" ht="30" hidden="false" customHeight="false" outlineLevel="0" collapsed="false">
      <c r="A12022" s="1105" t="s">
        <v>6589</v>
      </c>
      <c r="B12022" s="532" t="s">
        <v>3941</v>
      </c>
      <c r="C12022" s="709" t="s">
        <v>6590</v>
      </c>
      <c r="D12022" s="679" t="s">
        <v>6326</v>
      </c>
      <c r="E12022" s="709" t="n">
        <v>1</v>
      </c>
      <c r="F12022" s="681" t="n">
        <v>2224.75</v>
      </c>
      <c r="G12022" s="716" t="n">
        <f aca="false">F12022*E12022</f>
        <v>2224.75</v>
      </c>
      <c r="H12022" s="679"/>
    </row>
    <row r="12023" s="451" customFormat="true" ht="15" hidden="false" customHeight="false" outlineLevel="0" collapsed="false">
      <c r="A12023" s="1105"/>
      <c r="B12023" s="532"/>
      <c r="C12023" s="614" t="s">
        <v>6007</v>
      </c>
      <c r="D12023" s="606" t="s">
        <v>6363</v>
      </c>
      <c r="E12023" s="614" t="n">
        <v>20</v>
      </c>
      <c r="F12023" s="617" t="n">
        <v>4771</v>
      </c>
      <c r="G12023" s="615" t="n">
        <v>95</v>
      </c>
      <c r="H12023" s="606"/>
    </row>
    <row r="12024" s="451" customFormat="true" ht="15" hidden="false" customHeight="false" outlineLevel="0" collapsed="false">
      <c r="A12024" s="1105"/>
      <c r="B12024" s="532"/>
      <c r="C12024" s="614" t="s">
        <v>6413</v>
      </c>
      <c r="D12024" s="1094" t="s">
        <v>6390</v>
      </c>
      <c r="E12024" s="614" t="n">
        <v>3</v>
      </c>
      <c r="F12024" s="617" t="n">
        <v>353301</v>
      </c>
      <c r="G12024" s="615" t="n">
        <v>1059.9</v>
      </c>
      <c r="H12024" s="606"/>
    </row>
    <row r="12025" s="451" customFormat="true" ht="30" hidden="false" customHeight="false" outlineLevel="0" collapsed="false">
      <c r="A12025" s="1105"/>
      <c r="B12025" s="532"/>
      <c r="C12025" s="614" t="s">
        <v>6414</v>
      </c>
      <c r="D12025" s="606" t="s">
        <v>6415</v>
      </c>
      <c r="E12025" s="954" t="n">
        <v>2</v>
      </c>
      <c r="F12025" s="617" t="n">
        <v>39480</v>
      </c>
      <c r="G12025" s="615" t="n">
        <v>158</v>
      </c>
      <c r="H12025" s="606"/>
    </row>
    <row r="12026" s="451" customFormat="true" ht="15" hidden="false" customHeight="false" outlineLevel="0" collapsed="false">
      <c r="A12026" s="1105"/>
      <c r="B12026" s="532"/>
      <c r="C12026" s="614" t="s">
        <v>4122</v>
      </c>
      <c r="D12026" s="606" t="s">
        <v>4359</v>
      </c>
      <c r="E12026" s="614" t="n">
        <v>0.1</v>
      </c>
      <c r="F12026" s="617" t="n">
        <v>800</v>
      </c>
      <c r="G12026" s="615" t="n">
        <f aca="false">F12026*E12026</f>
        <v>80</v>
      </c>
      <c r="H12026" s="606"/>
    </row>
    <row r="12027" s="451" customFormat="true" ht="30" hidden="false" customHeight="false" outlineLevel="0" collapsed="false">
      <c r="A12027" s="1105"/>
      <c r="B12027" s="532"/>
      <c r="C12027" s="614" t="s">
        <v>6282</v>
      </c>
      <c r="D12027" s="606" t="s">
        <v>4348</v>
      </c>
      <c r="E12027" s="614" t="n">
        <v>1</v>
      </c>
      <c r="F12027" s="617" t="n">
        <v>1720</v>
      </c>
      <c r="G12027" s="615" t="n">
        <f aca="false">F12027*E12027</f>
        <v>1720</v>
      </c>
      <c r="H12027" s="606"/>
    </row>
    <row r="12028" s="451" customFormat="true" ht="15" hidden="false" customHeight="false" outlineLevel="0" collapsed="false">
      <c r="A12028" s="1105"/>
      <c r="B12028" s="532"/>
      <c r="C12028" s="614" t="s">
        <v>6366</v>
      </c>
      <c r="D12028" s="606" t="s">
        <v>5788</v>
      </c>
      <c r="E12028" s="614" t="n">
        <v>2</v>
      </c>
      <c r="F12028" s="617" t="n">
        <v>1106</v>
      </c>
      <c r="G12028" s="615" t="n">
        <v>22</v>
      </c>
      <c r="H12028" s="606"/>
    </row>
    <row r="12029" s="451" customFormat="true" ht="30" hidden="false" customHeight="false" outlineLevel="0" collapsed="false">
      <c r="A12029" s="1105"/>
      <c r="B12029" s="532"/>
      <c r="C12029" s="614" t="s">
        <v>6283</v>
      </c>
      <c r="D12029" s="606" t="s">
        <v>6416</v>
      </c>
      <c r="E12029" s="954" t="n">
        <v>1</v>
      </c>
      <c r="F12029" s="617" t="n">
        <v>460</v>
      </c>
      <c r="G12029" s="615" t="n">
        <f aca="false">F12029*E12029</f>
        <v>460</v>
      </c>
      <c r="H12029" s="606"/>
    </row>
    <row r="12030" s="451" customFormat="true" ht="15" hidden="false" customHeight="false" outlineLevel="0" collapsed="false">
      <c r="A12030" s="1105"/>
      <c r="B12030" s="532"/>
      <c r="C12030" s="614"/>
      <c r="D12030" s="606"/>
      <c r="E12030" s="606"/>
      <c r="F12030" s="361"/>
      <c r="G12030" s="613" t="n">
        <f aca="false">SUM(G12022:G12029)</f>
        <v>5819.65</v>
      </c>
      <c r="H12030" s="606"/>
    </row>
    <row r="12031" s="451" customFormat="true" ht="15" hidden="false" customHeight="false" outlineLevel="0" collapsed="false">
      <c r="A12031" s="1105" t="s">
        <v>6591</v>
      </c>
      <c r="B12031" s="532" t="s">
        <v>6592</v>
      </c>
      <c r="C12031" s="614" t="s">
        <v>6530</v>
      </c>
      <c r="D12031" s="593" t="s">
        <v>6320</v>
      </c>
      <c r="E12031" s="614" t="n">
        <v>1</v>
      </c>
      <c r="F12031" s="617" t="n">
        <v>2104</v>
      </c>
      <c r="G12031" s="615" t="n">
        <f aca="false">F12031*E12031</f>
        <v>2104</v>
      </c>
      <c r="H12031" s="606"/>
    </row>
    <row r="12032" s="451" customFormat="true" ht="15" hidden="false" customHeight="false" outlineLevel="0" collapsed="false">
      <c r="A12032" s="1105"/>
      <c r="B12032" s="532"/>
      <c r="C12032" s="614" t="s">
        <v>6007</v>
      </c>
      <c r="D12032" s="606" t="s">
        <v>6363</v>
      </c>
      <c r="E12032" s="614" t="n">
        <v>20</v>
      </c>
      <c r="F12032" s="617" t="n">
        <v>4771</v>
      </c>
      <c r="G12032" s="615" t="n">
        <v>95</v>
      </c>
      <c r="H12032" s="606"/>
    </row>
    <row r="12033" s="451" customFormat="true" ht="15" hidden="false" customHeight="false" outlineLevel="0" collapsed="false">
      <c r="A12033" s="1105"/>
      <c r="B12033" s="532"/>
      <c r="C12033" s="614" t="s">
        <v>4122</v>
      </c>
      <c r="D12033" s="606" t="s">
        <v>4359</v>
      </c>
      <c r="E12033" s="614" t="n">
        <v>0.1</v>
      </c>
      <c r="F12033" s="617" t="n">
        <v>800</v>
      </c>
      <c r="G12033" s="615" t="n">
        <f aca="false">F12033*E12033</f>
        <v>80</v>
      </c>
      <c r="H12033" s="606"/>
    </row>
    <row r="12034" s="451" customFormat="true" ht="30" hidden="false" customHeight="false" outlineLevel="0" collapsed="false">
      <c r="A12034" s="1105"/>
      <c r="B12034" s="532"/>
      <c r="C12034" s="614" t="s">
        <v>6394</v>
      </c>
      <c r="D12034" s="606" t="s">
        <v>6329</v>
      </c>
      <c r="E12034" s="954" t="n">
        <v>2</v>
      </c>
      <c r="F12034" s="617" t="n">
        <v>39480</v>
      </c>
      <c r="G12034" s="615" t="n">
        <v>158</v>
      </c>
      <c r="H12034" s="606"/>
    </row>
    <row r="12035" s="451" customFormat="true" ht="15" hidden="false" customHeight="false" outlineLevel="0" collapsed="false">
      <c r="A12035" s="1105"/>
      <c r="B12035" s="532"/>
      <c r="C12035" s="614" t="s">
        <v>4347</v>
      </c>
      <c r="D12035" s="606" t="s">
        <v>5788</v>
      </c>
      <c r="E12035" s="614" t="n">
        <v>2</v>
      </c>
      <c r="F12035" s="617" t="n">
        <v>1106</v>
      </c>
      <c r="G12035" s="615" t="n">
        <v>22</v>
      </c>
      <c r="H12035" s="606"/>
    </row>
    <row r="12036" s="451" customFormat="true" ht="30" hidden="false" customHeight="false" outlineLevel="0" collapsed="false">
      <c r="A12036" s="1105"/>
      <c r="B12036" s="532"/>
      <c r="C12036" s="614" t="s">
        <v>6282</v>
      </c>
      <c r="D12036" s="606" t="s">
        <v>4348</v>
      </c>
      <c r="E12036" s="614" t="n">
        <v>1</v>
      </c>
      <c r="F12036" s="617" t="n">
        <v>1720</v>
      </c>
      <c r="G12036" s="615" t="n">
        <f aca="false">F12036*E12036</f>
        <v>1720</v>
      </c>
      <c r="H12036" s="606"/>
    </row>
    <row r="12037" s="451" customFormat="true" ht="30" hidden="false" customHeight="false" outlineLevel="0" collapsed="false">
      <c r="A12037" s="1105"/>
      <c r="B12037" s="532"/>
      <c r="C12037" s="709" t="s">
        <v>6283</v>
      </c>
      <c r="D12037" s="679" t="s">
        <v>6416</v>
      </c>
      <c r="E12037" s="1092" t="n">
        <v>1</v>
      </c>
      <c r="F12037" s="681" t="n">
        <v>460</v>
      </c>
      <c r="G12037" s="716" t="n">
        <f aca="false">F12037*E12037</f>
        <v>460</v>
      </c>
      <c r="H12037" s="679"/>
    </row>
    <row r="12038" s="451" customFormat="true" ht="15" hidden="false" customHeight="false" outlineLevel="0" collapsed="false">
      <c r="A12038" s="1105"/>
      <c r="B12038" s="532"/>
      <c r="C12038" s="709"/>
      <c r="D12038" s="679"/>
      <c r="E12038" s="679"/>
      <c r="F12038" s="369"/>
      <c r="G12038" s="711" t="n">
        <f aca="false">SUM(G12031:G12037)</f>
        <v>4639</v>
      </c>
      <c r="H12038" s="679"/>
    </row>
    <row r="12039" s="451" customFormat="true" ht="15" hidden="false" customHeight="false" outlineLevel="0" collapsed="false">
      <c r="A12039" s="510" t="s">
        <v>2433</v>
      </c>
      <c r="B12039" s="346" t="s">
        <v>6593</v>
      </c>
      <c r="C12039" s="600"/>
      <c r="D12039" s="600"/>
      <c r="E12039" s="600"/>
      <c r="F12039" s="364"/>
      <c r="G12039" s="713"/>
      <c r="H12039" s="790"/>
    </row>
    <row r="12040" s="451" customFormat="true" ht="30" hidden="false" customHeight="false" outlineLevel="0" collapsed="false">
      <c r="A12040" s="1105" t="s">
        <v>6594</v>
      </c>
      <c r="B12040" s="532" t="s">
        <v>6595</v>
      </c>
      <c r="C12040" s="709" t="s">
        <v>6596</v>
      </c>
      <c r="D12040" s="679" t="s">
        <v>6326</v>
      </c>
      <c r="E12040" s="709" t="n">
        <v>1</v>
      </c>
      <c r="F12040" s="681" t="n">
        <v>540278</v>
      </c>
      <c r="G12040" s="716" t="n">
        <v>9004.6</v>
      </c>
      <c r="H12040" s="679"/>
    </row>
    <row r="12041" s="451" customFormat="true" ht="15" hidden="false" customHeight="false" outlineLevel="0" collapsed="false">
      <c r="A12041" s="1105"/>
      <c r="B12041" s="532"/>
      <c r="C12041" s="614" t="s">
        <v>6007</v>
      </c>
      <c r="D12041" s="606" t="s">
        <v>6363</v>
      </c>
      <c r="E12041" s="614" t="n">
        <v>20</v>
      </c>
      <c r="F12041" s="617" t="n">
        <v>4771</v>
      </c>
      <c r="G12041" s="615" t="n">
        <v>95</v>
      </c>
      <c r="H12041" s="679"/>
    </row>
    <row r="12042" s="451" customFormat="true" ht="30" hidden="false" customHeight="false" outlineLevel="0" collapsed="false">
      <c r="A12042" s="1105"/>
      <c r="B12042" s="532"/>
      <c r="C12042" s="614" t="s">
        <v>6413</v>
      </c>
      <c r="D12042" s="606" t="s">
        <v>6329</v>
      </c>
      <c r="E12042" s="614" t="n">
        <v>3</v>
      </c>
      <c r="F12042" s="617" t="n">
        <v>353301</v>
      </c>
      <c r="G12042" s="615" t="n">
        <v>1059.9</v>
      </c>
      <c r="H12042" s="679"/>
    </row>
    <row r="12043" s="451" customFormat="true" ht="30" hidden="false" customHeight="false" outlineLevel="0" collapsed="false">
      <c r="A12043" s="1105"/>
      <c r="B12043" s="532"/>
      <c r="C12043" s="614" t="s">
        <v>6414</v>
      </c>
      <c r="D12043" s="606" t="s">
        <v>6329</v>
      </c>
      <c r="E12043" s="954" t="n">
        <v>2</v>
      </c>
      <c r="F12043" s="617" t="n">
        <v>39480</v>
      </c>
      <c r="G12043" s="615" t="n">
        <v>158</v>
      </c>
      <c r="H12043" s="679"/>
    </row>
    <row r="12044" s="451" customFormat="true" ht="15" hidden="false" customHeight="false" outlineLevel="0" collapsed="false">
      <c r="A12044" s="1105"/>
      <c r="B12044" s="532"/>
      <c r="C12044" s="614" t="s">
        <v>4122</v>
      </c>
      <c r="D12044" s="606" t="s">
        <v>4359</v>
      </c>
      <c r="E12044" s="614" t="n">
        <v>0.1</v>
      </c>
      <c r="F12044" s="617" t="n">
        <v>800</v>
      </c>
      <c r="G12044" s="615" t="n">
        <f aca="false">F12044*E12044</f>
        <v>80</v>
      </c>
      <c r="H12044" s="679"/>
    </row>
    <row r="12045" s="451" customFormat="true" ht="30" hidden="false" customHeight="false" outlineLevel="0" collapsed="false">
      <c r="A12045" s="1105"/>
      <c r="B12045" s="532"/>
      <c r="C12045" s="614" t="s">
        <v>6282</v>
      </c>
      <c r="D12045" s="606" t="s">
        <v>4348</v>
      </c>
      <c r="E12045" s="614" t="n">
        <v>1</v>
      </c>
      <c r="F12045" s="617" t="n">
        <v>1720</v>
      </c>
      <c r="G12045" s="615" t="n">
        <f aca="false">F12045*E12045</f>
        <v>1720</v>
      </c>
      <c r="H12045" s="679"/>
    </row>
    <row r="12046" s="451" customFormat="true" ht="15" hidden="false" customHeight="false" outlineLevel="0" collapsed="false">
      <c r="A12046" s="1105"/>
      <c r="B12046" s="532"/>
      <c r="C12046" s="614" t="s">
        <v>6366</v>
      </c>
      <c r="D12046" s="606" t="s">
        <v>5788</v>
      </c>
      <c r="E12046" s="614" t="n">
        <v>2</v>
      </c>
      <c r="F12046" s="617" t="n">
        <v>1106</v>
      </c>
      <c r="G12046" s="615" t="n">
        <v>22</v>
      </c>
      <c r="H12046" s="679"/>
    </row>
    <row r="12047" s="451" customFormat="true" ht="30" hidden="false" customHeight="false" outlineLevel="0" collapsed="false">
      <c r="A12047" s="1105"/>
      <c r="B12047" s="532"/>
      <c r="C12047" s="614" t="s">
        <v>6283</v>
      </c>
      <c r="D12047" s="606" t="s">
        <v>6416</v>
      </c>
      <c r="E12047" s="954" t="n">
        <v>1</v>
      </c>
      <c r="F12047" s="617" t="n">
        <v>460</v>
      </c>
      <c r="G12047" s="615" t="n">
        <f aca="false">F12047*E12047</f>
        <v>460</v>
      </c>
      <c r="H12047" s="679"/>
    </row>
    <row r="12048" s="451" customFormat="true" ht="15" hidden="false" customHeight="false" outlineLevel="0" collapsed="false">
      <c r="A12048" s="1105"/>
      <c r="B12048" s="532"/>
      <c r="C12048" s="614"/>
      <c r="D12048" s="606"/>
      <c r="E12048" s="606"/>
      <c r="F12048" s="361"/>
      <c r="G12048" s="613" t="n">
        <f aca="false">SUM(G12040:G12047)</f>
        <v>12599.5</v>
      </c>
      <c r="H12048" s="679"/>
    </row>
    <row r="12049" s="451" customFormat="true" ht="30" hidden="false" customHeight="false" outlineLevel="0" collapsed="false">
      <c r="A12049" s="1105" t="s">
        <v>6597</v>
      </c>
      <c r="B12049" s="532" t="s">
        <v>6598</v>
      </c>
      <c r="C12049" s="614" t="s">
        <v>6596</v>
      </c>
      <c r="D12049" s="606" t="s">
        <v>6512</v>
      </c>
      <c r="E12049" s="614" t="n">
        <v>1</v>
      </c>
      <c r="F12049" s="617" t="n">
        <v>2877</v>
      </c>
      <c r="G12049" s="615" t="n">
        <f aca="false">F12049*E12049</f>
        <v>2877</v>
      </c>
      <c r="H12049" s="679"/>
    </row>
    <row r="12050" s="451" customFormat="true" ht="15" hidden="false" customHeight="false" outlineLevel="0" collapsed="false">
      <c r="A12050" s="1105"/>
      <c r="B12050" s="532"/>
      <c r="C12050" s="614" t="s">
        <v>4122</v>
      </c>
      <c r="D12050" s="606" t="s">
        <v>4359</v>
      </c>
      <c r="E12050" s="614" t="n">
        <v>0.1</v>
      </c>
      <c r="F12050" s="617" t="n">
        <v>800</v>
      </c>
      <c r="G12050" s="615" t="n">
        <f aca="false">F12050*E12050</f>
        <v>80</v>
      </c>
      <c r="H12050" s="679"/>
    </row>
    <row r="12051" s="451" customFormat="true" ht="15" hidden="false" customHeight="false" outlineLevel="0" collapsed="false">
      <c r="A12051" s="1105"/>
      <c r="B12051" s="532"/>
      <c r="C12051" s="614" t="s">
        <v>6007</v>
      </c>
      <c r="D12051" s="606" t="s">
        <v>6363</v>
      </c>
      <c r="E12051" s="614" t="n">
        <v>20</v>
      </c>
      <c r="F12051" s="617" t="n">
        <v>4771</v>
      </c>
      <c r="G12051" s="615" t="n">
        <v>95</v>
      </c>
      <c r="H12051" s="679"/>
    </row>
    <row r="12052" s="451" customFormat="true" ht="30" hidden="false" customHeight="false" outlineLevel="0" collapsed="false">
      <c r="A12052" s="1105"/>
      <c r="B12052" s="532"/>
      <c r="C12052" s="614" t="s">
        <v>6394</v>
      </c>
      <c r="D12052" s="606" t="s">
        <v>6329</v>
      </c>
      <c r="E12052" s="954" t="n">
        <v>2</v>
      </c>
      <c r="F12052" s="617" t="n">
        <v>39480</v>
      </c>
      <c r="G12052" s="615" t="n">
        <v>158</v>
      </c>
      <c r="H12052" s="679"/>
    </row>
    <row r="12053" s="451" customFormat="true" ht="15" hidden="false" customHeight="false" outlineLevel="0" collapsed="false">
      <c r="A12053" s="1105"/>
      <c r="B12053" s="532"/>
      <c r="C12053" s="614" t="s">
        <v>4347</v>
      </c>
      <c r="D12053" s="606" t="s">
        <v>5788</v>
      </c>
      <c r="E12053" s="614" t="n">
        <v>2</v>
      </c>
      <c r="F12053" s="617" t="n">
        <v>1106</v>
      </c>
      <c r="G12053" s="615" t="n">
        <v>22</v>
      </c>
      <c r="H12053" s="679"/>
    </row>
    <row r="12054" s="451" customFormat="true" ht="30" hidden="false" customHeight="false" outlineLevel="0" collapsed="false">
      <c r="A12054" s="1105"/>
      <c r="B12054" s="532"/>
      <c r="C12054" s="614" t="s">
        <v>6282</v>
      </c>
      <c r="D12054" s="606" t="s">
        <v>4348</v>
      </c>
      <c r="E12054" s="614" t="n">
        <v>1</v>
      </c>
      <c r="F12054" s="617" t="n">
        <v>1720</v>
      </c>
      <c r="G12054" s="615" t="n">
        <f aca="false">F12054*E12054</f>
        <v>1720</v>
      </c>
      <c r="H12054" s="679"/>
    </row>
    <row r="12055" s="451" customFormat="true" ht="30" hidden="false" customHeight="false" outlineLevel="0" collapsed="false">
      <c r="A12055" s="1105"/>
      <c r="B12055" s="532"/>
      <c r="C12055" s="709" t="s">
        <v>6283</v>
      </c>
      <c r="D12055" s="679" t="s">
        <v>6416</v>
      </c>
      <c r="E12055" s="1092" t="n">
        <v>1</v>
      </c>
      <c r="F12055" s="681" t="n">
        <v>460</v>
      </c>
      <c r="G12055" s="716" t="n">
        <f aca="false">F12055*E12055</f>
        <v>460</v>
      </c>
      <c r="H12055" s="679"/>
    </row>
    <row r="12056" s="451" customFormat="true" ht="15" hidden="false" customHeight="false" outlineLevel="0" collapsed="false">
      <c r="A12056" s="1105"/>
      <c r="B12056" s="532"/>
      <c r="C12056" s="709"/>
      <c r="D12056" s="679"/>
      <c r="E12056" s="679"/>
      <c r="F12056" s="369"/>
      <c r="G12056" s="711" t="n">
        <f aca="false">SUM(G12049:G12055)</f>
        <v>5412</v>
      </c>
      <c r="H12056" s="679"/>
    </row>
    <row r="12057" s="451" customFormat="true" ht="15" hidden="false" customHeight="false" outlineLevel="0" collapsed="false">
      <c r="A12057" s="510" t="s">
        <v>2439</v>
      </c>
      <c r="B12057" s="346"/>
      <c r="C12057" s="600"/>
      <c r="D12057" s="600"/>
      <c r="E12057" s="600"/>
      <c r="F12057" s="364"/>
      <c r="G12057" s="713"/>
      <c r="H12057" s="790"/>
    </row>
    <row r="12058" s="451" customFormat="true" ht="30" hidden="false" customHeight="false" outlineLevel="0" collapsed="false">
      <c r="A12058" s="1105" t="s">
        <v>6599</v>
      </c>
      <c r="B12058" s="532" t="s">
        <v>6600</v>
      </c>
      <c r="C12058" s="614" t="s">
        <v>6601</v>
      </c>
      <c r="D12058" s="606" t="s">
        <v>6326</v>
      </c>
      <c r="E12058" s="614" t="n">
        <v>1</v>
      </c>
      <c r="F12058" s="617" t="n">
        <v>452912</v>
      </c>
      <c r="G12058" s="615" t="n">
        <v>7548.5</v>
      </c>
      <c r="H12058" s="679"/>
    </row>
    <row r="12059" s="451" customFormat="true" ht="15" hidden="false" customHeight="false" outlineLevel="0" collapsed="false">
      <c r="A12059" s="1105"/>
      <c r="B12059" s="532"/>
      <c r="C12059" s="614" t="s">
        <v>6007</v>
      </c>
      <c r="D12059" s="606" t="s">
        <v>6363</v>
      </c>
      <c r="E12059" s="614" t="n">
        <v>20</v>
      </c>
      <c r="F12059" s="617" t="n">
        <v>4771</v>
      </c>
      <c r="G12059" s="615" t="n">
        <v>95</v>
      </c>
      <c r="H12059" s="679"/>
    </row>
    <row r="12060" s="451" customFormat="true" ht="30" hidden="false" customHeight="false" outlineLevel="0" collapsed="false">
      <c r="A12060" s="1105"/>
      <c r="B12060" s="532"/>
      <c r="C12060" s="614" t="s">
        <v>6413</v>
      </c>
      <c r="D12060" s="606" t="s">
        <v>6329</v>
      </c>
      <c r="E12060" s="614" t="n">
        <v>3</v>
      </c>
      <c r="F12060" s="617" t="n">
        <v>353301</v>
      </c>
      <c r="G12060" s="615" t="n">
        <v>1059.9</v>
      </c>
      <c r="H12060" s="679"/>
    </row>
    <row r="12061" s="451" customFormat="true" ht="30" hidden="false" customHeight="false" outlineLevel="0" collapsed="false">
      <c r="A12061" s="1105"/>
      <c r="B12061" s="532"/>
      <c r="C12061" s="614" t="s">
        <v>6414</v>
      </c>
      <c r="D12061" s="606" t="s">
        <v>6329</v>
      </c>
      <c r="E12061" s="954" t="n">
        <v>2</v>
      </c>
      <c r="F12061" s="617" t="n">
        <v>39480</v>
      </c>
      <c r="G12061" s="615" t="n">
        <v>158</v>
      </c>
      <c r="H12061" s="679"/>
    </row>
    <row r="12062" s="451" customFormat="true" ht="15" hidden="false" customHeight="false" outlineLevel="0" collapsed="false">
      <c r="A12062" s="1105"/>
      <c r="B12062" s="532"/>
      <c r="C12062" s="614" t="s">
        <v>4122</v>
      </c>
      <c r="D12062" s="606" t="s">
        <v>4359</v>
      </c>
      <c r="E12062" s="614" t="n">
        <v>0.1</v>
      </c>
      <c r="F12062" s="617" t="n">
        <v>800</v>
      </c>
      <c r="G12062" s="615" t="n">
        <f aca="false">F12062*E12062</f>
        <v>80</v>
      </c>
      <c r="H12062" s="679"/>
    </row>
    <row r="12063" s="451" customFormat="true" ht="30" hidden="false" customHeight="false" outlineLevel="0" collapsed="false">
      <c r="A12063" s="1105"/>
      <c r="B12063" s="532"/>
      <c r="C12063" s="614" t="s">
        <v>6282</v>
      </c>
      <c r="D12063" s="606" t="s">
        <v>4348</v>
      </c>
      <c r="E12063" s="614" t="n">
        <v>1</v>
      </c>
      <c r="F12063" s="617" t="n">
        <v>1720</v>
      </c>
      <c r="G12063" s="615" t="n">
        <f aca="false">F12063*E12063</f>
        <v>1720</v>
      </c>
      <c r="H12063" s="679"/>
    </row>
    <row r="12064" s="451" customFormat="true" ht="15" hidden="false" customHeight="false" outlineLevel="0" collapsed="false">
      <c r="A12064" s="1105"/>
      <c r="B12064" s="532"/>
      <c r="C12064" s="614" t="s">
        <v>6366</v>
      </c>
      <c r="D12064" s="606" t="s">
        <v>5788</v>
      </c>
      <c r="E12064" s="614" t="n">
        <v>2</v>
      </c>
      <c r="F12064" s="617" t="n">
        <v>1106</v>
      </c>
      <c r="G12064" s="615" t="n">
        <v>22</v>
      </c>
      <c r="H12064" s="679"/>
    </row>
    <row r="12065" s="451" customFormat="true" ht="30" hidden="false" customHeight="false" outlineLevel="0" collapsed="false">
      <c r="A12065" s="1105"/>
      <c r="B12065" s="532"/>
      <c r="C12065" s="614" t="s">
        <v>6283</v>
      </c>
      <c r="D12065" s="606" t="s">
        <v>6416</v>
      </c>
      <c r="E12065" s="954" t="n">
        <v>1</v>
      </c>
      <c r="F12065" s="617" t="n">
        <v>460</v>
      </c>
      <c r="G12065" s="615" t="n">
        <f aca="false">F12065*E12065</f>
        <v>460</v>
      </c>
      <c r="H12065" s="679"/>
    </row>
    <row r="12066" s="451" customFormat="true" ht="15" hidden="false" customHeight="false" outlineLevel="0" collapsed="false">
      <c r="A12066" s="1105"/>
      <c r="B12066" s="532"/>
      <c r="C12066" s="614"/>
      <c r="D12066" s="606"/>
      <c r="E12066" s="606"/>
      <c r="F12066" s="361"/>
      <c r="G12066" s="613" t="n">
        <f aca="false">SUM(G12058:G12065)</f>
        <v>11143.4</v>
      </c>
      <c r="H12066" s="679"/>
    </row>
    <row r="12067" s="451" customFormat="true" ht="30" hidden="false" customHeight="false" outlineLevel="0" collapsed="false">
      <c r="A12067" s="1105" t="s">
        <v>6602</v>
      </c>
      <c r="B12067" s="532" t="s">
        <v>6603</v>
      </c>
      <c r="C12067" s="614" t="s">
        <v>6604</v>
      </c>
      <c r="D12067" s="606" t="s">
        <v>6512</v>
      </c>
      <c r="E12067" s="614" t="n">
        <v>1</v>
      </c>
      <c r="F12067" s="617" t="n">
        <v>1155.5</v>
      </c>
      <c r="G12067" s="615" t="n">
        <f aca="false">F12067*E12067</f>
        <v>1155.5</v>
      </c>
      <c r="H12067" s="679"/>
    </row>
    <row r="12068" s="451" customFormat="true" ht="15" hidden="false" customHeight="false" outlineLevel="0" collapsed="false">
      <c r="A12068" s="1105"/>
      <c r="B12068" s="532"/>
      <c r="C12068" s="614" t="s">
        <v>6605</v>
      </c>
      <c r="D12068" s="606" t="s">
        <v>6326</v>
      </c>
      <c r="E12068" s="614" t="n">
        <v>0</v>
      </c>
      <c r="F12068" s="617" t="n">
        <v>9244.3</v>
      </c>
      <c r="G12068" s="615" t="n">
        <f aca="false">F12068*E12068</f>
        <v>0</v>
      </c>
      <c r="H12068" s="679"/>
    </row>
    <row r="12069" s="451" customFormat="true" ht="15" hidden="false" customHeight="false" outlineLevel="0" collapsed="false">
      <c r="A12069" s="1105"/>
      <c r="B12069" s="532"/>
      <c r="C12069" s="614" t="s">
        <v>4122</v>
      </c>
      <c r="D12069" s="606" t="s">
        <v>4359</v>
      </c>
      <c r="E12069" s="614" t="n">
        <v>0.1</v>
      </c>
      <c r="F12069" s="617" t="n">
        <v>800</v>
      </c>
      <c r="G12069" s="615" t="n">
        <f aca="false">F12069*E12069</f>
        <v>80</v>
      </c>
      <c r="H12069" s="679"/>
    </row>
    <row r="12070" s="451" customFormat="true" ht="15" hidden="false" customHeight="false" outlineLevel="0" collapsed="false">
      <c r="A12070" s="1105"/>
      <c r="B12070" s="532"/>
      <c r="C12070" s="614" t="s">
        <v>6007</v>
      </c>
      <c r="D12070" s="606" t="s">
        <v>6363</v>
      </c>
      <c r="E12070" s="614" t="n">
        <v>20</v>
      </c>
      <c r="F12070" s="617" t="n">
        <v>4771</v>
      </c>
      <c r="G12070" s="615" t="n">
        <v>95</v>
      </c>
      <c r="H12070" s="679"/>
    </row>
    <row r="12071" s="451" customFormat="true" ht="30" hidden="false" customHeight="false" outlineLevel="0" collapsed="false">
      <c r="A12071" s="1105"/>
      <c r="B12071" s="532"/>
      <c r="C12071" s="614" t="s">
        <v>6394</v>
      </c>
      <c r="D12071" s="606" t="s">
        <v>6329</v>
      </c>
      <c r="E12071" s="954" t="n">
        <v>2</v>
      </c>
      <c r="F12071" s="617" t="n">
        <v>39480</v>
      </c>
      <c r="G12071" s="615" t="n">
        <v>158</v>
      </c>
      <c r="H12071" s="679"/>
    </row>
    <row r="12072" s="451" customFormat="true" ht="15" hidden="false" customHeight="false" outlineLevel="0" collapsed="false">
      <c r="A12072" s="1105"/>
      <c r="B12072" s="532"/>
      <c r="C12072" s="614" t="s">
        <v>4347</v>
      </c>
      <c r="D12072" s="606" t="s">
        <v>5788</v>
      </c>
      <c r="E12072" s="614" t="n">
        <v>2</v>
      </c>
      <c r="F12072" s="617" t="n">
        <v>1106</v>
      </c>
      <c r="G12072" s="615" t="n">
        <v>44.24</v>
      </c>
      <c r="H12072" s="679"/>
    </row>
    <row r="12073" s="451" customFormat="true" ht="30" hidden="false" customHeight="false" outlineLevel="0" collapsed="false">
      <c r="A12073" s="1105"/>
      <c r="B12073" s="532"/>
      <c r="C12073" s="614" t="s">
        <v>6282</v>
      </c>
      <c r="D12073" s="606" t="s">
        <v>4348</v>
      </c>
      <c r="E12073" s="614" t="n">
        <v>1</v>
      </c>
      <c r="F12073" s="617" t="n">
        <v>1720</v>
      </c>
      <c r="G12073" s="615" t="n">
        <f aca="false">F12073*E12073</f>
        <v>1720</v>
      </c>
      <c r="H12073" s="679"/>
    </row>
    <row r="12074" s="451" customFormat="true" ht="30" hidden="false" customHeight="false" outlineLevel="0" collapsed="false">
      <c r="A12074" s="1105"/>
      <c r="B12074" s="532"/>
      <c r="C12074" s="709" t="s">
        <v>6283</v>
      </c>
      <c r="D12074" s="679" t="s">
        <v>6416</v>
      </c>
      <c r="E12074" s="1092" t="n">
        <v>1</v>
      </c>
      <c r="F12074" s="681" t="n">
        <v>460</v>
      </c>
      <c r="G12074" s="716" t="n">
        <f aca="false">F12074*E12074</f>
        <v>460</v>
      </c>
      <c r="H12074" s="679"/>
    </row>
    <row r="12075" s="451" customFormat="true" ht="15" hidden="false" customHeight="false" outlineLevel="0" collapsed="false">
      <c r="A12075" s="1105"/>
      <c r="B12075" s="532"/>
      <c r="C12075" s="709"/>
      <c r="D12075" s="679"/>
      <c r="E12075" s="679"/>
      <c r="F12075" s="369"/>
      <c r="G12075" s="711" t="n">
        <f aca="false">SUM(G12067:G12074)</f>
        <v>3712.74</v>
      </c>
      <c r="H12075" s="679"/>
    </row>
    <row r="12076" s="451" customFormat="true" ht="15" hidden="false" customHeight="false" outlineLevel="0" collapsed="false">
      <c r="A12076" s="510" t="s">
        <v>2445</v>
      </c>
      <c r="B12076" s="346" t="s">
        <v>6606</v>
      </c>
      <c r="C12076" s="600"/>
      <c r="D12076" s="600"/>
      <c r="E12076" s="600"/>
      <c r="F12076" s="364"/>
      <c r="G12076" s="713"/>
      <c r="H12076" s="790"/>
    </row>
    <row r="12077" s="451" customFormat="true" ht="30" hidden="false" customHeight="false" outlineLevel="0" collapsed="false">
      <c r="A12077" s="1105" t="s">
        <v>6607</v>
      </c>
      <c r="B12077" s="532" t="s">
        <v>6608</v>
      </c>
      <c r="C12077" s="709" t="s">
        <v>6609</v>
      </c>
      <c r="D12077" s="679" t="s">
        <v>6213</v>
      </c>
      <c r="E12077" s="709" t="n">
        <v>1</v>
      </c>
      <c r="F12077" s="681" t="n">
        <v>503228</v>
      </c>
      <c r="G12077" s="716" t="n">
        <v>9149.6</v>
      </c>
      <c r="H12077" s="679"/>
    </row>
    <row r="12078" s="451" customFormat="true" ht="15" hidden="false" customHeight="false" outlineLevel="0" collapsed="false">
      <c r="A12078" s="1105"/>
      <c r="B12078" s="532"/>
      <c r="C12078" s="614" t="s">
        <v>6007</v>
      </c>
      <c r="D12078" s="606" t="s">
        <v>6363</v>
      </c>
      <c r="E12078" s="614" t="n">
        <v>20</v>
      </c>
      <c r="F12078" s="617" t="n">
        <v>4771</v>
      </c>
      <c r="G12078" s="615" t="n">
        <v>95</v>
      </c>
      <c r="H12078" s="679"/>
    </row>
    <row r="12079" s="451" customFormat="true" ht="30" hidden="false" customHeight="false" outlineLevel="0" collapsed="false">
      <c r="A12079" s="1105"/>
      <c r="B12079" s="532"/>
      <c r="C12079" s="614" t="s">
        <v>6413</v>
      </c>
      <c r="D12079" s="606" t="s">
        <v>6329</v>
      </c>
      <c r="E12079" s="614" t="n">
        <v>5</v>
      </c>
      <c r="F12079" s="617" t="n">
        <v>353301</v>
      </c>
      <c r="G12079" s="615" t="n">
        <v>1765</v>
      </c>
      <c r="H12079" s="679"/>
    </row>
    <row r="12080" s="451" customFormat="true" ht="30" hidden="false" customHeight="false" outlineLevel="0" collapsed="false">
      <c r="A12080" s="1105"/>
      <c r="B12080" s="532"/>
      <c r="C12080" s="614" t="s">
        <v>6414</v>
      </c>
      <c r="D12080" s="606" t="s">
        <v>6415</v>
      </c>
      <c r="E12080" s="954" t="n">
        <v>2</v>
      </c>
      <c r="F12080" s="617" t="n">
        <v>39480</v>
      </c>
      <c r="G12080" s="615" t="n">
        <v>158</v>
      </c>
      <c r="H12080" s="679"/>
    </row>
    <row r="12081" s="451" customFormat="true" ht="15" hidden="false" customHeight="false" outlineLevel="0" collapsed="false">
      <c r="A12081" s="1105"/>
      <c r="B12081" s="532"/>
      <c r="C12081" s="614" t="s">
        <v>4122</v>
      </c>
      <c r="D12081" s="606" t="s">
        <v>4359</v>
      </c>
      <c r="E12081" s="614" t="n">
        <v>0.1</v>
      </c>
      <c r="F12081" s="617" t="n">
        <v>800</v>
      </c>
      <c r="G12081" s="615" t="n">
        <f aca="false">F12081*E12081</f>
        <v>80</v>
      </c>
      <c r="H12081" s="679"/>
    </row>
    <row r="12082" s="451" customFormat="true" ht="30" hidden="false" customHeight="false" outlineLevel="0" collapsed="false">
      <c r="A12082" s="1105"/>
      <c r="B12082" s="532"/>
      <c r="C12082" s="614" t="s">
        <v>6282</v>
      </c>
      <c r="D12082" s="606" t="s">
        <v>4348</v>
      </c>
      <c r="E12082" s="614" t="n">
        <v>1</v>
      </c>
      <c r="F12082" s="617" t="n">
        <v>1720</v>
      </c>
      <c r="G12082" s="615" t="n">
        <f aca="false">F12082*E12082</f>
        <v>1720</v>
      </c>
      <c r="H12082" s="679"/>
    </row>
    <row r="12083" s="451" customFormat="true" ht="15" hidden="false" customHeight="false" outlineLevel="0" collapsed="false">
      <c r="A12083" s="1105"/>
      <c r="B12083" s="532"/>
      <c r="C12083" s="614" t="s">
        <v>6366</v>
      </c>
      <c r="D12083" s="606" t="s">
        <v>5788</v>
      </c>
      <c r="E12083" s="614" t="n">
        <v>2</v>
      </c>
      <c r="F12083" s="617" t="n">
        <v>1106</v>
      </c>
      <c r="G12083" s="615" t="n">
        <v>22</v>
      </c>
      <c r="H12083" s="679"/>
    </row>
    <row r="12084" s="451" customFormat="true" ht="30" hidden="false" customHeight="false" outlineLevel="0" collapsed="false">
      <c r="A12084" s="1105"/>
      <c r="B12084" s="532"/>
      <c r="C12084" s="614" t="s">
        <v>6283</v>
      </c>
      <c r="D12084" s="606" t="s">
        <v>6416</v>
      </c>
      <c r="E12084" s="954" t="n">
        <v>1</v>
      </c>
      <c r="F12084" s="617" t="n">
        <v>460</v>
      </c>
      <c r="G12084" s="615" t="n">
        <f aca="false">F12084*E12084</f>
        <v>460</v>
      </c>
      <c r="H12084" s="679"/>
    </row>
    <row r="12085" s="451" customFormat="true" ht="15" hidden="false" customHeight="false" outlineLevel="0" collapsed="false">
      <c r="A12085" s="1105"/>
      <c r="B12085" s="532"/>
      <c r="C12085" s="614"/>
      <c r="D12085" s="606"/>
      <c r="E12085" s="606"/>
      <c r="F12085" s="361"/>
      <c r="G12085" s="613" t="n">
        <f aca="false">SUM(G12077:G12084)</f>
        <v>13449.6</v>
      </c>
      <c r="H12085" s="679"/>
    </row>
    <row r="12086" s="451" customFormat="true" ht="30" hidden="false" customHeight="false" outlineLevel="0" collapsed="false">
      <c r="A12086" s="1105" t="s">
        <v>6610</v>
      </c>
      <c r="B12086" s="532" t="s">
        <v>6611</v>
      </c>
      <c r="C12086" s="614" t="s">
        <v>6609</v>
      </c>
      <c r="D12086" s="606" t="s">
        <v>6512</v>
      </c>
      <c r="E12086" s="614" t="n">
        <v>1</v>
      </c>
      <c r="F12086" s="617" t="n">
        <v>1156</v>
      </c>
      <c r="G12086" s="615" t="n">
        <f aca="false">F12086*E12086</f>
        <v>1156</v>
      </c>
      <c r="H12086" s="679"/>
    </row>
    <row r="12087" s="451" customFormat="true" ht="15" hidden="false" customHeight="false" outlineLevel="0" collapsed="false">
      <c r="A12087" s="1105"/>
      <c r="B12087" s="532"/>
      <c r="C12087" s="614" t="s">
        <v>4122</v>
      </c>
      <c r="D12087" s="606" t="s">
        <v>4359</v>
      </c>
      <c r="E12087" s="614" t="n">
        <v>0.1</v>
      </c>
      <c r="F12087" s="617" t="n">
        <v>800</v>
      </c>
      <c r="G12087" s="615" t="n">
        <f aca="false">F12087*E12087</f>
        <v>80</v>
      </c>
      <c r="H12087" s="679"/>
    </row>
    <row r="12088" s="451" customFormat="true" ht="15" hidden="false" customHeight="false" outlineLevel="0" collapsed="false">
      <c r="A12088" s="1105"/>
      <c r="B12088" s="532"/>
      <c r="C12088" s="614" t="s">
        <v>6007</v>
      </c>
      <c r="D12088" s="606" t="s">
        <v>6363</v>
      </c>
      <c r="E12088" s="614" t="n">
        <v>20</v>
      </c>
      <c r="F12088" s="617" t="n">
        <v>4771</v>
      </c>
      <c r="G12088" s="615" t="n">
        <v>95</v>
      </c>
      <c r="H12088" s="679"/>
    </row>
    <row r="12089" s="451" customFormat="true" ht="30" hidden="false" customHeight="false" outlineLevel="0" collapsed="false">
      <c r="A12089" s="1105"/>
      <c r="B12089" s="532"/>
      <c r="C12089" s="614" t="s">
        <v>6394</v>
      </c>
      <c r="D12089" s="606" t="s">
        <v>6329</v>
      </c>
      <c r="E12089" s="954" t="n">
        <v>2</v>
      </c>
      <c r="F12089" s="617" t="n">
        <v>39480</v>
      </c>
      <c r="G12089" s="615" t="n">
        <v>158</v>
      </c>
      <c r="H12089" s="679"/>
    </row>
    <row r="12090" s="451" customFormat="true" ht="15" hidden="false" customHeight="false" outlineLevel="0" collapsed="false">
      <c r="A12090" s="1105"/>
      <c r="B12090" s="532"/>
      <c r="C12090" s="614" t="s">
        <v>4347</v>
      </c>
      <c r="D12090" s="606" t="s">
        <v>5788</v>
      </c>
      <c r="E12090" s="614" t="n">
        <v>2</v>
      </c>
      <c r="F12090" s="617" t="n">
        <v>1106</v>
      </c>
      <c r="G12090" s="615" t="n">
        <v>22</v>
      </c>
      <c r="H12090" s="679"/>
    </row>
    <row r="12091" s="451" customFormat="true" ht="30" hidden="false" customHeight="false" outlineLevel="0" collapsed="false">
      <c r="A12091" s="1105"/>
      <c r="B12091" s="532"/>
      <c r="C12091" s="614" t="s">
        <v>6282</v>
      </c>
      <c r="D12091" s="606" t="s">
        <v>4348</v>
      </c>
      <c r="E12091" s="614" t="n">
        <v>1</v>
      </c>
      <c r="F12091" s="617" t="n">
        <v>1720</v>
      </c>
      <c r="G12091" s="615" t="n">
        <f aca="false">F12091*E12091</f>
        <v>1720</v>
      </c>
      <c r="H12091" s="679"/>
    </row>
    <row r="12092" s="451" customFormat="true" ht="30" hidden="false" customHeight="false" outlineLevel="0" collapsed="false">
      <c r="A12092" s="1105"/>
      <c r="B12092" s="532"/>
      <c r="C12092" s="709" t="s">
        <v>6283</v>
      </c>
      <c r="D12092" s="679" t="s">
        <v>6416</v>
      </c>
      <c r="E12092" s="1092" t="n">
        <v>1</v>
      </c>
      <c r="F12092" s="681" t="n">
        <v>460</v>
      </c>
      <c r="G12092" s="716" t="n">
        <f aca="false">F12092*E12092</f>
        <v>460</v>
      </c>
      <c r="H12092" s="679"/>
    </row>
    <row r="12093" s="451" customFormat="true" ht="15" hidden="false" customHeight="false" outlineLevel="0" collapsed="false">
      <c r="A12093" s="1105"/>
      <c r="B12093" s="532"/>
      <c r="C12093" s="709"/>
      <c r="D12093" s="679"/>
      <c r="E12093" s="679"/>
      <c r="F12093" s="369"/>
      <c r="G12093" s="711" t="n">
        <f aca="false">SUM(G12086:G12092)</f>
        <v>3691</v>
      </c>
      <c r="H12093" s="679"/>
    </row>
    <row r="12094" s="451" customFormat="true" ht="15" hidden="false" customHeight="false" outlineLevel="0" collapsed="false">
      <c r="A12094" s="510" t="s">
        <v>2451</v>
      </c>
      <c r="B12094" s="346" t="s">
        <v>6612</v>
      </c>
      <c r="C12094" s="600"/>
      <c r="D12094" s="600"/>
      <c r="E12094" s="600"/>
      <c r="F12094" s="364"/>
      <c r="G12094" s="713"/>
      <c r="H12094" s="790"/>
    </row>
    <row r="12095" s="451" customFormat="true" ht="30" hidden="false" customHeight="false" outlineLevel="0" collapsed="false">
      <c r="A12095" s="1105" t="s">
        <v>6613</v>
      </c>
      <c r="B12095" s="532" t="s">
        <v>6614</v>
      </c>
      <c r="C12095" s="614" t="s">
        <v>6615</v>
      </c>
      <c r="D12095" s="606" t="s">
        <v>6326</v>
      </c>
      <c r="E12095" s="614" t="n">
        <v>1</v>
      </c>
      <c r="F12095" s="617" t="n">
        <v>1916.6</v>
      </c>
      <c r="G12095" s="615" t="n">
        <f aca="false">F12095*E12095</f>
        <v>1916.6</v>
      </c>
      <c r="H12095" s="679"/>
    </row>
    <row r="12096" s="451" customFormat="true" ht="15" hidden="false" customHeight="false" outlineLevel="0" collapsed="false">
      <c r="A12096" s="1105"/>
      <c r="B12096" s="532"/>
      <c r="C12096" s="614" t="s">
        <v>6007</v>
      </c>
      <c r="D12096" s="606" t="s">
        <v>6363</v>
      </c>
      <c r="E12096" s="614" t="n">
        <v>20</v>
      </c>
      <c r="F12096" s="617" t="n">
        <v>4771</v>
      </c>
      <c r="G12096" s="615" t="n">
        <v>95</v>
      </c>
      <c r="H12096" s="679"/>
    </row>
    <row r="12097" s="451" customFormat="true" ht="30" hidden="false" customHeight="false" outlineLevel="0" collapsed="false">
      <c r="A12097" s="1105"/>
      <c r="B12097" s="532"/>
      <c r="C12097" s="614" t="s">
        <v>6413</v>
      </c>
      <c r="D12097" s="606" t="s">
        <v>6329</v>
      </c>
      <c r="E12097" s="614" t="n">
        <v>5</v>
      </c>
      <c r="F12097" s="617" t="n">
        <v>353301</v>
      </c>
      <c r="G12097" s="615" t="n">
        <v>1765</v>
      </c>
      <c r="H12097" s="679"/>
    </row>
    <row r="12098" s="451" customFormat="true" ht="30" hidden="false" customHeight="false" outlineLevel="0" collapsed="false">
      <c r="A12098" s="1105"/>
      <c r="B12098" s="532"/>
      <c r="C12098" s="614" t="s">
        <v>6414</v>
      </c>
      <c r="D12098" s="606" t="s">
        <v>6329</v>
      </c>
      <c r="E12098" s="954" t="n">
        <v>2</v>
      </c>
      <c r="F12098" s="617" t="n">
        <v>39480</v>
      </c>
      <c r="G12098" s="615" t="n">
        <v>158</v>
      </c>
      <c r="H12098" s="679"/>
    </row>
    <row r="12099" s="451" customFormat="true" ht="15" hidden="false" customHeight="false" outlineLevel="0" collapsed="false">
      <c r="A12099" s="1105"/>
      <c r="B12099" s="532"/>
      <c r="C12099" s="614" t="s">
        <v>4122</v>
      </c>
      <c r="D12099" s="606" t="s">
        <v>4359</v>
      </c>
      <c r="E12099" s="614" t="n">
        <v>0.1</v>
      </c>
      <c r="F12099" s="617" t="n">
        <v>800</v>
      </c>
      <c r="G12099" s="615" t="n">
        <f aca="false">F12099*E12099</f>
        <v>80</v>
      </c>
      <c r="H12099" s="679"/>
    </row>
    <row r="12100" s="451" customFormat="true" ht="30" hidden="false" customHeight="false" outlineLevel="0" collapsed="false">
      <c r="A12100" s="1105"/>
      <c r="B12100" s="532"/>
      <c r="C12100" s="614" t="s">
        <v>6282</v>
      </c>
      <c r="D12100" s="606" t="s">
        <v>4348</v>
      </c>
      <c r="E12100" s="614" t="n">
        <v>1</v>
      </c>
      <c r="F12100" s="617" t="n">
        <v>1720</v>
      </c>
      <c r="G12100" s="615" t="n">
        <f aca="false">F12100*E12100</f>
        <v>1720</v>
      </c>
      <c r="H12100" s="679"/>
    </row>
    <row r="12101" s="451" customFormat="true" ht="15" hidden="false" customHeight="false" outlineLevel="0" collapsed="false">
      <c r="A12101" s="1105"/>
      <c r="B12101" s="532"/>
      <c r="C12101" s="614" t="s">
        <v>6366</v>
      </c>
      <c r="D12101" s="606" t="s">
        <v>5788</v>
      </c>
      <c r="E12101" s="614" t="n">
        <v>2</v>
      </c>
      <c r="F12101" s="617" t="n">
        <v>1106</v>
      </c>
      <c r="G12101" s="615" t="n">
        <v>22</v>
      </c>
      <c r="H12101" s="679"/>
    </row>
    <row r="12102" s="451" customFormat="true" ht="15" hidden="false" customHeight="false" outlineLevel="0" collapsed="false">
      <c r="A12102" s="1105"/>
      <c r="B12102" s="532"/>
      <c r="C12102" s="614" t="s">
        <v>4270</v>
      </c>
      <c r="D12102" s="606" t="s">
        <v>4359</v>
      </c>
      <c r="E12102" s="606" t="n">
        <v>0</v>
      </c>
      <c r="F12102" s="361" t="n">
        <v>690</v>
      </c>
      <c r="G12102" s="615" t="n">
        <f aca="false">F12102*E12102</f>
        <v>0</v>
      </c>
      <c r="H12102" s="679"/>
    </row>
    <row r="12103" s="451" customFormat="true" ht="30" hidden="false" customHeight="false" outlineLevel="0" collapsed="false">
      <c r="A12103" s="1105"/>
      <c r="B12103" s="532"/>
      <c r="C12103" s="614" t="s">
        <v>6283</v>
      </c>
      <c r="D12103" s="606" t="s">
        <v>6416</v>
      </c>
      <c r="E12103" s="954" t="n">
        <v>1</v>
      </c>
      <c r="F12103" s="617" t="n">
        <v>460</v>
      </c>
      <c r="G12103" s="615" t="n">
        <f aca="false">F12103*E12103</f>
        <v>460</v>
      </c>
      <c r="H12103" s="679"/>
    </row>
    <row r="12104" s="451" customFormat="true" ht="15" hidden="false" customHeight="false" outlineLevel="0" collapsed="false">
      <c r="A12104" s="1105"/>
      <c r="B12104" s="532"/>
      <c r="C12104" s="614"/>
      <c r="D12104" s="606"/>
      <c r="E12104" s="606"/>
      <c r="F12104" s="361"/>
      <c r="G12104" s="613" t="n">
        <f aca="false">SUM(G12095:G12103)</f>
        <v>6216.6</v>
      </c>
      <c r="H12104" s="679"/>
    </row>
    <row r="12105" s="451" customFormat="true" ht="30" hidden="false" customHeight="false" outlineLevel="0" collapsed="false">
      <c r="A12105" s="1105" t="s">
        <v>6616</v>
      </c>
      <c r="B12105" s="532" t="s">
        <v>6617</v>
      </c>
      <c r="C12105" s="614" t="s">
        <v>6615</v>
      </c>
      <c r="D12105" s="606" t="s">
        <v>6512</v>
      </c>
      <c r="E12105" s="614" t="n">
        <v>1</v>
      </c>
      <c r="F12105" s="617" t="n">
        <v>1156</v>
      </c>
      <c r="G12105" s="615" t="n">
        <f aca="false">F12105*E12105</f>
        <v>1156</v>
      </c>
      <c r="H12105" s="679"/>
    </row>
    <row r="12106" s="451" customFormat="true" ht="15" hidden="false" customHeight="false" outlineLevel="0" collapsed="false">
      <c r="A12106" s="1105"/>
      <c r="B12106" s="532"/>
      <c r="C12106" s="614" t="s">
        <v>4122</v>
      </c>
      <c r="D12106" s="606" t="s">
        <v>4359</v>
      </c>
      <c r="E12106" s="614" t="n">
        <v>0.1</v>
      </c>
      <c r="F12106" s="617" t="n">
        <v>800</v>
      </c>
      <c r="G12106" s="615" t="n">
        <f aca="false">F12106*E12106</f>
        <v>80</v>
      </c>
      <c r="H12106" s="679"/>
    </row>
    <row r="12107" s="451" customFormat="true" ht="15" hidden="false" customHeight="false" outlineLevel="0" collapsed="false">
      <c r="A12107" s="1105"/>
      <c r="B12107" s="532"/>
      <c r="C12107" s="614" t="s">
        <v>6007</v>
      </c>
      <c r="D12107" s="606" t="s">
        <v>6363</v>
      </c>
      <c r="E12107" s="614" t="n">
        <v>20</v>
      </c>
      <c r="F12107" s="617" t="n">
        <v>4771</v>
      </c>
      <c r="G12107" s="615" t="n">
        <v>95</v>
      </c>
      <c r="H12107" s="679"/>
    </row>
    <row r="12108" s="451" customFormat="true" ht="30" hidden="false" customHeight="false" outlineLevel="0" collapsed="false">
      <c r="A12108" s="1105"/>
      <c r="B12108" s="532"/>
      <c r="C12108" s="614" t="s">
        <v>6394</v>
      </c>
      <c r="D12108" s="606" t="s">
        <v>6329</v>
      </c>
      <c r="E12108" s="954" t="n">
        <v>2</v>
      </c>
      <c r="F12108" s="617" t="n">
        <v>39480</v>
      </c>
      <c r="G12108" s="615" t="n">
        <v>158</v>
      </c>
      <c r="H12108" s="679"/>
    </row>
    <row r="12109" s="451" customFormat="true" ht="15" hidden="false" customHeight="false" outlineLevel="0" collapsed="false">
      <c r="A12109" s="1105"/>
      <c r="B12109" s="532"/>
      <c r="C12109" s="614" t="s">
        <v>4347</v>
      </c>
      <c r="D12109" s="606" t="s">
        <v>5788</v>
      </c>
      <c r="E12109" s="614" t="n">
        <v>2</v>
      </c>
      <c r="F12109" s="617" t="n">
        <v>1106</v>
      </c>
      <c r="G12109" s="615" t="n">
        <v>22</v>
      </c>
      <c r="H12109" s="679"/>
    </row>
    <row r="12110" s="451" customFormat="true" ht="30" hidden="false" customHeight="false" outlineLevel="0" collapsed="false">
      <c r="A12110" s="1105"/>
      <c r="B12110" s="532"/>
      <c r="C12110" s="614" t="s">
        <v>6282</v>
      </c>
      <c r="D12110" s="606" t="s">
        <v>4348</v>
      </c>
      <c r="E12110" s="614" t="n">
        <v>1</v>
      </c>
      <c r="F12110" s="617" t="n">
        <v>1720</v>
      </c>
      <c r="G12110" s="615" t="n">
        <f aca="false">F12110*E12110</f>
        <v>1720</v>
      </c>
      <c r="H12110" s="679"/>
    </row>
    <row r="12111" s="451" customFormat="true" ht="30" hidden="false" customHeight="false" outlineLevel="0" collapsed="false">
      <c r="A12111" s="1105"/>
      <c r="B12111" s="532"/>
      <c r="C12111" s="709" t="s">
        <v>6283</v>
      </c>
      <c r="D12111" s="679" t="s">
        <v>6416</v>
      </c>
      <c r="E12111" s="1092" t="n">
        <v>1</v>
      </c>
      <c r="F12111" s="681" t="n">
        <v>460</v>
      </c>
      <c r="G12111" s="716" t="n">
        <f aca="false">F12111*E12111</f>
        <v>460</v>
      </c>
      <c r="H12111" s="679"/>
    </row>
    <row r="12112" s="451" customFormat="true" ht="15" hidden="false" customHeight="false" outlineLevel="0" collapsed="false">
      <c r="A12112" s="1105"/>
      <c r="B12112" s="532"/>
      <c r="C12112" s="709"/>
      <c r="D12112" s="679"/>
      <c r="E12112" s="679"/>
      <c r="F12112" s="369"/>
      <c r="G12112" s="711" t="n">
        <f aca="false">SUM(G12105:G12111)</f>
        <v>3691</v>
      </c>
      <c r="H12112" s="679"/>
    </row>
    <row r="12113" s="451" customFormat="true" ht="15" hidden="false" customHeight="false" outlineLevel="0" collapsed="false">
      <c r="A12113" s="510" t="s">
        <v>2457</v>
      </c>
      <c r="B12113" s="346" t="s">
        <v>6618</v>
      </c>
      <c r="C12113" s="811"/>
      <c r="D12113" s="790"/>
      <c r="E12113" s="790"/>
      <c r="F12113" s="790"/>
      <c r="G12113" s="818"/>
      <c r="H12113" s="790"/>
    </row>
    <row r="12114" s="451" customFormat="true" ht="30" hidden="false" customHeight="false" outlineLevel="0" collapsed="false">
      <c r="A12114" s="1105" t="s">
        <v>6619</v>
      </c>
      <c r="B12114" s="532" t="s">
        <v>3955</v>
      </c>
      <c r="C12114" s="614" t="s">
        <v>6620</v>
      </c>
      <c r="D12114" s="606" t="s">
        <v>6326</v>
      </c>
      <c r="E12114" s="614" t="n">
        <v>1</v>
      </c>
      <c r="F12114" s="617" t="n">
        <v>133485</v>
      </c>
      <c r="G12114" s="615" t="n">
        <f aca="false">F12114*E12114/60</f>
        <v>2224.75</v>
      </c>
      <c r="H12114" s="679"/>
    </row>
    <row r="12115" s="451" customFormat="true" ht="15" hidden="false" customHeight="false" outlineLevel="0" collapsed="false">
      <c r="A12115" s="1105"/>
      <c r="B12115" s="532"/>
      <c r="C12115" s="614" t="s">
        <v>6007</v>
      </c>
      <c r="D12115" s="606" t="s">
        <v>6363</v>
      </c>
      <c r="E12115" s="614" t="n">
        <v>20</v>
      </c>
      <c r="F12115" s="617" t="n">
        <v>4771</v>
      </c>
      <c r="G12115" s="615" t="n">
        <v>95</v>
      </c>
      <c r="H12115" s="679"/>
    </row>
    <row r="12116" s="451" customFormat="true" ht="30" hidden="false" customHeight="false" outlineLevel="0" collapsed="false">
      <c r="A12116" s="1105"/>
      <c r="B12116" s="532"/>
      <c r="C12116" s="614" t="s">
        <v>6394</v>
      </c>
      <c r="D12116" s="606" t="s">
        <v>6329</v>
      </c>
      <c r="E12116" s="954" t="n">
        <v>2</v>
      </c>
      <c r="F12116" s="617" t="n">
        <v>39480</v>
      </c>
      <c r="G12116" s="615" t="n">
        <v>158</v>
      </c>
      <c r="H12116" s="679"/>
    </row>
    <row r="12117" s="451" customFormat="true" ht="15" hidden="false" customHeight="false" outlineLevel="0" collapsed="false">
      <c r="A12117" s="1105"/>
      <c r="B12117" s="532"/>
      <c r="C12117" s="614" t="s">
        <v>4122</v>
      </c>
      <c r="D12117" s="606" t="s">
        <v>4359</v>
      </c>
      <c r="E12117" s="614" t="n">
        <v>0.1</v>
      </c>
      <c r="F12117" s="617" t="n">
        <v>800</v>
      </c>
      <c r="G12117" s="615" t="n">
        <f aca="false">F12117*E12117</f>
        <v>80</v>
      </c>
      <c r="H12117" s="679"/>
    </row>
    <row r="12118" s="451" customFormat="true" ht="30" hidden="false" customHeight="false" outlineLevel="0" collapsed="false">
      <c r="A12118" s="1105"/>
      <c r="B12118" s="532"/>
      <c r="C12118" s="614" t="s">
        <v>6282</v>
      </c>
      <c r="D12118" s="606" t="s">
        <v>4348</v>
      </c>
      <c r="E12118" s="614" t="n">
        <v>1</v>
      </c>
      <c r="F12118" s="617" t="n">
        <v>1720</v>
      </c>
      <c r="G12118" s="615" t="n">
        <f aca="false">F12118*E12118</f>
        <v>1720</v>
      </c>
      <c r="H12118" s="679"/>
    </row>
    <row r="12119" s="451" customFormat="true" ht="15" hidden="false" customHeight="false" outlineLevel="0" collapsed="false">
      <c r="A12119" s="1105"/>
      <c r="B12119" s="532"/>
      <c r="C12119" s="614" t="s">
        <v>6366</v>
      </c>
      <c r="D12119" s="606" t="s">
        <v>6621</v>
      </c>
      <c r="E12119" s="614" t="n">
        <v>2</v>
      </c>
      <c r="F12119" s="617" t="n">
        <v>1106</v>
      </c>
      <c r="G12119" s="615" t="n">
        <v>22</v>
      </c>
      <c r="H12119" s="679"/>
    </row>
    <row r="12120" s="451" customFormat="true" ht="15" hidden="false" customHeight="false" outlineLevel="0" collapsed="false">
      <c r="A12120" s="1105"/>
      <c r="B12120" s="532"/>
      <c r="C12120" s="614"/>
      <c r="D12120" s="606"/>
      <c r="E12120" s="606"/>
      <c r="F12120" s="361"/>
      <c r="G12120" s="613" t="n">
        <f aca="false">SUM(G12114:G12119)</f>
        <v>4299.75</v>
      </c>
      <c r="H12120" s="679"/>
    </row>
    <row r="12121" s="451" customFormat="true" ht="30" hidden="false" customHeight="false" outlineLevel="0" collapsed="false">
      <c r="A12121" s="1105" t="s">
        <v>6622</v>
      </c>
      <c r="B12121" s="532" t="s">
        <v>6623</v>
      </c>
      <c r="C12121" s="614" t="s">
        <v>6624</v>
      </c>
      <c r="D12121" s="606" t="s">
        <v>6512</v>
      </c>
      <c r="E12121" s="614" t="n">
        <v>1</v>
      </c>
      <c r="F12121" s="617" t="n">
        <v>47527</v>
      </c>
      <c r="G12121" s="615" t="n">
        <v>450</v>
      </c>
      <c r="H12121" s="679"/>
    </row>
    <row r="12122" s="451" customFormat="true" ht="30" hidden="false" customHeight="false" outlineLevel="0" collapsed="false">
      <c r="A12122" s="1105"/>
      <c r="B12122" s="532"/>
      <c r="C12122" s="614" t="s">
        <v>6625</v>
      </c>
      <c r="D12122" s="606" t="s">
        <v>6626</v>
      </c>
      <c r="E12122" s="614" t="n">
        <v>1</v>
      </c>
      <c r="F12122" s="617" t="n">
        <v>47527</v>
      </c>
      <c r="G12122" s="615" t="n">
        <v>450</v>
      </c>
      <c r="H12122" s="679"/>
    </row>
    <row r="12123" s="451" customFormat="true" ht="15" hidden="false" customHeight="false" outlineLevel="0" collapsed="false">
      <c r="A12123" s="1105"/>
      <c r="B12123" s="532"/>
      <c r="C12123" s="614" t="s">
        <v>4122</v>
      </c>
      <c r="D12123" s="606" t="s">
        <v>4359</v>
      </c>
      <c r="E12123" s="614" t="n">
        <v>0.1</v>
      </c>
      <c r="F12123" s="617" t="n">
        <v>800</v>
      </c>
      <c r="G12123" s="615" t="n">
        <f aca="false">F12123*E12123</f>
        <v>80</v>
      </c>
      <c r="H12123" s="679"/>
    </row>
    <row r="12124" s="451" customFormat="true" ht="15" hidden="false" customHeight="false" outlineLevel="0" collapsed="false">
      <c r="A12124" s="1105"/>
      <c r="B12124" s="532"/>
      <c r="C12124" s="614" t="s">
        <v>6007</v>
      </c>
      <c r="D12124" s="606" t="s">
        <v>6363</v>
      </c>
      <c r="E12124" s="614" t="n">
        <v>20</v>
      </c>
      <c r="F12124" s="617" t="n">
        <v>4771</v>
      </c>
      <c r="G12124" s="615" t="n">
        <v>95</v>
      </c>
      <c r="H12124" s="679"/>
    </row>
    <row r="12125" s="451" customFormat="true" ht="30" hidden="false" customHeight="false" outlineLevel="0" collapsed="false">
      <c r="A12125" s="1105"/>
      <c r="B12125" s="532"/>
      <c r="C12125" s="614" t="s">
        <v>6394</v>
      </c>
      <c r="D12125" s="606" t="s">
        <v>6329</v>
      </c>
      <c r="E12125" s="954" t="n">
        <v>2</v>
      </c>
      <c r="F12125" s="617" t="n">
        <v>39480</v>
      </c>
      <c r="G12125" s="615" t="n">
        <v>158</v>
      </c>
      <c r="H12125" s="679"/>
    </row>
    <row r="12126" s="451" customFormat="true" ht="15" hidden="false" customHeight="false" outlineLevel="0" collapsed="false">
      <c r="A12126" s="1105"/>
      <c r="B12126" s="532"/>
      <c r="C12126" s="614" t="s">
        <v>4347</v>
      </c>
      <c r="D12126" s="606" t="s">
        <v>6621</v>
      </c>
      <c r="E12126" s="614" t="n">
        <v>2</v>
      </c>
      <c r="F12126" s="617" t="n">
        <v>1106</v>
      </c>
      <c r="G12126" s="615" t="n">
        <v>22</v>
      </c>
      <c r="H12126" s="679"/>
    </row>
    <row r="12127" s="451" customFormat="true" ht="30" hidden="false" customHeight="false" outlineLevel="0" collapsed="false">
      <c r="A12127" s="1105"/>
      <c r="B12127" s="532"/>
      <c r="C12127" s="614" t="s">
        <v>6282</v>
      </c>
      <c r="D12127" s="606" t="s">
        <v>4348</v>
      </c>
      <c r="E12127" s="614" t="n">
        <v>1</v>
      </c>
      <c r="F12127" s="617" t="n">
        <v>1720</v>
      </c>
      <c r="G12127" s="615" t="n">
        <f aca="false">F12127*E12127</f>
        <v>1720</v>
      </c>
      <c r="H12127" s="679"/>
    </row>
    <row r="12128" s="451" customFormat="true" ht="15" hidden="false" customHeight="false" outlineLevel="0" collapsed="false">
      <c r="A12128" s="1105"/>
      <c r="B12128" s="532"/>
      <c r="C12128" s="709"/>
      <c r="D12128" s="679"/>
      <c r="E12128" s="679"/>
      <c r="F12128" s="369"/>
      <c r="G12128" s="711" t="n">
        <f aca="false">SUM(G12121:G12127)</f>
        <v>2975</v>
      </c>
      <c r="H12128" s="679"/>
    </row>
    <row r="12129" s="451" customFormat="true" ht="15" hidden="false" customHeight="false" outlineLevel="0" collapsed="false">
      <c r="A12129" s="510" t="s">
        <v>2463</v>
      </c>
      <c r="B12129" s="346" t="s">
        <v>6627</v>
      </c>
      <c r="C12129" s="601"/>
      <c r="D12129" s="600"/>
      <c r="E12129" s="600"/>
      <c r="F12129" s="364"/>
      <c r="G12129" s="753"/>
      <c r="H12129" s="790"/>
    </row>
    <row r="12130" s="451" customFormat="true" ht="30" hidden="false" customHeight="false" outlineLevel="0" collapsed="false">
      <c r="A12130" s="1105" t="s">
        <v>6628</v>
      </c>
      <c r="B12130" s="532" t="s">
        <v>3958</v>
      </c>
      <c r="C12130" s="614" t="s">
        <v>6629</v>
      </c>
      <c r="D12130" s="606" t="s">
        <v>6326</v>
      </c>
      <c r="E12130" s="614" t="n">
        <v>1</v>
      </c>
      <c r="F12130" s="617" t="n">
        <v>457694</v>
      </c>
      <c r="G12130" s="615" t="n">
        <v>7628.2</v>
      </c>
      <c r="H12130" s="679"/>
    </row>
    <row r="12131" s="451" customFormat="true" ht="15" hidden="false" customHeight="false" outlineLevel="0" collapsed="false">
      <c r="A12131" s="1105"/>
      <c r="B12131" s="532"/>
      <c r="C12131" s="614" t="s">
        <v>6007</v>
      </c>
      <c r="D12131" s="606" t="s">
        <v>6363</v>
      </c>
      <c r="E12131" s="614" t="n">
        <v>20</v>
      </c>
      <c r="F12131" s="617" t="n">
        <v>4771</v>
      </c>
      <c r="G12131" s="615" t="n">
        <v>95</v>
      </c>
      <c r="H12131" s="679"/>
    </row>
    <row r="12132" s="451" customFormat="true" ht="30" hidden="false" customHeight="false" outlineLevel="0" collapsed="false">
      <c r="A12132" s="1105"/>
      <c r="B12132" s="532"/>
      <c r="C12132" s="614" t="s">
        <v>6413</v>
      </c>
      <c r="D12132" s="606" t="s">
        <v>6329</v>
      </c>
      <c r="E12132" s="614" t="n">
        <v>5</v>
      </c>
      <c r="F12132" s="617" t="n">
        <v>353301</v>
      </c>
      <c r="G12132" s="615" t="n">
        <v>1765</v>
      </c>
      <c r="H12132" s="679"/>
    </row>
    <row r="12133" s="451" customFormat="true" ht="30" hidden="false" customHeight="false" outlineLevel="0" collapsed="false">
      <c r="A12133" s="1105"/>
      <c r="B12133" s="532"/>
      <c r="C12133" s="614" t="s">
        <v>6414</v>
      </c>
      <c r="D12133" s="606" t="s">
        <v>6415</v>
      </c>
      <c r="E12133" s="614" t="n">
        <v>4</v>
      </c>
      <c r="F12133" s="617" t="n">
        <v>636</v>
      </c>
      <c r="G12133" s="615" t="n">
        <v>5</v>
      </c>
      <c r="H12133" s="679"/>
    </row>
    <row r="12134" s="451" customFormat="true" ht="15" hidden="false" customHeight="false" outlineLevel="0" collapsed="false">
      <c r="A12134" s="1105"/>
      <c r="B12134" s="532"/>
      <c r="C12134" s="614" t="s">
        <v>4122</v>
      </c>
      <c r="D12134" s="606" t="s">
        <v>4359</v>
      </c>
      <c r="E12134" s="614" t="n">
        <v>0.1</v>
      </c>
      <c r="F12134" s="617" t="n">
        <v>800</v>
      </c>
      <c r="G12134" s="615" t="n">
        <f aca="false">F12134*E12134</f>
        <v>80</v>
      </c>
      <c r="H12134" s="679"/>
    </row>
    <row r="12135" s="451" customFormat="true" ht="30" hidden="false" customHeight="false" outlineLevel="0" collapsed="false">
      <c r="A12135" s="1105"/>
      <c r="B12135" s="532"/>
      <c r="C12135" s="614" t="s">
        <v>6282</v>
      </c>
      <c r="D12135" s="606" t="s">
        <v>4348</v>
      </c>
      <c r="E12135" s="614" t="n">
        <v>1</v>
      </c>
      <c r="F12135" s="617" t="n">
        <v>1720</v>
      </c>
      <c r="G12135" s="615" t="n">
        <f aca="false">F12135*E12135</f>
        <v>1720</v>
      </c>
      <c r="H12135" s="679"/>
    </row>
    <row r="12136" s="451" customFormat="true" ht="15" hidden="false" customHeight="false" outlineLevel="0" collapsed="false">
      <c r="A12136" s="1105"/>
      <c r="B12136" s="532"/>
      <c r="C12136" s="614" t="s">
        <v>6366</v>
      </c>
      <c r="D12136" s="606" t="s">
        <v>5788</v>
      </c>
      <c r="E12136" s="614" t="n">
        <v>2</v>
      </c>
      <c r="F12136" s="617" t="n">
        <v>1106</v>
      </c>
      <c r="G12136" s="615" t="n">
        <v>22</v>
      </c>
      <c r="H12136" s="679"/>
    </row>
    <row r="12137" s="451" customFormat="true" ht="30" hidden="false" customHeight="false" outlineLevel="0" collapsed="false">
      <c r="A12137" s="1105"/>
      <c r="B12137" s="532"/>
      <c r="C12137" s="614" t="s">
        <v>6283</v>
      </c>
      <c r="D12137" s="606" t="s">
        <v>6416</v>
      </c>
      <c r="E12137" s="954" t="n">
        <v>1</v>
      </c>
      <c r="F12137" s="617" t="n">
        <v>460</v>
      </c>
      <c r="G12137" s="615" t="n">
        <f aca="false">F12137*E12137</f>
        <v>460</v>
      </c>
      <c r="H12137" s="679"/>
    </row>
    <row r="12138" s="451" customFormat="true" ht="15" hidden="false" customHeight="false" outlineLevel="0" collapsed="false">
      <c r="A12138" s="1105"/>
      <c r="B12138" s="532"/>
      <c r="C12138" s="614"/>
      <c r="D12138" s="606"/>
      <c r="E12138" s="606"/>
      <c r="F12138" s="361"/>
      <c r="G12138" s="613" t="n">
        <f aca="false">SUM(G12130:G12137)</f>
        <v>11775.2</v>
      </c>
      <c r="H12138" s="679"/>
    </row>
    <row r="12139" s="451" customFormat="true" ht="15" hidden="false" customHeight="false" outlineLevel="0" collapsed="false">
      <c r="A12139" s="1105" t="s">
        <v>6630</v>
      </c>
      <c r="B12139" s="532" t="s">
        <v>6631</v>
      </c>
      <c r="C12139" s="614" t="s">
        <v>6632</v>
      </c>
      <c r="D12139" s="606" t="s">
        <v>6512</v>
      </c>
      <c r="E12139" s="614" t="n">
        <v>1</v>
      </c>
      <c r="F12139" s="617" t="n">
        <v>70000</v>
      </c>
      <c r="G12139" s="615" t="n">
        <f aca="false">F12139/90</f>
        <v>777.777777777778</v>
      </c>
      <c r="H12139" s="679"/>
    </row>
    <row r="12140" s="451" customFormat="true" ht="15" hidden="false" customHeight="false" outlineLevel="0" collapsed="false">
      <c r="A12140" s="1105"/>
      <c r="B12140" s="532"/>
      <c r="C12140" s="614" t="s">
        <v>4122</v>
      </c>
      <c r="D12140" s="606" t="s">
        <v>4359</v>
      </c>
      <c r="E12140" s="614" t="n">
        <v>0.1</v>
      </c>
      <c r="F12140" s="617" t="n">
        <v>800</v>
      </c>
      <c r="G12140" s="615" t="n">
        <f aca="false">F12140*E12140</f>
        <v>80</v>
      </c>
      <c r="H12140" s="679"/>
    </row>
    <row r="12141" s="451" customFormat="true" ht="15" hidden="false" customHeight="false" outlineLevel="0" collapsed="false">
      <c r="A12141" s="1105"/>
      <c r="B12141" s="532"/>
      <c r="C12141" s="614" t="s">
        <v>6007</v>
      </c>
      <c r="D12141" s="606" t="s">
        <v>6363</v>
      </c>
      <c r="E12141" s="614" t="n">
        <v>20</v>
      </c>
      <c r="F12141" s="617" t="n">
        <v>4771</v>
      </c>
      <c r="G12141" s="615" t="n">
        <v>95</v>
      </c>
      <c r="H12141" s="679"/>
    </row>
    <row r="12142" s="451" customFormat="true" ht="30" hidden="false" customHeight="false" outlineLevel="0" collapsed="false">
      <c r="A12142" s="1105"/>
      <c r="B12142" s="532"/>
      <c r="C12142" s="614" t="s">
        <v>6394</v>
      </c>
      <c r="D12142" s="606" t="s">
        <v>6329</v>
      </c>
      <c r="E12142" s="954" t="n">
        <v>2</v>
      </c>
      <c r="F12142" s="617" t="n">
        <v>39480</v>
      </c>
      <c r="G12142" s="615" t="n">
        <v>158</v>
      </c>
      <c r="H12142" s="679"/>
    </row>
    <row r="12143" s="451" customFormat="true" ht="15" hidden="false" customHeight="false" outlineLevel="0" collapsed="false">
      <c r="A12143" s="1105"/>
      <c r="B12143" s="532"/>
      <c r="C12143" s="614" t="s">
        <v>4347</v>
      </c>
      <c r="D12143" s="606" t="s">
        <v>5788</v>
      </c>
      <c r="E12143" s="614" t="n">
        <v>2</v>
      </c>
      <c r="F12143" s="617" t="n">
        <v>1106</v>
      </c>
      <c r="G12143" s="615" t="n">
        <v>22</v>
      </c>
      <c r="H12143" s="679"/>
    </row>
    <row r="12144" s="451" customFormat="true" ht="30" hidden="false" customHeight="false" outlineLevel="0" collapsed="false">
      <c r="A12144" s="1105"/>
      <c r="B12144" s="532"/>
      <c r="C12144" s="614" t="s">
        <v>6282</v>
      </c>
      <c r="D12144" s="606" t="s">
        <v>4348</v>
      </c>
      <c r="E12144" s="614" t="n">
        <v>1</v>
      </c>
      <c r="F12144" s="617" t="n">
        <v>1720</v>
      </c>
      <c r="G12144" s="615" t="n">
        <f aca="false">F12144*E12144</f>
        <v>1720</v>
      </c>
      <c r="H12144" s="679"/>
    </row>
    <row r="12145" s="451" customFormat="true" ht="30" hidden="false" customHeight="false" outlineLevel="0" collapsed="false">
      <c r="A12145" s="1105"/>
      <c r="B12145" s="532"/>
      <c r="C12145" s="709" t="s">
        <v>6283</v>
      </c>
      <c r="D12145" s="679" t="s">
        <v>6416</v>
      </c>
      <c r="E12145" s="1092" t="n">
        <v>1</v>
      </c>
      <c r="F12145" s="681" t="n">
        <v>460</v>
      </c>
      <c r="G12145" s="716" t="n">
        <f aca="false">F12145*E12145</f>
        <v>460</v>
      </c>
      <c r="H12145" s="679"/>
    </row>
    <row r="12146" s="451" customFormat="true" ht="15" hidden="false" customHeight="false" outlineLevel="0" collapsed="false">
      <c r="A12146" s="1105"/>
      <c r="B12146" s="532"/>
      <c r="C12146" s="709"/>
      <c r="D12146" s="679"/>
      <c r="E12146" s="679"/>
      <c r="F12146" s="369"/>
      <c r="G12146" s="711" t="n">
        <f aca="false">SUM(G12139:G12145)</f>
        <v>3312.77777777778</v>
      </c>
      <c r="H12146" s="679"/>
    </row>
    <row r="12147" s="451" customFormat="true" ht="15" hidden="false" customHeight="false" outlineLevel="0" collapsed="false">
      <c r="A12147" s="510" t="s">
        <v>2469</v>
      </c>
      <c r="B12147" s="346" t="s">
        <v>3960</v>
      </c>
      <c r="C12147" s="600"/>
      <c r="D12147" s="600"/>
      <c r="E12147" s="600"/>
      <c r="F12147" s="364"/>
      <c r="G12147" s="713"/>
      <c r="H12147" s="790"/>
    </row>
    <row r="12148" s="451" customFormat="true" ht="30" hidden="false" customHeight="true" outlineLevel="0" collapsed="false">
      <c r="A12148" s="1105" t="s">
        <v>6633</v>
      </c>
      <c r="B12148" s="532" t="s">
        <v>6634</v>
      </c>
      <c r="C12148" s="709" t="s">
        <v>6635</v>
      </c>
      <c r="D12148" s="679" t="s">
        <v>6326</v>
      </c>
      <c r="E12148" s="1092" t="n">
        <v>1</v>
      </c>
      <c r="F12148" s="617" t="n">
        <v>457694</v>
      </c>
      <c r="G12148" s="615" t="n">
        <f aca="false">F12148/60</f>
        <v>7628.23333333333</v>
      </c>
      <c r="H12148" s="679"/>
    </row>
    <row r="12149" s="451" customFormat="true" ht="15" hidden="false" customHeight="false" outlineLevel="0" collapsed="false">
      <c r="A12149" s="1105"/>
      <c r="B12149" s="532"/>
      <c r="C12149" s="614" t="s">
        <v>6007</v>
      </c>
      <c r="D12149" s="606" t="s">
        <v>6363</v>
      </c>
      <c r="E12149" s="614" t="n">
        <v>20</v>
      </c>
      <c r="F12149" s="617" t="n">
        <v>4771</v>
      </c>
      <c r="G12149" s="615" t="n">
        <v>95</v>
      </c>
      <c r="H12149" s="679"/>
    </row>
    <row r="12150" s="451" customFormat="true" ht="30" hidden="false" customHeight="false" outlineLevel="0" collapsed="false">
      <c r="A12150" s="1105"/>
      <c r="B12150" s="532"/>
      <c r="C12150" s="614" t="s">
        <v>6413</v>
      </c>
      <c r="D12150" s="606" t="s">
        <v>6329</v>
      </c>
      <c r="E12150" s="614" t="n">
        <v>1</v>
      </c>
      <c r="F12150" s="617" t="n">
        <v>353301</v>
      </c>
      <c r="G12150" s="615" t="n">
        <f aca="false">(F12150/1000)*1</f>
        <v>353.301</v>
      </c>
      <c r="H12150" s="679"/>
    </row>
    <row r="12151" s="451" customFormat="true" ht="30" hidden="false" customHeight="false" outlineLevel="0" collapsed="false">
      <c r="A12151" s="1105"/>
      <c r="B12151" s="532"/>
      <c r="C12151" s="614" t="s">
        <v>6414</v>
      </c>
      <c r="D12151" s="606" t="s">
        <v>6415</v>
      </c>
      <c r="E12151" s="614" t="n">
        <v>4</v>
      </c>
      <c r="F12151" s="617" t="n">
        <v>636</v>
      </c>
      <c r="G12151" s="615" t="n">
        <v>5</v>
      </c>
      <c r="H12151" s="679"/>
    </row>
    <row r="12152" s="451" customFormat="true" ht="15" hidden="false" customHeight="false" outlineLevel="0" collapsed="false">
      <c r="A12152" s="1105"/>
      <c r="B12152" s="532"/>
      <c r="C12152" s="614" t="s">
        <v>4122</v>
      </c>
      <c r="D12152" s="606" t="s">
        <v>4359</v>
      </c>
      <c r="E12152" s="614" t="n">
        <v>0.1</v>
      </c>
      <c r="F12152" s="617" t="n">
        <v>800</v>
      </c>
      <c r="G12152" s="615" t="n">
        <f aca="false">F12152*E12152</f>
        <v>80</v>
      </c>
      <c r="H12152" s="679"/>
    </row>
    <row r="12153" s="451" customFormat="true" ht="30" hidden="false" customHeight="false" outlineLevel="0" collapsed="false">
      <c r="A12153" s="1105"/>
      <c r="B12153" s="532"/>
      <c r="C12153" s="614" t="s">
        <v>6282</v>
      </c>
      <c r="D12153" s="606" t="s">
        <v>4348</v>
      </c>
      <c r="E12153" s="614" t="n">
        <v>1</v>
      </c>
      <c r="F12153" s="617" t="n">
        <v>1970</v>
      </c>
      <c r="G12153" s="615" t="n">
        <f aca="false">F12153*E12153</f>
        <v>1970</v>
      </c>
      <c r="H12153" s="679"/>
    </row>
    <row r="12154" s="451" customFormat="true" ht="15" hidden="false" customHeight="false" outlineLevel="0" collapsed="false">
      <c r="A12154" s="1105"/>
      <c r="B12154" s="532"/>
      <c r="C12154" s="614" t="s">
        <v>6366</v>
      </c>
      <c r="D12154" s="606" t="s">
        <v>5788</v>
      </c>
      <c r="E12154" s="614" t="n">
        <v>2</v>
      </c>
      <c r="F12154" s="617" t="n">
        <v>1106</v>
      </c>
      <c r="G12154" s="615" t="n">
        <v>22</v>
      </c>
      <c r="H12154" s="679"/>
    </row>
    <row r="12155" s="451" customFormat="true" ht="15" hidden="false" customHeight="false" outlineLevel="0" collapsed="false">
      <c r="A12155" s="1105"/>
      <c r="B12155" s="532"/>
      <c r="C12155" s="614" t="s">
        <v>4270</v>
      </c>
      <c r="D12155" s="606" t="s">
        <v>4359</v>
      </c>
      <c r="E12155" s="614" t="n">
        <v>0.1</v>
      </c>
      <c r="F12155" s="617" t="n">
        <v>9866</v>
      </c>
      <c r="G12155" s="615" t="n">
        <f aca="false">F12155*E12155</f>
        <v>986.6</v>
      </c>
      <c r="H12155" s="679"/>
    </row>
    <row r="12156" s="451" customFormat="true" ht="30" hidden="false" customHeight="false" outlineLevel="0" collapsed="false">
      <c r="A12156" s="1105"/>
      <c r="B12156" s="532"/>
      <c r="C12156" s="614" t="s">
        <v>6283</v>
      </c>
      <c r="D12156" s="606" t="s">
        <v>6416</v>
      </c>
      <c r="E12156" s="954" t="n">
        <v>1</v>
      </c>
      <c r="F12156" s="617" t="n">
        <v>460</v>
      </c>
      <c r="G12156" s="615" t="n">
        <f aca="false">F12156*E12156</f>
        <v>460</v>
      </c>
      <c r="H12156" s="679"/>
    </row>
    <row r="12157" s="451" customFormat="true" ht="15" hidden="false" customHeight="false" outlineLevel="0" collapsed="false">
      <c r="A12157" s="1105"/>
      <c r="B12157" s="532"/>
      <c r="C12157" s="614"/>
      <c r="D12157" s="606"/>
      <c r="E12157" s="606"/>
      <c r="F12157" s="361"/>
      <c r="G12157" s="613" t="n">
        <f aca="false">SUM(G12148:G12156)</f>
        <v>11600.1343333333</v>
      </c>
      <c r="H12157" s="679"/>
    </row>
    <row r="12158" s="451" customFormat="true" ht="30" hidden="false" customHeight="false" outlineLevel="0" collapsed="false">
      <c r="A12158" s="1105" t="s">
        <v>6636</v>
      </c>
      <c r="B12158" s="532" t="s">
        <v>6637</v>
      </c>
      <c r="C12158" s="614" t="s">
        <v>6394</v>
      </c>
      <c r="D12158" s="606" t="s">
        <v>6415</v>
      </c>
      <c r="E12158" s="614" t="n">
        <v>1</v>
      </c>
      <c r="F12158" s="617" t="n">
        <v>636</v>
      </c>
      <c r="G12158" s="615" t="n">
        <v>2</v>
      </c>
      <c r="H12158" s="679"/>
    </row>
    <row r="12159" s="451" customFormat="true" ht="15" hidden="false" customHeight="false" outlineLevel="0" collapsed="false">
      <c r="A12159" s="1105"/>
      <c r="B12159" s="785"/>
      <c r="C12159" s="614" t="s">
        <v>4270</v>
      </c>
      <c r="D12159" s="606" t="s">
        <v>4359</v>
      </c>
      <c r="E12159" s="614" t="n">
        <v>0.01</v>
      </c>
      <c r="F12159" s="617" t="n">
        <v>9866</v>
      </c>
      <c r="G12159" s="615" t="n">
        <f aca="false">F12159*E12159</f>
        <v>98.66</v>
      </c>
      <c r="H12159" s="679"/>
    </row>
    <row r="12160" s="451" customFormat="true" ht="15" hidden="false" customHeight="false" outlineLevel="0" collapsed="false">
      <c r="A12160" s="1105"/>
      <c r="B12160" s="785"/>
      <c r="C12160" s="614" t="s">
        <v>4347</v>
      </c>
      <c r="D12160" s="606" t="s">
        <v>5788</v>
      </c>
      <c r="E12160" s="614" t="n">
        <v>2</v>
      </c>
      <c r="F12160" s="617" t="n">
        <v>1106</v>
      </c>
      <c r="G12160" s="615" t="n">
        <v>22</v>
      </c>
      <c r="H12160" s="679"/>
    </row>
    <row r="12161" s="451" customFormat="true" ht="30" hidden="false" customHeight="false" outlineLevel="0" collapsed="false">
      <c r="A12161" s="1105"/>
      <c r="B12161" s="785"/>
      <c r="C12161" s="614" t="s">
        <v>6282</v>
      </c>
      <c r="D12161" s="606" t="s">
        <v>4348</v>
      </c>
      <c r="E12161" s="614" t="n">
        <v>1</v>
      </c>
      <c r="F12161" s="617" t="n">
        <v>1720</v>
      </c>
      <c r="G12161" s="615" t="n">
        <f aca="false">F12161*E12161</f>
        <v>1720</v>
      </c>
      <c r="H12161" s="679"/>
    </row>
    <row r="12162" s="451" customFormat="true" ht="15" hidden="false" customHeight="false" outlineLevel="0" collapsed="false">
      <c r="A12162" s="1105"/>
      <c r="B12162" s="532"/>
      <c r="C12162" s="709"/>
      <c r="D12162" s="679"/>
      <c r="E12162" s="679"/>
      <c r="F12162" s="369"/>
      <c r="G12162" s="711" t="n">
        <f aca="false">SUM(G12158:G12161)</f>
        <v>1842.66</v>
      </c>
      <c r="H12162" s="679"/>
    </row>
    <row r="12163" s="451" customFormat="true" ht="15" hidden="false" customHeight="false" outlineLevel="0" collapsed="false">
      <c r="A12163" s="510" t="s">
        <v>2475</v>
      </c>
      <c r="B12163" s="346" t="s">
        <v>3963</v>
      </c>
      <c r="C12163" s="600"/>
      <c r="D12163" s="600"/>
      <c r="E12163" s="600"/>
      <c r="F12163" s="364"/>
      <c r="G12163" s="713"/>
      <c r="H12163" s="790"/>
    </row>
    <row r="12164" s="451" customFormat="true" ht="43.5" hidden="false" customHeight="true" outlineLevel="0" collapsed="false">
      <c r="A12164" s="1105" t="s">
        <v>2477</v>
      </c>
      <c r="B12164" s="328" t="s">
        <v>3964</v>
      </c>
      <c r="C12164" s="709" t="s">
        <v>6370</v>
      </c>
      <c r="D12164" s="679" t="s">
        <v>6380</v>
      </c>
      <c r="E12164" s="709" t="n">
        <v>0.024</v>
      </c>
      <c r="F12164" s="716" t="n">
        <v>103421</v>
      </c>
      <c r="G12164" s="716" t="n">
        <f aca="false">F12164*E12164</f>
        <v>2482.104</v>
      </c>
      <c r="H12164" s="679"/>
    </row>
    <row r="12165" s="451" customFormat="true" ht="15" hidden="false" customHeight="false" outlineLevel="0" collapsed="false">
      <c r="A12165" s="1105"/>
      <c r="B12165" s="532"/>
      <c r="C12165" s="709" t="s">
        <v>6638</v>
      </c>
      <c r="D12165" s="679" t="s">
        <v>6341</v>
      </c>
      <c r="E12165" s="709" t="n">
        <v>0.024</v>
      </c>
      <c r="F12165" s="681" t="n">
        <v>9883</v>
      </c>
      <c r="G12165" s="716" t="n">
        <f aca="false">F12165*E12165</f>
        <v>237.192</v>
      </c>
      <c r="H12165" s="679"/>
    </row>
    <row r="12166" s="451" customFormat="true" ht="15" hidden="false" customHeight="false" outlineLevel="0" collapsed="false">
      <c r="A12166" s="1105"/>
      <c r="B12166" s="532"/>
      <c r="C12166" s="709" t="s">
        <v>6639</v>
      </c>
      <c r="D12166" s="679" t="s">
        <v>4133</v>
      </c>
      <c r="E12166" s="709" t="n">
        <v>0.009</v>
      </c>
      <c r="F12166" s="681" t="n">
        <v>3232</v>
      </c>
      <c r="G12166" s="716" t="n">
        <f aca="false">F12166*E12166</f>
        <v>29.088</v>
      </c>
      <c r="H12166" s="679"/>
    </row>
    <row r="12167" s="451" customFormat="true" ht="15" hidden="false" customHeight="false" outlineLevel="0" collapsed="false">
      <c r="A12167" s="1105"/>
      <c r="B12167" s="532"/>
      <c r="C12167" s="709" t="s">
        <v>6640</v>
      </c>
      <c r="D12167" s="679" t="s">
        <v>4348</v>
      </c>
      <c r="E12167" s="709" t="n">
        <v>66</v>
      </c>
      <c r="F12167" s="681" t="n">
        <v>602</v>
      </c>
      <c r="G12167" s="716" t="n">
        <v>198.66</v>
      </c>
      <c r="H12167" s="679"/>
    </row>
    <row r="12168" s="451" customFormat="true" ht="15" hidden="false" customHeight="false" outlineLevel="0" collapsed="false">
      <c r="A12168" s="1105"/>
      <c r="B12168" s="532"/>
      <c r="C12168" s="709" t="s">
        <v>5945</v>
      </c>
      <c r="D12168" s="679" t="s">
        <v>6380</v>
      </c>
      <c r="E12168" s="709" t="n">
        <v>2</v>
      </c>
      <c r="F12168" s="681" t="n">
        <v>1079.21</v>
      </c>
      <c r="G12168" s="716" t="n">
        <f aca="false">F12168*E12168</f>
        <v>2158.42</v>
      </c>
      <c r="H12168" s="679"/>
    </row>
    <row r="12169" s="451" customFormat="true" ht="15" hidden="false" customHeight="false" outlineLevel="0" collapsed="false">
      <c r="A12169" s="1105"/>
      <c r="B12169" s="532"/>
      <c r="C12169" s="709" t="s">
        <v>4124</v>
      </c>
      <c r="D12169" s="679" t="s">
        <v>4516</v>
      </c>
      <c r="E12169" s="709" t="n">
        <v>1</v>
      </c>
      <c r="F12169" s="681" t="n">
        <v>177</v>
      </c>
      <c r="G12169" s="716" t="n">
        <f aca="false">F12169*E12169</f>
        <v>177</v>
      </c>
      <c r="H12169" s="679"/>
    </row>
    <row r="12170" s="451" customFormat="true" ht="15" hidden="false" customHeight="false" outlineLevel="0" collapsed="false">
      <c r="A12170" s="1105"/>
      <c r="B12170" s="532"/>
      <c r="C12170" s="1086" t="s">
        <v>6280</v>
      </c>
      <c r="D12170" s="1087" t="s">
        <v>6311</v>
      </c>
      <c r="E12170" s="1086" t="n">
        <v>10</v>
      </c>
      <c r="F12170" s="1088" t="n">
        <v>842</v>
      </c>
      <c r="G12170" s="716" t="n">
        <f aca="false">F12170*E12170</f>
        <v>8420</v>
      </c>
      <c r="H12170" s="679"/>
    </row>
    <row r="12171" s="451" customFormat="true" ht="30" hidden="false" customHeight="false" outlineLevel="0" collapsed="false">
      <c r="A12171" s="1105"/>
      <c r="B12171" s="532"/>
      <c r="C12171" s="709" t="s">
        <v>6282</v>
      </c>
      <c r="D12171" s="679" t="s">
        <v>4348</v>
      </c>
      <c r="E12171" s="709" t="n">
        <v>4</v>
      </c>
      <c r="F12171" s="681" t="n">
        <v>11500</v>
      </c>
      <c r="G12171" s="716" t="n">
        <f aca="false">F12171*E12171</f>
        <v>46000</v>
      </c>
      <c r="H12171" s="679"/>
    </row>
    <row r="12172" s="451" customFormat="true" ht="15" hidden="false" customHeight="false" outlineLevel="0" collapsed="false">
      <c r="A12172" s="1105"/>
      <c r="B12172" s="532"/>
      <c r="C12172" s="709" t="s">
        <v>4347</v>
      </c>
      <c r="D12172" s="679" t="s">
        <v>5788</v>
      </c>
      <c r="E12172" s="709" t="n">
        <v>12</v>
      </c>
      <c r="F12172" s="681" t="n">
        <v>1106</v>
      </c>
      <c r="G12172" s="716" t="n">
        <f aca="false">12*11.06</f>
        <v>132.72</v>
      </c>
      <c r="H12172" s="679"/>
    </row>
    <row r="12173" s="451" customFormat="true" ht="15" hidden="false" customHeight="false" outlineLevel="0" collapsed="false">
      <c r="A12173" s="1105"/>
      <c r="B12173" s="532"/>
      <c r="C12173" s="709" t="s">
        <v>4122</v>
      </c>
      <c r="D12173" s="679" t="s">
        <v>4359</v>
      </c>
      <c r="E12173" s="709" t="n">
        <v>0.5</v>
      </c>
      <c r="F12173" s="681" t="n">
        <v>800</v>
      </c>
      <c r="G12173" s="716" t="n">
        <f aca="false">F12173*E12173</f>
        <v>400</v>
      </c>
      <c r="H12173" s="679"/>
    </row>
    <row r="12174" s="451" customFormat="true" ht="15" hidden="false" customHeight="false" outlineLevel="0" collapsed="false">
      <c r="A12174" s="1105"/>
      <c r="B12174" s="532"/>
      <c r="C12174" s="709" t="s">
        <v>4270</v>
      </c>
      <c r="D12174" s="679" t="s">
        <v>4359</v>
      </c>
      <c r="E12174" s="709" t="n">
        <v>0.3</v>
      </c>
      <c r="F12174" s="681" t="n">
        <v>9866</v>
      </c>
      <c r="G12174" s="716" t="n">
        <f aca="false">F12174*E12174</f>
        <v>2959.8</v>
      </c>
      <c r="H12174" s="679"/>
    </row>
    <row r="12175" s="451" customFormat="true" ht="15" hidden="false" customHeight="false" outlineLevel="0" collapsed="false">
      <c r="A12175" s="1105"/>
      <c r="B12175" s="532"/>
      <c r="C12175" s="709" t="s">
        <v>6267</v>
      </c>
      <c r="D12175" s="679" t="s">
        <v>6268</v>
      </c>
      <c r="E12175" s="709" t="n">
        <v>120</v>
      </c>
      <c r="F12175" s="681" t="n">
        <v>636</v>
      </c>
      <c r="G12175" s="716" t="n">
        <v>152.64</v>
      </c>
      <c r="H12175" s="679"/>
    </row>
    <row r="12176" s="451" customFormat="true" ht="30" hidden="false" customHeight="false" outlineLevel="0" collapsed="false">
      <c r="A12176" s="1105"/>
      <c r="B12176" s="532"/>
      <c r="C12176" s="709" t="s">
        <v>6283</v>
      </c>
      <c r="D12176" s="679" t="s">
        <v>6416</v>
      </c>
      <c r="E12176" s="1092" t="n">
        <v>5</v>
      </c>
      <c r="F12176" s="681" t="n">
        <v>460</v>
      </c>
      <c r="G12176" s="716" t="n">
        <f aca="false">F12176*E12176</f>
        <v>2300</v>
      </c>
      <c r="H12176" s="679"/>
    </row>
    <row r="12177" s="451" customFormat="true" ht="15" hidden="false" customHeight="false" outlineLevel="0" collapsed="false">
      <c r="A12177" s="1105"/>
      <c r="B12177" s="532"/>
      <c r="C12177" s="709"/>
      <c r="D12177" s="679"/>
      <c r="E12177" s="709"/>
      <c r="F12177" s="681"/>
      <c r="G12177" s="711" t="n">
        <f aca="false">SUM(G12164:G12176)</f>
        <v>65647.624</v>
      </c>
      <c r="H12177" s="679"/>
    </row>
    <row r="12178" s="451" customFormat="true" ht="28.5" hidden="false" customHeight="true" outlineLevel="0" collapsed="false">
      <c r="A12178" s="1105" t="s">
        <v>2479</v>
      </c>
      <c r="B12178" s="328" t="s">
        <v>3965</v>
      </c>
      <c r="C12178" s="709" t="s">
        <v>6370</v>
      </c>
      <c r="D12178" s="679" t="s">
        <v>6641</v>
      </c>
      <c r="E12178" s="709" t="n">
        <v>0.024</v>
      </c>
      <c r="F12178" s="716" t="n">
        <v>103421</v>
      </c>
      <c r="G12178" s="716" t="n">
        <f aca="false">F12178*E12178</f>
        <v>2482.104</v>
      </c>
      <c r="H12178" s="679"/>
    </row>
    <row r="12179" s="451" customFormat="true" ht="15" hidden="false" customHeight="false" outlineLevel="0" collapsed="false">
      <c r="A12179" s="1105"/>
      <c r="B12179" s="532"/>
      <c r="C12179" s="709" t="s">
        <v>6638</v>
      </c>
      <c r="D12179" s="679" t="s">
        <v>6341</v>
      </c>
      <c r="E12179" s="709" t="n">
        <v>0.024</v>
      </c>
      <c r="F12179" s="681" t="n">
        <v>9883</v>
      </c>
      <c r="G12179" s="716" t="n">
        <f aca="false">F12179*E12179</f>
        <v>237.192</v>
      </c>
      <c r="H12179" s="679"/>
    </row>
    <row r="12180" s="451" customFormat="true" ht="15" hidden="false" customHeight="false" outlineLevel="0" collapsed="false">
      <c r="A12180" s="1105"/>
      <c r="B12180" s="532"/>
      <c r="C12180" s="709" t="s">
        <v>6639</v>
      </c>
      <c r="D12180" s="679" t="s">
        <v>4133</v>
      </c>
      <c r="E12180" s="709" t="n">
        <v>0.009</v>
      </c>
      <c r="F12180" s="681" t="n">
        <v>3232</v>
      </c>
      <c r="G12180" s="716" t="n">
        <f aca="false">F12180*E12180</f>
        <v>29.088</v>
      </c>
      <c r="H12180" s="679"/>
    </row>
    <row r="12181" s="451" customFormat="true" ht="15" hidden="false" customHeight="false" outlineLevel="0" collapsed="false">
      <c r="A12181" s="1105"/>
      <c r="B12181" s="532"/>
      <c r="C12181" s="709" t="s">
        <v>6640</v>
      </c>
      <c r="D12181" s="679" t="s">
        <v>4348</v>
      </c>
      <c r="E12181" s="709" t="n">
        <v>66</v>
      </c>
      <c r="F12181" s="681" t="n">
        <v>602</v>
      </c>
      <c r="G12181" s="716" t="n">
        <v>198.66</v>
      </c>
      <c r="H12181" s="679"/>
    </row>
    <row r="12182" s="451" customFormat="true" ht="15" hidden="false" customHeight="false" outlineLevel="0" collapsed="false">
      <c r="A12182" s="1105"/>
      <c r="B12182" s="532"/>
      <c r="C12182" s="709" t="s">
        <v>5945</v>
      </c>
      <c r="D12182" s="679" t="s">
        <v>6641</v>
      </c>
      <c r="E12182" s="709" t="n">
        <v>2</v>
      </c>
      <c r="F12182" s="681" t="n">
        <v>1079</v>
      </c>
      <c r="G12182" s="716" t="n">
        <f aca="false">F12182*E12182</f>
        <v>2158</v>
      </c>
      <c r="H12182" s="679"/>
    </row>
    <row r="12183" s="451" customFormat="true" ht="15" hidden="false" customHeight="false" outlineLevel="0" collapsed="false">
      <c r="A12183" s="1105"/>
      <c r="B12183" s="532"/>
      <c r="C12183" s="709" t="s">
        <v>4124</v>
      </c>
      <c r="D12183" s="679" t="s">
        <v>4516</v>
      </c>
      <c r="E12183" s="709" t="n">
        <v>2</v>
      </c>
      <c r="F12183" s="681" t="n">
        <v>177</v>
      </c>
      <c r="G12183" s="716" t="n">
        <f aca="false">F12183*E12183</f>
        <v>354</v>
      </c>
      <c r="H12183" s="679"/>
    </row>
    <row r="12184" s="451" customFormat="true" ht="15" hidden="false" customHeight="false" outlineLevel="0" collapsed="false">
      <c r="A12184" s="1105"/>
      <c r="B12184" s="532"/>
      <c r="C12184" s="1086" t="s">
        <v>6280</v>
      </c>
      <c r="D12184" s="1087" t="s">
        <v>6311</v>
      </c>
      <c r="E12184" s="1086" t="n">
        <v>5</v>
      </c>
      <c r="F12184" s="1088" t="n">
        <v>842</v>
      </c>
      <c r="G12184" s="716" t="n">
        <f aca="false">F12184*E12184</f>
        <v>4210</v>
      </c>
      <c r="H12184" s="679"/>
    </row>
    <row r="12185" s="451" customFormat="true" ht="15" hidden="false" customHeight="false" outlineLevel="0" collapsed="false">
      <c r="A12185" s="1105"/>
      <c r="B12185" s="532"/>
      <c r="C12185" s="614" t="s">
        <v>6007</v>
      </c>
      <c r="D12185" s="606" t="s">
        <v>6363</v>
      </c>
      <c r="E12185" s="614" t="n">
        <v>50</v>
      </c>
      <c r="F12185" s="617" t="n">
        <v>4771</v>
      </c>
      <c r="G12185" s="615" t="n">
        <v>238.55</v>
      </c>
      <c r="H12185" s="679"/>
    </row>
    <row r="12186" s="451" customFormat="true" ht="30" hidden="false" customHeight="false" outlineLevel="0" collapsed="false">
      <c r="A12186" s="1105"/>
      <c r="B12186" s="532"/>
      <c r="C12186" s="709" t="s">
        <v>6282</v>
      </c>
      <c r="D12186" s="679" t="s">
        <v>4348</v>
      </c>
      <c r="E12186" s="709" t="n">
        <v>4</v>
      </c>
      <c r="F12186" s="681" t="n">
        <v>11500</v>
      </c>
      <c r="G12186" s="716" t="n">
        <f aca="false">F12186*E12186</f>
        <v>46000</v>
      </c>
      <c r="H12186" s="679"/>
    </row>
    <row r="12187" s="451" customFormat="true" ht="15" hidden="false" customHeight="false" outlineLevel="0" collapsed="false">
      <c r="A12187" s="1105"/>
      <c r="B12187" s="532"/>
      <c r="C12187" s="709" t="s">
        <v>4347</v>
      </c>
      <c r="D12187" s="679" t="s">
        <v>5788</v>
      </c>
      <c r="E12187" s="709" t="n">
        <v>12</v>
      </c>
      <c r="F12187" s="681" t="n">
        <v>1106</v>
      </c>
      <c r="G12187" s="716" t="n">
        <f aca="false">12*11.06</f>
        <v>132.72</v>
      </c>
      <c r="H12187" s="679"/>
    </row>
    <row r="12188" s="451" customFormat="true" ht="15" hidden="false" customHeight="false" outlineLevel="0" collapsed="false">
      <c r="A12188" s="1105"/>
      <c r="B12188" s="532"/>
      <c r="C12188" s="709" t="s">
        <v>4122</v>
      </c>
      <c r="D12188" s="679" t="s">
        <v>4359</v>
      </c>
      <c r="E12188" s="709" t="n">
        <v>0.5</v>
      </c>
      <c r="F12188" s="681" t="n">
        <v>800</v>
      </c>
      <c r="G12188" s="716" t="n">
        <v>400</v>
      </c>
      <c r="H12188" s="679"/>
    </row>
    <row r="12189" s="451" customFormat="true" ht="15" hidden="false" customHeight="false" outlineLevel="0" collapsed="false">
      <c r="A12189" s="1105"/>
      <c r="B12189" s="532"/>
      <c r="C12189" s="709" t="s">
        <v>4270</v>
      </c>
      <c r="D12189" s="679" t="s">
        <v>4359</v>
      </c>
      <c r="E12189" s="709" t="n">
        <v>0.5</v>
      </c>
      <c r="F12189" s="681" t="n">
        <v>9866</v>
      </c>
      <c r="G12189" s="716" t="n">
        <f aca="false">F12189*E12189</f>
        <v>4933</v>
      </c>
      <c r="H12189" s="679"/>
    </row>
    <row r="12190" s="451" customFormat="true" ht="15" hidden="false" customHeight="false" outlineLevel="0" collapsed="false">
      <c r="A12190" s="1105"/>
      <c r="B12190" s="532"/>
      <c r="C12190" s="709" t="s">
        <v>6267</v>
      </c>
      <c r="D12190" s="679" t="s">
        <v>6268</v>
      </c>
      <c r="E12190" s="709" t="n">
        <v>80</v>
      </c>
      <c r="F12190" s="681" t="n">
        <v>636</v>
      </c>
      <c r="G12190" s="716" t="n">
        <v>102</v>
      </c>
      <c r="H12190" s="679"/>
    </row>
    <row r="12191" s="451" customFormat="true" ht="30" hidden="false" customHeight="false" outlineLevel="0" collapsed="false">
      <c r="A12191" s="1105"/>
      <c r="B12191" s="532"/>
      <c r="C12191" s="709" t="s">
        <v>6283</v>
      </c>
      <c r="D12191" s="679" t="s">
        <v>6416</v>
      </c>
      <c r="E12191" s="1092" t="n">
        <v>6</v>
      </c>
      <c r="F12191" s="681" t="n">
        <v>460</v>
      </c>
      <c r="G12191" s="716" t="n">
        <f aca="false">F12191*E12191</f>
        <v>2760</v>
      </c>
      <c r="H12191" s="679"/>
    </row>
    <row r="12192" s="451" customFormat="true" ht="15" hidden="false" customHeight="false" outlineLevel="0" collapsed="false">
      <c r="A12192" s="1105"/>
      <c r="B12192" s="532"/>
      <c r="C12192" s="1086" t="s">
        <v>6278</v>
      </c>
      <c r="D12192" s="1087" t="s">
        <v>6310</v>
      </c>
      <c r="E12192" s="1086" t="n">
        <v>6</v>
      </c>
      <c r="F12192" s="1088" t="n">
        <v>393</v>
      </c>
      <c r="G12192" s="716" t="n">
        <v>117.9</v>
      </c>
      <c r="H12192" s="679"/>
    </row>
    <row r="12193" s="451" customFormat="true" ht="15" hidden="false" customHeight="false" outlineLevel="0" collapsed="false">
      <c r="A12193" s="1105"/>
      <c r="B12193" s="532"/>
      <c r="C12193" s="709"/>
      <c r="D12193" s="679"/>
      <c r="E12193" s="709"/>
      <c r="F12193" s="681"/>
      <c r="G12193" s="711" t="n">
        <f aca="false">SUM(G12178:G12192)</f>
        <v>64353.214</v>
      </c>
      <c r="H12193" s="679"/>
    </row>
    <row r="12194" s="451" customFormat="true" ht="45" hidden="false" customHeight="false" outlineLevel="0" collapsed="false">
      <c r="A12194" s="1105" t="s">
        <v>2481</v>
      </c>
      <c r="B12194" s="328" t="s">
        <v>3966</v>
      </c>
      <c r="C12194" s="709" t="s">
        <v>6370</v>
      </c>
      <c r="D12194" s="679" t="s">
        <v>6641</v>
      </c>
      <c r="E12194" s="709" t="n">
        <v>0.024</v>
      </c>
      <c r="F12194" s="716" t="n">
        <v>103421</v>
      </c>
      <c r="G12194" s="716" t="n">
        <f aca="false">F12194*E12194</f>
        <v>2482.104</v>
      </c>
      <c r="H12194" s="679"/>
    </row>
    <row r="12195" s="451" customFormat="true" ht="15" hidden="false" customHeight="false" outlineLevel="0" collapsed="false">
      <c r="A12195" s="1105"/>
      <c r="B12195" s="532"/>
      <c r="C12195" s="709" t="s">
        <v>6639</v>
      </c>
      <c r="D12195" s="679" t="s">
        <v>4133</v>
      </c>
      <c r="E12195" s="709" t="n">
        <v>0.009</v>
      </c>
      <c r="F12195" s="681" t="n">
        <v>3232</v>
      </c>
      <c r="G12195" s="716" t="n">
        <f aca="false">F12195*E12195</f>
        <v>29.088</v>
      </c>
      <c r="H12195" s="679"/>
    </row>
    <row r="12196" s="451" customFormat="true" ht="15" hidden="false" customHeight="false" outlineLevel="0" collapsed="false">
      <c r="A12196" s="1105"/>
      <c r="B12196" s="532"/>
      <c r="C12196" s="709" t="s">
        <v>6640</v>
      </c>
      <c r="D12196" s="679" t="s">
        <v>4348</v>
      </c>
      <c r="E12196" s="709" t="n">
        <v>66</v>
      </c>
      <c r="F12196" s="681" t="n">
        <v>602</v>
      </c>
      <c r="G12196" s="716" t="n">
        <v>198.66</v>
      </c>
      <c r="H12196" s="679"/>
    </row>
    <row r="12197" s="451" customFormat="true" ht="15" hidden="false" customHeight="false" outlineLevel="0" collapsed="false">
      <c r="A12197" s="1105"/>
      <c r="B12197" s="532"/>
      <c r="C12197" s="709" t="s">
        <v>5945</v>
      </c>
      <c r="D12197" s="679" t="s">
        <v>6380</v>
      </c>
      <c r="E12197" s="709" t="n">
        <v>1</v>
      </c>
      <c r="F12197" s="681" t="n">
        <v>1079.21</v>
      </c>
      <c r="G12197" s="716" t="n">
        <f aca="false">F12197*E12197</f>
        <v>1079.21</v>
      </c>
      <c r="H12197" s="679"/>
    </row>
    <row r="12198" s="451" customFormat="true" ht="15" hidden="false" customHeight="false" outlineLevel="0" collapsed="false">
      <c r="A12198" s="1105"/>
      <c r="B12198" s="532"/>
      <c r="C12198" s="709" t="s">
        <v>4124</v>
      </c>
      <c r="D12198" s="679" t="s">
        <v>4516</v>
      </c>
      <c r="E12198" s="709" t="n">
        <v>3</v>
      </c>
      <c r="F12198" s="681" t="n">
        <v>177</v>
      </c>
      <c r="G12198" s="716" t="n">
        <f aca="false">F12198*E12198</f>
        <v>531</v>
      </c>
      <c r="H12198" s="679"/>
    </row>
    <row r="12199" s="451" customFormat="true" ht="15" hidden="false" customHeight="false" outlineLevel="0" collapsed="false">
      <c r="A12199" s="1105"/>
      <c r="B12199" s="532"/>
      <c r="C12199" s="709" t="s">
        <v>6638</v>
      </c>
      <c r="D12199" s="679" t="s">
        <v>6341</v>
      </c>
      <c r="E12199" s="709" t="n">
        <v>0.024</v>
      </c>
      <c r="F12199" s="681" t="n">
        <v>9883</v>
      </c>
      <c r="G12199" s="716" t="n">
        <f aca="false">F12199*E12199</f>
        <v>237.192</v>
      </c>
      <c r="H12199" s="679"/>
    </row>
    <row r="12200" s="451" customFormat="true" ht="15" hidden="false" customHeight="false" outlineLevel="0" collapsed="false">
      <c r="A12200" s="1105"/>
      <c r="B12200" s="532"/>
      <c r="C12200" s="1086" t="s">
        <v>6280</v>
      </c>
      <c r="D12200" s="1087" t="s">
        <v>6311</v>
      </c>
      <c r="E12200" s="1086" t="n">
        <v>5</v>
      </c>
      <c r="F12200" s="1088" t="n">
        <v>842</v>
      </c>
      <c r="G12200" s="716" t="n">
        <f aca="false">F12200*E12200</f>
        <v>4210</v>
      </c>
      <c r="H12200" s="679"/>
    </row>
    <row r="12201" s="451" customFormat="true" ht="30" hidden="false" customHeight="false" outlineLevel="0" collapsed="false">
      <c r="A12201" s="1105"/>
      <c r="B12201" s="532"/>
      <c r="C12201" s="709" t="s">
        <v>6282</v>
      </c>
      <c r="D12201" s="679" t="s">
        <v>4348</v>
      </c>
      <c r="E12201" s="709" t="n">
        <v>4</v>
      </c>
      <c r="F12201" s="681" t="n">
        <v>11500</v>
      </c>
      <c r="G12201" s="716" t="n">
        <f aca="false">F12201*E12201</f>
        <v>46000</v>
      </c>
      <c r="H12201" s="679"/>
    </row>
    <row r="12202" s="451" customFormat="true" ht="15" hidden="false" customHeight="false" outlineLevel="0" collapsed="false">
      <c r="A12202" s="1105"/>
      <c r="B12202" s="532"/>
      <c r="C12202" s="709" t="s">
        <v>4347</v>
      </c>
      <c r="D12202" s="679" t="s">
        <v>5788</v>
      </c>
      <c r="E12202" s="709" t="n">
        <v>10</v>
      </c>
      <c r="F12202" s="681" t="n">
        <v>1106</v>
      </c>
      <c r="G12202" s="716" t="n">
        <f aca="false">E12202*F12202/100</f>
        <v>110.6</v>
      </c>
      <c r="H12202" s="679"/>
    </row>
    <row r="12203" s="451" customFormat="true" ht="15" hidden="false" customHeight="false" outlineLevel="0" collapsed="false">
      <c r="A12203" s="1105"/>
      <c r="B12203" s="532"/>
      <c r="C12203" s="709" t="s">
        <v>4122</v>
      </c>
      <c r="D12203" s="679" t="s">
        <v>4359</v>
      </c>
      <c r="E12203" s="709" t="n">
        <v>0.5</v>
      </c>
      <c r="F12203" s="681" t="n">
        <v>800</v>
      </c>
      <c r="G12203" s="716" t="n">
        <f aca="false">F12203*E12203</f>
        <v>400</v>
      </c>
      <c r="H12203" s="679"/>
    </row>
    <row r="12204" s="451" customFormat="true" ht="15" hidden="false" customHeight="false" outlineLevel="0" collapsed="false">
      <c r="A12204" s="1105"/>
      <c r="B12204" s="532"/>
      <c r="C12204" s="709" t="s">
        <v>4270</v>
      </c>
      <c r="D12204" s="679" t="s">
        <v>4359</v>
      </c>
      <c r="E12204" s="709" t="n">
        <v>0.3</v>
      </c>
      <c r="F12204" s="681" t="n">
        <v>9866</v>
      </c>
      <c r="G12204" s="716" t="n">
        <f aca="false">F12204*E12204</f>
        <v>2959.8</v>
      </c>
      <c r="H12204" s="679"/>
    </row>
    <row r="12205" s="451" customFormat="true" ht="15" hidden="false" customHeight="false" outlineLevel="0" collapsed="false">
      <c r="A12205" s="1105"/>
      <c r="B12205" s="532"/>
      <c r="C12205" s="709" t="s">
        <v>6267</v>
      </c>
      <c r="D12205" s="679" t="s">
        <v>6268</v>
      </c>
      <c r="E12205" s="709" t="n">
        <v>80</v>
      </c>
      <c r="F12205" s="681" t="n">
        <v>636</v>
      </c>
      <c r="G12205" s="716" t="n">
        <v>102</v>
      </c>
      <c r="H12205" s="679"/>
    </row>
    <row r="12206" s="451" customFormat="true" ht="30" hidden="false" customHeight="false" outlineLevel="0" collapsed="false">
      <c r="A12206" s="1105"/>
      <c r="B12206" s="532"/>
      <c r="C12206" s="709" t="s">
        <v>6283</v>
      </c>
      <c r="D12206" s="679" t="s">
        <v>6416</v>
      </c>
      <c r="E12206" s="1092" t="n">
        <v>6</v>
      </c>
      <c r="F12206" s="681" t="n">
        <v>460</v>
      </c>
      <c r="G12206" s="716" t="n">
        <f aca="false">F12206*E12206</f>
        <v>2760</v>
      </c>
      <c r="H12206" s="679"/>
    </row>
    <row r="12207" s="451" customFormat="true" ht="15" hidden="false" customHeight="false" outlineLevel="0" collapsed="false">
      <c r="A12207" s="1105"/>
      <c r="B12207" s="532"/>
      <c r="C12207" s="1086" t="s">
        <v>6278</v>
      </c>
      <c r="D12207" s="1087" t="s">
        <v>6310</v>
      </c>
      <c r="E12207" s="1086" t="n">
        <v>6</v>
      </c>
      <c r="F12207" s="1088" t="n">
        <v>393</v>
      </c>
      <c r="G12207" s="716" t="n">
        <v>118</v>
      </c>
      <c r="H12207" s="679"/>
    </row>
    <row r="12208" s="451" customFormat="true" ht="15" hidden="false" customHeight="false" outlineLevel="0" collapsed="false">
      <c r="A12208" s="1105"/>
      <c r="B12208" s="532"/>
      <c r="C12208" s="709"/>
      <c r="D12208" s="679"/>
      <c r="E12208" s="709"/>
      <c r="F12208" s="681"/>
      <c r="G12208" s="711" t="n">
        <f aca="false">SUM(G12194:G12207)</f>
        <v>61217.654</v>
      </c>
      <c r="H12208" s="679"/>
    </row>
    <row r="12209" s="451" customFormat="true" ht="27.75" hidden="false" customHeight="true" outlineLevel="0" collapsed="false">
      <c r="A12209" s="1105" t="s">
        <v>2483</v>
      </c>
      <c r="B12209" s="487" t="s">
        <v>3967</v>
      </c>
      <c r="C12209" s="709" t="s">
        <v>6642</v>
      </c>
      <c r="D12209" s="679" t="s">
        <v>6641</v>
      </c>
      <c r="E12209" s="709" t="n">
        <v>0.024</v>
      </c>
      <c r="F12209" s="681" t="n">
        <v>111075</v>
      </c>
      <c r="G12209" s="716" t="n">
        <f aca="false">F12209*E12209</f>
        <v>2665.8</v>
      </c>
      <c r="H12209" s="679"/>
    </row>
    <row r="12210" s="451" customFormat="true" ht="15" hidden="false" customHeight="false" outlineLevel="0" collapsed="false">
      <c r="A12210" s="1105"/>
      <c r="B12210" s="532"/>
      <c r="C12210" s="709" t="s">
        <v>6638</v>
      </c>
      <c r="D12210" s="679" t="s">
        <v>6341</v>
      </c>
      <c r="E12210" s="709" t="n">
        <v>0.024</v>
      </c>
      <c r="F12210" s="681" t="n">
        <v>9883</v>
      </c>
      <c r="G12210" s="716" t="n">
        <f aca="false">F12210*E12210</f>
        <v>237.192</v>
      </c>
      <c r="H12210" s="679"/>
    </row>
    <row r="12211" s="451" customFormat="true" ht="15" hidden="false" customHeight="false" outlineLevel="0" collapsed="false">
      <c r="A12211" s="1105"/>
      <c r="B12211" s="532"/>
      <c r="C12211" s="709" t="s">
        <v>6640</v>
      </c>
      <c r="D12211" s="679" t="s">
        <v>4348</v>
      </c>
      <c r="E12211" s="709" t="n">
        <v>66</v>
      </c>
      <c r="F12211" s="681" t="n">
        <v>602</v>
      </c>
      <c r="G12211" s="716" t="n">
        <v>198.66</v>
      </c>
      <c r="H12211" s="679"/>
    </row>
    <row r="12212" s="451" customFormat="true" ht="15" hidden="false" customHeight="false" outlineLevel="0" collapsed="false">
      <c r="A12212" s="1105"/>
      <c r="B12212" s="532"/>
      <c r="C12212" s="709" t="s">
        <v>5945</v>
      </c>
      <c r="D12212" s="679" t="s">
        <v>6643</v>
      </c>
      <c r="E12212" s="709" t="n">
        <v>1</v>
      </c>
      <c r="F12212" s="681" t="n">
        <v>1079</v>
      </c>
      <c r="G12212" s="716" t="n">
        <f aca="false">F12212*E12212</f>
        <v>1079</v>
      </c>
      <c r="H12212" s="679"/>
    </row>
    <row r="12213" s="451" customFormat="true" ht="15" hidden="false" customHeight="false" outlineLevel="0" collapsed="false">
      <c r="A12213" s="1105"/>
      <c r="B12213" s="532"/>
      <c r="C12213" s="709" t="s">
        <v>4124</v>
      </c>
      <c r="D12213" s="679" t="s">
        <v>4516</v>
      </c>
      <c r="E12213" s="709" t="n">
        <v>2</v>
      </c>
      <c r="F12213" s="681" t="n">
        <v>177</v>
      </c>
      <c r="G12213" s="716" t="n">
        <f aca="false">F12213*E12213</f>
        <v>354</v>
      </c>
      <c r="H12213" s="679"/>
    </row>
    <row r="12214" s="451" customFormat="true" ht="15" hidden="false" customHeight="false" outlineLevel="0" collapsed="false">
      <c r="A12214" s="1105"/>
      <c r="B12214" s="532"/>
      <c r="C12214" s="1086" t="s">
        <v>6280</v>
      </c>
      <c r="D12214" s="1087" t="s">
        <v>6311</v>
      </c>
      <c r="E12214" s="1086" t="n">
        <v>7</v>
      </c>
      <c r="F12214" s="1088" t="n">
        <v>842</v>
      </c>
      <c r="G12214" s="716" t="n">
        <f aca="false">F12214*E12214</f>
        <v>5894</v>
      </c>
      <c r="H12214" s="679"/>
    </row>
    <row r="12215" s="451" customFormat="true" ht="18.75" hidden="false" customHeight="true" outlineLevel="0" collapsed="false">
      <c r="A12215" s="1105"/>
      <c r="B12215" s="532"/>
      <c r="C12215" s="614" t="s">
        <v>6007</v>
      </c>
      <c r="D12215" s="606" t="s">
        <v>6363</v>
      </c>
      <c r="E12215" s="614" t="n">
        <v>200</v>
      </c>
      <c r="F12215" s="617" t="n">
        <v>4771</v>
      </c>
      <c r="G12215" s="615" t="n">
        <v>954.2</v>
      </c>
      <c r="H12215" s="679"/>
    </row>
    <row r="12216" s="451" customFormat="true" ht="30" hidden="false" customHeight="false" outlineLevel="0" collapsed="false">
      <c r="A12216" s="1105"/>
      <c r="B12216" s="532"/>
      <c r="C12216" s="709" t="s">
        <v>6282</v>
      </c>
      <c r="D12216" s="679" t="s">
        <v>4348</v>
      </c>
      <c r="E12216" s="709" t="n">
        <v>4</v>
      </c>
      <c r="F12216" s="681" t="n">
        <v>11500</v>
      </c>
      <c r="G12216" s="716" t="n">
        <f aca="false">F12216*E12216</f>
        <v>46000</v>
      </c>
      <c r="H12216" s="679"/>
    </row>
    <row r="12217" s="451" customFormat="true" ht="15" hidden="false" customHeight="false" outlineLevel="0" collapsed="false">
      <c r="A12217" s="1105"/>
      <c r="B12217" s="532"/>
      <c r="C12217" s="709" t="s">
        <v>4347</v>
      </c>
      <c r="D12217" s="679" t="s">
        <v>5788</v>
      </c>
      <c r="E12217" s="709" t="n">
        <v>10</v>
      </c>
      <c r="F12217" s="681" t="n">
        <v>1106</v>
      </c>
      <c r="G12217" s="716" t="n">
        <f aca="false">E12217*F12217/100</f>
        <v>110.6</v>
      </c>
      <c r="H12217" s="679"/>
    </row>
    <row r="12218" s="451" customFormat="true" ht="15" hidden="false" customHeight="false" outlineLevel="0" collapsed="false">
      <c r="A12218" s="1105"/>
      <c r="B12218" s="532"/>
      <c r="C12218" s="709" t="s">
        <v>4122</v>
      </c>
      <c r="D12218" s="679" t="s">
        <v>4359</v>
      </c>
      <c r="E12218" s="709" t="n">
        <v>0.5</v>
      </c>
      <c r="F12218" s="681" t="n">
        <v>800</v>
      </c>
      <c r="G12218" s="716" t="n">
        <f aca="false">F12218*E12218</f>
        <v>400</v>
      </c>
      <c r="H12218" s="679"/>
    </row>
    <row r="12219" s="451" customFormat="true" ht="15" hidden="false" customHeight="false" outlineLevel="0" collapsed="false">
      <c r="A12219" s="1105"/>
      <c r="B12219" s="532"/>
      <c r="C12219" s="709" t="s">
        <v>4270</v>
      </c>
      <c r="D12219" s="679" t="s">
        <v>4359</v>
      </c>
      <c r="E12219" s="709" t="n">
        <v>0.5</v>
      </c>
      <c r="F12219" s="681" t="n">
        <v>9866</v>
      </c>
      <c r="G12219" s="716" t="n">
        <f aca="false">F12219*E12219</f>
        <v>4933</v>
      </c>
      <c r="H12219" s="679"/>
    </row>
    <row r="12220" s="451" customFormat="true" ht="15" hidden="false" customHeight="false" outlineLevel="0" collapsed="false">
      <c r="A12220" s="1105"/>
      <c r="B12220" s="532"/>
      <c r="C12220" s="709" t="s">
        <v>6267</v>
      </c>
      <c r="D12220" s="679" t="s">
        <v>6268</v>
      </c>
      <c r="E12220" s="709" t="n">
        <v>80</v>
      </c>
      <c r="F12220" s="681" t="n">
        <v>636</v>
      </c>
      <c r="G12220" s="716" t="n">
        <v>102</v>
      </c>
      <c r="H12220" s="679"/>
    </row>
    <row r="12221" s="451" customFormat="true" ht="30" hidden="false" customHeight="false" outlineLevel="0" collapsed="false">
      <c r="A12221" s="1105"/>
      <c r="B12221" s="532"/>
      <c r="C12221" s="709" t="s">
        <v>6283</v>
      </c>
      <c r="D12221" s="679" t="s">
        <v>6416</v>
      </c>
      <c r="E12221" s="1092" t="n">
        <v>6</v>
      </c>
      <c r="F12221" s="681" t="n">
        <v>460</v>
      </c>
      <c r="G12221" s="716" t="n">
        <f aca="false">F12221*E12221</f>
        <v>2760</v>
      </c>
      <c r="H12221" s="679"/>
    </row>
    <row r="12222" s="451" customFormat="true" ht="15" hidden="false" customHeight="false" outlineLevel="0" collapsed="false">
      <c r="A12222" s="1105"/>
      <c r="B12222" s="532"/>
      <c r="C12222" s="1086" t="s">
        <v>6278</v>
      </c>
      <c r="D12222" s="1087" t="s">
        <v>6310</v>
      </c>
      <c r="E12222" s="709" t="n">
        <v>10</v>
      </c>
      <c r="F12222" s="1088" t="n">
        <v>393</v>
      </c>
      <c r="G12222" s="716" t="n">
        <v>196.5</v>
      </c>
      <c r="H12222" s="679"/>
    </row>
    <row r="12223" s="451" customFormat="true" ht="15" hidden="false" customHeight="false" outlineLevel="0" collapsed="false">
      <c r="A12223" s="1105"/>
      <c r="B12223" s="532"/>
      <c r="C12223" s="709"/>
      <c r="D12223" s="679"/>
      <c r="E12223" s="709"/>
      <c r="F12223" s="681"/>
      <c r="G12223" s="711" t="n">
        <f aca="false">SUM(G12209:G12222)</f>
        <v>65884.952</v>
      </c>
      <c r="H12223" s="679"/>
    </row>
    <row r="12224" s="451" customFormat="true" ht="30" hidden="false" customHeight="false" outlineLevel="0" collapsed="false">
      <c r="A12224" s="1105" t="s">
        <v>2485</v>
      </c>
      <c r="B12224" s="487" t="s">
        <v>3968</v>
      </c>
      <c r="C12224" s="709" t="s">
        <v>6644</v>
      </c>
      <c r="D12224" s="679" t="s">
        <v>6641</v>
      </c>
      <c r="E12224" s="709" t="n">
        <v>0.024</v>
      </c>
      <c r="F12224" s="681" t="n">
        <v>111075</v>
      </c>
      <c r="G12224" s="716" t="n">
        <f aca="false">F12224*E12224</f>
        <v>2665.8</v>
      </c>
      <c r="H12224" s="679"/>
    </row>
    <row r="12225" s="451" customFormat="true" ht="15" hidden="false" customHeight="false" outlineLevel="0" collapsed="false">
      <c r="A12225" s="1105"/>
      <c r="B12225" s="532"/>
      <c r="C12225" s="709" t="s">
        <v>6638</v>
      </c>
      <c r="D12225" s="679" t="s">
        <v>6341</v>
      </c>
      <c r="E12225" s="709" t="n">
        <v>0.024</v>
      </c>
      <c r="F12225" s="681" t="n">
        <v>9883</v>
      </c>
      <c r="G12225" s="716" t="n">
        <f aca="false">F12225*E12225</f>
        <v>237.192</v>
      </c>
      <c r="H12225" s="679"/>
    </row>
    <row r="12226" s="451" customFormat="true" ht="15" hidden="false" customHeight="false" outlineLevel="0" collapsed="false">
      <c r="A12226" s="1105"/>
      <c r="B12226" s="532"/>
      <c r="C12226" s="709" t="s">
        <v>6639</v>
      </c>
      <c r="D12226" s="679" t="s">
        <v>4133</v>
      </c>
      <c r="E12226" s="709" t="n">
        <v>0.009</v>
      </c>
      <c r="F12226" s="681" t="n">
        <v>3232</v>
      </c>
      <c r="G12226" s="716" t="n">
        <f aca="false">F12226*E12226</f>
        <v>29.088</v>
      </c>
      <c r="H12226" s="679"/>
    </row>
    <row r="12227" s="451" customFormat="true" ht="15" hidden="false" customHeight="false" outlineLevel="0" collapsed="false">
      <c r="A12227" s="1105"/>
      <c r="B12227" s="532"/>
      <c r="C12227" s="709" t="s">
        <v>6640</v>
      </c>
      <c r="D12227" s="679" t="s">
        <v>4348</v>
      </c>
      <c r="E12227" s="709" t="n">
        <v>66</v>
      </c>
      <c r="F12227" s="681" t="n">
        <v>602</v>
      </c>
      <c r="G12227" s="716" t="n">
        <v>198.66</v>
      </c>
      <c r="H12227" s="679"/>
    </row>
    <row r="12228" s="451" customFormat="true" ht="15" hidden="false" customHeight="false" outlineLevel="0" collapsed="false">
      <c r="A12228" s="1105"/>
      <c r="B12228" s="532"/>
      <c r="C12228" s="709" t="s">
        <v>5945</v>
      </c>
      <c r="D12228" s="679" t="s">
        <v>6643</v>
      </c>
      <c r="E12228" s="709" t="n">
        <v>2</v>
      </c>
      <c r="F12228" s="681" t="n">
        <v>1079</v>
      </c>
      <c r="G12228" s="716" t="n">
        <f aca="false">F12228*E12228</f>
        <v>2158</v>
      </c>
      <c r="H12228" s="679"/>
    </row>
    <row r="12229" s="451" customFormat="true" ht="15" hidden="false" customHeight="false" outlineLevel="0" collapsed="false">
      <c r="A12229" s="1105"/>
      <c r="B12229" s="532"/>
      <c r="C12229" s="709" t="s">
        <v>4124</v>
      </c>
      <c r="D12229" s="679" t="s">
        <v>4516</v>
      </c>
      <c r="E12229" s="709" t="n">
        <v>2</v>
      </c>
      <c r="F12229" s="681" t="n">
        <v>177</v>
      </c>
      <c r="G12229" s="716" t="n">
        <f aca="false">F12229*E12229</f>
        <v>354</v>
      </c>
      <c r="H12229" s="679"/>
    </row>
    <row r="12230" s="451" customFormat="true" ht="15" hidden="false" customHeight="false" outlineLevel="0" collapsed="false">
      <c r="A12230" s="1105"/>
      <c r="B12230" s="532"/>
      <c r="C12230" s="1086" t="s">
        <v>6280</v>
      </c>
      <c r="D12230" s="1087" t="s">
        <v>6311</v>
      </c>
      <c r="E12230" s="1086" t="n">
        <v>7</v>
      </c>
      <c r="F12230" s="1088" t="n">
        <v>842</v>
      </c>
      <c r="G12230" s="716" t="n">
        <f aca="false">F12230*E12230</f>
        <v>5894</v>
      </c>
      <c r="H12230" s="679"/>
    </row>
    <row r="12231" s="451" customFormat="true" ht="30" hidden="false" customHeight="false" outlineLevel="0" collapsed="false">
      <c r="A12231" s="1105"/>
      <c r="B12231" s="532"/>
      <c r="C12231" s="709" t="s">
        <v>6282</v>
      </c>
      <c r="D12231" s="679" t="s">
        <v>4348</v>
      </c>
      <c r="E12231" s="709" t="n">
        <v>4</v>
      </c>
      <c r="F12231" s="681" t="n">
        <v>11500</v>
      </c>
      <c r="G12231" s="716" t="n">
        <f aca="false">F12231*E12231</f>
        <v>46000</v>
      </c>
      <c r="H12231" s="679"/>
    </row>
    <row r="12232" s="451" customFormat="true" ht="15" hidden="false" customHeight="false" outlineLevel="0" collapsed="false">
      <c r="A12232" s="1105"/>
      <c r="B12232" s="532"/>
      <c r="C12232" s="709" t="s">
        <v>4347</v>
      </c>
      <c r="D12232" s="679" t="s">
        <v>5788</v>
      </c>
      <c r="E12232" s="709" t="n">
        <v>10</v>
      </c>
      <c r="F12232" s="681" t="n">
        <v>1106</v>
      </c>
      <c r="G12232" s="716" t="n">
        <f aca="false">E12232*F12232/100</f>
        <v>110.6</v>
      </c>
      <c r="H12232" s="679"/>
    </row>
    <row r="12233" s="451" customFormat="true" ht="15" hidden="false" customHeight="false" outlineLevel="0" collapsed="false">
      <c r="A12233" s="1105"/>
      <c r="B12233" s="532"/>
      <c r="C12233" s="709" t="s">
        <v>4122</v>
      </c>
      <c r="D12233" s="679" t="s">
        <v>4359</v>
      </c>
      <c r="E12233" s="709" t="n">
        <v>0.3</v>
      </c>
      <c r="F12233" s="681" t="n">
        <v>800</v>
      </c>
      <c r="G12233" s="716" t="n">
        <f aca="false">F12233*E12233</f>
        <v>240</v>
      </c>
      <c r="H12233" s="679"/>
    </row>
    <row r="12234" s="451" customFormat="true" ht="15" hidden="false" customHeight="false" outlineLevel="0" collapsed="false">
      <c r="A12234" s="1105"/>
      <c r="B12234" s="532"/>
      <c r="C12234" s="709" t="s">
        <v>4270</v>
      </c>
      <c r="D12234" s="679" t="s">
        <v>4359</v>
      </c>
      <c r="E12234" s="709" t="n">
        <v>0.3</v>
      </c>
      <c r="F12234" s="681" t="n">
        <v>9866</v>
      </c>
      <c r="G12234" s="716" t="n">
        <f aca="false">F12234*E12234</f>
        <v>2959.8</v>
      </c>
      <c r="H12234" s="679"/>
    </row>
    <row r="12235" s="451" customFormat="true" ht="15" hidden="false" customHeight="false" outlineLevel="0" collapsed="false">
      <c r="A12235" s="1105"/>
      <c r="B12235" s="532"/>
      <c r="C12235" s="709" t="s">
        <v>6267</v>
      </c>
      <c r="D12235" s="679" t="s">
        <v>6268</v>
      </c>
      <c r="E12235" s="709" t="n">
        <v>80</v>
      </c>
      <c r="F12235" s="681" t="n">
        <v>636</v>
      </c>
      <c r="G12235" s="716" t="n">
        <v>102</v>
      </c>
      <c r="H12235" s="679"/>
    </row>
    <row r="12236" s="451" customFormat="true" ht="30" hidden="false" customHeight="false" outlineLevel="0" collapsed="false">
      <c r="A12236" s="1105"/>
      <c r="B12236" s="532"/>
      <c r="C12236" s="709" t="s">
        <v>6283</v>
      </c>
      <c r="D12236" s="679" t="s">
        <v>6416</v>
      </c>
      <c r="E12236" s="1092" t="n">
        <v>6</v>
      </c>
      <c r="F12236" s="681" t="n">
        <v>460</v>
      </c>
      <c r="G12236" s="716" t="n">
        <f aca="false">F12236*E12236</f>
        <v>2760</v>
      </c>
      <c r="H12236" s="679"/>
    </row>
    <row r="12237" s="451" customFormat="true" ht="15" hidden="false" customHeight="false" outlineLevel="0" collapsed="false">
      <c r="A12237" s="1105"/>
      <c r="B12237" s="532"/>
      <c r="C12237" s="1086" t="s">
        <v>6278</v>
      </c>
      <c r="D12237" s="1087" t="s">
        <v>6310</v>
      </c>
      <c r="E12237" s="709" t="n">
        <v>10</v>
      </c>
      <c r="F12237" s="1088" t="n">
        <v>393</v>
      </c>
      <c r="G12237" s="716" t="n">
        <v>196.5</v>
      </c>
      <c r="H12237" s="679"/>
    </row>
    <row r="12238" s="451" customFormat="true" ht="15" hidden="false" customHeight="false" outlineLevel="0" collapsed="false">
      <c r="A12238" s="1105"/>
      <c r="B12238" s="532"/>
      <c r="C12238" s="709"/>
      <c r="D12238" s="679"/>
      <c r="E12238" s="709"/>
      <c r="F12238" s="681"/>
      <c r="G12238" s="711" t="n">
        <f aca="false">SUM(G12224:G12237)</f>
        <v>63905.64</v>
      </c>
      <c r="H12238" s="679"/>
    </row>
    <row r="12239" s="451" customFormat="true" ht="45" hidden="false" customHeight="false" outlineLevel="0" collapsed="false">
      <c r="A12239" s="1105" t="s">
        <v>2487</v>
      </c>
      <c r="B12239" s="487" t="s">
        <v>3969</v>
      </c>
      <c r="C12239" s="709" t="s">
        <v>6644</v>
      </c>
      <c r="D12239" s="679" t="n">
        <v>250</v>
      </c>
      <c r="E12239" s="709" t="n">
        <v>0.024</v>
      </c>
      <c r="F12239" s="681" t="n">
        <v>111075</v>
      </c>
      <c r="G12239" s="716" t="n">
        <f aca="false">F12239*E12239</f>
        <v>2665.8</v>
      </c>
      <c r="H12239" s="679"/>
    </row>
    <row r="12240" s="451" customFormat="true" ht="15" hidden="false" customHeight="false" outlineLevel="0" collapsed="false">
      <c r="A12240" s="1105"/>
      <c r="B12240" s="487"/>
      <c r="C12240" s="709" t="s">
        <v>6638</v>
      </c>
      <c r="D12240" s="679" t="s">
        <v>6341</v>
      </c>
      <c r="E12240" s="709" t="n">
        <v>0.024</v>
      </c>
      <c r="F12240" s="681" t="n">
        <v>9883</v>
      </c>
      <c r="G12240" s="716" t="n">
        <f aca="false">F12240*E12240</f>
        <v>237.192</v>
      </c>
      <c r="H12240" s="679"/>
    </row>
    <row r="12241" s="451" customFormat="true" ht="15" hidden="false" customHeight="false" outlineLevel="0" collapsed="false">
      <c r="A12241" s="1105"/>
      <c r="B12241" s="487"/>
      <c r="C12241" s="709" t="s">
        <v>6639</v>
      </c>
      <c r="D12241" s="679" t="s">
        <v>4133</v>
      </c>
      <c r="E12241" s="709" t="n">
        <v>0.009</v>
      </c>
      <c r="F12241" s="681" t="n">
        <v>3232</v>
      </c>
      <c r="G12241" s="716" t="n">
        <f aca="false">F12241*E12241</f>
        <v>29.088</v>
      </c>
      <c r="H12241" s="679"/>
    </row>
    <row r="12242" s="451" customFormat="true" ht="15" hidden="false" customHeight="false" outlineLevel="0" collapsed="false">
      <c r="A12242" s="1105"/>
      <c r="B12242" s="532"/>
      <c r="C12242" s="709" t="s">
        <v>6640</v>
      </c>
      <c r="D12242" s="679" t="s">
        <v>4348</v>
      </c>
      <c r="E12242" s="709" t="n">
        <v>66</v>
      </c>
      <c r="F12242" s="681" t="n">
        <v>602</v>
      </c>
      <c r="G12242" s="716" t="n">
        <v>198.66</v>
      </c>
      <c r="H12242" s="679"/>
    </row>
    <row r="12243" s="451" customFormat="true" ht="15" hidden="false" customHeight="false" outlineLevel="0" collapsed="false">
      <c r="A12243" s="1105"/>
      <c r="B12243" s="532"/>
      <c r="C12243" s="709" t="s">
        <v>5945</v>
      </c>
      <c r="D12243" s="679" t="s">
        <v>6641</v>
      </c>
      <c r="E12243" s="709" t="n">
        <v>2</v>
      </c>
      <c r="F12243" s="681" t="n">
        <v>1079</v>
      </c>
      <c r="G12243" s="716" t="n">
        <f aca="false">F12243*E12243</f>
        <v>2158</v>
      </c>
      <c r="H12243" s="679"/>
    </row>
    <row r="12244" s="451" customFormat="true" ht="15" hidden="false" customHeight="false" outlineLevel="0" collapsed="false">
      <c r="A12244" s="1105"/>
      <c r="B12244" s="532"/>
      <c r="C12244" s="709" t="s">
        <v>4124</v>
      </c>
      <c r="D12244" s="679" t="s">
        <v>4516</v>
      </c>
      <c r="E12244" s="709" t="n">
        <v>3</v>
      </c>
      <c r="F12244" s="681" t="n">
        <v>177</v>
      </c>
      <c r="G12244" s="716" t="n">
        <f aca="false">F12244*E12244</f>
        <v>531</v>
      </c>
      <c r="H12244" s="679"/>
    </row>
    <row r="12245" s="451" customFormat="true" ht="15" hidden="false" customHeight="false" outlineLevel="0" collapsed="false">
      <c r="A12245" s="1105"/>
      <c r="B12245" s="532"/>
      <c r="C12245" s="1086" t="s">
        <v>6280</v>
      </c>
      <c r="D12245" s="1087" t="s">
        <v>6311</v>
      </c>
      <c r="E12245" s="1086" t="n">
        <v>7</v>
      </c>
      <c r="F12245" s="1088" t="n">
        <v>842</v>
      </c>
      <c r="G12245" s="716" t="n">
        <f aca="false">F12245*E12245</f>
        <v>5894</v>
      </c>
      <c r="H12245" s="679"/>
    </row>
    <row r="12246" s="451" customFormat="true" ht="30" hidden="false" customHeight="false" outlineLevel="0" collapsed="false">
      <c r="A12246" s="1105"/>
      <c r="B12246" s="532"/>
      <c r="C12246" s="709" t="s">
        <v>6282</v>
      </c>
      <c r="D12246" s="679" t="s">
        <v>4348</v>
      </c>
      <c r="E12246" s="709" t="n">
        <v>4</v>
      </c>
      <c r="F12246" s="681" t="n">
        <v>11500</v>
      </c>
      <c r="G12246" s="716" t="n">
        <f aca="false">F12246*E12246</f>
        <v>46000</v>
      </c>
      <c r="H12246" s="679"/>
    </row>
    <row r="12247" s="451" customFormat="true" ht="15" hidden="false" customHeight="false" outlineLevel="0" collapsed="false">
      <c r="A12247" s="1105"/>
      <c r="B12247" s="532"/>
      <c r="C12247" s="709" t="s">
        <v>4347</v>
      </c>
      <c r="D12247" s="679" t="s">
        <v>5788</v>
      </c>
      <c r="E12247" s="709" t="n">
        <v>10</v>
      </c>
      <c r="F12247" s="681" t="n">
        <v>1106</v>
      </c>
      <c r="G12247" s="716" t="n">
        <f aca="false">E12247*F12247/100</f>
        <v>110.6</v>
      </c>
      <c r="H12247" s="679"/>
    </row>
    <row r="12248" s="451" customFormat="true" ht="15" hidden="false" customHeight="false" outlineLevel="0" collapsed="false">
      <c r="A12248" s="1105"/>
      <c r="B12248" s="532"/>
      <c r="C12248" s="709" t="s">
        <v>4122</v>
      </c>
      <c r="D12248" s="679" t="s">
        <v>4359</v>
      </c>
      <c r="E12248" s="709" t="n">
        <v>0.5</v>
      </c>
      <c r="F12248" s="681" t="n">
        <v>800</v>
      </c>
      <c r="G12248" s="716" t="n">
        <f aca="false">F12248*E12248</f>
        <v>400</v>
      </c>
      <c r="H12248" s="679"/>
    </row>
    <row r="12249" s="451" customFormat="true" ht="15" hidden="false" customHeight="false" outlineLevel="0" collapsed="false">
      <c r="A12249" s="1105"/>
      <c r="B12249" s="532"/>
      <c r="C12249" s="709" t="s">
        <v>4270</v>
      </c>
      <c r="D12249" s="679" t="s">
        <v>4359</v>
      </c>
      <c r="E12249" s="709" t="n">
        <v>0.5</v>
      </c>
      <c r="F12249" s="681" t="n">
        <v>9866</v>
      </c>
      <c r="G12249" s="716" t="n">
        <f aca="false">F12249*E12249</f>
        <v>4933</v>
      </c>
      <c r="H12249" s="679"/>
    </row>
    <row r="12250" s="451" customFormat="true" ht="15" hidden="false" customHeight="false" outlineLevel="0" collapsed="false">
      <c r="A12250" s="1105"/>
      <c r="B12250" s="532"/>
      <c r="C12250" s="709" t="s">
        <v>6267</v>
      </c>
      <c r="D12250" s="679" t="s">
        <v>6268</v>
      </c>
      <c r="E12250" s="709" t="n">
        <v>80</v>
      </c>
      <c r="F12250" s="681" t="n">
        <v>636</v>
      </c>
      <c r="G12250" s="716" t="n">
        <v>102</v>
      </c>
      <c r="H12250" s="679"/>
    </row>
    <row r="12251" s="451" customFormat="true" ht="30" hidden="false" customHeight="false" outlineLevel="0" collapsed="false">
      <c r="A12251" s="1105"/>
      <c r="B12251" s="532"/>
      <c r="C12251" s="709" t="s">
        <v>6283</v>
      </c>
      <c r="D12251" s="679" t="s">
        <v>6416</v>
      </c>
      <c r="E12251" s="1092" t="n">
        <v>5</v>
      </c>
      <c r="F12251" s="681" t="n">
        <v>460</v>
      </c>
      <c r="G12251" s="716" t="n">
        <f aca="false">F12251*E12251</f>
        <v>2300</v>
      </c>
      <c r="H12251" s="679"/>
    </row>
    <row r="12252" s="451" customFormat="true" ht="15" hidden="false" customHeight="false" outlineLevel="0" collapsed="false">
      <c r="A12252" s="1105"/>
      <c r="B12252" s="532"/>
      <c r="C12252" s="1086" t="s">
        <v>6278</v>
      </c>
      <c r="D12252" s="1087" t="s">
        <v>6310</v>
      </c>
      <c r="E12252" s="709" t="n">
        <v>10</v>
      </c>
      <c r="F12252" s="1088" t="n">
        <v>393</v>
      </c>
      <c r="G12252" s="716" t="n">
        <v>196.5</v>
      </c>
      <c r="H12252" s="679"/>
    </row>
    <row r="12253" s="451" customFormat="true" ht="15" hidden="false" customHeight="false" outlineLevel="0" collapsed="false">
      <c r="A12253" s="1105"/>
      <c r="B12253" s="532"/>
      <c r="C12253" s="1086"/>
      <c r="D12253" s="1087"/>
      <c r="E12253" s="1086"/>
      <c r="F12253" s="1088"/>
      <c r="G12253" s="711" t="n">
        <f aca="false">SUM(G12239:G12252)</f>
        <v>65755.84</v>
      </c>
      <c r="H12253" s="679"/>
    </row>
    <row r="12254" s="451" customFormat="true" ht="25.5" hidden="false" customHeight="true" outlineLevel="0" collapsed="false">
      <c r="A12254" s="1105" t="s">
        <v>2489</v>
      </c>
      <c r="B12254" s="487" t="s">
        <v>3970</v>
      </c>
      <c r="C12254" s="709" t="s">
        <v>6645</v>
      </c>
      <c r="D12254" s="679" t="s">
        <v>6336</v>
      </c>
      <c r="E12254" s="709" t="n">
        <v>0.024</v>
      </c>
      <c r="F12254" s="681" t="n">
        <v>88707</v>
      </c>
      <c r="G12254" s="716" t="n">
        <f aca="false">F12254*E12254</f>
        <v>2128.968</v>
      </c>
      <c r="H12254" s="679"/>
    </row>
    <row r="12255" s="451" customFormat="true" ht="15" hidden="false" customHeight="false" outlineLevel="0" collapsed="false">
      <c r="A12255" s="1105"/>
      <c r="B12255" s="532"/>
      <c r="C12255" s="709" t="s">
        <v>6638</v>
      </c>
      <c r="D12255" s="679" t="s">
        <v>6341</v>
      </c>
      <c r="E12255" s="709" t="n">
        <v>0.024</v>
      </c>
      <c r="F12255" s="681" t="n">
        <v>9883</v>
      </c>
      <c r="G12255" s="716" t="n">
        <f aca="false">F12255*E12255</f>
        <v>237.192</v>
      </c>
      <c r="H12255" s="679"/>
    </row>
    <row r="12256" s="451" customFormat="true" ht="15" hidden="false" customHeight="false" outlineLevel="0" collapsed="false">
      <c r="A12256" s="1105"/>
      <c r="B12256" s="532"/>
      <c r="C12256" s="1086" t="s">
        <v>6280</v>
      </c>
      <c r="D12256" s="1087" t="s">
        <v>6311</v>
      </c>
      <c r="E12256" s="1086" t="n">
        <v>7</v>
      </c>
      <c r="F12256" s="1088" t="n">
        <v>842</v>
      </c>
      <c r="G12256" s="716" t="n">
        <f aca="false">F12256*E12256</f>
        <v>5894</v>
      </c>
      <c r="H12256" s="679"/>
    </row>
    <row r="12257" s="451" customFormat="true" ht="15" hidden="false" customHeight="false" outlineLevel="0" collapsed="false">
      <c r="A12257" s="1105"/>
      <c r="B12257" s="532"/>
      <c r="C12257" s="709" t="s">
        <v>6639</v>
      </c>
      <c r="D12257" s="679" t="s">
        <v>4133</v>
      </c>
      <c r="E12257" s="709" t="n">
        <v>0.009</v>
      </c>
      <c r="F12257" s="681" t="n">
        <v>3232</v>
      </c>
      <c r="G12257" s="716" t="n">
        <f aca="false">F12257*E12257</f>
        <v>29.088</v>
      </c>
      <c r="H12257" s="679"/>
    </row>
    <row r="12258" s="451" customFormat="true" ht="30" hidden="false" customHeight="false" outlineLevel="0" collapsed="false">
      <c r="A12258" s="1105"/>
      <c r="B12258" s="532"/>
      <c r="C12258" s="709" t="s">
        <v>6282</v>
      </c>
      <c r="D12258" s="679" t="s">
        <v>4348</v>
      </c>
      <c r="E12258" s="709" t="n">
        <v>4</v>
      </c>
      <c r="F12258" s="681" t="n">
        <v>11500</v>
      </c>
      <c r="G12258" s="716" t="n">
        <f aca="false">F12258*E12258</f>
        <v>46000</v>
      </c>
      <c r="H12258" s="679"/>
    </row>
    <row r="12259" s="451" customFormat="true" ht="15" hidden="false" customHeight="false" outlineLevel="0" collapsed="false">
      <c r="A12259" s="1105"/>
      <c r="B12259" s="532"/>
      <c r="C12259" s="709" t="s">
        <v>6640</v>
      </c>
      <c r="D12259" s="679" t="s">
        <v>4348</v>
      </c>
      <c r="E12259" s="709" t="n">
        <v>66</v>
      </c>
      <c r="F12259" s="681" t="n">
        <v>602</v>
      </c>
      <c r="G12259" s="716" t="n">
        <v>198.66</v>
      </c>
      <c r="H12259" s="679"/>
    </row>
    <row r="12260" s="451" customFormat="true" ht="15" hidden="false" customHeight="false" outlineLevel="0" collapsed="false">
      <c r="A12260" s="1105"/>
      <c r="B12260" s="532"/>
      <c r="C12260" s="709" t="s">
        <v>5945</v>
      </c>
      <c r="D12260" s="679" t="s">
        <v>6643</v>
      </c>
      <c r="E12260" s="709" t="n">
        <v>1</v>
      </c>
      <c r="F12260" s="681" t="n">
        <v>1079</v>
      </c>
      <c r="G12260" s="716" t="n">
        <f aca="false">F12260*E12260</f>
        <v>1079</v>
      </c>
      <c r="H12260" s="679"/>
    </row>
    <row r="12261" s="451" customFormat="true" ht="15" hidden="false" customHeight="false" outlineLevel="0" collapsed="false">
      <c r="A12261" s="1105"/>
      <c r="B12261" s="532"/>
      <c r="C12261" s="709" t="s">
        <v>4124</v>
      </c>
      <c r="D12261" s="679" t="s">
        <v>4516</v>
      </c>
      <c r="E12261" s="709" t="n">
        <v>2</v>
      </c>
      <c r="F12261" s="681" t="n">
        <v>177</v>
      </c>
      <c r="G12261" s="716" t="n">
        <f aca="false">F12261*E12261</f>
        <v>354</v>
      </c>
      <c r="H12261" s="679"/>
    </row>
    <row r="12262" s="451" customFormat="true" ht="15" hidden="false" customHeight="false" outlineLevel="0" collapsed="false">
      <c r="A12262" s="1105"/>
      <c r="B12262" s="532"/>
      <c r="C12262" s="709" t="s">
        <v>4347</v>
      </c>
      <c r="D12262" s="679" t="s">
        <v>5788</v>
      </c>
      <c r="E12262" s="709" t="n">
        <v>10</v>
      </c>
      <c r="F12262" s="681" t="n">
        <v>1106</v>
      </c>
      <c r="G12262" s="716" t="n">
        <f aca="false">E12262*F12262/100</f>
        <v>110.6</v>
      </c>
      <c r="H12262" s="679"/>
    </row>
    <row r="12263" s="451" customFormat="true" ht="15" hidden="false" customHeight="false" outlineLevel="0" collapsed="false">
      <c r="A12263" s="1105"/>
      <c r="B12263" s="532"/>
      <c r="C12263" s="709" t="s">
        <v>4122</v>
      </c>
      <c r="D12263" s="679" t="s">
        <v>4359</v>
      </c>
      <c r="E12263" s="709" t="n">
        <v>0.5</v>
      </c>
      <c r="F12263" s="681" t="n">
        <v>800</v>
      </c>
      <c r="G12263" s="716" t="n">
        <f aca="false">F12263*E12263</f>
        <v>400</v>
      </c>
      <c r="H12263" s="679"/>
    </row>
    <row r="12264" s="451" customFormat="true" ht="15" hidden="false" customHeight="false" outlineLevel="0" collapsed="false">
      <c r="A12264" s="1105"/>
      <c r="B12264" s="532"/>
      <c r="C12264" s="709" t="s">
        <v>4270</v>
      </c>
      <c r="D12264" s="679" t="s">
        <v>4359</v>
      </c>
      <c r="E12264" s="709" t="n">
        <v>0.5</v>
      </c>
      <c r="F12264" s="681" t="n">
        <v>9866</v>
      </c>
      <c r="G12264" s="716" t="n">
        <f aca="false">F12264*E12264</f>
        <v>4933</v>
      </c>
      <c r="H12264" s="679"/>
    </row>
    <row r="12265" s="451" customFormat="true" ht="15" hidden="false" customHeight="false" outlineLevel="0" collapsed="false">
      <c r="A12265" s="1105"/>
      <c r="B12265" s="532"/>
      <c r="C12265" s="709" t="s">
        <v>6267</v>
      </c>
      <c r="D12265" s="679" t="s">
        <v>6268</v>
      </c>
      <c r="E12265" s="709" t="n">
        <v>66</v>
      </c>
      <c r="F12265" s="681" t="n">
        <v>602</v>
      </c>
      <c r="G12265" s="716" t="n">
        <v>198.66</v>
      </c>
      <c r="H12265" s="679"/>
    </row>
    <row r="12266" s="451" customFormat="true" ht="30" hidden="false" customHeight="false" outlineLevel="0" collapsed="false">
      <c r="A12266" s="1105"/>
      <c r="B12266" s="532"/>
      <c r="C12266" s="709" t="s">
        <v>6283</v>
      </c>
      <c r="D12266" s="679" t="s">
        <v>6416</v>
      </c>
      <c r="E12266" s="1092" t="n">
        <v>6</v>
      </c>
      <c r="F12266" s="681" t="n">
        <v>460</v>
      </c>
      <c r="G12266" s="716" t="n">
        <f aca="false">F12266*E12266</f>
        <v>2760</v>
      </c>
      <c r="H12266" s="679"/>
    </row>
    <row r="12267" s="451" customFormat="true" ht="15" hidden="false" customHeight="false" outlineLevel="0" collapsed="false">
      <c r="A12267" s="1105"/>
      <c r="B12267" s="532"/>
      <c r="C12267" s="1086" t="s">
        <v>6278</v>
      </c>
      <c r="D12267" s="1087" t="s">
        <v>6310</v>
      </c>
      <c r="E12267" s="709" t="n">
        <v>10</v>
      </c>
      <c r="F12267" s="1088" t="n">
        <v>393</v>
      </c>
      <c r="G12267" s="716" t="n">
        <v>196.5</v>
      </c>
      <c r="H12267" s="679"/>
    </row>
    <row r="12268" s="451" customFormat="true" ht="15" hidden="false" customHeight="false" outlineLevel="0" collapsed="false">
      <c r="A12268" s="1105"/>
      <c r="B12268" s="532"/>
      <c r="C12268" s="709"/>
      <c r="D12268" s="679"/>
      <c r="E12268" s="709"/>
      <c r="F12268" s="681"/>
      <c r="G12268" s="711" t="n">
        <f aca="false">SUM(G12254:G12267)</f>
        <v>64519.668</v>
      </c>
      <c r="H12268" s="679"/>
    </row>
    <row r="12269" s="451" customFormat="true" ht="30" hidden="false" customHeight="false" outlineLevel="0" collapsed="false">
      <c r="A12269" s="1105" t="s">
        <v>2491</v>
      </c>
      <c r="B12269" s="487" t="s">
        <v>3971</v>
      </c>
      <c r="C12269" s="709" t="s">
        <v>6645</v>
      </c>
      <c r="D12269" s="679" t="s">
        <v>6336</v>
      </c>
      <c r="E12269" s="709" t="n">
        <v>0.024</v>
      </c>
      <c r="F12269" s="681" t="n">
        <v>88707</v>
      </c>
      <c r="G12269" s="716" t="n">
        <f aca="false">F12269*E12269</f>
        <v>2128.968</v>
      </c>
      <c r="H12269" s="679"/>
    </row>
    <row r="12270" s="451" customFormat="true" ht="15" hidden="false" customHeight="false" outlineLevel="0" collapsed="false">
      <c r="A12270" s="1105"/>
      <c r="B12270" s="532"/>
      <c r="C12270" s="709" t="s">
        <v>6638</v>
      </c>
      <c r="D12270" s="679" t="s">
        <v>6341</v>
      </c>
      <c r="E12270" s="709" t="n">
        <v>0.024</v>
      </c>
      <c r="F12270" s="681" t="n">
        <v>9883</v>
      </c>
      <c r="G12270" s="716" t="n">
        <f aca="false">F12270*E12270</f>
        <v>237.192</v>
      </c>
      <c r="H12270" s="679"/>
    </row>
    <row r="12271" s="451" customFormat="true" ht="15" hidden="false" customHeight="false" outlineLevel="0" collapsed="false">
      <c r="A12271" s="1105"/>
      <c r="B12271" s="532"/>
      <c r="C12271" s="709" t="s">
        <v>6639</v>
      </c>
      <c r="D12271" s="679" t="s">
        <v>4133</v>
      </c>
      <c r="E12271" s="709" t="n">
        <v>0.009</v>
      </c>
      <c r="F12271" s="681" t="n">
        <v>3232</v>
      </c>
      <c r="G12271" s="716" t="n">
        <f aca="false">F12271*E12271</f>
        <v>29.088</v>
      </c>
      <c r="H12271" s="679"/>
    </row>
    <row r="12272" s="451" customFormat="true" ht="15" hidden="false" customHeight="false" outlineLevel="0" collapsed="false">
      <c r="A12272" s="1105"/>
      <c r="B12272" s="532"/>
      <c r="C12272" s="709" t="s">
        <v>6640</v>
      </c>
      <c r="D12272" s="679" t="s">
        <v>4348</v>
      </c>
      <c r="E12272" s="709" t="n">
        <v>66</v>
      </c>
      <c r="F12272" s="681" t="n">
        <v>602</v>
      </c>
      <c r="G12272" s="716" t="n">
        <v>198.66</v>
      </c>
      <c r="H12272" s="679"/>
    </row>
    <row r="12273" s="451" customFormat="true" ht="15" hidden="false" customHeight="false" outlineLevel="0" collapsed="false">
      <c r="A12273" s="1105"/>
      <c r="B12273" s="532"/>
      <c r="C12273" s="709" t="s">
        <v>5945</v>
      </c>
      <c r="D12273" s="679" t="s">
        <v>6643</v>
      </c>
      <c r="E12273" s="709" t="n">
        <v>1</v>
      </c>
      <c r="F12273" s="681" t="n">
        <v>1079</v>
      </c>
      <c r="G12273" s="716" t="n">
        <f aca="false">F12273*E12273</f>
        <v>1079</v>
      </c>
      <c r="H12273" s="679"/>
    </row>
    <row r="12274" s="451" customFormat="true" ht="15" hidden="false" customHeight="false" outlineLevel="0" collapsed="false">
      <c r="A12274" s="1105"/>
      <c r="B12274" s="532"/>
      <c r="C12274" s="709" t="s">
        <v>4124</v>
      </c>
      <c r="D12274" s="679" t="s">
        <v>4516</v>
      </c>
      <c r="E12274" s="709" t="n">
        <v>1</v>
      </c>
      <c r="F12274" s="681" t="n">
        <v>177</v>
      </c>
      <c r="G12274" s="716" t="n">
        <f aca="false">F12274*E12274</f>
        <v>177</v>
      </c>
      <c r="H12274" s="679"/>
    </row>
    <row r="12275" s="451" customFormat="true" ht="15" hidden="false" customHeight="false" outlineLevel="0" collapsed="false">
      <c r="A12275" s="1105"/>
      <c r="B12275" s="532"/>
      <c r="C12275" s="1086" t="s">
        <v>6280</v>
      </c>
      <c r="D12275" s="1087" t="s">
        <v>6311</v>
      </c>
      <c r="E12275" s="1086" t="n">
        <v>7</v>
      </c>
      <c r="F12275" s="1088" t="n">
        <v>842</v>
      </c>
      <c r="G12275" s="716" t="n">
        <f aca="false">F12275*E12275</f>
        <v>5894</v>
      </c>
      <c r="H12275" s="679"/>
    </row>
    <row r="12276" s="451" customFormat="true" ht="30" hidden="false" customHeight="false" outlineLevel="0" collapsed="false">
      <c r="A12276" s="1105"/>
      <c r="B12276" s="532"/>
      <c r="C12276" s="709" t="s">
        <v>6282</v>
      </c>
      <c r="D12276" s="679" t="s">
        <v>4348</v>
      </c>
      <c r="E12276" s="709" t="n">
        <v>4</v>
      </c>
      <c r="F12276" s="681" t="n">
        <v>11500</v>
      </c>
      <c r="G12276" s="716" t="n">
        <f aca="false">F12276*E12276</f>
        <v>46000</v>
      </c>
      <c r="H12276" s="679"/>
    </row>
    <row r="12277" s="451" customFormat="true" ht="15" hidden="false" customHeight="false" outlineLevel="0" collapsed="false">
      <c r="A12277" s="1105"/>
      <c r="B12277" s="532"/>
      <c r="C12277" s="709" t="s">
        <v>4347</v>
      </c>
      <c r="D12277" s="679" t="s">
        <v>5788</v>
      </c>
      <c r="E12277" s="709" t="n">
        <v>10</v>
      </c>
      <c r="F12277" s="681" t="n">
        <v>1106</v>
      </c>
      <c r="G12277" s="716" t="n">
        <f aca="false">E12277*F12277/100</f>
        <v>110.6</v>
      </c>
      <c r="H12277" s="679"/>
    </row>
    <row r="12278" s="451" customFormat="true" ht="15" hidden="false" customHeight="false" outlineLevel="0" collapsed="false">
      <c r="A12278" s="1105"/>
      <c r="B12278" s="532"/>
      <c r="C12278" s="709" t="s">
        <v>4122</v>
      </c>
      <c r="D12278" s="679" t="s">
        <v>4359</v>
      </c>
      <c r="E12278" s="709" t="n">
        <v>0.5</v>
      </c>
      <c r="F12278" s="681" t="n">
        <v>800</v>
      </c>
      <c r="G12278" s="716" t="n">
        <f aca="false">F12278*E12278</f>
        <v>400</v>
      </c>
      <c r="H12278" s="679"/>
    </row>
    <row r="12279" s="451" customFormat="true" ht="15" hidden="false" customHeight="false" outlineLevel="0" collapsed="false">
      <c r="A12279" s="1105"/>
      <c r="B12279" s="532"/>
      <c r="C12279" s="709" t="s">
        <v>4270</v>
      </c>
      <c r="D12279" s="679" t="s">
        <v>4359</v>
      </c>
      <c r="E12279" s="709" t="n">
        <v>0.5</v>
      </c>
      <c r="F12279" s="681" t="n">
        <v>9866</v>
      </c>
      <c r="G12279" s="716" t="n">
        <f aca="false">F12279*E12279</f>
        <v>4933</v>
      </c>
      <c r="H12279" s="679"/>
    </row>
    <row r="12280" s="451" customFormat="true" ht="15" hidden="false" customHeight="false" outlineLevel="0" collapsed="false">
      <c r="A12280" s="1105"/>
      <c r="B12280" s="532"/>
      <c r="C12280" s="709" t="s">
        <v>6267</v>
      </c>
      <c r="D12280" s="679" t="s">
        <v>6268</v>
      </c>
      <c r="E12280" s="709" t="n">
        <v>66</v>
      </c>
      <c r="F12280" s="681" t="n">
        <v>602</v>
      </c>
      <c r="G12280" s="716" t="n">
        <v>198.66</v>
      </c>
      <c r="H12280" s="679"/>
    </row>
    <row r="12281" s="451" customFormat="true" ht="30" hidden="false" customHeight="false" outlineLevel="0" collapsed="false">
      <c r="A12281" s="1105"/>
      <c r="B12281" s="532"/>
      <c r="C12281" s="709" t="s">
        <v>6283</v>
      </c>
      <c r="D12281" s="679" t="s">
        <v>6416</v>
      </c>
      <c r="E12281" s="1092" t="n">
        <v>5</v>
      </c>
      <c r="F12281" s="681" t="n">
        <v>460</v>
      </c>
      <c r="G12281" s="716" t="n">
        <f aca="false">F12281*E12281</f>
        <v>2300</v>
      </c>
      <c r="H12281" s="679"/>
    </row>
    <row r="12282" s="451" customFormat="true" ht="15" hidden="false" customHeight="false" outlineLevel="0" collapsed="false">
      <c r="A12282" s="1105"/>
      <c r="B12282" s="532"/>
      <c r="C12282" s="1086" t="s">
        <v>6278</v>
      </c>
      <c r="D12282" s="1087" t="s">
        <v>6310</v>
      </c>
      <c r="E12282" s="709" t="n">
        <v>10</v>
      </c>
      <c r="F12282" s="1088" t="n">
        <v>393</v>
      </c>
      <c r="G12282" s="716" t="n">
        <v>196.5</v>
      </c>
      <c r="H12282" s="679"/>
    </row>
    <row r="12283" s="451" customFormat="true" ht="15" hidden="false" customHeight="false" outlineLevel="0" collapsed="false">
      <c r="A12283" s="1105"/>
      <c r="B12283" s="532"/>
      <c r="C12283" s="709"/>
      <c r="D12283" s="679"/>
      <c r="E12283" s="709"/>
      <c r="F12283" s="681"/>
      <c r="G12283" s="711" t="n">
        <f aca="false">SUM(G12269:G12282)</f>
        <v>63882.668</v>
      </c>
      <c r="H12283" s="679"/>
    </row>
    <row r="12284" s="451" customFormat="true" ht="45" hidden="false" customHeight="false" outlineLevel="0" collapsed="false">
      <c r="A12284" s="1105" t="s">
        <v>2493</v>
      </c>
      <c r="B12284" s="487" t="s">
        <v>3972</v>
      </c>
      <c r="C12284" s="709" t="s">
        <v>6645</v>
      </c>
      <c r="D12284" s="679" t="s">
        <v>6336</v>
      </c>
      <c r="E12284" s="709" t="n">
        <v>0.024</v>
      </c>
      <c r="F12284" s="681" t="n">
        <v>88707</v>
      </c>
      <c r="G12284" s="716" t="n">
        <f aca="false">F12284*E12284</f>
        <v>2128.968</v>
      </c>
      <c r="H12284" s="679"/>
    </row>
    <row r="12285" s="451" customFormat="true" ht="15" hidden="false" customHeight="false" outlineLevel="0" collapsed="false">
      <c r="A12285" s="1105"/>
      <c r="B12285" s="532"/>
      <c r="C12285" s="709" t="s">
        <v>6638</v>
      </c>
      <c r="D12285" s="679" t="s">
        <v>6341</v>
      </c>
      <c r="E12285" s="709" t="n">
        <v>0.024</v>
      </c>
      <c r="F12285" s="681" t="n">
        <v>9883</v>
      </c>
      <c r="G12285" s="716" t="n">
        <f aca="false">F12285*E12285</f>
        <v>237.192</v>
      </c>
      <c r="H12285" s="679"/>
    </row>
    <row r="12286" s="451" customFormat="true" ht="15" hidden="false" customHeight="false" outlineLevel="0" collapsed="false">
      <c r="A12286" s="1105"/>
      <c r="B12286" s="532"/>
      <c r="C12286" s="709" t="s">
        <v>6639</v>
      </c>
      <c r="D12286" s="679" t="s">
        <v>4133</v>
      </c>
      <c r="E12286" s="709" t="n">
        <v>0.009</v>
      </c>
      <c r="F12286" s="681" t="n">
        <v>3232</v>
      </c>
      <c r="G12286" s="716" t="n">
        <f aca="false">F12286*E12286</f>
        <v>29.088</v>
      </c>
      <c r="H12286" s="679"/>
    </row>
    <row r="12287" s="451" customFormat="true" ht="15" hidden="false" customHeight="false" outlineLevel="0" collapsed="false">
      <c r="A12287" s="1105"/>
      <c r="B12287" s="532"/>
      <c r="C12287" s="709" t="s">
        <v>6640</v>
      </c>
      <c r="D12287" s="679" t="s">
        <v>4348</v>
      </c>
      <c r="E12287" s="709" t="n">
        <v>66</v>
      </c>
      <c r="F12287" s="681" t="n">
        <v>602</v>
      </c>
      <c r="G12287" s="716" t="n">
        <v>198.66</v>
      </c>
      <c r="H12287" s="679"/>
    </row>
    <row r="12288" s="451" customFormat="true" ht="15" hidden="false" customHeight="false" outlineLevel="0" collapsed="false">
      <c r="A12288" s="1105"/>
      <c r="B12288" s="532"/>
      <c r="C12288" s="709" t="s">
        <v>5945</v>
      </c>
      <c r="D12288" s="679" t="s">
        <v>6643</v>
      </c>
      <c r="E12288" s="709" t="n">
        <v>1</v>
      </c>
      <c r="F12288" s="681" t="n">
        <v>1079</v>
      </c>
      <c r="G12288" s="716" t="n">
        <f aca="false">F12288*E12288</f>
        <v>1079</v>
      </c>
      <c r="H12288" s="679"/>
    </row>
    <row r="12289" s="451" customFormat="true" ht="15" hidden="false" customHeight="false" outlineLevel="0" collapsed="false">
      <c r="A12289" s="1105"/>
      <c r="B12289" s="532"/>
      <c r="C12289" s="709" t="s">
        <v>4124</v>
      </c>
      <c r="D12289" s="679" t="s">
        <v>4516</v>
      </c>
      <c r="E12289" s="709" t="n">
        <v>1</v>
      </c>
      <c r="F12289" s="681" t="n">
        <v>177</v>
      </c>
      <c r="G12289" s="716" t="n">
        <f aca="false">F12289*E12289</f>
        <v>177</v>
      </c>
      <c r="H12289" s="679"/>
    </row>
    <row r="12290" s="451" customFormat="true" ht="15" hidden="false" customHeight="false" outlineLevel="0" collapsed="false">
      <c r="A12290" s="1105"/>
      <c r="B12290" s="532"/>
      <c r="C12290" s="1086" t="s">
        <v>6280</v>
      </c>
      <c r="D12290" s="1087" t="s">
        <v>6311</v>
      </c>
      <c r="E12290" s="1086" t="n">
        <v>7</v>
      </c>
      <c r="F12290" s="1088" t="n">
        <v>842</v>
      </c>
      <c r="G12290" s="716" t="n">
        <f aca="false">F12290*E12290</f>
        <v>5894</v>
      </c>
      <c r="H12290" s="679"/>
    </row>
    <row r="12291" s="451" customFormat="true" ht="30" hidden="false" customHeight="false" outlineLevel="0" collapsed="false">
      <c r="A12291" s="1105"/>
      <c r="B12291" s="532"/>
      <c r="C12291" s="709" t="s">
        <v>6282</v>
      </c>
      <c r="D12291" s="679" t="s">
        <v>4348</v>
      </c>
      <c r="E12291" s="709" t="n">
        <v>4</v>
      </c>
      <c r="F12291" s="681" t="n">
        <v>11500</v>
      </c>
      <c r="G12291" s="716" t="n">
        <f aca="false">F12291*E12291</f>
        <v>46000</v>
      </c>
      <c r="H12291" s="679"/>
    </row>
    <row r="12292" s="451" customFormat="true" ht="15" hidden="false" customHeight="false" outlineLevel="0" collapsed="false">
      <c r="A12292" s="1105"/>
      <c r="B12292" s="532"/>
      <c r="C12292" s="709" t="s">
        <v>4347</v>
      </c>
      <c r="D12292" s="679" t="s">
        <v>5788</v>
      </c>
      <c r="E12292" s="709" t="n">
        <v>10</v>
      </c>
      <c r="F12292" s="681" t="n">
        <v>1106</v>
      </c>
      <c r="G12292" s="716" t="n">
        <f aca="false">E12292*F12292/100</f>
        <v>110.6</v>
      </c>
      <c r="H12292" s="679"/>
    </row>
    <row r="12293" s="451" customFormat="true" ht="15" hidden="false" customHeight="false" outlineLevel="0" collapsed="false">
      <c r="A12293" s="1105"/>
      <c r="B12293" s="532"/>
      <c r="C12293" s="709" t="s">
        <v>4122</v>
      </c>
      <c r="D12293" s="679" t="s">
        <v>4359</v>
      </c>
      <c r="E12293" s="709" t="n">
        <v>0.3</v>
      </c>
      <c r="F12293" s="681" t="n">
        <v>800</v>
      </c>
      <c r="G12293" s="716" t="n">
        <f aca="false">F12293*E12293</f>
        <v>240</v>
      </c>
      <c r="H12293" s="679"/>
    </row>
    <row r="12294" s="451" customFormat="true" ht="15" hidden="false" customHeight="false" outlineLevel="0" collapsed="false">
      <c r="A12294" s="1105"/>
      <c r="B12294" s="532"/>
      <c r="C12294" s="709" t="s">
        <v>4270</v>
      </c>
      <c r="D12294" s="679" t="s">
        <v>4359</v>
      </c>
      <c r="E12294" s="709" t="n">
        <v>0.3</v>
      </c>
      <c r="F12294" s="681" t="n">
        <v>9866</v>
      </c>
      <c r="G12294" s="716" t="n">
        <f aca="false">F12294*E12294</f>
        <v>2959.8</v>
      </c>
      <c r="H12294" s="679"/>
    </row>
    <row r="12295" s="451" customFormat="true" ht="15" hidden="false" customHeight="false" outlineLevel="0" collapsed="false">
      <c r="A12295" s="1105"/>
      <c r="B12295" s="532"/>
      <c r="C12295" s="709" t="s">
        <v>6267</v>
      </c>
      <c r="D12295" s="679" t="s">
        <v>6268</v>
      </c>
      <c r="E12295" s="709" t="n">
        <v>66</v>
      </c>
      <c r="F12295" s="681" t="n">
        <v>602</v>
      </c>
      <c r="G12295" s="716" t="n">
        <v>198.66</v>
      </c>
      <c r="H12295" s="679"/>
    </row>
    <row r="12296" s="451" customFormat="true" ht="30" hidden="false" customHeight="false" outlineLevel="0" collapsed="false">
      <c r="A12296" s="1105"/>
      <c r="B12296" s="532"/>
      <c r="C12296" s="709" t="s">
        <v>6283</v>
      </c>
      <c r="D12296" s="679" t="s">
        <v>6416</v>
      </c>
      <c r="E12296" s="1092" t="n">
        <v>6</v>
      </c>
      <c r="F12296" s="681" t="n">
        <v>460</v>
      </c>
      <c r="G12296" s="716" t="n">
        <f aca="false">F12296*E12296</f>
        <v>2760</v>
      </c>
      <c r="H12296" s="679"/>
    </row>
    <row r="12297" s="451" customFormat="true" ht="15" hidden="false" customHeight="false" outlineLevel="0" collapsed="false">
      <c r="A12297" s="1105"/>
      <c r="B12297" s="532"/>
      <c r="C12297" s="1086" t="s">
        <v>6278</v>
      </c>
      <c r="D12297" s="1087" t="s">
        <v>6310</v>
      </c>
      <c r="E12297" s="709" t="n">
        <v>10</v>
      </c>
      <c r="F12297" s="1088" t="n">
        <v>393</v>
      </c>
      <c r="G12297" s="716" t="n">
        <v>196.5</v>
      </c>
      <c r="H12297" s="679"/>
    </row>
    <row r="12298" s="451" customFormat="true" ht="15" hidden="false" customHeight="false" outlineLevel="0" collapsed="false">
      <c r="A12298" s="1105"/>
      <c r="B12298" s="532"/>
      <c r="C12298" s="709"/>
      <c r="D12298" s="679"/>
      <c r="E12298" s="709"/>
      <c r="F12298" s="681"/>
      <c r="G12298" s="711" t="n">
        <f aca="false">SUM(G12284:G12297)</f>
        <v>62209.468</v>
      </c>
      <c r="H12298" s="679"/>
    </row>
    <row r="12299" s="451" customFormat="true" ht="90.75" hidden="false" customHeight="true" outlineLevel="0" collapsed="false">
      <c r="A12299" s="1105" t="s">
        <v>2495</v>
      </c>
      <c r="B12299" s="487" t="s">
        <v>3973</v>
      </c>
      <c r="C12299" s="709" t="s">
        <v>6646</v>
      </c>
      <c r="D12299" s="679" t="n">
        <v>250</v>
      </c>
      <c r="E12299" s="709" t="n">
        <v>0.024</v>
      </c>
      <c r="F12299" s="681" t="n">
        <v>101890</v>
      </c>
      <c r="G12299" s="716" t="n">
        <f aca="false">F12299*E12299</f>
        <v>2445.36</v>
      </c>
      <c r="H12299" s="679"/>
    </row>
    <row r="12300" s="451" customFormat="true" ht="15" hidden="false" customHeight="false" outlineLevel="0" collapsed="false">
      <c r="A12300" s="1105"/>
      <c r="B12300" s="487"/>
      <c r="C12300" s="709" t="s">
        <v>6638</v>
      </c>
      <c r="D12300" s="679" t="s">
        <v>6341</v>
      </c>
      <c r="E12300" s="709" t="n">
        <v>0.12</v>
      </c>
      <c r="F12300" s="681" t="n">
        <v>9883</v>
      </c>
      <c r="G12300" s="716" t="n">
        <f aca="false">F12300*E12300</f>
        <v>1185.96</v>
      </c>
      <c r="H12300" s="679"/>
    </row>
    <row r="12301" s="451" customFormat="true" ht="15" hidden="false" customHeight="false" outlineLevel="0" collapsed="false">
      <c r="A12301" s="1105"/>
      <c r="B12301" s="532"/>
      <c r="C12301" s="709" t="s">
        <v>6640</v>
      </c>
      <c r="D12301" s="679" t="s">
        <v>4348</v>
      </c>
      <c r="E12301" s="709" t="n">
        <v>66</v>
      </c>
      <c r="F12301" s="681" t="n">
        <v>602</v>
      </c>
      <c r="G12301" s="716" t="n">
        <v>198.66</v>
      </c>
      <c r="H12301" s="679"/>
    </row>
    <row r="12302" s="451" customFormat="true" ht="15" hidden="false" customHeight="false" outlineLevel="0" collapsed="false">
      <c r="A12302" s="1105"/>
      <c r="B12302" s="532"/>
      <c r="C12302" s="709" t="s">
        <v>5945</v>
      </c>
      <c r="D12302" s="679" t="s">
        <v>6643</v>
      </c>
      <c r="E12302" s="709" t="n">
        <v>1</v>
      </c>
      <c r="F12302" s="681" t="n">
        <v>1079</v>
      </c>
      <c r="G12302" s="716" t="n">
        <f aca="false">F12302*E12302</f>
        <v>1079</v>
      </c>
      <c r="H12302" s="679"/>
    </row>
    <row r="12303" s="451" customFormat="true" ht="15" hidden="false" customHeight="false" outlineLevel="0" collapsed="false">
      <c r="A12303" s="1105"/>
      <c r="B12303" s="532"/>
      <c r="C12303" s="709" t="s">
        <v>4124</v>
      </c>
      <c r="D12303" s="679" t="s">
        <v>4516</v>
      </c>
      <c r="E12303" s="709" t="n">
        <v>1</v>
      </c>
      <c r="F12303" s="681" t="n">
        <v>177</v>
      </c>
      <c r="G12303" s="716" t="n">
        <f aca="false">F12303*E12303</f>
        <v>177</v>
      </c>
      <c r="H12303" s="679"/>
    </row>
    <row r="12304" s="451" customFormat="true" ht="15" hidden="false" customHeight="false" outlineLevel="0" collapsed="false">
      <c r="A12304" s="1105"/>
      <c r="B12304" s="532"/>
      <c r="C12304" s="709" t="s">
        <v>6638</v>
      </c>
      <c r="D12304" s="679" t="s">
        <v>6341</v>
      </c>
      <c r="E12304" s="709" t="n">
        <v>0.024</v>
      </c>
      <c r="F12304" s="681" t="n">
        <v>9883</v>
      </c>
      <c r="G12304" s="716" t="n">
        <f aca="false">F12304*E12304</f>
        <v>237.192</v>
      </c>
      <c r="H12304" s="679"/>
    </row>
    <row r="12305" s="451" customFormat="true" ht="15" hidden="false" customHeight="false" outlineLevel="0" collapsed="false">
      <c r="A12305" s="1105"/>
      <c r="B12305" s="532"/>
      <c r="C12305" s="709" t="s">
        <v>6639</v>
      </c>
      <c r="D12305" s="679" t="s">
        <v>4133</v>
      </c>
      <c r="E12305" s="709" t="n">
        <v>0.009</v>
      </c>
      <c r="F12305" s="681" t="n">
        <v>3232</v>
      </c>
      <c r="G12305" s="716" t="n">
        <f aca="false">F12305*E12305</f>
        <v>29.088</v>
      </c>
      <c r="H12305" s="679"/>
    </row>
    <row r="12306" s="451" customFormat="true" ht="15" hidden="false" customHeight="false" outlineLevel="0" collapsed="false">
      <c r="A12306" s="1105"/>
      <c r="B12306" s="532"/>
      <c r="C12306" s="1086" t="s">
        <v>6280</v>
      </c>
      <c r="D12306" s="1087" t="s">
        <v>6311</v>
      </c>
      <c r="E12306" s="1086" t="n">
        <v>7</v>
      </c>
      <c r="F12306" s="1088" t="n">
        <v>842</v>
      </c>
      <c r="G12306" s="716" t="n">
        <f aca="false">F12306*E12306</f>
        <v>5894</v>
      </c>
      <c r="H12306" s="679"/>
    </row>
    <row r="12307" s="451" customFormat="true" ht="30" hidden="false" customHeight="false" outlineLevel="0" collapsed="false">
      <c r="A12307" s="1105"/>
      <c r="B12307" s="532"/>
      <c r="C12307" s="709" t="s">
        <v>6282</v>
      </c>
      <c r="D12307" s="679" t="s">
        <v>4348</v>
      </c>
      <c r="E12307" s="709" t="n">
        <v>4</v>
      </c>
      <c r="F12307" s="681" t="n">
        <v>11500</v>
      </c>
      <c r="G12307" s="716" t="n">
        <f aca="false">F12307*E12307</f>
        <v>46000</v>
      </c>
      <c r="H12307" s="679"/>
    </row>
    <row r="12308" s="451" customFormat="true" ht="15" hidden="false" customHeight="false" outlineLevel="0" collapsed="false">
      <c r="A12308" s="1105"/>
      <c r="B12308" s="532"/>
      <c r="C12308" s="709" t="s">
        <v>4347</v>
      </c>
      <c r="D12308" s="679" t="s">
        <v>5788</v>
      </c>
      <c r="E12308" s="709" t="n">
        <v>10</v>
      </c>
      <c r="F12308" s="681" t="n">
        <v>1106</v>
      </c>
      <c r="G12308" s="716" t="n">
        <f aca="false">E12308*F12308/100</f>
        <v>110.6</v>
      </c>
      <c r="H12308" s="679"/>
    </row>
    <row r="12309" s="451" customFormat="true" ht="15" hidden="false" customHeight="false" outlineLevel="0" collapsed="false">
      <c r="A12309" s="1105"/>
      <c r="B12309" s="532"/>
      <c r="C12309" s="709" t="s">
        <v>4122</v>
      </c>
      <c r="D12309" s="679" t="s">
        <v>4359</v>
      </c>
      <c r="E12309" s="709" t="n">
        <v>0.5</v>
      </c>
      <c r="F12309" s="681" t="n">
        <v>800</v>
      </c>
      <c r="G12309" s="716" t="n">
        <f aca="false">F12309*E12309</f>
        <v>400</v>
      </c>
      <c r="H12309" s="679"/>
    </row>
    <row r="12310" s="451" customFormat="true" ht="15" hidden="false" customHeight="false" outlineLevel="0" collapsed="false">
      <c r="A12310" s="1105"/>
      <c r="B12310" s="532"/>
      <c r="C12310" s="709" t="s">
        <v>4270</v>
      </c>
      <c r="D12310" s="679" t="s">
        <v>4359</v>
      </c>
      <c r="E12310" s="709" t="n">
        <v>0.5</v>
      </c>
      <c r="F12310" s="681" t="n">
        <v>9866</v>
      </c>
      <c r="G12310" s="716" t="n">
        <f aca="false">F12310*E12310</f>
        <v>4933</v>
      </c>
      <c r="H12310" s="679"/>
    </row>
    <row r="12311" s="451" customFormat="true" ht="15" hidden="false" customHeight="false" outlineLevel="0" collapsed="false">
      <c r="A12311" s="1105"/>
      <c r="B12311" s="532"/>
      <c r="C12311" s="709" t="s">
        <v>6267</v>
      </c>
      <c r="D12311" s="679" t="s">
        <v>6268</v>
      </c>
      <c r="E12311" s="709" t="n">
        <v>66</v>
      </c>
      <c r="F12311" s="681" t="n">
        <v>602</v>
      </c>
      <c r="G12311" s="716" t="n">
        <v>198.66</v>
      </c>
      <c r="H12311" s="679"/>
    </row>
    <row r="12312" s="451" customFormat="true" ht="30" hidden="false" customHeight="false" outlineLevel="0" collapsed="false">
      <c r="A12312" s="1105"/>
      <c r="B12312" s="532"/>
      <c r="C12312" s="709" t="s">
        <v>6283</v>
      </c>
      <c r="D12312" s="679" t="s">
        <v>6416</v>
      </c>
      <c r="E12312" s="1092" t="n">
        <v>6</v>
      </c>
      <c r="F12312" s="681" t="n">
        <v>460</v>
      </c>
      <c r="G12312" s="716" t="n">
        <f aca="false">F12312*E12312</f>
        <v>2760</v>
      </c>
      <c r="H12312" s="679"/>
    </row>
    <row r="12313" s="451" customFormat="true" ht="16.5" hidden="false" customHeight="true" outlineLevel="0" collapsed="false">
      <c r="A12313" s="1105"/>
      <c r="B12313" s="532"/>
      <c r="C12313" s="1086" t="s">
        <v>6278</v>
      </c>
      <c r="D12313" s="1087" t="s">
        <v>6310</v>
      </c>
      <c r="E12313" s="709" t="n">
        <v>10</v>
      </c>
      <c r="F12313" s="1088" t="n">
        <v>393</v>
      </c>
      <c r="G12313" s="716" t="n">
        <v>196.5</v>
      </c>
      <c r="H12313" s="679"/>
    </row>
    <row r="12314" s="451" customFormat="true" ht="17.25" hidden="false" customHeight="true" outlineLevel="0" collapsed="false">
      <c r="A12314" s="1105"/>
      <c r="B12314" s="532"/>
      <c r="C12314" s="709"/>
      <c r="D12314" s="679"/>
      <c r="E12314" s="709"/>
      <c r="F12314" s="681"/>
      <c r="G12314" s="711" t="n">
        <f aca="false">SUM(G12299:G12313)</f>
        <v>65845.02</v>
      </c>
      <c r="H12314" s="679"/>
    </row>
    <row r="12315" s="451" customFormat="true" ht="95.25" hidden="false" customHeight="true" outlineLevel="0" collapsed="false">
      <c r="A12315" s="1105" t="s">
        <v>2497</v>
      </c>
      <c r="B12315" s="487" t="s">
        <v>3974</v>
      </c>
      <c r="C12315" s="709" t="s">
        <v>6646</v>
      </c>
      <c r="D12315" s="679" t="n">
        <v>250</v>
      </c>
      <c r="E12315" s="709" t="n">
        <v>0.12</v>
      </c>
      <c r="F12315" s="681" t="n">
        <v>101890</v>
      </c>
      <c r="G12315" s="716" t="n">
        <f aca="false">F12315*E12315</f>
        <v>12226.8</v>
      </c>
      <c r="H12315" s="679"/>
    </row>
    <row r="12316" s="451" customFormat="true" ht="15" hidden="false" customHeight="false" outlineLevel="0" collapsed="false">
      <c r="A12316" s="1105"/>
      <c r="B12316" s="532"/>
      <c r="C12316" s="709" t="s">
        <v>6638</v>
      </c>
      <c r="D12316" s="679" t="s">
        <v>6341</v>
      </c>
      <c r="E12316" s="709" t="n">
        <v>0.12</v>
      </c>
      <c r="F12316" s="681" t="n">
        <v>9883</v>
      </c>
      <c r="G12316" s="716" t="n">
        <f aca="false">F12316*E12316</f>
        <v>1185.96</v>
      </c>
      <c r="H12316" s="679"/>
    </row>
    <row r="12317" s="451" customFormat="true" ht="15" hidden="false" customHeight="false" outlineLevel="0" collapsed="false">
      <c r="A12317" s="1105"/>
      <c r="B12317" s="532"/>
      <c r="C12317" s="1086" t="s">
        <v>6280</v>
      </c>
      <c r="D12317" s="1087" t="s">
        <v>6311</v>
      </c>
      <c r="E12317" s="1086" t="n">
        <v>7</v>
      </c>
      <c r="F12317" s="1088" t="n">
        <v>842</v>
      </c>
      <c r="G12317" s="716" t="n">
        <f aca="false">F12317*E12317</f>
        <v>5894</v>
      </c>
      <c r="H12317" s="679"/>
    </row>
    <row r="12318" s="451" customFormat="true" ht="30" hidden="false" customHeight="false" outlineLevel="0" collapsed="false">
      <c r="A12318" s="1105"/>
      <c r="B12318" s="532"/>
      <c r="C12318" s="614" t="s">
        <v>6282</v>
      </c>
      <c r="D12318" s="606" t="s">
        <v>4348</v>
      </c>
      <c r="E12318" s="614" t="n">
        <v>3</v>
      </c>
      <c r="F12318" s="617" t="n">
        <v>11500</v>
      </c>
      <c r="G12318" s="615" t="n">
        <f aca="false">F12318*E12318</f>
        <v>34500</v>
      </c>
      <c r="H12318" s="679"/>
    </row>
    <row r="12319" s="451" customFormat="true" ht="15" hidden="false" customHeight="false" outlineLevel="0" collapsed="false">
      <c r="A12319" s="1105"/>
      <c r="B12319" s="532"/>
      <c r="C12319" s="614" t="s">
        <v>4347</v>
      </c>
      <c r="D12319" s="606" t="s">
        <v>5788</v>
      </c>
      <c r="E12319" s="614" t="n">
        <v>10</v>
      </c>
      <c r="F12319" s="617" t="n">
        <v>1106</v>
      </c>
      <c r="G12319" s="615" t="n">
        <f aca="false">E12319*F12319/100</f>
        <v>110.6</v>
      </c>
      <c r="H12319" s="679"/>
    </row>
    <row r="12320" s="451" customFormat="true" ht="15" hidden="false" customHeight="false" outlineLevel="0" collapsed="false">
      <c r="A12320" s="1105"/>
      <c r="B12320" s="532"/>
      <c r="C12320" s="614" t="s">
        <v>4122</v>
      </c>
      <c r="D12320" s="606" t="s">
        <v>4359</v>
      </c>
      <c r="E12320" s="614" t="n">
        <v>0.3</v>
      </c>
      <c r="F12320" s="617" t="n">
        <v>800</v>
      </c>
      <c r="G12320" s="615" t="n">
        <f aca="false">F12320*E12320</f>
        <v>240</v>
      </c>
      <c r="H12320" s="679"/>
    </row>
    <row r="12321" s="451" customFormat="true" ht="15" hidden="false" customHeight="false" outlineLevel="0" collapsed="false">
      <c r="A12321" s="1105"/>
      <c r="B12321" s="532"/>
      <c r="C12321" s="614" t="s">
        <v>4270</v>
      </c>
      <c r="D12321" s="606" t="s">
        <v>4359</v>
      </c>
      <c r="E12321" s="614" t="n">
        <v>0.3</v>
      </c>
      <c r="F12321" s="617" t="n">
        <v>9866</v>
      </c>
      <c r="G12321" s="615" t="n">
        <f aca="false">F12321*E12321</f>
        <v>2959.8</v>
      </c>
      <c r="H12321" s="679"/>
    </row>
    <row r="12322" s="451" customFormat="true" ht="15" hidden="false" customHeight="false" outlineLevel="0" collapsed="false">
      <c r="A12322" s="1105"/>
      <c r="B12322" s="532"/>
      <c r="C12322" s="614" t="s">
        <v>6639</v>
      </c>
      <c r="D12322" s="606" t="s">
        <v>4133</v>
      </c>
      <c r="E12322" s="614" t="n">
        <v>0.009</v>
      </c>
      <c r="F12322" s="617" t="n">
        <v>3232</v>
      </c>
      <c r="G12322" s="615" t="n">
        <f aca="false">F12322*E12322</f>
        <v>29.088</v>
      </c>
      <c r="H12322" s="679"/>
    </row>
    <row r="12323" s="451" customFormat="true" ht="15" hidden="false" customHeight="false" outlineLevel="0" collapsed="false">
      <c r="A12323" s="1105"/>
      <c r="B12323" s="532"/>
      <c r="C12323" s="614" t="s">
        <v>6007</v>
      </c>
      <c r="D12323" s="606" t="s">
        <v>6363</v>
      </c>
      <c r="E12323" s="614" t="n">
        <v>50</v>
      </c>
      <c r="F12323" s="617" t="n">
        <v>4771</v>
      </c>
      <c r="G12323" s="615" t="n">
        <v>238.55</v>
      </c>
      <c r="H12323" s="679"/>
    </row>
    <row r="12324" s="451" customFormat="true" ht="15" hidden="false" customHeight="false" outlineLevel="0" collapsed="false">
      <c r="A12324" s="1105"/>
      <c r="B12324" s="532"/>
      <c r="C12324" s="614" t="s">
        <v>6640</v>
      </c>
      <c r="D12324" s="606" t="s">
        <v>4348</v>
      </c>
      <c r="E12324" s="614" t="n">
        <v>66</v>
      </c>
      <c r="F12324" s="617" t="n">
        <v>602</v>
      </c>
      <c r="G12324" s="615" t="n">
        <v>198.66</v>
      </c>
      <c r="H12324" s="679"/>
    </row>
    <row r="12325" s="451" customFormat="true" ht="15" hidden="false" customHeight="false" outlineLevel="0" collapsed="false">
      <c r="A12325" s="1105"/>
      <c r="B12325" s="532"/>
      <c r="C12325" s="614" t="s">
        <v>5945</v>
      </c>
      <c r="D12325" s="606" t="s">
        <v>6643</v>
      </c>
      <c r="E12325" s="614" t="n">
        <v>2</v>
      </c>
      <c r="F12325" s="617" t="n">
        <v>1079</v>
      </c>
      <c r="G12325" s="615" t="n">
        <f aca="false">F12325*E12325</f>
        <v>2158</v>
      </c>
      <c r="H12325" s="679"/>
    </row>
    <row r="12326" s="451" customFormat="true" ht="15" hidden="false" customHeight="false" outlineLevel="0" collapsed="false">
      <c r="A12326" s="1105"/>
      <c r="B12326" s="532"/>
      <c r="C12326" s="614" t="s">
        <v>4124</v>
      </c>
      <c r="D12326" s="606" t="s">
        <v>4516</v>
      </c>
      <c r="E12326" s="614" t="n">
        <v>3</v>
      </c>
      <c r="F12326" s="617" t="n">
        <v>177</v>
      </c>
      <c r="G12326" s="615" t="n">
        <f aca="false">F12326*E12326</f>
        <v>531</v>
      </c>
      <c r="H12326" s="679"/>
    </row>
    <row r="12327" s="451" customFormat="true" ht="15" hidden="false" customHeight="false" outlineLevel="0" collapsed="false">
      <c r="A12327" s="1105"/>
      <c r="B12327" s="532"/>
      <c r="C12327" s="614" t="s">
        <v>6267</v>
      </c>
      <c r="D12327" s="606" t="s">
        <v>6268</v>
      </c>
      <c r="E12327" s="614" t="n">
        <v>66</v>
      </c>
      <c r="F12327" s="617" t="n">
        <v>602</v>
      </c>
      <c r="G12327" s="615" t="n">
        <v>198.66</v>
      </c>
      <c r="H12327" s="679"/>
    </row>
    <row r="12328" s="451" customFormat="true" ht="30" hidden="false" customHeight="false" outlineLevel="0" collapsed="false">
      <c r="A12328" s="1105"/>
      <c r="B12328" s="532"/>
      <c r="C12328" s="614" t="s">
        <v>6283</v>
      </c>
      <c r="D12328" s="606" t="s">
        <v>6416</v>
      </c>
      <c r="E12328" s="954" t="n">
        <v>3</v>
      </c>
      <c r="F12328" s="617" t="n">
        <v>460</v>
      </c>
      <c r="G12328" s="615" t="n">
        <f aca="false">F12328*E12328</f>
        <v>1380</v>
      </c>
      <c r="H12328" s="679"/>
    </row>
    <row r="12329" s="451" customFormat="true" ht="15" hidden="false" customHeight="false" outlineLevel="0" collapsed="false">
      <c r="A12329" s="1105"/>
      <c r="B12329" s="532"/>
      <c r="C12329" s="1096" t="s">
        <v>6278</v>
      </c>
      <c r="D12329" s="1097" t="s">
        <v>6310</v>
      </c>
      <c r="E12329" s="614" t="n">
        <v>10</v>
      </c>
      <c r="F12329" s="1098" t="n">
        <v>393</v>
      </c>
      <c r="G12329" s="615" t="n">
        <v>196.5</v>
      </c>
      <c r="H12329" s="679"/>
    </row>
    <row r="12330" s="451" customFormat="true" ht="15" hidden="false" customHeight="false" outlineLevel="0" collapsed="false">
      <c r="A12330" s="1105"/>
      <c r="B12330" s="532"/>
      <c r="C12330" s="614"/>
      <c r="D12330" s="606"/>
      <c r="E12330" s="614"/>
      <c r="F12330" s="617"/>
      <c r="G12330" s="613" t="n">
        <f aca="false">SUM(G12315:G12329)</f>
        <v>62047.618</v>
      </c>
      <c r="H12330" s="679"/>
    </row>
    <row r="12331" s="451" customFormat="true" ht="30" hidden="false" customHeight="false" outlineLevel="0" collapsed="false">
      <c r="A12331" s="1105" t="s">
        <v>2499</v>
      </c>
      <c r="B12331" s="487" t="s">
        <v>3975</v>
      </c>
      <c r="C12331" s="614" t="s">
        <v>6647</v>
      </c>
      <c r="D12331" s="606" t="s">
        <v>6648</v>
      </c>
      <c r="E12331" s="614" t="n">
        <v>1.2</v>
      </c>
      <c r="F12331" s="617" t="n">
        <v>96709</v>
      </c>
      <c r="G12331" s="615" t="n">
        <v>1000</v>
      </c>
      <c r="H12331" s="679"/>
    </row>
    <row r="12332" s="451" customFormat="true" ht="15" hidden="false" customHeight="false" outlineLevel="0" collapsed="false">
      <c r="A12332" s="1105"/>
      <c r="B12332" s="487"/>
      <c r="C12332" s="614" t="s">
        <v>6649</v>
      </c>
      <c r="D12332" s="606" t="n">
        <v>250</v>
      </c>
      <c r="E12332" s="614" t="n">
        <v>0.24</v>
      </c>
      <c r="F12332" s="617" t="n">
        <v>85797</v>
      </c>
      <c r="G12332" s="615" t="n">
        <f aca="false">F12332*E12332</f>
        <v>20591.28</v>
      </c>
      <c r="H12332" s="679"/>
    </row>
    <row r="12333" s="451" customFormat="true" ht="15" hidden="false" customHeight="false" outlineLevel="0" collapsed="false">
      <c r="A12333" s="1105"/>
      <c r="B12333" s="487"/>
      <c r="C12333" s="614" t="s">
        <v>6639</v>
      </c>
      <c r="D12333" s="606" t="s">
        <v>4133</v>
      </c>
      <c r="E12333" s="614" t="n">
        <v>0.009</v>
      </c>
      <c r="F12333" s="617" t="n">
        <v>3232</v>
      </c>
      <c r="G12333" s="615" t="n">
        <f aca="false">F12333*E12333</f>
        <v>29.088</v>
      </c>
      <c r="H12333" s="679"/>
    </row>
    <row r="12334" s="451" customFormat="true" ht="15" hidden="false" customHeight="false" outlineLevel="0" collapsed="false">
      <c r="A12334" s="1105"/>
      <c r="B12334" s="487"/>
      <c r="C12334" s="1096" t="s">
        <v>6280</v>
      </c>
      <c r="D12334" s="1097" t="s">
        <v>6311</v>
      </c>
      <c r="E12334" s="1096" t="n">
        <v>10</v>
      </c>
      <c r="F12334" s="1098" t="n">
        <v>842</v>
      </c>
      <c r="G12334" s="615" t="n">
        <f aca="false">F12334*E12334</f>
        <v>8420</v>
      </c>
      <c r="H12334" s="679"/>
    </row>
    <row r="12335" s="451" customFormat="true" ht="15" hidden="false" customHeight="false" outlineLevel="0" collapsed="false">
      <c r="A12335" s="1105"/>
      <c r="B12335" s="487"/>
      <c r="C12335" s="614" t="s">
        <v>6007</v>
      </c>
      <c r="D12335" s="606" t="s">
        <v>6363</v>
      </c>
      <c r="E12335" s="614" t="n">
        <v>50</v>
      </c>
      <c r="F12335" s="617" t="n">
        <v>4771</v>
      </c>
      <c r="G12335" s="615" t="n">
        <v>238.55</v>
      </c>
      <c r="H12335" s="679"/>
    </row>
    <row r="12336" s="451" customFormat="true" ht="15" hidden="false" customHeight="false" outlineLevel="0" collapsed="false">
      <c r="A12336" s="1105"/>
      <c r="B12336" s="487"/>
      <c r="C12336" s="614" t="s">
        <v>5945</v>
      </c>
      <c r="D12336" s="606" t="s">
        <v>6643</v>
      </c>
      <c r="E12336" s="614" t="n">
        <v>2</v>
      </c>
      <c r="F12336" s="617" t="n">
        <v>1079</v>
      </c>
      <c r="G12336" s="615" t="n">
        <f aca="false">F12336*E12336</f>
        <v>2158</v>
      </c>
      <c r="H12336" s="679"/>
    </row>
    <row r="12337" s="451" customFormat="true" ht="15" hidden="false" customHeight="false" outlineLevel="0" collapsed="false">
      <c r="A12337" s="1105"/>
      <c r="B12337" s="487"/>
      <c r="C12337" s="709" t="s">
        <v>4124</v>
      </c>
      <c r="D12337" s="679" t="s">
        <v>4516</v>
      </c>
      <c r="E12337" s="709" t="n">
        <v>3</v>
      </c>
      <c r="F12337" s="681" t="n">
        <v>177</v>
      </c>
      <c r="G12337" s="716" t="n">
        <f aca="false">F12337*E12337</f>
        <v>531</v>
      </c>
      <c r="H12337" s="679"/>
    </row>
    <row r="12338" s="451" customFormat="true" ht="30" hidden="false" customHeight="false" outlineLevel="0" collapsed="false">
      <c r="A12338" s="1105"/>
      <c r="B12338" s="487"/>
      <c r="C12338" s="709" t="s">
        <v>6282</v>
      </c>
      <c r="D12338" s="679" t="s">
        <v>4348</v>
      </c>
      <c r="E12338" s="709" t="n">
        <v>5</v>
      </c>
      <c r="F12338" s="681" t="n">
        <v>11500</v>
      </c>
      <c r="G12338" s="716" t="n">
        <f aca="false">F12338*E12338</f>
        <v>57500</v>
      </c>
      <c r="H12338" s="679"/>
    </row>
    <row r="12339" s="451" customFormat="true" ht="15" hidden="false" customHeight="false" outlineLevel="0" collapsed="false">
      <c r="A12339" s="1105"/>
      <c r="B12339" s="487"/>
      <c r="C12339" s="709" t="s">
        <v>4347</v>
      </c>
      <c r="D12339" s="679" t="s">
        <v>5788</v>
      </c>
      <c r="E12339" s="709" t="n">
        <v>10</v>
      </c>
      <c r="F12339" s="681" t="n">
        <v>1106</v>
      </c>
      <c r="G12339" s="716" t="n">
        <f aca="false">E12339*F12339/100</f>
        <v>110.6</v>
      </c>
      <c r="H12339" s="679"/>
    </row>
    <row r="12340" s="451" customFormat="true" ht="15" hidden="false" customHeight="false" outlineLevel="0" collapsed="false">
      <c r="A12340" s="1105"/>
      <c r="B12340" s="487"/>
      <c r="C12340" s="709" t="s">
        <v>4122</v>
      </c>
      <c r="D12340" s="679" t="s">
        <v>4359</v>
      </c>
      <c r="E12340" s="709" t="n">
        <v>0.3</v>
      </c>
      <c r="F12340" s="681" t="n">
        <v>800</v>
      </c>
      <c r="G12340" s="716" t="n">
        <f aca="false">F12340*E12340</f>
        <v>240</v>
      </c>
      <c r="H12340" s="679"/>
    </row>
    <row r="12341" s="451" customFormat="true" ht="15" hidden="false" customHeight="false" outlineLevel="0" collapsed="false">
      <c r="A12341" s="1105"/>
      <c r="B12341" s="487"/>
      <c r="C12341" s="709" t="s">
        <v>4270</v>
      </c>
      <c r="D12341" s="679" t="s">
        <v>4359</v>
      </c>
      <c r="E12341" s="709" t="n">
        <v>0.3</v>
      </c>
      <c r="F12341" s="681" t="n">
        <v>9866</v>
      </c>
      <c r="G12341" s="716" t="n">
        <f aca="false">F12341*E12341</f>
        <v>2959.8</v>
      </c>
      <c r="H12341" s="679"/>
    </row>
    <row r="12342" s="451" customFormat="true" ht="15" hidden="false" customHeight="false" outlineLevel="0" collapsed="false">
      <c r="A12342" s="1105"/>
      <c r="B12342" s="487"/>
      <c r="C12342" s="709" t="s">
        <v>6650</v>
      </c>
      <c r="D12342" s="679" t="s">
        <v>6268</v>
      </c>
      <c r="E12342" s="709" t="n">
        <v>60</v>
      </c>
      <c r="F12342" s="681" t="n">
        <v>632</v>
      </c>
      <c r="G12342" s="716" t="n">
        <v>379</v>
      </c>
      <c r="H12342" s="679"/>
    </row>
    <row r="12343" s="451" customFormat="true" ht="15" hidden="false" customHeight="false" outlineLevel="0" collapsed="false">
      <c r="A12343" s="1105"/>
      <c r="B12343" s="487"/>
      <c r="C12343" s="709" t="s">
        <v>6267</v>
      </c>
      <c r="D12343" s="679" t="s">
        <v>6268</v>
      </c>
      <c r="E12343" s="709" t="n">
        <v>66</v>
      </c>
      <c r="F12343" s="681" t="n">
        <v>602</v>
      </c>
      <c r="G12343" s="716" t="n">
        <v>198.66</v>
      </c>
      <c r="H12343" s="679"/>
    </row>
    <row r="12344" s="451" customFormat="true" ht="30" hidden="false" customHeight="false" outlineLevel="0" collapsed="false">
      <c r="A12344" s="1105"/>
      <c r="B12344" s="487"/>
      <c r="C12344" s="709" t="s">
        <v>6283</v>
      </c>
      <c r="D12344" s="679" t="s">
        <v>6416</v>
      </c>
      <c r="E12344" s="1092" t="n">
        <v>4</v>
      </c>
      <c r="F12344" s="681" t="n">
        <v>460</v>
      </c>
      <c r="G12344" s="716" t="n">
        <f aca="false">F12344*E12344</f>
        <v>1840</v>
      </c>
      <c r="H12344" s="679"/>
    </row>
    <row r="12345" s="451" customFormat="true" ht="19.5" hidden="false" customHeight="true" outlineLevel="0" collapsed="false">
      <c r="A12345" s="1105"/>
      <c r="B12345" s="487"/>
      <c r="C12345" s="1086"/>
      <c r="D12345" s="1087"/>
      <c r="E12345" s="1086"/>
      <c r="F12345" s="1088"/>
      <c r="G12345" s="711" t="n">
        <f aca="false">SUM(G12331:G12344)</f>
        <v>96195.978</v>
      </c>
      <c r="H12345" s="679"/>
    </row>
    <row r="12346" s="451" customFormat="true" ht="29.25" hidden="false" customHeight="true" outlineLevel="0" collapsed="false">
      <c r="A12346" s="1105" t="s">
        <v>2501</v>
      </c>
      <c r="B12346" s="487" t="s">
        <v>3976</v>
      </c>
      <c r="C12346" s="709" t="s">
        <v>6647</v>
      </c>
      <c r="D12346" s="679" t="s">
        <v>6648</v>
      </c>
      <c r="E12346" s="709" t="n">
        <v>5</v>
      </c>
      <c r="F12346" s="681" t="n">
        <v>250</v>
      </c>
      <c r="G12346" s="716" t="n">
        <f aca="false">F12346*E12346</f>
        <v>1250</v>
      </c>
      <c r="H12346" s="679"/>
    </row>
    <row r="12347" s="451" customFormat="true" ht="18" hidden="false" customHeight="true" outlineLevel="0" collapsed="false">
      <c r="A12347" s="1105"/>
      <c r="B12347" s="532"/>
      <c r="C12347" s="709" t="s">
        <v>6649</v>
      </c>
      <c r="D12347" s="679" t="n">
        <v>250</v>
      </c>
      <c r="E12347" s="709" t="n">
        <v>0.024</v>
      </c>
      <c r="F12347" s="681" t="n">
        <v>85797</v>
      </c>
      <c r="G12347" s="716" t="n">
        <f aca="false">F12347*E12347</f>
        <v>2059.128</v>
      </c>
      <c r="H12347" s="679"/>
    </row>
    <row r="12348" s="451" customFormat="true" ht="17.25" hidden="false" customHeight="true" outlineLevel="0" collapsed="false">
      <c r="A12348" s="1105"/>
      <c r="B12348" s="532"/>
      <c r="C12348" s="709" t="s">
        <v>6639</v>
      </c>
      <c r="D12348" s="679" t="s">
        <v>4133</v>
      </c>
      <c r="E12348" s="709" t="n">
        <v>0.009</v>
      </c>
      <c r="F12348" s="681" t="n">
        <v>3232</v>
      </c>
      <c r="G12348" s="716" t="n">
        <f aca="false">F12348*E12348</f>
        <v>29.088</v>
      </c>
      <c r="H12348" s="679"/>
    </row>
    <row r="12349" s="451" customFormat="true" ht="19.5" hidden="false" customHeight="true" outlineLevel="0" collapsed="false">
      <c r="A12349" s="1105"/>
      <c r="B12349" s="532"/>
      <c r="C12349" s="1086" t="s">
        <v>6280</v>
      </c>
      <c r="D12349" s="1087" t="s">
        <v>6311</v>
      </c>
      <c r="E12349" s="1086" t="n">
        <v>10</v>
      </c>
      <c r="F12349" s="1088" t="n">
        <v>842</v>
      </c>
      <c r="G12349" s="716" t="n">
        <f aca="false">F12349*E12349</f>
        <v>8420</v>
      </c>
      <c r="H12349" s="679"/>
    </row>
    <row r="12350" s="451" customFormat="true" ht="13.5" hidden="false" customHeight="true" outlineLevel="0" collapsed="false">
      <c r="A12350" s="1105"/>
      <c r="B12350" s="532"/>
      <c r="C12350" s="614" t="s">
        <v>6007</v>
      </c>
      <c r="D12350" s="606" t="s">
        <v>6363</v>
      </c>
      <c r="E12350" s="614" t="n">
        <v>50</v>
      </c>
      <c r="F12350" s="617" t="n">
        <v>4771</v>
      </c>
      <c r="G12350" s="615" t="n">
        <v>238.55</v>
      </c>
      <c r="H12350" s="679"/>
    </row>
    <row r="12351" s="451" customFormat="true" ht="14.25" hidden="false" customHeight="true" outlineLevel="0" collapsed="false">
      <c r="A12351" s="1105"/>
      <c r="B12351" s="532"/>
      <c r="C12351" s="614" t="s">
        <v>5945</v>
      </c>
      <c r="D12351" s="606" t="s">
        <v>6643</v>
      </c>
      <c r="E12351" s="614" t="n">
        <v>2</v>
      </c>
      <c r="F12351" s="617" t="n">
        <v>1079</v>
      </c>
      <c r="G12351" s="615" t="n">
        <f aca="false">F12351*E12351</f>
        <v>2158</v>
      </c>
      <c r="H12351" s="679"/>
    </row>
    <row r="12352" s="451" customFormat="true" ht="25.5" hidden="false" customHeight="true" outlineLevel="0" collapsed="false">
      <c r="A12352" s="1105"/>
      <c r="B12352" s="532"/>
      <c r="C12352" s="614" t="s">
        <v>4124</v>
      </c>
      <c r="D12352" s="606" t="s">
        <v>4516</v>
      </c>
      <c r="E12352" s="614" t="n">
        <v>3</v>
      </c>
      <c r="F12352" s="617" t="n">
        <v>177</v>
      </c>
      <c r="G12352" s="615" t="n">
        <f aca="false">F12352*E12352</f>
        <v>531</v>
      </c>
      <c r="H12352" s="679"/>
    </row>
    <row r="12353" s="451" customFormat="true" ht="15.75" hidden="false" customHeight="true" outlineLevel="0" collapsed="false">
      <c r="A12353" s="1105"/>
      <c r="B12353" s="532"/>
      <c r="C12353" s="614" t="s">
        <v>6282</v>
      </c>
      <c r="D12353" s="606" t="s">
        <v>4348</v>
      </c>
      <c r="E12353" s="614" t="n">
        <v>6</v>
      </c>
      <c r="F12353" s="617" t="n">
        <v>11500</v>
      </c>
      <c r="G12353" s="615" t="n">
        <f aca="false">F12353*E12353</f>
        <v>69000</v>
      </c>
      <c r="H12353" s="679"/>
    </row>
    <row r="12354" s="451" customFormat="true" ht="15.75" hidden="false" customHeight="true" outlineLevel="0" collapsed="false">
      <c r="A12354" s="1105"/>
      <c r="B12354" s="532"/>
      <c r="C12354" s="614" t="s">
        <v>4347</v>
      </c>
      <c r="D12354" s="606" t="s">
        <v>5788</v>
      </c>
      <c r="E12354" s="614" t="n">
        <v>10</v>
      </c>
      <c r="F12354" s="617" t="n">
        <v>1106</v>
      </c>
      <c r="G12354" s="615" t="n">
        <f aca="false">E12354*F12354/100</f>
        <v>110.6</v>
      </c>
      <c r="H12354" s="679"/>
    </row>
    <row r="12355" s="451" customFormat="true" ht="16.5" hidden="false" customHeight="true" outlineLevel="0" collapsed="false">
      <c r="A12355" s="1105"/>
      <c r="B12355" s="532"/>
      <c r="C12355" s="614" t="s">
        <v>4122</v>
      </c>
      <c r="D12355" s="606" t="s">
        <v>4359</v>
      </c>
      <c r="E12355" s="614" t="n">
        <v>0.5</v>
      </c>
      <c r="F12355" s="617" t="n">
        <v>800</v>
      </c>
      <c r="G12355" s="615" t="n">
        <f aca="false">F12355*E12355</f>
        <v>400</v>
      </c>
      <c r="H12355" s="679"/>
    </row>
    <row r="12356" s="451" customFormat="true" ht="15" hidden="false" customHeight="true" outlineLevel="0" collapsed="false">
      <c r="A12356" s="1105"/>
      <c r="B12356" s="532"/>
      <c r="C12356" s="614" t="s">
        <v>4270</v>
      </c>
      <c r="D12356" s="606" t="s">
        <v>4359</v>
      </c>
      <c r="E12356" s="614" t="n">
        <v>0.5</v>
      </c>
      <c r="F12356" s="617" t="n">
        <v>9866</v>
      </c>
      <c r="G12356" s="615" t="n">
        <f aca="false">F12356*E12356</f>
        <v>4933</v>
      </c>
      <c r="H12356" s="679"/>
    </row>
    <row r="12357" s="451" customFormat="true" ht="15.75" hidden="false" customHeight="true" outlineLevel="0" collapsed="false">
      <c r="A12357" s="1105"/>
      <c r="B12357" s="532"/>
      <c r="C12357" s="709" t="s">
        <v>6267</v>
      </c>
      <c r="D12357" s="679" t="s">
        <v>6268</v>
      </c>
      <c r="E12357" s="709" t="n">
        <v>66</v>
      </c>
      <c r="F12357" s="681" t="n">
        <v>602</v>
      </c>
      <c r="G12357" s="716" t="n">
        <v>198.66</v>
      </c>
      <c r="H12357" s="679"/>
    </row>
    <row r="12358" s="451" customFormat="true" ht="25.5" hidden="false" customHeight="true" outlineLevel="0" collapsed="false">
      <c r="A12358" s="1105"/>
      <c r="B12358" s="532"/>
      <c r="C12358" s="709" t="s">
        <v>6283</v>
      </c>
      <c r="D12358" s="679" t="s">
        <v>6416</v>
      </c>
      <c r="E12358" s="1092" t="n">
        <v>5</v>
      </c>
      <c r="F12358" s="681" t="n">
        <v>460</v>
      </c>
      <c r="G12358" s="716" t="n">
        <f aca="false">F12358*E12358</f>
        <v>2300</v>
      </c>
      <c r="H12358" s="679"/>
    </row>
    <row r="12359" s="451" customFormat="true" ht="25.5" hidden="false" customHeight="true" outlineLevel="0" collapsed="false">
      <c r="A12359" s="1105"/>
      <c r="B12359" s="532"/>
      <c r="C12359" s="1086" t="s">
        <v>6278</v>
      </c>
      <c r="D12359" s="1087" t="s">
        <v>6310</v>
      </c>
      <c r="E12359" s="709" t="n">
        <v>10</v>
      </c>
      <c r="F12359" s="1088" t="n">
        <v>393</v>
      </c>
      <c r="G12359" s="716" t="n">
        <v>196.5</v>
      </c>
      <c r="H12359" s="679"/>
    </row>
    <row r="12360" s="451" customFormat="true" ht="15" hidden="false" customHeight="false" outlineLevel="0" collapsed="false">
      <c r="A12360" s="1105"/>
      <c r="B12360" s="532"/>
      <c r="C12360" s="709"/>
      <c r="D12360" s="679"/>
      <c r="E12360" s="709"/>
      <c r="F12360" s="681"/>
      <c r="G12360" s="711" t="n">
        <f aca="false">SUM(G12346:G12359)</f>
        <v>91824.526</v>
      </c>
      <c r="H12360" s="679"/>
    </row>
    <row r="12361" s="451" customFormat="true" ht="45" hidden="false" customHeight="false" outlineLevel="0" collapsed="false">
      <c r="A12361" s="1105" t="s">
        <v>2503</v>
      </c>
      <c r="B12361" s="487" t="s">
        <v>3977</v>
      </c>
      <c r="C12361" s="709" t="s">
        <v>6647</v>
      </c>
      <c r="D12361" s="679" t="s">
        <v>6648</v>
      </c>
      <c r="E12361" s="709" t="n">
        <v>5</v>
      </c>
      <c r="F12361" s="681" t="n">
        <v>250</v>
      </c>
      <c r="G12361" s="716" t="n">
        <f aca="false">F12361*E12361</f>
        <v>1250</v>
      </c>
      <c r="H12361" s="679"/>
    </row>
    <row r="12362" s="451" customFormat="true" ht="15" hidden="false" customHeight="false" outlineLevel="0" collapsed="false">
      <c r="A12362" s="1105"/>
      <c r="B12362" s="532"/>
      <c r="C12362" s="709" t="s">
        <v>6649</v>
      </c>
      <c r="D12362" s="679" t="s">
        <v>6336</v>
      </c>
      <c r="E12362" s="709" t="n">
        <v>0.024</v>
      </c>
      <c r="F12362" s="681" t="n">
        <v>85797</v>
      </c>
      <c r="G12362" s="716" t="n">
        <f aca="false">F12362*E12362</f>
        <v>2059.128</v>
      </c>
      <c r="H12362" s="679"/>
    </row>
    <row r="12363" s="451" customFormat="true" ht="15" hidden="false" customHeight="false" outlineLevel="0" collapsed="false">
      <c r="A12363" s="1105"/>
      <c r="B12363" s="532"/>
      <c r="C12363" s="1086" t="s">
        <v>6280</v>
      </c>
      <c r="D12363" s="1087" t="s">
        <v>6311</v>
      </c>
      <c r="E12363" s="1086" t="n">
        <v>10</v>
      </c>
      <c r="F12363" s="1088" t="n">
        <v>842</v>
      </c>
      <c r="G12363" s="716" t="n">
        <f aca="false">F12363*E12363</f>
        <v>8420</v>
      </c>
      <c r="H12363" s="679"/>
    </row>
    <row r="12364" s="451" customFormat="true" ht="15" hidden="false" customHeight="false" outlineLevel="0" collapsed="false">
      <c r="A12364" s="1105"/>
      <c r="B12364" s="532"/>
      <c r="C12364" s="614" t="s">
        <v>6007</v>
      </c>
      <c r="D12364" s="606" t="s">
        <v>6363</v>
      </c>
      <c r="E12364" s="614" t="n">
        <v>50</v>
      </c>
      <c r="F12364" s="617" t="n">
        <v>4771</v>
      </c>
      <c r="G12364" s="615" t="n">
        <v>238.55</v>
      </c>
      <c r="H12364" s="679"/>
    </row>
    <row r="12365" s="451" customFormat="true" ht="15" hidden="false" customHeight="false" outlineLevel="0" collapsed="false">
      <c r="A12365" s="1105"/>
      <c r="B12365" s="532"/>
      <c r="C12365" s="614" t="s">
        <v>6639</v>
      </c>
      <c r="D12365" s="606" t="s">
        <v>4133</v>
      </c>
      <c r="E12365" s="614" t="n">
        <v>0.009</v>
      </c>
      <c r="F12365" s="617" t="n">
        <v>3232</v>
      </c>
      <c r="G12365" s="615" t="n">
        <f aca="false">F12365*E12365</f>
        <v>29.088</v>
      </c>
      <c r="H12365" s="679"/>
    </row>
    <row r="12366" s="451" customFormat="true" ht="15" hidden="false" customHeight="false" outlineLevel="0" collapsed="false">
      <c r="A12366" s="1105"/>
      <c r="B12366" s="532"/>
      <c r="C12366" s="614" t="s">
        <v>6650</v>
      </c>
      <c r="D12366" s="606" t="s">
        <v>6268</v>
      </c>
      <c r="E12366" s="614" t="n">
        <v>60</v>
      </c>
      <c r="F12366" s="617" t="n">
        <v>632</v>
      </c>
      <c r="G12366" s="615" t="n">
        <v>379.2</v>
      </c>
      <c r="H12366" s="679"/>
    </row>
    <row r="12367" s="451" customFormat="true" ht="15" hidden="false" customHeight="false" outlineLevel="0" collapsed="false">
      <c r="A12367" s="1105"/>
      <c r="B12367" s="532"/>
      <c r="C12367" s="614" t="s">
        <v>5945</v>
      </c>
      <c r="D12367" s="606" t="s">
        <v>6643</v>
      </c>
      <c r="E12367" s="614" t="n">
        <v>1</v>
      </c>
      <c r="F12367" s="617" t="n">
        <v>1079</v>
      </c>
      <c r="G12367" s="615" t="n">
        <f aca="false">F12367*E12367</f>
        <v>1079</v>
      </c>
      <c r="H12367" s="679"/>
    </row>
    <row r="12368" s="451" customFormat="true" ht="15" hidden="false" customHeight="false" outlineLevel="0" collapsed="false">
      <c r="A12368" s="1105"/>
      <c r="B12368" s="532"/>
      <c r="C12368" s="614" t="s">
        <v>4124</v>
      </c>
      <c r="D12368" s="606" t="s">
        <v>4516</v>
      </c>
      <c r="E12368" s="614" t="n">
        <v>1</v>
      </c>
      <c r="F12368" s="617" t="n">
        <v>177</v>
      </c>
      <c r="G12368" s="615" t="n">
        <f aca="false">F12368*E12368</f>
        <v>177</v>
      </c>
      <c r="H12368" s="679"/>
    </row>
    <row r="12369" s="451" customFormat="true" ht="30" hidden="false" customHeight="false" outlineLevel="0" collapsed="false">
      <c r="A12369" s="1105"/>
      <c r="B12369" s="532"/>
      <c r="C12369" s="614" t="s">
        <v>6282</v>
      </c>
      <c r="D12369" s="606" t="s">
        <v>4348</v>
      </c>
      <c r="E12369" s="614" t="n">
        <v>6</v>
      </c>
      <c r="F12369" s="617" t="n">
        <v>11500</v>
      </c>
      <c r="G12369" s="615" t="n">
        <f aca="false">F12369*E12369</f>
        <v>69000</v>
      </c>
      <c r="H12369" s="679"/>
    </row>
    <row r="12370" s="451" customFormat="true" ht="15" hidden="false" customHeight="false" outlineLevel="0" collapsed="false">
      <c r="A12370" s="1105"/>
      <c r="B12370" s="532"/>
      <c r="C12370" s="614" t="s">
        <v>4347</v>
      </c>
      <c r="D12370" s="606" t="s">
        <v>5788</v>
      </c>
      <c r="E12370" s="614" t="n">
        <v>10</v>
      </c>
      <c r="F12370" s="617" t="n">
        <v>1106</v>
      </c>
      <c r="G12370" s="615" t="n">
        <f aca="false">E12370*F12370/100</f>
        <v>110.6</v>
      </c>
      <c r="H12370" s="679"/>
    </row>
    <row r="12371" s="451" customFormat="true" ht="15" hidden="false" customHeight="false" outlineLevel="0" collapsed="false">
      <c r="A12371" s="1105"/>
      <c r="B12371" s="532"/>
      <c r="C12371" s="614" t="s">
        <v>4122</v>
      </c>
      <c r="D12371" s="606" t="s">
        <v>4359</v>
      </c>
      <c r="E12371" s="614" t="n">
        <v>0.5</v>
      </c>
      <c r="F12371" s="617" t="n">
        <v>800</v>
      </c>
      <c r="G12371" s="615" t="n">
        <f aca="false">F12371*E12371</f>
        <v>400</v>
      </c>
      <c r="H12371" s="679"/>
    </row>
    <row r="12372" s="451" customFormat="true" ht="15" hidden="false" customHeight="false" outlineLevel="0" collapsed="false">
      <c r="A12372" s="1105"/>
      <c r="B12372" s="532"/>
      <c r="C12372" s="614" t="s">
        <v>4270</v>
      </c>
      <c r="D12372" s="606" t="s">
        <v>4359</v>
      </c>
      <c r="E12372" s="614" t="n">
        <v>0.3</v>
      </c>
      <c r="F12372" s="617" t="n">
        <v>9866</v>
      </c>
      <c r="G12372" s="615" t="n">
        <f aca="false">F12372*E12372</f>
        <v>2959.8</v>
      </c>
      <c r="H12372" s="679"/>
    </row>
    <row r="12373" s="451" customFormat="true" ht="15" hidden="false" customHeight="false" outlineLevel="0" collapsed="false">
      <c r="A12373" s="1105"/>
      <c r="B12373" s="532"/>
      <c r="C12373" s="709" t="s">
        <v>6267</v>
      </c>
      <c r="D12373" s="679" t="s">
        <v>6268</v>
      </c>
      <c r="E12373" s="709" t="n">
        <v>66</v>
      </c>
      <c r="F12373" s="681" t="n">
        <v>602</v>
      </c>
      <c r="G12373" s="716" t="n">
        <v>198.66</v>
      </c>
      <c r="H12373" s="679"/>
    </row>
    <row r="12374" s="451" customFormat="true" ht="30" hidden="false" customHeight="false" outlineLevel="0" collapsed="false">
      <c r="A12374" s="1105"/>
      <c r="B12374" s="532"/>
      <c r="C12374" s="709" t="s">
        <v>6283</v>
      </c>
      <c r="D12374" s="679" t="s">
        <v>6416</v>
      </c>
      <c r="E12374" s="1092" t="n">
        <v>3</v>
      </c>
      <c r="F12374" s="681" t="n">
        <v>460</v>
      </c>
      <c r="G12374" s="716" t="n">
        <f aca="false">F12374*E12374</f>
        <v>1380</v>
      </c>
      <c r="H12374" s="679"/>
    </row>
    <row r="12375" s="451" customFormat="true" ht="15" hidden="false" customHeight="false" outlineLevel="0" collapsed="false">
      <c r="A12375" s="1105"/>
      <c r="B12375" s="532"/>
      <c r="C12375" s="1086" t="s">
        <v>6278</v>
      </c>
      <c r="D12375" s="1087" t="s">
        <v>6310</v>
      </c>
      <c r="E12375" s="709" t="n">
        <v>10</v>
      </c>
      <c r="F12375" s="1088" t="n">
        <v>393</v>
      </c>
      <c r="G12375" s="716" t="n">
        <v>196.5</v>
      </c>
      <c r="H12375" s="679"/>
    </row>
    <row r="12376" s="451" customFormat="true" ht="15" hidden="false" customHeight="false" outlineLevel="0" collapsed="false">
      <c r="A12376" s="1105"/>
      <c r="B12376" s="532"/>
      <c r="C12376" s="709"/>
      <c r="D12376" s="679"/>
      <c r="E12376" s="709"/>
      <c r="F12376" s="681"/>
      <c r="G12376" s="711" t="n">
        <f aca="false">SUM(G12361:G12375)</f>
        <v>87877.526</v>
      </c>
      <c r="H12376" s="679"/>
    </row>
    <row r="12377" s="451" customFormat="true" ht="30" hidden="false" customHeight="false" outlineLevel="0" collapsed="false">
      <c r="A12377" s="1105" t="s">
        <v>6651</v>
      </c>
      <c r="B12377" s="487" t="s">
        <v>6652</v>
      </c>
      <c r="C12377" s="709" t="s">
        <v>6257</v>
      </c>
      <c r="D12377" s="679" t="s">
        <v>6641</v>
      </c>
      <c r="E12377" s="1092" t="n">
        <v>0.02</v>
      </c>
      <c r="F12377" s="681" t="n">
        <v>29400</v>
      </c>
      <c r="G12377" s="716" t="n">
        <f aca="false">F12377*E12377</f>
        <v>588</v>
      </c>
      <c r="H12377" s="679"/>
    </row>
    <row r="12378" s="451" customFormat="true" ht="15" hidden="false" customHeight="false" outlineLevel="0" collapsed="false">
      <c r="A12378" s="1105"/>
      <c r="B12378" s="487"/>
      <c r="C12378" s="709" t="s">
        <v>6639</v>
      </c>
      <c r="D12378" s="679" t="s">
        <v>4133</v>
      </c>
      <c r="E12378" s="709" t="n">
        <v>0.009</v>
      </c>
      <c r="F12378" s="681" t="n">
        <v>1650</v>
      </c>
      <c r="G12378" s="716" t="n">
        <f aca="false">F12378*E12378</f>
        <v>14.85</v>
      </c>
      <c r="H12378" s="679"/>
    </row>
    <row r="12379" s="451" customFormat="true" ht="15" hidden="false" customHeight="false" outlineLevel="0" collapsed="false">
      <c r="A12379" s="1105"/>
      <c r="B12379" s="532"/>
      <c r="C12379" s="1086" t="s">
        <v>6280</v>
      </c>
      <c r="D12379" s="1087" t="s">
        <v>6311</v>
      </c>
      <c r="E12379" s="1086" t="n">
        <v>20</v>
      </c>
      <c r="F12379" s="1088" t="n">
        <v>390</v>
      </c>
      <c r="G12379" s="716" t="n">
        <f aca="false">F12379*E12379</f>
        <v>7800</v>
      </c>
      <c r="H12379" s="679"/>
    </row>
    <row r="12380" s="451" customFormat="true" ht="15" hidden="false" customHeight="false" outlineLevel="0" collapsed="false">
      <c r="A12380" s="1105"/>
      <c r="B12380" s="532"/>
      <c r="C12380" s="709" t="s">
        <v>6640</v>
      </c>
      <c r="D12380" s="679" t="s">
        <v>4348</v>
      </c>
      <c r="E12380" s="709" t="n">
        <v>60</v>
      </c>
      <c r="F12380" s="681" t="n">
        <v>44</v>
      </c>
      <c r="G12380" s="716" t="n">
        <f aca="false">F12380*E12380</f>
        <v>2640</v>
      </c>
      <c r="H12380" s="679"/>
    </row>
    <row r="12381" s="451" customFormat="true" ht="15" hidden="false" customHeight="false" outlineLevel="0" collapsed="false">
      <c r="A12381" s="1105"/>
      <c r="B12381" s="532"/>
      <c r="C12381" s="709" t="s">
        <v>5945</v>
      </c>
      <c r="D12381" s="679" t="s">
        <v>6643</v>
      </c>
      <c r="E12381" s="709" t="n">
        <v>2</v>
      </c>
      <c r="F12381" s="681" t="n">
        <v>940</v>
      </c>
      <c r="G12381" s="716" t="n">
        <f aca="false">F12381*E12381</f>
        <v>1880</v>
      </c>
      <c r="H12381" s="679"/>
    </row>
    <row r="12382" s="451" customFormat="true" ht="15" hidden="false" customHeight="false" outlineLevel="0" collapsed="false">
      <c r="A12382" s="1105"/>
      <c r="B12382" s="532"/>
      <c r="C12382" s="709" t="s">
        <v>4124</v>
      </c>
      <c r="D12382" s="679" t="s">
        <v>4516</v>
      </c>
      <c r="E12382" s="709" t="n">
        <v>1</v>
      </c>
      <c r="F12382" s="681" t="n">
        <v>700</v>
      </c>
      <c r="G12382" s="716" t="n">
        <f aca="false">F12382*E12382</f>
        <v>700</v>
      </c>
      <c r="H12382" s="679"/>
    </row>
    <row r="12383" s="451" customFormat="true" ht="30" hidden="false" customHeight="false" outlineLevel="0" collapsed="false">
      <c r="A12383" s="1105"/>
      <c r="B12383" s="532"/>
      <c r="C12383" s="709" t="s">
        <v>6282</v>
      </c>
      <c r="D12383" s="679" t="s">
        <v>4348</v>
      </c>
      <c r="E12383" s="1092" t="n">
        <v>3</v>
      </c>
      <c r="F12383" s="681" t="n">
        <v>11500</v>
      </c>
      <c r="G12383" s="716" t="n">
        <f aca="false">F12383*E12383</f>
        <v>34500</v>
      </c>
      <c r="H12383" s="679"/>
    </row>
    <row r="12384" s="451" customFormat="true" ht="15" hidden="false" customHeight="false" outlineLevel="0" collapsed="false">
      <c r="A12384" s="1105"/>
      <c r="B12384" s="532"/>
      <c r="C12384" s="709" t="s">
        <v>4347</v>
      </c>
      <c r="D12384" s="679" t="s">
        <v>5788</v>
      </c>
      <c r="E12384" s="1092" t="n">
        <v>2</v>
      </c>
      <c r="F12384" s="681" t="n">
        <v>165</v>
      </c>
      <c r="G12384" s="716" t="n">
        <f aca="false">F12384*E12384</f>
        <v>330</v>
      </c>
      <c r="H12384" s="679"/>
    </row>
    <row r="12385" s="451" customFormat="true" ht="15" hidden="false" customHeight="false" outlineLevel="0" collapsed="false">
      <c r="A12385" s="1105"/>
      <c r="B12385" s="532"/>
      <c r="C12385" s="709" t="s">
        <v>4122</v>
      </c>
      <c r="D12385" s="679" t="s">
        <v>4359</v>
      </c>
      <c r="E12385" s="1092" t="n">
        <v>0.5</v>
      </c>
      <c r="F12385" s="681" t="n">
        <v>720</v>
      </c>
      <c r="G12385" s="716" t="n">
        <f aca="false">F12385*E12385</f>
        <v>360</v>
      </c>
      <c r="H12385" s="679"/>
    </row>
    <row r="12386" s="451" customFormat="true" ht="15" hidden="false" customHeight="false" outlineLevel="0" collapsed="false">
      <c r="A12386" s="1105"/>
      <c r="B12386" s="532"/>
      <c r="C12386" s="709" t="s">
        <v>4270</v>
      </c>
      <c r="D12386" s="679" t="s">
        <v>4359</v>
      </c>
      <c r="E12386" s="1092" t="n">
        <v>0.1</v>
      </c>
      <c r="F12386" s="681" t="n">
        <v>690</v>
      </c>
      <c r="G12386" s="716" t="n">
        <f aca="false">F12386*E12386</f>
        <v>69</v>
      </c>
      <c r="H12386" s="679"/>
    </row>
    <row r="12387" s="451" customFormat="true" ht="15" hidden="false" customHeight="false" outlineLevel="0" collapsed="false">
      <c r="A12387" s="1105"/>
      <c r="B12387" s="532"/>
      <c r="C12387" s="709" t="s">
        <v>6267</v>
      </c>
      <c r="D12387" s="679" t="s">
        <v>6268</v>
      </c>
      <c r="E12387" s="709" t="n">
        <v>5</v>
      </c>
      <c r="F12387" s="681" t="n">
        <v>280</v>
      </c>
      <c r="G12387" s="716" t="n">
        <f aca="false">F12387*E12387</f>
        <v>1400</v>
      </c>
      <c r="H12387" s="679"/>
    </row>
    <row r="12388" s="451" customFormat="true" ht="30" hidden="false" customHeight="false" outlineLevel="0" collapsed="false">
      <c r="A12388" s="1105"/>
      <c r="B12388" s="532"/>
      <c r="C12388" s="709" t="s">
        <v>6283</v>
      </c>
      <c r="D12388" s="679" t="s">
        <v>6416</v>
      </c>
      <c r="E12388" s="1092" t="n">
        <v>1</v>
      </c>
      <c r="F12388" s="681" t="n">
        <v>475</v>
      </c>
      <c r="G12388" s="716" t="n">
        <f aca="false">F12388*E12388</f>
        <v>475</v>
      </c>
      <c r="H12388" s="679"/>
    </row>
    <row r="12389" s="451" customFormat="true" ht="15" hidden="false" customHeight="false" outlineLevel="0" collapsed="false">
      <c r="A12389" s="1105"/>
      <c r="B12389" s="532"/>
      <c r="C12389" s="1086" t="s">
        <v>6278</v>
      </c>
      <c r="D12389" s="1087" t="s">
        <v>6310</v>
      </c>
      <c r="E12389" s="1086" t="n">
        <v>5</v>
      </c>
      <c r="F12389" s="1088" t="n">
        <v>78</v>
      </c>
      <c r="G12389" s="716" t="n">
        <f aca="false">F12389*E12389</f>
        <v>390</v>
      </c>
      <c r="H12389" s="679"/>
    </row>
    <row r="12390" s="451" customFormat="true" ht="15" hidden="false" customHeight="false" outlineLevel="0" collapsed="false">
      <c r="A12390" s="1105"/>
      <c r="B12390" s="532"/>
      <c r="C12390" s="709"/>
      <c r="D12390" s="679"/>
      <c r="E12390" s="709"/>
      <c r="F12390" s="681"/>
      <c r="G12390" s="711" t="n">
        <f aca="false">SUM(G12377:G12389)</f>
        <v>51146.85</v>
      </c>
      <c r="H12390" s="679"/>
    </row>
    <row r="12391" s="451" customFormat="true" ht="105" hidden="false" customHeight="false" outlineLevel="0" collapsed="false">
      <c r="A12391" s="1105" t="s">
        <v>6653</v>
      </c>
      <c r="B12391" s="487" t="s">
        <v>3979</v>
      </c>
      <c r="C12391" s="709" t="s">
        <v>6654</v>
      </c>
      <c r="D12391" s="679" t="s">
        <v>6261</v>
      </c>
      <c r="E12391" s="1092" t="n">
        <v>0.024</v>
      </c>
      <c r="F12391" s="681" t="n">
        <v>55112</v>
      </c>
      <c r="G12391" s="716" t="n">
        <f aca="false">F12391*E12391</f>
        <v>1322.688</v>
      </c>
      <c r="H12391" s="679"/>
    </row>
    <row r="12392" s="451" customFormat="true" ht="15" hidden="false" customHeight="false" outlineLevel="0" collapsed="false">
      <c r="A12392" s="1105"/>
      <c r="B12392" s="532"/>
      <c r="C12392" s="709" t="s">
        <v>6640</v>
      </c>
      <c r="D12392" s="679" t="s">
        <v>4348</v>
      </c>
      <c r="E12392" s="709" t="n">
        <v>66</v>
      </c>
      <c r="F12392" s="681" t="n">
        <v>602</v>
      </c>
      <c r="G12392" s="716" t="n">
        <v>198.66</v>
      </c>
      <c r="H12392" s="679"/>
    </row>
    <row r="12393" s="451" customFormat="true" ht="15" hidden="false" customHeight="false" outlineLevel="0" collapsed="false">
      <c r="A12393" s="1105"/>
      <c r="B12393" s="532"/>
      <c r="C12393" s="709" t="s">
        <v>6639</v>
      </c>
      <c r="D12393" s="679" t="s">
        <v>4133</v>
      </c>
      <c r="E12393" s="709" t="n">
        <v>0.009</v>
      </c>
      <c r="F12393" s="681" t="n">
        <v>3232</v>
      </c>
      <c r="G12393" s="716" t="n">
        <f aca="false">F12393*E12393</f>
        <v>29.088</v>
      </c>
      <c r="H12393" s="679"/>
    </row>
    <row r="12394" s="451" customFormat="true" ht="15" hidden="false" customHeight="false" outlineLevel="0" collapsed="false">
      <c r="A12394" s="1105"/>
      <c r="B12394" s="532"/>
      <c r="C12394" s="709" t="s">
        <v>5945</v>
      </c>
      <c r="D12394" s="679" t="s">
        <v>6643</v>
      </c>
      <c r="E12394" s="709" t="n">
        <v>2</v>
      </c>
      <c r="F12394" s="681" t="n">
        <v>1079</v>
      </c>
      <c r="G12394" s="716" t="n">
        <f aca="false">F12394*E12394</f>
        <v>2158</v>
      </c>
      <c r="H12394" s="679"/>
    </row>
    <row r="12395" s="451" customFormat="true" ht="15" hidden="false" customHeight="false" outlineLevel="0" collapsed="false">
      <c r="A12395" s="1105"/>
      <c r="B12395" s="532"/>
      <c r="C12395" s="709" t="s">
        <v>4124</v>
      </c>
      <c r="D12395" s="679" t="s">
        <v>4516</v>
      </c>
      <c r="E12395" s="709" t="n">
        <v>2</v>
      </c>
      <c r="F12395" s="681" t="n">
        <v>177</v>
      </c>
      <c r="G12395" s="716" t="n">
        <f aca="false">F12395*E12395</f>
        <v>354</v>
      </c>
      <c r="H12395" s="679"/>
    </row>
    <row r="12396" s="451" customFormat="true" ht="15" hidden="false" customHeight="false" outlineLevel="0" collapsed="false">
      <c r="A12396" s="1105"/>
      <c r="B12396" s="532"/>
      <c r="C12396" s="1086" t="s">
        <v>6280</v>
      </c>
      <c r="D12396" s="1087" t="s">
        <v>6311</v>
      </c>
      <c r="E12396" s="1086" t="n">
        <v>10</v>
      </c>
      <c r="F12396" s="1088" t="n">
        <v>842</v>
      </c>
      <c r="G12396" s="716" t="n">
        <f aca="false">F12396*E12396</f>
        <v>8420</v>
      </c>
      <c r="H12396" s="679"/>
    </row>
    <row r="12397" s="451" customFormat="true" ht="15" hidden="false" customHeight="false" outlineLevel="0" collapsed="false">
      <c r="A12397" s="1105"/>
      <c r="B12397" s="532"/>
      <c r="C12397" s="1086" t="s">
        <v>6278</v>
      </c>
      <c r="D12397" s="1087" t="s">
        <v>6310</v>
      </c>
      <c r="E12397" s="709" t="n">
        <v>10</v>
      </c>
      <c r="F12397" s="1088" t="n">
        <v>393</v>
      </c>
      <c r="G12397" s="716" t="n">
        <v>196.5</v>
      </c>
      <c r="H12397" s="679"/>
    </row>
    <row r="12398" s="451" customFormat="true" ht="15" hidden="false" customHeight="false" outlineLevel="0" collapsed="false">
      <c r="A12398" s="1105"/>
      <c r="B12398" s="532"/>
      <c r="C12398" s="709" t="s">
        <v>5826</v>
      </c>
      <c r="D12398" s="679" t="s">
        <v>4191</v>
      </c>
      <c r="E12398" s="709" t="n">
        <v>30</v>
      </c>
      <c r="F12398" s="681" t="n">
        <v>602</v>
      </c>
      <c r="G12398" s="716" t="n">
        <v>90.3</v>
      </c>
      <c r="H12398" s="679"/>
    </row>
    <row r="12399" s="451" customFormat="true" ht="30" hidden="false" customHeight="false" outlineLevel="0" collapsed="false">
      <c r="A12399" s="1105"/>
      <c r="B12399" s="532"/>
      <c r="C12399" s="709" t="s">
        <v>6283</v>
      </c>
      <c r="D12399" s="679" t="s">
        <v>4348</v>
      </c>
      <c r="E12399" s="709" t="n">
        <v>6</v>
      </c>
      <c r="F12399" s="681" t="n">
        <v>460</v>
      </c>
      <c r="G12399" s="716" t="n">
        <f aca="false">F12399*E12399</f>
        <v>2760</v>
      </c>
      <c r="H12399" s="679"/>
    </row>
    <row r="12400" s="451" customFormat="true" ht="30" hidden="false" customHeight="false" outlineLevel="0" collapsed="false">
      <c r="A12400" s="1105"/>
      <c r="B12400" s="532"/>
      <c r="C12400" s="709" t="s">
        <v>6282</v>
      </c>
      <c r="D12400" s="679" t="s">
        <v>4348</v>
      </c>
      <c r="E12400" s="1092" t="n">
        <v>6</v>
      </c>
      <c r="F12400" s="681" t="n">
        <v>11500</v>
      </c>
      <c r="G12400" s="716" t="n">
        <f aca="false">F12400*E12400</f>
        <v>69000</v>
      </c>
      <c r="H12400" s="679"/>
    </row>
    <row r="12401" s="451" customFormat="true" ht="15" hidden="false" customHeight="false" outlineLevel="0" collapsed="false">
      <c r="A12401" s="1105"/>
      <c r="B12401" s="532"/>
      <c r="C12401" s="709" t="s">
        <v>4347</v>
      </c>
      <c r="D12401" s="679" t="s">
        <v>5788</v>
      </c>
      <c r="E12401" s="709" t="n">
        <v>12</v>
      </c>
      <c r="F12401" s="681" t="n">
        <v>1106</v>
      </c>
      <c r="G12401" s="716" t="n">
        <f aca="false">E12401*F12401/100</f>
        <v>132.72</v>
      </c>
      <c r="H12401" s="679"/>
    </row>
    <row r="12402" s="451" customFormat="true" ht="15" hidden="false" customHeight="false" outlineLevel="0" collapsed="false">
      <c r="A12402" s="1105"/>
      <c r="B12402" s="532"/>
      <c r="C12402" s="709" t="s">
        <v>4122</v>
      </c>
      <c r="D12402" s="679" t="s">
        <v>4359</v>
      </c>
      <c r="E12402" s="1092" t="n">
        <v>0.5</v>
      </c>
      <c r="F12402" s="681" t="n">
        <v>800</v>
      </c>
      <c r="G12402" s="716" t="n">
        <f aca="false">F12402*E12402</f>
        <v>400</v>
      </c>
      <c r="H12402" s="679"/>
    </row>
    <row r="12403" s="451" customFormat="true" ht="15" hidden="false" customHeight="false" outlineLevel="0" collapsed="false">
      <c r="A12403" s="1105"/>
      <c r="B12403" s="532"/>
      <c r="C12403" s="709" t="s">
        <v>4270</v>
      </c>
      <c r="D12403" s="679" t="s">
        <v>4359</v>
      </c>
      <c r="E12403" s="1092" t="n">
        <v>0.5</v>
      </c>
      <c r="F12403" s="681" t="n">
        <v>9866</v>
      </c>
      <c r="G12403" s="716" t="n">
        <f aca="false">F12403*E12403</f>
        <v>4933</v>
      </c>
      <c r="H12403" s="679"/>
    </row>
    <row r="12404" s="451" customFormat="true" ht="15" hidden="false" customHeight="false" outlineLevel="0" collapsed="false">
      <c r="A12404" s="1105"/>
      <c r="B12404" s="532"/>
      <c r="C12404" s="709"/>
      <c r="D12404" s="679"/>
      <c r="E12404" s="709"/>
      <c r="F12404" s="681"/>
      <c r="G12404" s="711" t="n">
        <f aca="false">SUM(G12391:G12403)</f>
        <v>89994.956</v>
      </c>
      <c r="H12404" s="679"/>
    </row>
    <row r="12405" s="451" customFormat="true" ht="75" hidden="false" customHeight="false" outlineLevel="0" collapsed="false">
      <c r="A12405" s="1105" t="s">
        <v>6655</v>
      </c>
      <c r="B12405" s="487" t="s">
        <v>6656</v>
      </c>
      <c r="C12405" s="709" t="s">
        <v>6657</v>
      </c>
      <c r="D12405" s="679" t="s">
        <v>6658</v>
      </c>
      <c r="E12405" s="709" t="n">
        <v>0.12</v>
      </c>
      <c r="F12405" s="1114" t="n">
        <v>145521</v>
      </c>
      <c r="G12405" s="716" t="n">
        <f aca="false">F12405*E12405</f>
        <v>17462.52</v>
      </c>
      <c r="H12405" s="679"/>
    </row>
    <row r="12406" s="451" customFormat="true" ht="30" hidden="false" customHeight="false" outlineLevel="0" collapsed="false">
      <c r="A12406" s="1105"/>
      <c r="B12406" s="532"/>
      <c r="C12406" s="709" t="s">
        <v>6659</v>
      </c>
      <c r="D12406" s="679" t="s">
        <v>6336</v>
      </c>
      <c r="E12406" s="709" t="n">
        <v>0</v>
      </c>
      <c r="F12406" s="681" t="n">
        <v>23123</v>
      </c>
      <c r="G12406" s="716" t="n">
        <f aca="false">E12406*F12406/500</f>
        <v>0</v>
      </c>
      <c r="H12406" s="679"/>
    </row>
    <row r="12407" s="451" customFormat="true" ht="30" hidden="false" customHeight="false" outlineLevel="0" collapsed="false">
      <c r="A12407" s="1105"/>
      <c r="B12407" s="532"/>
      <c r="C12407" s="709" t="s">
        <v>6660</v>
      </c>
      <c r="D12407" s="679" t="s">
        <v>6336</v>
      </c>
      <c r="E12407" s="709" t="n">
        <v>0</v>
      </c>
      <c r="F12407" s="681" t="n">
        <v>52114</v>
      </c>
      <c r="G12407" s="716" t="n">
        <f aca="false">F12407*E12407/100</f>
        <v>0</v>
      </c>
      <c r="H12407" s="679"/>
    </row>
    <row r="12408" s="451" customFormat="true" ht="45" hidden="false" customHeight="false" outlineLevel="0" collapsed="false">
      <c r="A12408" s="1105"/>
      <c r="B12408" s="532"/>
      <c r="C12408" s="709" t="s">
        <v>6661</v>
      </c>
      <c r="D12408" s="679" t="s">
        <v>6336</v>
      </c>
      <c r="E12408" s="709" t="n">
        <v>0</v>
      </c>
      <c r="F12408" s="681" t="n">
        <v>28500</v>
      </c>
      <c r="G12408" s="716" t="n">
        <f aca="false">F12408*E12408/25</f>
        <v>0</v>
      </c>
      <c r="H12408" s="679"/>
    </row>
    <row r="12409" s="451" customFormat="true" ht="15" hidden="false" customHeight="false" outlineLevel="0" collapsed="false">
      <c r="A12409" s="1105"/>
      <c r="B12409" s="532"/>
      <c r="C12409" s="1086" t="s">
        <v>6280</v>
      </c>
      <c r="D12409" s="1087" t="s">
        <v>6311</v>
      </c>
      <c r="E12409" s="1086" t="n">
        <v>10</v>
      </c>
      <c r="F12409" s="1088" t="n">
        <v>842</v>
      </c>
      <c r="G12409" s="716" t="n">
        <f aca="false">F12409*E12409</f>
        <v>8420</v>
      </c>
      <c r="H12409" s="679"/>
    </row>
    <row r="12410" s="451" customFormat="true" ht="30" hidden="false" customHeight="false" outlineLevel="0" collapsed="false">
      <c r="A12410" s="1105"/>
      <c r="B12410" s="532"/>
      <c r="C12410" s="709" t="s">
        <v>6282</v>
      </c>
      <c r="D12410" s="679" t="s">
        <v>4348</v>
      </c>
      <c r="E12410" s="709" t="n">
        <v>2</v>
      </c>
      <c r="F12410" s="681" t="n">
        <v>11500</v>
      </c>
      <c r="G12410" s="716" t="n">
        <f aca="false">F12410*E12410</f>
        <v>23000</v>
      </c>
      <c r="H12410" s="679"/>
    </row>
    <row r="12411" s="451" customFormat="true" ht="15" hidden="false" customHeight="false" outlineLevel="0" collapsed="false">
      <c r="A12411" s="1105"/>
      <c r="B12411" s="532"/>
      <c r="C12411" s="709" t="s">
        <v>4347</v>
      </c>
      <c r="D12411" s="679" t="s">
        <v>5788</v>
      </c>
      <c r="E12411" s="709" t="n">
        <v>10</v>
      </c>
      <c r="F12411" s="681" t="n">
        <v>1106</v>
      </c>
      <c r="G12411" s="716" t="n">
        <v>265.44</v>
      </c>
      <c r="H12411" s="679"/>
    </row>
    <row r="12412" s="451" customFormat="true" ht="15" hidden="false" customHeight="false" outlineLevel="0" collapsed="false">
      <c r="A12412" s="1105"/>
      <c r="B12412" s="532"/>
      <c r="C12412" s="709" t="s">
        <v>4122</v>
      </c>
      <c r="D12412" s="679" t="s">
        <v>4359</v>
      </c>
      <c r="E12412" s="709" t="n">
        <v>0.5</v>
      </c>
      <c r="F12412" s="681" t="n">
        <v>800</v>
      </c>
      <c r="G12412" s="716" t="n">
        <f aca="false">F12412*E12412</f>
        <v>400</v>
      </c>
      <c r="H12412" s="679"/>
    </row>
    <row r="12413" s="451" customFormat="true" ht="15" hidden="false" customHeight="false" outlineLevel="0" collapsed="false">
      <c r="A12413" s="1105"/>
      <c r="B12413" s="532"/>
      <c r="C12413" s="709" t="s">
        <v>4270</v>
      </c>
      <c r="D12413" s="679" t="s">
        <v>4133</v>
      </c>
      <c r="E12413" s="709" t="n">
        <v>0.1</v>
      </c>
      <c r="F12413" s="681" t="n">
        <v>9866</v>
      </c>
      <c r="G12413" s="716" t="n">
        <f aca="false">F12413*E12413</f>
        <v>986.6</v>
      </c>
      <c r="H12413" s="679"/>
    </row>
    <row r="12414" s="451" customFormat="true" ht="15" hidden="false" customHeight="false" outlineLevel="0" collapsed="false">
      <c r="A12414" s="1105"/>
      <c r="B12414" s="532"/>
      <c r="C12414" s="1086" t="s">
        <v>6280</v>
      </c>
      <c r="D12414" s="1087" t="s">
        <v>6311</v>
      </c>
      <c r="E12414" s="1086" t="n">
        <v>6</v>
      </c>
      <c r="F12414" s="1088" t="n">
        <v>842</v>
      </c>
      <c r="G12414" s="716" t="n">
        <f aca="false">F12414*E12414</f>
        <v>5052</v>
      </c>
      <c r="H12414" s="679"/>
    </row>
    <row r="12415" s="451" customFormat="true" ht="15" hidden="false" customHeight="false" outlineLevel="0" collapsed="false">
      <c r="A12415" s="1105"/>
      <c r="B12415" s="532"/>
      <c r="C12415" s="709" t="s">
        <v>5819</v>
      </c>
      <c r="D12415" s="679" t="s">
        <v>6310</v>
      </c>
      <c r="E12415" s="709" t="n">
        <v>12</v>
      </c>
      <c r="F12415" s="1088" t="n">
        <v>393</v>
      </c>
      <c r="G12415" s="716" t="n">
        <v>196.5</v>
      </c>
      <c r="H12415" s="679"/>
    </row>
    <row r="12416" s="451" customFormat="true" ht="15" hidden="false" customHeight="false" outlineLevel="0" collapsed="false">
      <c r="A12416" s="1105"/>
      <c r="B12416" s="532"/>
      <c r="C12416" s="709" t="s">
        <v>5826</v>
      </c>
      <c r="D12416" s="679" t="s">
        <v>4191</v>
      </c>
      <c r="E12416" s="709" t="n">
        <v>66</v>
      </c>
      <c r="F12416" s="681" t="n">
        <v>602</v>
      </c>
      <c r="G12416" s="716" t="n">
        <v>198.66</v>
      </c>
      <c r="H12416" s="679"/>
    </row>
    <row r="12417" s="451" customFormat="true" ht="15" hidden="false" customHeight="false" outlineLevel="0" collapsed="false">
      <c r="A12417" s="1105"/>
      <c r="B12417" s="532"/>
      <c r="C12417" s="709"/>
      <c r="D12417" s="679"/>
      <c r="E12417" s="709"/>
      <c r="F12417" s="681"/>
      <c r="G12417" s="711" t="n">
        <f aca="false">SUM(G12405:G12416)</f>
        <v>55981.72</v>
      </c>
      <c r="H12417" s="679"/>
    </row>
    <row r="12418" s="451" customFormat="true" ht="75" hidden="false" customHeight="false" outlineLevel="0" collapsed="false">
      <c r="A12418" s="1105" t="s">
        <v>2511</v>
      </c>
      <c r="B12418" s="487" t="s">
        <v>6662</v>
      </c>
      <c r="C12418" s="709" t="s">
        <v>6657</v>
      </c>
      <c r="D12418" s="679" t="s">
        <v>6658</v>
      </c>
      <c r="E12418" s="709" t="n">
        <v>0.1</v>
      </c>
      <c r="F12418" s="1114" t="n">
        <v>145521</v>
      </c>
      <c r="G12418" s="716" t="n">
        <f aca="false">F12418*E12418</f>
        <v>14552.1</v>
      </c>
      <c r="H12418" s="679"/>
    </row>
    <row r="12419" s="451" customFormat="true" ht="42" hidden="false" customHeight="true" outlineLevel="0" collapsed="false">
      <c r="A12419" s="1105"/>
      <c r="B12419" s="532"/>
      <c r="C12419" s="709" t="s">
        <v>6659</v>
      </c>
      <c r="D12419" s="679" t="s">
        <v>6336</v>
      </c>
      <c r="E12419" s="709" t="n">
        <v>0</v>
      </c>
      <c r="F12419" s="681" t="n">
        <v>23123</v>
      </c>
      <c r="G12419" s="716" t="n">
        <f aca="false">E12419*F12419/500</f>
        <v>0</v>
      </c>
      <c r="H12419" s="679"/>
    </row>
    <row r="12420" s="451" customFormat="true" ht="30" hidden="false" customHeight="false" outlineLevel="0" collapsed="false">
      <c r="A12420" s="1105"/>
      <c r="B12420" s="532"/>
      <c r="C12420" s="709" t="s">
        <v>6660</v>
      </c>
      <c r="D12420" s="679" t="s">
        <v>6336</v>
      </c>
      <c r="E12420" s="709" t="n">
        <v>0</v>
      </c>
      <c r="F12420" s="681" t="n">
        <v>52114</v>
      </c>
      <c r="G12420" s="716" t="n">
        <f aca="false">F12420*E12420/100</f>
        <v>0</v>
      </c>
      <c r="H12420" s="679"/>
    </row>
    <row r="12421" s="451" customFormat="true" ht="45" hidden="false" customHeight="false" outlineLevel="0" collapsed="false">
      <c r="A12421" s="1105"/>
      <c r="B12421" s="532"/>
      <c r="C12421" s="709" t="s">
        <v>6661</v>
      </c>
      <c r="D12421" s="679" t="s">
        <v>6336</v>
      </c>
      <c r="E12421" s="709" t="n">
        <v>0</v>
      </c>
      <c r="F12421" s="681" t="n">
        <v>28500</v>
      </c>
      <c r="G12421" s="716" t="n">
        <f aca="false">F12421*E12421/25</f>
        <v>0</v>
      </c>
      <c r="H12421" s="679"/>
    </row>
    <row r="12422" s="451" customFormat="true" ht="30" hidden="false" customHeight="false" outlineLevel="0" collapsed="false">
      <c r="A12422" s="1105"/>
      <c r="B12422" s="532"/>
      <c r="C12422" s="709" t="s">
        <v>6282</v>
      </c>
      <c r="D12422" s="679" t="s">
        <v>4348</v>
      </c>
      <c r="E12422" s="709" t="n">
        <v>3</v>
      </c>
      <c r="F12422" s="681" t="n">
        <v>11500</v>
      </c>
      <c r="G12422" s="716" t="n">
        <f aca="false">F12422*E12422</f>
        <v>34500</v>
      </c>
      <c r="H12422" s="679"/>
    </row>
    <row r="12423" s="451" customFormat="true" ht="15" hidden="false" customHeight="false" outlineLevel="0" collapsed="false">
      <c r="A12423" s="1105"/>
      <c r="B12423" s="532"/>
      <c r="C12423" s="709" t="s">
        <v>4347</v>
      </c>
      <c r="D12423" s="679" t="s">
        <v>6621</v>
      </c>
      <c r="E12423" s="709" t="n">
        <v>12</v>
      </c>
      <c r="F12423" s="681" t="n">
        <v>1106</v>
      </c>
      <c r="G12423" s="716" t="n">
        <f aca="false">E12423*F12423/100</f>
        <v>132.72</v>
      </c>
      <c r="H12423" s="679"/>
    </row>
    <row r="12424" s="451" customFormat="true" ht="15" hidden="false" customHeight="false" outlineLevel="0" collapsed="false">
      <c r="A12424" s="1105"/>
      <c r="B12424" s="532"/>
      <c r="C12424" s="709" t="s">
        <v>4122</v>
      </c>
      <c r="D12424" s="679" t="s">
        <v>4359</v>
      </c>
      <c r="E12424" s="709" t="n">
        <v>0.5</v>
      </c>
      <c r="F12424" s="681" t="n">
        <v>800</v>
      </c>
      <c r="G12424" s="716" t="n">
        <f aca="false">F12424*E12424</f>
        <v>400</v>
      </c>
      <c r="H12424" s="679"/>
    </row>
    <row r="12425" s="451" customFormat="true" ht="15" hidden="false" customHeight="false" outlineLevel="0" collapsed="false">
      <c r="A12425" s="1105"/>
      <c r="B12425" s="532"/>
      <c r="C12425" s="709" t="s">
        <v>4270</v>
      </c>
      <c r="D12425" s="679" t="s">
        <v>4133</v>
      </c>
      <c r="E12425" s="709" t="n">
        <v>0.1</v>
      </c>
      <c r="F12425" s="681" t="n">
        <v>9866</v>
      </c>
      <c r="G12425" s="716" t="n">
        <f aca="false">F12425*E12425</f>
        <v>986.6</v>
      </c>
      <c r="H12425" s="679"/>
    </row>
    <row r="12426" s="451" customFormat="true" ht="15" hidden="false" customHeight="false" outlineLevel="0" collapsed="false">
      <c r="A12426" s="1105"/>
      <c r="B12426" s="532"/>
      <c r="C12426" s="1086" t="s">
        <v>6280</v>
      </c>
      <c r="D12426" s="1087" t="s">
        <v>6311</v>
      </c>
      <c r="E12426" s="1086" t="n">
        <v>10</v>
      </c>
      <c r="F12426" s="1088" t="n">
        <v>842</v>
      </c>
      <c r="G12426" s="716" t="n">
        <f aca="false">F12426*E12426</f>
        <v>8420</v>
      </c>
      <c r="H12426" s="679"/>
    </row>
    <row r="12427" s="451" customFormat="true" ht="15" hidden="false" customHeight="false" outlineLevel="0" collapsed="false">
      <c r="A12427" s="1105"/>
      <c r="B12427" s="532"/>
      <c r="C12427" s="709" t="s">
        <v>5819</v>
      </c>
      <c r="D12427" s="1087" t="s">
        <v>6310</v>
      </c>
      <c r="E12427" s="709" t="n">
        <v>10</v>
      </c>
      <c r="F12427" s="1088" t="n">
        <v>393</v>
      </c>
      <c r="G12427" s="716" t="n">
        <v>196.5</v>
      </c>
      <c r="H12427" s="679"/>
    </row>
    <row r="12428" s="451" customFormat="true" ht="15" hidden="false" customHeight="false" outlineLevel="0" collapsed="false">
      <c r="A12428" s="1105"/>
      <c r="B12428" s="532"/>
      <c r="C12428" s="709" t="s">
        <v>5826</v>
      </c>
      <c r="D12428" s="679" t="s">
        <v>4191</v>
      </c>
      <c r="E12428" s="709" t="n">
        <v>66</v>
      </c>
      <c r="F12428" s="681" t="n">
        <v>602</v>
      </c>
      <c r="G12428" s="716" t="n">
        <v>198.66</v>
      </c>
      <c r="H12428" s="679"/>
    </row>
    <row r="12429" s="451" customFormat="true" ht="15" hidden="false" customHeight="false" outlineLevel="0" collapsed="false">
      <c r="A12429" s="1105"/>
      <c r="B12429" s="532"/>
      <c r="C12429" s="709"/>
      <c r="D12429" s="679"/>
      <c r="E12429" s="709"/>
      <c r="F12429" s="681"/>
      <c r="G12429" s="711" t="n">
        <f aca="false">SUM(G12418:G12428)</f>
        <v>59386.58</v>
      </c>
      <c r="H12429" s="679"/>
    </row>
    <row r="12430" s="451" customFormat="true" ht="75" hidden="false" customHeight="false" outlineLevel="0" collapsed="false">
      <c r="A12430" s="1105" t="s">
        <v>6663</v>
      </c>
      <c r="B12430" s="487" t="s">
        <v>6664</v>
      </c>
      <c r="C12430" s="709" t="s">
        <v>6657</v>
      </c>
      <c r="D12430" s="679" t="s">
        <v>6658</v>
      </c>
      <c r="E12430" s="709" t="n">
        <v>0.1</v>
      </c>
      <c r="F12430" s="1114" t="n">
        <v>145521</v>
      </c>
      <c r="G12430" s="716" t="n">
        <f aca="false">F12430*E12430</f>
        <v>14552.1</v>
      </c>
      <c r="H12430" s="679"/>
    </row>
    <row r="12431" s="451" customFormat="true" ht="15" hidden="false" customHeight="false" outlineLevel="0" collapsed="false">
      <c r="A12431" s="1105"/>
      <c r="B12431" s="532"/>
      <c r="C12431" s="709" t="s">
        <v>6257</v>
      </c>
      <c r="D12431" s="679" t="s">
        <v>6380</v>
      </c>
      <c r="E12431" s="709" t="n">
        <v>0.1</v>
      </c>
      <c r="F12431" s="681" t="n">
        <v>45172</v>
      </c>
      <c r="G12431" s="716" t="n">
        <f aca="false">F12431*E12431</f>
        <v>4517.2</v>
      </c>
      <c r="H12431" s="679"/>
    </row>
    <row r="12432" s="451" customFormat="true" ht="45" hidden="false" customHeight="false" outlineLevel="0" collapsed="false">
      <c r="A12432" s="1105"/>
      <c r="B12432" s="532"/>
      <c r="C12432" s="709" t="s">
        <v>6661</v>
      </c>
      <c r="D12432" s="679" t="s">
        <v>6336</v>
      </c>
      <c r="E12432" s="709" t="n">
        <v>0</v>
      </c>
      <c r="F12432" s="681" t="n">
        <v>28500</v>
      </c>
      <c r="G12432" s="716" t="n">
        <f aca="false">F12432*E12432/25</f>
        <v>0</v>
      </c>
      <c r="H12432" s="679"/>
    </row>
    <row r="12433" s="451" customFormat="true" ht="15" hidden="false" customHeight="false" outlineLevel="0" collapsed="false">
      <c r="A12433" s="1105"/>
      <c r="B12433" s="532"/>
      <c r="C12433" s="709" t="s">
        <v>5826</v>
      </c>
      <c r="D12433" s="679" t="s">
        <v>4348</v>
      </c>
      <c r="E12433" s="709" t="n">
        <v>66</v>
      </c>
      <c r="F12433" s="681" t="n">
        <v>602</v>
      </c>
      <c r="G12433" s="716" t="n">
        <v>198.66</v>
      </c>
      <c r="H12433" s="679"/>
    </row>
    <row r="12434" s="451" customFormat="true" ht="15" hidden="false" customHeight="false" outlineLevel="0" collapsed="false">
      <c r="A12434" s="1105"/>
      <c r="B12434" s="532"/>
      <c r="C12434" s="709" t="s">
        <v>5819</v>
      </c>
      <c r="D12434" s="1087" t="s">
        <v>6310</v>
      </c>
      <c r="E12434" s="709" t="n">
        <v>10</v>
      </c>
      <c r="F12434" s="1088" t="n">
        <v>393</v>
      </c>
      <c r="G12434" s="716" t="n">
        <v>196.5</v>
      </c>
      <c r="H12434" s="679"/>
    </row>
    <row r="12435" s="451" customFormat="true" ht="15" hidden="false" customHeight="false" outlineLevel="0" collapsed="false">
      <c r="A12435" s="1105"/>
      <c r="B12435" s="532"/>
      <c r="C12435" s="1086" t="s">
        <v>6280</v>
      </c>
      <c r="D12435" s="1087" t="s">
        <v>6311</v>
      </c>
      <c r="E12435" s="1086" t="n">
        <v>12</v>
      </c>
      <c r="F12435" s="1088" t="n">
        <v>842</v>
      </c>
      <c r="G12435" s="716" t="n">
        <f aca="false">F12435*E12435</f>
        <v>10104</v>
      </c>
      <c r="H12435" s="679"/>
    </row>
    <row r="12436" s="451" customFormat="true" ht="30" hidden="false" customHeight="false" outlineLevel="0" collapsed="false">
      <c r="A12436" s="1105"/>
      <c r="B12436" s="532"/>
      <c r="C12436" s="709" t="s">
        <v>6282</v>
      </c>
      <c r="D12436" s="679" t="s">
        <v>4348</v>
      </c>
      <c r="E12436" s="709" t="n">
        <v>2</v>
      </c>
      <c r="F12436" s="681" t="n">
        <v>11500</v>
      </c>
      <c r="G12436" s="716" t="n">
        <f aca="false">F12436*E12436</f>
        <v>23000</v>
      </c>
      <c r="H12436" s="679"/>
    </row>
    <row r="12437" s="451" customFormat="true" ht="15" hidden="false" customHeight="false" outlineLevel="0" collapsed="false">
      <c r="A12437" s="1105"/>
      <c r="B12437" s="532"/>
      <c r="C12437" s="709" t="s">
        <v>4347</v>
      </c>
      <c r="D12437" s="679" t="s">
        <v>6621</v>
      </c>
      <c r="E12437" s="709" t="n">
        <v>8</v>
      </c>
      <c r="F12437" s="681" t="n">
        <v>1106</v>
      </c>
      <c r="G12437" s="716" t="n">
        <f aca="false">E12437*F12437/100</f>
        <v>88.48</v>
      </c>
      <c r="H12437" s="679"/>
    </row>
    <row r="12438" s="451" customFormat="true" ht="15" hidden="false" customHeight="false" outlineLevel="0" collapsed="false">
      <c r="A12438" s="1105"/>
      <c r="B12438" s="532"/>
      <c r="C12438" s="709" t="s">
        <v>4122</v>
      </c>
      <c r="D12438" s="679" t="s">
        <v>4359</v>
      </c>
      <c r="E12438" s="709" t="n">
        <v>0.5</v>
      </c>
      <c r="F12438" s="681" t="n">
        <v>800</v>
      </c>
      <c r="G12438" s="716" t="n">
        <f aca="false">F12438*E12438</f>
        <v>400</v>
      </c>
      <c r="H12438" s="679"/>
    </row>
    <row r="12439" s="451" customFormat="true" ht="15" hidden="false" customHeight="false" outlineLevel="0" collapsed="false">
      <c r="A12439" s="1105"/>
      <c r="B12439" s="532"/>
      <c r="C12439" s="709" t="s">
        <v>4270</v>
      </c>
      <c r="D12439" s="679" t="s">
        <v>4133</v>
      </c>
      <c r="E12439" s="709" t="n">
        <v>0.1</v>
      </c>
      <c r="F12439" s="681" t="n">
        <v>9866</v>
      </c>
      <c r="G12439" s="716" t="n">
        <f aca="false">F12439*E12439</f>
        <v>986.6</v>
      </c>
      <c r="H12439" s="679"/>
    </row>
    <row r="12440" s="451" customFormat="true" ht="15" hidden="false" customHeight="false" outlineLevel="0" collapsed="false">
      <c r="A12440" s="1105"/>
      <c r="B12440" s="532"/>
      <c r="C12440" s="709"/>
      <c r="D12440" s="679"/>
      <c r="E12440" s="709"/>
      <c r="F12440" s="681"/>
      <c r="G12440" s="711" t="n">
        <f aca="false">SUM(G12430:G12439)</f>
        <v>54043.54</v>
      </c>
      <c r="H12440" s="679"/>
    </row>
    <row r="12441" s="451" customFormat="true" ht="75" hidden="false" customHeight="false" outlineLevel="0" collapsed="false">
      <c r="A12441" s="1105" t="s">
        <v>2515</v>
      </c>
      <c r="B12441" s="487" t="s">
        <v>3983</v>
      </c>
      <c r="C12441" s="709" t="s">
        <v>6657</v>
      </c>
      <c r="D12441" s="679" t="s">
        <v>6658</v>
      </c>
      <c r="E12441" s="709" t="n">
        <v>0.04</v>
      </c>
      <c r="F12441" s="1114" t="n">
        <v>145521</v>
      </c>
      <c r="G12441" s="716" t="n">
        <f aca="false">F12441*E12441</f>
        <v>5820.84</v>
      </c>
      <c r="H12441" s="679"/>
    </row>
    <row r="12442" s="451" customFormat="true" ht="15" hidden="false" customHeight="false" outlineLevel="0" collapsed="false">
      <c r="A12442" s="1105"/>
      <c r="B12442" s="532"/>
      <c r="C12442" s="709" t="s">
        <v>6257</v>
      </c>
      <c r="D12442" s="679" t="s">
        <v>6641</v>
      </c>
      <c r="E12442" s="709" t="n">
        <v>0.1</v>
      </c>
      <c r="F12442" s="681" t="n">
        <v>45172</v>
      </c>
      <c r="G12442" s="716" t="n">
        <f aca="false">F12442*E12442</f>
        <v>4517.2</v>
      </c>
      <c r="H12442" s="679"/>
    </row>
    <row r="12443" s="451" customFormat="true" ht="45" hidden="false" customHeight="false" outlineLevel="0" collapsed="false">
      <c r="A12443" s="1105"/>
      <c r="B12443" s="532"/>
      <c r="C12443" s="709" t="s">
        <v>6661</v>
      </c>
      <c r="D12443" s="679" t="s">
        <v>6336</v>
      </c>
      <c r="E12443" s="709" t="n">
        <v>0</v>
      </c>
      <c r="F12443" s="681" t="n">
        <v>28500</v>
      </c>
      <c r="G12443" s="716" t="n">
        <f aca="false">F12443*E12443/25</f>
        <v>0</v>
      </c>
      <c r="H12443" s="679"/>
    </row>
    <row r="12444" s="451" customFormat="true" ht="15" hidden="false" customHeight="false" outlineLevel="0" collapsed="false">
      <c r="A12444" s="1105"/>
      <c r="B12444" s="532"/>
      <c r="C12444" s="709" t="s">
        <v>5826</v>
      </c>
      <c r="D12444" s="679" t="s">
        <v>4348</v>
      </c>
      <c r="E12444" s="709" t="n">
        <v>66</v>
      </c>
      <c r="F12444" s="681" t="n">
        <v>602</v>
      </c>
      <c r="G12444" s="716" t="n">
        <v>198.66</v>
      </c>
      <c r="H12444" s="679"/>
    </row>
    <row r="12445" s="451" customFormat="true" ht="15" hidden="false" customHeight="false" outlineLevel="0" collapsed="false">
      <c r="A12445" s="1105"/>
      <c r="B12445" s="532"/>
      <c r="C12445" s="709" t="s">
        <v>5819</v>
      </c>
      <c r="D12445" s="1087" t="s">
        <v>6310</v>
      </c>
      <c r="E12445" s="709" t="n">
        <v>10</v>
      </c>
      <c r="F12445" s="1088" t="n">
        <v>393</v>
      </c>
      <c r="G12445" s="716" t="n">
        <v>196.5</v>
      </c>
      <c r="H12445" s="679"/>
    </row>
    <row r="12446" s="451" customFormat="true" ht="15" hidden="false" customHeight="false" outlineLevel="0" collapsed="false">
      <c r="A12446" s="1105"/>
      <c r="B12446" s="532"/>
      <c r="C12446" s="1086" t="s">
        <v>6280</v>
      </c>
      <c r="D12446" s="1087" t="s">
        <v>6311</v>
      </c>
      <c r="E12446" s="1086" t="n">
        <v>6</v>
      </c>
      <c r="F12446" s="1088" t="n">
        <v>842</v>
      </c>
      <c r="G12446" s="716" t="n">
        <f aca="false">F12446*E12446</f>
        <v>5052</v>
      </c>
      <c r="H12446" s="679"/>
    </row>
    <row r="12447" s="451" customFormat="true" ht="30" hidden="false" customHeight="false" outlineLevel="0" collapsed="false">
      <c r="A12447" s="1105"/>
      <c r="B12447" s="532"/>
      <c r="C12447" s="709" t="s">
        <v>6282</v>
      </c>
      <c r="D12447" s="679" t="s">
        <v>4348</v>
      </c>
      <c r="E12447" s="709" t="n">
        <v>3</v>
      </c>
      <c r="F12447" s="681" t="n">
        <v>11500</v>
      </c>
      <c r="G12447" s="716" t="n">
        <f aca="false">F12447*E12447</f>
        <v>34500</v>
      </c>
      <c r="H12447" s="679"/>
    </row>
    <row r="12448" s="451" customFormat="true" ht="15" hidden="false" customHeight="false" outlineLevel="0" collapsed="false">
      <c r="A12448" s="1105"/>
      <c r="B12448" s="532"/>
      <c r="C12448" s="709" t="s">
        <v>4347</v>
      </c>
      <c r="D12448" s="679" t="s">
        <v>6621</v>
      </c>
      <c r="E12448" s="709" t="n">
        <v>8</v>
      </c>
      <c r="F12448" s="681" t="n">
        <v>1106</v>
      </c>
      <c r="G12448" s="716" t="n">
        <f aca="false">E12448*F12448/100</f>
        <v>88.48</v>
      </c>
      <c r="H12448" s="679"/>
    </row>
    <row r="12449" s="451" customFormat="true" ht="15" hidden="false" customHeight="false" outlineLevel="0" collapsed="false">
      <c r="A12449" s="1105"/>
      <c r="B12449" s="532"/>
      <c r="C12449" s="709" t="s">
        <v>4122</v>
      </c>
      <c r="D12449" s="679" t="s">
        <v>4359</v>
      </c>
      <c r="E12449" s="709" t="n">
        <v>0.3</v>
      </c>
      <c r="F12449" s="681" t="n">
        <v>800</v>
      </c>
      <c r="G12449" s="716" t="n">
        <f aca="false">F12449*E12449</f>
        <v>240</v>
      </c>
      <c r="H12449" s="679"/>
    </row>
    <row r="12450" s="451" customFormat="true" ht="15" hidden="false" customHeight="false" outlineLevel="0" collapsed="false">
      <c r="A12450" s="1105"/>
      <c r="B12450" s="532"/>
      <c r="C12450" s="709" t="s">
        <v>4270</v>
      </c>
      <c r="D12450" s="679" t="s">
        <v>4133</v>
      </c>
      <c r="E12450" s="709" t="n">
        <v>0.1</v>
      </c>
      <c r="F12450" s="681" t="n">
        <v>9866</v>
      </c>
      <c r="G12450" s="716" t="n">
        <f aca="false">F12450*E12450</f>
        <v>986.6</v>
      </c>
      <c r="H12450" s="679"/>
    </row>
    <row r="12451" s="451" customFormat="true" ht="15" hidden="false" customHeight="false" outlineLevel="0" collapsed="false">
      <c r="A12451" s="1105"/>
      <c r="B12451" s="532"/>
      <c r="C12451" s="709"/>
      <c r="D12451" s="679"/>
      <c r="E12451" s="709"/>
      <c r="F12451" s="681"/>
      <c r="G12451" s="711" t="n">
        <f aca="false">SUM(G12441:G12450)</f>
        <v>51600.28</v>
      </c>
      <c r="H12451" s="679"/>
    </row>
    <row r="12452" s="451" customFormat="true" ht="90" hidden="false" customHeight="false" outlineLevel="0" collapsed="false">
      <c r="A12452" s="1105" t="s">
        <v>6665</v>
      </c>
      <c r="B12452" s="487" t="s">
        <v>6666</v>
      </c>
      <c r="C12452" s="709" t="s">
        <v>6500</v>
      </c>
      <c r="D12452" s="679" t="s">
        <v>6641</v>
      </c>
      <c r="E12452" s="709" t="n">
        <v>0.064</v>
      </c>
      <c r="F12452" s="681" t="n">
        <v>78841</v>
      </c>
      <c r="G12452" s="716" t="n">
        <f aca="false">F12452*E12452</f>
        <v>5045.824</v>
      </c>
      <c r="H12452" s="679"/>
    </row>
    <row r="12453" s="451" customFormat="true" ht="15" hidden="false" customHeight="false" outlineLevel="0" collapsed="false">
      <c r="A12453" s="1105"/>
      <c r="B12453" s="532"/>
      <c r="C12453" s="709" t="s">
        <v>6667</v>
      </c>
      <c r="D12453" s="679" t="s">
        <v>6336</v>
      </c>
      <c r="E12453" s="709" t="n">
        <v>0</v>
      </c>
      <c r="F12453" s="681" t="n">
        <v>23123</v>
      </c>
      <c r="G12453" s="716" t="n">
        <f aca="false">E12453*F12453/500</f>
        <v>0</v>
      </c>
      <c r="H12453" s="679"/>
    </row>
    <row r="12454" s="451" customFormat="true" ht="15" hidden="false" customHeight="false" outlineLevel="0" collapsed="false">
      <c r="A12454" s="1105"/>
      <c r="B12454" s="532"/>
      <c r="C12454" s="709" t="s">
        <v>6668</v>
      </c>
      <c r="D12454" s="679" t="s">
        <v>4348</v>
      </c>
      <c r="E12454" s="709" t="n">
        <v>66</v>
      </c>
      <c r="F12454" s="681" t="n">
        <v>602</v>
      </c>
      <c r="G12454" s="716" t="n">
        <v>198.66</v>
      </c>
      <c r="H12454" s="679"/>
    </row>
    <row r="12455" s="451" customFormat="true" ht="15" hidden="false" customHeight="false" outlineLevel="0" collapsed="false">
      <c r="A12455" s="1105"/>
      <c r="B12455" s="532"/>
      <c r="C12455" s="709" t="s">
        <v>5819</v>
      </c>
      <c r="D12455" s="1087" t="s">
        <v>6310</v>
      </c>
      <c r="E12455" s="709" t="n">
        <v>10</v>
      </c>
      <c r="F12455" s="1088" t="n">
        <v>393</v>
      </c>
      <c r="G12455" s="716" t="n">
        <v>196.5</v>
      </c>
      <c r="H12455" s="679"/>
    </row>
    <row r="12456" s="451" customFormat="true" ht="15" hidden="false" customHeight="false" outlineLevel="0" collapsed="false">
      <c r="A12456" s="1105"/>
      <c r="B12456" s="532"/>
      <c r="C12456" s="1086" t="s">
        <v>6280</v>
      </c>
      <c r="D12456" s="1087" t="s">
        <v>6311</v>
      </c>
      <c r="E12456" s="1086" t="n">
        <v>10</v>
      </c>
      <c r="F12456" s="1088" t="n">
        <v>842</v>
      </c>
      <c r="G12456" s="716" t="n">
        <f aca="false">F12456*E12456</f>
        <v>8420</v>
      </c>
      <c r="H12456" s="679"/>
    </row>
    <row r="12457" s="451" customFormat="true" ht="30" hidden="false" customHeight="false" outlineLevel="0" collapsed="false">
      <c r="A12457" s="1105"/>
      <c r="B12457" s="532"/>
      <c r="C12457" s="709" t="s">
        <v>6282</v>
      </c>
      <c r="D12457" s="679" t="s">
        <v>4348</v>
      </c>
      <c r="E12457" s="709" t="n">
        <v>3</v>
      </c>
      <c r="F12457" s="681" t="n">
        <v>11500</v>
      </c>
      <c r="G12457" s="716" t="n">
        <f aca="false">F12457*E12457</f>
        <v>34500</v>
      </c>
      <c r="H12457" s="679"/>
    </row>
    <row r="12458" s="451" customFormat="true" ht="15" hidden="false" customHeight="false" outlineLevel="0" collapsed="false">
      <c r="A12458" s="1105"/>
      <c r="B12458" s="532"/>
      <c r="C12458" s="709" t="s">
        <v>4347</v>
      </c>
      <c r="D12458" s="679" t="s">
        <v>6621</v>
      </c>
      <c r="E12458" s="709" t="n">
        <v>8</v>
      </c>
      <c r="F12458" s="681" t="n">
        <v>1106</v>
      </c>
      <c r="G12458" s="716" t="n">
        <f aca="false">E12458*F12458/100</f>
        <v>88.48</v>
      </c>
      <c r="H12458" s="679"/>
    </row>
    <row r="12459" s="451" customFormat="true" ht="15" hidden="false" customHeight="false" outlineLevel="0" collapsed="false">
      <c r="A12459" s="1105"/>
      <c r="B12459" s="532"/>
      <c r="C12459" s="709" t="s">
        <v>4122</v>
      </c>
      <c r="D12459" s="679" t="s">
        <v>4359</v>
      </c>
      <c r="E12459" s="709" t="n">
        <v>0.5</v>
      </c>
      <c r="F12459" s="681" t="n">
        <v>800</v>
      </c>
      <c r="G12459" s="716" t="n">
        <f aca="false">F12459*E12459</f>
        <v>400</v>
      </c>
      <c r="H12459" s="679"/>
    </row>
    <row r="12460" s="451" customFormat="true" ht="15" hidden="false" customHeight="false" outlineLevel="0" collapsed="false">
      <c r="A12460" s="1105"/>
      <c r="B12460" s="532"/>
      <c r="C12460" s="709" t="s">
        <v>4270</v>
      </c>
      <c r="D12460" s="679" t="s">
        <v>4133</v>
      </c>
      <c r="E12460" s="709" t="n">
        <v>0.1</v>
      </c>
      <c r="F12460" s="681" t="n">
        <v>9866</v>
      </c>
      <c r="G12460" s="716" t="n">
        <f aca="false">F12460*E12460</f>
        <v>986.6</v>
      </c>
      <c r="H12460" s="679"/>
    </row>
    <row r="12461" s="451" customFormat="true" ht="15" hidden="false" customHeight="false" outlineLevel="0" collapsed="false">
      <c r="A12461" s="1105"/>
      <c r="B12461" s="532"/>
      <c r="C12461" s="709"/>
      <c r="D12461" s="679"/>
      <c r="E12461" s="709"/>
      <c r="F12461" s="681"/>
      <c r="G12461" s="711" t="n">
        <f aca="false">SUM(G12452:G12460)</f>
        <v>49836.064</v>
      </c>
      <c r="H12461" s="679"/>
    </row>
    <row r="12462" s="451" customFormat="true" ht="90" hidden="false" customHeight="false" outlineLevel="0" collapsed="false">
      <c r="A12462" s="1105" t="s">
        <v>2519</v>
      </c>
      <c r="B12462" s="487" t="s">
        <v>6669</v>
      </c>
      <c r="C12462" s="709" t="s">
        <v>6500</v>
      </c>
      <c r="D12462" s="679" t="s">
        <v>6641</v>
      </c>
      <c r="E12462" s="709" t="n">
        <v>0.064</v>
      </c>
      <c r="F12462" s="681" t="n">
        <v>78841</v>
      </c>
      <c r="G12462" s="716" t="n">
        <f aca="false">F12462*E12462</f>
        <v>5045.824</v>
      </c>
      <c r="H12462" s="679"/>
    </row>
    <row r="12463" s="451" customFormat="true" ht="15" hidden="false" customHeight="false" outlineLevel="0" collapsed="false">
      <c r="A12463" s="1105"/>
      <c r="B12463" s="532"/>
      <c r="C12463" s="709" t="s">
        <v>6667</v>
      </c>
      <c r="D12463" s="679" t="s">
        <v>6336</v>
      </c>
      <c r="E12463" s="709" t="n">
        <v>0</v>
      </c>
      <c r="F12463" s="681" t="n">
        <v>23123</v>
      </c>
      <c r="G12463" s="716" t="n">
        <f aca="false">E12463*F12463/500</f>
        <v>0</v>
      </c>
      <c r="H12463" s="679"/>
    </row>
    <row r="12464" s="451" customFormat="true" ht="15" hidden="false" customHeight="false" outlineLevel="0" collapsed="false">
      <c r="A12464" s="1105"/>
      <c r="B12464" s="532"/>
      <c r="C12464" s="709" t="s">
        <v>5826</v>
      </c>
      <c r="D12464" s="679" t="s">
        <v>4348</v>
      </c>
      <c r="E12464" s="709" t="n">
        <v>66</v>
      </c>
      <c r="F12464" s="681" t="n">
        <v>602</v>
      </c>
      <c r="G12464" s="716" t="n">
        <v>198.66</v>
      </c>
      <c r="H12464" s="679"/>
    </row>
    <row r="12465" s="451" customFormat="true" ht="15" hidden="false" customHeight="false" outlineLevel="0" collapsed="false">
      <c r="A12465" s="1105"/>
      <c r="B12465" s="532"/>
      <c r="C12465" s="709" t="s">
        <v>5819</v>
      </c>
      <c r="D12465" s="1087" t="s">
        <v>6310</v>
      </c>
      <c r="E12465" s="709" t="n">
        <v>10</v>
      </c>
      <c r="F12465" s="1088" t="n">
        <v>393</v>
      </c>
      <c r="G12465" s="716" t="n">
        <v>196.5</v>
      </c>
      <c r="H12465" s="679"/>
    </row>
    <row r="12466" s="451" customFormat="true" ht="39" hidden="false" customHeight="true" outlineLevel="0" collapsed="false">
      <c r="A12466" s="1105"/>
      <c r="B12466" s="532"/>
      <c r="C12466" s="1086" t="s">
        <v>6280</v>
      </c>
      <c r="D12466" s="1087" t="s">
        <v>6311</v>
      </c>
      <c r="E12466" s="1086" t="n">
        <v>7</v>
      </c>
      <c r="F12466" s="1088" t="n">
        <v>842</v>
      </c>
      <c r="G12466" s="716" t="n">
        <f aca="false">F12466*E12466</f>
        <v>5894</v>
      </c>
      <c r="H12466" s="679"/>
    </row>
    <row r="12467" s="451" customFormat="true" ht="30" hidden="false" customHeight="false" outlineLevel="0" collapsed="false">
      <c r="A12467" s="1105"/>
      <c r="B12467" s="532"/>
      <c r="C12467" s="709" t="s">
        <v>6282</v>
      </c>
      <c r="D12467" s="679" t="s">
        <v>4348</v>
      </c>
      <c r="E12467" s="709" t="n">
        <v>3</v>
      </c>
      <c r="F12467" s="681" t="n">
        <v>11500</v>
      </c>
      <c r="G12467" s="716" t="n">
        <f aca="false">F12467*E12467</f>
        <v>34500</v>
      </c>
      <c r="H12467" s="679"/>
    </row>
    <row r="12468" s="451" customFormat="true" ht="15" hidden="false" customHeight="false" outlineLevel="0" collapsed="false">
      <c r="A12468" s="1105"/>
      <c r="B12468" s="532"/>
      <c r="C12468" s="709" t="s">
        <v>4347</v>
      </c>
      <c r="D12468" s="679" t="s">
        <v>6621</v>
      </c>
      <c r="E12468" s="709" t="n">
        <v>10</v>
      </c>
      <c r="F12468" s="681" t="n">
        <v>1106</v>
      </c>
      <c r="G12468" s="716" t="n">
        <f aca="false">E12468*F12468/100</f>
        <v>110.6</v>
      </c>
      <c r="H12468" s="679"/>
    </row>
    <row r="12469" s="451" customFormat="true" ht="15" hidden="false" customHeight="false" outlineLevel="0" collapsed="false">
      <c r="A12469" s="1105"/>
      <c r="B12469" s="532"/>
      <c r="C12469" s="709" t="s">
        <v>4122</v>
      </c>
      <c r="D12469" s="679" t="s">
        <v>4359</v>
      </c>
      <c r="E12469" s="709" t="n">
        <v>0.5</v>
      </c>
      <c r="F12469" s="681" t="n">
        <v>800</v>
      </c>
      <c r="G12469" s="716" t="n">
        <f aca="false">F12469*E12469</f>
        <v>400</v>
      </c>
      <c r="H12469" s="679"/>
    </row>
    <row r="12470" s="451" customFormat="true" ht="15" hidden="false" customHeight="false" outlineLevel="0" collapsed="false">
      <c r="A12470" s="1105"/>
      <c r="B12470" s="532"/>
      <c r="C12470" s="709" t="s">
        <v>4270</v>
      </c>
      <c r="D12470" s="679" t="s">
        <v>4133</v>
      </c>
      <c r="E12470" s="709" t="n">
        <v>0.1</v>
      </c>
      <c r="F12470" s="681" t="n">
        <v>9866</v>
      </c>
      <c r="G12470" s="716" t="n">
        <f aca="false">F12470*E12470</f>
        <v>986.6</v>
      </c>
      <c r="H12470" s="679"/>
    </row>
    <row r="12471" s="451" customFormat="true" ht="15" hidden="false" customHeight="false" outlineLevel="0" collapsed="false">
      <c r="A12471" s="1105"/>
      <c r="B12471" s="532"/>
      <c r="C12471" s="709"/>
      <c r="D12471" s="679"/>
      <c r="E12471" s="709"/>
      <c r="F12471" s="681"/>
      <c r="G12471" s="711" t="n">
        <f aca="false">SUM(G12462:G12470)</f>
        <v>47332.184</v>
      </c>
      <c r="H12471" s="679"/>
    </row>
    <row r="12472" s="451" customFormat="true" ht="15" hidden="false" customHeight="false" outlineLevel="0" collapsed="false">
      <c r="A12472" s="510" t="s">
        <v>2521</v>
      </c>
      <c r="B12472" s="346" t="s">
        <v>3751</v>
      </c>
      <c r="C12472" s="601"/>
      <c r="D12472" s="600"/>
      <c r="E12472" s="601"/>
      <c r="F12472" s="1115"/>
      <c r="G12472" s="753"/>
      <c r="H12472" s="600"/>
    </row>
    <row r="12473" s="451" customFormat="true" ht="45" hidden="false" customHeight="false" outlineLevel="0" collapsed="false">
      <c r="A12473" s="1105" t="s">
        <v>6670</v>
      </c>
      <c r="B12473" s="1116" t="s">
        <v>6671</v>
      </c>
      <c r="C12473" s="709" t="s">
        <v>6257</v>
      </c>
      <c r="D12473" s="679" t="s">
        <v>6672</v>
      </c>
      <c r="E12473" s="899" t="n">
        <v>0.2</v>
      </c>
      <c r="F12473" s="681" t="n">
        <v>44141</v>
      </c>
      <c r="G12473" s="716" t="n">
        <f aca="false">(F12473/200)*0.2</f>
        <v>44.141</v>
      </c>
      <c r="H12473" s="679"/>
    </row>
    <row r="12474" s="451" customFormat="true" ht="15" hidden="false" customHeight="false" outlineLevel="0" collapsed="false">
      <c r="A12474" s="1105"/>
      <c r="B12474" s="1116"/>
      <c r="C12474" s="709" t="s">
        <v>6419</v>
      </c>
      <c r="D12474" s="679" t="s">
        <v>6672</v>
      </c>
      <c r="E12474" s="709" t="n">
        <v>0.2</v>
      </c>
      <c r="F12474" s="681" t="n">
        <v>34700</v>
      </c>
      <c r="G12474" s="716" t="n">
        <f aca="false">(F12474/200)*0.2</f>
        <v>34.7</v>
      </c>
      <c r="H12474" s="679"/>
    </row>
    <row r="12475" s="451" customFormat="true" ht="15" hidden="false" customHeight="false" outlineLevel="0" collapsed="false">
      <c r="A12475" s="1105"/>
      <c r="B12475" s="1116"/>
      <c r="C12475" s="709" t="s">
        <v>6673</v>
      </c>
      <c r="D12475" s="679" t="s">
        <v>6336</v>
      </c>
      <c r="E12475" s="709" t="n">
        <v>0.2</v>
      </c>
      <c r="F12475" s="681" t="n">
        <v>41249</v>
      </c>
      <c r="G12475" s="716" t="n">
        <f aca="false">(F12475/500)*0.2</f>
        <v>16.4996</v>
      </c>
      <c r="H12475" s="679"/>
    </row>
    <row r="12476" s="451" customFormat="true" ht="15" hidden="false" customHeight="false" outlineLevel="0" collapsed="false">
      <c r="A12476" s="1105"/>
      <c r="B12476" s="1116"/>
      <c r="C12476" s="1086" t="s">
        <v>6280</v>
      </c>
      <c r="D12476" s="1087" t="s">
        <v>6311</v>
      </c>
      <c r="E12476" s="1086" t="n">
        <v>1</v>
      </c>
      <c r="F12476" s="1088" t="n">
        <v>842</v>
      </c>
      <c r="G12476" s="716" t="n">
        <f aca="false">F12476/10</f>
        <v>84.2</v>
      </c>
      <c r="H12476" s="679"/>
    </row>
    <row r="12477" s="451" customFormat="true" ht="30" hidden="false" customHeight="false" outlineLevel="0" collapsed="false">
      <c r="A12477" s="1105"/>
      <c r="B12477" s="1116"/>
      <c r="C12477" s="709" t="s">
        <v>6282</v>
      </c>
      <c r="D12477" s="679" t="s">
        <v>4348</v>
      </c>
      <c r="E12477" s="899" t="n">
        <v>1</v>
      </c>
      <c r="F12477" s="681" t="n">
        <v>11500</v>
      </c>
      <c r="G12477" s="716" t="n">
        <f aca="false">F12477*E12477</f>
        <v>11500</v>
      </c>
      <c r="H12477" s="679"/>
    </row>
    <row r="12478" s="451" customFormat="true" ht="15" hidden="false" customHeight="false" outlineLevel="0" collapsed="false">
      <c r="A12478" s="1105"/>
      <c r="B12478" s="1116"/>
      <c r="C12478" s="709" t="s">
        <v>4347</v>
      </c>
      <c r="D12478" s="679" t="s">
        <v>6621</v>
      </c>
      <c r="E12478" s="899" t="n">
        <v>2</v>
      </c>
      <c r="F12478" s="681" t="n">
        <v>1106</v>
      </c>
      <c r="G12478" s="716" t="n">
        <f aca="false">E12478*F12478/100</f>
        <v>22.12</v>
      </c>
      <c r="H12478" s="679"/>
    </row>
    <row r="12479" s="451" customFormat="true" ht="15" hidden="false" customHeight="false" outlineLevel="0" collapsed="false">
      <c r="A12479" s="1105"/>
      <c r="B12479" s="1116"/>
      <c r="C12479" s="709" t="s">
        <v>4122</v>
      </c>
      <c r="D12479" s="679" t="s">
        <v>4359</v>
      </c>
      <c r="E12479" s="899" t="n">
        <v>0.2</v>
      </c>
      <c r="F12479" s="681" t="n">
        <v>800</v>
      </c>
      <c r="G12479" s="1117" t="n">
        <f aca="false">(800/1000)*0.2</f>
        <v>0.16</v>
      </c>
      <c r="H12479" s="679"/>
    </row>
    <row r="12480" s="451" customFormat="true" ht="15" hidden="false" customHeight="false" outlineLevel="0" collapsed="false">
      <c r="A12480" s="1105"/>
      <c r="B12480" s="1116"/>
      <c r="C12480" s="709" t="s">
        <v>4270</v>
      </c>
      <c r="D12480" s="679" t="s">
        <v>4133</v>
      </c>
      <c r="E12480" s="899" t="n">
        <v>0.1</v>
      </c>
      <c r="F12480" s="681" t="n">
        <v>9866</v>
      </c>
      <c r="G12480" s="716" t="n">
        <f aca="false">(F12480/1000)*0.1</f>
        <v>0.9866</v>
      </c>
      <c r="H12480" s="679"/>
    </row>
    <row r="12481" s="451" customFormat="true" ht="15" hidden="false" customHeight="false" outlineLevel="0" collapsed="false">
      <c r="A12481" s="1105"/>
      <c r="B12481" s="1116"/>
      <c r="C12481" s="718"/>
      <c r="D12481" s="719"/>
      <c r="E12481" s="1118"/>
      <c r="F12481" s="1119"/>
      <c r="G12481" s="711" t="n">
        <f aca="false">SUM(G12473:G12480)</f>
        <v>11702.8072</v>
      </c>
      <c r="H12481" s="679"/>
    </row>
    <row r="12482" s="451" customFormat="true" ht="28.5" hidden="false" customHeight="false" outlineLevel="0" collapsed="false">
      <c r="A12482" s="339" t="s">
        <v>6674</v>
      </c>
      <c r="B12482" s="495" t="s">
        <v>6675</v>
      </c>
      <c r="C12482" s="600" t="s">
        <v>6257</v>
      </c>
      <c r="D12482" s="600" t="s">
        <v>6672</v>
      </c>
      <c r="E12482" s="600" t="n">
        <v>2</v>
      </c>
      <c r="F12482" s="600" t="n">
        <v>44141</v>
      </c>
      <c r="G12482" s="600" t="n">
        <f aca="false">F12482*E12482/500</f>
        <v>176.564</v>
      </c>
      <c r="H12482" s="600"/>
    </row>
    <row r="12483" s="451" customFormat="true" ht="15" hidden="false" customHeight="false" outlineLevel="0" collapsed="false">
      <c r="A12483" s="1105"/>
      <c r="B12483" s="522"/>
      <c r="C12483" s="709" t="s">
        <v>6676</v>
      </c>
      <c r="D12483" s="679" t="s">
        <v>6677</v>
      </c>
      <c r="E12483" s="899" t="n">
        <v>15</v>
      </c>
      <c r="F12483" s="681" t="n">
        <v>3776</v>
      </c>
      <c r="G12483" s="716" t="n">
        <v>566.4</v>
      </c>
      <c r="H12483" s="679"/>
    </row>
    <row r="12484" s="451" customFormat="true" ht="30" hidden="false" customHeight="false" outlineLevel="0" collapsed="false">
      <c r="A12484" s="1105"/>
      <c r="B12484" s="522"/>
      <c r="C12484" s="709" t="s">
        <v>6282</v>
      </c>
      <c r="D12484" s="679" t="s">
        <v>4348</v>
      </c>
      <c r="E12484" s="899" t="n">
        <v>1</v>
      </c>
      <c r="F12484" s="681" t="n">
        <v>11500</v>
      </c>
      <c r="G12484" s="716" t="n">
        <f aca="false">F12484*E12484</f>
        <v>11500</v>
      </c>
      <c r="H12484" s="679"/>
    </row>
    <row r="12485" s="451" customFormat="true" ht="15" hidden="false" customHeight="false" outlineLevel="0" collapsed="false">
      <c r="A12485" s="1105"/>
      <c r="B12485" s="522"/>
      <c r="C12485" s="709" t="s">
        <v>4347</v>
      </c>
      <c r="D12485" s="679" t="s">
        <v>6621</v>
      </c>
      <c r="E12485" s="899" t="n">
        <v>2</v>
      </c>
      <c r="F12485" s="681" t="n">
        <v>1106</v>
      </c>
      <c r="G12485" s="716" t="n">
        <f aca="false">E12485*F12485/100</f>
        <v>22.12</v>
      </c>
      <c r="H12485" s="679"/>
    </row>
    <row r="12486" s="451" customFormat="true" ht="15" hidden="false" customHeight="false" outlineLevel="0" collapsed="false">
      <c r="A12486" s="1105"/>
      <c r="B12486" s="522"/>
      <c r="C12486" s="1086" t="s">
        <v>6280</v>
      </c>
      <c r="D12486" s="1087" t="s">
        <v>6311</v>
      </c>
      <c r="E12486" s="1086" t="n">
        <v>1</v>
      </c>
      <c r="F12486" s="1088" t="n">
        <v>842</v>
      </c>
      <c r="G12486" s="716" t="n">
        <f aca="false">F12486*E12486</f>
        <v>842</v>
      </c>
      <c r="H12486" s="679"/>
    </row>
    <row r="12487" s="451" customFormat="true" ht="15" hidden="false" customHeight="false" outlineLevel="0" collapsed="false">
      <c r="A12487" s="1105"/>
      <c r="B12487" s="522"/>
      <c r="C12487" s="709" t="s">
        <v>5819</v>
      </c>
      <c r="D12487" s="1087" t="s">
        <v>6310</v>
      </c>
      <c r="E12487" s="709" t="n">
        <v>2</v>
      </c>
      <c r="F12487" s="1088" t="n">
        <v>393</v>
      </c>
      <c r="G12487" s="716" t="n">
        <v>39</v>
      </c>
      <c r="H12487" s="679"/>
    </row>
    <row r="12488" s="451" customFormat="true" ht="15" hidden="false" customHeight="false" outlineLevel="0" collapsed="false">
      <c r="A12488" s="1105"/>
      <c r="B12488" s="522"/>
      <c r="C12488" s="709" t="s">
        <v>5826</v>
      </c>
      <c r="D12488" s="679" t="s">
        <v>4348</v>
      </c>
      <c r="E12488" s="709" t="n">
        <v>66</v>
      </c>
      <c r="F12488" s="681" t="n">
        <v>602</v>
      </c>
      <c r="G12488" s="716" t="n">
        <v>198.66</v>
      </c>
      <c r="H12488" s="679"/>
    </row>
    <row r="12489" s="451" customFormat="true" ht="15" hidden="false" customHeight="false" outlineLevel="0" collapsed="false">
      <c r="A12489" s="1105"/>
      <c r="B12489" s="522"/>
      <c r="C12489" s="709" t="s">
        <v>4122</v>
      </c>
      <c r="D12489" s="679" t="s">
        <v>4359</v>
      </c>
      <c r="E12489" s="899" t="n">
        <v>0.2</v>
      </c>
      <c r="F12489" s="681" t="n">
        <v>800</v>
      </c>
      <c r="G12489" s="716" t="n">
        <f aca="false">E12489*F12489</f>
        <v>160</v>
      </c>
      <c r="H12489" s="679"/>
    </row>
    <row r="12490" s="451" customFormat="true" ht="15" hidden="false" customHeight="false" outlineLevel="0" collapsed="false">
      <c r="A12490" s="1105"/>
      <c r="B12490" s="522"/>
      <c r="C12490" s="709" t="s">
        <v>4270</v>
      </c>
      <c r="D12490" s="679" t="s">
        <v>4133</v>
      </c>
      <c r="E12490" s="899" t="n">
        <v>0.2</v>
      </c>
      <c r="F12490" s="681" t="n">
        <v>9866</v>
      </c>
      <c r="G12490" s="716" t="n">
        <f aca="false">F12490*E12490</f>
        <v>1973.2</v>
      </c>
      <c r="H12490" s="679"/>
    </row>
    <row r="12491" s="451" customFormat="true" ht="15" hidden="false" customHeight="false" outlineLevel="0" collapsed="false">
      <c r="A12491" s="1105"/>
      <c r="B12491" s="522"/>
      <c r="C12491" s="709"/>
      <c r="D12491" s="679"/>
      <c r="E12491" s="899"/>
      <c r="F12491" s="681"/>
      <c r="G12491" s="711" t="n">
        <f aca="false">SUM(G12482:G12490)</f>
        <v>15477.944</v>
      </c>
      <c r="H12491" s="679"/>
    </row>
    <row r="12492" s="451" customFormat="true" ht="15" hidden="false" customHeight="false" outlineLevel="0" collapsed="false">
      <c r="A12492" s="1103" t="s">
        <v>2526</v>
      </c>
      <c r="B12492" s="1101" t="s">
        <v>3988</v>
      </c>
      <c r="C12492" s="600"/>
      <c r="D12492" s="600"/>
      <c r="E12492" s="600"/>
      <c r="F12492" s="364"/>
      <c r="G12492" s="713"/>
      <c r="H12492" s="790"/>
    </row>
    <row r="12493" s="451" customFormat="true" ht="30" hidden="false" customHeight="false" outlineLevel="0" collapsed="false">
      <c r="A12493" s="1120"/>
      <c r="B12493" s="796"/>
      <c r="C12493" s="709" t="s">
        <v>6370</v>
      </c>
      <c r="D12493" s="679" t="s">
        <v>4133</v>
      </c>
      <c r="E12493" s="1092" t="n">
        <v>0.001</v>
      </c>
      <c r="F12493" s="716" t="n">
        <v>50000</v>
      </c>
      <c r="G12493" s="716" t="n">
        <f aca="false">F12493*E12493</f>
        <v>50</v>
      </c>
      <c r="H12493" s="679"/>
    </row>
    <row r="12494" s="451" customFormat="true" ht="75" hidden="false" customHeight="false" outlineLevel="0" collapsed="false">
      <c r="A12494" s="1120"/>
      <c r="B12494" s="796"/>
      <c r="C12494" s="709" t="s">
        <v>6678</v>
      </c>
      <c r="D12494" s="679" t="s">
        <v>4348</v>
      </c>
      <c r="E12494" s="679" t="n">
        <v>1</v>
      </c>
      <c r="F12494" s="369" t="n">
        <v>8364</v>
      </c>
      <c r="G12494" s="716" t="n">
        <v>1672</v>
      </c>
      <c r="H12494" s="679"/>
    </row>
    <row r="12495" s="451" customFormat="true" ht="15" hidden="false" customHeight="false" outlineLevel="0" collapsed="false">
      <c r="A12495" s="1120"/>
      <c r="B12495" s="796"/>
      <c r="C12495" s="709" t="s">
        <v>6679</v>
      </c>
      <c r="D12495" s="679" t="s">
        <v>4348</v>
      </c>
      <c r="E12495" s="679" t="n">
        <v>1</v>
      </c>
      <c r="F12495" s="369" t="n">
        <v>150</v>
      </c>
      <c r="G12495" s="716" t="n">
        <f aca="false">F12495*E12495</f>
        <v>150</v>
      </c>
      <c r="H12495" s="679"/>
    </row>
    <row r="12496" s="451" customFormat="true" ht="28.5" hidden="false" customHeight="true" outlineLevel="0" collapsed="false">
      <c r="A12496" s="1120"/>
      <c r="B12496" s="796"/>
      <c r="C12496" s="709"/>
      <c r="D12496" s="679"/>
      <c r="E12496" s="679"/>
      <c r="F12496" s="369"/>
      <c r="G12496" s="711" t="n">
        <f aca="false">SUM(G12493:G12495)</f>
        <v>1872</v>
      </c>
      <c r="H12496" s="679"/>
    </row>
    <row r="12497" s="451" customFormat="true" ht="42.75" hidden="false" customHeight="false" outlineLevel="0" collapsed="false">
      <c r="A12497" s="1103" t="s">
        <v>2528</v>
      </c>
      <c r="B12497" s="1101" t="s">
        <v>6680</v>
      </c>
      <c r="C12497" s="601"/>
      <c r="D12497" s="600"/>
      <c r="E12497" s="601"/>
      <c r="F12497" s="1115"/>
      <c r="G12497" s="753"/>
      <c r="H12497" s="790"/>
    </row>
    <row r="12498" s="451" customFormat="true" ht="28.5" hidden="false" customHeight="false" outlineLevel="0" collapsed="false">
      <c r="A12498" s="1103" t="s">
        <v>2530</v>
      </c>
      <c r="B12498" s="1101" t="s">
        <v>6681</v>
      </c>
      <c r="C12498" s="811"/>
      <c r="D12498" s="790"/>
      <c r="E12498" s="811"/>
      <c r="F12498" s="1121"/>
      <c r="G12498" s="753"/>
      <c r="H12498" s="790"/>
    </row>
    <row r="12499" s="451" customFormat="true" ht="57" hidden="false" customHeight="false" outlineLevel="0" collapsed="false">
      <c r="A12499" s="1103" t="s">
        <v>2532</v>
      </c>
      <c r="B12499" s="1101" t="s">
        <v>6682</v>
      </c>
      <c r="C12499" s="811"/>
      <c r="D12499" s="790"/>
      <c r="E12499" s="811"/>
      <c r="F12499" s="1121"/>
      <c r="G12499" s="753"/>
      <c r="H12499" s="790"/>
    </row>
    <row r="12500" s="451" customFormat="true" ht="15" hidden="false" customHeight="false" outlineLevel="0" collapsed="false">
      <c r="A12500" s="471"/>
      <c r="B12500" s="796"/>
      <c r="C12500" s="718" t="s">
        <v>6333</v>
      </c>
      <c r="D12500" s="719" t="s">
        <v>6641</v>
      </c>
      <c r="E12500" s="718" t="n">
        <v>0.006</v>
      </c>
      <c r="F12500" s="681" t="n">
        <v>44141</v>
      </c>
      <c r="G12500" s="716" t="n">
        <f aca="false">F12500*E12500</f>
        <v>264.846</v>
      </c>
      <c r="H12500" s="679"/>
    </row>
    <row r="12501" s="451" customFormat="true" ht="15" hidden="false" customHeight="false" outlineLevel="0" collapsed="false">
      <c r="A12501" s="471"/>
      <c r="B12501" s="796"/>
      <c r="C12501" s="709" t="s">
        <v>5852</v>
      </c>
      <c r="D12501" s="679" t="s">
        <v>6336</v>
      </c>
      <c r="E12501" s="709" t="n">
        <v>0.006</v>
      </c>
      <c r="F12501" s="681" t="n">
        <v>41249</v>
      </c>
      <c r="G12501" s="716" t="n">
        <f aca="false">F12501*E12501</f>
        <v>247.494</v>
      </c>
      <c r="H12501" s="679"/>
    </row>
    <row r="12502" s="451" customFormat="true" ht="30" hidden="false" customHeight="false" outlineLevel="0" collapsed="false">
      <c r="A12502" s="471"/>
      <c r="B12502" s="796"/>
      <c r="C12502" s="709" t="s">
        <v>6282</v>
      </c>
      <c r="D12502" s="679" t="s">
        <v>4348</v>
      </c>
      <c r="E12502" s="709" t="n">
        <v>1</v>
      </c>
      <c r="F12502" s="681" t="n">
        <v>11500</v>
      </c>
      <c r="G12502" s="716" t="n">
        <f aca="false">F12502*E12502</f>
        <v>11500</v>
      </c>
      <c r="H12502" s="679"/>
    </row>
    <row r="12503" s="451" customFormat="true" ht="30" hidden="false" customHeight="false" outlineLevel="0" collapsed="false">
      <c r="A12503" s="471"/>
      <c r="B12503" s="796"/>
      <c r="C12503" s="709" t="s">
        <v>6683</v>
      </c>
      <c r="D12503" s="679" t="s">
        <v>6449</v>
      </c>
      <c r="E12503" s="709" t="n">
        <v>1</v>
      </c>
      <c r="F12503" s="681" t="n">
        <v>3776</v>
      </c>
      <c r="G12503" s="716" t="n">
        <v>377.6</v>
      </c>
      <c r="H12503" s="679"/>
    </row>
    <row r="12504" s="451" customFormat="true" ht="15" hidden="false" customHeight="false" outlineLevel="0" collapsed="false">
      <c r="A12504" s="471"/>
      <c r="B12504" s="796"/>
      <c r="C12504" s="709" t="s">
        <v>4347</v>
      </c>
      <c r="D12504" s="679" t="s">
        <v>5788</v>
      </c>
      <c r="E12504" s="709" t="n">
        <v>6</v>
      </c>
      <c r="F12504" s="681" t="n">
        <v>1106</v>
      </c>
      <c r="G12504" s="716" t="n">
        <f aca="false">E12504*F12504/100</f>
        <v>66.36</v>
      </c>
      <c r="H12504" s="679"/>
    </row>
    <row r="12505" s="451" customFormat="true" ht="15" hidden="false" customHeight="false" outlineLevel="0" collapsed="false">
      <c r="A12505" s="471"/>
      <c r="B12505" s="796"/>
      <c r="C12505" s="709" t="s">
        <v>4270</v>
      </c>
      <c r="D12505" s="679" t="s">
        <v>4133</v>
      </c>
      <c r="E12505" s="709" t="n">
        <v>0.2</v>
      </c>
      <c r="F12505" s="681" t="n">
        <v>9866</v>
      </c>
      <c r="G12505" s="716" t="n">
        <v>197</v>
      </c>
      <c r="H12505" s="679"/>
    </row>
    <row r="12506" s="451" customFormat="true" ht="15" hidden="false" customHeight="false" outlineLevel="0" collapsed="false">
      <c r="A12506" s="471"/>
      <c r="B12506" s="796"/>
      <c r="C12506" s="709" t="s">
        <v>4122</v>
      </c>
      <c r="D12506" s="679" t="s">
        <v>4359</v>
      </c>
      <c r="E12506" s="709" t="n">
        <v>0.2</v>
      </c>
      <c r="F12506" s="681" t="n">
        <v>800</v>
      </c>
      <c r="G12506" s="716" t="n">
        <f aca="false">F12506*E12506</f>
        <v>160</v>
      </c>
      <c r="H12506" s="679"/>
    </row>
    <row r="12507" s="451" customFormat="true" ht="15" hidden="false" customHeight="false" outlineLevel="0" collapsed="false">
      <c r="A12507" s="471"/>
      <c r="B12507" s="796"/>
      <c r="C12507" s="709" t="s">
        <v>6267</v>
      </c>
      <c r="D12507" s="679" t="s">
        <v>6268</v>
      </c>
      <c r="E12507" s="709" t="n">
        <v>66</v>
      </c>
      <c r="F12507" s="681" t="n">
        <v>602</v>
      </c>
      <c r="G12507" s="716" t="n">
        <v>198.66</v>
      </c>
      <c r="H12507" s="679"/>
    </row>
    <row r="12508" s="451" customFormat="true" ht="30" hidden="false" customHeight="false" outlineLevel="0" collapsed="false">
      <c r="A12508" s="471"/>
      <c r="B12508" s="796"/>
      <c r="C12508" s="709" t="s">
        <v>6283</v>
      </c>
      <c r="D12508" s="679" t="s">
        <v>6416</v>
      </c>
      <c r="E12508" s="1092" t="n">
        <v>2</v>
      </c>
      <c r="F12508" s="681" t="n">
        <v>460</v>
      </c>
      <c r="G12508" s="716" t="n">
        <f aca="false">F12508*E12508</f>
        <v>920</v>
      </c>
      <c r="H12508" s="679"/>
    </row>
    <row r="12509" s="451" customFormat="true" ht="15" hidden="false" customHeight="false" outlineLevel="0" collapsed="false">
      <c r="A12509" s="471"/>
      <c r="B12509" s="796"/>
      <c r="C12509" s="1086" t="s">
        <v>6278</v>
      </c>
      <c r="D12509" s="1087" t="s">
        <v>6310</v>
      </c>
      <c r="E12509" s="1086" t="n">
        <v>2</v>
      </c>
      <c r="F12509" s="1088" t="n">
        <v>393</v>
      </c>
      <c r="G12509" s="716" t="n">
        <f aca="false">F12509*E12509</f>
        <v>786</v>
      </c>
      <c r="H12509" s="679"/>
    </row>
    <row r="12510" s="451" customFormat="true" ht="15" hidden="false" customHeight="false" outlineLevel="0" collapsed="false">
      <c r="A12510" s="471"/>
      <c r="B12510" s="796"/>
      <c r="C12510" s="1086"/>
      <c r="D12510" s="1087"/>
      <c r="E12510" s="1086"/>
      <c r="F12510" s="1088"/>
      <c r="G12510" s="711" t="n">
        <f aca="false">SUM(G12500:G12509)</f>
        <v>14717.96</v>
      </c>
      <c r="H12510" s="679"/>
    </row>
    <row r="12511" s="451" customFormat="true" ht="57" hidden="false" customHeight="false" outlineLevel="0" collapsed="false">
      <c r="A12511" s="1103" t="s">
        <v>2534</v>
      </c>
      <c r="B12511" s="1101" t="s">
        <v>6684</v>
      </c>
      <c r="C12511" s="601"/>
      <c r="D12511" s="600"/>
      <c r="E12511" s="601"/>
      <c r="F12511" s="1115"/>
      <c r="G12511" s="753"/>
      <c r="H12511" s="790"/>
    </row>
    <row r="12512" s="451" customFormat="true" ht="15" hidden="false" customHeight="false" outlineLevel="0" collapsed="false">
      <c r="A12512" s="1120"/>
      <c r="B12512" s="796"/>
      <c r="C12512" s="718" t="s">
        <v>6333</v>
      </c>
      <c r="D12512" s="719" t="s">
        <v>6641</v>
      </c>
      <c r="E12512" s="718" t="n">
        <v>0.006</v>
      </c>
      <c r="F12512" s="681" t="n">
        <v>44141</v>
      </c>
      <c r="G12512" s="716" t="n">
        <f aca="false">F12512*E12512</f>
        <v>264.846</v>
      </c>
      <c r="H12512" s="679"/>
    </row>
    <row r="12513" s="451" customFormat="true" ht="73.5" hidden="false" customHeight="true" outlineLevel="0" collapsed="false">
      <c r="A12513" s="1120"/>
      <c r="B12513" s="796"/>
      <c r="C12513" s="709" t="s">
        <v>5852</v>
      </c>
      <c r="D12513" s="679" t="s">
        <v>6336</v>
      </c>
      <c r="E12513" s="709" t="n">
        <v>0.006</v>
      </c>
      <c r="F12513" s="681" t="n">
        <v>41249</v>
      </c>
      <c r="G12513" s="716" t="n">
        <f aca="false">F12513*E12513</f>
        <v>247.494</v>
      </c>
      <c r="H12513" s="679"/>
    </row>
    <row r="12514" s="451" customFormat="true" ht="30" hidden="false" customHeight="false" outlineLevel="0" collapsed="false">
      <c r="A12514" s="1120"/>
      <c r="B12514" s="796"/>
      <c r="C12514" s="709" t="s">
        <v>6282</v>
      </c>
      <c r="D12514" s="679" t="s">
        <v>4348</v>
      </c>
      <c r="E12514" s="709" t="n">
        <v>1</v>
      </c>
      <c r="F12514" s="681" t="n">
        <v>11500</v>
      </c>
      <c r="G12514" s="716" t="n">
        <f aca="false">F12514*E12514</f>
        <v>11500</v>
      </c>
      <c r="H12514" s="679"/>
    </row>
    <row r="12515" s="451" customFormat="true" ht="30" hidden="false" customHeight="false" outlineLevel="0" collapsed="false">
      <c r="A12515" s="1120"/>
      <c r="B12515" s="796"/>
      <c r="C12515" s="709" t="s">
        <v>6683</v>
      </c>
      <c r="D12515" s="679" t="s">
        <v>6449</v>
      </c>
      <c r="E12515" s="709" t="n">
        <v>1</v>
      </c>
      <c r="F12515" s="681" t="n">
        <v>3776</v>
      </c>
      <c r="G12515" s="716" t="n">
        <v>377.6</v>
      </c>
      <c r="H12515" s="679"/>
    </row>
    <row r="12516" s="451" customFormat="true" ht="15" hidden="false" customHeight="false" outlineLevel="0" collapsed="false">
      <c r="A12516" s="1120"/>
      <c r="B12516" s="796"/>
      <c r="C12516" s="709" t="s">
        <v>4347</v>
      </c>
      <c r="D12516" s="679" t="s">
        <v>5788</v>
      </c>
      <c r="E12516" s="709" t="n">
        <v>6</v>
      </c>
      <c r="F12516" s="681" t="n">
        <v>1106</v>
      </c>
      <c r="G12516" s="716" t="n">
        <f aca="false">E12516*F12516/100</f>
        <v>66.36</v>
      </c>
      <c r="H12516" s="679"/>
    </row>
    <row r="12517" s="451" customFormat="true" ht="15" hidden="false" customHeight="false" outlineLevel="0" collapsed="false">
      <c r="A12517" s="1120"/>
      <c r="B12517" s="796"/>
      <c r="C12517" s="709" t="s">
        <v>4270</v>
      </c>
      <c r="D12517" s="679" t="s">
        <v>4359</v>
      </c>
      <c r="E12517" s="709" t="n">
        <v>0.1</v>
      </c>
      <c r="F12517" s="681" t="n">
        <v>9866</v>
      </c>
      <c r="G12517" s="716" t="n">
        <f aca="false">F12517*E12517</f>
        <v>986.6</v>
      </c>
      <c r="H12517" s="679"/>
    </row>
    <row r="12518" s="451" customFormat="true" ht="15" hidden="false" customHeight="false" outlineLevel="0" collapsed="false">
      <c r="A12518" s="1120"/>
      <c r="B12518" s="796"/>
      <c r="C12518" s="1086" t="s">
        <v>6278</v>
      </c>
      <c r="D12518" s="1087" t="s">
        <v>6310</v>
      </c>
      <c r="E12518" s="1086" t="n">
        <v>1</v>
      </c>
      <c r="F12518" s="1088" t="n">
        <v>393</v>
      </c>
      <c r="G12518" s="716" t="n">
        <f aca="false">F12518*E12518</f>
        <v>393</v>
      </c>
      <c r="H12518" s="679"/>
    </row>
    <row r="12519" s="451" customFormat="true" ht="15" hidden="false" customHeight="false" outlineLevel="0" collapsed="false">
      <c r="A12519" s="1120"/>
      <c r="B12519" s="796"/>
      <c r="C12519" s="709" t="s">
        <v>4122</v>
      </c>
      <c r="D12519" s="679" t="s">
        <v>4359</v>
      </c>
      <c r="E12519" s="709" t="n">
        <v>0.2</v>
      </c>
      <c r="F12519" s="681" t="n">
        <v>800</v>
      </c>
      <c r="G12519" s="716" t="n">
        <f aca="false">F12519*E12519</f>
        <v>160</v>
      </c>
      <c r="H12519" s="679"/>
    </row>
    <row r="12520" s="451" customFormat="true" ht="15" hidden="false" customHeight="false" outlineLevel="0" collapsed="false">
      <c r="A12520" s="1120"/>
      <c r="B12520" s="796"/>
      <c r="C12520" s="709" t="s">
        <v>6267</v>
      </c>
      <c r="D12520" s="679" t="s">
        <v>6268</v>
      </c>
      <c r="E12520" s="709" t="n">
        <v>66</v>
      </c>
      <c r="F12520" s="681" t="n">
        <v>602</v>
      </c>
      <c r="G12520" s="716" t="n">
        <v>198.66</v>
      </c>
      <c r="H12520" s="679"/>
    </row>
    <row r="12521" s="451" customFormat="true" ht="30" hidden="false" customHeight="false" outlineLevel="0" collapsed="false">
      <c r="A12521" s="1120"/>
      <c r="B12521" s="796"/>
      <c r="C12521" s="709" t="s">
        <v>6283</v>
      </c>
      <c r="D12521" s="679" t="s">
        <v>6416</v>
      </c>
      <c r="E12521" s="1092" t="n">
        <v>1</v>
      </c>
      <c r="F12521" s="681" t="n">
        <v>460</v>
      </c>
      <c r="G12521" s="716" t="n">
        <f aca="false">F12521*E12521</f>
        <v>460</v>
      </c>
      <c r="H12521" s="679"/>
    </row>
    <row r="12522" s="451" customFormat="true" ht="15" hidden="false" customHeight="false" outlineLevel="0" collapsed="false">
      <c r="A12522" s="1120"/>
      <c r="B12522" s="796"/>
      <c r="C12522" s="709"/>
      <c r="D12522" s="679"/>
      <c r="E12522" s="1092"/>
      <c r="F12522" s="681"/>
      <c r="G12522" s="711" t="n">
        <f aca="false">SUM(G12512:G12521)</f>
        <v>14654.56</v>
      </c>
      <c r="H12522" s="679"/>
    </row>
    <row r="12523" s="451" customFormat="true" ht="57" hidden="false" customHeight="false" outlineLevel="0" collapsed="false">
      <c r="A12523" s="1103" t="s">
        <v>2536</v>
      </c>
      <c r="B12523" s="1101" t="s">
        <v>6685</v>
      </c>
      <c r="C12523" s="601"/>
      <c r="D12523" s="600"/>
      <c r="E12523" s="601"/>
      <c r="F12523" s="1115"/>
      <c r="G12523" s="753"/>
      <c r="H12523" s="790"/>
    </row>
    <row r="12524" s="451" customFormat="true" ht="28.5" hidden="false" customHeight="false" outlineLevel="0" collapsed="false">
      <c r="A12524" s="1120"/>
      <c r="B12524" s="796"/>
      <c r="C12524" s="718" t="s">
        <v>6282</v>
      </c>
      <c r="D12524" s="719" t="s">
        <v>4348</v>
      </c>
      <c r="E12524" s="718" t="n">
        <v>2</v>
      </c>
      <c r="F12524" s="1119" t="n">
        <v>11500</v>
      </c>
      <c r="G12524" s="716" t="n">
        <f aca="false">F12524*E12524</f>
        <v>23000</v>
      </c>
      <c r="H12524" s="679"/>
    </row>
    <row r="12525" s="451" customFormat="true" ht="15" hidden="false" customHeight="false" outlineLevel="0" collapsed="false">
      <c r="A12525" s="1120"/>
      <c r="B12525" s="796"/>
      <c r="C12525" s="709" t="s">
        <v>4347</v>
      </c>
      <c r="D12525" s="679" t="s">
        <v>5788</v>
      </c>
      <c r="E12525" s="709" t="n">
        <v>6</v>
      </c>
      <c r="F12525" s="681" t="n">
        <v>1106</v>
      </c>
      <c r="G12525" s="716" t="n">
        <f aca="false">E12525*F12525/100</f>
        <v>66.36</v>
      </c>
      <c r="H12525" s="679"/>
    </row>
    <row r="12526" s="451" customFormat="true" ht="15" hidden="false" customHeight="false" outlineLevel="0" collapsed="false">
      <c r="A12526" s="1120"/>
      <c r="B12526" s="796"/>
      <c r="C12526" s="709" t="s">
        <v>4270</v>
      </c>
      <c r="D12526" s="679" t="s">
        <v>4359</v>
      </c>
      <c r="E12526" s="709" t="n">
        <v>0.4</v>
      </c>
      <c r="F12526" s="681" t="n">
        <v>9866</v>
      </c>
      <c r="G12526" s="716" t="n">
        <f aca="false">F12526*E12526</f>
        <v>3946.4</v>
      </c>
      <c r="H12526" s="679"/>
    </row>
    <row r="12527" s="451" customFormat="true" ht="15" hidden="false" customHeight="false" outlineLevel="0" collapsed="false">
      <c r="A12527" s="1120"/>
      <c r="B12527" s="796"/>
      <c r="C12527" s="709" t="s">
        <v>4122</v>
      </c>
      <c r="D12527" s="679" t="s">
        <v>4359</v>
      </c>
      <c r="E12527" s="709" t="n">
        <v>0.2</v>
      </c>
      <c r="F12527" s="681" t="n">
        <v>800</v>
      </c>
      <c r="G12527" s="716" t="n">
        <f aca="false">F12527*E12527</f>
        <v>160</v>
      </c>
      <c r="H12527" s="679"/>
    </row>
    <row r="12528" s="451" customFormat="true" ht="15" hidden="false" customHeight="false" outlineLevel="0" collapsed="false">
      <c r="A12528" s="1120"/>
      <c r="B12528" s="796"/>
      <c r="C12528" s="709" t="s">
        <v>6333</v>
      </c>
      <c r="D12528" s="679" t="s">
        <v>6641</v>
      </c>
      <c r="E12528" s="709" t="n">
        <v>0.012</v>
      </c>
      <c r="F12528" s="681" t="n">
        <v>44141</v>
      </c>
      <c r="G12528" s="716" t="n">
        <f aca="false">F12528*E12528</f>
        <v>529.692</v>
      </c>
      <c r="H12528" s="679"/>
    </row>
    <row r="12529" s="451" customFormat="true" ht="15" hidden="false" customHeight="false" outlineLevel="0" collapsed="false">
      <c r="A12529" s="1120"/>
      <c r="B12529" s="796"/>
      <c r="C12529" s="709" t="s">
        <v>5852</v>
      </c>
      <c r="D12529" s="679" t="s">
        <v>6336</v>
      </c>
      <c r="E12529" s="709" t="n">
        <v>0.012</v>
      </c>
      <c r="F12529" s="681" t="n">
        <v>41249</v>
      </c>
      <c r="G12529" s="716" t="n">
        <f aca="false">F12529*E12529</f>
        <v>494.988</v>
      </c>
      <c r="H12529" s="679"/>
    </row>
    <row r="12530" s="451" customFormat="true" ht="30" hidden="false" customHeight="false" outlineLevel="0" collapsed="false">
      <c r="A12530" s="1120"/>
      <c r="B12530" s="796"/>
      <c r="C12530" s="709" t="s">
        <v>6683</v>
      </c>
      <c r="D12530" s="679" t="s">
        <v>6449</v>
      </c>
      <c r="E12530" s="709" t="n">
        <v>1</v>
      </c>
      <c r="F12530" s="681" t="n">
        <v>3776</v>
      </c>
      <c r="G12530" s="716" t="n">
        <v>377.6</v>
      </c>
      <c r="H12530" s="679"/>
    </row>
    <row r="12531" s="451" customFormat="true" ht="15" hidden="false" customHeight="false" outlineLevel="0" collapsed="false">
      <c r="A12531" s="1120"/>
      <c r="B12531" s="796"/>
      <c r="C12531" s="709" t="s">
        <v>6267</v>
      </c>
      <c r="D12531" s="679" t="s">
        <v>6268</v>
      </c>
      <c r="E12531" s="709" t="n">
        <v>10</v>
      </c>
      <c r="F12531" s="681" t="n">
        <v>602</v>
      </c>
      <c r="G12531" s="716" t="n">
        <v>301</v>
      </c>
      <c r="H12531" s="679"/>
    </row>
    <row r="12532" s="451" customFormat="true" ht="30" hidden="false" customHeight="false" outlineLevel="0" collapsed="false">
      <c r="A12532" s="1120"/>
      <c r="B12532" s="796"/>
      <c r="C12532" s="709" t="s">
        <v>6283</v>
      </c>
      <c r="D12532" s="679" t="s">
        <v>6416</v>
      </c>
      <c r="E12532" s="1092" t="n">
        <v>1</v>
      </c>
      <c r="F12532" s="681" t="n">
        <v>460</v>
      </c>
      <c r="G12532" s="716" t="n">
        <f aca="false">F12532*E12532</f>
        <v>460</v>
      </c>
      <c r="H12532" s="679"/>
    </row>
    <row r="12533" s="451" customFormat="true" ht="15" hidden="false" customHeight="false" outlineLevel="0" collapsed="false">
      <c r="A12533" s="1120"/>
      <c r="B12533" s="796"/>
      <c r="C12533" s="1086" t="s">
        <v>6278</v>
      </c>
      <c r="D12533" s="1087" t="s">
        <v>6310</v>
      </c>
      <c r="E12533" s="1086" t="n">
        <v>1</v>
      </c>
      <c r="F12533" s="1088" t="n">
        <v>393</v>
      </c>
      <c r="G12533" s="716" t="n">
        <f aca="false">F12533*E12533</f>
        <v>393</v>
      </c>
      <c r="H12533" s="679"/>
    </row>
    <row r="12534" s="451" customFormat="true" ht="15" hidden="false" customHeight="false" outlineLevel="0" collapsed="false">
      <c r="A12534" s="1120"/>
      <c r="B12534" s="796"/>
      <c r="C12534" s="1086"/>
      <c r="D12534" s="1087"/>
      <c r="E12534" s="1086"/>
      <c r="F12534" s="1088"/>
      <c r="G12534" s="711" t="n">
        <f aca="false">SUM(G12524:G12533)</f>
        <v>29729.04</v>
      </c>
      <c r="H12534" s="679"/>
    </row>
    <row r="12535" s="451" customFormat="true" ht="57" hidden="false" customHeight="false" outlineLevel="0" collapsed="false">
      <c r="A12535" s="1103" t="s">
        <v>2538</v>
      </c>
      <c r="B12535" s="1101" t="s">
        <v>6686</v>
      </c>
      <c r="C12535" s="601"/>
      <c r="D12535" s="600"/>
      <c r="E12535" s="601"/>
      <c r="F12535" s="1115"/>
      <c r="G12535" s="753"/>
      <c r="H12535" s="790"/>
    </row>
    <row r="12536" s="451" customFormat="true" ht="30" hidden="false" customHeight="false" outlineLevel="0" collapsed="false">
      <c r="A12536" s="471"/>
      <c r="B12536" s="796"/>
      <c r="C12536" s="709" t="s">
        <v>6282</v>
      </c>
      <c r="D12536" s="679" t="s">
        <v>4348</v>
      </c>
      <c r="E12536" s="709" t="n">
        <v>2</v>
      </c>
      <c r="F12536" s="681" t="n">
        <v>11500</v>
      </c>
      <c r="G12536" s="716" t="n">
        <f aca="false">F12536*E12536</f>
        <v>23000</v>
      </c>
      <c r="H12536" s="679"/>
    </row>
    <row r="12537" s="451" customFormat="true" ht="50.25" hidden="false" customHeight="true" outlineLevel="0" collapsed="false">
      <c r="A12537" s="471"/>
      <c r="B12537" s="796"/>
      <c r="C12537" s="709" t="s">
        <v>4347</v>
      </c>
      <c r="D12537" s="679" t="s">
        <v>5788</v>
      </c>
      <c r="E12537" s="709" t="n">
        <v>6</v>
      </c>
      <c r="F12537" s="681" t="n">
        <v>1106</v>
      </c>
      <c r="G12537" s="716" t="n">
        <f aca="false">E12537*F12537/100</f>
        <v>66.36</v>
      </c>
      <c r="H12537" s="679"/>
    </row>
    <row r="12538" s="451" customFormat="true" ht="15" hidden="false" customHeight="false" outlineLevel="0" collapsed="false">
      <c r="A12538" s="471"/>
      <c r="B12538" s="796"/>
      <c r="C12538" s="709" t="s">
        <v>4270</v>
      </c>
      <c r="D12538" s="679" t="s">
        <v>4359</v>
      </c>
      <c r="E12538" s="709" t="n">
        <v>0.1</v>
      </c>
      <c r="F12538" s="681" t="n">
        <v>9866</v>
      </c>
      <c r="G12538" s="716" t="n">
        <f aca="false">F12538*E12538</f>
        <v>986.6</v>
      </c>
      <c r="H12538" s="679"/>
    </row>
    <row r="12539" s="451" customFormat="true" ht="15" hidden="false" customHeight="false" outlineLevel="0" collapsed="false">
      <c r="A12539" s="471"/>
      <c r="B12539" s="796"/>
      <c r="C12539" s="709" t="s">
        <v>4122</v>
      </c>
      <c r="D12539" s="679" t="s">
        <v>4359</v>
      </c>
      <c r="E12539" s="709" t="n">
        <v>0.2</v>
      </c>
      <c r="F12539" s="681" t="n">
        <v>800</v>
      </c>
      <c r="G12539" s="716" t="n">
        <f aca="false">F12539*E12539</f>
        <v>160</v>
      </c>
      <c r="H12539" s="679"/>
    </row>
    <row r="12540" s="451" customFormat="true" ht="15" hidden="false" customHeight="false" outlineLevel="0" collapsed="false">
      <c r="A12540" s="471"/>
      <c r="B12540" s="796"/>
      <c r="C12540" s="709" t="s">
        <v>6333</v>
      </c>
      <c r="D12540" s="679" t="s">
        <v>6641</v>
      </c>
      <c r="E12540" s="709" t="n">
        <v>0.012</v>
      </c>
      <c r="F12540" s="681" t="n">
        <v>44141</v>
      </c>
      <c r="G12540" s="716" t="n">
        <f aca="false">F12540*E12540</f>
        <v>529.692</v>
      </c>
      <c r="H12540" s="679"/>
    </row>
    <row r="12541" s="451" customFormat="true" ht="15" hidden="false" customHeight="false" outlineLevel="0" collapsed="false">
      <c r="A12541" s="471"/>
      <c r="B12541" s="796"/>
      <c r="C12541" s="709" t="s">
        <v>5852</v>
      </c>
      <c r="D12541" s="679" t="s">
        <v>6336</v>
      </c>
      <c r="E12541" s="709" t="n">
        <v>0.012</v>
      </c>
      <c r="F12541" s="681" t="n">
        <v>41249</v>
      </c>
      <c r="G12541" s="716" t="n">
        <f aca="false">F12541*E12541</f>
        <v>494.988</v>
      </c>
      <c r="H12541" s="679"/>
    </row>
    <row r="12542" s="451" customFormat="true" ht="30" hidden="false" customHeight="false" outlineLevel="0" collapsed="false">
      <c r="A12542" s="471"/>
      <c r="B12542" s="796"/>
      <c r="C12542" s="709" t="s">
        <v>6687</v>
      </c>
      <c r="D12542" s="679" t="s">
        <v>6449</v>
      </c>
      <c r="E12542" s="709" t="n">
        <v>1</v>
      </c>
      <c r="F12542" s="681" t="n">
        <v>3776</v>
      </c>
      <c r="G12542" s="716" t="n">
        <v>377.6</v>
      </c>
      <c r="H12542" s="679"/>
    </row>
    <row r="12543" s="451" customFormat="true" ht="15" hidden="false" customHeight="false" outlineLevel="0" collapsed="false">
      <c r="A12543" s="471"/>
      <c r="B12543" s="796"/>
      <c r="C12543" s="709" t="s">
        <v>6267</v>
      </c>
      <c r="D12543" s="679" t="s">
        <v>6268</v>
      </c>
      <c r="E12543" s="709" t="n">
        <v>10</v>
      </c>
      <c r="F12543" s="681" t="n">
        <v>602</v>
      </c>
      <c r="G12543" s="716" t="n">
        <v>301</v>
      </c>
      <c r="H12543" s="679"/>
    </row>
    <row r="12544" s="451" customFormat="true" ht="30" hidden="false" customHeight="false" outlineLevel="0" collapsed="false">
      <c r="A12544" s="471"/>
      <c r="B12544" s="796"/>
      <c r="C12544" s="709" t="s">
        <v>6283</v>
      </c>
      <c r="D12544" s="679" t="s">
        <v>6416</v>
      </c>
      <c r="E12544" s="1092" t="n">
        <v>1</v>
      </c>
      <c r="F12544" s="681" t="n">
        <v>460</v>
      </c>
      <c r="G12544" s="716" t="n">
        <f aca="false">F12544*E12544</f>
        <v>460</v>
      </c>
      <c r="H12544" s="679"/>
    </row>
    <row r="12545" customFormat="false" ht="24" hidden="false" customHeight="true" outlineLevel="0" collapsed="false">
      <c r="A12545" s="707"/>
      <c r="B12545" s="708" t="s">
        <v>4128</v>
      </c>
      <c r="C12545" s="709"/>
      <c r="D12545" s="679"/>
      <c r="E12545" s="709"/>
      <c r="F12545" s="681"/>
      <c r="G12545" s="711" t="n">
        <f aca="false">SUM(G12536:G12544)</f>
        <v>26376.24</v>
      </c>
      <c r="H12545" s="679"/>
    </row>
    <row r="12546" customFormat="false" ht="24" hidden="false" customHeight="true" outlineLevel="0" collapsed="false">
      <c r="A12546" s="138" t="s">
        <v>2540</v>
      </c>
      <c r="B12546" s="92" t="s">
        <v>3995</v>
      </c>
      <c r="C12546" s="92"/>
      <c r="D12546" s="92"/>
      <c r="E12546" s="92"/>
      <c r="F12546" s="92"/>
      <c r="G12546" s="92"/>
      <c r="H12546" s="92"/>
    </row>
    <row r="12547" customFormat="false" ht="33.75" hidden="false" customHeight="true" outlineLevel="0" collapsed="false">
      <c r="A12547" s="142" t="s">
        <v>2542</v>
      </c>
      <c r="B12547" s="49" t="s">
        <v>3996</v>
      </c>
      <c r="C12547" s="1122" t="s">
        <v>6688</v>
      </c>
      <c r="D12547" s="1122" t="s">
        <v>6689</v>
      </c>
      <c r="E12547" s="662" t="n">
        <v>100</v>
      </c>
      <c r="F12547" s="662" t="n">
        <v>1400</v>
      </c>
      <c r="G12547" s="1123" t="n">
        <f aca="false">E12547*F12547/500</f>
        <v>280</v>
      </c>
      <c r="H12547" s="679"/>
    </row>
    <row r="12548" customFormat="false" ht="24" hidden="false" customHeight="true" outlineLevel="0" collapsed="false">
      <c r="A12548" s="142"/>
      <c r="B12548" s="708" t="s">
        <v>4128</v>
      </c>
      <c r="C12548" s="1122"/>
      <c r="D12548" s="1122"/>
      <c r="E12548" s="662"/>
      <c r="F12548" s="662"/>
      <c r="G12548" s="1124" t="n">
        <f aca="false">SUM(G12547:G12547)</f>
        <v>280</v>
      </c>
      <c r="H12548" s="679"/>
    </row>
    <row r="12549" customFormat="false" ht="33" hidden="false" customHeight="true" outlineLevel="0" collapsed="false">
      <c r="A12549" s="142" t="s">
        <v>2545</v>
      </c>
      <c r="B12549" s="49" t="s">
        <v>3997</v>
      </c>
      <c r="C12549" s="1122" t="s">
        <v>6688</v>
      </c>
      <c r="D12549" s="1122" t="s">
        <v>6689</v>
      </c>
      <c r="E12549" s="662" t="n">
        <v>50</v>
      </c>
      <c r="F12549" s="662" t="n">
        <v>1400</v>
      </c>
      <c r="G12549" s="1123" t="n">
        <f aca="false">E12549*F12549/500</f>
        <v>140</v>
      </c>
      <c r="H12549" s="679"/>
    </row>
    <row r="12550" customFormat="false" ht="15" hidden="false" customHeight="true" outlineLevel="0" collapsed="false">
      <c r="A12550" s="1125"/>
      <c r="B12550" s="522"/>
      <c r="C12550" s="1122" t="s">
        <v>6690</v>
      </c>
      <c r="D12550" s="1122" t="s">
        <v>4348</v>
      </c>
      <c r="E12550" s="662" t="n">
        <v>1</v>
      </c>
      <c r="F12550" s="662" t="n">
        <v>90</v>
      </c>
      <c r="G12550" s="1123" t="n">
        <f aca="false">E12550*F12550</f>
        <v>90</v>
      </c>
      <c r="H12550" s="679"/>
    </row>
    <row r="12551" customFormat="false" ht="15" hidden="false" customHeight="true" outlineLevel="0" collapsed="false">
      <c r="A12551" s="1125"/>
      <c r="B12551" s="522"/>
      <c r="C12551" s="1122" t="s">
        <v>6691</v>
      </c>
      <c r="D12551" s="1122" t="s">
        <v>4348</v>
      </c>
      <c r="E12551" s="662" t="n">
        <v>1</v>
      </c>
      <c r="F12551" s="662" t="n">
        <v>80</v>
      </c>
      <c r="G12551" s="1123" t="n">
        <f aca="false">E12551*F12551</f>
        <v>80</v>
      </c>
      <c r="H12551" s="679"/>
    </row>
    <row r="12552" customFormat="false" ht="15" hidden="false" customHeight="true" outlineLevel="0" collapsed="false">
      <c r="A12552" s="1125"/>
      <c r="B12552" s="708" t="s">
        <v>4128</v>
      </c>
      <c r="C12552" s="1122"/>
      <c r="D12552" s="1122"/>
      <c r="E12552" s="662"/>
      <c r="F12552" s="662"/>
      <c r="G12552" s="1124" t="n">
        <f aca="false">SUM(G12549:G12551)</f>
        <v>310</v>
      </c>
      <c r="H12552" s="679"/>
    </row>
    <row r="12553" customFormat="false" ht="15" hidden="false" customHeight="true" outlineLevel="0" collapsed="false">
      <c r="A12553" s="138" t="s">
        <v>2548</v>
      </c>
      <c r="B12553" s="92" t="s">
        <v>3998</v>
      </c>
      <c r="C12553" s="92"/>
      <c r="D12553" s="92"/>
      <c r="E12553" s="92"/>
      <c r="F12553" s="92"/>
      <c r="G12553" s="92"/>
      <c r="H12553" s="92"/>
    </row>
    <row r="12554" customFormat="false" ht="49.5" hidden="false" customHeight="true" outlineLevel="0" collapsed="false">
      <c r="A12554" s="142" t="s">
        <v>2550</v>
      </c>
      <c r="B12554" s="49" t="s">
        <v>3999</v>
      </c>
      <c r="C12554" s="1122" t="s">
        <v>6688</v>
      </c>
      <c r="D12554" s="1122" t="s">
        <v>6689</v>
      </c>
      <c r="E12554" s="662" t="n">
        <v>50</v>
      </c>
      <c r="F12554" s="662" t="n">
        <v>1400</v>
      </c>
      <c r="G12554" s="1123" t="n">
        <f aca="false">E12554*F12554/500</f>
        <v>140</v>
      </c>
      <c r="H12554" s="679"/>
    </row>
    <row r="12555" customFormat="false" ht="34.5" hidden="false" customHeight="true" outlineLevel="0" collapsed="false">
      <c r="A12555" s="142" t="s">
        <v>2553</v>
      </c>
      <c r="B12555" s="49" t="s">
        <v>4000</v>
      </c>
      <c r="C12555" s="1122" t="s">
        <v>6688</v>
      </c>
      <c r="D12555" s="1122" t="s">
        <v>6689</v>
      </c>
      <c r="E12555" s="662" t="n">
        <v>50</v>
      </c>
      <c r="F12555" s="662" t="n">
        <v>1400</v>
      </c>
      <c r="G12555" s="1123" t="n">
        <f aca="false">E12555*F12555/500</f>
        <v>140</v>
      </c>
      <c r="H12555" s="679"/>
    </row>
    <row r="12556" s="451" customFormat="true" ht="28.5" hidden="false" customHeight="false" outlineLevel="0" collapsed="false">
      <c r="A12556" s="138" t="s">
        <v>2555</v>
      </c>
      <c r="B12556" s="92" t="s">
        <v>4001</v>
      </c>
      <c r="C12556" s="92"/>
      <c r="D12556" s="92"/>
      <c r="E12556" s="92"/>
      <c r="F12556" s="92"/>
      <c r="G12556" s="92"/>
      <c r="H12556" s="92"/>
    </row>
    <row r="12557" s="451" customFormat="true" ht="15" hidden="false" customHeight="false" outlineLevel="0" collapsed="false">
      <c r="A12557" s="142" t="s">
        <v>2557</v>
      </c>
      <c r="B12557" s="49" t="s">
        <v>4002</v>
      </c>
      <c r="C12557" s="1126" t="s">
        <v>6692</v>
      </c>
      <c r="D12557" s="662" t="s">
        <v>4359</v>
      </c>
      <c r="E12557" s="1127" t="n">
        <v>0.0001</v>
      </c>
      <c r="F12557" s="1128" t="n">
        <v>5000</v>
      </c>
      <c r="G12557" s="1123" t="n">
        <f aca="false">E12557*F12557</f>
        <v>0.5</v>
      </c>
      <c r="H12557" s="1129"/>
    </row>
    <row r="12558" s="451" customFormat="true" ht="15" hidden="false" customHeight="false" outlineLevel="0" collapsed="false">
      <c r="A12558" s="1130"/>
      <c r="B12558" s="1122"/>
      <c r="C12558" s="1126" t="s">
        <v>6693</v>
      </c>
      <c r="D12558" s="662" t="s">
        <v>4133</v>
      </c>
      <c r="E12558" s="1127" t="n">
        <v>0.0001</v>
      </c>
      <c r="F12558" s="1128" t="n">
        <v>4500</v>
      </c>
      <c r="G12558" s="1123" t="n">
        <f aca="false">E12558*F12558</f>
        <v>0.45</v>
      </c>
      <c r="H12558" s="1129"/>
    </row>
    <row r="12559" s="451" customFormat="true" ht="15" hidden="false" customHeight="false" outlineLevel="0" collapsed="false">
      <c r="A12559" s="1130"/>
      <c r="B12559" s="1131"/>
      <c r="C12559" s="1126" t="s">
        <v>6694</v>
      </c>
      <c r="D12559" s="662" t="s">
        <v>4133</v>
      </c>
      <c r="E12559" s="1132" t="n">
        <v>0.002</v>
      </c>
      <c r="F12559" s="1128" t="n">
        <v>1200</v>
      </c>
      <c r="G12559" s="1123" t="n">
        <f aca="false">E12559*F12559</f>
        <v>2.4</v>
      </c>
      <c r="H12559" s="1129"/>
    </row>
    <row r="12560" s="451" customFormat="true" ht="15" hidden="false" customHeight="false" outlineLevel="0" collapsed="false">
      <c r="A12560" s="1130"/>
      <c r="B12560" s="1131"/>
      <c r="C12560" s="1126" t="s">
        <v>6695</v>
      </c>
      <c r="D12560" s="662" t="s">
        <v>4133</v>
      </c>
      <c r="E12560" s="1133" t="n">
        <v>0.0001</v>
      </c>
      <c r="F12560" s="1128" t="n">
        <v>2950</v>
      </c>
      <c r="G12560" s="1123" t="n">
        <f aca="false">E12560*F12560</f>
        <v>0.295</v>
      </c>
      <c r="H12560" s="1129"/>
    </row>
    <row r="12561" s="451" customFormat="true" ht="15" hidden="false" customHeight="false" outlineLevel="0" collapsed="false">
      <c r="A12561" s="1130"/>
      <c r="B12561" s="1131"/>
      <c r="C12561" s="1126" t="s">
        <v>6696</v>
      </c>
      <c r="D12561" s="662" t="s">
        <v>4133</v>
      </c>
      <c r="E12561" s="1133" t="n">
        <v>0.0001</v>
      </c>
      <c r="F12561" s="1128" t="n">
        <v>6000</v>
      </c>
      <c r="G12561" s="1123" t="n">
        <f aca="false">E12561*F12561</f>
        <v>0.6</v>
      </c>
      <c r="H12561" s="1129"/>
    </row>
    <row r="12562" s="451" customFormat="true" ht="15" hidden="false" customHeight="false" outlineLevel="0" collapsed="false">
      <c r="A12562" s="1130"/>
      <c r="B12562" s="1131"/>
      <c r="C12562" s="1126" t="s">
        <v>6697</v>
      </c>
      <c r="D12562" s="662" t="s">
        <v>4133</v>
      </c>
      <c r="E12562" s="1132" t="n">
        <v>0.0001</v>
      </c>
      <c r="F12562" s="1128" t="n">
        <v>210</v>
      </c>
      <c r="G12562" s="1123" t="n">
        <f aca="false">E12562*F12562</f>
        <v>0.021</v>
      </c>
      <c r="H12562" s="1129"/>
    </row>
    <row r="12563" s="451" customFormat="true" ht="15" hidden="false" customHeight="false" outlineLevel="0" collapsed="false">
      <c r="A12563" s="1130"/>
      <c r="B12563" s="1131"/>
      <c r="C12563" s="1134"/>
      <c r="D12563" s="1129"/>
      <c r="E12563" s="1135"/>
      <c r="F12563" s="1136" t="s">
        <v>6013</v>
      </c>
      <c r="G12563" s="1124" t="n">
        <f aca="false">SUM(G12557:G12562)</f>
        <v>4.266</v>
      </c>
      <c r="H12563" s="1129"/>
    </row>
    <row r="12564" s="451" customFormat="true" ht="15" hidden="false" customHeight="false" outlineLevel="0" collapsed="false">
      <c r="A12564" s="1137" t="s">
        <v>2560</v>
      </c>
      <c r="B12564" s="49" t="s">
        <v>4003</v>
      </c>
      <c r="C12564" s="1126" t="s">
        <v>6692</v>
      </c>
      <c r="D12564" s="662" t="s">
        <v>4359</v>
      </c>
      <c r="E12564" s="1127" t="n">
        <v>0.0001</v>
      </c>
      <c r="F12564" s="1128" t="n">
        <v>5000</v>
      </c>
      <c r="G12564" s="1123" t="n">
        <f aca="false">E12564*F12564</f>
        <v>0.5</v>
      </c>
      <c r="H12564" s="662"/>
    </row>
    <row r="12565" s="451" customFormat="true" ht="15" hidden="false" customHeight="false" outlineLevel="0" collapsed="false">
      <c r="A12565" s="1137"/>
      <c r="B12565" s="1138"/>
      <c r="C12565" s="1126" t="s">
        <v>6693</v>
      </c>
      <c r="D12565" s="662" t="s">
        <v>4133</v>
      </c>
      <c r="E12565" s="1127" t="n">
        <v>0.0001</v>
      </c>
      <c r="F12565" s="1128" t="n">
        <v>4500</v>
      </c>
      <c r="G12565" s="1123" t="n">
        <f aca="false">E12565*F12565</f>
        <v>0.45</v>
      </c>
      <c r="H12565" s="662"/>
    </row>
    <row r="12566" s="451" customFormat="true" ht="15" hidden="false" customHeight="false" outlineLevel="0" collapsed="false">
      <c r="A12566" s="1137"/>
      <c r="B12566" s="1138"/>
      <c r="C12566" s="1126" t="s">
        <v>6694</v>
      </c>
      <c r="D12566" s="662" t="s">
        <v>4133</v>
      </c>
      <c r="E12566" s="1132" t="n">
        <v>0.002</v>
      </c>
      <c r="F12566" s="1128" t="n">
        <v>1200</v>
      </c>
      <c r="G12566" s="1123" t="n">
        <f aca="false">E12566*F12566</f>
        <v>2.4</v>
      </c>
      <c r="H12566" s="662"/>
    </row>
    <row r="12567" s="451" customFormat="true" ht="15" hidden="false" customHeight="false" outlineLevel="0" collapsed="false">
      <c r="A12567" s="1137"/>
      <c r="B12567" s="1138"/>
      <c r="C12567" s="1126" t="s">
        <v>6695</v>
      </c>
      <c r="D12567" s="662" t="s">
        <v>4133</v>
      </c>
      <c r="E12567" s="1133" t="n">
        <v>0.0001</v>
      </c>
      <c r="F12567" s="1128" t="n">
        <v>2950</v>
      </c>
      <c r="G12567" s="1123" t="n">
        <f aca="false">E12567*F12567</f>
        <v>0.295</v>
      </c>
      <c r="H12567" s="662"/>
    </row>
    <row r="12568" s="451" customFormat="true" ht="15" hidden="false" customHeight="false" outlineLevel="0" collapsed="false">
      <c r="A12568" s="1137"/>
      <c r="B12568" s="1138"/>
      <c r="C12568" s="1126" t="s">
        <v>6696</v>
      </c>
      <c r="D12568" s="662" t="s">
        <v>4133</v>
      </c>
      <c r="E12568" s="1133" t="n">
        <v>0.0001</v>
      </c>
      <c r="F12568" s="1128" t="n">
        <v>6000</v>
      </c>
      <c r="G12568" s="1123" t="n">
        <f aca="false">E12568*F12568</f>
        <v>0.6</v>
      </c>
      <c r="H12568" s="662"/>
    </row>
    <row r="12569" s="451" customFormat="true" ht="15" hidden="false" customHeight="false" outlineLevel="0" collapsed="false">
      <c r="A12569" s="1137"/>
      <c r="B12569" s="1138"/>
      <c r="C12569" s="1126" t="s">
        <v>6697</v>
      </c>
      <c r="D12569" s="662" t="s">
        <v>4133</v>
      </c>
      <c r="E12569" s="1132" t="n">
        <v>0.0001</v>
      </c>
      <c r="F12569" s="1128" t="n">
        <v>210</v>
      </c>
      <c r="G12569" s="1123" t="n">
        <f aca="false">E12569*F12569</f>
        <v>0.021</v>
      </c>
      <c r="H12569" s="662"/>
    </row>
    <row r="12570" s="451" customFormat="true" ht="15" hidden="false" customHeight="false" outlineLevel="0" collapsed="false">
      <c r="A12570" s="1137"/>
      <c r="B12570" s="1131" t="s">
        <v>4128</v>
      </c>
      <c r="C12570" s="1134"/>
      <c r="D12570" s="1129"/>
      <c r="E12570" s="1135"/>
      <c r="F12570" s="1136" t="s">
        <v>6013</v>
      </c>
      <c r="G12570" s="1124" t="n">
        <f aca="false">SUM(G12564:G12569)</f>
        <v>4.266</v>
      </c>
      <c r="H12570" s="1129"/>
    </row>
    <row r="12571" s="451" customFormat="true" ht="15" hidden="false" customHeight="false" outlineLevel="0" collapsed="false">
      <c r="A12571" s="1137" t="s">
        <v>2562</v>
      </c>
      <c r="B12571" s="49" t="s">
        <v>4004</v>
      </c>
      <c r="C12571" s="1126" t="s">
        <v>6698</v>
      </c>
      <c r="D12571" s="662" t="s">
        <v>4359</v>
      </c>
      <c r="E12571" s="1127" t="n">
        <v>5E-005</v>
      </c>
      <c r="F12571" s="1128" t="n">
        <v>5800</v>
      </c>
      <c r="G12571" s="1123" t="n">
        <f aca="false">E12571*F12571</f>
        <v>0.29</v>
      </c>
      <c r="H12571" s="662"/>
    </row>
    <row r="12572" s="451" customFormat="true" ht="15" hidden="false" customHeight="false" outlineLevel="0" collapsed="false">
      <c r="A12572" s="1137"/>
      <c r="B12572" s="1138"/>
      <c r="C12572" s="1126" t="s">
        <v>6699</v>
      </c>
      <c r="D12572" s="662" t="s">
        <v>4359</v>
      </c>
      <c r="E12572" s="1127" t="n">
        <v>5E-005</v>
      </c>
      <c r="F12572" s="1128" t="n">
        <v>5600</v>
      </c>
      <c r="G12572" s="1123" t="n">
        <f aca="false">E12572*F12572</f>
        <v>0.28</v>
      </c>
      <c r="H12572" s="662"/>
    </row>
    <row r="12573" s="451" customFormat="true" ht="15" hidden="false" customHeight="false" outlineLevel="0" collapsed="false">
      <c r="A12573" s="1137"/>
      <c r="B12573" s="1138"/>
      <c r="C12573" s="1126" t="s">
        <v>6700</v>
      </c>
      <c r="D12573" s="662" t="s">
        <v>4359</v>
      </c>
      <c r="E12573" s="1132" t="n">
        <v>0.001</v>
      </c>
      <c r="F12573" s="1139" t="n">
        <v>390</v>
      </c>
      <c r="G12573" s="1123" t="n">
        <f aca="false">E12573*F12573</f>
        <v>0.39</v>
      </c>
      <c r="H12573" s="662"/>
    </row>
    <row r="12574" s="451" customFormat="true" ht="15" hidden="false" customHeight="false" outlineLevel="0" collapsed="false">
      <c r="A12574" s="1137"/>
      <c r="B12574" s="1138"/>
      <c r="C12574" s="1126" t="s">
        <v>6701</v>
      </c>
      <c r="D12574" s="662" t="s">
        <v>4359</v>
      </c>
      <c r="E12574" s="1132" t="n">
        <v>0.001</v>
      </c>
      <c r="F12574" s="1139" t="n">
        <v>390</v>
      </c>
      <c r="G12574" s="1123" t="n">
        <f aca="false">E12574*F12574</f>
        <v>0.39</v>
      </c>
      <c r="H12574" s="662"/>
    </row>
    <row r="12575" s="451" customFormat="true" ht="15" hidden="false" customHeight="false" outlineLevel="0" collapsed="false">
      <c r="A12575" s="1137"/>
      <c r="B12575" s="1138"/>
      <c r="C12575" s="1126" t="s">
        <v>6702</v>
      </c>
      <c r="D12575" s="662" t="s">
        <v>4133</v>
      </c>
      <c r="E12575" s="1132" t="n">
        <v>0.0015</v>
      </c>
      <c r="F12575" s="1128" t="n">
        <v>1300</v>
      </c>
      <c r="G12575" s="1123" t="n">
        <v>1.9</v>
      </c>
      <c r="H12575" s="662"/>
    </row>
    <row r="12576" s="451" customFormat="true" ht="15" hidden="false" customHeight="false" outlineLevel="0" collapsed="false">
      <c r="A12576" s="1137"/>
      <c r="B12576" s="1138"/>
      <c r="C12576" s="1126" t="s">
        <v>6703</v>
      </c>
      <c r="D12576" s="662" t="s">
        <v>4359</v>
      </c>
      <c r="E12576" s="1127" t="n">
        <v>0.0002</v>
      </c>
      <c r="F12576" s="1128" t="n">
        <v>4500</v>
      </c>
      <c r="G12576" s="1123" t="n">
        <f aca="false">E12576*F12576</f>
        <v>0.9</v>
      </c>
      <c r="H12576" s="662"/>
    </row>
    <row r="12577" s="451" customFormat="true" ht="15" hidden="false" customHeight="false" outlineLevel="0" collapsed="false">
      <c r="A12577" s="1137"/>
      <c r="B12577" s="1138"/>
      <c r="C12577" s="1126" t="s">
        <v>6704</v>
      </c>
      <c r="D12577" s="662" t="s">
        <v>4133</v>
      </c>
      <c r="E12577" s="1132" t="n">
        <v>0.003</v>
      </c>
      <c r="F12577" s="1128" t="n">
        <v>3500</v>
      </c>
      <c r="G12577" s="1123" t="n">
        <f aca="false">E12577*F12577</f>
        <v>10.5</v>
      </c>
      <c r="H12577" s="662"/>
    </row>
    <row r="12578" s="451" customFormat="true" ht="15" hidden="false" customHeight="false" outlineLevel="0" collapsed="false">
      <c r="A12578" s="1137"/>
      <c r="B12578" s="1138"/>
      <c r="C12578" s="1126" t="s">
        <v>6705</v>
      </c>
      <c r="D12578" s="662" t="s">
        <v>4133</v>
      </c>
      <c r="E12578" s="1127" t="n">
        <v>0.0009</v>
      </c>
      <c r="F12578" s="1128" t="n">
        <v>890</v>
      </c>
      <c r="G12578" s="1123" t="n">
        <f aca="false">E12578*F12578</f>
        <v>0.801</v>
      </c>
      <c r="H12578" s="662"/>
    </row>
    <row r="12579" s="451" customFormat="true" ht="15" hidden="false" customHeight="false" outlineLevel="0" collapsed="false">
      <c r="A12579" s="1137"/>
      <c r="B12579" s="1131" t="s">
        <v>4128</v>
      </c>
      <c r="C12579" s="1134"/>
      <c r="D12579" s="1129"/>
      <c r="E12579" s="1135"/>
      <c r="F12579" s="1136"/>
      <c r="G12579" s="1124" t="n">
        <f aca="false">SUM(G12571:G12578)</f>
        <v>15.451</v>
      </c>
      <c r="H12579" s="1140"/>
    </row>
    <row r="12580" s="451" customFormat="true" ht="15" hidden="false" customHeight="false" outlineLevel="0" collapsed="false">
      <c r="A12580" s="1137" t="s">
        <v>2564</v>
      </c>
      <c r="B12580" s="49" t="s">
        <v>4005</v>
      </c>
      <c r="C12580" s="1126" t="s">
        <v>6698</v>
      </c>
      <c r="D12580" s="662" t="s">
        <v>4359</v>
      </c>
      <c r="E12580" s="1127" t="n">
        <v>5E-005</v>
      </c>
      <c r="F12580" s="1128" t="n">
        <v>5800</v>
      </c>
      <c r="G12580" s="1123" t="n">
        <f aca="false">E12580*F12580</f>
        <v>0.29</v>
      </c>
      <c r="H12580" s="662"/>
    </row>
    <row r="12581" s="451" customFormat="true" ht="15" hidden="false" customHeight="false" outlineLevel="0" collapsed="false">
      <c r="A12581" s="1137"/>
      <c r="B12581" s="1138"/>
      <c r="C12581" s="1126" t="s">
        <v>6699</v>
      </c>
      <c r="D12581" s="662" t="s">
        <v>4359</v>
      </c>
      <c r="E12581" s="1127" t="n">
        <v>5E-005</v>
      </c>
      <c r="F12581" s="1128" t="n">
        <v>5600</v>
      </c>
      <c r="G12581" s="1123" t="n">
        <f aca="false">E12581*F12581</f>
        <v>0.28</v>
      </c>
      <c r="H12581" s="662"/>
    </row>
    <row r="12582" s="451" customFormat="true" ht="15" hidden="false" customHeight="false" outlineLevel="0" collapsed="false">
      <c r="A12582" s="1130"/>
      <c r="B12582" s="1138"/>
      <c r="C12582" s="1126" t="s">
        <v>6700</v>
      </c>
      <c r="D12582" s="662" t="s">
        <v>4359</v>
      </c>
      <c r="E12582" s="1132" t="n">
        <v>0.001</v>
      </c>
      <c r="F12582" s="1139" t="n">
        <v>390</v>
      </c>
      <c r="G12582" s="1123" t="n">
        <f aca="false">E12582*F12582</f>
        <v>0.39</v>
      </c>
      <c r="H12582" s="662"/>
    </row>
    <row r="12583" s="451" customFormat="true" ht="15" hidden="false" customHeight="false" outlineLevel="0" collapsed="false">
      <c r="A12583" s="1130"/>
      <c r="B12583" s="1138"/>
      <c r="C12583" s="1126" t="s">
        <v>6701</v>
      </c>
      <c r="D12583" s="662" t="s">
        <v>4359</v>
      </c>
      <c r="E12583" s="1132" t="n">
        <v>0.001</v>
      </c>
      <c r="F12583" s="1139" t="n">
        <v>390</v>
      </c>
      <c r="G12583" s="1123" t="n">
        <f aca="false">E12583*F12583</f>
        <v>0.39</v>
      </c>
      <c r="H12583" s="662"/>
    </row>
    <row r="12584" s="451" customFormat="true" ht="15" hidden="false" customHeight="false" outlineLevel="0" collapsed="false">
      <c r="A12584" s="1130"/>
      <c r="B12584" s="1138"/>
      <c r="C12584" s="1126" t="s">
        <v>6702</v>
      </c>
      <c r="D12584" s="662" t="s">
        <v>4133</v>
      </c>
      <c r="E12584" s="1132" t="n">
        <v>0.0015</v>
      </c>
      <c r="F12584" s="1128" t="n">
        <v>1300</v>
      </c>
      <c r="G12584" s="1123" t="n">
        <v>1.9</v>
      </c>
      <c r="H12584" s="662"/>
    </row>
    <row r="12585" s="451" customFormat="true" ht="15" hidden="false" customHeight="false" outlineLevel="0" collapsed="false">
      <c r="A12585" s="1130"/>
      <c r="B12585" s="1138"/>
      <c r="C12585" s="1126" t="s">
        <v>6703</v>
      </c>
      <c r="D12585" s="662" t="s">
        <v>4359</v>
      </c>
      <c r="E12585" s="1127" t="n">
        <v>0.0002</v>
      </c>
      <c r="F12585" s="1128" t="n">
        <v>4500</v>
      </c>
      <c r="G12585" s="1123" t="n">
        <f aca="false">E12585*F12585</f>
        <v>0.9</v>
      </c>
      <c r="H12585" s="662"/>
    </row>
    <row r="12586" s="451" customFormat="true" ht="15" hidden="false" customHeight="false" outlineLevel="0" collapsed="false">
      <c r="A12586" s="1130"/>
      <c r="B12586" s="1138"/>
      <c r="C12586" s="1126" t="s">
        <v>6704</v>
      </c>
      <c r="D12586" s="662" t="s">
        <v>4133</v>
      </c>
      <c r="E12586" s="1132" t="n">
        <v>0.003</v>
      </c>
      <c r="F12586" s="1128" t="n">
        <v>3500</v>
      </c>
      <c r="G12586" s="1123" t="n">
        <f aca="false">E12586*F12586</f>
        <v>10.5</v>
      </c>
      <c r="H12586" s="662"/>
    </row>
    <row r="12587" s="451" customFormat="true" ht="15" hidden="false" customHeight="false" outlineLevel="0" collapsed="false">
      <c r="A12587" s="1130"/>
      <c r="B12587" s="1138"/>
      <c r="C12587" s="1126" t="s">
        <v>6705</v>
      </c>
      <c r="D12587" s="662" t="s">
        <v>4133</v>
      </c>
      <c r="E12587" s="1127" t="n">
        <v>0.0009</v>
      </c>
      <c r="F12587" s="1128" t="n">
        <v>890</v>
      </c>
      <c r="G12587" s="1123" t="n">
        <f aca="false">E12587*F12587</f>
        <v>0.801</v>
      </c>
      <c r="H12587" s="662"/>
    </row>
    <row r="12588" s="451" customFormat="true" ht="15" hidden="false" customHeight="false" outlineLevel="0" collapsed="false">
      <c r="A12588" s="1130"/>
      <c r="B12588" s="1131" t="s">
        <v>4128</v>
      </c>
      <c r="C12588" s="1134"/>
      <c r="D12588" s="1129"/>
      <c r="E12588" s="1135"/>
      <c r="F12588" s="1136"/>
      <c r="G12588" s="1124" t="n">
        <f aca="false">SUM(G12580:G12587)</f>
        <v>15.451</v>
      </c>
      <c r="H12588" s="1140"/>
    </row>
    <row r="12589" customFormat="false" ht="71.25" hidden="false" customHeight="false" outlineLevel="0" collapsed="false">
      <c r="A12589" s="424" t="n">
        <v>11</v>
      </c>
      <c r="B12589" s="149" t="s">
        <v>4006</v>
      </c>
      <c r="C12589" s="433" t="s">
        <v>6706</v>
      </c>
      <c r="D12589" s="606" t="s">
        <v>4348</v>
      </c>
      <c r="E12589" s="954" t="n">
        <v>2</v>
      </c>
      <c r="F12589" s="617" t="n">
        <f aca="false">4500/500</f>
        <v>9</v>
      </c>
      <c r="G12589" s="615" t="n">
        <f aca="false">E12589*F12589</f>
        <v>18</v>
      </c>
      <c r="H12589" s="679"/>
    </row>
    <row r="12590" customFormat="false" ht="15" hidden="false" customHeight="true" outlineLevel="0" collapsed="false">
      <c r="A12590" s="424"/>
      <c r="B12590" s="149"/>
      <c r="C12590" s="614" t="s">
        <v>6707</v>
      </c>
      <c r="D12590" s="606" t="s">
        <v>4348</v>
      </c>
      <c r="E12590" s="954" t="n">
        <v>0.005</v>
      </c>
      <c r="F12590" s="617" t="n">
        <v>21000</v>
      </c>
      <c r="G12590" s="615" t="n">
        <f aca="false">E12590*F12590</f>
        <v>105</v>
      </c>
      <c r="H12590" s="679"/>
    </row>
    <row r="12591" customFormat="false" ht="20.25" hidden="false" customHeight="true" outlineLevel="0" collapsed="false">
      <c r="A12591" s="424"/>
      <c r="B12591" s="149" t="s">
        <v>4562</v>
      </c>
      <c r="C12591" s="709"/>
      <c r="D12591" s="679"/>
      <c r="E12591" s="709"/>
      <c r="F12591" s="681"/>
      <c r="G12591" s="711" t="n">
        <f aca="false">SUM(G12589:G12590)</f>
        <v>123</v>
      </c>
      <c r="H12591" s="679"/>
    </row>
    <row r="12592" customFormat="false" ht="20.25" hidden="false" customHeight="true" outlineLevel="0" collapsed="false">
      <c r="A12592" s="148" t="n">
        <v>12</v>
      </c>
      <c r="B12592" s="149" t="s">
        <v>4007</v>
      </c>
      <c r="C12592" s="709"/>
      <c r="D12592" s="679"/>
      <c r="E12592" s="709"/>
      <c r="F12592" s="681"/>
      <c r="G12592" s="711" t="n">
        <v>0</v>
      </c>
      <c r="H12592" s="679"/>
    </row>
    <row r="12593" customFormat="false" ht="20.25" hidden="false" customHeight="true" outlineLevel="0" collapsed="false">
      <c r="A12593" s="148" t="n">
        <v>13</v>
      </c>
      <c r="B12593" s="149" t="s">
        <v>4008</v>
      </c>
      <c r="C12593" s="709"/>
      <c r="D12593" s="679"/>
      <c r="E12593" s="709"/>
      <c r="F12593" s="681"/>
      <c r="G12593" s="711" t="n">
        <v>0</v>
      </c>
      <c r="H12593" s="679"/>
    </row>
    <row r="12594" customFormat="false" ht="20.25" hidden="false" customHeight="true" outlineLevel="0" collapsed="false">
      <c r="A12594" s="148" t="n">
        <v>14</v>
      </c>
      <c r="B12594" s="149" t="s">
        <v>4009</v>
      </c>
      <c r="C12594" s="709"/>
      <c r="D12594" s="679"/>
      <c r="E12594" s="709"/>
      <c r="F12594" s="681"/>
      <c r="G12594" s="711" t="n">
        <v>0</v>
      </c>
      <c r="H12594" s="679"/>
    </row>
    <row r="12595" customFormat="false" ht="33" hidden="false" customHeight="true" outlineLevel="0" collapsed="false">
      <c r="A12595" s="152" t="s">
        <v>2573</v>
      </c>
      <c r="B12595" s="1141" t="s">
        <v>4010</v>
      </c>
      <c r="C12595" s="1142"/>
      <c r="D12595" s="1142"/>
      <c r="E12595" s="1142"/>
      <c r="F12595" s="1142"/>
      <c r="G12595" s="1142"/>
      <c r="H12595" s="1142"/>
    </row>
    <row r="12596" customFormat="false" ht="53.25" hidden="false" customHeight="true" outlineLevel="0" collapsed="false">
      <c r="A12596" s="396" t="s">
        <v>2577</v>
      </c>
      <c r="B12596" s="398" t="s">
        <v>4011</v>
      </c>
      <c r="C12596" s="1126" t="s">
        <v>6708</v>
      </c>
      <c r="D12596" s="662" t="s">
        <v>4348</v>
      </c>
      <c r="E12596" s="1126" t="n">
        <v>1</v>
      </c>
      <c r="F12596" s="1143" t="n">
        <v>80</v>
      </c>
      <c r="G12596" s="1123" t="n">
        <v>80</v>
      </c>
      <c r="H12596" s="679"/>
    </row>
    <row r="12597" customFormat="false" ht="20.25" hidden="false" customHeight="true" outlineLevel="0" collapsed="false">
      <c r="A12597" s="424"/>
      <c r="B12597" s="149"/>
      <c r="C12597" s="1126" t="s">
        <v>6709</v>
      </c>
      <c r="D12597" s="662" t="s">
        <v>4348</v>
      </c>
      <c r="E12597" s="1126" t="n">
        <v>1</v>
      </c>
      <c r="F12597" s="1143" t="n">
        <v>200</v>
      </c>
      <c r="G12597" s="1123" t="n">
        <v>200</v>
      </c>
      <c r="H12597" s="679"/>
    </row>
    <row r="12598" customFormat="false" ht="20.25" hidden="false" customHeight="true" outlineLevel="0" collapsed="false">
      <c r="A12598" s="424"/>
      <c r="B12598" s="149"/>
      <c r="C12598" s="1126" t="s">
        <v>6710</v>
      </c>
      <c r="D12598" s="662" t="s">
        <v>4348</v>
      </c>
      <c r="E12598" s="1126" t="n">
        <v>2</v>
      </c>
      <c r="F12598" s="1143" t="n">
        <v>45</v>
      </c>
      <c r="G12598" s="1123" t="n">
        <v>90</v>
      </c>
      <c r="H12598" s="679"/>
    </row>
    <row r="12599" customFormat="false" ht="20.25" hidden="false" customHeight="true" outlineLevel="0" collapsed="false">
      <c r="A12599" s="424"/>
      <c r="B12599" s="149"/>
      <c r="C12599" s="1126" t="s">
        <v>6711</v>
      </c>
      <c r="D12599" s="662" t="s">
        <v>4348</v>
      </c>
      <c r="E12599" s="1126" t="n">
        <v>1</v>
      </c>
      <c r="F12599" s="1143" t="n">
        <v>520</v>
      </c>
      <c r="G12599" s="1123" t="n">
        <v>520</v>
      </c>
      <c r="H12599" s="679"/>
    </row>
    <row r="12600" customFormat="false" ht="20.25" hidden="false" customHeight="true" outlineLevel="0" collapsed="false">
      <c r="A12600" s="424"/>
      <c r="B12600" s="149"/>
      <c r="C12600" s="1126" t="s">
        <v>6712</v>
      </c>
      <c r="D12600" s="662" t="s">
        <v>4348</v>
      </c>
      <c r="E12600" s="1126" t="n">
        <v>2</v>
      </c>
      <c r="F12600" s="1143" t="n">
        <v>90</v>
      </c>
      <c r="G12600" s="1123" t="n">
        <v>180</v>
      </c>
      <c r="H12600" s="679"/>
    </row>
    <row r="12601" customFormat="false" ht="20.25" hidden="false" customHeight="true" outlineLevel="0" collapsed="false">
      <c r="A12601" s="424"/>
      <c r="B12601" s="149"/>
      <c r="C12601" s="1126" t="s">
        <v>6688</v>
      </c>
      <c r="D12601" s="662" t="s">
        <v>5342</v>
      </c>
      <c r="E12601" s="1126" t="n">
        <v>1</v>
      </c>
      <c r="F12601" s="1143" t="n">
        <v>1150</v>
      </c>
      <c r="G12601" s="1123" t="n">
        <v>1150</v>
      </c>
      <c r="H12601" s="679"/>
    </row>
    <row r="12602" customFormat="false" ht="20.25" hidden="false" customHeight="true" outlineLevel="0" collapsed="false">
      <c r="A12602" s="424"/>
      <c r="B12602" s="149"/>
      <c r="C12602" s="1126" t="s">
        <v>6713</v>
      </c>
      <c r="D12602" s="662"/>
      <c r="E12602" s="1126"/>
      <c r="F12602" s="1143"/>
      <c r="G12602" s="1123"/>
      <c r="H12602" s="679"/>
    </row>
    <row r="12603" customFormat="false" ht="20.25" hidden="false" customHeight="true" outlineLevel="0" collapsed="false">
      <c r="A12603" s="424"/>
      <c r="B12603" s="149"/>
      <c r="C12603" s="1126" t="s">
        <v>6714</v>
      </c>
      <c r="D12603" s="662" t="s">
        <v>6715</v>
      </c>
      <c r="E12603" s="1126" t="n">
        <v>2</v>
      </c>
      <c r="F12603" s="1143" t="n">
        <v>1000</v>
      </c>
      <c r="G12603" s="1123" t="n">
        <v>2000</v>
      </c>
      <c r="H12603" s="679"/>
    </row>
    <row r="12604" customFormat="false" ht="41.25" hidden="false" customHeight="true" outlineLevel="0" collapsed="false">
      <c r="A12604" s="424"/>
      <c r="B12604" s="149"/>
      <c r="C12604" s="1126" t="s">
        <v>6716</v>
      </c>
      <c r="D12604" s="662" t="s">
        <v>6717</v>
      </c>
      <c r="E12604" s="1126" t="n">
        <v>2</v>
      </c>
      <c r="F12604" s="1143" t="n">
        <v>5000</v>
      </c>
      <c r="G12604" s="1123" t="n">
        <v>10000</v>
      </c>
      <c r="H12604" s="679"/>
    </row>
    <row r="12605" customFormat="false" ht="17.25" hidden="false" customHeight="true" outlineLevel="0" collapsed="false">
      <c r="A12605" s="424"/>
      <c r="B12605" s="149"/>
      <c r="C12605" s="1126" t="s">
        <v>6718</v>
      </c>
      <c r="D12605" s="662" t="s">
        <v>6717</v>
      </c>
      <c r="E12605" s="1126" t="n">
        <v>1</v>
      </c>
      <c r="F12605" s="1143" t="n">
        <v>1000</v>
      </c>
      <c r="G12605" s="1123" t="n">
        <v>1000</v>
      </c>
      <c r="H12605" s="679"/>
    </row>
    <row r="12606" customFormat="false" ht="20.25" hidden="false" customHeight="true" outlineLevel="0" collapsed="false">
      <c r="A12606" s="424"/>
      <c r="B12606" s="149" t="s">
        <v>4128</v>
      </c>
      <c r="C12606" s="709"/>
      <c r="D12606" s="679"/>
      <c r="E12606" s="709"/>
      <c r="F12606" s="681"/>
      <c r="G12606" s="711" t="n">
        <f aca="false">SUM(G12596:G12605)</f>
        <v>15220</v>
      </c>
      <c r="H12606" s="679"/>
    </row>
    <row r="12607" customFormat="false" ht="47.25" hidden="false" customHeight="false" outlineLevel="0" collapsed="false">
      <c r="A12607" s="1144" t="s">
        <v>2579</v>
      </c>
      <c r="B12607" s="398" t="s">
        <v>4012</v>
      </c>
      <c r="C12607" s="433" t="s">
        <v>6706</v>
      </c>
      <c r="D12607" s="606" t="s">
        <v>4348</v>
      </c>
      <c r="E12607" s="954" t="n">
        <v>2</v>
      </c>
      <c r="F12607" s="617" t="n">
        <f aca="false">4500/500</f>
        <v>9</v>
      </c>
      <c r="G12607" s="615" t="n">
        <f aca="false">E12607*F12607</f>
        <v>18</v>
      </c>
      <c r="H12607" s="679"/>
    </row>
    <row r="12608" customFormat="false" ht="15" hidden="false" customHeight="false" outlineLevel="0" collapsed="false">
      <c r="A12608" s="424"/>
      <c r="B12608" s="149"/>
      <c r="C12608" s="614" t="s">
        <v>6707</v>
      </c>
      <c r="D12608" s="606" t="s">
        <v>4348</v>
      </c>
      <c r="E12608" s="954" t="n">
        <v>0.005</v>
      </c>
      <c r="F12608" s="617" t="n">
        <v>21000</v>
      </c>
      <c r="G12608" s="615" t="n">
        <f aca="false">E12608*F12608</f>
        <v>105</v>
      </c>
      <c r="H12608" s="679"/>
    </row>
    <row r="12609" customFormat="false" ht="15" hidden="false" customHeight="false" outlineLevel="0" collapsed="false">
      <c r="A12609" s="424"/>
      <c r="B12609" s="149"/>
      <c r="C12609" s="709"/>
      <c r="D12609" s="679"/>
      <c r="E12609" s="709"/>
      <c r="F12609" s="681"/>
      <c r="G12609" s="711" t="n">
        <f aca="false">SUM(G12607:G12608)</f>
        <v>123</v>
      </c>
      <c r="H12609" s="679"/>
    </row>
    <row r="12610" customFormat="false" ht="31.5" hidden="false" customHeight="false" outlineLevel="0" collapsed="false">
      <c r="A12610" s="1144" t="s">
        <v>2581</v>
      </c>
      <c r="B12610" s="398" t="s">
        <v>4013</v>
      </c>
      <c r="C12610" s="433" t="s">
        <v>6706</v>
      </c>
      <c r="D12610" s="606" t="s">
        <v>4348</v>
      </c>
      <c r="E12610" s="954" t="n">
        <v>2</v>
      </c>
      <c r="F12610" s="617" t="n">
        <f aca="false">4500/500</f>
        <v>9</v>
      </c>
      <c r="G12610" s="615" t="n">
        <f aca="false">E12610*F12610</f>
        <v>18</v>
      </c>
      <c r="H12610" s="679"/>
    </row>
    <row r="12611" customFormat="false" ht="15" hidden="false" customHeight="false" outlineLevel="0" collapsed="false">
      <c r="A12611" s="424"/>
      <c r="B12611" s="149"/>
      <c r="C12611" s="614" t="s">
        <v>6707</v>
      </c>
      <c r="D12611" s="606" t="s">
        <v>4348</v>
      </c>
      <c r="E12611" s="954" t="n">
        <v>0.005</v>
      </c>
      <c r="F12611" s="617" t="n">
        <v>21000</v>
      </c>
      <c r="G12611" s="615" t="n">
        <f aca="false">E12611*F12611</f>
        <v>105</v>
      </c>
      <c r="H12611" s="679"/>
    </row>
    <row r="12612" customFormat="false" ht="15" hidden="false" customHeight="true" outlineLevel="0" collapsed="false">
      <c r="A12612" s="424"/>
      <c r="B12612" s="149"/>
      <c r="C12612" s="709"/>
      <c r="D12612" s="679"/>
      <c r="E12612" s="709"/>
      <c r="F12612" s="681"/>
      <c r="G12612" s="711" t="n">
        <f aca="false">SUM(G12610:G12611)</f>
        <v>123</v>
      </c>
      <c r="H12612" s="679"/>
    </row>
    <row r="12613" customFormat="false" ht="57.75" hidden="false" customHeight="true" outlineLevel="0" collapsed="false">
      <c r="A12613" s="396" t="s">
        <v>2583</v>
      </c>
      <c r="B12613" s="163" t="s">
        <v>4014</v>
      </c>
      <c r="C12613" s="709"/>
      <c r="D12613" s="1145"/>
      <c r="E12613" s="709"/>
      <c r="F12613" s="681"/>
      <c r="G12613" s="1146" t="n">
        <v>0</v>
      </c>
      <c r="H12613" s="679"/>
    </row>
    <row r="12614" customFormat="false" ht="34.5" hidden="false" customHeight="true" outlineLevel="0" collapsed="false">
      <c r="A12614" s="399" t="s">
        <v>2586</v>
      </c>
      <c r="B12614" s="401" t="s">
        <v>4015</v>
      </c>
      <c r="C12614" s="401"/>
      <c r="D12614" s="1147"/>
      <c r="E12614" s="1147"/>
      <c r="F12614" s="401"/>
      <c r="G12614" s="401"/>
      <c r="H12614" s="401"/>
    </row>
    <row r="12615" s="663" customFormat="true" ht="15.75" hidden="false" customHeight="true" outlineLevel="0" collapsed="false">
      <c r="A12615" s="1148" t="s">
        <v>2629</v>
      </c>
      <c r="B12615" s="1149" t="s">
        <v>4099</v>
      </c>
      <c r="C12615" s="1149"/>
      <c r="D12615" s="1149"/>
      <c r="E12615" s="1149"/>
      <c r="F12615" s="1149"/>
      <c r="G12615" s="1136"/>
      <c r="H12615" s="662"/>
    </row>
    <row r="12616" s="663" customFormat="true" ht="15.75" hidden="false" customHeight="false" outlineLevel="0" collapsed="false">
      <c r="A12616" s="1150"/>
      <c r="B12616" s="1122" t="s">
        <v>6688</v>
      </c>
      <c r="C12616" s="662" t="s">
        <v>5342</v>
      </c>
      <c r="D12616" s="662" t="n">
        <v>1</v>
      </c>
      <c r="E12616" s="1151"/>
      <c r="F12616" s="662" t="n">
        <v>1200</v>
      </c>
      <c r="G12616" s="1128" t="n">
        <f aca="false">F12616*D12616</f>
        <v>1200</v>
      </c>
      <c r="H12616" s="662"/>
    </row>
    <row r="12617" customFormat="false" ht="21" hidden="false" customHeight="true" outlineLevel="0" collapsed="false">
      <c r="A12617" s="192" t="n">
        <v>17</v>
      </c>
      <c r="B12617" s="211" t="s">
        <v>4040</v>
      </c>
      <c r="C12617" s="211"/>
      <c r="D12617" s="93"/>
      <c r="E12617" s="193"/>
      <c r="F12617" s="193"/>
      <c r="G12617" s="1152"/>
      <c r="H12617" s="193"/>
    </row>
    <row r="12618" s="1158" customFormat="true" ht="19.5" hidden="false" customHeight="true" outlineLevel="0" collapsed="false">
      <c r="A12618" s="1153" t="s">
        <v>2638</v>
      </c>
      <c r="B12618" s="1154" t="s">
        <v>6719</v>
      </c>
      <c r="C12618" s="1155"/>
      <c r="D12618" s="1155"/>
      <c r="E12618" s="1155"/>
      <c r="F12618" s="1155"/>
      <c r="G12618" s="1156" t="n">
        <f aca="false">G12623</f>
        <v>616.34</v>
      </c>
      <c r="H12618" s="1155"/>
      <c r="I12618" s="1157"/>
      <c r="J12618" s="1157"/>
      <c r="K12618" s="1157"/>
      <c r="L12618" s="1157"/>
      <c r="M12618" s="1157"/>
      <c r="N12618" s="1157"/>
      <c r="O12618" s="1157"/>
      <c r="P12618" s="1157"/>
      <c r="Q12618" s="1157"/>
      <c r="R12618" s="1157"/>
      <c r="S12618" s="1157"/>
      <c r="T12618" s="1157"/>
    </row>
    <row r="12619" s="1158" customFormat="true" ht="19.5" hidden="false" customHeight="true" outlineLevel="0" collapsed="false">
      <c r="A12619" s="1159"/>
      <c r="B12619" s="217" t="s">
        <v>3810</v>
      </c>
      <c r="C12619" s="855" t="s">
        <v>6720</v>
      </c>
      <c r="D12619" s="316" t="s">
        <v>4528</v>
      </c>
      <c r="E12619" s="614" t="n">
        <v>0.02</v>
      </c>
      <c r="F12619" s="614" t="n">
        <v>14200</v>
      </c>
      <c r="G12619" s="614" t="n">
        <f aca="false">E12619*F12619</f>
        <v>284</v>
      </c>
      <c r="H12619" s="819"/>
      <c r="I12619" s="1157"/>
      <c r="J12619" s="1157"/>
      <c r="K12619" s="1157"/>
      <c r="L12619" s="1157"/>
      <c r="M12619" s="1157"/>
      <c r="N12619" s="1157"/>
      <c r="O12619" s="1157"/>
      <c r="P12619" s="1157"/>
      <c r="Q12619" s="1157"/>
      <c r="R12619" s="1157"/>
      <c r="S12619" s="1157"/>
      <c r="T12619" s="1157"/>
    </row>
    <row r="12620" s="1158" customFormat="true" ht="19.5" hidden="false" customHeight="true" outlineLevel="0" collapsed="false">
      <c r="A12620" s="1159"/>
      <c r="B12620" s="217"/>
      <c r="C12620" s="855" t="s">
        <v>6721</v>
      </c>
      <c r="D12620" s="316" t="s">
        <v>5788</v>
      </c>
      <c r="E12620" s="614" t="n">
        <v>1</v>
      </c>
      <c r="F12620" s="614" t="n">
        <v>98</v>
      </c>
      <c r="G12620" s="614" t="n">
        <f aca="false">E12620*F12620</f>
        <v>98</v>
      </c>
      <c r="H12620" s="819"/>
      <c r="I12620" s="1157"/>
      <c r="J12620" s="1157"/>
      <c r="K12620" s="1157"/>
      <c r="L12620" s="1157"/>
      <c r="M12620" s="1157"/>
      <c r="N12620" s="1157"/>
      <c r="O12620" s="1157"/>
      <c r="P12620" s="1157"/>
      <c r="Q12620" s="1157"/>
      <c r="R12620" s="1157"/>
      <c r="S12620" s="1157"/>
      <c r="T12620" s="1157"/>
    </row>
    <row r="12621" s="1158" customFormat="true" ht="19.5" hidden="false" customHeight="true" outlineLevel="0" collapsed="false">
      <c r="A12621" s="1159"/>
      <c r="B12621" s="217"/>
      <c r="C12621" s="855" t="s">
        <v>4611</v>
      </c>
      <c r="D12621" s="316" t="s">
        <v>4133</v>
      </c>
      <c r="E12621" s="614" t="n">
        <v>0.5</v>
      </c>
      <c r="F12621" s="614" t="n">
        <v>450</v>
      </c>
      <c r="G12621" s="614" t="n">
        <f aca="false">E12621*F12621</f>
        <v>225</v>
      </c>
      <c r="H12621" s="819"/>
      <c r="I12621" s="1157"/>
      <c r="J12621" s="1157"/>
      <c r="K12621" s="1157"/>
      <c r="L12621" s="1157"/>
      <c r="M12621" s="1157"/>
      <c r="N12621" s="1157"/>
      <c r="O12621" s="1157"/>
      <c r="P12621" s="1157"/>
      <c r="Q12621" s="1157"/>
      <c r="R12621" s="1157"/>
      <c r="S12621" s="1157"/>
      <c r="T12621" s="1157"/>
    </row>
    <row r="12622" s="1158" customFormat="true" ht="19.5" hidden="false" customHeight="true" outlineLevel="0" collapsed="false">
      <c r="A12622" s="1159"/>
      <c r="B12622" s="217"/>
      <c r="C12622" s="855" t="s">
        <v>5945</v>
      </c>
      <c r="D12622" s="316" t="s">
        <v>6722</v>
      </c>
      <c r="E12622" s="614" t="n">
        <v>0.02</v>
      </c>
      <c r="F12622" s="614" t="n">
        <v>467</v>
      </c>
      <c r="G12622" s="614" t="n">
        <f aca="false">E12622*F12622</f>
        <v>9.34</v>
      </c>
      <c r="H12622" s="819"/>
      <c r="I12622" s="1157"/>
      <c r="J12622" s="1157"/>
      <c r="K12622" s="1157"/>
      <c r="L12622" s="1157"/>
      <c r="M12622" s="1157"/>
      <c r="N12622" s="1157"/>
      <c r="O12622" s="1157"/>
      <c r="P12622" s="1157"/>
      <c r="Q12622" s="1157"/>
      <c r="R12622" s="1157"/>
      <c r="S12622" s="1157"/>
      <c r="T12622" s="1157"/>
    </row>
    <row r="12623" s="1158" customFormat="true" ht="19.5" hidden="false" customHeight="true" outlineLevel="0" collapsed="false">
      <c r="A12623" s="1159"/>
      <c r="B12623" s="1160" t="s">
        <v>4128</v>
      </c>
      <c r="C12623" s="1161"/>
      <c r="D12623" s="1161"/>
      <c r="E12623" s="819"/>
      <c r="F12623" s="819"/>
      <c r="G12623" s="934" t="n">
        <f aca="false">SUM(G12619:G12622)</f>
        <v>616.34</v>
      </c>
      <c r="H12623" s="819"/>
      <c r="I12623" s="1157"/>
      <c r="J12623" s="1157"/>
      <c r="K12623" s="1157"/>
      <c r="L12623" s="1157"/>
      <c r="M12623" s="1157"/>
      <c r="N12623" s="1157"/>
      <c r="O12623" s="1157"/>
      <c r="P12623" s="1157"/>
      <c r="Q12623" s="1157"/>
      <c r="R12623" s="1157"/>
      <c r="S12623" s="1157"/>
      <c r="T12623" s="1157"/>
    </row>
    <row r="12624" s="1158" customFormat="true" ht="31.5" hidden="false" customHeight="true" outlineLevel="0" collapsed="false">
      <c r="A12624" s="1153" t="s">
        <v>6723</v>
      </c>
      <c r="B12624" s="1154" t="s">
        <v>6724</v>
      </c>
      <c r="C12624" s="1155"/>
      <c r="D12624" s="1155"/>
      <c r="E12624" s="1155"/>
      <c r="F12624" s="1155"/>
      <c r="G12624" s="1156" t="n">
        <f aca="false">G12629</f>
        <v>656.525</v>
      </c>
      <c r="H12624" s="1155"/>
      <c r="I12624" s="1157"/>
      <c r="J12624" s="1157"/>
      <c r="K12624" s="1157"/>
      <c r="L12624" s="1157"/>
      <c r="M12624" s="1157"/>
      <c r="N12624" s="1157"/>
      <c r="O12624" s="1157"/>
      <c r="P12624" s="1157"/>
      <c r="Q12624" s="1157"/>
      <c r="R12624" s="1157"/>
      <c r="S12624" s="1157"/>
      <c r="T12624" s="1157"/>
    </row>
    <row r="12625" s="1158" customFormat="true" ht="19.5" hidden="false" customHeight="true" outlineLevel="0" collapsed="false">
      <c r="A12625" s="1159"/>
      <c r="B12625" s="217" t="s">
        <v>6725</v>
      </c>
      <c r="C12625" s="1161" t="s">
        <v>6726</v>
      </c>
      <c r="D12625" s="1162" t="s">
        <v>6727</v>
      </c>
      <c r="E12625" s="858" t="n">
        <v>0.001</v>
      </c>
      <c r="F12625" s="547" t="n">
        <v>145035</v>
      </c>
      <c r="G12625" s="547" t="n">
        <f aca="false">E12625*F12625</f>
        <v>145.035</v>
      </c>
      <c r="H12625" s="819"/>
      <c r="I12625" s="1157"/>
      <c r="J12625" s="1157"/>
      <c r="K12625" s="1157"/>
      <c r="L12625" s="1157"/>
      <c r="M12625" s="1157"/>
      <c r="N12625" s="1157"/>
      <c r="O12625" s="1157"/>
      <c r="P12625" s="1157"/>
      <c r="Q12625" s="1157"/>
      <c r="R12625" s="1157"/>
      <c r="S12625" s="1157"/>
      <c r="T12625" s="1157"/>
    </row>
    <row r="12626" s="1158" customFormat="true" ht="19.5" hidden="false" customHeight="true" outlineLevel="0" collapsed="false">
      <c r="A12626" s="1159"/>
      <c r="B12626" s="217"/>
      <c r="C12626" s="1161" t="s">
        <v>6728</v>
      </c>
      <c r="D12626" s="1162" t="s">
        <v>6729</v>
      </c>
      <c r="E12626" s="858" t="n">
        <v>0.001</v>
      </c>
      <c r="F12626" s="547" t="n">
        <v>474210</v>
      </c>
      <c r="G12626" s="547" t="n">
        <f aca="false">E12626*F12626</f>
        <v>474.21</v>
      </c>
      <c r="H12626" s="819"/>
      <c r="I12626" s="1157"/>
      <c r="J12626" s="1157"/>
      <c r="K12626" s="1157"/>
      <c r="L12626" s="1157"/>
      <c r="M12626" s="1157"/>
      <c r="N12626" s="1157"/>
      <c r="O12626" s="1157"/>
      <c r="P12626" s="1157"/>
      <c r="Q12626" s="1157"/>
      <c r="R12626" s="1157"/>
      <c r="S12626" s="1157"/>
      <c r="T12626" s="1157"/>
    </row>
    <row r="12627" s="1158" customFormat="true" ht="19.5" hidden="false" customHeight="true" outlineLevel="0" collapsed="false">
      <c r="A12627" s="1159"/>
      <c r="B12627" s="217"/>
      <c r="C12627" s="1161" t="s">
        <v>6730</v>
      </c>
      <c r="D12627" s="1162" t="s">
        <v>5908</v>
      </c>
      <c r="E12627" s="858" t="n">
        <v>0.001</v>
      </c>
      <c r="F12627" s="547" t="n">
        <v>21280</v>
      </c>
      <c r="G12627" s="547" t="n">
        <f aca="false">E12627*F12627</f>
        <v>21.28</v>
      </c>
      <c r="H12627" s="819"/>
      <c r="I12627" s="1157"/>
      <c r="J12627" s="1157"/>
      <c r="K12627" s="1157"/>
      <c r="L12627" s="1157"/>
      <c r="M12627" s="1157"/>
      <c r="N12627" s="1157"/>
      <c r="O12627" s="1157"/>
      <c r="P12627" s="1157"/>
      <c r="Q12627" s="1157"/>
      <c r="R12627" s="1157"/>
      <c r="S12627" s="1157"/>
      <c r="T12627" s="1157"/>
    </row>
    <row r="12628" s="1158" customFormat="true" ht="19.5" hidden="false" customHeight="true" outlineLevel="0" collapsed="false">
      <c r="A12628" s="1159"/>
      <c r="B12628" s="217"/>
      <c r="C12628" s="1161" t="s">
        <v>6731</v>
      </c>
      <c r="D12628" s="1162" t="s">
        <v>6732</v>
      </c>
      <c r="E12628" s="858" t="n">
        <v>0.001</v>
      </c>
      <c r="F12628" s="547" t="n">
        <v>16000</v>
      </c>
      <c r="G12628" s="547" t="n">
        <f aca="false">E12628*F12628</f>
        <v>16</v>
      </c>
      <c r="H12628" s="819"/>
      <c r="I12628" s="1157"/>
      <c r="J12628" s="1157"/>
      <c r="K12628" s="1157"/>
      <c r="L12628" s="1157"/>
      <c r="M12628" s="1157"/>
      <c r="N12628" s="1157"/>
      <c r="O12628" s="1157"/>
      <c r="P12628" s="1157"/>
      <c r="Q12628" s="1157"/>
      <c r="R12628" s="1157"/>
      <c r="S12628" s="1157"/>
      <c r="T12628" s="1157"/>
    </row>
    <row r="12629" s="1158" customFormat="true" ht="19.5" hidden="false" customHeight="true" outlineLevel="0" collapsed="false">
      <c r="A12629" s="1159"/>
      <c r="B12629" s="1160" t="s">
        <v>4128</v>
      </c>
      <c r="C12629" s="1161"/>
      <c r="D12629" s="1162"/>
      <c r="E12629" s="547"/>
      <c r="F12629" s="547"/>
      <c r="G12629" s="714" t="n">
        <f aca="false">SUM(G12625:G12628)</f>
        <v>656.525</v>
      </c>
      <c r="H12629" s="819"/>
      <c r="I12629" s="1157"/>
      <c r="J12629" s="1157"/>
      <c r="K12629" s="1157"/>
      <c r="L12629" s="1157"/>
      <c r="M12629" s="1157"/>
      <c r="N12629" s="1157"/>
      <c r="O12629" s="1157"/>
      <c r="P12629" s="1157"/>
      <c r="Q12629" s="1157"/>
      <c r="R12629" s="1157"/>
      <c r="S12629" s="1157"/>
      <c r="T12629" s="1157"/>
    </row>
    <row r="12630" s="1158" customFormat="true" ht="33.75" hidden="false" customHeight="true" outlineLevel="0" collapsed="false">
      <c r="A12630" s="1153" t="s">
        <v>6733</v>
      </c>
      <c r="B12630" s="1154" t="s">
        <v>6734</v>
      </c>
      <c r="C12630" s="1155"/>
      <c r="D12630" s="1155"/>
      <c r="E12630" s="1155"/>
      <c r="F12630" s="1155"/>
      <c r="G12630" s="1156" t="n">
        <f aca="false">G12637+G12643+G12648+G12654</f>
        <v>10279.8158333333</v>
      </c>
      <c r="H12630" s="1155"/>
      <c r="I12630" s="1157"/>
      <c r="J12630" s="1157"/>
      <c r="K12630" s="1157"/>
      <c r="L12630" s="1157"/>
      <c r="M12630" s="1157"/>
      <c r="N12630" s="1157"/>
      <c r="O12630" s="1157"/>
      <c r="P12630" s="1157"/>
      <c r="Q12630" s="1157"/>
      <c r="R12630" s="1157"/>
      <c r="S12630" s="1157"/>
      <c r="T12630" s="1157"/>
    </row>
    <row r="12631" s="1158" customFormat="true" ht="19.5" hidden="false" customHeight="true" outlineLevel="0" collapsed="false">
      <c r="A12631" s="1159"/>
      <c r="B12631" s="217" t="s">
        <v>6735</v>
      </c>
      <c r="C12631" s="1161" t="s">
        <v>6736</v>
      </c>
      <c r="D12631" s="702" t="s">
        <v>6495</v>
      </c>
      <c r="E12631" s="547" t="n">
        <v>1</v>
      </c>
      <c r="F12631" s="547" t="n">
        <v>23000</v>
      </c>
      <c r="G12631" s="547" t="n">
        <f aca="false">F12631*E12631/96</f>
        <v>239.583333333333</v>
      </c>
      <c r="H12631" s="819"/>
      <c r="I12631" s="1157"/>
      <c r="J12631" s="1157"/>
      <c r="K12631" s="1157"/>
      <c r="L12631" s="1157"/>
      <c r="M12631" s="1157"/>
      <c r="N12631" s="1157"/>
      <c r="O12631" s="1157"/>
      <c r="P12631" s="1157"/>
      <c r="Q12631" s="1157"/>
      <c r="R12631" s="1157"/>
      <c r="S12631" s="1157"/>
      <c r="T12631" s="1157"/>
    </row>
    <row r="12632" s="1158" customFormat="true" ht="19.5" hidden="false" customHeight="true" outlineLevel="0" collapsed="false">
      <c r="A12632" s="1159"/>
      <c r="B12632" s="217"/>
      <c r="C12632" s="1161" t="s">
        <v>6737</v>
      </c>
      <c r="D12632" s="702" t="s">
        <v>6495</v>
      </c>
      <c r="E12632" s="547" t="n">
        <v>1</v>
      </c>
      <c r="F12632" s="547" t="n">
        <v>22000</v>
      </c>
      <c r="G12632" s="547" t="n">
        <f aca="false">F12632*E12632/96</f>
        <v>229.166666666667</v>
      </c>
      <c r="H12632" s="819"/>
      <c r="I12632" s="1157"/>
      <c r="J12632" s="1157"/>
      <c r="K12632" s="1157"/>
      <c r="L12632" s="1157"/>
      <c r="M12632" s="1157"/>
      <c r="N12632" s="1157"/>
      <c r="O12632" s="1157"/>
      <c r="P12632" s="1157"/>
      <c r="Q12632" s="1157"/>
      <c r="R12632" s="1157"/>
      <c r="S12632" s="1157"/>
      <c r="T12632" s="1157"/>
    </row>
    <row r="12633" s="1158" customFormat="true" ht="19.5" hidden="false" customHeight="true" outlineLevel="0" collapsed="false">
      <c r="A12633" s="1159"/>
      <c r="B12633" s="217"/>
      <c r="C12633" s="1161" t="s">
        <v>6738</v>
      </c>
      <c r="D12633" s="702" t="s">
        <v>6495</v>
      </c>
      <c r="E12633" s="547" t="n">
        <v>1</v>
      </c>
      <c r="F12633" s="547" t="n">
        <v>23000</v>
      </c>
      <c r="G12633" s="547" t="n">
        <f aca="false">F12633*E12633/96</f>
        <v>239.583333333333</v>
      </c>
      <c r="H12633" s="819"/>
      <c r="I12633" s="1157"/>
      <c r="J12633" s="1157"/>
      <c r="K12633" s="1157"/>
      <c r="L12633" s="1157"/>
      <c r="M12633" s="1157"/>
      <c r="N12633" s="1157"/>
      <c r="O12633" s="1157"/>
      <c r="P12633" s="1157"/>
      <c r="Q12633" s="1157"/>
      <c r="R12633" s="1157"/>
      <c r="S12633" s="1157"/>
      <c r="T12633" s="1157"/>
    </row>
    <row r="12634" s="1158" customFormat="true" ht="19.5" hidden="false" customHeight="true" outlineLevel="0" collapsed="false">
      <c r="A12634" s="1159"/>
      <c r="B12634" s="217"/>
      <c r="C12634" s="1161" t="s">
        <v>6739</v>
      </c>
      <c r="D12634" s="702" t="s">
        <v>6538</v>
      </c>
      <c r="E12634" s="547" t="n">
        <v>10</v>
      </c>
      <c r="F12634" s="547" t="n">
        <v>9500</v>
      </c>
      <c r="G12634" s="547" t="n">
        <f aca="false">E12634*F12634/96</f>
        <v>989.583333333333</v>
      </c>
      <c r="H12634" s="819"/>
      <c r="I12634" s="1157"/>
      <c r="J12634" s="1157"/>
      <c r="K12634" s="1157"/>
      <c r="L12634" s="1157"/>
      <c r="M12634" s="1157"/>
      <c r="N12634" s="1157"/>
      <c r="O12634" s="1157"/>
      <c r="P12634" s="1157"/>
      <c r="Q12634" s="1157"/>
      <c r="R12634" s="1157"/>
      <c r="S12634" s="1157"/>
      <c r="T12634" s="1157"/>
    </row>
    <row r="12635" s="1158" customFormat="true" ht="19.5" hidden="false" customHeight="true" outlineLevel="0" collapsed="false">
      <c r="A12635" s="1159"/>
      <c r="B12635" s="217"/>
      <c r="C12635" s="1161" t="s">
        <v>6328</v>
      </c>
      <c r="D12635" s="702" t="s">
        <v>6740</v>
      </c>
      <c r="E12635" s="547" t="n">
        <v>10</v>
      </c>
      <c r="F12635" s="547" t="n">
        <v>82900</v>
      </c>
      <c r="G12635" s="547" t="n">
        <f aca="false">E12635*F12635/1000</f>
        <v>829</v>
      </c>
      <c r="H12635" s="819"/>
      <c r="I12635" s="1157"/>
      <c r="J12635" s="1157"/>
      <c r="K12635" s="1157"/>
      <c r="L12635" s="1157"/>
      <c r="M12635" s="1157"/>
      <c r="N12635" s="1157"/>
      <c r="O12635" s="1157"/>
      <c r="P12635" s="1157"/>
      <c r="Q12635" s="1157"/>
      <c r="R12635" s="1157"/>
      <c r="S12635" s="1157"/>
      <c r="T12635" s="1157"/>
    </row>
    <row r="12636" s="1158" customFormat="true" ht="19.5" hidden="false" customHeight="true" outlineLevel="0" collapsed="false">
      <c r="A12636" s="1159"/>
      <c r="B12636" s="1163"/>
      <c r="C12636" s="1161" t="s">
        <v>6741</v>
      </c>
      <c r="D12636" s="702" t="s">
        <v>4348</v>
      </c>
      <c r="E12636" s="547" t="n">
        <v>1</v>
      </c>
      <c r="F12636" s="547" t="n">
        <v>600</v>
      </c>
      <c r="G12636" s="547" t="n">
        <f aca="false">E12636*F12636</f>
        <v>600</v>
      </c>
      <c r="H12636" s="819"/>
      <c r="I12636" s="1157"/>
      <c r="J12636" s="1157"/>
      <c r="K12636" s="1157"/>
      <c r="L12636" s="1157"/>
      <c r="M12636" s="1157"/>
      <c r="N12636" s="1157"/>
      <c r="O12636" s="1157"/>
      <c r="P12636" s="1157"/>
      <c r="Q12636" s="1157"/>
      <c r="R12636" s="1157"/>
      <c r="S12636" s="1157"/>
      <c r="T12636" s="1157"/>
    </row>
    <row r="12637" s="1158" customFormat="true" ht="19.5" hidden="false" customHeight="true" outlineLevel="0" collapsed="false">
      <c r="A12637" s="1159"/>
      <c r="B12637" s="1160" t="s">
        <v>4128</v>
      </c>
      <c r="C12637" s="1161"/>
      <c r="D12637" s="702"/>
      <c r="E12637" s="858"/>
      <c r="F12637" s="547"/>
      <c r="G12637" s="714" t="n">
        <f aca="false">SUM(G12631:G12636)</f>
        <v>3126.91666666667</v>
      </c>
      <c r="H12637" s="819"/>
      <c r="I12637" s="1157"/>
      <c r="J12637" s="1157"/>
      <c r="K12637" s="1157"/>
      <c r="L12637" s="1157"/>
      <c r="M12637" s="1157"/>
      <c r="N12637" s="1157"/>
      <c r="O12637" s="1157"/>
      <c r="P12637" s="1157"/>
      <c r="Q12637" s="1157"/>
      <c r="R12637" s="1157"/>
      <c r="S12637" s="1157"/>
      <c r="T12637" s="1157"/>
    </row>
    <row r="12638" s="1158" customFormat="true" ht="19.5" hidden="false" customHeight="true" outlineLevel="0" collapsed="false">
      <c r="A12638" s="1159"/>
      <c r="B12638" s="1163" t="s">
        <v>6742</v>
      </c>
      <c r="C12638" s="1161" t="s">
        <v>6511</v>
      </c>
      <c r="D12638" s="702" t="s">
        <v>6512</v>
      </c>
      <c r="E12638" s="547" t="n">
        <v>1</v>
      </c>
      <c r="F12638" s="547" t="n">
        <v>20910</v>
      </c>
      <c r="G12638" s="547" t="n">
        <f aca="false">F12638*E12638/96</f>
        <v>217.8125</v>
      </c>
      <c r="H12638" s="819"/>
      <c r="I12638" s="1157"/>
      <c r="J12638" s="1157"/>
      <c r="K12638" s="1157"/>
      <c r="L12638" s="1157"/>
      <c r="M12638" s="1157"/>
      <c r="N12638" s="1157"/>
      <c r="O12638" s="1157"/>
      <c r="P12638" s="1157"/>
      <c r="Q12638" s="1157"/>
      <c r="R12638" s="1157"/>
      <c r="S12638" s="1157"/>
      <c r="T12638" s="1157"/>
    </row>
    <row r="12639" s="1158" customFormat="true" ht="19.5" hidden="false" customHeight="true" outlineLevel="0" collapsed="false">
      <c r="A12639" s="1159"/>
      <c r="B12639" s="1163"/>
      <c r="C12639" s="1161" t="s">
        <v>4611</v>
      </c>
      <c r="D12639" s="702" t="s">
        <v>4359</v>
      </c>
      <c r="E12639" s="627" t="n">
        <v>0.1</v>
      </c>
      <c r="F12639" s="547" t="n">
        <v>450</v>
      </c>
      <c r="G12639" s="858" t="n">
        <f aca="false">F12639*E12639/1000</f>
        <v>0.045</v>
      </c>
      <c r="H12639" s="819"/>
      <c r="I12639" s="1157"/>
      <c r="J12639" s="1157"/>
      <c r="K12639" s="1157"/>
      <c r="L12639" s="1157"/>
      <c r="M12639" s="1157"/>
      <c r="N12639" s="1157"/>
      <c r="O12639" s="1157"/>
      <c r="P12639" s="1157"/>
      <c r="Q12639" s="1157"/>
      <c r="R12639" s="1157"/>
      <c r="S12639" s="1157"/>
      <c r="T12639" s="1157"/>
    </row>
    <row r="12640" s="1158" customFormat="true" ht="19.5" hidden="false" customHeight="true" outlineLevel="0" collapsed="false">
      <c r="A12640" s="1159"/>
      <c r="B12640" s="1163"/>
      <c r="C12640" s="1161" t="s">
        <v>6743</v>
      </c>
      <c r="D12640" s="702" t="s">
        <v>6538</v>
      </c>
      <c r="E12640" s="547" t="n">
        <v>10</v>
      </c>
      <c r="F12640" s="547" t="n">
        <v>9500</v>
      </c>
      <c r="G12640" s="547" t="n">
        <f aca="false">E12640*F12640/96</f>
        <v>989.583333333333</v>
      </c>
      <c r="H12640" s="819"/>
      <c r="I12640" s="1157"/>
      <c r="J12640" s="1157"/>
      <c r="K12640" s="1157"/>
      <c r="L12640" s="1157"/>
      <c r="M12640" s="1157"/>
      <c r="N12640" s="1157"/>
      <c r="O12640" s="1157"/>
      <c r="P12640" s="1157"/>
      <c r="Q12640" s="1157"/>
      <c r="R12640" s="1157"/>
      <c r="S12640" s="1157"/>
      <c r="T12640" s="1157"/>
    </row>
    <row r="12641" s="1158" customFormat="true" ht="19.5" hidden="false" customHeight="true" outlineLevel="0" collapsed="false">
      <c r="A12641" s="1159"/>
      <c r="B12641" s="1163"/>
      <c r="C12641" s="1161" t="s">
        <v>6328</v>
      </c>
      <c r="D12641" s="702" t="s">
        <v>6740</v>
      </c>
      <c r="E12641" s="547" t="n">
        <v>10</v>
      </c>
      <c r="F12641" s="547" t="n">
        <v>82900</v>
      </c>
      <c r="G12641" s="547" t="n">
        <f aca="false">F12641*E12641/1000</f>
        <v>829</v>
      </c>
      <c r="H12641" s="819"/>
      <c r="I12641" s="1157"/>
      <c r="J12641" s="1157"/>
      <c r="K12641" s="1157"/>
      <c r="L12641" s="1157"/>
      <c r="M12641" s="1157"/>
      <c r="N12641" s="1157"/>
      <c r="O12641" s="1157"/>
      <c r="P12641" s="1157"/>
      <c r="Q12641" s="1157"/>
      <c r="R12641" s="1157"/>
      <c r="S12641" s="1157"/>
      <c r="T12641" s="1157"/>
    </row>
    <row r="12642" s="1158" customFormat="true" ht="19.5" hidden="false" customHeight="true" outlineLevel="0" collapsed="false">
      <c r="A12642" s="1159"/>
      <c r="B12642" s="1163"/>
      <c r="C12642" s="1161" t="s">
        <v>6741</v>
      </c>
      <c r="D12642" s="702" t="s">
        <v>4348</v>
      </c>
      <c r="E12642" s="547" t="n">
        <v>1</v>
      </c>
      <c r="F12642" s="547" t="n">
        <v>600</v>
      </c>
      <c r="G12642" s="547" t="n">
        <f aca="false">F12642*E12642</f>
        <v>600</v>
      </c>
      <c r="H12642" s="819"/>
      <c r="I12642" s="1157"/>
      <c r="J12642" s="1157"/>
      <c r="K12642" s="1157"/>
      <c r="L12642" s="1157"/>
      <c r="M12642" s="1157"/>
      <c r="N12642" s="1157"/>
      <c r="O12642" s="1157"/>
      <c r="P12642" s="1157"/>
      <c r="Q12642" s="1157"/>
      <c r="R12642" s="1157"/>
      <c r="S12642" s="1157"/>
      <c r="T12642" s="1157"/>
    </row>
    <row r="12643" s="1158" customFormat="true" ht="19.5" hidden="false" customHeight="true" outlineLevel="0" collapsed="false">
      <c r="A12643" s="1159"/>
      <c r="B12643" s="1160" t="s">
        <v>4128</v>
      </c>
      <c r="C12643" s="1161"/>
      <c r="D12643" s="702"/>
      <c r="E12643" s="858"/>
      <c r="F12643" s="547"/>
      <c r="G12643" s="714" t="n">
        <f aca="false">SUM(G12638:G12642)</f>
        <v>2636.44083333333</v>
      </c>
      <c r="H12643" s="819"/>
      <c r="I12643" s="1157"/>
      <c r="J12643" s="1157"/>
      <c r="K12643" s="1157"/>
      <c r="L12643" s="1157"/>
      <c r="M12643" s="1157"/>
      <c r="N12643" s="1157"/>
      <c r="O12643" s="1157"/>
      <c r="P12643" s="1157"/>
      <c r="Q12643" s="1157"/>
      <c r="R12643" s="1157"/>
      <c r="S12643" s="1157"/>
      <c r="T12643" s="1157"/>
    </row>
    <row r="12644" s="1158" customFormat="true" ht="31.5" hidden="false" customHeight="true" outlineLevel="0" collapsed="false">
      <c r="A12644" s="1159"/>
      <c r="B12644" s="1163" t="s">
        <v>6520</v>
      </c>
      <c r="C12644" s="1161" t="s">
        <v>6744</v>
      </c>
      <c r="D12644" s="702" t="s">
        <v>6512</v>
      </c>
      <c r="E12644" s="547" t="n">
        <v>1</v>
      </c>
      <c r="F12644" s="547" t="n">
        <v>22600</v>
      </c>
      <c r="G12644" s="547" t="n">
        <f aca="false">F12644*E12644/96</f>
        <v>235.416666666667</v>
      </c>
      <c r="H12644" s="819"/>
      <c r="I12644" s="1157"/>
      <c r="J12644" s="1157"/>
      <c r="K12644" s="1157"/>
      <c r="L12644" s="1157"/>
      <c r="M12644" s="1157"/>
      <c r="N12644" s="1157"/>
      <c r="O12644" s="1157"/>
      <c r="P12644" s="1157"/>
      <c r="Q12644" s="1157"/>
      <c r="R12644" s="1157"/>
      <c r="S12644" s="1157"/>
      <c r="T12644" s="1157"/>
    </row>
    <row r="12645" s="1158" customFormat="true" ht="19.5" hidden="false" customHeight="true" outlineLevel="0" collapsed="false">
      <c r="A12645" s="1159"/>
      <c r="B12645" s="1163"/>
      <c r="C12645" s="1161" t="s">
        <v>6743</v>
      </c>
      <c r="D12645" s="702" t="s">
        <v>6538</v>
      </c>
      <c r="E12645" s="547" t="n">
        <v>10</v>
      </c>
      <c r="F12645" s="547" t="n">
        <v>9500</v>
      </c>
      <c r="G12645" s="547" t="n">
        <f aca="false">E12645*F12645/96</f>
        <v>989.583333333333</v>
      </c>
      <c r="H12645" s="819"/>
      <c r="I12645" s="1157"/>
      <c r="J12645" s="1157"/>
      <c r="K12645" s="1157"/>
      <c r="L12645" s="1157"/>
      <c r="M12645" s="1157"/>
      <c r="N12645" s="1157"/>
      <c r="O12645" s="1157"/>
      <c r="P12645" s="1157"/>
      <c r="Q12645" s="1157"/>
      <c r="R12645" s="1157"/>
      <c r="S12645" s="1157"/>
      <c r="T12645" s="1157"/>
    </row>
    <row r="12646" s="1158" customFormat="true" ht="19.5" hidden="false" customHeight="true" outlineLevel="0" collapsed="false">
      <c r="A12646" s="1159"/>
      <c r="B12646" s="1163"/>
      <c r="C12646" s="1161" t="s">
        <v>6328</v>
      </c>
      <c r="D12646" s="702" t="s">
        <v>6740</v>
      </c>
      <c r="E12646" s="547" t="n">
        <v>10</v>
      </c>
      <c r="F12646" s="547" t="n">
        <v>82900</v>
      </c>
      <c r="G12646" s="547" t="n">
        <f aca="false">E12646*F12645/1000</f>
        <v>95</v>
      </c>
      <c r="H12646" s="819"/>
      <c r="I12646" s="1157"/>
      <c r="J12646" s="1157"/>
      <c r="K12646" s="1157"/>
      <c r="L12646" s="1157"/>
      <c r="M12646" s="1157"/>
      <c r="N12646" s="1157"/>
      <c r="O12646" s="1157"/>
      <c r="P12646" s="1157"/>
      <c r="Q12646" s="1157"/>
      <c r="R12646" s="1157"/>
      <c r="S12646" s="1157"/>
      <c r="T12646" s="1157"/>
    </row>
    <row r="12647" s="1158" customFormat="true" ht="19.5" hidden="false" customHeight="true" outlineLevel="0" collapsed="false">
      <c r="A12647" s="1159"/>
      <c r="B12647" s="1163"/>
      <c r="C12647" s="1161" t="s">
        <v>6741</v>
      </c>
      <c r="D12647" s="702" t="s">
        <v>4348</v>
      </c>
      <c r="E12647" s="547" t="n">
        <v>2</v>
      </c>
      <c r="F12647" s="547" t="n">
        <v>600</v>
      </c>
      <c r="G12647" s="547" t="n">
        <f aca="false">F12647*E12647</f>
        <v>1200</v>
      </c>
      <c r="H12647" s="819"/>
      <c r="I12647" s="1157"/>
      <c r="J12647" s="1157"/>
      <c r="K12647" s="1157"/>
      <c r="L12647" s="1157"/>
      <c r="M12647" s="1157"/>
      <c r="N12647" s="1157"/>
      <c r="O12647" s="1157"/>
      <c r="P12647" s="1157"/>
      <c r="Q12647" s="1157"/>
      <c r="R12647" s="1157"/>
      <c r="S12647" s="1157"/>
      <c r="T12647" s="1157"/>
    </row>
    <row r="12648" s="1158" customFormat="true" ht="19.5" hidden="false" customHeight="true" outlineLevel="0" collapsed="false">
      <c r="A12648" s="1159"/>
      <c r="B12648" s="1160" t="s">
        <v>4128</v>
      </c>
      <c r="C12648" s="1161"/>
      <c r="D12648" s="702"/>
      <c r="E12648" s="858"/>
      <c r="F12648" s="547"/>
      <c r="G12648" s="714" t="n">
        <f aca="false">SUM(G12644:G12647)</f>
        <v>2520</v>
      </c>
      <c r="H12648" s="819"/>
      <c r="I12648" s="1157"/>
      <c r="J12648" s="1157"/>
      <c r="K12648" s="1157"/>
      <c r="L12648" s="1157"/>
      <c r="M12648" s="1157"/>
      <c r="N12648" s="1157"/>
      <c r="O12648" s="1157"/>
      <c r="P12648" s="1157"/>
      <c r="Q12648" s="1157"/>
      <c r="R12648" s="1157"/>
      <c r="S12648" s="1157"/>
      <c r="T12648" s="1157"/>
    </row>
    <row r="12649" s="1158" customFormat="true" ht="19.5" hidden="false" customHeight="true" outlineLevel="0" collapsed="false">
      <c r="A12649" s="1159"/>
      <c r="B12649" s="1163" t="s">
        <v>3935</v>
      </c>
      <c r="C12649" s="1161" t="s">
        <v>6745</v>
      </c>
      <c r="D12649" s="702" t="s">
        <v>6746</v>
      </c>
      <c r="E12649" s="547" t="n">
        <v>1</v>
      </c>
      <c r="F12649" s="547" t="n">
        <v>41000</v>
      </c>
      <c r="G12649" s="547" t="n">
        <f aca="false">E12649*F12649/96</f>
        <v>427.083333333333</v>
      </c>
      <c r="H12649" s="819"/>
      <c r="I12649" s="1157"/>
      <c r="J12649" s="1157"/>
      <c r="K12649" s="1157"/>
      <c r="L12649" s="1157"/>
      <c r="M12649" s="1157"/>
      <c r="N12649" s="1157"/>
      <c r="O12649" s="1157"/>
      <c r="P12649" s="1157"/>
      <c r="Q12649" s="1157"/>
      <c r="R12649" s="1157"/>
      <c r="S12649" s="1157"/>
      <c r="T12649" s="1157"/>
    </row>
    <row r="12650" s="1158" customFormat="true" ht="19.5" hidden="false" customHeight="true" outlineLevel="0" collapsed="false">
      <c r="A12650" s="1159"/>
      <c r="B12650" s="1163"/>
      <c r="C12650" s="1161" t="s">
        <v>6747</v>
      </c>
      <c r="D12650" s="702" t="s">
        <v>6746</v>
      </c>
      <c r="E12650" s="547" t="n">
        <v>1</v>
      </c>
      <c r="F12650" s="547" t="n">
        <v>41000</v>
      </c>
      <c r="G12650" s="547" t="n">
        <f aca="false">E12650*F12650/96</f>
        <v>427.083333333333</v>
      </c>
      <c r="H12650" s="819"/>
      <c r="I12650" s="1157"/>
      <c r="J12650" s="1157"/>
      <c r="K12650" s="1157"/>
      <c r="L12650" s="1157"/>
      <c r="M12650" s="1157"/>
      <c r="N12650" s="1157"/>
      <c r="O12650" s="1157"/>
      <c r="P12650" s="1157"/>
      <c r="Q12650" s="1157"/>
      <c r="R12650" s="1157"/>
      <c r="S12650" s="1157"/>
      <c r="T12650" s="1157"/>
    </row>
    <row r="12651" s="1158" customFormat="true" ht="19.5" hidden="false" customHeight="true" outlineLevel="0" collapsed="false">
      <c r="A12651" s="1159"/>
      <c r="B12651" s="1163"/>
      <c r="C12651" s="1161" t="s">
        <v>6743</v>
      </c>
      <c r="D12651" s="702" t="s">
        <v>6538</v>
      </c>
      <c r="E12651" s="547" t="n">
        <v>5</v>
      </c>
      <c r="F12651" s="547" t="n">
        <v>9500</v>
      </c>
      <c r="G12651" s="547" t="n">
        <f aca="false">E12651*F12651/96</f>
        <v>494.791666666667</v>
      </c>
      <c r="H12651" s="819"/>
      <c r="I12651" s="1157"/>
      <c r="J12651" s="1157"/>
      <c r="K12651" s="1157"/>
      <c r="L12651" s="1157"/>
      <c r="M12651" s="1157"/>
      <c r="N12651" s="1157"/>
      <c r="O12651" s="1157"/>
      <c r="P12651" s="1157"/>
      <c r="Q12651" s="1157"/>
      <c r="R12651" s="1157"/>
      <c r="S12651" s="1157"/>
      <c r="T12651" s="1157"/>
    </row>
    <row r="12652" s="1158" customFormat="true" ht="19.5" hidden="false" customHeight="true" outlineLevel="0" collapsed="false">
      <c r="A12652" s="1159"/>
      <c r="B12652" s="1163"/>
      <c r="C12652" s="1161" t="s">
        <v>6328</v>
      </c>
      <c r="D12652" s="702" t="s">
        <v>6748</v>
      </c>
      <c r="E12652" s="547" t="n">
        <v>5</v>
      </c>
      <c r="F12652" s="547" t="n">
        <v>82900</v>
      </c>
      <c r="G12652" s="547" t="n">
        <f aca="false">E12652*F12651/1000</f>
        <v>47.5</v>
      </c>
      <c r="H12652" s="819"/>
      <c r="I12652" s="1157"/>
      <c r="J12652" s="1157"/>
      <c r="K12652" s="1157"/>
      <c r="L12652" s="1157"/>
      <c r="M12652" s="1157"/>
      <c r="N12652" s="1157"/>
      <c r="O12652" s="1157"/>
      <c r="P12652" s="1157"/>
      <c r="Q12652" s="1157"/>
      <c r="R12652" s="1157"/>
      <c r="S12652" s="1157"/>
      <c r="T12652" s="1157"/>
    </row>
    <row r="12653" s="1158" customFormat="true" ht="19.5" hidden="false" customHeight="true" outlineLevel="0" collapsed="false">
      <c r="A12653" s="1159"/>
      <c r="B12653" s="1163"/>
      <c r="C12653" s="1161" t="s">
        <v>6741</v>
      </c>
      <c r="D12653" s="702" t="s">
        <v>4348</v>
      </c>
      <c r="E12653" s="547" t="n">
        <v>1</v>
      </c>
      <c r="F12653" s="547" t="n">
        <v>600</v>
      </c>
      <c r="G12653" s="547" t="n">
        <f aca="false">F12653*E12653</f>
        <v>600</v>
      </c>
      <c r="H12653" s="819"/>
      <c r="I12653" s="1157"/>
      <c r="J12653" s="1157"/>
      <c r="K12653" s="1157"/>
      <c r="L12653" s="1157"/>
      <c r="M12653" s="1157"/>
      <c r="N12653" s="1157"/>
      <c r="O12653" s="1157"/>
      <c r="P12653" s="1157"/>
      <c r="Q12653" s="1157"/>
      <c r="R12653" s="1157"/>
      <c r="S12653" s="1157"/>
      <c r="T12653" s="1157"/>
    </row>
    <row r="12654" s="1158" customFormat="true" ht="19.5" hidden="false" customHeight="true" outlineLevel="0" collapsed="false">
      <c r="A12654" s="1159"/>
      <c r="B12654" s="1160" t="s">
        <v>4128</v>
      </c>
      <c r="C12654" s="1161"/>
      <c r="D12654" s="1162"/>
      <c r="E12654" s="547"/>
      <c r="F12654" s="547"/>
      <c r="G12654" s="714" t="n">
        <f aca="false">SUM(G12649:G12653)</f>
        <v>1996.45833333333</v>
      </c>
      <c r="H12654" s="819"/>
      <c r="I12654" s="1157"/>
      <c r="J12654" s="1157"/>
      <c r="K12654" s="1157"/>
      <c r="L12654" s="1157"/>
      <c r="M12654" s="1157"/>
      <c r="N12654" s="1157"/>
      <c r="O12654" s="1157"/>
      <c r="P12654" s="1157"/>
      <c r="Q12654" s="1157"/>
      <c r="R12654" s="1157"/>
      <c r="S12654" s="1157"/>
      <c r="T12654" s="1157"/>
    </row>
    <row r="12655" s="1158" customFormat="true" ht="19.5" hidden="false" customHeight="true" outlineLevel="0" collapsed="false">
      <c r="A12655" s="1153" t="s">
        <v>6749</v>
      </c>
      <c r="B12655" s="1164" t="s">
        <v>6750</v>
      </c>
      <c r="C12655" s="1165"/>
      <c r="D12655" s="1165"/>
      <c r="E12655" s="1165"/>
      <c r="F12655" s="1165"/>
      <c r="G12655" s="1166" t="n">
        <f aca="false">G12659</f>
        <v>735</v>
      </c>
      <c r="H12655" s="1165"/>
      <c r="I12655" s="1157"/>
      <c r="J12655" s="1157"/>
      <c r="K12655" s="1157"/>
      <c r="L12655" s="1157"/>
      <c r="M12655" s="1157"/>
      <c r="N12655" s="1157"/>
      <c r="O12655" s="1157"/>
      <c r="P12655" s="1157"/>
      <c r="Q12655" s="1157"/>
      <c r="R12655" s="1157"/>
      <c r="S12655" s="1157"/>
      <c r="T12655" s="1157"/>
    </row>
    <row r="12656" s="1158" customFormat="true" ht="19.5" hidden="false" customHeight="true" outlineLevel="0" collapsed="false">
      <c r="A12656" s="1159"/>
      <c r="B12656" s="1163" t="s">
        <v>6751</v>
      </c>
      <c r="C12656" s="1161" t="s">
        <v>4611</v>
      </c>
      <c r="D12656" s="1162" t="s">
        <v>4359</v>
      </c>
      <c r="E12656" s="627" t="n">
        <v>0.4</v>
      </c>
      <c r="F12656" s="547" t="n">
        <v>450</v>
      </c>
      <c r="G12656" s="547" t="n">
        <f aca="false">E12656*F12656</f>
        <v>180</v>
      </c>
      <c r="H12656" s="1167"/>
      <c r="I12656" s="1157"/>
      <c r="J12656" s="1157"/>
      <c r="K12656" s="1157"/>
      <c r="L12656" s="1157"/>
      <c r="M12656" s="1157"/>
      <c r="N12656" s="1157"/>
      <c r="O12656" s="1157"/>
      <c r="P12656" s="1157"/>
      <c r="Q12656" s="1157"/>
      <c r="R12656" s="1157"/>
      <c r="S12656" s="1157"/>
      <c r="T12656" s="1157"/>
    </row>
    <row r="12657" s="1158" customFormat="true" ht="19.5" hidden="false" customHeight="true" outlineLevel="0" collapsed="false">
      <c r="A12657" s="1159"/>
      <c r="B12657" s="1163"/>
      <c r="C12657" s="1161" t="s">
        <v>6752</v>
      </c>
      <c r="D12657" s="1162" t="s">
        <v>4125</v>
      </c>
      <c r="E12657" s="627" t="n">
        <v>0.5</v>
      </c>
      <c r="F12657" s="547" t="n">
        <v>60</v>
      </c>
      <c r="G12657" s="547" t="n">
        <f aca="false">E12657*F12657</f>
        <v>30</v>
      </c>
      <c r="H12657" s="1167"/>
      <c r="I12657" s="1157"/>
      <c r="J12657" s="1157"/>
      <c r="K12657" s="1157"/>
      <c r="L12657" s="1157"/>
      <c r="M12657" s="1157"/>
      <c r="N12657" s="1157"/>
      <c r="O12657" s="1157"/>
      <c r="P12657" s="1157"/>
      <c r="Q12657" s="1157"/>
      <c r="R12657" s="1157"/>
      <c r="S12657" s="1157"/>
      <c r="T12657" s="1157"/>
    </row>
    <row r="12658" s="1158" customFormat="true" ht="19.5" hidden="false" customHeight="true" outlineLevel="0" collapsed="false">
      <c r="A12658" s="1159"/>
      <c r="B12658" s="1163"/>
      <c r="C12658" s="1161" t="s">
        <v>5945</v>
      </c>
      <c r="D12658" s="1162" t="s">
        <v>4133</v>
      </c>
      <c r="E12658" s="819" t="n">
        <v>0.15</v>
      </c>
      <c r="F12658" s="547" t="n">
        <v>3500</v>
      </c>
      <c r="G12658" s="547" t="n">
        <f aca="false">E12658*F12658</f>
        <v>525</v>
      </c>
      <c r="H12658" s="1167"/>
      <c r="I12658" s="1157"/>
      <c r="J12658" s="1157"/>
      <c r="K12658" s="1157"/>
      <c r="L12658" s="1157"/>
      <c r="M12658" s="1157"/>
      <c r="N12658" s="1157"/>
      <c r="O12658" s="1157"/>
      <c r="P12658" s="1157"/>
      <c r="Q12658" s="1157"/>
      <c r="R12658" s="1157"/>
      <c r="S12658" s="1157"/>
      <c r="T12658" s="1157"/>
    </row>
    <row r="12659" s="1158" customFormat="true" ht="19.5" hidden="false" customHeight="true" outlineLevel="0" collapsed="false">
      <c r="A12659" s="1159"/>
      <c r="B12659" s="1160" t="s">
        <v>4128</v>
      </c>
      <c r="C12659" s="1161"/>
      <c r="D12659" s="1162"/>
      <c r="E12659" s="858"/>
      <c r="F12659" s="547"/>
      <c r="G12659" s="714" t="n">
        <f aca="false">SUM(G12656:G12658)</f>
        <v>735</v>
      </c>
      <c r="H12659" s="1167"/>
      <c r="I12659" s="1157"/>
      <c r="J12659" s="1157"/>
      <c r="K12659" s="1157"/>
      <c r="L12659" s="1157"/>
      <c r="M12659" s="1157"/>
      <c r="N12659" s="1157"/>
      <c r="O12659" s="1157"/>
      <c r="P12659" s="1157"/>
      <c r="Q12659" s="1157"/>
      <c r="R12659" s="1157"/>
      <c r="S12659" s="1157"/>
      <c r="T12659" s="1157"/>
    </row>
    <row r="12660" s="1158" customFormat="true" ht="36.75" hidden="false" customHeight="true" outlineLevel="0" collapsed="false">
      <c r="A12660" s="1153" t="s">
        <v>6753</v>
      </c>
      <c r="B12660" s="1164" t="s">
        <v>6754</v>
      </c>
      <c r="C12660" s="1165"/>
      <c r="D12660" s="1165"/>
      <c r="E12660" s="1165"/>
      <c r="F12660" s="1165"/>
      <c r="G12660" s="1166" t="n">
        <f aca="false">G12664</f>
        <v>735</v>
      </c>
      <c r="H12660" s="1165"/>
      <c r="I12660" s="1157"/>
      <c r="J12660" s="1157"/>
      <c r="K12660" s="1157"/>
      <c r="L12660" s="1157"/>
      <c r="M12660" s="1157"/>
      <c r="N12660" s="1157"/>
      <c r="O12660" s="1157"/>
      <c r="P12660" s="1157"/>
      <c r="Q12660" s="1157"/>
      <c r="R12660" s="1157"/>
      <c r="S12660" s="1157"/>
      <c r="T12660" s="1157"/>
    </row>
    <row r="12661" s="1158" customFormat="true" ht="19.5" hidden="false" customHeight="true" outlineLevel="0" collapsed="false">
      <c r="A12661" s="1159"/>
      <c r="B12661" s="1163" t="s">
        <v>6755</v>
      </c>
      <c r="C12661" s="1161" t="s">
        <v>4611</v>
      </c>
      <c r="D12661" s="1162" t="s">
        <v>4359</v>
      </c>
      <c r="E12661" s="627" t="n">
        <v>0.4</v>
      </c>
      <c r="F12661" s="547" t="n">
        <v>450</v>
      </c>
      <c r="G12661" s="547" t="n">
        <f aca="false">E12661*F12661</f>
        <v>180</v>
      </c>
      <c r="H12661" s="1167"/>
      <c r="I12661" s="1157"/>
      <c r="J12661" s="1157"/>
      <c r="K12661" s="1157"/>
      <c r="L12661" s="1157"/>
      <c r="M12661" s="1157"/>
      <c r="N12661" s="1157"/>
      <c r="O12661" s="1157"/>
      <c r="P12661" s="1157"/>
      <c r="Q12661" s="1157"/>
      <c r="R12661" s="1157"/>
      <c r="S12661" s="1157"/>
      <c r="T12661" s="1157"/>
    </row>
    <row r="12662" s="1158" customFormat="true" ht="19.5" hidden="false" customHeight="true" outlineLevel="0" collapsed="false">
      <c r="A12662" s="1159"/>
      <c r="B12662" s="1163"/>
      <c r="C12662" s="1161" t="s">
        <v>6752</v>
      </c>
      <c r="D12662" s="1162" t="s">
        <v>4125</v>
      </c>
      <c r="E12662" s="627" t="n">
        <v>0.5</v>
      </c>
      <c r="F12662" s="547" t="n">
        <v>60</v>
      </c>
      <c r="G12662" s="547" t="n">
        <f aca="false">E12662*F12662</f>
        <v>30</v>
      </c>
      <c r="H12662" s="1167"/>
      <c r="I12662" s="1157"/>
      <c r="J12662" s="1157"/>
      <c r="K12662" s="1157"/>
      <c r="L12662" s="1157"/>
      <c r="M12662" s="1157"/>
      <c r="N12662" s="1157"/>
      <c r="O12662" s="1157"/>
      <c r="P12662" s="1157"/>
      <c r="Q12662" s="1157"/>
      <c r="R12662" s="1157"/>
      <c r="S12662" s="1157"/>
      <c r="T12662" s="1157"/>
    </row>
    <row r="12663" s="1158" customFormat="true" ht="19.5" hidden="false" customHeight="true" outlineLevel="0" collapsed="false">
      <c r="A12663" s="1159"/>
      <c r="B12663" s="1163"/>
      <c r="C12663" s="1161" t="s">
        <v>5945</v>
      </c>
      <c r="D12663" s="1162" t="s">
        <v>4133</v>
      </c>
      <c r="E12663" s="819" t="n">
        <v>0.15</v>
      </c>
      <c r="F12663" s="547" t="n">
        <v>3500</v>
      </c>
      <c r="G12663" s="547" t="n">
        <f aca="false">E12663*F12663</f>
        <v>525</v>
      </c>
      <c r="H12663" s="1167"/>
      <c r="I12663" s="1157"/>
      <c r="J12663" s="1157"/>
      <c r="K12663" s="1157"/>
      <c r="L12663" s="1157"/>
      <c r="M12663" s="1157"/>
      <c r="N12663" s="1157"/>
      <c r="O12663" s="1157"/>
      <c r="P12663" s="1157"/>
      <c r="Q12663" s="1157"/>
      <c r="R12663" s="1157"/>
      <c r="S12663" s="1157"/>
      <c r="T12663" s="1157"/>
    </row>
    <row r="12664" s="1158" customFormat="true" ht="19.5" hidden="false" customHeight="true" outlineLevel="0" collapsed="false">
      <c r="A12664" s="1159"/>
      <c r="B12664" s="1160" t="s">
        <v>4128</v>
      </c>
      <c r="C12664" s="1161"/>
      <c r="D12664" s="1162"/>
      <c r="E12664" s="858"/>
      <c r="F12664" s="547"/>
      <c r="G12664" s="714" t="n">
        <f aca="false">SUM(G12661:G12663)</f>
        <v>735</v>
      </c>
      <c r="H12664" s="1167"/>
      <c r="I12664" s="1157"/>
      <c r="J12664" s="1157"/>
      <c r="K12664" s="1157"/>
      <c r="L12664" s="1157"/>
      <c r="M12664" s="1157"/>
      <c r="N12664" s="1157"/>
      <c r="O12664" s="1157"/>
      <c r="P12664" s="1157"/>
      <c r="Q12664" s="1157"/>
      <c r="R12664" s="1157"/>
      <c r="S12664" s="1157"/>
      <c r="T12664" s="1157"/>
    </row>
    <row r="12665" s="1158" customFormat="true" ht="35.25" hidden="false" customHeight="true" outlineLevel="0" collapsed="false">
      <c r="A12665" s="1153" t="s">
        <v>6756</v>
      </c>
      <c r="B12665" s="1164" t="s">
        <v>6757</v>
      </c>
      <c r="C12665" s="1165"/>
      <c r="D12665" s="1165"/>
      <c r="E12665" s="1165"/>
      <c r="F12665" s="1165"/>
      <c r="G12665" s="1166" t="n">
        <f aca="false">G12671+G12677+G12683+G12688</f>
        <v>1069.4</v>
      </c>
      <c r="H12665" s="1165"/>
      <c r="I12665" s="1157"/>
      <c r="J12665" s="1157"/>
      <c r="K12665" s="1157"/>
      <c r="L12665" s="1157"/>
      <c r="M12665" s="1157"/>
      <c r="N12665" s="1157"/>
      <c r="O12665" s="1157"/>
      <c r="P12665" s="1157"/>
      <c r="Q12665" s="1157"/>
      <c r="R12665" s="1157"/>
      <c r="S12665" s="1157"/>
      <c r="T12665" s="1157"/>
    </row>
    <row r="12666" s="1158" customFormat="true" ht="67.5" hidden="false" customHeight="true" outlineLevel="0" collapsed="false">
      <c r="A12666" s="1168" t="s">
        <v>6758</v>
      </c>
      <c r="B12666" s="1169" t="s">
        <v>6759</v>
      </c>
      <c r="C12666" s="1170"/>
      <c r="D12666" s="1170"/>
      <c r="E12666" s="1170"/>
      <c r="F12666" s="1170"/>
      <c r="G12666" s="1171"/>
      <c r="H12666" s="1170"/>
      <c r="I12666" s="1157"/>
      <c r="J12666" s="1157"/>
      <c r="K12666" s="1157"/>
      <c r="L12666" s="1157"/>
      <c r="M12666" s="1157"/>
      <c r="N12666" s="1157"/>
      <c r="O12666" s="1157"/>
      <c r="P12666" s="1157"/>
      <c r="Q12666" s="1157"/>
      <c r="R12666" s="1157"/>
      <c r="S12666" s="1157"/>
      <c r="T12666" s="1157"/>
    </row>
    <row r="12667" s="1158" customFormat="true" ht="19.5" hidden="false" customHeight="true" outlineLevel="0" collapsed="false">
      <c r="A12667" s="1159"/>
      <c r="B12667" s="1163" t="s">
        <v>3585</v>
      </c>
      <c r="C12667" s="1161" t="s">
        <v>5942</v>
      </c>
      <c r="D12667" s="1162" t="s">
        <v>4359</v>
      </c>
      <c r="E12667" s="819" t="n">
        <v>0.01</v>
      </c>
      <c r="F12667" s="547" t="n">
        <v>450</v>
      </c>
      <c r="G12667" s="547" t="n">
        <f aca="false">F12667*E12667</f>
        <v>4.5</v>
      </c>
      <c r="H12667" s="819"/>
      <c r="I12667" s="1157"/>
      <c r="J12667" s="1157"/>
      <c r="K12667" s="1157"/>
      <c r="L12667" s="1157"/>
      <c r="M12667" s="1157"/>
      <c r="N12667" s="1157"/>
      <c r="O12667" s="1157"/>
      <c r="P12667" s="1157"/>
      <c r="Q12667" s="1157"/>
      <c r="R12667" s="1157"/>
      <c r="S12667" s="1157"/>
      <c r="T12667" s="1157"/>
    </row>
    <row r="12668" s="1158" customFormat="true" ht="19.5" hidden="false" customHeight="true" outlineLevel="0" collapsed="false">
      <c r="A12668" s="1159"/>
      <c r="B12668" s="1163"/>
      <c r="C12668" s="1161" t="s">
        <v>5945</v>
      </c>
      <c r="D12668" s="1162" t="s">
        <v>4133</v>
      </c>
      <c r="E12668" s="819" t="n">
        <v>0.002</v>
      </c>
      <c r="F12668" s="547" t="n">
        <v>350</v>
      </c>
      <c r="G12668" s="547" t="n">
        <f aca="false">F12668*E12668</f>
        <v>0.7</v>
      </c>
      <c r="H12668" s="819"/>
      <c r="I12668" s="1157"/>
      <c r="J12668" s="1157"/>
      <c r="K12668" s="1157"/>
      <c r="L12668" s="1157"/>
      <c r="M12668" s="1157"/>
      <c r="N12668" s="1157"/>
      <c r="O12668" s="1157"/>
      <c r="P12668" s="1157"/>
      <c r="Q12668" s="1157"/>
      <c r="R12668" s="1157"/>
      <c r="S12668" s="1157"/>
      <c r="T12668" s="1157"/>
    </row>
    <row r="12669" s="1158" customFormat="true" ht="19.5" hidden="false" customHeight="true" outlineLevel="0" collapsed="false">
      <c r="A12669" s="1159"/>
      <c r="B12669" s="1163"/>
      <c r="C12669" s="1161" t="s">
        <v>5946</v>
      </c>
      <c r="D12669" s="1162" t="s">
        <v>4348</v>
      </c>
      <c r="E12669" s="547" t="n">
        <v>1</v>
      </c>
      <c r="F12669" s="547" t="n">
        <v>26</v>
      </c>
      <c r="G12669" s="547" t="n">
        <f aca="false">F12669*E12669</f>
        <v>26</v>
      </c>
      <c r="H12669" s="819"/>
      <c r="I12669" s="1157"/>
      <c r="J12669" s="1157"/>
      <c r="K12669" s="1157"/>
      <c r="L12669" s="1157"/>
      <c r="M12669" s="1157"/>
      <c r="N12669" s="1157"/>
      <c r="O12669" s="1157"/>
      <c r="P12669" s="1157"/>
      <c r="Q12669" s="1157"/>
      <c r="R12669" s="1157"/>
      <c r="S12669" s="1157"/>
      <c r="T12669" s="1157"/>
    </row>
    <row r="12670" s="1158" customFormat="true" ht="19.5" hidden="false" customHeight="true" outlineLevel="0" collapsed="false">
      <c r="A12670" s="1159"/>
      <c r="B12670" s="1163"/>
      <c r="C12670" s="1161" t="s">
        <v>6760</v>
      </c>
      <c r="D12670" s="1162" t="s">
        <v>4191</v>
      </c>
      <c r="E12670" s="547" t="n">
        <v>1</v>
      </c>
      <c r="F12670" s="547" t="n">
        <v>98</v>
      </c>
      <c r="G12670" s="547" t="n">
        <f aca="false">F12670*E12670</f>
        <v>98</v>
      </c>
      <c r="H12670" s="819"/>
      <c r="I12670" s="1157"/>
      <c r="J12670" s="1157"/>
      <c r="K12670" s="1157"/>
      <c r="L12670" s="1157"/>
      <c r="M12670" s="1157"/>
      <c r="N12670" s="1157"/>
      <c r="O12670" s="1157"/>
      <c r="P12670" s="1157"/>
      <c r="Q12670" s="1157"/>
      <c r="R12670" s="1157"/>
      <c r="S12670" s="1157"/>
      <c r="T12670" s="1157"/>
    </row>
    <row r="12671" s="1158" customFormat="true" ht="19.5" hidden="false" customHeight="true" outlineLevel="0" collapsed="false">
      <c r="A12671" s="1159"/>
      <c r="B12671" s="1160" t="s">
        <v>4128</v>
      </c>
      <c r="C12671" s="1161"/>
      <c r="D12671" s="1161"/>
      <c r="E12671" s="819"/>
      <c r="F12671" s="819"/>
      <c r="G12671" s="934" t="n">
        <f aca="false">SUM(G12667:G12670)</f>
        <v>129.2</v>
      </c>
      <c r="H12671" s="819"/>
      <c r="I12671" s="1157"/>
      <c r="J12671" s="1157"/>
      <c r="K12671" s="1157"/>
      <c r="L12671" s="1157"/>
      <c r="M12671" s="1157"/>
      <c r="N12671" s="1157"/>
      <c r="O12671" s="1157"/>
      <c r="P12671" s="1157"/>
      <c r="Q12671" s="1157"/>
      <c r="R12671" s="1157"/>
      <c r="S12671" s="1157"/>
      <c r="T12671" s="1157"/>
    </row>
    <row r="12672" s="1158" customFormat="true" ht="19.5" hidden="false" customHeight="true" outlineLevel="0" collapsed="false">
      <c r="A12672" s="1159"/>
      <c r="B12672" s="1163" t="s">
        <v>3586</v>
      </c>
      <c r="C12672" s="1161" t="s">
        <v>5942</v>
      </c>
      <c r="D12672" s="1162" t="s">
        <v>4359</v>
      </c>
      <c r="E12672" s="819" t="n">
        <v>0.01</v>
      </c>
      <c r="F12672" s="547" t="n">
        <v>450</v>
      </c>
      <c r="G12672" s="547" t="n">
        <f aca="false">F12672*E12672</f>
        <v>4.5</v>
      </c>
      <c r="H12672" s="819"/>
      <c r="I12672" s="1157"/>
      <c r="J12672" s="1157"/>
      <c r="K12672" s="1157"/>
      <c r="L12672" s="1157"/>
      <c r="M12672" s="1157"/>
      <c r="N12672" s="1157"/>
      <c r="O12672" s="1157"/>
      <c r="P12672" s="1157"/>
      <c r="Q12672" s="1157"/>
      <c r="R12672" s="1157"/>
      <c r="S12672" s="1157"/>
      <c r="T12672" s="1157"/>
    </row>
    <row r="12673" s="1158" customFormat="true" ht="19.5" hidden="false" customHeight="true" outlineLevel="0" collapsed="false">
      <c r="A12673" s="1159"/>
      <c r="B12673" s="1163"/>
      <c r="C12673" s="1161" t="s">
        <v>5945</v>
      </c>
      <c r="D12673" s="1162" t="s">
        <v>4133</v>
      </c>
      <c r="E12673" s="858" t="n">
        <v>0.002</v>
      </c>
      <c r="F12673" s="547" t="n">
        <v>350</v>
      </c>
      <c r="G12673" s="547" t="n">
        <f aca="false">F12673*E12673</f>
        <v>0.7</v>
      </c>
      <c r="H12673" s="819"/>
      <c r="I12673" s="1157"/>
      <c r="J12673" s="1157"/>
      <c r="K12673" s="1157"/>
      <c r="L12673" s="1157"/>
      <c r="M12673" s="1157"/>
      <c r="N12673" s="1157"/>
      <c r="O12673" s="1157"/>
      <c r="P12673" s="1157"/>
      <c r="Q12673" s="1157"/>
      <c r="R12673" s="1157"/>
      <c r="S12673" s="1157"/>
      <c r="T12673" s="1157"/>
    </row>
    <row r="12674" s="1158" customFormat="true" ht="19.5" hidden="false" customHeight="true" outlineLevel="0" collapsed="false">
      <c r="A12674" s="1159"/>
      <c r="B12674" s="1163"/>
      <c r="C12674" s="1161" t="s">
        <v>6760</v>
      </c>
      <c r="D12674" s="1162" t="s">
        <v>4191</v>
      </c>
      <c r="E12674" s="547" t="n">
        <v>1</v>
      </c>
      <c r="F12674" s="547" t="n">
        <v>98</v>
      </c>
      <c r="G12674" s="547" t="n">
        <f aca="false">F12674*E12674</f>
        <v>98</v>
      </c>
      <c r="H12674" s="819"/>
      <c r="I12674" s="1157"/>
      <c r="J12674" s="1157"/>
      <c r="K12674" s="1157"/>
      <c r="L12674" s="1157"/>
      <c r="M12674" s="1157"/>
      <c r="N12674" s="1157"/>
      <c r="O12674" s="1157"/>
      <c r="P12674" s="1157"/>
      <c r="Q12674" s="1157"/>
      <c r="R12674" s="1157"/>
      <c r="S12674" s="1157"/>
      <c r="T12674" s="1157"/>
    </row>
    <row r="12675" s="1158" customFormat="true" ht="19.5" hidden="false" customHeight="true" outlineLevel="0" collapsed="false">
      <c r="A12675" s="1159"/>
      <c r="B12675" s="1163"/>
      <c r="C12675" s="1161" t="s">
        <v>5946</v>
      </c>
      <c r="D12675" s="1162" t="s">
        <v>4348</v>
      </c>
      <c r="E12675" s="547" t="n">
        <v>1</v>
      </c>
      <c r="F12675" s="547" t="n">
        <v>26</v>
      </c>
      <c r="G12675" s="547" t="n">
        <f aca="false">F12675*E12675</f>
        <v>26</v>
      </c>
      <c r="H12675" s="819"/>
      <c r="I12675" s="1157"/>
      <c r="J12675" s="1157"/>
      <c r="K12675" s="1157"/>
      <c r="L12675" s="1157"/>
      <c r="M12675" s="1157"/>
      <c r="N12675" s="1157"/>
      <c r="O12675" s="1157"/>
      <c r="P12675" s="1157"/>
      <c r="Q12675" s="1157"/>
      <c r="R12675" s="1157"/>
      <c r="S12675" s="1157"/>
      <c r="T12675" s="1157"/>
    </row>
    <row r="12676" s="1158" customFormat="true" ht="19.5" hidden="false" customHeight="true" outlineLevel="0" collapsed="false">
      <c r="A12676" s="1159"/>
      <c r="B12676" s="1163"/>
      <c r="C12676" s="1161" t="s">
        <v>6761</v>
      </c>
      <c r="D12676" s="1162" t="s">
        <v>4348</v>
      </c>
      <c r="E12676" s="547" t="n">
        <v>1</v>
      </c>
      <c r="F12676" s="547" t="n">
        <v>555</v>
      </c>
      <c r="G12676" s="547" t="n">
        <f aca="false">F12676*E12676</f>
        <v>555</v>
      </c>
      <c r="H12676" s="819"/>
      <c r="I12676" s="1157"/>
      <c r="J12676" s="1157"/>
      <c r="K12676" s="1157"/>
      <c r="L12676" s="1157"/>
      <c r="M12676" s="1157"/>
      <c r="N12676" s="1157"/>
      <c r="O12676" s="1157"/>
      <c r="P12676" s="1157"/>
      <c r="Q12676" s="1157"/>
      <c r="R12676" s="1157"/>
      <c r="S12676" s="1157"/>
      <c r="T12676" s="1157"/>
    </row>
    <row r="12677" s="1158" customFormat="true" ht="19.5" hidden="false" customHeight="true" outlineLevel="0" collapsed="false">
      <c r="A12677" s="1159"/>
      <c r="B12677" s="1160" t="s">
        <v>4128</v>
      </c>
      <c r="C12677" s="1161"/>
      <c r="D12677" s="1161"/>
      <c r="E12677" s="819"/>
      <c r="F12677" s="819"/>
      <c r="G12677" s="934" t="n">
        <f aca="false">SUM(G12672:G12676)</f>
        <v>684.2</v>
      </c>
      <c r="H12677" s="819"/>
      <c r="I12677" s="1157"/>
      <c r="J12677" s="1157"/>
      <c r="K12677" s="1157"/>
      <c r="L12677" s="1157"/>
      <c r="M12677" s="1157"/>
      <c r="N12677" s="1157"/>
      <c r="O12677" s="1157"/>
      <c r="P12677" s="1157"/>
      <c r="Q12677" s="1157"/>
      <c r="R12677" s="1157"/>
      <c r="S12677" s="1157"/>
      <c r="T12677" s="1157"/>
    </row>
    <row r="12678" s="1158" customFormat="true" ht="45" hidden="false" customHeight="true" outlineLevel="0" collapsed="false">
      <c r="A12678" s="1168" t="s">
        <v>6762</v>
      </c>
      <c r="B12678" s="1169" t="s">
        <v>3587</v>
      </c>
      <c r="C12678" s="1170"/>
      <c r="D12678" s="1170"/>
      <c r="E12678" s="1170"/>
      <c r="F12678" s="1170"/>
      <c r="G12678" s="1171"/>
      <c r="H12678" s="1170"/>
      <c r="I12678" s="1157"/>
      <c r="J12678" s="1157"/>
      <c r="K12678" s="1157"/>
      <c r="L12678" s="1157"/>
      <c r="M12678" s="1157"/>
      <c r="N12678" s="1157"/>
      <c r="O12678" s="1157"/>
      <c r="P12678" s="1157"/>
      <c r="Q12678" s="1157"/>
      <c r="R12678" s="1157"/>
      <c r="S12678" s="1157"/>
      <c r="T12678" s="1157"/>
    </row>
    <row r="12679" s="1158" customFormat="true" ht="19.5" hidden="false" customHeight="true" outlineLevel="0" collapsed="false">
      <c r="A12679" s="1159"/>
      <c r="B12679" s="1163" t="s">
        <v>6763</v>
      </c>
      <c r="C12679" s="1161" t="s">
        <v>5942</v>
      </c>
      <c r="D12679" s="1162" t="s">
        <v>4359</v>
      </c>
      <c r="E12679" s="819" t="n">
        <v>0.01</v>
      </c>
      <c r="F12679" s="547" t="n">
        <v>450</v>
      </c>
      <c r="G12679" s="547"/>
      <c r="H12679" s="819"/>
      <c r="I12679" s="1157"/>
      <c r="J12679" s="1157"/>
      <c r="K12679" s="1157"/>
      <c r="L12679" s="1157"/>
      <c r="M12679" s="1157"/>
      <c r="N12679" s="1157"/>
      <c r="O12679" s="1157"/>
      <c r="P12679" s="1157"/>
      <c r="Q12679" s="1157"/>
      <c r="R12679" s="1157"/>
      <c r="S12679" s="1157"/>
      <c r="T12679" s="1157"/>
    </row>
    <row r="12680" s="1158" customFormat="true" ht="19.5" hidden="false" customHeight="true" outlineLevel="0" collapsed="false">
      <c r="A12680" s="1159"/>
      <c r="B12680" s="1163"/>
      <c r="C12680" s="1161" t="s">
        <v>6760</v>
      </c>
      <c r="D12680" s="1162" t="s">
        <v>4191</v>
      </c>
      <c r="E12680" s="547" t="n">
        <v>1</v>
      </c>
      <c r="F12680" s="547" t="n">
        <v>98</v>
      </c>
      <c r="G12680" s="547" t="n">
        <f aca="false">F12680*E12680</f>
        <v>98</v>
      </c>
      <c r="H12680" s="819"/>
      <c r="I12680" s="1157"/>
      <c r="J12680" s="1157"/>
      <c r="K12680" s="1157"/>
      <c r="L12680" s="1157"/>
      <c r="M12680" s="1157"/>
      <c r="N12680" s="1157"/>
      <c r="O12680" s="1157"/>
      <c r="P12680" s="1157"/>
      <c r="Q12680" s="1157"/>
      <c r="R12680" s="1157"/>
      <c r="S12680" s="1157"/>
      <c r="T12680" s="1157"/>
    </row>
    <row r="12681" s="1158" customFormat="true" ht="19.5" hidden="false" customHeight="true" outlineLevel="0" collapsed="false">
      <c r="A12681" s="1159"/>
      <c r="B12681" s="1163"/>
      <c r="C12681" s="1161" t="s">
        <v>5946</v>
      </c>
      <c r="D12681" s="1162" t="s">
        <v>4348</v>
      </c>
      <c r="E12681" s="547" t="n">
        <v>1</v>
      </c>
      <c r="F12681" s="547" t="n">
        <v>26</v>
      </c>
      <c r="G12681" s="547" t="n">
        <f aca="false">F12681*E12681</f>
        <v>26</v>
      </c>
      <c r="H12681" s="819"/>
      <c r="I12681" s="1157"/>
      <c r="J12681" s="1157"/>
      <c r="K12681" s="1157"/>
      <c r="L12681" s="1157"/>
      <c r="M12681" s="1157"/>
      <c r="N12681" s="1157"/>
      <c r="O12681" s="1157"/>
      <c r="P12681" s="1157"/>
      <c r="Q12681" s="1157"/>
      <c r="R12681" s="1157"/>
      <c r="S12681" s="1157"/>
      <c r="T12681" s="1157"/>
    </row>
    <row r="12682" s="1158" customFormat="true" ht="19.5" hidden="false" customHeight="true" outlineLevel="0" collapsed="false">
      <c r="A12682" s="1159"/>
      <c r="B12682" s="1163"/>
      <c r="C12682" s="1161" t="s">
        <v>5945</v>
      </c>
      <c r="D12682" s="1162" t="s">
        <v>4133</v>
      </c>
      <c r="E12682" s="858" t="n">
        <v>0.005</v>
      </c>
      <c r="F12682" s="547" t="n">
        <v>350</v>
      </c>
      <c r="G12682" s="547" t="n">
        <f aca="false">F12682*E12682</f>
        <v>1.75</v>
      </c>
      <c r="H12682" s="819"/>
      <c r="I12682" s="1157"/>
      <c r="J12682" s="1157"/>
      <c r="K12682" s="1157"/>
      <c r="L12682" s="1157"/>
      <c r="M12682" s="1157"/>
      <c r="N12682" s="1157"/>
      <c r="O12682" s="1157"/>
      <c r="P12682" s="1157"/>
      <c r="Q12682" s="1157"/>
      <c r="R12682" s="1157"/>
      <c r="S12682" s="1157"/>
      <c r="T12682" s="1157"/>
    </row>
    <row r="12683" s="1158" customFormat="true" ht="19.5" hidden="false" customHeight="true" outlineLevel="0" collapsed="false">
      <c r="A12683" s="1159"/>
      <c r="B12683" s="1160" t="s">
        <v>4128</v>
      </c>
      <c r="C12683" s="1161"/>
      <c r="D12683" s="1162"/>
      <c r="E12683" s="547"/>
      <c r="F12683" s="547"/>
      <c r="G12683" s="714" t="n">
        <f aca="false">SUM(G12679:G12682)</f>
        <v>125.75</v>
      </c>
      <c r="H12683" s="819"/>
      <c r="I12683" s="1157"/>
      <c r="J12683" s="1157"/>
      <c r="K12683" s="1157"/>
      <c r="L12683" s="1157"/>
      <c r="M12683" s="1157"/>
      <c r="N12683" s="1157"/>
      <c r="O12683" s="1157"/>
      <c r="P12683" s="1157"/>
      <c r="Q12683" s="1157"/>
      <c r="R12683" s="1157"/>
      <c r="S12683" s="1157"/>
      <c r="T12683" s="1157"/>
    </row>
    <row r="12684" s="1158" customFormat="true" ht="19.5" hidden="false" customHeight="true" outlineLevel="0" collapsed="false">
      <c r="A12684" s="1159"/>
      <c r="B12684" s="1163" t="s">
        <v>3589</v>
      </c>
      <c r="C12684" s="1161" t="s">
        <v>5942</v>
      </c>
      <c r="D12684" s="1162" t="s">
        <v>4359</v>
      </c>
      <c r="E12684" s="547" t="n">
        <v>0.01</v>
      </c>
      <c r="F12684" s="547" t="n">
        <v>450</v>
      </c>
      <c r="G12684" s="547" t="n">
        <f aca="false">F12684*E12684</f>
        <v>4.5</v>
      </c>
      <c r="H12684" s="1172"/>
      <c r="I12684" s="1157"/>
      <c r="J12684" s="1157"/>
      <c r="K12684" s="1157"/>
      <c r="L12684" s="1157"/>
      <c r="M12684" s="1157"/>
      <c r="N12684" s="1157"/>
      <c r="O12684" s="1157"/>
      <c r="P12684" s="1157"/>
      <c r="Q12684" s="1157"/>
      <c r="R12684" s="1157"/>
      <c r="S12684" s="1157"/>
      <c r="T12684" s="1157"/>
    </row>
    <row r="12685" s="1158" customFormat="true" ht="19.5" hidden="false" customHeight="true" outlineLevel="0" collapsed="false">
      <c r="A12685" s="1159"/>
      <c r="B12685" s="1163"/>
      <c r="C12685" s="1161" t="s">
        <v>6760</v>
      </c>
      <c r="D12685" s="1162" t="s">
        <v>4191</v>
      </c>
      <c r="E12685" s="547" t="n">
        <v>1</v>
      </c>
      <c r="F12685" s="547" t="n">
        <v>98</v>
      </c>
      <c r="G12685" s="547" t="n">
        <f aca="false">F12685*E12685</f>
        <v>98</v>
      </c>
      <c r="H12685" s="1172"/>
      <c r="I12685" s="1157"/>
      <c r="J12685" s="1157"/>
      <c r="K12685" s="1157"/>
      <c r="L12685" s="1157"/>
      <c r="M12685" s="1157"/>
      <c r="N12685" s="1157"/>
      <c r="O12685" s="1157"/>
      <c r="P12685" s="1157"/>
      <c r="Q12685" s="1157"/>
      <c r="R12685" s="1157"/>
      <c r="S12685" s="1157"/>
      <c r="T12685" s="1157"/>
    </row>
    <row r="12686" s="1158" customFormat="true" ht="19.5" hidden="false" customHeight="true" outlineLevel="0" collapsed="false">
      <c r="A12686" s="1159"/>
      <c r="B12686" s="1163"/>
      <c r="C12686" s="1161" t="s">
        <v>5946</v>
      </c>
      <c r="D12686" s="1162" t="s">
        <v>4348</v>
      </c>
      <c r="E12686" s="547" t="n">
        <v>1</v>
      </c>
      <c r="F12686" s="547" t="n">
        <v>26</v>
      </c>
      <c r="G12686" s="547" t="n">
        <f aca="false">F12686*E12686</f>
        <v>26</v>
      </c>
      <c r="H12686" s="1172"/>
      <c r="I12686" s="1157"/>
      <c r="J12686" s="1157"/>
      <c r="K12686" s="1157"/>
      <c r="L12686" s="1157"/>
      <c r="M12686" s="1157"/>
      <c r="N12686" s="1157"/>
      <c r="O12686" s="1157"/>
      <c r="P12686" s="1157"/>
      <c r="Q12686" s="1157"/>
      <c r="R12686" s="1157"/>
      <c r="S12686" s="1157"/>
      <c r="T12686" s="1157"/>
    </row>
    <row r="12687" s="1158" customFormat="true" ht="19.5" hidden="false" customHeight="true" outlineLevel="0" collapsed="false">
      <c r="A12687" s="1159"/>
      <c r="B12687" s="1163"/>
      <c r="C12687" s="1161" t="s">
        <v>5945</v>
      </c>
      <c r="D12687" s="1162" t="s">
        <v>4133</v>
      </c>
      <c r="E12687" s="547" t="n">
        <v>0.005</v>
      </c>
      <c r="F12687" s="547" t="n">
        <v>350</v>
      </c>
      <c r="G12687" s="547" t="n">
        <f aca="false">F12687*E12687</f>
        <v>1.75</v>
      </c>
      <c r="H12687" s="1172"/>
      <c r="I12687" s="1157"/>
      <c r="J12687" s="1157"/>
      <c r="K12687" s="1157"/>
      <c r="L12687" s="1157"/>
      <c r="M12687" s="1157"/>
      <c r="N12687" s="1157"/>
      <c r="O12687" s="1157"/>
      <c r="P12687" s="1157"/>
      <c r="Q12687" s="1157"/>
      <c r="R12687" s="1157"/>
      <c r="S12687" s="1157"/>
      <c r="T12687" s="1157"/>
    </row>
    <row r="12688" s="1158" customFormat="true" ht="19.5" hidden="false" customHeight="true" outlineLevel="0" collapsed="false">
      <c r="A12688" s="1159"/>
      <c r="B12688" s="1160" t="s">
        <v>4128</v>
      </c>
      <c r="C12688" s="1161"/>
      <c r="D12688" s="1162"/>
      <c r="E12688" s="547"/>
      <c r="F12688" s="547"/>
      <c r="G12688" s="714" t="n">
        <f aca="false">SUM(G12684:G12687)</f>
        <v>130.25</v>
      </c>
      <c r="H12688" s="819"/>
      <c r="I12688" s="1157"/>
      <c r="J12688" s="1157"/>
      <c r="K12688" s="1157"/>
      <c r="L12688" s="1157"/>
      <c r="M12688" s="1157"/>
      <c r="N12688" s="1157"/>
      <c r="O12688" s="1157"/>
      <c r="P12688" s="1157"/>
      <c r="Q12688" s="1157"/>
      <c r="R12688" s="1157"/>
      <c r="S12688" s="1157"/>
      <c r="T12688" s="1157"/>
    </row>
    <row r="12689" s="1158" customFormat="true" ht="22.5" hidden="false" customHeight="true" outlineLevel="0" collapsed="false">
      <c r="A12689" s="1153" t="s">
        <v>6764</v>
      </c>
      <c r="B12689" s="1164" t="s">
        <v>6765</v>
      </c>
      <c r="C12689" s="1165"/>
      <c r="D12689" s="1165"/>
      <c r="E12689" s="1165"/>
      <c r="F12689" s="1165"/>
      <c r="G12689" s="1166" t="n">
        <f aca="false">G12695+G12700+G12705+G12711</f>
        <v>1283.33</v>
      </c>
      <c r="H12689" s="1165"/>
      <c r="I12689" s="1157"/>
      <c r="J12689" s="1157"/>
      <c r="K12689" s="1157"/>
      <c r="L12689" s="1157"/>
      <c r="M12689" s="1157"/>
      <c r="N12689" s="1157"/>
      <c r="O12689" s="1157"/>
      <c r="P12689" s="1157"/>
      <c r="Q12689" s="1157"/>
      <c r="R12689" s="1157"/>
      <c r="S12689" s="1157"/>
      <c r="T12689" s="1157"/>
    </row>
    <row r="12690" s="1158" customFormat="true" ht="47.25" hidden="false" customHeight="true" outlineLevel="0" collapsed="false">
      <c r="A12690" s="1168" t="s">
        <v>6766</v>
      </c>
      <c r="B12690" s="1169" t="s">
        <v>6767</v>
      </c>
      <c r="C12690" s="1170"/>
      <c r="D12690" s="1170"/>
      <c r="E12690" s="1170"/>
      <c r="F12690" s="1170"/>
      <c r="G12690" s="1171"/>
      <c r="H12690" s="1170"/>
      <c r="I12690" s="1157"/>
      <c r="J12690" s="1157"/>
      <c r="K12690" s="1157"/>
      <c r="L12690" s="1157"/>
      <c r="M12690" s="1157"/>
      <c r="N12690" s="1157"/>
      <c r="O12690" s="1157"/>
      <c r="P12690" s="1157"/>
      <c r="Q12690" s="1157"/>
      <c r="R12690" s="1157"/>
      <c r="S12690" s="1157"/>
      <c r="T12690" s="1157"/>
    </row>
    <row r="12691" s="1158" customFormat="true" ht="19.5" hidden="false" customHeight="true" outlineLevel="0" collapsed="false">
      <c r="A12691" s="1159"/>
      <c r="B12691" s="1163" t="s">
        <v>6768</v>
      </c>
      <c r="C12691" s="1161" t="s">
        <v>5942</v>
      </c>
      <c r="D12691" s="1162" t="s">
        <v>4359</v>
      </c>
      <c r="E12691" s="819" t="n">
        <v>0.03</v>
      </c>
      <c r="F12691" s="547" t="n">
        <v>450</v>
      </c>
      <c r="G12691" s="547" t="n">
        <f aca="false">E12691+F12691</f>
        <v>450.03</v>
      </c>
      <c r="H12691" s="819"/>
      <c r="I12691" s="1157"/>
      <c r="J12691" s="1157"/>
      <c r="K12691" s="1157"/>
      <c r="L12691" s="1157"/>
      <c r="M12691" s="1157"/>
      <c r="N12691" s="1157"/>
      <c r="O12691" s="1157"/>
      <c r="P12691" s="1157"/>
      <c r="Q12691" s="1157"/>
      <c r="R12691" s="1157"/>
      <c r="S12691" s="1157"/>
      <c r="T12691" s="1157"/>
    </row>
    <row r="12692" s="1158" customFormat="true" ht="19.5" hidden="false" customHeight="true" outlineLevel="0" collapsed="false">
      <c r="A12692" s="1159"/>
      <c r="B12692" s="1163"/>
      <c r="C12692" s="1161" t="s">
        <v>5946</v>
      </c>
      <c r="D12692" s="1162" t="s">
        <v>4348</v>
      </c>
      <c r="E12692" s="547" t="n">
        <v>1</v>
      </c>
      <c r="F12692" s="547" t="n">
        <v>26</v>
      </c>
      <c r="G12692" s="547" t="n">
        <f aca="false">E12692*F12692</f>
        <v>26</v>
      </c>
      <c r="H12692" s="819"/>
      <c r="I12692" s="1157"/>
      <c r="J12692" s="1157"/>
      <c r="K12692" s="1157"/>
      <c r="L12692" s="1157"/>
      <c r="M12692" s="1157"/>
      <c r="N12692" s="1157"/>
      <c r="O12692" s="1157"/>
      <c r="P12692" s="1157"/>
      <c r="Q12692" s="1157"/>
      <c r="R12692" s="1157"/>
      <c r="S12692" s="1157"/>
      <c r="T12692" s="1157"/>
    </row>
    <row r="12693" s="1158" customFormat="true" ht="19.5" hidden="false" customHeight="true" outlineLevel="0" collapsed="false">
      <c r="A12693" s="1159"/>
      <c r="B12693" s="1163"/>
      <c r="C12693" s="1161" t="s">
        <v>6760</v>
      </c>
      <c r="D12693" s="1162" t="s">
        <v>4191</v>
      </c>
      <c r="E12693" s="547" t="n">
        <v>1</v>
      </c>
      <c r="F12693" s="547" t="n">
        <v>98</v>
      </c>
      <c r="G12693" s="547" t="n">
        <f aca="false">E12693*F12693</f>
        <v>98</v>
      </c>
      <c r="H12693" s="819"/>
      <c r="I12693" s="1157"/>
      <c r="J12693" s="1157"/>
      <c r="K12693" s="1157"/>
      <c r="L12693" s="1157"/>
      <c r="M12693" s="1157"/>
      <c r="N12693" s="1157"/>
      <c r="O12693" s="1157"/>
      <c r="P12693" s="1157"/>
      <c r="Q12693" s="1157"/>
      <c r="R12693" s="1157"/>
      <c r="S12693" s="1157"/>
      <c r="T12693" s="1157"/>
    </row>
    <row r="12694" s="1158" customFormat="true" ht="19.5" hidden="false" customHeight="true" outlineLevel="0" collapsed="false">
      <c r="A12694" s="1159"/>
      <c r="B12694" s="1163"/>
      <c r="C12694" s="1161" t="s">
        <v>5945</v>
      </c>
      <c r="D12694" s="1162" t="s">
        <v>4133</v>
      </c>
      <c r="E12694" s="858" t="n">
        <v>0.002</v>
      </c>
      <c r="F12694" s="547" t="n">
        <v>350</v>
      </c>
      <c r="G12694" s="547" t="n">
        <f aca="false">E12694*F12694</f>
        <v>0.7</v>
      </c>
      <c r="H12694" s="819"/>
      <c r="I12694" s="1157"/>
      <c r="J12694" s="1157"/>
      <c r="K12694" s="1157"/>
      <c r="L12694" s="1157"/>
      <c r="M12694" s="1157"/>
      <c r="N12694" s="1157"/>
      <c r="O12694" s="1157"/>
      <c r="P12694" s="1157"/>
      <c r="Q12694" s="1157"/>
      <c r="R12694" s="1157"/>
      <c r="S12694" s="1157"/>
      <c r="T12694" s="1157"/>
    </row>
    <row r="12695" s="1158" customFormat="true" ht="19.5" hidden="false" customHeight="true" outlineLevel="0" collapsed="false">
      <c r="A12695" s="1159"/>
      <c r="B12695" s="1160" t="s">
        <v>4128</v>
      </c>
      <c r="C12695" s="1161"/>
      <c r="D12695" s="1162"/>
      <c r="E12695" s="547"/>
      <c r="F12695" s="547"/>
      <c r="G12695" s="714" t="n">
        <f aca="false">SUM(G12691:G12694)</f>
        <v>574.73</v>
      </c>
      <c r="H12695" s="819"/>
      <c r="I12695" s="1157"/>
      <c r="J12695" s="1157"/>
      <c r="K12695" s="1157"/>
      <c r="L12695" s="1157"/>
      <c r="M12695" s="1157"/>
      <c r="N12695" s="1157"/>
      <c r="O12695" s="1157"/>
      <c r="P12695" s="1157"/>
      <c r="Q12695" s="1157"/>
      <c r="R12695" s="1157"/>
      <c r="S12695" s="1157"/>
      <c r="T12695" s="1157"/>
    </row>
    <row r="12696" s="1158" customFormat="true" ht="19.5" hidden="false" customHeight="true" outlineLevel="0" collapsed="false">
      <c r="A12696" s="1159"/>
      <c r="B12696" s="1163" t="s">
        <v>6769</v>
      </c>
      <c r="C12696" s="1161" t="s">
        <v>5942</v>
      </c>
      <c r="D12696" s="1162" t="s">
        <v>4359</v>
      </c>
      <c r="E12696" s="819" t="n">
        <v>0.03</v>
      </c>
      <c r="F12696" s="547" t="n">
        <v>450</v>
      </c>
      <c r="G12696" s="547" t="n">
        <f aca="false">E12696*F12696</f>
        <v>13.5</v>
      </c>
      <c r="H12696" s="819"/>
      <c r="I12696" s="1157"/>
      <c r="J12696" s="1157"/>
      <c r="K12696" s="1157"/>
      <c r="L12696" s="1157"/>
      <c r="M12696" s="1157"/>
      <c r="N12696" s="1157"/>
      <c r="O12696" s="1157"/>
      <c r="P12696" s="1157"/>
      <c r="Q12696" s="1157"/>
      <c r="R12696" s="1157"/>
      <c r="S12696" s="1157"/>
      <c r="T12696" s="1157"/>
    </row>
    <row r="12697" s="1158" customFormat="true" ht="19.5" hidden="false" customHeight="true" outlineLevel="0" collapsed="false">
      <c r="A12697" s="1159"/>
      <c r="B12697" s="1163"/>
      <c r="C12697" s="1161" t="s">
        <v>5946</v>
      </c>
      <c r="D12697" s="1162" t="s">
        <v>4348</v>
      </c>
      <c r="E12697" s="547" t="n">
        <v>1</v>
      </c>
      <c r="F12697" s="547" t="n">
        <v>26</v>
      </c>
      <c r="G12697" s="547" t="n">
        <f aca="false">E12697*F12697</f>
        <v>26</v>
      </c>
      <c r="H12697" s="819"/>
      <c r="I12697" s="1157"/>
      <c r="J12697" s="1157"/>
      <c r="K12697" s="1157"/>
      <c r="L12697" s="1157"/>
      <c r="M12697" s="1157"/>
      <c r="N12697" s="1157"/>
      <c r="O12697" s="1157"/>
      <c r="P12697" s="1157"/>
      <c r="Q12697" s="1157"/>
      <c r="R12697" s="1157"/>
      <c r="S12697" s="1157"/>
      <c r="T12697" s="1157"/>
    </row>
    <row r="12698" s="1158" customFormat="true" ht="19.5" hidden="false" customHeight="true" outlineLevel="0" collapsed="false">
      <c r="A12698" s="1159"/>
      <c r="B12698" s="1163"/>
      <c r="C12698" s="1161" t="s">
        <v>6760</v>
      </c>
      <c r="D12698" s="1162" t="s">
        <v>4191</v>
      </c>
      <c r="E12698" s="547" t="n">
        <v>2</v>
      </c>
      <c r="F12698" s="547" t="n">
        <v>98</v>
      </c>
      <c r="G12698" s="547" t="n">
        <f aca="false">E12698*F12698</f>
        <v>196</v>
      </c>
      <c r="H12698" s="819"/>
      <c r="I12698" s="1157"/>
      <c r="J12698" s="1157"/>
      <c r="K12698" s="1157"/>
      <c r="L12698" s="1157"/>
      <c r="M12698" s="1157"/>
      <c r="N12698" s="1157"/>
      <c r="O12698" s="1157"/>
      <c r="P12698" s="1157"/>
      <c r="Q12698" s="1157"/>
      <c r="R12698" s="1157"/>
      <c r="S12698" s="1157"/>
      <c r="T12698" s="1157"/>
    </row>
    <row r="12699" s="1158" customFormat="true" ht="19.5" hidden="false" customHeight="true" outlineLevel="0" collapsed="false">
      <c r="A12699" s="1159"/>
      <c r="B12699" s="1163"/>
      <c r="C12699" s="1161" t="s">
        <v>5945</v>
      </c>
      <c r="D12699" s="1162" t="s">
        <v>4133</v>
      </c>
      <c r="E12699" s="858" t="n">
        <v>0.002</v>
      </c>
      <c r="F12699" s="547" t="n">
        <v>350</v>
      </c>
      <c r="G12699" s="547" t="n">
        <f aca="false">E12699*F12699</f>
        <v>0.7</v>
      </c>
      <c r="H12699" s="819"/>
      <c r="I12699" s="1157"/>
      <c r="J12699" s="1157"/>
      <c r="K12699" s="1157"/>
      <c r="L12699" s="1157"/>
      <c r="M12699" s="1157"/>
      <c r="N12699" s="1157"/>
      <c r="O12699" s="1157"/>
      <c r="P12699" s="1157"/>
      <c r="Q12699" s="1157"/>
      <c r="R12699" s="1157"/>
      <c r="S12699" s="1157"/>
      <c r="T12699" s="1157"/>
    </row>
    <row r="12700" s="1158" customFormat="true" ht="19.5" hidden="false" customHeight="true" outlineLevel="0" collapsed="false">
      <c r="A12700" s="1159"/>
      <c r="B12700" s="1160" t="s">
        <v>4128</v>
      </c>
      <c r="C12700" s="1161"/>
      <c r="D12700" s="1162"/>
      <c r="E12700" s="547"/>
      <c r="F12700" s="547"/>
      <c r="G12700" s="714" t="n">
        <f aca="false">SUM(G12696:G12699)</f>
        <v>236.2</v>
      </c>
      <c r="H12700" s="819"/>
      <c r="I12700" s="1157"/>
      <c r="J12700" s="1157"/>
      <c r="K12700" s="1157"/>
      <c r="L12700" s="1157"/>
      <c r="M12700" s="1157"/>
      <c r="N12700" s="1157"/>
      <c r="O12700" s="1157"/>
      <c r="P12700" s="1157"/>
      <c r="Q12700" s="1157"/>
      <c r="R12700" s="1157"/>
      <c r="S12700" s="1157"/>
      <c r="T12700" s="1157"/>
    </row>
    <row r="12701" s="1158" customFormat="true" ht="19.5" hidden="false" customHeight="true" outlineLevel="0" collapsed="false">
      <c r="A12701" s="1159"/>
      <c r="B12701" s="1163" t="s">
        <v>6770</v>
      </c>
      <c r="C12701" s="1161" t="s">
        <v>5942</v>
      </c>
      <c r="D12701" s="1162" t="s">
        <v>4359</v>
      </c>
      <c r="E12701" s="819" t="n">
        <v>0.03</v>
      </c>
      <c r="F12701" s="547" t="n">
        <v>450</v>
      </c>
      <c r="G12701" s="547" t="n">
        <f aca="false">E12701*F12701</f>
        <v>13.5</v>
      </c>
      <c r="H12701" s="819"/>
      <c r="I12701" s="1157"/>
      <c r="J12701" s="1157"/>
      <c r="K12701" s="1157"/>
      <c r="L12701" s="1157"/>
      <c r="M12701" s="1157"/>
      <c r="N12701" s="1157"/>
      <c r="O12701" s="1157"/>
      <c r="P12701" s="1157"/>
      <c r="Q12701" s="1157"/>
      <c r="R12701" s="1157"/>
      <c r="S12701" s="1157"/>
      <c r="T12701" s="1157"/>
    </row>
    <row r="12702" s="1158" customFormat="true" ht="19.5" hidden="false" customHeight="true" outlineLevel="0" collapsed="false">
      <c r="A12702" s="1159"/>
      <c r="B12702" s="1163"/>
      <c r="C12702" s="1161" t="s">
        <v>5946</v>
      </c>
      <c r="D12702" s="1162" t="s">
        <v>4348</v>
      </c>
      <c r="E12702" s="547" t="n">
        <v>1</v>
      </c>
      <c r="F12702" s="547" t="n">
        <v>26</v>
      </c>
      <c r="G12702" s="547" t="n">
        <f aca="false">E12702*F12702</f>
        <v>26</v>
      </c>
      <c r="H12702" s="819"/>
      <c r="I12702" s="1157"/>
      <c r="J12702" s="1157"/>
      <c r="K12702" s="1157"/>
      <c r="L12702" s="1157"/>
      <c r="M12702" s="1157"/>
      <c r="N12702" s="1157"/>
      <c r="O12702" s="1157"/>
      <c r="P12702" s="1157"/>
      <c r="Q12702" s="1157"/>
      <c r="R12702" s="1157"/>
      <c r="S12702" s="1157"/>
      <c r="T12702" s="1157"/>
    </row>
    <row r="12703" s="1158" customFormat="true" ht="19.5" hidden="false" customHeight="true" outlineLevel="0" collapsed="false">
      <c r="A12703" s="1159"/>
      <c r="B12703" s="1163"/>
      <c r="C12703" s="1161" t="s">
        <v>6760</v>
      </c>
      <c r="D12703" s="1162" t="s">
        <v>4191</v>
      </c>
      <c r="E12703" s="547" t="n">
        <v>2</v>
      </c>
      <c r="F12703" s="547" t="n">
        <v>98</v>
      </c>
      <c r="G12703" s="547" t="n">
        <f aca="false">E12703*F12703</f>
        <v>196</v>
      </c>
      <c r="H12703" s="819"/>
      <c r="I12703" s="1157"/>
      <c r="J12703" s="1157"/>
      <c r="K12703" s="1157"/>
      <c r="L12703" s="1157"/>
      <c r="M12703" s="1157"/>
      <c r="N12703" s="1157"/>
      <c r="O12703" s="1157"/>
      <c r="P12703" s="1157"/>
      <c r="Q12703" s="1157"/>
      <c r="R12703" s="1157"/>
      <c r="S12703" s="1157"/>
      <c r="T12703" s="1157"/>
    </row>
    <row r="12704" s="1158" customFormat="true" ht="19.5" hidden="false" customHeight="true" outlineLevel="0" collapsed="false">
      <c r="A12704" s="1159"/>
      <c r="B12704" s="1163"/>
      <c r="C12704" s="1161" t="s">
        <v>5945</v>
      </c>
      <c r="D12704" s="1162" t="s">
        <v>4133</v>
      </c>
      <c r="E12704" s="858" t="n">
        <v>0.002</v>
      </c>
      <c r="F12704" s="547" t="n">
        <v>350</v>
      </c>
      <c r="G12704" s="547" t="n">
        <f aca="false">E12704*F12704</f>
        <v>0.7</v>
      </c>
      <c r="H12704" s="819"/>
      <c r="I12704" s="1157"/>
      <c r="J12704" s="1157"/>
      <c r="K12704" s="1157"/>
      <c r="L12704" s="1157"/>
      <c r="M12704" s="1157"/>
      <c r="N12704" s="1157"/>
      <c r="O12704" s="1157"/>
      <c r="P12704" s="1157"/>
      <c r="Q12704" s="1157"/>
      <c r="R12704" s="1157"/>
      <c r="S12704" s="1157"/>
      <c r="T12704" s="1157"/>
    </row>
    <row r="12705" s="1158" customFormat="true" ht="19.5" hidden="false" customHeight="true" outlineLevel="0" collapsed="false">
      <c r="A12705" s="1159"/>
      <c r="B12705" s="1160" t="s">
        <v>4128</v>
      </c>
      <c r="C12705" s="1161"/>
      <c r="D12705" s="1162"/>
      <c r="E12705" s="547"/>
      <c r="F12705" s="547"/>
      <c r="G12705" s="714" t="n">
        <f aca="false">SUM(G12701:G12704)</f>
        <v>236.2</v>
      </c>
      <c r="H12705" s="819"/>
      <c r="I12705" s="1157"/>
      <c r="J12705" s="1157"/>
      <c r="K12705" s="1157"/>
      <c r="L12705" s="1157"/>
      <c r="M12705" s="1157"/>
      <c r="N12705" s="1157"/>
      <c r="O12705" s="1157"/>
      <c r="P12705" s="1157"/>
      <c r="Q12705" s="1157"/>
      <c r="R12705" s="1157"/>
      <c r="S12705" s="1157"/>
      <c r="T12705" s="1157"/>
    </row>
    <row r="12706" s="1158" customFormat="true" ht="19.5" hidden="false" customHeight="true" outlineLevel="0" collapsed="false">
      <c r="A12706" s="1168" t="s">
        <v>6771</v>
      </c>
      <c r="B12706" s="1173" t="s">
        <v>3624</v>
      </c>
      <c r="C12706" s="1161"/>
      <c r="D12706" s="1162"/>
      <c r="E12706" s="858"/>
      <c r="F12706" s="547"/>
      <c r="G12706" s="547"/>
      <c r="H12706" s="819"/>
      <c r="I12706" s="1157"/>
      <c r="J12706" s="1157"/>
      <c r="K12706" s="1157"/>
      <c r="L12706" s="1157"/>
      <c r="M12706" s="1157"/>
      <c r="N12706" s="1157"/>
      <c r="O12706" s="1157"/>
      <c r="P12706" s="1157"/>
      <c r="Q12706" s="1157"/>
      <c r="R12706" s="1157"/>
      <c r="S12706" s="1157"/>
      <c r="T12706" s="1157"/>
    </row>
    <row r="12707" s="1158" customFormat="true" ht="19.5" hidden="false" customHeight="true" outlineLevel="0" collapsed="false">
      <c r="A12707" s="1159"/>
      <c r="B12707" s="1163" t="s">
        <v>3625</v>
      </c>
      <c r="C12707" s="1161" t="s">
        <v>5942</v>
      </c>
      <c r="D12707" s="1162" t="s">
        <v>4359</v>
      </c>
      <c r="E12707" s="819" t="n">
        <v>0.03</v>
      </c>
      <c r="F12707" s="547" t="n">
        <v>450</v>
      </c>
      <c r="G12707" s="547" t="n">
        <f aca="false">E12707*F12707</f>
        <v>13.5</v>
      </c>
      <c r="H12707" s="819"/>
      <c r="I12707" s="1157"/>
      <c r="J12707" s="1157"/>
      <c r="K12707" s="1157"/>
      <c r="L12707" s="1157"/>
      <c r="M12707" s="1157"/>
      <c r="N12707" s="1157"/>
      <c r="O12707" s="1157"/>
      <c r="P12707" s="1157"/>
      <c r="Q12707" s="1157"/>
      <c r="R12707" s="1157"/>
      <c r="S12707" s="1157"/>
      <c r="T12707" s="1157"/>
    </row>
    <row r="12708" s="1158" customFormat="true" ht="19.5" hidden="false" customHeight="true" outlineLevel="0" collapsed="false">
      <c r="A12708" s="1159"/>
      <c r="B12708" s="1163"/>
      <c r="C12708" s="1161" t="s">
        <v>5946</v>
      </c>
      <c r="D12708" s="1162" t="s">
        <v>4348</v>
      </c>
      <c r="E12708" s="547" t="n">
        <v>1</v>
      </c>
      <c r="F12708" s="547" t="n">
        <v>26</v>
      </c>
      <c r="G12708" s="547" t="n">
        <f aca="false">E12708*F12708</f>
        <v>26</v>
      </c>
      <c r="H12708" s="819"/>
      <c r="I12708" s="1157"/>
      <c r="J12708" s="1157"/>
      <c r="K12708" s="1157"/>
      <c r="L12708" s="1157"/>
      <c r="M12708" s="1157"/>
      <c r="N12708" s="1157"/>
      <c r="O12708" s="1157"/>
      <c r="P12708" s="1157"/>
      <c r="Q12708" s="1157"/>
      <c r="R12708" s="1157"/>
      <c r="S12708" s="1157"/>
      <c r="T12708" s="1157"/>
    </row>
    <row r="12709" s="1158" customFormat="true" ht="19.5" hidden="false" customHeight="true" outlineLevel="0" collapsed="false">
      <c r="A12709" s="1159"/>
      <c r="B12709" s="1163"/>
      <c r="C12709" s="1161" t="s">
        <v>6760</v>
      </c>
      <c r="D12709" s="1162" t="s">
        <v>4191</v>
      </c>
      <c r="E12709" s="547" t="n">
        <v>2</v>
      </c>
      <c r="F12709" s="547" t="n">
        <v>98</v>
      </c>
      <c r="G12709" s="547" t="n">
        <f aca="false">E12709*F12709</f>
        <v>196</v>
      </c>
      <c r="H12709" s="819"/>
      <c r="I12709" s="1157"/>
      <c r="J12709" s="1157"/>
      <c r="K12709" s="1157"/>
      <c r="L12709" s="1157"/>
      <c r="M12709" s="1157"/>
      <c r="N12709" s="1157"/>
      <c r="O12709" s="1157"/>
      <c r="P12709" s="1157"/>
      <c r="Q12709" s="1157"/>
      <c r="R12709" s="1157"/>
      <c r="S12709" s="1157"/>
      <c r="T12709" s="1157"/>
    </row>
    <row r="12710" s="1158" customFormat="true" ht="19.5" hidden="false" customHeight="true" outlineLevel="0" collapsed="false">
      <c r="A12710" s="1159"/>
      <c r="B12710" s="1163"/>
      <c r="C12710" s="1161" t="s">
        <v>5945</v>
      </c>
      <c r="D12710" s="1162" t="s">
        <v>4133</v>
      </c>
      <c r="E12710" s="858" t="n">
        <v>0.002</v>
      </c>
      <c r="F12710" s="547" t="n">
        <v>350</v>
      </c>
      <c r="G12710" s="547" t="n">
        <f aca="false">E12710*F12710</f>
        <v>0.7</v>
      </c>
      <c r="H12710" s="819"/>
      <c r="I12710" s="1157"/>
      <c r="J12710" s="1157"/>
      <c r="K12710" s="1157"/>
      <c r="L12710" s="1157"/>
      <c r="M12710" s="1157"/>
      <c r="N12710" s="1157"/>
      <c r="O12710" s="1157"/>
      <c r="P12710" s="1157"/>
      <c r="Q12710" s="1157"/>
      <c r="R12710" s="1157"/>
      <c r="S12710" s="1157"/>
      <c r="T12710" s="1157"/>
    </row>
    <row r="12711" s="1158" customFormat="true" ht="19.5" hidden="false" customHeight="true" outlineLevel="0" collapsed="false">
      <c r="A12711" s="1159"/>
      <c r="B12711" s="1160" t="s">
        <v>4128</v>
      </c>
      <c r="C12711" s="1161"/>
      <c r="D12711" s="1162"/>
      <c r="E12711" s="547"/>
      <c r="F12711" s="547"/>
      <c r="G12711" s="714" t="n">
        <f aca="false">SUM(G12707:G12710)</f>
        <v>236.2</v>
      </c>
      <c r="H12711" s="819"/>
      <c r="I12711" s="1157"/>
      <c r="J12711" s="1157"/>
      <c r="K12711" s="1157"/>
      <c r="L12711" s="1157"/>
      <c r="M12711" s="1157"/>
      <c r="N12711" s="1157"/>
      <c r="O12711" s="1157"/>
      <c r="P12711" s="1157"/>
      <c r="Q12711" s="1157"/>
      <c r="R12711" s="1157"/>
      <c r="S12711" s="1157"/>
      <c r="T12711" s="1157"/>
    </row>
    <row r="12712" s="1158" customFormat="true" ht="33" hidden="false" customHeight="true" outlineLevel="0" collapsed="false">
      <c r="A12712" s="1153" t="s">
        <v>6772</v>
      </c>
      <c r="B12712" s="1164" t="s">
        <v>6773</v>
      </c>
      <c r="C12712" s="1165"/>
      <c r="D12712" s="1165"/>
      <c r="E12712" s="1165"/>
      <c r="F12712" s="1165"/>
      <c r="G12712" s="1166" t="n">
        <f aca="false">G12719+G12724</f>
        <v>1272.4</v>
      </c>
      <c r="H12712" s="1165"/>
      <c r="I12712" s="1157"/>
      <c r="J12712" s="1157"/>
      <c r="K12712" s="1157"/>
      <c r="L12712" s="1157"/>
      <c r="M12712" s="1157"/>
      <c r="N12712" s="1157"/>
      <c r="O12712" s="1157"/>
      <c r="P12712" s="1157"/>
      <c r="Q12712" s="1157"/>
      <c r="R12712" s="1157"/>
      <c r="S12712" s="1157"/>
      <c r="T12712" s="1157"/>
    </row>
    <row r="12713" s="1158" customFormat="true" ht="69.75" hidden="false" customHeight="true" outlineLevel="0" collapsed="false">
      <c r="A12713" s="1159"/>
      <c r="B12713" s="1169" t="s">
        <v>6774</v>
      </c>
      <c r="C12713" s="1170"/>
      <c r="D12713" s="1170"/>
      <c r="E12713" s="1170"/>
      <c r="F12713" s="1170"/>
      <c r="G12713" s="1171"/>
      <c r="H12713" s="1170"/>
      <c r="I12713" s="1157"/>
      <c r="J12713" s="1157"/>
      <c r="K12713" s="1157"/>
      <c r="L12713" s="1157"/>
      <c r="M12713" s="1157"/>
      <c r="N12713" s="1157"/>
      <c r="O12713" s="1157"/>
      <c r="P12713" s="1157"/>
      <c r="Q12713" s="1157"/>
      <c r="R12713" s="1157"/>
      <c r="S12713" s="1157"/>
      <c r="T12713" s="1157"/>
    </row>
    <row r="12714" s="1158" customFormat="true" ht="19.5" hidden="false" customHeight="true" outlineLevel="0" collapsed="false">
      <c r="A12714" s="1159"/>
      <c r="B12714" s="1163" t="s">
        <v>3611</v>
      </c>
      <c r="C12714" s="1161" t="s">
        <v>5942</v>
      </c>
      <c r="D12714" s="1162" t="s">
        <v>4359</v>
      </c>
      <c r="E12714" s="547" t="n">
        <v>0.03</v>
      </c>
      <c r="F12714" s="547" t="n">
        <v>450</v>
      </c>
      <c r="G12714" s="547" t="n">
        <f aca="false">F12714*E12714</f>
        <v>13.5</v>
      </c>
      <c r="H12714" s="1172"/>
      <c r="I12714" s="1157"/>
      <c r="J12714" s="1157"/>
      <c r="K12714" s="1157"/>
      <c r="L12714" s="1157"/>
      <c r="M12714" s="1157"/>
      <c r="N12714" s="1157"/>
      <c r="O12714" s="1157"/>
      <c r="P12714" s="1157"/>
      <c r="Q12714" s="1157"/>
      <c r="R12714" s="1157"/>
      <c r="S12714" s="1157"/>
      <c r="T12714" s="1157"/>
    </row>
    <row r="12715" s="1158" customFormat="true" ht="19.5" hidden="false" customHeight="true" outlineLevel="0" collapsed="false">
      <c r="A12715" s="1159"/>
      <c r="B12715" s="1163"/>
      <c r="C12715" s="1161" t="s">
        <v>5804</v>
      </c>
      <c r="D12715" s="1162" t="s">
        <v>4359</v>
      </c>
      <c r="E12715" s="547" t="n">
        <v>0.2</v>
      </c>
      <c r="F12715" s="547" t="n">
        <v>2500</v>
      </c>
      <c r="G12715" s="547" t="n">
        <f aca="false">E12715*F12715</f>
        <v>500</v>
      </c>
      <c r="H12715" s="1172"/>
      <c r="I12715" s="1157"/>
      <c r="J12715" s="1157"/>
      <c r="K12715" s="1157"/>
      <c r="L12715" s="1157"/>
      <c r="M12715" s="1157"/>
      <c r="N12715" s="1157"/>
      <c r="O12715" s="1157"/>
      <c r="P12715" s="1157"/>
      <c r="Q12715" s="1157"/>
      <c r="R12715" s="1157"/>
      <c r="S12715" s="1157"/>
      <c r="T12715" s="1157"/>
    </row>
    <row r="12716" s="1158" customFormat="true" ht="19.5" hidden="false" customHeight="true" outlineLevel="0" collapsed="false">
      <c r="A12716" s="1159"/>
      <c r="B12716" s="1163"/>
      <c r="C12716" s="1161" t="s">
        <v>5945</v>
      </c>
      <c r="D12716" s="1162" t="s">
        <v>4133</v>
      </c>
      <c r="E12716" s="547" t="n">
        <v>0.002</v>
      </c>
      <c r="F12716" s="547" t="n">
        <v>350</v>
      </c>
      <c r="G12716" s="547" t="n">
        <f aca="false">F12716*E12716</f>
        <v>0.7</v>
      </c>
      <c r="H12716" s="1172"/>
      <c r="I12716" s="1157"/>
      <c r="J12716" s="1157"/>
      <c r="K12716" s="1157"/>
      <c r="L12716" s="1157"/>
      <c r="M12716" s="1157"/>
      <c r="N12716" s="1157"/>
      <c r="O12716" s="1157"/>
      <c r="P12716" s="1157"/>
      <c r="Q12716" s="1157"/>
      <c r="R12716" s="1157"/>
      <c r="S12716" s="1157"/>
      <c r="T12716" s="1157"/>
    </row>
    <row r="12717" s="1158" customFormat="true" ht="19.5" hidden="false" customHeight="true" outlineLevel="0" collapsed="false">
      <c r="A12717" s="1159"/>
      <c r="B12717" s="1163"/>
      <c r="C12717" s="1161" t="s">
        <v>6760</v>
      </c>
      <c r="D12717" s="1162" t="s">
        <v>4191</v>
      </c>
      <c r="E12717" s="547" t="n">
        <v>3</v>
      </c>
      <c r="F12717" s="547" t="n">
        <v>98</v>
      </c>
      <c r="G12717" s="547" t="n">
        <f aca="false">F12717*E12717</f>
        <v>294</v>
      </c>
      <c r="H12717" s="1172"/>
      <c r="I12717" s="1157"/>
      <c r="J12717" s="1157"/>
      <c r="K12717" s="1157"/>
      <c r="L12717" s="1157"/>
      <c r="M12717" s="1157"/>
      <c r="N12717" s="1157"/>
      <c r="O12717" s="1157"/>
      <c r="P12717" s="1157"/>
      <c r="Q12717" s="1157"/>
      <c r="R12717" s="1157"/>
      <c r="S12717" s="1157"/>
      <c r="T12717" s="1157"/>
    </row>
    <row r="12718" s="1158" customFormat="true" ht="19.5" hidden="false" customHeight="true" outlineLevel="0" collapsed="false">
      <c r="A12718" s="1159"/>
      <c r="B12718" s="1163"/>
      <c r="C12718" s="1161" t="s">
        <v>5946</v>
      </c>
      <c r="D12718" s="1162" t="s">
        <v>4348</v>
      </c>
      <c r="E12718" s="547" t="n">
        <v>3</v>
      </c>
      <c r="F12718" s="547" t="n">
        <v>26</v>
      </c>
      <c r="G12718" s="547" t="n">
        <f aca="false">F12718*E12718</f>
        <v>78</v>
      </c>
      <c r="H12718" s="1172"/>
      <c r="I12718" s="1157"/>
      <c r="J12718" s="1157"/>
      <c r="K12718" s="1157"/>
      <c r="L12718" s="1157"/>
      <c r="M12718" s="1157"/>
      <c r="N12718" s="1157"/>
      <c r="O12718" s="1157"/>
      <c r="P12718" s="1157"/>
      <c r="Q12718" s="1157"/>
      <c r="R12718" s="1157"/>
      <c r="S12718" s="1157"/>
      <c r="T12718" s="1157"/>
    </row>
    <row r="12719" s="1158" customFormat="true" ht="19.5" hidden="false" customHeight="true" outlineLevel="0" collapsed="false">
      <c r="A12719" s="1159"/>
      <c r="B12719" s="1160" t="s">
        <v>4128</v>
      </c>
      <c r="C12719" s="1161"/>
      <c r="D12719" s="1162"/>
      <c r="E12719" s="547"/>
      <c r="F12719" s="547"/>
      <c r="G12719" s="714" t="n">
        <f aca="false">SUM(G12714:G12718)</f>
        <v>886.2</v>
      </c>
      <c r="H12719" s="1172"/>
      <c r="I12719" s="1157"/>
      <c r="J12719" s="1157"/>
      <c r="K12719" s="1157"/>
      <c r="L12719" s="1157"/>
      <c r="M12719" s="1157"/>
      <c r="N12719" s="1157"/>
      <c r="O12719" s="1157"/>
      <c r="P12719" s="1157"/>
      <c r="Q12719" s="1157"/>
      <c r="R12719" s="1157"/>
      <c r="S12719" s="1157"/>
      <c r="T12719" s="1157"/>
    </row>
    <row r="12720" s="1158" customFormat="true" ht="19.5" hidden="false" customHeight="true" outlineLevel="0" collapsed="false">
      <c r="A12720" s="1159"/>
      <c r="B12720" s="1163" t="s">
        <v>3612</v>
      </c>
      <c r="C12720" s="1161" t="s">
        <v>5942</v>
      </c>
      <c r="D12720" s="1162" t="s">
        <v>4359</v>
      </c>
      <c r="E12720" s="819" t="n">
        <v>0.03</v>
      </c>
      <c r="F12720" s="547" t="n">
        <v>450</v>
      </c>
      <c r="G12720" s="547" t="n">
        <f aca="false">F12720*E12720</f>
        <v>13.5</v>
      </c>
      <c r="H12720" s="819"/>
      <c r="I12720" s="1157"/>
      <c r="J12720" s="1157"/>
      <c r="K12720" s="1157"/>
      <c r="L12720" s="1157"/>
      <c r="M12720" s="1157"/>
      <c r="N12720" s="1157"/>
      <c r="O12720" s="1157"/>
      <c r="P12720" s="1157"/>
      <c r="Q12720" s="1157"/>
      <c r="R12720" s="1157"/>
      <c r="S12720" s="1157"/>
      <c r="T12720" s="1157"/>
    </row>
    <row r="12721" s="1158" customFormat="true" ht="19.5" hidden="false" customHeight="true" outlineLevel="0" collapsed="false">
      <c r="A12721" s="1159"/>
      <c r="B12721" s="1163"/>
      <c r="C12721" s="1161" t="s">
        <v>5945</v>
      </c>
      <c r="D12721" s="1162" t="s">
        <v>4133</v>
      </c>
      <c r="E12721" s="858" t="n">
        <v>0.002</v>
      </c>
      <c r="F12721" s="547" t="n">
        <v>350</v>
      </c>
      <c r="G12721" s="547" t="n">
        <f aca="false">F12721*E12721</f>
        <v>0.7</v>
      </c>
      <c r="H12721" s="819"/>
      <c r="I12721" s="1157"/>
      <c r="J12721" s="1157"/>
      <c r="K12721" s="1157"/>
      <c r="L12721" s="1157"/>
      <c r="M12721" s="1157"/>
      <c r="N12721" s="1157"/>
      <c r="O12721" s="1157"/>
      <c r="P12721" s="1157"/>
      <c r="Q12721" s="1157"/>
      <c r="R12721" s="1157"/>
      <c r="S12721" s="1157"/>
      <c r="T12721" s="1157"/>
    </row>
    <row r="12722" s="1158" customFormat="true" ht="19.5" hidden="false" customHeight="true" outlineLevel="0" collapsed="false">
      <c r="A12722" s="1159"/>
      <c r="B12722" s="1163"/>
      <c r="C12722" s="1161" t="s">
        <v>6760</v>
      </c>
      <c r="D12722" s="1162" t="s">
        <v>4191</v>
      </c>
      <c r="E12722" s="547" t="n">
        <v>3</v>
      </c>
      <c r="F12722" s="547" t="n">
        <v>98</v>
      </c>
      <c r="G12722" s="547" t="n">
        <f aca="false">F12722*E12722</f>
        <v>294</v>
      </c>
      <c r="H12722" s="819"/>
      <c r="I12722" s="1157"/>
      <c r="J12722" s="1157"/>
      <c r="K12722" s="1157"/>
      <c r="L12722" s="1157"/>
      <c r="M12722" s="1157"/>
      <c r="N12722" s="1157"/>
      <c r="O12722" s="1157"/>
      <c r="P12722" s="1157"/>
      <c r="Q12722" s="1157"/>
      <c r="R12722" s="1157"/>
      <c r="S12722" s="1157"/>
      <c r="T12722" s="1157"/>
    </row>
    <row r="12723" s="1158" customFormat="true" ht="19.5" hidden="false" customHeight="true" outlineLevel="0" collapsed="false">
      <c r="A12723" s="1159"/>
      <c r="B12723" s="1163"/>
      <c r="C12723" s="1161" t="s">
        <v>5946</v>
      </c>
      <c r="D12723" s="1162" t="s">
        <v>4348</v>
      </c>
      <c r="E12723" s="547" t="n">
        <v>3</v>
      </c>
      <c r="F12723" s="547" t="n">
        <v>26</v>
      </c>
      <c r="G12723" s="547" t="n">
        <f aca="false">F12723*E12723</f>
        <v>78</v>
      </c>
      <c r="H12723" s="819"/>
      <c r="I12723" s="1157"/>
      <c r="J12723" s="1157"/>
      <c r="K12723" s="1157"/>
      <c r="L12723" s="1157"/>
      <c r="M12723" s="1157"/>
      <c r="N12723" s="1157"/>
      <c r="O12723" s="1157"/>
      <c r="P12723" s="1157"/>
      <c r="Q12723" s="1157"/>
      <c r="R12723" s="1157"/>
      <c r="S12723" s="1157"/>
      <c r="T12723" s="1157"/>
    </row>
    <row r="12724" s="1158" customFormat="true" ht="19.5" hidden="false" customHeight="true" outlineLevel="0" collapsed="false">
      <c r="A12724" s="1159"/>
      <c r="B12724" s="1160" t="s">
        <v>4128</v>
      </c>
      <c r="C12724" s="1161"/>
      <c r="D12724" s="1161"/>
      <c r="E12724" s="819"/>
      <c r="F12724" s="819"/>
      <c r="G12724" s="934" t="n">
        <f aca="false">SUM(G12720:G12723)</f>
        <v>386.2</v>
      </c>
      <c r="H12724" s="819"/>
      <c r="I12724" s="1157"/>
      <c r="J12724" s="1157"/>
      <c r="K12724" s="1157"/>
      <c r="L12724" s="1157"/>
      <c r="M12724" s="1157"/>
      <c r="N12724" s="1157"/>
      <c r="O12724" s="1157"/>
      <c r="P12724" s="1157"/>
      <c r="Q12724" s="1157"/>
      <c r="R12724" s="1157"/>
      <c r="S12724" s="1157"/>
      <c r="T12724" s="1157"/>
    </row>
    <row r="12725" s="1158" customFormat="true" ht="27.75" hidden="false" customHeight="true" outlineLevel="0" collapsed="false">
      <c r="A12725" s="1153" t="s">
        <v>6775</v>
      </c>
      <c r="B12725" s="1164" t="s">
        <v>6776</v>
      </c>
      <c r="C12725" s="1165"/>
      <c r="D12725" s="1165"/>
      <c r="E12725" s="1165"/>
      <c r="F12725" s="1165"/>
      <c r="G12725" s="1166" t="n">
        <f aca="false">G12735+G12750+G12766+G12780+G12789+G12798+G12811+G12824+G12838+G12844+G12850</f>
        <v>8445.238</v>
      </c>
      <c r="H12725" s="1165"/>
      <c r="I12725" s="1157"/>
      <c r="J12725" s="1157"/>
      <c r="K12725" s="1157"/>
      <c r="L12725" s="1157"/>
      <c r="M12725" s="1157"/>
      <c r="N12725" s="1157"/>
      <c r="O12725" s="1157"/>
      <c r="P12725" s="1157"/>
      <c r="Q12725" s="1157"/>
      <c r="R12725" s="1157"/>
      <c r="S12725" s="1157"/>
      <c r="T12725" s="1157"/>
    </row>
    <row r="12726" s="1158" customFormat="true" ht="28.5" hidden="false" customHeight="true" outlineLevel="0" collapsed="false">
      <c r="A12726" s="1168" t="s">
        <v>6777</v>
      </c>
      <c r="B12726" s="1169" t="s">
        <v>6778</v>
      </c>
      <c r="C12726" s="1170"/>
      <c r="D12726" s="1170"/>
      <c r="E12726" s="1170"/>
      <c r="F12726" s="1170"/>
      <c r="G12726" s="1171"/>
      <c r="H12726" s="1170"/>
      <c r="I12726" s="1157"/>
      <c r="J12726" s="1157"/>
      <c r="K12726" s="1157"/>
      <c r="L12726" s="1157"/>
      <c r="M12726" s="1157"/>
      <c r="N12726" s="1157"/>
      <c r="O12726" s="1157"/>
      <c r="P12726" s="1157"/>
      <c r="Q12726" s="1157"/>
      <c r="R12726" s="1157"/>
      <c r="S12726" s="1157"/>
      <c r="T12726" s="1157"/>
    </row>
    <row r="12727" s="1158" customFormat="true" ht="19.5" hidden="false" customHeight="true" outlineLevel="0" collapsed="false">
      <c r="A12727" s="1159"/>
      <c r="B12727" s="1163" t="s">
        <v>3616</v>
      </c>
      <c r="C12727" s="1161" t="s">
        <v>4537</v>
      </c>
      <c r="D12727" s="1162" t="s">
        <v>4359</v>
      </c>
      <c r="E12727" s="858" t="n">
        <v>0.001</v>
      </c>
      <c r="F12727" s="547" t="n">
        <v>900</v>
      </c>
      <c r="G12727" s="547" t="n">
        <f aca="false">F12727*E12727</f>
        <v>0.9</v>
      </c>
      <c r="H12727" s="1172"/>
      <c r="I12727" s="1157"/>
      <c r="J12727" s="1157"/>
      <c r="K12727" s="1157"/>
      <c r="L12727" s="1157"/>
      <c r="M12727" s="1157"/>
      <c r="N12727" s="1157"/>
      <c r="O12727" s="1157"/>
      <c r="P12727" s="1157"/>
      <c r="Q12727" s="1157"/>
      <c r="R12727" s="1157"/>
      <c r="S12727" s="1157"/>
      <c r="T12727" s="1157"/>
    </row>
    <row r="12728" s="1158" customFormat="true" ht="19.5" hidden="false" customHeight="true" outlineLevel="0" collapsed="false">
      <c r="A12728" s="1159"/>
      <c r="B12728" s="1163"/>
      <c r="C12728" s="1161" t="s">
        <v>5942</v>
      </c>
      <c r="D12728" s="1162" t="s">
        <v>4359</v>
      </c>
      <c r="E12728" s="819" t="n">
        <v>0.03</v>
      </c>
      <c r="F12728" s="547" t="n">
        <v>450</v>
      </c>
      <c r="G12728" s="547" t="n">
        <f aca="false">F12728*E12728</f>
        <v>13.5</v>
      </c>
      <c r="H12728" s="1172"/>
      <c r="I12728" s="1157"/>
      <c r="J12728" s="1157"/>
      <c r="K12728" s="1157"/>
      <c r="L12728" s="1157"/>
      <c r="M12728" s="1157"/>
      <c r="N12728" s="1157"/>
      <c r="O12728" s="1157"/>
      <c r="P12728" s="1157"/>
      <c r="Q12728" s="1157"/>
      <c r="R12728" s="1157"/>
      <c r="S12728" s="1157"/>
      <c r="T12728" s="1157"/>
    </row>
    <row r="12729" s="1158" customFormat="true" ht="19.5" hidden="false" customHeight="true" outlineLevel="0" collapsed="false">
      <c r="A12729" s="1159"/>
      <c r="B12729" s="1163"/>
      <c r="C12729" s="1161" t="s">
        <v>5945</v>
      </c>
      <c r="D12729" s="1162" t="s">
        <v>4133</v>
      </c>
      <c r="E12729" s="858" t="n">
        <v>0.002</v>
      </c>
      <c r="F12729" s="547" t="n">
        <v>350</v>
      </c>
      <c r="G12729" s="547" t="n">
        <f aca="false">F12729*E12729</f>
        <v>0.7</v>
      </c>
      <c r="H12729" s="1172"/>
      <c r="I12729" s="1157"/>
      <c r="J12729" s="1157"/>
      <c r="K12729" s="1157"/>
      <c r="L12729" s="1157"/>
      <c r="M12729" s="1157"/>
      <c r="N12729" s="1157"/>
      <c r="O12729" s="1157"/>
      <c r="P12729" s="1157"/>
      <c r="Q12729" s="1157"/>
      <c r="R12729" s="1157"/>
      <c r="S12729" s="1157"/>
      <c r="T12729" s="1157"/>
    </row>
    <row r="12730" s="1158" customFormat="true" ht="19.5" hidden="false" customHeight="true" outlineLevel="0" collapsed="false">
      <c r="A12730" s="1159"/>
      <c r="B12730" s="1163"/>
      <c r="C12730" s="1161" t="s">
        <v>6760</v>
      </c>
      <c r="D12730" s="1162" t="s">
        <v>4191</v>
      </c>
      <c r="E12730" s="547" t="n">
        <v>3</v>
      </c>
      <c r="F12730" s="547" t="n">
        <v>98</v>
      </c>
      <c r="G12730" s="547" t="n">
        <f aca="false">F12730*E12730</f>
        <v>294</v>
      </c>
      <c r="H12730" s="1172"/>
      <c r="I12730" s="1157"/>
      <c r="J12730" s="1157"/>
      <c r="K12730" s="1157"/>
      <c r="L12730" s="1157"/>
      <c r="M12730" s="1157"/>
      <c r="N12730" s="1157"/>
      <c r="O12730" s="1157"/>
      <c r="P12730" s="1157"/>
      <c r="Q12730" s="1157"/>
      <c r="R12730" s="1157"/>
      <c r="S12730" s="1157"/>
      <c r="T12730" s="1157"/>
    </row>
    <row r="12731" s="1158" customFormat="true" ht="19.5" hidden="false" customHeight="true" outlineLevel="0" collapsed="false">
      <c r="A12731" s="1159"/>
      <c r="B12731" s="1163"/>
      <c r="C12731" s="1161" t="s">
        <v>5088</v>
      </c>
      <c r="D12731" s="1162" t="s">
        <v>4359</v>
      </c>
      <c r="E12731" s="858" t="n">
        <v>0.005</v>
      </c>
      <c r="F12731" s="547" t="n">
        <v>950</v>
      </c>
      <c r="G12731" s="547" t="n">
        <f aca="false">F12731*E12731</f>
        <v>4.75</v>
      </c>
      <c r="H12731" s="1174"/>
      <c r="I12731" s="1157"/>
      <c r="J12731" s="1157"/>
      <c r="K12731" s="1157"/>
      <c r="L12731" s="1157"/>
      <c r="M12731" s="1157"/>
      <c r="N12731" s="1157"/>
      <c r="O12731" s="1157"/>
      <c r="P12731" s="1157"/>
      <c r="Q12731" s="1157"/>
      <c r="R12731" s="1157"/>
      <c r="S12731" s="1157"/>
      <c r="T12731" s="1157"/>
    </row>
    <row r="12732" s="1158" customFormat="true" ht="19.5" hidden="false" customHeight="true" outlineLevel="0" collapsed="false">
      <c r="A12732" s="1159"/>
      <c r="B12732" s="1163"/>
      <c r="C12732" s="1161" t="s">
        <v>5799</v>
      </c>
      <c r="D12732" s="1162" t="s">
        <v>4348</v>
      </c>
      <c r="E12732" s="547" t="n">
        <v>2</v>
      </c>
      <c r="F12732" s="547" t="n">
        <v>1500</v>
      </c>
      <c r="G12732" s="547" t="n">
        <f aca="false">E12732*F12732/100</f>
        <v>30</v>
      </c>
      <c r="H12732" s="1174"/>
      <c r="I12732" s="1157"/>
      <c r="J12732" s="1157"/>
      <c r="K12732" s="1157"/>
      <c r="L12732" s="1157"/>
      <c r="M12732" s="1157"/>
      <c r="N12732" s="1157"/>
      <c r="O12732" s="1157"/>
      <c r="P12732" s="1157"/>
      <c r="Q12732" s="1157"/>
      <c r="R12732" s="1157"/>
      <c r="S12732" s="1157"/>
      <c r="T12732" s="1157"/>
    </row>
    <row r="12733" s="1158" customFormat="true" ht="19.5" hidden="false" customHeight="true" outlineLevel="0" collapsed="false">
      <c r="A12733" s="1159"/>
      <c r="B12733" s="1163"/>
      <c r="C12733" s="1161" t="s">
        <v>5946</v>
      </c>
      <c r="D12733" s="1162" t="s">
        <v>4348</v>
      </c>
      <c r="E12733" s="547" t="n">
        <v>3</v>
      </c>
      <c r="F12733" s="547" t="n">
        <v>26</v>
      </c>
      <c r="G12733" s="547" t="n">
        <f aca="false">E12733*F12733</f>
        <v>78</v>
      </c>
      <c r="H12733" s="1174"/>
      <c r="I12733" s="1157"/>
      <c r="J12733" s="1157"/>
      <c r="K12733" s="1157"/>
      <c r="L12733" s="1157"/>
      <c r="M12733" s="1157"/>
      <c r="N12733" s="1157"/>
      <c r="O12733" s="1157"/>
      <c r="P12733" s="1157"/>
      <c r="Q12733" s="1157"/>
      <c r="R12733" s="1157"/>
      <c r="S12733" s="1157"/>
      <c r="T12733" s="1157"/>
    </row>
    <row r="12734" s="1158" customFormat="true" ht="19.5" hidden="false" customHeight="true" outlineLevel="0" collapsed="false">
      <c r="A12734" s="1159"/>
      <c r="B12734" s="1163"/>
      <c r="C12734" s="1161" t="s">
        <v>6779</v>
      </c>
      <c r="D12734" s="1162" t="s">
        <v>4191</v>
      </c>
      <c r="E12734" s="547" t="n">
        <v>5</v>
      </c>
      <c r="F12734" s="547" t="n">
        <v>12</v>
      </c>
      <c r="G12734" s="547" t="n">
        <f aca="false">E12734*F12734</f>
        <v>60</v>
      </c>
      <c r="H12734" s="1174"/>
      <c r="I12734" s="1157"/>
      <c r="J12734" s="1157"/>
      <c r="K12734" s="1157"/>
      <c r="L12734" s="1157"/>
      <c r="M12734" s="1157"/>
      <c r="N12734" s="1157"/>
      <c r="O12734" s="1157"/>
      <c r="P12734" s="1157"/>
      <c r="Q12734" s="1157"/>
      <c r="R12734" s="1157"/>
      <c r="S12734" s="1157"/>
      <c r="T12734" s="1157"/>
    </row>
    <row r="12735" s="1158" customFormat="true" ht="19.5" hidden="false" customHeight="true" outlineLevel="0" collapsed="false">
      <c r="A12735" s="1159"/>
      <c r="B12735" s="1160" t="s">
        <v>4128</v>
      </c>
      <c r="C12735" s="1161"/>
      <c r="D12735" s="1161"/>
      <c r="E12735" s="819"/>
      <c r="F12735" s="819"/>
      <c r="G12735" s="934" t="n">
        <f aca="false">SUM(G12727:G12734)</f>
        <v>481.85</v>
      </c>
      <c r="H12735" s="819"/>
      <c r="I12735" s="1157"/>
      <c r="J12735" s="1157"/>
      <c r="K12735" s="1157"/>
      <c r="L12735" s="1157"/>
      <c r="M12735" s="1157"/>
      <c r="N12735" s="1157"/>
      <c r="O12735" s="1157"/>
      <c r="P12735" s="1157"/>
      <c r="Q12735" s="1157"/>
      <c r="R12735" s="1157"/>
      <c r="S12735" s="1157"/>
      <c r="T12735" s="1157"/>
    </row>
    <row r="12736" s="1158" customFormat="true" ht="19.5" hidden="false" customHeight="true" outlineLevel="0" collapsed="false">
      <c r="A12736" s="1159"/>
      <c r="B12736" s="1163" t="s">
        <v>3594</v>
      </c>
      <c r="C12736" s="1161" t="s">
        <v>5088</v>
      </c>
      <c r="D12736" s="1162" t="s">
        <v>4359</v>
      </c>
      <c r="E12736" s="819" t="n">
        <v>0.05</v>
      </c>
      <c r="F12736" s="547" t="n">
        <v>950</v>
      </c>
      <c r="G12736" s="547" t="n">
        <f aca="false">F12736*E12736</f>
        <v>47.5</v>
      </c>
      <c r="H12736" s="819"/>
      <c r="I12736" s="1157"/>
      <c r="J12736" s="1157"/>
      <c r="K12736" s="1157"/>
      <c r="L12736" s="1157"/>
      <c r="M12736" s="1157"/>
      <c r="N12736" s="1157"/>
      <c r="O12736" s="1157"/>
      <c r="P12736" s="1157"/>
      <c r="Q12736" s="1157"/>
      <c r="R12736" s="1157"/>
      <c r="S12736" s="1157"/>
      <c r="T12736" s="1157"/>
    </row>
    <row r="12737" s="1158" customFormat="true" ht="19.5" hidden="false" customHeight="true" outlineLevel="0" collapsed="false">
      <c r="A12737" s="1159"/>
      <c r="B12737" s="1163"/>
      <c r="C12737" s="1161" t="s">
        <v>4564</v>
      </c>
      <c r="D12737" s="1162" t="s">
        <v>4359</v>
      </c>
      <c r="E12737" s="819" t="n">
        <v>0.15</v>
      </c>
      <c r="F12737" s="547" t="n">
        <v>900</v>
      </c>
      <c r="G12737" s="547" t="n">
        <f aca="false">F12737*E12737</f>
        <v>135</v>
      </c>
      <c r="H12737" s="819"/>
      <c r="I12737" s="1157"/>
      <c r="J12737" s="1157"/>
      <c r="K12737" s="1157"/>
      <c r="L12737" s="1157"/>
      <c r="M12737" s="1157"/>
      <c r="N12737" s="1157"/>
      <c r="O12737" s="1157"/>
      <c r="P12737" s="1157"/>
      <c r="Q12737" s="1157"/>
      <c r="R12737" s="1157"/>
      <c r="S12737" s="1157"/>
      <c r="T12737" s="1157"/>
    </row>
    <row r="12738" s="1158" customFormat="true" ht="19.5" hidden="false" customHeight="true" outlineLevel="0" collapsed="false">
      <c r="A12738" s="1159"/>
      <c r="B12738" s="1163"/>
      <c r="C12738" s="1161" t="s">
        <v>6780</v>
      </c>
      <c r="D12738" s="1162" t="s">
        <v>4133</v>
      </c>
      <c r="E12738" s="547" t="n">
        <v>0.003</v>
      </c>
      <c r="F12738" s="547" t="n">
        <v>5400</v>
      </c>
      <c r="G12738" s="547" t="n">
        <f aca="false">F12738*E12738</f>
        <v>16.2</v>
      </c>
      <c r="H12738" s="819"/>
      <c r="I12738" s="1157"/>
      <c r="J12738" s="1157"/>
      <c r="K12738" s="1157"/>
      <c r="L12738" s="1157"/>
      <c r="M12738" s="1157"/>
      <c r="N12738" s="1157"/>
      <c r="O12738" s="1157"/>
      <c r="P12738" s="1157"/>
      <c r="Q12738" s="1157"/>
      <c r="R12738" s="1157"/>
      <c r="S12738" s="1157"/>
      <c r="T12738" s="1157"/>
    </row>
    <row r="12739" s="1158" customFormat="true" ht="19.5" hidden="false" customHeight="true" outlineLevel="0" collapsed="false">
      <c r="A12739" s="1159"/>
      <c r="B12739" s="1163"/>
      <c r="C12739" s="1161" t="s">
        <v>6781</v>
      </c>
      <c r="D12739" s="1162" t="s">
        <v>4133</v>
      </c>
      <c r="E12739" s="858" t="n">
        <v>0.002</v>
      </c>
      <c r="F12739" s="547" t="n">
        <v>3000</v>
      </c>
      <c r="G12739" s="547" t="n">
        <f aca="false">F12739*E12739</f>
        <v>6</v>
      </c>
      <c r="H12739" s="819"/>
      <c r="I12739" s="1157"/>
      <c r="J12739" s="1157"/>
      <c r="K12739" s="1157"/>
      <c r="L12739" s="1157"/>
      <c r="M12739" s="1157"/>
      <c r="N12739" s="1157"/>
      <c r="O12739" s="1157"/>
      <c r="P12739" s="1157"/>
      <c r="Q12739" s="1157"/>
      <c r="R12739" s="1157"/>
      <c r="S12739" s="1157"/>
      <c r="T12739" s="1157"/>
    </row>
    <row r="12740" s="1158" customFormat="true" ht="19.5" hidden="false" customHeight="true" outlineLevel="0" collapsed="false">
      <c r="A12740" s="1159"/>
      <c r="B12740" s="1163"/>
      <c r="C12740" s="1161" t="s">
        <v>6782</v>
      </c>
      <c r="D12740" s="1162" t="s">
        <v>4133</v>
      </c>
      <c r="E12740" s="858" t="n">
        <v>0.003</v>
      </c>
      <c r="F12740" s="547" t="n">
        <v>180000</v>
      </c>
      <c r="G12740" s="547" t="n">
        <f aca="false">F12740*E12740</f>
        <v>540</v>
      </c>
      <c r="H12740" s="819"/>
      <c r="I12740" s="1157"/>
      <c r="J12740" s="1157"/>
      <c r="K12740" s="1157"/>
      <c r="L12740" s="1157"/>
      <c r="M12740" s="1157"/>
      <c r="N12740" s="1157"/>
      <c r="O12740" s="1157"/>
      <c r="P12740" s="1157"/>
      <c r="Q12740" s="1157"/>
      <c r="R12740" s="1157"/>
      <c r="S12740" s="1157"/>
      <c r="T12740" s="1157"/>
    </row>
    <row r="12741" s="1158" customFormat="true" ht="19.5" hidden="false" customHeight="true" outlineLevel="0" collapsed="false">
      <c r="A12741" s="1159"/>
      <c r="B12741" s="1163"/>
      <c r="C12741" s="1161" t="s">
        <v>6783</v>
      </c>
      <c r="D12741" s="1162" t="s">
        <v>4133</v>
      </c>
      <c r="E12741" s="858" t="n">
        <v>0.0008</v>
      </c>
      <c r="F12741" s="547" t="n">
        <v>286500</v>
      </c>
      <c r="G12741" s="547" t="n">
        <f aca="false">F12741*E12741</f>
        <v>229.2</v>
      </c>
      <c r="H12741" s="819"/>
      <c r="I12741" s="1157"/>
      <c r="J12741" s="1157"/>
      <c r="K12741" s="1157"/>
      <c r="L12741" s="1157"/>
      <c r="M12741" s="1157"/>
      <c r="N12741" s="1157"/>
      <c r="O12741" s="1157"/>
      <c r="P12741" s="1157"/>
      <c r="Q12741" s="1157"/>
      <c r="R12741" s="1157"/>
      <c r="S12741" s="1157"/>
      <c r="T12741" s="1157"/>
    </row>
    <row r="12742" s="1158" customFormat="true" ht="19.5" hidden="false" customHeight="true" outlineLevel="0" collapsed="false">
      <c r="A12742" s="1159"/>
      <c r="B12742" s="1163"/>
      <c r="C12742" s="1161" t="s">
        <v>4985</v>
      </c>
      <c r="D12742" s="1162" t="s">
        <v>4359</v>
      </c>
      <c r="E12742" s="819" t="n">
        <v>0.01</v>
      </c>
      <c r="F12742" s="547" t="n">
        <v>1500</v>
      </c>
      <c r="G12742" s="547" t="n">
        <f aca="false">F12742*E12742</f>
        <v>15</v>
      </c>
      <c r="H12742" s="819"/>
      <c r="I12742" s="1157"/>
      <c r="J12742" s="1157"/>
      <c r="K12742" s="1157"/>
      <c r="L12742" s="1157"/>
      <c r="M12742" s="1157"/>
      <c r="N12742" s="1157"/>
      <c r="O12742" s="1157"/>
      <c r="P12742" s="1157"/>
      <c r="Q12742" s="1157"/>
      <c r="R12742" s="1157"/>
      <c r="S12742" s="1157"/>
      <c r="T12742" s="1157"/>
    </row>
    <row r="12743" s="1158" customFormat="true" ht="19.5" hidden="false" customHeight="true" outlineLevel="0" collapsed="false">
      <c r="A12743" s="1159"/>
      <c r="B12743" s="1163"/>
      <c r="C12743" s="1161" t="s">
        <v>6784</v>
      </c>
      <c r="D12743" s="1162" t="s">
        <v>4359</v>
      </c>
      <c r="E12743" s="819" t="n">
        <v>0.03</v>
      </c>
      <c r="F12743" s="547" t="n">
        <v>450</v>
      </c>
      <c r="G12743" s="547" t="n">
        <f aca="false">F12743*E12743</f>
        <v>13.5</v>
      </c>
      <c r="H12743" s="819"/>
      <c r="I12743" s="1157"/>
      <c r="J12743" s="1157"/>
      <c r="K12743" s="1157"/>
      <c r="L12743" s="1157"/>
      <c r="M12743" s="1157"/>
      <c r="N12743" s="1157"/>
      <c r="O12743" s="1157"/>
      <c r="P12743" s="1157"/>
      <c r="Q12743" s="1157"/>
      <c r="R12743" s="1157"/>
      <c r="S12743" s="1157"/>
      <c r="T12743" s="1157"/>
    </row>
    <row r="12744" s="1158" customFormat="true" ht="19.5" hidden="false" customHeight="true" outlineLevel="0" collapsed="false">
      <c r="A12744" s="1159"/>
      <c r="B12744" s="1163"/>
      <c r="C12744" s="1161" t="s">
        <v>5945</v>
      </c>
      <c r="D12744" s="1162" t="s">
        <v>4133</v>
      </c>
      <c r="E12744" s="858" t="n">
        <v>0.002</v>
      </c>
      <c r="F12744" s="547" t="n">
        <v>350</v>
      </c>
      <c r="G12744" s="547" t="n">
        <f aca="false">F12744*E12744</f>
        <v>0.7</v>
      </c>
      <c r="H12744" s="819"/>
      <c r="I12744" s="1157"/>
      <c r="J12744" s="1157"/>
      <c r="K12744" s="1157"/>
      <c r="L12744" s="1157"/>
      <c r="M12744" s="1157"/>
      <c r="N12744" s="1157"/>
      <c r="O12744" s="1157"/>
      <c r="P12744" s="1157"/>
      <c r="Q12744" s="1157"/>
      <c r="R12744" s="1157"/>
      <c r="S12744" s="1157"/>
      <c r="T12744" s="1157"/>
    </row>
    <row r="12745" s="1158" customFormat="true" ht="19.5" hidden="false" customHeight="true" outlineLevel="0" collapsed="false">
      <c r="A12745" s="1159"/>
      <c r="B12745" s="1163"/>
      <c r="C12745" s="1161" t="s">
        <v>5799</v>
      </c>
      <c r="D12745" s="1162" t="s">
        <v>4348</v>
      </c>
      <c r="E12745" s="547" t="n">
        <v>2</v>
      </c>
      <c r="F12745" s="547" t="n">
        <v>1500</v>
      </c>
      <c r="G12745" s="547" t="n">
        <f aca="false">E12745*F12745/100</f>
        <v>30</v>
      </c>
      <c r="H12745" s="819"/>
      <c r="I12745" s="1157"/>
      <c r="J12745" s="1157"/>
      <c r="K12745" s="1157"/>
      <c r="L12745" s="1157"/>
      <c r="M12745" s="1157"/>
      <c r="N12745" s="1157"/>
      <c r="O12745" s="1157"/>
      <c r="P12745" s="1157"/>
      <c r="Q12745" s="1157"/>
      <c r="R12745" s="1157"/>
      <c r="S12745" s="1157"/>
      <c r="T12745" s="1157"/>
    </row>
    <row r="12746" s="1158" customFormat="true" ht="19.5" hidden="false" customHeight="true" outlineLevel="0" collapsed="false">
      <c r="A12746" s="1159"/>
      <c r="B12746" s="1163"/>
      <c r="C12746" s="1161" t="s">
        <v>6760</v>
      </c>
      <c r="D12746" s="1162" t="s">
        <v>4191</v>
      </c>
      <c r="E12746" s="547" t="n">
        <v>3</v>
      </c>
      <c r="F12746" s="547" t="n">
        <v>98</v>
      </c>
      <c r="G12746" s="547" t="n">
        <f aca="false">E12746*F12746</f>
        <v>294</v>
      </c>
      <c r="H12746" s="819"/>
      <c r="I12746" s="1157"/>
      <c r="J12746" s="1157"/>
      <c r="K12746" s="1157"/>
      <c r="L12746" s="1157"/>
      <c r="M12746" s="1157"/>
      <c r="N12746" s="1157"/>
      <c r="O12746" s="1157"/>
      <c r="P12746" s="1157"/>
      <c r="Q12746" s="1157"/>
      <c r="R12746" s="1157"/>
      <c r="S12746" s="1157"/>
      <c r="T12746" s="1157"/>
    </row>
    <row r="12747" s="1158" customFormat="true" ht="19.5" hidden="false" customHeight="true" outlineLevel="0" collapsed="false">
      <c r="A12747" s="1159"/>
      <c r="B12747" s="1163"/>
      <c r="C12747" s="1161" t="s">
        <v>5946</v>
      </c>
      <c r="D12747" s="1162" t="s">
        <v>4191</v>
      </c>
      <c r="E12747" s="547" t="n">
        <v>3</v>
      </c>
      <c r="F12747" s="547" t="n">
        <v>26</v>
      </c>
      <c r="G12747" s="547" t="n">
        <f aca="false">E12747*F12747</f>
        <v>78</v>
      </c>
      <c r="H12747" s="819"/>
      <c r="I12747" s="1157"/>
      <c r="J12747" s="1157"/>
      <c r="K12747" s="1157"/>
      <c r="L12747" s="1157"/>
      <c r="M12747" s="1157"/>
      <c r="N12747" s="1157"/>
      <c r="O12747" s="1157"/>
      <c r="P12747" s="1157"/>
      <c r="Q12747" s="1157"/>
      <c r="R12747" s="1157"/>
      <c r="S12747" s="1157"/>
      <c r="T12747" s="1157"/>
    </row>
    <row r="12748" s="1158" customFormat="true" ht="19.5" hidden="false" customHeight="true" outlineLevel="0" collapsed="false">
      <c r="A12748" s="1159"/>
      <c r="B12748" s="1163"/>
      <c r="C12748" s="1161" t="s">
        <v>6785</v>
      </c>
      <c r="D12748" s="1162" t="s">
        <v>4133</v>
      </c>
      <c r="E12748" s="1175" t="n">
        <v>4E-006</v>
      </c>
      <c r="F12748" s="547" t="n">
        <v>1250000</v>
      </c>
      <c r="G12748" s="547" t="n">
        <f aca="false">E12748*F12748</f>
        <v>5</v>
      </c>
      <c r="H12748" s="819"/>
      <c r="I12748" s="1157"/>
      <c r="J12748" s="1157"/>
      <c r="K12748" s="1157"/>
      <c r="L12748" s="1157"/>
      <c r="M12748" s="1157"/>
      <c r="N12748" s="1157"/>
      <c r="O12748" s="1157"/>
      <c r="P12748" s="1157"/>
      <c r="Q12748" s="1157"/>
      <c r="R12748" s="1157"/>
      <c r="S12748" s="1157"/>
      <c r="T12748" s="1157"/>
    </row>
    <row r="12749" s="1158" customFormat="true" ht="19.5" hidden="false" customHeight="true" outlineLevel="0" collapsed="false">
      <c r="A12749" s="1159"/>
      <c r="B12749" s="1163"/>
      <c r="C12749" s="1161" t="s">
        <v>6779</v>
      </c>
      <c r="D12749" s="1162" t="s">
        <v>4191</v>
      </c>
      <c r="E12749" s="547" t="n">
        <v>5</v>
      </c>
      <c r="F12749" s="547" t="n">
        <v>12</v>
      </c>
      <c r="G12749" s="547" t="n">
        <f aca="false">E12749*F12749</f>
        <v>60</v>
      </c>
      <c r="H12749" s="819"/>
      <c r="I12749" s="1157"/>
      <c r="J12749" s="1157"/>
      <c r="K12749" s="1157"/>
      <c r="L12749" s="1157"/>
      <c r="M12749" s="1157"/>
      <c r="N12749" s="1157"/>
      <c r="O12749" s="1157"/>
      <c r="P12749" s="1157"/>
      <c r="Q12749" s="1157"/>
      <c r="R12749" s="1157"/>
      <c r="S12749" s="1157"/>
      <c r="T12749" s="1157"/>
    </row>
    <row r="12750" s="1158" customFormat="true" ht="19.5" hidden="false" customHeight="true" outlineLevel="0" collapsed="false">
      <c r="A12750" s="1159"/>
      <c r="B12750" s="1160" t="s">
        <v>4128</v>
      </c>
      <c r="C12750" s="1161"/>
      <c r="D12750" s="1161"/>
      <c r="E12750" s="819"/>
      <c r="F12750" s="819"/>
      <c r="G12750" s="934" t="n">
        <f aca="false">SUM(G12736:G12749)</f>
        <v>1470.1</v>
      </c>
      <c r="H12750" s="819"/>
      <c r="I12750" s="1157"/>
      <c r="J12750" s="1157"/>
      <c r="K12750" s="1157"/>
      <c r="L12750" s="1157"/>
      <c r="M12750" s="1157"/>
      <c r="N12750" s="1157"/>
      <c r="O12750" s="1157"/>
      <c r="P12750" s="1157"/>
      <c r="Q12750" s="1157"/>
      <c r="R12750" s="1157"/>
      <c r="S12750" s="1157"/>
      <c r="T12750" s="1157"/>
    </row>
    <row r="12751" s="1158" customFormat="true" ht="19.5" hidden="false" customHeight="true" outlineLevel="0" collapsed="false">
      <c r="A12751" s="1159"/>
      <c r="B12751" s="1163" t="s">
        <v>3595</v>
      </c>
      <c r="C12751" s="1161" t="s">
        <v>6786</v>
      </c>
      <c r="D12751" s="1162" t="s">
        <v>4133</v>
      </c>
      <c r="E12751" s="616" t="n">
        <v>0.0001</v>
      </c>
      <c r="F12751" s="547" t="n">
        <v>4500</v>
      </c>
      <c r="G12751" s="547" t="n">
        <f aca="false">E12751*F12751</f>
        <v>0.45</v>
      </c>
      <c r="H12751" s="819"/>
      <c r="I12751" s="1157"/>
      <c r="J12751" s="1157"/>
      <c r="K12751" s="1157"/>
      <c r="L12751" s="1157"/>
      <c r="M12751" s="1157"/>
      <c r="N12751" s="1157"/>
      <c r="O12751" s="1157"/>
      <c r="P12751" s="1157"/>
      <c r="Q12751" s="1157"/>
      <c r="R12751" s="1157"/>
      <c r="S12751" s="1157"/>
      <c r="T12751" s="1157"/>
    </row>
    <row r="12752" s="1158" customFormat="true" ht="19.5" hidden="false" customHeight="true" outlineLevel="0" collapsed="false">
      <c r="A12752" s="1159"/>
      <c r="B12752" s="1163"/>
      <c r="C12752" s="1161" t="s">
        <v>6787</v>
      </c>
      <c r="D12752" s="1162" t="s">
        <v>4133</v>
      </c>
      <c r="E12752" s="1176" t="n">
        <v>1E-005</v>
      </c>
      <c r="F12752" s="547" t="n">
        <v>1340000</v>
      </c>
      <c r="G12752" s="547" t="n">
        <f aca="false">E12752*F12752</f>
        <v>13.4</v>
      </c>
      <c r="H12752" s="819"/>
      <c r="I12752" s="1157"/>
      <c r="J12752" s="1157"/>
      <c r="K12752" s="1157"/>
      <c r="L12752" s="1157"/>
      <c r="M12752" s="1157"/>
      <c r="N12752" s="1157"/>
      <c r="O12752" s="1157"/>
      <c r="P12752" s="1157"/>
      <c r="Q12752" s="1157"/>
      <c r="R12752" s="1157"/>
      <c r="S12752" s="1157"/>
      <c r="T12752" s="1157"/>
    </row>
    <row r="12753" s="1158" customFormat="true" ht="19.5" hidden="false" customHeight="true" outlineLevel="0" collapsed="false">
      <c r="A12753" s="1159"/>
      <c r="B12753" s="1163"/>
      <c r="C12753" s="1161" t="s">
        <v>6788</v>
      </c>
      <c r="D12753" s="1162" t="s">
        <v>4359</v>
      </c>
      <c r="E12753" s="858" t="n">
        <v>0.005</v>
      </c>
      <c r="F12753" s="547" t="n">
        <v>1500</v>
      </c>
      <c r="G12753" s="547" t="n">
        <f aca="false">E12753*F12753</f>
        <v>7.5</v>
      </c>
      <c r="H12753" s="819"/>
      <c r="I12753" s="1157"/>
      <c r="J12753" s="1157"/>
      <c r="K12753" s="1157"/>
      <c r="L12753" s="1157"/>
      <c r="M12753" s="1157"/>
      <c r="N12753" s="1157"/>
      <c r="O12753" s="1157"/>
      <c r="P12753" s="1157"/>
      <c r="Q12753" s="1157"/>
      <c r="R12753" s="1157"/>
      <c r="S12753" s="1157"/>
      <c r="T12753" s="1157"/>
    </row>
    <row r="12754" s="1158" customFormat="true" ht="19.5" hidden="false" customHeight="true" outlineLevel="0" collapsed="false">
      <c r="A12754" s="1159"/>
      <c r="B12754" s="1163"/>
      <c r="C12754" s="1161" t="s">
        <v>6789</v>
      </c>
      <c r="D12754" s="1162" t="s">
        <v>4133</v>
      </c>
      <c r="E12754" s="1176" t="n">
        <v>1E-005</v>
      </c>
      <c r="F12754" s="547" t="n">
        <v>1600000</v>
      </c>
      <c r="G12754" s="547" t="n">
        <f aca="false">E12754*F12754</f>
        <v>16</v>
      </c>
      <c r="H12754" s="819"/>
      <c r="I12754" s="1157"/>
      <c r="J12754" s="1157"/>
      <c r="K12754" s="1157"/>
      <c r="L12754" s="1157"/>
      <c r="M12754" s="1157"/>
      <c r="N12754" s="1157"/>
      <c r="O12754" s="1157"/>
      <c r="P12754" s="1157"/>
      <c r="Q12754" s="1157"/>
      <c r="R12754" s="1157"/>
      <c r="S12754" s="1157"/>
      <c r="T12754" s="1157"/>
    </row>
    <row r="12755" s="1158" customFormat="true" ht="19.5" hidden="false" customHeight="true" outlineLevel="0" collapsed="false">
      <c r="A12755" s="1159"/>
      <c r="B12755" s="1163"/>
      <c r="C12755" s="1161" t="s">
        <v>6790</v>
      </c>
      <c r="D12755" s="1162" t="s">
        <v>4133</v>
      </c>
      <c r="E12755" s="819" t="n">
        <v>0.03</v>
      </c>
      <c r="F12755" s="547" t="n">
        <v>5500</v>
      </c>
      <c r="G12755" s="547" t="n">
        <f aca="false">E12755*F12755</f>
        <v>165</v>
      </c>
      <c r="H12755" s="819"/>
      <c r="I12755" s="1157"/>
      <c r="J12755" s="1157"/>
      <c r="K12755" s="1157"/>
      <c r="L12755" s="1157"/>
      <c r="M12755" s="1157"/>
      <c r="N12755" s="1157"/>
      <c r="O12755" s="1157"/>
      <c r="P12755" s="1157"/>
      <c r="Q12755" s="1157"/>
      <c r="R12755" s="1157"/>
      <c r="S12755" s="1157"/>
      <c r="T12755" s="1157"/>
    </row>
    <row r="12756" s="1158" customFormat="true" ht="19.5" hidden="false" customHeight="true" outlineLevel="0" collapsed="false">
      <c r="A12756" s="1159"/>
      <c r="B12756" s="1163"/>
      <c r="C12756" s="1161" t="s">
        <v>4564</v>
      </c>
      <c r="D12756" s="1162" t="s">
        <v>4359</v>
      </c>
      <c r="E12756" s="627" t="n">
        <v>0.3</v>
      </c>
      <c r="F12756" s="547" t="n">
        <v>900</v>
      </c>
      <c r="G12756" s="547" t="n">
        <f aca="false">E12756*F12756</f>
        <v>270</v>
      </c>
      <c r="H12756" s="819"/>
      <c r="I12756" s="1157"/>
      <c r="J12756" s="1157"/>
      <c r="K12756" s="1157"/>
      <c r="L12756" s="1157"/>
      <c r="M12756" s="1157"/>
      <c r="N12756" s="1157"/>
      <c r="O12756" s="1157"/>
      <c r="P12756" s="1157"/>
      <c r="Q12756" s="1157"/>
      <c r="R12756" s="1157"/>
      <c r="S12756" s="1157"/>
      <c r="T12756" s="1157"/>
    </row>
    <row r="12757" s="1158" customFormat="true" ht="19.5" hidden="false" customHeight="true" outlineLevel="0" collapsed="false">
      <c r="A12757" s="1159"/>
      <c r="B12757" s="1163"/>
      <c r="C12757" s="1161" t="s">
        <v>6791</v>
      </c>
      <c r="D12757" s="1162" t="s">
        <v>4133</v>
      </c>
      <c r="E12757" s="819" t="n">
        <v>0.05</v>
      </c>
      <c r="F12757" s="547" t="n">
        <v>5000</v>
      </c>
      <c r="G12757" s="547" t="n">
        <f aca="false">E12757*F12757</f>
        <v>250</v>
      </c>
      <c r="H12757" s="819"/>
      <c r="I12757" s="1157"/>
      <c r="J12757" s="1157"/>
      <c r="K12757" s="1157"/>
      <c r="L12757" s="1157"/>
      <c r="M12757" s="1157"/>
      <c r="N12757" s="1157"/>
      <c r="O12757" s="1157"/>
      <c r="P12757" s="1157"/>
      <c r="Q12757" s="1157"/>
      <c r="R12757" s="1157"/>
      <c r="S12757" s="1157"/>
      <c r="T12757" s="1157"/>
    </row>
    <row r="12758" s="1158" customFormat="true" ht="19.5" hidden="false" customHeight="true" outlineLevel="0" collapsed="false">
      <c r="A12758" s="1159"/>
      <c r="B12758" s="1163"/>
      <c r="C12758" s="1161" t="s">
        <v>6792</v>
      </c>
      <c r="D12758" s="1162" t="s">
        <v>4359</v>
      </c>
      <c r="E12758" s="858" t="n">
        <v>0.001</v>
      </c>
      <c r="F12758" s="547" t="n">
        <v>7000</v>
      </c>
      <c r="G12758" s="547" t="n">
        <f aca="false">E12758*F12758</f>
        <v>7</v>
      </c>
      <c r="H12758" s="819"/>
      <c r="I12758" s="1157"/>
      <c r="J12758" s="1157"/>
      <c r="K12758" s="1157"/>
      <c r="L12758" s="1157"/>
      <c r="M12758" s="1157"/>
      <c r="N12758" s="1157"/>
      <c r="O12758" s="1157"/>
      <c r="P12758" s="1157"/>
      <c r="Q12758" s="1157"/>
      <c r="R12758" s="1157"/>
      <c r="S12758" s="1157"/>
      <c r="T12758" s="1157"/>
    </row>
    <row r="12759" s="1158" customFormat="true" ht="19.5" hidden="false" customHeight="true" outlineLevel="0" collapsed="false">
      <c r="A12759" s="1159"/>
      <c r="B12759" s="1163"/>
      <c r="C12759" s="1161" t="s">
        <v>6793</v>
      </c>
      <c r="D12759" s="1162" t="s">
        <v>4133</v>
      </c>
      <c r="E12759" s="819" t="n">
        <v>0.12</v>
      </c>
      <c r="F12759" s="547" t="n">
        <v>1500</v>
      </c>
      <c r="G12759" s="547" t="n">
        <f aca="false">E12759*F12759</f>
        <v>180</v>
      </c>
      <c r="H12759" s="819"/>
      <c r="I12759" s="1157"/>
      <c r="J12759" s="1157"/>
      <c r="K12759" s="1157"/>
      <c r="L12759" s="1157"/>
      <c r="M12759" s="1157"/>
      <c r="N12759" s="1157"/>
      <c r="O12759" s="1157"/>
      <c r="P12759" s="1157"/>
      <c r="Q12759" s="1157"/>
      <c r="R12759" s="1157"/>
      <c r="S12759" s="1157"/>
      <c r="T12759" s="1157"/>
    </row>
    <row r="12760" s="1158" customFormat="true" ht="19.5" hidden="false" customHeight="true" outlineLevel="0" collapsed="false">
      <c r="A12760" s="1159"/>
      <c r="B12760" s="1163"/>
      <c r="C12760" s="1161" t="s">
        <v>6784</v>
      </c>
      <c r="D12760" s="1162" t="s">
        <v>4359</v>
      </c>
      <c r="E12760" s="819" t="n">
        <v>0.03</v>
      </c>
      <c r="F12760" s="547" t="n">
        <v>450</v>
      </c>
      <c r="G12760" s="547" t="n">
        <f aca="false">E12760*F12760</f>
        <v>13.5</v>
      </c>
      <c r="H12760" s="819"/>
      <c r="I12760" s="1157"/>
      <c r="J12760" s="1157"/>
      <c r="K12760" s="1157"/>
      <c r="L12760" s="1157"/>
      <c r="M12760" s="1157"/>
      <c r="N12760" s="1157"/>
      <c r="O12760" s="1157"/>
      <c r="P12760" s="1157"/>
      <c r="Q12760" s="1157"/>
      <c r="R12760" s="1157"/>
      <c r="S12760" s="1157"/>
      <c r="T12760" s="1157"/>
    </row>
    <row r="12761" s="1158" customFormat="true" ht="19.5" hidden="false" customHeight="true" outlineLevel="0" collapsed="false">
      <c r="A12761" s="1159"/>
      <c r="B12761" s="1163"/>
      <c r="C12761" s="1161" t="s">
        <v>5945</v>
      </c>
      <c r="D12761" s="1162" t="s">
        <v>4133</v>
      </c>
      <c r="E12761" s="858" t="n">
        <v>0.002</v>
      </c>
      <c r="F12761" s="547" t="n">
        <v>350</v>
      </c>
      <c r="G12761" s="547" t="n">
        <f aca="false">E12761*F12761</f>
        <v>0.7</v>
      </c>
      <c r="H12761" s="819"/>
      <c r="I12761" s="1157"/>
      <c r="J12761" s="1157"/>
      <c r="K12761" s="1157"/>
      <c r="L12761" s="1157"/>
      <c r="M12761" s="1157"/>
      <c r="N12761" s="1157"/>
      <c r="O12761" s="1157"/>
      <c r="P12761" s="1157"/>
      <c r="Q12761" s="1157"/>
      <c r="R12761" s="1157"/>
      <c r="S12761" s="1157"/>
      <c r="T12761" s="1157"/>
    </row>
    <row r="12762" s="1158" customFormat="true" ht="19.5" hidden="false" customHeight="true" outlineLevel="0" collapsed="false">
      <c r="A12762" s="1159"/>
      <c r="B12762" s="1163"/>
      <c r="C12762" s="1161" t="s">
        <v>5795</v>
      </c>
      <c r="D12762" s="1162" t="s">
        <v>4348</v>
      </c>
      <c r="E12762" s="547" t="n">
        <v>5</v>
      </c>
      <c r="F12762" s="547" t="n">
        <v>1500</v>
      </c>
      <c r="G12762" s="547" t="n">
        <f aca="false">E12762*F12762/100</f>
        <v>75</v>
      </c>
      <c r="H12762" s="819"/>
      <c r="I12762" s="1157"/>
      <c r="J12762" s="1157"/>
      <c r="K12762" s="1157"/>
      <c r="L12762" s="1157"/>
      <c r="M12762" s="1157"/>
      <c r="N12762" s="1157"/>
      <c r="O12762" s="1157"/>
      <c r="P12762" s="1157"/>
      <c r="Q12762" s="1157"/>
      <c r="R12762" s="1157"/>
      <c r="S12762" s="1157"/>
      <c r="T12762" s="1157"/>
    </row>
    <row r="12763" s="1158" customFormat="true" ht="19.5" hidden="false" customHeight="true" outlineLevel="0" collapsed="false">
      <c r="A12763" s="1159"/>
      <c r="B12763" s="1163"/>
      <c r="C12763" s="1161" t="s">
        <v>6760</v>
      </c>
      <c r="D12763" s="1162" t="s">
        <v>4191</v>
      </c>
      <c r="E12763" s="547" t="n">
        <v>3</v>
      </c>
      <c r="F12763" s="547" t="n">
        <v>98</v>
      </c>
      <c r="G12763" s="547" t="n">
        <f aca="false">E12763*F12763</f>
        <v>294</v>
      </c>
      <c r="H12763" s="819"/>
      <c r="I12763" s="1157"/>
      <c r="J12763" s="1157"/>
      <c r="K12763" s="1157"/>
      <c r="L12763" s="1157"/>
      <c r="M12763" s="1157"/>
      <c r="N12763" s="1157"/>
      <c r="O12763" s="1157"/>
      <c r="P12763" s="1157"/>
      <c r="Q12763" s="1157"/>
      <c r="R12763" s="1157"/>
      <c r="S12763" s="1157"/>
      <c r="T12763" s="1157"/>
    </row>
    <row r="12764" s="1158" customFormat="true" ht="19.5" hidden="false" customHeight="true" outlineLevel="0" collapsed="false">
      <c r="A12764" s="1159"/>
      <c r="B12764" s="1163"/>
      <c r="C12764" s="1161" t="s">
        <v>5946</v>
      </c>
      <c r="D12764" s="1162" t="s">
        <v>4191</v>
      </c>
      <c r="E12764" s="547" t="n">
        <v>3</v>
      </c>
      <c r="F12764" s="547" t="n">
        <v>26</v>
      </c>
      <c r="G12764" s="547" t="n">
        <f aca="false">E12764*F12764</f>
        <v>78</v>
      </c>
      <c r="H12764" s="819"/>
      <c r="I12764" s="1157"/>
      <c r="J12764" s="1157"/>
      <c r="K12764" s="1157"/>
      <c r="L12764" s="1157"/>
      <c r="M12764" s="1157"/>
      <c r="N12764" s="1157"/>
      <c r="O12764" s="1157"/>
      <c r="P12764" s="1157"/>
      <c r="Q12764" s="1157"/>
      <c r="R12764" s="1157"/>
      <c r="S12764" s="1157"/>
      <c r="T12764" s="1157"/>
    </row>
    <row r="12765" s="1158" customFormat="true" ht="19.5" hidden="false" customHeight="true" outlineLevel="0" collapsed="false">
      <c r="A12765" s="1159"/>
      <c r="B12765" s="1163"/>
      <c r="C12765" s="1161" t="s">
        <v>6779</v>
      </c>
      <c r="D12765" s="1162" t="s">
        <v>4191</v>
      </c>
      <c r="E12765" s="547" t="n">
        <v>5</v>
      </c>
      <c r="F12765" s="547" t="n">
        <v>12</v>
      </c>
      <c r="G12765" s="547" t="n">
        <f aca="false">E12765*F12765</f>
        <v>60</v>
      </c>
      <c r="H12765" s="819"/>
      <c r="I12765" s="1157"/>
      <c r="J12765" s="1157"/>
      <c r="K12765" s="1157"/>
      <c r="L12765" s="1157"/>
      <c r="M12765" s="1157"/>
      <c r="N12765" s="1157"/>
      <c r="O12765" s="1157"/>
      <c r="P12765" s="1157"/>
      <c r="Q12765" s="1157"/>
      <c r="R12765" s="1157"/>
      <c r="S12765" s="1157"/>
      <c r="T12765" s="1157"/>
    </row>
    <row r="12766" s="1158" customFormat="true" ht="19.5" hidden="false" customHeight="true" outlineLevel="0" collapsed="false">
      <c r="A12766" s="1159"/>
      <c r="B12766" s="1160" t="s">
        <v>4128</v>
      </c>
      <c r="C12766" s="1161"/>
      <c r="D12766" s="1162"/>
      <c r="E12766" s="819"/>
      <c r="F12766" s="819"/>
      <c r="G12766" s="934" t="n">
        <f aca="false">SUM(G12751:G12765)</f>
        <v>1430.55</v>
      </c>
      <c r="H12766" s="819"/>
      <c r="I12766" s="1157"/>
      <c r="J12766" s="1157"/>
      <c r="K12766" s="1157"/>
      <c r="L12766" s="1157"/>
      <c r="M12766" s="1157"/>
      <c r="N12766" s="1157"/>
      <c r="O12766" s="1157"/>
      <c r="P12766" s="1157"/>
      <c r="Q12766" s="1157"/>
      <c r="R12766" s="1157"/>
      <c r="S12766" s="1157"/>
      <c r="T12766" s="1157"/>
    </row>
    <row r="12767" s="1158" customFormat="true" ht="19.5" hidden="false" customHeight="true" outlineLevel="0" collapsed="false">
      <c r="A12767" s="1159"/>
      <c r="B12767" s="1163" t="s">
        <v>3617</v>
      </c>
      <c r="C12767" s="1161" t="s">
        <v>4564</v>
      </c>
      <c r="D12767" s="1162" t="s">
        <v>4359</v>
      </c>
      <c r="E12767" s="858" t="n">
        <v>0.002</v>
      </c>
      <c r="F12767" s="547" t="n">
        <v>900</v>
      </c>
      <c r="G12767" s="547" t="n">
        <f aca="false">E12767*F12767</f>
        <v>1.8</v>
      </c>
      <c r="H12767" s="819"/>
      <c r="I12767" s="1157"/>
      <c r="J12767" s="1157"/>
      <c r="K12767" s="1157"/>
      <c r="L12767" s="1157"/>
      <c r="M12767" s="1157"/>
      <c r="N12767" s="1157"/>
      <c r="O12767" s="1157"/>
      <c r="P12767" s="1157"/>
      <c r="Q12767" s="1157"/>
      <c r="R12767" s="1157"/>
      <c r="S12767" s="1157"/>
      <c r="T12767" s="1157"/>
    </row>
    <row r="12768" s="1158" customFormat="true" ht="19.5" hidden="false" customHeight="true" outlineLevel="0" collapsed="false">
      <c r="A12768" s="1159"/>
      <c r="B12768" s="1163"/>
      <c r="C12768" s="1161" t="s">
        <v>5088</v>
      </c>
      <c r="D12768" s="1162" t="s">
        <v>4359</v>
      </c>
      <c r="E12768" s="819" t="n">
        <v>0.01</v>
      </c>
      <c r="F12768" s="547" t="n">
        <v>950</v>
      </c>
      <c r="G12768" s="547" t="n">
        <f aca="false">E12768*F12768</f>
        <v>9.5</v>
      </c>
      <c r="H12768" s="819"/>
      <c r="I12768" s="1157"/>
      <c r="J12768" s="1157"/>
      <c r="K12768" s="1157"/>
      <c r="L12768" s="1157"/>
      <c r="M12768" s="1157"/>
      <c r="N12768" s="1157"/>
      <c r="O12768" s="1157"/>
      <c r="P12768" s="1157"/>
      <c r="Q12768" s="1157"/>
      <c r="R12768" s="1157"/>
      <c r="S12768" s="1157"/>
      <c r="T12768" s="1157"/>
    </row>
    <row r="12769" s="1158" customFormat="true" ht="19.5" hidden="false" customHeight="true" outlineLevel="0" collapsed="false">
      <c r="A12769" s="1159"/>
      <c r="B12769" s="1163"/>
      <c r="C12769" s="1161" t="s">
        <v>4939</v>
      </c>
      <c r="D12769" s="1162" t="s">
        <v>4133</v>
      </c>
      <c r="E12769" s="1176" t="n">
        <v>1E-005</v>
      </c>
      <c r="F12769" s="547" t="n">
        <v>7200</v>
      </c>
      <c r="G12769" s="547" t="n">
        <f aca="false">E12769*F12769</f>
        <v>0.072</v>
      </c>
      <c r="H12769" s="819"/>
      <c r="I12769" s="1157"/>
      <c r="J12769" s="1157"/>
      <c r="K12769" s="1157"/>
      <c r="L12769" s="1157"/>
      <c r="M12769" s="1157"/>
      <c r="N12769" s="1157"/>
      <c r="O12769" s="1157"/>
      <c r="P12769" s="1157"/>
      <c r="Q12769" s="1157"/>
      <c r="R12769" s="1157"/>
      <c r="S12769" s="1157"/>
      <c r="T12769" s="1157"/>
    </row>
    <row r="12770" s="1158" customFormat="true" ht="19.5" hidden="false" customHeight="true" outlineLevel="0" collapsed="false">
      <c r="A12770" s="1159"/>
      <c r="B12770" s="1163"/>
      <c r="C12770" s="1161" t="s">
        <v>4927</v>
      </c>
      <c r="D12770" s="1162" t="s">
        <v>4359</v>
      </c>
      <c r="E12770" s="858" t="n">
        <v>0.003</v>
      </c>
      <c r="F12770" s="547" t="n">
        <v>21500</v>
      </c>
      <c r="G12770" s="547" t="n">
        <f aca="false">E12770*F12770</f>
        <v>64.5</v>
      </c>
      <c r="H12770" s="819"/>
      <c r="I12770" s="1157"/>
      <c r="J12770" s="1157"/>
      <c r="K12770" s="1157"/>
      <c r="L12770" s="1157"/>
      <c r="M12770" s="1157"/>
      <c r="N12770" s="1157"/>
      <c r="O12770" s="1157"/>
      <c r="P12770" s="1157"/>
      <c r="Q12770" s="1157"/>
      <c r="R12770" s="1157"/>
      <c r="S12770" s="1157"/>
      <c r="T12770" s="1157"/>
    </row>
    <row r="12771" s="1158" customFormat="true" ht="19.5" hidden="false" customHeight="true" outlineLevel="0" collapsed="false">
      <c r="A12771" s="1159"/>
      <c r="B12771" s="1163"/>
      <c r="C12771" s="1161" t="s">
        <v>6793</v>
      </c>
      <c r="D12771" s="1162" t="s">
        <v>4133</v>
      </c>
      <c r="E12771" s="616" t="n">
        <v>0.0001</v>
      </c>
      <c r="F12771" s="547" t="n">
        <v>1500</v>
      </c>
      <c r="G12771" s="547" t="n">
        <f aca="false">E12771*F12771</f>
        <v>0.15</v>
      </c>
      <c r="H12771" s="819"/>
      <c r="I12771" s="1157"/>
      <c r="J12771" s="1157"/>
      <c r="K12771" s="1157"/>
      <c r="L12771" s="1157"/>
      <c r="M12771" s="1157"/>
      <c r="N12771" s="1157"/>
      <c r="O12771" s="1157"/>
      <c r="P12771" s="1157"/>
      <c r="Q12771" s="1157"/>
      <c r="R12771" s="1157"/>
      <c r="S12771" s="1157"/>
      <c r="T12771" s="1157"/>
    </row>
    <row r="12772" s="1158" customFormat="true" ht="19.5" hidden="false" customHeight="true" outlineLevel="0" collapsed="false">
      <c r="A12772" s="1159"/>
      <c r="B12772" s="1163"/>
      <c r="C12772" s="1161" t="s">
        <v>6794</v>
      </c>
      <c r="D12772" s="1162" t="s">
        <v>4133</v>
      </c>
      <c r="E12772" s="858" t="n">
        <v>0.001</v>
      </c>
      <c r="F12772" s="547" t="n">
        <v>150</v>
      </c>
      <c r="G12772" s="547" t="n">
        <f aca="false">E12772*F12772</f>
        <v>0.15</v>
      </c>
      <c r="H12772" s="819"/>
      <c r="I12772" s="1157"/>
      <c r="J12772" s="1157"/>
      <c r="K12772" s="1157"/>
      <c r="L12772" s="1157"/>
      <c r="M12772" s="1157"/>
      <c r="N12772" s="1157"/>
      <c r="O12772" s="1157"/>
      <c r="P12772" s="1157"/>
      <c r="Q12772" s="1157"/>
      <c r="R12772" s="1157"/>
      <c r="S12772" s="1157"/>
      <c r="T12772" s="1157"/>
    </row>
    <row r="12773" s="1158" customFormat="true" ht="19.5" hidden="false" customHeight="true" outlineLevel="0" collapsed="false">
      <c r="A12773" s="1159"/>
      <c r="B12773" s="1163"/>
      <c r="C12773" s="1161" t="s">
        <v>6784</v>
      </c>
      <c r="D12773" s="1162" t="s">
        <v>4359</v>
      </c>
      <c r="E12773" s="819" t="n">
        <v>0.03</v>
      </c>
      <c r="F12773" s="547" t="n">
        <v>450</v>
      </c>
      <c r="G12773" s="547" t="n">
        <f aca="false">E12773*F12773</f>
        <v>13.5</v>
      </c>
      <c r="H12773" s="819"/>
      <c r="I12773" s="1157"/>
      <c r="J12773" s="1157"/>
      <c r="K12773" s="1157"/>
      <c r="L12773" s="1157"/>
      <c r="M12773" s="1157"/>
      <c r="N12773" s="1157"/>
      <c r="O12773" s="1157"/>
      <c r="P12773" s="1157"/>
      <c r="Q12773" s="1157"/>
      <c r="R12773" s="1157"/>
      <c r="S12773" s="1157"/>
      <c r="T12773" s="1157"/>
    </row>
    <row r="12774" s="1158" customFormat="true" ht="19.5" hidden="false" customHeight="true" outlineLevel="0" collapsed="false">
      <c r="A12774" s="1159"/>
      <c r="B12774" s="1163"/>
      <c r="C12774" s="1161" t="s">
        <v>5945</v>
      </c>
      <c r="D12774" s="1162" t="s">
        <v>4133</v>
      </c>
      <c r="E12774" s="858" t="n">
        <v>0.002</v>
      </c>
      <c r="F12774" s="547" t="n">
        <v>350</v>
      </c>
      <c r="G12774" s="547" t="n">
        <f aca="false">E12774*F12774</f>
        <v>0.7</v>
      </c>
      <c r="H12774" s="819"/>
      <c r="I12774" s="1157"/>
      <c r="J12774" s="1157"/>
      <c r="K12774" s="1157"/>
      <c r="L12774" s="1157"/>
      <c r="M12774" s="1157"/>
      <c r="N12774" s="1157"/>
      <c r="O12774" s="1157"/>
      <c r="P12774" s="1157"/>
      <c r="Q12774" s="1157"/>
      <c r="R12774" s="1157"/>
      <c r="S12774" s="1157"/>
      <c r="T12774" s="1157"/>
    </row>
    <row r="12775" s="1158" customFormat="true" ht="19.5" hidden="false" customHeight="true" outlineLevel="0" collapsed="false">
      <c r="A12775" s="1159"/>
      <c r="B12775" s="1163"/>
      <c r="C12775" s="1161" t="s">
        <v>6760</v>
      </c>
      <c r="D12775" s="1162" t="s">
        <v>4191</v>
      </c>
      <c r="E12775" s="547" t="n">
        <v>3</v>
      </c>
      <c r="F12775" s="547" t="n">
        <v>98</v>
      </c>
      <c r="G12775" s="547" t="n">
        <f aca="false">E12775*F12775</f>
        <v>294</v>
      </c>
      <c r="H12775" s="819"/>
      <c r="I12775" s="1157"/>
      <c r="J12775" s="1157"/>
      <c r="K12775" s="1157"/>
      <c r="L12775" s="1157"/>
      <c r="M12775" s="1157"/>
      <c r="N12775" s="1157"/>
      <c r="O12775" s="1157"/>
      <c r="P12775" s="1157"/>
      <c r="Q12775" s="1157"/>
      <c r="R12775" s="1157"/>
      <c r="S12775" s="1157"/>
      <c r="T12775" s="1157"/>
    </row>
    <row r="12776" s="1158" customFormat="true" ht="19.5" hidden="false" customHeight="true" outlineLevel="0" collapsed="false">
      <c r="A12776" s="1159"/>
      <c r="B12776" s="1163"/>
      <c r="C12776" s="1161" t="s">
        <v>6779</v>
      </c>
      <c r="D12776" s="1162" t="s">
        <v>4191</v>
      </c>
      <c r="E12776" s="547" t="n">
        <v>5</v>
      </c>
      <c r="F12776" s="547" t="n">
        <v>12</v>
      </c>
      <c r="G12776" s="547" t="n">
        <f aca="false">E12776*F12776</f>
        <v>60</v>
      </c>
      <c r="H12776" s="819"/>
      <c r="I12776" s="1157"/>
      <c r="J12776" s="1157"/>
      <c r="K12776" s="1157"/>
      <c r="L12776" s="1157"/>
      <c r="M12776" s="1157"/>
      <c r="N12776" s="1157"/>
      <c r="O12776" s="1157"/>
      <c r="P12776" s="1157"/>
      <c r="Q12776" s="1157"/>
      <c r="R12776" s="1157"/>
      <c r="S12776" s="1157"/>
      <c r="T12776" s="1157"/>
    </row>
    <row r="12777" s="1158" customFormat="true" ht="19.5" hidden="false" customHeight="true" outlineLevel="0" collapsed="false">
      <c r="A12777" s="1159"/>
      <c r="B12777" s="1163"/>
      <c r="C12777" s="1161" t="s">
        <v>5946</v>
      </c>
      <c r="D12777" s="1162" t="s">
        <v>4348</v>
      </c>
      <c r="E12777" s="547" t="n">
        <v>3</v>
      </c>
      <c r="F12777" s="547" t="n">
        <v>26</v>
      </c>
      <c r="G12777" s="547" t="n">
        <f aca="false">E12777*F12777</f>
        <v>78</v>
      </c>
      <c r="H12777" s="819"/>
      <c r="I12777" s="1157"/>
      <c r="J12777" s="1157"/>
      <c r="K12777" s="1157"/>
      <c r="L12777" s="1157"/>
      <c r="M12777" s="1157"/>
      <c r="N12777" s="1157"/>
      <c r="O12777" s="1157"/>
      <c r="P12777" s="1157"/>
      <c r="Q12777" s="1157"/>
      <c r="R12777" s="1157"/>
      <c r="S12777" s="1157"/>
      <c r="T12777" s="1157"/>
    </row>
    <row r="12778" s="1158" customFormat="true" ht="19.5" hidden="false" customHeight="true" outlineLevel="0" collapsed="false">
      <c r="A12778" s="1159"/>
      <c r="B12778" s="1163"/>
      <c r="C12778" s="1161" t="s">
        <v>6795</v>
      </c>
      <c r="D12778" s="1162" t="s">
        <v>4348</v>
      </c>
      <c r="E12778" s="547" t="n">
        <v>2</v>
      </c>
      <c r="F12778" s="547" t="n">
        <v>1500</v>
      </c>
      <c r="G12778" s="547" t="n">
        <f aca="false">E12778*F12778/100</f>
        <v>30</v>
      </c>
      <c r="H12778" s="819"/>
      <c r="I12778" s="1157"/>
      <c r="J12778" s="1157"/>
      <c r="K12778" s="1157"/>
      <c r="L12778" s="1157"/>
      <c r="M12778" s="1157"/>
      <c r="N12778" s="1157"/>
      <c r="O12778" s="1157"/>
      <c r="P12778" s="1157"/>
      <c r="Q12778" s="1157"/>
      <c r="R12778" s="1157"/>
      <c r="S12778" s="1157"/>
      <c r="T12778" s="1157"/>
    </row>
    <row r="12779" s="1158" customFormat="true" ht="19.5" hidden="false" customHeight="true" outlineLevel="0" collapsed="false">
      <c r="A12779" s="1159"/>
      <c r="B12779" s="1163"/>
      <c r="C12779" s="1161" t="s">
        <v>6796</v>
      </c>
      <c r="D12779" s="1162" t="s">
        <v>4133</v>
      </c>
      <c r="E12779" s="1176" t="n">
        <v>4E-005</v>
      </c>
      <c r="F12779" s="547" t="n">
        <v>1600000</v>
      </c>
      <c r="G12779" s="547" t="n">
        <f aca="false">E12779*F12779</f>
        <v>64</v>
      </c>
      <c r="H12779" s="819"/>
      <c r="I12779" s="1157"/>
      <c r="J12779" s="1157"/>
      <c r="K12779" s="1157"/>
      <c r="L12779" s="1157"/>
      <c r="M12779" s="1157"/>
      <c r="N12779" s="1157"/>
      <c r="O12779" s="1157"/>
      <c r="P12779" s="1157"/>
      <c r="Q12779" s="1157"/>
      <c r="R12779" s="1157"/>
      <c r="S12779" s="1157"/>
      <c r="T12779" s="1157"/>
    </row>
    <row r="12780" s="1158" customFormat="true" ht="19.5" hidden="false" customHeight="true" outlineLevel="0" collapsed="false">
      <c r="A12780" s="1159"/>
      <c r="B12780" s="1160" t="s">
        <v>4128</v>
      </c>
      <c r="C12780" s="1161"/>
      <c r="D12780" s="1162"/>
      <c r="E12780" s="547"/>
      <c r="F12780" s="547"/>
      <c r="G12780" s="714" t="n">
        <f aca="false">SUM(G12767:G12779)</f>
        <v>616.372</v>
      </c>
      <c r="H12780" s="819"/>
      <c r="I12780" s="1157"/>
      <c r="J12780" s="1157"/>
      <c r="K12780" s="1157"/>
      <c r="L12780" s="1157"/>
      <c r="M12780" s="1157"/>
      <c r="N12780" s="1157"/>
      <c r="O12780" s="1157"/>
      <c r="P12780" s="1157"/>
      <c r="Q12780" s="1157"/>
      <c r="R12780" s="1157"/>
      <c r="S12780" s="1157"/>
      <c r="T12780" s="1157"/>
    </row>
    <row r="12781" s="1158" customFormat="true" ht="19.5" hidden="false" customHeight="true" outlineLevel="0" collapsed="false">
      <c r="A12781" s="1159"/>
      <c r="B12781" s="1163" t="s">
        <v>3618</v>
      </c>
      <c r="C12781" s="1161" t="s">
        <v>6797</v>
      </c>
      <c r="D12781" s="1162" t="s">
        <v>4359</v>
      </c>
      <c r="E12781" s="858" t="n">
        <v>0.006</v>
      </c>
      <c r="F12781" s="547" t="n">
        <v>900</v>
      </c>
      <c r="G12781" s="547" t="n">
        <f aca="false">E12781*F12781</f>
        <v>5.4</v>
      </c>
      <c r="H12781" s="819"/>
      <c r="I12781" s="1157"/>
      <c r="J12781" s="1157"/>
      <c r="K12781" s="1157"/>
      <c r="L12781" s="1157"/>
      <c r="M12781" s="1157"/>
      <c r="N12781" s="1157"/>
      <c r="O12781" s="1157"/>
      <c r="P12781" s="1157"/>
      <c r="Q12781" s="1157"/>
      <c r="R12781" s="1157"/>
      <c r="S12781" s="1157"/>
      <c r="T12781" s="1157"/>
    </row>
    <row r="12782" s="1158" customFormat="true" ht="19.5" hidden="false" customHeight="true" outlineLevel="0" collapsed="false">
      <c r="A12782" s="1159"/>
      <c r="B12782" s="1163"/>
      <c r="C12782" s="1161" t="s">
        <v>6798</v>
      </c>
      <c r="D12782" s="1162" t="s">
        <v>4133</v>
      </c>
      <c r="E12782" s="858" t="n">
        <v>0.006</v>
      </c>
      <c r="F12782" s="547" t="n">
        <v>900</v>
      </c>
      <c r="G12782" s="547" t="n">
        <f aca="false">E12782*F12782</f>
        <v>5.4</v>
      </c>
      <c r="H12782" s="819"/>
      <c r="I12782" s="1157"/>
      <c r="J12782" s="1157"/>
      <c r="K12782" s="1157"/>
      <c r="L12782" s="1157"/>
      <c r="M12782" s="1157"/>
      <c r="N12782" s="1157"/>
      <c r="O12782" s="1157"/>
      <c r="P12782" s="1157"/>
      <c r="Q12782" s="1157"/>
      <c r="R12782" s="1157"/>
      <c r="S12782" s="1157"/>
      <c r="T12782" s="1157"/>
    </row>
    <row r="12783" s="1158" customFormat="true" ht="19.5" hidden="false" customHeight="true" outlineLevel="0" collapsed="false">
      <c r="A12783" s="1159"/>
      <c r="B12783" s="1163"/>
      <c r="C12783" s="1161" t="s">
        <v>4611</v>
      </c>
      <c r="D12783" s="1162" t="s">
        <v>4359</v>
      </c>
      <c r="E12783" s="819" t="n">
        <v>0.03</v>
      </c>
      <c r="F12783" s="547" t="n">
        <v>450</v>
      </c>
      <c r="G12783" s="547" t="n">
        <f aca="false">E12783*F12783</f>
        <v>13.5</v>
      </c>
      <c r="H12783" s="819"/>
      <c r="I12783" s="1157"/>
      <c r="J12783" s="1157"/>
      <c r="K12783" s="1157"/>
      <c r="L12783" s="1157"/>
      <c r="M12783" s="1157"/>
      <c r="N12783" s="1157"/>
      <c r="O12783" s="1157"/>
      <c r="P12783" s="1157"/>
      <c r="Q12783" s="1157"/>
      <c r="R12783" s="1157"/>
      <c r="S12783" s="1157"/>
      <c r="T12783" s="1157"/>
    </row>
    <row r="12784" s="1158" customFormat="true" ht="19.5" hidden="false" customHeight="true" outlineLevel="0" collapsed="false">
      <c r="A12784" s="1159"/>
      <c r="B12784" s="1163"/>
      <c r="C12784" s="1161" t="s">
        <v>5945</v>
      </c>
      <c r="D12784" s="1162" t="s">
        <v>4133</v>
      </c>
      <c r="E12784" s="858" t="n">
        <v>0.002</v>
      </c>
      <c r="F12784" s="547" t="n">
        <v>350</v>
      </c>
      <c r="G12784" s="547" t="n">
        <f aca="false">E12784*F12784</f>
        <v>0.7</v>
      </c>
      <c r="H12784" s="819"/>
      <c r="I12784" s="1157"/>
      <c r="J12784" s="1157"/>
      <c r="K12784" s="1157"/>
      <c r="L12784" s="1157"/>
      <c r="M12784" s="1157"/>
      <c r="N12784" s="1157"/>
      <c r="O12784" s="1157"/>
      <c r="P12784" s="1157"/>
      <c r="Q12784" s="1157"/>
      <c r="R12784" s="1157"/>
      <c r="S12784" s="1157"/>
      <c r="T12784" s="1157"/>
    </row>
    <row r="12785" s="1158" customFormat="true" ht="19.5" hidden="false" customHeight="true" outlineLevel="0" collapsed="false">
      <c r="A12785" s="1159"/>
      <c r="B12785" s="1163"/>
      <c r="C12785" s="1161" t="s">
        <v>6779</v>
      </c>
      <c r="D12785" s="1162" t="s">
        <v>4191</v>
      </c>
      <c r="E12785" s="547" t="n">
        <v>5</v>
      </c>
      <c r="F12785" s="547" t="n">
        <v>12</v>
      </c>
      <c r="G12785" s="547" t="n">
        <f aca="false">E12785*F12785</f>
        <v>60</v>
      </c>
      <c r="H12785" s="819"/>
      <c r="I12785" s="1157"/>
      <c r="J12785" s="1157"/>
      <c r="K12785" s="1157"/>
      <c r="L12785" s="1157"/>
      <c r="M12785" s="1157"/>
      <c r="N12785" s="1157"/>
      <c r="O12785" s="1157"/>
      <c r="P12785" s="1157"/>
      <c r="Q12785" s="1157"/>
      <c r="R12785" s="1157"/>
      <c r="S12785" s="1157"/>
      <c r="T12785" s="1157"/>
    </row>
    <row r="12786" s="1158" customFormat="true" ht="19.5" hidden="false" customHeight="true" outlineLevel="0" collapsed="false">
      <c r="A12786" s="1159"/>
      <c r="B12786" s="1163"/>
      <c r="C12786" s="1161" t="s">
        <v>6760</v>
      </c>
      <c r="D12786" s="1162" t="s">
        <v>4191</v>
      </c>
      <c r="E12786" s="547" t="n">
        <v>3</v>
      </c>
      <c r="F12786" s="547" t="n">
        <v>98</v>
      </c>
      <c r="G12786" s="547" t="n">
        <f aca="false">E12786*F12786</f>
        <v>294</v>
      </c>
      <c r="H12786" s="819"/>
      <c r="I12786" s="1157"/>
      <c r="J12786" s="1157"/>
      <c r="K12786" s="1157"/>
      <c r="L12786" s="1157"/>
      <c r="M12786" s="1157"/>
      <c r="N12786" s="1157"/>
      <c r="O12786" s="1157"/>
      <c r="P12786" s="1157"/>
      <c r="Q12786" s="1157"/>
      <c r="R12786" s="1157"/>
      <c r="S12786" s="1157"/>
      <c r="T12786" s="1157"/>
    </row>
    <row r="12787" s="1158" customFormat="true" ht="19.5" hidden="false" customHeight="true" outlineLevel="0" collapsed="false">
      <c r="A12787" s="1159"/>
      <c r="B12787" s="1163"/>
      <c r="C12787" s="1161" t="s">
        <v>5946</v>
      </c>
      <c r="D12787" s="1162" t="s">
        <v>4348</v>
      </c>
      <c r="E12787" s="547" t="n">
        <v>3</v>
      </c>
      <c r="F12787" s="547" t="n">
        <v>26</v>
      </c>
      <c r="G12787" s="547" t="n">
        <f aca="false">E12787*F12787</f>
        <v>78</v>
      </c>
      <c r="H12787" s="819"/>
      <c r="I12787" s="1157"/>
      <c r="J12787" s="1157"/>
      <c r="K12787" s="1157"/>
      <c r="L12787" s="1157"/>
      <c r="M12787" s="1157"/>
      <c r="N12787" s="1157"/>
      <c r="O12787" s="1157"/>
      <c r="P12787" s="1157"/>
      <c r="Q12787" s="1157"/>
      <c r="R12787" s="1157"/>
      <c r="S12787" s="1157"/>
      <c r="T12787" s="1157"/>
    </row>
    <row r="12788" s="1158" customFormat="true" ht="19.5" hidden="false" customHeight="true" outlineLevel="0" collapsed="false">
      <c r="A12788" s="1159"/>
      <c r="B12788" s="1163"/>
      <c r="C12788" s="1161" t="s">
        <v>6795</v>
      </c>
      <c r="D12788" s="1162" t="s">
        <v>4348</v>
      </c>
      <c r="E12788" s="547" t="n">
        <v>2</v>
      </c>
      <c r="F12788" s="547" t="n">
        <v>1500</v>
      </c>
      <c r="G12788" s="547" t="n">
        <f aca="false">E12788*F12788/100</f>
        <v>30</v>
      </c>
      <c r="H12788" s="819"/>
      <c r="I12788" s="1157"/>
      <c r="J12788" s="1157"/>
      <c r="K12788" s="1157"/>
      <c r="L12788" s="1157"/>
      <c r="M12788" s="1157"/>
      <c r="N12788" s="1157"/>
      <c r="O12788" s="1157"/>
      <c r="P12788" s="1157"/>
      <c r="Q12788" s="1157"/>
      <c r="R12788" s="1157"/>
      <c r="S12788" s="1157"/>
      <c r="T12788" s="1157"/>
    </row>
    <row r="12789" s="1158" customFormat="true" ht="19.5" hidden="false" customHeight="true" outlineLevel="0" collapsed="false">
      <c r="A12789" s="1159"/>
      <c r="B12789" s="1160" t="s">
        <v>4128</v>
      </c>
      <c r="C12789" s="1161"/>
      <c r="D12789" s="1162"/>
      <c r="E12789" s="547"/>
      <c r="F12789" s="547"/>
      <c r="G12789" s="714" t="n">
        <f aca="false">SUM(G12781:G12788)</f>
        <v>487</v>
      </c>
      <c r="H12789" s="819"/>
      <c r="I12789" s="1157"/>
      <c r="J12789" s="1157"/>
      <c r="K12789" s="1157"/>
      <c r="L12789" s="1157"/>
      <c r="M12789" s="1157"/>
      <c r="N12789" s="1157"/>
      <c r="O12789" s="1157"/>
      <c r="P12789" s="1157"/>
      <c r="Q12789" s="1157"/>
      <c r="R12789" s="1157"/>
      <c r="S12789" s="1157"/>
      <c r="T12789" s="1157"/>
    </row>
    <row r="12790" s="1158" customFormat="true" ht="19.5" hidden="false" customHeight="true" outlineLevel="0" collapsed="false">
      <c r="A12790" s="1159"/>
      <c r="B12790" s="1163" t="s">
        <v>3619</v>
      </c>
      <c r="C12790" s="1161" t="s">
        <v>6797</v>
      </c>
      <c r="D12790" s="1162" t="s">
        <v>4359</v>
      </c>
      <c r="E12790" s="858" t="n">
        <v>0.006</v>
      </c>
      <c r="F12790" s="547" t="n">
        <v>900</v>
      </c>
      <c r="G12790" s="547" t="n">
        <f aca="false">E12790*F12790</f>
        <v>5.4</v>
      </c>
      <c r="H12790" s="819"/>
      <c r="I12790" s="1157"/>
      <c r="J12790" s="1157"/>
      <c r="K12790" s="1157"/>
      <c r="L12790" s="1157"/>
      <c r="M12790" s="1157"/>
      <c r="N12790" s="1157"/>
      <c r="O12790" s="1157"/>
      <c r="P12790" s="1157"/>
      <c r="Q12790" s="1157"/>
      <c r="R12790" s="1157"/>
      <c r="S12790" s="1157"/>
      <c r="T12790" s="1157"/>
    </row>
    <row r="12791" s="1158" customFormat="true" ht="19.5" hidden="false" customHeight="true" outlineLevel="0" collapsed="false">
      <c r="A12791" s="1159"/>
      <c r="B12791" s="1163"/>
      <c r="C12791" s="1161" t="s">
        <v>6798</v>
      </c>
      <c r="D12791" s="1162" t="s">
        <v>4133</v>
      </c>
      <c r="E12791" s="858" t="n">
        <v>0.006</v>
      </c>
      <c r="F12791" s="547" t="n">
        <v>900</v>
      </c>
      <c r="G12791" s="547" t="n">
        <f aca="false">E12791*F12791</f>
        <v>5.4</v>
      </c>
      <c r="H12791" s="819"/>
      <c r="I12791" s="1157"/>
      <c r="J12791" s="1157"/>
      <c r="K12791" s="1157"/>
      <c r="L12791" s="1157"/>
      <c r="M12791" s="1157"/>
      <c r="N12791" s="1157"/>
      <c r="O12791" s="1157"/>
      <c r="P12791" s="1157"/>
      <c r="Q12791" s="1157"/>
      <c r="R12791" s="1157"/>
      <c r="S12791" s="1157"/>
      <c r="T12791" s="1157"/>
    </row>
    <row r="12792" s="1158" customFormat="true" ht="19.5" hidden="false" customHeight="true" outlineLevel="0" collapsed="false">
      <c r="A12792" s="1159"/>
      <c r="B12792" s="1163"/>
      <c r="C12792" s="1161" t="s">
        <v>4611</v>
      </c>
      <c r="D12792" s="1162" t="s">
        <v>4359</v>
      </c>
      <c r="E12792" s="819" t="n">
        <v>0.03</v>
      </c>
      <c r="F12792" s="547" t="n">
        <v>450</v>
      </c>
      <c r="G12792" s="547" t="n">
        <f aca="false">E12792*F12792</f>
        <v>13.5</v>
      </c>
      <c r="H12792" s="819"/>
      <c r="I12792" s="1157"/>
      <c r="J12792" s="1157"/>
      <c r="K12792" s="1157"/>
      <c r="L12792" s="1157"/>
      <c r="M12792" s="1157"/>
      <c r="N12792" s="1157"/>
      <c r="O12792" s="1157"/>
      <c r="P12792" s="1157"/>
      <c r="Q12792" s="1157"/>
      <c r="R12792" s="1157"/>
      <c r="S12792" s="1157"/>
      <c r="T12792" s="1157"/>
    </row>
    <row r="12793" s="1158" customFormat="true" ht="19.5" hidden="false" customHeight="true" outlineLevel="0" collapsed="false">
      <c r="A12793" s="1159"/>
      <c r="B12793" s="1163"/>
      <c r="C12793" s="1161" t="s">
        <v>5945</v>
      </c>
      <c r="D12793" s="1162" t="s">
        <v>4133</v>
      </c>
      <c r="E12793" s="858" t="n">
        <v>0.002</v>
      </c>
      <c r="F12793" s="547" t="n">
        <v>350</v>
      </c>
      <c r="G12793" s="547" t="n">
        <f aca="false">E12793*F12793</f>
        <v>0.7</v>
      </c>
      <c r="H12793" s="819"/>
      <c r="I12793" s="1157"/>
      <c r="J12793" s="1157"/>
      <c r="K12793" s="1157"/>
      <c r="L12793" s="1157"/>
      <c r="M12793" s="1157"/>
      <c r="N12793" s="1157"/>
      <c r="O12793" s="1157"/>
      <c r="P12793" s="1157"/>
      <c r="Q12793" s="1157"/>
      <c r="R12793" s="1157"/>
      <c r="S12793" s="1157"/>
      <c r="T12793" s="1157"/>
    </row>
    <row r="12794" s="1158" customFormat="true" ht="19.5" hidden="false" customHeight="true" outlineLevel="0" collapsed="false">
      <c r="A12794" s="1159"/>
      <c r="B12794" s="1163"/>
      <c r="C12794" s="1161" t="s">
        <v>6779</v>
      </c>
      <c r="D12794" s="1162" t="s">
        <v>4191</v>
      </c>
      <c r="E12794" s="547" t="n">
        <v>5</v>
      </c>
      <c r="F12794" s="547" t="n">
        <v>12</v>
      </c>
      <c r="G12794" s="547" t="n">
        <f aca="false">E12794*F12794</f>
        <v>60</v>
      </c>
      <c r="H12794" s="819"/>
      <c r="I12794" s="1157"/>
      <c r="J12794" s="1157"/>
      <c r="K12794" s="1157"/>
      <c r="L12794" s="1157"/>
      <c r="M12794" s="1157"/>
      <c r="N12794" s="1157"/>
      <c r="O12794" s="1157"/>
      <c r="P12794" s="1157"/>
      <c r="Q12794" s="1157"/>
      <c r="R12794" s="1157"/>
      <c r="S12794" s="1157"/>
      <c r="T12794" s="1157"/>
    </row>
    <row r="12795" s="1158" customFormat="true" ht="19.5" hidden="false" customHeight="true" outlineLevel="0" collapsed="false">
      <c r="A12795" s="1159"/>
      <c r="B12795" s="1163"/>
      <c r="C12795" s="1161" t="s">
        <v>6760</v>
      </c>
      <c r="D12795" s="1162" t="s">
        <v>4191</v>
      </c>
      <c r="E12795" s="547" t="n">
        <v>3</v>
      </c>
      <c r="F12795" s="547" t="n">
        <v>98</v>
      </c>
      <c r="G12795" s="547" t="n">
        <f aca="false">E12795*F12795</f>
        <v>294</v>
      </c>
      <c r="H12795" s="819"/>
      <c r="I12795" s="1157"/>
      <c r="J12795" s="1157"/>
      <c r="K12795" s="1157"/>
      <c r="L12795" s="1157"/>
      <c r="M12795" s="1157"/>
      <c r="N12795" s="1157"/>
      <c r="O12795" s="1157"/>
      <c r="P12795" s="1157"/>
      <c r="Q12795" s="1157"/>
      <c r="R12795" s="1157"/>
      <c r="S12795" s="1157"/>
      <c r="T12795" s="1157"/>
    </row>
    <row r="12796" s="1158" customFormat="true" ht="19.5" hidden="false" customHeight="true" outlineLevel="0" collapsed="false">
      <c r="A12796" s="1159"/>
      <c r="B12796" s="1163"/>
      <c r="C12796" s="1161" t="s">
        <v>5946</v>
      </c>
      <c r="D12796" s="1162" t="s">
        <v>4348</v>
      </c>
      <c r="E12796" s="547" t="n">
        <v>3</v>
      </c>
      <c r="F12796" s="547" t="n">
        <v>26</v>
      </c>
      <c r="G12796" s="547" t="n">
        <f aca="false">E12796*F12796</f>
        <v>78</v>
      </c>
      <c r="H12796" s="819"/>
      <c r="I12796" s="1157"/>
      <c r="J12796" s="1157"/>
      <c r="K12796" s="1157"/>
      <c r="L12796" s="1157"/>
      <c r="M12796" s="1157"/>
      <c r="N12796" s="1157"/>
      <c r="O12796" s="1157"/>
      <c r="P12796" s="1157"/>
      <c r="Q12796" s="1157"/>
      <c r="R12796" s="1157"/>
      <c r="S12796" s="1157"/>
      <c r="T12796" s="1157"/>
    </row>
    <row r="12797" s="1158" customFormat="true" ht="19.5" hidden="false" customHeight="true" outlineLevel="0" collapsed="false">
      <c r="A12797" s="1159"/>
      <c r="B12797" s="1163"/>
      <c r="C12797" s="1161" t="s">
        <v>6795</v>
      </c>
      <c r="D12797" s="1162" t="s">
        <v>4348</v>
      </c>
      <c r="E12797" s="547" t="n">
        <v>2</v>
      </c>
      <c r="F12797" s="547" t="n">
        <v>1500</v>
      </c>
      <c r="G12797" s="547" t="n">
        <f aca="false">E12797*F12797/100</f>
        <v>30</v>
      </c>
      <c r="H12797" s="819"/>
      <c r="I12797" s="1157"/>
      <c r="J12797" s="1157"/>
      <c r="K12797" s="1157"/>
      <c r="L12797" s="1157"/>
      <c r="M12797" s="1157"/>
      <c r="N12797" s="1157"/>
      <c r="O12797" s="1157"/>
      <c r="P12797" s="1157"/>
      <c r="Q12797" s="1157"/>
      <c r="R12797" s="1157"/>
      <c r="S12797" s="1157"/>
      <c r="T12797" s="1157"/>
    </row>
    <row r="12798" s="1158" customFormat="true" ht="19.5" hidden="false" customHeight="true" outlineLevel="0" collapsed="false">
      <c r="A12798" s="1159"/>
      <c r="B12798" s="1160" t="s">
        <v>4128</v>
      </c>
      <c r="C12798" s="1161"/>
      <c r="D12798" s="1162"/>
      <c r="E12798" s="547"/>
      <c r="F12798" s="547"/>
      <c r="G12798" s="714" t="n">
        <f aca="false">SUM(G12790:G12797)</f>
        <v>487</v>
      </c>
      <c r="H12798" s="819"/>
      <c r="I12798" s="1157"/>
      <c r="J12798" s="1157"/>
      <c r="K12798" s="1157"/>
      <c r="L12798" s="1157"/>
      <c r="M12798" s="1157"/>
      <c r="N12798" s="1157"/>
      <c r="O12798" s="1157"/>
      <c r="P12798" s="1157"/>
      <c r="Q12798" s="1157"/>
      <c r="R12798" s="1157"/>
      <c r="S12798" s="1157"/>
      <c r="T12798" s="1157"/>
    </row>
    <row r="12799" s="1158" customFormat="true" ht="19.5" hidden="false" customHeight="true" outlineLevel="0" collapsed="false">
      <c r="A12799" s="1159"/>
      <c r="B12799" s="1163" t="s">
        <v>3620</v>
      </c>
      <c r="C12799" s="1161" t="s">
        <v>6799</v>
      </c>
      <c r="D12799" s="1162" t="s">
        <v>4133</v>
      </c>
      <c r="E12799" s="1176" t="n">
        <v>1E-005</v>
      </c>
      <c r="F12799" s="547" t="n">
        <v>1600000</v>
      </c>
      <c r="G12799" s="547" t="n">
        <f aca="false">E12799*F12799</f>
        <v>16</v>
      </c>
      <c r="H12799" s="819"/>
      <c r="I12799" s="1157"/>
      <c r="J12799" s="1157"/>
      <c r="K12799" s="1157"/>
      <c r="L12799" s="1157"/>
      <c r="M12799" s="1157"/>
      <c r="N12799" s="1157"/>
      <c r="O12799" s="1157"/>
      <c r="P12799" s="1157"/>
      <c r="Q12799" s="1157"/>
      <c r="R12799" s="1157"/>
      <c r="S12799" s="1157"/>
      <c r="T12799" s="1157"/>
    </row>
    <row r="12800" s="1158" customFormat="true" ht="19.5" hidden="false" customHeight="true" outlineLevel="0" collapsed="false">
      <c r="A12800" s="1159"/>
      <c r="B12800" s="1163"/>
      <c r="C12800" s="1161" t="s">
        <v>4564</v>
      </c>
      <c r="D12800" s="1162" t="s">
        <v>4359</v>
      </c>
      <c r="E12800" s="819" t="n">
        <v>0.02</v>
      </c>
      <c r="F12800" s="547" t="n">
        <v>900</v>
      </c>
      <c r="G12800" s="547" t="n">
        <f aca="false">E12800*F12800</f>
        <v>18</v>
      </c>
      <c r="H12800" s="819"/>
      <c r="I12800" s="1157"/>
      <c r="J12800" s="1157"/>
      <c r="K12800" s="1157"/>
      <c r="L12800" s="1157"/>
      <c r="M12800" s="1157"/>
      <c r="N12800" s="1157"/>
      <c r="O12800" s="1157"/>
      <c r="P12800" s="1157"/>
      <c r="Q12800" s="1157"/>
      <c r="R12800" s="1157"/>
      <c r="S12800" s="1157"/>
      <c r="T12800" s="1157"/>
    </row>
    <row r="12801" s="1158" customFormat="true" ht="19.5" hidden="false" customHeight="true" outlineLevel="0" collapsed="false">
      <c r="A12801" s="1159"/>
      <c r="B12801" s="1163"/>
      <c r="C12801" s="1161" t="s">
        <v>4939</v>
      </c>
      <c r="D12801" s="1162" t="s">
        <v>4133</v>
      </c>
      <c r="E12801" s="1176" t="n">
        <v>1E-005</v>
      </c>
      <c r="F12801" s="547" t="n">
        <v>7200</v>
      </c>
      <c r="G12801" s="547" t="n">
        <f aca="false">E12801*F12801</f>
        <v>0.072</v>
      </c>
      <c r="H12801" s="819"/>
      <c r="I12801" s="1157"/>
      <c r="J12801" s="1157"/>
      <c r="K12801" s="1157"/>
      <c r="L12801" s="1157"/>
      <c r="M12801" s="1157"/>
      <c r="N12801" s="1157"/>
      <c r="O12801" s="1157"/>
      <c r="P12801" s="1157"/>
      <c r="Q12801" s="1157"/>
      <c r="R12801" s="1157"/>
      <c r="S12801" s="1157"/>
      <c r="T12801" s="1157"/>
    </row>
    <row r="12802" s="1158" customFormat="true" ht="19.5" hidden="false" customHeight="true" outlineLevel="0" collapsed="false">
      <c r="A12802" s="1159"/>
      <c r="B12802" s="1163"/>
      <c r="C12802" s="1161" t="s">
        <v>6800</v>
      </c>
      <c r="D12802" s="1162" t="s">
        <v>4133</v>
      </c>
      <c r="E12802" s="819" t="n">
        <v>0.02</v>
      </c>
      <c r="F12802" s="547" t="n">
        <v>10500</v>
      </c>
      <c r="G12802" s="547" t="n">
        <f aca="false">E12802*F12802</f>
        <v>210</v>
      </c>
      <c r="H12802" s="819"/>
      <c r="I12802" s="1157"/>
      <c r="J12802" s="1157"/>
      <c r="K12802" s="1157"/>
      <c r="L12802" s="1157"/>
      <c r="M12802" s="1157"/>
      <c r="N12802" s="1157"/>
      <c r="O12802" s="1157"/>
      <c r="P12802" s="1157"/>
      <c r="Q12802" s="1157"/>
      <c r="R12802" s="1157"/>
      <c r="S12802" s="1157"/>
      <c r="T12802" s="1157"/>
    </row>
    <row r="12803" s="1158" customFormat="true" ht="19.5" hidden="false" customHeight="true" outlineLevel="0" collapsed="false">
      <c r="A12803" s="1159"/>
      <c r="B12803" s="1163"/>
      <c r="C12803" s="1161" t="s">
        <v>6793</v>
      </c>
      <c r="D12803" s="1162" t="s">
        <v>4133</v>
      </c>
      <c r="E12803" s="616" t="n">
        <v>0.0001</v>
      </c>
      <c r="F12803" s="547" t="n">
        <v>1500</v>
      </c>
      <c r="G12803" s="547" t="n">
        <f aca="false">E12803*F12803</f>
        <v>0.15</v>
      </c>
      <c r="H12803" s="819"/>
      <c r="I12803" s="1157"/>
      <c r="J12803" s="1157"/>
      <c r="K12803" s="1157"/>
      <c r="L12803" s="1157"/>
      <c r="M12803" s="1157"/>
      <c r="N12803" s="1157"/>
      <c r="O12803" s="1157"/>
      <c r="P12803" s="1157"/>
      <c r="Q12803" s="1157"/>
      <c r="R12803" s="1157"/>
      <c r="S12803" s="1157"/>
      <c r="T12803" s="1157"/>
    </row>
    <row r="12804" s="1158" customFormat="true" ht="19.5" hidden="false" customHeight="true" outlineLevel="0" collapsed="false">
      <c r="A12804" s="1159"/>
      <c r="B12804" s="1163"/>
      <c r="C12804" s="1161" t="s">
        <v>6794</v>
      </c>
      <c r="D12804" s="1162" t="s">
        <v>4133</v>
      </c>
      <c r="E12804" s="858" t="n">
        <v>0.001</v>
      </c>
      <c r="F12804" s="547" t="n">
        <v>65000</v>
      </c>
      <c r="G12804" s="547" t="n">
        <f aca="false">E12804*F12804</f>
        <v>65</v>
      </c>
      <c r="H12804" s="819"/>
      <c r="I12804" s="1157"/>
      <c r="J12804" s="1157"/>
      <c r="K12804" s="1157"/>
      <c r="L12804" s="1157"/>
      <c r="M12804" s="1157"/>
      <c r="N12804" s="1157"/>
      <c r="O12804" s="1157"/>
      <c r="P12804" s="1157"/>
      <c r="Q12804" s="1157"/>
      <c r="R12804" s="1157"/>
      <c r="S12804" s="1157"/>
      <c r="T12804" s="1157"/>
    </row>
    <row r="12805" s="1158" customFormat="true" ht="19.5" hidden="false" customHeight="true" outlineLevel="0" collapsed="false">
      <c r="A12805" s="1159"/>
      <c r="B12805" s="1163"/>
      <c r="C12805" s="1161" t="s">
        <v>6784</v>
      </c>
      <c r="D12805" s="1162" t="s">
        <v>4359</v>
      </c>
      <c r="E12805" s="819" t="n">
        <v>0.03</v>
      </c>
      <c r="F12805" s="547" t="n">
        <v>450</v>
      </c>
      <c r="G12805" s="547" t="n">
        <f aca="false">E12805*F12805</f>
        <v>13.5</v>
      </c>
      <c r="H12805" s="819"/>
      <c r="I12805" s="1157"/>
      <c r="J12805" s="1157"/>
      <c r="K12805" s="1157"/>
      <c r="L12805" s="1157"/>
      <c r="M12805" s="1157"/>
      <c r="N12805" s="1157"/>
      <c r="O12805" s="1157"/>
      <c r="P12805" s="1157"/>
      <c r="Q12805" s="1157"/>
      <c r="R12805" s="1157"/>
      <c r="S12805" s="1157"/>
      <c r="T12805" s="1157"/>
    </row>
    <row r="12806" s="1158" customFormat="true" ht="19.5" hidden="false" customHeight="true" outlineLevel="0" collapsed="false">
      <c r="A12806" s="1159"/>
      <c r="B12806" s="1163"/>
      <c r="C12806" s="1161" t="s">
        <v>5945</v>
      </c>
      <c r="D12806" s="1162" t="s">
        <v>4133</v>
      </c>
      <c r="E12806" s="858" t="n">
        <v>0.002</v>
      </c>
      <c r="F12806" s="547" t="n">
        <v>350</v>
      </c>
      <c r="G12806" s="547" t="n">
        <f aca="false">E12806*F12806</f>
        <v>0.7</v>
      </c>
      <c r="H12806" s="819"/>
      <c r="I12806" s="1157"/>
      <c r="J12806" s="1157"/>
      <c r="K12806" s="1157"/>
      <c r="L12806" s="1157"/>
      <c r="M12806" s="1157"/>
      <c r="N12806" s="1157"/>
      <c r="O12806" s="1157"/>
      <c r="P12806" s="1157"/>
      <c r="Q12806" s="1157"/>
      <c r="R12806" s="1157"/>
      <c r="S12806" s="1157"/>
      <c r="T12806" s="1157"/>
    </row>
    <row r="12807" s="1158" customFormat="true" ht="19.5" hidden="false" customHeight="true" outlineLevel="0" collapsed="false">
      <c r="A12807" s="1159"/>
      <c r="B12807" s="1163"/>
      <c r="C12807" s="1161" t="s">
        <v>6779</v>
      </c>
      <c r="D12807" s="1162" t="s">
        <v>4191</v>
      </c>
      <c r="E12807" s="547" t="n">
        <v>5</v>
      </c>
      <c r="F12807" s="547" t="n">
        <v>12</v>
      </c>
      <c r="G12807" s="547" t="n">
        <f aca="false">E12807*F12807</f>
        <v>60</v>
      </c>
      <c r="H12807" s="819"/>
      <c r="I12807" s="1157"/>
      <c r="J12807" s="1157"/>
      <c r="K12807" s="1157"/>
      <c r="L12807" s="1157"/>
      <c r="M12807" s="1157"/>
      <c r="N12807" s="1157"/>
      <c r="O12807" s="1157"/>
      <c r="P12807" s="1157"/>
      <c r="Q12807" s="1157"/>
      <c r="R12807" s="1157"/>
      <c r="S12807" s="1157"/>
      <c r="T12807" s="1157"/>
    </row>
    <row r="12808" s="1158" customFormat="true" ht="19.5" hidden="false" customHeight="true" outlineLevel="0" collapsed="false">
      <c r="A12808" s="1159"/>
      <c r="B12808" s="1163"/>
      <c r="C12808" s="1161" t="s">
        <v>5946</v>
      </c>
      <c r="D12808" s="1162" t="s">
        <v>4348</v>
      </c>
      <c r="E12808" s="547" t="n">
        <v>3</v>
      </c>
      <c r="F12808" s="547" t="n">
        <v>26</v>
      </c>
      <c r="G12808" s="547" t="n">
        <f aca="false">E12808*F12808</f>
        <v>78</v>
      </c>
      <c r="H12808" s="819"/>
      <c r="I12808" s="1157"/>
      <c r="J12808" s="1157"/>
      <c r="K12808" s="1157"/>
      <c r="L12808" s="1157"/>
      <c r="M12808" s="1157"/>
      <c r="N12808" s="1157"/>
      <c r="O12808" s="1157"/>
      <c r="P12808" s="1157"/>
      <c r="Q12808" s="1157"/>
      <c r="R12808" s="1157"/>
      <c r="S12808" s="1157"/>
      <c r="T12808" s="1157"/>
    </row>
    <row r="12809" s="1158" customFormat="true" ht="19.5" hidden="false" customHeight="true" outlineLevel="0" collapsed="false">
      <c r="A12809" s="1159"/>
      <c r="B12809" s="1163"/>
      <c r="C12809" s="1161" t="s">
        <v>6760</v>
      </c>
      <c r="D12809" s="1162" t="s">
        <v>4191</v>
      </c>
      <c r="E12809" s="547" t="n">
        <v>3</v>
      </c>
      <c r="F12809" s="547" t="n">
        <v>98</v>
      </c>
      <c r="G12809" s="547" t="n">
        <f aca="false">E12809*F12809</f>
        <v>294</v>
      </c>
      <c r="H12809" s="819"/>
      <c r="I12809" s="1157"/>
      <c r="J12809" s="1157"/>
      <c r="K12809" s="1157"/>
      <c r="L12809" s="1157"/>
      <c r="M12809" s="1157"/>
      <c r="N12809" s="1157"/>
      <c r="O12809" s="1157"/>
      <c r="P12809" s="1157"/>
      <c r="Q12809" s="1157"/>
      <c r="R12809" s="1157"/>
      <c r="S12809" s="1157"/>
      <c r="T12809" s="1157"/>
    </row>
    <row r="12810" s="1158" customFormat="true" ht="19.5" hidden="false" customHeight="true" outlineLevel="0" collapsed="false">
      <c r="A12810" s="1159"/>
      <c r="B12810" s="1163"/>
      <c r="C12810" s="1161" t="s">
        <v>6795</v>
      </c>
      <c r="D12810" s="1162" t="s">
        <v>4348</v>
      </c>
      <c r="E12810" s="547" t="n">
        <v>2</v>
      </c>
      <c r="F12810" s="547" t="n">
        <v>1500</v>
      </c>
      <c r="G12810" s="547" t="n">
        <f aca="false">E12810*F12810/100</f>
        <v>30</v>
      </c>
      <c r="H12810" s="819"/>
      <c r="I12810" s="1157"/>
      <c r="J12810" s="1157"/>
      <c r="K12810" s="1157"/>
      <c r="L12810" s="1157"/>
      <c r="M12810" s="1157"/>
      <c r="N12810" s="1157"/>
      <c r="O12810" s="1157"/>
      <c r="P12810" s="1157"/>
      <c r="Q12810" s="1157"/>
      <c r="R12810" s="1157"/>
      <c r="S12810" s="1157"/>
      <c r="T12810" s="1157"/>
    </row>
    <row r="12811" s="1158" customFormat="true" ht="19.5" hidden="false" customHeight="true" outlineLevel="0" collapsed="false">
      <c r="A12811" s="1159"/>
      <c r="B12811" s="1160" t="s">
        <v>4128</v>
      </c>
      <c r="C12811" s="1161"/>
      <c r="D12811" s="1162"/>
      <c r="E12811" s="547"/>
      <c r="F12811" s="547"/>
      <c r="G12811" s="714" t="n">
        <f aca="false">SUM(G12799:G12810)</f>
        <v>785.422</v>
      </c>
      <c r="H12811" s="819"/>
      <c r="I12811" s="1157"/>
      <c r="J12811" s="1157"/>
      <c r="K12811" s="1157"/>
      <c r="L12811" s="1157"/>
      <c r="M12811" s="1157"/>
      <c r="N12811" s="1157"/>
      <c r="O12811" s="1157"/>
      <c r="P12811" s="1157"/>
      <c r="Q12811" s="1157"/>
      <c r="R12811" s="1157"/>
      <c r="S12811" s="1157"/>
      <c r="T12811" s="1157"/>
    </row>
    <row r="12812" s="1158" customFormat="true" ht="19.5" hidden="false" customHeight="true" outlineLevel="0" collapsed="false">
      <c r="A12812" s="1159"/>
      <c r="B12812" s="1163" t="s">
        <v>3621</v>
      </c>
      <c r="C12812" s="1161" t="s">
        <v>5088</v>
      </c>
      <c r="D12812" s="1162" t="s">
        <v>4359</v>
      </c>
      <c r="E12812" s="819" t="n">
        <v>0.03</v>
      </c>
      <c r="F12812" s="547" t="n">
        <v>950</v>
      </c>
      <c r="G12812" s="547" t="n">
        <f aca="false">E12812*F12812</f>
        <v>28.5</v>
      </c>
      <c r="H12812" s="819"/>
      <c r="I12812" s="1157"/>
      <c r="J12812" s="1157"/>
      <c r="K12812" s="1157"/>
      <c r="L12812" s="1157"/>
      <c r="M12812" s="1157"/>
      <c r="N12812" s="1157"/>
      <c r="O12812" s="1157"/>
      <c r="P12812" s="1157"/>
      <c r="Q12812" s="1157"/>
      <c r="R12812" s="1157"/>
      <c r="S12812" s="1157"/>
      <c r="T12812" s="1157"/>
    </row>
    <row r="12813" s="1158" customFormat="true" ht="19.5" hidden="false" customHeight="true" outlineLevel="0" collapsed="false">
      <c r="A12813" s="1159"/>
      <c r="B12813" s="1163"/>
      <c r="C12813" s="1161" t="s">
        <v>4564</v>
      </c>
      <c r="D12813" s="1162" t="s">
        <v>4359</v>
      </c>
      <c r="E12813" s="627" t="n">
        <v>0.2</v>
      </c>
      <c r="F12813" s="547" t="n">
        <v>900</v>
      </c>
      <c r="G12813" s="547" t="n">
        <f aca="false">E12813*F12813</f>
        <v>180</v>
      </c>
      <c r="H12813" s="819"/>
      <c r="I12813" s="1157"/>
      <c r="J12813" s="1157"/>
      <c r="K12813" s="1157"/>
      <c r="L12813" s="1157"/>
      <c r="M12813" s="1157"/>
      <c r="N12813" s="1157"/>
      <c r="O12813" s="1157"/>
      <c r="P12813" s="1157"/>
      <c r="Q12813" s="1157"/>
      <c r="R12813" s="1157"/>
      <c r="S12813" s="1157"/>
      <c r="T12813" s="1157"/>
    </row>
    <row r="12814" s="1158" customFormat="true" ht="19.5" hidden="false" customHeight="true" outlineLevel="0" collapsed="false">
      <c r="A12814" s="1159"/>
      <c r="B12814" s="1163"/>
      <c r="C12814" s="1161" t="s">
        <v>4939</v>
      </c>
      <c r="D12814" s="1162" t="s">
        <v>4133</v>
      </c>
      <c r="E12814" s="1176" t="n">
        <v>1E-005</v>
      </c>
      <c r="F12814" s="547" t="n">
        <v>7200</v>
      </c>
      <c r="G12814" s="547" t="n">
        <f aca="false">E12814*F12814</f>
        <v>0.072</v>
      </c>
      <c r="H12814" s="819"/>
      <c r="I12814" s="1157"/>
      <c r="J12814" s="1157"/>
      <c r="K12814" s="1157"/>
      <c r="L12814" s="1157"/>
      <c r="M12814" s="1157"/>
      <c r="N12814" s="1157"/>
      <c r="O12814" s="1157"/>
      <c r="P12814" s="1157"/>
      <c r="Q12814" s="1157"/>
      <c r="R12814" s="1157"/>
      <c r="S12814" s="1157"/>
      <c r="T12814" s="1157"/>
    </row>
    <row r="12815" s="1158" customFormat="true" ht="19.5" hidden="false" customHeight="true" outlineLevel="0" collapsed="false">
      <c r="A12815" s="1159"/>
      <c r="B12815" s="1163"/>
      <c r="C12815" s="1161" t="s">
        <v>4615</v>
      </c>
      <c r="D12815" s="1162" t="s">
        <v>4359</v>
      </c>
      <c r="E12815" s="858" t="n">
        <v>0.005</v>
      </c>
      <c r="F12815" s="547" t="n">
        <v>1500</v>
      </c>
      <c r="G12815" s="547" t="n">
        <f aca="false">E12815*F12815</f>
        <v>7.5</v>
      </c>
      <c r="H12815" s="819"/>
      <c r="I12815" s="1157"/>
      <c r="J12815" s="1157"/>
      <c r="K12815" s="1157"/>
      <c r="L12815" s="1157"/>
      <c r="M12815" s="1157"/>
      <c r="N12815" s="1157"/>
      <c r="O12815" s="1157"/>
      <c r="P12815" s="1157"/>
      <c r="Q12815" s="1157"/>
      <c r="R12815" s="1157"/>
      <c r="S12815" s="1157"/>
      <c r="T12815" s="1157"/>
    </row>
    <row r="12816" s="1158" customFormat="true" ht="19.5" hidden="false" customHeight="true" outlineLevel="0" collapsed="false">
      <c r="A12816" s="1159"/>
      <c r="B12816" s="1163"/>
      <c r="C12816" s="1161" t="s">
        <v>6801</v>
      </c>
      <c r="D12816" s="1162" t="s">
        <v>4133</v>
      </c>
      <c r="E12816" s="858" t="n">
        <v>0.012</v>
      </c>
      <c r="F12816" s="547" t="n">
        <v>2000</v>
      </c>
      <c r="G12816" s="547" t="n">
        <f aca="false">E12816*F12816</f>
        <v>24</v>
      </c>
      <c r="H12816" s="819"/>
      <c r="I12816" s="1157"/>
      <c r="J12816" s="1157"/>
      <c r="K12816" s="1157"/>
      <c r="L12816" s="1157"/>
      <c r="M12816" s="1157"/>
      <c r="N12816" s="1157"/>
      <c r="O12816" s="1157"/>
      <c r="P12816" s="1157"/>
      <c r="Q12816" s="1157"/>
      <c r="R12816" s="1157"/>
      <c r="S12816" s="1157"/>
      <c r="T12816" s="1157"/>
    </row>
    <row r="12817" s="1158" customFormat="true" ht="19.5" hidden="false" customHeight="true" outlineLevel="0" collapsed="false">
      <c r="A12817" s="1159"/>
      <c r="B12817" s="1163"/>
      <c r="C12817" s="1161" t="s">
        <v>4542</v>
      </c>
      <c r="D12817" s="1162" t="s">
        <v>4359</v>
      </c>
      <c r="E12817" s="858" t="n">
        <v>0.005</v>
      </c>
      <c r="F12817" s="547" t="n">
        <v>2300</v>
      </c>
      <c r="G12817" s="547" t="n">
        <f aca="false">E12817*F12817</f>
        <v>11.5</v>
      </c>
      <c r="H12817" s="819"/>
      <c r="I12817" s="1157"/>
      <c r="J12817" s="1157"/>
      <c r="K12817" s="1157"/>
      <c r="L12817" s="1157"/>
      <c r="M12817" s="1157"/>
      <c r="N12817" s="1157"/>
      <c r="O12817" s="1157"/>
      <c r="P12817" s="1157"/>
      <c r="Q12817" s="1157"/>
      <c r="R12817" s="1157"/>
      <c r="S12817" s="1157"/>
      <c r="T12817" s="1157"/>
    </row>
    <row r="12818" s="1158" customFormat="true" ht="19.5" hidden="false" customHeight="true" outlineLevel="0" collapsed="false">
      <c r="A12818" s="1159"/>
      <c r="B12818" s="1163"/>
      <c r="C12818" s="1161" t="s">
        <v>4732</v>
      </c>
      <c r="D12818" s="1162" t="s">
        <v>4133</v>
      </c>
      <c r="E12818" s="858" t="n">
        <v>0.002</v>
      </c>
      <c r="F12818" s="547" t="n">
        <v>2500</v>
      </c>
      <c r="G12818" s="547" t="n">
        <f aca="false">E12818*F12818</f>
        <v>5</v>
      </c>
      <c r="H12818" s="819"/>
      <c r="I12818" s="1157"/>
      <c r="J12818" s="1157"/>
      <c r="K12818" s="1157"/>
      <c r="L12818" s="1157"/>
      <c r="M12818" s="1157"/>
      <c r="N12818" s="1157"/>
      <c r="O12818" s="1157"/>
      <c r="P12818" s="1157"/>
      <c r="Q12818" s="1157"/>
      <c r="R12818" s="1157"/>
      <c r="S12818" s="1157"/>
      <c r="T12818" s="1157"/>
    </row>
    <row r="12819" s="1158" customFormat="true" ht="19.5" hidden="false" customHeight="true" outlineLevel="0" collapsed="false">
      <c r="A12819" s="1159"/>
      <c r="B12819" s="1163"/>
      <c r="C12819" s="1161" t="s">
        <v>6784</v>
      </c>
      <c r="D12819" s="1162" t="s">
        <v>4359</v>
      </c>
      <c r="E12819" s="819" t="n">
        <v>0.03</v>
      </c>
      <c r="F12819" s="547" t="n">
        <v>450</v>
      </c>
      <c r="G12819" s="547" t="n">
        <f aca="false">E12819*F12819</f>
        <v>13.5</v>
      </c>
      <c r="H12819" s="819"/>
      <c r="I12819" s="1157"/>
      <c r="J12819" s="1157"/>
      <c r="K12819" s="1157"/>
      <c r="L12819" s="1157"/>
      <c r="M12819" s="1157"/>
      <c r="N12819" s="1157"/>
      <c r="O12819" s="1157"/>
      <c r="P12819" s="1157"/>
      <c r="Q12819" s="1157"/>
      <c r="R12819" s="1157"/>
      <c r="S12819" s="1157"/>
      <c r="T12819" s="1157"/>
    </row>
    <row r="12820" s="1158" customFormat="true" ht="19.5" hidden="false" customHeight="true" outlineLevel="0" collapsed="false">
      <c r="A12820" s="1159"/>
      <c r="B12820" s="1163"/>
      <c r="C12820" s="1161" t="s">
        <v>5945</v>
      </c>
      <c r="D12820" s="1162" t="s">
        <v>4133</v>
      </c>
      <c r="E12820" s="858" t="n">
        <v>0.002</v>
      </c>
      <c r="F12820" s="547" t="n">
        <v>350</v>
      </c>
      <c r="G12820" s="547" t="n">
        <f aca="false">E12820*F12820</f>
        <v>0.7</v>
      </c>
      <c r="H12820" s="819"/>
      <c r="I12820" s="1157"/>
      <c r="J12820" s="1157"/>
      <c r="K12820" s="1157"/>
      <c r="L12820" s="1157"/>
      <c r="M12820" s="1157"/>
      <c r="N12820" s="1157"/>
      <c r="O12820" s="1157"/>
      <c r="P12820" s="1157"/>
      <c r="Q12820" s="1157"/>
      <c r="R12820" s="1157"/>
      <c r="S12820" s="1157"/>
      <c r="T12820" s="1157"/>
    </row>
    <row r="12821" s="1158" customFormat="true" ht="19.5" hidden="false" customHeight="true" outlineLevel="0" collapsed="false">
      <c r="A12821" s="1159"/>
      <c r="B12821" s="1163"/>
      <c r="C12821" s="1161" t="s">
        <v>6760</v>
      </c>
      <c r="D12821" s="1162" t="s">
        <v>4191</v>
      </c>
      <c r="E12821" s="547" t="n">
        <v>3</v>
      </c>
      <c r="F12821" s="547" t="n">
        <v>98</v>
      </c>
      <c r="G12821" s="547" t="n">
        <f aca="false">E12821*F12821</f>
        <v>294</v>
      </c>
      <c r="H12821" s="819"/>
      <c r="I12821" s="1157"/>
      <c r="J12821" s="1157"/>
      <c r="K12821" s="1157"/>
      <c r="L12821" s="1157"/>
      <c r="M12821" s="1157"/>
      <c r="N12821" s="1157"/>
      <c r="O12821" s="1157"/>
      <c r="P12821" s="1157"/>
      <c r="Q12821" s="1157"/>
      <c r="R12821" s="1157"/>
      <c r="S12821" s="1157"/>
      <c r="T12821" s="1157"/>
    </row>
    <row r="12822" s="1158" customFormat="true" ht="19.5" hidden="false" customHeight="true" outlineLevel="0" collapsed="false">
      <c r="A12822" s="1159"/>
      <c r="B12822" s="1163"/>
      <c r="C12822" s="1161" t="s">
        <v>6802</v>
      </c>
      <c r="D12822" s="1162" t="s">
        <v>4348</v>
      </c>
      <c r="E12822" s="547" t="n">
        <v>5</v>
      </c>
      <c r="F12822" s="547" t="n">
        <v>12</v>
      </c>
      <c r="G12822" s="547" t="n">
        <f aca="false">E12822*F12822</f>
        <v>60</v>
      </c>
      <c r="H12822" s="819"/>
      <c r="I12822" s="1157"/>
      <c r="J12822" s="1157"/>
      <c r="K12822" s="1157"/>
      <c r="L12822" s="1157"/>
      <c r="M12822" s="1157"/>
      <c r="N12822" s="1157"/>
      <c r="O12822" s="1157"/>
      <c r="P12822" s="1157"/>
      <c r="Q12822" s="1157"/>
      <c r="R12822" s="1157"/>
      <c r="S12822" s="1157"/>
      <c r="T12822" s="1157"/>
    </row>
    <row r="12823" s="1158" customFormat="true" ht="19.5" hidden="false" customHeight="true" outlineLevel="0" collapsed="false">
      <c r="A12823" s="1159"/>
      <c r="B12823" s="1163"/>
      <c r="C12823" s="1161" t="s">
        <v>5946</v>
      </c>
      <c r="D12823" s="1162" t="s">
        <v>4348</v>
      </c>
      <c r="E12823" s="547" t="n">
        <v>3</v>
      </c>
      <c r="F12823" s="547" t="n">
        <v>26</v>
      </c>
      <c r="G12823" s="547" t="n">
        <f aca="false">E12823*F12823</f>
        <v>78</v>
      </c>
      <c r="H12823" s="819"/>
      <c r="I12823" s="1157"/>
      <c r="J12823" s="1157"/>
      <c r="K12823" s="1157"/>
      <c r="L12823" s="1157"/>
      <c r="M12823" s="1157"/>
      <c r="N12823" s="1157"/>
      <c r="O12823" s="1157"/>
      <c r="P12823" s="1157"/>
      <c r="Q12823" s="1157"/>
      <c r="R12823" s="1157"/>
      <c r="S12823" s="1157"/>
      <c r="T12823" s="1157"/>
    </row>
    <row r="12824" s="1158" customFormat="true" ht="19.5" hidden="false" customHeight="true" outlineLevel="0" collapsed="false">
      <c r="A12824" s="1159"/>
      <c r="B12824" s="1160" t="s">
        <v>4128</v>
      </c>
      <c r="C12824" s="1161"/>
      <c r="D12824" s="1162"/>
      <c r="E12824" s="547"/>
      <c r="F12824" s="547"/>
      <c r="G12824" s="714" t="n">
        <f aca="false">SUM(G12812:G12823)</f>
        <v>702.772</v>
      </c>
      <c r="H12824" s="819"/>
      <c r="I12824" s="1157"/>
      <c r="J12824" s="1157"/>
      <c r="K12824" s="1157"/>
      <c r="L12824" s="1157"/>
      <c r="M12824" s="1157"/>
      <c r="N12824" s="1157"/>
      <c r="O12824" s="1157"/>
      <c r="P12824" s="1157"/>
      <c r="Q12824" s="1157"/>
      <c r="R12824" s="1157"/>
      <c r="S12824" s="1157"/>
      <c r="T12824" s="1157"/>
    </row>
    <row r="12825" s="1158" customFormat="true" ht="19.5" hidden="false" customHeight="true" outlineLevel="0" collapsed="false">
      <c r="A12825" s="1159"/>
      <c r="B12825" s="1163" t="s">
        <v>3621</v>
      </c>
      <c r="C12825" s="1161" t="s">
        <v>5088</v>
      </c>
      <c r="D12825" s="1162" t="s">
        <v>4359</v>
      </c>
      <c r="E12825" s="819" t="n">
        <v>0.03</v>
      </c>
      <c r="F12825" s="547" t="n">
        <v>950</v>
      </c>
      <c r="G12825" s="547" t="n">
        <f aca="false">E12825*F12825</f>
        <v>28.5</v>
      </c>
      <c r="H12825" s="819"/>
      <c r="I12825" s="1157"/>
      <c r="J12825" s="1157"/>
      <c r="K12825" s="1157"/>
      <c r="L12825" s="1157"/>
      <c r="M12825" s="1157"/>
      <c r="N12825" s="1157"/>
      <c r="O12825" s="1157"/>
      <c r="P12825" s="1157"/>
      <c r="Q12825" s="1157"/>
      <c r="R12825" s="1157"/>
      <c r="S12825" s="1157"/>
      <c r="T12825" s="1157"/>
    </row>
    <row r="12826" s="1158" customFormat="true" ht="19.5" hidden="false" customHeight="true" outlineLevel="0" collapsed="false">
      <c r="A12826" s="1159"/>
      <c r="B12826" s="1163"/>
      <c r="C12826" s="1161" t="s">
        <v>4564</v>
      </c>
      <c r="D12826" s="1162" t="s">
        <v>4359</v>
      </c>
      <c r="E12826" s="627" t="n">
        <v>0.1</v>
      </c>
      <c r="F12826" s="547" t="n">
        <v>900</v>
      </c>
      <c r="G12826" s="547" t="n">
        <f aca="false">E12826*F12826</f>
        <v>90</v>
      </c>
      <c r="H12826" s="819"/>
      <c r="I12826" s="1157"/>
      <c r="J12826" s="1157"/>
      <c r="K12826" s="1157"/>
      <c r="L12826" s="1157"/>
      <c r="M12826" s="1157"/>
      <c r="N12826" s="1157"/>
      <c r="O12826" s="1157"/>
      <c r="P12826" s="1157"/>
      <c r="Q12826" s="1157"/>
      <c r="R12826" s="1157"/>
      <c r="S12826" s="1157"/>
      <c r="T12826" s="1157"/>
    </row>
    <row r="12827" s="1158" customFormat="true" ht="19.5" hidden="false" customHeight="true" outlineLevel="0" collapsed="false">
      <c r="A12827" s="1159"/>
      <c r="B12827" s="1163"/>
      <c r="C12827" s="1161" t="s">
        <v>4939</v>
      </c>
      <c r="D12827" s="1162" t="s">
        <v>4133</v>
      </c>
      <c r="E12827" s="1176" t="n">
        <v>1E-005</v>
      </c>
      <c r="F12827" s="547" t="n">
        <v>7200</v>
      </c>
      <c r="G12827" s="547" t="n">
        <f aca="false">E12827*F12827</f>
        <v>0.072</v>
      </c>
      <c r="H12827" s="819"/>
      <c r="I12827" s="1157"/>
      <c r="J12827" s="1157"/>
      <c r="K12827" s="1157"/>
      <c r="L12827" s="1157"/>
      <c r="M12827" s="1157"/>
      <c r="N12827" s="1157"/>
      <c r="O12827" s="1157"/>
      <c r="P12827" s="1157"/>
      <c r="Q12827" s="1157"/>
      <c r="R12827" s="1157"/>
      <c r="S12827" s="1157"/>
      <c r="T12827" s="1157"/>
    </row>
    <row r="12828" s="1158" customFormat="true" ht="19.5" hidden="false" customHeight="true" outlineLevel="0" collapsed="false">
      <c r="A12828" s="1159"/>
      <c r="B12828" s="1163"/>
      <c r="C12828" s="1161" t="s">
        <v>4615</v>
      </c>
      <c r="D12828" s="1162" t="s">
        <v>4359</v>
      </c>
      <c r="E12828" s="858" t="n">
        <v>0.005</v>
      </c>
      <c r="F12828" s="547" t="n">
        <v>1500</v>
      </c>
      <c r="G12828" s="547" t="n">
        <f aca="false">E12828*F12828</f>
        <v>7.5</v>
      </c>
      <c r="H12828" s="819"/>
      <c r="I12828" s="1157"/>
      <c r="J12828" s="1157"/>
      <c r="K12828" s="1157"/>
      <c r="L12828" s="1157"/>
      <c r="M12828" s="1157"/>
      <c r="N12828" s="1157"/>
      <c r="O12828" s="1157"/>
      <c r="P12828" s="1157"/>
      <c r="Q12828" s="1157"/>
      <c r="R12828" s="1157"/>
      <c r="S12828" s="1157"/>
      <c r="T12828" s="1157"/>
    </row>
    <row r="12829" s="1158" customFormat="true" ht="19.5" hidden="false" customHeight="true" outlineLevel="0" collapsed="false">
      <c r="A12829" s="1159"/>
      <c r="B12829" s="1163"/>
      <c r="C12829" s="1161" t="s">
        <v>6801</v>
      </c>
      <c r="D12829" s="1162" t="s">
        <v>4133</v>
      </c>
      <c r="E12829" s="858" t="n">
        <v>0.012</v>
      </c>
      <c r="F12829" s="547" t="n">
        <v>2000</v>
      </c>
      <c r="G12829" s="547" t="n">
        <f aca="false">E12829*F12829</f>
        <v>24</v>
      </c>
      <c r="H12829" s="819"/>
      <c r="I12829" s="1157"/>
      <c r="J12829" s="1157"/>
      <c r="K12829" s="1157"/>
      <c r="L12829" s="1157"/>
      <c r="M12829" s="1157"/>
      <c r="N12829" s="1157"/>
      <c r="O12829" s="1157"/>
      <c r="P12829" s="1157"/>
      <c r="Q12829" s="1157"/>
      <c r="R12829" s="1157"/>
      <c r="S12829" s="1157"/>
      <c r="T12829" s="1157"/>
    </row>
    <row r="12830" s="1158" customFormat="true" ht="19.5" hidden="false" customHeight="true" outlineLevel="0" collapsed="false">
      <c r="A12830" s="1159"/>
      <c r="B12830" s="1163"/>
      <c r="C12830" s="1161" t="s">
        <v>4542</v>
      </c>
      <c r="D12830" s="1162" t="s">
        <v>4359</v>
      </c>
      <c r="E12830" s="858" t="n">
        <v>0.005</v>
      </c>
      <c r="F12830" s="547" t="n">
        <v>2300</v>
      </c>
      <c r="G12830" s="547" t="n">
        <f aca="false">E12830*F12830</f>
        <v>11.5</v>
      </c>
      <c r="H12830" s="819"/>
      <c r="I12830" s="1157"/>
      <c r="J12830" s="1157"/>
      <c r="K12830" s="1157"/>
      <c r="L12830" s="1157"/>
      <c r="M12830" s="1157"/>
      <c r="N12830" s="1157"/>
      <c r="O12830" s="1157"/>
      <c r="P12830" s="1157"/>
      <c r="Q12830" s="1157"/>
      <c r="R12830" s="1157"/>
      <c r="S12830" s="1157"/>
      <c r="T12830" s="1157"/>
    </row>
    <row r="12831" s="1158" customFormat="true" ht="19.5" hidden="false" customHeight="true" outlineLevel="0" collapsed="false">
      <c r="A12831" s="1159"/>
      <c r="B12831" s="1163"/>
      <c r="C12831" s="1161" t="s">
        <v>4732</v>
      </c>
      <c r="D12831" s="1162" t="s">
        <v>4133</v>
      </c>
      <c r="E12831" s="858" t="n">
        <v>0.002</v>
      </c>
      <c r="F12831" s="547" t="n">
        <v>2500</v>
      </c>
      <c r="G12831" s="547" t="n">
        <f aca="false">E12831*F12831</f>
        <v>5</v>
      </c>
      <c r="H12831" s="819"/>
      <c r="I12831" s="1157"/>
      <c r="J12831" s="1157"/>
      <c r="K12831" s="1157"/>
      <c r="L12831" s="1157"/>
      <c r="M12831" s="1157"/>
      <c r="N12831" s="1157"/>
      <c r="O12831" s="1157"/>
      <c r="P12831" s="1157"/>
      <c r="Q12831" s="1157"/>
      <c r="R12831" s="1157"/>
      <c r="S12831" s="1157"/>
      <c r="T12831" s="1157"/>
    </row>
    <row r="12832" s="1158" customFormat="true" ht="19.5" hidden="false" customHeight="true" outlineLevel="0" collapsed="false">
      <c r="A12832" s="1159"/>
      <c r="B12832" s="1163"/>
      <c r="C12832" s="1161" t="s">
        <v>6803</v>
      </c>
      <c r="D12832" s="1162" t="s">
        <v>4348</v>
      </c>
      <c r="E12832" s="547" t="n">
        <v>5</v>
      </c>
      <c r="F12832" s="547" t="n">
        <v>1500</v>
      </c>
      <c r="G12832" s="547" t="n">
        <f aca="false">E12832*F12832/100</f>
        <v>75</v>
      </c>
      <c r="H12832" s="819"/>
      <c r="I12832" s="1157"/>
      <c r="J12832" s="1157"/>
      <c r="K12832" s="1157"/>
      <c r="L12832" s="1157"/>
      <c r="M12832" s="1157"/>
      <c r="N12832" s="1157"/>
      <c r="O12832" s="1157"/>
      <c r="P12832" s="1157"/>
      <c r="Q12832" s="1157"/>
      <c r="R12832" s="1157"/>
      <c r="S12832" s="1157"/>
      <c r="T12832" s="1157"/>
    </row>
    <row r="12833" s="1158" customFormat="true" ht="19.5" hidden="false" customHeight="true" outlineLevel="0" collapsed="false">
      <c r="A12833" s="1159"/>
      <c r="B12833" s="1163"/>
      <c r="C12833" s="1161" t="s">
        <v>6784</v>
      </c>
      <c r="D12833" s="1162" t="s">
        <v>4359</v>
      </c>
      <c r="E12833" s="819" t="n">
        <v>0.03</v>
      </c>
      <c r="F12833" s="547" t="n">
        <v>450</v>
      </c>
      <c r="G12833" s="547" t="n">
        <f aca="false">E12833*F12833</f>
        <v>13.5</v>
      </c>
      <c r="H12833" s="819"/>
      <c r="I12833" s="1157"/>
      <c r="J12833" s="1157"/>
      <c r="K12833" s="1157"/>
      <c r="L12833" s="1157"/>
      <c r="M12833" s="1157"/>
      <c r="N12833" s="1157"/>
      <c r="O12833" s="1157"/>
      <c r="P12833" s="1157"/>
      <c r="Q12833" s="1157"/>
      <c r="R12833" s="1157"/>
      <c r="S12833" s="1157"/>
      <c r="T12833" s="1157"/>
    </row>
    <row r="12834" s="1158" customFormat="true" ht="19.5" hidden="false" customHeight="true" outlineLevel="0" collapsed="false">
      <c r="A12834" s="1159"/>
      <c r="B12834" s="1163"/>
      <c r="C12834" s="1161" t="s">
        <v>5945</v>
      </c>
      <c r="D12834" s="1162" t="s">
        <v>4133</v>
      </c>
      <c r="E12834" s="858" t="n">
        <v>0.002</v>
      </c>
      <c r="F12834" s="547" t="n">
        <v>350</v>
      </c>
      <c r="G12834" s="547" t="n">
        <f aca="false">E12834*F12834</f>
        <v>0.7</v>
      </c>
      <c r="H12834" s="819"/>
      <c r="I12834" s="1157"/>
      <c r="J12834" s="1157"/>
      <c r="K12834" s="1157"/>
      <c r="L12834" s="1157"/>
      <c r="M12834" s="1157"/>
      <c r="N12834" s="1157"/>
      <c r="O12834" s="1157"/>
      <c r="P12834" s="1157"/>
      <c r="Q12834" s="1157"/>
      <c r="R12834" s="1157"/>
      <c r="S12834" s="1157"/>
      <c r="T12834" s="1157"/>
    </row>
    <row r="12835" s="1158" customFormat="true" ht="19.5" hidden="false" customHeight="true" outlineLevel="0" collapsed="false">
      <c r="A12835" s="1159"/>
      <c r="B12835" s="1163"/>
      <c r="C12835" s="1161" t="s">
        <v>6760</v>
      </c>
      <c r="D12835" s="1162" t="s">
        <v>4191</v>
      </c>
      <c r="E12835" s="547" t="n">
        <v>3</v>
      </c>
      <c r="F12835" s="547" t="n">
        <v>98</v>
      </c>
      <c r="G12835" s="547" t="n">
        <f aca="false">E12835*F12835</f>
        <v>294</v>
      </c>
      <c r="H12835" s="819"/>
      <c r="I12835" s="1157"/>
      <c r="J12835" s="1157"/>
      <c r="K12835" s="1157"/>
      <c r="L12835" s="1157"/>
      <c r="M12835" s="1157"/>
      <c r="N12835" s="1157"/>
      <c r="O12835" s="1157"/>
      <c r="P12835" s="1157"/>
      <c r="Q12835" s="1157"/>
      <c r="R12835" s="1157"/>
      <c r="S12835" s="1157"/>
      <c r="T12835" s="1157"/>
    </row>
    <row r="12836" s="1158" customFormat="true" ht="19.5" hidden="false" customHeight="true" outlineLevel="0" collapsed="false">
      <c r="A12836" s="1159"/>
      <c r="B12836" s="1163"/>
      <c r="C12836" s="1161" t="s">
        <v>6779</v>
      </c>
      <c r="D12836" s="1162" t="s">
        <v>4348</v>
      </c>
      <c r="E12836" s="547" t="n">
        <v>5</v>
      </c>
      <c r="F12836" s="547" t="n">
        <v>12</v>
      </c>
      <c r="G12836" s="547" t="n">
        <f aca="false">E12836*F12836</f>
        <v>60</v>
      </c>
      <c r="H12836" s="819"/>
      <c r="I12836" s="1157"/>
      <c r="J12836" s="1157"/>
      <c r="K12836" s="1157"/>
      <c r="L12836" s="1157"/>
      <c r="M12836" s="1157"/>
      <c r="N12836" s="1157"/>
      <c r="O12836" s="1157"/>
      <c r="P12836" s="1157"/>
      <c r="Q12836" s="1157"/>
      <c r="R12836" s="1157"/>
      <c r="S12836" s="1157"/>
      <c r="T12836" s="1157"/>
    </row>
    <row r="12837" s="1158" customFormat="true" ht="19.5" hidden="false" customHeight="true" outlineLevel="0" collapsed="false">
      <c r="A12837" s="1159"/>
      <c r="B12837" s="1163"/>
      <c r="C12837" s="1161" t="s">
        <v>5946</v>
      </c>
      <c r="D12837" s="1162" t="s">
        <v>4348</v>
      </c>
      <c r="E12837" s="547" t="n">
        <v>3</v>
      </c>
      <c r="F12837" s="547" t="n">
        <v>26</v>
      </c>
      <c r="G12837" s="547" t="n">
        <f aca="false">E12837*F12837</f>
        <v>78</v>
      </c>
      <c r="H12837" s="819"/>
      <c r="I12837" s="1157"/>
      <c r="J12837" s="1157"/>
      <c r="K12837" s="1157"/>
      <c r="L12837" s="1157"/>
      <c r="M12837" s="1157"/>
      <c r="N12837" s="1157"/>
      <c r="O12837" s="1157"/>
      <c r="P12837" s="1157"/>
      <c r="Q12837" s="1157"/>
      <c r="R12837" s="1157"/>
      <c r="S12837" s="1157"/>
      <c r="T12837" s="1157"/>
    </row>
    <row r="12838" s="1158" customFormat="true" ht="19.5" hidden="false" customHeight="true" outlineLevel="0" collapsed="false">
      <c r="A12838" s="1159"/>
      <c r="B12838" s="1160" t="s">
        <v>4128</v>
      </c>
      <c r="C12838" s="1161"/>
      <c r="D12838" s="1162"/>
      <c r="E12838" s="547"/>
      <c r="F12838" s="547"/>
      <c r="G12838" s="714" t="n">
        <f aca="false">SUM(G12825:G12837)</f>
        <v>687.772</v>
      </c>
      <c r="H12838" s="819"/>
      <c r="I12838" s="1157"/>
      <c r="J12838" s="1157"/>
      <c r="K12838" s="1157"/>
      <c r="L12838" s="1157"/>
      <c r="M12838" s="1157"/>
      <c r="N12838" s="1157"/>
      <c r="O12838" s="1157"/>
      <c r="P12838" s="1157"/>
      <c r="Q12838" s="1157"/>
      <c r="R12838" s="1157"/>
      <c r="S12838" s="1157"/>
      <c r="T12838" s="1157"/>
    </row>
    <row r="12839" s="1158" customFormat="true" ht="19.5" hidden="false" customHeight="true" outlineLevel="0" collapsed="false">
      <c r="A12839" s="1159"/>
      <c r="B12839" s="1163" t="s">
        <v>6804</v>
      </c>
      <c r="C12839" s="1161" t="s">
        <v>5942</v>
      </c>
      <c r="D12839" s="1162" t="s">
        <v>4359</v>
      </c>
      <c r="E12839" s="819" t="n">
        <v>0.03</v>
      </c>
      <c r="F12839" s="547" t="n">
        <v>450</v>
      </c>
      <c r="G12839" s="547" t="n">
        <f aca="false">E12839*F12839</f>
        <v>13.5</v>
      </c>
      <c r="H12839" s="819"/>
      <c r="I12839" s="1157"/>
      <c r="J12839" s="1157"/>
      <c r="K12839" s="1157"/>
      <c r="L12839" s="1157"/>
      <c r="M12839" s="1157"/>
      <c r="N12839" s="1157"/>
      <c r="O12839" s="1157"/>
      <c r="P12839" s="1157"/>
      <c r="Q12839" s="1157"/>
      <c r="R12839" s="1157"/>
      <c r="S12839" s="1157"/>
      <c r="T12839" s="1157"/>
    </row>
    <row r="12840" s="1158" customFormat="true" ht="19.5" hidden="false" customHeight="true" outlineLevel="0" collapsed="false">
      <c r="A12840" s="1159"/>
      <c r="B12840" s="1163"/>
      <c r="C12840" s="1161" t="s">
        <v>5945</v>
      </c>
      <c r="D12840" s="1162" t="s">
        <v>4133</v>
      </c>
      <c r="E12840" s="858" t="n">
        <v>0.002</v>
      </c>
      <c r="F12840" s="547" t="n">
        <v>350</v>
      </c>
      <c r="G12840" s="547" t="n">
        <f aca="false">E12840*F12840</f>
        <v>0.7</v>
      </c>
      <c r="H12840" s="819"/>
      <c r="I12840" s="1157"/>
      <c r="J12840" s="1157"/>
      <c r="K12840" s="1157"/>
      <c r="L12840" s="1157"/>
      <c r="M12840" s="1157"/>
      <c r="N12840" s="1157"/>
      <c r="O12840" s="1157"/>
      <c r="P12840" s="1157"/>
      <c r="Q12840" s="1157"/>
      <c r="R12840" s="1157"/>
      <c r="S12840" s="1157"/>
      <c r="T12840" s="1157"/>
    </row>
    <row r="12841" s="1158" customFormat="true" ht="19.5" hidden="false" customHeight="true" outlineLevel="0" collapsed="false">
      <c r="A12841" s="1159"/>
      <c r="B12841" s="1163"/>
      <c r="C12841" s="1161" t="s">
        <v>6760</v>
      </c>
      <c r="D12841" s="1162" t="s">
        <v>4191</v>
      </c>
      <c r="E12841" s="547" t="n">
        <v>3</v>
      </c>
      <c r="F12841" s="547" t="n">
        <v>98</v>
      </c>
      <c r="G12841" s="547" t="n">
        <f aca="false">E12841*F12841</f>
        <v>294</v>
      </c>
      <c r="H12841" s="819"/>
      <c r="I12841" s="1157"/>
      <c r="J12841" s="1157"/>
      <c r="K12841" s="1157"/>
      <c r="L12841" s="1157"/>
      <c r="M12841" s="1157"/>
      <c r="N12841" s="1157"/>
      <c r="O12841" s="1157"/>
      <c r="P12841" s="1157"/>
      <c r="Q12841" s="1157"/>
      <c r="R12841" s="1157"/>
      <c r="S12841" s="1157"/>
      <c r="T12841" s="1157"/>
    </row>
    <row r="12842" s="1158" customFormat="true" ht="19.5" hidden="false" customHeight="true" outlineLevel="0" collapsed="false">
      <c r="A12842" s="1159"/>
      <c r="B12842" s="1163"/>
      <c r="C12842" s="1161" t="s">
        <v>6805</v>
      </c>
      <c r="D12842" s="1162" t="s">
        <v>4348</v>
      </c>
      <c r="E12842" s="547" t="n">
        <v>2</v>
      </c>
      <c r="F12842" s="547" t="n">
        <v>26</v>
      </c>
      <c r="G12842" s="547" t="n">
        <f aca="false">E12842*F12842</f>
        <v>52</v>
      </c>
      <c r="H12842" s="819"/>
      <c r="I12842" s="1157"/>
      <c r="J12842" s="1157"/>
      <c r="K12842" s="1157"/>
      <c r="L12842" s="1157"/>
      <c r="M12842" s="1157"/>
      <c r="N12842" s="1157"/>
      <c r="O12842" s="1157"/>
      <c r="P12842" s="1157"/>
      <c r="Q12842" s="1157"/>
      <c r="R12842" s="1157"/>
      <c r="S12842" s="1157"/>
      <c r="T12842" s="1157"/>
    </row>
    <row r="12843" s="1158" customFormat="true" ht="19.5" hidden="false" customHeight="true" outlineLevel="0" collapsed="false">
      <c r="A12843" s="1159"/>
      <c r="B12843" s="1163"/>
      <c r="C12843" s="1161" t="s">
        <v>6806</v>
      </c>
      <c r="D12843" s="1162" t="s">
        <v>4348</v>
      </c>
      <c r="E12843" s="547" t="n">
        <v>1</v>
      </c>
      <c r="F12843" s="547" t="n">
        <v>550</v>
      </c>
      <c r="G12843" s="547" t="n">
        <f aca="false">E12843*F12843</f>
        <v>550</v>
      </c>
      <c r="H12843" s="819"/>
      <c r="I12843" s="1157"/>
      <c r="J12843" s="1157"/>
      <c r="K12843" s="1157"/>
      <c r="L12843" s="1157"/>
      <c r="M12843" s="1157"/>
      <c r="N12843" s="1157"/>
      <c r="O12843" s="1157"/>
      <c r="P12843" s="1157"/>
      <c r="Q12843" s="1157"/>
      <c r="R12843" s="1157"/>
      <c r="S12843" s="1157"/>
      <c r="T12843" s="1157"/>
    </row>
    <row r="12844" s="1158" customFormat="true" ht="19.5" hidden="false" customHeight="true" outlineLevel="0" collapsed="false">
      <c r="A12844" s="1159"/>
      <c r="B12844" s="1160" t="s">
        <v>4128</v>
      </c>
      <c r="C12844" s="1161"/>
      <c r="D12844" s="1162"/>
      <c r="E12844" s="547"/>
      <c r="F12844" s="547"/>
      <c r="G12844" s="714" t="n">
        <f aca="false">SUM(G12839:G12843)</f>
        <v>910.2</v>
      </c>
      <c r="H12844" s="819"/>
      <c r="I12844" s="1157"/>
      <c r="J12844" s="1157"/>
      <c r="K12844" s="1157"/>
      <c r="L12844" s="1157"/>
      <c r="M12844" s="1157"/>
      <c r="N12844" s="1157"/>
      <c r="O12844" s="1157"/>
      <c r="P12844" s="1157"/>
      <c r="Q12844" s="1157"/>
      <c r="R12844" s="1157"/>
      <c r="S12844" s="1157"/>
      <c r="T12844" s="1157"/>
    </row>
    <row r="12845" s="1158" customFormat="true" ht="19.5" hidden="false" customHeight="true" outlineLevel="0" collapsed="false">
      <c r="A12845" s="1168" t="s">
        <v>6807</v>
      </c>
      <c r="B12845" s="1173" t="s">
        <v>3626</v>
      </c>
      <c r="C12845" s="1170"/>
      <c r="D12845" s="1170"/>
      <c r="E12845" s="1170"/>
      <c r="F12845" s="1170"/>
      <c r="G12845" s="1171"/>
      <c r="H12845" s="1170"/>
      <c r="I12845" s="1157"/>
      <c r="J12845" s="1157"/>
      <c r="K12845" s="1157"/>
      <c r="L12845" s="1157"/>
      <c r="M12845" s="1157"/>
      <c r="N12845" s="1157"/>
      <c r="O12845" s="1157"/>
      <c r="P12845" s="1157"/>
      <c r="Q12845" s="1157"/>
      <c r="R12845" s="1157"/>
      <c r="S12845" s="1157"/>
      <c r="T12845" s="1157"/>
    </row>
    <row r="12846" s="1158" customFormat="true" ht="19.5" hidden="false" customHeight="true" outlineLevel="0" collapsed="false">
      <c r="A12846" s="1159"/>
      <c r="B12846" s="1163" t="s">
        <v>6808</v>
      </c>
      <c r="C12846" s="1161" t="s">
        <v>5942</v>
      </c>
      <c r="D12846" s="1162" t="s">
        <v>4359</v>
      </c>
      <c r="E12846" s="819" t="n">
        <v>0.03</v>
      </c>
      <c r="F12846" s="547" t="n">
        <v>450</v>
      </c>
      <c r="G12846" s="547" t="n">
        <f aca="false">E12846*F12846</f>
        <v>13.5</v>
      </c>
      <c r="H12846" s="819"/>
      <c r="I12846" s="1157"/>
      <c r="J12846" s="1157"/>
      <c r="K12846" s="1157"/>
      <c r="L12846" s="1157"/>
      <c r="M12846" s="1157"/>
      <c r="N12846" s="1157"/>
      <c r="O12846" s="1157"/>
      <c r="P12846" s="1157"/>
      <c r="Q12846" s="1157"/>
      <c r="R12846" s="1157"/>
      <c r="S12846" s="1157"/>
      <c r="T12846" s="1157"/>
    </row>
    <row r="12847" s="1158" customFormat="true" ht="19.5" hidden="false" customHeight="true" outlineLevel="0" collapsed="false">
      <c r="A12847" s="1159"/>
      <c r="B12847" s="1163"/>
      <c r="C12847" s="1161" t="s">
        <v>5945</v>
      </c>
      <c r="D12847" s="1162" t="s">
        <v>4133</v>
      </c>
      <c r="E12847" s="858" t="n">
        <v>0.002</v>
      </c>
      <c r="F12847" s="547" t="n">
        <v>350</v>
      </c>
      <c r="G12847" s="547" t="n">
        <f aca="false">E12847*F12847</f>
        <v>0.7</v>
      </c>
      <c r="H12847" s="819"/>
      <c r="I12847" s="1157"/>
      <c r="J12847" s="1157"/>
      <c r="K12847" s="1157"/>
      <c r="L12847" s="1157"/>
      <c r="M12847" s="1157"/>
      <c r="N12847" s="1157"/>
      <c r="O12847" s="1157"/>
      <c r="P12847" s="1157"/>
      <c r="Q12847" s="1157"/>
      <c r="R12847" s="1157"/>
      <c r="S12847" s="1157"/>
      <c r="T12847" s="1157"/>
    </row>
    <row r="12848" s="1158" customFormat="true" ht="19.5" hidden="false" customHeight="true" outlineLevel="0" collapsed="false">
      <c r="A12848" s="1159"/>
      <c r="B12848" s="1163"/>
      <c r="C12848" s="1161" t="s">
        <v>6760</v>
      </c>
      <c r="D12848" s="1162" t="s">
        <v>4191</v>
      </c>
      <c r="E12848" s="547" t="n">
        <v>3</v>
      </c>
      <c r="F12848" s="547" t="n">
        <v>98</v>
      </c>
      <c r="G12848" s="547" t="n">
        <f aca="false">E12848*F12848</f>
        <v>294</v>
      </c>
      <c r="H12848" s="819"/>
      <c r="I12848" s="1157"/>
      <c r="J12848" s="1157"/>
      <c r="K12848" s="1157"/>
      <c r="L12848" s="1157"/>
      <c r="M12848" s="1157"/>
      <c r="N12848" s="1157"/>
      <c r="O12848" s="1157"/>
      <c r="P12848" s="1157"/>
      <c r="Q12848" s="1157"/>
      <c r="R12848" s="1157"/>
      <c r="S12848" s="1157"/>
      <c r="T12848" s="1157"/>
    </row>
    <row r="12849" s="1158" customFormat="true" ht="19.5" hidden="false" customHeight="true" outlineLevel="0" collapsed="false">
      <c r="A12849" s="1159"/>
      <c r="B12849" s="1163"/>
      <c r="C12849" s="1161" t="s">
        <v>6805</v>
      </c>
      <c r="D12849" s="1162" t="s">
        <v>5817</v>
      </c>
      <c r="E12849" s="547" t="n">
        <v>3</v>
      </c>
      <c r="F12849" s="547" t="n">
        <v>26</v>
      </c>
      <c r="G12849" s="547" t="n">
        <f aca="false">E12849*F12849</f>
        <v>78</v>
      </c>
      <c r="H12849" s="819"/>
      <c r="I12849" s="1157"/>
      <c r="J12849" s="1157"/>
      <c r="K12849" s="1157"/>
      <c r="L12849" s="1157"/>
      <c r="M12849" s="1157"/>
      <c r="N12849" s="1157"/>
      <c r="O12849" s="1157"/>
      <c r="P12849" s="1157"/>
      <c r="Q12849" s="1157"/>
      <c r="R12849" s="1157"/>
      <c r="S12849" s="1157"/>
      <c r="T12849" s="1157"/>
    </row>
    <row r="12850" s="1158" customFormat="true" ht="19.5" hidden="false" customHeight="true" outlineLevel="0" collapsed="false">
      <c r="A12850" s="1159"/>
      <c r="B12850" s="1160" t="s">
        <v>4128</v>
      </c>
      <c r="C12850" s="1161"/>
      <c r="D12850" s="1162"/>
      <c r="E12850" s="547"/>
      <c r="F12850" s="547"/>
      <c r="G12850" s="714" t="n">
        <f aca="false">SUM(G12846:G12849)</f>
        <v>386.2</v>
      </c>
      <c r="H12850" s="819"/>
      <c r="I12850" s="1157"/>
      <c r="J12850" s="1157"/>
      <c r="K12850" s="1157"/>
      <c r="L12850" s="1157"/>
      <c r="M12850" s="1157"/>
      <c r="N12850" s="1157"/>
      <c r="O12850" s="1157"/>
      <c r="P12850" s="1157"/>
      <c r="Q12850" s="1157"/>
      <c r="R12850" s="1157"/>
      <c r="S12850" s="1157"/>
      <c r="T12850" s="1157"/>
    </row>
    <row r="12851" s="1158" customFormat="true" ht="50.25" hidden="false" customHeight="true" outlineLevel="0" collapsed="false">
      <c r="A12851" s="1153" t="s">
        <v>6809</v>
      </c>
      <c r="B12851" s="1164" t="s">
        <v>6810</v>
      </c>
      <c r="C12851" s="1177"/>
      <c r="D12851" s="1178"/>
      <c r="E12851" s="1179"/>
      <c r="F12851" s="1180"/>
      <c r="G12851" s="1166" t="n">
        <f aca="false">G12856</f>
        <v>1185.75</v>
      </c>
      <c r="H12851" s="1181"/>
      <c r="I12851" s="1157"/>
      <c r="J12851" s="1157"/>
      <c r="K12851" s="1157"/>
      <c r="L12851" s="1157"/>
      <c r="M12851" s="1157"/>
      <c r="N12851" s="1157"/>
      <c r="O12851" s="1157"/>
      <c r="P12851" s="1157"/>
      <c r="Q12851" s="1157"/>
      <c r="R12851" s="1157"/>
      <c r="S12851" s="1157"/>
      <c r="T12851" s="1157"/>
    </row>
    <row r="12852" s="1158" customFormat="true" ht="19.5" hidden="false" customHeight="true" outlineLevel="0" collapsed="false">
      <c r="A12852" s="1182"/>
      <c r="B12852" s="1173"/>
      <c r="C12852" s="1161" t="s">
        <v>6811</v>
      </c>
      <c r="D12852" s="1162" t="s">
        <v>4191</v>
      </c>
      <c r="E12852" s="627" t="n">
        <v>10</v>
      </c>
      <c r="F12852" s="547" t="n">
        <v>30</v>
      </c>
      <c r="G12852" s="547" t="n">
        <f aca="false">F12852*E12852</f>
        <v>300</v>
      </c>
      <c r="H12852" s="819"/>
      <c r="I12852" s="1157"/>
      <c r="J12852" s="1157"/>
      <c r="K12852" s="1157"/>
      <c r="L12852" s="1157"/>
      <c r="M12852" s="1157"/>
      <c r="N12852" s="1157"/>
      <c r="O12852" s="1157"/>
      <c r="P12852" s="1157"/>
      <c r="Q12852" s="1157"/>
      <c r="R12852" s="1157"/>
      <c r="S12852" s="1157"/>
      <c r="T12852" s="1157"/>
    </row>
    <row r="12853" s="1158" customFormat="true" ht="19.5" hidden="false" customHeight="true" outlineLevel="0" collapsed="false">
      <c r="A12853" s="1159"/>
      <c r="B12853" s="1163"/>
      <c r="C12853" s="1161" t="s">
        <v>6812</v>
      </c>
      <c r="D12853" s="1162" t="s">
        <v>4191</v>
      </c>
      <c r="E12853" s="627" t="n">
        <v>10</v>
      </c>
      <c r="F12853" s="547" t="n">
        <v>22.5</v>
      </c>
      <c r="G12853" s="547" t="n">
        <f aca="false">F12853*E12853</f>
        <v>225</v>
      </c>
      <c r="H12853" s="819"/>
      <c r="I12853" s="1157"/>
      <c r="J12853" s="1157"/>
      <c r="K12853" s="1157"/>
      <c r="L12853" s="1157"/>
      <c r="M12853" s="1157"/>
      <c r="N12853" s="1157"/>
      <c r="O12853" s="1157"/>
      <c r="P12853" s="1157"/>
      <c r="Q12853" s="1157"/>
      <c r="R12853" s="1157"/>
      <c r="S12853" s="1157"/>
      <c r="T12853" s="1157"/>
    </row>
    <row r="12854" s="1158" customFormat="true" ht="19.5" hidden="false" customHeight="true" outlineLevel="0" collapsed="false">
      <c r="A12854" s="1159"/>
      <c r="B12854" s="1163"/>
      <c r="C12854" s="1161" t="s">
        <v>6760</v>
      </c>
      <c r="D12854" s="1162" t="s">
        <v>4191</v>
      </c>
      <c r="E12854" s="627" t="n">
        <v>30</v>
      </c>
      <c r="F12854" s="547" t="n">
        <v>21</v>
      </c>
      <c r="G12854" s="547" t="n">
        <f aca="false">F12854*E12854</f>
        <v>630</v>
      </c>
      <c r="H12854" s="819"/>
      <c r="I12854" s="1157"/>
      <c r="J12854" s="1157"/>
      <c r="K12854" s="1157"/>
      <c r="L12854" s="1157"/>
      <c r="M12854" s="1157"/>
      <c r="N12854" s="1157"/>
      <c r="O12854" s="1157"/>
      <c r="P12854" s="1157"/>
      <c r="Q12854" s="1157"/>
      <c r="R12854" s="1157"/>
      <c r="S12854" s="1157"/>
      <c r="T12854" s="1157"/>
    </row>
    <row r="12855" s="1158" customFormat="true" ht="19.5" hidden="false" customHeight="true" outlineLevel="0" collapsed="false">
      <c r="A12855" s="1159"/>
      <c r="B12855" s="1163"/>
      <c r="C12855" s="1161" t="s">
        <v>6530</v>
      </c>
      <c r="D12855" s="1162" t="s">
        <v>4348</v>
      </c>
      <c r="E12855" s="627" t="n">
        <v>0.3</v>
      </c>
      <c r="F12855" s="547" t="n">
        <v>22500</v>
      </c>
      <c r="G12855" s="547" t="n">
        <f aca="false">F12855*E12855</f>
        <v>6750</v>
      </c>
      <c r="H12855" s="819"/>
      <c r="I12855" s="1157"/>
      <c r="J12855" s="1157"/>
      <c r="K12855" s="1157"/>
      <c r="L12855" s="1157"/>
      <c r="M12855" s="1157"/>
      <c r="N12855" s="1157"/>
      <c r="O12855" s="1157"/>
      <c r="P12855" s="1157"/>
      <c r="Q12855" s="1157"/>
      <c r="R12855" s="1157"/>
      <c r="S12855" s="1157"/>
      <c r="T12855" s="1157"/>
    </row>
    <row r="12856" s="1158" customFormat="true" ht="19.5" hidden="false" customHeight="true" outlineLevel="0" collapsed="false">
      <c r="A12856" s="1159"/>
      <c r="B12856" s="1160" t="s">
        <v>4128</v>
      </c>
      <c r="C12856" s="1161"/>
      <c r="D12856" s="1162"/>
      <c r="E12856" s="819"/>
      <c r="F12856" s="819"/>
      <c r="G12856" s="934" t="n">
        <f aca="false">SUM(G12852:G12855)*3/20</f>
        <v>1185.75</v>
      </c>
      <c r="H12856" s="819"/>
      <c r="I12856" s="1157"/>
      <c r="J12856" s="1157"/>
      <c r="K12856" s="1157"/>
      <c r="L12856" s="1157"/>
      <c r="M12856" s="1157"/>
      <c r="N12856" s="1157"/>
      <c r="O12856" s="1157"/>
      <c r="P12856" s="1157"/>
      <c r="Q12856" s="1157"/>
      <c r="R12856" s="1157"/>
      <c r="S12856" s="1157"/>
      <c r="T12856" s="1157"/>
    </row>
    <row r="12857" s="1158" customFormat="true" ht="34.5" hidden="false" customHeight="true" outlineLevel="0" collapsed="false">
      <c r="A12857" s="1153" t="s">
        <v>6813</v>
      </c>
      <c r="B12857" s="1164" t="s">
        <v>6814</v>
      </c>
      <c r="C12857" s="1177"/>
      <c r="D12857" s="1178"/>
      <c r="E12857" s="1179"/>
      <c r="F12857" s="1180"/>
      <c r="G12857" s="1166" t="n">
        <f aca="false">G12871</f>
        <v>1932.118</v>
      </c>
      <c r="H12857" s="1181"/>
      <c r="I12857" s="1157"/>
      <c r="J12857" s="1157"/>
      <c r="K12857" s="1157"/>
      <c r="L12857" s="1157"/>
      <c r="M12857" s="1157"/>
      <c r="N12857" s="1157"/>
      <c r="O12857" s="1157"/>
      <c r="P12857" s="1157"/>
      <c r="Q12857" s="1157"/>
      <c r="R12857" s="1157"/>
      <c r="S12857" s="1157"/>
      <c r="T12857" s="1157"/>
    </row>
    <row r="12858" s="1158" customFormat="true" ht="19.5" hidden="false" customHeight="true" outlineLevel="0" collapsed="false">
      <c r="A12858" s="1159"/>
      <c r="B12858" s="1163"/>
      <c r="C12858" s="1161" t="s">
        <v>6815</v>
      </c>
      <c r="D12858" s="1162" t="s">
        <v>4191</v>
      </c>
      <c r="E12858" s="627" t="n">
        <v>2</v>
      </c>
      <c r="F12858" s="547" t="n">
        <v>30</v>
      </c>
      <c r="G12858" s="547" t="n">
        <f aca="false">F12858*E12858</f>
        <v>60</v>
      </c>
      <c r="H12858" s="819"/>
      <c r="I12858" s="1157"/>
      <c r="J12858" s="1157"/>
      <c r="K12858" s="1157"/>
      <c r="L12858" s="1157"/>
      <c r="M12858" s="1157"/>
      <c r="N12858" s="1157"/>
      <c r="O12858" s="1157"/>
      <c r="P12858" s="1157"/>
      <c r="Q12858" s="1157"/>
      <c r="R12858" s="1157"/>
      <c r="S12858" s="1157"/>
      <c r="T12858" s="1157"/>
    </row>
    <row r="12859" s="1158" customFormat="true" ht="19.5" hidden="false" customHeight="true" outlineLevel="0" collapsed="false">
      <c r="A12859" s="1159"/>
      <c r="B12859" s="1163"/>
      <c r="C12859" s="1161" t="s">
        <v>6816</v>
      </c>
      <c r="D12859" s="1162" t="s">
        <v>4191</v>
      </c>
      <c r="E12859" s="627" t="n">
        <v>10</v>
      </c>
      <c r="F12859" s="547" t="n">
        <v>61.4</v>
      </c>
      <c r="G12859" s="547" t="n">
        <f aca="false">F12859*E12859</f>
        <v>614</v>
      </c>
      <c r="H12859" s="819"/>
      <c r="I12859" s="1157"/>
      <c r="J12859" s="1157"/>
      <c r="K12859" s="1157"/>
      <c r="L12859" s="1157"/>
      <c r="M12859" s="1157"/>
      <c r="N12859" s="1157"/>
      <c r="O12859" s="1157"/>
      <c r="P12859" s="1157"/>
      <c r="Q12859" s="1157"/>
      <c r="R12859" s="1157"/>
      <c r="S12859" s="1157"/>
      <c r="T12859" s="1157"/>
    </row>
    <row r="12860" s="1158" customFormat="true" ht="19.5" hidden="false" customHeight="true" outlineLevel="0" collapsed="false">
      <c r="A12860" s="1159"/>
      <c r="B12860" s="1163"/>
      <c r="C12860" s="1161" t="s">
        <v>6817</v>
      </c>
      <c r="D12860" s="1162" t="s">
        <v>6134</v>
      </c>
      <c r="E12860" s="627" t="n">
        <v>0.05</v>
      </c>
      <c r="F12860" s="547" t="n">
        <v>110693</v>
      </c>
      <c r="G12860" s="547" t="n">
        <f aca="false">F12860*E12860/55</f>
        <v>100.63</v>
      </c>
      <c r="H12860" s="819"/>
      <c r="I12860" s="1157"/>
      <c r="J12860" s="1157"/>
      <c r="K12860" s="1157"/>
      <c r="L12860" s="1157"/>
      <c r="M12860" s="1157"/>
      <c r="N12860" s="1157"/>
      <c r="O12860" s="1157"/>
      <c r="P12860" s="1157"/>
      <c r="Q12860" s="1157"/>
      <c r="R12860" s="1157"/>
      <c r="S12860" s="1157"/>
      <c r="T12860" s="1157"/>
    </row>
    <row r="12861" s="1158" customFormat="true" ht="19.5" hidden="false" customHeight="true" outlineLevel="0" collapsed="false">
      <c r="A12861" s="1159"/>
      <c r="B12861" s="1163"/>
      <c r="C12861" s="1161" t="s">
        <v>6818</v>
      </c>
      <c r="D12861" s="1162" t="s">
        <v>6134</v>
      </c>
      <c r="E12861" s="627" t="n">
        <v>0.05</v>
      </c>
      <c r="F12861" s="547" t="n">
        <v>109648</v>
      </c>
      <c r="G12861" s="547" t="n">
        <f aca="false">F12861*E12861</f>
        <v>5482.4</v>
      </c>
      <c r="H12861" s="819"/>
      <c r="I12861" s="1157"/>
      <c r="J12861" s="1157"/>
      <c r="K12861" s="1157"/>
      <c r="L12861" s="1157"/>
      <c r="M12861" s="1157"/>
      <c r="N12861" s="1157"/>
      <c r="O12861" s="1157"/>
      <c r="P12861" s="1157"/>
      <c r="Q12861" s="1157"/>
      <c r="R12861" s="1157"/>
      <c r="S12861" s="1157"/>
      <c r="T12861" s="1157"/>
    </row>
    <row r="12862" s="1158" customFormat="true" ht="19.5" hidden="false" customHeight="true" outlineLevel="0" collapsed="false">
      <c r="A12862" s="1159"/>
      <c r="B12862" s="1163"/>
      <c r="C12862" s="1161" t="s">
        <v>6819</v>
      </c>
      <c r="D12862" s="1162" t="s">
        <v>6139</v>
      </c>
      <c r="E12862" s="627" t="n">
        <v>0.05</v>
      </c>
      <c r="F12862" s="547" t="n">
        <v>29645</v>
      </c>
      <c r="G12862" s="547" t="n">
        <f aca="false">E12862*F12862</f>
        <v>1482.25</v>
      </c>
      <c r="H12862" s="819"/>
      <c r="I12862" s="1157"/>
      <c r="J12862" s="1157"/>
      <c r="K12862" s="1157"/>
      <c r="L12862" s="1157"/>
      <c r="M12862" s="1157"/>
      <c r="N12862" s="1157"/>
      <c r="O12862" s="1157"/>
      <c r="P12862" s="1157"/>
      <c r="Q12862" s="1157"/>
      <c r="R12862" s="1157"/>
      <c r="S12862" s="1157"/>
      <c r="T12862" s="1157"/>
    </row>
    <row r="12863" s="1158" customFormat="true" ht="19.5" hidden="false" customHeight="true" outlineLevel="0" collapsed="false">
      <c r="A12863" s="1159"/>
      <c r="B12863" s="1163"/>
      <c r="C12863" s="1161" t="s">
        <v>6820</v>
      </c>
      <c r="D12863" s="1162" t="s">
        <v>6139</v>
      </c>
      <c r="E12863" s="627" t="n">
        <v>0.05</v>
      </c>
      <c r="F12863" s="547" t="n">
        <v>23694</v>
      </c>
      <c r="G12863" s="547" t="n">
        <f aca="false">E12863*F12863</f>
        <v>1184.7</v>
      </c>
      <c r="H12863" s="819"/>
      <c r="I12863" s="1157"/>
      <c r="J12863" s="1157"/>
      <c r="K12863" s="1157"/>
      <c r="L12863" s="1157"/>
      <c r="M12863" s="1157"/>
      <c r="N12863" s="1157"/>
      <c r="O12863" s="1157"/>
      <c r="P12863" s="1157"/>
      <c r="Q12863" s="1157"/>
      <c r="R12863" s="1157"/>
      <c r="S12863" s="1157"/>
      <c r="T12863" s="1157"/>
    </row>
    <row r="12864" s="1158" customFormat="true" ht="19.5" hidden="false" customHeight="true" outlineLevel="0" collapsed="false">
      <c r="A12864" s="1159"/>
      <c r="B12864" s="1163"/>
      <c r="C12864" s="1161" t="s">
        <v>6133</v>
      </c>
      <c r="D12864" s="1162" t="s">
        <v>6134</v>
      </c>
      <c r="E12864" s="627" t="n">
        <v>0.05</v>
      </c>
      <c r="F12864" s="547" t="n">
        <v>103367</v>
      </c>
      <c r="G12864" s="547" t="n">
        <f aca="false">F12864*E12864</f>
        <v>5168.35</v>
      </c>
      <c r="H12864" s="819"/>
      <c r="I12864" s="1157"/>
      <c r="J12864" s="1157"/>
      <c r="K12864" s="1157"/>
      <c r="L12864" s="1157"/>
      <c r="M12864" s="1157"/>
      <c r="N12864" s="1157"/>
      <c r="O12864" s="1157"/>
      <c r="P12864" s="1157"/>
      <c r="Q12864" s="1157"/>
      <c r="R12864" s="1157"/>
      <c r="S12864" s="1157"/>
      <c r="T12864" s="1157"/>
    </row>
    <row r="12865" s="1158" customFormat="true" ht="19.5" hidden="false" customHeight="true" outlineLevel="0" collapsed="false">
      <c r="A12865" s="1159"/>
      <c r="B12865" s="1163"/>
      <c r="C12865" s="1161" t="s">
        <v>6821</v>
      </c>
      <c r="D12865" s="1162" t="s">
        <v>6162</v>
      </c>
      <c r="E12865" s="627" t="n">
        <v>5</v>
      </c>
      <c r="F12865" s="547" t="n">
        <v>48356</v>
      </c>
      <c r="G12865" s="547" t="n">
        <f aca="false">E12865*F12865/1000</f>
        <v>241.78</v>
      </c>
      <c r="H12865" s="819"/>
      <c r="I12865" s="1157"/>
      <c r="J12865" s="1157"/>
      <c r="K12865" s="1157"/>
      <c r="L12865" s="1157"/>
      <c r="M12865" s="1157"/>
      <c r="N12865" s="1157"/>
      <c r="O12865" s="1157"/>
      <c r="P12865" s="1157"/>
      <c r="Q12865" s="1157"/>
      <c r="R12865" s="1157"/>
      <c r="S12865" s="1157"/>
      <c r="T12865" s="1157"/>
    </row>
    <row r="12866" s="1158" customFormat="true" ht="19.5" hidden="false" customHeight="true" outlineLevel="0" collapsed="false">
      <c r="A12866" s="1159"/>
      <c r="B12866" s="1163"/>
      <c r="C12866" s="1161" t="s">
        <v>6822</v>
      </c>
      <c r="D12866" s="1162" t="s">
        <v>6823</v>
      </c>
      <c r="E12866" s="627" t="n">
        <v>2</v>
      </c>
      <c r="F12866" s="547" t="n">
        <v>9955</v>
      </c>
      <c r="G12866" s="547" t="n">
        <f aca="false">E12866*F12866/500</f>
        <v>39.82</v>
      </c>
      <c r="H12866" s="819"/>
      <c r="I12866" s="1157"/>
      <c r="J12866" s="1157"/>
      <c r="K12866" s="1157"/>
      <c r="L12866" s="1157"/>
      <c r="M12866" s="1157"/>
      <c r="N12866" s="1157"/>
      <c r="O12866" s="1157"/>
      <c r="P12866" s="1157"/>
      <c r="Q12866" s="1157"/>
      <c r="R12866" s="1157"/>
      <c r="S12866" s="1157"/>
      <c r="T12866" s="1157"/>
    </row>
    <row r="12867" s="1158" customFormat="true" ht="19.5" hidden="false" customHeight="true" outlineLevel="0" collapsed="false">
      <c r="A12867" s="1159"/>
      <c r="B12867" s="1163"/>
      <c r="C12867" s="1161" t="s">
        <v>6824</v>
      </c>
      <c r="D12867" s="1162" t="s">
        <v>4191</v>
      </c>
      <c r="E12867" s="627" t="n">
        <v>10</v>
      </c>
      <c r="F12867" s="547" t="n">
        <v>21.35</v>
      </c>
      <c r="G12867" s="547" t="n">
        <f aca="false">F12867*E12867</f>
        <v>213.5</v>
      </c>
      <c r="H12867" s="819"/>
      <c r="I12867" s="1157"/>
      <c r="J12867" s="1157"/>
      <c r="K12867" s="1157"/>
      <c r="L12867" s="1157"/>
      <c r="M12867" s="1157"/>
      <c r="N12867" s="1157"/>
      <c r="O12867" s="1157"/>
      <c r="P12867" s="1157"/>
      <c r="Q12867" s="1157"/>
      <c r="R12867" s="1157"/>
      <c r="S12867" s="1157"/>
      <c r="T12867" s="1157"/>
    </row>
    <row r="12868" s="1158" customFormat="true" ht="19.5" hidden="false" customHeight="true" outlineLevel="0" collapsed="false">
      <c r="A12868" s="1159"/>
      <c r="B12868" s="1163"/>
      <c r="C12868" s="1161" t="s">
        <v>6825</v>
      </c>
      <c r="D12868" s="1162" t="s">
        <v>4191</v>
      </c>
      <c r="E12868" s="627" t="n">
        <v>10</v>
      </c>
      <c r="F12868" s="547" t="n">
        <v>12.45</v>
      </c>
      <c r="G12868" s="547" t="n">
        <f aca="false">F12868*E12868</f>
        <v>124.5</v>
      </c>
      <c r="H12868" s="819"/>
      <c r="I12868" s="1157"/>
      <c r="J12868" s="1157"/>
      <c r="K12868" s="1157"/>
      <c r="L12868" s="1157"/>
      <c r="M12868" s="1157"/>
      <c r="N12868" s="1157"/>
      <c r="O12868" s="1157"/>
      <c r="P12868" s="1157"/>
      <c r="Q12868" s="1157"/>
      <c r="R12868" s="1157"/>
      <c r="S12868" s="1157"/>
      <c r="T12868" s="1157"/>
    </row>
    <row r="12869" s="1158" customFormat="true" ht="19.5" hidden="false" customHeight="true" outlineLevel="0" collapsed="false">
      <c r="A12869" s="1159"/>
      <c r="B12869" s="1163"/>
      <c r="C12869" s="1161" t="s">
        <v>6826</v>
      </c>
      <c r="D12869" s="1162" t="s">
        <v>4191</v>
      </c>
      <c r="E12869" s="627" t="n">
        <v>2</v>
      </c>
      <c r="F12869" s="547" t="n">
        <v>480</v>
      </c>
      <c r="G12869" s="547" t="n">
        <f aca="false">F12869*E12869</f>
        <v>960</v>
      </c>
      <c r="H12869" s="819"/>
      <c r="I12869" s="1157"/>
      <c r="J12869" s="1157"/>
      <c r="K12869" s="1157"/>
      <c r="L12869" s="1157"/>
      <c r="M12869" s="1157"/>
      <c r="N12869" s="1157"/>
      <c r="O12869" s="1157"/>
      <c r="P12869" s="1157"/>
      <c r="Q12869" s="1157"/>
      <c r="R12869" s="1157"/>
      <c r="S12869" s="1157"/>
      <c r="T12869" s="1157"/>
    </row>
    <row r="12870" s="1158" customFormat="true" ht="19.5" hidden="false" customHeight="true" outlineLevel="0" collapsed="false">
      <c r="A12870" s="1159"/>
      <c r="B12870" s="1163"/>
      <c r="C12870" s="1161" t="s">
        <v>6827</v>
      </c>
      <c r="D12870" s="1162" t="s">
        <v>6220</v>
      </c>
      <c r="E12870" s="627" t="n">
        <v>1</v>
      </c>
      <c r="F12870" s="547" t="n">
        <v>291940</v>
      </c>
      <c r="G12870" s="547" t="n">
        <f aca="false">F12870*E12870/80</f>
        <v>3649.25</v>
      </c>
      <c r="H12870" s="819"/>
      <c r="I12870" s="1157"/>
      <c r="J12870" s="1157"/>
      <c r="K12870" s="1157"/>
      <c r="L12870" s="1157"/>
      <c r="M12870" s="1157"/>
      <c r="N12870" s="1157"/>
      <c r="O12870" s="1157"/>
      <c r="P12870" s="1157"/>
      <c r="Q12870" s="1157"/>
      <c r="R12870" s="1157"/>
      <c r="S12870" s="1157"/>
      <c r="T12870" s="1157"/>
    </row>
    <row r="12871" s="1158" customFormat="true" ht="19.5" hidden="false" customHeight="true" outlineLevel="0" collapsed="false">
      <c r="A12871" s="1159"/>
      <c r="B12871" s="1160" t="s">
        <v>4128</v>
      </c>
      <c r="C12871" s="1183"/>
      <c r="D12871" s="1162"/>
      <c r="E12871" s="819"/>
      <c r="F12871" s="819"/>
      <c r="G12871" s="934" t="n">
        <f aca="false">SUM(G12858:G12870)*2/20</f>
        <v>1932.118</v>
      </c>
      <c r="H12871" s="819"/>
      <c r="I12871" s="1157"/>
      <c r="J12871" s="1157"/>
      <c r="K12871" s="1157"/>
      <c r="L12871" s="1157"/>
      <c r="M12871" s="1157"/>
      <c r="N12871" s="1157"/>
      <c r="O12871" s="1157"/>
      <c r="P12871" s="1157"/>
      <c r="Q12871" s="1157"/>
      <c r="R12871" s="1157"/>
      <c r="S12871" s="1157"/>
      <c r="T12871" s="1157"/>
    </row>
    <row r="12872" s="1158" customFormat="true" ht="31.5" hidden="false" customHeight="true" outlineLevel="0" collapsed="false">
      <c r="A12872" s="1153" t="s">
        <v>6828</v>
      </c>
      <c r="B12872" s="1164" t="s">
        <v>6829</v>
      </c>
      <c r="C12872" s="1177"/>
      <c r="D12872" s="1178"/>
      <c r="E12872" s="1179"/>
      <c r="F12872" s="1180"/>
      <c r="G12872" s="1166" t="n">
        <f aca="false">G12883</f>
        <v>1337.925</v>
      </c>
      <c r="H12872" s="1181"/>
      <c r="I12872" s="1157"/>
      <c r="J12872" s="1157"/>
      <c r="K12872" s="1157"/>
      <c r="L12872" s="1157"/>
      <c r="M12872" s="1157"/>
      <c r="N12872" s="1157"/>
      <c r="O12872" s="1157"/>
      <c r="P12872" s="1157"/>
      <c r="Q12872" s="1157"/>
      <c r="R12872" s="1157"/>
      <c r="S12872" s="1157"/>
      <c r="T12872" s="1157"/>
    </row>
    <row r="12873" s="1158" customFormat="true" ht="19.5" hidden="false" customHeight="true" outlineLevel="0" collapsed="false">
      <c r="A12873" s="1159"/>
      <c r="B12873" s="1163"/>
      <c r="C12873" s="1161" t="s">
        <v>6830</v>
      </c>
      <c r="D12873" s="1162" t="s">
        <v>6149</v>
      </c>
      <c r="E12873" s="627" t="n">
        <v>15</v>
      </c>
      <c r="F12873" s="547" t="n">
        <v>36010</v>
      </c>
      <c r="G12873" s="547" t="n">
        <f aca="false">E12873*F12873/1000</f>
        <v>540.15</v>
      </c>
      <c r="H12873" s="819"/>
      <c r="I12873" s="1157"/>
      <c r="J12873" s="1157"/>
      <c r="K12873" s="1157"/>
      <c r="L12873" s="1157"/>
      <c r="M12873" s="1157"/>
      <c r="N12873" s="1157"/>
      <c r="O12873" s="1157"/>
      <c r="P12873" s="1157"/>
      <c r="Q12873" s="1157"/>
      <c r="R12873" s="1157"/>
      <c r="S12873" s="1157"/>
      <c r="T12873" s="1157"/>
    </row>
    <row r="12874" s="1158" customFormat="true" ht="19.5" hidden="false" customHeight="true" outlineLevel="0" collapsed="false">
      <c r="A12874" s="1159"/>
      <c r="B12874" s="1163"/>
      <c r="C12874" s="1161" t="s">
        <v>6831</v>
      </c>
      <c r="D12874" s="1162" t="s">
        <v>6149</v>
      </c>
      <c r="E12874" s="627" t="n">
        <v>20</v>
      </c>
      <c r="F12874" s="547" t="n">
        <v>34826</v>
      </c>
      <c r="G12874" s="547" t="n">
        <f aca="false">E12874*F12874/1000</f>
        <v>696.52</v>
      </c>
      <c r="H12874" s="819"/>
      <c r="I12874" s="1157"/>
      <c r="J12874" s="1157"/>
      <c r="K12874" s="1157"/>
      <c r="L12874" s="1157"/>
      <c r="M12874" s="1157"/>
      <c r="N12874" s="1157"/>
      <c r="O12874" s="1157"/>
      <c r="P12874" s="1157"/>
      <c r="Q12874" s="1157"/>
      <c r="R12874" s="1157"/>
      <c r="S12874" s="1157"/>
      <c r="T12874" s="1157"/>
    </row>
    <row r="12875" s="1158" customFormat="true" ht="19.5" hidden="false" customHeight="true" outlineLevel="0" collapsed="false">
      <c r="A12875" s="1159"/>
      <c r="B12875" s="1163"/>
      <c r="C12875" s="1161" t="s">
        <v>6832</v>
      </c>
      <c r="D12875" s="1162" t="s">
        <v>6153</v>
      </c>
      <c r="E12875" s="627" t="n">
        <v>3</v>
      </c>
      <c r="F12875" s="547" t="n">
        <v>11211</v>
      </c>
      <c r="G12875" s="547" t="n">
        <f aca="false">E12875*F12875/20</f>
        <v>1681.65</v>
      </c>
      <c r="H12875" s="819"/>
      <c r="I12875" s="1157"/>
      <c r="J12875" s="1157"/>
      <c r="K12875" s="1157"/>
      <c r="L12875" s="1157"/>
      <c r="M12875" s="1157"/>
      <c r="N12875" s="1157"/>
      <c r="O12875" s="1157"/>
      <c r="P12875" s="1157"/>
      <c r="Q12875" s="1157"/>
      <c r="R12875" s="1157"/>
      <c r="S12875" s="1157"/>
      <c r="T12875" s="1157"/>
    </row>
    <row r="12876" s="1158" customFormat="true" ht="19.5" hidden="false" customHeight="true" outlineLevel="0" collapsed="false">
      <c r="A12876" s="1159"/>
      <c r="B12876" s="1163"/>
      <c r="C12876" s="1161" t="s">
        <v>6833</v>
      </c>
      <c r="D12876" s="1162" t="s">
        <v>6834</v>
      </c>
      <c r="E12876" s="627" t="n">
        <v>2</v>
      </c>
      <c r="F12876" s="547" t="n">
        <v>24850</v>
      </c>
      <c r="G12876" s="547" t="n">
        <f aca="false">E12876*F12876/100</f>
        <v>497</v>
      </c>
      <c r="H12876" s="819"/>
      <c r="I12876" s="1157"/>
      <c r="J12876" s="1157"/>
      <c r="K12876" s="1157"/>
      <c r="L12876" s="1157"/>
      <c r="M12876" s="1157"/>
      <c r="N12876" s="1157"/>
      <c r="O12876" s="1157"/>
      <c r="P12876" s="1157"/>
      <c r="Q12876" s="1157"/>
      <c r="R12876" s="1157"/>
      <c r="S12876" s="1157"/>
      <c r="T12876" s="1157"/>
    </row>
    <row r="12877" s="1158" customFormat="true" ht="19.5" hidden="false" customHeight="true" outlineLevel="0" collapsed="false">
      <c r="A12877" s="1159"/>
      <c r="B12877" s="1163"/>
      <c r="C12877" s="1161" t="s">
        <v>6835</v>
      </c>
      <c r="D12877" s="1162" t="s">
        <v>6153</v>
      </c>
      <c r="E12877" s="627" t="n">
        <v>1</v>
      </c>
      <c r="F12877" s="547" t="n">
        <v>26</v>
      </c>
      <c r="G12877" s="547" t="n">
        <f aca="false">E12877*F12877</f>
        <v>26</v>
      </c>
      <c r="H12877" s="819"/>
      <c r="I12877" s="1157"/>
      <c r="J12877" s="1157"/>
      <c r="K12877" s="1157"/>
      <c r="L12877" s="1157"/>
      <c r="M12877" s="1157"/>
      <c r="N12877" s="1157"/>
      <c r="O12877" s="1157"/>
      <c r="P12877" s="1157"/>
      <c r="Q12877" s="1157"/>
      <c r="R12877" s="1157"/>
      <c r="S12877" s="1157"/>
      <c r="T12877" s="1157"/>
    </row>
    <row r="12878" s="1158" customFormat="true" ht="19.5" hidden="false" customHeight="true" outlineLevel="0" collapsed="false">
      <c r="A12878" s="1159"/>
      <c r="B12878" s="1163"/>
      <c r="C12878" s="1161" t="s">
        <v>6836</v>
      </c>
      <c r="D12878" s="1162" t="s">
        <v>6837</v>
      </c>
      <c r="E12878" s="627" t="n">
        <v>0.2</v>
      </c>
      <c r="F12878" s="547" t="n">
        <v>27000</v>
      </c>
      <c r="G12878" s="547" t="n">
        <f aca="false">E12878*F12878/80</f>
        <v>67.5</v>
      </c>
      <c r="H12878" s="819"/>
      <c r="I12878" s="1157"/>
      <c r="J12878" s="1157"/>
      <c r="K12878" s="1157"/>
      <c r="L12878" s="1157"/>
      <c r="M12878" s="1157"/>
      <c r="N12878" s="1157"/>
      <c r="O12878" s="1157"/>
      <c r="P12878" s="1157"/>
      <c r="Q12878" s="1157"/>
      <c r="R12878" s="1157"/>
      <c r="S12878" s="1157"/>
      <c r="T12878" s="1157"/>
    </row>
    <row r="12879" s="1158" customFormat="true" ht="19.5" hidden="false" customHeight="true" outlineLevel="0" collapsed="false">
      <c r="A12879" s="1159"/>
      <c r="B12879" s="1163"/>
      <c r="C12879" s="1161" t="s">
        <v>6838</v>
      </c>
      <c r="D12879" s="1162" t="s">
        <v>6837</v>
      </c>
      <c r="E12879" s="627" t="n">
        <v>0.2</v>
      </c>
      <c r="F12879" s="547" t="n">
        <v>36000</v>
      </c>
      <c r="G12879" s="547" t="n">
        <f aca="false">E12879*F12879/80</f>
        <v>90</v>
      </c>
      <c r="H12879" s="819"/>
      <c r="I12879" s="1157"/>
      <c r="J12879" s="1157"/>
      <c r="K12879" s="1157"/>
      <c r="L12879" s="1157"/>
      <c r="M12879" s="1157"/>
      <c r="N12879" s="1157"/>
      <c r="O12879" s="1157"/>
      <c r="P12879" s="1157"/>
      <c r="Q12879" s="1157"/>
      <c r="R12879" s="1157"/>
      <c r="S12879" s="1157"/>
      <c r="T12879" s="1157"/>
    </row>
    <row r="12880" s="1158" customFormat="true" ht="19.5" hidden="false" customHeight="true" outlineLevel="0" collapsed="false">
      <c r="A12880" s="1159"/>
      <c r="B12880" s="1163"/>
      <c r="C12880" s="1161" t="s">
        <v>6839</v>
      </c>
      <c r="D12880" s="1162" t="s">
        <v>6837</v>
      </c>
      <c r="E12880" s="627" t="n">
        <v>0.2</v>
      </c>
      <c r="F12880" s="547" t="n">
        <v>40000</v>
      </c>
      <c r="G12880" s="547" t="n">
        <f aca="false">E12880*F12880/80</f>
        <v>100</v>
      </c>
      <c r="H12880" s="819"/>
      <c r="I12880" s="1157"/>
      <c r="J12880" s="1157"/>
      <c r="K12880" s="1157"/>
      <c r="L12880" s="1157"/>
      <c r="M12880" s="1157"/>
      <c r="N12880" s="1157"/>
      <c r="O12880" s="1157"/>
      <c r="P12880" s="1157"/>
      <c r="Q12880" s="1157"/>
      <c r="R12880" s="1157"/>
      <c r="S12880" s="1157"/>
      <c r="T12880" s="1157"/>
    </row>
    <row r="12881" s="1158" customFormat="true" ht="19.5" hidden="false" customHeight="true" outlineLevel="0" collapsed="false">
      <c r="A12881" s="1159"/>
      <c r="B12881" s="1163"/>
      <c r="C12881" s="1161" t="s">
        <v>6161</v>
      </c>
      <c r="D12881" s="1162" t="s">
        <v>6840</v>
      </c>
      <c r="E12881" s="627" t="n">
        <v>5</v>
      </c>
      <c r="F12881" s="547" t="n">
        <v>50391</v>
      </c>
      <c r="G12881" s="547" t="n">
        <f aca="false">E12881*F12881/1000</f>
        <v>251.955</v>
      </c>
      <c r="H12881" s="819"/>
      <c r="I12881" s="1157"/>
      <c r="J12881" s="1157"/>
      <c r="K12881" s="1157"/>
      <c r="L12881" s="1157"/>
      <c r="M12881" s="1157"/>
      <c r="N12881" s="1157"/>
      <c r="O12881" s="1157"/>
      <c r="P12881" s="1157"/>
      <c r="Q12881" s="1157"/>
      <c r="R12881" s="1157"/>
      <c r="S12881" s="1157"/>
      <c r="T12881" s="1157"/>
    </row>
    <row r="12882" s="1158" customFormat="true" ht="19.5" hidden="false" customHeight="true" outlineLevel="0" collapsed="false">
      <c r="A12882" s="1159"/>
      <c r="B12882" s="1163"/>
      <c r="C12882" s="1161" t="s">
        <v>6760</v>
      </c>
      <c r="D12882" s="1162" t="s">
        <v>4191</v>
      </c>
      <c r="E12882" s="627" t="n">
        <v>3</v>
      </c>
      <c r="F12882" s="547" t="n">
        <v>21</v>
      </c>
      <c r="G12882" s="547" t="n">
        <f aca="false">F12882*E12882</f>
        <v>63</v>
      </c>
      <c r="H12882" s="819"/>
      <c r="I12882" s="1157"/>
      <c r="J12882" s="1157"/>
      <c r="K12882" s="1157"/>
      <c r="L12882" s="1157"/>
      <c r="M12882" s="1157"/>
      <c r="N12882" s="1157"/>
      <c r="O12882" s="1157"/>
      <c r="P12882" s="1157"/>
      <c r="Q12882" s="1157"/>
      <c r="R12882" s="1157"/>
      <c r="S12882" s="1157"/>
      <c r="T12882" s="1157"/>
    </row>
    <row r="12883" s="1158" customFormat="true" ht="19.5" hidden="false" customHeight="true" outlineLevel="0" collapsed="false">
      <c r="A12883" s="1159"/>
      <c r="B12883" s="1160" t="s">
        <v>4128</v>
      </c>
      <c r="C12883" s="1183"/>
      <c r="D12883" s="1162"/>
      <c r="E12883" s="819"/>
      <c r="F12883" s="819"/>
      <c r="G12883" s="934" t="n">
        <f aca="false">SUM(G12873:G12882)/3</f>
        <v>1337.925</v>
      </c>
      <c r="H12883" s="819"/>
      <c r="I12883" s="1157"/>
      <c r="J12883" s="1157"/>
      <c r="K12883" s="1157"/>
      <c r="L12883" s="1157"/>
      <c r="M12883" s="1157"/>
      <c r="N12883" s="1157"/>
      <c r="O12883" s="1157"/>
      <c r="P12883" s="1157"/>
      <c r="Q12883" s="1157"/>
      <c r="R12883" s="1157"/>
      <c r="S12883" s="1157"/>
      <c r="T12883" s="1157"/>
    </row>
    <row r="12884" s="1158" customFormat="true" ht="18.75" hidden="false" customHeight="true" outlineLevel="0" collapsed="false">
      <c r="A12884" s="1153" t="s">
        <v>6841</v>
      </c>
      <c r="B12884" s="1164" t="s">
        <v>6842</v>
      </c>
      <c r="C12884" s="1177"/>
      <c r="D12884" s="1178"/>
      <c r="E12884" s="1179"/>
      <c r="F12884" s="1180"/>
      <c r="G12884" s="1166" t="n">
        <f aca="false">G12891</f>
        <v>5697.65</v>
      </c>
      <c r="H12884" s="1181"/>
      <c r="I12884" s="1157"/>
      <c r="J12884" s="1157"/>
      <c r="K12884" s="1157"/>
      <c r="L12884" s="1157"/>
      <c r="M12884" s="1157"/>
      <c r="N12884" s="1157"/>
      <c r="O12884" s="1157"/>
      <c r="P12884" s="1157"/>
      <c r="Q12884" s="1157"/>
      <c r="R12884" s="1157"/>
      <c r="S12884" s="1157"/>
      <c r="T12884" s="1157"/>
    </row>
    <row r="12885" s="1158" customFormat="true" ht="19.5" hidden="false" customHeight="true" outlineLevel="0" collapsed="false">
      <c r="A12885" s="1159"/>
      <c r="B12885" s="1163"/>
      <c r="C12885" s="1161" t="s">
        <v>6843</v>
      </c>
      <c r="D12885" s="1162" t="s">
        <v>4528</v>
      </c>
      <c r="E12885" s="627" t="n">
        <v>15</v>
      </c>
      <c r="F12885" s="547" t="n">
        <v>36010</v>
      </c>
      <c r="G12885" s="547" t="n">
        <f aca="false">E12885*F12885/1000</f>
        <v>540.15</v>
      </c>
      <c r="H12885" s="819"/>
      <c r="I12885" s="1157"/>
      <c r="J12885" s="1157"/>
      <c r="K12885" s="1157"/>
      <c r="L12885" s="1157"/>
      <c r="M12885" s="1157"/>
      <c r="N12885" s="1157"/>
      <c r="O12885" s="1157"/>
      <c r="P12885" s="1157"/>
      <c r="Q12885" s="1157"/>
      <c r="R12885" s="1157"/>
      <c r="S12885" s="1157"/>
      <c r="T12885" s="1157"/>
    </row>
    <row r="12886" s="1158" customFormat="true" ht="19.5" hidden="false" customHeight="true" outlineLevel="0" collapsed="false">
      <c r="A12886" s="1159"/>
      <c r="B12886" s="1163"/>
      <c r="C12886" s="1161" t="s">
        <v>6844</v>
      </c>
      <c r="D12886" s="1162" t="s">
        <v>4392</v>
      </c>
      <c r="E12886" s="627" t="n">
        <v>1.5</v>
      </c>
      <c r="F12886" s="547" t="n">
        <v>175200</v>
      </c>
      <c r="G12886" s="547" t="n">
        <f aca="false">F12886*E12886/500</f>
        <v>525.6</v>
      </c>
      <c r="H12886" s="819"/>
      <c r="I12886" s="1157"/>
      <c r="J12886" s="1157"/>
      <c r="K12886" s="1157"/>
      <c r="L12886" s="1157"/>
      <c r="M12886" s="1157"/>
      <c r="N12886" s="1157"/>
      <c r="O12886" s="1157"/>
      <c r="P12886" s="1157"/>
      <c r="Q12886" s="1157"/>
      <c r="R12886" s="1157"/>
      <c r="S12886" s="1157"/>
      <c r="T12886" s="1157"/>
    </row>
    <row r="12887" s="1158" customFormat="true" ht="19.5" hidden="false" customHeight="true" outlineLevel="0" collapsed="false">
      <c r="A12887" s="1159"/>
      <c r="B12887" s="1163"/>
      <c r="C12887" s="1161" t="s">
        <v>6845</v>
      </c>
      <c r="D12887" s="1162" t="s">
        <v>4348</v>
      </c>
      <c r="E12887" s="627" t="n">
        <v>1</v>
      </c>
      <c r="F12887" s="547" t="n">
        <v>80</v>
      </c>
      <c r="G12887" s="547" t="n">
        <f aca="false">F12887*E12887</f>
        <v>80</v>
      </c>
      <c r="H12887" s="819"/>
      <c r="I12887" s="1157"/>
      <c r="J12887" s="1157"/>
      <c r="K12887" s="1157"/>
      <c r="L12887" s="1157"/>
      <c r="M12887" s="1157"/>
      <c r="N12887" s="1157"/>
      <c r="O12887" s="1157"/>
      <c r="P12887" s="1157"/>
      <c r="Q12887" s="1157"/>
      <c r="R12887" s="1157"/>
      <c r="S12887" s="1157"/>
      <c r="T12887" s="1157"/>
    </row>
    <row r="12888" s="1158" customFormat="true" ht="19.5" hidden="false" customHeight="true" outlineLevel="0" collapsed="false">
      <c r="A12888" s="1159"/>
      <c r="B12888" s="1163"/>
      <c r="C12888" s="1161" t="s">
        <v>6846</v>
      </c>
      <c r="D12888" s="1162" t="s">
        <v>6847</v>
      </c>
      <c r="E12888" s="627" t="n">
        <v>3</v>
      </c>
      <c r="F12888" s="547" t="n">
        <v>10</v>
      </c>
      <c r="G12888" s="547" t="n">
        <f aca="false">F12888*E12888</f>
        <v>30</v>
      </c>
      <c r="H12888" s="819"/>
      <c r="I12888" s="1157"/>
      <c r="J12888" s="1157"/>
      <c r="K12888" s="1157"/>
      <c r="L12888" s="1157"/>
      <c r="M12888" s="1157"/>
      <c r="N12888" s="1157"/>
      <c r="O12888" s="1157"/>
      <c r="P12888" s="1157"/>
      <c r="Q12888" s="1157"/>
      <c r="R12888" s="1157"/>
      <c r="S12888" s="1157"/>
      <c r="T12888" s="1157"/>
    </row>
    <row r="12889" s="1158" customFormat="true" ht="19.5" hidden="false" customHeight="true" outlineLevel="0" collapsed="false">
      <c r="A12889" s="1159"/>
      <c r="B12889" s="1163"/>
      <c r="C12889" s="1161" t="s">
        <v>6848</v>
      </c>
      <c r="D12889" s="1162" t="s">
        <v>6268</v>
      </c>
      <c r="E12889" s="627" t="n">
        <v>3</v>
      </c>
      <c r="F12889" s="547" t="n">
        <v>12.5</v>
      </c>
      <c r="G12889" s="547" t="n">
        <f aca="false">F12889*E12889</f>
        <v>37.5</v>
      </c>
      <c r="H12889" s="819"/>
      <c r="I12889" s="1157"/>
      <c r="J12889" s="1157"/>
      <c r="K12889" s="1157"/>
      <c r="L12889" s="1157"/>
      <c r="M12889" s="1157"/>
      <c r="N12889" s="1157"/>
      <c r="O12889" s="1157"/>
      <c r="P12889" s="1157"/>
      <c r="Q12889" s="1157"/>
      <c r="R12889" s="1157"/>
      <c r="S12889" s="1157"/>
      <c r="T12889" s="1157"/>
    </row>
    <row r="12890" s="1158" customFormat="true" ht="19.5" hidden="false" customHeight="true" outlineLevel="0" collapsed="false">
      <c r="A12890" s="1159"/>
      <c r="B12890" s="1163"/>
      <c r="C12890" s="1161" t="s">
        <v>6849</v>
      </c>
      <c r="D12890" s="1162" t="s">
        <v>4348</v>
      </c>
      <c r="E12890" s="627" t="n">
        <v>2</v>
      </c>
      <c r="F12890" s="547" t="n">
        <v>11211</v>
      </c>
      <c r="G12890" s="547" t="n">
        <f aca="false">F12890/5*2</f>
        <v>4484.4</v>
      </c>
      <c r="H12890" s="819"/>
      <c r="I12890" s="1157"/>
      <c r="J12890" s="1157"/>
      <c r="K12890" s="1157"/>
      <c r="L12890" s="1157"/>
      <c r="M12890" s="1157"/>
      <c r="N12890" s="1157"/>
      <c r="O12890" s="1157"/>
      <c r="P12890" s="1157"/>
      <c r="Q12890" s="1157"/>
      <c r="R12890" s="1157"/>
      <c r="S12890" s="1157"/>
      <c r="T12890" s="1157"/>
    </row>
    <row r="12891" s="1158" customFormat="true" ht="19.5" hidden="false" customHeight="true" outlineLevel="0" collapsed="false">
      <c r="A12891" s="1159"/>
      <c r="B12891" s="1160" t="s">
        <v>4128</v>
      </c>
      <c r="C12891" s="1161"/>
      <c r="D12891" s="1161"/>
      <c r="E12891" s="819"/>
      <c r="F12891" s="819"/>
      <c r="G12891" s="934" t="n">
        <f aca="false">SUM(G12885:G12890)</f>
        <v>5697.65</v>
      </c>
      <c r="H12891" s="819"/>
      <c r="I12891" s="1157"/>
      <c r="J12891" s="1157"/>
      <c r="K12891" s="1157"/>
      <c r="L12891" s="1157"/>
      <c r="M12891" s="1157"/>
      <c r="N12891" s="1157"/>
      <c r="O12891" s="1157"/>
      <c r="P12891" s="1157"/>
      <c r="Q12891" s="1157"/>
      <c r="R12891" s="1157"/>
      <c r="S12891" s="1157"/>
      <c r="T12891" s="1157"/>
    </row>
    <row r="12892" s="1158" customFormat="true" ht="34.5" hidden="false" customHeight="true" outlineLevel="0" collapsed="false">
      <c r="A12892" s="1153" t="s">
        <v>6850</v>
      </c>
      <c r="B12892" s="1164" t="s">
        <v>6851</v>
      </c>
      <c r="C12892" s="1177" t="n">
        <f aca="false">[3]Амортизация!C12727</f>
        <v>0</v>
      </c>
      <c r="D12892" s="1178"/>
      <c r="E12892" s="1179"/>
      <c r="F12892" s="1180"/>
      <c r="G12892" s="1180"/>
      <c r="H12892" s="1181"/>
      <c r="I12892" s="1157"/>
      <c r="J12892" s="1157"/>
      <c r="K12892" s="1157"/>
      <c r="L12892" s="1157"/>
      <c r="M12892" s="1157"/>
      <c r="N12892" s="1157"/>
      <c r="O12892" s="1157"/>
      <c r="P12892" s="1157"/>
      <c r="Q12892" s="1157"/>
      <c r="R12892" s="1157"/>
      <c r="S12892" s="1157"/>
      <c r="T12892" s="1157"/>
    </row>
    <row r="12893" s="1158" customFormat="true" ht="32.25" hidden="false" customHeight="true" outlineLevel="0" collapsed="false">
      <c r="A12893" s="1153" t="s">
        <v>6852</v>
      </c>
      <c r="B12893" s="1164" t="s">
        <v>6853</v>
      </c>
      <c r="C12893" s="1177" t="n">
        <f aca="false">[3]Амортизация!C12728</f>
        <v>0</v>
      </c>
      <c r="D12893" s="1178"/>
      <c r="E12893" s="1179"/>
      <c r="F12893" s="1180"/>
      <c r="G12893" s="1180"/>
      <c r="H12893" s="1181"/>
      <c r="I12893" s="1157"/>
      <c r="J12893" s="1157"/>
      <c r="K12893" s="1157"/>
      <c r="L12893" s="1157"/>
      <c r="M12893" s="1157"/>
      <c r="N12893" s="1157"/>
      <c r="O12893" s="1157"/>
      <c r="P12893" s="1157"/>
      <c r="Q12893" s="1157"/>
      <c r="R12893" s="1157"/>
      <c r="S12893" s="1157"/>
      <c r="T12893" s="1157"/>
    </row>
    <row r="12894" s="1158" customFormat="true" ht="37.5" hidden="false" customHeight="true" outlineLevel="0" collapsed="false">
      <c r="A12894" s="1153" t="s">
        <v>6854</v>
      </c>
      <c r="B12894" s="1164" t="s">
        <v>6855</v>
      </c>
      <c r="C12894" s="1177"/>
      <c r="D12894" s="1178"/>
      <c r="E12894" s="1179"/>
      <c r="F12894" s="1180"/>
      <c r="G12894" s="1166" t="n">
        <f aca="false">G12905</f>
        <v>9957.9</v>
      </c>
      <c r="H12894" s="1181"/>
      <c r="I12894" s="1157"/>
      <c r="J12894" s="1157"/>
      <c r="K12894" s="1157"/>
      <c r="L12894" s="1157"/>
      <c r="M12894" s="1157"/>
      <c r="N12894" s="1157"/>
      <c r="O12894" s="1157"/>
      <c r="P12894" s="1157"/>
      <c r="Q12894" s="1157"/>
      <c r="R12894" s="1157"/>
      <c r="S12894" s="1157"/>
      <c r="T12894" s="1157"/>
    </row>
    <row r="12895" s="1158" customFormat="true" ht="19.5" hidden="false" customHeight="true" outlineLevel="0" collapsed="false">
      <c r="A12895" s="1159"/>
      <c r="B12895" s="1163" t="s">
        <v>6856</v>
      </c>
      <c r="C12895" s="1161" t="s">
        <v>6857</v>
      </c>
      <c r="D12895" s="1162" t="s">
        <v>6213</v>
      </c>
      <c r="E12895" s="547" t="n">
        <v>1</v>
      </c>
      <c r="F12895" s="547" t="n">
        <v>242682</v>
      </c>
      <c r="G12895" s="547" t="n">
        <f aca="false">F12895*E12895/55</f>
        <v>4412.4</v>
      </c>
      <c r="H12895" s="819"/>
      <c r="I12895" s="1157"/>
      <c r="J12895" s="1157"/>
      <c r="K12895" s="1157"/>
      <c r="L12895" s="1157"/>
      <c r="M12895" s="1157"/>
      <c r="N12895" s="1157"/>
      <c r="O12895" s="1157"/>
      <c r="P12895" s="1157"/>
      <c r="Q12895" s="1157"/>
      <c r="R12895" s="1157"/>
      <c r="S12895" s="1157"/>
      <c r="T12895" s="1157"/>
    </row>
    <row r="12896" s="1158" customFormat="true" ht="19.5" hidden="false" customHeight="true" outlineLevel="0" collapsed="false">
      <c r="A12896" s="1159"/>
      <c r="B12896" s="1163"/>
      <c r="C12896" s="1161" t="s">
        <v>6858</v>
      </c>
      <c r="D12896" s="1162" t="s">
        <v>6538</v>
      </c>
      <c r="E12896" s="547" t="n">
        <v>10</v>
      </c>
      <c r="F12896" s="547" t="n">
        <v>9500</v>
      </c>
      <c r="G12896" s="547" t="n">
        <f aca="false">E12896*F12896/96</f>
        <v>989.583333333333</v>
      </c>
      <c r="H12896" s="819"/>
      <c r="I12896" s="1157"/>
      <c r="J12896" s="1157"/>
      <c r="K12896" s="1157"/>
      <c r="L12896" s="1157"/>
      <c r="M12896" s="1157"/>
      <c r="N12896" s="1157"/>
      <c r="O12896" s="1157"/>
      <c r="P12896" s="1157"/>
      <c r="Q12896" s="1157"/>
      <c r="R12896" s="1157"/>
      <c r="S12896" s="1157"/>
      <c r="T12896" s="1157"/>
    </row>
    <row r="12897" s="1158" customFormat="true" ht="19.5" hidden="false" customHeight="true" outlineLevel="0" collapsed="false">
      <c r="A12897" s="1159"/>
      <c r="B12897" s="1163"/>
      <c r="C12897" s="1161" t="s">
        <v>6328</v>
      </c>
      <c r="D12897" s="1162" t="s">
        <v>6329</v>
      </c>
      <c r="E12897" s="547" t="n">
        <v>10</v>
      </c>
      <c r="F12897" s="547" t="n">
        <v>82900</v>
      </c>
      <c r="G12897" s="547" t="n">
        <f aca="false">E12897*F12897/1000</f>
        <v>829</v>
      </c>
      <c r="H12897" s="819"/>
      <c r="I12897" s="1157"/>
      <c r="J12897" s="1157"/>
      <c r="K12897" s="1157"/>
      <c r="L12897" s="1157"/>
      <c r="M12897" s="1157"/>
      <c r="N12897" s="1157"/>
      <c r="O12897" s="1157"/>
      <c r="P12897" s="1157"/>
      <c r="Q12897" s="1157"/>
      <c r="R12897" s="1157"/>
      <c r="S12897" s="1157"/>
      <c r="T12897" s="1157"/>
    </row>
    <row r="12898" s="1158" customFormat="true" ht="19.5" hidden="false" customHeight="true" outlineLevel="0" collapsed="false">
      <c r="A12898" s="1159"/>
      <c r="B12898" s="1163"/>
      <c r="C12898" s="1161" t="s">
        <v>6741</v>
      </c>
      <c r="D12898" s="1162" t="s">
        <v>4348</v>
      </c>
      <c r="E12898" s="547" t="n">
        <v>1</v>
      </c>
      <c r="F12898" s="547" t="n">
        <v>600</v>
      </c>
      <c r="G12898" s="547" t="n">
        <f aca="false">E12898*F12898</f>
        <v>600</v>
      </c>
      <c r="H12898" s="819"/>
      <c r="I12898" s="1157"/>
      <c r="J12898" s="1157"/>
      <c r="K12898" s="1157"/>
      <c r="L12898" s="1157"/>
      <c r="M12898" s="1157"/>
      <c r="N12898" s="1157"/>
      <c r="O12898" s="1157"/>
      <c r="P12898" s="1157"/>
      <c r="Q12898" s="1157"/>
      <c r="R12898" s="1157"/>
      <c r="S12898" s="1157"/>
      <c r="T12898" s="1157"/>
    </row>
    <row r="12899" s="1158" customFormat="true" ht="19.5" hidden="false" customHeight="true" outlineLevel="0" collapsed="false">
      <c r="A12899" s="1159"/>
      <c r="B12899" s="1163"/>
      <c r="C12899" s="1161" t="s">
        <v>6736</v>
      </c>
      <c r="D12899" s="1162" t="s">
        <v>6495</v>
      </c>
      <c r="E12899" s="547" t="n">
        <v>1</v>
      </c>
      <c r="F12899" s="547" t="n">
        <v>23000</v>
      </c>
      <c r="G12899" s="547" t="n">
        <f aca="false">F12899*E12899/96</f>
        <v>239.583333333333</v>
      </c>
      <c r="H12899" s="819"/>
      <c r="I12899" s="1157"/>
      <c r="J12899" s="1157"/>
      <c r="K12899" s="1157"/>
      <c r="L12899" s="1157"/>
      <c r="M12899" s="1157"/>
      <c r="N12899" s="1157"/>
      <c r="O12899" s="1157"/>
      <c r="P12899" s="1157"/>
      <c r="Q12899" s="1157"/>
      <c r="R12899" s="1157"/>
      <c r="S12899" s="1157"/>
      <c r="T12899" s="1157"/>
    </row>
    <row r="12900" s="1158" customFormat="true" ht="19.5" hidden="false" customHeight="true" outlineLevel="0" collapsed="false">
      <c r="A12900" s="1159"/>
      <c r="B12900" s="1163"/>
      <c r="C12900" s="1161" t="s">
        <v>6737</v>
      </c>
      <c r="D12900" s="1162" t="s">
        <v>6495</v>
      </c>
      <c r="E12900" s="547" t="n">
        <v>1</v>
      </c>
      <c r="F12900" s="547" t="n">
        <v>22000</v>
      </c>
      <c r="G12900" s="547" t="n">
        <f aca="false">F12900*E12900/96</f>
        <v>229.166666666667</v>
      </c>
      <c r="H12900" s="819"/>
      <c r="I12900" s="1157"/>
      <c r="J12900" s="1157"/>
      <c r="K12900" s="1157"/>
      <c r="L12900" s="1157"/>
      <c r="M12900" s="1157"/>
      <c r="N12900" s="1157"/>
      <c r="O12900" s="1157"/>
      <c r="P12900" s="1157"/>
      <c r="Q12900" s="1157"/>
      <c r="R12900" s="1157"/>
      <c r="S12900" s="1157"/>
      <c r="T12900" s="1157"/>
    </row>
    <row r="12901" s="1158" customFormat="true" ht="19.5" hidden="false" customHeight="true" outlineLevel="0" collapsed="false">
      <c r="A12901" s="1159"/>
      <c r="B12901" s="1163"/>
      <c r="C12901" s="1161" t="s">
        <v>6738</v>
      </c>
      <c r="D12901" s="1162" t="s">
        <v>6495</v>
      </c>
      <c r="E12901" s="547" t="n">
        <v>1</v>
      </c>
      <c r="F12901" s="547" t="n">
        <v>23000</v>
      </c>
      <c r="G12901" s="547" t="n">
        <f aca="false">F12901*E12901/96</f>
        <v>239.583333333333</v>
      </c>
      <c r="H12901" s="819"/>
      <c r="I12901" s="1157"/>
      <c r="J12901" s="1157"/>
      <c r="K12901" s="1157"/>
      <c r="L12901" s="1157"/>
      <c r="M12901" s="1157"/>
      <c r="N12901" s="1157"/>
      <c r="O12901" s="1157"/>
      <c r="P12901" s="1157"/>
      <c r="Q12901" s="1157"/>
      <c r="R12901" s="1157"/>
      <c r="S12901" s="1157"/>
      <c r="T12901" s="1157"/>
    </row>
    <row r="12902" s="1158" customFormat="true" ht="19.5" hidden="false" customHeight="true" outlineLevel="0" collapsed="false">
      <c r="A12902" s="1159"/>
      <c r="B12902" s="1163"/>
      <c r="C12902" s="1161" t="s">
        <v>6739</v>
      </c>
      <c r="D12902" s="1162" t="s">
        <v>6538</v>
      </c>
      <c r="E12902" s="547" t="n">
        <v>10</v>
      </c>
      <c r="F12902" s="547" t="n">
        <v>9500</v>
      </c>
      <c r="G12902" s="547" t="n">
        <f aca="false">E12902*F12902/96</f>
        <v>989.583333333333</v>
      </c>
      <c r="H12902" s="819"/>
      <c r="I12902" s="1157"/>
      <c r="J12902" s="1157"/>
      <c r="K12902" s="1157"/>
      <c r="L12902" s="1157"/>
      <c r="M12902" s="1157"/>
      <c r="N12902" s="1157"/>
      <c r="O12902" s="1157"/>
      <c r="P12902" s="1157"/>
      <c r="Q12902" s="1157"/>
      <c r="R12902" s="1157"/>
      <c r="S12902" s="1157"/>
      <c r="T12902" s="1157"/>
    </row>
    <row r="12903" s="1158" customFormat="true" ht="19.5" hidden="false" customHeight="true" outlineLevel="0" collapsed="false">
      <c r="A12903" s="1159"/>
      <c r="B12903" s="1163"/>
      <c r="C12903" s="1161" t="s">
        <v>6328</v>
      </c>
      <c r="D12903" s="1162" t="s">
        <v>6329</v>
      </c>
      <c r="E12903" s="547" t="n">
        <v>10</v>
      </c>
      <c r="F12903" s="547" t="n">
        <v>82900</v>
      </c>
      <c r="G12903" s="547" t="n">
        <f aca="false">E12903*F12903/1000</f>
        <v>829</v>
      </c>
      <c r="H12903" s="819"/>
      <c r="I12903" s="1157"/>
      <c r="J12903" s="1157"/>
      <c r="K12903" s="1157"/>
      <c r="L12903" s="1157"/>
      <c r="M12903" s="1157"/>
      <c r="N12903" s="1157"/>
      <c r="O12903" s="1157"/>
      <c r="P12903" s="1157"/>
      <c r="Q12903" s="1157"/>
      <c r="R12903" s="1157"/>
      <c r="S12903" s="1157"/>
      <c r="T12903" s="1157"/>
    </row>
    <row r="12904" s="1158" customFormat="true" ht="19.5" hidden="false" customHeight="true" outlineLevel="0" collapsed="false">
      <c r="A12904" s="1159"/>
      <c r="B12904" s="1163"/>
      <c r="C12904" s="1161" t="s">
        <v>6741</v>
      </c>
      <c r="D12904" s="1162" t="s">
        <v>4348</v>
      </c>
      <c r="E12904" s="547" t="n">
        <v>1</v>
      </c>
      <c r="F12904" s="547" t="n">
        <v>600</v>
      </c>
      <c r="G12904" s="547" t="n">
        <f aca="false">E12904*F12904</f>
        <v>600</v>
      </c>
      <c r="H12904" s="819"/>
      <c r="I12904" s="1157"/>
      <c r="J12904" s="1157"/>
      <c r="K12904" s="1157"/>
      <c r="L12904" s="1157"/>
      <c r="M12904" s="1157"/>
      <c r="N12904" s="1157"/>
      <c r="O12904" s="1157"/>
      <c r="P12904" s="1157"/>
      <c r="Q12904" s="1157"/>
      <c r="R12904" s="1157"/>
      <c r="S12904" s="1157"/>
      <c r="T12904" s="1157"/>
    </row>
    <row r="12905" s="1158" customFormat="true" ht="19.5" hidden="false" customHeight="true" outlineLevel="0" collapsed="false">
      <c r="A12905" s="1159"/>
      <c r="B12905" s="1160" t="s">
        <v>4128</v>
      </c>
      <c r="C12905" s="1170"/>
      <c r="D12905" s="1170"/>
      <c r="E12905" s="1170"/>
      <c r="F12905" s="1170"/>
      <c r="G12905" s="714" t="n">
        <f aca="false">SUM(G12895:G12904)</f>
        <v>9957.9</v>
      </c>
      <c r="H12905" s="1170"/>
      <c r="I12905" s="1157"/>
      <c r="J12905" s="1157"/>
      <c r="K12905" s="1157"/>
      <c r="L12905" s="1157"/>
      <c r="M12905" s="1157"/>
      <c r="N12905" s="1157"/>
      <c r="O12905" s="1157"/>
      <c r="P12905" s="1157"/>
      <c r="Q12905" s="1157"/>
      <c r="R12905" s="1157"/>
      <c r="S12905" s="1157"/>
      <c r="T12905" s="1157"/>
    </row>
    <row r="12906" s="1158" customFormat="true" ht="27.75" hidden="false" customHeight="true" outlineLevel="0" collapsed="false">
      <c r="A12906" s="1153" t="s">
        <v>6859</v>
      </c>
      <c r="B12906" s="1164" t="s">
        <v>6860</v>
      </c>
      <c r="C12906" s="1177" t="n">
        <f aca="false">[3]Амортизация!C12741</f>
        <v>0</v>
      </c>
      <c r="D12906" s="1178"/>
      <c r="E12906" s="1179"/>
      <c r="F12906" s="1180"/>
      <c r="G12906" s="1180"/>
      <c r="H12906" s="1181"/>
      <c r="I12906" s="1157"/>
      <c r="J12906" s="1157"/>
      <c r="K12906" s="1157"/>
      <c r="L12906" s="1157"/>
      <c r="M12906" s="1157"/>
      <c r="N12906" s="1157"/>
      <c r="O12906" s="1157"/>
      <c r="P12906" s="1157"/>
      <c r="Q12906" s="1157"/>
      <c r="R12906" s="1157"/>
      <c r="S12906" s="1157"/>
      <c r="T12906" s="1157"/>
    </row>
    <row r="12907" s="1158" customFormat="true" ht="42" hidden="false" customHeight="true" outlineLevel="0" collapsed="false">
      <c r="A12907" s="1153" t="s">
        <v>6861</v>
      </c>
      <c r="B12907" s="1164" t="s">
        <v>6862</v>
      </c>
      <c r="C12907" s="1177"/>
      <c r="D12907" s="1178"/>
      <c r="E12907" s="1179"/>
      <c r="F12907" s="1180"/>
      <c r="G12907" s="1166" t="n">
        <f aca="false">G12919+G12931+G12942+G12953</f>
        <v>15894.995</v>
      </c>
      <c r="H12907" s="1181"/>
      <c r="I12907" s="1157"/>
      <c r="J12907" s="1157"/>
      <c r="K12907" s="1157"/>
      <c r="L12907" s="1157"/>
      <c r="M12907" s="1157"/>
      <c r="N12907" s="1157"/>
      <c r="O12907" s="1157"/>
      <c r="P12907" s="1157"/>
      <c r="Q12907" s="1157"/>
      <c r="R12907" s="1157"/>
      <c r="S12907" s="1157"/>
      <c r="T12907" s="1157"/>
    </row>
    <row r="12908" s="1158" customFormat="true" ht="41.25" hidden="false" customHeight="true" outlineLevel="0" collapsed="false">
      <c r="A12908" s="1182"/>
      <c r="B12908" s="1173" t="s">
        <v>6863</v>
      </c>
      <c r="C12908" s="1161" t="s">
        <v>4542</v>
      </c>
      <c r="D12908" s="1162" t="s">
        <v>4528</v>
      </c>
      <c r="E12908" s="547" t="n">
        <v>120</v>
      </c>
      <c r="F12908" s="627" t="n">
        <v>3.5</v>
      </c>
      <c r="G12908" s="547" t="n">
        <f aca="false">E12908*F12908</f>
        <v>420</v>
      </c>
      <c r="H12908" s="547"/>
      <c r="I12908" s="1157"/>
      <c r="J12908" s="1157"/>
      <c r="K12908" s="1157"/>
      <c r="L12908" s="1157"/>
      <c r="M12908" s="1157"/>
      <c r="N12908" s="1157"/>
      <c r="O12908" s="1157"/>
      <c r="P12908" s="1157"/>
      <c r="Q12908" s="1157"/>
      <c r="R12908" s="1157"/>
      <c r="S12908" s="1157"/>
      <c r="T12908" s="1157"/>
    </row>
    <row r="12909" s="1158" customFormat="true" ht="19.5" hidden="false" customHeight="true" outlineLevel="0" collapsed="false">
      <c r="A12909" s="1182"/>
      <c r="B12909" s="1173"/>
      <c r="C12909" s="1161" t="s">
        <v>4614</v>
      </c>
      <c r="D12909" s="1162" t="s">
        <v>4528</v>
      </c>
      <c r="E12909" s="547" t="n">
        <v>100</v>
      </c>
      <c r="F12909" s="547" t="n">
        <v>11</v>
      </c>
      <c r="G12909" s="547" t="n">
        <f aca="false">E12909*F12909</f>
        <v>1100</v>
      </c>
      <c r="H12909" s="547"/>
      <c r="I12909" s="1157"/>
      <c r="J12909" s="1157"/>
      <c r="K12909" s="1157"/>
      <c r="L12909" s="1157"/>
      <c r="M12909" s="1157"/>
      <c r="N12909" s="1157"/>
      <c r="O12909" s="1157"/>
      <c r="P12909" s="1157"/>
      <c r="Q12909" s="1157"/>
      <c r="R12909" s="1157"/>
      <c r="S12909" s="1157"/>
      <c r="T12909" s="1157"/>
    </row>
    <row r="12910" s="1158" customFormat="true" ht="19.5" hidden="false" customHeight="true" outlineLevel="0" collapsed="false">
      <c r="A12910" s="1182"/>
      <c r="B12910" s="1173"/>
      <c r="C12910" s="1161" t="s">
        <v>6864</v>
      </c>
      <c r="D12910" s="1162" t="s">
        <v>4525</v>
      </c>
      <c r="E12910" s="547" t="n">
        <v>175</v>
      </c>
      <c r="F12910" s="547" t="n">
        <v>13</v>
      </c>
      <c r="G12910" s="547" t="n">
        <f aca="false">E12910*F12910</f>
        <v>2275</v>
      </c>
      <c r="H12910" s="547"/>
      <c r="I12910" s="1157"/>
      <c r="J12910" s="1157"/>
      <c r="K12910" s="1157"/>
      <c r="L12910" s="1157"/>
      <c r="M12910" s="1157"/>
      <c r="N12910" s="1157"/>
      <c r="O12910" s="1157"/>
      <c r="P12910" s="1157"/>
      <c r="Q12910" s="1157"/>
      <c r="R12910" s="1157"/>
      <c r="S12910" s="1157"/>
      <c r="T12910" s="1157"/>
    </row>
    <row r="12911" s="1158" customFormat="true" ht="19.5" hidden="false" customHeight="true" outlineLevel="0" collapsed="false">
      <c r="A12911" s="1182"/>
      <c r="B12911" s="1173"/>
      <c r="C12911" s="1161" t="s">
        <v>6865</v>
      </c>
      <c r="D12911" s="1162" t="s">
        <v>4525</v>
      </c>
      <c r="E12911" s="819" t="n">
        <v>0.04</v>
      </c>
      <c r="F12911" s="547" t="n">
        <v>30</v>
      </c>
      <c r="G12911" s="819" t="n">
        <f aca="false">E12911*F12911</f>
        <v>1.2</v>
      </c>
      <c r="H12911" s="547"/>
      <c r="I12911" s="1157"/>
      <c r="J12911" s="1157"/>
      <c r="K12911" s="1157"/>
      <c r="L12911" s="1157"/>
      <c r="M12911" s="1157"/>
      <c r="N12911" s="1157"/>
      <c r="O12911" s="1157"/>
      <c r="P12911" s="1157"/>
      <c r="Q12911" s="1157"/>
      <c r="R12911" s="1157"/>
      <c r="S12911" s="1157"/>
      <c r="T12911" s="1157"/>
    </row>
    <row r="12912" s="1158" customFormat="true" ht="19.5" hidden="false" customHeight="true" outlineLevel="0" collapsed="false">
      <c r="A12912" s="1182"/>
      <c r="B12912" s="1173"/>
      <c r="C12912" s="1161" t="s">
        <v>6866</v>
      </c>
      <c r="D12912" s="1162" t="s">
        <v>4525</v>
      </c>
      <c r="E12912" s="819" t="n">
        <v>0.05</v>
      </c>
      <c r="F12912" s="547" t="n">
        <v>15</v>
      </c>
      <c r="G12912" s="819" t="n">
        <f aca="false">E12912*F12912</f>
        <v>0.75</v>
      </c>
      <c r="H12912" s="547"/>
      <c r="I12912" s="1157"/>
      <c r="J12912" s="1157"/>
      <c r="K12912" s="1157"/>
      <c r="L12912" s="1157"/>
      <c r="M12912" s="1157"/>
      <c r="N12912" s="1157"/>
      <c r="O12912" s="1157"/>
      <c r="P12912" s="1157"/>
      <c r="Q12912" s="1157"/>
      <c r="R12912" s="1157"/>
      <c r="S12912" s="1157"/>
      <c r="T12912" s="1157"/>
    </row>
    <row r="12913" s="1158" customFormat="true" ht="19.5" hidden="false" customHeight="true" outlineLevel="0" collapsed="false">
      <c r="A12913" s="1159"/>
      <c r="B12913" s="1163"/>
      <c r="C12913" s="1161" t="s">
        <v>6867</v>
      </c>
      <c r="D12913" s="1162" t="s">
        <v>4525</v>
      </c>
      <c r="E12913" s="547" t="n">
        <v>10</v>
      </c>
      <c r="F12913" s="627" t="n">
        <v>1.3</v>
      </c>
      <c r="G12913" s="547" t="n">
        <f aca="false">E12913*F12913</f>
        <v>13</v>
      </c>
      <c r="H12913" s="547"/>
      <c r="I12913" s="1157"/>
      <c r="J12913" s="1157"/>
      <c r="K12913" s="1157"/>
      <c r="L12913" s="1157"/>
      <c r="M12913" s="1157"/>
      <c r="N12913" s="1157"/>
      <c r="O12913" s="1157"/>
      <c r="P12913" s="1157"/>
      <c r="Q12913" s="1157"/>
      <c r="R12913" s="1157"/>
      <c r="S12913" s="1157"/>
      <c r="T12913" s="1157"/>
    </row>
    <row r="12914" s="1158" customFormat="true" ht="19.5" hidden="false" customHeight="true" outlineLevel="0" collapsed="false">
      <c r="A12914" s="1159"/>
      <c r="B12914" s="1163"/>
      <c r="C12914" s="1161" t="s">
        <v>6868</v>
      </c>
      <c r="D12914" s="1162" t="s">
        <v>4528</v>
      </c>
      <c r="E12914" s="547" t="n">
        <v>10</v>
      </c>
      <c r="F12914" s="627" t="n">
        <v>5.8</v>
      </c>
      <c r="G12914" s="547" t="n">
        <f aca="false">E12914*F12914</f>
        <v>58</v>
      </c>
      <c r="H12914" s="547"/>
      <c r="I12914" s="1157"/>
      <c r="J12914" s="1157"/>
      <c r="K12914" s="1157"/>
      <c r="L12914" s="1157"/>
      <c r="M12914" s="1157"/>
      <c r="N12914" s="1157"/>
      <c r="O12914" s="1157"/>
      <c r="P12914" s="1157"/>
      <c r="Q12914" s="1157"/>
      <c r="R12914" s="1157"/>
      <c r="S12914" s="1157"/>
      <c r="T12914" s="1157"/>
    </row>
    <row r="12915" s="1158" customFormat="true" ht="19.5" hidden="false" customHeight="true" outlineLevel="0" collapsed="false">
      <c r="A12915" s="1159"/>
      <c r="B12915" s="1163"/>
      <c r="C12915" s="1161" t="s">
        <v>6869</v>
      </c>
      <c r="D12915" s="1162" t="s">
        <v>4525</v>
      </c>
      <c r="E12915" s="858" t="n">
        <v>0.001</v>
      </c>
      <c r="F12915" s="547" t="n">
        <v>40</v>
      </c>
      <c r="G12915" s="819" t="n">
        <f aca="false">E12915*F12915</f>
        <v>0.04</v>
      </c>
      <c r="H12915" s="547"/>
      <c r="I12915" s="1157"/>
      <c r="J12915" s="1157"/>
      <c r="K12915" s="1157"/>
      <c r="L12915" s="1157"/>
      <c r="M12915" s="1157"/>
      <c r="N12915" s="1157"/>
      <c r="O12915" s="1157"/>
      <c r="P12915" s="1157"/>
      <c r="Q12915" s="1157"/>
      <c r="R12915" s="1157"/>
      <c r="S12915" s="1157"/>
      <c r="T12915" s="1157"/>
    </row>
    <row r="12916" s="1158" customFormat="true" ht="19.5" hidden="false" customHeight="true" outlineLevel="0" collapsed="false">
      <c r="A12916" s="1159"/>
      <c r="B12916" s="1163"/>
      <c r="C12916" s="1161" t="s">
        <v>6870</v>
      </c>
      <c r="D12916" s="1162" t="s">
        <v>4528</v>
      </c>
      <c r="E12916" s="547" t="n">
        <v>10</v>
      </c>
      <c r="F12916" s="819" t="n">
        <v>0.45</v>
      </c>
      <c r="G12916" s="819" t="n">
        <f aca="false">E12916*F12916</f>
        <v>4.5</v>
      </c>
      <c r="H12916" s="547"/>
      <c r="I12916" s="1157"/>
      <c r="J12916" s="1157"/>
      <c r="K12916" s="1157"/>
      <c r="L12916" s="1157"/>
      <c r="M12916" s="1157"/>
      <c r="N12916" s="1157"/>
      <c r="O12916" s="1157"/>
      <c r="P12916" s="1157"/>
      <c r="Q12916" s="1157"/>
      <c r="R12916" s="1157"/>
      <c r="S12916" s="1157"/>
      <c r="T12916" s="1157"/>
    </row>
    <row r="12917" s="1158" customFormat="true" ht="19.5" hidden="false" customHeight="true" outlineLevel="0" collapsed="false">
      <c r="A12917" s="1159"/>
      <c r="B12917" s="1163"/>
      <c r="C12917" s="1161" t="s">
        <v>5945</v>
      </c>
      <c r="D12917" s="1162" t="s">
        <v>4525</v>
      </c>
      <c r="E12917" s="627" t="n">
        <v>0.1</v>
      </c>
      <c r="F12917" s="627" t="n">
        <v>3.5</v>
      </c>
      <c r="G12917" s="819" t="n">
        <f aca="false">E12917*F12917</f>
        <v>0.35</v>
      </c>
      <c r="H12917" s="547"/>
      <c r="I12917" s="1157"/>
      <c r="J12917" s="1157"/>
      <c r="K12917" s="1157"/>
      <c r="L12917" s="1157"/>
      <c r="M12917" s="1157"/>
      <c r="N12917" s="1157"/>
      <c r="O12917" s="1157"/>
      <c r="P12917" s="1157"/>
      <c r="Q12917" s="1157"/>
      <c r="R12917" s="1157"/>
      <c r="S12917" s="1157"/>
      <c r="T12917" s="1157"/>
    </row>
    <row r="12918" s="1158" customFormat="true" ht="19.5" hidden="false" customHeight="true" outlineLevel="0" collapsed="false">
      <c r="A12918" s="1159"/>
      <c r="B12918" s="1163"/>
      <c r="C12918" s="1161" t="s">
        <v>6752</v>
      </c>
      <c r="D12918" s="1162" t="s">
        <v>4516</v>
      </c>
      <c r="E12918" s="627" t="n">
        <v>0.5</v>
      </c>
      <c r="F12918" s="547" t="n">
        <v>60</v>
      </c>
      <c r="G12918" s="547" t="n">
        <f aca="false">E12918*F12918</f>
        <v>30</v>
      </c>
      <c r="H12918" s="547"/>
      <c r="I12918" s="1157"/>
      <c r="J12918" s="1157"/>
      <c r="K12918" s="1157"/>
      <c r="L12918" s="1157"/>
      <c r="M12918" s="1157"/>
      <c r="N12918" s="1157"/>
      <c r="O12918" s="1157"/>
      <c r="P12918" s="1157"/>
      <c r="Q12918" s="1157"/>
      <c r="R12918" s="1157"/>
      <c r="S12918" s="1157"/>
      <c r="T12918" s="1157"/>
    </row>
    <row r="12919" s="1158" customFormat="true" ht="19.5" hidden="false" customHeight="true" outlineLevel="0" collapsed="false">
      <c r="A12919" s="1159"/>
      <c r="B12919" s="1160" t="s">
        <v>4128</v>
      </c>
      <c r="C12919" s="1161"/>
      <c r="D12919" s="1162"/>
      <c r="E12919" s="819"/>
      <c r="F12919" s="819"/>
      <c r="G12919" s="934" t="n">
        <f aca="false">SUM(G12908:G12918)</f>
        <v>3902.84</v>
      </c>
      <c r="H12919" s="819"/>
      <c r="I12919" s="1157"/>
      <c r="J12919" s="1157"/>
      <c r="K12919" s="1157"/>
      <c r="L12919" s="1157"/>
      <c r="M12919" s="1157"/>
      <c r="N12919" s="1157"/>
      <c r="O12919" s="1157"/>
      <c r="P12919" s="1157"/>
      <c r="Q12919" s="1157"/>
      <c r="R12919" s="1157"/>
      <c r="S12919" s="1157"/>
      <c r="T12919" s="1157"/>
    </row>
    <row r="12920" s="1158" customFormat="true" ht="48.75" hidden="false" customHeight="true" outlineLevel="0" collapsed="false">
      <c r="A12920" s="1159"/>
      <c r="B12920" s="1173" t="s">
        <v>6871</v>
      </c>
      <c r="C12920" s="1161" t="s">
        <v>4790</v>
      </c>
      <c r="D12920" s="1162" t="s">
        <v>4528</v>
      </c>
      <c r="E12920" s="547" t="n">
        <v>40</v>
      </c>
      <c r="F12920" s="627" t="n">
        <v>1.2</v>
      </c>
      <c r="G12920" s="547" t="n">
        <f aca="false">E12920*F12920</f>
        <v>48</v>
      </c>
      <c r="H12920" s="819"/>
      <c r="I12920" s="1157"/>
      <c r="J12920" s="1157"/>
      <c r="K12920" s="1157"/>
      <c r="L12920" s="1157"/>
      <c r="M12920" s="1157"/>
      <c r="N12920" s="1157"/>
      <c r="O12920" s="1157"/>
      <c r="P12920" s="1157"/>
      <c r="Q12920" s="1157"/>
      <c r="R12920" s="1157"/>
      <c r="S12920" s="1157"/>
      <c r="T12920" s="1157"/>
    </row>
    <row r="12921" s="1158" customFormat="true" ht="19.5" hidden="false" customHeight="true" outlineLevel="0" collapsed="false">
      <c r="A12921" s="1159"/>
      <c r="B12921" s="1163"/>
      <c r="C12921" s="1161" t="s">
        <v>6872</v>
      </c>
      <c r="D12921" s="1162" t="s">
        <v>4528</v>
      </c>
      <c r="E12921" s="547" t="n">
        <v>150</v>
      </c>
      <c r="F12921" s="627" t="n">
        <v>2</v>
      </c>
      <c r="G12921" s="547" t="n">
        <f aca="false">E12921*F12921</f>
        <v>300</v>
      </c>
      <c r="H12921" s="819"/>
      <c r="I12921" s="1157"/>
      <c r="J12921" s="1157"/>
      <c r="K12921" s="1157"/>
      <c r="L12921" s="1157"/>
      <c r="M12921" s="1157"/>
      <c r="N12921" s="1157"/>
      <c r="O12921" s="1157"/>
      <c r="P12921" s="1157"/>
      <c r="Q12921" s="1157"/>
      <c r="R12921" s="1157"/>
      <c r="S12921" s="1157"/>
      <c r="T12921" s="1157"/>
    </row>
    <row r="12922" s="1158" customFormat="true" ht="19.5" hidden="false" customHeight="true" outlineLevel="0" collapsed="false">
      <c r="A12922" s="1159"/>
      <c r="B12922" s="1163"/>
      <c r="C12922" s="1161" t="s">
        <v>6873</v>
      </c>
      <c r="D12922" s="1162" t="s">
        <v>4528</v>
      </c>
      <c r="E12922" s="819" t="n">
        <v>0.01</v>
      </c>
      <c r="F12922" s="627" t="n">
        <v>3.5</v>
      </c>
      <c r="G12922" s="819" t="n">
        <f aca="false">E12922*F12922</f>
        <v>0.035</v>
      </c>
      <c r="H12922" s="819"/>
      <c r="I12922" s="1157"/>
      <c r="J12922" s="1157"/>
      <c r="K12922" s="1157"/>
      <c r="L12922" s="1157"/>
      <c r="M12922" s="1157"/>
      <c r="N12922" s="1157"/>
      <c r="O12922" s="1157"/>
      <c r="P12922" s="1157"/>
      <c r="Q12922" s="1157"/>
      <c r="R12922" s="1157"/>
      <c r="S12922" s="1157"/>
      <c r="T12922" s="1157"/>
    </row>
    <row r="12923" s="1158" customFormat="true" ht="19.5" hidden="false" customHeight="true" outlineLevel="0" collapsed="false">
      <c r="A12923" s="1159"/>
      <c r="B12923" s="1163"/>
      <c r="C12923" s="1161" t="s">
        <v>6874</v>
      </c>
      <c r="D12923" s="1162" t="s">
        <v>4528</v>
      </c>
      <c r="E12923" s="547" t="n">
        <v>10</v>
      </c>
      <c r="F12923" s="547" t="n">
        <v>100</v>
      </c>
      <c r="G12923" s="547" t="n">
        <f aca="false">E12923*F12923</f>
        <v>1000</v>
      </c>
      <c r="H12923" s="819"/>
      <c r="I12923" s="1157"/>
      <c r="J12923" s="1157"/>
      <c r="K12923" s="1157"/>
      <c r="L12923" s="1157"/>
      <c r="M12923" s="1157"/>
      <c r="N12923" s="1157"/>
      <c r="O12923" s="1157"/>
      <c r="P12923" s="1157"/>
      <c r="Q12923" s="1157"/>
      <c r="R12923" s="1157"/>
      <c r="S12923" s="1157"/>
      <c r="T12923" s="1157"/>
    </row>
    <row r="12924" s="1158" customFormat="true" ht="19.5" hidden="false" customHeight="true" outlineLevel="0" collapsed="false">
      <c r="A12924" s="1159"/>
      <c r="B12924" s="1163"/>
      <c r="C12924" s="1161" t="s">
        <v>6868</v>
      </c>
      <c r="D12924" s="1162" t="s">
        <v>4528</v>
      </c>
      <c r="E12924" s="547" t="n">
        <v>85</v>
      </c>
      <c r="F12924" s="627" t="n">
        <v>1.3</v>
      </c>
      <c r="G12924" s="819" t="n">
        <f aca="false">E12924*F12924</f>
        <v>110.5</v>
      </c>
      <c r="H12924" s="819"/>
      <c r="I12924" s="1157"/>
      <c r="J12924" s="1157"/>
      <c r="K12924" s="1157"/>
      <c r="L12924" s="1157"/>
      <c r="M12924" s="1157"/>
      <c r="N12924" s="1157"/>
      <c r="O12924" s="1157"/>
      <c r="P12924" s="1157"/>
      <c r="Q12924" s="1157"/>
      <c r="R12924" s="1157"/>
      <c r="S12924" s="1157"/>
      <c r="T12924" s="1157"/>
    </row>
    <row r="12925" s="1158" customFormat="true" ht="19.5" hidden="false" customHeight="true" outlineLevel="0" collapsed="false">
      <c r="A12925" s="1159"/>
      <c r="B12925" s="1163"/>
      <c r="C12925" s="1161" t="s">
        <v>6875</v>
      </c>
      <c r="D12925" s="1162" t="s">
        <v>4525</v>
      </c>
      <c r="E12925" s="547" t="n">
        <v>5</v>
      </c>
      <c r="F12925" s="547" t="n">
        <v>433</v>
      </c>
      <c r="G12925" s="547" t="n">
        <f aca="false">E12925*F12925</f>
        <v>2165</v>
      </c>
      <c r="H12925" s="819"/>
      <c r="I12925" s="1157"/>
      <c r="J12925" s="1157"/>
      <c r="K12925" s="1157"/>
      <c r="L12925" s="1157"/>
      <c r="M12925" s="1157"/>
      <c r="N12925" s="1157"/>
      <c r="O12925" s="1157"/>
      <c r="P12925" s="1157"/>
      <c r="Q12925" s="1157"/>
      <c r="R12925" s="1157"/>
      <c r="S12925" s="1157"/>
      <c r="T12925" s="1157"/>
    </row>
    <row r="12926" s="1158" customFormat="true" ht="19.5" hidden="false" customHeight="true" outlineLevel="0" collapsed="false">
      <c r="A12926" s="1159"/>
      <c r="B12926" s="1163"/>
      <c r="C12926" s="1161" t="s">
        <v>6876</v>
      </c>
      <c r="D12926" s="1162" t="s">
        <v>4525</v>
      </c>
      <c r="E12926" s="547" t="n">
        <v>10</v>
      </c>
      <c r="F12926" s="547" t="n">
        <v>2</v>
      </c>
      <c r="G12926" s="547" t="n">
        <f aca="false">E12926*F12926</f>
        <v>20</v>
      </c>
      <c r="H12926" s="819"/>
      <c r="I12926" s="1157"/>
      <c r="J12926" s="1157"/>
      <c r="K12926" s="1157"/>
      <c r="L12926" s="1157"/>
      <c r="M12926" s="1157"/>
      <c r="N12926" s="1157"/>
      <c r="O12926" s="1157"/>
      <c r="P12926" s="1157"/>
      <c r="Q12926" s="1157"/>
      <c r="R12926" s="1157"/>
      <c r="S12926" s="1157"/>
      <c r="T12926" s="1157"/>
    </row>
    <row r="12927" s="1158" customFormat="true" ht="19.5" hidden="false" customHeight="true" outlineLevel="0" collapsed="false">
      <c r="A12927" s="1159"/>
      <c r="B12927" s="1163"/>
      <c r="C12927" s="1161" t="s">
        <v>6869</v>
      </c>
      <c r="D12927" s="1162" t="s">
        <v>4525</v>
      </c>
      <c r="E12927" s="858" t="n">
        <v>0.001</v>
      </c>
      <c r="F12927" s="547" t="n">
        <v>40</v>
      </c>
      <c r="G12927" s="819" t="n">
        <f aca="false">E12927*F12927</f>
        <v>0.04</v>
      </c>
      <c r="H12927" s="819"/>
      <c r="I12927" s="1157"/>
      <c r="J12927" s="1157"/>
      <c r="K12927" s="1157"/>
      <c r="L12927" s="1157"/>
      <c r="M12927" s="1157"/>
      <c r="N12927" s="1157"/>
      <c r="O12927" s="1157"/>
      <c r="P12927" s="1157"/>
      <c r="Q12927" s="1157"/>
      <c r="R12927" s="1157"/>
      <c r="S12927" s="1157"/>
      <c r="T12927" s="1157"/>
    </row>
    <row r="12928" s="1158" customFormat="true" ht="19.5" hidden="false" customHeight="true" outlineLevel="0" collapsed="false">
      <c r="A12928" s="1159"/>
      <c r="B12928" s="1163"/>
      <c r="C12928" s="1161" t="s">
        <v>6870</v>
      </c>
      <c r="D12928" s="1162" t="s">
        <v>4528</v>
      </c>
      <c r="E12928" s="547" t="n">
        <v>50</v>
      </c>
      <c r="F12928" s="819" t="n">
        <v>0.45</v>
      </c>
      <c r="G12928" s="819" t="n">
        <f aca="false">E12928*F12928</f>
        <v>22.5</v>
      </c>
      <c r="H12928" s="819"/>
      <c r="I12928" s="1157"/>
      <c r="J12928" s="1157"/>
      <c r="K12928" s="1157"/>
      <c r="L12928" s="1157"/>
      <c r="M12928" s="1157"/>
      <c r="N12928" s="1157"/>
      <c r="O12928" s="1157"/>
      <c r="P12928" s="1157"/>
      <c r="Q12928" s="1157"/>
      <c r="R12928" s="1157"/>
      <c r="S12928" s="1157"/>
      <c r="T12928" s="1157"/>
    </row>
    <row r="12929" s="1158" customFormat="true" ht="19.5" hidden="false" customHeight="true" outlineLevel="0" collapsed="false">
      <c r="A12929" s="1184"/>
      <c r="B12929" s="1185"/>
      <c r="C12929" s="1161" t="s">
        <v>5945</v>
      </c>
      <c r="D12929" s="1162" t="s">
        <v>4525</v>
      </c>
      <c r="E12929" s="547" t="n">
        <v>10</v>
      </c>
      <c r="F12929" s="627" t="n">
        <v>3.5</v>
      </c>
      <c r="G12929" s="547" t="n">
        <f aca="false">E12929*F12929</f>
        <v>35</v>
      </c>
      <c r="H12929" s="819"/>
      <c r="I12929" s="1157"/>
      <c r="J12929" s="1157"/>
      <c r="K12929" s="1157"/>
      <c r="L12929" s="1157"/>
      <c r="M12929" s="1157"/>
      <c r="N12929" s="1157"/>
      <c r="O12929" s="1157"/>
      <c r="P12929" s="1157"/>
      <c r="Q12929" s="1157"/>
      <c r="R12929" s="1157"/>
      <c r="S12929" s="1157"/>
      <c r="T12929" s="1157"/>
    </row>
    <row r="12930" s="1158" customFormat="true" ht="19.5" hidden="false" customHeight="true" outlineLevel="0" collapsed="false">
      <c r="A12930" s="1184"/>
      <c r="B12930" s="1185"/>
      <c r="C12930" s="1161" t="s">
        <v>6752</v>
      </c>
      <c r="D12930" s="1162" t="s">
        <v>4516</v>
      </c>
      <c r="E12930" s="627" t="n">
        <v>0.5</v>
      </c>
      <c r="F12930" s="547" t="n">
        <v>80</v>
      </c>
      <c r="G12930" s="547" t="n">
        <f aca="false">E12930*F12930</f>
        <v>40</v>
      </c>
      <c r="H12930" s="819"/>
      <c r="I12930" s="1157"/>
      <c r="J12930" s="1157"/>
      <c r="K12930" s="1157"/>
      <c r="L12930" s="1157"/>
      <c r="M12930" s="1157"/>
      <c r="N12930" s="1157"/>
      <c r="O12930" s="1157"/>
      <c r="P12930" s="1157"/>
      <c r="Q12930" s="1157"/>
      <c r="R12930" s="1157"/>
      <c r="S12930" s="1157"/>
      <c r="T12930" s="1157"/>
    </row>
    <row r="12931" s="1158" customFormat="true" ht="19.5" hidden="false" customHeight="true" outlineLevel="0" collapsed="false">
      <c r="A12931" s="1184"/>
      <c r="B12931" s="1160" t="s">
        <v>4128</v>
      </c>
      <c r="C12931" s="1161"/>
      <c r="D12931" s="1161"/>
      <c r="E12931" s="819"/>
      <c r="F12931" s="819"/>
      <c r="G12931" s="934" t="n">
        <f aca="false">SUM(G12920:G12930)</f>
        <v>3741.075</v>
      </c>
      <c r="H12931" s="819"/>
      <c r="I12931" s="1157"/>
      <c r="J12931" s="1157"/>
      <c r="K12931" s="1157"/>
      <c r="L12931" s="1157"/>
      <c r="M12931" s="1157"/>
      <c r="N12931" s="1157"/>
      <c r="O12931" s="1157"/>
      <c r="P12931" s="1157"/>
      <c r="Q12931" s="1157"/>
      <c r="R12931" s="1157"/>
      <c r="S12931" s="1157"/>
      <c r="T12931" s="1157"/>
    </row>
    <row r="12932" s="1158" customFormat="true" ht="36" hidden="false" customHeight="true" outlineLevel="0" collapsed="false">
      <c r="A12932" s="1184"/>
      <c r="B12932" s="1185" t="s">
        <v>6877</v>
      </c>
      <c r="C12932" s="1161" t="s">
        <v>4613</v>
      </c>
      <c r="D12932" s="1162" t="s">
        <v>4528</v>
      </c>
      <c r="E12932" s="547" t="n">
        <v>50</v>
      </c>
      <c r="F12932" s="547" t="n">
        <v>7</v>
      </c>
      <c r="G12932" s="547" t="n">
        <f aca="false">E12932*F12932</f>
        <v>350</v>
      </c>
      <c r="H12932" s="819"/>
      <c r="I12932" s="1157"/>
      <c r="J12932" s="1157"/>
      <c r="K12932" s="1157"/>
      <c r="L12932" s="1157"/>
      <c r="M12932" s="1157"/>
      <c r="N12932" s="1157"/>
      <c r="O12932" s="1157"/>
      <c r="P12932" s="1157"/>
      <c r="Q12932" s="1157"/>
      <c r="R12932" s="1157"/>
      <c r="S12932" s="1157"/>
      <c r="T12932" s="1157"/>
    </row>
    <row r="12933" s="1158" customFormat="true" ht="19.5" hidden="false" customHeight="true" outlineLevel="0" collapsed="false">
      <c r="A12933" s="1184"/>
      <c r="B12933" s="1185"/>
      <c r="C12933" s="1161" t="s">
        <v>6878</v>
      </c>
      <c r="D12933" s="1162" t="s">
        <v>4528</v>
      </c>
      <c r="E12933" s="547" t="n">
        <v>50</v>
      </c>
      <c r="F12933" s="627" t="n">
        <v>22.5</v>
      </c>
      <c r="G12933" s="547" t="n">
        <f aca="false">E12933*F12933</f>
        <v>1125</v>
      </c>
      <c r="H12933" s="819"/>
      <c r="I12933" s="1157"/>
      <c r="J12933" s="1157"/>
      <c r="K12933" s="1157"/>
      <c r="L12933" s="1157"/>
      <c r="M12933" s="1157"/>
      <c r="N12933" s="1157"/>
      <c r="O12933" s="1157"/>
      <c r="P12933" s="1157"/>
      <c r="Q12933" s="1157"/>
      <c r="R12933" s="1157"/>
      <c r="S12933" s="1157"/>
      <c r="T12933" s="1157"/>
    </row>
    <row r="12934" s="1158" customFormat="true" ht="19.5" hidden="false" customHeight="true" outlineLevel="0" collapsed="false">
      <c r="A12934" s="1184"/>
      <c r="B12934" s="1185"/>
      <c r="C12934" s="1161" t="s">
        <v>4737</v>
      </c>
      <c r="D12934" s="1162" t="s">
        <v>4528</v>
      </c>
      <c r="E12934" s="547" t="n">
        <v>150</v>
      </c>
      <c r="F12934" s="547" t="n">
        <v>8</v>
      </c>
      <c r="G12934" s="547" t="n">
        <f aca="false">E12934*F12934</f>
        <v>1200</v>
      </c>
      <c r="H12934" s="819"/>
      <c r="I12934" s="1157"/>
      <c r="J12934" s="1157"/>
      <c r="K12934" s="1157"/>
      <c r="L12934" s="1157"/>
      <c r="M12934" s="1157"/>
      <c r="N12934" s="1157"/>
      <c r="O12934" s="1157"/>
      <c r="P12934" s="1157"/>
      <c r="Q12934" s="1157"/>
      <c r="R12934" s="1157"/>
      <c r="S12934" s="1157"/>
      <c r="T12934" s="1157"/>
    </row>
    <row r="12935" s="1158" customFormat="true" ht="19.5" hidden="false" customHeight="true" outlineLevel="0" collapsed="false">
      <c r="A12935" s="1184"/>
      <c r="B12935" s="1185"/>
      <c r="C12935" s="1161" t="s">
        <v>4542</v>
      </c>
      <c r="D12935" s="1162" t="s">
        <v>4528</v>
      </c>
      <c r="E12935" s="547" t="n">
        <v>70</v>
      </c>
      <c r="F12935" s="819" t="n">
        <v>3.5</v>
      </c>
      <c r="G12935" s="547" t="n">
        <f aca="false">E12935*F12935</f>
        <v>245</v>
      </c>
      <c r="H12935" s="819"/>
      <c r="I12935" s="1157"/>
      <c r="J12935" s="1157"/>
      <c r="K12935" s="1157"/>
      <c r="L12935" s="1157"/>
      <c r="M12935" s="1157"/>
      <c r="N12935" s="1157"/>
      <c r="O12935" s="1157"/>
      <c r="P12935" s="1157"/>
      <c r="Q12935" s="1157"/>
      <c r="R12935" s="1157"/>
      <c r="S12935" s="1157"/>
      <c r="T12935" s="1157"/>
    </row>
    <row r="12936" s="1158" customFormat="true" ht="19.5" hidden="false" customHeight="true" outlineLevel="0" collapsed="false">
      <c r="A12936" s="1184"/>
      <c r="B12936" s="1185"/>
      <c r="C12936" s="1161" t="s">
        <v>4614</v>
      </c>
      <c r="D12936" s="1162" t="s">
        <v>4528</v>
      </c>
      <c r="E12936" s="547" t="n">
        <v>100</v>
      </c>
      <c r="F12936" s="547" t="n">
        <v>11</v>
      </c>
      <c r="G12936" s="547" t="n">
        <f aca="false">E12936*F12936</f>
        <v>1100</v>
      </c>
      <c r="H12936" s="819"/>
      <c r="I12936" s="1157"/>
      <c r="J12936" s="1157"/>
      <c r="K12936" s="1157"/>
      <c r="L12936" s="1157"/>
      <c r="M12936" s="1157"/>
      <c r="N12936" s="1157"/>
      <c r="O12936" s="1157"/>
      <c r="P12936" s="1157"/>
      <c r="Q12936" s="1157"/>
      <c r="R12936" s="1157"/>
      <c r="S12936" s="1157"/>
      <c r="T12936" s="1157"/>
    </row>
    <row r="12937" s="1158" customFormat="true" ht="19.5" hidden="false" customHeight="true" outlineLevel="0" collapsed="false">
      <c r="A12937" s="1184"/>
      <c r="B12937" s="1185"/>
      <c r="C12937" s="1161" t="s">
        <v>6879</v>
      </c>
      <c r="D12937" s="1162" t="s">
        <v>4525</v>
      </c>
      <c r="E12937" s="547" t="n">
        <v>20</v>
      </c>
      <c r="F12937" s="627" t="n">
        <v>1.3</v>
      </c>
      <c r="G12937" s="547" t="n">
        <f aca="false">E12937*F12937</f>
        <v>26</v>
      </c>
      <c r="H12937" s="819"/>
      <c r="I12937" s="1157"/>
      <c r="J12937" s="1157"/>
      <c r="K12937" s="1157"/>
      <c r="L12937" s="1157"/>
      <c r="M12937" s="1157"/>
      <c r="N12937" s="1157"/>
      <c r="O12937" s="1157"/>
      <c r="P12937" s="1157"/>
      <c r="Q12937" s="1157"/>
      <c r="R12937" s="1157"/>
      <c r="S12937" s="1157"/>
      <c r="T12937" s="1157"/>
    </row>
    <row r="12938" s="1158" customFormat="true" ht="19.5" hidden="false" customHeight="true" outlineLevel="0" collapsed="false">
      <c r="A12938" s="1184"/>
      <c r="B12938" s="1185"/>
      <c r="C12938" s="1161" t="s">
        <v>6869</v>
      </c>
      <c r="D12938" s="1162" t="s">
        <v>4525</v>
      </c>
      <c r="E12938" s="858" t="n">
        <v>0.001</v>
      </c>
      <c r="F12938" s="547" t="n">
        <v>40</v>
      </c>
      <c r="G12938" s="819" t="n">
        <f aca="false">E12938*F12938</f>
        <v>0.04</v>
      </c>
      <c r="H12938" s="819"/>
      <c r="I12938" s="1157"/>
      <c r="J12938" s="1157"/>
      <c r="K12938" s="1157"/>
      <c r="L12938" s="1157"/>
      <c r="M12938" s="1157"/>
      <c r="N12938" s="1157"/>
      <c r="O12938" s="1157"/>
      <c r="P12938" s="1157"/>
      <c r="Q12938" s="1157"/>
      <c r="R12938" s="1157"/>
      <c r="S12938" s="1157"/>
      <c r="T12938" s="1157"/>
    </row>
    <row r="12939" s="1158" customFormat="true" ht="19.5" hidden="false" customHeight="true" outlineLevel="0" collapsed="false">
      <c r="A12939" s="1184"/>
      <c r="B12939" s="1185"/>
      <c r="C12939" s="1161" t="s">
        <v>6870</v>
      </c>
      <c r="D12939" s="1162" t="s">
        <v>4528</v>
      </c>
      <c r="E12939" s="547" t="n">
        <v>10</v>
      </c>
      <c r="F12939" s="819" t="n">
        <v>0.45</v>
      </c>
      <c r="G12939" s="627" t="n">
        <f aca="false">E12939*F12939</f>
        <v>4.5</v>
      </c>
      <c r="H12939" s="819"/>
      <c r="I12939" s="1157"/>
      <c r="J12939" s="1157"/>
      <c r="K12939" s="1157"/>
      <c r="L12939" s="1157"/>
      <c r="M12939" s="1157"/>
      <c r="N12939" s="1157"/>
      <c r="O12939" s="1157"/>
      <c r="P12939" s="1157"/>
      <c r="Q12939" s="1157"/>
      <c r="R12939" s="1157"/>
      <c r="S12939" s="1157"/>
      <c r="T12939" s="1157"/>
    </row>
    <row r="12940" s="1158" customFormat="true" ht="19.5" hidden="false" customHeight="true" outlineLevel="0" collapsed="false">
      <c r="A12940" s="1184"/>
      <c r="B12940" s="1185"/>
      <c r="C12940" s="1161" t="s">
        <v>5945</v>
      </c>
      <c r="D12940" s="1162" t="s">
        <v>4525</v>
      </c>
      <c r="E12940" s="547" t="n">
        <v>10</v>
      </c>
      <c r="F12940" s="627" t="n">
        <v>3.5</v>
      </c>
      <c r="G12940" s="547" t="n">
        <f aca="false">E12940*F12940</f>
        <v>35</v>
      </c>
      <c r="H12940" s="819"/>
      <c r="I12940" s="1157"/>
      <c r="J12940" s="1157"/>
      <c r="K12940" s="1157"/>
      <c r="L12940" s="1157"/>
      <c r="M12940" s="1157"/>
      <c r="N12940" s="1157"/>
      <c r="O12940" s="1157"/>
      <c r="P12940" s="1157"/>
      <c r="Q12940" s="1157"/>
      <c r="R12940" s="1157"/>
      <c r="S12940" s="1157"/>
      <c r="T12940" s="1157"/>
    </row>
    <row r="12941" s="1158" customFormat="true" ht="19.5" hidden="false" customHeight="true" outlineLevel="0" collapsed="false">
      <c r="A12941" s="1184"/>
      <c r="B12941" s="1185"/>
      <c r="C12941" s="1161" t="s">
        <v>6752</v>
      </c>
      <c r="D12941" s="1162" t="s">
        <v>4516</v>
      </c>
      <c r="E12941" s="627" t="n">
        <v>0.5</v>
      </c>
      <c r="F12941" s="547" t="n">
        <v>80</v>
      </c>
      <c r="G12941" s="547" t="n">
        <f aca="false">E12941*F12941</f>
        <v>40</v>
      </c>
      <c r="H12941" s="819"/>
      <c r="I12941" s="1157"/>
      <c r="J12941" s="1157"/>
      <c r="K12941" s="1157"/>
      <c r="L12941" s="1157"/>
      <c r="M12941" s="1157"/>
      <c r="N12941" s="1157"/>
      <c r="O12941" s="1157"/>
      <c r="P12941" s="1157"/>
      <c r="Q12941" s="1157"/>
      <c r="R12941" s="1157"/>
      <c r="S12941" s="1157"/>
      <c r="T12941" s="1157"/>
    </row>
    <row r="12942" s="1158" customFormat="true" ht="19.5" hidden="false" customHeight="true" outlineLevel="0" collapsed="false">
      <c r="A12942" s="1184"/>
      <c r="B12942" s="1160" t="s">
        <v>4128</v>
      </c>
      <c r="C12942" s="1161"/>
      <c r="D12942" s="1162"/>
      <c r="E12942" s="819"/>
      <c r="F12942" s="819"/>
      <c r="G12942" s="934" t="n">
        <f aca="false">SUM(G12932:G12941)</f>
        <v>4125.54</v>
      </c>
      <c r="H12942" s="819"/>
      <c r="I12942" s="1157"/>
      <c r="J12942" s="1157"/>
      <c r="K12942" s="1157"/>
      <c r="L12942" s="1157"/>
      <c r="M12942" s="1157"/>
      <c r="N12942" s="1157"/>
      <c r="O12942" s="1157"/>
      <c r="P12942" s="1157"/>
      <c r="Q12942" s="1157"/>
      <c r="R12942" s="1157"/>
      <c r="S12942" s="1157"/>
      <c r="T12942" s="1157"/>
    </row>
    <row r="12943" s="1158" customFormat="true" ht="33.75" hidden="false" customHeight="true" outlineLevel="0" collapsed="false">
      <c r="A12943" s="1184"/>
      <c r="B12943" s="1185" t="s">
        <v>6880</v>
      </c>
      <c r="C12943" s="1161" t="s">
        <v>4613</v>
      </c>
      <c r="D12943" s="1162" t="s">
        <v>4528</v>
      </c>
      <c r="E12943" s="547" t="n">
        <v>50</v>
      </c>
      <c r="F12943" s="547" t="n">
        <v>7</v>
      </c>
      <c r="G12943" s="547" t="n">
        <f aca="false">E12943*F12943</f>
        <v>350</v>
      </c>
      <c r="H12943" s="819"/>
      <c r="I12943" s="1157"/>
      <c r="J12943" s="1157"/>
      <c r="K12943" s="1157"/>
      <c r="L12943" s="1157"/>
      <c r="M12943" s="1157"/>
      <c r="N12943" s="1157"/>
      <c r="O12943" s="1157"/>
      <c r="P12943" s="1157"/>
      <c r="Q12943" s="1157"/>
      <c r="R12943" s="1157"/>
      <c r="S12943" s="1157"/>
      <c r="T12943" s="1157"/>
    </row>
    <row r="12944" s="1158" customFormat="true" ht="19.5" hidden="false" customHeight="true" outlineLevel="0" collapsed="false">
      <c r="A12944" s="1184"/>
      <c r="B12944" s="1185"/>
      <c r="C12944" s="1161" t="s">
        <v>6878</v>
      </c>
      <c r="D12944" s="1162" t="s">
        <v>4528</v>
      </c>
      <c r="E12944" s="547" t="n">
        <v>50</v>
      </c>
      <c r="F12944" s="627" t="n">
        <v>22.5</v>
      </c>
      <c r="G12944" s="547" t="n">
        <f aca="false">E12944*F12944</f>
        <v>1125</v>
      </c>
      <c r="H12944" s="819"/>
      <c r="I12944" s="1157"/>
      <c r="J12944" s="1157"/>
      <c r="K12944" s="1157"/>
      <c r="L12944" s="1157"/>
      <c r="M12944" s="1157"/>
      <c r="N12944" s="1157"/>
      <c r="O12944" s="1157"/>
      <c r="P12944" s="1157"/>
      <c r="Q12944" s="1157"/>
      <c r="R12944" s="1157"/>
      <c r="S12944" s="1157"/>
      <c r="T12944" s="1157"/>
    </row>
    <row r="12945" s="1158" customFormat="true" ht="19.5" hidden="false" customHeight="true" outlineLevel="0" collapsed="false">
      <c r="A12945" s="1184"/>
      <c r="B12945" s="1185"/>
      <c r="C12945" s="1161" t="s">
        <v>4737</v>
      </c>
      <c r="D12945" s="1162" t="s">
        <v>4528</v>
      </c>
      <c r="E12945" s="547" t="n">
        <v>150</v>
      </c>
      <c r="F12945" s="547" t="n">
        <v>8</v>
      </c>
      <c r="G12945" s="547" t="n">
        <f aca="false">E12945*F12945</f>
        <v>1200</v>
      </c>
      <c r="H12945" s="819"/>
      <c r="I12945" s="1157"/>
      <c r="J12945" s="1157"/>
      <c r="K12945" s="1157"/>
      <c r="L12945" s="1157"/>
      <c r="M12945" s="1157"/>
      <c r="N12945" s="1157"/>
      <c r="O12945" s="1157"/>
      <c r="P12945" s="1157"/>
      <c r="Q12945" s="1157"/>
      <c r="R12945" s="1157"/>
      <c r="S12945" s="1157"/>
      <c r="T12945" s="1157"/>
    </row>
    <row r="12946" s="1158" customFormat="true" ht="19.5" hidden="false" customHeight="true" outlineLevel="0" collapsed="false">
      <c r="A12946" s="1184"/>
      <c r="B12946" s="1185"/>
      <c r="C12946" s="1161" t="s">
        <v>4542</v>
      </c>
      <c r="D12946" s="1162" t="s">
        <v>4528</v>
      </c>
      <c r="E12946" s="547" t="n">
        <v>70</v>
      </c>
      <c r="F12946" s="819" t="n">
        <v>3.5</v>
      </c>
      <c r="G12946" s="547" t="n">
        <f aca="false">E12946*F12946</f>
        <v>245</v>
      </c>
      <c r="H12946" s="819"/>
      <c r="I12946" s="1157"/>
      <c r="J12946" s="1157"/>
      <c r="K12946" s="1157"/>
      <c r="L12946" s="1157"/>
      <c r="M12946" s="1157"/>
      <c r="N12946" s="1157"/>
      <c r="O12946" s="1157"/>
      <c r="P12946" s="1157"/>
      <c r="Q12946" s="1157"/>
      <c r="R12946" s="1157"/>
      <c r="S12946" s="1157"/>
      <c r="T12946" s="1157"/>
    </row>
    <row r="12947" s="1158" customFormat="true" ht="19.5" hidden="false" customHeight="true" outlineLevel="0" collapsed="false">
      <c r="A12947" s="1184"/>
      <c r="B12947" s="1185"/>
      <c r="C12947" s="1161" t="s">
        <v>4614</v>
      </c>
      <c r="D12947" s="1162" t="s">
        <v>4528</v>
      </c>
      <c r="E12947" s="547" t="n">
        <v>100</v>
      </c>
      <c r="F12947" s="547" t="n">
        <v>11</v>
      </c>
      <c r="G12947" s="547" t="n">
        <f aca="false">E12947*F12947</f>
        <v>1100</v>
      </c>
      <c r="H12947" s="819"/>
      <c r="I12947" s="1157"/>
      <c r="J12947" s="1157"/>
      <c r="K12947" s="1157"/>
      <c r="L12947" s="1157"/>
      <c r="M12947" s="1157"/>
      <c r="N12947" s="1157"/>
      <c r="O12947" s="1157"/>
      <c r="P12947" s="1157"/>
      <c r="Q12947" s="1157"/>
      <c r="R12947" s="1157"/>
      <c r="S12947" s="1157"/>
      <c r="T12947" s="1157"/>
    </row>
    <row r="12948" s="1158" customFormat="true" ht="19.5" hidden="false" customHeight="true" outlineLevel="0" collapsed="false">
      <c r="A12948" s="1184"/>
      <c r="B12948" s="1185"/>
      <c r="C12948" s="1161" t="s">
        <v>6879</v>
      </c>
      <c r="D12948" s="1162" t="s">
        <v>4525</v>
      </c>
      <c r="E12948" s="547" t="n">
        <v>20</v>
      </c>
      <c r="F12948" s="627" t="n">
        <v>1.3</v>
      </c>
      <c r="G12948" s="547" t="n">
        <f aca="false">E12948*F12948</f>
        <v>26</v>
      </c>
      <c r="H12948" s="819"/>
      <c r="I12948" s="1157"/>
      <c r="J12948" s="1157"/>
      <c r="K12948" s="1157"/>
      <c r="L12948" s="1157"/>
      <c r="M12948" s="1157"/>
      <c r="N12948" s="1157"/>
      <c r="O12948" s="1157"/>
      <c r="P12948" s="1157"/>
      <c r="Q12948" s="1157"/>
      <c r="R12948" s="1157"/>
      <c r="S12948" s="1157"/>
      <c r="T12948" s="1157"/>
    </row>
    <row r="12949" s="1158" customFormat="true" ht="19.5" hidden="false" customHeight="true" outlineLevel="0" collapsed="false">
      <c r="A12949" s="1184"/>
      <c r="B12949" s="1185"/>
      <c r="C12949" s="1161" t="s">
        <v>6869</v>
      </c>
      <c r="D12949" s="1162" t="s">
        <v>4525</v>
      </c>
      <c r="E12949" s="858" t="n">
        <v>0.001</v>
      </c>
      <c r="F12949" s="547" t="n">
        <v>40</v>
      </c>
      <c r="G12949" s="819" t="n">
        <f aca="false">E12949*F12949</f>
        <v>0.04</v>
      </c>
      <c r="H12949" s="819"/>
      <c r="I12949" s="1157"/>
      <c r="J12949" s="1157"/>
      <c r="K12949" s="1157"/>
      <c r="L12949" s="1157"/>
      <c r="M12949" s="1157"/>
      <c r="N12949" s="1157"/>
      <c r="O12949" s="1157"/>
      <c r="P12949" s="1157"/>
      <c r="Q12949" s="1157"/>
      <c r="R12949" s="1157"/>
      <c r="S12949" s="1157"/>
      <c r="T12949" s="1157"/>
    </row>
    <row r="12950" s="1158" customFormat="true" ht="19.5" hidden="false" customHeight="true" outlineLevel="0" collapsed="false">
      <c r="A12950" s="1184"/>
      <c r="B12950" s="1185"/>
      <c r="C12950" s="1161" t="s">
        <v>6870</v>
      </c>
      <c r="D12950" s="1162" t="s">
        <v>4528</v>
      </c>
      <c r="E12950" s="547" t="n">
        <v>10</v>
      </c>
      <c r="F12950" s="819" t="n">
        <v>0.45</v>
      </c>
      <c r="G12950" s="627" t="n">
        <f aca="false">E12950*F12950</f>
        <v>4.5</v>
      </c>
      <c r="H12950" s="819"/>
      <c r="I12950" s="1157"/>
      <c r="J12950" s="1157"/>
      <c r="K12950" s="1157"/>
      <c r="L12950" s="1157"/>
      <c r="M12950" s="1157"/>
      <c r="N12950" s="1157"/>
      <c r="O12950" s="1157"/>
      <c r="P12950" s="1157"/>
      <c r="Q12950" s="1157"/>
      <c r="R12950" s="1157"/>
      <c r="S12950" s="1157"/>
      <c r="T12950" s="1157"/>
    </row>
    <row r="12951" s="1158" customFormat="true" ht="19.5" hidden="false" customHeight="true" outlineLevel="0" collapsed="false">
      <c r="A12951" s="1184"/>
      <c r="B12951" s="1185"/>
      <c r="C12951" s="1161" t="s">
        <v>5945</v>
      </c>
      <c r="D12951" s="1162" t="s">
        <v>4525</v>
      </c>
      <c r="E12951" s="547" t="n">
        <v>10</v>
      </c>
      <c r="F12951" s="627" t="n">
        <v>3.5</v>
      </c>
      <c r="G12951" s="547" t="n">
        <f aca="false">E12951*F12951</f>
        <v>35</v>
      </c>
      <c r="H12951" s="819"/>
      <c r="I12951" s="1157"/>
      <c r="J12951" s="1157"/>
      <c r="K12951" s="1157"/>
      <c r="L12951" s="1157"/>
      <c r="M12951" s="1157"/>
      <c r="N12951" s="1157"/>
      <c r="O12951" s="1157"/>
      <c r="P12951" s="1157"/>
      <c r="Q12951" s="1157"/>
      <c r="R12951" s="1157"/>
      <c r="S12951" s="1157"/>
      <c r="T12951" s="1157"/>
    </row>
    <row r="12952" s="1158" customFormat="true" ht="19.5" hidden="false" customHeight="true" outlineLevel="0" collapsed="false">
      <c r="A12952" s="1184"/>
      <c r="B12952" s="1185"/>
      <c r="C12952" s="1161" t="s">
        <v>6752</v>
      </c>
      <c r="D12952" s="1162" t="s">
        <v>4516</v>
      </c>
      <c r="E12952" s="627" t="n">
        <v>0.5</v>
      </c>
      <c r="F12952" s="547" t="n">
        <v>80</v>
      </c>
      <c r="G12952" s="547" t="n">
        <f aca="false">E12952*F12952</f>
        <v>40</v>
      </c>
      <c r="H12952" s="819"/>
      <c r="I12952" s="1157"/>
      <c r="J12952" s="1157"/>
      <c r="K12952" s="1157"/>
      <c r="L12952" s="1157"/>
      <c r="M12952" s="1157"/>
      <c r="N12952" s="1157"/>
      <c r="O12952" s="1157"/>
      <c r="P12952" s="1157"/>
      <c r="Q12952" s="1157"/>
      <c r="R12952" s="1157"/>
      <c r="S12952" s="1157"/>
      <c r="T12952" s="1157"/>
    </row>
    <row r="12953" s="1158" customFormat="true" ht="19.5" hidden="false" customHeight="true" outlineLevel="0" collapsed="false">
      <c r="A12953" s="1184"/>
      <c r="B12953" s="1160" t="s">
        <v>4128</v>
      </c>
      <c r="C12953" s="1161"/>
      <c r="D12953" s="1161"/>
      <c r="E12953" s="819"/>
      <c r="F12953" s="819"/>
      <c r="G12953" s="934" t="n">
        <f aca="false">SUM(G12943:G12952)</f>
        <v>4125.54</v>
      </c>
      <c r="H12953" s="819"/>
      <c r="I12953" s="1157"/>
      <c r="J12953" s="1157"/>
      <c r="K12953" s="1157"/>
      <c r="L12953" s="1157"/>
      <c r="M12953" s="1157"/>
      <c r="N12953" s="1157"/>
      <c r="O12953" s="1157"/>
      <c r="P12953" s="1157"/>
      <c r="Q12953" s="1157"/>
      <c r="R12953" s="1157"/>
      <c r="S12953" s="1157"/>
      <c r="T12953" s="1157"/>
    </row>
    <row r="12954" s="1191" customFormat="true" ht="35.25" hidden="false" customHeight="true" outlineLevel="0" collapsed="false">
      <c r="A12954" s="1186" t="s">
        <v>6881</v>
      </c>
      <c r="B12954" s="149" t="s">
        <v>6882</v>
      </c>
      <c r="C12954" s="1187" t="s">
        <v>6883</v>
      </c>
      <c r="D12954" s="1188"/>
      <c r="E12954" s="1189"/>
      <c r="F12954" s="1189"/>
      <c r="G12954" s="714"/>
      <c r="H12954" s="1167"/>
      <c r="I12954" s="1190"/>
      <c r="J12954" s="1190"/>
      <c r="K12954" s="1190"/>
      <c r="L12954" s="1190"/>
      <c r="M12954" s="1190"/>
      <c r="N12954" s="1190"/>
      <c r="O12954" s="1190"/>
      <c r="P12954" s="1190"/>
      <c r="Q12954" s="1190"/>
      <c r="R12954" s="1190"/>
      <c r="S12954" s="1190"/>
      <c r="T12954" s="1190"/>
    </row>
    <row r="12955" s="1191" customFormat="true" ht="28.5" hidden="false" customHeight="true" outlineLevel="0" collapsed="false">
      <c r="A12955" s="93" t="n">
        <v>18</v>
      </c>
      <c r="B12955" s="92" t="s">
        <v>4042</v>
      </c>
      <c r="C12955" s="93"/>
      <c r="D12955" s="92"/>
      <c r="E12955" s="93"/>
      <c r="F12955" s="92"/>
      <c r="G12955" s="1152"/>
      <c r="H12955" s="92"/>
      <c r="I12955" s="1190"/>
      <c r="J12955" s="1190"/>
      <c r="K12955" s="1190"/>
      <c r="L12955" s="1190"/>
      <c r="M12955" s="1190"/>
      <c r="N12955" s="1190"/>
      <c r="O12955" s="1190"/>
      <c r="P12955" s="1190"/>
      <c r="Q12955" s="1190"/>
      <c r="R12955" s="1190"/>
      <c r="S12955" s="1190"/>
      <c r="T12955" s="1190"/>
    </row>
    <row r="12956" s="663" customFormat="true" ht="28.5" hidden="false" customHeight="true" outlineLevel="0" collapsed="false">
      <c r="A12956" s="142" t="s">
        <v>2644</v>
      </c>
      <c r="B12956" s="203" t="s">
        <v>4043</v>
      </c>
      <c r="C12956" s="422" t="s">
        <v>6883</v>
      </c>
      <c r="D12956" s="149"/>
      <c r="E12956" s="424"/>
      <c r="F12956" s="149"/>
      <c r="G12956" s="1192" t="n">
        <v>0</v>
      </c>
      <c r="H12956" s="149"/>
      <c r="I12956" s="1193"/>
      <c r="J12956" s="1193"/>
      <c r="K12956" s="1193"/>
      <c r="L12956" s="1193"/>
      <c r="M12956" s="1193"/>
      <c r="N12956" s="1193"/>
      <c r="O12956" s="1193"/>
      <c r="P12956" s="1193"/>
      <c r="Q12956" s="1193"/>
      <c r="R12956" s="1193"/>
      <c r="S12956" s="1193"/>
      <c r="T12956" s="1193"/>
    </row>
    <row r="12957" s="663" customFormat="true" ht="28.5" hidden="false" customHeight="true" outlineLevel="0" collapsed="false">
      <c r="A12957" s="142" t="s">
        <v>2646</v>
      </c>
      <c r="B12957" s="203" t="s">
        <v>4044</v>
      </c>
      <c r="C12957" s="422"/>
      <c r="D12957" s="149"/>
      <c r="E12957" s="424"/>
      <c r="F12957" s="149"/>
      <c r="G12957" s="1192"/>
      <c r="H12957" s="149"/>
      <c r="I12957" s="1193"/>
      <c r="J12957" s="1193"/>
      <c r="K12957" s="1193"/>
      <c r="L12957" s="1193"/>
      <c r="M12957" s="1193"/>
      <c r="N12957" s="1193"/>
      <c r="O12957" s="1193"/>
      <c r="P12957" s="1193"/>
      <c r="Q12957" s="1193"/>
      <c r="R12957" s="1193"/>
      <c r="S12957" s="1193"/>
      <c r="T12957" s="1193"/>
    </row>
    <row r="12958" s="1191" customFormat="true" ht="108.75" hidden="false" customHeight="true" outlineLevel="0" collapsed="false">
      <c r="A12958" s="142" t="s">
        <v>2648</v>
      </c>
      <c r="B12958" s="149" t="s">
        <v>4045</v>
      </c>
      <c r="C12958" s="1187" t="s">
        <v>6883</v>
      </c>
      <c r="D12958" s="1194"/>
      <c r="E12958" s="1188"/>
      <c r="F12958" s="1195"/>
      <c r="G12958" s="1196" t="n">
        <v>0</v>
      </c>
      <c r="H12958" s="1196"/>
      <c r="I12958" s="1190"/>
      <c r="J12958" s="1190"/>
      <c r="K12958" s="1190"/>
      <c r="L12958" s="1190"/>
      <c r="M12958" s="1190"/>
      <c r="N12958" s="1190"/>
      <c r="O12958" s="1190"/>
      <c r="P12958" s="1190"/>
      <c r="Q12958" s="1190"/>
      <c r="R12958" s="1190"/>
      <c r="S12958" s="1190"/>
      <c r="T12958" s="1190"/>
    </row>
    <row r="12959" s="1191" customFormat="true" ht="42.75" hidden="false" customHeight="true" outlineLevel="0" collapsed="false">
      <c r="A12959" s="142" t="s">
        <v>2650</v>
      </c>
      <c r="B12959" s="149" t="s">
        <v>4046</v>
      </c>
      <c r="C12959" s="1187" t="s">
        <v>6883</v>
      </c>
      <c r="D12959" s="1188"/>
      <c r="E12959" s="1197"/>
      <c r="F12959" s="1197"/>
      <c r="G12959" s="1198" t="n">
        <v>0</v>
      </c>
      <c r="H12959" s="1199"/>
      <c r="I12959" s="1190"/>
      <c r="J12959" s="1190"/>
      <c r="K12959" s="1190"/>
      <c r="L12959" s="1190"/>
      <c r="M12959" s="1190"/>
      <c r="N12959" s="1190"/>
      <c r="O12959" s="1190"/>
      <c r="P12959" s="1190"/>
      <c r="Q12959" s="1190"/>
      <c r="R12959" s="1190"/>
      <c r="S12959" s="1190"/>
      <c r="T12959" s="1190"/>
    </row>
    <row r="12960" s="1191" customFormat="true" ht="30" hidden="false" customHeight="true" outlineLevel="0" collapsed="false">
      <c r="A12960" s="207" t="n">
        <v>19</v>
      </c>
      <c r="B12960" s="92" t="s">
        <v>4047</v>
      </c>
      <c r="C12960" s="92"/>
      <c r="D12960" s="92"/>
      <c r="E12960" s="92"/>
      <c r="F12960" s="92"/>
      <c r="G12960" s="92"/>
      <c r="H12960" s="92"/>
      <c r="I12960" s="1190"/>
      <c r="J12960" s="1190"/>
      <c r="K12960" s="1190"/>
      <c r="L12960" s="1190"/>
      <c r="M12960" s="1190"/>
      <c r="N12960" s="1190"/>
      <c r="O12960" s="1190"/>
      <c r="P12960" s="1190"/>
      <c r="Q12960" s="1190"/>
      <c r="R12960" s="1190"/>
      <c r="S12960" s="1190"/>
      <c r="T12960" s="1190"/>
    </row>
    <row r="12961" s="1191" customFormat="true" ht="33" hidden="false" customHeight="true" outlineLevel="0" collapsed="false">
      <c r="A12961" s="1200" t="s">
        <v>2656</v>
      </c>
      <c r="B12961" s="49" t="s">
        <v>4048</v>
      </c>
      <c r="C12961" s="1187"/>
      <c r="D12961" s="1188"/>
      <c r="E12961" s="1197"/>
      <c r="F12961" s="1197"/>
      <c r="G12961" s="1198" t="n">
        <v>0</v>
      </c>
      <c r="H12961" s="1199"/>
      <c r="I12961" s="1190"/>
      <c r="J12961" s="1190"/>
      <c r="K12961" s="1190"/>
      <c r="L12961" s="1190"/>
      <c r="M12961" s="1190"/>
      <c r="N12961" s="1190"/>
      <c r="O12961" s="1190"/>
      <c r="P12961" s="1190"/>
      <c r="Q12961" s="1190"/>
      <c r="R12961" s="1190"/>
      <c r="S12961" s="1190"/>
      <c r="T12961" s="1190"/>
    </row>
    <row r="12962" s="1191" customFormat="true" ht="20.25" hidden="false" customHeight="true" outlineLevel="0" collapsed="false">
      <c r="A12962" s="91" t="s">
        <v>2658</v>
      </c>
      <c r="B12962" s="211" t="s">
        <v>4049</v>
      </c>
      <c r="C12962" s="211"/>
      <c r="D12962" s="211"/>
      <c r="E12962" s="211"/>
      <c r="F12962" s="211"/>
      <c r="G12962" s="211"/>
      <c r="H12962" s="211"/>
      <c r="I12962" s="1190"/>
      <c r="J12962" s="1190"/>
      <c r="K12962" s="1190"/>
      <c r="L12962" s="1190"/>
      <c r="M12962" s="1190"/>
      <c r="N12962" s="1190"/>
      <c r="O12962" s="1190"/>
      <c r="P12962" s="1190"/>
      <c r="Q12962" s="1190"/>
      <c r="R12962" s="1190"/>
      <c r="S12962" s="1190"/>
      <c r="T12962" s="1190"/>
    </row>
    <row r="12963" s="663" customFormat="true" ht="33.75" hidden="false" customHeight="true" outlineLevel="0" collapsed="false">
      <c r="A12963" s="1201"/>
      <c r="B12963" s="213" t="s">
        <v>4050</v>
      </c>
      <c r="C12963" s="423"/>
      <c r="D12963" s="423"/>
      <c r="E12963" s="423"/>
      <c r="F12963" s="423"/>
      <c r="G12963" s="423"/>
      <c r="H12963" s="1202"/>
      <c r="I12963" s="1193"/>
      <c r="J12963" s="1193"/>
      <c r="K12963" s="1193"/>
      <c r="L12963" s="1193"/>
      <c r="M12963" s="1193"/>
      <c r="N12963" s="1193"/>
      <c r="O12963" s="1193"/>
      <c r="P12963" s="1193"/>
      <c r="Q12963" s="1193"/>
      <c r="R12963" s="1193"/>
      <c r="S12963" s="1193"/>
      <c r="T12963" s="1193"/>
    </row>
    <row r="12964" s="1158" customFormat="true" ht="43.5" hidden="false" customHeight="true" outlineLevel="0" collapsed="false">
      <c r="A12964" s="1159" t="s">
        <v>2662</v>
      </c>
      <c r="B12964" s="430" t="s">
        <v>4101</v>
      </c>
      <c r="C12964" s="433" t="s">
        <v>6706</v>
      </c>
      <c r="D12964" s="606" t="s">
        <v>4348</v>
      </c>
      <c r="E12964" s="954" t="n">
        <v>5</v>
      </c>
      <c r="F12964" s="617" t="n">
        <f aca="false">4500/500</f>
        <v>9</v>
      </c>
      <c r="G12964" s="615" t="n">
        <f aca="false">E12964*F12964</f>
        <v>45</v>
      </c>
      <c r="H12964" s="1170"/>
      <c r="I12964" s="1157"/>
      <c r="J12964" s="1157"/>
      <c r="K12964" s="1157"/>
      <c r="L12964" s="1157"/>
      <c r="M12964" s="1157"/>
      <c r="N12964" s="1157"/>
      <c r="O12964" s="1157"/>
      <c r="P12964" s="1157"/>
      <c r="Q12964" s="1157"/>
      <c r="R12964" s="1157"/>
      <c r="S12964" s="1157"/>
      <c r="T12964" s="1157"/>
      <c r="U12964" s="1157"/>
      <c r="V12964" s="1157"/>
      <c r="W12964" s="1157"/>
      <c r="X12964" s="1157"/>
      <c r="Y12964" s="1157"/>
      <c r="Z12964" s="1157"/>
      <c r="AA12964" s="1157"/>
      <c r="AB12964" s="1157"/>
      <c r="AC12964" s="1157"/>
    </row>
    <row r="12965" s="1158" customFormat="true" ht="21.75" hidden="false" customHeight="true" outlineLevel="0" collapsed="false">
      <c r="A12965" s="1159"/>
      <c r="B12965" s="430"/>
      <c r="C12965" s="614" t="s">
        <v>6712</v>
      </c>
      <c r="D12965" s="606" t="s">
        <v>4348</v>
      </c>
      <c r="E12965" s="954" t="n">
        <v>1</v>
      </c>
      <c r="F12965" s="617" t="n">
        <v>90</v>
      </c>
      <c r="G12965" s="615" t="n">
        <f aca="false">E12965*F12965</f>
        <v>90</v>
      </c>
      <c r="H12965" s="1170"/>
      <c r="I12965" s="1157"/>
      <c r="J12965" s="1157"/>
      <c r="K12965" s="1157"/>
      <c r="L12965" s="1157"/>
      <c r="M12965" s="1157"/>
      <c r="N12965" s="1157"/>
      <c r="O12965" s="1157"/>
      <c r="P12965" s="1157"/>
      <c r="Q12965" s="1157"/>
      <c r="R12965" s="1157"/>
      <c r="S12965" s="1157"/>
      <c r="T12965" s="1157"/>
      <c r="U12965" s="1157"/>
      <c r="V12965" s="1157"/>
      <c r="W12965" s="1157"/>
      <c r="X12965" s="1157"/>
      <c r="Y12965" s="1157"/>
      <c r="Z12965" s="1157"/>
      <c r="AA12965" s="1157"/>
      <c r="AB12965" s="1157"/>
      <c r="AC12965" s="1157"/>
    </row>
    <row r="12966" s="1158" customFormat="true" ht="21" hidden="false" customHeight="true" outlineLevel="0" collapsed="false">
      <c r="A12966" s="1159"/>
      <c r="B12966" s="430"/>
      <c r="C12966" s="614" t="s">
        <v>6884</v>
      </c>
      <c r="D12966" s="606" t="s">
        <v>4348</v>
      </c>
      <c r="E12966" s="954" t="n">
        <v>1</v>
      </c>
      <c r="F12966" s="617" t="n">
        <v>28</v>
      </c>
      <c r="G12966" s="615" t="n">
        <f aca="false">E12966*F12966</f>
        <v>28</v>
      </c>
      <c r="H12966" s="1170"/>
      <c r="I12966" s="1157"/>
      <c r="J12966" s="1157"/>
      <c r="K12966" s="1157"/>
      <c r="L12966" s="1157"/>
      <c r="M12966" s="1157"/>
      <c r="N12966" s="1157"/>
      <c r="O12966" s="1157"/>
      <c r="P12966" s="1157"/>
      <c r="Q12966" s="1157"/>
      <c r="R12966" s="1157"/>
      <c r="S12966" s="1157"/>
      <c r="T12966" s="1157"/>
      <c r="U12966" s="1157"/>
      <c r="V12966" s="1157"/>
      <c r="W12966" s="1157"/>
      <c r="X12966" s="1157"/>
      <c r="Y12966" s="1157"/>
      <c r="Z12966" s="1157"/>
      <c r="AA12966" s="1157"/>
      <c r="AB12966" s="1157"/>
      <c r="AC12966" s="1157"/>
    </row>
    <row r="12967" s="1158" customFormat="true" ht="16.5" hidden="false" customHeight="true" outlineLevel="0" collapsed="false">
      <c r="A12967" s="1159"/>
      <c r="B12967" s="430" t="s">
        <v>4128</v>
      </c>
      <c r="C12967" s="614"/>
      <c r="D12967" s="606"/>
      <c r="E12967" s="954"/>
      <c r="F12967" s="617"/>
      <c r="G12967" s="613" t="n">
        <f aca="false">SUM(G12964:G12966)</f>
        <v>163</v>
      </c>
      <c r="H12967" s="1170"/>
      <c r="I12967" s="1157"/>
      <c r="J12967" s="1157"/>
      <c r="K12967" s="1157"/>
      <c r="L12967" s="1157"/>
      <c r="M12967" s="1157"/>
      <c r="N12967" s="1157"/>
      <c r="O12967" s="1157"/>
      <c r="P12967" s="1157"/>
      <c r="Q12967" s="1157"/>
      <c r="R12967" s="1157"/>
      <c r="S12967" s="1157"/>
      <c r="T12967" s="1157"/>
      <c r="U12967" s="1157"/>
      <c r="V12967" s="1157"/>
      <c r="W12967" s="1157"/>
      <c r="X12967" s="1157"/>
      <c r="Y12967" s="1157"/>
      <c r="Z12967" s="1157"/>
      <c r="AA12967" s="1157"/>
      <c r="AB12967" s="1157"/>
      <c r="AC12967" s="1157"/>
    </row>
    <row r="12968" s="663" customFormat="true" ht="47.25" hidden="false" customHeight="false" outlineLevel="0" collapsed="false">
      <c r="A12968" s="430" t="s">
        <v>2674</v>
      </c>
      <c r="B12968" s="430" t="s">
        <v>4057</v>
      </c>
      <c r="C12968" s="430"/>
      <c r="D12968" s="430"/>
      <c r="E12968" s="430"/>
      <c r="F12968" s="430"/>
      <c r="G12968" s="1203" t="n">
        <f aca="false">G12979/35</f>
        <v>284.511428571429</v>
      </c>
      <c r="H12968" s="430"/>
    </row>
    <row r="12969" s="663" customFormat="true" ht="15.75" hidden="false" customHeight="false" outlineLevel="0" collapsed="false">
      <c r="A12969" s="1150"/>
      <c r="B12969" s="1138" t="s">
        <v>6856</v>
      </c>
      <c r="C12969" s="1126" t="s">
        <v>6857</v>
      </c>
      <c r="D12969" s="662" t="s">
        <v>6213</v>
      </c>
      <c r="E12969" s="1126" t="n">
        <v>1</v>
      </c>
      <c r="F12969" s="1143" t="n">
        <v>242682</v>
      </c>
      <c r="G12969" s="1123" t="n">
        <v>4412.4</v>
      </c>
      <c r="H12969" s="662"/>
    </row>
    <row r="12970" s="663" customFormat="true" ht="25.5" hidden="false" customHeight="false" outlineLevel="0" collapsed="false">
      <c r="A12970" s="1150"/>
      <c r="B12970" s="1138"/>
      <c r="C12970" s="1126" t="s">
        <v>6858</v>
      </c>
      <c r="D12970" s="662" t="s">
        <v>6538</v>
      </c>
      <c r="E12970" s="1126" t="n">
        <v>10</v>
      </c>
      <c r="F12970" s="1143" t="n">
        <v>9500</v>
      </c>
      <c r="G12970" s="1123" t="n">
        <v>989.583333333333</v>
      </c>
      <c r="H12970" s="662"/>
    </row>
    <row r="12971" s="663" customFormat="true" ht="25.5" hidden="false" customHeight="false" outlineLevel="0" collapsed="false">
      <c r="A12971" s="1150"/>
      <c r="B12971" s="1138"/>
      <c r="C12971" s="1126" t="s">
        <v>6328</v>
      </c>
      <c r="D12971" s="662" t="s">
        <v>6329</v>
      </c>
      <c r="E12971" s="1126" t="n">
        <v>10</v>
      </c>
      <c r="F12971" s="1143" t="n">
        <v>82900</v>
      </c>
      <c r="G12971" s="1123" t="n">
        <v>829</v>
      </c>
      <c r="H12971" s="662"/>
    </row>
    <row r="12972" s="663" customFormat="true" ht="25.5" hidden="false" customHeight="false" outlineLevel="0" collapsed="false">
      <c r="A12972" s="1150"/>
      <c r="B12972" s="1138"/>
      <c r="C12972" s="1126" t="s">
        <v>6741</v>
      </c>
      <c r="D12972" s="662" t="s">
        <v>4348</v>
      </c>
      <c r="E12972" s="1126" t="n">
        <v>1</v>
      </c>
      <c r="F12972" s="1143" t="n">
        <v>600</v>
      </c>
      <c r="G12972" s="1123" t="n">
        <v>600</v>
      </c>
      <c r="H12972" s="662"/>
    </row>
    <row r="12973" s="663" customFormat="true" ht="15.75" hidden="false" customHeight="false" outlineLevel="0" collapsed="false">
      <c r="A12973" s="1150"/>
      <c r="B12973" s="1138"/>
      <c r="C12973" s="1126" t="s">
        <v>6736</v>
      </c>
      <c r="D12973" s="662" t="s">
        <v>6495</v>
      </c>
      <c r="E12973" s="1126" t="n">
        <v>1</v>
      </c>
      <c r="F12973" s="1143" t="n">
        <v>23000</v>
      </c>
      <c r="G12973" s="1123" t="n">
        <v>239.583333333333</v>
      </c>
      <c r="H12973" s="662"/>
    </row>
    <row r="12974" s="663" customFormat="true" ht="15.75" hidden="false" customHeight="false" outlineLevel="0" collapsed="false">
      <c r="A12974" s="1150"/>
      <c r="B12974" s="1138"/>
      <c r="C12974" s="1126" t="s">
        <v>6737</v>
      </c>
      <c r="D12974" s="662" t="s">
        <v>6495</v>
      </c>
      <c r="E12974" s="1126" t="n">
        <v>1</v>
      </c>
      <c r="F12974" s="1143" t="n">
        <v>22000</v>
      </c>
      <c r="G12974" s="1123" t="n">
        <v>229.166666666667</v>
      </c>
      <c r="H12974" s="662"/>
    </row>
    <row r="12975" s="663" customFormat="true" ht="15.75" hidden="false" customHeight="false" outlineLevel="0" collapsed="false">
      <c r="A12975" s="1150"/>
      <c r="B12975" s="1138"/>
      <c r="C12975" s="1126" t="s">
        <v>6738</v>
      </c>
      <c r="D12975" s="662" t="s">
        <v>6495</v>
      </c>
      <c r="E12975" s="1126" t="n">
        <v>1</v>
      </c>
      <c r="F12975" s="1143" t="n">
        <v>23000</v>
      </c>
      <c r="G12975" s="1123" t="n">
        <v>239.583333333333</v>
      </c>
      <c r="H12975" s="662"/>
    </row>
    <row r="12976" s="663" customFormat="true" ht="25.5" hidden="false" customHeight="false" outlineLevel="0" collapsed="false">
      <c r="A12976" s="1150"/>
      <c r="B12976" s="1138"/>
      <c r="C12976" s="1126" t="s">
        <v>6739</v>
      </c>
      <c r="D12976" s="662" t="s">
        <v>6538</v>
      </c>
      <c r="E12976" s="1126" t="n">
        <v>10</v>
      </c>
      <c r="F12976" s="1143" t="n">
        <v>9500</v>
      </c>
      <c r="G12976" s="1123" t="n">
        <v>989.583333333333</v>
      </c>
      <c r="H12976" s="662"/>
    </row>
    <row r="12977" s="663" customFormat="true" ht="25.5" hidden="false" customHeight="false" outlineLevel="0" collapsed="false">
      <c r="A12977" s="1150"/>
      <c r="B12977" s="1138"/>
      <c r="C12977" s="1126" t="s">
        <v>6328</v>
      </c>
      <c r="D12977" s="662" t="s">
        <v>6329</v>
      </c>
      <c r="E12977" s="1126" t="n">
        <v>10</v>
      </c>
      <c r="F12977" s="1143" t="n">
        <v>82900</v>
      </c>
      <c r="G12977" s="1123" t="n">
        <v>829</v>
      </c>
      <c r="H12977" s="662"/>
    </row>
    <row r="12978" s="663" customFormat="true" ht="25.5" hidden="false" customHeight="false" outlineLevel="0" collapsed="false">
      <c r="A12978" s="1150"/>
      <c r="B12978" s="1138"/>
      <c r="C12978" s="1126" t="s">
        <v>6741</v>
      </c>
      <c r="D12978" s="662" t="s">
        <v>4348</v>
      </c>
      <c r="E12978" s="1126" t="n">
        <v>1</v>
      </c>
      <c r="F12978" s="1143" t="n">
        <v>600</v>
      </c>
      <c r="G12978" s="1123" t="n">
        <v>600</v>
      </c>
      <c r="H12978" s="662"/>
    </row>
    <row r="12979" s="663" customFormat="true" ht="15.75" hidden="false" customHeight="false" outlineLevel="0" collapsed="false">
      <c r="A12979" s="1150"/>
      <c r="B12979" s="1131" t="s">
        <v>4128</v>
      </c>
      <c r="C12979" s="1126"/>
      <c r="D12979" s="662"/>
      <c r="E12979" s="1126"/>
      <c r="F12979" s="1143"/>
      <c r="G12979" s="1123" t="n">
        <v>9957.9</v>
      </c>
      <c r="H12979" s="662"/>
    </row>
    <row r="12980" s="663" customFormat="true" ht="28.5" hidden="false" customHeight="false" outlineLevel="0" collapsed="false">
      <c r="A12980" s="1204"/>
      <c r="B12980" s="213" t="s">
        <v>4058</v>
      </c>
      <c r="C12980" s="1126"/>
      <c r="D12980" s="662"/>
      <c r="E12980" s="1126"/>
      <c r="F12980" s="1143"/>
      <c r="G12980" s="1123"/>
      <c r="H12980" s="1205"/>
    </row>
    <row r="12981" s="1158" customFormat="true" ht="32.25" hidden="false" customHeight="true" outlineLevel="0" collapsed="false">
      <c r="A12981" s="1159" t="s">
        <v>2677</v>
      </c>
      <c r="B12981" s="430" t="s">
        <v>4101</v>
      </c>
      <c r="C12981" s="433" t="s">
        <v>6706</v>
      </c>
      <c r="D12981" s="606" t="s">
        <v>4348</v>
      </c>
      <c r="E12981" s="954" t="n">
        <v>5</v>
      </c>
      <c r="F12981" s="617" t="n">
        <f aca="false">4500/500</f>
        <v>9</v>
      </c>
      <c r="G12981" s="615" t="n">
        <f aca="false">E12981*F12981</f>
        <v>45</v>
      </c>
      <c r="H12981" s="1170"/>
      <c r="I12981" s="1157"/>
      <c r="J12981" s="1157"/>
      <c r="K12981" s="1157"/>
      <c r="L12981" s="1157"/>
      <c r="M12981" s="1157"/>
      <c r="N12981" s="1157"/>
      <c r="O12981" s="1157"/>
      <c r="P12981" s="1157"/>
      <c r="Q12981" s="1157"/>
      <c r="R12981" s="1157"/>
      <c r="S12981" s="1157"/>
      <c r="T12981" s="1157"/>
      <c r="U12981" s="1157"/>
      <c r="V12981" s="1157"/>
      <c r="W12981" s="1157"/>
      <c r="X12981" s="1157"/>
      <c r="Y12981" s="1157"/>
      <c r="Z12981" s="1157"/>
      <c r="AA12981" s="1157"/>
      <c r="AB12981" s="1157"/>
      <c r="AC12981" s="1157"/>
    </row>
    <row r="12982" s="1158" customFormat="true" ht="21.75" hidden="false" customHeight="true" outlineLevel="0" collapsed="false">
      <c r="A12982" s="1159"/>
      <c r="B12982" s="430"/>
      <c r="C12982" s="614" t="s">
        <v>6712</v>
      </c>
      <c r="D12982" s="606" t="s">
        <v>4348</v>
      </c>
      <c r="E12982" s="954" t="n">
        <v>1</v>
      </c>
      <c r="F12982" s="617" t="n">
        <v>90</v>
      </c>
      <c r="G12982" s="615" t="n">
        <f aca="false">E12982*F12982</f>
        <v>90</v>
      </c>
      <c r="H12982" s="1170"/>
      <c r="I12982" s="1157"/>
      <c r="J12982" s="1157"/>
      <c r="K12982" s="1157"/>
      <c r="L12982" s="1157"/>
      <c r="M12982" s="1157"/>
      <c r="N12982" s="1157"/>
      <c r="O12982" s="1157"/>
      <c r="P12982" s="1157"/>
      <c r="Q12982" s="1157"/>
      <c r="R12982" s="1157"/>
      <c r="S12982" s="1157"/>
      <c r="T12982" s="1157"/>
      <c r="U12982" s="1157"/>
      <c r="V12982" s="1157"/>
      <c r="W12982" s="1157"/>
      <c r="X12982" s="1157"/>
      <c r="Y12982" s="1157"/>
      <c r="Z12982" s="1157"/>
      <c r="AA12982" s="1157"/>
      <c r="AB12982" s="1157"/>
      <c r="AC12982" s="1157"/>
    </row>
    <row r="12983" s="1158" customFormat="true" ht="21" hidden="false" customHeight="true" outlineLevel="0" collapsed="false">
      <c r="A12983" s="1159"/>
      <c r="B12983" s="430"/>
      <c r="C12983" s="614" t="s">
        <v>6884</v>
      </c>
      <c r="D12983" s="606" t="s">
        <v>4348</v>
      </c>
      <c r="E12983" s="954" t="n">
        <v>1</v>
      </c>
      <c r="F12983" s="617" t="n">
        <v>28</v>
      </c>
      <c r="G12983" s="615" t="n">
        <f aca="false">E12983*F12983</f>
        <v>28</v>
      </c>
      <c r="H12983" s="1170"/>
      <c r="I12983" s="1157"/>
      <c r="J12983" s="1157"/>
      <c r="K12983" s="1157"/>
      <c r="L12983" s="1157"/>
      <c r="M12983" s="1157"/>
      <c r="N12983" s="1157"/>
      <c r="O12983" s="1157"/>
      <c r="P12983" s="1157"/>
      <c r="Q12983" s="1157"/>
      <c r="R12983" s="1157"/>
      <c r="S12983" s="1157"/>
      <c r="T12983" s="1157"/>
      <c r="U12983" s="1157"/>
      <c r="V12983" s="1157"/>
      <c r="W12983" s="1157"/>
      <c r="X12983" s="1157"/>
      <c r="Y12983" s="1157"/>
      <c r="Z12983" s="1157"/>
      <c r="AA12983" s="1157"/>
      <c r="AB12983" s="1157"/>
      <c r="AC12983" s="1157"/>
    </row>
    <row r="12984" s="1158" customFormat="true" ht="16.5" hidden="false" customHeight="true" outlineLevel="0" collapsed="false">
      <c r="A12984" s="1159"/>
      <c r="B12984" s="430" t="s">
        <v>4128</v>
      </c>
      <c r="C12984" s="614"/>
      <c r="D12984" s="606"/>
      <c r="E12984" s="954"/>
      <c r="F12984" s="617"/>
      <c r="G12984" s="613" t="n">
        <f aca="false">SUM(G12981:G12983)</f>
        <v>163</v>
      </c>
      <c r="H12984" s="1170"/>
      <c r="I12984" s="1157"/>
      <c r="J12984" s="1157"/>
      <c r="K12984" s="1157"/>
      <c r="L12984" s="1157"/>
      <c r="M12984" s="1157"/>
      <c r="N12984" s="1157"/>
      <c r="O12984" s="1157"/>
      <c r="P12984" s="1157"/>
      <c r="Q12984" s="1157"/>
      <c r="R12984" s="1157"/>
      <c r="S12984" s="1157"/>
      <c r="T12984" s="1157"/>
      <c r="U12984" s="1157"/>
      <c r="V12984" s="1157"/>
      <c r="W12984" s="1157"/>
      <c r="X12984" s="1157"/>
      <c r="Y12984" s="1157"/>
      <c r="Z12984" s="1157"/>
      <c r="AA12984" s="1157"/>
      <c r="AB12984" s="1157"/>
      <c r="AC12984" s="1157"/>
    </row>
    <row r="12985" s="663" customFormat="true" ht="47.25" hidden="false" customHeight="false" outlineLevel="0" collapsed="false">
      <c r="A12985" s="1159" t="s">
        <v>2679</v>
      </c>
      <c r="B12985" s="430" t="s">
        <v>4057</v>
      </c>
      <c r="C12985" s="430"/>
      <c r="D12985" s="430"/>
      <c r="E12985" s="430"/>
      <c r="F12985" s="430"/>
      <c r="G12985" s="1203" t="n">
        <f aca="false">G12996/35</f>
        <v>284.511428571429</v>
      </c>
      <c r="H12985" s="430"/>
    </row>
    <row r="12986" s="663" customFormat="true" ht="15.75" hidden="false" customHeight="false" outlineLevel="0" collapsed="false">
      <c r="A12986" s="1150"/>
      <c r="B12986" s="1138" t="s">
        <v>6856</v>
      </c>
      <c r="C12986" s="1126" t="s">
        <v>6857</v>
      </c>
      <c r="D12986" s="662" t="s">
        <v>6213</v>
      </c>
      <c r="E12986" s="1126" t="n">
        <v>1</v>
      </c>
      <c r="F12986" s="1143" t="n">
        <v>242682</v>
      </c>
      <c r="G12986" s="1123" t="n">
        <v>4412.4</v>
      </c>
      <c r="H12986" s="662"/>
    </row>
    <row r="12987" s="663" customFormat="true" ht="25.5" hidden="false" customHeight="false" outlineLevel="0" collapsed="false">
      <c r="A12987" s="1150"/>
      <c r="B12987" s="1138"/>
      <c r="C12987" s="1126" t="s">
        <v>6858</v>
      </c>
      <c r="D12987" s="662" t="s">
        <v>6538</v>
      </c>
      <c r="E12987" s="1126" t="n">
        <v>10</v>
      </c>
      <c r="F12987" s="1143" t="n">
        <v>9500</v>
      </c>
      <c r="G12987" s="1123" t="n">
        <v>989.583333333333</v>
      </c>
      <c r="H12987" s="662"/>
    </row>
    <row r="12988" s="663" customFormat="true" ht="25.5" hidden="false" customHeight="false" outlineLevel="0" collapsed="false">
      <c r="A12988" s="1150"/>
      <c r="B12988" s="1138"/>
      <c r="C12988" s="1126" t="s">
        <v>6328</v>
      </c>
      <c r="D12988" s="662" t="s">
        <v>6329</v>
      </c>
      <c r="E12988" s="1126" t="n">
        <v>10</v>
      </c>
      <c r="F12988" s="1143" t="n">
        <v>82900</v>
      </c>
      <c r="G12988" s="1123" t="n">
        <v>829</v>
      </c>
      <c r="H12988" s="662"/>
    </row>
    <row r="12989" s="663" customFormat="true" ht="25.5" hidden="false" customHeight="false" outlineLevel="0" collapsed="false">
      <c r="A12989" s="1150"/>
      <c r="B12989" s="1138"/>
      <c r="C12989" s="1126" t="s">
        <v>6741</v>
      </c>
      <c r="D12989" s="662" t="s">
        <v>4348</v>
      </c>
      <c r="E12989" s="1126" t="n">
        <v>1</v>
      </c>
      <c r="F12989" s="1143" t="n">
        <v>600</v>
      </c>
      <c r="G12989" s="1123" t="n">
        <v>600</v>
      </c>
      <c r="H12989" s="662"/>
    </row>
    <row r="12990" s="663" customFormat="true" ht="15.75" hidden="false" customHeight="false" outlineLevel="0" collapsed="false">
      <c r="A12990" s="1150"/>
      <c r="B12990" s="1138"/>
      <c r="C12990" s="1126" t="s">
        <v>6736</v>
      </c>
      <c r="D12990" s="662" t="s">
        <v>6495</v>
      </c>
      <c r="E12990" s="1126" t="n">
        <v>1</v>
      </c>
      <c r="F12990" s="1143" t="n">
        <v>23000</v>
      </c>
      <c r="G12990" s="1123" t="n">
        <v>239.583333333333</v>
      </c>
      <c r="H12990" s="662"/>
    </row>
    <row r="12991" s="663" customFormat="true" ht="15.75" hidden="false" customHeight="false" outlineLevel="0" collapsed="false">
      <c r="A12991" s="1150"/>
      <c r="B12991" s="1138"/>
      <c r="C12991" s="1126" t="s">
        <v>6737</v>
      </c>
      <c r="D12991" s="662" t="s">
        <v>6495</v>
      </c>
      <c r="E12991" s="1126" t="n">
        <v>1</v>
      </c>
      <c r="F12991" s="1143" t="n">
        <v>22000</v>
      </c>
      <c r="G12991" s="1123" t="n">
        <v>229.166666666667</v>
      </c>
      <c r="H12991" s="662"/>
    </row>
    <row r="12992" s="663" customFormat="true" ht="15.75" hidden="false" customHeight="false" outlineLevel="0" collapsed="false">
      <c r="A12992" s="1150"/>
      <c r="B12992" s="1138"/>
      <c r="C12992" s="1126" t="s">
        <v>6738</v>
      </c>
      <c r="D12992" s="662" t="s">
        <v>6495</v>
      </c>
      <c r="E12992" s="1126" t="n">
        <v>1</v>
      </c>
      <c r="F12992" s="1143" t="n">
        <v>23000</v>
      </c>
      <c r="G12992" s="1123" t="n">
        <v>239.583333333333</v>
      </c>
      <c r="H12992" s="662"/>
    </row>
    <row r="12993" s="663" customFormat="true" ht="25.5" hidden="false" customHeight="false" outlineLevel="0" collapsed="false">
      <c r="A12993" s="1150"/>
      <c r="B12993" s="1138"/>
      <c r="C12993" s="1126" t="s">
        <v>6739</v>
      </c>
      <c r="D12993" s="662" t="s">
        <v>6538</v>
      </c>
      <c r="E12993" s="1126" t="n">
        <v>10</v>
      </c>
      <c r="F12993" s="1143" t="n">
        <v>9500</v>
      </c>
      <c r="G12993" s="1123" t="n">
        <v>989.583333333333</v>
      </c>
      <c r="H12993" s="662"/>
    </row>
    <row r="12994" s="663" customFormat="true" ht="25.5" hidden="false" customHeight="false" outlineLevel="0" collapsed="false">
      <c r="A12994" s="1150"/>
      <c r="B12994" s="1138"/>
      <c r="C12994" s="1126" t="s">
        <v>6328</v>
      </c>
      <c r="D12994" s="662" t="s">
        <v>6329</v>
      </c>
      <c r="E12994" s="1126" t="n">
        <v>10</v>
      </c>
      <c r="F12994" s="1143" t="n">
        <v>82900</v>
      </c>
      <c r="G12994" s="1123" t="n">
        <v>829</v>
      </c>
      <c r="H12994" s="662"/>
    </row>
    <row r="12995" s="663" customFormat="true" ht="25.5" hidden="false" customHeight="false" outlineLevel="0" collapsed="false">
      <c r="A12995" s="1150"/>
      <c r="B12995" s="1138"/>
      <c r="C12995" s="1126" t="s">
        <v>6741</v>
      </c>
      <c r="D12995" s="662" t="s">
        <v>4348</v>
      </c>
      <c r="E12995" s="1126" t="n">
        <v>1</v>
      </c>
      <c r="F12995" s="1143" t="n">
        <v>600</v>
      </c>
      <c r="G12995" s="1123" t="n">
        <v>600</v>
      </c>
      <c r="H12995" s="662"/>
    </row>
    <row r="12996" s="663" customFormat="true" ht="15.75" hidden="false" customHeight="false" outlineLevel="0" collapsed="false">
      <c r="A12996" s="1150"/>
      <c r="B12996" s="1131" t="s">
        <v>4128</v>
      </c>
      <c r="C12996" s="1126"/>
      <c r="D12996" s="662"/>
      <c r="E12996" s="1126"/>
      <c r="F12996" s="1143"/>
      <c r="G12996" s="1123" t="n">
        <v>9957.9</v>
      </c>
      <c r="H12996" s="662"/>
    </row>
    <row r="12997" s="663" customFormat="true" ht="30" hidden="false" customHeight="false" outlineLevel="0" collapsed="false">
      <c r="A12997" s="431" t="s">
        <v>2682</v>
      </c>
      <c r="B12997" s="217" t="s">
        <v>4063</v>
      </c>
      <c r="C12997" s="1126"/>
      <c r="D12997" s="662"/>
      <c r="E12997" s="1126"/>
      <c r="F12997" s="1143"/>
      <c r="G12997" s="1124" t="n">
        <f aca="false">(G13003+G13010+G13021+G13034+G13047+G13055+G13063+G13095+G13104+G13116+G13148+G13157+G13168+G13180+G13191+G13202+G13215+G13226+G13234+G13245+G13260+G13276+G13292+G13302+G13334+G13348+G13368+G13381+G13388+G13398+G13410+G13429+G13444+G13457+G13466+G13476+G13485+G13498+G13517)/495</f>
        <v>122.096185858586</v>
      </c>
      <c r="H12997" s="662"/>
    </row>
    <row r="12998" customFormat="false" ht="30" hidden="false" customHeight="false" outlineLevel="0" collapsed="false">
      <c r="A12998" s="571"/>
      <c r="B12998" s="433" t="s">
        <v>3630</v>
      </c>
      <c r="C12998" s="860" t="s">
        <v>5818</v>
      </c>
      <c r="D12998" s="316" t="s">
        <v>4149</v>
      </c>
      <c r="E12998" s="661" t="n">
        <v>0.012</v>
      </c>
      <c r="F12998" s="617" t="n">
        <v>67687</v>
      </c>
      <c r="G12998" s="615" t="n">
        <f aca="false">E12998*F12998</f>
        <v>812.244</v>
      </c>
      <c r="H12998" s="606"/>
    </row>
    <row r="12999" customFormat="false" ht="15" hidden="false" customHeight="false" outlineLevel="0" collapsed="false">
      <c r="A12999" s="571"/>
      <c r="B12999" s="608"/>
      <c r="C12999" s="860" t="s">
        <v>5819</v>
      </c>
      <c r="D12999" s="316" t="s">
        <v>4191</v>
      </c>
      <c r="E12999" s="954" t="n">
        <v>0.01</v>
      </c>
      <c r="F12999" s="955" t="n">
        <v>316.4</v>
      </c>
      <c r="G12999" s="615" t="n">
        <f aca="false">E12999*F12999</f>
        <v>3.164</v>
      </c>
      <c r="H12999" s="610"/>
    </row>
    <row r="13000" customFormat="false" ht="15" hidden="false" customHeight="false" outlineLevel="0" collapsed="false">
      <c r="A13000" s="571"/>
      <c r="B13000" s="608"/>
      <c r="C13000" s="860" t="s">
        <v>5820</v>
      </c>
      <c r="D13000" s="316" t="s">
        <v>4191</v>
      </c>
      <c r="E13000" s="954" t="n">
        <v>0.01</v>
      </c>
      <c r="F13000" s="617" t="n">
        <v>650</v>
      </c>
      <c r="G13000" s="615" t="n">
        <f aca="false">E13000*F13000</f>
        <v>6.5</v>
      </c>
      <c r="H13000" s="610"/>
    </row>
    <row r="13001" customFormat="false" ht="15" hidden="false" customHeight="false" outlineLevel="0" collapsed="false">
      <c r="A13001" s="327"/>
      <c r="B13001" s="328"/>
      <c r="C13001" s="860" t="s">
        <v>4515</v>
      </c>
      <c r="D13001" s="316" t="s">
        <v>5564</v>
      </c>
      <c r="E13001" s="661" t="n">
        <v>0.01</v>
      </c>
      <c r="F13001" s="617" t="n">
        <v>350</v>
      </c>
      <c r="G13001" s="615" t="n">
        <f aca="false">E13001*F13001</f>
        <v>3.5</v>
      </c>
      <c r="H13001" s="593"/>
    </row>
    <row r="13002" customFormat="false" ht="15" hidden="false" customHeight="false" outlineLevel="0" collapsed="false">
      <c r="A13002" s="571"/>
      <c r="B13002" s="608"/>
      <c r="C13002" s="860" t="s">
        <v>4776</v>
      </c>
      <c r="D13002" s="606" t="s">
        <v>4528</v>
      </c>
      <c r="E13002" s="954" t="n">
        <v>0.11</v>
      </c>
      <c r="F13002" s="617" t="n">
        <v>800</v>
      </c>
      <c r="G13002" s="615" t="n">
        <f aca="false">E13002*F13002</f>
        <v>88</v>
      </c>
      <c r="H13002" s="618"/>
    </row>
    <row r="13003" customFormat="false" ht="15" hidden="false" customHeight="false" outlineLevel="0" collapsed="false">
      <c r="A13003" s="571"/>
      <c r="B13003" s="608" t="s">
        <v>4128</v>
      </c>
      <c r="C13003" s="718"/>
      <c r="D13003" s="610"/>
      <c r="E13003" s="611"/>
      <c r="F13003" s="612"/>
      <c r="G13003" s="613" t="n">
        <f aca="false">SUM(G12998:G13002)</f>
        <v>913.408</v>
      </c>
      <c r="H13003" s="610"/>
    </row>
    <row r="13004" customFormat="false" ht="45" hidden="false" customHeight="false" outlineLevel="0" collapsed="false">
      <c r="A13004" s="571"/>
      <c r="B13004" s="433" t="s">
        <v>3631</v>
      </c>
      <c r="C13004" s="860" t="s">
        <v>5818</v>
      </c>
      <c r="D13004" s="316" t="s">
        <v>4149</v>
      </c>
      <c r="E13004" s="661" t="n">
        <v>0.004</v>
      </c>
      <c r="F13004" s="617" t="n">
        <v>67687</v>
      </c>
      <c r="G13004" s="615" t="n">
        <f aca="false">E13004*F13004</f>
        <v>270.748</v>
      </c>
      <c r="H13004" s="606"/>
    </row>
    <row r="13005" customFormat="false" ht="15" hidden="false" customHeight="false" outlineLevel="0" collapsed="false">
      <c r="A13005" s="571"/>
      <c r="B13005" s="608"/>
      <c r="C13005" s="860" t="s">
        <v>5819</v>
      </c>
      <c r="D13005" s="316" t="s">
        <v>4191</v>
      </c>
      <c r="E13005" s="954" t="n">
        <v>0.01</v>
      </c>
      <c r="F13005" s="955" t="n">
        <v>316.4</v>
      </c>
      <c r="G13005" s="615" t="n">
        <f aca="false">E13005*F13005</f>
        <v>3.164</v>
      </c>
      <c r="H13005" s="610"/>
    </row>
    <row r="13006" customFormat="false" ht="15" hidden="false" customHeight="false" outlineLevel="0" collapsed="false">
      <c r="A13006" s="571"/>
      <c r="B13006" s="500"/>
      <c r="C13006" s="860" t="s">
        <v>5820</v>
      </c>
      <c r="D13006" s="316" t="s">
        <v>4191</v>
      </c>
      <c r="E13006" s="954" t="n">
        <v>0.01</v>
      </c>
      <c r="F13006" s="617" t="n">
        <v>650</v>
      </c>
      <c r="G13006" s="615" t="n">
        <f aca="false">E13006*F13006</f>
        <v>6.5</v>
      </c>
      <c r="H13006" s="606"/>
    </row>
    <row r="13007" customFormat="false" ht="15" hidden="false" customHeight="false" outlineLevel="0" collapsed="false">
      <c r="B13007" s="500"/>
      <c r="C13007" s="860" t="s">
        <v>5816</v>
      </c>
      <c r="D13007" s="316" t="s">
        <v>4141</v>
      </c>
      <c r="E13007" s="661" t="n">
        <v>0.004</v>
      </c>
      <c r="F13007" s="617" t="n">
        <v>144704</v>
      </c>
      <c r="G13007" s="615" t="n">
        <f aca="false">E13007*F13007</f>
        <v>578.816</v>
      </c>
      <c r="H13007" s="606"/>
    </row>
    <row r="13008" customFormat="false" ht="15" hidden="false" customHeight="false" outlineLevel="0" collapsed="false">
      <c r="A13008" s="571"/>
      <c r="B13008" s="500"/>
      <c r="C13008" s="860" t="s">
        <v>4515</v>
      </c>
      <c r="D13008" s="316" t="s">
        <v>4149</v>
      </c>
      <c r="E13008" s="661" t="n">
        <v>0.01</v>
      </c>
      <c r="F13008" s="617" t="n">
        <v>350</v>
      </c>
      <c r="G13008" s="615" t="n">
        <f aca="false">E13008*F13008</f>
        <v>3.5</v>
      </c>
      <c r="H13008" s="606"/>
    </row>
    <row r="13009" customFormat="false" ht="15" hidden="false" customHeight="false" outlineLevel="0" collapsed="false">
      <c r="A13009" s="571"/>
      <c r="B13009" s="608"/>
      <c r="C13009" s="860" t="s">
        <v>4776</v>
      </c>
      <c r="D13009" s="316" t="s">
        <v>4359</v>
      </c>
      <c r="E13009" s="954" t="n">
        <v>0.16</v>
      </c>
      <c r="F13009" s="617" t="n">
        <v>800</v>
      </c>
      <c r="G13009" s="615" t="n">
        <f aca="false">E13009*F13009</f>
        <v>128</v>
      </c>
      <c r="H13009" s="391"/>
    </row>
    <row r="13010" customFormat="false" ht="15" hidden="false" customHeight="false" outlineLevel="0" collapsed="false">
      <c r="A13010" s="571"/>
      <c r="B13010" s="608" t="s">
        <v>4128</v>
      </c>
      <c r="C13010" s="709"/>
      <c r="D13010" s="606"/>
      <c r="E13010" s="606"/>
      <c r="F13010" s="361"/>
      <c r="G13010" s="613" t="n">
        <f aca="false">SUM(G13004:G13009)</f>
        <v>990.728</v>
      </c>
      <c r="H13010" s="391"/>
    </row>
    <row r="13011" customFormat="false" ht="30" hidden="false" customHeight="false" outlineLevel="0" collapsed="false">
      <c r="A13011" s="571"/>
      <c r="B13011" s="493" t="s">
        <v>3632</v>
      </c>
      <c r="C13011" s="860" t="s">
        <v>5818</v>
      </c>
      <c r="D13011" s="316" t="s">
        <v>4149</v>
      </c>
      <c r="E13011" s="954" t="n">
        <v>0.003</v>
      </c>
      <c r="F13011" s="617" t="n">
        <v>67687</v>
      </c>
      <c r="G13011" s="615" t="n">
        <f aca="false">E13011*F13011</f>
        <v>203.061</v>
      </c>
      <c r="H13011" s="606"/>
    </row>
    <row r="13012" customFormat="false" ht="15" hidden="false" customHeight="false" outlineLevel="0" collapsed="false">
      <c r="A13012" s="571"/>
      <c r="B13012" s="500"/>
      <c r="C13012" s="860" t="s">
        <v>5821</v>
      </c>
      <c r="D13012" s="316" t="s">
        <v>4149</v>
      </c>
      <c r="E13012" s="954" t="n">
        <v>0.003</v>
      </c>
      <c r="F13012" s="617" t="n">
        <v>45738</v>
      </c>
      <c r="G13012" s="615" t="n">
        <f aca="false">E13012*F13012</f>
        <v>137.214</v>
      </c>
      <c r="H13012" s="606"/>
    </row>
    <row r="13013" customFormat="false" ht="15" hidden="false" customHeight="false" outlineLevel="0" collapsed="false">
      <c r="A13013" s="571"/>
      <c r="B13013" s="608"/>
      <c r="C13013" s="860" t="s">
        <v>5822</v>
      </c>
      <c r="D13013" s="316" t="s">
        <v>4149</v>
      </c>
      <c r="E13013" s="954" t="n">
        <v>0.004</v>
      </c>
      <c r="F13013" s="617" t="n">
        <v>145939</v>
      </c>
      <c r="G13013" s="615" t="n">
        <f aca="false">E13013*F13013</f>
        <v>583.756</v>
      </c>
      <c r="H13013" s="391"/>
    </row>
    <row r="13014" customFormat="false" ht="15" hidden="false" customHeight="false" outlineLevel="0" collapsed="false">
      <c r="A13014" s="571"/>
      <c r="B13014" s="328"/>
      <c r="C13014" s="21" t="s">
        <v>5823</v>
      </c>
      <c r="D13014" s="316" t="s">
        <v>4149</v>
      </c>
      <c r="E13014" s="954" t="n">
        <v>0.003</v>
      </c>
      <c r="F13014" s="617" t="n">
        <v>69797</v>
      </c>
      <c r="G13014" s="615" t="n">
        <f aca="false">E13014*F13014</f>
        <v>209.391</v>
      </c>
      <c r="H13014" s="606"/>
    </row>
    <row r="13015" customFormat="false" ht="15" hidden="false" customHeight="false" outlineLevel="0" collapsed="false">
      <c r="A13015" s="571"/>
      <c r="B13015" s="500"/>
      <c r="C13015" s="860" t="s">
        <v>5824</v>
      </c>
      <c r="D13015" s="316" t="s">
        <v>4528</v>
      </c>
      <c r="E13015" s="954" t="n">
        <v>0.001</v>
      </c>
      <c r="F13015" s="617" t="n">
        <v>82115</v>
      </c>
      <c r="G13015" s="615" t="n">
        <f aca="false">F13015*E13015</f>
        <v>82.115</v>
      </c>
      <c r="H13015" s="606"/>
    </row>
    <row r="13016" customFormat="false" ht="15" hidden="false" customHeight="false" outlineLevel="0" collapsed="false">
      <c r="A13016" s="571"/>
      <c r="B13016" s="500"/>
      <c r="C13016" s="860" t="s">
        <v>5825</v>
      </c>
      <c r="D13016" s="316" t="s">
        <v>4141</v>
      </c>
      <c r="E13016" s="954" t="n">
        <v>0.01</v>
      </c>
      <c r="F13016" s="883" t="n">
        <v>8468</v>
      </c>
      <c r="G13016" s="615" t="n">
        <f aca="false">F13016*E13016</f>
        <v>84.68</v>
      </c>
      <c r="H13016" s="606"/>
    </row>
    <row r="13017" customFormat="false" ht="15" hidden="false" customHeight="false" outlineLevel="0" collapsed="false">
      <c r="A13017" s="571"/>
      <c r="B13017" s="500"/>
      <c r="C13017" s="860" t="s">
        <v>5819</v>
      </c>
      <c r="D13017" s="316" t="s">
        <v>4191</v>
      </c>
      <c r="E13017" s="954" t="n">
        <v>0.01</v>
      </c>
      <c r="F13017" s="956" t="n">
        <v>316.4</v>
      </c>
      <c r="G13017" s="615" t="n">
        <f aca="false">F13017*E13017</f>
        <v>3.164</v>
      </c>
      <c r="H13017" s="606"/>
    </row>
    <row r="13018" customFormat="false" ht="15" hidden="false" customHeight="false" outlineLevel="0" collapsed="false">
      <c r="A13018" s="571"/>
      <c r="B13018" s="500"/>
      <c r="C13018" s="860" t="s">
        <v>5826</v>
      </c>
      <c r="D13018" s="316" t="s">
        <v>4191</v>
      </c>
      <c r="E13018" s="954" t="n">
        <v>0.01</v>
      </c>
      <c r="F13018" s="686" t="n">
        <v>366.25</v>
      </c>
      <c r="G13018" s="615" t="n">
        <f aca="false">F13018*E13018</f>
        <v>3.6625</v>
      </c>
      <c r="H13018" s="606"/>
    </row>
    <row r="13019" customFormat="false" ht="15" hidden="false" customHeight="false" outlineLevel="0" collapsed="false">
      <c r="A13019" s="571"/>
      <c r="B13019" s="328"/>
      <c r="C13019" s="860" t="s">
        <v>5820</v>
      </c>
      <c r="D13019" s="316" t="s">
        <v>4191</v>
      </c>
      <c r="E13019" s="954" t="n">
        <v>0.01</v>
      </c>
      <c r="F13019" s="617" t="n">
        <v>650</v>
      </c>
      <c r="G13019" s="615" t="n">
        <f aca="false">F13019*E13019</f>
        <v>6.5</v>
      </c>
      <c r="H13019" s="606"/>
    </row>
    <row r="13020" customFormat="false" ht="15" hidden="false" customHeight="false" outlineLevel="0" collapsed="false">
      <c r="A13020" s="571"/>
      <c r="B13020" s="500"/>
      <c r="C13020" s="860" t="s">
        <v>4776</v>
      </c>
      <c r="D13020" s="316" t="s">
        <v>4359</v>
      </c>
      <c r="E13020" s="954" t="n">
        <v>0.2</v>
      </c>
      <c r="F13020" s="617" t="n">
        <v>800</v>
      </c>
      <c r="G13020" s="615" t="n">
        <f aca="false">F13020*E13020</f>
        <v>160</v>
      </c>
      <c r="H13020" s="606"/>
    </row>
    <row r="13021" customFormat="false" ht="15" hidden="false" customHeight="false" outlineLevel="0" collapsed="false">
      <c r="A13021" s="571"/>
      <c r="B13021" s="608" t="s">
        <v>4128</v>
      </c>
      <c r="C13021" s="718"/>
      <c r="D13021" s="610"/>
      <c r="E13021" s="610"/>
      <c r="F13021" s="612"/>
      <c r="G13021" s="613" t="n">
        <f aca="false">SUM(G13011:G13020)</f>
        <v>1473.5435</v>
      </c>
      <c r="H13021" s="610"/>
    </row>
    <row r="13022" customFormat="false" ht="30" hidden="false" customHeight="false" outlineLevel="0" collapsed="false">
      <c r="A13022" s="571"/>
      <c r="B13022" s="488" t="s">
        <v>3633</v>
      </c>
      <c r="C13022" s="860" t="s">
        <v>5818</v>
      </c>
      <c r="D13022" s="316" t="s">
        <v>4149</v>
      </c>
      <c r="E13022" s="954" t="n">
        <v>0.004</v>
      </c>
      <c r="F13022" s="617" t="n">
        <v>67687</v>
      </c>
      <c r="G13022" s="615" t="n">
        <f aca="false">E13022*F13022</f>
        <v>270.748</v>
      </c>
      <c r="H13022" s="606"/>
    </row>
    <row r="13023" customFormat="false" ht="15" hidden="false" customHeight="false" outlineLevel="0" collapsed="false">
      <c r="A13023" s="571"/>
      <c r="B13023" s="608"/>
      <c r="C13023" s="860" t="s">
        <v>5822</v>
      </c>
      <c r="D13023" s="316" t="s">
        <v>4149</v>
      </c>
      <c r="E13023" s="954" t="n">
        <v>0.002</v>
      </c>
      <c r="F13023" s="617" t="n">
        <v>145939</v>
      </c>
      <c r="G13023" s="615" t="n">
        <f aca="false">E13023*F13023</f>
        <v>291.878</v>
      </c>
      <c r="H13023" s="391"/>
    </row>
    <row r="13024" customFormat="false" ht="15" hidden="false" customHeight="false" outlineLevel="0" collapsed="false">
      <c r="A13024" s="571"/>
      <c r="B13024" s="328"/>
      <c r="C13024" s="21" t="s">
        <v>5823</v>
      </c>
      <c r="D13024" s="316" t="s">
        <v>4149</v>
      </c>
      <c r="E13024" s="954" t="n">
        <v>0.004</v>
      </c>
      <c r="F13024" s="617" t="n">
        <v>69797</v>
      </c>
      <c r="G13024" s="615" t="n">
        <f aca="false">E13024*F13024</f>
        <v>279.188</v>
      </c>
      <c r="H13024" s="606"/>
    </row>
    <row r="13025" customFormat="false" ht="15" hidden="false" customHeight="false" outlineLevel="0" collapsed="false">
      <c r="A13025" s="571"/>
      <c r="B13025" s="500"/>
      <c r="C13025" s="860" t="s">
        <v>5824</v>
      </c>
      <c r="D13025" s="316" t="s">
        <v>4528</v>
      </c>
      <c r="E13025" s="954" t="n">
        <v>0.001</v>
      </c>
      <c r="F13025" s="617" t="n">
        <v>82115</v>
      </c>
      <c r="G13025" s="615" t="n">
        <f aca="false">E13025*F13025</f>
        <v>82.115</v>
      </c>
      <c r="H13025" s="606"/>
    </row>
    <row r="13026" customFormat="false" ht="15" hidden="false" customHeight="false" outlineLevel="0" collapsed="false">
      <c r="A13026" s="571"/>
      <c r="B13026" s="500"/>
      <c r="C13026" s="860" t="s">
        <v>5825</v>
      </c>
      <c r="D13026" s="316" t="s">
        <v>4191</v>
      </c>
      <c r="E13026" s="954" t="n">
        <v>0.01</v>
      </c>
      <c r="F13026" s="883" t="n">
        <v>8468</v>
      </c>
      <c r="G13026" s="615" t="n">
        <f aca="false">E13026*F13026</f>
        <v>84.68</v>
      </c>
      <c r="H13026" s="606"/>
    </row>
    <row r="13027" customFormat="false" ht="15" hidden="false" customHeight="false" outlineLevel="0" collapsed="false">
      <c r="A13027" s="571"/>
      <c r="B13027" s="500"/>
      <c r="C13027" s="860" t="s">
        <v>5819</v>
      </c>
      <c r="D13027" s="316" t="s">
        <v>4191</v>
      </c>
      <c r="E13027" s="954" t="n">
        <v>0.01</v>
      </c>
      <c r="F13027" s="883" t="n">
        <v>316.4</v>
      </c>
      <c r="G13027" s="615" t="n">
        <f aca="false">E13027*F13027</f>
        <v>3.164</v>
      </c>
      <c r="H13027" s="606"/>
    </row>
    <row r="13028" customFormat="false" ht="15" hidden="false" customHeight="false" outlineLevel="0" collapsed="false">
      <c r="A13028" s="571"/>
      <c r="B13028" s="500"/>
      <c r="C13028" s="860" t="s">
        <v>5826</v>
      </c>
      <c r="D13028" s="316" t="s">
        <v>4191</v>
      </c>
      <c r="E13028" s="954" t="n">
        <v>0.01</v>
      </c>
      <c r="F13028" s="617" t="n">
        <v>366.25</v>
      </c>
      <c r="G13028" s="615" t="n">
        <f aca="false">E13028*F13028</f>
        <v>3.6625</v>
      </c>
      <c r="H13028" s="606"/>
    </row>
    <row r="13029" customFormat="false" ht="15" hidden="false" customHeight="false" outlineLevel="0" collapsed="false">
      <c r="A13029" s="571"/>
      <c r="B13029" s="500"/>
      <c r="C13029" s="860" t="s">
        <v>5820</v>
      </c>
      <c r="D13029" s="316" t="s">
        <v>4191</v>
      </c>
      <c r="E13029" s="954" t="n">
        <v>0.01</v>
      </c>
      <c r="F13029" s="617" t="n">
        <v>650</v>
      </c>
      <c r="G13029" s="615" t="n">
        <f aca="false">E13029*F13029</f>
        <v>6.5</v>
      </c>
      <c r="H13029" s="606"/>
    </row>
    <row r="13030" customFormat="false" ht="15" hidden="false" customHeight="false" outlineLevel="0" collapsed="false">
      <c r="A13030" s="571"/>
      <c r="B13030" s="500"/>
      <c r="C13030" s="860" t="s">
        <v>5816</v>
      </c>
      <c r="D13030" s="316" t="s">
        <v>4191</v>
      </c>
      <c r="E13030" s="954" t="n">
        <v>0.01</v>
      </c>
      <c r="F13030" s="617" t="n">
        <v>39500</v>
      </c>
      <c r="G13030" s="615" t="n">
        <f aca="false">E13030*F13030</f>
        <v>395</v>
      </c>
      <c r="H13030" s="606"/>
    </row>
    <row r="13031" customFormat="false" ht="15" hidden="false" customHeight="false" outlineLevel="0" collapsed="false">
      <c r="A13031" s="571"/>
      <c r="B13031" s="500"/>
      <c r="C13031" s="860" t="s">
        <v>4515</v>
      </c>
      <c r="D13031" s="316" t="s">
        <v>4149</v>
      </c>
      <c r="E13031" s="954" t="n">
        <v>0.022</v>
      </c>
      <c r="F13031" s="617" t="n">
        <v>350</v>
      </c>
      <c r="G13031" s="615" t="n">
        <f aca="false">E13031*F13031</f>
        <v>7.7</v>
      </c>
      <c r="H13031" s="606"/>
    </row>
    <row r="13032" customFormat="false" ht="15" hidden="false" customHeight="false" outlineLevel="0" collapsed="false">
      <c r="A13032" s="571"/>
      <c r="B13032" s="500"/>
      <c r="C13032" s="860" t="s">
        <v>4776</v>
      </c>
      <c r="D13032" s="316" t="s">
        <v>4359</v>
      </c>
      <c r="E13032" s="954" t="n">
        <v>0.021</v>
      </c>
      <c r="F13032" s="617" t="n">
        <v>800</v>
      </c>
      <c r="G13032" s="615" t="n">
        <f aca="false">E13032*F13032</f>
        <v>16.8</v>
      </c>
      <c r="H13032" s="606"/>
    </row>
    <row r="13033" customFormat="false" ht="15" hidden="false" customHeight="false" outlineLevel="0" collapsed="false">
      <c r="A13033" s="571"/>
      <c r="B13033" s="500"/>
      <c r="C13033" s="860" t="s">
        <v>5827</v>
      </c>
      <c r="D13033" s="316" t="s">
        <v>4348</v>
      </c>
      <c r="E13033" s="954" t="n">
        <v>0.01</v>
      </c>
      <c r="F13033" s="617" t="n">
        <v>370</v>
      </c>
      <c r="G13033" s="615" t="n">
        <f aca="false">E13033*F13033</f>
        <v>3.7</v>
      </c>
      <c r="H13033" s="606"/>
    </row>
    <row r="13034" customFormat="false" ht="15" hidden="false" customHeight="false" outlineLevel="0" collapsed="false">
      <c r="A13034" s="957"/>
      <c r="B13034" s="608" t="s">
        <v>4128</v>
      </c>
      <c r="C13034" s="718"/>
      <c r="D13034" s="610"/>
      <c r="E13034" s="610"/>
      <c r="F13034" s="612"/>
      <c r="G13034" s="613" t="n">
        <f aca="false">SUM(G13022:G13033)</f>
        <v>1445.1355</v>
      </c>
      <c r="H13034" s="606"/>
    </row>
    <row r="13035" customFormat="false" ht="30" hidden="false" customHeight="false" outlineLevel="0" collapsed="false">
      <c r="A13035" s="571"/>
      <c r="B13035" s="493" t="s">
        <v>3634</v>
      </c>
      <c r="C13035" s="860" t="s">
        <v>5818</v>
      </c>
      <c r="D13035" s="316" t="s">
        <v>4149</v>
      </c>
      <c r="E13035" s="954" t="n">
        <v>0.003</v>
      </c>
      <c r="F13035" s="617" t="n">
        <v>67687</v>
      </c>
      <c r="G13035" s="615" t="n">
        <f aca="false">E13035*F13035</f>
        <v>203.061</v>
      </c>
      <c r="H13035" s="606"/>
    </row>
    <row r="13036" customFormat="false" ht="15" hidden="false" customHeight="false" outlineLevel="0" collapsed="false">
      <c r="A13036" s="571"/>
      <c r="B13036" s="500"/>
      <c r="C13036" s="860" t="s">
        <v>5822</v>
      </c>
      <c r="D13036" s="316" t="s">
        <v>4149</v>
      </c>
      <c r="E13036" s="954" t="n">
        <v>0.002</v>
      </c>
      <c r="F13036" s="617" t="n">
        <v>145939</v>
      </c>
      <c r="G13036" s="615" t="n">
        <f aca="false">E13036*F13036</f>
        <v>291.878</v>
      </c>
      <c r="H13036" s="606"/>
    </row>
    <row r="13037" customFormat="false" ht="15" hidden="false" customHeight="false" outlineLevel="0" collapsed="false">
      <c r="A13037" s="571"/>
      <c r="B13037" s="500"/>
      <c r="C13037" s="21" t="s">
        <v>5823</v>
      </c>
      <c r="D13037" s="316" t="s">
        <v>4149</v>
      </c>
      <c r="E13037" s="954" t="n">
        <v>0.0035</v>
      </c>
      <c r="F13037" s="617" t="n">
        <v>69797</v>
      </c>
      <c r="G13037" s="615" t="n">
        <f aca="false">E13037*F13037</f>
        <v>244.2895</v>
      </c>
      <c r="H13037" s="606"/>
    </row>
    <row r="13038" customFormat="false" ht="15" hidden="false" customHeight="false" outlineLevel="0" collapsed="false">
      <c r="A13038" s="571"/>
      <c r="B13038" s="608"/>
      <c r="C13038" s="860" t="s">
        <v>5824</v>
      </c>
      <c r="D13038" s="316" t="s">
        <v>4528</v>
      </c>
      <c r="E13038" s="954" t="n">
        <v>0.001</v>
      </c>
      <c r="F13038" s="617" t="n">
        <v>82115</v>
      </c>
      <c r="G13038" s="615" t="n">
        <f aca="false">E13038*F13038</f>
        <v>82.115</v>
      </c>
      <c r="H13038" s="391"/>
    </row>
    <row r="13039" customFormat="false" ht="15" hidden="false" customHeight="false" outlineLevel="0" collapsed="false">
      <c r="A13039" s="571"/>
      <c r="B13039" s="328"/>
      <c r="C13039" s="860" t="s">
        <v>5825</v>
      </c>
      <c r="D13039" s="316" t="s">
        <v>4141</v>
      </c>
      <c r="E13039" s="954" t="n">
        <v>0.01</v>
      </c>
      <c r="F13039" s="883" t="n">
        <v>8468</v>
      </c>
      <c r="G13039" s="615" t="n">
        <f aca="false">E13039*F13039</f>
        <v>84.68</v>
      </c>
      <c r="H13039" s="606"/>
    </row>
    <row r="13040" customFormat="false" ht="15" hidden="false" customHeight="false" outlineLevel="0" collapsed="false">
      <c r="A13040" s="571"/>
      <c r="B13040" s="500"/>
      <c r="C13040" s="860" t="s">
        <v>5819</v>
      </c>
      <c r="D13040" s="316" t="s">
        <v>4191</v>
      </c>
      <c r="E13040" s="954" t="n">
        <v>0.01</v>
      </c>
      <c r="F13040" s="883" t="n">
        <v>316.4</v>
      </c>
      <c r="G13040" s="615" t="n">
        <f aca="false">E13040*F13040</f>
        <v>3.164</v>
      </c>
      <c r="H13040" s="606"/>
    </row>
    <row r="13041" customFormat="false" ht="15" hidden="false" customHeight="false" outlineLevel="0" collapsed="false">
      <c r="A13041" s="571"/>
      <c r="B13041" s="500"/>
      <c r="C13041" s="860" t="s">
        <v>5826</v>
      </c>
      <c r="D13041" s="316" t="s">
        <v>4191</v>
      </c>
      <c r="E13041" s="954" t="n">
        <v>0.01</v>
      </c>
      <c r="F13041" s="617" t="n">
        <v>366.25</v>
      </c>
      <c r="G13041" s="615" t="n">
        <f aca="false">E13041*F13041</f>
        <v>3.6625</v>
      </c>
      <c r="H13041" s="606"/>
    </row>
    <row r="13042" customFormat="false" ht="15" hidden="false" customHeight="false" outlineLevel="0" collapsed="false">
      <c r="A13042" s="571"/>
      <c r="B13042" s="500"/>
      <c r="C13042" s="860" t="s">
        <v>5820</v>
      </c>
      <c r="D13042" s="316" t="s">
        <v>4191</v>
      </c>
      <c r="E13042" s="954" t="n">
        <v>0.01</v>
      </c>
      <c r="F13042" s="617" t="n">
        <v>650</v>
      </c>
      <c r="G13042" s="615" t="n">
        <f aca="false">E13042*F13042</f>
        <v>6.5</v>
      </c>
      <c r="H13042" s="606"/>
    </row>
    <row r="13043" customFormat="false" ht="15" hidden="false" customHeight="false" outlineLevel="0" collapsed="false">
      <c r="A13043" s="571"/>
      <c r="B13043" s="500"/>
      <c r="C13043" s="860" t="s">
        <v>5816</v>
      </c>
      <c r="D13043" s="316" t="s">
        <v>4191</v>
      </c>
      <c r="E13043" s="954" t="n">
        <v>0.004</v>
      </c>
      <c r="F13043" s="617" t="n">
        <v>144704</v>
      </c>
      <c r="G13043" s="615" t="n">
        <f aca="false">E13043*F13043</f>
        <v>578.816</v>
      </c>
      <c r="H13043" s="606"/>
    </row>
    <row r="13044" customFormat="false" ht="15" hidden="false" customHeight="false" outlineLevel="0" collapsed="false">
      <c r="A13044" s="571"/>
      <c r="B13044" s="500"/>
      <c r="C13044" s="860" t="s">
        <v>4515</v>
      </c>
      <c r="D13044" s="316" t="s">
        <v>4149</v>
      </c>
      <c r="E13044" s="954" t="n">
        <v>0.022</v>
      </c>
      <c r="F13044" s="617" t="n">
        <v>350</v>
      </c>
      <c r="G13044" s="615" t="n">
        <f aca="false">E13044*F13044</f>
        <v>7.7</v>
      </c>
      <c r="H13044" s="606"/>
    </row>
    <row r="13045" customFormat="false" ht="15" hidden="false" customHeight="false" outlineLevel="0" collapsed="false">
      <c r="A13045" s="571"/>
      <c r="B13045" s="500"/>
      <c r="C13045" s="860" t="s">
        <v>4776</v>
      </c>
      <c r="D13045" s="316" t="s">
        <v>4359</v>
      </c>
      <c r="E13045" s="954" t="n">
        <v>0.021</v>
      </c>
      <c r="F13045" s="617" t="n">
        <v>800</v>
      </c>
      <c r="G13045" s="615" t="n">
        <f aca="false">E13045*F13045</f>
        <v>16.8</v>
      </c>
      <c r="H13045" s="606"/>
    </row>
    <row r="13046" customFormat="false" ht="15" hidden="false" customHeight="false" outlineLevel="0" collapsed="false">
      <c r="A13046" s="571"/>
      <c r="B13046" s="500"/>
      <c r="C13046" s="860" t="s">
        <v>5827</v>
      </c>
      <c r="D13046" s="316" t="s">
        <v>4348</v>
      </c>
      <c r="E13046" s="954" t="n">
        <v>0.01</v>
      </c>
      <c r="F13046" s="617" t="n">
        <v>370</v>
      </c>
      <c r="G13046" s="615" t="n">
        <f aca="false">E13046*F13046</f>
        <v>3.7</v>
      </c>
      <c r="H13046" s="606"/>
    </row>
    <row r="13047" customFormat="false" ht="15" hidden="false" customHeight="false" outlineLevel="0" collapsed="false">
      <c r="A13047" s="571"/>
      <c r="B13047" s="608" t="s">
        <v>4128</v>
      </c>
      <c r="C13047" s="718"/>
      <c r="D13047" s="610"/>
      <c r="E13047" s="610"/>
      <c r="F13047" s="612"/>
      <c r="G13047" s="613" t="n">
        <f aca="false">SUM(G13035:G13046)</f>
        <v>1526.366</v>
      </c>
      <c r="H13047" s="391"/>
    </row>
    <row r="13048" customFormat="false" ht="30" hidden="false" customHeight="false" outlineLevel="0" collapsed="false">
      <c r="A13048" s="571"/>
      <c r="B13048" s="433" t="s">
        <v>3635</v>
      </c>
      <c r="C13048" s="860" t="s">
        <v>5828</v>
      </c>
      <c r="D13048" s="316" t="s">
        <v>4149</v>
      </c>
      <c r="E13048" s="664" t="n">
        <v>0.004</v>
      </c>
      <c r="F13048" s="617" t="n">
        <v>91113</v>
      </c>
      <c r="G13048" s="615" t="n">
        <f aca="false">E13048*F13048</f>
        <v>364.452</v>
      </c>
      <c r="H13048" s="391"/>
    </row>
    <row r="13049" customFormat="false" ht="15" hidden="false" customHeight="false" outlineLevel="0" collapsed="false">
      <c r="A13049" s="571"/>
      <c r="B13049" s="328"/>
      <c r="C13049" s="860" t="s">
        <v>5829</v>
      </c>
      <c r="D13049" s="316" t="s">
        <v>4348</v>
      </c>
      <c r="E13049" s="664" t="n">
        <v>0.003</v>
      </c>
      <c r="F13049" s="617" t="n">
        <v>150375</v>
      </c>
      <c r="G13049" s="615" t="n">
        <f aca="false">E13049*F13049</f>
        <v>451.125</v>
      </c>
      <c r="H13049" s="606"/>
    </row>
    <row r="13050" customFormat="false" ht="15" hidden="false" customHeight="false" outlineLevel="0" collapsed="false">
      <c r="A13050" s="571"/>
      <c r="B13050" s="500"/>
      <c r="C13050" s="860" t="s">
        <v>5824</v>
      </c>
      <c r="D13050" s="316" t="s">
        <v>4359</v>
      </c>
      <c r="E13050" s="664" t="n">
        <v>0.003</v>
      </c>
      <c r="F13050" s="617" t="n">
        <v>82115</v>
      </c>
      <c r="G13050" s="615" t="n">
        <f aca="false">E13050*F13050</f>
        <v>246.345</v>
      </c>
      <c r="H13050" s="606"/>
    </row>
    <row r="13051" customFormat="false" ht="15" hidden="false" customHeight="false" outlineLevel="0" collapsed="false">
      <c r="A13051" s="571"/>
      <c r="B13051" s="500"/>
      <c r="C13051" s="860" t="s">
        <v>5819</v>
      </c>
      <c r="D13051" s="316" t="s">
        <v>4191</v>
      </c>
      <c r="E13051" s="954" t="n">
        <v>0.1</v>
      </c>
      <c r="F13051" s="883" t="n">
        <v>316.4</v>
      </c>
      <c r="G13051" s="615" t="n">
        <f aca="false">E13051*F13051</f>
        <v>31.64</v>
      </c>
      <c r="H13051" s="606"/>
    </row>
    <row r="13052" customFormat="false" ht="15" hidden="false" customHeight="false" outlineLevel="0" collapsed="false">
      <c r="A13052" s="571"/>
      <c r="B13052" s="500"/>
      <c r="C13052" s="860" t="s">
        <v>5820</v>
      </c>
      <c r="D13052" s="316" t="s">
        <v>4191</v>
      </c>
      <c r="E13052" s="954" t="n">
        <v>0.1</v>
      </c>
      <c r="F13052" s="617" t="n">
        <v>650</v>
      </c>
      <c r="G13052" s="615" t="n">
        <f aca="false">E13052*F13052</f>
        <v>65</v>
      </c>
      <c r="H13052" s="606"/>
    </row>
    <row r="13053" customFormat="false" ht="15" hidden="false" customHeight="false" outlineLevel="0" collapsed="false">
      <c r="A13053" s="571"/>
      <c r="B13053" s="500"/>
      <c r="C13053" s="860" t="s">
        <v>4515</v>
      </c>
      <c r="D13053" s="316" t="s">
        <v>4149</v>
      </c>
      <c r="E13053" s="954" t="n">
        <v>0.1</v>
      </c>
      <c r="F13053" s="617" t="n">
        <v>350</v>
      </c>
      <c r="G13053" s="615" t="n">
        <f aca="false">E13053*F13053</f>
        <v>35</v>
      </c>
      <c r="H13053" s="606"/>
    </row>
    <row r="13054" customFormat="false" ht="15" hidden="false" customHeight="false" outlineLevel="0" collapsed="false">
      <c r="A13054" s="571"/>
      <c r="B13054" s="500"/>
      <c r="C13054" s="860" t="s">
        <v>4776</v>
      </c>
      <c r="D13054" s="316" t="s">
        <v>4359</v>
      </c>
      <c r="E13054" s="954" t="n">
        <v>0.1</v>
      </c>
      <c r="F13054" s="617" t="n">
        <v>800</v>
      </c>
      <c r="G13054" s="615" t="n">
        <f aca="false">E13054*F13054</f>
        <v>80</v>
      </c>
      <c r="H13054" s="606"/>
    </row>
    <row r="13055" customFormat="false" ht="15" hidden="false" customHeight="false" outlineLevel="0" collapsed="false">
      <c r="A13055" s="571"/>
      <c r="B13055" s="608" t="s">
        <v>4128</v>
      </c>
      <c r="C13055" s="718"/>
      <c r="D13055" s="610"/>
      <c r="E13055" s="611"/>
      <c r="F13055" s="612"/>
      <c r="G13055" s="613" t="n">
        <f aca="false">SUM(G13048:G13054)</f>
        <v>1273.562</v>
      </c>
      <c r="H13055" s="391"/>
    </row>
    <row r="13056" customFormat="false" ht="30" hidden="false" customHeight="false" outlineLevel="0" collapsed="false">
      <c r="A13056" s="571"/>
      <c r="B13056" s="433" t="s">
        <v>3636</v>
      </c>
      <c r="C13056" s="860" t="s">
        <v>5828</v>
      </c>
      <c r="D13056" s="316" t="s">
        <v>4149</v>
      </c>
      <c r="E13056" s="664" t="n">
        <v>0.005</v>
      </c>
      <c r="F13056" s="617" t="n">
        <v>91113</v>
      </c>
      <c r="G13056" s="615" t="n">
        <f aca="false">E13056*F13056</f>
        <v>455.565</v>
      </c>
      <c r="H13056" s="606"/>
    </row>
    <row r="13057" customFormat="false" ht="15" hidden="false" customHeight="false" outlineLevel="0" collapsed="false">
      <c r="A13057" s="571"/>
      <c r="B13057" s="500"/>
      <c r="C13057" s="860" t="s">
        <v>5824</v>
      </c>
      <c r="D13057" s="316" t="s">
        <v>4359</v>
      </c>
      <c r="E13057" s="664" t="n">
        <v>0.001</v>
      </c>
      <c r="F13057" s="617" t="n">
        <v>82115</v>
      </c>
      <c r="G13057" s="615" t="n">
        <f aca="false">E13057*F13057</f>
        <v>82.115</v>
      </c>
      <c r="H13057" s="606"/>
    </row>
    <row r="13058" customFormat="false" ht="15" hidden="false" customHeight="false" outlineLevel="0" collapsed="false">
      <c r="A13058" s="571"/>
      <c r="B13058" s="500"/>
      <c r="C13058" s="860" t="s">
        <v>5819</v>
      </c>
      <c r="D13058" s="316" t="s">
        <v>4191</v>
      </c>
      <c r="E13058" s="954" t="n">
        <v>0.01</v>
      </c>
      <c r="F13058" s="883" t="n">
        <v>316.4</v>
      </c>
      <c r="G13058" s="615" t="n">
        <f aca="false">E13058*F13058</f>
        <v>3.164</v>
      </c>
      <c r="H13058" s="606"/>
    </row>
    <row r="13059" customFormat="false" ht="15" hidden="false" customHeight="false" outlineLevel="0" collapsed="false">
      <c r="A13059" s="571"/>
      <c r="B13059" s="608"/>
      <c r="C13059" s="860" t="s">
        <v>5820</v>
      </c>
      <c r="D13059" s="316" t="s">
        <v>4191</v>
      </c>
      <c r="E13059" s="954" t="n">
        <v>0.01</v>
      </c>
      <c r="F13059" s="617" t="n">
        <v>650</v>
      </c>
      <c r="G13059" s="615" t="n">
        <f aca="false">E13059*F13059</f>
        <v>6.5</v>
      </c>
      <c r="H13059" s="391"/>
    </row>
    <row r="13060" customFormat="false" ht="15" hidden="false" customHeight="false" outlineLevel="0" collapsed="false">
      <c r="A13060" s="571"/>
      <c r="B13060" s="328"/>
      <c r="C13060" s="860" t="s">
        <v>4515</v>
      </c>
      <c r="D13060" s="316" t="s">
        <v>5564</v>
      </c>
      <c r="E13060" s="954" t="n">
        <v>0.1</v>
      </c>
      <c r="F13060" s="617" t="n">
        <v>350</v>
      </c>
      <c r="G13060" s="615" t="n">
        <f aca="false">E13060*F13060</f>
        <v>35</v>
      </c>
      <c r="H13060" s="606"/>
    </row>
    <row r="13061" customFormat="false" ht="15" hidden="false" customHeight="false" outlineLevel="0" collapsed="false">
      <c r="A13061" s="571"/>
      <c r="B13061" s="500"/>
      <c r="C13061" s="860" t="s">
        <v>5816</v>
      </c>
      <c r="D13061" s="316" t="s">
        <v>4191</v>
      </c>
      <c r="E13061" s="954" t="n">
        <v>0.005</v>
      </c>
      <c r="F13061" s="617" t="n">
        <v>144704</v>
      </c>
      <c r="G13061" s="615" t="n">
        <f aca="false">E13061*F13061</f>
        <v>723.52</v>
      </c>
      <c r="H13061" s="606"/>
    </row>
    <row r="13062" customFormat="false" ht="15" hidden="false" customHeight="false" outlineLevel="0" collapsed="false">
      <c r="A13062" s="571"/>
      <c r="B13062" s="500"/>
      <c r="C13062" s="860" t="s">
        <v>4776</v>
      </c>
      <c r="D13062" s="316" t="s">
        <v>4359</v>
      </c>
      <c r="E13062" s="954" t="n">
        <v>0.1</v>
      </c>
      <c r="F13062" s="617" t="n">
        <v>800</v>
      </c>
      <c r="G13062" s="615" t="n">
        <f aca="false">E13062*F13062</f>
        <v>80</v>
      </c>
      <c r="H13062" s="606"/>
    </row>
    <row r="13063" customFormat="false" ht="15" hidden="false" customHeight="false" outlineLevel="0" collapsed="false">
      <c r="A13063" s="571"/>
      <c r="B13063" s="608" t="s">
        <v>4128</v>
      </c>
      <c r="C13063" s="718"/>
      <c r="D13063" s="610"/>
      <c r="E13063" s="611"/>
      <c r="F13063" s="612"/>
      <c r="G13063" s="613" t="n">
        <f aca="false">SUM(G13056:G13062)</f>
        <v>1385.864</v>
      </c>
      <c r="H13063" s="610"/>
    </row>
    <row r="13064" customFormat="false" ht="30" hidden="false" customHeight="false" outlineLevel="0" collapsed="false">
      <c r="A13064" s="571"/>
      <c r="B13064" s="433" t="s">
        <v>3637</v>
      </c>
      <c r="C13064" s="860" t="s">
        <v>5830</v>
      </c>
      <c r="D13064" s="316" t="s">
        <v>4149</v>
      </c>
      <c r="E13064" s="954" t="n">
        <v>0.001</v>
      </c>
      <c r="F13064" s="617" t="n">
        <v>74448</v>
      </c>
      <c r="G13064" s="615" t="n">
        <f aca="false">E13064*F13064</f>
        <v>74.448</v>
      </c>
      <c r="H13064" s="606"/>
    </row>
    <row r="13065" customFormat="false" ht="15" hidden="false" customHeight="false" outlineLevel="0" collapsed="false">
      <c r="A13065" s="571"/>
      <c r="B13065" s="500"/>
      <c r="C13065" s="860" t="s">
        <v>5831</v>
      </c>
      <c r="D13065" s="316" t="s">
        <v>4149</v>
      </c>
      <c r="E13065" s="954" t="n">
        <v>0.001</v>
      </c>
      <c r="F13065" s="617" t="n">
        <v>43513</v>
      </c>
      <c r="G13065" s="615" t="n">
        <f aca="false">E13065*F13065</f>
        <v>43.513</v>
      </c>
      <c r="H13065" s="606"/>
    </row>
    <row r="13066" customFormat="false" ht="15" hidden="false" customHeight="false" outlineLevel="0" collapsed="false">
      <c r="A13066" s="571"/>
      <c r="B13066" s="500"/>
      <c r="C13066" s="860" t="s">
        <v>5832</v>
      </c>
      <c r="D13066" s="316" t="s">
        <v>4149</v>
      </c>
      <c r="E13066" s="954" t="n">
        <v>0.0005</v>
      </c>
      <c r="F13066" s="617" t="n">
        <v>99906</v>
      </c>
      <c r="G13066" s="615" t="n">
        <f aca="false">E13066*F13066</f>
        <v>49.953</v>
      </c>
      <c r="H13066" s="606"/>
    </row>
    <row r="13067" customFormat="false" ht="15" hidden="false" customHeight="false" outlineLevel="0" collapsed="false">
      <c r="A13067" s="571"/>
      <c r="B13067" s="500"/>
      <c r="C13067" s="21" t="s">
        <v>5823</v>
      </c>
      <c r="D13067" s="316" t="s">
        <v>4149</v>
      </c>
      <c r="E13067" s="954" t="n">
        <v>0.001</v>
      </c>
      <c r="F13067" s="617" t="n">
        <v>69797</v>
      </c>
      <c r="G13067" s="615" t="n">
        <f aca="false">E13067*F13067</f>
        <v>69.797</v>
      </c>
      <c r="H13067" s="606"/>
    </row>
    <row r="13068" customFormat="false" ht="15" hidden="false" customHeight="false" outlineLevel="0" collapsed="false">
      <c r="A13068" s="571"/>
      <c r="B13068" s="500"/>
      <c r="C13068" s="860" t="s">
        <v>5833</v>
      </c>
      <c r="D13068" s="316" t="s">
        <v>4149</v>
      </c>
      <c r="E13068" s="954" t="n">
        <v>0.001</v>
      </c>
      <c r="F13068" s="617" t="n">
        <v>34001</v>
      </c>
      <c r="G13068" s="615" t="n">
        <f aca="false">E13068*F13068</f>
        <v>34.001</v>
      </c>
      <c r="H13068" s="606"/>
    </row>
    <row r="13069" customFormat="false" ht="15" hidden="false" customHeight="false" outlineLevel="0" collapsed="false">
      <c r="A13069" s="571"/>
      <c r="B13069" s="500"/>
      <c r="C13069" s="21" t="s">
        <v>5834</v>
      </c>
      <c r="D13069" s="316" t="s">
        <v>4149</v>
      </c>
      <c r="E13069" s="954" t="n">
        <v>0.001</v>
      </c>
      <c r="F13069" s="617" t="n">
        <v>38750</v>
      </c>
      <c r="G13069" s="615" t="n">
        <f aca="false">E13069*F13069</f>
        <v>38.75</v>
      </c>
      <c r="H13069" s="606"/>
    </row>
    <row r="13070" customFormat="false" ht="15" hidden="false" customHeight="false" outlineLevel="0" collapsed="false">
      <c r="A13070" s="571"/>
      <c r="B13070" s="608"/>
      <c r="C13070" s="860" t="s">
        <v>5835</v>
      </c>
      <c r="D13070" s="316" t="s">
        <v>4149</v>
      </c>
      <c r="E13070" s="954" t="n">
        <v>0.001</v>
      </c>
      <c r="F13070" s="617" t="n">
        <v>69797</v>
      </c>
      <c r="G13070" s="615" t="n">
        <f aca="false">E13070*F13070</f>
        <v>69.797</v>
      </c>
      <c r="H13070" s="391"/>
    </row>
    <row r="13071" customFormat="false" ht="15" hidden="false" customHeight="false" outlineLevel="0" collapsed="false">
      <c r="A13071" s="571"/>
      <c r="B13071" s="328"/>
      <c r="C13071" s="860" t="s">
        <v>5836</v>
      </c>
      <c r="D13071" s="316" t="s">
        <v>4149</v>
      </c>
      <c r="E13071" s="954" t="n">
        <v>0.001</v>
      </c>
      <c r="F13071" s="617" t="n">
        <v>10500</v>
      </c>
      <c r="G13071" s="615" t="n">
        <f aca="false">E13071*F13071</f>
        <v>10.5</v>
      </c>
      <c r="H13071" s="606"/>
    </row>
    <row r="13072" customFormat="false" ht="15" hidden="false" customHeight="false" outlineLevel="0" collapsed="false">
      <c r="A13072" s="571"/>
      <c r="B13072" s="500"/>
      <c r="C13072" s="860" t="s">
        <v>5837</v>
      </c>
      <c r="D13072" s="316" t="s">
        <v>4149</v>
      </c>
      <c r="E13072" s="954" t="n">
        <v>0.0005</v>
      </c>
      <c r="F13072" s="617" t="n">
        <v>91872</v>
      </c>
      <c r="G13072" s="615" t="n">
        <f aca="false">E13072*F13072</f>
        <v>45.936</v>
      </c>
      <c r="H13072" s="606"/>
    </row>
    <row r="13073" customFormat="false" ht="15" hidden="false" customHeight="false" outlineLevel="0" collapsed="false">
      <c r="A13073" s="571"/>
      <c r="B13073" s="500"/>
      <c r="C13073" s="860" t="s">
        <v>5838</v>
      </c>
      <c r="D13073" s="316" t="s">
        <v>4149</v>
      </c>
      <c r="E13073" s="954" t="n">
        <v>0.001</v>
      </c>
      <c r="F13073" s="617" t="n">
        <v>80176</v>
      </c>
      <c r="G13073" s="615" t="n">
        <f aca="false">E13073*F13073</f>
        <v>80.176</v>
      </c>
      <c r="H13073" s="606"/>
    </row>
    <row r="13074" customFormat="false" ht="15" hidden="false" customHeight="false" outlineLevel="0" collapsed="false">
      <c r="A13074" s="571"/>
      <c r="B13074" s="608"/>
      <c r="C13074" s="860" t="s">
        <v>5839</v>
      </c>
      <c r="D13074" s="316" t="s">
        <v>4149</v>
      </c>
      <c r="E13074" s="954" t="n">
        <v>0.001</v>
      </c>
      <c r="F13074" s="617" t="n">
        <v>7982</v>
      </c>
      <c r="G13074" s="615" t="n">
        <f aca="false">E13074*F13074</f>
        <v>7.982</v>
      </c>
      <c r="H13074" s="391"/>
    </row>
    <row r="13075" customFormat="false" ht="15" hidden="false" customHeight="false" outlineLevel="0" collapsed="false">
      <c r="A13075" s="571"/>
      <c r="B13075" s="328"/>
      <c r="C13075" s="860" t="s">
        <v>5840</v>
      </c>
      <c r="D13075" s="316" t="s">
        <v>4149</v>
      </c>
      <c r="E13075" s="954" t="n">
        <v>0.00045</v>
      </c>
      <c r="F13075" s="617" t="n">
        <v>158202</v>
      </c>
      <c r="G13075" s="615" t="n">
        <f aca="false">E13075*F13075</f>
        <v>71.1909</v>
      </c>
      <c r="H13075" s="606"/>
    </row>
    <row r="13076" customFormat="false" ht="15" hidden="false" customHeight="false" outlineLevel="0" collapsed="false">
      <c r="A13076" s="571"/>
      <c r="B13076" s="500"/>
      <c r="C13076" s="860" t="s">
        <v>5841</v>
      </c>
      <c r="D13076" s="316" t="s">
        <v>4149</v>
      </c>
      <c r="E13076" s="954" t="n">
        <v>0.001</v>
      </c>
      <c r="F13076" s="617" t="n">
        <v>10500</v>
      </c>
      <c r="G13076" s="615" t="n">
        <f aca="false">E13076*F13076</f>
        <v>10.5</v>
      </c>
      <c r="H13076" s="606"/>
    </row>
    <row r="13077" customFormat="false" ht="15" hidden="false" customHeight="false" outlineLevel="0" collapsed="false">
      <c r="A13077" s="571"/>
      <c r="B13077" s="500"/>
      <c r="C13077" s="860" t="s">
        <v>5842</v>
      </c>
      <c r="D13077" s="316" t="s">
        <v>4149</v>
      </c>
      <c r="E13077" s="954" t="n">
        <v>0.001</v>
      </c>
      <c r="F13077" s="617" t="n">
        <v>33371</v>
      </c>
      <c r="G13077" s="615" t="n">
        <f aca="false">E13077*F13077</f>
        <v>33.371</v>
      </c>
      <c r="H13077" s="606"/>
    </row>
    <row r="13078" customFormat="false" ht="15" hidden="false" customHeight="false" outlineLevel="0" collapsed="false">
      <c r="A13078" s="571"/>
      <c r="B13078" s="500"/>
      <c r="C13078" s="860" t="s">
        <v>5843</v>
      </c>
      <c r="D13078" s="316" t="s">
        <v>4149</v>
      </c>
      <c r="E13078" s="954" t="n">
        <v>0.001</v>
      </c>
      <c r="F13078" s="883" t="n">
        <v>28834</v>
      </c>
      <c r="G13078" s="615" t="n">
        <f aca="false">E13078*F13078</f>
        <v>28.834</v>
      </c>
      <c r="H13078" s="606"/>
    </row>
    <row r="13079" customFormat="false" ht="15" hidden="false" customHeight="false" outlineLevel="0" collapsed="false">
      <c r="A13079" s="571"/>
      <c r="B13079" s="608"/>
      <c r="C13079" s="21" t="s">
        <v>5844</v>
      </c>
      <c r="D13079" s="316" t="s">
        <v>4191</v>
      </c>
      <c r="E13079" s="661" t="n">
        <v>0.001</v>
      </c>
      <c r="F13079" s="883" t="n">
        <v>74415</v>
      </c>
      <c r="G13079" s="615" t="n">
        <f aca="false">E13079*F13079</f>
        <v>74.415</v>
      </c>
      <c r="H13079" s="391"/>
    </row>
    <row r="13080" customFormat="false" ht="15" hidden="false" customHeight="false" outlineLevel="0" collapsed="false">
      <c r="A13080" s="571"/>
      <c r="B13080" s="328"/>
      <c r="C13080" s="860" t="s">
        <v>5845</v>
      </c>
      <c r="D13080" s="316" t="s">
        <v>4528</v>
      </c>
      <c r="E13080" s="661" t="n">
        <v>0.005</v>
      </c>
      <c r="F13080" s="617" t="n">
        <v>10500</v>
      </c>
      <c r="G13080" s="615" t="n">
        <f aca="false">E13080*F13080</f>
        <v>52.5</v>
      </c>
      <c r="H13080" s="606"/>
    </row>
    <row r="13081" customFormat="false" ht="15" hidden="false" customHeight="false" outlineLevel="0" collapsed="false">
      <c r="A13081" s="571"/>
      <c r="B13081" s="500"/>
      <c r="C13081" s="860" t="s">
        <v>5846</v>
      </c>
      <c r="D13081" s="316" t="s">
        <v>5847</v>
      </c>
      <c r="E13081" s="661" t="n">
        <v>0.005</v>
      </c>
      <c r="F13081" s="617" t="n">
        <v>10500</v>
      </c>
      <c r="G13081" s="615" t="n">
        <f aca="false">E13081*F13081</f>
        <v>52.5</v>
      </c>
      <c r="H13081" s="606"/>
    </row>
    <row r="13082" customFormat="false" ht="15" hidden="false" customHeight="false" outlineLevel="0" collapsed="false">
      <c r="A13082" s="571"/>
      <c r="B13082" s="500"/>
      <c r="C13082" s="860" t="s">
        <v>5848</v>
      </c>
      <c r="D13082" s="316" t="s">
        <v>4528</v>
      </c>
      <c r="E13082" s="661" t="n">
        <v>0.005</v>
      </c>
      <c r="F13082" s="617" t="n">
        <v>10500</v>
      </c>
      <c r="G13082" s="615" t="n">
        <f aca="false">E13082*F13082</f>
        <v>52.5</v>
      </c>
      <c r="H13082" s="606"/>
    </row>
    <row r="13083" customFormat="false" ht="15" hidden="false" customHeight="false" outlineLevel="0" collapsed="false">
      <c r="A13083" s="571"/>
      <c r="B13083" s="500"/>
      <c r="C13083" s="860" t="s">
        <v>5825</v>
      </c>
      <c r="D13083" s="316" t="s">
        <v>4191</v>
      </c>
      <c r="E13083" s="661" t="n">
        <v>0.005</v>
      </c>
      <c r="F13083" s="883" t="n">
        <v>8468</v>
      </c>
      <c r="G13083" s="615" t="n">
        <f aca="false">E13083*F13083</f>
        <v>42.34</v>
      </c>
      <c r="H13083" s="606"/>
    </row>
    <row r="13084" customFormat="false" ht="15" hidden="false" customHeight="false" outlineLevel="0" collapsed="false">
      <c r="A13084" s="571"/>
      <c r="B13084" s="500"/>
      <c r="C13084" s="860" t="s">
        <v>5849</v>
      </c>
      <c r="D13084" s="316" t="s">
        <v>4528</v>
      </c>
      <c r="E13084" s="954" t="n">
        <v>0.0045</v>
      </c>
      <c r="F13084" s="883" t="n">
        <v>15500</v>
      </c>
      <c r="G13084" s="615" t="n">
        <f aca="false">E13084*F13084</f>
        <v>69.75</v>
      </c>
      <c r="H13084" s="606"/>
    </row>
    <row r="13085" customFormat="false" ht="15" hidden="false" customHeight="false" outlineLevel="0" collapsed="false">
      <c r="A13085" s="571"/>
      <c r="B13085" s="500"/>
      <c r="C13085" s="860" t="s">
        <v>5850</v>
      </c>
      <c r="D13085" s="316" t="s">
        <v>4528</v>
      </c>
      <c r="E13085" s="954" t="n">
        <v>0.001</v>
      </c>
      <c r="F13085" s="883" t="n">
        <v>26500</v>
      </c>
      <c r="G13085" s="615" t="n">
        <f aca="false">E13085*F13085</f>
        <v>26.5</v>
      </c>
      <c r="H13085" s="606"/>
    </row>
    <row r="13086" customFormat="false" ht="15" hidden="false" customHeight="false" outlineLevel="0" collapsed="false">
      <c r="A13086" s="571"/>
      <c r="B13086" s="608"/>
      <c r="C13086" s="860" t="s">
        <v>5824</v>
      </c>
      <c r="D13086" s="316" t="s">
        <v>4528</v>
      </c>
      <c r="E13086" s="954" t="n">
        <v>0.0005</v>
      </c>
      <c r="F13086" s="617" t="n">
        <v>82115</v>
      </c>
      <c r="G13086" s="615" t="n">
        <f aca="false">E13086*F13086</f>
        <v>41.0575</v>
      </c>
      <c r="H13086" s="391"/>
    </row>
    <row r="13087" customFormat="false" ht="15" hidden="false" customHeight="false" outlineLevel="0" collapsed="false">
      <c r="A13087" s="571"/>
      <c r="B13087" s="328"/>
      <c r="C13087" s="860" t="s">
        <v>5819</v>
      </c>
      <c r="D13087" s="316" t="s">
        <v>4191</v>
      </c>
      <c r="E13087" s="954" t="n">
        <v>0.01</v>
      </c>
      <c r="F13087" s="883" t="n">
        <v>316.4</v>
      </c>
      <c r="G13087" s="615" t="n">
        <f aca="false">E13087*F13087</f>
        <v>3.164</v>
      </c>
      <c r="H13087" s="606"/>
    </row>
    <row r="13088" customFormat="false" ht="15" hidden="false" customHeight="false" outlineLevel="0" collapsed="false">
      <c r="A13088" s="571"/>
      <c r="B13088" s="500"/>
      <c r="C13088" s="860" t="s">
        <v>5826</v>
      </c>
      <c r="D13088" s="316" t="s">
        <v>4191</v>
      </c>
      <c r="E13088" s="954" t="n">
        <v>0.01</v>
      </c>
      <c r="F13088" s="617" t="n">
        <v>366.25</v>
      </c>
      <c r="G13088" s="615" t="n">
        <f aca="false">E13088*F13088</f>
        <v>3.6625</v>
      </c>
      <c r="H13088" s="606"/>
    </row>
    <row r="13089" customFormat="false" ht="15" hidden="false" customHeight="false" outlineLevel="0" collapsed="false">
      <c r="A13089" s="571"/>
      <c r="B13089" s="608"/>
      <c r="C13089" s="860" t="s">
        <v>5820</v>
      </c>
      <c r="D13089" s="316" t="s">
        <v>4191</v>
      </c>
      <c r="E13089" s="954" t="n">
        <v>0.01</v>
      </c>
      <c r="F13089" s="617" t="n">
        <v>650</v>
      </c>
      <c r="G13089" s="615" t="n">
        <f aca="false">E13089*F13089</f>
        <v>6.5</v>
      </c>
      <c r="H13089" s="391"/>
    </row>
    <row r="13090" customFormat="false" ht="15" hidden="false" customHeight="false" outlineLevel="0" collapsed="false">
      <c r="A13090" s="571"/>
      <c r="B13090" s="328"/>
      <c r="C13090" s="860" t="s">
        <v>4515</v>
      </c>
      <c r="D13090" s="316" t="s">
        <v>5564</v>
      </c>
      <c r="E13090" s="954" t="n">
        <v>0.02</v>
      </c>
      <c r="F13090" s="617" t="n">
        <v>350</v>
      </c>
      <c r="G13090" s="615" t="n">
        <f aca="false">E13090*F13090</f>
        <v>7</v>
      </c>
      <c r="H13090" s="606"/>
    </row>
    <row r="13091" customFormat="false" ht="15" hidden="false" customHeight="false" outlineLevel="0" collapsed="false">
      <c r="A13091" s="571"/>
      <c r="B13091" s="500"/>
      <c r="C13091" s="860" t="s">
        <v>5816</v>
      </c>
      <c r="D13091" s="606" t="s">
        <v>4191</v>
      </c>
      <c r="E13091" s="954" t="n">
        <v>0.0005</v>
      </c>
      <c r="F13091" s="617" t="n">
        <v>144704</v>
      </c>
      <c r="G13091" s="615" t="n">
        <f aca="false">E13091*F13091</f>
        <v>72.352</v>
      </c>
      <c r="H13091" s="606"/>
    </row>
    <row r="13092" customFormat="false" ht="15" hidden="false" customHeight="false" outlineLevel="0" collapsed="false">
      <c r="A13092" s="571"/>
      <c r="B13092" s="500"/>
      <c r="C13092" s="860" t="s">
        <v>4776</v>
      </c>
      <c r="D13092" s="606" t="s">
        <v>4359</v>
      </c>
      <c r="E13092" s="954" t="n">
        <v>0.02</v>
      </c>
      <c r="F13092" s="617" t="n">
        <v>800</v>
      </c>
      <c r="G13092" s="615" t="n">
        <f aca="false">E13092*F13092</f>
        <v>16</v>
      </c>
      <c r="H13092" s="606"/>
    </row>
    <row r="13093" customFormat="false" ht="15" hidden="false" customHeight="false" outlineLevel="0" collapsed="false">
      <c r="A13093" s="571"/>
      <c r="B13093" s="608"/>
      <c r="C13093" s="860" t="s">
        <v>5827</v>
      </c>
      <c r="D13093" s="606" t="s">
        <v>4348</v>
      </c>
      <c r="E13093" s="954" t="n">
        <v>0.005</v>
      </c>
      <c r="F13093" s="617" t="n">
        <v>370</v>
      </c>
      <c r="G13093" s="615" t="n">
        <f aca="false">E13093*F13093</f>
        <v>1.85</v>
      </c>
      <c r="H13093" s="391"/>
    </row>
    <row r="13094" customFormat="false" ht="15" hidden="false" customHeight="false" outlineLevel="0" collapsed="false">
      <c r="A13094" s="571"/>
      <c r="B13094" s="328"/>
      <c r="C13094" s="860" t="s">
        <v>5851</v>
      </c>
      <c r="D13094" s="606" t="s">
        <v>4348</v>
      </c>
      <c r="E13094" s="954" t="n">
        <v>0.005</v>
      </c>
      <c r="F13094" s="617" t="n">
        <v>19488</v>
      </c>
      <c r="G13094" s="615" t="n">
        <f aca="false">E13094*F13094</f>
        <v>97.44</v>
      </c>
      <c r="H13094" s="606"/>
    </row>
    <row r="13095" customFormat="false" ht="15" hidden="false" customHeight="false" outlineLevel="0" collapsed="false">
      <c r="A13095" s="571"/>
      <c r="B13095" s="608" t="s">
        <v>4128</v>
      </c>
      <c r="C13095" s="718"/>
      <c r="D13095" s="610"/>
      <c r="E13095" s="610"/>
      <c r="F13095" s="612"/>
      <c r="G13095" s="613" t="n">
        <f aca="false">SUM(G13064:G13094)</f>
        <v>1288.2799</v>
      </c>
      <c r="H13095" s="610"/>
    </row>
    <row r="13096" customFormat="false" ht="30" hidden="false" customHeight="false" outlineLevel="0" collapsed="false">
      <c r="A13096" s="571"/>
      <c r="B13096" s="488" t="s">
        <v>3638</v>
      </c>
      <c r="C13096" s="860" t="s">
        <v>5818</v>
      </c>
      <c r="D13096" s="874" t="s">
        <v>4149</v>
      </c>
      <c r="E13096" s="661" t="n">
        <v>0.015</v>
      </c>
      <c r="F13096" s="617" t="n">
        <v>67687</v>
      </c>
      <c r="G13096" s="615" t="n">
        <f aca="false">E13096*F13096</f>
        <v>1015.305</v>
      </c>
      <c r="H13096" s="606"/>
    </row>
    <row r="13097" customFormat="false" ht="15" hidden="false" customHeight="false" outlineLevel="0" collapsed="false">
      <c r="A13097" s="571"/>
      <c r="B13097" s="433"/>
      <c r="C13097" s="21" t="s">
        <v>5852</v>
      </c>
      <c r="D13097" s="874" t="s">
        <v>4149</v>
      </c>
      <c r="E13097" s="838" t="n">
        <v>0.01</v>
      </c>
      <c r="F13097" s="617" t="n">
        <v>39930</v>
      </c>
      <c r="G13097" s="615" t="n">
        <f aca="false">E13097*F13097</f>
        <v>399.3</v>
      </c>
      <c r="H13097" s="606"/>
    </row>
    <row r="13098" customFormat="false" ht="15" hidden="false" customHeight="false" outlineLevel="0" collapsed="false">
      <c r="A13098" s="571"/>
      <c r="B13098" s="433"/>
      <c r="C13098" s="860" t="s">
        <v>4205</v>
      </c>
      <c r="D13098" s="874" t="s">
        <v>4149</v>
      </c>
      <c r="E13098" s="954" t="n">
        <v>0.01</v>
      </c>
      <c r="F13098" s="617" t="n">
        <v>7035</v>
      </c>
      <c r="G13098" s="615" t="n">
        <f aca="false">E13098*F13098</f>
        <v>70.35</v>
      </c>
      <c r="H13098" s="391"/>
    </row>
    <row r="13099" customFormat="false" ht="15" hidden="false" customHeight="false" outlineLevel="0" collapsed="false">
      <c r="A13099" s="571"/>
      <c r="B13099" s="433"/>
      <c r="C13099" s="860" t="s">
        <v>5819</v>
      </c>
      <c r="D13099" s="316" t="s">
        <v>4191</v>
      </c>
      <c r="E13099" s="954" t="n">
        <v>0.01</v>
      </c>
      <c r="F13099" s="617" t="n">
        <v>316.4</v>
      </c>
      <c r="G13099" s="615" t="n">
        <f aca="false">E13099*F13099</f>
        <v>3.164</v>
      </c>
      <c r="H13099" s="606"/>
    </row>
    <row r="13100" customFormat="false" ht="15" hidden="false" customHeight="false" outlineLevel="0" collapsed="false">
      <c r="A13100" s="571"/>
      <c r="B13100" s="433"/>
      <c r="C13100" s="860" t="s">
        <v>5820</v>
      </c>
      <c r="D13100" s="316" t="s">
        <v>4191</v>
      </c>
      <c r="E13100" s="954" t="n">
        <v>0.01</v>
      </c>
      <c r="F13100" s="617" t="n">
        <v>650</v>
      </c>
      <c r="G13100" s="615" t="n">
        <f aca="false">E13100*F13100</f>
        <v>6.5</v>
      </c>
      <c r="H13100" s="606"/>
    </row>
    <row r="13101" customFormat="false" ht="15" hidden="false" customHeight="false" outlineLevel="0" collapsed="false">
      <c r="A13101" s="571"/>
      <c r="B13101" s="433"/>
      <c r="C13101" s="860" t="s">
        <v>4515</v>
      </c>
      <c r="D13101" s="316" t="s">
        <v>4149</v>
      </c>
      <c r="E13101" s="958" t="n">
        <v>0.01</v>
      </c>
      <c r="F13101" s="617" t="n">
        <v>350</v>
      </c>
      <c r="G13101" s="615" t="n">
        <f aca="false">E13101*F13101</f>
        <v>3.5</v>
      </c>
      <c r="H13101" s="606"/>
    </row>
    <row r="13102" customFormat="false" ht="15" hidden="false" customHeight="false" outlineLevel="0" collapsed="false">
      <c r="A13102" s="571"/>
      <c r="B13102" s="433"/>
      <c r="C13102" s="860" t="s">
        <v>5853</v>
      </c>
      <c r="D13102" s="316" t="s">
        <v>4348</v>
      </c>
      <c r="E13102" s="954" t="n">
        <v>0.002</v>
      </c>
      <c r="F13102" s="617" t="n">
        <v>200000</v>
      </c>
      <c r="G13102" s="615" t="n">
        <f aca="false">E13102*F13102</f>
        <v>400</v>
      </c>
      <c r="H13102" s="391"/>
    </row>
    <row r="13103" customFormat="false" ht="15" hidden="false" customHeight="false" outlineLevel="0" collapsed="false">
      <c r="A13103" s="571"/>
      <c r="B13103" s="433"/>
      <c r="C13103" s="860" t="s">
        <v>4776</v>
      </c>
      <c r="D13103" s="316" t="s">
        <v>4359</v>
      </c>
      <c r="E13103" s="954" t="n">
        <v>0.026</v>
      </c>
      <c r="F13103" s="617" t="n">
        <v>800</v>
      </c>
      <c r="G13103" s="615" t="n">
        <f aca="false">E13103*F13103</f>
        <v>20.8</v>
      </c>
      <c r="H13103" s="606"/>
    </row>
    <row r="13104" customFormat="false" ht="15" hidden="false" customHeight="false" outlineLevel="0" collapsed="false">
      <c r="A13104" s="571"/>
      <c r="B13104" s="608" t="s">
        <v>4128</v>
      </c>
      <c r="C13104" s="709"/>
      <c r="D13104" s="606"/>
      <c r="E13104" s="606"/>
      <c r="F13104" s="361"/>
      <c r="G13104" s="613" t="n">
        <f aca="false">SUM(G13096:G13103)</f>
        <v>1918.919</v>
      </c>
      <c r="H13104" s="606"/>
    </row>
    <row r="13105" customFormat="false" ht="45" hidden="false" customHeight="false" outlineLevel="0" collapsed="false">
      <c r="A13105" s="571"/>
      <c r="B13105" s="488" t="s">
        <v>3639</v>
      </c>
      <c r="C13105" s="860" t="s">
        <v>5854</v>
      </c>
      <c r="D13105" s="316" t="s">
        <v>4149</v>
      </c>
      <c r="E13105" s="954" t="n">
        <v>0.005</v>
      </c>
      <c r="F13105" s="617" t="n">
        <v>33792</v>
      </c>
      <c r="G13105" s="615" t="n">
        <f aca="false">E13105*F13105</f>
        <v>168.96</v>
      </c>
      <c r="H13105" s="391"/>
    </row>
    <row r="13106" customFormat="false" ht="15" hidden="false" customHeight="false" outlineLevel="0" collapsed="false">
      <c r="A13106" s="571"/>
      <c r="B13106" s="328"/>
      <c r="C13106" s="21" t="s">
        <v>5855</v>
      </c>
      <c r="D13106" s="316" t="s">
        <v>4149</v>
      </c>
      <c r="E13106" s="954" t="n">
        <v>0.0005</v>
      </c>
      <c r="F13106" s="617" t="n">
        <v>203735</v>
      </c>
      <c r="G13106" s="615" t="n">
        <f aca="false">E13106*F13106</f>
        <v>101.8675</v>
      </c>
      <c r="H13106" s="606"/>
    </row>
    <row r="13107" customFormat="false" ht="15" hidden="false" customHeight="false" outlineLevel="0" collapsed="false">
      <c r="A13107" s="571"/>
      <c r="B13107" s="500"/>
      <c r="C13107" s="860" t="s">
        <v>5836</v>
      </c>
      <c r="D13107" s="316" t="s">
        <v>4149</v>
      </c>
      <c r="E13107" s="661" t="n">
        <v>0.001</v>
      </c>
      <c r="F13107" s="617" t="n">
        <v>10500</v>
      </c>
      <c r="G13107" s="615" t="n">
        <f aca="false">E13107*F13107</f>
        <v>10.5</v>
      </c>
      <c r="H13107" s="606"/>
    </row>
    <row r="13108" customFormat="false" ht="15" hidden="false" customHeight="false" outlineLevel="0" collapsed="false">
      <c r="A13108" s="571"/>
      <c r="B13108" s="500"/>
      <c r="C13108" s="860" t="s">
        <v>5856</v>
      </c>
      <c r="D13108" s="316" t="s">
        <v>4359</v>
      </c>
      <c r="E13108" s="954" t="n">
        <v>0.001</v>
      </c>
      <c r="F13108" s="617" t="n">
        <v>168481</v>
      </c>
      <c r="G13108" s="615" t="n">
        <f aca="false">E13108*F13108</f>
        <v>168.481</v>
      </c>
      <c r="H13108" s="606"/>
    </row>
    <row r="13109" customFormat="false" ht="15" hidden="false" customHeight="false" outlineLevel="0" collapsed="false">
      <c r="A13109" s="571"/>
      <c r="B13109" s="500"/>
      <c r="C13109" s="21" t="s">
        <v>5857</v>
      </c>
      <c r="D13109" s="874" t="s">
        <v>4359</v>
      </c>
      <c r="E13109" s="959" t="n">
        <v>0.001</v>
      </c>
      <c r="F13109" s="883" t="n">
        <v>175794</v>
      </c>
      <c r="G13109" s="615" t="n">
        <f aca="false">E13109*F13109</f>
        <v>175.794</v>
      </c>
      <c r="H13109" s="606"/>
    </row>
    <row r="13110" customFormat="false" ht="15" hidden="false" customHeight="false" outlineLevel="0" collapsed="false">
      <c r="A13110" s="571"/>
      <c r="B13110" s="608"/>
      <c r="C13110" s="860" t="s">
        <v>5824</v>
      </c>
      <c r="D13110" s="874" t="s">
        <v>4359</v>
      </c>
      <c r="E13110" s="954" t="n">
        <v>0.001</v>
      </c>
      <c r="F13110" s="617" t="n">
        <v>82115</v>
      </c>
      <c r="G13110" s="615" t="n">
        <f aca="false">E13110*F13110</f>
        <v>82.115</v>
      </c>
      <c r="H13110" s="391"/>
    </row>
    <row r="13111" customFormat="false" ht="15" hidden="false" customHeight="false" outlineLevel="0" collapsed="false">
      <c r="A13111" s="571"/>
      <c r="B13111" s="328"/>
      <c r="C13111" s="860" t="s">
        <v>5819</v>
      </c>
      <c r="D13111" s="316" t="s">
        <v>4191</v>
      </c>
      <c r="E13111" s="954" t="n">
        <v>0.01</v>
      </c>
      <c r="F13111" s="883" t="n">
        <v>316.4</v>
      </c>
      <c r="G13111" s="615" t="n">
        <f aca="false">E13111*F13111</f>
        <v>3.164</v>
      </c>
      <c r="H13111" s="606"/>
    </row>
    <row r="13112" customFormat="false" ht="15" hidden="false" customHeight="false" outlineLevel="0" collapsed="false">
      <c r="A13112" s="571"/>
      <c r="B13112" s="608"/>
      <c r="C13112" s="860" t="s">
        <v>5826</v>
      </c>
      <c r="D13112" s="316" t="s">
        <v>4191</v>
      </c>
      <c r="E13112" s="954" t="n">
        <v>0.01</v>
      </c>
      <c r="F13112" s="617" t="n">
        <v>366.25</v>
      </c>
      <c r="G13112" s="615" t="n">
        <f aca="false">E13112*F13112</f>
        <v>3.6625</v>
      </c>
      <c r="H13112" s="391"/>
    </row>
    <row r="13113" customFormat="false" ht="15" hidden="false" customHeight="false" outlineLevel="0" collapsed="false">
      <c r="A13113" s="571"/>
      <c r="B13113" s="500"/>
      <c r="C13113" s="860" t="s">
        <v>5820</v>
      </c>
      <c r="D13113" s="316" t="s">
        <v>4191</v>
      </c>
      <c r="E13113" s="954" t="n">
        <v>0.01</v>
      </c>
      <c r="F13113" s="617" t="n">
        <v>650</v>
      </c>
      <c r="G13113" s="615" t="n">
        <f aca="false">E13113*F13113</f>
        <v>6.5</v>
      </c>
      <c r="H13113" s="606"/>
    </row>
    <row r="13114" customFormat="false" ht="15" hidden="false" customHeight="false" outlineLevel="0" collapsed="false">
      <c r="A13114" s="571"/>
      <c r="B13114" s="500"/>
      <c r="C13114" s="860" t="s">
        <v>5816</v>
      </c>
      <c r="D13114" s="316" t="s">
        <v>4191</v>
      </c>
      <c r="E13114" s="954" t="n">
        <v>0.009</v>
      </c>
      <c r="F13114" s="617" t="n">
        <v>144704</v>
      </c>
      <c r="G13114" s="615" t="n">
        <f aca="false">E13114*F13114</f>
        <v>1302.336</v>
      </c>
      <c r="H13114" s="606"/>
    </row>
    <row r="13115" customFormat="false" ht="15" hidden="false" customHeight="false" outlineLevel="0" collapsed="false">
      <c r="A13115" s="571"/>
      <c r="B13115" s="500"/>
      <c r="C13115" s="860" t="s">
        <v>4776</v>
      </c>
      <c r="D13115" s="316" t="s">
        <v>4528</v>
      </c>
      <c r="E13115" s="954" t="n">
        <v>0.02</v>
      </c>
      <c r="F13115" s="617" t="n">
        <v>800</v>
      </c>
      <c r="G13115" s="615" t="n">
        <f aca="false">E13115*F13115</f>
        <v>16</v>
      </c>
      <c r="H13115" s="606"/>
    </row>
    <row r="13116" customFormat="false" ht="15" hidden="false" customHeight="false" outlineLevel="0" collapsed="false">
      <c r="A13116" s="571"/>
      <c r="B13116" s="608" t="s">
        <v>4128</v>
      </c>
      <c r="C13116" s="709"/>
      <c r="D13116" s="606"/>
      <c r="E13116" s="606"/>
      <c r="F13116" s="361"/>
      <c r="G13116" s="613" t="n">
        <f aca="false">SUM(G13105:G13115)</f>
        <v>2039.38</v>
      </c>
      <c r="H13116" s="606"/>
    </row>
    <row r="13117" customFormat="false" ht="30" hidden="false" customHeight="false" outlineLevel="0" collapsed="false">
      <c r="A13117" s="960"/>
      <c r="B13117" s="488" t="s">
        <v>3640</v>
      </c>
      <c r="C13117" s="860" t="s">
        <v>5830</v>
      </c>
      <c r="D13117" s="316" t="s">
        <v>4149</v>
      </c>
      <c r="E13117" s="954" t="n">
        <v>0.001</v>
      </c>
      <c r="F13117" s="617" t="n">
        <v>33792</v>
      </c>
      <c r="G13117" s="615" t="n">
        <f aca="false">E13117*F13117</f>
        <v>33.792</v>
      </c>
      <c r="H13117" s="606"/>
    </row>
    <row r="13118" customFormat="false" ht="15" hidden="false" customHeight="false" outlineLevel="0" collapsed="false">
      <c r="A13118" s="961"/>
      <c r="B13118" s="488"/>
      <c r="C13118" s="860" t="s">
        <v>5831</v>
      </c>
      <c r="D13118" s="316" t="s">
        <v>4149</v>
      </c>
      <c r="E13118" s="954" t="n">
        <v>0.001</v>
      </c>
      <c r="F13118" s="617" t="n">
        <v>45513</v>
      </c>
      <c r="G13118" s="615" t="n">
        <f aca="false">E13118*F13118</f>
        <v>45.513</v>
      </c>
      <c r="H13118" s="606"/>
    </row>
    <row r="13119" customFormat="false" ht="15" hidden="false" customHeight="false" outlineLevel="0" collapsed="false">
      <c r="A13119" s="961"/>
      <c r="B13119" s="488"/>
      <c r="C13119" s="860" t="s">
        <v>5832</v>
      </c>
      <c r="D13119" s="316" t="s">
        <v>4149</v>
      </c>
      <c r="E13119" s="954" t="n">
        <v>0.001</v>
      </c>
      <c r="F13119" s="617" t="n">
        <v>99906</v>
      </c>
      <c r="G13119" s="615" t="n">
        <f aca="false">E13119*F13119</f>
        <v>99.906</v>
      </c>
      <c r="H13119" s="606"/>
    </row>
    <row r="13120" customFormat="false" ht="15" hidden="false" customHeight="false" outlineLevel="0" collapsed="false">
      <c r="A13120" s="961"/>
      <c r="B13120" s="488"/>
      <c r="C13120" s="21" t="s">
        <v>5823</v>
      </c>
      <c r="D13120" s="316" t="s">
        <v>4149</v>
      </c>
      <c r="E13120" s="954" t="n">
        <v>0.001</v>
      </c>
      <c r="F13120" s="617" t="n">
        <v>69797</v>
      </c>
      <c r="G13120" s="615" t="n">
        <f aca="false">E13120*F13120</f>
        <v>69.797</v>
      </c>
      <c r="H13120" s="606"/>
    </row>
    <row r="13121" customFormat="false" ht="15" hidden="false" customHeight="false" outlineLevel="0" collapsed="false">
      <c r="A13121" s="961"/>
      <c r="B13121" s="488"/>
      <c r="C13121" s="860" t="s">
        <v>5833</v>
      </c>
      <c r="D13121" s="316" t="s">
        <v>4149</v>
      </c>
      <c r="E13121" s="954" t="n">
        <v>0.001</v>
      </c>
      <c r="F13121" s="617" t="n">
        <v>34001</v>
      </c>
      <c r="G13121" s="615" t="n">
        <f aca="false">E13121*F13121</f>
        <v>34.001</v>
      </c>
      <c r="H13121" s="606"/>
    </row>
    <row r="13122" customFormat="false" ht="15" hidden="false" customHeight="false" outlineLevel="0" collapsed="false">
      <c r="A13122" s="961"/>
      <c r="B13122" s="488"/>
      <c r="C13122" s="21" t="s">
        <v>5834</v>
      </c>
      <c r="D13122" s="316" t="s">
        <v>4149</v>
      </c>
      <c r="E13122" s="954" t="n">
        <v>0.001</v>
      </c>
      <c r="F13122" s="617" t="n">
        <v>69797</v>
      </c>
      <c r="G13122" s="615" t="n">
        <f aca="false">E13122*F13122</f>
        <v>69.797</v>
      </c>
      <c r="H13122" s="606"/>
    </row>
    <row r="13123" customFormat="false" ht="15" hidden="false" customHeight="false" outlineLevel="0" collapsed="false">
      <c r="A13123" s="961"/>
      <c r="B13123" s="488"/>
      <c r="C13123" s="860" t="s">
        <v>5835</v>
      </c>
      <c r="D13123" s="316" t="s">
        <v>4149</v>
      </c>
      <c r="E13123" s="954" t="n">
        <v>0.001</v>
      </c>
      <c r="F13123" s="617" t="n">
        <v>69797</v>
      </c>
      <c r="G13123" s="615" t="n">
        <f aca="false">E13123*F13123</f>
        <v>69.797</v>
      </c>
      <c r="H13123" s="606"/>
    </row>
    <row r="13124" customFormat="false" ht="15" hidden="false" customHeight="false" outlineLevel="0" collapsed="false">
      <c r="A13124" s="961"/>
      <c r="B13124" s="488"/>
      <c r="C13124" s="860" t="s">
        <v>5836</v>
      </c>
      <c r="D13124" s="316" t="s">
        <v>4149</v>
      </c>
      <c r="E13124" s="954" t="n">
        <v>0.001</v>
      </c>
      <c r="F13124" s="617" t="n">
        <v>10500</v>
      </c>
      <c r="G13124" s="615" t="n">
        <f aca="false">E13124*F13124</f>
        <v>10.5</v>
      </c>
      <c r="H13124" s="606"/>
    </row>
    <row r="13125" customFormat="false" ht="15" hidden="false" customHeight="false" outlineLevel="0" collapsed="false">
      <c r="A13125" s="961"/>
      <c r="B13125" s="488"/>
      <c r="C13125" s="860" t="s">
        <v>5837</v>
      </c>
      <c r="D13125" s="316" t="s">
        <v>4149</v>
      </c>
      <c r="E13125" s="954" t="n">
        <v>0.001</v>
      </c>
      <c r="F13125" s="617" t="n">
        <v>91872</v>
      </c>
      <c r="G13125" s="615" t="n">
        <f aca="false">E13125*F13125</f>
        <v>91.872</v>
      </c>
      <c r="H13125" s="606"/>
    </row>
    <row r="13126" customFormat="false" ht="15" hidden="false" customHeight="false" outlineLevel="0" collapsed="false">
      <c r="A13126" s="961"/>
      <c r="B13126" s="488"/>
      <c r="C13126" s="860" t="s">
        <v>5838</v>
      </c>
      <c r="D13126" s="316" t="s">
        <v>4149</v>
      </c>
      <c r="E13126" s="954" t="n">
        <v>0.001</v>
      </c>
      <c r="F13126" s="617" t="n">
        <v>80176</v>
      </c>
      <c r="G13126" s="615" t="n">
        <f aca="false">E13126*F13126</f>
        <v>80.176</v>
      </c>
      <c r="H13126" s="606"/>
    </row>
    <row r="13127" customFormat="false" ht="15" hidden="false" customHeight="false" outlineLevel="0" collapsed="false">
      <c r="A13127" s="961"/>
      <c r="B13127" s="488"/>
      <c r="C13127" s="860" t="s">
        <v>5839</v>
      </c>
      <c r="D13127" s="316" t="s">
        <v>4149</v>
      </c>
      <c r="E13127" s="954" t="n">
        <v>0.001</v>
      </c>
      <c r="F13127" s="617" t="n">
        <v>7982</v>
      </c>
      <c r="G13127" s="615" t="n">
        <f aca="false">E13127*F13127</f>
        <v>7.982</v>
      </c>
      <c r="H13127" s="606"/>
    </row>
    <row r="13128" customFormat="false" ht="15" hidden="false" customHeight="false" outlineLevel="0" collapsed="false">
      <c r="A13128" s="961"/>
      <c r="B13128" s="488"/>
      <c r="C13128" s="860" t="s">
        <v>5840</v>
      </c>
      <c r="D13128" s="316" t="s">
        <v>4149</v>
      </c>
      <c r="E13128" s="954" t="n">
        <v>0.001</v>
      </c>
      <c r="F13128" s="617" t="n">
        <v>158202</v>
      </c>
      <c r="G13128" s="615" t="n">
        <f aca="false">E13128*F13128</f>
        <v>158.202</v>
      </c>
      <c r="H13128" s="606"/>
    </row>
    <row r="13129" customFormat="false" ht="15" hidden="false" customHeight="false" outlineLevel="0" collapsed="false">
      <c r="A13129" s="961"/>
      <c r="B13129" s="488"/>
      <c r="C13129" s="860" t="s">
        <v>5841</v>
      </c>
      <c r="D13129" s="316" t="s">
        <v>4149</v>
      </c>
      <c r="E13129" s="954" t="n">
        <v>0.001</v>
      </c>
      <c r="F13129" s="617" t="n">
        <v>10500</v>
      </c>
      <c r="G13129" s="615" t="n">
        <f aca="false">E13129*F13129</f>
        <v>10.5</v>
      </c>
      <c r="H13129" s="606"/>
    </row>
    <row r="13130" customFormat="false" ht="15" hidden="false" customHeight="false" outlineLevel="0" collapsed="false">
      <c r="A13130" s="961"/>
      <c r="B13130" s="488"/>
      <c r="C13130" s="860" t="s">
        <v>5842</v>
      </c>
      <c r="D13130" s="316" t="s">
        <v>4149</v>
      </c>
      <c r="E13130" s="954" t="n">
        <v>0.001</v>
      </c>
      <c r="F13130" s="617" t="n">
        <v>46343</v>
      </c>
      <c r="G13130" s="615" t="n">
        <f aca="false">E13130*F13130</f>
        <v>46.343</v>
      </c>
      <c r="H13130" s="606"/>
    </row>
    <row r="13131" customFormat="false" ht="15" hidden="false" customHeight="false" outlineLevel="0" collapsed="false">
      <c r="A13131" s="961"/>
      <c r="B13131" s="488"/>
      <c r="C13131" s="860" t="s">
        <v>5843</v>
      </c>
      <c r="D13131" s="316" t="s">
        <v>4149</v>
      </c>
      <c r="E13131" s="954" t="n">
        <v>0.001</v>
      </c>
      <c r="F13131" s="883" t="n">
        <v>48840</v>
      </c>
      <c r="G13131" s="615" t="n">
        <f aca="false">E13131*F13131</f>
        <v>48.84</v>
      </c>
      <c r="H13131" s="606"/>
    </row>
    <row r="13132" customFormat="false" ht="15" hidden="false" customHeight="false" outlineLevel="0" collapsed="false">
      <c r="A13132" s="961"/>
      <c r="B13132" s="488"/>
      <c r="C13132" s="21" t="s">
        <v>5844</v>
      </c>
      <c r="D13132" s="316" t="s">
        <v>4191</v>
      </c>
      <c r="E13132" s="661" t="n">
        <v>0.001</v>
      </c>
      <c r="F13132" s="883" t="n">
        <v>74415</v>
      </c>
      <c r="G13132" s="615" t="n">
        <f aca="false">E13132*F13132</f>
        <v>74.415</v>
      </c>
      <c r="H13132" s="606"/>
    </row>
    <row r="13133" customFormat="false" ht="15" hidden="false" customHeight="false" outlineLevel="0" collapsed="false">
      <c r="A13133" s="961"/>
      <c r="B13133" s="488"/>
      <c r="C13133" s="860" t="s">
        <v>5845</v>
      </c>
      <c r="D13133" s="316" t="s">
        <v>4528</v>
      </c>
      <c r="E13133" s="661" t="n">
        <v>0.005</v>
      </c>
      <c r="F13133" s="617" t="n">
        <v>10500</v>
      </c>
      <c r="G13133" s="615" t="n">
        <f aca="false">E13133*F13133</f>
        <v>52.5</v>
      </c>
      <c r="H13133" s="606"/>
    </row>
    <row r="13134" customFormat="false" ht="15" hidden="false" customHeight="false" outlineLevel="0" collapsed="false">
      <c r="A13134" s="961"/>
      <c r="B13134" s="488"/>
      <c r="C13134" s="860" t="s">
        <v>5846</v>
      </c>
      <c r="D13134" s="316" t="s">
        <v>5847</v>
      </c>
      <c r="E13134" s="661" t="n">
        <v>0.005</v>
      </c>
      <c r="F13134" s="617" t="n">
        <v>10500</v>
      </c>
      <c r="G13134" s="615" t="n">
        <f aca="false">E13134*F13134</f>
        <v>52.5</v>
      </c>
      <c r="H13134" s="606"/>
    </row>
    <row r="13135" customFormat="false" ht="15" hidden="false" customHeight="false" outlineLevel="0" collapsed="false">
      <c r="A13135" s="961"/>
      <c r="B13135" s="488"/>
      <c r="C13135" s="860" t="s">
        <v>5848</v>
      </c>
      <c r="D13135" s="316" t="s">
        <v>4528</v>
      </c>
      <c r="E13135" s="661" t="n">
        <v>0.005</v>
      </c>
      <c r="F13135" s="617" t="n">
        <v>10500</v>
      </c>
      <c r="G13135" s="615" t="n">
        <f aca="false">E13135*F13135</f>
        <v>52.5</v>
      </c>
      <c r="H13135" s="606"/>
    </row>
    <row r="13136" customFormat="false" ht="15" hidden="false" customHeight="false" outlineLevel="0" collapsed="false">
      <c r="A13136" s="961"/>
      <c r="B13136" s="488"/>
      <c r="C13136" s="860" t="s">
        <v>5825</v>
      </c>
      <c r="D13136" s="316" t="s">
        <v>4191</v>
      </c>
      <c r="E13136" s="661" t="n">
        <v>0.01</v>
      </c>
      <c r="F13136" s="883" t="n">
        <v>8468</v>
      </c>
      <c r="G13136" s="615" t="n">
        <f aca="false">E13136*F13136</f>
        <v>84.68</v>
      </c>
      <c r="H13136" s="606"/>
    </row>
    <row r="13137" customFormat="false" ht="15" hidden="false" customHeight="false" outlineLevel="0" collapsed="false">
      <c r="A13137" s="961"/>
      <c r="B13137" s="488"/>
      <c r="C13137" s="860" t="s">
        <v>5849</v>
      </c>
      <c r="D13137" s="316" t="s">
        <v>4528</v>
      </c>
      <c r="E13137" s="954" t="n">
        <v>0.01</v>
      </c>
      <c r="F13137" s="883" t="n">
        <v>15500</v>
      </c>
      <c r="G13137" s="615" t="n">
        <f aca="false">E13137*F13137</f>
        <v>155</v>
      </c>
      <c r="H13137" s="606"/>
    </row>
    <row r="13138" customFormat="false" ht="15" hidden="false" customHeight="false" outlineLevel="0" collapsed="false">
      <c r="A13138" s="961"/>
      <c r="B13138" s="488"/>
      <c r="C13138" s="860" t="s">
        <v>5850</v>
      </c>
      <c r="D13138" s="316" t="s">
        <v>4528</v>
      </c>
      <c r="E13138" s="954" t="n">
        <v>0.001</v>
      </c>
      <c r="F13138" s="883" t="n">
        <v>26500</v>
      </c>
      <c r="G13138" s="615" t="n">
        <f aca="false">E13138*F13138</f>
        <v>26.5</v>
      </c>
      <c r="H13138" s="606"/>
    </row>
    <row r="13139" customFormat="false" ht="15" hidden="false" customHeight="false" outlineLevel="0" collapsed="false">
      <c r="A13139" s="961"/>
      <c r="B13139" s="488"/>
      <c r="C13139" s="860" t="s">
        <v>5824</v>
      </c>
      <c r="D13139" s="316" t="s">
        <v>4528</v>
      </c>
      <c r="E13139" s="954" t="n">
        <v>0.001</v>
      </c>
      <c r="F13139" s="617" t="n">
        <v>82115</v>
      </c>
      <c r="G13139" s="615" t="n">
        <f aca="false">E13139*F13139</f>
        <v>82.115</v>
      </c>
      <c r="H13139" s="606"/>
    </row>
    <row r="13140" customFormat="false" ht="15" hidden="false" customHeight="false" outlineLevel="0" collapsed="false">
      <c r="A13140" s="961"/>
      <c r="B13140" s="488"/>
      <c r="C13140" s="860" t="s">
        <v>5819</v>
      </c>
      <c r="D13140" s="316" t="s">
        <v>4191</v>
      </c>
      <c r="E13140" s="954" t="n">
        <v>0.01</v>
      </c>
      <c r="F13140" s="883" t="n">
        <v>316.4</v>
      </c>
      <c r="G13140" s="615" t="n">
        <f aca="false">E13140*F13140</f>
        <v>3.164</v>
      </c>
      <c r="H13140" s="606"/>
    </row>
    <row r="13141" customFormat="false" ht="15" hidden="false" customHeight="false" outlineLevel="0" collapsed="false">
      <c r="A13141" s="961"/>
      <c r="B13141" s="488"/>
      <c r="C13141" s="860" t="s">
        <v>5826</v>
      </c>
      <c r="D13141" s="316" t="s">
        <v>4191</v>
      </c>
      <c r="E13141" s="954" t="n">
        <v>0.01</v>
      </c>
      <c r="F13141" s="617" t="n">
        <v>366.25</v>
      </c>
      <c r="G13141" s="615" t="n">
        <f aca="false">E13141*F13141</f>
        <v>3.6625</v>
      </c>
      <c r="H13141" s="606"/>
    </row>
    <row r="13142" customFormat="false" ht="15" hidden="false" customHeight="false" outlineLevel="0" collapsed="false">
      <c r="A13142" s="961"/>
      <c r="B13142" s="488"/>
      <c r="C13142" s="860" t="s">
        <v>5820</v>
      </c>
      <c r="D13142" s="316" t="s">
        <v>4191</v>
      </c>
      <c r="E13142" s="954" t="n">
        <v>0.01</v>
      </c>
      <c r="F13142" s="617" t="n">
        <v>650</v>
      </c>
      <c r="G13142" s="615" t="n">
        <f aca="false">E13142*F13142</f>
        <v>6.5</v>
      </c>
      <c r="H13142" s="606"/>
    </row>
    <row r="13143" customFormat="false" ht="15" hidden="false" customHeight="false" outlineLevel="0" collapsed="false">
      <c r="A13143" s="961"/>
      <c r="B13143" s="488"/>
      <c r="C13143" s="860" t="s">
        <v>4515</v>
      </c>
      <c r="D13143" s="316" t="s">
        <v>5564</v>
      </c>
      <c r="E13143" s="954" t="n">
        <v>0.025</v>
      </c>
      <c r="F13143" s="617" t="n">
        <v>350</v>
      </c>
      <c r="G13143" s="615" t="n">
        <f aca="false">E13143*F13143</f>
        <v>8.75</v>
      </c>
      <c r="H13143" s="606"/>
    </row>
    <row r="13144" customFormat="false" ht="15" hidden="false" customHeight="false" outlineLevel="0" collapsed="false">
      <c r="A13144" s="571"/>
      <c r="B13144" s="500"/>
      <c r="C13144" s="860" t="s">
        <v>5816</v>
      </c>
      <c r="D13144" s="606" t="s">
        <v>4191</v>
      </c>
      <c r="E13144" s="954" t="n">
        <v>0.0045</v>
      </c>
      <c r="F13144" s="617" t="n">
        <v>144704</v>
      </c>
      <c r="G13144" s="615" t="n">
        <f aca="false">E13144*F13144</f>
        <v>651.168</v>
      </c>
      <c r="H13144" s="606"/>
    </row>
    <row r="13145" customFormat="false" ht="15" hidden="false" customHeight="false" outlineLevel="0" collapsed="false">
      <c r="A13145" s="571"/>
      <c r="B13145" s="500"/>
      <c r="C13145" s="860" t="s">
        <v>4776</v>
      </c>
      <c r="D13145" s="606" t="s">
        <v>4359</v>
      </c>
      <c r="E13145" s="954" t="n">
        <v>0.021</v>
      </c>
      <c r="F13145" s="617" t="n">
        <v>800</v>
      </c>
      <c r="G13145" s="615" t="n">
        <f aca="false">E13145*F13145</f>
        <v>16.8</v>
      </c>
      <c r="H13145" s="606"/>
    </row>
    <row r="13146" customFormat="false" ht="15" hidden="false" customHeight="false" outlineLevel="0" collapsed="false">
      <c r="A13146" s="571"/>
      <c r="B13146" s="500"/>
      <c r="C13146" s="860" t="s">
        <v>5827</v>
      </c>
      <c r="D13146" s="606" t="s">
        <v>4348</v>
      </c>
      <c r="E13146" s="954" t="n">
        <v>0.01</v>
      </c>
      <c r="F13146" s="617" t="n">
        <v>370</v>
      </c>
      <c r="G13146" s="615" t="n">
        <f aca="false">E13146*F13146</f>
        <v>3.7</v>
      </c>
      <c r="H13146" s="606"/>
    </row>
    <row r="13147" customFormat="false" ht="15" hidden="false" customHeight="false" outlineLevel="0" collapsed="false">
      <c r="A13147" s="571"/>
      <c r="B13147" s="500"/>
      <c r="C13147" s="860" t="s">
        <v>5851</v>
      </c>
      <c r="D13147" s="606" t="s">
        <v>4348</v>
      </c>
      <c r="E13147" s="954" t="n">
        <v>0.005</v>
      </c>
      <c r="F13147" s="617" t="n">
        <v>19488</v>
      </c>
      <c r="G13147" s="615" t="n">
        <f aca="false">E13147*F13147</f>
        <v>97.44</v>
      </c>
      <c r="H13147" s="606"/>
    </row>
    <row r="13148" customFormat="false" ht="15" hidden="false" customHeight="false" outlineLevel="0" collapsed="false">
      <c r="A13148" s="571"/>
      <c r="B13148" s="608" t="s">
        <v>4128</v>
      </c>
      <c r="C13148" s="718"/>
      <c r="D13148" s="610"/>
      <c r="E13148" s="610"/>
      <c r="F13148" s="612"/>
      <c r="G13148" s="613" t="n">
        <f aca="false">SUM(G13117:G13147)</f>
        <v>2248.4125</v>
      </c>
      <c r="H13148" s="606"/>
    </row>
    <row r="13149" customFormat="false" ht="30" hidden="false" customHeight="false" outlineLevel="0" collapsed="false">
      <c r="A13149" s="961"/>
      <c r="B13149" s="488" t="s">
        <v>3641</v>
      </c>
      <c r="C13149" s="860" t="s">
        <v>5818</v>
      </c>
      <c r="D13149" s="874" t="s">
        <v>4149</v>
      </c>
      <c r="E13149" s="661" t="n">
        <v>0.01</v>
      </c>
      <c r="F13149" s="617" t="n">
        <v>67687</v>
      </c>
      <c r="G13149" s="615" t="n">
        <f aca="false">E13149*F13149</f>
        <v>676.87</v>
      </c>
      <c r="H13149" s="606"/>
    </row>
    <row r="13150" customFormat="false" ht="15" hidden="false" customHeight="false" outlineLevel="0" collapsed="false">
      <c r="A13150" s="571"/>
      <c r="B13150" s="500"/>
      <c r="C13150" s="21" t="s">
        <v>5852</v>
      </c>
      <c r="D13150" s="874" t="s">
        <v>4149</v>
      </c>
      <c r="E13150" s="838" t="n">
        <v>0.001</v>
      </c>
      <c r="F13150" s="617" t="n">
        <v>39930</v>
      </c>
      <c r="G13150" s="615" t="n">
        <f aca="false">E13150*F13150</f>
        <v>39.93</v>
      </c>
      <c r="H13150" s="606"/>
    </row>
    <row r="13151" customFormat="false" ht="15" hidden="false" customHeight="false" outlineLevel="0" collapsed="false">
      <c r="A13151" s="571"/>
      <c r="B13151" s="500"/>
      <c r="C13151" s="860" t="s">
        <v>4205</v>
      </c>
      <c r="D13151" s="874" t="s">
        <v>4149</v>
      </c>
      <c r="E13151" s="954" t="n">
        <v>0.001</v>
      </c>
      <c r="F13151" s="617" t="n">
        <v>7035</v>
      </c>
      <c r="G13151" s="615" t="n">
        <f aca="false">E13151*F13151</f>
        <v>7.035</v>
      </c>
      <c r="H13151" s="606"/>
    </row>
    <row r="13152" customFormat="false" ht="15" hidden="false" customHeight="false" outlineLevel="0" collapsed="false">
      <c r="A13152" s="571"/>
      <c r="B13152" s="500"/>
      <c r="C13152" s="860" t="s">
        <v>5819</v>
      </c>
      <c r="D13152" s="316" t="s">
        <v>4191</v>
      </c>
      <c r="E13152" s="954" t="n">
        <v>0.01</v>
      </c>
      <c r="F13152" s="617" t="n">
        <v>316.4</v>
      </c>
      <c r="G13152" s="615" t="n">
        <f aca="false">E13152*F13152</f>
        <v>3.164</v>
      </c>
      <c r="H13152" s="606"/>
    </row>
    <row r="13153" customFormat="false" ht="15" hidden="false" customHeight="false" outlineLevel="0" collapsed="false">
      <c r="A13153" s="571"/>
      <c r="B13153" s="500"/>
      <c r="C13153" s="860" t="s">
        <v>5820</v>
      </c>
      <c r="D13153" s="316" t="s">
        <v>4191</v>
      </c>
      <c r="E13153" s="954" t="n">
        <v>0.01</v>
      </c>
      <c r="F13153" s="617" t="n">
        <v>650</v>
      </c>
      <c r="G13153" s="615" t="n">
        <f aca="false">E13153*F13153</f>
        <v>6.5</v>
      </c>
      <c r="H13153" s="606"/>
    </row>
    <row r="13154" customFormat="false" ht="15" hidden="false" customHeight="false" outlineLevel="0" collapsed="false">
      <c r="A13154" s="571"/>
      <c r="B13154" s="500"/>
      <c r="C13154" s="860" t="s">
        <v>4515</v>
      </c>
      <c r="D13154" s="316" t="s">
        <v>4149</v>
      </c>
      <c r="E13154" s="958" t="n">
        <v>0.01</v>
      </c>
      <c r="F13154" s="617" t="n">
        <v>350</v>
      </c>
      <c r="G13154" s="615" t="n">
        <f aca="false">E13154*F13154</f>
        <v>3.5</v>
      </c>
      <c r="H13154" s="606"/>
    </row>
    <row r="13155" customFormat="false" ht="15" hidden="false" customHeight="false" outlineLevel="0" collapsed="false">
      <c r="A13155" s="571"/>
      <c r="B13155" s="500"/>
      <c r="C13155" s="860" t="s">
        <v>5853</v>
      </c>
      <c r="D13155" s="316" t="s">
        <v>4348</v>
      </c>
      <c r="E13155" s="954" t="n">
        <v>0.001</v>
      </c>
      <c r="F13155" s="617" t="n">
        <v>200000</v>
      </c>
      <c r="G13155" s="615" t="n">
        <f aca="false">E13155*F13155</f>
        <v>200</v>
      </c>
      <c r="H13155" s="606"/>
    </row>
    <row r="13156" customFormat="false" ht="15" hidden="false" customHeight="false" outlineLevel="0" collapsed="false">
      <c r="A13156" s="571"/>
      <c r="B13156" s="500"/>
      <c r="C13156" s="860" t="s">
        <v>4776</v>
      </c>
      <c r="D13156" s="316" t="s">
        <v>4359</v>
      </c>
      <c r="E13156" s="954" t="n">
        <v>0.026</v>
      </c>
      <c r="F13156" s="617" t="n">
        <v>800</v>
      </c>
      <c r="G13156" s="615" t="n">
        <f aca="false">E13156*F13156</f>
        <v>20.8</v>
      </c>
      <c r="H13156" s="606"/>
    </row>
    <row r="13157" customFormat="false" ht="15" hidden="false" customHeight="false" outlineLevel="0" collapsed="false">
      <c r="A13157" s="571"/>
      <c r="B13157" s="608" t="s">
        <v>4128</v>
      </c>
      <c r="C13157" s="709"/>
      <c r="D13157" s="606"/>
      <c r="E13157" s="606"/>
      <c r="F13157" s="361"/>
      <c r="G13157" s="613" t="n">
        <f aca="false">SUM(G13149:G13156)</f>
        <v>957.799</v>
      </c>
      <c r="H13157" s="606"/>
    </row>
    <row r="13158" customFormat="false" ht="30" hidden="false" customHeight="false" outlineLevel="0" collapsed="false">
      <c r="A13158" s="961"/>
      <c r="B13158" s="488" t="s">
        <v>3642</v>
      </c>
      <c r="C13158" s="860" t="s">
        <v>5854</v>
      </c>
      <c r="D13158" s="316" t="s">
        <v>4149</v>
      </c>
      <c r="E13158" s="954" t="n">
        <v>0.001</v>
      </c>
      <c r="F13158" s="617" t="n">
        <v>33792</v>
      </c>
      <c r="G13158" s="615" t="n">
        <f aca="false">E13158*F13158</f>
        <v>33.792</v>
      </c>
      <c r="H13158" s="606"/>
    </row>
    <row r="13159" customFormat="false" ht="15" hidden="false" customHeight="false" outlineLevel="0" collapsed="false">
      <c r="A13159" s="961"/>
      <c r="B13159" s="488"/>
      <c r="C13159" s="21" t="s">
        <v>5855</v>
      </c>
      <c r="D13159" s="316" t="s">
        <v>4149</v>
      </c>
      <c r="E13159" s="954" t="n">
        <v>0.001</v>
      </c>
      <c r="F13159" s="617" t="n">
        <v>203735</v>
      </c>
      <c r="G13159" s="615" t="n">
        <f aca="false">E13159*F13159</f>
        <v>203.735</v>
      </c>
      <c r="H13159" s="606"/>
    </row>
    <row r="13160" customFormat="false" ht="15" hidden="false" customHeight="false" outlineLevel="0" collapsed="false">
      <c r="A13160" s="961"/>
      <c r="B13160" s="488"/>
      <c r="C13160" s="860" t="s">
        <v>5836</v>
      </c>
      <c r="D13160" s="316" t="s">
        <v>4149</v>
      </c>
      <c r="E13160" s="954" t="n">
        <v>0.001</v>
      </c>
      <c r="F13160" s="617" t="n">
        <v>10500</v>
      </c>
      <c r="G13160" s="615" t="n">
        <f aca="false">E13160*F13160</f>
        <v>10.5</v>
      </c>
      <c r="H13160" s="606"/>
    </row>
    <row r="13161" customFormat="false" ht="15" hidden="false" customHeight="false" outlineLevel="0" collapsed="false">
      <c r="A13161" s="961"/>
      <c r="B13161" s="488"/>
      <c r="C13161" s="860" t="s">
        <v>5856</v>
      </c>
      <c r="D13161" s="316" t="s">
        <v>4528</v>
      </c>
      <c r="E13161" s="954" t="n">
        <v>0.001</v>
      </c>
      <c r="F13161" s="617" t="n">
        <v>168481</v>
      </c>
      <c r="G13161" s="615" t="n">
        <f aca="false">E13161*F13161</f>
        <v>168.481</v>
      </c>
      <c r="H13161" s="606"/>
    </row>
    <row r="13162" customFormat="false" ht="15" hidden="false" customHeight="false" outlineLevel="0" collapsed="false">
      <c r="A13162" s="961"/>
      <c r="B13162" s="488"/>
      <c r="C13162" s="21" t="s">
        <v>5857</v>
      </c>
      <c r="D13162" s="874" t="s">
        <v>4528</v>
      </c>
      <c r="E13162" s="954" t="n">
        <v>0.002</v>
      </c>
      <c r="F13162" s="883" t="n">
        <v>175794</v>
      </c>
      <c r="G13162" s="615" t="n">
        <f aca="false">E13162*F13162</f>
        <v>351.588</v>
      </c>
      <c r="H13162" s="606"/>
    </row>
    <row r="13163" customFormat="false" ht="15" hidden="false" customHeight="false" outlineLevel="0" collapsed="false">
      <c r="A13163" s="961"/>
      <c r="B13163" s="488"/>
      <c r="C13163" s="860" t="s">
        <v>5824</v>
      </c>
      <c r="D13163" s="316" t="s">
        <v>4528</v>
      </c>
      <c r="E13163" s="954" t="n">
        <v>0.001</v>
      </c>
      <c r="F13163" s="617" t="n">
        <v>82115</v>
      </c>
      <c r="G13163" s="615" t="n">
        <f aca="false">E13163*F13163</f>
        <v>82.115</v>
      </c>
      <c r="H13163" s="606"/>
    </row>
    <row r="13164" customFormat="false" ht="15" hidden="false" customHeight="false" outlineLevel="0" collapsed="false">
      <c r="A13164" s="961"/>
      <c r="B13164" s="488"/>
      <c r="C13164" s="860" t="s">
        <v>5819</v>
      </c>
      <c r="D13164" s="316" t="s">
        <v>4191</v>
      </c>
      <c r="E13164" s="954" t="n">
        <v>0.01</v>
      </c>
      <c r="F13164" s="883" t="n">
        <v>316.4</v>
      </c>
      <c r="G13164" s="615" t="n">
        <f aca="false">E13164*F13164</f>
        <v>3.164</v>
      </c>
      <c r="H13164" s="819"/>
    </row>
    <row r="13165" customFormat="false" ht="15" hidden="false" customHeight="false" outlineLevel="0" collapsed="false">
      <c r="A13165" s="961"/>
      <c r="B13165" s="488"/>
      <c r="C13165" s="860" t="s">
        <v>5826</v>
      </c>
      <c r="D13165" s="316" t="s">
        <v>4191</v>
      </c>
      <c r="E13165" s="954" t="n">
        <v>0.01</v>
      </c>
      <c r="F13165" s="617" t="n">
        <v>366.25</v>
      </c>
      <c r="G13165" s="615" t="n">
        <f aca="false">E13165*F13165</f>
        <v>3.6625</v>
      </c>
      <c r="H13165" s="819"/>
    </row>
    <row r="13166" customFormat="false" ht="15" hidden="false" customHeight="false" outlineLevel="0" collapsed="false">
      <c r="A13166" s="961"/>
      <c r="B13166" s="488"/>
      <c r="C13166" s="860" t="s">
        <v>5820</v>
      </c>
      <c r="D13166" s="316" t="s">
        <v>4191</v>
      </c>
      <c r="E13166" s="954" t="n">
        <v>0.01</v>
      </c>
      <c r="F13166" s="617" t="n">
        <v>650</v>
      </c>
      <c r="G13166" s="615" t="n">
        <f aca="false">E13166*F13166</f>
        <v>6.5</v>
      </c>
      <c r="H13166" s="819"/>
    </row>
    <row r="13167" customFormat="false" ht="15" hidden="false" customHeight="false" outlineLevel="0" collapsed="false">
      <c r="A13167" s="961"/>
      <c r="B13167" s="488"/>
      <c r="C13167" s="860" t="s">
        <v>4776</v>
      </c>
      <c r="D13167" s="316" t="s">
        <v>4359</v>
      </c>
      <c r="E13167" s="954" t="n">
        <v>0.01</v>
      </c>
      <c r="F13167" s="617" t="n">
        <v>800</v>
      </c>
      <c r="G13167" s="615" t="n">
        <f aca="false">E13167*F13167</f>
        <v>8</v>
      </c>
      <c r="H13167" s="606"/>
    </row>
    <row r="13168" customFormat="false" ht="15" hidden="false" customHeight="false" outlineLevel="0" collapsed="false">
      <c r="A13168" s="961"/>
      <c r="B13168" s="608" t="s">
        <v>4128</v>
      </c>
      <c r="C13168" s="718"/>
      <c r="D13168" s="610"/>
      <c r="E13168" s="610"/>
      <c r="F13168" s="612"/>
      <c r="G13168" s="613" t="n">
        <f aca="false">SUM(G13158:G13167)</f>
        <v>871.5375</v>
      </c>
      <c r="H13168" s="606"/>
    </row>
    <row r="13169" customFormat="false" ht="30" hidden="false" customHeight="false" outlineLevel="0" collapsed="false">
      <c r="A13169" s="961"/>
      <c r="B13169" s="488" t="s">
        <v>3643</v>
      </c>
      <c r="C13169" s="860" t="s">
        <v>5854</v>
      </c>
      <c r="D13169" s="316" t="s">
        <v>4149</v>
      </c>
      <c r="E13169" s="954" t="n">
        <v>0.005</v>
      </c>
      <c r="F13169" s="617" t="n">
        <v>33792</v>
      </c>
      <c r="G13169" s="615" t="n">
        <f aca="false">E13169*F13169</f>
        <v>168.96</v>
      </c>
      <c r="H13169" s="606"/>
    </row>
    <row r="13170" customFormat="false" ht="15" hidden="false" customHeight="false" outlineLevel="0" collapsed="false">
      <c r="A13170" s="961"/>
      <c r="B13170" s="488"/>
      <c r="C13170" s="21" t="s">
        <v>5855</v>
      </c>
      <c r="D13170" s="316" t="s">
        <v>4149</v>
      </c>
      <c r="E13170" s="954" t="n">
        <v>0.0005</v>
      </c>
      <c r="F13170" s="617" t="n">
        <v>203735</v>
      </c>
      <c r="G13170" s="615" t="n">
        <f aca="false">E13170*F13170</f>
        <v>101.8675</v>
      </c>
      <c r="H13170" s="606"/>
    </row>
    <row r="13171" customFormat="false" ht="15" hidden="false" customHeight="false" outlineLevel="0" collapsed="false">
      <c r="A13171" s="961"/>
      <c r="B13171" s="488"/>
      <c r="C13171" s="860" t="s">
        <v>5836</v>
      </c>
      <c r="D13171" s="316" t="s">
        <v>4149</v>
      </c>
      <c r="E13171" s="661" t="n">
        <v>0.001</v>
      </c>
      <c r="F13171" s="617" t="n">
        <v>10500</v>
      </c>
      <c r="G13171" s="615" t="n">
        <f aca="false">E13171*F13171</f>
        <v>10.5</v>
      </c>
      <c r="H13171" s="606"/>
    </row>
    <row r="13172" customFormat="false" ht="15" hidden="false" customHeight="false" outlineLevel="0" collapsed="false">
      <c r="A13172" s="961"/>
      <c r="B13172" s="488"/>
      <c r="C13172" s="860" t="s">
        <v>5856</v>
      </c>
      <c r="D13172" s="316" t="s">
        <v>4359</v>
      </c>
      <c r="E13172" s="954" t="n">
        <v>0.001</v>
      </c>
      <c r="F13172" s="617" t="n">
        <v>168481</v>
      </c>
      <c r="G13172" s="615" t="n">
        <f aca="false">E13172*F13172</f>
        <v>168.481</v>
      </c>
      <c r="H13172" s="606"/>
    </row>
    <row r="13173" customFormat="false" ht="15" hidden="false" customHeight="false" outlineLevel="0" collapsed="false">
      <c r="A13173" s="961"/>
      <c r="B13173" s="488"/>
      <c r="C13173" s="21" t="s">
        <v>5857</v>
      </c>
      <c r="D13173" s="874" t="s">
        <v>4359</v>
      </c>
      <c r="E13173" s="959" t="n">
        <v>0.001</v>
      </c>
      <c r="F13173" s="883" t="n">
        <v>175794</v>
      </c>
      <c r="G13173" s="615" t="n">
        <f aca="false">E13173*F13173</f>
        <v>175.794</v>
      </c>
      <c r="H13173" s="606"/>
    </row>
    <row r="13174" customFormat="false" ht="15" hidden="false" customHeight="false" outlineLevel="0" collapsed="false">
      <c r="A13174" s="961"/>
      <c r="B13174" s="488"/>
      <c r="C13174" s="860" t="s">
        <v>5824</v>
      </c>
      <c r="D13174" s="874" t="s">
        <v>4359</v>
      </c>
      <c r="E13174" s="954" t="n">
        <v>0.001</v>
      </c>
      <c r="F13174" s="617" t="n">
        <v>82115</v>
      </c>
      <c r="G13174" s="615" t="n">
        <f aca="false">E13174*F13174</f>
        <v>82.115</v>
      </c>
      <c r="H13174" s="606"/>
    </row>
    <row r="13175" customFormat="false" ht="15" hidden="false" customHeight="false" outlineLevel="0" collapsed="false">
      <c r="A13175" s="961"/>
      <c r="B13175" s="488"/>
      <c r="C13175" s="860" t="s">
        <v>5819</v>
      </c>
      <c r="D13175" s="316" t="s">
        <v>4191</v>
      </c>
      <c r="E13175" s="954" t="n">
        <v>0.01</v>
      </c>
      <c r="F13175" s="883" t="n">
        <v>316.4</v>
      </c>
      <c r="G13175" s="615" t="n">
        <f aca="false">E13175*F13175</f>
        <v>3.164</v>
      </c>
      <c r="H13175" s="606"/>
    </row>
    <row r="13176" customFormat="false" ht="15" hidden="false" customHeight="false" outlineLevel="0" collapsed="false">
      <c r="A13176" s="961"/>
      <c r="B13176" s="488"/>
      <c r="C13176" s="860" t="s">
        <v>5826</v>
      </c>
      <c r="D13176" s="316" t="s">
        <v>4191</v>
      </c>
      <c r="E13176" s="954" t="n">
        <v>0.01</v>
      </c>
      <c r="F13176" s="617" t="n">
        <v>366.25</v>
      </c>
      <c r="G13176" s="615" t="n">
        <f aca="false">E13176*F13176</f>
        <v>3.6625</v>
      </c>
      <c r="H13176" s="606"/>
    </row>
    <row r="13177" customFormat="false" ht="15" hidden="false" customHeight="false" outlineLevel="0" collapsed="false">
      <c r="A13177" s="961"/>
      <c r="B13177" s="488"/>
      <c r="C13177" s="860" t="s">
        <v>5820</v>
      </c>
      <c r="D13177" s="316" t="s">
        <v>4191</v>
      </c>
      <c r="E13177" s="954" t="n">
        <v>0.01</v>
      </c>
      <c r="F13177" s="617" t="n">
        <v>650</v>
      </c>
      <c r="G13177" s="615" t="n">
        <f aca="false">E13177*F13177</f>
        <v>6.5</v>
      </c>
      <c r="H13177" s="606"/>
    </row>
    <row r="13178" customFormat="false" ht="15" hidden="false" customHeight="false" outlineLevel="0" collapsed="false">
      <c r="A13178" s="571"/>
      <c r="B13178" s="500"/>
      <c r="C13178" s="860" t="s">
        <v>5816</v>
      </c>
      <c r="D13178" s="316" t="s">
        <v>4191</v>
      </c>
      <c r="E13178" s="954" t="n">
        <v>0.005</v>
      </c>
      <c r="F13178" s="617" t="n">
        <v>144704</v>
      </c>
      <c r="G13178" s="615" t="n">
        <f aca="false">E13178*F13178</f>
        <v>723.52</v>
      </c>
      <c r="H13178" s="606"/>
    </row>
    <row r="13179" customFormat="false" ht="15" hidden="false" customHeight="false" outlineLevel="0" collapsed="false">
      <c r="A13179" s="571"/>
      <c r="B13179" s="500"/>
      <c r="C13179" s="860" t="s">
        <v>4776</v>
      </c>
      <c r="D13179" s="316" t="s">
        <v>4528</v>
      </c>
      <c r="E13179" s="954" t="n">
        <v>0.02</v>
      </c>
      <c r="F13179" s="617" t="n">
        <v>800</v>
      </c>
      <c r="G13179" s="615" t="n">
        <f aca="false">E13179*F13179</f>
        <v>16</v>
      </c>
      <c r="H13179" s="606"/>
    </row>
    <row r="13180" customFormat="false" ht="15" hidden="false" customHeight="false" outlineLevel="0" collapsed="false">
      <c r="A13180" s="571"/>
      <c r="B13180" s="608" t="s">
        <v>4128</v>
      </c>
      <c r="C13180" s="718"/>
      <c r="D13180" s="610"/>
      <c r="E13180" s="610"/>
      <c r="F13180" s="612"/>
      <c r="G13180" s="613" t="n">
        <f aca="false">SUM(G13169:G13179)</f>
        <v>1460.564</v>
      </c>
      <c r="H13180" s="606"/>
    </row>
    <row r="13181" customFormat="false" ht="30" hidden="false" customHeight="false" outlineLevel="0" collapsed="false">
      <c r="A13181" s="571"/>
      <c r="B13181" s="433" t="s">
        <v>3644</v>
      </c>
      <c r="C13181" s="860" t="s">
        <v>5858</v>
      </c>
      <c r="D13181" s="316" t="s">
        <v>4149</v>
      </c>
      <c r="E13181" s="664" t="n">
        <v>0.003</v>
      </c>
      <c r="F13181" s="617" t="n">
        <v>52272</v>
      </c>
      <c r="G13181" s="615" t="n">
        <f aca="false">E13181*F13181</f>
        <v>156.816</v>
      </c>
      <c r="H13181" s="391"/>
    </row>
    <row r="13182" customFormat="false" ht="15" hidden="false" customHeight="false" outlineLevel="0" collapsed="false">
      <c r="A13182" s="571"/>
      <c r="B13182" s="328"/>
      <c r="C13182" s="21" t="s">
        <v>5823</v>
      </c>
      <c r="D13182" s="316" t="s">
        <v>4149</v>
      </c>
      <c r="E13182" s="954" t="n">
        <v>0.003</v>
      </c>
      <c r="F13182" s="617" t="n">
        <v>69797</v>
      </c>
      <c r="G13182" s="615" t="n">
        <f aca="false">E13182*F13182</f>
        <v>209.391</v>
      </c>
      <c r="H13182" s="606"/>
    </row>
    <row r="13183" customFormat="false" ht="15" hidden="false" customHeight="false" outlineLevel="0" collapsed="false">
      <c r="A13183" s="571"/>
      <c r="B13183" s="500"/>
      <c r="C13183" s="860" t="s">
        <v>5825</v>
      </c>
      <c r="D13183" s="316" t="s">
        <v>4141</v>
      </c>
      <c r="E13183" s="954" t="n">
        <v>0.05</v>
      </c>
      <c r="F13183" s="883" t="n">
        <v>3707</v>
      </c>
      <c r="G13183" s="615" t="n">
        <f aca="false">E13183*F13183</f>
        <v>185.35</v>
      </c>
      <c r="H13183" s="606"/>
    </row>
    <row r="13184" customFormat="false" ht="15" hidden="false" customHeight="false" outlineLevel="0" collapsed="false">
      <c r="A13184" s="571"/>
      <c r="B13184" s="608"/>
      <c r="C13184" s="860" t="s">
        <v>5824</v>
      </c>
      <c r="D13184" s="316" t="s">
        <v>4359</v>
      </c>
      <c r="E13184" s="954" t="n">
        <v>0.005</v>
      </c>
      <c r="F13184" s="617" t="n">
        <v>82115</v>
      </c>
      <c r="G13184" s="615" t="n">
        <f aca="false">E13184*F13184</f>
        <v>410.575</v>
      </c>
      <c r="H13184" s="391"/>
    </row>
    <row r="13185" customFormat="false" ht="15" hidden="false" customHeight="false" outlineLevel="0" collapsed="false">
      <c r="A13185" s="571"/>
      <c r="B13185" s="328"/>
      <c r="C13185" s="855" t="s">
        <v>5819</v>
      </c>
      <c r="D13185" s="316" t="s">
        <v>4191</v>
      </c>
      <c r="E13185" s="954" t="n">
        <v>0.5</v>
      </c>
      <c r="F13185" s="883" t="n">
        <v>316.4</v>
      </c>
      <c r="G13185" s="615" t="n">
        <f aca="false">E13185*F13185</f>
        <v>158.2</v>
      </c>
      <c r="H13185" s="606"/>
    </row>
    <row r="13186" customFormat="false" ht="15" hidden="false" customHeight="false" outlineLevel="0" collapsed="false">
      <c r="A13186" s="571"/>
      <c r="B13186" s="500"/>
      <c r="C13186" s="860" t="s">
        <v>5826</v>
      </c>
      <c r="D13186" s="316" t="s">
        <v>4191</v>
      </c>
      <c r="E13186" s="954" t="n">
        <v>0.01</v>
      </c>
      <c r="F13186" s="617" t="n">
        <v>236</v>
      </c>
      <c r="G13186" s="615" t="n">
        <f aca="false">E13186*F13186</f>
        <v>2.36</v>
      </c>
      <c r="H13186" s="606"/>
    </row>
    <row r="13187" customFormat="false" ht="15" hidden="false" customHeight="false" outlineLevel="0" collapsed="false">
      <c r="A13187" s="571"/>
      <c r="B13187" s="500"/>
      <c r="C13187" s="860" t="s">
        <v>5820</v>
      </c>
      <c r="D13187" s="316" t="s">
        <v>4191</v>
      </c>
      <c r="E13187" s="954" t="n">
        <v>0.01</v>
      </c>
      <c r="F13187" s="617" t="n">
        <v>400</v>
      </c>
      <c r="G13187" s="615" t="n">
        <f aca="false">E13187*F13187</f>
        <v>4</v>
      </c>
      <c r="H13187" s="606"/>
    </row>
    <row r="13188" customFormat="false" ht="15" hidden="false" customHeight="false" outlineLevel="0" collapsed="false">
      <c r="A13188" s="571"/>
      <c r="B13188" s="500"/>
      <c r="C13188" s="860" t="s">
        <v>4515</v>
      </c>
      <c r="D13188" s="316" t="s">
        <v>4149</v>
      </c>
      <c r="E13188" s="954" t="n">
        <v>0.05</v>
      </c>
      <c r="F13188" s="617" t="n">
        <v>350</v>
      </c>
      <c r="G13188" s="615" t="n">
        <f aca="false">E13188*F13188</f>
        <v>17.5</v>
      </c>
      <c r="H13188" s="606"/>
    </row>
    <row r="13189" customFormat="false" ht="15" hidden="false" customHeight="false" outlineLevel="0" collapsed="false">
      <c r="A13189" s="571"/>
      <c r="B13189" s="608"/>
      <c r="C13189" s="860" t="s">
        <v>4776</v>
      </c>
      <c r="D13189" s="316" t="s">
        <v>4359</v>
      </c>
      <c r="E13189" s="954" t="n">
        <v>0.1</v>
      </c>
      <c r="F13189" s="617" t="n">
        <v>720</v>
      </c>
      <c r="G13189" s="615" t="n">
        <f aca="false">E13189*F13189</f>
        <v>72</v>
      </c>
      <c r="H13189" s="391"/>
    </row>
    <row r="13190" customFormat="false" ht="15" hidden="false" customHeight="false" outlineLevel="0" collapsed="false">
      <c r="A13190" s="571"/>
      <c r="B13190" s="328"/>
      <c r="C13190" s="860" t="s">
        <v>5851</v>
      </c>
      <c r="D13190" s="316" t="s">
        <v>4348</v>
      </c>
      <c r="E13190" s="954" t="n">
        <v>0.02</v>
      </c>
      <c r="F13190" s="617" t="n">
        <v>2000</v>
      </c>
      <c r="G13190" s="615" t="n">
        <f aca="false">E13190*F13190</f>
        <v>40</v>
      </c>
      <c r="H13190" s="606"/>
    </row>
    <row r="13191" customFormat="false" ht="15" hidden="false" customHeight="false" outlineLevel="0" collapsed="false">
      <c r="A13191" s="571"/>
      <c r="B13191" s="608" t="s">
        <v>4128</v>
      </c>
      <c r="C13191" s="718"/>
      <c r="D13191" s="610"/>
      <c r="E13191" s="610"/>
      <c r="F13191" s="808"/>
      <c r="G13191" s="613" t="n">
        <f aca="false">SUM(G13181:G13190)</f>
        <v>1256.192</v>
      </c>
      <c r="H13191" s="610"/>
    </row>
    <row r="13192" customFormat="false" ht="30" hidden="false" customHeight="false" outlineLevel="0" collapsed="false">
      <c r="A13192" s="571"/>
      <c r="B13192" s="433" t="s">
        <v>3645</v>
      </c>
      <c r="C13192" s="860" t="s">
        <v>5858</v>
      </c>
      <c r="D13192" s="316" t="s">
        <v>4149</v>
      </c>
      <c r="E13192" s="664" t="n">
        <v>0.005</v>
      </c>
      <c r="F13192" s="617" t="n">
        <v>54981</v>
      </c>
      <c r="G13192" s="615" t="n">
        <f aca="false">E13192*F13192</f>
        <v>274.905</v>
      </c>
      <c r="H13192" s="391"/>
    </row>
    <row r="13193" customFormat="false" ht="15" hidden="false" customHeight="false" outlineLevel="0" collapsed="false">
      <c r="A13193" s="571"/>
      <c r="B13193" s="328"/>
      <c r="C13193" s="21" t="s">
        <v>5823</v>
      </c>
      <c r="D13193" s="316" t="s">
        <v>4149</v>
      </c>
      <c r="E13193" s="954" t="n">
        <v>0.001</v>
      </c>
      <c r="F13193" s="617" t="n">
        <v>69797</v>
      </c>
      <c r="G13193" s="615" t="n">
        <f aca="false">E13193*F13193</f>
        <v>69.797</v>
      </c>
      <c r="H13193" s="606"/>
    </row>
    <row r="13194" customFormat="false" ht="15" hidden="false" customHeight="false" outlineLevel="0" collapsed="false">
      <c r="A13194" s="571"/>
      <c r="B13194" s="500"/>
      <c r="C13194" s="860" t="s">
        <v>5825</v>
      </c>
      <c r="D13194" s="316" t="s">
        <v>4191</v>
      </c>
      <c r="E13194" s="954" t="n">
        <v>0.01</v>
      </c>
      <c r="F13194" s="883" t="n">
        <v>8468</v>
      </c>
      <c r="G13194" s="615" t="n">
        <f aca="false">E13194*F13194</f>
        <v>84.68</v>
      </c>
      <c r="H13194" s="606"/>
    </row>
    <row r="13195" customFormat="false" ht="15" hidden="false" customHeight="false" outlineLevel="0" collapsed="false">
      <c r="A13195" s="571"/>
      <c r="B13195" s="500"/>
      <c r="C13195" s="860" t="s">
        <v>5824</v>
      </c>
      <c r="D13195" s="316" t="s">
        <v>4528</v>
      </c>
      <c r="E13195" s="954" t="n">
        <v>0.001</v>
      </c>
      <c r="F13195" s="617" t="n">
        <v>82115</v>
      </c>
      <c r="G13195" s="615" t="n">
        <f aca="false">E13195*F13195</f>
        <v>82.115</v>
      </c>
      <c r="H13195" s="606"/>
    </row>
    <row r="13196" customFormat="false" ht="15" hidden="false" customHeight="false" outlineLevel="0" collapsed="false">
      <c r="A13196" s="571"/>
      <c r="B13196" s="500"/>
      <c r="C13196" s="860" t="s">
        <v>5819</v>
      </c>
      <c r="D13196" s="316" t="s">
        <v>4191</v>
      </c>
      <c r="E13196" s="954" t="n">
        <v>0.1</v>
      </c>
      <c r="F13196" s="883" t="n">
        <v>316.4</v>
      </c>
      <c r="G13196" s="615" t="n">
        <f aca="false">E13196*F13196</f>
        <v>31.64</v>
      </c>
      <c r="H13196" s="606"/>
    </row>
    <row r="13197" customFormat="false" ht="15" hidden="false" customHeight="false" outlineLevel="0" collapsed="false">
      <c r="A13197" s="571"/>
      <c r="B13197" s="500"/>
      <c r="C13197" s="860" t="s">
        <v>5826</v>
      </c>
      <c r="D13197" s="316" t="s">
        <v>4191</v>
      </c>
      <c r="E13197" s="954" t="n">
        <v>0.01</v>
      </c>
      <c r="F13197" s="617" t="n">
        <v>366.25</v>
      </c>
      <c r="G13197" s="615" t="n">
        <f aca="false">E13197*F13197</f>
        <v>3.6625</v>
      </c>
      <c r="H13197" s="606"/>
    </row>
    <row r="13198" customFormat="false" ht="15" hidden="false" customHeight="false" outlineLevel="0" collapsed="false">
      <c r="A13198" s="571"/>
      <c r="B13198" s="328"/>
      <c r="C13198" s="860" t="s">
        <v>5820</v>
      </c>
      <c r="D13198" s="316" t="s">
        <v>4191</v>
      </c>
      <c r="E13198" s="954" t="n">
        <v>0.01</v>
      </c>
      <c r="F13198" s="617" t="n">
        <v>650</v>
      </c>
      <c r="G13198" s="615" t="n">
        <f aca="false">E13198*F13198</f>
        <v>6.5</v>
      </c>
      <c r="H13198" s="606"/>
    </row>
    <row r="13199" customFormat="false" ht="15" hidden="false" customHeight="false" outlineLevel="0" collapsed="false">
      <c r="A13199" s="571"/>
      <c r="B13199" s="500"/>
      <c r="C13199" s="860" t="s">
        <v>4515</v>
      </c>
      <c r="D13199" s="316" t="s">
        <v>4149</v>
      </c>
      <c r="E13199" s="954" t="n">
        <v>0.05</v>
      </c>
      <c r="F13199" s="681" t="n">
        <v>350</v>
      </c>
      <c r="G13199" s="615" t="n">
        <f aca="false">E13199*F13199</f>
        <v>17.5</v>
      </c>
      <c r="H13199" s="606"/>
    </row>
    <row r="13200" customFormat="false" ht="15" hidden="false" customHeight="false" outlineLevel="0" collapsed="false">
      <c r="A13200" s="571"/>
      <c r="B13200" s="500"/>
      <c r="C13200" s="860" t="s">
        <v>5816</v>
      </c>
      <c r="D13200" s="316" t="s">
        <v>4191</v>
      </c>
      <c r="E13200" s="954" t="n">
        <v>0.002</v>
      </c>
      <c r="F13200" s="681" t="n">
        <v>144704</v>
      </c>
      <c r="G13200" s="615" t="n">
        <f aca="false">E13200*F13200</f>
        <v>289.408</v>
      </c>
      <c r="H13200" s="606"/>
    </row>
    <row r="13201" customFormat="false" ht="15" hidden="false" customHeight="false" outlineLevel="0" collapsed="false">
      <c r="A13201" s="571"/>
      <c r="B13201" s="500"/>
      <c r="C13201" s="860" t="s">
        <v>4776</v>
      </c>
      <c r="D13201" s="316" t="s">
        <v>4359</v>
      </c>
      <c r="E13201" s="954" t="n">
        <v>0.038</v>
      </c>
      <c r="F13201" s="617" t="n">
        <v>800</v>
      </c>
      <c r="G13201" s="615" t="n">
        <f aca="false">E13201*F13201</f>
        <v>30.4</v>
      </c>
      <c r="H13201" s="606"/>
    </row>
    <row r="13202" customFormat="false" ht="15" hidden="false" customHeight="false" outlineLevel="0" collapsed="false">
      <c r="A13202" s="957"/>
      <c r="B13202" s="608" t="s">
        <v>4128</v>
      </c>
      <c r="C13202" s="718"/>
      <c r="D13202" s="610"/>
      <c r="E13202" s="962"/>
      <c r="F13202" s="808"/>
      <c r="G13202" s="613" t="n">
        <f aca="false">SUM(G13192:G13201)</f>
        <v>890.6075</v>
      </c>
      <c r="H13202" s="606"/>
    </row>
    <row r="13203" customFormat="false" ht="15" hidden="false" customHeight="false" outlineLevel="0" collapsed="false">
      <c r="A13203" s="571"/>
      <c r="B13203" s="433" t="s">
        <v>3646</v>
      </c>
      <c r="C13203" s="860" t="s">
        <v>5818</v>
      </c>
      <c r="D13203" s="316" t="s">
        <v>4149</v>
      </c>
      <c r="E13203" s="954" t="n">
        <v>0.003</v>
      </c>
      <c r="F13203" s="617" t="n">
        <v>67687</v>
      </c>
      <c r="G13203" s="615" t="n">
        <f aca="false">E13203*F13203</f>
        <v>203.061</v>
      </c>
      <c r="H13203" s="606"/>
    </row>
    <row r="13204" customFormat="false" ht="15" hidden="false" customHeight="false" outlineLevel="0" collapsed="false">
      <c r="A13204" s="571"/>
      <c r="B13204" s="500"/>
      <c r="C13204" s="860" t="s">
        <v>5821</v>
      </c>
      <c r="D13204" s="316" t="s">
        <v>4149</v>
      </c>
      <c r="E13204" s="954" t="n">
        <v>0.003</v>
      </c>
      <c r="F13204" s="617" t="n">
        <v>45738</v>
      </c>
      <c r="G13204" s="615" t="n">
        <f aca="false">E13204*F13204</f>
        <v>137.214</v>
      </c>
      <c r="H13204" s="606"/>
    </row>
    <row r="13205" customFormat="false" ht="15" hidden="false" customHeight="false" outlineLevel="0" collapsed="false">
      <c r="A13205" s="571"/>
      <c r="B13205" s="500"/>
      <c r="C13205" s="860" t="s">
        <v>5822</v>
      </c>
      <c r="D13205" s="316" t="s">
        <v>4149</v>
      </c>
      <c r="E13205" s="954" t="n">
        <v>0.003</v>
      </c>
      <c r="F13205" s="617" t="n">
        <v>145939</v>
      </c>
      <c r="G13205" s="615" t="n">
        <f aca="false">E13205*F13205</f>
        <v>437.817</v>
      </c>
      <c r="H13205" s="606"/>
    </row>
    <row r="13206" customFormat="false" ht="15" hidden="false" customHeight="false" outlineLevel="0" collapsed="false">
      <c r="A13206" s="571"/>
      <c r="B13206" s="608"/>
      <c r="C13206" s="21" t="s">
        <v>5823</v>
      </c>
      <c r="D13206" s="316" t="s">
        <v>4149</v>
      </c>
      <c r="E13206" s="954" t="n">
        <v>0.005</v>
      </c>
      <c r="F13206" s="617" t="n">
        <v>69797</v>
      </c>
      <c r="G13206" s="615" t="n">
        <f aca="false">E13206*F13206</f>
        <v>348.985</v>
      </c>
      <c r="H13206" s="391"/>
    </row>
    <row r="13207" customFormat="false" ht="15" hidden="false" customHeight="false" outlineLevel="0" collapsed="false">
      <c r="A13207" s="571"/>
      <c r="B13207" s="328"/>
      <c r="C13207" s="860" t="s">
        <v>5824</v>
      </c>
      <c r="D13207" s="316" t="s">
        <v>4359</v>
      </c>
      <c r="E13207" s="954" t="n">
        <v>0.005</v>
      </c>
      <c r="F13207" s="617" t="n">
        <v>82115</v>
      </c>
      <c r="G13207" s="615" t="n">
        <f aca="false">E13207*F13207</f>
        <v>410.575</v>
      </c>
      <c r="H13207" s="606"/>
    </row>
    <row r="13208" customFormat="false" ht="15" hidden="false" customHeight="false" outlineLevel="0" collapsed="false">
      <c r="A13208" s="571"/>
      <c r="B13208" s="500"/>
      <c r="C13208" s="860" t="s">
        <v>5825</v>
      </c>
      <c r="D13208" s="316" t="s">
        <v>4191</v>
      </c>
      <c r="E13208" s="954" t="n">
        <v>0.005</v>
      </c>
      <c r="F13208" s="883" t="n">
        <v>8468</v>
      </c>
      <c r="G13208" s="615" t="n">
        <f aca="false">E13208*F13208</f>
        <v>42.34</v>
      </c>
      <c r="H13208" s="606"/>
    </row>
    <row r="13209" customFormat="false" ht="15" hidden="false" customHeight="false" outlineLevel="0" collapsed="false">
      <c r="A13209" s="571"/>
      <c r="B13209" s="500"/>
      <c r="C13209" s="860" t="s">
        <v>5819</v>
      </c>
      <c r="D13209" s="316" t="s">
        <v>4191</v>
      </c>
      <c r="E13209" s="954" t="n">
        <v>0.01</v>
      </c>
      <c r="F13209" s="883" t="n">
        <v>316.4</v>
      </c>
      <c r="G13209" s="615" t="n">
        <f aca="false">E13209*F13209</f>
        <v>3.164</v>
      </c>
      <c r="H13209" s="606"/>
    </row>
    <row r="13210" customFormat="false" ht="15" hidden="false" customHeight="false" outlineLevel="0" collapsed="false">
      <c r="A13210" s="571"/>
      <c r="B13210" s="500"/>
      <c r="C13210" s="860" t="s">
        <v>5826</v>
      </c>
      <c r="D13210" s="316" t="s">
        <v>4191</v>
      </c>
      <c r="E13210" s="954" t="n">
        <v>0.01</v>
      </c>
      <c r="F13210" s="617" t="n">
        <v>366.25</v>
      </c>
      <c r="G13210" s="615" t="n">
        <f aca="false">E13210*F13210</f>
        <v>3.6625</v>
      </c>
      <c r="H13210" s="606"/>
    </row>
    <row r="13211" customFormat="false" ht="15" hidden="false" customHeight="false" outlineLevel="0" collapsed="false">
      <c r="A13211" s="571"/>
      <c r="B13211" s="608"/>
      <c r="C13211" s="860" t="s">
        <v>5820</v>
      </c>
      <c r="D13211" s="316" t="s">
        <v>4191</v>
      </c>
      <c r="E13211" s="954" t="n">
        <v>0.01</v>
      </c>
      <c r="F13211" s="617" t="n">
        <v>650</v>
      </c>
      <c r="G13211" s="615" t="n">
        <f aca="false">E13211*F13211</f>
        <v>6.5</v>
      </c>
      <c r="H13211" s="391"/>
    </row>
    <row r="13212" customFormat="false" ht="15" hidden="false" customHeight="false" outlineLevel="0" collapsed="false">
      <c r="A13212" s="571"/>
      <c r="B13212" s="328"/>
      <c r="C13212" s="860" t="s">
        <v>4776</v>
      </c>
      <c r="D13212" s="316" t="s">
        <v>4359</v>
      </c>
      <c r="E13212" s="954" t="n">
        <v>0.1</v>
      </c>
      <c r="F13212" s="617" t="n">
        <v>800</v>
      </c>
      <c r="G13212" s="615" t="n">
        <f aca="false">E13212*F13212</f>
        <v>80</v>
      </c>
      <c r="H13212" s="606"/>
    </row>
    <row r="13213" customFormat="false" ht="15" hidden="false" customHeight="false" outlineLevel="0" collapsed="false">
      <c r="A13213" s="571"/>
      <c r="B13213" s="500"/>
      <c r="C13213" s="860" t="s">
        <v>5827</v>
      </c>
      <c r="D13213" s="316" t="s">
        <v>4348</v>
      </c>
      <c r="E13213" s="954" t="n">
        <v>1</v>
      </c>
      <c r="F13213" s="617" t="n">
        <v>370</v>
      </c>
      <c r="G13213" s="615" t="n">
        <f aca="false">E13213*F13213</f>
        <v>370</v>
      </c>
      <c r="H13213" s="606"/>
    </row>
    <row r="13214" customFormat="false" ht="15" hidden="false" customHeight="false" outlineLevel="0" collapsed="false">
      <c r="A13214" s="571"/>
      <c r="B13214" s="500"/>
      <c r="C13214" s="860" t="s">
        <v>5851</v>
      </c>
      <c r="D13214" s="316" t="s">
        <v>4348</v>
      </c>
      <c r="E13214" s="954" t="n">
        <v>0.01</v>
      </c>
      <c r="F13214" s="617" t="n">
        <v>19488</v>
      </c>
      <c r="G13214" s="615" t="n">
        <f aca="false">E13214*F13214</f>
        <v>194.88</v>
      </c>
      <c r="H13214" s="606"/>
    </row>
    <row r="13215" customFormat="false" ht="15" hidden="false" customHeight="false" outlineLevel="0" collapsed="false">
      <c r="A13215" s="571"/>
      <c r="B13215" s="608" t="s">
        <v>4128</v>
      </c>
      <c r="C13215" s="718"/>
      <c r="D13215" s="610"/>
      <c r="E13215" s="610"/>
      <c r="F13215" s="612"/>
      <c r="G13215" s="613" t="n">
        <f aca="false">SUM(G13203:G13214)</f>
        <v>2238.1985</v>
      </c>
      <c r="H13215" s="610"/>
    </row>
    <row r="13216" customFormat="false" ht="30" hidden="false" customHeight="false" outlineLevel="0" collapsed="false">
      <c r="A13216" s="571"/>
      <c r="B13216" s="433" t="s">
        <v>3648</v>
      </c>
      <c r="C13216" s="860" t="s">
        <v>5818</v>
      </c>
      <c r="D13216" s="316" t="s">
        <v>4133</v>
      </c>
      <c r="E13216" s="954" t="n">
        <v>0.01</v>
      </c>
      <c r="F13216" s="617" t="n">
        <v>67687</v>
      </c>
      <c r="G13216" s="615" t="n">
        <f aca="false">E13216*F13216</f>
        <v>676.87</v>
      </c>
      <c r="H13216" s="606"/>
    </row>
    <row r="13217" customFormat="false" ht="15" hidden="false" customHeight="false" outlineLevel="0" collapsed="false">
      <c r="A13217" s="571"/>
      <c r="B13217" s="500"/>
      <c r="C13217" s="860" t="s">
        <v>5821</v>
      </c>
      <c r="D13217" s="316" t="s">
        <v>4133</v>
      </c>
      <c r="E13217" s="664" t="n">
        <v>0.01</v>
      </c>
      <c r="F13217" s="617" t="n">
        <v>45738</v>
      </c>
      <c r="G13217" s="615" t="n">
        <f aca="false">E13217*F13217</f>
        <v>457.38</v>
      </c>
      <c r="H13217" s="606"/>
    </row>
    <row r="13218" customFormat="false" ht="15" hidden="false" customHeight="false" outlineLevel="0" collapsed="false">
      <c r="A13218" s="571"/>
      <c r="B13218" s="608"/>
      <c r="C13218" s="860" t="s">
        <v>5822</v>
      </c>
      <c r="D13218" s="316" t="s">
        <v>4133</v>
      </c>
      <c r="E13218" s="664" t="n">
        <v>0.003</v>
      </c>
      <c r="F13218" s="617" t="n">
        <v>145939</v>
      </c>
      <c r="G13218" s="615" t="n">
        <f aca="false">E13218*F13218</f>
        <v>437.817</v>
      </c>
      <c r="H13218" s="391"/>
    </row>
    <row r="13219" customFormat="false" ht="15" hidden="false" customHeight="false" outlineLevel="0" collapsed="false">
      <c r="A13219" s="571"/>
      <c r="B13219" s="328"/>
      <c r="C13219" s="21" t="s">
        <v>5823</v>
      </c>
      <c r="D13219" s="316" t="s">
        <v>4133</v>
      </c>
      <c r="E13219" s="954" t="n">
        <v>0.01</v>
      </c>
      <c r="F13219" s="617" t="n">
        <v>39797</v>
      </c>
      <c r="G13219" s="615" t="n">
        <f aca="false">E13219*F13219</f>
        <v>397.97</v>
      </c>
      <c r="H13219" s="606"/>
    </row>
    <row r="13220" customFormat="false" ht="15" hidden="false" customHeight="false" outlineLevel="0" collapsed="false">
      <c r="A13220" s="571"/>
      <c r="B13220" s="500"/>
      <c r="C13220" s="860" t="s">
        <v>5824</v>
      </c>
      <c r="D13220" s="316" t="s">
        <v>4528</v>
      </c>
      <c r="E13220" s="954" t="n">
        <v>0.001</v>
      </c>
      <c r="F13220" s="617" t="n">
        <v>82115</v>
      </c>
      <c r="G13220" s="615" t="n">
        <f aca="false">E13220*F13220</f>
        <v>82.115</v>
      </c>
      <c r="H13220" s="606"/>
    </row>
    <row r="13221" customFormat="false" ht="15" hidden="false" customHeight="false" outlineLevel="0" collapsed="false">
      <c r="A13221" s="571"/>
      <c r="B13221" s="500"/>
      <c r="C13221" s="860" t="s">
        <v>5825</v>
      </c>
      <c r="D13221" s="316" t="s">
        <v>4191</v>
      </c>
      <c r="E13221" s="954" t="n">
        <v>0.01</v>
      </c>
      <c r="F13221" s="883" t="n">
        <v>8468</v>
      </c>
      <c r="G13221" s="615" t="n">
        <f aca="false">E13221*F13221</f>
        <v>84.68</v>
      </c>
      <c r="H13221" s="606"/>
    </row>
    <row r="13222" customFormat="false" ht="15" hidden="false" customHeight="false" outlineLevel="0" collapsed="false">
      <c r="A13222" s="571"/>
      <c r="B13222" s="500"/>
      <c r="C13222" s="860" t="s">
        <v>5819</v>
      </c>
      <c r="D13222" s="316" t="s">
        <v>4191</v>
      </c>
      <c r="E13222" s="954" t="n">
        <v>0.01</v>
      </c>
      <c r="F13222" s="883" t="n">
        <v>316.4</v>
      </c>
      <c r="G13222" s="615" t="n">
        <f aca="false">E13222*F13222</f>
        <v>3.164</v>
      </c>
      <c r="H13222" s="606"/>
    </row>
    <row r="13223" customFormat="false" ht="15" hidden="false" customHeight="false" outlineLevel="0" collapsed="false">
      <c r="A13223" s="571"/>
      <c r="B13223" s="608"/>
      <c r="C13223" s="860" t="s">
        <v>5826</v>
      </c>
      <c r="D13223" s="316" t="s">
        <v>4191</v>
      </c>
      <c r="E13223" s="954" t="n">
        <v>0.01</v>
      </c>
      <c r="F13223" s="617" t="n">
        <v>366.25</v>
      </c>
      <c r="G13223" s="615" t="n">
        <f aca="false">E13223*F13223</f>
        <v>3.6625</v>
      </c>
      <c r="H13223" s="391"/>
    </row>
    <row r="13224" customFormat="false" ht="15" hidden="false" customHeight="false" outlineLevel="0" collapsed="false">
      <c r="A13224" s="571"/>
      <c r="B13224" s="500"/>
      <c r="C13224" s="860" t="s">
        <v>5820</v>
      </c>
      <c r="D13224" s="316" t="s">
        <v>4191</v>
      </c>
      <c r="E13224" s="954" t="n">
        <v>0.01</v>
      </c>
      <c r="F13224" s="617" t="n">
        <v>650</v>
      </c>
      <c r="G13224" s="615" t="n">
        <f aca="false">E13224*F13224</f>
        <v>6.5</v>
      </c>
      <c r="H13224" s="606"/>
    </row>
    <row r="13225" customFormat="false" ht="15" hidden="false" customHeight="false" outlineLevel="0" collapsed="false">
      <c r="A13225" s="571"/>
      <c r="B13225" s="500"/>
      <c r="C13225" s="860" t="s">
        <v>4776</v>
      </c>
      <c r="D13225" s="606" t="s">
        <v>4359</v>
      </c>
      <c r="E13225" s="954" t="n">
        <v>0.1</v>
      </c>
      <c r="F13225" s="617" t="n">
        <v>800</v>
      </c>
      <c r="G13225" s="615" t="n">
        <f aca="false">E13225*F13225</f>
        <v>80</v>
      </c>
      <c r="H13225" s="606"/>
    </row>
    <row r="13226" customFormat="false" ht="15" hidden="false" customHeight="false" outlineLevel="0" collapsed="false">
      <c r="A13226" s="571"/>
      <c r="B13226" s="608" t="s">
        <v>4128</v>
      </c>
      <c r="C13226" s="860"/>
      <c r="D13226" s="316"/>
      <c r="E13226" s="954"/>
      <c r="F13226" s="617"/>
      <c r="G13226" s="613" t="n">
        <f aca="false">SUM(G13216:G13225)</f>
        <v>2230.1585</v>
      </c>
      <c r="H13226" s="606"/>
    </row>
    <row r="13227" customFormat="false" ht="45" hidden="false" customHeight="false" outlineLevel="0" collapsed="false">
      <c r="A13227" s="571"/>
      <c r="B13227" s="433" t="s">
        <v>3650</v>
      </c>
      <c r="C13227" s="860" t="s">
        <v>5818</v>
      </c>
      <c r="D13227" s="316" t="s">
        <v>4133</v>
      </c>
      <c r="E13227" s="664" t="n">
        <v>0.01</v>
      </c>
      <c r="F13227" s="617" t="n">
        <v>67687</v>
      </c>
      <c r="G13227" s="615" t="n">
        <f aca="false">E13227*F13227</f>
        <v>676.87</v>
      </c>
      <c r="H13227" s="391"/>
    </row>
    <row r="13228" customFormat="false" ht="15" hidden="false" customHeight="false" outlineLevel="0" collapsed="false">
      <c r="A13228" s="571"/>
      <c r="B13228" s="328"/>
      <c r="C13228" s="860" t="s">
        <v>5819</v>
      </c>
      <c r="D13228" s="316" t="s">
        <v>4191</v>
      </c>
      <c r="E13228" s="954" t="n">
        <v>0.01</v>
      </c>
      <c r="F13228" s="617" t="n">
        <v>316.4</v>
      </c>
      <c r="G13228" s="615" t="n">
        <f aca="false">E13228*F13228</f>
        <v>3.164</v>
      </c>
      <c r="H13228" s="606"/>
    </row>
    <row r="13229" customFormat="false" ht="15" hidden="false" customHeight="false" outlineLevel="0" collapsed="false">
      <c r="A13229" s="571"/>
      <c r="B13229" s="500"/>
      <c r="C13229" s="860" t="s">
        <v>5826</v>
      </c>
      <c r="D13229" s="316" t="s">
        <v>4191</v>
      </c>
      <c r="E13229" s="954" t="n">
        <v>0.01</v>
      </c>
      <c r="F13229" s="617" t="n">
        <v>366.25</v>
      </c>
      <c r="G13229" s="615" t="n">
        <f aca="false">E13229*F13229</f>
        <v>3.6625</v>
      </c>
      <c r="H13229" s="606"/>
    </row>
    <row r="13230" customFormat="false" ht="15" hidden="false" customHeight="false" outlineLevel="0" collapsed="false">
      <c r="A13230" s="571"/>
      <c r="B13230" s="500"/>
      <c r="C13230" s="860" t="s">
        <v>5820</v>
      </c>
      <c r="D13230" s="316" t="s">
        <v>4191</v>
      </c>
      <c r="E13230" s="954" t="n">
        <v>0.01</v>
      </c>
      <c r="F13230" s="617" t="n">
        <v>650</v>
      </c>
      <c r="G13230" s="615" t="n">
        <f aca="false">E13230*F13230</f>
        <v>6.5</v>
      </c>
      <c r="H13230" s="606"/>
    </row>
    <row r="13231" customFormat="false" ht="15" hidden="false" customHeight="false" outlineLevel="0" collapsed="false">
      <c r="A13231" s="571"/>
      <c r="B13231" s="608"/>
      <c r="C13231" s="860" t="s">
        <v>5859</v>
      </c>
      <c r="D13231" s="316" t="s">
        <v>4359</v>
      </c>
      <c r="E13231" s="661" t="n">
        <v>0.01</v>
      </c>
      <c r="F13231" s="617" t="n">
        <v>1995</v>
      </c>
      <c r="G13231" s="615" t="n">
        <f aca="false">E13231*F13231</f>
        <v>19.95</v>
      </c>
      <c r="H13231" s="391"/>
    </row>
    <row r="13232" customFormat="false" ht="15" hidden="false" customHeight="false" outlineLevel="0" collapsed="false">
      <c r="A13232" s="571"/>
      <c r="B13232" s="328"/>
      <c r="C13232" s="860" t="s">
        <v>4515</v>
      </c>
      <c r="D13232" s="316" t="s">
        <v>4133</v>
      </c>
      <c r="E13232" s="954" t="n">
        <v>0.1</v>
      </c>
      <c r="F13232" s="681" t="n">
        <v>350</v>
      </c>
      <c r="G13232" s="615" t="n">
        <f aca="false">E13232*F13232</f>
        <v>35</v>
      </c>
      <c r="H13232" s="606"/>
    </row>
    <row r="13233" customFormat="false" ht="15" hidden="false" customHeight="false" outlineLevel="0" collapsed="false">
      <c r="A13233" s="571"/>
      <c r="B13233" s="500"/>
      <c r="C13233" s="860" t="s">
        <v>4776</v>
      </c>
      <c r="D13233" s="316" t="s">
        <v>4359</v>
      </c>
      <c r="E13233" s="954" t="n">
        <v>0.1</v>
      </c>
      <c r="F13233" s="617" t="n">
        <v>800</v>
      </c>
      <c r="G13233" s="615" t="n">
        <f aca="false">E13233*F13233</f>
        <v>80</v>
      </c>
      <c r="H13233" s="606"/>
    </row>
    <row r="13234" customFormat="false" ht="15" hidden="false" customHeight="false" outlineLevel="0" collapsed="false">
      <c r="A13234" s="571"/>
      <c r="B13234" s="608" t="s">
        <v>4128</v>
      </c>
      <c r="C13234" s="964"/>
      <c r="D13234" s="965"/>
      <c r="E13234" s="966"/>
      <c r="F13234" s="967"/>
      <c r="G13234" s="613" t="n">
        <f aca="false">SUM(G13227:G13233)</f>
        <v>825.1465</v>
      </c>
      <c r="H13234" s="610"/>
    </row>
    <row r="13235" customFormat="false" ht="30" hidden="false" customHeight="false" outlineLevel="0" collapsed="false">
      <c r="A13235" s="571"/>
      <c r="B13235" s="433" t="s">
        <v>3652</v>
      </c>
      <c r="C13235" s="860" t="s">
        <v>5860</v>
      </c>
      <c r="D13235" s="316" t="s">
        <v>4133</v>
      </c>
      <c r="E13235" s="954" t="n">
        <v>0.006</v>
      </c>
      <c r="F13235" s="617" t="n">
        <v>35035</v>
      </c>
      <c r="G13235" s="615" t="n">
        <f aca="false">E13235*F13235</f>
        <v>210.21</v>
      </c>
      <c r="H13235" s="606"/>
    </row>
    <row r="13236" customFormat="false" ht="15" hidden="false" customHeight="false" outlineLevel="0" collapsed="false">
      <c r="A13236" s="571"/>
      <c r="B13236" s="500"/>
      <c r="C13236" s="860" t="s">
        <v>5823</v>
      </c>
      <c r="D13236" s="316" t="s">
        <v>4133</v>
      </c>
      <c r="E13236" s="954" t="n">
        <v>0.006</v>
      </c>
      <c r="F13236" s="617" t="n">
        <v>69797</v>
      </c>
      <c r="G13236" s="615" t="n">
        <f aca="false">E13236*F13236</f>
        <v>418.782</v>
      </c>
      <c r="H13236" s="606"/>
    </row>
    <row r="13237" customFormat="false" ht="15" hidden="false" customHeight="false" outlineLevel="0" collapsed="false">
      <c r="A13237" s="571"/>
      <c r="B13237" s="500"/>
      <c r="C13237" s="860" t="s">
        <v>5825</v>
      </c>
      <c r="D13237" s="316" t="s">
        <v>4191</v>
      </c>
      <c r="E13237" s="954" t="n">
        <v>0.01</v>
      </c>
      <c r="F13237" s="883" t="n">
        <v>8468</v>
      </c>
      <c r="G13237" s="615" t="n">
        <f aca="false">E13237*F13237</f>
        <v>84.68</v>
      </c>
      <c r="H13237" s="606"/>
    </row>
    <row r="13238" customFormat="false" ht="15" hidden="false" customHeight="false" outlineLevel="0" collapsed="false">
      <c r="A13238" s="571"/>
      <c r="B13238" s="500"/>
      <c r="C13238" s="860" t="s">
        <v>5824</v>
      </c>
      <c r="D13238" s="316" t="s">
        <v>4528</v>
      </c>
      <c r="E13238" s="954" t="n">
        <v>0.001</v>
      </c>
      <c r="F13238" s="617" t="n">
        <v>82115</v>
      </c>
      <c r="G13238" s="615" t="n">
        <f aca="false">E13238*F13238</f>
        <v>82.115</v>
      </c>
      <c r="H13238" s="606"/>
    </row>
    <row r="13239" customFormat="false" ht="15" hidden="false" customHeight="false" outlineLevel="0" collapsed="false">
      <c r="A13239" s="571"/>
      <c r="B13239" s="500"/>
      <c r="C13239" s="860" t="s">
        <v>5819</v>
      </c>
      <c r="D13239" s="316" t="s">
        <v>4191</v>
      </c>
      <c r="E13239" s="954" t="n">
        <v>0.01</v>
      </c>
      <c r="F13239" s="883" t="n">
        <v>316.4</v>
      </c>
      <c r="G13239" s="615" t="n">
        <f aca="false">E13239*F13239</f>
        <v>3.164</v>
      </c>
      <c r="H13239" s="606"/>
    </row>
    <row r="13240" customFormat="false" ht="15" hidden="false" customHeight="false" outlineLevel="0" collapsed="false">
      <c r="A13240" s="571"/>
      <c r="B13240" s="500"/>
      <c r="C13240" s="860" t="s">
        <v>5826</v>
      </c>
      <c r="D13240" s="316" t="s">
        <v>4191</v>
      </c>
      <c r="E13240" s="954" t="n">
        <v>0.01</v>
      </c>
      <c r="F13240" s="617" t="n">
        <v>366.25</v>
      </c>
      <c r="G13240" s="615" t="n">
        <f aca="false">E13240*F13240</f>
        <v>3.6625</v>
      </c>
      <c r="H13240" s="606"/>
    </row>
    <row r="13241" customFormat="false" ht="15" hidden="false" customHeight="false" outlineLevel="0" collapsed="false">
      <c r="A13241" s="571"/>
      <c r="B13241" s="500"/>
      <c r="C13241" s="860" t="s">
        <v>5820</v>
      </c>
      <c r="D13241" s="316" t="s">
        <v>4191</v>
      </c>
      <c r="E13241" s="954" t="n">
        <v>0.01</v>
      </c>
      <c r="F13241" s="617" t="n">
        <v>650</v>
      </c>
      <c r="G13241" s="615" t="n">
        <f aca="false">E13241*F13241</f>
        <v>6.5</v>
      </c>
      <c r="H13241" s="606"/>
    </row>
    <row r="13242" customFormat="false" ht="15" hidden="false" customHeight="false" outlineLevel="0" collapsed="false">
      <c r="A13242" s="571"/>
      <c r="B13242" s="500"/>
      <c r="C13242" s="860" t="s">
        <v>5859</v>
      </c>
      <c r="D13242" s="316" t="s">
        <v>4528</v>
      </c>
      <c r="E13242" s="954" t="n">
        <v>0.01</v>
      </c>
      <c r="F13242" s="617" t="n">
        <v>1995</v>
      </c>
      <c r="G13242" s="615" t="n">
        <f aca="false">E13242*F13242</f>
        <v>19.95</v>
      </c>
      <c r="H13242" s="606"/>
    </row>
    <row r="13243" customFormat="false" ht="15" hidden="false" customHeight="false" outlineLevel="0" collapsed="false">
      <c r="A13243" s="571"/>
      <c r="B13243" s="500"/>
      <c r="C13243" s="860" t="s">
        <v>4515</v>
      </c>
      <c r="D13243" s="316" t="s">
        <v>4133</v>
      </c>
      <c r="E13243" s="954" t="n">
        <v>0.1</v>
      </c>
      <c r="F13243" s="681" t="n">
        <v>350</v>
      </c>
      <c r="G13243" s="615" t="n">
        <f aca="false">E13243*F13243</f>
        <v>35</v>
      </c>
      <c r="H13243" s="606"/>
    </row>
    <row r="13244" customFormat="false" ht="15" hidden="false" customHeight="false" outlineLevel="0" collapsed="false">
      <c r="A13244" s="571"/>
      <c r="B13244" s="500"/>
      <c r="C13244" s="860" t="s">
        <v>4776</v>
      </c>
      <c r="D13244" s="316" t="s">
        <v>4528</v>
      </c>
      <c r="E13244" s="954" t="n">
        <v>0.1</v>
      </c>
      <c r="F13244" s="617" t="n">
        <v>800</v>
      </c>
      <c r="G13244" s="615" t="n">
        <f aca="false">E13244*F13244</f>
        <v>80</v>
      </c>
      <c r="H13244" s="606"/>
    </row>
    <row r="13245" customFormat="false" ht="15" hidden="false" customHeight="false" outlineLevel="0" collapsed="false">
      <c r="A13245" s="571"/>
      <c r="B13245" s="608" t="s">
        <v>4128</v>
      </c>
      <c r="C13245" s="964"/>
      <c r="D13245" s="965"/>
      <c r="E13245" s="966"/>
      <c r="F13245" s="967"/>
      <c r="G13245" s="613" t="n">
        <f aca="false">SUM(G13235:G13244)</f>
        <v>944.0635</v>
      </c>
      <c r="H13245" s="610"/>
    </row>
    <row r="13246" customFormat="false" ht="30" hidden="false" customHeight="false" outlineLevel="0" collapsed="false">
      <c r="A13246" s="571"/>
      <c r="B13246" s="433" t="s">
        <v>3654</v>
      </c>
      <c r="C13246" s="860" t="s">
        <v>5860</v>
      </c>
      <c r="D13246" s="316" t="s">
        <v>4133</v>
      </c>
      <c r="E13246" s="954" t="n">
        <v>0.004</v>
      </c>
      <c r="F13246" s="617" t="n">
        <v>35035</v>
      </c>
      <c r="G13246" s="615" t="n">
        <f aca="false">E13246*F13246</f>
        <v>140.14</v>
      </c>
      <c r="H13246" s="391"/>
    </row>
    <row r="13247" customFormat="false" ht="15" hidden="false" customHeight="false" outlineLevel="0" collapsed="false">
      <c r="A13247" s="571"/>
      <c r="B13247" s="328"/>
      <c r="C13247" s="860" t="s">
        <v>5823</v>
      </c>
      <c r="D13247" s="316" t="s">
        <v>5564</v>
      </c>
      <c r="E13247" s="954" t="n">
        <v>0.004</v>
      </c>
      <c r="F13247" s="617" t="n">
        <v>69797</v>
      </c>
      <c r="G13247" s="615" t="n">
        <f aca="false">E13247*F13247</f>
        <v>279.188</v>
      </c>
      <c r="H13247" s="606"/>
    </row>
    <row r="13248" customFormat="false" ht="15" hidden="false" customHeight="false" outlineLevel="0" collapsed="false">
      <c r="A13248" s="571"/>
      <c r="B13248" s="608"/>
      <c r="C13248" s="860" t="s">
        <v>5825</v>
      </c>
      <c r="D13248" s="316" t="s">
        <v>4191</v>
      </c>
      <c r="E13248" s="954" t="n">
        <v>0.001</v>
      </c>
      <c r="F13248" s="883" t="n">
        <v>8468</v>
      </c>
      <c r="G13248" s="615" t="n">
        <f aca="false">E13248*F13248</f>
        <v>8.468</v>
      </c>
      <c r="H13248" s="391"/>
    </row>
    <row r="13249" customFormat="false" ht="15" hidden="false" customHeight="false" outlineLevel="0" collapsed="false">
      <c r="A13249" s="571"/>
      <c r="B13249" s="328"/>
      <c r="C13249" s="860" t="s">
        <v>5824</v>
      </c>
      <c r="D13249" s="316" t="s">
        <v>4528</v>
      </c>
      <c r="E13249" s="954" t="n">
        <v>0.001</v>
      </c>
      <c r="F13249" s="617" t="n">
        <v>82115</v>
      </c>
      <c r="G13249" s="615" t="n">
        <f aca="false">E13249*F13249</f>
        <v>82.115</v>
      </c>
      <c r="H13249" s="606"/>
    </row>
    <row r="13250" customFormat="false" ht="15" hidden="false" customHeight="false" outlineLevel="0" collapsed="false">
      <c r="A13250" s="571"/>
      <c r="B13250" s="500"/>
      <c r="C13250" s="860" t="s">
        <v>5819</v>
      </c>
      <c r="D13250" s="316" t="s">
        <v>4191</v>
      </c>
      <c r="E13250" s="954" t="n">
        <v>0.01</v>
      </c>
      <c r="F13250" s="883" t="n">
        <v>316.4</v>
      </c>
      <c r="G13250" s="615" t="n">
        <f aca="false">E13250*F13250</f>
        <v>3.164</v>
      </c>
      <c r="H13250" s="606"/>
    </row>
    <row r="13251" customFormat="false" ht="15" hidden="false" customHeight="false" outlineLevel="0" collapsed="false">
      <c r="A13251" s="571"/>
      <c r="B13251" s="608"/>
      <c r="C13251" s="860" t="s">
        <v>5826</v>
      </c>
      <c r="D13251" s="316" t="s">
        <v>4191</v>
      </c>
      <c r="E13251" s="954" t="n">
        <v>0.01</v>
      </c>
      <c r="F13251" s="617" t="n">
        <v>366.25</v>
      </c>
      <c r="G13251" s="615" t="n">
        <f aca="false">E13251*F13251</f>
        <v>3.6625</v>
      </c>
      <c r="H13251" s="391"/>
    </row>
    <row r="13252" customFormat="false" ht="15" hidden="false" customHeight="false" outlineLevel="0" collapsed="false">
      <c r="A13252" s="571"/>
      <c r="B13252" s="500"/>
      <c r="C13252" s="860" t="s">
        <v>5820</v>
      </c>
      <c r="D13252" s="316" t="s">
        <v>4191</v>
      </c>
      <c r="E13252" s="954" t="n">
        <v>0.01</v>
      </c>
      <c r="F13252" s="617" t="n">
        <v>650</v>
      </c>
      <c r="G13252" s="615" t="n">
        <f aca="false">E13252*F13252</f>
        <v>6.5</v>
      </c>
      <c r="H13252" s="606"/>
    </row>
    <row r="13253" customFormat="false" ht="15" hidden="false" customHeight="false" outlineLevel="0" collapsed="false">
      <c r="A13253" s="571"/>
      <c r="B13253" s="608"/>
      <c r="C13253" s="860" t="s">
        <v>5859</v>
      </c>
      <c r="D13253" s="316" t="s">
        <v>4528</v>
      </c>
      <c r="E13253" s="954" t="n">
        <v>0.01</v>
      </c>
      <c r="F13253" s="617" t="n">
        <v>1995</v>
      </c>
      <c r="G13253" s="615" t="n">
        <f aca="false">E13253*F13253</f>
        <v>19.95</v>
      </c>
      <c r="H13253" s="391"/>
    </row>
    <row r="13254" customFormat="false" ht="15" hidden="false" customHeight="false" outlineLevel="0" collapsed="false">
      <c r="A13254" s="571"/>
      <c r="B13254" s="328"/>
      <c r="C13254" s="860" t="s">
        <v>5861</v>
      </c>
      <c r="D13254" s="316" t="s">
        <v>4348</v>
      </c>
      <c r="E13254" s="954" t="n">
        <v>0.001</v>
      </c>
      <c r="F13254" s="617" t="n">
        <v>150375</v>
      </c>
      <c r="G13254" s="615" t="n">
        <f aca="false">E13254*F13254</f>
        <v>150.375</v>
      </c>
      <c r="H13254" s="606"/>
    </row>
    <row r="13255" customFormat="false" ht="15" hidden="false" customHeight="false" outlineLevel="0" collapsed="false">
      <c r="A13255" s="571"/>
      <c r="B13255" s="608"/>
      <c r="C13255" s="21" t="s">
        <v>5844</v>
      </c>
      <c r="D13255" s="316" t="s">
        <v>4191</v>
      </c>
      <c r="E13255" s="954" t="n">
        <v>0.001</v>
      </c>
      <c r="F13255" s="883" t="n">
        <v>74415</v>
      </c>
      <c r="G13255" s="615" t="n">
        <f aca="false">E13255*F13255</f>
        <v>74.415</v>
      </c>
      <c r="H13255" s="391"/>
    </row>
    <row r="13256" customFormat="false" ht="15" hidden="false" customHeight="false" outlineLevel="0" collapsed="false">
      <c r="A13256" s="571"/>
      <c r="B13256" s="328"/>
      <c r="C13256" s="860" t="s">
        <v>5838</v>
      </c>
      <c r="D13256" s="316" t="s">
        <v>4133</v>
      </c>
      <c r="E13256" s="954" t="n">
        <v>0.001</v>
      </c>
      <c r="F13256" s="617" t="n">
        <v>80176</v>
      </c>
      <c r="G13256" s="615" t="n">
        <f aca="false">E13256*F13256</f>
        <v>80.176</v>
      </c>
      <c r="H13256" s="606"/>
    </row>
    <row r="13257" customFormat="false" ht="15" hidden="false" customHeight="false" outlineLevel="0" collapsed="false">
      <c r="A13257" s="571"/>
      <c r="B13257" s="500"/>
      <c r="C13257" s="860" t="s">
        <v>5862</v>
      </c>
      <c r="D13257" s="316" t="s">
        <v>4133</v>
      </c>
      <c r="E13257" s="954" t="n">
        <v>0.001</v>
      </c>
      <c r="F13257" s="617" t="n">
        <v>154939</v>
      </c>
      <c r="G13257" s="615" t="n">
        <f aca="false">E13257*F13257</f>
        <v>154.939</v>
      </c>
      <c r="H13257" s="606"/>
    </row>
    <row r="13258" customFormat="false" ht="15" hidden="false" customHeight="false" outlineLevel="0" collapsed="false">
      <c r="A13258" s="571"/>
      <c r="B13258" s="500"/>
      <c r="C13258" s="860" t="s">
        <v>4515</v>
      </c>
      <c r="D13258" s="316" t="s">
        <v>4133</v>
      </c>
      <c r="E13258" s="954" t="n">
        <v>0.1</v>
      </c>
      <c r="F13258" s="681" t="n">
        <v>350</v>
      </c>
      <c r="G13258" s="615" t="n">
        <f aca="false">E13258*F13258</f>
        <v>35</v>
      </c>
      <c r="H13258" s="606"/>
    </row>
    <row r="13259" customFormat="false" ht="15" hidden="false" customHeight="false" outlineLevel="0" collapsed="false">
      <c r="A13259" s="571"/>
      <c r="B13259" s="500"/>
      <c r="C13259" s="860" t="s">
        <v>4776</v>
      </c>
      <c r="D13259" s="316" t="s">
        <v>4528</v>
      </c>
      <c r="E13259" s="954" t="n">
        <v>0.1</v>
      </c>
      <c r="F13259" s="617" t="n">
        <v>800</v>
      </c>
      <c r="G13259" s="615" t="n">
        <f aca="false">E13259*F13259</f>
        <v>80</v>
      </c>
      <c r="H13259" s="606"/>
    </row>
    <row r="13260" customFormat="false" ht="15" hidden="false" customHeight="false" outlineLevel="0" collapsed="false">
      <c r="A13260" s="571"/>
      <c r="B13260" s="608" t="s">
        <v>4128</v>
      </c>
      <c r="C13260" s="964"/>
      <c r="D13260" s="965"/>
      <c r="E13260" s="966"/>
      <c r="F13260" s="967"/>
      <c r="G13260" s="613" t="n">
        <f aca="false">SUM(G13246:G13259)</f>
        <v>1118.0925</v>
      </c>
      <c r="H13260" s="610"/>
    </row>
    <row r="13261" customFormat="false" ht="30" hidden="false" customHeight="false" outlineLevel="0" collapsed="false">
      <c r="A13261" s="571"/>
      <c r="B13261" s="433" t="s">
        <v>3642</v>
      </c>
      <c r="C13261" s="860" t="s">
        <v>5852</v>
      </c>
      <c r="D13261" s="316" t="s">
        <v>4133</v>
      </c>
      <c r="E13261" s="954" t="n">
        <v>0.001</v>
      </c>
      <c r="F13261" s="617" t="n">
        <v>39930</v>
      </c>
      <c r="G13261" s="615" t="n">
        <f aca="false">E13261*F13261</f>
        <v>39.93</v>
      </c>
      <c r="H13261" s="606"/>
    </row>
    <row r="13262" customFormat="false" ht="15" hidden="false" customHeight="false" outlineLevel="0" collapsed="false">
      <c r="A13262" s="571"/>
      <c r="B13262" s="500"/>
      <c r="C13262" s="21" t="s">
        <v>5855</v>
      </c>
      <c r="D13262" s="316" t="s">
        <v>4133</v>
      </c>
      <c r="E13262" s="954" t="n">
        <v>0.001</v>
      </c>
      <c r="F13262" s="617" t="n">
        <v>203735</v>
      </c>
      <c r="G13262" s="615" t="n">
        <f aca="false">E13262*F13262</f>
        <v>203.735</v>
      </c>
      <c r="H13262" s="606"/>
    </row>
    <row r="13263" customFormat="false" ht="15" hidden="false" customHeight="false" outlineLevel="0" collapsed="false">
      <c r="A13263" s="571"/>
      <c r="B13263" s="500"/>
      <c r="C13263" s="860" t="s">
        <v>5856</v>
      </c>
      <c r="D13263" s="316" t="s">
        <v>4359</v>
      </c>
      <c r="E13263" s="954" t="n">
        <v>0.001</v>
      </c>
      <c r="F13263" s="617" t="n">
        <v>168481</v>
      </c>
      <c r="G13263" s="615" t="n">
        <f aca="false">E13263*F13263</f>
        <v>168.481</v>
      </c>
      <c r="H13263" s="606"/>
    </row>
    <row r="13264" customFormat="false" ht="15" hidden="false" customHeight="false" outlineLevel="0" collapsed="false">
      <c r="A13264" s="571"/>
      <c r="B13264" s="500"/>
      <c r="C13264" s="860" t="s">
        <v>5824</v>
      </c>
      <c r="D13264" s="316" t="s">
        <v>4359</v>
      </c>
      <c r="E13264" s="954" t="n">
        <v>0.001</v>
      </c>
      <c r="F13264" s="617" t="n">
        <v>82115</v>
      </c>
      <c r="G13264" s="615" t="n">
        <f aca="false">E13264*F13264</f>
        <v>82.115</v>
      </c>
      <c r="H13264" s="606"/>
    </row>
    <row r="13265" customFormat="false" ht="15" hidden="false" customHeight="false" outlineLevel="0" collapsed="false">
      <c r="A13265" s="571"/>
      <c r="B13265" s="500"/>
      <c r="C13265" s="860" t="s">
        <v>5863</v>
      </c>
      <c r="D13265" s="316" t="n">
        <v>1</v>
      </c>
      <c r="E13265" s="954" t="n">
        <v>0.001</v>
      </c>
      <c r="F13265" s="617" t="n">
        <v>46585</v>
      </c>
      <c r="G13265" s="615" t="n">
        <f aca="false">E13265*F13265</f>
        <v>46.585</v>
      </c>
      <c r="H13265" s="606"/>
    </row>
    <row r="13266" customFormat="false" ht="15" hidden="false" customHeight="false" outlineLevel="0" collapsed="false">
      <c r="A13266" s="571"/>
      <c r="B13266" s="608"/>
      <c r="C13266" s="860" t="s">
        <v>5859</v>
      </c>
      <c r="D13266" s="316" t="s">
        <v>4359</v>
      </c>
      <c r="E13266" s="954" t="n">
        <v>0.01</v>
      </c>
      <c r="F13266" s="617" t="n">
        <v>1995</v>
      </c>
      <c r="G13266" s="615" t="n">
        <f aca="false">E13266*F13266</f>
        <v>19.95</v>
      </c>
      <c r="H13266" s="391"/>
    </row>
    <row r="13267" customFormat="false" ht="15" hidden="false" customHeight="false" outlineLevel="0" collapsed="false">
      <c r="A13267" s="571"/>
      <c r="B13267" s="328"/>
      <c r="C13267" s="860" t="s">
        <v>5819</v>
      </c>
      <c r="D13267" s="316" t="s">
        <v>4191</v>
      </c>
      <c r="E13267" s="954" t="n">
        <v>0.01</v>
      </c>
      <c r="F13267" s="617" t="n">
        <v>316.4</v>
      </c>
      <c r="G13267" s="615" t="n">
        <f aca="false">E13267*F13267</f>
        <v>3.164</v>
      </c>
      <c r="H13267" s="606"/>
    </row>
    <row r="13268" customFormat="false" ht="15" hidden="false" customHeight="false" outlineLevel="0" collapsed="false">
      <c r="A13268" s="571"/>
      <c r="B13268" s="500"/>
      <c r="C13268" s="860" t="s">
        <v>5826</v>
      </c>
      <c r="D13268" s="316" t="s">
        <v>4191</v>
      </c>
      <c r="E13268" s="954" t="n">
        <v>0.01</v>
      </c>
      <c r="F13268" s="617" t="n">
        <v>366.25</v>
      </c>
      <c r="G13268" s="615" t="n">
        <f aca="false">E13268*F13268</f>
        <v>3.6625</v>
      </c>
      <c r="H13268" s="606"/>
    </row>
    <row r="13269" customFormat="false" ht="15" hidden="false" customHeight="false" outlineLevel="0" collapsed="false">
      <c r="A13269" s="571"/>
      <c r="B13269" s="500"/>
      <c r="C13269" s="860" t="s">
        <v>5820</v>
      </c>
      <c r="D13269" s="316" t="s">
        <v>4191</v>
      </c>
      <c r="E13269" s="954" t="n">
        <v>0.01</v>
      </c>
      <c r="F13269" s="617" t="n">
        <v>650</v>
      </c>
      <c r="G13269" s="615" t="n">
        <f aca="false">E13269*F13269</f>
        <v>6.5</v>
      </c>
      <c r="H13269" s="606"/>
    </row>
    <row r="13270" customFormat="false" ht="15" hidden="false" customHeight="false" outlineLevel="0" collapsed="false">
      <c r="A13270" s="571"/>
      <c r="B13270" s="608"/>
      <c r="C13270" s="21" t="s">
        <v>5857</v>
      </c>
      <c r="D13270" s="874" t="s">
        <v>4359</v>
      </c>
      <c r="E13270" s="959" t="n">
        <v>0.001</v>
      </c>
      <c r="F13270" s="883" t="n">
        <v>175794</v>
      </c>
      <c r="G13270" s="615" t="n">
        <f aca="false">E13270*F13270</f>
        <v>175.794</v>
      </c>
      <c r="H13270" s="391"/>
    </row>
    <row r="13271" customFormat="false" ht="15" hidden="false" customHeight="false" outlineLevel="0" collapsed="false">
      <c r="A13271" s="571"/>
      <c r="B13271" s="328"/>
      <c r="C13271" s="860" t="s">
        <v>5861</v>
      </c>
      <c r="D13271" s="316" t="s">
        <v>4348</v>
      </c>
      <c r="E13271" s="954" t="n">
        <v>0.001</v>
      </c>
      <c r="F13271" s="617" t="n">
        <v>150375</v>
      </c>
      <c r="G13271" s="615" t="n">
        <f aca="false">E13271*F13271</f>
        <v>150.375</v>
      </c>
      <c r="H13271" s="606"/>
    </row>
    <row r="13272" customFormat="false" ht="15" hidden="false" customHeight="false" outlineLevel="0" collapsed="false">
      <c r="A13272" s="571"/>
      <c r="B13272" s="500"/>
      <c r="C13272" s="860" t="s">
        <v>5864</v>
      </c>
      <c r="D13272" s="316" t="s">
        <v>4133</v>
      </c>
      <c r="E13272" s="954" t="n">
        <v>0.01</v>
      </c>
      <c r="F13272" s="617" t="n">
        <v>1995</v>
      </c>
      <c r="G13272" s="615" t="n">
        <f aca="false">E13272*F13272</f>
        <v>19.95</v>
      </c>
      <c r="H13272" s="606"/>
    </row>
    <row r="13273" customFormat="false" ht="15" hidden="false" customHeight="false" outlineLevel="0" collapsed="false">
      <c r="A13273" s="571"/>
      <c r="B13273" s="500"/>
      <c r="C13273" s="860" t="s">
        <v>4645</v>
      </c>
      <c r="D13273" s="316" t="s">
        <v>4133</v>
      </c>
      <c r="E13273" s="954" t="n">
        <v>0.01</v>
      </c>
      <c r="F13273" s="617" t="n">
        <v>15168</v>
      </c>
      <c r="G13273" s="615" t="n">
        <f aca="false">E13273*F13273</f>
        <v>151.68</v>
      </c>
      <c r="H13273" s="606"/>
    </row>
    <row r="13274" customFormat="false" ht="15" hidden="false" customHeight="false" outlineLevel="0" collapsed="false">
      <c r="A13274" s="571"/>
      <c r="B13274" s="500"/>
      <c r="C13274" s="860" t="s">
        <v>4515</v>
      </c>
      <c r="D13274" s="316" t="s">
        <v>4133</v>
      </c>
      <c r="E13274" s="954" t="n">
        <v>0.1</v>
      </c>
      <c r="F13274" s="681" t="n">
        <v>350</v>
      </c>
      <c r="G13274" s="615" t="n">
        <f aca="false">E13274*F13274</f>
        <v>35</v>
      </c>
      <c r="H13274" s="606"/>
    </row>
    <row r="13275" customFormat="false" ht="15" hidden="false" customHeight="false" outlineLevel="0" collapsed="false">
      <c r="A13275" s="571"/>
      <c r="B13275" s="608"/>
      <c r="C13275" s="860" t="s">
        <v>4776</v>
      </c>
      <c r="D13275" s="882" t="s">
        <v>4359</v>
      </c>
      <c r="E13275" s="954" t="n">
        <v>0.1</v>
      </c>
      <c r="F13275" s="617" t="n">
        <v>800</v>
      </c>
      <c r="G13275" s="615" t="n">
        <f aca="false">E13275*F13275</f>
        <v>80</v>
      </c>
      <c r="H13275" s="391"/>
    </row>
    <row r="13276" customFormat="false" ht="15" hidden="false" customHeight="false" outlineLevel="0" collapsed="false">
      <c r="A13276" s="571"/>
      <c r="B13276" s="608" t="s">
        <v>4128</v>
      </c>
      <c r="C13276" s="964"/>
      <c r="D13276" s="965"/>
      <c r="E13276" s="966"/>
      <c r="F13276" s="967"/>
      <c r="G13276" s="613" t="n">
        <f aca="false">SUM(G13261:G13275)</f>
        <v>1186.9215</v>
      </c>
      <c r="H13276" s="610"/>
    </row>
    <row r="13277" customFormat="false" ht="30" hidden="false" customHeight="false" outlineLevel="0" collapsed="false">
      <c r="A13277" s="571"/>
      <c r="B13277" s="433" t="s">
        <v>3656</v>
      </c>
      <c r="C13277" s="860" t="s">
        <v>5860</v>
      </c>
      <c r="D13277" s="316" t="s">
        <v>4133</v>
      </c>
      <c r="E13277" s="954" t="n">
        <v>0.013</v>
      </c>
      <c r="F13277" s="617" t="n">
        <v>35035</v>
      </c>
      <c r="G13277" s="615" t="n">
        <f aca="false">E13277*F13277</f>
        <v>455.455</v>
      </c>
      <c r="H13277" s="606"/>
    </row>
    <row r="13278" customFormat="false" ht="15" hidden="false" customHeight="false" outlineLevel="0" collapsed="false">
      <c r="A13278" s="571"/>
      <c r="B13278" s="500"/>
      <c r="C13278" s="860" t="s">
        <v>5865</v>
      </c>
      <c r="D13278" s="316" t="s">
        <v>4133</v>
      </c>
      <c r="E13278" s="954" t="n">
        <v>0.001</v>
      </c>
      <c r="F13278" s="617" t="n">
        <v>68244</v>
      </c>
      <c r="G13278" s="615" t="n">
        <f aca="false">E13278*F13278</f>
        <v>68.244</v>
      </c>
      <c r="H13278" s="606"/>
    </row>
    <row r="13279" customFormat="false" ht="15" hidden="false" customHeight="false" outlineLevel="0" collapsed="false">
      <c r="A13279" s="571"/>
      <c r="B13279" s="500"/>
      <c r="C13279" s="860" t="s">
        <v>5823</v>
      </c>
      <c r="D13279" s="316" t="s">
        <v>4133</v>
      </c>
      <c r="E13279" s="954" t="n">
        <v>0.001</v>
      </c>
      <c r="F13279" s="617" t="n">
        <v>69797</v>
      </c>
      <c r="G13279" s="615" t="n">
        <f aca="false">E13279*F13279</f>
        <v>69.797</v>
      </c>
      <c r="H13279" s="606"/>
    </row>
    <row r="13280" customFormat="false" ht="15" hidden="false" customHeight="false" outlineLevel="0" collapsed="false">
      <c r="A13280" s="571"/>
      <c r="B13280" s="500"/>
      <c r="C13280" s="860" t="s">
        <v>5818</v>
      </c>
      <c r="D13280" s="316" t="s">
        <v>4133</v>
      </c>
      <c r="E13280" s="954" t="n">
        <v>0.001</v>
      </c>
      <c r="F13280" s="617" t="n">
        <v>67687</v>
      </c>
      <c r="G13280" s="615" t="n">
        <f aca="false">E13280*F13280</f>
        <v>67.687</v>
      </c>
      <c r="H13280" s="606"/>
    </row>
    <row r="13281" customFormat="false" ht="15" hidden="false" customHeight="false" outlineLevel="0" collapsed="false">
      <c r="A13281" s="571"/>
      <c r="B13281" s="500"/>
      <c r="C13281" s="860" t="s">
        <v>5836</v>
      </c>
      <c r="D13281" s="316" t="s">
        <v>4133</v>
      </c>
      <c r="E13281" s="954" t="n">
        <v>0.001</v>
      </c>
      <c r="F13281" s="617" t="n">
        <v>10500</v>
      </c>
      <c r="G13281" s="615" t="n">
        <f aca="false">E13281*F13281</f>
        <v>10.5</v>
      </c>
      <c r="H13281" s="606"/>
    </row>
    <row r="13282" customFormat="false" ht="15" hidden="false" customHeight="false" outlineLevel="0" collapsed="false">
      <c r="A13282" s="571"/>
      <c r="B13282" s="608"/>
      <c r="C13282" s="860" t="s">
        <v>5825</v>
      </c>
      <c r="D13282" s="316" t="s">
        <v>4191</v>
      </c>
      <c r="E13282" s="954" t="n">
        <v>0.01</v>
      </c>
      <c r="F13282" s="883" t="n">
        <v>8468</v>
      </c>
      <c r="G13282" s="615" t="n">
        <f aca="false">E13282*F13282</f>
        <v>84.68</v>
      </c>
      <c r="H13282" s="810"/>
    </row>
    <row r="13283" customFormat="false" ht="15" hidden="false" customHeight="false" outlineLevel="0" collapsed="false">
      <c r="A13283" s="571"/>
      <c r="B13283" s="328"/>
      <c r="C13283" s="860" t="s">
        <v>5841</v>
      </c>
      <c r="D13283" s="316" t="s">
        <v>5564</v>
      </c>
      <c r="E13283" s="954" t="n">
        <v>0.001</v>
      </c>
      <c r="F13283" s="617" t="n">
        <v>10500</v>
      </c>
      <c r="G13283" s="615" t="n">
        <f aca="false">E13283*F13283</f>
        <v>10.5</v>
      </c>
      <c r="H13283" s="606"/>
    </row>
    <row r="13284" customFormat="false" ht="15" hidden="false" customHeight="false" outlineLevel="0" collapsed="false">
      <c r="A13284" s="571"/>
      <c r="B13284" s="500"/>
      <c r="C13284" s="860" t="s">
        <v>5824</v>
      </c>
      <c r="D13284" s="316" t="s">
        <v>4528</v>
      </c>
      <c r="E13284" s="954" t="n">
        <v>0.001</v>
      </c>
      <c r="F13284" s="617" t="n">
        <v>82115</v>
      </c>
      <c r="G13284" s="615" t="n">
        <f aca="false">E13284*F13284</f>
        <v>82.115</v>
      </c>
      <c r="H13284" s="606"/>
    </row>
    <row r="13285" customFormat="false" ht="15" hidden="false" customHeight="false" outlineLevel="0" collapsed="false">
      <c r="A13285" s="571"/>
      <c r="B13285" s="500"/>
      <c r="C13285" s="860" t="s">
        <v>5819</v>
      </c>
      <c r="D13285" s="316" t="s">
        <v>4191</v>
      </c>
      <c r="E13285" s="954" t="n">
        <v>0.01</v>
      </c>
      <c r="F13285" s="617" t="n">
        <v>316.4</v>
      </c>
      <c r="G13285" s="615" t="n">
        <f aca="false">E13285*F13285</f>
        <v>3.164</v>
      </c>
      <c r="H13285" s="606"/>
    </row>
    <row r="13286" customFormat="false" ht="15" hidden="false" customHeight="false" outlineLevel="0" collapsed="false">
      <c r="A13286" s="571"/>
      <c r="B13286" s="500"/>
      <c r="C13286" s="860" t="s">
        <v>5826</v>
      </c>
      <c r="D13286" s="316" t="s">
        <v>4191</v>
      </c>
      <c r="E13286" s="954" t="n">
        <v>0.01</v>
      </c>
      <c r="F13286" s="617" t="n">
        <v>366.25</v>
      </c>
      <c r="G13286" s="615" t="n">
        <f aca="false">E13286*F13286</f>
        <v>3.6625</v>
      </c>
      <c r="H13286" s="606"/>
    </row>
    <row r="13287" customFormat="false" ht="15" hidden="false" customHeight="false" outlineLevel="0" collapsed="false">
      <c r="A13287" s="571"/>
      <c r="B13287" s="500"/>
      <c r="C13287" s="860" t="s">
        <v>5820</v>
      </c>
      <c r="D13287" s="316" t="s">
        <v>4191</v>
      </c>
      <c r="E13287" s="954" t="n">
        <v>0.01</v>
      </c>
      <c r="F13287" s="617" t="n">
        <v>650</v>
      </c>
      <c r="G13287" s="615" t="n">
        <f aca="false">E13287*F13287</f>
        <v>6.5</v>
      </c>
      <c r="H13287" s="606"/>
    </row>
    <row r="13288" customFormat="false" ht="15" hidden="false" customHeight="false" outlineLevel="0" collapsed="false">
      <c r="A13288" s="571"/>
      <c r="B13288" s="500"/>
      <c r="C13288" s="860" t="s">
        <v>5859</v>
      </c>
      <c r="D13288" s="316" t="s">
        <v>4359</v>
      </c>
      <c r="E13288" s="661" t="n">
        <v>0.01</v>
      </c>
      <c r="F13288" s="617" t="n">
        <v>1995</v>
      </c>
      <c r="G13288" s="615" t="n">
        <f aca="false">E13288*F13288</f>
        <v>19.95</v>
      </c>
      <c r="H13288" s="606"/>
    </row>
    <row r="13289" customFormat="false" ht="15" hidden="false" customHeight="false" outlineLevel="0" collapsed="false">
      <c r="A13289" s="571"/>
      <c r="B13289" s="500"/>
      <c r="C13289" s="21" t="s">
        <v>5844</v>
      </c>
      <c r="D13289" s="316" t="s">
        <v>4191</v>
      </c>
      <c r="E13289" s="954" t="n">
        <v>0.001</v>
      </c>
      <c r="F13289" s="883" t="n">
        <v>74415</v>
      </c>
      <c r="G13289" s="615" t="n">
        <f aca="false">E13289*F13289</f>
        <v>74.415</v>
      </c>
      <c r="H13289" s="606"/>
    </row>
    <row r="13290" customFormat="false" ht="15" hidden="false" customHeight="false" outlineLevel="0" collapsed="false">
      <c r="A13290" s="571"/>
      <c r="B13290" s="608"/>
      <c r="C13290" s="860" t="s">
        <v>4515</v>
      </c>
      <c r="D13290" s="316" t="s">
        <v>4133</v>
      </c>
      <c r="E13290" s="954" t="n">
        <v>0.1</v>
      </c>
      <c r="F13290" s="681" t="n">
        <v>350</v>
      </c>
      <c r="G13290" s="615" t="n">
        <f aca="false">E13290*F13290</f>
        <v>35</v>
      </c>
      <c r="H13290" s="391"/>
    </row>
    <row r="13291" customFormat="false" ht="15" hidden="false" customHeight="false" outlineLevel="0" collapsed="false">
      <c r="A13291" s="571"/>
      <c r="B13291" s="328"/>
      <c r="C13291" s="860" t="s">
        <v>4776</v>
      </c>
      <c r="D13291" s="316" t="s">
        <v>4528</v>
      </c>
      <c r="E13291" s="954" t="n">
        <v>0.1</v>
      </c>
      <c r="F13291" s="617" t="n">
        <v>800</v>
      </c>
      <c r="G13291" s="615" t="n">
        <f aca="false">E13291*F13291</f>
        <v>80</v>
      </c>
      <c r="H13291" s="606"/>
    </row>
    <row r="13292" customFormat="false" ht="15" hidden="false" customHeight="false" outlineLevel="0" collapsed="false">
      <c r="A13292" s="571"/>
      <c r="B13292" s="608" t="s">
        <v>4128</v>
      </c>
      <c r="C13292" s="964"/>
      <c r="D13292" s="965"/>
      <c r="E13292" s="966"/>
      <c r="F13292" s="967"/>
      <c r="G13292" s="613" t="n">
        <f aca="false">SUM(G13277:G13291)</f>
        <v>1071.6695</v>
      </c>
      <c r="H13292" s="610"/>
    </row>
    <row r="13293" customFormat="false" ht="45" hidden="false" customHeight="false" outlineLevel="0" collapsed="false">
      <c r="A13293" s="571"/>
      <c r="B13293" s="433" t="s">
        <v>3658</v>
      </c>
      <c r="C13293" s="855" t="s">
        <v>5828</v>
      </c>
      <c r="D13293" s="316" t="s">
        <v>4133</v>
      </c>
      <c r="E13293" s="661" t="n">
        <v>0.001</v>
      </c>
      <c r="F13293" s="617" t="n">
        <v>91113</v>
      </c>
      <c r="G13293" s="615" t="n">
        <f aca="false">E13293*F13293</f>
        <v>91.113</v>
      </c>
      <c r="H13293" s="606"/>
    </row>
    <row r="13294" customFormat="false" ht="15" hidden="false" customHeight="false" outlineLevel="0" collapsed="false">
      <c r="A13294" s="571"/>
      <c r="B13294" s="500"/>
      <c r="C13294" s="855" t="s">
        <v>5866</v>
      </c>
      <c r="D13294" s="316" t="s">
        <v>4133</v>
      </c>
      <c r="E13294" s="661" t="n">
        <v>0.001</v>
      </c>
      <c r="F13294" s="617" t="n">
        <v>79662</v>
      </c>
      <c r="G13294" s="615" t="n">
        <f aca="false">E13294*F13294</f>
        <v>79.662</v>
      </c>
      <c r="H13294" s="606"/>
    </row>
    <row r="13295" customFormat="false" ht="15" hidden="false" customHeight="false" outlineLevel="0" collapsed="false">
      <c r="A13295" s="571"/>
      <c r="B13295" s="500"/>
      <c r="C13295" s="855" t="s">
        <v>5829</v>
      </c>
      <c r="D13295" s="316" t="s">
        <v>4348</v>
      </c>
      <c r="E13295" s="954" t="n">
        <v>0.001</v>
      </c>
      <c r="F13295" s="617" t="n">
        <v>150375</v>
      </c>
      <c r="G13295" s="615" t="n">
        <f aca="false">E13295*F13295</f>
        <v>150.375</v>
      </c>
      <c r="H13295" s="606"/>
    </row>
    <row r="13296" customFormat="false" ht="15" hidden="false" customHeight="false" outlineLevel="0" collapsed="false">
      <c r="A13296" s="571"/>
      <c r="B13296" s="500"/>
      <c r="C13296" s="855" t="s">
        <v>5824</v>
      </c>
      <c r="D13296" s="316" t="s">
        <v>4528</v>
      </c>
      <c r="E13296" s="954" t="n">
        <v>0.001</v>
      </c>
      <c r="F13296" s="617" t="n">
        <v>82115</v>
      </c>
      <c r="G13296" s="615" t="n">
        <f aca="false">E13296*F13296</f>
        <v>82.115</v>
      </c>
      <c r="H13296" s="606"/>
    </row>
    <row r="13297" customFormat="false" ht="15" hidden="false" customHeight="false" outlineLevel="0" collapsed="false">
      <c r="A13297" s="571"/>
      <c r="B13297" s="500"/>
      <c r="C13297" s="855" t="s">
        <v>5819</v>
      </c>
      <c r="D13297" s="316" t="s">
        <v>4191</v>
      </c>
      <c r="E13297" s="954" t="n">
        <v>0.01</v>
      </c>
      <c r="F13297" s="883" t="n">
        <v>316.4</v>
      </c>
      <c r="G13297" s="615" t="n">
        <f aca="false">E13297*F13297</f>
        <v>3.164</v>
      </c>
      <c r="H13297" s="606"/>
    </row>
    <row r="13298" customFormat="false" ht="15" hidden="false" customHeight="false" outlineLevel="0" collapsed="false">
      <c r="A13298" s="571"/>
      <c r="B13298" s="500"/>
      <c r="C13298" s="855" t="s">
        <v>5826</v>
      </c>
      <c r="D13298" s="316" t="s">
        <v>4191</v>
      </c>
      <c r="E13298" s="954" t="n">
        <v>0.01</v>
      </c>
      <c r="F13298" s="617" t="n">
        <v>366.25</v>
      </c>
      <c r="G13298" s="615" t="n">
        <f aca="false">E13298*F13298</f>
        <v>3.6625</v>
      </c>
      <c r="H13298" s="606"/>
    </row>
    <row r="13299" customFormat="false" ht="15" hidden="false" customHeight="false" outlineLevel="0" collapsed="false">
      <c r="A13299" s="571"/>
      <c r="B13299" s="328"/>
      <c r="C13299" s="855" t="s">
        <v>5861</v>
      </c>
      <c r="D13299" s="316" t="s">
        <v>5452</v>
      </c>
      <c r="E13299" s="954" t="n">
        <v>0.001</v>
      </c>
      <c r="F13299" s="617" t="n">
        <v>150375</v>
      </c>
      <c r="G13299" s="615" t="n">
        <f aca="false">E13299*F13299</f>
        <v>150.375</v>
      </c>
      <c r="H13299" s="606"/>
    </row>
    <row r="13300" customFormat="false" ht="15" hidden="false" customHeight="false" outlineLevel="0" collapsed="false">
      <c r="A13300" s="571"/>
      <c r="B13300" s="500"/>
      <c r="C13300" s="855" t="s">
        <v>4515</v>
      </c>
      <c r="D13300" s="316" t="s">
        <v>5564</v>
      </c>
      <c r="E13300" s="954" t="n">
        <v>0.1</v>
      </c>
      <c r="F13300" s="681" t="n">
        <v>350</v>
      </c>
      <c r="G13300" s="615" t="n">
        <f aca="false">E13300*F13300</f>
        <v>35</v>
      </c>
      <c r="H13300" s="606"/>
    </row>
    <row r="13301" customFormat="false" ht="15" hidden="false" customHeight="false" outlineLevel="0" collapsed="false">
      <c r="A13301" s="571"/>
      <c r="B13301" s="500"/>
      <c r="C13301" s="855" t="s">
        <v>4776</v>
      </c>
      <c r="D13301" s="316" t="s">
        <v>4359</v>
      </c>
      <c r="E13301" s="954" t="n">
        <v>0.5</v>
      </c>
      <c r="F13301" s="617" t="n">
        <v>800</v>
      </c>
      <c r="G13301" s="615" t="n">
        <f aca="false">E13301*F13301</f>
        <v>400</v>
      </c>
      <c r="H13301" s="606"/>
    </row>
    <row r="13302" customFormat="false" ht="15" hidden="false" customHeight="false" outlineLevel="0" collapsed="false">
      <c r="A13302" s="571"/>
      <c r="B13302" s="608" t="s">
        <v>4128</v>
      </c>
      <c r="C13302" s="855"/>
      <c r="D13302" s="316"/>
      <c r="E13302" s="954"/>
      <c r="F13302" s="617"/>
      <c r="G13302" s="613" t="n">
        <f aca="false">SUM(G13293:G13301)</f>
        <v>995.4665</v>
      </c>
      <c r="H13302" s="606"/>
    </row>
    <row r="13303" customFormat="false" ht="30" hidden="false" customHeight="false" outlineLevel="0" collapsed="false">
      <c r="A13303" s="571"/>
      <c r="B13303" s="433" t="s">
        <v>3660</v>
      </c>
      <c r="C13303" s="860" t="s">
        <v>5818</v>
      </c>
      <c r="D13303" s="316" t="s">
        <v>4133</v>
      </c>
      <c r="E13303" s="664" t="n">
        <v>0.0006</v>
      </c>
      <c r="F13303" s="617" t="n">
        <v>67687</v>
      </c>
      <c r="G13303" s="615" t="n">
        <f aca="false">E13303*F13303</f>
        <v>40.6122</v>
      </c>
      <c r="H13303" s="606"/>
    </row>
    <row r="13304" customFormat="false" ht="15" hidden="false" customHeight="false" outlineLevel="0" collapsed="false">
      <c r="A13304" s="571"/>
      <c r="B13304" s="608"/>
      <c r="C13304" s="860" t="s">
        <v>5836</v>
      </c>
      <c r="D13304" s="316" t="s">
        <v>4133</v>
      </c>
      <c r="E13304" s="664" t="n">
        <v>0.001</v>
      </c>
      <c r="F13304" s="617" t="n">
        <v>10500</v>
      </c>
      <c r="G13304" s="615" t="n">
        <f aca="false">E13304*F13304</f>
        <v>10.5</v>
      </c>
      <c r="H13304" s="391"/>
    </row>
    <row r="13305" customFormat="false" ht="15" hidden="false" customHeight="false" outlineLevel="0" collapsed="false">
      <c r="A13305" s="571"/>
      <c r="B13305" s="328"/>
      <c r="C13305" s="860" t="s">
        <v>5838</v>
      </c>
      <c r="D13305" s="316" t="s">
        <v>4133</v>
      </c>
      <c r="E13305" s="664" t="n">
        <v>0.0006</v>
      </c>
      <c r="F13305" s="617" t="n">
        <v>80176</v>
      </c>
      <c r="G13305" s="615" t="n">
        <f aca="false">E13305*F13305</f>
        <v>48.1056</v>
      </c>
      <c r="H13305" s="606"/>
    </row>
    <row r="13306" customFormat="false" ht="15" hidden="false" customHeight="false" outlineLevel="0" collapsed="false">
      <c r="A13306" s="571"/>
      <c r="B13306" s="500"/>
      <c r="C13306" s="860" t="s">
        <v>5825</v>
      </c>
      <c r="D13306" s="316" t="s">
        <v>4191</v>
      </c>
      <c r="E13306" s="664" t="n">
        <v>0.001</v>
      </c>
      <c r="F13306" s="883" t="n">
        <v>8468</v>
      </c>
      <c r="G13306" s="615" t="n">
        <f aca="false">E13306*F13306</f>
        <v>8.468</v>
      </c>
      <c r="H13306" s="606"/>
    </row>
    <row r="13307" customFormat="false" ht="15" hidden="false" customHeight="false" outlineLevel="0" collapsed="false">
      <c r="A13307" s="571"/>
      <c r="B13307" s="500"/>
      <c r="C13307" s="860" t="s">
        <v>5830</v>
      </c>
      <c r="D13307" s="316" t="s">
        <v>4133</v>
      </c>
      <c r="E13307" s="664" t="n">
        <v>0.001</v>
      </c>
      <c r="F13307" s="617" t="n">
        <v>74448</v>
      </c>
      <c r="G13307" s="615" t="n">
        <f aca="false">E13307*F13307</f>
        <v>74.448</v>
      </c>
      <c r="H13307" s="606"/>
    </row>
    <row r="13308" customFormat="false" ht="15" hidden="false" customHeight="false" outlineLevel="0" collapsed="false">
      <c r="A13308" s="571"/>
      <c r="B13308" s="500"/>
      <c r="C13308" s="860" t="s">
        <v>5831</v>
      </c>
      <c r="D13308" s="316" t="s">
        <v>4133</v>
      </c>
      <c r="E13308" s="664" t="n">
        <v>0.001</v>
      </c>
      <c r="F13308" s="617" t="n">
        <v>45513</v>
      </c>
      <c r="G13308" s="615" t="n">
        <f aca="false">E13308*F13308</f>
        <v>45.513</v>
      </c>
      <c r="H13308" s="606"/>
    </row>
    <row r="13309" customFormat="false" ht="15" hidden="false" customHeight="false" outlineLevel="0" collapsed="false">
      <c r="A13309" s="571"/>
      <c r="B13309" s="500"/>
      <c r="C13309" s="860" t="s">
        <v>5832</v>
      </c>
      <c r="D13309" s="316" t="s">
        <v>4133</v>
      </c>
      <c r="E13309" s="664" t="n">
        <v>0.0006</v>
      </c>
      <c r="F13309" s="617" t="n">
        <v>99906</v>
      </c>
      <c r="G13309" s="615" t="n">
        <f aca="false">E13309*F13309</f>
        <v>59.9436</v>
      </c>
      <c r="H13309" s="606"/>
    </row>
    <row r="13310" customFormat="false" ht="15" hidden="false" customHeight="false" outlineLevel="0" collapsed="false">
      <c r="A13310" s="571"/>
      <c r="B13310" s="608"/>
      <c r="C13310" s="21" t="s">
        <v>5823</v>
      </c>
      <c r="D13310" s="316" t="s">
        <v>4133</v>
      </c>
      <c r="E13310" s="664" t="n">
        <v>0.001</v>
      </c>
      <c r="F13310" s="617" t="n">
        <v>69797</v>
      </c>
      <c r="G13310" s="615" t="n">
        <f aca="false">E13310*F13310</f>
        <v>69.797</v>
      </c>
      <c r="H13310" s="391"/>
    </row>
    <row r="13311" customFormat="false" ht="15" hidden="false" customHeight="false" outlineLevel="0" collapsed="false">
      <c r="A13311" s="571"/>
      <c r="B13311" s="328"/>
      <c r="C13311" s="860" t="s">
        <v>5833</v>
      </c>
      <c r="D13311" s="316" t="s">
        <v>4133</v>
      </c>
      <c r="E13311" s="664" t="n">
        <v>0.001</v>
      </c>
      <c r="F13311" s="883" t="n">
        <v>34001</v>
      </c>
      <c r="G13311" s="615" t="n">
        <f aca="false">E13311*F13311</f>
        <v>34.001</v>
      </c>
      <c r="H13311" s="606"/>
    </row>
    <row r="13312" customFormat="false" ht="15" hidden="false" customHeight="false" outlineLevel="0" collapsed="false">
      <c r="A13312" s="571"/>
      <c r="B13312" s="500"/>
      <c r="C13312" s="21" t="s">
        <v>5834</v>
      </c>
      <c r="D13312" s="316" t="s">
        <v>4133</v>
      </c>
      <c r="E13312" s="664" t="n">
        <v>0.001</v>
      </c>
      <c r="F13312" s="883" t="n">
        <v>69797</v>
      </c>
      <c r="G13312" s="615" t="n">
        <f aca="false">E13312*F13312</f>
        <v>69.797</v>
      </c>
      <c r="H13312" s="606"/>
    </row>
    <row r="13313" customFormat="false" ht="15" hidden="false" customHeight="false" outlineLevel="0" collapsed="false">
      <c r="A13313" s="571"/>
      <c r="B13313" s="500"/>
      <c r="C13313" s="860" t="s">
        <v>5835</v>
      </c>
      <c r="D13313" s="316" t="s">
        <v>4133</v>
      </c>
      <c r="E13313" s="664" t="n">
        <v>0.001</v>
      </c>
      <c r="F13313" s="617" t="n">
        <v>69797</v>
      </c>
      <c r="G13313" s="615" t="n">
        <f aca="false">E13313*F13313</f>
        <v>69.797</v>
      </c>
      <c r="H13313" s="606"/>
    </row>
    <row r="13314" customFormat="false" ht="15" hidden="false" customHeight="false" outlineLevel="0" collapsed="false">
      <c r="A13314" s="571"/>
      <c r="B13314" s="500"/>
      <c r="C13314" s="860" t="s">
        <v>5837</v>
      </c>
      <c r="D13314" s="316" t="s">
        <v>4133</v>
      </c>
      <c r="E13314" s="968" t="n">
        <v>0.0001</v>
      </c>
      <c r="F13314" s="883" t="n">
        <v>91872</v>
      </c>
      <c r="G13314" s="615" t="n">
        <f aca="false">E13314*F13314</f>
        <v>9.1872</v>
      </c>
      <c r="H13314" s="606"/>
    </row>
    <row r="13315" customFormat="false" ht="15" hidden="false" customHeight="false" outlineLevel="0" collapsed="false">
      <c r="A13315" s="571"/>
      <c r="B13315" s="500"/>
      <c r="C13315" s="860" t="s">
        <v>5838</v>
      </c>
      <c r="D13315" s="316" t="s">
        <v>4133</v>
      </c>
      <c r="E13315" s="664" t="n">
        <v>0.001</v>
      </c>
      <c r="F13315" s="617" t="n">
        <v>80176</v>
      </c>
      <c r="G13315" s="615" t="n">
        <f aca="false">E13315*F13315</f>
        <v>80.176</v>
      </c>
      <c r="H13315" s="606"/>
    </row>
    <row r="13316" customFormat="false" ht="15" hidden="false" customHeight="false" outlineLevel="0" collapsed="false">
      <c r="A13316" s="571"/>
      <c r="B13316" s="608"/>
      <c r="C13316" s="860" t="s">
        <v>5840</v>
      </c>
      <c r="D13316" s="316" t="s">
        <v>4133</v>
      </c>
      <c r="E13316" s="664" t="n">
        <v>0.0006</v>
      </c>
      <c r="F13316" s="617" t="n">
        <v>158202</v>
      </c>
      <c r="G13316" s="615" t="n">
        <f aca="false">E13316*F13316</f>
        <v>94.9212</v>
      </c>
      <c r="H13316" s="391"/>
    </row>
    <row r="13317" customFormat="false" ht="15" hidden="false" customHeight="false" outlineLevel="0" collapsed="false">
      <c r="A13317" s="571"/>
      <c r="B13317" s="328"/>
      <c r="C13317" s="860" t="s">
        <v>5839</v>
      </c>
      <c r="D13317" s="316" t="s">
        <v>4133</v>
      </c>
      <c r="E13317" s="664" t="n">
        <v>0.001</v>
      </c>
      <c r="F13317" s="617" t="n">
        <v>7982</v>
      </c>
      <c r="G13317" s="615" t="n">
        <f aca="false">E13317*F13317</f>
        <v>7.982</v>
      </c>
      <c r="H13317" s="606"/>
    </row>
    <row r="13318" customFormat="false" ht="15" hidden="false" customHeight="false" outlineLevel="0" collapsed="false">
      <c r="A13318" s="571"/>
      <c r="B13318" s="500"/>
      <c r="C13318" s="860" t="s">
        <v>5841</v>
      </c>
      <c r="D13318" s="316" t="s">
        <v>4133</v>
      </c>
      <c r="E13318" s="664" t="n">
        <v>0.001</v>
      </c>
      <c r="F13318" s="617" t="n">
        <v>10500</v>
      </c>
      <c r="G13318" s="615" t="n">
        <f aca="false">E13318*F13318</f>
        <v>10.5</v>
      </c>
      <c r="H13318" s="606"/>
    </row>
    <row r="13319" customFormat="false" ht="15" hidden="false" customHeight="false" outlineLevel="0" collapsed="false">
      <c r="A13319" s="571"/>
      <c r="B13319" s="500"/>
      <c r="C13319" s="860" t="s">
        <v>5843</v>
      </c>
      <c r="D13319" s="316" t="s">
        <v>4133</v>
      </c>
      <c r="E13319" s="664" t="n">
        <v>0.001</v>
      </c>
      <c r="F13319" s="883" t="n">
        <v>48840</v>
      </c>
      <c r="G13319" s="615" t="n">
        <f aca="false">E13319*F13319</f>
        <v>48.84</v>
      </c>
      <c r="H13319" s="606"/>
    </row>
    <row r="13320" customFormat="false" ht="15" hidden="false" customHeight="false" outlineLevel="0" collapsed="false">
      <c r="A13320" s="571"/>
      <c r="B13320" s="500"/>
      <c r="C13320" s="860" t="s">
        <v>5842</v>
      </c>
      <c r="D13320" s="316" t="s">
        <v>4133</v>
      </c>
      <c r="E13320" s="664" t="n">
        <v>0.001</v>
      </c>
      <c r="F13320" s="617" t="n">
        <v>46343</v>
      </c>
      <c r="G13320" s="615" t="n">
        <f aca="false">E13320*F13320</f>
        <v>46.343</v>
      </c>
      <c r="H13320" s="606"/>
    </row>
    <row r="13321" customFormat="false" ht="15" hidden="false" customHeight="false" outlineLevel="0" collapsed="false">
      <c r="A13321" s="571"/>
      <c r="B13321" s="500"/>
      <c r="C13321" s="21" t="s">
        <v>5844</v>
      </c>
      <c r="D13321" s="316" t="s">
        <v>4191</v>
      </c>
      <c r="E13321" s="954" t="n">
        <v>0.001</v>
      </c>
      <c r="F13321" s="883" t="n">
        <v>74415</v>
      </c>
      <c r="G13321" s="615" t="n">
        <f aca="false">E13321*F13321</f>
        <v>74.415</v>
      </c>
      <c r="H13321" s="606"/>
    </row>
    <row r="13322" customFormat="false" ht="15" hidden="false" customHeight="false" outlineLevel="0" collapsed="false">
      <c r="A13322" s="571"/>
      <c r="B13322" s="500"/>
      <c r="C13322" s="860" t="s">
        <v>5845</v>
      </c>
      <c r="D13322" s="316" t="s">
        <v>4359</v>
      </c>
      <c r="E13322" s="954" t="n">
        <v>0.001</v>
      </c>
      <c r="F13322" s="617" t="n">
        <v>10500</v>
      </c>
      <c r="G13322" s="615" t="n">
        <f aca="false">E13322*F13322</f>
        <v>10.5</v>
      </c>
      <c r="H13322" s="606"/>
    </row>
    <row r="13323" customFormat="false" ht="15" hidden="false" customHeight="false" outlineLevel="0" collapsed="false">
      <c r="A13323" s="571"/>
      <c r="B13323" s="500"/>
      <c r="C13323" s="860" t="s">
        <v>5846</v>
      </c>
      <c r="D13323" s="316" t="s">
        <v>5847</v>
      </c>
      <c r="E13323" s="954" t="n">
        <v>0.001</v>
      </c>
      <c r="F13323" s="883" t="n">
        <v>33371</v>
      </c>
      <c r="G13323" s="615" t="n">
        <f aca="false">E13323*F13323</f>
        <v>33.371</v>
      </c>
      <c r="H13323" s="606"/>
    </row>
    <row r="13324" customFormat="false" ht="15" hidden="false" customHeight="false" outlineLevel="0" collapsed="false">
      <c r="A13324" s="571"/>
      <c r="B13324" s="500"/>
      <c r="C13324" s="860" t="s">
        <v>5848</v>
      </c>
      <c r="D13324" s="316" t="s">
        <v>4359</v>
      </c>
      <c r="E13324" s="954" t="n">
        <v>0.004</v>
      </c>
      <c r="F13324" s="617" t="n">
        <v>10500</v>
      </c>
      <c r="G13324" s="615" t="n">
        <f aca="false">E13324*F13324</f>
        <v>42</v>
      </c>
      <c r="H13324" s="606"/>
    </row>
    <row r="13325" customFormat="false" ht="15" hidden="false" customHeight="false" outlineLevel="0" collapsed="false">
      <c r="A13325" s="571"/>
      <c r="B13325" s="608"/>
      <c r="C13325" s="860" t="s">
        <v>5859</v>
      </c>
      <c r="D13325" s="316" t="s">
        <v>4359</v>
      </c>
      <c r="E13325" s="954" t="n">
        <v>0.01</v>
      </c>
      <c r="F13325" s="617" t="n">
        <v>1995</v>
      </c>
      <c r="G13325" s="615" t="n">
        <f aca="false">E13325*F13325</f>
        <v>19.95</v>
      </c>
      <c r="H13325" s="391"/>
    </row>
    <row r="13326" customFormat="false" ht="15" hidden="false" customHeight="false" outlineLevel="0" collapsed="false">
      <c r="A13326" s="571"/>
      <c r="B13326" s="328"/>
      <c r="C13326" s="860" t="s">
        <v>5850</v>
      </c>
      <c r="D13326" s="316" t="s">
        <v>4359</v>
      </c>
      <c r="E13326" s="954" t="n">
        <v>0.0001</v>
      </c>
      <c r="F13326" s="883" t="n">
        <v>26500</v>
      </c>
      <c r="G13326" s="615" t="n">
        <f aca="false">E13326*F13326</f>
        <v>2.65</v>
      </c>
      <c r="H13326" s="606"/>
    </row>
    <row r="13327" customFormat="false" ht="15" hidden="false" customHeight="false" outlineLevel="0" collapsed="false">
      <c r="A13327" s="571"/>
      <c r="B13327" s="500"/>
      <c r="C13327" s="860" t="s">
        <v>5824</v>
      </c>
      <c r="D13327" s="316" t="s">
        <v>4359</v>
      </c>
      <c r="E13327" s="954" t="n">
        <v>0.0006</v>
      </c>
      <c r="F13327" s="617" t="n">
        <v>82115</v>
      </c>
      <c r="G13327" s="615" t="n">
        <f aca="false">E13327*F13327</f>
        <v>49.269</v>
      </c>
      <c r="H13327" s="606"/>
    </row>
    <row r="13328" customFormat="false" ht="15" hidden="false" customHeight="false" outlineLevel="0" collapsed="false">
      <c r="A13328" s="571"/>
      <c r="B13328" s="500"/>
      <c r="C13328" s="860" t="s">
        <v>5819</v>
      </c>
      <c r="D13328" s="316" t="s">
        <v>4191</v>
      </c>
      <c r="E13328" s="954" t="n">
        <v>0.01</v>
      </c>
      <c r="F13328" s="617" t="n">
        <v>316.4</v>
      </c>
      <c r="G13328" s="615" t="n">
        <f aca="false">E13328*F13328</f>
        <v>3.164</v>
      </c>
      <c r="H13328" s="606"/>
    </row>
    <row r="13329" customFormat="false" ht="15" hidden="false" customHeight="false" outlineLevel="0" collapsed="false">
      <c r="A13329" s="571"/>
      <c r="B13329" s="500"/>
      <c r="C13329" s="860" t="s">
        <v>5826</v>
      </c>
      <c r="D13329" s="316" t="s">
        <v>4191</v>
      </c>
      <c r="E13329" s="954" t="n">
        <v>0.01</v>
      </c>
      <c r="F13329" s="617" t="n">
        <v>366.25</v>
      </c>
      <c r="G13329" s="615" t="n">
        <f aca="false">E13329*F13329</f>
        <v>3.6625</v>
      </c>
      <c r="H13329" s="606"/>
    </row>
    <row r="13330" customFormat="false" ht="15" hidden="false" customHeight="false" outlineLevel="0" collapsed="false">
      <c r="A13330" s="571"/>
      <c r="B13330" s="500"/>
      <c r="C13330" s="860" t="s">
        <v>5820</v>
      </c>
      <c r="D13330" s="316" t="s">
        <v>4191</v>
      </c>
      <c r="E13330" s="954" t="n">
        <v>0.01</v>
      </c>
      <c r="F13330" s="617" t="n">
        <v>650</v>
      </c>
      <c r="G13330" s="615" t="n">
        <f aca="false">E13330*F13330</f>
        <v>6.5</v>
      </c>
      <c r="H13330" s="606"/>
    </row>
    <row r="13331" customFormat="false" ht="15" hidden="false" customHeight="false" outlineLevel="0" collapsed="false">
      <c r="A13331" s="571"/>
      <c r="B13331" s="500"/>
      <c r="C13331" s="860" t="s">
        <v>5861</v>
      </c>
      <c r="D13331" s="316" t="s">
        <v>5452</v>
      </c>
      <c r="E13331" s="954" t="n">
        <v>0.0001</v>
      </c>
      <c r="F13331" s="617" t="n">
        <v>150375</v>
      </c>
      <c r="G13331" s="615" t="n">
        <f aca="false">E13331*F13331</f>
        <v>15.0375</v>
      </c>
      <c r="H13331" s="606"/>
    </row>
    <row r="13332" customFormat="false" ht="15" hidden="false" customHeight="false" outlineLevel="0" collapsed="false">
      <c r="A13332" s="571"/>
      <c r="B13332" s="500"/>
      <c r="C13332" s="860" t="s">
        <v>4515</v>
      </c>
      <c r="D13332" s="316" t="s">
        <v>4133</v>
      </c>
      <c r="E13332" s="954" t="n">
        <v>0.1</v>
      </c>
      <c r="F13332" s="681" t="n">
        <v>350</v>
      </c>
      <c r="G13332" s="615" t="n">
        <f aca="false">E13332*F13332</f>
        <v>35</v>
      </c>
      <c r="H13332" s="606"/>
    </row>
    <row r="13333" customFormat="false" ht="15" hidden="false" customHeight="false" outlineLevel="0" collapsed="false">
      <c r="A13333" s="571"/>
      <c r="B13333" s="608"/>
      <c r="C13333" s="860" t="s">
        <v>4776</v>
      </c>
      <c r="D13333" s="316" t="s">
        <v>4359</v>
      </c>
      <c r="E13333" s="954" t="n">
        <v>0.1</v>
      </c>
      <c r="F13333" s="617" t="n">
        <v>800</v>
      </c>
      <c r="G13333" s="615" t="n">
        <f aca="false">E13333*F13333</f>
        <v>80</v>
      </c>
      <c r="H13333" s="391"/>
    </row>
    <row r="13334" customFormat="false" ht="15" hidden="false" customHeight="false" outlineLevel="0" collapsed="false">
      <c r="A13334" s="571"/>
      <c r="B13334" s="608" t="s">
        <v>4128</v>
      </c>
      <c r="C13334" s="718"/>
      <c r="D13334" s="610"/>
      <c r="E13334" s="610"/>
      <c r="F13334" s="612"/>
      <c r="G13334" s="613" t="n">
        <f aca="false">SUM(G13303:G13333)</f>
        <v>1204.4508</v>
      </c>
      <c r="H13334" s="610"/>
    </row>
    <row r="13335" customFormat="false" ht="30" hidden="false" customHeight="false" outlineLevel="0" collapsed="false">
      <c r="A13335" s="571"/>
      <c r="B13335" s="433" t="s">
        <v>3662</v>
      </c>
      <c r="C13335" s="860" t="s">
        <v>5867</v>
      </c>
      <c r="D13335" s="316" t="s">
        <v>4133</v>
      </c>
      <c r="E13335" s="954" t="n">
        <v>0.002</v>
      </c>
      <c r="F13335" s="617" t="n">
        <v>55572</v>
      </c>
      <c r="G13335" s="615" t="n">
        <f aca="false">E13335*F13335</f>
        <v>111.144</v>
      </c>
      <c r="H13335" s="606"/>
    </row>
    <row r="13336" customFormat="false" ht="15" hidden="false" customHeight="false" outlineLevel="0" collapsed="false">
      <c r="A13336" s="571"/>
      <c r="B13336" s="608"/>
      <c r="C13336" s="21" t="s">
        <v>5868</v>
      </c>
      <c r="D13336" s="316" t="s">
        <v>4133</v>
      </c>
      <c r="E13336" s="954" t="n">
        <v>0.001</v>
      </c>
      <c r="F13336" s="617" t="n">
        <v>103215</v>
      </c>
      <c r="G13336" s="615" t="n">
        <f aca="false">E13336*F13336</f>
        <v>103.215</v>
      </c>
      <c r="H13336" s="391"/>
    </row>
    <row r="13337" customFormat="false" ht="15" hidden="false" customHeight="false" outlineLevel="0" collapsed="false">
      <c r="A13337" s="571"/>
      <c r="B13337" s="328"/>
      <c r="C13337" s="21" t="s">
        <v>5869</v>
      </c>
      <c r="D13337" s="316" t="s">
        <v>4133</v>
      </c>
      <c r="E13337" s="954" t="n">
        <v>0.001</v>
      </c>
      <c r="F13337" s="617" t="n">
        <v>91113</v>
      </c>
      <c r="G13337" s="615" t="n">
        <f aca="false">E13337*F13337</f>
        <v>91.113</v>
      </c>
      <c r="H13337" s="606"/>
    </row>
    <row r="13338" customFormat="false" ht="15" hidden="false" customHeight="false" outlineLevel="0" collapsed="false">
      <c r="A13338" s="571"/>
      <c r="B13338" s="500"/>
      <c r="C13338" s="860" t="s">
        <v>5870</v>
      </c>
      <c r="D13338" s="316" t="s">
        <v>4133</v>
      </c>
      <c r="E13338" s="954" t="n">
        <v>0.001</v>
      </c>
      <c r="F13338" s="617" t="n">
        <v>10500</v>
      </c>
      <c r="G13338" s="615" t="n">
        <f aca="false">E13338*F13338</f>
        <v>10.5</v>
      </c>
      <c r="H13338" s="606"/>
    </row>
    <row r="13339" customFormat="false" ht="15" hidden="false" customHeight="false" outlineLevel="0" collapsed="false">
      <c r="A13339" s="571"/>
      <c r="B13339" s="500"/>
      <c r="C13339" s="860" t="s">
        <v>5871</v>
      </c>
      <c r="D13339" s="316" t="s">
        <v>4133</v>
      </c>
      <c r="E13339" s="954" t="n">
        <v>0.001</v>
      </c>
      <c r="F13339" s="617" t="n">
        <v>67386</v>
      </c>
      <c r="G13339" s="615" t="n">
        <f aca="false">E13339*F13339</f>
        <v>67.386</v>
      </c>
      <c r="H13339" s="606"/>
    </row>
    <row r="13340" customFormat="false" ht="15" hidden="false" customHeight="false" outlineLevel="0" collapsed="false">
      <c r="A13340" s="571"/>
      <c r="B13340" s="500"/>
      <c r="C13340" s="860" t="s">
        <v>5859</v>
      </c>
      <c r="D13340" s="316" t="s">
        <v>4359</v>
      </c>
      <c r="E13340" s="954" t="n">
        <v>0.01</v>
      </c>
      <c r="F13340" s="617" t="n">
        <v>1995</v>
      </c>
      <c r="G13340" s="615" t="n">
        <f aca="false">E13340*F13340</f>
        <v>19.95</v>
      </c>
      <c r="H13340" s="606"/>
    </row>
    <row r="13341" customFormat="false" ht="15" hidden="false" customHeight="false" outlineLevel="0" collapsed="false">
      <c r="A13341" s="571"/>
      <c r="B13341" s="500"/>
      <c r="C13341" s="860" t="s">
        <v>5819</v>
      </c>
      <c r="D13341" s="316" t="s">
        <v>4348</v>
      </c>
      <c r="E13341" s="954" t="n">
        <v>1</v>
      </c>
      <c r="F13341" s="883" t="n">
        <v>316.4</v>
      </c>
      <c r="G13341" s="615" t="n">
        <f aca="false">E13341*F13341</f>
        <v>316.4</v>
      </c>
      <c r="H13341" s="606"/>
    </row>
    <row r="13342" customFormat="false" ht="15" hidden="false" customHeight="false" outlineLevel="0" collapsed="false">
      <c r="A13342" s="571"/>
      <c r="B13342" s="500"/>
      <c r="C13342" s="860" t="s">
        <v>5820</v>
      </c>
      <c r="D13342" s="316" t="s">
        <v>4348</v>
      </c>
      <c r="E13342" s="954" t="n">
        <v>0.01</v>
      </c>
      <c r="F13342" s="617" t="n">
        <v>366.25</v>
      </c>
      <c r="G13342" s="615" t="n">
        <f aca="false">E13342*F13342</f>
        <v>3.6625</v>
      </c>
      <c r="H13342" s="606"/>
    </row>
    <row r="13343" customFormat="false" ht="15" hidden="false" customHeight="false" outlineLevel="0" collapsed="false">
      <c r="A13343" s="571"/>
      <c r="B13343" s="500"/>
      <c r="C13343" s="860" t="s">
        <v>5861</v>
      </c>
      <c r="D13343" s="316" t="s">
        <v>5452</v>
      </c>
      <c r="E13343" s="954" t="n">
        <v>0.001</v>
      </c>
      <c r="F13343" s="617" t="n">
        <v>150375</v>
      </c>
      <c r="G13343" s="615" t="n">
        <f aca="false">E13343*F13343</f>
        <v>150.375</v>
      </c>
      <c r="H13343" s="606"/>
    </row>
    <row r="13344" customFormat="false" ht="15" hidden="false" customHeight="false" outlineLevel="0" collapsed="false">
      <c r="A13344" s="571"/>
      <c r="B13344" s="500"/>
      <c r="C13344" s="860" t="s">
        <v>5818</v>
      </c>
      <c r="D13344" s="316" t="s">
        <v>4133</v>
      </c>
      <c r="E13344" s="661" t="n">
        <v>0.001</v>
      </c>
      <c r="F13344" s="617" t="n">
        <v>67687</v>
      </c>
      <c r="G13344" s="615" t="n">
        <f aca="false">E13344*F13344</f>
        <v>67.687</v>
      </c>
      <c r="H13344" s="606"/>
    </row>
    <row r="13345" customFormat="false" ht="15" hidden="false" customHeight="false" outlineLevel="0" collapsed="false">
      <c r="A13345" s="571"/>
      <c r="B13345" s="500"/>
      <c r="C13345" s="860" t="s">
        <v>5824</v>
      </c>
      <c r="D13345" s="316" t="s">
        <v>4359</v>
      </c>
      <c r="E13345" s="954" t="n">
        <v>0.001</v>
      </c>
      <c r="F13345" s="617" t="n">
        <v>82115</v>
      </c>
      <c r="G13345" s="615" t="n">
        <f aca="false">E13345*F13345</f>
        <v>82.115</v>
      </c>
      <c r="H13345" s="606"/>
    </row>
    <row r="13346" customFormat="false" ht="15" hidden="false" customHeight="false" outlineLevel="0" collapsed="false">
      <c r="A13346" s="571"/>
      <c r="B13346" s="500"/>
      <c r="C13346" s="860" t="s">
        <v>4515</v>
      </c>
      <c r="D13346" s="316" t="s">
        <v>4133</v>
      </c>
      <c r="E13346" s="954" t="n">
        <v>0.1</v>
      </c>
      <c r="F13346" s="681" t="n">
        <v>350</v>
      </c>
      <c r="G13346" s="615" t="n">
        <f aca="false">E13346*F13346</f>
        <v>35</v>
      </c>
      <c r="H13346" s="606"/>
    </row>
    <row r="13347" customFormat="false" ht="15" hidden="false" customHeight="false" outlineLevel="0" collapsed="false">
      <c r="A13347" s="571"/>
      <c r="B13347" s="608"/>
      <c r="C13347" s="860" t="s">
        <v>4776</v>
      </c>
      <c r="D13347" s="316" t="s">
        <v>4133</v>
      </c>
      <c r="E13347" s="954" t="n">
        <v>0.2</v>
      </c>
      <c r="F13347" s="617" t="n">
        <v>800</v>
      </c>
      <c r="G13347" s="615" t="n">
        <f aca="false">E13347*F13347</f>
        <v>160</v>
      </c>
      <c r="H13347" s="391"/>
    </row>
    <row r="13348" customFormat="false" ht="15" hidden="false" customHeight="false" outlineLevel="0" collapsed="false">
      <c r="A13348" s="571"/>
      <c r="B13348" s="608" t="s">
        <v>4128</v>
      </c>
      <c r="C13348" s="964"/>
      <c r="D13348" s="965"/>
      <c r="E13348" s="966"/>
      <c r="F13348" s="967"/>
      <c r="G13348" s="613" t="n">
        <f aca="false">SUM(G13335:G13347)</f>
        <v>1218.5475</v>
      </c>
      <c r="H13348" s="610"/>
    </row>
    <row r="13349" customFormat="false" ht="45" hidden="false" customHeight="false" outlineLevel="0" collapsed="false">
      <c r="A13349" s="571"/>
      <c r="B13349" s="433" t="s">
        <v>3663</v>
      </c>
      <c r="C13349" s="860" t="s">
        <v>5872</v>
      </c>
      <c r="D13349" s="316" t="s">
        <v>4133</v>
      </c>
      <c r="E13349" s="664" t="n">
        <v>0.001</v>
      </c>
      <c r="F13349" s="617" t="n">
        <v>39110</v>
      </c>
      <c r="G13349" s="615" t="n">
        <f aca="false">E13349*F13349</f>
        <v>39.11</v>
      </c>
      <c r="H13349" s="606"/>
    </row>
    <row r="13350" customFormat="false" ht="15" hidden="false" customHeight="false" outlineLevel="0" collapsed="false">
      <c r="A13350" s="571"/>
      <c r="B13350" s="500"/>
      <c r="C13350" s="860" t="s">
        <v>5873</v>
      </c>
      <c r="D13350" s="316" t="s">
        <v>4133</v>
      </c>
      <c r="E13350" s="664" t="n">
        <v>0.001</v>
      </c>
      <c r="F13350" s="617" t="n">
        <v>58058</v>
      </c>
      <c r="G13350" s="615" t="n">
        <f aca="false">E13350*F13350</f>
        <v>58.058</v>
      </c>
      <c r="H13350" s="606"/>
    </row>
    <row r="13351" customFormat="false" ht="15" hidden="false" customHeight="false" outlineLevel="0" collapsed="false">
      <c r="A13351" s="571"/>
      <c r="B13351" s="500"/>
      <c r="C13351" s="860" t="s">
        <v>5874</v>
      </c>
      <c r="D13351" s="316" t="s">
        <v>4133</v>
      </c>
      <c r="E13351" s="664" t="n">
        <v>0.001</v>
      </c>
      <c r="F13351" s="617" t="n">
        <v>67687</v>
      </c>
      <c r="G13351" s="615" t="n">
        <f aca="false">E13351*F13351</f>
        <v>67.687</v>
      </c>
      <c r="H13351" s="606"/>
    </row>
    <row r="13352" customFormat="false" ht="15" hidden="false" customHeight="false" outlineLevel="0" collapsed="false">
      <c r="A13352" s="571"/>
      <c r="B13352" s="500"/>
      <c r="C13352" s="860" t="s">
        <v>5841</v>
      </c>
      <c r="D13352" s="316" t="s">
        <v>4133</v>
      </c>
      <c r="E13352" s="664" t="n">
        <v>0.001</v>
      </c>
      <c r="F13352" s="617" t="n">
        <v>10500</v>
      </c>
      <c r="G13352" s="615" t="n">
        <f aca="false">E13352*F13352</f>
        <v>10.5</v>
      </c>
      <c r="H13352" s="606"/>
    </row>
    <row r="13353" customFormat="false" ht="15" hidden="false" customHeight="false" outlineLevel="0" collapsed="false">
      <c r="A13353" s="571"/>
      <c r="B13353" s="500"/>
      <c r="C13353" s="21" t="s">
        <v>5844</v>
      </c>
      <c r="D13353" s="316" t="s">
        <v>4191</v>
      </c>
      <c r="E13353" s="954" t="n">
        <v>0.001</v>
      </c>
      <c r="F13353" s="883" t="n">
        <v>74415</v>
      </c>
      <c r="G13353" s="615" t="n">
        <f aca="false">E13353*F13353</f>
        <v>74.415</v>
      </c>
      <c r="H13353" s="606"/>
    </row>
    <row r="13354" customFormat="false" ht="15" hidden="false" customHeight="false" outlineLevel="0" collapsed="false">
      <c r="A13354" s="571"/>
      <c r="B13354" s="500"/>
      <c r="C13354" s="860" t="s">
        <v>5825</v>
      </c>
      <c r="D13354" s="316" t="s">
        <v>4191</v>
      </c>
      <c r="E13354" s="954" t="n">
        <v>0.01</v>
      </c>
      <c r="F13354" s="883" t="n">
        <v>8468</v>
      </c>
      <c r="G13354" s="615" t="n">
        <f aca="false">E13354*F13354</f>
        <v>84.68</v>
      </c>
      <c r="H13354" s="606"/>
    </row>
    <row r="13355" customFormat="false" ht="15" hidden="false" customHeight="false" outlineLevel="0" collapsed="false">
      <c r="A13355" s="571"/>
      <c r="B13355" s="500"/>
      <c r="C13355" s="860" t="s">
        <v>5843</v>
      </c>
      <c r="D13355" s="316" t="s">
        <v>4133</v>
      </c>
      <c r="E13355" s="664" t="n">
        <v>0.001</v>
      </c>
      <c r="F13355" s="883" t="n">
        <v>48840</v>
      </c>
      <c r="G13355" s="615" t="n">
        <f aca="false">E13355*F13355</f>
        <v>48.84</v>
      </c>
      <c r="H13355" s="606"/>
    </row>
    <row r="13356" customFormat="false" ht="30" hidden="false" customHeight="false" outlineLevel="0" collapsed="false">
      <c r="A13356" s="571"/>
      <c r="B13356" s="500"/>
      <c r="C13356" s="860" t="s">
        <v>5875</v>
      </c>
      <c r="D13356" s="316" t="s">
        <v>5847</v>
      </c>
      <c r="E13356" s="664" t="n">
        <v>0.001</v>
      </c>
      <c r="F13356" s="617" t="n">
        <v>9300</v>
      </c>
      <c r="G13356" s="615" t="n">
        <f aca="false">E13356*F13356</f>
        <v>9.3</v>
      </c>
      <c r="H13356" s="606"/>
    </row>
    <row r="13357" customFormat="false" ht="15" hidden="false" customHeight="false" outlineLevel="0" collapsed="false">
      <c r="A13357" s="571"/>
      <c r="B13357" s="608"/>
      <c r="C13357" s="860" t="s">
        <v>5876</v>
      </c>
      <c r="D13357" s="316" t="s">
        <v>4133</v>
      </c>
      <c r="E13357" s="664" t="n">
        <v>0.001</v>
      </c>
      <c r="F13357" s="617" t="n">
        <v>6409</v>
      </c>
      <c r="G13357" s="615" t="n">
        <f aca="false">E13357*F13357</f>
        <v>6.409</v>
      </c>
      <c r="H13357" s="391"/>
    </row>
    <row r="13358" customFormat="false" ht="15" hidden="false" customHeight="false" outlineLevel="0" collapsed="false">
      <c r="A13358" s="571"/>
      <c r="B13358" s="328"/>
      <c r="C13358" s="860" t="s">
        <v>5836</v>
      </c>
      <c r="D13358" s="316" t="s">
        <v>4133</v>
      </c>
      <c r="E13358" s="664" t="n">
        <v>0.001</v>
      </c>
      <c r="F13358" s="617" t="n">
        <v>10500</v>
      </c>
      <c r="G13358" s="615" t="n">
        <f aca="false">E13358*F13358</f>
        <v>10.5</v>
      </c>
      <c r="H13358" s="606"/>
    </row>
    <row r="13359" customFormat="false" ht="15" hidden="false" customHeight="false" outlineLevel="0" collapsed="false">
      <c r="A13359" s="571"/>
      <c r="B13359" s="500"/>
      <c r="C13359" s="860" t="s">
        <v>5824</v>
      </c>
      <c r="D13359" s="316" t="s">
        <v>4359</v>
      </c>
      <c r="E13359" s="664" t="n">
        <v>0.001</v>
      </c>
      <c r="F13359" s="617" t="n">
        <v>82115</v>
      </c>
      <c r="G13359" s="615" t="n">
        <f aca="false">E13359*F13359</f>
        <v>82.115</v>
      </c>
      <c r="H13359" s="606"/>
    </row>
    <row r="13360" customFormat="false" ht="30" hidden="false" customHeight="false" outlineLevel="0" collapsed="false">
      <c r="A13360" s="571"/>
      <c r="B13360" s="500"/>
      <c r="C13360" s="860" t="s">
        <v>5877</v>
      </c>
      <c r="D13360" s="316" t="s">
        <v>4359</v>
      </c>
      <c r="E13360" s="664" t="n">
        <v>0.001</v>
      </c>
      <c r="F13360" s="883" t="n">
        <v>68401</v>
      </c>
      <c r="G13360" s="615" t="n">
        <f aca="false">E13360*F13360</f>
        <v>68.401</v>
      </c>
      <c r="H13360" s="606"/>
    </row>
    <row r="13361" customFormat="false" ht="15" hidden="false" customHeight="false" outlineLevel="0" collapsed="false">
      <c r="A13361" s="571"/>
      <c r="B13361" s="500"/>
      <c r="C13361" s="860" t="s">
        <v>5819</v>
      </c>
      <c r="D13361" s="316" t="s">
        <v>4191</v>
      </c>
      <c r="E13361" s="954" t="n">
        <v>0.01</v>
      </c>
      <c r="F13361" s="883" t="n">
        <v>316.4</v>
      </c>
      <c r="G13361" s="615" t="n">
        <f aca="false">E13361*F13361</f>
        <v>3.164</v>
      </c>
      <c r="H13361" s="606"/>
    </row>
    <row r="13362" customFormat="false" ht="15" hidden="false" customHeight="false" outlineLevel="0" collapsed="false">
      <c r="A13362" s="571"/>
      <c r="B13362" s="500"/>
      <c r="C13362" s="860" t="s">
        <v>5826</v>
      </c>
      <c r="D13362" s="316" t="s">
        <v>4191</v>
      </c>
      <c r="E13362" s="954" t="n">
        <v>0.01</v>
      </c>
      <c r="F13362" s="617" t="n">
        <v>366.25</v>
      </c>
      <c r="G13362" s="615" t="n">
        <f aca="false">E13362*F13362</f>
        <v>3.6625</v>
      </c>
      <c r="H13362" s="606"/>
    </row>
    <row r="13363" customFormat="false" ht="15" hidden="false" customHeight="false" outlineLevel="0" collapsed="false">
      <c r="A13363" s="571"/>
      <c r="B13363" s="500"/>
      <c r="C13363" s="860" t="s">
        <v>5820</v>
      </c>
      <c r="D13363" s="316" t="s">
        <v>4191</v>
      </c>
      <c r="E13363" s="954" t="n">
        <v>0.01</v>
      </c>
      <c r="F13363" s="617" t="n">
        <v>650</v>
      </c>
      <c r="G13363" s="615" t="n">
        <f aca="false">E13363*F13363</f>
        <v>6.5</v>
      </c>
      <c r="H13363" s="606"/>
    </row>
    <row r="13364" customFormat="false" ht="15" hidden="false" customHeight="false" outlineLevel="0" collapsed="false">
      <c r="A13364" s="571"/>
      <c r="B13364" s="500"/>
      <c r="C13364" s="860" t="s">
        <v>5861</v>
      </c>
      <c r="D13364" s="316" t="s">
        <v>5452</v>
      </c>
      <c r="E13364" s="954" t="n">
        <v>0.001</v>
      </c>
      <c r="F13364" s="617" t="n">
        <v>150375</v>
      </c>
      <c r="G13364" s="615" t="n">
        <f aca="false">E13364*F13364</f>
        <v>150.375</v>
      </c>
      <c r="H13364" s="606"/>
    </row>
    <row r="13365" customFormat="false" ht="15" hidden="false" customHeight="false" outlineLevel="0" collapsed="false">
      <c r="A13365" s="571"/>
      <c r="B13365" s="500"/>
      <c r="C13365" s="860" t="s">
        <v>5864</v>
      </c>
      <c r="D13365" s="316" t="s">
        <v>4133</v>
      </c>
      <c r="E13365" s="954" t="n">
        <v>0.01</v>
      </c>
      <c r="F13365" s="617" t="n">
        <v>1995</v>
      </c>
      <c r="G13365" s="615" t="n">
        <f aca="false">E13365*F13365</f>
        <v>19.95</v>
      </c>
      <c r="H13365" s="606"/>
    </row>
    <row r="13366" customFormat="false" ht="15" hidden="false" customHeight="false" outlineLevel="0" collapsed="false">
      <c r="A13366" s="571"/>
      <c r="B13366" s="500"/>
      <c r="C13366" s="860" t="s">
        <v>4515</v>
      </c>
      <c r="D13366" s="316" t="s">
        <v>4133</v>
      </c>
      <c r="E13366" s="954" t="n">
        <v>0.1</v>
      </c>
      <c r="F13366" s="617" t="n">
        <v>350</v>
      </c>
      <c r="G13366" s="615" t="n">
        <f aca="false">E13366*F13366</f>
        <v>35</v>
      </c>
      <c r="H13366" s="606"/>
    </row>
    <row r="13367" customFormat="false" ht="15" hidden="false" customHeight="false" outlineLevel="0" collapsed="false">
      <c r="A13367" s="571"/>
      <c r="B13367" s="500"/>
      <c r="C13367" s="860" t="s">
        <v>4776</v>
      </c>
      <c r="D13367" s="316" t="s">
        <v>4359</v>
      </c>
      <c r="E13367" s="954" t="n">
        <v>0.1</v>
      </c>
      <c r="F13367" s="617" t="n">
        <v>800</v>
      </c>
      <c r="G13367" s="615" t="n">
        <f aca="false">E13367*F13367</f>
        <v>80</v>
      </c>
      <c r="H13367" s="606"/>
    </row>
    <row r="13368" customFormat="false" ht="15" hidden="false" customHeight="false" outlineLevel="0" collapsed="false">
      <c r="A13368" s="571"/>
      <c r="B13368" s="608" t="s">
        <v>4128</v>
      </c>
      <c r="C13368" s="860"/>
      <c r="D13368" s="316"/>
      <c r="E13368" s="954"/>
      <c r="F13368" s="617"/>
      <c r="G13368" s="613" t="n">
        <f aca="false">SUM(G13349:G13367)</f>
        <v>858.6665</v>
      </c>
      <c r="H13368" s="391"/>
    </row>
    <row r="13369" customFormat="false" ht="30" hidden="false" customHeight="false" outlineLevel="0" collapsed="false">
      <c r="A13369" s="571"/>
      <c r="B13369" s="433" t="s">
        <v>3664</v>
      </c>
      <c r="C13369" s="860" t="s">
        <v>5874</v>
      </c>
      <c r="D13369" s="316" t="s">
        <v>4133</v>
      </c>
      <c r="E13369" s="664" t="n">
        <v>0.001</v>
      </c>
      <c r="F13369" s="617" t="n">
        <v>67687</v>
      </c>
      <c r="G13369" s="615" t="n">
        <f aca="false">E13369*F13369</f>
        <v>67.687</v>
      </c>
      <c r="H13369" s="606"/>
    </row>
    <row r="13370" customFormat="false" ht="15" hidden="false" customHeight="false" outlineLevel="0" collapsed="false">
      <c r="A13370" s="571"/>
      <c r="B13370" s="500"/>
      <c r="C13370" s="21" t="s">
        <v>5878</v>
      </c>
      <c r="D13370" s="874" t="s">
        <v>4133</v>
      </c>
      <c r="E13370" s="664" t="n">
        <v>0.001</v>
      </c>
      <c r="F13370" s="883" t="n">
        <v>83340</v>
      </c>
      <c r="G13370" s="615" t="n">
        <f aca="false">E13370*F13370</f>
        <v>83.34</v>
      </c>
      <c r="H13370" s="606"/>
    </row>
    <row r="13371" customFormat="false" ht="15" hidden="false" customHeight="false" outlineLevel="0" collapsed="false">
      <c r="A13371" s="571"/>
      <c r="B13371" s="500"/>
      <c r="C13371" s="860" t="s">
        <v>5879</v>
      </c>
      <c r="D13371" s="874" t="s">
        <v>4133</v>
      </c>
      <c r="E13371" s="664" t="n">
        <v>0.001</v>
      </c>
      <c r="F13371" s="883" t="n">
        <v>37250</v>
      </c>
      <c r="G13371" s="615" t="n">
        <f aca="false">E13371*F13371</f>
        <v>37.25</v>
      </c>
      <c r="H13371" s="606"/>
    </row>
    <row r="13372" customFormat="false" ht="15" hidden="false" customHeight="false" outlineLevel="0" collapsed="false">
      <c r="A13372" s="571"/>
      <c r="B13372" s="500"/>
      <c r="C13372" s="860" t="s">
        <v>5824</v>
      </c>
      <c r="D13372" s="316" t="s">
        <v>4359</v>
      </c>
      <c r="E13372" s="664" t="n">
        <v>0.001</v>
      </c>
      <c r="F13372" s="617" t="n">
        <v>82115</v>
      </c>
      <c r="G13372" s="615" t="n">
        <f aca="false">E13372*F13372</f>
        <v>82.115</v>
      </c>
      <c r="H13372" s="606"/>
    </row>
    <row r="13373" customFormat="false" ht="30" hidden="false" customHeight="false" outlineLevel="0" collapsed="false">
      <c r="A13373" s="571"/>
      <c r="B13373" s="500"/>
      <c r="C13373" s="860" t="s">
        <v>5877</v>
      </c>
      <c r="D13373" s="316" t="s">
        <v>4359</v>
      </c>
      <c r="E13373" s="954" t="n">
        <v>0.003</v>
      </c>
      <c r="F13373" s="883" t="n">
        <v>68401</v>
      </c>
      <c r="G13373" s="615" t="n">
        <f aca="false">E13373*F13373</f>
        <v>205.203</v>
      </c>
      <c r="H13373" s="606"/>
    </row>
    <row r="13374" customFormat="false" ht="15" hidden="false" customHeight="false" outlineLevel="0" collapsed="false">
      <c r="A13374" s="571"/>
      <c r="B13374" s="500"/>
      <c r="C13374" s="860" t="s">
        <v>5864</v>
      </c>
      <c r="D13374" s="316" t="s">
        <v>4133</v>
      </c>
      <c r="E13374" s="954" t="n">
        <v>0.015</v>
      </c>
      <c r="F13374" s="617" t="n">
        <v>1995</v>
      </c>
      <c r="G13374" s="615" t="n">
        <f aca="false">E13374*F13374</f>
        <v>29.925</v>
      </c>
      <c r="H13374" s="606"/>
    </row>
    <row r="13375" customFormat="false" ht="15" hidden="false" customHeight="false" outlineLevel="0" collapsed="false">
      <c r="A13375" s="571"/>
      <c r="B13375" s="500"/>
      <c r="C13375" s="860" t="s">
        <v>4515</v>
      </c>
      <c r="D13375" s="316" t="s">
        <v>4133</v>
      </c>
      <c r="E13375" s="954" t="n">
        <v>0.1</v>
      </c>
      <c r="F13375" s="617" t="n">
        <v>350</v>
      </c>
      <c r="G13375" s="615" t="n">
        <f aca="false">E13375*F13375</f>
        <v>35</v>
      </c>
      <c r="H13375" s="606"/>
    </row>
    <row r="13376" customFormat="false" ht="15" hidden="false" customHeight="false" outlineLevel="0" collapsed="false">
      <c r="A13376" s="571"/>
      <c r="B13376" s="500"/>
      <c r="C13376" s="860" t="s">
        <v>5819</v>
      </c>
      <c r="D13376" s="316" t="s">
        <v>4191</v>
      </c>
      <c r="E13376" s="954" t="n">
        <v>0.01</v>
      </c>
      <c r="F13376" s="883" t="n">
        <v>316.4</v>
      </c>
      <c r="G13376" s="615" t="n">
        <f aca="false">E13376*F13376</f>
        <v>3.164</v>
      </c>
      <c r="H13376" s="606"/>
    </row>
    <row r="13377" customFormat="false" ht="15" hidden="false" customHeight="false" outlineLevel="0" collapsed="false">
      <c r="A13377" s="571"/>
      <c r="B13377" s="500"/>
      <c r="C13377" s="860" t="s">
        <v>5826</v>
      </c>
      <c r="D13377" s="316" t="s">
        <v>4191</v>
      </c>
      <c r="E13377" s="954" t="n">
        <v>0.01</v>
      </c>
      <c r="F13377" s="617" t="n">
        <v>366.25</v>
      </c>
      <c r="G13377" s="615" t="n">
        <f aca="false">E13377*F13377</f>
        <v>3.6625</v>
      </c>
      <c r="H13377" s="606"/>
    </row>
    <row r="13378" customFormat="false" ht="15" hidden="false" customHeight="false" outlineLevel="0" collapsed="false">
      <c r="A13378" s="571"/>
      <c r="B13378" s="500"/>
      <c r="C13378" s="860" t="s">
        <v>5820</v>
      </c>
      <c r="D13378" s="316" t="s">
        <v>4191</v>
      </c>
      <c r="E13378" s="954" t="n">
        <v>0.01</v>
      </c>
      <c r="F13378" s="617" t="n">
        <v>650</v>
      </c>
      <c r="G13378" s="615" t="n">
        <f aca="false">E13378*F13378</f>
        <v>6.5</v>
      </c>
      <c r="H13378" s="606"/>
    </row>
    <row r="13379" customFormat="false" ht="15" hidden="false" customHeight="false" outlineLevel="0" collapsed="false">
      <c r="A13379" s="571"/>
      <c r="B13379" s="608"/>
      <c r="C13379" s="860" t="s">
        <v>5861</v>
      </c>
      <c r="D13379" s="316" t="s">
        <v>5452</v>
      </c>
      <c r="E13379" s="954" t="n">
        <v>0.001</v>
      </c>
      <c r="F13379" s="617" t="n">
        <v>150375</v>
      </c>
      <c r="G13379" s="615" t="n">
        <f aca="false">E13379*F13379</f>
        <v>150.375</v>
      </c>
      <c r="H13379" s="391"/>
    </row>
    <row r="13380" customFormat="false" ht="15" hidden="false" customHeight="false" outlineLevel="0" collapsed="false">
      <c r="A13380" s="571"/>
      <c r="B13380" s="328"/>
      <c r="C13380" s="860" t="s">
        <v>4776</v>
      </c>
      <c r="D13380" s="316" t="s">
        <v>4359</v>
      </c>
      <c r="E13380" s="954" t="n">
        <v>0.1</v>
      </c>
      <c r="F13380" s="617" t="n">
        <v>800</v>
      </c>
      <c r="G13380" s="615" t="n">
        <f aca="false">E13380*F13380</f>
        <v>80</v>
      </c>
      <c r="H13380" s="606"/>
    </row>
    <row r="13381" customFormat="false" ht="15" hidden="false" customHeight="false" outlineLevel="0" collapsed="false">
      <c r="A13381" s="961"/>
      <c r="B13381" s="608" t="s">
        <v>4128</v>
      </c>
      <c r="C13381" s="709"/>
      <c r="D13381" s="606"/>
      <c r="E13381" s="606"/>
      <c r="F13381" s="361"/>
      <c r="G13381" s="613" t="n">
        <f aca="false">SUM(G13369:G13380)</f>
        <v>784.2215</v>
      </c>
      <c r="H13381" s="606"/>
    </row>
    <row r="13382" customFormat="false" ht="30" hidden="false" customHeight="false" outlineLevel="0" collapsed="false">
      <c r="A13382" s="571"/>
      <c r="B13382" s="433" t="s">
        <v>3665</v>
      </c>
      <c r="C13382" s="860" t="s">
        <v>5880</v>
      </c>
      <c r="D13382" s="316" t="s">
        <v>4133</v>
      </c>
      <c r="E13382" s="954" t="n">
        <v>0.015</v>
      </c>
      <c r="F13382" s="617" t="n">
        <v>45799</v>
      </c>
      <c r="G13382" s="615" t="n">
        <f aca="false">E13382*F13382</f>
        <v>686.985</v>
      </c>
      <c r="H13382" s="606"/>
    </row>
    <row r="13383" customFormat="false" ht="15" hidden="false" customHeight="false" outlineLevel="0" collapsed="false">
      <c r="A13383" s="571"/>
      <c r="B13383" s="500"/>
      <c r="C13383" s="860" t="s">
        <v>5824</v>
      </c>
      <c r="D13383" s="316" t="s">
        <v>4359</v>
      </c>
      <c r="E13383" s="954" t="n">
        <v>0.01</v>
      </c>
      <c r="F13383" s="617" t="n">
        <v>25946</v>
      </c>
      <c r="G13383" s="615" t="n">
        <f aca="false">E13383*F13383</f>
        <v>259.46</v>
      </c>
      <c r="H13383" s="606"/>
    </row>
    <row r="13384" customFormat="false" ht="15" hidden="false" customHeight="false" outlineLevel="0" collapsed="false">
      <c r="A13384" s="571"/>
      <c r="B13384" s="500"/>
      <c r="C13384" s="860" t="s">
        <v>5819</v>
      </c>
      <c r="D13384" s="316" t="s">
        <v>4191</v>
      </c>
      <c r="E13384" s="954" t="n">
        <v>0.01</v>
      </c>
      <c r="F13384" s="617" t="n">
        <v>100</v>
      </c>
      <c r="G13384" s="615" t="n">
        <f aca="false">E13384*F13384</f>
        <v>1</v>
      </c>
      <c r="H13384" s="606"/>
    </row>
    <row r="13385" customFormat="false" ht="15" hidden="false" customHeight="false" outlineLevel="0" collapsed="false">
      <c r="A13385" s="571"/>
      <c r="B13385" s="500"/>
      <c r="C13385" s="860" t="s">
        <v>5820</v>
      </c>
      <c r="D13385" s="316" t="s">
        <v>4191</v>
      </c>
      <c r="E13385" s="954" t="n">
        <v>0.01</v>
      </c>
      <c r="F13385" s="617" t="n">
        <v>400</v>
      </c>
      <c r="G13385" s="615" t="n">
        <f aca="false">E13385*F13385</f>
        <v>4</v>
      </c>
      <c r="H13385" s="606"/>
    </row>
    <row r="13386" customFormat="false" ht="15" hidden="false" customHeight="false" outlineLevel="0" collapsed="false">
      <c r="A13386" s="571"/>
      <c r="B13386" s="500"/>
      <c r="C13386" s="860" t="s">
        <v>5861</v>
      </c>
      <c r="D13386" s="316" t="s">
        <v>4348</v>
      </c>
      <c r="E13386" s="954" t="n">
        <v>0.001</v>
      </c>
      <c r="F13386" s="617" t="n">
        <v>150375</v>
      </c>
      <c r="G13386" s="615" t="n">
        <f aca="false">E13386*F13386</f>
        <v>150.375</v>
      </c>
      <c r="H13386" s="606"/>
    </row>
    <row r="13387" customFormat="false" ht="15" hidden="false" customHeight="false" outlineLevel="0" collapsed="false">
      <c r="A13387" s="571"/>
      <c r="B13387" s="500"/>
      <c r="C13387" s="860" t="s">
        <v>4776</v>
      </c>
      <c r="D13387" s="316" t="s">
        <v>4359</v>
      </c>
      <c r="E13387" s="954" t="n">
        <v>0.1</v>
      </c>
      <c r="F13387" s="617" t="n">
        <v>800</v>
      </c>
      <c r="G13387" s="615" t="n">
        <f aca="false">E13387*F13387</f>
        <v>80</v>
      </c>
      <c r="H13387" s="606"/>
    </row>
    <row r="13388" customFormat="false" ht="15" hidden="false" customHeight="false" outlineLevel="0" collapsed="false">
      <c r="A13388" s="571"/>
      <c r="B13388" s="608" t="s">
        <v>4128</v>
      </c>
      <c r="C13388" s="964"/>
      <c r="D13388" s="965"/>
      <c r="E13388" s="969"/>
      <c r="F13388" s="967"/>
      <c r="G13388" s="613" t="n">
        <f aca="false">SUM(G13382:G13387)</f>
        <v>1181.82</v>
      </c>
      <c r="H13388" s="391"/>
    </row>
    <row r="13389" customFormat="false" ht="30" hidden="false" customHeight="false" outlineLevel="0" collapsed="false">
      <c r="A13389" s="571"/>
      <c r="B13389" s="433" t="s">
        <v>3667</v>
      </c>
      <c r="C13389" s="860" t="s">
        <v>5818</v>
      </c>
      <c r="D13389" s="316" t="s">
        <v>4133</v>
      </c>
      <c r="E13389" s="664" t="n">
        <v>0.002</v>
      </c>
      <c r="F13389" s="617" t="n">
        <v>67687</v>
      </c>
      <c r="G13389" s="615" t="n">
        <f aca="false">E13389*F13389</f>
        <v>135.374</v>
      </c>
      <c r="H13389" s="391"/>
    </row>
    <row r="13390" customFormat="false" ht="15" hidden="false" customHeight="false" outlineLevel="0" collapsed="false">
      <c r="A13390" s="571"/>
      <c r="B13390" s="328"/>
      <c r="C13390" s="860" t="s">
        <v>5843</v>
      </c>
      <c r="D13390" s="316" t="s">
        <v>4133</v>
      </c>
      <c r="E13390" s="664" t="n">
        <v>0.002</v>
      </c>
      <c r="F13390" s="883" t="n">
        <v>48840</v>
      </c>
      <c r="G13390" s="615" t="n">
        <f aca="false">E13390*F13390</f>
        <v>97.68</v>
      </c>
      <c r="H13390" s="606"/>
    </row>
    <row r="13391" customFormat="false" ht="15" hidden="false" customHeight="false" outlineLevel="0" collapsed="false">
      <c r="A13391" s="571"/>
      <c r="B13391" s="500"/>
      <c r="C13391" s="860" t="s">
        <v>5848</v>
      </c>
      <c r="D13391" s="316" t="s">
        <v>4359</v>
      </c>
      <c r="E13391" s="954" t="n">
        <v>0.05</v>
      </c>
      <c r="F13391" s="617" t="n">
        <v>10500</v>
      </c>
      <c r="G13391" s="615" t="n">
        <f aca="false">E13391*F13391</f>
        <v>525</v>
      </c>
      <c r="H13391" s="606"/>
    </row>
    <row r="13392" customFormat="false" ht="15" hidden="false" customHeight="false" outlineLevel="0" collapsed="false">
      <c r="A13392" s="571"/>
      <c r="B13392" s="500"/>
      <c r="C13392" s="860" t="s">
        <v>5824</v>
      </c>
      <c r="D13392" s="316" t="s">
        <v>4528</v>
      </c>
      <c r="E13392" s="954" t="n">
        <v>0.002</v>
      </c>
      <c r="F13392" s="617" t="n">
        <v>82115</v>
      </c>
      <c r="G13392" s="615" t="n">
        <f aca="false">E13392*F13392</f>
        <v>164.23</v>
      </c>
      <c r="H13392" s="606"/>
    </row>
    <row r="13393" customFormat="false" ht="15" hidden="false" customHeight="false" outlineLevel="0" collapsed="false">
      <c r="A13393" s="571"/>
      <c r="B13393" s="500"/>
      <c r="C13393" s="860" t="s">
        <v>5819</v>
      </c>
      <c r="D13393" s="316" t="s">
        <v>4191</v>
      </c>
      <c r="E13393" s="954" t="n">
        <v>0.01</v>
      </c>
      <c r="F13393" s="617" t="n">
        <v>316.4</v>
      </c>
      <c r="G13393" s="615" t="n">
        <f aca="false">E13393*F13393</f>
        <v>3.164</v>
      </c>
      <c r="H13393" s="606"/>
    </row>
    <row r="13394" customFormat="false" ht="15" hidden="false" customHeight="false" outlineLevel="0" collapsed="false">
      <c r="A13394" s="571"/>
      <c r="B13394" s="500"/>
      <c r="C13394" s="860" t="s">
        <v>5826</v>
      </c>
      <c r="D13394" s="316" t="s">
        <v>4191</v>
      </c>
      <c r="E13394" s="954" t="n">
        <v>0.01</v>
      </c>
      <c r="F13394" s="617" t="n">
        <v>366.25</v>
      </c>
      <c r="G13394" s="615" t="n">
        <f aca="false">E13394*F13394</f>
        <v>3.6625</v>
      </c>
      <c r="H13394" s="606"/>
    </row>
    <row r="13395" customFormat="false" ht="15" hidden="false" customHeight="false" outlineLevel="0" collapsed="false">
      <c r="A13395" s="571"/>
      <c r="B13395" s="500"/>
      <c r="C13395" s="860" t="s">
        <v>5820</v>
      </c>
      <c r="D13395" s="316" t="s">
        <v>4191</v>
      </c>
      <c r="E13395" s="954" t="n">
        <v>0.01</v>
      </c>
      <c r="F13395" s="617" t="n">
        <v>650</v>
      </c>
      <c r="G13395" s="615" t="n">
        <f aca="false">E13395*F13395</f>
        <v>6.5</v>
      </c>
      <c r="H13395" s="606"/>
    </row>
    <row r="13396" customFormat="false" ht="15" hidden="false" customHeight="false" outlineLevel="0" collapsed="false">
      <c r="A13396" s="571"/>
      <c r="B13396" s="500"/>
      <c r="C13396" s="860" t="s">
        <v>5861</v>
      </c>
      <c r="D13396" s="316" t="s">
        <v>5452</v>
      </c>
      <c r="E13396" s="954" t="n">
        <v>0.001</v>
      </c>
      <c r="F13396" s="617" t="n">
        <v>150375</v>
      </c>
      <c r="G13396" s="615" t="n">
        <f aca="false">E13396*F13396</f>
        <v>150.375</v>
      </c>
      <c r="H13396" s="606"/>
    </row>
    <row r="13397" customFormat="false" ht="15" hidden="false" customHeight="false" outlineLevel="0" collapsed="false">
      <c r="A13397" s="571"/>
      <c r="B13397" s="500"/>
      <c r="C13397" s="860" t="s">
        <v>4776</v>
      </c>
      <c r="D13397" s="316" t="s">
        <v>4359</v>
      </c>
      <c r="E13397" s="954" t="n">
        <v>0.1</v>
      </c>
      <c r="F13397" s="617" t="n">
        <v>800</v>
      </c>
      <c r="G13397" s="615" t="n">
        <f aca="false">E13397*F13397</f>
        <v>80</v>
      </c>
      <c r="H13397" s="606"/>
    </row>
    <row r="13398" customFormat="false" ht="15" hidden="false" customHeight="false" outlineLevel="0" collapsed="false">
      <c r="A13398" s="571"/>
      <c r="B13398" s="608" t="s">
        <v>4128</v>
      </c>
      <c r="C13398" s="964"/>
      <c r="D13398" s="965"/>
      <c r="E13398" s="966"/>
      <c r="F13398" s="967"/>
      <c r="G13398" s="613" t="n">
        <f aca="false">SUM(G13389:G13397)</f>
        <v>1165.9855</v>
      </c>
      <c r="H13398" s="610"/>
    </row>
    <row r="13399" customFormat="false" ht="30" hidden="false" customHeight="false" outlineLevel="0" collapsed="false">
      <c r="A13399" s="571"/>
      <c r="B13399" s="433" t="s">
        <v>3668</v>
      </c>
      <c r="C13399" s="860" t="s">
        <v>5818</v>
      </c>
      <c r="D13399" s="316" t="s">
        <v>4133</v>
      </c>
      <c r="E13399" s="664" t="n">
        <v>0.0009</v>
      </c>
      <c r="F13399" s="617" t="n">
        <v>67687</v>
      </c>
      <c r="G13399" s="615" t="n">
        <f aca="false">E13399*F13399</f>
        <v>60.9183</v>
      </c>
      <c r="H13399" s="606"/>
    </row>
    <row r="13400" customFormat="false" ht="45" hidden="false" customHeight="false" outlineLevel="0" collapsed="false">
      <c r="A13400" s="571"/>
      <c r="B13400" s="500"/>
      <c r="C13400" s="860" t="s">
        <v>5881</v>
      </c>
      <c r="D13400" s="316" t="s">
        <v>4133</v>
      </c>
      <c r="E13400" s="664" t="n">
        <v>0.0009</v>
      </c>
      <c r="F13400" s="617" t="n">
        <v>58500</v>
      </c>
      <c r="G13400" s="615" t="n">
        <f aca="false">E13400*F13400</f>
        <v>52.65</v>
      </c>
      <c r="H13400" s="606"/>
    </row>
    <row r="13401" customFormat="false" ht="15" hidden="false" customHeight="false" outlineLevel="0" collapsed="false">
      <c r="A13401" s="571"/>
      <c r="B13401" s="500"/>
      <c r="C13401" s="860" t="s">
        <v>5843</v>
      </c>
      <c r="D13401" s="316" t="s">
        <v>4133</v>
      </c>
      <c r="E13401" s="664" t="n">
        <v>0.001</v>
      </c>
      <c r="F13401" s="883" t="n">
        <v>48840</v>
      </c>
      <c r="G13401" s="615" t="n">
        <f aca="false">E13401*F13401</f>
        <v>48.84</v>
      </c>
      <c r="H13401" s="606"/>
    </row>
    <row r="13402" customFormat="false" ht="15" hidden="false" customHeight="false" outlineLevel="0" collapsed="false">
      <c r="A13402" s="571"/>
      <c r="B13402" s="500"/>
      <c r="C13402" s="860" t="s">
        <v>5848</v>
      </c>
      <c r="D13402" s="316" t="s">
        <v>4359</v>
      </c>
      <c r="E13402" s="954" t="n">
        <v>0.005</v>
      </c>
      <c r="F13402" s="617" t="n">
        <v>10500</v>
      </c>
      <c r="G13402" s="615" t="n">
        <f aca="false">E13402*F13402</f>
        <v>52.5</v>
      </c>
      <c r="H13402" s="606"/>
    </row>
    <row r="13403" customFormat="false" ht="15" hidden="false" customHeight="false" outlineLevel="0" collapsed="false">
      <c r="A13403" s="571"/>
      <c r="B13403" s="608"/>
      <c r="C13403" s="860" t="s">
        <v>5824</v>
      </c>
      <c r="D13403" s="316" t="s">
        <v>4528</v>
      </c>
      <c r="E13403" s="954" t="n">
        <v>0.0009</v>
      </c>
      <c r="F13403" s="617" t="n">
        <v>82115</v>
      </c>
      <c r="G13403" s="615" t="n">
        <f aca="false">E13403*F13403</f>
        <v>73.9035</v>
      </c>
      <c r="H13403" s="391"/>
    </row>
    <row r="13404" customFormat="false" ht="15" hidden="false" customHeight="false" outlineLevel="0" collapsed="false">
      <c r="A13404" s="571"/>
      <c r="B13404" s="963"/>
      <c r="C13404" s="860" t="s">
        <v>5819</v>
      </c>
      <c r="D13404" s="316" t="s">
        <v>4191</v>
      </c>
      <c r="E13404" s="954" t="n">
        <v>0.01</v>
      </c>
      <c r="F13404" s="617" t="n">
        <v>361.4</v>
      </c>
      <c r="G13404" s="615" t="n">
        <f aca="false">E13404*F13404</f>
        <v>3.614</v>
      </c>
      <c r="H13404" s="391"/>
    </row>
    <row r="13405" customFormat="false" ht="15" hidden="false" customHeight="false" outlineLevel="0" collapsed="false">
      <c r="A13405" s="571"/>
      <c r="B13405" s="328"/>
      <c r="C13405" s="860" t="s">
        <v>5826</v>
      </c>
      <c r="D13405" s="316" t="s">
        <v>4191</v>
      </c>
      <c r="E13405" s="954" t="n">
        <v>0.01</v>
      </c>
      <c r="F13405" s="617" t="n">
        <v>366.25</v>
      </c>
      <c r="G13405" s="615" t="n">
        <f aca="false">E13405*F13405</f>
        <v>3.6625</v>
      </c>
      <c r="H13405" s="606"/>
    </row>
    <row r="13406" customFormat="false" ht="15" hidden="false" customHeight="false" outlineLevel="0" collapsed="false">
      <c r="A13406" s="571"/>
      <c r="B13406" s="500"/>
      <c r="C13406" s="860" t="s">
        <v>5820</v>
      </c>
      <c r="D13406" s="316" t="s">
        <v>4191</v>
      </c>
      <c r="E13406" s="954" t="n">
        <v>0.01</v>
      </c>
      <c r="F13406" s="617" t="n">
        <v>650</v>
      </c>
      <c r="G13406" s="615" t="n">
        <f aca="false">E13406*F13406</f>
        <v>6.5</v>
      </c>
      <c r="H13406" s="606"/>
    </row>
    <row r="13407" customFormat="false" ht="15" hidden="false" customHeight="false" outlineLevel="0" collapsed="false">
      <c r="A13407" s="571"/>
      <c r="B13407" s="500"/>
      <c r="C13407" s="21" t="s">
        <v>5857</v>
      </c>
      <c r="D13407" s="874" t="s">
        <v>4528</v>
      </c>
      <c r="E13407" s="959" t="n">
        <v>0.002</v>
      </c>
      <c r="F13407" s="883" t="n">
        <v>175794</v>
      </c>
      <c r="G13407" s="615" t="n">
        <f aca="false">E13407*F13407</f>
        <v>351.588</v>
      </c>
      <c r="H13407" s="606"/>
    </row>
    <row r="13408" customFormat="false" ht="15" hidden="false" customHeight="false" outlineLevel="0" collapsed="false">
      <c r="A13408" s="571"/>
      <c r="B13408" s="500"/>
      <c r="C13408" s="860" t="s">
        <v>5861</v>
      </c>
      <c r="D13408" s="316" t="s">
        <v>5452</v>
      </c>
      <c r="E13408" s="954" t="n">
        <v>0.001</v>
      </c>
      <c r="F13408" s="617" t="n">
        <v>150375</v>
      </c>
      <c r="G13408" s="615" t="n">
        <f aca="false">E13408*F13408</f>
        <v>150.375</v>
      </c>
      <c r="H13408" s="606"/>
    </row>
    <row r="13409" customFormat="false" ht="15" hidden="false" customHeight="false" outlineLevel="0" collapsed="false">
      <c r="A13409" s="571"/>
      <c r="B13409" s="608"/>
      <c r="C13409" s="860" t="s">
        <v>4776</v>
      </c>
      <c r="D13409" s="316" t="s">
        <v>4359</v>
      </c>
      <c r="E13409" s="954" t="n">
        <v>0.09</v>
      </c>
      <c r="F13409" s="617" t="n">
        <v>800</v>
      </c>
      <c r="G13409" s="615" t="n">
        <f aca="false">E13409*F13409</f>
        <v>72</v>
      </c>
      <c r="H13409" s="391"/>
    </row>
    <row r="13410" customFormat="false" ht="15" hidden="false" customHeight="false" outlineLevel="0" collapsed="false">
      <c r="A13410" s="571"/>
      <c r="B13410" s="608" t="s">
        <v>4128</v>
      </c>
      <c r="C13410" s="860"/>
      <c r="D13410" s="316"/>
      <c r="E13410" s="954"/>
      <c r="F13410" s="617"/>
      <c r="G13410" s="613" t="n">
        <f aca="false">SUM(G13399:G13409)</f>
        <v>876.5513</v>
      </c>
      <c r="H13410" s="606"/>
    </row>
    <row r="13411" customFormat="false" ht="15" hidden="false" customHeight="false" outlineLevel="0" collapsed="false">
      <c r="A13411" s="571"/>
      <c r="B13411" s="433" t="s">
        <v>3669</v>
      </c>
      <c r="C13411" s="21" t="s">
        <v>5852</v>
      </c>
      <c r="D13411" s="874" t="s">
        <v>4133</v>
      </c>
      <c r="E13411" s="838" t="n">
        <v>0.005</v>
      </c>
      <c r="F13411" s="617" t="n">
        <v>39930</v>
      </c>
      <c r="G13411" s="615" t="n">
        <f aca="false">E13411*F13411</f>
        <v>199.65</v>
      </c>
      <c r="H13411" s="606"/>
    </row>
    <row r="13412" customFormat="false" ht="15" hidden="false" customHeight="false" outlineLevel="0" collapsed="false">
      <c r="A13412" s="571"/>
      <c r="B13412" s="500"/>
      <c r="C13412" s="21" t="s">
        <v>5818</v>
      </c>
      <c r="D13412" s="874" t="s">
        <v>4133</v>
      </c>
      <c r="E13412" s="838" t="n">
        <v>0.001</v>
      </c>
      <c r="F13412" s="617" t="n">
        <v>67687</v>
      </c>
      <c r="G13412" s="615" t="n">
        <f aca="false">E13412*F13412</f>
        <v>67.687</v>
      </c>
      <c r="H13412" s="606"/>
    </row>
    <row r="13413" customFormat="false" ht="15" hidden="false" customHeight="false" outlineLevel="0" collapsed="false">
      <c r="A13413" s="571"/>
      <c r="B13413" s="608"/>
      <c r="C13413" s="21" t="s">
        <v>5882</v>
      </c>
      <c r="D13413" s="874" t="s">
        <v>4133</v>
      </c>
      <c r="E13413" s="838" t="n">
        <v>0.001</v>
      </c>
      <c r="F13413" s="617" t="n">
        <v>76412</v>
      </c>
      <c r="G13413" s="615" t="n">
        <f aca="false">E13413*F13413</f>
        <v>76.412</v>
      </c>
      <c r="H13413" s="391"/>
    </row>
    <row r="13414" customFormat="false" ht="15" hidden="false" customHeight="false" outlineLevel="0" collapsed="false">
      <c r="A13414" s="571"/>
      <c r="B13414" s="328"/>
      <c r="C13414" s="21" t="s">
        <v>5866</v>
      </c>
      <c r="D13414" s="874" t="s">
        <v>4133</v>
      </c>
      <c r="E13414" s="838" t="n">
        <v>0.001</v>
      </c>
      <c r="F13414" s="617" t="n">
        <v>79662</v>
      </c>
      <c r="G13414" s="615" t="n">
        <f aca="false">E13414*F13414</f>
        <v>79.662</v>
      </c>
      <c r="H13414" s="606"/>
    </row>
    <row r="13415" customFormat="false" ht="15" hidden="false" customHeight="false" outlineLevel="0" collapsed="false">
      <c r="A13415" s="571"/>
      <c r="B13415" s="500"/>
      <c r="C13415" s="21" t="s">
        <v>5883</v>
      </c>
      <c r="D13415" s="874" t="s">
        <v>4133</v>
      </c>
      <c r="E13415" s="838" t="n">
        <v>0.001</v>
      </c>
      <c r="F13415" s="617" t="n">
        <v>37440</v>
      </c>
      <c r="G13415" s="615" t="n">
        <f aca="false">E13415*F13415</f>
        <v>37.44</v>
      </c>
      <c r="H13415" s="606"/>
    </row>
    <row r="13416" customFormat="false" ht="15" hidden="false" customHeight="false" outlineLevel="0" collapsed="false">
      <c r="A13416" s="571"/>
      <c r="B13416" s="608"/>
      <c r="C13416" s="21" t="s">
        <v>5880</v>
      </c>
      <c r="D13416" s="874" t="s">
        <v>4133</v>
      </c>
      <c r="E13416" s="838" t="n">
        <v>0.001</v>
      </c>
      <c r="F13416" s="617" t="n">
        <v>45799</v>
      </c>
      <c r="G13416" s="615" t="n">
        <f aca="false">E13416*F13416</f>
        <v>45.799</v>
      </c>
      <c r="H13416" s="391"/>
    </row>
    <row r="13417" customFormat="false" ht="15" hidden="false" customHeight="false" outlineLevel="0" collapsed="false">
      <c r="A13417" s="571"/>
      <c r="B13417" s="500"/>
      <c r="C13417" s="860" t="s">
        <v>5884</v>
      </c>
      <c r="D13417" s="874" t="s">
        <v>4133</v>
      </c>
      <c r="E13417" s="838" t="n">
        <v>0.001</v>
      </c>
      <c r="F13417" s="617" t="n">
        <v>78000</v>
      </c>
      <c r="G13417" s="615" t="n">
        <f aca="false">E13417*F13417</f>
        <v>78</v>
      </c>
      <c r="H13417" s="606"/>
    </row>
    <row r="13418" customFormat="false" ht="15" hidden="false" customHeight="false" outlineLevel="0" collapsed="false">
      <c r="A13418" s="571"/>
      <c r="B13418" s="500"/>
      <c r="C13418" s="860" t="s">
        <v>5885</v>
      </c>
      <c r="D13418" s="874" t="s">
        <v>4133</v>
      </c>
      <c r="E13418" s="838" t="n">
        <v>0.001</v>
      </c>
      <c r="F13418" s="617" t="n">
        <v>58000</v>
      </c>
      <c r="G13418" s="615" t="n">
        <f aca="false">E13418*F13418</f>
        <v>58</v>
      </c>
      <c r="H13418" s="606"/>
    </row>
    <row r="13419" customFormat="false" ht="15" hidden="false" customHeight="false" outlineLevel="0" collapsed="false">
      <c r="A13419" s="571"/>
      <c r="B13419" s="608"/>
      <c r="C13419" s="860" t="s">
        <v>5886</v>
      </c>
      <c r="D13419" s="874" t="s">
        <v>4133</v>
      </c>
      <c r="E13419" s="838" t="n">
        <v>0.001</v>
      </c>
      <c r="F13419" s="883" t="n">
        <v>63500</v>
      </c>
      <c r="G13419" s="615" t="n">
        <f aca="false">E13419*F13419</f>
        <v>63.5</v>
      </c>
      <c r="H13419" s="391"/>
    </row>
    <row r="13420" customFormat="false" ht="15" hidden="false" customHeight="false" outlineLevel="0" collapsed="false">
      <c r="A13420" s="571"/>
      <c r="B13420" s="328"/>
      <c r="C13420" s="21" t="s">
        <v>5824</v>
      </c>
      <c r="D13420" s="316" t="s">
        <v>4359</v>
      </c>
      <c r="E13420" s="838" t="n">
        <v>0.001</v>
      </c>
      <c r="F13420" s="617" t="n">
        <v>82115</v>
      </c>
      <c r="G13420" s="615" t="n">
        <f aca="false">E13420*F13420</f>
        <v>82.115</v>
      </c>
      <c r="H13420" s="606"/>
    </row>
    <row r="13421" customFormat="false" ht="15" hidden="false" customHeight="false" outlineLevel="0" collapsed="false">
      <c r="A13421" s="571"/>
      <c r="B13421" s="500"/>
      <c r="C13421" s="860" t="s">
        <v>5819</v>
      </c>
      <c r="D13421" s="316" t="s">
        <v>4191</v>
      </c>
      <c r="E13421" s="954" t="n">
        <v>0.01</v>
      </c>
      <c r="F13421" s="883" t="n">
        <v>316.4</v>
      </c>
      <c r="G13421" s="615" t="n">
        <f aca="false">E13421*F13421</f>
        <v>3.164</v>
      </c>
      <c r="H13421" s="606"/>
    </row>
    <row r="13422" customFormat="false" ht="15" hidden="false" customHeight="false" outlineLevel="0" collapsed="false">
      <c r="A13422" s="571"/>
      <c r="B13422" s="500"/>
      <c r="C13422" s="860" t="s">
        <v>5826</v>
      </c>
      <c r="D13422" s="316" t="s">
        <v>4191</v>
      </c>
      <c r="E13422" s="954" t="n">
        <v>0.01</v>
      </c>
      <c r="F13422" s="617" t="n">
        <v>366.25</v>
      </c>
      <c r="G13422" s="615" t="n">
        <f aca="false">E13422*F13422</f>
        <v>3.6625</v>
      </c>
      <c r="H13422" s="606"/>
    </row>
    <row r="13423" customFormat="false" ht="15" hidden="false" customHeight="false" outlineLevel="0" collapsed="false">
      <c r="A13423" s="571"/>
      <c r="B13423" s="500"/>
      <c r="C13423" s="860" t="s">
        <v>5820</v>
      </c>
      <c r="D13423" s="316" t="s">
        <v>4191</v>
      </c>
      <c r="E13423" s="954" t="n">
        <v>0.01</v>
      </c>
      <c r="F13423" s="617" t="n">
        <v>650</v>
      </c>
      <c r="G13423" s="615" t="n">
        <f aca="false">E13423*F13423</f>
        <v>6.5</v>
      </c>
      <c r="H13423" s="606"/>
    </row>
    <row r="13424" customFormat="false" ht="15" hidden="false" customHeight="false" outlineLevel="0" collapsed="false">
      <c r="A13424" s="571"/>
      <c r="B13424" s="500"/>
      <c r="C13424" s="860" t="s">
        <v>5861</v>
      </c>
      <c r="D13424" s="316" t="s">
        <v>5452</v>
      </c>
      <c r="E13424" s="954" t="n">
        <v>0.001</v>
      </c>
      <c r="F13424" s="617" t="n">
        <v>150375</v>
      </c>
      <c r="G13424" s="615" t="n">
        <f aca="false">E13424*F13424</f>
        <v>150.375</v>
      </c>
      <c r="H13424" s="606"/>
    </row>
    <row r="13425" customFormat="false" ht="15" hidden="false" customHeight="false" outlineLevel="0" collapsed="false">
      <c r="A13425" s="571"/>
      <c r="B13425" s="500"/>
      <c r="C13425" s="860" t="s">
        <v>4645</v>
      </c>
      <c r="D13425" s="316" t="s">
        <v>4133</v>
      </c>
      <c r="E13425" s="954" t="n">
        <v>0.01</v>
      </c>
      <c r="F13425" s="617" t="n">
        <v>15168</v>
      </c>
      <c r="G13425" s="615" t="n">
        <f aca="false">E13425*F13425</f>
        <v>151.68</v>
      </c>
      <c r="H13425" s="606"/>
    </row>
    <row r="13426" customFormat="false" ht="30" hidden="false" customHeight="false" outlineLevel="0" collapsed="false">
      <c r="A13426" s="571"/>
      <c r="B13426" s="500"/>
      <c r="C13426" s="860" t="s">
        <v>5860</v>
      </c>
      <c r="D13426" s="316" t="s">
        <v>4133</v>
      </c>
      <c r="E13426" s="954" t="n">
        <v>0.01</v>
      </c>
      <c r="F13426" s="617" t="n">
        <v>35035</v>
      </c>
      <c r="G13426" s="615" t="n">
        <f aca="false">E13426*F13426</f>
        <v>350.35</v>
      </c>
      <c r="H13426" s="606"/>
    </row>
    <row r="13427" customFormat="false" ht="15" hidden="false" customHeight="false" outlineLevel="0" collapsed="false">
      <c r="A13427" s="571"/>
      <c r="B13427" s="500"/>
      <c r="C13427" s="21" t="s">
        <v>5823</v>
      </c>
      <c r="D13427" s="874" t="s">
        <v>4133</v>
      </c>
      <c r="E13427" s="959" t="n">
        <v>0.001</v>
      </c>
      <c r="F13427" s="617" t="n">
        <v>69797</v>
      </c>
      <c r="G13427" s="615" t="n">
        <f aca="false">E13427*F13427</f>
        <v>69.797</v>
      </c>
      <c r="H13427" s="606"/>
    </row>
    <row r="13428" customFormat="false" ht="15" hidden="false" customHeight="false" outlineLevel="0" collapsed="false">
      <c r="A13428" s="571"/>
      <c r="B13428" s="608"/>
      <c r="C13428" s="860" t="s">
        <v>4776</v>
      </c>
      <c r="D13428" s="316" t="s">
        <v>4359</v>
      </c>
      <c r="E13428" s="954" t="n">
        <v>0.1</v>
      </c>
      <c r="F13428" s="617" t="n">
        <v>800</v>
      </c>
      <c r="G13428" s="615" t="n">
        <f aca="false">E13428*F13428</f>
        <v>80</v>
      </c>
      <c r="H13428" s="391"/>
    </row>
    <row r="13429" customFormat="false" ht="15" hidden="false" customHeight="false" outlineLevel="0" collapsed="false">
      <c r="A13429" s="571"/>
      <c r="B13429" s="608" t="s">
        <v>4128</v>
      </c>
      <c r="C13429" s="709"/>
      <c r="D13429" s="606"/>
      <c r="E13429" s="606"/>
      <c r="F13429" s="361"/>
      <c r="G13429" s="613" t="n">
        <f aca="false">SUM(G13411:G13428)</f>
        <v>1603.7935</v>
      </c>
      <c r="H13429" s="606"/>
    </row>
    <row r="13430" customFormat="false" ht="45" hidden="false" customHeight="false" outlineLevel="0" collapsed="false">
      <c r="A13430" s="571"/>
      <c r="B13430" s="433" t="s">
        <v>3670</v>
      </c>
      <c r="C13430" s="860" t="s">
        <v>5859</v>
      </c>
      <c r="D13430" s="874" t="s">
        <v>4359</v>
      </c>
      <c r="E13430" s="959" t="n">
        <v>0.01</v>
      </c>
      <c r="F13430" s="617" t="n">
        <v>1995</v>
      </c>
      <c r="G13430" s="850" t="n">
        <f aca="false">E13430*F13430</f>
        <v>19.95</v>
      </c>
      <c r="H13430" s="606"/>
    </row>
    <row r="13431" customFormat="false" ht="15" hidden="false" customHeight="false" outlineLevel="0" collapsed="false">
      <c r="A13431" s="571"/>
      <c r="B13431" s="500"/>
      <c r="C13431" s="860" t="s">
        <v>5884</v>
      </c>
      <c r="D13431" s="316" t="s">
        <v>4133</v>
      </c>
      <c r="E13431" s="970" t="n">
        <v>0.001</v>
      </c>
      <c r="F13431" s="617" t="n">
        <v>78000</v>
      </c>
      <c r="G13431" s="850" t="n">
        <f aca="false">E13431*F13431</f>
        <v>78</v>
      </c>
      <c r="H13431" s="606"/>
    </row>
    <row r="13432" customFormat="false" ht="15" hidden="false" customHeight="false" outlineLevel="0" collapsed="false">
      <c r="A13432" s="571"/>
      <c r="B13432" s="500"/>
      <c r="C13432" s="860" t="s">
        <v>5885</v>
      </c>
      <c r="D13432" s="316" t="s">
        <v>4133</v>
      </c>
      <c r="E13432" s="970" t="n">
        <v>0.001</v>
      </c>
      <c r="F13432" s="617" t="n">
        <v>58000</v>
      </c>
      <c r="G13432" s="850" t="n">
        <f aca="false">E13432*F13432</f>
        <v>58</v>
      </c>
      <c r="H13432" s="606"/>
    </row>
    <row r="13433" customFormat="false" ht="15" hidden="false" customHeight="false" outlineLevel="0" collapsed="false">
      <c r="A13433" s="571"/>
      <c r="B13433" s="500"/>
      <c r="C13433" s="860" t="s">
        <v>5886</v>
      </c>
      <c r="D13433" s="316" t="s">
        <v>4133</v>
      </c>
      <c r="E13433" s="970" t="n">
        <v>0.001</v>
      </c>
      <c r="F13433" s="883" t="n">
        <v>63500</v>
      </c>
      <c r="G13433" s="850" t="n">
        <f aca="false">E13433*F13433</f>
        <v>63.5</v>
      </c>
      <c r="H13433" s="606"/>
    </row>
    <row r="13434" customFormat="false" ht="15" hidden="false" customHeight="false" outlineLevel="0" collapsed="false">
      <c r="A13434" s="571"/>
      <c r="B13434" s="608"/>
      <c r="C13434" s="21" t="s">
        <v>5818</v>
      </c>
      <c r="D13434" s="316" t="s">
        <v>4133</v>
      </c>
      <c r="E13434" s="959" t="n">
        <v>0.001</v>
      </c>
      <c r="F13434" s="617" t="n">
        <v>67687</v>
      </c>
      <c r="G13434" s="850" t="n">
        <f aca="false">E13434*F13434</f>
        <v>67.687</v>
      </c>
      <c r="H13434" s="391"/>
    </row>
    <row r="13435" customFormat="false" ht="30" hidden="false" customHeight="false" outlineLevel="0" collapsed="false">
      <c r="A13435" s="571"/>
      <c r="B13435" s="500"/>
      <c r="C13435" s="860" t="s">
        <v>5877</v>
      </c>
      <c r="D13435" s="316" t="s">
        <v>4528</v>
      </c>
      <c r="E13435" s="954" t="n">
        <v>0.009</v>
      </c>
      <c r="F13435" s="883" t="n">
        <v>68401</v>
      </c>
      <c r="G13435" s="850" t="n">
        <f aca="false">E13435*F13435</f>
        <v>615.609</v>
      </c>
      <c r="H13435" s="606"/>
    </row>
    <row r="13436" customFormat="false" ht="15" hidden="false" customHeight="false" outlineLevel="0" collapsed="false">
      <c r="A13436" s="571"/>
      <c r="B13436" s="500"/>
      <c r="C13436" s="21" t="s">
        <v>5852</v>
      </c>
      <c r="D13436" s="874" t="s">
        <v>5564</v>
      </c>
      <c r="E13436" s="838" t="n">
        <v>0.01</v>
      </c>
      <c r="F13436" s="617" t="n">
        <v>39930</v>
      </c>
      <c r="G13436" s="850" t="n">
        <f aca="false">E13436*F13436</f>
        <v>399.3</v>
      </c>
      <c r="H13436" s="606"/>
    </row>
    <row r="13437" customFormat="false" ht="15" hidden="false" customHeight="false" outlineLevel="0" collapsed="false">
      <c r="A13437" s="571"/>
      <c r="B13437" s="500"/>
      <c r="C13437" s="21" t="s">
        <v>5824</v>
      </c>
      <c r="D13437" s="316" t="s">
        <v>4528</v>
      </c>
      <c r="E13437" s="954" t="n">
        <v>0.001</v>
      </c>
      <c r="F13437" s="617" t="n">
        <v>82115</v>
      </c>
      <c r="G13437" s="850" t="n">
        <f aca="false">E13437*F13437</f>
        <v>82.115</v>
      </c>
      <c r="H13437" s="606"/>
    </row>
    <row r="13438" customFormat="false" ht="15" hidden="false" customHeight="false" outlineLevel="0" collapsed="false">
      <c r="A13438" s="571"/>
      <c r="B13438" s="500"/>
      <c r="C13438" s="860" t="s">
        <v>5819</v>
      </c>
      <c r="D13438" s="316" t="s">
        <v>4191</v>
      </c>
      <c r="E13438" s="954" t="n">
        <v>0.01</v>
      </c>
      <c r="F13438" s="883" t="n">
        <v>316.4</v>
      </c>
      <c r="G13438" s="850" t="n">
        <f aca="false">E13438*F13438</f>
        <v>3.164</v>
      </c>
      <c r="H13438" s="606"/>
    </row>
    <row r="13439" customFormat="false" ht="15" hidden="false" customHeight="false" outlineLevel="0" collapsed="false">
      <c r="A13439" s="571"/>
      <c r="B13439" s="500"/>
      <c r="C13439" s="860" t="s">
        <v>5826</v>
      </c>
      <c r="D13439" s="316" t="s">
        <v>4191</v>
      </c>
      <c r="E13439" s="954" t="n">
        <v>0.01</v>
      </c>
      <c r="F13439" s="617" t="n">
        <v>366.25</v>
      </c>
      <c r="G13439" s="850" t="n">
        <f aca="false">E13439*F13439</f>
        <v>3.6625</v>
      </c>
      <c r="H13439" s="606"/>
    </row>
    <row r="13440" customFormat="false" ht="15" hidden="false" customHeight="false" outlineLevel="0" collapsed="false">
      <c r="A13440" s="571"/>
      <c r="B13440" s="328"/>
      <c r="C13440" s="860" t="s">
        <v>5820</v>
      </c>
      <c r="D13440" s="316" t="s">
        <v>4191</v>
      </c>
      <c r="E13440" s="954" t="n">
        <v>0.01</v>
      </c>
      <c r="F13440" s="617" t="n">
        <v>650</v>
      </c>
      <c r="G13440" s="850" t="n">
        <f aca="false">E13440*F13440</f>
        <v>6.5</v>
      </c>
      <c r="H13440" s="606"/>
    </row>
    <row r="13441" customFormat="false" ht="15" hidden="false" customHeight="false" outlineLevel="0" collapsed="false">
      <c r="A13441" s="571"/>
      <c r="B13441" s="500"/>
      <c r="C13441" s="860" t="s">
        <v>5861</v>
      </c>
      <c r="D13441" s="316" t="s">
        <v>5452</v>
      </c>
      <c r="E13441" s="954" t="n">
        <v>0.001</v>
      </c>
      <c r="F13441" s="617" t="n">
        <v>150375</v>
      </c>
      <c r="G13441" s="850" t="n">
        <f aca="false">E13441*F13441</f>
        <v>150.375</v>
      </c>
      <c r="H13441" s="606"/>
    </row>
    <row r="13442" customFormat="false" ht="15" hidden="false" customHeight="false" outlineLevel="0" collapsed="false">
      <c r="A13442" s="571"/>
      <c r="B13442" s="500"/>
      <c r="C13442" s="860" t="s">
        <v>5825</v>
      </c>
      <c r="D13442" s="316" t="s">
        <v>4191</v>
      </c>
      <c r="E13442" s="954" t="n">
        <v>0.01</v>
      </c>
      <c r="F13442" s="883" t="n">
        <v>8468</v>
      </c>
      <c r="G13442" s="850" t="n">
        <f aca="false">E13442*F13442</f>
        <v>84.68</v>
      </c>
      <c r="H13442" s="606"/>
    </row>
    <row r="13443" customFormat="false" ht="15" hidden="false" customHeight="false" outlineLevel="0" collapsed="false">
      <c r="A13443" s="571"/>
      <c r="B13443" s="500"/>
      <c r="C13443" s="860" t="s">
        <v>4776</v>
      </c>
      <c r="D13443" s="316" t="s">
        <v>4359</v>
      </c>
      <c r="E13443" s="954" t="n">
        <v>0.1</v>
      </c>
      <c r="F13443" s="617" t="n">
        <v>800</v>
      </c>
      <c r="G13443" s="850" t="n">
        <f aca="false">E13443*F13443</f>
        <v>80</v>
      </c>
      <c r="H13443" s="606"/>
    </row>
    <row r="13444" customFormat="false" ht="15" hidden="false" customHeight="false" outlineLevel="0" collapsed="false">
      <c r="A13444" s="571"/>
      <c r="B13444" s="608" t="s">
        <v>4128</v>
      </c>
      <c r="C13444" s="718"/>
      <c r="D13444" s="610"/>
      <c r="E13444" s="610"/>
      <c r="F13444" s="612"/>
      <c r="G13444" s="613" t="n">
        <f aca="false">SUM(G13430:G13443)</f>
        <v>1712.5425</v>
      </c>
      <c r="H13444" s="610"/>
    </row>
    <row r="13445" customFormat="false" ht="30" hidden="false" customHeight="false" outlineLevel="0" collapsed="false">
      <c r="A13445" s="571"/>
      <c r="B13445" s="500" t="s">
        <v>5887</v>
      </c>
      <c r="C13445" s="860" t="s">
        <v>5859</v>
      </c>
      <c r="D13445" s="874" t="s">
        <v>4359</v>
      </c>
      <c r="E13445" s="959" t="n">
        <v>0.01</v>
      </c>
      <c r="F13445" s="617" t="n">
        <v>1995</v>
      </c>
      <c r="G13445" s="850" t="n">
        <f aca="false">E13445*F13445</f>
        <v>19.95</v>
      </c>
      <c r="H13445" s="606"/>
    </row>
    <row r="13446" customFormat="false" ht="15" hidden="false" customHeight="false" outlineLevel="0" collapsed="false">
      <c r="A13446" s="571"/>
      <c r="B13446" s="500"/>
      <c r="C13446" s="860" t="s">
        <v>5886</v>
      </c>
      <c r="D13446" s="316" t="s">
        <v>4133</v>
      </c>
      <c r="E13446" s="661" t="n">
        <v>0.001</v>
      </c>
      <c r="F13446" s="883" t="n">
        <v>63500</v>
      </c>
      <c r="G13446" s="850" t="n">
        <f aca="false">E13446*F13446</f>
        <v>63.5</v>
      </c>
      <c r="H13446" s="606"/>
    </row>
    <row r="13447" customFormat="false" ht="15" hidden="false" customHeight="false" outlineLevel="0" collapsed="false">
      <c r="A13447" s="571"/>
      <c r="B13447" s="500"/>
      <c r="C13447" s="21" t="s">
        <v>5818</v>
      </c>
      <c r="D13447" s="874" t="s">
        <v>4133</v>
      </c>
      <c r="E13447" s="661" t="n">
        <v>0.001</v>
      </c>
      <c r="F13447" s="617" t="n">
        <v>67687</v>
      </c>
      <c r="G13447" s="850" t="n">
        <f aca="false">E13447*F13447</f>
        <v>67.687</v>
      </c>
      <c r="H13447" s="606"/>
    </row>
    <row r="13448" customFormat="false" ht="30" hidden="false" customHeight="false" outlineLevel="0" collapsed="false">
      <c r="A13448" s="571"/>
      <c r="B13448" s="608"/>
      <c r="C13448" s="860" t="s">
        <v>5877</v>
      </c>
      <c r="D13448" s="316" t="s">
        <v>4359</v>
      </c>
      <c r="E13448" s="954" t="n">
        <v>0.01</v>
      </c>
      <c r="F13448" s="883" t="n">
        <v>68415</v>
      </c>
      <c r="G13448" s="850" t="n">
        <f aca="false">E13448*F13448</f>
        <v>684.15</v>
      </c>
      <c r="H13448" s="391"/>
    </row>
    <row r="13449" customFormat="false" ht="15" hidden="false" customHeight="false" outlineLevel="0" collapsed="false">
      <c r="A13449" s="571"/>
      <c r="B13449" s="500"/>
      <c r="C13449" s="21" t="s">
        <v>5852</v>
      </c>
      <c r="D13449" s="874" t="s">
        <v>4133</v>
      </c>
      <c r="E13449" s="838" t="n">
        <v>0.001</v>
      </c>
      <c r="F13449" s="617" t="n">
        <v>39930</v>
      </c>
      <c r="G13449" s="850" t="n">
        <f aca="false">E13449*F13449</f>
        <v>39.93</v>
      </c>
      <c r="H13449" s="606"/>
    </row>
    <row r="13450" customFormat="false" ht="15" hidden="false" customHeight="false" outlineLevel="0" collapsed="false">
      <c r="A13450" s="571"/>
      <c r="B13450" s="500"/>
      <c r="C13450" s="21" t="s">
        <v>5824</v>
      </c>
      <c r="D13450" s="316" t="s">
        <v>4359</v>
      </c>
      <c r="E13450" s="954" t="n">
        <v>0.001</v>
      </c>
      <c r="F13450" s="617" t="n">
        <v>82115</v>
      </c>
      <c r="G13450" s="850" t="n">
        <f aca="false">E13450*F13450</f>
        <v>82.115</v>
      </c>
      <c r="H13450" s="606"/>
    </row>
    <row r="13451" customFormat="false" ht="15" hidden="false" customHeight="false" outlineLevel="0" collapsed="false">
      <c r="A13451" s="571"/>
      <c r="B13451" s="500"/>
      <c r="C13451" s="860" t="s">
        <v>5819</v>
      </c>
      <c r="D13451" s="316" t="s">
        <v>4191</v>
      </c>
      <c r="E13451" s="954" t="n">
        <v>0.01</v>
      </c>
      <c r="F13451" s="883" t="n">
        <v>316.4</v>
      </c>
      <c r="G13451" s="850" t="n">
        <f aca="false">E13451*F13451</f>
        <v>3.164</v>
      </c>
      <c r="H13451" s="606"/>
    </row>
    <row r="13452" customFormat="false" ht="15" hidden="false" customHeight="false" outlineLevel="0" collapsed="false">
      <c r="A13452" s="571"/>
      <c r="B13452" s="500"/>
      <c r="C13452" s="860" t="s">
        <v>5826</v>
      </c>
      <c r="D13452" s="316" t="s">
        <v>4191</v>
      </c>
      <c r="E13452" s="954" t="n">
        <v>0.01</v>
      </c>
      <c r="F13452" s="617" t="n">
        <v>366.25</v>
      </c>
      <c r="G13452" s="850" t="n">
        <f aca="false">E13452*F13452</f>
        <v>3.6625</v>
      </c>
      <c r="H13452" s="606"/>
    </row>
    <row r="13453" customFormat="false" ht="15" hidden="false" customHeight="false" outlineLevel="0" collapsed="false">
      <c r="A13453" s="571"/>
      <c r="B13453" s="500"/>
      <c r="C13453" s="860" t="s">
        <v>5820</v>
      </c>
      <c r="D13453" s="316" t="s">
        <v>4191</v>
      </c>
      <c r="E13453" s="954" t="n">
        <v>0.01</v>
      </c>
      <c r="F13453" s="617" t="n">
        <v>650</v>
      </c>
      <c r="G13453" s="850" t="n">
        <f aca="false">E13453*F13453</f>
        <v>6.5</v>
      </c>
      <c r="H13453" s="606"/>
    </row>
    <row r="13454" customFormat="false" ht="15" hidden="false" customHeight="false" outlineLevel="0" collapsed="false">
      <c r="A13454" s="571"/>
      <c r="B13454" s="500"/>
      <c r="C13454" s="860" t="s">
        <v>5861</v>
      </c>
      <c r="D13454" s="316" t="s">
        <v>5452</v>
      </c>
      <c r="E13454" s="954" t="n">
        <v>0.001</v>
      </c>
      <c r="F13454" s="617" t="n">
        <v>150375</v>
      </c>
      <c r="G13454" s="850" t="n">
        <f aca="false">E13454*F13454</f>
        <v>150.375</v>
      </c>
      <c r="H13454" s="606"/>
    </row>
    <row r="13455" customFormat="false" ht="15" hidden="false" customHeight="false" outlineLevel="0" collapsed="false">
      <c r="A13455" s="571"/>
      <c r="B13455" s="500"/>
      <c r="C13455" s="860" t="s">
        <v>5825</v>
      </c>
      <c r="D13455" s="316" t="s">
        <v>4191</v>
      </c>
      <c r="E13455" s="954" t="n">
        <v>0.01</v>
      </c>
      <c r="F13455" s="883" t="n">
        <v>8468</v>
      </c>
      <c r="G13455" s="850" t="n">
        <f aca="false">E13455*F13455</f>
        <v>84.68</v>
      </c>
      <c r="H13455" s="606"/>
    </row>
    <row r="13456" customFormat="false" ht="15" hidden="false" customHeight="false" outlineLevel="0" collapsed="false">
      <c r="A13456" s="571"/>
      <c r="B13456" s="500"/>
      <c r="C13456" s="860" t="s">
        <v>4776</v>
      </c>
      <c r="D13456" s="316" t="s">
        <v>4359</v>
      </c>
      <c r="E13456" s="954" t="n">
        <v>0.1</v>
      </c>
      <c r="F13456" s="617" t="n">
        <v>800</v>
      </c>
      <c r="G13456" s="850" t="n">
        <f aca="false">E13456*F13456</f>
        <v>80</v>
      </c>
      <c r="H13456" s="606"/>
    </row>
    <row r="13457" customFormat="false" ht="15" hidden="false" customHeight="false" outlineLevel="0" collapsed="false">
      <c r="A13457" s="571"/>
      <c r="B13457" s="608" t="s">
        <v>4128</v>
      </c>
      <c r="C13457" s="964"/>
      <c r="D13457" s="965"/>
      <c r="E13457" s="966"/>
      <c r="F13457" s="967"/>
      <c r="G13457" s="613" t="n">
        <f aca="false">SUM(G13445:G13456)</f>
        <v>1285.7135</v>
      </c>
      <c r="H13457" s="610"/>
    </row>
    <row r="13458" customFormat="false" ht="30" hidden="false" customHeight="false" outlineLevel="0" collapsed="false">
      <c r="A13458" s="571"/>
      <c r="B13458" s="433" t="s">
        <v>3672</v>
      </c>
      <c r="C13458" s="860" t="s">
        <v>5888</v>
      </c>
      <c r="D13458" s="316" t="s">
        <v>4133</v>
      </c>
      <c r="E13458" s="661" t="n">
        <v>0.009</v>
      </c>
      <c r="F13458" s="617" t="n">
        <v>121303</v>
      </c>
      <c r="G13458" s="615" t="n">
        <f aca="false">E13458*F13458</f>
        <v>1091.727</v>
      </c>
      <c r="H13458" s="391"/>
    </row>
    <row r="13459" customFormat="false" ht="15" hidden="false" customHeight="false" outlineLevel="0" collapsed="false">
      <c r="A13459" s="571"/>
      <c r="B13459" s="328"/>
      <c r="C13459" s="860" t="s">
        <v>5824</v>
      </c>
      <c r="D13459" s="316" t="s">
        <v>4359</v>
      </c>
      <c r="E13459" s="954" t="n">
        <v>0.001</v>
      </c>
      <c r="F13459" s="617" t="n">
        <v>82115</v>
      </c>
      <c r="G13459" s="615" t="n">
        <f aca="false">E13459*F13459</f>
        <v>82.115</v>
      </c>
      <c r="H13459" s="606"/>
    </row>
    <row r="13460" customFormat="false" ht="15" hidden="false" customHeight="false" outlineLevel="0" collapsed="false">
      <c r="A13460" s="571"/>
      <c r="B13460" s="500"/>
      <c r="C13460" s="860" t="s">
        <v>5826</v>
      </c>
      <c r="D13460" s="316" t="s">
        <v>4191</v>
      </c>
      <c r="E13460" s="954" t="n">
        <v>0.01</v>
      </c>
      <c r="F13460" s="617" t="n">
        <v>366.25</v>
      </c>
      <c r="G13460" s="615" t="n">
        <f aca="false">E13460*F13460</f>
        <v>3.6625</v>
      </c>
      <c r="H13460" s="606"/>
    </row>
    <row r="13461" customFormat="false" ht="15" hidden="false" customHeight="false" outlineLevel="0" collapsed="false">
      <c r="A13461" s="571"/>
      <c r="B13461" s="500"/>
      <c r="C13461" s="860" t="s">
        <v>5820</v>
      </c>
      <c r="D13461" s="316" t="s">
        <v>4191</v>
      </c>
      <c r="E13461" s="954" t="n">
        <v>0.01</v>
      </c>
      <c r="F13461" s="617" t="n">
        <v>650</v>
      </c>
      <c r="G13461" s="615" t="n">
        <f aca="false">E13461*F13461</f>
        <v>6.5</v>
      </c>
      <c r="H13461" s="606"/>
    </row>
    <row r="13462" customFormat="false" ht="15" hidden="false" customHeight="false" outlineLevel="0" collapsed="false">
      <c r="A13462" s="571"/>
      <c r="B13462" s="500"/>
      <c r="C13462" s="860" t="s">
        <v>4515</v>
      </c>
      <c r="D13462" s="316" t="s">
        <v>4133</v>
      </c>
      <c r="E13462" s="954" t="n">
        <v>0.15</v>
      </c>
      <c r="F13462" s="681" t="n">
        <v>350</v>
      </c>
      <c r="G13462" s="615" t="n">
        <f aca="false">E13462*F13462</f>
        <v>52.5</v>
      </c>
      <c r="H13462" s="606"/>
    </row>
    <row r="13463" customFormat="false" ht="15" hidden="false" customHeight="false" outlineLevel="0" collapsed="false">
      <c r="A13463" s="571"/>
      <c r="B13463" s="500"/>
      <c r="C13463" s="860" t="s">
        <v>4776</v>
      </c>
      <c r="D13463" s="316" t="s">
        <v>4359</v>
      </c>
      <c r="E13463" s="954" t="n">
        <v>0.1</v>
      </c>
      <c r="F13463" s="617" t="n">
        <v>800</v>
      </c>
      <c r="G13463" s="615" t="n">
        <f aca="false">E13463*F13463</f>
        <v>80</v>
      </c>
      <c r="H13463" s="606"/>
    </row>
    <row r="13464" customFormat="false" ht="15" hidden="false" customHeight="false" outlineLevel="0" collapsed="false">
      <c r="A13464" s="571"/>
      <c r="B13464" s="500"/>
      <c r="C13464" s="860" t="s">
        <v>5851</v>
      </c>
      <c r="D13464" s="316" t="s">
        <v>4348</v>
      </c>
      <c r="E13464" s="954" t="n">
        <v>0.01</v>
      </c>
      <c r="F13464" s="617" t="n">
        <v>19488</v>
      </c>
      <c r="G13464" s="615" t="n">
        <f aca="false">E13464*F13464</f>
        <v>194.88</v>
      </c>
      <c r="H13464" s="606"/>
    </row>
    <row r="13465" customFormat="false" ht="15" hidden="false" customHeight="false" outlineLevel="0" collapsed="false">
      <c r="A13465" s="571"/>
      <c r="B13465" s="608"/>
      <c r="C13465" s="860" t="s">
        <v>5829</v>
      </c>
      <c r="D13465" s="316" t="s">
        <v>4348</v>
      </c>
      <c r="E13465" s="954" t="n">
        <v>0.001</v>
      </c>
      <c r="F13465" s="617" t="n">
        <v>150370</v>
      </c>
      <c r="G13465" s="615" t="n">
        <f aca="false">E13465*F13465</f>
        <v>150.37</v>
      </c>
      <c r="H13465" s="391"/>
    </row>
    <row r="13466" customFormat="false" ht="15" hidden="false" customHeight="false" outlineLevel="0" collapsed="false">
      <c r="A13466" s="571"/>
      <c r="B13466" s="608" t="s">
        <v>4128</v>
      </c>
      <c r="C13466" s="964"/>
      <c r="D13466" s="965"/>
      <c r="E13466" s="966"/>
      <c r="F13466" s="967"/>
      <c r="G13466" s="613" t="n">
        <f aca="false">SUM(G13458:G13465)</f>
        <v>1661.7545</v>
      </c>
      <c r="H13466" s="610"/>
    </row>
    <row r="13467" customFormat="false" ht="30" hidden="false" customHeight="false" outlineLevel="0" collapsed="false">
      <c r="A13467" s="571"/>
      <c r="B13467" s="433" t="s">
        <v>3673</v>
      </c>
      <c r="C13467" s="860" t="s">
        <v>5889</v>
      </c>
      <c r="D13467" s="316" t="s">
        <v>4133</v>
      </c>
      <c r="E13467" s="661" t="n">
        <v>0.009</v>
      </c>
      <c r="F13467" s="617" t="n">
        <v>57057</v>
      </c>
      <c r="G13467" s="615" t="n">
        <f aca="false">E13467*F13467</f>
        <v>513.513</v>
      </c>
      <c r="H13467" s="606"/>
    </row>
    <row r="13468" customFormat="false" ht="15" hidden="false" customHeight="false" outlineLevel="0" collapsed="false">
      <c r="A13468" s="571"/>
      <c r="B13468" s="608"/>
      <c r="C13468" s="860" t="s">
        <v>4410</v>
      </c>
      <c r="D13468" s="316" t="s">
        <v>4133</v>
      </c>
      <c r="E13468" s="954" t="n">
        <v>0.01</v>
      </c>
      <c r="F13468" s="617" t="n">
        <v>2782</v>
      </c>
      <c r="G13468" s="615" t="n">
        <f aca="false">E13468*F13468</f>
        <v>27.82</v>
      </c>
      <c r="H13468" s="391"/>
    </row>
    <row r="13469" customFormat="false" ht="15" hidden="false" customHeight="false" outlineLevel="0" collapsed="false">
      <c r="A13469" s="571"/>
      <c r="B13469" s="500"/>
      <c r="C13469" s="860" t="s">
        <v>5890</v>
      </c>
      <c r="D13469" s="316" t="s">
        <v>4359</v>
      </c>
      <c r="E13469" s="954" t="n">
        <v>0.09</v>
      </c>
      <c r="F13469" s="617" t="n">
        <v>2000</v>
      </c>
      <c r="G13469" s="615" t="n">
        <f aca="false">E13469*F13469</f>
        <v>180</v>
      </c>
      <c r="H13469" s="606"/>
    </row>
    <row r="13470" customFormat="false" ht="15" hidden="false" customHeight="false" outlineLevel="0" collapsed="false">
      <c r="A13470" s="571"/>
      <c r="B13470" s="500"/>
      <c r="C13470" s="860" t="s">
        <v>5891</v>
      </c>
      <c r="D13470" s="316" t="s">
        <v>5892</v>
      </c>
      <c r="E13470" s="954" t="n">
        <v>0.09</v>
      </c>
      <c r="F13470" s="617" t="n">
        <v>2000</v>
      </c>
      <c r="G13470" s="615" t="n">
        <f aca="false">E13470*F13470</f>
        <v>180</v>
      </c>
      <c r="H13470" s="606"/>
    </row>
    <row r="13471" customFormat="false" ht="30" hidden="false" customHeight="false" outlineLevel="0" collapsed="false">
      <c r="A13471" s="571"/>
      <c r="B13471" s="500"/>
      <c r="C13471" s="860" t="s">
        <v>5893</v>
      </c>
      <c r="D13471" s="316" t="s">
        <v>4191</v>
      </c>
      <c r="E13471" s="954" t="n">
        <v>0.001</v>
      </c>
      <c r="F13471" s="617" t="n">
        <v>200000</v>
      </c>
      <c r="G13471" s="615" t="n">
        <f aca="false">E13471*F13471</f>
        <v>200</v>
      </c>
      <c r="H13471" s="606"/>
    </row>
    <row r="13472" customFormat="false" ht="15" hidden="false" customHeight="false" outlineLevel="0" collapsed="false">
      <c r="A13472" s="571"/>
      <c r="B13472" s="500"/>
      <c r="C13472" s="860" t="s">
        <v>5826</v>
      </c>
      <c r="D13472" s="316" t="s">
        <v>4191</v>
      </c>
      <c r="E13472" s="954" t="n">
        <v>0.01</v>
      </c>
      <c r="F13472" s="617" t="n">
        <v>366.25</v>
      </c>
      <c r="G13472" s="615" t="n">
        <f aca="false">E13472*F13472</f>
        <v>3.6625</v>
      </c>
      <c r="H13472" s="606"/>
    </row>
    <row r="13473" customFormat="false" ht="15" hidden="false" customHeight="false" outlineLevel="0" collapsed="false">
      <c r="A13473" s="571"/>
      <c r="B13473" s="500"/>
      <c r="C13473" s="860" t="s">
        <v>5820</v>
      </c>
      <c r="D13473" s="316" t="s">
        <v>4191</v>
      </c>
      <c r="E13473" s="954" t="n">
        <v>0.01</v>
      </c>
      <c r="F13473" s="617" t="n">
        <v>650</v>
      </c>
      <c r="G13473" s="615" t="n">
        <f aca="false">E13473*F13473</f>
        <v>6.5</v>
      </c>
      <c r="H13473" s="606"/>
    </row>
    <row r="13474" customFormat="false" ht="15" hidden="false" customHeight="false" outlineLevel="0" collapsed="false">
      <c r="A13474" s="571"/>
      <c r="B13474" s="500"/>
      <c r="C13474" s="860" t="s">
        <v>4776</v>
      </c>
      <c r="D13474" s="316" t="s">
        <v>4359</v>
      </c>
      <c r="E13474" s="954" t="n">
        <v>0.1</v>
      </c>
      <c r="F13474" s="617" t="n">
        <v>800</v>
      </c>
      <c r="G13474" s="615" t="n">
        <f aca="false">E13474*F13474</f>
        <v>80</v>
      </c>
      <c r="H13474" s="606"/>
    </row>
    <row r="13475" customFormat="false" ht="15" hidden="false" customHeight="false" outlineLevel="0" collapsed="false">
      <c r="A13475" s="571"/>
      <c r="B13475" s="608"/>
      <c r="C13475" s="855" t="s">
        <v>5851</v>
      </c>
      <c r="D13475" s="316" t="s">
        <v>4348</v>
      </c>
      <c r="E13475" s="954" t="n">
        <v>0.001</v>
      </c>
      <c r="F13475" s="617" t="n">
        <v>19488</v>
      </c>
      <c r="G13475" s="615" t="n">
        <f aca="false">E13475*F13475</f>
        <v>19.488</v>
      </c>
      <c r="H13475" s="391"/>
    </row>
    <row r="13476" customFormat="false" ht="15" hidden="false" customHeight="false" outlineLevel="0" collapsed="false">
      <c r="A13476" s="571"/>
      <c r="B13476" s="608" t="s">
        <v>4128</v>
      </c>
      <c r="C13476" s="709"/>
      <c r="D13476" s="606"/>
      <c r="E13476" s="606"/>
      <c r="F13476" s="361"/>
      <c r="G13476" s="613" t="n">
        <f aca="false">SUM(G13467:G13475)</f>
        <v>1210.9835</v>
      </c>
      <c r="H13476" s="606"/>
    </row>
    <row r="13477" customFormat="false" ht="45" hidden="false" customHeight="false" outlineLevel="0" collapsed="false">
      <c r="A13477" s="571"/>
      <c r="B13477" s="433" t="s">
        <v>3675</v>
      </c>
      <c r="C13477" s="860" t="s">
        <v>5818</v>
      </c>
      <c r="D13477" s="316" t="s">
        <v>4133</v>
      </c>
      <c r="E13477" s="958" t="n">
        <v>0.002</v>
      </c>
      <c r="F13477" s="617" t="n">
        <v>67687</v>
      </c>
      <c r="G13477" s="615" t="n">
        <f aca="false">E13477*F13477</f>
        <v>135.374</v>
      </c>
      <c r="H13477" s="606"/>
    </row>
    <row r="13478" customFormat="false" ht="15" hidden="false" customHeight="false" outlineLevel="0" collapsed="false">
      <c r="A13478" s="571"/>
      <c r="B13478" s="500"/>
      <c r="C13478" s="860" t="s">
        <v>5819</v>
      </c>
      <c r="D13478" s="316" t="s">
        <v>4191</v>
      </c>
      <c r="E13478" s="954" t="n">
        <v>0.01</v>
      </c>
      <c r="F13478" s="617" t="n">
        <v>316.4</v>
      </c>
      <c r="G13478" s="615" t="n">
        <f aca="false">E13478*F13478</f>
        <v>3.164</v>
      </c>
      <c r="H13478" s="606"/>
    </row>
    <row r="13479" customFormat="false" ht="15" hidden="false" customHeight="false" outlineLevel="0" collapsed="false">
      <c r="A13479" s="571"/>
      <c r="B13479" s="500"/>
      <c r="C13479" s="860" t="s">
        <v>5826</v>
      </c>
      <c r="D13479" s="316" t="s">
        <v>4191</v>
      </c>
      <c r="E13479" s="954" t="n">
        <v>0.01</v>
      </c>
      <c r="F13479" s="617" t="n">
        <v>366.25</v>
      </c>
      <c r="G13479" s="615" t="n">
        <f aca="false">E13479*F13479</f>
        <v>3.6625</v>
      </c>
      <c r="H13479" s="606"/>
    </row>
    <row r="13480" customFormat="false" ht="15" hidden="false" customHeight="false" outlineLevel="0" collapsed="false">
      <c r="A13480" s="571"/>
      <c r="B13480" s="328"/>
      <c r="C13480" s="860" t="s">
        <v>5820</v>
      </c>
      <c r="D13480" s="316" t="s">
        <v>4191</v>
      </c>
      <c r="E13480" s="954" t="n">
        <v>0.01</v>
      </c>
      <c r="F13480" s="617" t="n">
        <v>650</v>
      </c>
      <c r="G13480" s="615" t="n">
        <f aca="false">E13480*F13480</f>
        <v>6.5</v>
      </c>
      <c r="H13480" s="606"/>
    </row>
    <row r="13481" customFormat="false" ht="15" hidden="false" customHeight="false" outlineLevel="0" collapsed="false">
      <c r="A13481" s="571"/>
      <c r="B13481" s="500"/>
      <c r="C13481" s="860" t="s">
        <v>5861</v>
      </c>
      <c r="D13481" s="316" t="s">
        <v>5452</v>
      </c>
      <c r="E13481" s="954" t="n">
        <v>0.001</v>
      </c>
      <c r="F13481" s="617" t="n">
        <v>150375</v>
      </c>
      <c r="G13481" s="615" t="n">
        <f aca="false">E13481*F13481</f>
        <v>150.375</v>
      </c>
      <c r="H13481" s="606"/>
    </row>
    <row r="13482" customFormat="false" ht="15" hidden="false" customHeight="false" outlineLevel="0" collapsed="false">
      <c r="A13482" s="571"/>
      <c r="B13482" s="500"/>
      <c r="C13482" s="860" t="s">
        <v>5895</v>
      </c>
      <c r="D13482" s="316" t="s">
        <v>5892</v>
      </c>
      <c r="E13482" s="661" t="n">
        <v>0.02</v>
      </c>
      <c r="F13482" s="617" t="n">
        <v>10500</v>
      </c>
      <c r="G13482" s="615" t="n">
        <f aca="false">E13482*F13482</f>
        <v>210</v>
      </c>
      <c r="H13482" s="606"/>
    </row>
    <row r="13483" customFormat="false" ht="15" hidden="false" customHeight="false" outlineLevel="0" collapsed="false">
      <c r="A13483" s="571"/>
      <c r="B13483" s="500"/>
      <c r="C13483" s="860" t="s">
        <v>5896</v>
      </c>
      <c r="D13483" s="316" t="s">
        <v>4348</v>
      </c>
      <c r="E13483" s="954" t="n">
        <v>0.002</v>
      </c>
      <c r="F13483" s="617" t="n">
        <v>200000</v>
      </c>
      <c r="G13483" s="615" t="n">
        <f aca="false">E13483*F13483</f>
        <v>400</v>
      </c>
      <c r="H13483" s="606"/>
    </row>
    <row r="13484" customFormat="false" ht="15" hidden="false" customHeight="false" outlineLevel="0" collapsed="false">
      <c r="A13484" s="571"/>
      <c r="B13484" s="500"/>
      <c r="C13484" s="860" t="s">
        <v>4776</v>
      </c>
      <c r="D13484" s="316" t="s">
        <v>4359</v>
      </c>
      <c r="E13484" s="954" t="n">
        <v>0.2</v>
      </c>
      <c r="F13484" s="617" t="n">
        <v>800</v>
      </c>
      <c r="G13484" s="615" t="n">
        <f aca="false">E13484*F13484</f>
        <v>160</v>
      </c>
      <c r="H13484" s="606"/>
    </row>
    <row r="13485" customFormat="false" ht="15" hidden="false" customHeight="false" outlineLevel="0" collapsed="false">
      <c r="A13485" s="571"/>
      <c r="B13485" s="608" t="s">
        <v>4128</v>
      </c>
      <c r="C13485" s="964"/>
      <c r="D13485" s="965"/>
      <c r="E13485" s="969"/>
      <c r="F13485" s="967"/>
      <c r="G13485" s="613" t="n">
        <f aca="false">SUM(G13477:G13484)</f>
        <v>1069.0755</v>
      </c>
      <c r="H13485" s="610"/>
    </row>
    <row r="13486" customFormat="false" ht="45" hidden="false" customHeight="false" outlineLevel="0" collapsed="false">
      <c r="A13486" s="571"/>
      <c r="B13486" s="433" t="s">
        <v>3676</v>
      </c>
      <c r="C13486" s="860" t="s">
        <v>5897</v>
      </c>
      <c r="D13486" s="316" t="s">
        <v>5847</v>
      </c>
      <c r="E13486" s="954" t="n">
        <v>0.001</v>
      </c>
      <c r="F13486" s="617" t="n">
        <v>710661</v>
      </c>
      <c r="G13486" s="615" t="n">
        <f aca="false">E13486*F13486</f>
        <v>710.661</v>
      </c>
      <c r="H13486" s="606"/>
    </row>
    <row r="13487" customFormat="false" ht="15" hidden="false" customHeight="false" outlineLevel="0" collapsed="false">
      <c r="A13487" s="571"/>
      <c r="B13487" s="500"/>
      <c r="C13487" s="860" t="s">
        <v>5898</v>
      </c>
      <c r="D13487" s="316" t="s">
        <v>4191</v>
      </c>
      <c r="E13487" s="954" t="n">
        <v>4</v>
      </c>
      <c r="F13487" s="617" t="n">
        <v>121</v>
      </c>
      <c r="G13487" s="615" t="n">
        <f aca="false">E13487*F13487</f>
        <v>484</v>
      </c>
      <c r="H13487" s="606"/>
    </row>
    <row r="13488" customFormat="false" ht="15" hidden="false" customHeight="false" outlineLevel="0" collapsed="false">
      <c r="A13488" s="571"/>
      <c r="B13488" s="500"/>
      <c r="C13488" s="860" t="s">
        <v>5899</v>
      </c>
      <c r="D13488" s="316" t="s">
        <v>4141</v>
      </c>
      <c r="E13488" s="954" t="n">
        <v>1</v>
      </c>
      <c r="F13488" s="617" t="n">
        <v>5198</v>
      </c>
      <c r="G13488" s="615" t="n">
        <f aca="false">E13488*F13488</f>
        <v>5198</v>
      </c>
      <c r="H13488" s="606"/>
    </row>
    <row r="13489" customFormat="false" ht="15" hidden="false" customHeight="false" outlineLevel="0" collapsed="false">
      <c r="A13489" s="571"/>
      <c r="B13489" s="500"/>
      <c r="C13489" s="860"/>
      <c r="D13489" s="316"/>
      <c r="E13489" s="954"/>
      <c r="F13489" s="617"/>
      <c r="G13489" s="615" t="n">
        <f aca="false">E13489*F13489</f>
        <v>0</v>
      </c>
      <c r="H13489" s="606"/>
    </row>
    <row r="13490" customFormat="false" ht="15" hidden="false" customHeight="false" outlineLevel="0" collapsed="false">
      <c r="A13490" s="571"/>
      <c r="B13490" s="500"/>
      <c r="C13490" s="860" t="s">
        <v>5900</v>
      </c>
      <c r="D13490" s="316" t="s">
        <v>4191</v>
      </c>
      <c r="E13490" s="954" t="n">
        <v>0.001</v>
      </c>
      <c r="F13490" s="617" t="n">
        <v>150375</v>
      </c>
      <c r="G13490" s="615" t="n">
        <f aca="false">E13490*F13490</f>
        <v>150.375</v>
      </c>
      <c r="H13490" s="606"/>
    </row>
    <row r="13491" customFormat="false" ht="15" hidden="false" customHeight="false" outlineLevel="0" collapsed="false">
      <c r="A13491" s="571"/>
      <c r="B13491" s="608"/>
      <c r="C13491" s="860" t="s">
        <v>5901</v>
      </c>
      <c r="D13491" s="316" t="s">
        <v>4191</v>
      </c>
      <c r="E13491" s="954" t="n">
        <v>2</v>
      </c>
      <c r="F13491" s="617" t="n">
        <v>566</v>
      </c>
      <c r="G13491" s="615" t="n">
        <f aca="false">E13491*F13491</f>
        <v>1132</v>
      </c>
      <c r="H13491" s="391"/>
    </row>
    <row r="13492" customFormat="false" ht="15" hidden="false" customHeight="false" outlineLevel="0" collapsed="false">
      <c r="A13492" s="571"/>
      <c r="B13492" s="328"/>
      <c r="C13492" s="41" t="s">
        <v>5902</v>
      </c>
      <c r="D13492" s="316" t="s">
        <v>4348</v>
      </c>
      <c r="E13492" s="954" t="n">
        <v>0.02</v>
      </c>
      <c r="F13492" s="617" t="n">
        <v>7686</v>
      </c>
      <c r="G13492" s="615" t="n">
        <f aca="false">E13492*F13492</f>
        <v>153.72</v>
      </c>
      <c r="H13492" s="606"/>
    </row>
    <row r="13493" customFormat="false" ht="45" hidden="false" customHeight="false" outlineLevel="0" collapsed="false">
      <c r="A13493" s="571"/>
      <c r="B13493" s="500"/>
      <c r="C13493" s="860" t="s">
        <v>5903</v>
      </c>
      <c r="D13493" s="316" t="s">
        <v>4348</v>
      </c>
      <c r="E13493" s="954" t="n">
        <v>2</v>
      </c>
      <c r="F13493" s="617" t="n">
        <v>1115</v>
      </c>
      <c r="G13493" s="615" t="n">
        <f aca="false">E13493*F13493</f>
        <v>2230</v>
      </c>
      <c r="H13493" s="606"/>
    </row>
    <row r="13494" customFormat="false" ht="15" hidden="false" customHeight="false" outlineLevel="0" collapsed="false">
      <c r="A13494" s="571"/>
      <c r="B13494" s="500"/>
      <c r="C13494" s="860" t="s">
        <v>5904</v>
      </c>
      <c r="D13494" s="316" t="s">
        <v>4348</v>
      </c>
      <c r="E13494" s="954" t="n">
        <v>0.01</v>
      </c>
      <c r="F13494" s="617" t="n">
        <v>24980</v>
      </c>
      <c r="G13494" s="615" t="n">
        <f aca="false">E13494*F13494</f>
        <v>249.8</v>
      </c>
      <c r="H13494" s="606"/>
    </row>
    <row r="13495" customFormat="false" ht="15" hidden="false" customHeight="false" outlineLevel="0" collapsed="false">
      <c r="A13495" s="571"/>
      <c r="B13495" s="500"/>
      <c r="C13495" s="860" t="s">
        <v>4776</v>
      </c>
      <c r="D13495" s="316" t="s">
        <v>4359</v>
      </c>
      <c r="E13495" s="954" t="n">
        <v>0.2</v>
      </c>
      <c r="F13495" s="617" t="n">
        <v>800</v>
      </c>
      <c r="G13495" s="615" t="n">
        <f aca="false">E13495*F13495</f>
        <v>160</v>
      </c>
      <c r="H13495" s="606"/>
    </row>
    <row r="13496" customFormat="false" ht="15" hidden="false" customHeight="false" outlineLevel="0" collapsed="false">
      <c r="A13496" s="571"/>
      <c r="B13496" s="500"/>
      <c r="C13496" s="860" t="s">
        <v>4515</v>
      </c>
      <c r="D13496" s="316" t="s">
        <v>4133</v>
      </c>
      <c r="E13496" s="954" t="n">
        <v>0.1</v>
      </c>
      <c r="F13496" s="681" t="n">
        <v>350</v>
      </c>
      <c r="G13496" s="615" t="n">
        <f aca="false">E13496*F13496</f>
        <v>35</v>
      </c>
      <c r="H13496" s="606"/>
    </row>
    <row r="13497" customFormat="false" ht="45" hidden="false" customHeight="false" outlineLevel="0" collapsed="false">
      <c r="A13497" s="571"/>
      <c r="B13497" s="500"/>
      <c r="C13497" s="860" t="s">
        <v>5905</v>
      </c>
      <c r="D13497" s="316" t="s">
        <v>5847</v>
      </c>
      <c r="E13497" s="954" t="n">
        <v>0.001</v>
      </c>
      <c r="F13497" s="617" t="n">
        <v>710661</v>
      </c>
      <c r="G13497" s="615" t="n">
        <f aca="false">E13497*F13497</f>
        <v>710.661</v>
      </c>
      <c r="H13497" s="606"/>
    </row>
    <row r="13498" customFormat="false" ht="15" hidden="false" customHeight="false" outlineLevel="0" collapsed="false">
      <c r="A13498" s="571"/>
      <c r="B13498" s="608" t="s">
        <v>4128</v>
      </c>
      <c r="C13498" s="718"/>
      <c r="D13498" s="610"/>
      <c r="E13498" s="611"/>
      <c r="F13498" s="612"/>
      <c r="G13498" s="613" t="n">
        <f aca="false">SUM(G13486:G13497)</f>
        <v>11214.217</v>
      </c>
      <c r="H13498" s="610"/>
    </row>
    <row r="13499" s="311" customFormat="true" ht="30" hidden="false" customHeight="false" outlineLevel="0" collapsed="false">
      <c r="A13499" s="216"/>
      <c r="B13499" s="40" t="s">
        <v>3678</v>
      </c>
      <c r="C13499" s="860" t="s">
        <v>5859</v>
      </c>
      <c r="D13499" s="316" t="s">
        <v>4359</v>
      </c>
      <c r="E13499" s="954" t="n">
        <v>0.01</v>
      </c>
      <c r="F13499" s="617" t="n">
        <v>1995</v>
      </c>
      <c r="G13499" s="617" t="n">
        <f aca="false">E13499*F13499</f>
        <v>19.95</v>
      </c>
      <c r="H13499" s="316"/>
    </row>
    <row r="13500" s="311" customFormat="true" ht="15" hidden="false" customHeight="false" outlineLevel="0" collapsed="false">
      <c r="A13500" s="216"/>
      <c r="B13500" s="78"/>
      <c r="C13500" s="860" t="s">
        <v>5818</v>
      </c>
      <c r="D13500" s="316" t="s">
        <v>4133</v>
      </c>
      <c r="E13500" s="661" t="n">
        <v>0.001</v>
      </c>
      <c r="F13500" s="617" t="n">
        <v>67687</v>
      </c>
      <c r="G13500" s="617" t="n">
        <f aca="false">E13500*F13500</f>
        <v>67.687</v>
      </c>
      <c r="H13500" s="316"/>
    </row>
    <row r="13501" s="311" customFormat="true" ht="15" hidden="false" customHeight="false" outlineLevel="0" collapsed="false">
      <c r="A13501" s="216"/>
      <c r="B13501" s="78"/>
      <c r="C13501" s="860" t="s">
        <v>5823</v>
      </c>
      <c r="D13501" s="316" t="s">
        <v>4133</v>
      </c>
      <c r="E13501" s="661" t="n">
        <v>0.001</v>
      </c>
      <c r="F13501" s="617" t="n">
        <v>69797</v>
      </c>
      <c r="G13501" s="617" t="n">
        <f aca="false">E13501*F13501</f>
        <v>69.797</v>
      </c>
      <c r="H13501" s="316"/>
    </row>
    <row r="13502" s="311" customFormat="true" ht="15" hidden="false" customHeight="false" outlineLevel="0" collapsed="false">
      <c r="A13502" s="216"/>
      <c r="B13502" s="78"/>
      <c r="C13502" s="860" t="s">
        <v>5835</v>
      </c>
      <c r="D13502" s="316" t="s">
        <v>4133</v>
      </c>
      <c r="E13502" s="661" t="n">
        <v>0.001</v>
      </c>
      <c r="F13502" s="617" t="n">
        <v>69797</v>
      </c>
      <c r="G13502" s="617" t="n">
        <f aca="false">E13502*F13502</f>
        <v>69.797</v>
      </c>
      <c r="H13502" s="316"/>
    </row>
    <row r="13503" s="311" customFormat="true" ht="15" hidden="false" customHeight="false" outlineLevel="0" collapsed="false">
      <c r="A13503" s="216"/>
      <c r="B13503" s="78"/>
      <c r="C13503" s="860" t="s">
        <v>5840</v>
      </c>
      <c r="D13503" s="316" t="s">
        <v>4133</v>
      </c>
      <c r="E13503" s="661" t="n">
        <v>0.001</v>
      </c>
      <c r="F13503" s="617" t="n">
        <v>158202</v>
      </c>
      <c r="G13503" s="617" t="n">
        <f aca="false">E13503*F13503</f>
        <v>158.202</v>
      </c>
      <c r="H13503" s="316"/>
    </row>
    <row r="13504" s="311" customFormat="true" ht="15" hidden="false" customHeight="false" outlineLevel="0" collapsed="false">
      <c r="A13504" s="216"/>
      <c r="B13504" s="78"/>
      <c r="C13504" s="860" t="s">
        <v>5836</v>
      </c>
      <c r="D13504" s="316" t="s">
        <v>4133</v>
      </c>
      <c r="E13504" s="661" t="n">
        <v>0.001</v>
      </c>
      <c r="F13504" s="617" t="n">
        <v>10500</v>
      </c>
      <c r="G13504" s="617" t="n">
        <f aca="false">E13504*F13504</f>
        <v>10.5</v>
      </c>
      <c r="H13504" s="316"/>
    </row>
    <row r="13505" s="311" customFormat="true" ht="15" hidden="false" customHeight="false" outlineLevel="0" collapsed="false">
      <c r="A13505" s="216"/>
      <c r="B13505" s="78"/>
      <c r="C13505" s="860" t="s">
        <v>5838</v>
      </c>
      <c r="D13505" s="316" t="s">
        <v>4133</v>
      </c>
      <c r="E13505" s="661" t="n">
        <v>0.001</v>
      </c>
      <c r="F13505" s="617" t="n">
        <v>80176</v>
      </c>
      <c r="G13505" s="617" t="n">
        <f aca="false">E13505*F13505</f>
        <v>80.176</v>
      </c>
      <c r="H13505" s="316"/>
    </row>
    <row r="13506" s="311" customFormat="true" ht="15" hidden="false" customHeight="false" outlineLevel="0" collapsed="false">
      <c r="A13506" s="216"/>
      <c r="B13506" s="78"/>
      <c r="C13506" s="860" t="s">
        <v>5825</v>
      </c>
      <c r="D13506" s="316" t="s">
        <v>4191</v>
      </c>
      <c r="E13506" s="661" t="n">
        <v>0.001</v>
      </c>
      <c r="F13506" s="883" t="n">
        <v>8468</v>
      </c>
      <c r="G13506" s="617" t="n">
        <f aca="false">E13506*F13506</f>
        <v>8.468</v>
      </c>
      <c r="H13506" s="316"/>
    </row>
    <row r="13507" s="311" customFormat="true" ht="15" hidden="false" customHeight="false" outlineLevel="0" collapsed="false">
      <c r="A13507" s="216"/>
      <c r="B13507" s="78"/>
      <c r="C13507" s="21" t="s">
        <v>5844</v>
      </c>
      <c r="D13507" s="316" t="s">
        <v>4191</v>
      </c>
      <c r="E13507" s="661" t="n">
        <v>0.001</v>
      </c>
      <c r="F13507" s="883" t="n">
        <v>74415</v>
      </c>
      <c r="G13507" s="617" t="n">
        <f aca="false">E13507*F13507</f>
        <v>74.415</v>
      </c>
      <c r="H13507" s="316"/>
    </row>
    <row r="13508" s="311" customFormat="true" ht="15" hidden="false" customHeight="false" outlineLevel="0" collapsed="false">
      <c r="A13508" s="216"/>
      <c r="B13508" s="971"/>
      <c r="C13508" s="860" t="s">
        <v>5845</v>
      </c>
      <c r="D13508" s="316" t="s">
        <v>4359</v>
      </c>
      <c r="E13508" s="954" t="n">
        <v>0.001</v>
      </c>
      <c r="F13508" s="883" t="n">
        <v>10500</v>
      </c>
      <c r="G13508" s="617" t="n">
        <f aca="false">E13508*F13508</f>
        <v>10.5</v>
      </c>
      <c r="H13508" s="135"/>
    </row>
    <row r="13509" s="311" customFormat="true" ht="15" hidden="false" customHeight="false" outlineLevel="0" collapsed="false">
      <c r="A13509" s="216"/>
      <c r="B13509" s="29"/>
      <c r="C13509" s="860" t="s">
        <v>5843</v>
      </c>
      <c r="D13509" s="316" t="s">
        <v>4133</v>
      </c>
      <c r="E13509" s="664" t="n">
        <v>0.001</v>
      </c>
      <c r="F13509" s="883" t="n">
        <v>48840</v>
      </c>
      <c r="G13509" s="617" t="n">
        <f aca="false">E13509*F13509</f>
        <v>48.84</v>
      </c>
      <c r="H13509" s="316"/>
    </row>
    <row r="13510" s="311" customFormat="true" ht="15" hidden="false" customHeight="false" outlineLevel="0" collapsed="false">
      <c r="A13510" s="216"/>
      <c r="B13510" s="78"/>
      <c r="C13510" s="860" t="s">
        <v>5848</v>
      </c>
      <c r="D13510" s="316" t="s">
        <v>4359</v>
      </c>
      <c r="E13510" s="954" t="n">
        <v>0.001</v>
      </c>
      <c r="F13510" s="617" t="n">
        <v>10500</v>
      </c>
      <c r="G13510" s="617" t="n">
        <f aca="false">E13510*F13510</f>
        <v>10.5</v>
      </c>
      <c r="H13510" s="316"/>
    </row>
    <row r="13511" s="311" customFormat="true" ht="15" hidden="false" customHeight="false" outlineLevel="0" collapsed="false">
      <c r="A13511" s="216"/>
      <c r="B13511" s="78"/>
      <c r="C13511" s="860" t="s">
        <v>5824</v>
      </c>
      <c r="D13511" s="316" t="s">
        <v>4359</v>
      </c>
      <c r="E13511" s="954" t="n">
        <v>0.001</v>
      </c>
      <c r="F13511" s="617" t="n">
        <v>82115</v>
      </c>
      <c r="G13511" s="617" t="n">
        <f aca="false">E13511*F13511</f>
        <v>82.115</v>
      </c>
      <c r="H13511" s="316"/>
    </row>
    <row r="13512" s="311" customFormat="true" ht="15" hidden="false" customHeight="false" outlineLevel="0" collapsed="false">
      <c r="A13512" s="216"/>
      <c r="B13512" s="78"/>
      <c r="C13512" s="860" t="s">
        <v>5819</v>
      </c>
      <c r="D13512" s="316" t="s">
        <v>4191</v>
      </c>
      <c r="E13512" s="954" t="n">
        <v>0.01</v>
      </c>
      <c r="F13512" s="883" t="n">
        <v>316.4</v>
      </c>
      <c r="G13512" s="617" t="n">
        <f aca="false">E13512*F13512</f>
        <v>3.164</v>
      </c>
      <c r="H13512" s="316"/>
    </row>
    <row r="13513" s="311" customFormat="true" ht="15" hidden="false" customHeight="false" outlineLevel="0" collapsed="false">
      <c r="A13513" s="216"/>
      <c r="B13513" s="78"/>
      <c r="C13513" s="860" t="s">
        <v>5826</v>
      </c>
      <c r="D13513" s="316" t="s">
        <v>4191</v>
      </c>
      <c r="E13513" s="954" t="n">
        <v>0.01</v>
      </c>
      <c r="F13513" s="617" t="n">
        <v>366.25</v>
      </c>
      <c r="G13513" s="617" t="n">
        <f aca="false">E13513*F13513</f>
        <v>3.6625</v>
      </c>
      <c r="H13513" s="316"/>
    </row>
    <row r="13514" s="311" customFormat="true" ht="15" hidden="false" customHeight="false" outlineLevel="0" collapsed="false">
      <c r="A13514" s="216"/>
      <c r="B13514" s="78"/>
      <c r="C13514" s="860" t="s">
        <v>5820</v>
      </c>
      <c r="D13514" s="316" t="s">
        <v>4191</v>
      </c>
      <c r="E13514" s="954" t="n">
        <v>0.01</v>
      </c>
      <c r="F13514" s="617" t="n">
        <v>650</v>
      </c>
      <c r="G13514" s="617" t="n">
        <f aca="false">E13514*F13514</f>
        <v>6.5</v>
      </c>
      <c r="H13514" s="316"/>
    </row>
    <row r="13515" s="311" customFormat="true" ht="15" hidden="false" customHeight="false" outlineLevel="0" collapsed="false">
      <c r="A13515" s="216"/>
      <c r="B13515" s="972"/>
      <c r="C13515" s="860" t="s">
        <v>4515</v>
      </c>
      <c r="D13515" s="316" t="s">
        <v>4133</v>
      </c>
      <c r="E13515" s="954" t="n">
        <v>0.1</v>
      </c>
      <c r="F13515" s="617" t="n">
        <v>350</v>
      </c>
      <c r="G13515" s="617" t="n">
        <f aca="false">E13515*F13515</f>
        <v>35</v>
      </c>
      <c r="H13515" s="135"/>
    </row>
    <row r="13516" s="311" customFormat="true" ht="15" hidden="false" customHeight="false" outlineLevel="0" collapsed="false">
      <c r="A13516" s="216"/>
      <c r="B13516" s="29"/>
      <c r="C13516" s="860" t="s">
        <v>4776</v>
      </c>
      <c r="D13516" s="316" t="s">
        <v>4359</v>
      </c>
      <c r="E13516" s="954" t="n">
        <v>0.1</v>
      </c>
      <c r="F13516" s="617" t="n">
        <v>800</v>
      </c>
      <c r="G13516" s="617" t="n">
        <f aca="false">E13516*F13516</f>
        <v>80</v>
      </c>
      <c r="H13516" s="316"/>
    </row>
    <row r="13517" s="311" customFormat="true" ht="15" hidden="false" customHeight="false" outlineLevel="0" collapsed="false">
      <c r="A13517" s="216"/>
      <c r="B13517" s="971" t="s">
        <v>4128</v>
      </c>
      <c r="C13517" s="964"/>
      <c r="D13517" s="965"/>
      <c r="E13517" s="966"/>
      <c r="F13517" s="967"/>
      <c r="G13517" s="967" t="n">
        <f aca="false">SUM(G13499:G13516)</f>
        <v>839.2735</v>
      </c>
      <c r="H13517" s="965"/>
    </row>
    <row r="13518" customFormat="false" ht="15" hidden="false" customHeight="true" outlineLevel="0" collapsed="false">
      <c r="A13518" s="571" t="s">
        <v>2684</v>
      </c>
      <c r="B13518" s="500" t="s">
        <v>6885</v>
      </c>
      <c r="C13518" s="433" t="s">
        <v>6706</v>
      </c>
      <c r="D13518" s="606" t="s">
        <v>4348</v>
      </c>
      <c r="E13518" s="954" t="n">
        <v>2</v>
      </c>
      <c r="F13518" s="617" t="n">
        <f aca="false">4500/500</f>
        <v>9</v>
      </c>
      <c r="G13518" s="615" t="n">
        <f aca="false">E13518*F13518</f>
        <v>18</v>
      </c>
      <c r="H13518" s="606"/>
    </row>
    <row r="13519" customFormat="false" ht="15" hidden="false" customHeight="false" outlineLevel="0" collapsed="false">
      <c r="A13519" s="571"/>
      <c r="B13519" s="500"/>
      <c r="C13519" s="614" t="s">
        <v>6707</v>
      </c>
      <c r="D13519" s="606" t="s">
        <v>4348</v>
      </c>
      <c r="E13519" s="954" t="n">
        <v>0.01</v>
      </c>
      <c r="F13519" s="617" t="n">
        <v>21000</v>
      </c>
      <c r="G13519" s="615" t="n">
        <f aca="false">E13519*F13519</f>
        <v>210</v>
      </c>
      <c r="H13519" s="606"/>
    </row>
    <row r="13520" customFormat="false" ht="45" hidden="false" customHeight="false" outlineLevel="0" collapsed="false">
      <c r="A13520" s="571"/>
      <c r="B13520" s="500"/>
      <c r="C13520" s="614" t="s">
        <v>6886</v>
      </c>
      <c r="D13520" s="606" t="s">
        <v>4348</v>
      </c>
      <c r="E13520" s="661" t="n">
        <v>0.02</v>
      </c>
      <c r="F13520" s="617" t="n">
        <v>60000</v>
      </c>
      <c r="G13520" s="615" t="n">
        <f aca="false">E13520*F13520</f>
        <v>1200</v>
      </c>
      <c r="H13520" s="606"/>
    </row>
    <row r="13521" customFormat="false" ht="15" hidden="false" customHeight="false" outlineLevel="0" collapsed="false">
      <c r="A13521" s="571"/>
      <c r="B13521" s="500"/>
      <c r="C13521" s="614" t="s">
        <v>6884</v>
      </c>
      <c r="D13521" s="606" t="s">
        <v>4348</v>
      </c>
      <c r="E13521" s="954" t="n">
        <v>1</v>
      </c>
      <c r="F13521" s="617" t="n">
        <v>28</v>
      </c>
      <c r="G13521" s="615" t="n">
        <f aca="false">E13521*F13521</f>
        <v>28</v>
      </c>
      <c r="H13521" s="606"/>
    </row>
    <row r="13522" customFormat="false" ht="15" hidden="false" customHeight="false" outlineLevel="0" collapsed="false">
      <c r="A13522" s="571"/>
      <c r="B13522" s="500"/>
      <c r="C13522" s="614" t="s">
        <v>5806</v>
      </c>
      <c r="D13522" s="606"/>
      <c r="E13522" s="954"/>
      <c r="F13522" s="617"/>
      <c r="G13522" s="613" t="n">
        <f aca="false">SUM(G13518:G13521)</f>
        <v>1456</v>
      </c>
      <c r="H13522" s="606"/>
    </row>
    <row r="13523" customFormat="false" ht="15" hidden="false" customHeight="false" outlineLevel="0" collapsed="false">
      <c r="A13523" s="343" t="s">
        <v>6887</v>
      </c>
      <c r="B13523" s="1206" t="s">
        <v>4066</v>
      </c>
      <c r="C13523" s="1207"/>
      <c r="D13523" s="1208"/>
      <c r="E13523" s="1207"/>
      <c r="F13523" s="1209"/>
      <c r="G13523" s="1210"/>
      <c r="H13523" s="1208"/>
    </row>
    <row r="13524" customFormat="false" ht="66" hidden="false" customHeight="true" outlineLevel="0" collapsed="false">
      <c r="A13524" s="571" t="s">
        <v>2689</v>
      </c>
      <c r="B13524" s="629" t="s">
        <v>4067</v>
      </c>
      <c r="C13524" s="614" t="s">
        <v>6888</v>
      </c>
      <c r="D13524" s="606" t="s">
        <v>4133</v>
      </c>
      <c r="E13524" s="954" t="n">
        <v>0.5</v>
      </c>
      <c r="F13524" s="617" t="n">
        <v>150</v>
      </c>
      <c r="G13524" s="615" t="n">
        <f aca="false">E13524*F13524</f>
        <v>75</v>
      </c>
      <c r="H13524" s="606" t="s">
        <v>6889</v>
      </c>
    </row>
    <row r="13525" customFormat="false" ht="15" hidden="false" customHeight="false" outlineLevel="0" collapsed="false">
      <c r="A13525" s="571"/>
      <c r="B13525" s="629"/>
      <c r="C13525" s="614" t="s">
        <v>6890</v>
      </c>
      <c r="D13525" s="606" t="s">
        <v>6268</v>
      </c>
      <c r="E13525" s="954" t="n">
        <v>4</v>
      </c>
      <c r="F13525" s="617" t="n">
        <v>130</v>
      </c>
      <c r="G13525" s="615" t="n">
        <f aca="false">E13525*F13525</f>
        <v>520</v>
      </c>
      <c r="H13525" s="606"/>
    </row>
    <row r="13526" customFormat="false" ht="15" hidden="false" customHeight="false" outlineLevel="0" collapsed="false">
      <c r="A13526" s="571"/>
      <c r="B13526" s="629"/>
      <c r="C13526" s="614" t="s">
        <v>6891</v>
      </c>
      <c r="D13526" s="606" t="s">
        <v>6268</v>
      </c>
      <c r="E13526" s="954" t="n">
        <v>20</v>
      </c>
      <c r="F13526" s="617" t="n">
        <v>5</v>
      </c>
      <c r="G13526" s="615" t="n">
        <f aca="false">E13526*F13526</f>
        <v>100</v>
      </c>
      <c r="H13526" s="606"/>
    </row>
    <row r="13527" customFormat="false" ht="15" hidden="false" customHeight="false" outlineLevel="0" collapsed="false">
      <c r="A13527" s="571"/>
      <c r="B13527" s="629"/>
      <c r="C13527" s="614" t="s">
        <v>6892</v>
      </c>
      <c r="D13527" s="606" t="s">
        <v>4525</v>
      </c>
      <c r="E13527" s="954" t="n">
        <v>115</v>
      </c>
      <c r="F13527" s="617" t="n">
        <v>0.577</v>
      </c>
      <c r="G13527" s="615" t="n">
        <f aca="false">E13527*F13527</f>
        <v>66.355</v>
      </c>
      <c r="H13527" s="606"/>
    </row>
    <row r="13528" customFormat="false" ht="15" hidden="false" customHeight="false" outlineLevel="0" collapsed="false">
      <c r="A13528" s="571"/>
      <c r="B13528" s="629"/>
      <c r="C13528" s="614" t="s">
        <v>5806</v>
      </c>
      <c r="D13528" s="606"/>
      <c r="E13528" s="954"/>
      <c r="F13528" s="617"/>
      <c r="G13528" s="613" t="n">
        <f aca="false">SUM(G13524:G13527)</f>
        <v>761.355</v>
      </c>
      <c r="H13528" s="614"/>
    </row>
    <row r="13529" customFormat="false" ht="15" hidden="false" customHeight="true" outlineLevel="0" collapsed="false">
      <c r="A13529" s="571" t="s">
        <v>2692</v>
      </c>
      <c r="B13529" s="500" t="s">
        <v>4068</v>
      </c>
      <c r="C13529" s="614" t="s">
        <v>6888</v>
      </c>
      <c r="D13529" s="606" t="s">
        <v>4133</v>
      </c>
      <c r="E13529" s="954" t="n">
        <v>0.5</v>
      </c>
      <c r="F13529" s="617" t="n">
        <v>150</v>
      </c>
      <c r="G13529" s="615" t="n">
        <f aca="false">E13529*F13529</f>
        <v>75</v>
      </c>
      <c r="H13529" s="1211" t="s">
        <v>6889</v>
      </c>
    </row>
    <row r="13530" customFormat="false" ht="15" hidden="false" customHeight="false" outlineLevel="0" collapsed="false">
      <c r="A13530" s="571"/>
      <c r="B13530" s="500"/>
      <c r="C13530" s="614" t="s">
        <v>6890</v>
      </c>
      <c r="D13530" s="606" t="s">
        <v>6268</v>
      </c>
      <c r="E13530" s="954" t="n">
        <v>10</v>
      </c>
      <c r="F13530" s="617" t="n">
        <v>130</v>
      </c>
      <c r="G13530" s="615" t="n">
        <f aca="false">E13530*F13530</f>
        <v>1300</v>
      </c>
      <c r="H13530" s="1212"/>
    </row>
    <row r="13531" customFormat="false" ht="15" hidden="false" customHeight="false" outlineLevel="0" collapsed="false">
      <c r="A13531" s="571"/>
      <c r="B13531" s="500"/>
      <c r="C13531" s="614" t="s">
        <v>6891</v>
      </c>
      <c r="D13531" s="606" t="s">
        <v>6268</v>
      </c>
      <c r="E13531" s="954" t="n">
        <v>25</v>
      </c>
      <c r="F13531" s="617" t="n">
        <v>5</v>
      </c>
      <c r="G13531" s="615" t="n">
        <f aca="false">E13531*F13531</f>
        <v>125</v>
      </c>
      <c r="H13531" s="1212"/>
    </row>
    <row r="13532" customFormat="false" ht="15" hidden="false" customHeight="false" outlineLevel="0" collapsed="false">
      <c r="A13532" s="571"/>
      <c r="B13532" s="500"/>
      <c r="C13532" s="614" t="s">
        <v>6892</v>
      </c>
      <c r="D13532" s="606" t="s">
        <v>4525</v>
      </c>
      <c r="E13532" s="954" t="n">
        <v>115</v>
      </c>
      <c r="F13532" s="617" t="n">
        <v>0.577</v>
      </c>
      <c r="G13532" s="615" t="n">
        <f aca="false">E13532*F13532</f>
        <v>66.355</v>
      </c>
      <c r="H13532" s="1213"/>
    </row>
    <row r="13533" customFormat="false" ht="15" hidden="false" customHeight="false" outlineLevel="0" collapsed="false">
      <c r="A13533" s="571"/>
      <c r="B13533" s="500"/>
      <c r="C13533" s="614" t="s">
        <v>5806</v>
      </c>
      <c r="D13533" s="606"/>
      <c r="E13533" s="954"/>
      <c r="F13533" s="617"/>
      <c r="G13533" s="613" t="n">
        <f aca="false">SUM(G13529:G13532)</f>
        <v>1566.355</v>
      </c>
      <c r="H13533" s="606"/>
    </row>
    <row r="13534" customFormat="false" ht="105" hidden="false" customHeight="true" outlineLevel="0" collapsed="false">
      <c r="A13534" s="571" t="s">
        <v>2694</v>
      </c>
      <c r="B13534" s="500" t="s">
        <v>4069</v>
      </c>
      <c r="C13534" s="433" t="s">
        <v>6888</v>
      </c>
      <c r="D13534" s="606" t="s">
        <v>4133</v>
      </c>
      <c r="E13534" s="954" t="n">
        <v>3.5</v>
      </c>
      <c r="F13534" s="617" t="n">
        <v>150</v>
      </c>
      <c r="G13534" s="615" t="n">
        <f aca="false">E13534*F13534</f>
        <v>525</v>
      </c>
      <c r="H13534" s="1211" t="s">
        <v>6889</v>
      </c>
    </row>
    <row r="13535" customFormat="false" ht="15" hidden="false" customHeight="false" outlineLevel="0" collapsed="false">
      <c r="A13535" s="571"/>
      <c r="B13535" s="500"/>
      <c r="C13535" s="614" t="s">
        <v>6890</v>
      </c>
      <c r="D13535" s="606" t="s">
        <v>6268</v>
      </c>
      <c r="E13535" s="954" t="n">
        <v>6</v>
      </c>
      <c r="F13535" s="617" t="n">
        <v>130</v>
      </c>
      <c r="G13535" s="615" t="n">
        <f aca="false">E13535*F13535</f>
        <v>780</v>
      </c>
      <c r="H13535" s="1212"/>
    </row>
    <row r="13536" customFormat="false" ht="15" hidden="false" customHeight="false" outlineLevel="0" collapsed="false">
      <c r="A13536" s="571"/>
      <c r="B13536" s="500"/>
      <c r="C13536" s="614" t="s">
        <v>6891</v>
      </c>
      <c r="D13536" s="606" t="s">
        <v>6268</v>
      </c>
      <c r="E13536" s="954" t="n">
        <v>40</v>
      </c>
      <c r="F13536" s="617" t="n">
        <v>5</v>
      </c>
      <c r="G13536" s="615" t="n">
        <f aca="false">E13536*F13536</f>
        <v>200</v>
      </c>
      <c r="H13536" s="1212"/>
    </row>
    <row r="13537" customFormat="false" ht="30" hidden="false" customHeight="false" outlineLevel="0" collapsed="false">
      <c r="A13537" s="571"/>
      <c r="B13537" s="500"/>
      <c r="C13537" s="614" t="s">
        <v>6893</v>
      </c>
      <c r="D13537" s="606" t="s">
        <v>4123</v>
      </c>
      <c r="E13537" s="954" t="n">
        <v>0.2</v>
      </c>
      <c r="F13537" s="617" t="n">
        <v>4500</v>
      </c>
      <c r="G13537" s="615" t="n">
        <f aca="false">E13537*F13537</f>
        <v>900</v>
      </c>
      <c r="H13537" s="1213"/>
    </row>
    <row r="13538" customFormat="false" ht="15" hidden="false" customHeight="false" outlineLevel="0" collapsed="false">
      <c r="A13538" s="571"/>
      <c r="B13538" s="500"/>
      <c r="C13538" s="614" t="s">
        <v>6892</v>
      </c>
      <c r="D13538" s="606" t="s">
        <v>4525</v>
      </c>
      <c r="E13538" s="954" t="n">
        <v>260</v>
      </c>
      <c r="F13538" s="617" t="n">
        <v>0.577</v>
      </c>
      <c r="G13538" s="615" t="n">
        <f aca="false">E13538*F13538</f>
        <v>150.02</v>
      </c>
      <c r="H13538" s="1213"/>
    </row>
    <row r="13539" customFormat="false" ht="15" hidden="false" customHeight="false" outlineLevel="0" collapsed="false">
      <c r="A13539" s="571"/>
      <c r="B13539" s="500"/>
      <c r="C13539" s="614" t="s">
        <v>5806</v>
      </c>
      <c r="D13539" s="606"/>
      <c r="E13539" s="954"/>
      <c r="F13539" s="617"/>
      <c r="G13539" s="613" t="n">
        <f aca="false">SUM(G13534:G13538)</f>
        <v>2555.02</v>
      </c>
      <c r="H13539" s="606"/>
    </row>
    <row r="13540" customFormat="false" ht="105" hidden="false" customHeight="true" outlineLevel="0" collapsed="false">
      <c r="A13540" s="571" t="s">
        <v>2696</v>
      </c>
      <c r="B13540" s="500" t="s">
        <v>4070</v>
      </c>
      <c r="C13540" s="433" t="s">
        <v>6888</v>
      </c>
      <c r="D13540" s="606" t="s">
        <v>4133</v>
      </c>
      <c r="E13540" s="954" t="n">
        <v>0.5</v>
      </c>
      <c r="F13540" s="617" t="n">
        <v>150</v>
      </c>
      <c r="G13540" s="615" t="n">
        <f aca="false">E13540*F13540</f>
        <v>75</v>
      </c>
      <c r="H13540" s="910" t="s">
        <v>6889</v>
      </c>
    </row>
    <row r="13541" customFormat="false" ht="15" hidden="false" customHeight="false" outlineLevel="0" collapsed="false">
      <c r="A13541" s="571"/>
      <c r="B13541" s="500"/>
      <c r="C13541" s="614" t="s">
        <v>6890</v>
      </c>
      <c r="D13541" s="606" t="s">
        <v>6268</v>
      </c>
      <c r="E13541" s="954" t="n">
        <v>1</v>
      </c>
      <c r="F13541" s="617" t="n">
        <v>130</v>
      </c>
      <c r="G13541" s="615" t="n">
        <f aca="false">E13541*F13541</f>
        <v>130</v>
      </c>
      <c r="H13541" s="1214"/>
    </row>
    <row r="13542" customFormat="false" ht="15" hidden="false" customHeight="false" outlineLevel="0" collapsed="false">
      <c r="A13542" s="571"/>
      <c r="B13542" s="500"/>
      <c r="C13542" s="614" t="s">
        <v>6891</v>
      </c>
      <c r="D13542" s="606" t="s">
        <v>6268</v>
      </c>
      <c r="E13542" s="954" t="n">
        <v>11</v>
      </c>
      <c r="F13542" s="617" t="n">
        <v>5</v>
      </c>
      <c r="G13542" s="615" t="n">
        <f aca="false">E13542*F13542</f>
        <v>55</v>
      </c>
      <c r="H13542" s="1214"/>
    </row>
    <row r="13543" customFormat="false" ht="15" hidden="false" customHeight="false" outlineLevel="0" collapsed="false">
      <c r="A13543" s="571"/>
      <c r="B13543" s="500"/>
      <c r="C13543" s="614" t="s">
        <v>6892</v>
      </c>
      <c r="D13543" s="606" t="s">
        <v>4525</v>
      </c>
      <c r="E13543" s="954" t="n">
        <v>6</v>
      </c>
      <c r="F13543" s="617" t="n">
        <v>0.577</v>
      </c>
      <c r="G13543" s="615" t="n">
        <f aca="false">E13543*F13543</f>
        <v>3.462</v>
      </c>
      <c r="H13543" s="1214"/>
    </row>
    <row r="13544" customFormat="false" ht="15" hidden="false" customHeight="false" outlineLevel="0" collapsed="false">
      <c r="A13544" s="571"/>
      <c r="B13544" s="500"/>
      <c r="C13544" s="614" t="s">
        <v>5806</v>
      </c>
      <c r="D13544" s="606"/>
      <c r="E13544" s="954"/>
      <c r="F13544" s="617"/>
      <c r="G13544" s="613" t="n">
        <f aca="false">SUM(G13540:G13543)</f>
        <v>263.462</v>
      </c>
      <c r="H13544" s="1215"/>
    </row>
    <row r="13545" customFormat="false" ht="15.75" hidden="false" customHeight="false" outlineLevel="0" collapsed="false">
      <c r="A13545" s="399" t="s">
        <v>2698</v>
      </c>
      <c r="B13545" s="401" t="s">
        <v>4071</v>
      </c>
      <c r="C13545" s="1216"/>
      <c r="D13545" s="1216"/>
      <c r="E13545" s="1216"/>
      <c r="F13545" s="1216"/>
      <c r="G13545" s="1217"/>
      <c r="H13545" s="1152"/>
    </row>
    <row r="13546" customFormat="false" ht="45" hidden="false" customHeight="false" outlineLevel="0" collapsed="false">
      <c r="A13546" s="435" t="s">
        <v>2700</v>
      </c>
      <c r="B13546" s="40" t="s">
        <v>4072</v>
      </c>
      <c r="C13546" s="614" t="s">
        <v>6706</v>
      </c>
      <c r="D13546" s="606" t="s">
        <v>4348</v>
      </c>
      <c r="E13546" s="606" t="n">
        <v>333</v>
      </c>
      <c r="F13546" s="606" t="n">
        <v>9</v>
      </c>
      <c r="G13546" s="819" t="n">
        <f aca="false">E13546*F13546</f>
        <v>2997</v>
      </c>
      <c r="H13546" s="1215"/>
    </row>
    <row r="13547" customFormat="false" ht="15.75" hidden="false" customHeight="false" outlineLevel="0" collapsed="false">
      <c r="A13547" s="435"/>
      <c r="B13547" s="40"/>
      <c r="C13547" s="614" t="s">
        <v>6707</v>
      </c>
      <c r="D13547" s="606" t="s">
        <v>4348</v>
      </c>
      <c r="E13547" s="705" t="n">
        <v>0.00515</v>
      </c>
      <c r="F13547" s="606" t="n">
        <v>21000</v>
      </c>
      <c r="G13547" s="819" t="n">
        <f aca="false">E13547*F13547</f>
        <v>108.15</v>
      </c>
      <c r="H13547" s="1215"/>
    </row>
    <row r="13548" customFormat="false" ht="15.75" hidden="false" customHeight="false" outlineLevel="0" collapsed="false">
      <c r="A13548" s="435"/>
      <c r="B13548" s="1053" t="s">
        <v>4128</v>
      </c>
      <c r="C13548" s="609"/>
      <c r="D13548" s="610"/>
      <c r="E13548" s="610"/>
      <c r="F13548" s="610"/>
      <c r="G13548" s="934" t="n">
        <f aca="false">SUM(G13546:G13547)</f>
        <v>3105.15</v>
      </c>
      <c r="H13548" s="1215"/>
    </row>
    <row r="13549" customFormat="false" ht="45" hidden="false" customHeight="false" outlineLevel="0" collapsed="false">
      <c r="A13549" s="435" t="s">
        <v>2702</v>
      </c>
      <c r="B13549" s="40" t="s">
        <v>4073</v>
      </c>
      <c r="C13549" s="614" t="s">
        <v>6706</v>
      </c>
      <c r="D13549" s="606" t="s">
        <v>4348</v>
      </c>
      <c r="E13549" s="606" t="n">
        <v>333</v>
      </c>
      <c r="F13549" s="606" t="n">
        <v>9</v>
      </c>
      <c r="G13549" s="819" t="n">
        <f aca="false">E13549*F13549</f>
        <v>2997</v>
      </c>
      <c r="H13549" s="1215"/>
    </row>
    <row r="13550" customFormat="false" ht="15.75" hidden="false" customHeight="false" outlineLevel="0" collapsed="false">
      <c r="A13550" s="435"/>
      <c r="B13550" s="40"/>
      <c r="C13550" s="614" t="s">
        <v>6707</v>
      </c>
      <c r="D13550" s="606" t="s">
        <v>4348</v>
      </c>
      <c r="E13550" s="705" t="n">
        <v>0.00515</v>
      </c>
      <c r="F13550" s="606" t="n">
        <v>21000</v>
      </c>
      <c r="G13550" s="819" t="n">
        <f aca="false">E13550*F13550</f>
        <v>108.15</v>
      </c>
      <c r="H13550" s="1215"/>
    </row>
    <row r="13551" customFormat="false" ht="15.75" hidden="false" customHeight="false" outlineLevel="0" collapsed="false">
      <c r="A13551" s="435"/>
      <c r="B13551" s="1053" t="s">
        <v>4128</v>
      </c>
      <c r="C13551" s="609"/>
      <c r="D13551" s="610"/>
      <c r="E13551" s="610"/>
      <c r="F13551" s="610"/>
      <c r="G13551" s="934" t="n">
        <f aca="false">SUM(G13549:G13550)</f>
        <v>3105.15</v>
      </c>
      <c r="H13551" s="1215"/>
    </row>
    <row r="13552" customFormat="false" ht="45" hidden="false" customHeight="false" outlineLevel="0" collapsed="false">
      <c r="A13552" s="435" t="s">
        <v>2704</v>
      </c>
      <c r="B13552" s="40" t="s">
        <v>4074</v>
      </c>
      <c r="C13552" s="614" t="s">
        <v>6706</v>
      </c>
      <c r="D13552" s="606" t="s">
        <v>4348</v>
      </c>
      <c r="E13552" s="606" t="n">
        <v>333</v>
      </c>
      <c r="F13552" s="606" t="n">
        <v>9</v>
      </c>
      <c r="G13552" s="819" t="n">
        <f aca="false">E13552*F13552</f>
        <v>2997</v>
      </c>
      <c r="H13552" s="1215"/>
    </row>
    <row r="13553" customFormat="false" ht="15.75" hidden="false" customHeight="false" outlineLevel="0" collapsed="false">
      <c r="A13553" s="435"/>
      <c r="B13553" s="40"/>
      <c r="C13553" s="614" t="s">
        <v>6707</v>
      </c>
      <c r="D13553" s="606" t="s">
        <v>4348</v>
      </c>
      <c r="E13553" s="705" t="n">
        <v>0.00515</v>
      </c>
      <c r="F13553" s="606" t="n">
        <v>21000</v>
      </c>
      <c r="G13553" s="819" t="n">
        <f aca="false">E13553*F13553</f>
        <v>108.15</v>
      </c>
      <c r="H13553" s="1215"/>
    </row>
    <row r="13554" customFormat="false" ht="15.75" hidden="false" customHeight="false" outlineLevel="0" collapsed="false">
      <c r="A13554" s="435"/>
      <c r="B13554" s="1053" t="s">
        <v>4128</v>
      </c>
      <c r="C13554" s="609"/>
      <c r="D13554" s="610"/>
      <c r="E13554" s="610"/>
      <c r="F13554" s="610"/>
      <c r="G13554" s="934" t="n">
        <f aca="false">SUM(G13552:G13553)</f>
        <v>3105.15</v>
      </c>
      <c r="H13554" s="1215"/>
    </row>
    <row r="13555" s="97" customFormat="true" ht="100.5" hidden="false" customHeight="true" outlineLevel="0" collapsed="false">
      <c r="A13555" s="439" t="s">
        <v>6894</v>
      </c>
      <c r="B13555" s="440" t="s">
        <v>4075</v>
      </c>
      <c r="C13555" s="1161" t="s">
        <v>6712</v>
      </c>
      <c r="D13555" s="1161" t="s">
        <v>4348</v>
      </c>
      <c r="E13555" s="1161" t="n">
        <v>1</v>
      </c>
      <c r="F13555" s="1161" t="n">
        <v>120</v>
      </c>
      <c r="G13555" s="134" t="n">
        <f aca="false">E13555*F13555</f>
        <v>120</v>
      </c>
      <c r="H13555" s="161"/>
    </row>
    <row r="13556" s="1218" customFormat="true" ht="15.75" hidden="false" customHeight="false" outlineLevel="0" collapsed="false">
      <c r="A13556" s="1138"/>
      <c r="B13556" s="1138"/>
      <c r="C13556" s="1161" t="s">
        <v>6688</v>
      </c>
      <c r="D13556" s="1161" t="s">
        <v>6689</v>
      </c>
      <c r="E13556" s="1161" t="n">
        <v>150</v>
      </c>
      <c r="F13556" s="1161" t="n">
        <f aca="false">4500/500</f>
        <v>9</v>
      </c>
      <c r="G13556" s="134" t="n">
        <f aca="false">E13556*F13556/500</f>
        <v>2.7</v>
      </c>
      <c r="H13556" s="1122"/>
    </row>
    <row r="13557" s="1218" customFormat="true" ht="15.75" hidden="false" customHeight="false" outlineLevel="0" collapsed="false">
      <c r="A13557" s="1138"/>
      <c r="B13557" s="1131" t="s">
        <v>4562</v>
      </c>
      <c r="C13557" s="1161"/>
      <c r="D13557" s="1161"/>
      <c r="E13557" s="1161"/>
      <c r="F13557" s="1161"/>
      <c r="G13557" s="1219" t="n">
        <f aca="false">SUM(G13555:G13556)</f>
        <v>122.7</v>
      </c>
      <c r="H13557" s="1122"/>
    </row>
    <row r="13558" s="1218" customFormat="true" ht="15.75" hidden="false" customHeight="false" outlineLevel="0" collapsed="false">
      <c r="A13558" s="442" t="s">
        <v>2708</v>
      </c>
      <c r="B13558" s="401" t="s">
        <v>4076</v>
      </c>
      <c r="C13558" s="169"/>
      <c r="D13558" s="155"/>
      <c r="E13558" s="155"/>
      <c r="F13558" s="227"/>
      <c r="G13558" s="227"/>
      <c r="H13558" s="443"/>
    </row>
    <row r="13559" s="97" customFormat="true" ht="31.5" hidden="false" customHeight="false" outlineLevel="0" collapsed="false">
      <c r="A13559" s="399"/>
      <c r="B13559" s="401" t="s">
        <v>4077</v>
      </c>
      <c r="C13559" s="1220" t="s">
        <v>6688</v>
      </c>
      <c r="D13559" s="1220" t="s">
        <v>6689</v>
      </c>
      <c r="E13559" s="1220" t="n">
        <v>150</v>
      </c>
      <c r="F13559" s="1220" t="n">
        <f aca="false">4500/500</f>
        <v>9</v>
      </c>
      <c r="G13559" s="1221" t="n">
        <f aca="false">E13559*F13559/500</f>
        <v>2.7</v>
      </c>
      <c r="H13559" s="14"/>
    </row>
    <row r="13560" s="1218" customFormat="true" ht="15.75" hidden="false" customHeight="false" outlineLevel="0" collapsed="false">
      <c r="A13560" s="1138"/>
      <c r="B13560" s="1131" t="s">
        <v>4562</v>
      </c>
      <c r="C13560" s="1161"/>
      <c r="D13560" s="1161"/>
      <c r="E13560" s="1161"/>
      <c r="F13560" s="1161"/>
      <c r="G13560" s="1219" t="n">
        <f aca="false">G13559</f>
        <v>2.7</v>
      </c>
      <c r="H13560" s="1122"/>
    </row>
  </sheetData>
  <mergeCells count="83">
    <mergeCell ref="F1:H1"/>
    <mergeCell ref="F2:H2"/>
    <mergeCell ref="F3:H3"/>
    <mergeCell ref="F4:H4"/>
    <mergeCell ref="A6:H6"/>
    <mergeCell ref="A7:H7"/>
    <mergeCell ref="A9:H9"/>
    <mergeCell ref="A10:H10"/>
    <mergeCell ref="A11:A12"/>
    <mergeCell ref="B11:B12"/>
    <mergeCell ref="C11:C12"/>
    <mergeCell ref="D11:D12"/>
    <mergeCell ref="E11:G11"/>
    <mergeCell ref="B14:C14"/>
    <mergeCell ref="B15:C15"/>
    <mergeCell ref="B1470:B1480"/>
    <mergeCell ref="B1482:B1491"/>
    <mergeCell ref="B1493:B1502"/>
    <mergeCell ref="B1504:B1515"/>
    <mergeCell ref="B1517:B1528"/>
    <mergeCell ref="B1530:B1539"/>
    <mergeCell ref="B1541:B1550"/>
    <mergeCell ref="B1552:B1561"/>
    <mergeCell ref="B1563:B1574"/>
    <mergeCell ref="B1576:B1591"/>
    <mergeCell ref="B1593:B1608"/>
    <mergeCell ref="B1610:B1622"/>
    <mergeCell ref="B1624:B1631"/>
    <mergeCell ref="B1633:B1645"/>
    <mergeCell ref="B1647:B1659"/>
    <mergeCell ref="B1661:B1673"/>
    <mergeCell ref="B1675:B1684"/>
    <mergeCell ref="B1686:B1695"/>
    <mergeCell ref="B1697:B1717"/>
    <mergeCell ref="B1719:B1729"/>
    <mergeCell ref="H4825:H4828"/>
    <mergeCell ref="H11041:H11049"/>
    <mergeCell ref="H11050:H11056"/>
    <mergeCell ref="H11057:H11065"/>
    <mergeCell ref="H11066:H11071"/>
    <mergeCell ref="H11072:H11080"/>
    <mergeCell ref="H11081:H11086"/>
    <mergeCell ref="H11087:H11094"/>
    <mergeCell ref="H11095:H11101"/>
    <mergeCell ref="H11102:H11104"/>
    <mergeCell ref="H11105:H11118"/>
    <mergeCell ref="H11119:H11121"/>
    <mergeCell ref="H11122:H11124"/>
    <mergeCell ref="H11125:H11127"/>
    <mergeCell ref="H11128:H11130"/>
    <mergeCell ref="H11131:H11133"/>
    <mergeCell ref="H11134:H11136"/>
    <mergeCell ref="H11137:H11139"/>
    <mergeCell ref="H11140:H11143"/>
    <mergeCell ref="H11145:H11148"/>
    <mergeCell ref="H11150:H11153"/>
    <mergeCell ref="H11156:H11159"/>
    <mergeCell ref="H11164:H11166"/>
    <mergeCell ref="H11167:H11170"/>
    <mergeCell ref="H11172:H11175"/>
    <mergeCell ref="H11177:H11178"/>
    <mergeCell ref="H11180:H11181"/>
    <mergeCell ref="H11183:H11186"/>
    <mergeCell ref="H11188:H11191"/>
    <mergeCell ref="H11193:H11198"/>
    <mergeCell ref="H11246:H11254"/>
    <mergeCell ref="A11267:A11275"/>
    <mergeCell ref="B11267:B11275"/>
    <mergeCell ref="H11267:H11276"/>
    <mergeCell ref="B12614:C12614"/>
    <mergeCell ref="F12614:G12614"/>
    <mergeCell ref="B12615:F12615"/>
    <mergeCell ref="B12617:C12617"/>
    <mergeCell ref="E12617:F12617"/>
    <mergeCell ref="B12962:E12962"/>
    <mergeCell ref="F12962:H12962"/>
    <mergeCell ref="A13518:A13522"/>
    <mergeCell ref="B13518:B13522"/>
    <mergeCell ref="H13524:H13527"/>
    <mergeCell ref="A13534:A13539"/>
    <mergeCell ref="B13534:B13539"/>
    <mergeCell ref="A13540:A13544"/>
    <mergeCell ref="B13540:B13544"/>
  </mergeCells>
  <dataValidations count="3">
    <dataValidation allowBlank="true" error="Внимание, в данную ячейку допускается воодить только ЦИФРЫ! Не допускается ввод букв, символов и пробелов." errorStyle="stop" errorTitle="Введите число!" operator="greaterThan" showDropDown="false" showErrorMessage="true" showInputMessage="true" sqref="E11050 E11054 E11057 E11062 E11072:E11075 E11087:E11090 E11094:E11098 E11102 E11105 E11119 E11122 E11125 E11128 E11131 E11134 E11137 E11140 E11145 E11150:E11151 E11156 E11164 E11167 E11172 E11177 E11180 E11183 E11188 E11193:E11194 E11200 E11203 E11208 E11211 E11214 E11217 E11220 E11223 E11232 E11236:E11239 E11246:E11249 E11256 E11261 E11264 E11267:E11270 E12870 IR12870 SN12870 ACJ12870 AMF12870 AWB12870 BFX12870 BPT12870 BZP12870 CJL12870 CTH12870 DDD12870 DMZ12870 DWV12870 EGR12870 EQN12870 FAJ12870 FKF12870 FUB12870 GDX12870 GNT12870 GXP12870 HHL12870 HRH12870 IBD12870 IKZ12870 IUV12870 JER12870 JON12870 JYJ12870 KIF12870 KSB12870 LBX12870 LLT12870 LVP12870 MFL12870 MPH12870 MZD12870 NIZ12870 NSV12870 OCR12870 OMN12870 OWJ12870 PGF12870 PQB12870 PZX12870 QJT12870 QTP12870 RDL12870 RNH12870 RXD12870 SGZ12870 SQV12870 TAR12870 TKN12870 TUJ12870 UEF12870 UOB12870 UXX12870 VHT12870 VRP12870 WBL12870 WLH12870 WVD12870 E12873 IR12873 SN12873 ACJ12873 AMF12873 AWB12873 BFX12873 BPT12873 BZP12873 CJL12873 CTH12873 DDD12873 DMZ12873 DWV12873 EGR12873 EQN12873 FAJ12873 FKF12873 FUB12873 GDX12873 GNT12873 GXP12873 HHL12873 HRH12873 IBD12873 IKZ12873 IUV12873 JER12873 JON12873 JYJ12873 KIF12873 KSB12873 LBX12873 LLT12873 LVP12873 MFL12873 MPH12873 MZD12873 NIZ12873 NSV12873 OCR12873 OMN12873 OWJ12873 PGF12873 PQB12873 PZX12873 QJT12873 QTP12873 RDL12873 RNH12873 RXD12873 SGZ12873 SQV12873 TAR12873 TKN12873 TUJ12873 UEF12873 UOB12873 UXX12873 VHT12873 VRP12873 WBL12873 WLH12873 WVD12873" type="decimal">
      <formula1>0</formula1>
      <formula2>0</formula2>
    </dataValidation>
    <dataValidation allowBlank="true" error="Внимание, в данную ячейку допускается воодить только ЦИФРЫ! Не допускается вводить буквы, символы или пробелы." errorStyle="stop" errorTitle="Введите число!" operator="greaterThan" showDropDown="false" showErrorMessage="true" showInputMessage="true" sqref="E16:F16 E17 E23:F23 E24 E30:F30 E31 E35:E37 F36 E40:E42 F41 E46:E48 F47 E55:F55 E56 E61:F61 E62 E66:F66 E67 E73:F73 E74 E83:E86 F85 E93:F93 E94 E104:F104 E105 E114:F114 E115 E125:F125 E126 E135:F135 E136 E148:F148 E149 E153:F153 E154 E164:E166 F165 E175:F175 E176 E182:F182 E183 E188:E191 E193:E195 F194 E199:E206 E208:E210 F209 E218:F218 E219 E227:E229 F228 E235:F235 E239:F239 E240 E250:F250 E251 E264:F264 E265 E275:F275 E276 E286:F286 E287 E298:F298 E299 E311:E313 F312 E324:F324 E325 F329:F330 F332:F333 E336:F336 E337 E347:F347 E348 E353:F353 E354 E358 E362:F363 E364 F370:F371 E371:E372 E377 E379:F379 E380 F386:F387 E387:E388 E394 E396 E403:F403 E404 E409:E412 F411 E419:F419 E420 E425:E428 F427 E441:F441 F449 E451:F451 E452 F463:F464 E464 F472 E474:F474 E475 F484 E490:F490 E491 E496:E499 F498 F508:F509 E509:E510 E524:F524 E525 E529:E530 E532:F532 E533 E544:F544 E553:F553 F559 F562:F563 E565:F565 E566 E575:F575 E576 E586:F586 E587 E594:F594 E595 E607:F607 E615:F615 E616 E623:F623 E624 E629:E631 F630 E639:F639 E648:F648 E657:F657 E666:F666 E675:F675 E681:F681 E682 E687:F687 E688 E694:F694 E695 E698:E700 F699 E703:E705 F704 E709:E711 F710 E715:E716 E718:F718 E719 E725:F725 E726 E735:E738 F737 E745:F745 E746 E756:F756 E757 E766:F766 E767 E777:F777 E778 F784 E785 E798:F798 E799:E800 E804:F804 E805 E815:E817 F816 E823:F823 E824 E830:F830 E831 E838:F838 E839 E846:F846 E847 E853:F853 E857:F857 E858 E869:F869 E881:F882 E883 E893:E894 F894 E896:F896 E897 E908:F908 E909 F913 F916:F917 E920:F920 E921 E931:F931 E932 E937:F937 E938 E942 E946:F947 E948 F954:F955 E955 E963:F963 E964 E971:F971 E972 E979:F979 E980 E988 E993 E995:F995 E996 E1003:F1003 E1004 E1009 E1011:F1011 E1012 E1025:F1025 E1035:F1035 E1036 E1048:F1048 E1058:F1058 E1059 E1074:F1074 E1075 E1080:E1083 F1082 E1093:F1093 E1094 E1108:F1108 E1109 E1114 E1116:F1116 E1117 E1128:F1128 E1137:F1137 F1143 F1146:F1147 E1149:F1149 E1150 E1159:F1159 E1160 E1170:F1170 E1171 E1178:F1178 E1179 E1191:F1191 E1200:F1200 E1208:F1208 E1209 E1216:F1216 E1217 E1225:F1225 E1231:F1231 E1232 E1236:E1238 F1237 E1242:F1242 E1243 E1262:F1262 E1276:F1276 E1277 E1285:F1285 E1286 E1293:F1293 E1305:F1305 E1307 E1313:F1313 E1342:F1342 E1343 E1349 E1364:F1364 E1377:F1377 E1389:F1389 E1396:F1396 E1404:F1404 E1412:F1412 E1419:F1419 E1426:F1426 E1432:E1434 F1433 E1440:E1442 F1442 E1448:E1449 F1449 E1454:E1456 F1456 E1462:E1464 F1464 E1470:E1473 E1475:E1476 F1476 E1482:E1487 F1487 E1493:E1498 F1498 E1504:E1511 F1511 E1517:E1524 F1524 E1530:E1535 F1535 E1541:E1546 F1546 E1552:E1557 F1557 E1563:E1570 F1570 E1576:E1587 F1587 E1593:E1604 F1604 E1610:E1618 F1618 E1624:E1627 F1627 E1638:E1640 F1639 E1641:F1641 E1652:E1654 F1653 E1655:F1655 E1666:E1668 F1667 E1669:F1669 E1677:E1679 F1678 E1680:F1680 E1688:E1690 F1689 E1691:F1691 E1701:E1714 F1714 E1723:F1723 E1724:E1725 F1725 E4995:F4995 E5021:F5021 E5022 E5039:F5039 E5040 E5042:F5042 E5057:F5057 E5058:E5059 F5059 E5072:F5072 E5073:E5074 F5074 E5088:F5088 E5089:E5090 F5090 E5107:F5107 E5108:E5109 F5109 E5120:F5120 E5122:F5122 E5124 E5135 E5138:F5138 E5139 E5141:F5141 E5164:F5164 E5175:E5176 F5176 E5179:F5179 E5188:F5188 E5190:F5190 E5191 E5227:E5228 F5228 E5252:F5252 E5253 E5274:F5274 E5297:F5297 E5298 E5340:F5340 E5341 E5355:F5355 E5356:E5357 F5357 E5382:F5382 E5405:F5405 E5425:F5425 E5426:E5427 F5427 E5451:F5451 E5452:E5453 F5453 E5470:F5470 E5471 E5473:F5473 E5498:F5498 E5499:E5500 F5500 E5517:F5517 E5518:E5519 F5519 E5537 E5541:F5541 E5543:F5543 E5544 E5559:F5559 E5560:E5561 F5561 E5579:F5579 E5580:E5581 F5581 E5606:F5606 E5607 E5626:F5626 E5645:F5645 E5680:F5680 E5699:F5699 E5715:F5715 E5716:E5717 F5717 E5739:F5739 E5740:E5741 F5741 E5757:F5757 E5758:E5759 F5759 E5779:F5779 E5780:E5781 F5781 E5799:F5799 E5800:E5801 F5801 E5814:F5814 E5816:F5816 E5817 E5834 E5837:F5837 E5838 E5840:F5840 E5865:F5865 E5882:F5882 E5900:F5900 E5901:E5902 F5902 E5917:F5917 E5919:F5919 E5920 E5934:F5934 E5935:E5936 F5936 E5950:F5950 E5951:E5952 F5952 E5973:F5973 E5974:E5975 F5975 E5997:F5997 E5998 E6016:F6016 E6039:F6039 E6053:F6053 E6054:E6055 F6055 E6066:F6066 E6067:E6068 F6068 E6070:F6070 E6071 E6085:F6085 E6086:E6087 F6087 E6106:F6106 E6120:F6120 E6121:E6122 F6122 E6136:F6136 E6137:E6138 F6138 E6158:F6158 E6179:F6179 E6196:F6196 E6197:E6198 F6198 E6212:F6212 E6213:E6214 F6214 E6234:F6234 E6235:E6236 F6236 E6255:F6255 E6256:E6257 F6257 E6280:F6280 E6281:E6282 F6282 E6298:F6298 E6299:E6300 F6300 E6318:F6318 E6319:E6320 F6320 E6340:F6340 E6341:E6342 F6342 E6363:F6363 E6382 E6385:F6385 E6386 E6388:F6388 E6390:F6390 E6391 E6409:F6409 E6410 E6412:F6412 E6436:F6436 E6459:F6459 E6485 E6489:F6489 E6506:F6506 E6520:F6520 E6521 E6523:F6523 E6544:F6544 E6560:E6562 F6561:F6562 E6577 E6579:F6580 E6604:F6604 E6626:F6626 E6627 E6638 E6642:F6642 E6669:F6669 E6688:F6688 E6705:F6705 E6706:E6707 F6707 E6725:F6725 E6726:E6727 F6727 E6750:F6750 E6751 E6767:F6767 E6793:F6793 E6816:F6816 E7416:F7416 E7417:E7418 F7418 E11445:F11445" type="decimal">
      <formula1>0</formula1>
      <formula2>0</formula2>
    </dataValidation>
    <dataValidation allowBlank="true" errorStyle="stop" operator="between" prompt="Введите наименование на гос.языке" showDropDown="false" showErrorMessage="true" showInputMessage="true" sqref="C53 C192 C207 C215:C216 C224 C238 C246:C248 C271:C273 C282:C284 C561 C716 C836 C844 C856 C1145" type="none">
      <formula1>0</formula1>
      <formula2>0</formula2>
    </dataValidation>
  </dataValidations>
  <printOptions headings="false" gridLines="false" gridLinesSet="true" horizontalCentered="false" verticalCentered="false"/>
  <pageMargins left="0.708333333333333" right="0.708333333333333" top="0.747916666666667" bottom="0.747916666666667"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157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9" topLeftCell="A1519" activePane="bottomLeft" state="frozen"/>
      <selection pane="topLeft" activeCell="A1" activeCellId="0" sqref="A1"/>
      <selection pane="bottomLeft" activeCell="A1525" activeCellId="0" sqref="A1525"/>
    </sheetView>
  </sheetViews>
  <sheetFormatPr defaultColWidth="10.00390625" defaultRowHeight="15" zeroHeight="false" outlineLevelRow="0" outlineLevelCol="0"/>
  <cols>
    <col collapsed="false" customWidth="true" hidden="false" outlineLevel="0" max="1" min="1" style="952" width="8.42"/>
    <col collapsed="false" customWidth="true" hidden="false" outlineLevel="0" max="2" min="2" style="1222" width="52.57"/>
    <col collapsed="false" customWidth="true" hidden="false" outlineLevel="0" max="3" min="3" style="1223" width="21.14"/>
    <col collapsed="false" customWidth="true" hidden="false" outlineLevel="0" max="4" min="4" style="1223" width="10.14"/>
    <col collapsed="false" customWidth="true" hidden="false" outlineLevel="0" max="5" min="5" style="1223" width="19.14"/>
    <col collapsed="false" customWidth="true" hidden="false" outlineLevel="0" max="6" min="6" style="1223" width="15.14"/>
    <col collapsed="false" customWidth="true" hidden="false" outlineLevel="0" max="7" min="7" style="1223" width="13"/>
    <col collapsed="false" customWidth="false" hidden="false" outlineLevel="0" max="8" min="8" style="1224" width="10"/>
    <col collapsed="false" customWidth="true" hidden="false" outlineLevel="0" max="9" min="9" style="1224" width="14.29"/>
    <col collapsed="false" customWidth="true" hidden="false" outlineLevel="0" max="10" min="10" style="1224" width="13.86"/>
    <col collapsed="false" customWidth="false" hidden="false" outlineLevel="0" max="19" min="11" style="581" width="10"/>
    <col collapsed="false" customWidth="false" hidden="false" outlineLevel="0" max="16384" min="20" style="531" width="10"/>
  </cols>
  <sheetData>
    <row r="1" s="485" customFormat="true" ht="24" hidden="false" customHeight="true" outlineLevel="0" collapsed="false">
      <c r="A1" s="1225" t="s">
        <v>6895</v>
      </c>
      <c r="B1" s="1225"/>
      <c r="C1" s="1225"/>
      <c r="D1" s="1225"/>
      <c r="E1" s="1225"/>
      <c r="F1" s="1225"/>
      <c r="G1" s="1225"/>
      <c r="H1" s="1225"/>
      <c r="I1" s="1225"/>
      <c r="J1" s="1225"/>
      <c r="K1" s="589"/>
      <c r="L1" s="589"/>
      <c r="M1" s="589"/>
      <c r="N1" s="589"/>
      <c r="O1" s="589"/>
      <c r="P1" s="589"/>
      <c r="Q1" s="589"/>
      <c r="R1" s="589"/>
      <c r="S1" s="589"/>
    </row>
    <row r="2" s="485" customFormat="true" ht="25.5" hidden="false" customHeight="true" outlineLevel="0" collapsed="false">
      <c r="A2" s="1226" t="s">
        <v>6896</v>
      </c>
      <c r="B2" s="1226"/>
      <c r="C2" s="1226"/>
      <c r="D2" s="1226"/>
      <c r="E2" s="1226"/>
      <c r="F2" s="1226"/>
      <c r="G2" s="1226"/>
      <c r="H2" s="1226"/>
      <c r="I2" s="1226"/>
      <c r="J2" s="1226"/>
      <c r="K2" s="589"/>
      <c r="L2" s="589"/>
      <c r="M2" s="589"/>
      <c r="N2" s="589"/>
      <c r="O2" s="589"/>
      <c r="P2" s="589"/>
      <c r="Q2" s="589"/>
      <c r="R2" s="589"/>
      <c r="S2" s="589"/>
    </row>
    <row r="3" s="485" customFormat="true" ht="42.75" hidden="false" customHeight="true" outlineLevel="0" collapsed="false">
      <c r="A3" s="1227" t="s">
        <v>4108</v>
      </c>
      <c r="B3" s="1227"/>
      <c r="C3" s="1227"/>
      <c r="D3" s="1227"/>
      <c r="E3" s="1227"/>
      <c r="F3" s="1227"/>
      <c r="G3" s="1227"/>
      <c r="H3" s="1227"/>
      <c r="I3" s="1227"/>
      <c r="J3" s="1227"/>
      <c r="K3" s="589"/>
      <c r="L3" s="589"/>
      <c r="M3" s="589"/>
      <c r="N3" s="589"/>
      <c r="O3" s="589"/>
      <c r="P3" s="589"/>
      <c r="Q3" s="589"/>
      <c r="R3" s="589"/>
      <c r="S3" s="589"/>
    </row>
    <row r="4" s="485" customFormat="true" ht="15.75" hidden="true" customHeight="true" outlineLevel="0" collapsed="false">
      <c r="A4" s="952"/>
      <c r="B4" s="591"/>
      <c r="C4" s="1228"/>
      <c r="D4" s="1228"/>
      <c r="E4" s="1228"/>
      <c r="F4" s="1229"/>
      <c r="G4" s="1229"/>
      <c r="H4" s="1229"/>
      <c r="I4" s="1229"/>
      <c r="J4" s="1230" t="n">
        <v>4</v>
      </c>
      <c r="K4" s="589"/>
      <c r="L4" s="589"/>
      <c r="M4" s="589"/>
      <c r="N4" s="589"/>
      <c r="O4" s="589"/>
      <c r="P4" s="589"/>
      <c r="Q4" s="589"/>
      <c r="R4" s="589"/>
      <c r="S4" s="589"/>
    </row>
    <row r="5" s="485" customFormat="true" ht="16.5" hidden="true" customHeight="true" outlineLevel="0" collapsed="false">
      <c r="A5" s="952"/>
      <c r="B5" s="591"/>
      <c r="C5" s="1228"/>
      <c r="D5" s="1228"/>
      <c r="E5" s="1228"/>
      <c r="F5" s="1229"/>
      <c r="G5" s="1229"/>
      <c r="H5" s="1229"/>
      <c r="I5" s="1229"/>
      <c r="J5" s="1230" t="n">
        <v>2</v>
      </c>
      <c r="K5" s="589"/>
      <c r="L5" s="589"/>
      <c r="M5" s="589"/>
      <c r="N5" s="589"/>
      <c r="O5" s="589"/>
      <c r="P5" s="589"/>
      <c r="Q5" s="589"/>
      <c r="R5" s="589"/>
      <c r="S5" s="589"/>
    </row>
    <row r="6" s="485" customFormat="true" ht="23.25" hidden="false" customHeight="true" outlineLevel="0" collapsed="false">
      <c r="A6" s="592" t="n">
        <v>1</v>
      </c>
      <c r="B6" s="820" t="s">
        <v>4083</v>
      </c>
      <c r="C6" s="1231" t="s">
        <v>6897</v>
      </c>
      <c r="D6" s="1231"/>
      <c r="E6" s="1231"/>
      <c r="F6" s="667" t="s">
        <v>6898</v>
      </c>
      <c r="G6" s="1232" t="s">
        <v>6899</v>
      </c>
      <c r="H6" s="667" t="s">
        <v>6900</v>
      </c>
      <c r="I6" s="1233" t="s">
        <v>6901</v>
      </c>
      <c r="J6" s="1233" t="s">
        <v>6902</v>
      </c>
      <c r="K6" s="589"/>
      <c r="L6" s="589"/>
      <c r="M6" s="589"/>
      <c r="N6" s="589"/>
      <c r="O6" s="589"/>
      <c r="P6" s="589"/>
      <c r="Q6" s="589"/>
      <c r="R6" s="589"/>
      <c r="S6" s="589"/>
    </row>
    <row r="7" s="485" customFormat="true" ht="15.75" hidden="false" customHeight="true" outlineLevel="0" collapsed="false">
      <c r="A7" s="592"/>
      <c r="B7" s="820"/>
      <c r="C7" s="1231" t="s">
        <v>6903</v>
      </c>
      <c r="D7" s="1234" t="s">
        <v>6904</v>
      </c>
      <c r="E7" s="1235" t="s">
        <v>6905</v>
      </c>
      <c r="F7" s="667"/>
      <c r="G7" s="1232"/>
      <c r="H7" s="667"/>
      <c r="I7" s="1233"/>
      <c r="J7" s="1233"/>
      <c r="K7" s="589"/>
      <c r="L7" s="589"/>
      <c r="M7" s="589"/>
      <c r="N7" s="589"/>
      <c r="O7" s="589"/>
      <c r="P7" s="589"/>
      <c r="Q7" s="589"/>
      <c r="R7" s="589"/>
      <c r="S7" s="589"/>
    </row>
    <row r="8" s="1237" customFormat="true" ht="24" hidden="false" customHeight="true" outlineLevel="0" collapsed="false">
      <c r="A8" s="592"/>
      <c r="B8" s="820"/>
      <c r="C8" s="1231"/>
      <c r="D8" s="1234"/>
      <c r="E8" s="1235"/>
      <c r="F8" s="667"/>
      <c r="G8" s="1232"/>
      <c r="H8" s="667"/>
      <c r="I8" s="1233"/>
      <c r="J8" s="1233"/>
      <c r="K8" s="1236"/>
      <c r="L8" s="1236"/>
      <c r="M8" s="1236"/>
      <c r="N8" s="1236"/>
      <c r="O8" s="1236"/>
      <c r="P8" s="1236"/>
      <c r="Q8" s="1236"/>
      <c r="R8" s="1236"/>
      <c r="S8" s="1236"/>
    </row>
    <row r="9" s="1237" customFormat="true" ht="15" hidden="false" customHeight="false" outlineLevel="0" collapsed="false">
      <c r="A9" s="592" t="n">
        <v>1</v>
      </c>
      <c r="B9" s="1238" t="n">
        <v>2</v>
      </c>
      <c r="C9" s="1239" t="n">
        <v>3</v>
      </c>
      <c r="D9" s="1239" t="n">
        <v>4</v>
      </c>
      <c r="E9" s="1239" t="n">
        <v>5</v>
      </c>
      <c r="F9" s="1240" t="n">
        <v>6</v>
      </c>
      <c r="G9" s="1240" t="n">
        <v>7</v>
      </c>
      <c r="H9" s="1241" t="n">
        <v>8</v>
      </c>
      <c r="I9" s="1241" t="n">
        <v>9</v>
      </c>
      <c r="J9" s="1241" t="n">
        <v>10</v>
      </c>
      <c r="K9" s="1236"/>
      <c r="L9" s="1236"/>
      <c r="M9" s="1236"/>
      <c r="N9" s="1236"/>
      <c r="O9" s="1236"/>
      <c r="P9" s="1236"/>
      <c r="Q9" s="1236"/>
      <c r="R9" s="1236"/>
      <c r="S9" s="1236"/>
    </row>
    <row r="10" s="1237" customFormat="true" ht="42.75" hidden="false" customHeight="false" outlineLevel="0" collapsed="false">
      <c r="A10" s="463" t="n">
        <v>1</v>
      </c>
      <c r="B10" s="1242" t="s">
        <v>6906</v>
      </c>
      <c r="C10" s="1243"/>
      <c r="D10" s="1243"/>
      <c r="E10" s="1243"/>
      <c r="F10" s="1243"/>
      <c r="G10" s="1243"/>
      <c r="H10" s="1243"/>
      <c r="I10" s="1243"/>
      <c r="J10" s="1244"/>
      <c r="K10" s="1236"/>
      <c r="L10" s="1236"/>
      <c r="M10" s="1236"/>
      <c r="N10" s="1236"/>
      <c r="O10" s="1236"/>
      <c r="P10" s="1236"/>
      <c r="Q10" s="1236"/>
      <c r="R10" s="1236"/>
      <c r="S10" s="1236"/>
    </row>
    <row r="11" s="485" customFormat="true" ht="142.5" hidden="false" customHeight="false" outlineLevel="0" collapsed="false">
      <c r="A11" s="350" t="s">
        <v>11</v>
      </c>
      <c r="B11" s="1245" t="str">
        <f aca="false">'[4]норма времени'!B15</f>
        <v>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v>
      </c>
      <c r="C11" s="1246"/>
      <c r="D11" s="1247"/>
      <c r="E11" s="1248"/>
      <c r="F11" s="1249"/>
      <c r="G11" s="1249"/>
      <c r="H11" s="1250"/>
      <c r="I11" s="1250"/>
      <c r="J11" s="1250"/>
      <c r="K11" s="589"/>
      <c r="L11" s="589"/>
      <c r="M11" s="589"/>
      <c r="N11" s="589"/>
      <c r="O11" s="589"/>
      <c r="P11" s="589"/>
      <c r="Q11" s="589"/>
      <c r="R11" s="589"/>
      <c r="S11" s="589"/>
    </row>
    <row r="12" s="485" customFormat="true" ht="15" hidden="false" customHeight="false" outlineLevel="0" collapsed="false">
      <c r="A12" s="571" t="s">
        <v>13</v>
      </c>
      <c r="B12" s="328" t="str">
        <f aca="false">'[4]норма времени'!B16</f>
        <v>Определение запаха</v>
      </c>
      <c r="C12" s="954" t="n">
        <v>35000</v>
      </c>
      <c r="D12" s="954" t="n">
        <v>30000</v>
      </c>
      <c r="E12" s="954" t="n">
        <v>25000</v>
      </c>
      <c r="F12" s="955" t="n">
        <f aca="false">C12+D12+E12</f>
        <v>90000</v>
      </c>
      <c r="G12" s="955" t="n">
        <f aca="false">F12/149.4</f>
        <v>602.409638554217</v>
      </c>
      <c r="H12" s="661" t="n">
        <f aca="false">G12/60</f>
        <v>10.0401606425703</v>
      </c>
      <c r="I12" s="660" t="n">
        <f aca="false">'норма времени'!D16</f>
        <v>15</v>
      </c>
      <c r="J12" s="661" t="n">
        <f aca="false">H12*I12</f>
        <v>150.602409638554</v>
      </c>
      <c r="K12" s="1251" t="n">
        <v>9.18386089512031</v>
      </c>
      <c r="L12" s="589" t="n">
        <v>15</v>
      </c>
      <c r="M12" s="1251" t="n">
        <v>137.757913426805</v>
      </c>
      <c r="N12" s="589"/>
      <c r="O12" s="589"/>
      <c r="P12" s="589"/>
      <c r="Q12" s="589"/>
      <c r="R12" s="589"/>
      <c r="S12" s="589"/>
    </row>
    <row r="13" customFormat="false" ht="15" hidden="false" customHeight="false" outlineLevel="0" collapsed="false">
      <c r="A13" s="571" t="s">
        <v>16</v>
      </c>
      <c r="B13" s="328" t="str">
        <f aca="false">'[4]норма времени'!B17</f>
        <v>Определение привкуса</v>
      </c>
      <c r="C13" s="954" t="n">
        <v>35000</v>
      </c>
      <c r="D13" s="954" t="n">
        <v>30000</v>
      </c>
      <c r="E13" s="954" t="n">
        <v>25000</v>
      </c>
      <c r="F13" s="955" t="n">
        <f aca="false">C13+D13+E13</f>
        <v>90000</v>
      </c>
      <c r="G13" s="955" t="n">
        <f aca="false">F13/149.4</f>
        <v>602.409638554217</v>
      </c>
      <c r="H13" s="661" t="n">
        <f aca="false">G13/60</f>
        <v>10.0401606425703</v>
      </c>
      <c r="I13" s="660" t="n">
        <f aca="false">'норма времени'!D17</f>
        <v>15</v>
      </c>
      <c r="J13" s="661" t="n">
        <f aca="false">H13*I13</f>
        <v>150.602409638554</v>
      </c>
    </row>
    <row r="14" customFormat="false" ht="15" hidden="false" customHeight="false" outlineLevel="0" collapsed="false">
      <c r="A14" s="571" t="s">
        <v>18</v>
      </c>
      <c r="B14" s="328" t="str">
        <f aca="false">'[4]норма времени'!B18</f>
        <v>Определение цветности</v>
      </c>
      <c r="C14" s="954" t="n">
        <v>35000</v>
      </c>
      <c r="D14" s="954" t="n">
        <v>30000</v>
      </c>
      <c r="E14" s="954" t="n">
        <v>25000</v>
      </c>
      <c r="F14" s="955" t="n">
        <f aca="false">C14+D14+E14</f>
        <v>90000</v>
      </c>
      <c r="G14" s="955" t="n">
        <f aca="false">F14/149.4</f>
        <v>602.409638554217</v>
      </c>
      <c r="H14" s="661" t="n">
        <f aca="false">G14/60</f>
        <v>10.0401606425703</v>
      </c>
      <c r="I14" s="660" t="n">
        <f aca="false">'норма времени'!D18</f>
        <v>20</v>
      </c>
      <c r="J14" s="661" t="n">
        <f aca="false">H14*I14</f>
        <v>200.803212851406</v>
      </c>
    </row>
    <row r="15" customFormat="false" ht="15" hidden="false" customHeight="false" outlineLevel="0" collapsed="false">
      <c r="A15" s="571" t="s">
        <v>20</v>
      </c>
      <c r="B15" s="328" t="str">
        <f aca="false">'[4]норма времени'!B19</f>
        <v>Определения мутности </v>
      </c>
      <c r="C15" s="954" t="n">
        <v>50000</v>
      </c>
      <c r="D15" s="954" t="n">
        <v>40000</v>
      </c>
      <c r="E15" s="954" t="n">
        <v>35000</v>
      </c>
      <c r="F15" s="955" t="n">
        <f aca="false">C15+D15+E15</f>
        <v>125000</v>
      </c>
      <c r="G15" s="955" t="n">
        <f aca="false">F15/149.4</f>
        <v>836.680053547523</v>
      </c>
      <c r="H15" s="661" t="n">
        <f aca="false">G15/60</f>
        <v>13.9446675591254</v>
      </c>
      <c r="I15" s="660" t="n">
        <f aca="false">'норма времени'!D19</f>
        <v>40</v>
      </c>
      <c r="J15" s="661" t="n">
        <f aca="false">H15*I15</f>
        <v>557.786702365016</v>
      </c>
    </row>
    <row r="16" customFormat="false" ht="15" hidden="false" customHeight="false" outlineLevel="0" collapsed="false">
      <c r="A16" s="571" t="s">
        <v>22</v>
      </c>
      <c r="B16" s="328" t="str">
        <f aca="false">'[4]норма времени'!B20</f>
        <v>Определение водородного показателя рН </v>
      </c>
      <c r="C16" s="954" t="n">
        <v>55000</v>
      </c>
      <c r="D16" s="954" t="n">
        <v>50000</v>
      </c>
      <c r="E16" s="954" t="n">
        <v>45000</v>
      </c>
      <c r="F16" s="955" t="n">
        <f aca="false">C16+D16+E16</f>
        <v>150000</v>
      </c>
      <c r="G16" s="955" t="n">
        <f aca="false">F16/149.4</f>
        <v>1004.01606425703</v>
      </c>
      <c r="H16" s="661" t="n">
        <f aca="false">G16/60</f>
        <v>16.7336010709505</v>
      </c>
      <c r="I16" s="660" t="n">
        <f aca="false">'норма времени'!D20</f>
        <v>30</v>
      </c>
      <c r="J16" s="661" t="n">
        <f aca="false">H16*I16</f>
        <v>502.008032128514</v>
      </c>
    </row>
    <row r="17" customFormat="false" ht="15" hidden="false" customHeight="false" outlineLevel="0" collapsed="false">
      <c r="A17" s="571" t="s">
        <v>24</v>
      </c>
      <c r="B17" s="328" t="str">
        <f aca="false">'[4]норма времени'!B21</f>
        <v>Определение общей минерализаци (сухой остаток)</v>
      </c>
      <c r="C17" s="954" t="n">
        <v>50000</v>
      </c>
      <c r="D17" s="954" t="n">
        <v>45000</v>
      </c>
      <c r="E17" s="954" t="n">
        <v>40000</v>
      </c>
      <c r="F17" s="955" t="n">
        <f aca="false">C17+D17+E17</f>
        <v>135000</v>
      </c>
      <c r="G17" s="955" t="n">
        <f aca="false">F17/149.4</f>
        <v>903.614457831325</v>
      </c>
      <c r="H17" s="661" t="n">
        <f aca="false">G17/60</f>
        <v>15.0602409638554</v>
      </c>
      <c r="I17" s="660" t="n">
        <f aca="false">'норма времени'!D21</f>
        <v>20</v>
      </c>
      <c r="J17" s="661" t="n">
        <f aca="false">H17*I17</f>
        <v>301.204819277108</v>
      </c>
    </row>
    <row r="18" customFormat="false" ht="15" hidden="false" customHeight="false" outlineLevel="0" collapsed="false">
      <c r="A18" s="571" t="s">
        <v>26</v>
      </c>
      <c r="B18" s="328" t="str">
        <f aca="false">'[4]норма времени'!B22</f>
        <v>Определение перманганатной окисляемости </v>
      </c>
      <c r="C18" s="954" t="n">
        <v>10000</v>
      </c>
      <c r="D18" s="954" t="n">
        <v>10000</v>
      </c>
      <c r="E18" s="954"/>
      <c r="F18" s="955" t="n">
        <f aca="false">C18+D18+E18</f>
        <v>20000</v>
      </c>
      <c r="G18" s="955" t="n">
        <f aca="false">F18/149.4</f>
        <v>133.868808567604</v>
      </c>
      <c r="H18" s="661" t="n">
        <f aca="false">G18/60</f>
        <v>2.23114680946006</v>
      </c>
      <c r="I18" s="660" t="n">
        <f aca="false">'норма времени'!D22</f>
        <v>40</v>
      </c>
      <c r="J18" s="661" t="n">
        <f aca="false">H18*I18</f>
        <v>89.2458723784025</v>
      </c>
    </row>
    <row r="19" s="581" customFormat="true" ht="15" hidden="false" customHeight="false" outlineLevel="0" collapsed="false">
      <c r="A19" s="571" t="s">
        <v>28</v>
      </c>
      <c r="B19" s="328" t="str">
        <f aca="false">'[4]норма времени'!B23</f>
        <v>Определение плавающих веществ</v>
      </c>
      <c r="C19" s="954" t="n">
        <v>55000</v>
      </c>
      <c r="D19" s="954" t="n">
        <v>50000</v>
      </c>
      <c r="E19" s="954" t="n">
        <v>45000</v>
      </c>
      <c r="F19" s="955" t="n">
        <f aca="false">C19+D19+E19</f>
        <v>150000</v>
      </c>
      <c r="G19" s="955" t="n">
        <f aca="false">F19/149.4</f>
        <v>1004.01606425703</v>
      </c>
      <c r="H19" s="661" t="n">
        <f aca="false">G19/60</f>
        <v>16.7336010709505</v>
      </c>
      <c r="I19" s="660" t="n">
        <f aca="false">'норма времени'!D23</f>
        <v>55</v>
      </c>
      <c r="J19" s="661" t="n">
        <f aca="false">H19*I19</f>
        <v>920.348058902276</v>
      </c>
    </row>
    <row r="20" customFormat="false" ht="15" hidden="false" customHeight="false" outlineLevel="0" collapsed="false">
      <c r="A20" s="571" t="s">
        <v>30</v>
      </c>
      <c r="B20" s="328" t="str">
        <f aca="false">'[4]норма времени'!B24</f>
        <v>Определение взвешенных веществ</v>
      </c>
      <c r="C20" s="954" t="n">
        <v>35000</v>
      </c>
      <c r="D20" s="954" t="n">
        <v>30000</v>
      </c>
      <c r="E20" s="954" t="n">
        <v>25000</v>
      </c>
      <c r="F20" s="955" t="n">
        <f aca="false">C20+D20+E20</f>
        <v>90000</v>
      </c>
      <c r="G20" s="955" t="n">
        <f aca="false">F20/149.4</f>
        <v>602.409638554217</v>
      </c>
      <c r="H20" s="661" t="n">
        <f aca="false">G20/60</f>
        <v>10.0401606425703</v>
      </c>
      <c r="I20" s="660" t="n">
        <f aca="false">'норма времени'!D24</f>
        <v>70</v>
      </c>
      <c r="J20" s="661" t="n">
        <f aca="false">H20*I20</f>
        <v>702.81124497992</v>
      </c>
    </row>
    <row r="21" customFormat="false" ht="15" hidden="false" customHeight="false" outlineLevel="0" collapsed="false">
      <c r="A21" s="571" t="s">
        <v>32</v>
      </c>
      <c r="B21" s="328" t="str">
        <f aca="false">'[4]норма времени'!B25</f>
        <v>Определение общей щелочности</v>
      </c>
      <c r="C21" s="954" t="n">
        <v>35000</v>
      </c>
      <c r="D21" s="954" t="n">
        <v>30000</v>
      </c>
      <c r="E21" s="954" t="n">
        <v>25000</v>
      </c>
      <c r="F21" s="955" t="n">
        <f aca="false">C21+D21+E21</f>
        <v>90000</v>
      </c>
      <c r="G21" s="955" t="n">
        <f aca="false">F21/149.4</f>
        <v>602.409638554217</v>
      </c>
      <c r="H21" s="661" t="n">
        <f aca="false">G21/60</f>
        <v>10.0401606425703</v>
      </c>
      <c r="I21" s="660" t="n">
        <f aca="false">'норма времени'!D25</f>
        <v>40</v>
      </c>
      <c r="J21" s="661" t="n">
        <f aca="false">H21*I21</f>
        <v>401.606425702811</v>
      </c>
    </row>
    <row r="22" customFormat="false" ht="15" hidden="false" customHeight="false" outlineLevel="0" collapsed="false">
      <c r="A22" s="571" t="s">
        <v>34</v>
      </c>
      <c r="B22" s="328" t="str">
        <f aca="false">'[4]норма времени'!B26</f>
        <v>Определение общей жесткости </v>
      </c>
      <c r="C22" s="954" t="n">
        <v>35000</v>
      </c>
      <c r="D22" s="954" t="n">
        <v>30000</v>
      </c>
      <c r="E22" s="954" t="n">
        <v>25000</v>
      </c>
      <c r="F22" s="955" t="n">
        <f aca="false">C22+D22+E22</f>
        <v>90000</v>
      </c>
      <c r="G22" s="955" t="n">
        <f aca="false">F22/149.4</f>
        <v>602.409638554217</v>
      </c>
      <c r="H22" s="661" t="n">
        <f aca="false">G22/60</f>
        <v>10.0401606425703</v>
      </c>
      <c r="I22" s="660" t="n">
        <f aca="false">'норма времени'!D26</f>
        <v>45</v>
      </c>
      <c r="J22" s="661" t="n">
        <f aca="false">H22*I22</f>
        <v>451.807228915663</v>
      </c>
    </row>
    <row r="23" s="581" customFormat="true" ht="15" hidden="false" customHeight="false" outlineLevel="0" collapsed="false">
      <c r="A23" s="571" t="s">
        <v>36</v>
      </c>
      <c r="B23" s="328" t="str">
        <f aca="false">'[4]норма времени'!B27</f>
        <v>Определение хлоридов </v>
      </c>
      <c r="C23" s="954" t="n">
        <v>30000</v>
      </c>
      <c r="D23" s="954" t="n">
        <v>25000</v>
      </c>
      <c r="E23" s="954" t="n">
        <v>15000</v>
      </c>
      <c r="F23" s="955" t="n">
        <f aca="false">C23+D23+E23</f>
        <v>70000</v>
      </c>
      <c r="G23" s="955" t="n">
        <f aca="false">F23/149.4</f>
        <v>468.540829986613</v>
      </c>
      <c r="H23" s="661" t="n">
        <f aca="false">G23/60</f>
        <v>7.80901383311022</v>
      </c>
      <c r="I23" s="660" t="n">
        <f aca="false">'норма времени'!D27</f>
        <v>30</v>
      </c>
      <c r="J23" s="661" t="n">
        <f aca="false">H23*I23</f>
        <v>234.270414993307</v>
      </c>
    </row>
    <row r="24" customFormat="false" ht="15" hidden="false" customHeight="false" outlineLevel="0" collapsed="false">
      <c r="A24" s="571" t="s">
        <v>38</v>
      </c>
      <c r="B24" s="328" t="str">
        <f aca="false">'[4]норма времени'!B28</f>
        <v>Определение нитратов</v>
      </c>
      <c r="C24" s="954" t="n">
        <v>35000</v>
      </c>
      <c r="D24" s="954" t="n">
        <v>30000</v>
      </c>
      <c r="E24" s="954" t="n">
        <v>25000</v>
      </c>
      <c r="F24" s="955" t="n">
        <f aca="false">C24+D24+E24</f>
        <v>90000</v>
      </c>
      <c r="G24" s="955" t="n">
        <f aca="false">F24/149.4</f>
        <v>602.409638554217</v>
      </c>
      <c r="H24" s="661" t="n">
        <f aca="false">G24/60</f>
        <v>10.0401606425703</v>
      </c>
      <c r="I24" s="660" t="n">
        <f aca="false">'норма времени'!D28</f>
        <v>60</v>
      </c>
      <c r="J24" s="661" t="n">
        <f aca="false">H24*I24</f>
        <v>602.409638554217</v>
      </c>
    </row>
    <row r="25" customFormat="false" ht="15" hidden="false" customHeight="false" outlineLevel="0" collapsed="false">
      <c r="A25" s="571" t="s">
        <v>40</v>
      </c>
      <c r="B25" s="328" t="str">
        <f aca="false">'[4]норма времени'!B29</f>
        <v>Определение нитритов</v>
      </c>
      <c r="C25" s="1252" t="n">
        <v>45000</v>
      </c>
      <c r="D25" s="954" t="n">
        <v>15000</v>
      </c>
      <c r="E25" s="954" t="n">
        <v>15000</v>
      </c>
      <c r="F25" s="955" t="n">
        <f aca="false">C25+D25+E25</f>
        <v>75000</v>
      </c>
      <c r="G25" s="955" t="n">
        <f aca="false">F25/149.4</f>
        <v>502.008032128514</v>
      </c>
      <c r="H25" s="661" t="n">
        <f aca="false">G25/60</f>
        <v>8.36680053547523</v>
      </c>
      <c r="I25" s="660" t="n">
        <f aca="false">'норма времени'!D29</f>
        <v>90</v>
      </c>
      <c r="J25" s="661" t="n">
        <f aca="false">H25*I25</f>
        <v>753.012048192771</v>
      </c>
    </row>
    <row r="26" customFormat="false" ht="15" hidden="false" customHeight="false" outlineLevel="0" collapsed="false">
      <c r="A26" s="571" t="s">
        <v>42</v>
      </c>
      <c r="B26" s="328" t="str">
        <f aca="false">'[4]норма времени'!B30</f>
        <v>Определение азота аммиака </v>
      </c>
      <c r="C26" s="954" t="n">
        <v>35000</v>
      </c>
      <c r="D26" s="954" t="n">
        <v>30000</v>
      </c>
      <c r="E26" s="954" t="n">
        <v>30000</v>
      </c>
      <c r="F26" s="955" t="n">
        <f aca="false">C26+D26+E26</f>
        <v>95000</v>
      </c>
      <c r="G26" s="955" t="n">
        <f aca="false">F26/149.4</f>
        <v>635.876840696118</v>
      </c>
      <c r="H26" s="661" t="n">
        <f aca="false">G26/60</f>
        <v>10.5979473449353</v>
      </c>
      <c r="I26" s="660" t="n">
        <f aca="false">'норма времени'!D30</f>
        <v>85</v>
      </c>
      <c r="J26" s="661" t="n">
        <f aca="false">H26*I26</f>
        <v>900.8255243195</v>
      </c>
    </row>
    <row r="27" customFormat="false" ht="15" hidden="false" customHeight="false" outlineLevel="0" collapsed="false">
      <c r="A27" s="571" t="s">
        <v>44</v>
      </c>
      <c r="B27" s="328" t="str">
        <f aca="false">'[4]норма времени'!B31</f>
        <v>Определение сульфатов</v>
      </c>
      <c r="C27" s="954" t="n">
        <v>35000</v>
      </c>
      <c r="D27" s="954" t="n">
        <v>30000</v>
      </c>
      <c r="E27" s="954" t="n">
        <v>25000</v>
      </c>
      <c r="F27" s="955" t="n">
        <f aca="false">C27+D27+E27</f>
        <v>90000</v>
      </c>
      <c r="G27" s="955" t="n">
        <f aca="false">F27/149.4</f>
        <v>602.409638554217</v>
      </c>
      <c r="H27" s="661" t="n">
        <f aca="false">G27/60</f>
        <v>10.0401606425703</v>
      </c>
      <c r="I27" s="660" t="n">
        <f aca="false">'норма времени'!D31</f>
        <v>85</v>
      </c>
      <c r="J27" s="661" t="n">
        <f aca="false">H27*I27</f>
        <v>853.413654618474</v>
      </c>
    </row>
    <row r="28" customFormat="false" ht="15" hidden="false" customHeight="false" outlineLevel="0" collapsed="false">
      <c r="A28" s="571" t="s">
        <v>46</v>
      </c>
      <c r="B28" s="328" t="str">
        <f aca="false">'[4]норма времени'!B32</f>
        <v>Определение фтора</v>
      </c>
      <c r="C28" s="954" t="n">
        <v>30000</v>
      </c>
      <c r="D28" s="954" t="n">
        <v>25000</v>
      </c>
      <c r="E28" s="954" t="n">
        <v>15000</v>
      </c>
      <c r="F28" s="955" t="n">
        <f aca="false">C28+D28+E28</f>
        <v>70000</v>
      </c>
      <c r="G28" s="955" t="n">
        <f aca="false">F28/149.4</f>
        <v>468.540829986613</v>
      </c>
      <c r="H28" s="661" t="n">
        <f aca="false">G28/60</f>
        <v>7.80901383311022</v>
      </c>
      <c r="I28" s="660" t="n">
        <f aca="false">'норма времени'!D32</f>
        <v>50</v>
      </c>
      <c r="J28" s="661" t="n">
        <f aca="false">H28*I28</f>
        <v>390.450691655511</v>
      </c>
    </row>
    <row r="29" customFormat="false" ht="15" hidden="false" customHeight="false" outlineLevel="0" collapsed="false">
      <c r="A29" s="571" t="s">
        <v>48</v>
      </c>
      <c r="B29" s="328" t="str">
        <f aca="false">'[4]норма времени'!B33</f>
        <v>Определение калий и натрий</v>
      </c>
      <c r="C29" s="954" t="n">
        <v>35000</v>
      </c>
      <c r="D29" s="954" t="n">
        <v>30000</v>
      </c>
      <c r="E29" s="954" t="n">
        <v>25000</v>
      </c>
      <c r="F29" s="955" t="n">
        <f aca="false">C29+D29+E29</f>
        <v>90000</v>
      </c>
      <c r="G29" s="955" t="n">
        <f aca="false">F29/149.4</f>
        <v>602.409638554217</v>
      </c>
      <c r="H29" s="661" t="n">
        <f aca="false">G29/60</f>
        <v>10.0401606425703</v>
      </c>
      <c r="I29" s="660" t="n">
        <f aca="false">'норма времени'!D33</f>
        <v>70</v>
      </c>
      <c r="J29" s="661" t="n">
        <f aca="false">H29*I29</f>
        <v>702.81124497992</v>
      </c>
    </row>
    <row r="30" customFormat="false" ht="15" hidden="false" customHeight="false" outlineLevel="0" collapsed="false">
      <c r="A30" s="571" t="s">
        <v>50</v>
      </c>
      <c r="B30" s="328" t="str">
        <f aca="false">'[4]норма времени'!B34</f>
        <v>Определение кальция</v>
      </c>
      <c r="C30" s="954" t="n">
        <v>35000</v>
      </c>
      <c r="D30" s="954" t="n">
        <v>30000</v>
      </c>
      <c r="E30" s="954" t="n">
        <v>25000</v>
      </c>
      <c r="F30" s="955" t="n">
        <f aca="false">C30+D30+E30</f>
        <v>90000</v>
      </c>
      <c r="G30" s="955" t="n">
        <f aca="false">F30/149.4</f>
        <v>602.409638554217</v>
      </c>
      <c r="H30" s="661" t="n">
        <f aca="false">G30/60</f>
        <v>10.0401606425703</v>
      </c>
      <c r="I30" s="660" t="n">
        <f aca="false">'норма времени'!D34</f>
        <v>100</v>
      </c>
      <c r="J30" s="661" t="n">
        <f aca="false">H30*I30</f>
        <v>1004.01606425703</v>
      </c>
    </row>
    <row r="31" customFormat="false" ht="15" hidden="false" customHeight="false" outlineLevel="0" collapsed="false">
      <c r="A31" s="571" t="s">
        <v>52</v>
      </c>
      <c r="B31" s="328" t="str">
        <f aca="false">'[4]норма времени'!B35</f>
        <v>Определение магния</v>
      </c>
      <c r="C31" s="954" t="n">
        <v>35000</v>
      </c>
      <c r="D31" s="954" t="n">
        <v>30000</v>
      </c>
      <c r="E31" s="954" t="n">
        <v>25000</v>
      </c>
      <c r="F31" s="955" t="n">
        <f aca="false">C31+D31+E31</f>
        <v>90000</v>
      </c>
      <c r="G31" s="955" t="n">
        <f aca="false">F31/149.4</f>
        <v>602.409638554217</v>
      </c>
      <c r="H31" s="661" t="n">
        <f aca="false">G31/60</f>
        <v>10.0401606425703</v>
      </c>
      <c r="I31" s="660" t="n">
        <f aca="false">'норма времени'!D35</f>
        <v>50</v>
      </c>
      <c r="J31" s="661" t="n">
        <f aca="false">H31*I31</f>
        <v>502.008032128514</v>
      </c>
    </row>
    <row r="32" customFormat="false" ht="15" hidden="false" customHeight="false" outlineLevel="0" collapsed="false">
      <c r="A32" s="571" t="s">
        <v>54</v>
      </c>
      <c r="B32" s="328" t="str">
        <f aca="false">'[4]норма времени'!B36</f>
        <v>Определение гидрокарбоната</v>
      </c>
      <c r="C32" s="954" t="n">
        <v>35000</v>
      </c>
      <c r="D32" s="954" t="n">
        <v>30000</v>
      </c>
      <c r="E32" s="954" t="n">
        <v>25000</v>
      </c>
      <c r="F32" s="955" t="n">
        <f aca="false">C32+D32+E32</f>
        <v>90000</v>
      </c>
      <c r="G32" s="955" t="n">
        <f aca="false">F32/149.4</f>
        <v>602.409638554217</v>
      </c>
      <c r="H32" s="661" t="n">
        <f aca="false">G32/60</f>
        <v>10.0401606425703</v>
      </c>
      <c r="I32" s="660" t="n">
        <f aca="false">'норма времени'!D36</f>
        <v>90</v>
      </c>
      <c r="J32" s="661" t="n">
        <f aca="false">H32*I32</f>
        <v>903.614457831325</v>
      </c>
    </row>
    <row r="33" customFormat="false" ht="15" hidden="false" customHeight="false" outlineLevel="0" collapsed="false">
      <c r="A33" s="571" t="s">
        <v>56</v>
      </c>
      <c r="B33" s="328" t="str">
        <f aca="false">'[4]норма времени'!B37</f>
        <v>Определение активного хлора</v>
      </c>
      <c r="C33" s="954" t="n">
        <v>35000</v>
      </c>
      <c r="D33" s="954" t="n">
        <v>30000</v>
      </c>
      <c r="E33" s="954" t="n">
        <v>25000</v>
      </c>
      <c r="F33" s="955" t="n">
        <f aca="false">C33+D33+E33</f>
        <v>90000</v>
      </c>
      <c r="G33" s="955" t="n">
        <f aca="false">F33/149.4</f>
        <v>602.409638554217</v>
      </c>
      <c r="H33" s="661" t="n">
        <f aca="false">G33/60</f>
        <v>10.0401606425703</v>
      </c>
      <c r="I33" s="660" t="n">
        <f aca="false">'норма времени'!D37</f>
        <v>60</v>
      </c>
      <c r="J33" s="661" t="n">
        <f aca="false">H33*I33</f>
        <v>602.409638554217</v>
      </c>
    </row>
    <row r="34" customFormat="false" ht="15" hidden="false" customHeight="false" outlineLevel="0" collapsed="false">
      <c r="A34" s="571" t="s">
        <v>58</v>
      </c>
      <c r="B34" s="328" t="str">
        <f aca="false">'[4]норма времени'!B38</f>
        <v>Определение остаточного хлора при хлорировании </v>
      </c>
      <c r="C34" s="954" t="n">
        <v>35000</v>
      </c>
      <c r="D34" s="954" t="n">
        <v>30000</v>
      </c>
      <c r="E34" s="954" t="n">
        <v>25000</v>
      </c>
      <c r="F34" s="955" t="n">
        <f aca="false">C34+D34+E34</f>
        <v>90000</v>
      </c>
      <c r="G34" s="955" t="n">
        <f aca="false">F34/149.4</f>
        <v>602.409638554217</v>
      </c>
      <c r="H34" s="661" t="n">
        <f aca="false">G34/60</f>
        <v>10.0401606425703</v>
      </c>
      <c r="I34" s="660" t="n">
        <f aca="false">'норма времени'!D38</f>
        <v>60</v>
      </c>
      <c r="J34" s="661" t="n">
        <f aca="false">H34*I34</f>
        <v>602.409638554217</v>
      </c>
    </row>
    <row r="35" customFormat="false" ht="15" hidden="false" customHeight="false" outlineLevel="0" collapsed="false">
      <c r="A35" s="571" t="s">
        <v>60</v>
      </c>
      <c r="B35" s="328" t="str">
        <f aca="false">'[4]норма времени'!B39</f>
        <v>Определение остаточного свободного хлора </v>
      </c>
      <c r="C35" s="954" t="n">
        <v>35000</v>
      </c>
      <c r="D35" s="954" t="n">
        <v>30000</v>
      </c>
      <c r="E35" s="954" t="n">
        <v>25000</v>
      </c>
      <c r="F35" s="955" t="n">
        <f aca="false">C35+D35+E35</f>
        <v>90000</v>
      </c>
      <c r="G35" s="955" t="n">
        <f aca="false">F35/149.4</f>
        <v>602.409638554217</v>
      </c>
      <c r="H35" s="661" t="n">
        <f aca="false">G35/60</f>
        <v>10.0401606425703</v>
      </c>
      <c r="I35" s="660" t="n">
        <f aca="false">'норма времени'!D39</f>
        <v>80</v>
      </c>
      <c r="J35" s="661" t="n">
        <f aca="false">H35*I35</f>
        <v>803.212851405622</v>
      </c>
    </row>
    <row r="36" customFormat="false" ht="15" hidden="false" customHeight="false" outlineLevel="0" collapsed="false">
      <c r="A36" s="571" t="s">
        <v>62</v>
      </c>
      <c r="B36" s="328" t="str">
        <f aca="false">'[4]норма времени'!B40</f>
        <v>Определение остаточного связанного хлора</v>
      </c>
      <c r="C36" s="954" t="n">
        <v>35000</v>
      </c>
      <c r="D36" s="954" t="n">
        <v>30000</v>
      </c>
      <c r="E36" s="954" t="n">
        <v>25000</v>
      </c>
      <c r="F36" s="955" t="n">
        <f aca="false">C36+D36+E36</f>
        <v>90000</v>
      </c>
      <c r="G36" s="955" t="n">
        <f aca="false">F36/149.4</f>
        <v>602.409638554217</v>
      </c>
      <c r="H36" s="661" t="n">
        <f aca="false">G36/60</f>
        <v>10.0401606425703</v>
      </c>
      <c r="I36" s="660" t="n">
        <f aca="false">'норма времени'!D40</f>
        <v>60</v>
      </c>
      <c r="J36" s="661" t="n">
        <f aca="false">H36*I36</f>
        <v>602.409638554217</v>
      </c>
    </row>
    <row r="37" customFormat="false" ht="15" hidden="false" customHeight="false" outlineLevel="0" collapsed="false">
      <c r="A37" s="571" t="s">
        <v>64</v>
      </c>
      <c r="B37" s="328" t="str">
        <f aca="false">'[4]норма времени'!B41</f>
        <v>Определение остаточного озона при озонировании</v>
      </c>
      <c r="C37" s="954" t="n">
        <v>35000</v>
      </c>
      <c r="D37" s="954" t="n">
        <v>30000</v>
      </c>
      <c r="E37" s="954" t="n">
        <v>25000</v>
      </c>
      <c r="F37" s="955" t="n">
        <f aca="false">C37+D37+E37</f>
        <v>90000</v>
      </c>
      <c r="G37" s="955" t="n">
        <f aca="false">F37/149.4</f>
        <v>602.409638554217</v>
      </c>
      <c r="H37" s="661" t="n">
        <f aca="false">G37/60</f>
        <v>10.0401606425703</v>
      </c>
      <c r="I37" s="660" t="n">
        <f aca="false">'норма времени'!D41</f>
        <v>40</v>
      </c>
      <c r="J37" s="661" t="n">
        <f aca="false">H37*I37</f>
        <v>401.606425702811</v>
      </c>
    </row>
    <row r="38" customFormat="false" ht="15" hidden="false" customHeight="false" outlineLevel="0" collapsed="false">
      <c r="A38" s="571" t="s">
        <v>66</v>
      </c>
      <c r="B38" s="328" t="str">
        <f aca="false">'[4]норма времени'!B42</f>
        <v>Определение растворенного кислорода</v>
      </c>
      <c r="C38" s="954" t="n">
        <v>50000</v>
      </c>
      <c r="D38" s="954" t="n">
        <v>45000</v>
      </c>
      <c r="E38" s="954" t="n">
        <v>30000</v>
      </c>
      <c r="F38" s="955" t="n">
        <f aca="false">C38+D38+E38</f>
        <v>125000</v>
      </c>
      <c r="G38" s="955" t="n">
        <f aca="false">F38/149.4</f>
        <v>836.680053547523</v>
      </c>
      <c r="H38" s="661" t="n">
        <f aca="false">G38/60</f>
        <v>13.9446675591254</v>
      </c>
      <c r="I38" s="660" t="n">
        <f aca="false">'норма времени'!D42</f>
        <v>80</v>
      </c>
      <c r="J38" s="661" t="n">
        <f aca="false">H38*I38</f>
        <v>1115.57340473003</v>
      </c>
    </row>
    <row r="39" customFormat="false" ht="30" hidden="false" customHeight="false" outlineLevel="0" collapsed="false">
      <c r="A39" s="571" t="s">
        <v>68</v>
      </c>
      <c r="B39" s="328" t="str">
        <f aca="false">'[4]норма времени'!B43</f>
        <v>Определение химического потребления кислорода (ХПК)</v>
      </c>
      <c r="C39" s="954" t="n">
        <v>65000</v>
      </c>
      <c r="D39" s="954" t="n">
        <v>60000</v>
      </c>
      <c r="E39" s="954" t="n">
        <v>56650</v>
      </c>
      <c r="F39" s="955" t="n">
        <f aca="false">C39+D39+E39</f>
        <v>181650</v>
      </c>
      <c r="G39" s="955" t="n">
        <f aca="false">F39/149.4</f>
        <v>1215.86345381526</v>
      </c>
      <c r="H39" s="661" t="n">
        <f aca="false">G39/60</f>
        <v>20.264390896921</v>
      </c>
      <c r="I39" s="660" t="n">
        <f aca="false">'норма времени'!D43</f>
        <v>70</v>
      </c>
      <c r="J39" s="661" t="n">
        <f aca="false">H39*I39</f>
        <v>1418.50736278447</v>
      </c>
    </row>
    <row r="40" customFormat="false" ht="30" hidden="false" customHeight="false" outlineLevel="0" collapsed="false">
      <c r="A40" s="571" t="s">
        <v>70</v>
      </c>
      <c r="B40" s="328" t="str">
        <f aca="false">'[4]норма времени'!B44</f>
        <v>Определение биохимического потребления кислорода (БПК 5)</v>
      </c>
      <c r="C40" s="954" t="n">
        <v>60000</v>
      </c>
      <c r="D40" s="954" t="n">
        <v>55000</v>
      </c>
      <c r="E40" s="954" t="n">
        <v>50000</v>
      </c>
      <c r="F40" s="955" t="n">
        <f aca="false">C40+D40+E40</f>
        <v>165000</v>
      </c>
      <c r="G40" s="955" t="n">
        <f aca="false">F40/149.4</f>
        <v>1104.41767068273</v>
      </c>
      <c r="H40" s="661" t="n">
        <f aca="false">G40/60</f>
        <v>18.4069611780455</v>
      </c>
      <c r="I40" s="660" t="n">
        <f aca="false">'норма времени'!D44</f>
        <v>90</v>
      </c>
      <c r="J40" s="661" t="n">
        <f aca="false">H40*I40</f>
        <v>1656.6265060241</v>
      </c>
    </row>
    <row r="41" customFormat="false" ht="30" hidden="false" customHeight="false" outlineLevel="0" collapsed="false">
      <c r="A41" s="571" t="s">
        <v>72</v>
      </c>
      <c r="B41" s="328" t="str">
        <f aca="false">'[4]норма времени'!B45</f>
        <v>Определение биохимического потребления кислорода (БПК 20)</v>
      </c>
      <c r="C41" s="954" t="n">
        <v>60000</v>
      </c>
      <c r="D41" s="954" t="n">
        <v>55000</v>
      </c>
      <c r="E41" s="954" t="n">
        <v>50000</v>
      </c>
      <c r="F41" s="955" t="n">
        <f aca="false">C41+D41+E41</f>
        <v>165000</v>
      </c>
      <c r="G41" s="955" t="n">
        <f aca="false">F41/149.4</f>
        <v>1104.41767068273</v>
      </c>
      <c r="H41" s="661" t="n">
        <f aca="false">G41/60</f>
        <v>18.4069611780455</v>
      </c>
      <c r="I41" s="660" t="n">
        <f aca="false">'норма времени'!D45</f>
        <v>90</v>
      </c>
      <c r="J41" s="661" t="n">
        <f aca="false">H41*I41</f>
        <v>1656.6265060241</v>
      </c>
    </row>
    <row r="42" s="581" customFormat="true" ht="30" hidden="false" customHeight="false" outlineLevel="0" collapsed="false">
      <c r="A42" s="571" t="s">
        <v>74</v>
      </c>
      <c r="B42" s="328" t="str">
        <f aca="false">'[4]норма времени'!B46</f>
        <v>Определение содержания концентрации анионных поверхностно -активных веществ (СПАВ) </v>
      </c>
      <c r="C42" s="954" t="n">
        <v>35000</v>
      </c>
      <c r="D42" s="954" t="n">
        <v>30000</v>
      </c>
      <c r="E42" s="954" t="n">
        <v>25000</v>
      </c>
      <c r="F42" s="955" t="n">
        <f aca="false">C42+D42+E42</f>
        <v>90000</v>
      </c>
      <c r="G42" s="955" t="n">
        <f aca="false">F42/149.4</f>
        <v>602.409638554217</v>
      </c>
      <c r="H42" s="661" t="n">
        <f aca="false">G42/60</f>
        <v>10.0401606425703</v>
      </c>
      <c r="I42" s="660" t="n">
        <f aca="false">'норма времени'!D46</f>
        <v>185</v>
      </c>
      <c r="J42" s="661" t="n">
        <f aca="false">H42*I42</f>
        <v>1857.4297188755</v>
      </c>
    </row>
    <row r="43" customFormat="false" ht="15" hidden="false" customHeight="false" outlineLevel="0" collapsed="false">
      <c r="A43" s="571" t="s">
        <v>76</v>
      </c>
      <c r="B43" s="328" t="str">
        <f aca="false">'[4]норма времени'!B47</f>
        <v>Определение алюминия</v>
      </c>
      <c r="C43" s="954" t="n">
        <v>35000</v>
      </c>
      <c r="D43" s="954" t="n">
        <v>30000</v>
      </c>
      <c r="E43" s="954" t="n">
        <v>25000</v>
      </c>
      <c r="F43" s="955" t="n">
        <f aca="false">C43+D43+E43</f>
        <v>90000</v>
      </c>
      <c r="G43" s="955" t="n">
        <f aca="false">F43/149.4</f>
        <v>602.409638554217</v>
      </c>
      <c r="H43" s="661" t="n">
        <f aca="false">G43/60</f>
        <v>10.0401606425703</v>
      </c>
      <c r="I43" s="660" t="n">
        <f aca="false">'норма времени'!D47</f>
        <v>130</v>
      </c>
      <c r="J43" s="661" t="n">
        <f aca="false">H43*I43</f>
        <v>1305.22088353414</v>
      </c>
    </row>
    <row r="44" customFormat="false" ht="15" hidden="false" customHeight="false" outlineLevel="0" collapsed="false">
      <c r="A44" s="571" t="s">
        <v>78</v>
      </c>
      <c r="B44" s="328" t="str">
        <f aca="false">'[4]норма времени'!B48</f>
        <v>Определение бора</v>
      </c>
      <c r="C44" s="954" t="n">
        <v>35000</v>
      </c>
      <c r="D44" s="954" t="n">
        <v>30000</v>
      </c>
      <c r="E44" s="954" t="n">
        <v>25000</v>
      </c>
      <c r="F44" s="955" t="n">
        <f aca="false">C44+D44+E44</f>
        <v>90000</v>
      </c>
      <c r="G44" s="955" t="n">
        <f aca="false">F44/149.4</f>
        <v>602.409638554217</v>
      </c>
      <c r="H44" s="661" t="n">
        <f aca="false">G44/60</f>
        <v>10.0401606425703</v>
      </c>
      <c r="I44" s="660" t="n">
        <f aca="false">'норма времени'!D48</f>
        <v>170</v>
      </c>
      <c r="J44" s="661" t="n">
        <f aca="false">H44*I44</f>
        <v>1706.82730923695</v>
      </c>
    </row>
    <row r="45" customFormat="false" ht="15" hidden="false" customHeight="false" outlineLevel="0" collapsed="false">
      <c r="A45" s="571" t="s">
        <v>80</v>
      </c>
      <c r="B45" s="328" t="str">
        <f aca="false">'[4]норма времени'!B49</f>
        <v>Определение бенз(а)пирена</v>
      </c>
      <c r="C45" s="954" t="n">
        <v>45000</v>
      </c>
      <c r="D45" s="954" t="n">
        <v>38100</v>
      </c>
      <c r="E45" s="954" t="n">
        <v>28100</v>
      </c>
      <c r="F45" s="955" t="n">
        <f aca="false">C45+D45+E45</f>
        <v>111200</v>
      </c>
      <c r="G45" s="955" t="n">
        <f aca="false">F45/149.4</f>
        <v>744.310575635877</v>
      </c>
      <c r="H45" s="661" t="n">
        <f aca="false">G45/60</f>
        <v>12.4051762605979</v>
      </c>
      <c r="I45" s="660" t="n">
        <f aca="false">'норма времени'!D49</f>
        <v>210</v>
      </c>
      <c r="J45" s="661" t="n">
        <f aca="false">H45*I45</f>
        <v>2605.08701472557</v>
      </c>
    </row>
    <row r="46" customFormat="false" ht="15" hidden="false" customHeight="false" outlineLevel="0" collapsed="false">
      <c r="A46" s="571" t="s">
        <v>82</v>
      </c>
      <c r="B46" s="328" t="str">
        <f aca="false">'[4]норма времени'!B50</f>
        <v>Определение железо</v>
      </c>
      <c r="C46" s="954" t="n">
        <v>30000</v>
      </c>
      <c r="D46" s="954" t="n">
        <v>25000</v>
      </c>
      <c r="E46" s="954" t="n">
        <v>20000</v>
      </c>
      <c r="F46" s="955" t="n">
        <f aca="false">C46+D46+E46</f>
        <v>75000</v>
      </c>
      <c r="G46" s="955" t="n">
        <f aca="false">F46/149.4</f>
        <v>502.008032128514</v>
      </c>
      <c r="H46" s="661" t="n">
        <f aca="false">G46/60</f>
        <v>8.36680053547523</v>
      </c>
      <c r="I46" s="660" t="n">
        <f aca="false">'норма времени'!D50</f>
        <v>40</v>
      </c>
      <c r="J46" s="661" t="n">
        <f aca="false">H46*I46</f>
        <v>334.672021419009</v>
      </c>
    </row>
    <row r="47" customFormat="false" ht="15" hidden="false" customHeight="false" outlineLevel="0" collapsed="false">
      <c r="A47" s="571" t="s">
        <v>84</v>
      </c>
      <c r="B47" s="328" t="str">
        <f aca="false">'[4]норма времени'!B51</f>
        <v>Определение хрома </v>
      </c>
      <c r="C47" s="954" t="n">
        <v>35000</v>
      </c>
      <c r="D47" s="954" t="n">
        <v>30000</v>
      </c>
      <c r="E47" s="954" t="n">
        <v>25000</v>
      </c>
      <c r="F47" s="955" t="n">
        <f aca="false">C47+D47+E47</f>
        <v>90000</v>
      </c>
      <c r="G47" s="955" t="n">
        <f aca="false">F47/149.4</f>
        <v>602.409638554217</v>
      </c>
      <c r="H47" s="661" t="n">
        <f aca="false">G47/60</f>
        <v>10.0401606425703</v>
      </c>
      <c r="I47" s="660" t="n">
        <f aca="false">'норма времени'!D51</f>
        <v>70</v>
      </c>
      <c r="J47" s="661" t="n">
        <f aca="false">H47*I47</f>
        <v>702.81124497992</v>
      </c>
    </row>
    <row r="48" customFormat="false" ht="15" hidden="false" customHeight="false" outlineLevel="0" collapsed="false">
      <c r="A48" s="571" t="s">
        <v>86</v>
      </c>
      <c r="B48" s="328" t="str">
        <f aca="false">'[4]норма времени'!B52</f>
        <v>Определение свинца (вольтамперометрический)</v>
      </c>
      <c r="C48" s="954" t="n">
        <v>50000</v>
      </c>
      <c r="D48" s="954" t="n">
        <v>45000</v>
      </c>
      <c r="E48" s="954" t="n">
        <v>40000</v>
      </c>
      <c r="F48" s="955" t="n">
        <f aca="false">C48+D48+E48</f>
        <v>135000</v>
      </c>
      <c r="G48" s="955" t="n">
        <f aca="false">F48/149.4</f>
        <v>903.614457831325</v>
      </c>
      <c r="H48" s="661" t="n">
        <f aca="false">G48/60</f>
        <v>15.0602409638554</v>
      </c>
      <c r="I48" s="660" t="n">
        <f aca="false">'норма времени'!D52</f>
        <v>230</v>
      </c>
      <c r="J48" s="661" t="n">
        <f aca="false">H48*I48</f>
        <v>3463.85542168675</v>
      </c>
    </row>
    <row r="49" customFormat="false" ht="15" hidden="false" customHeight="false" outlineLevel="0" collapsed="false">
      <c r="A49" s="571" t="s">
        <v>88</v>
      </c>
      <c r="B49" s="328" t="str">
        <f aca="false">'[4]норма времени'!B53</f>
        <v>Определение свинца (атомно-абсорбционный)</v>
      </c>
      <c r="C49" s="954" t="n">
        <v>50000</v>
      </c>
      <c r="D49" s="954" t="n">
        <v>45000</v>
      </c>
      <c r="E49" s="954" t="n">
        <v>40000</v>
      </c>
      <c r="F49" s="955" t="n">
        <f aca="false">C49+D49+E49</f>
        <v>135000</v>
      </c>
      <c r="G49" s="955" t="n">
        <f aca="false">F49/149.4</f>
        <v>903.614457831325</v>
      </c>
      <c r="H49" s="661" t="n">
        <f aca="false">G49/60</f>
        <v>15.0602409638554</v>
      </c>
      <c r="I49" s="660" t="n">
        <f aca="false">'норма времени'!D53</f>
        <v>170</v>
      </c>
      <c r="J49" s="661" t="n">
        <f aca="false">H49*I49</f>
        <v>2560.24096385542</v>
      </c>
    </row>
    <row r="50" customFormat="false" ht="15" hidden="false" customHeight="false" outlineLevel="0" collapsed="false">
      <c r="A50" s="571" t="s">
        <v>90</v>
      </c>
      <c r="B50" s="328" t="str">
        <f aca="false">'[4]норма времени'!B54</f>
        <v>Определение кадмия (вольтамперометрический)</v>
      </c>
      <c r="C50" s="954" t="n">
        <v>45000</v>
      </c>
      <c r="D50" s="954" t="n">
        <v>38100</v>
      </c>
      <c r="E50" s="954" t="n">
        <v>28100</v>
      </c>
      <c r="F50" s="955" t="n">
        <f aca="false">C50+D50+E50</f>
        <v>111200</v>
      </c>
      <c r="G50" s="955" t="n">
        <f aca="false">F50/149.4</f>
        <v>744.310575635877</v>
      </c>
      <c r="H50" s="661" t="n">
        <f aca="false">G50/60</f>
        <v>12.4051762605979</v>
      </c>
      <c r="I50" s="660" t="n">
        <f aca="false">'норма времени'!D54</f>
        <v>205</v>
      </c>
      <c r="J50" s="661" t="n">
        <f aca="false">H50*I50</f>
        <v>2543.06113342258</v>
      </c>
    </row>
    <row r="51" customFormat="false" ht="15" hidden="false" customHeight="false" outlineLevel="0" collapsed="false">
      <c r="A51" s="571" t="s">
        <v>92</v>
      </c>
      <c r="B51" s="328" t="str">
        <f aca="false">'[4]норма времени'!B55</f>
        <v>Определение кадмия (атомно-абсорбционный)</v>
      </c>
      <c r="C51" s="954" t="n">
        <v>35000</v>
      </c>
      <c r="D51" s="954" t="n">
        <v>30000</v>
      </c>
      <c r="E51" s="954" t="n">
        <v>25000</v>
      </c>
      <c r="F51" s="955" t="n">
        <f aca="false">C51+D51+E51</f>
        <v>90000</v>
      </c>
      <c r="G51" s="955" t="n">
        <f aca="false">F51/149.4</f>
        <v>602.409638554217</v>
      </c>
      <c r="H51" s="661" t="n">
        <f aca="false">G51/60</f>
        <v>10.0401606425703</v>
      </c>
      <c r="I51" s="660" t="n">
        <f aca="false">'норма времени'!D55</f>
        <v>170</v>
      </c>
      <c r="J51" s="661" t="n">
        <f aca="false">H51*I51</f>
        <v>1706.82730923695</v>
      </c>
    </row>
    <row r="52" customFormat="false" ht="15" hidden="false" customHeight="false" outlineLevel="0" collapsed="false">
      <c r="A52" s="571" t="s">
        <v>94</v>
      </c>
      <c r="B52" s="328" t="str">
        <f aca="false">'[4]норма времени'!B56</f>
        <v>Определение цинка (вольтамперометрический)</v>
      </c>
      <c r="C52" s="954" t="n">
        <v>35000</v>
      </c>
      <c r="D52" s="954" t="n">
        <v>30000</v>
      </c>
      <c r="E52" s="954" t="n">
        <v>25000</v>
      </c>
      <c r="F52" s="955" t="n">
        <f aca="false">C52+D52+E52</f>
        <v>90000</v>
      </c>
      <c r="G52" s="955" t="n">
        <f aca="false">F52/149.4</f>
        <v>602.409638554217</v>
      </c>
      <c r="H52" s="661" t="n">
        <f aca="false">G52/60</f>
        <v>10.0401606425703</v>
      </c>
      <c r="I52" s="660" t="n">
        <f aca="false">'норма времени'!D56</f>
        <v>205</v>
      </c>
      <c r="J52" s="661" t="n">
        <f aca="false">H52*I52</f>
        <v>2058.23293172691</v>
      </c>
    </row>
    <row r="53" customFormat="false" ht="15" hidden="false" customHeight="false" outlineLevel="0" collapsed="false">
      <c r="A53" s="571" t="s">
        <v>96</v>
      </c>
      <c r="B53" s="328" t="str">
        <f aca="false">'[4]норма времени'!B57</f>
        <v>Определение цинка (атомно-абсорбционный)</v>
      </c>
      <c r="C53" s="954" t="n">
        <v>35000</v>
      </c>
      <c r="D53" s="954" t="n">
        <v>30000</v>
      </c>
      <c r="E53" s="954" t="n">
        <v>25000</v>
      </c>
      <c r="F53" s="955" t="n">
        <f aca="false">C53+D53+E53</f>
        <v>90000</v>
      </c>
      <c r="G53" s="955" t="n">
        <f aca="false">F53/149.4</f>
        <v>602.409638554217</v>
      </c>
      <c r="H53" s="661" t="n">
        <f aca="false">G53/60</f>
        <v>10.0401606425703</v>
      </c>
      <c r="I53" s="660" t="n">
        <f aca="false">'норма времени'!D57</f>
        <v>170</v>
      </c>
      <c r="J53" s="661" t="n">
        <f aca="false">H53*I53</f>
        <v>1706.82730923695</v>
      </c>
    </row>
    <row r="54" customFormat="false" ht="15" hidden="false" customHeight="false" outlineLevel="0" collapsed="false">
      <c r="A54" s="571" t="s">
        <v>98</v>
      </c>
      <c r="B54" s="328" t="str">
        <f aca="false">'[4]норма времени'!B58</f>
        <v>Определение меди (вольтамперометрический)</v>
      </c>
      <c r="C54" s="954" t="n">
        <v>35000</v>
      </c>
      <c r="D54" s="954" t="n">
        <v>30000</v>
      </c>
      <c r="E54" s="954" t="n">
        <v>25000</v>
      </c>
      <c r="F54" s="955" t="n">
        <f aca="false">C54+D54+E54</f>
        <v>90000</v>
      </c>
      <c r="G54" s="955" t="n">
        <f aca="false">F54/149.4</f>
        <v>602.409638554217</v>
      </c>
      <c r="H54" s="661" t="n">
        <f aca="false">G54/60</f>
        <v>10.0401606425703</v>
      </c>
      <c r="I54" s="660" t="n">
        <f aca="false">'норма времени'!D58</f>
        <v>205</v>
      </c>
      <c r="J54" s="661" t="n">
        <f aca="false">H54*I54</f>
        <v>2058.23293172691</v>
      </c>
    </row>
    <row r="55" customFormat="false" ht="15" hidden="false" customHeight="false" outlineLevel="0" collapsed="false">
      <c r="A55" s="571" t="s">
        <v>100</v>
      </c>
      <c r="B55" s="328" t="str">
        <f aca="false">'[4]норма времени'!B59</f>
        <v>Определение меди (атомно-абсорбционный)</v>
      </c>
      <c r="C55" s="954" t="n">
        <v>70000</v>
      </c>
      <c r="D55" s="954" t="n">
        <v>65000</v>
      </c>
      <c r="E55" s="954" t="n">
        <v>60000</v>
      </c>
      <c r="F55" s="955" t="n">
        <f aca="false">C55+D55+E55</f>
        <v>195000</v>
      </c>
      <c r="G55" s="955" t="n">
        <f aca="false">F55/149.4</f>
        <v>1305.22088353414</v>
      </c>
      <c r="H55" s="661" t="n">
        <f aca="false">G55/60</f>
        <v>21.7536813922356</v>
      </c>
      <c r="I55" s="660" t="n">
        <f aca="false">'норма времени'!D59</f>
        <v>100</v>
      </c>
      <c r="J55" s="661" t="n">
        <f aca="false">H55*I55</f>
        <v>2175.36813922356</v>
      </c>
    </row>
    <row r="56" customFormat="false" ht="15" hidden="false" customHeight="false" outlineLevel="0" collapsed="false">
      <c r="A56" s="571" t="s">
        <v>102</v>
      </c>
      <c r="B56" s="328" t="str">
        <f aca="false">'[4]норма времени'!B60</f>
        <v>Определение мышьяка (вольтамперометрический)</v>
      </c>
      <c r="C56" s="954" t="n">
        <v>35000</v>
      </c>
      <c r="D56" s="954" t="n">
        <v>30000</v>
      </c>
      <c r="E56" s="954" t="n">
        <v>25000</v>
      </c>
      <c r="F56" s="955" t="n">
        <f aca="false">C56+D56+E56</f>
        <v>90000</v>
      </c>
      <c r="G56" s="955" t="n">
        <f aca="false">F56/149.4</f>
        <v>602.409638554217</v>
      </c>
      <c r="H56" s="661" t="n">
        <f aca="false">G56/60</f>
        <v>10.0401606425703</v>
      </c>
      <c r="I56" s="660" t="n">
        <f aca="false">'норма времени'!D60</f>
        <v>205</v>
      </c>
      <c r="J56" s="661" t="n">
        <f aca="false">H56*I56</f>
        <v>2058.23293172691</v>
      </c>
    </row>
    <row r="57" customFormat="false" ht="15" hidden="false" customHeight="false" outlineLevel="0" collapsed="false">
      <c r="A57" s="571" t="s">
        <v>104</v>
      </c>
      <c r="B57" s="328" t="str">
        <f aca="false">'[4]норма времени'!B61</f>
        <v>Определение мышьяка  (атомно-абсорбционный)</v>
      </c>
      <c r="C57" s="954" t="n">
        <v>45000</v>
      </c>
      <c r="D57" s="954" t="n">
        <v>35000</v>
      </c>
      <c r="E57" s="954" t="n">
        <v>25000</v>
      </c>
      <c r="F57" s="955" t="n">
        <f aca="false">C57+D57+E57</f>
        <v>105000</v>
      </c>
      <c r="G57" s="955" t="n">
        <f aca="false">F57/149.4</f>
        <v>702.81124497992</v>
      </c>
      <c r="H57" s="661" t="n">
        <f aca="false">G57/60</f>
        <v>11.7135207496653</v>
      </c>
      <c r="I57" s="660" t="n">
        <f aca="false">'норма времени'!D61</f>
        <v>170</v>
      </c>
      <c r="J57" s="661" t="n">
        <f aca="false">H57*I57</f>
        <v>1991.29852744311</v>
      </c>
    </row>
    <row r="58" customFormat="false" ht="15" hidden="false" customHeight="false" outlineLevel="0" collapsed="false">
      <c r="A58" s="571" t="s">
        <v>106</v>
      </c>
      <c r="B58" s="328" t="str">
        <f aca="false">'[4]норма времени'!B62</f>
        <v>Определение ртути (вольтамперометрический)</v>
      </c>
      <c r="C58" s="954" t="n">
        <v>35000</v>
      </c>
      <c r="D58" s="954" t="n">
        <v>30000</v>
      </c>
      <c r="E58" s="954" t="n">
        <v>25000</v>
      </c>
      <c r="F58" s="955" t="n">
        <f aca="false">C58+D58+E58</f>
        <v>90000</v>
      </c>
      <c r="G58" s="955" t="n">
        <f aca="false">F58/149.4</f>
        <v>602.409638554217</v>
      </c>
      <c r="H58" s="661" t="n">
        <f aca="false">G58/60</f>
        <v>10.0401606425703</v>
      </c>
      <c r="I58" s="660" t="n">
        <f aca="false">'норма времени'!D62</f>
        <v>205</v>
      </c>
      <c r="J58" s="661" t="n">
        <f aca="false">H58*I58</f>
        <v>2058.23293172691</v>
      </c>
    </row>
    <row r="59" customFormat="false" ht="15" hidden="false" customHeight="false" outlineLevel="0" collapsed="false">
      <c r="A59" s="571" t="s">
        <v>108</v>
      </c>
      <c r="B59" s="328" t="str">
        <f aca="false">'[4]норма времени'!B63</f>
        <v>Определение ртути (атомно-абсорбционный)</v>
      </c>
      <c r="C59" s="954" t="n">
        <v>30000</v>
      </c>
      <c r="D59" s="954" t="n">
        <v>25000</v>
      </c>
      <c r="E59" s="954" t="n">
        <v>20000</v>
      </c>
      <c r="F59" s="955" t="n">
        <f aca="false">C59+D59+E59</f>
        <v>75000</v>
      </c>
      <c r="G59" s="955" t="n">
        <f aca="false">F59/149.4</f>
        <v>502.008032128514</v>
      </c>
      <c r="H59" s="661" t="n">
        <f aca="false">G59/60</f>
        <v>8.36680053547523</v>
      </c>
      <c r="I59" s="660" t="n">
        <f aca="false">'норма времени'!D63</f>
        <v>170</v>
      </c>
      <c r="J59" s="661" t="n">
        <f aca="false">H59*I59</f>
        <v>1422.35609103079</v>
      </c>
    </row>
    <row r="60" customFormat="false" ht="15" hidden="false" customHeight="false" outlineLevel="0" collapsed="false">
      <c r="A60" s="571" t="s">
        <v>110</v>
      </c>
      <c r="B60" s="328" t="str">
        <f aca="false">'[4]норма времени'!B64</f>
        <v>Определение марганца (фотометрический)</v>
      </c>
      <c r="C60" s="954" t="n">
        <v>30000</v>
      </c>
      <c r="D60" s="954" t="n">
        <v>25000</v>
      </c>
      <c r="E60" s="954" t="n">
        <v>20000</v>
      </c>
      <c r="F60" s="955" t="n">
        <f aca="false">C60+D60+E60</f>
        <v>75000</v>
      </c>
      <c r="G60" s="955" t="n">
        <f aca="false">F60/149.4</f>
        <v>502.008032128514</v>
      </c>
      <c r="H60" s="661" t="n">
        <f aca="false">G60/60</f>
        <v>8.36680053547523</v>
      </c>
      <c r="I60" s="660" t="n">
        <f aca="false">'норма времени'!D64</f>
        <v>65</v>
      </c>
      <c r="J60" s="661" t="n">
        <f aca="false">H60*I60</f>
        <v>543.84203480589</v>
      </c>
    </row>
    <row r="61" customFormat="false" ht="15" hidden="false" customHeight="false" outlineLevel="0" collapsed="false">
      <c r="A61" s="571" t="s">
        <v>112</v>
      </c>
      <c r="B61" s="328" t="str">
        <f aca="false">'[4]норма времени'!B65</f>
        <v>Определение марганца (атомно-абсорбционный)</v>
      </c>
      <c r="C61" s="954" t="n">
        <v>35000</v>
      </c>
      <c r="D61" s="954" t="n">
        <v>30000</v>
      </c>
      <c r="E61" s="954" t="n">
        <v>25000</v>
      </c>
      <c r="F61" s="955" t="n">
        <f aca="false">C61+D61+E61</f>
        <v>90000</v>
      </c>
      <c r="G61" s="955" t="n">
        <f aca="false">F61/149.4</f>
        <v>602.409638554217</v>
      </c>
      <c r="H61" s="661" t="n">
        <f aca="false">G61/60</f>
        <v>10.0401606425703</v>
      </c>
      <c r="I61" s="660" t="n">
        <f aca="false">'норма времени'!D65</f>
        <v>170</v>
      </c>
      <c r="J61" s="661" t="n">
        <f aca="false">H61*I61</f>
        <v>1706.82730923695</v>
      </c>
    </row>
    <row r="62" customFormat="false" ht="15" hidden="false" customHeight="false" outlineLevel="0" collapsed="false">
      <c r="A62" s="571" t="s">
        <v>114</v>
      </c>
      <c r="B62" s="328" t="str">
        <f aca="false">'[4]норма времени'!B66</f>
        <v>Определение кобальта  </v>
      </c>
      <c r="C62" s="954" t="n">
        <v>30000</v>
      </c>
      <c r="D62" s="954" t="n">
        <v>25000</v>
      </c>
      <c r="E62" s="954" t="n">
        <v>20000</v>
      </c>
      <c r="F62" s="955" t="n">
        <f aca="false">C62+D62+E62</f>
        <v>75000</v>
      </c>
      <c r="G62" s="955" t="n">
        <f aca="false">F62/149.4</f>
        <v>502.008032128514</v>
      </c>
      <c r="H62" s="661" t="n">
        <f aca="false">G62/60</f>
        <v>8.36680053547523</v>
      </c>
      <c r="I62" s="660" t="n">
        <f aca="false">'норма времени'!D66</f>
        <v>100</v>
      </c>
      <c r="J62" s="661" t="n">
        <f aca="false">H62*I62</f>
        <v>836.680053547523</v>
      </c>
    </row>
    <row r="63" customFormat="false" ht="15" hidden="false" customHeight="false" outlineLevel="0" collapsed="false">
      <c r="A63" s="571" t="s">
        <v>116</v>
      </c>
      <c r="B63" s="328" t="str">
        <f aca="false">'[4]норма времени'!B67</f>
        <v>Определение молибдена</v>
      </c>
      <c r="C63" s="954" t="n">
        <v>50000</v>
      </c>
      <c r="D63" s="954" t="n">
        <v>45000</v>
      </c>
      <c r="E63" s="954" t="n">
        <v>40000</v>
      </c>
      <c r="F63" s="955" t="n">
        <f aca="false">C63+D63+E63</f>
        <v>135000</v>
      </c>
      <c r="G63" s="955" t="n">
        <f aca="false">F63/149.4</f>
        <v>903.614457831325</v>
      </c>
      <c r="H63" s="661" t="n">
        <f aca="false">G63/60</f>
        <v>15.0602409638554</v>
      </c>
      <c r="I63" s="660" t="n">
        <f aca="false">'норма времени'!D67</f>
        <v>150</v>
      </c>
      <c r="J63" s="661" t="n">
        <f aca="false">H63*I63</f>
        <v>2259.03614457831</v>
      </c>
    </row>
    <row r="64" customFormat="false" ht="15" hidden="false" customHeight="false" outlineLevel="0" collapsed="false">
      <c r="A64" s="571" t="s">
        <v>118</v>
      </c>
      <c r="B64" s="328" t="str">
        <f aca="false">'[4]норма времени'!B68</f>
        <v>Определение никеля</v>
      </c>
      <c r="C64" s="954" t="n">
        <v>50000</v>
      </c>
      <c r="D64" s="954" t="n">
        <v>45000</v>
      </c>
      <c r="E64" s="954" t="n">
        <v>40000</v>
      </c>
      <c r="F64" s="955" t="n">
        <f aca="false">C64+D64+E64</f>
        <v>135000</v>
      </c>
      <c r="G64" s="955" t="n">
        <f aca="false">F64/149.4</f>
        <v>903.614457831325</v>
      </c>
      <c r="H64" s="661" t="n">
        <f aca="false">G64/60</f>
        <v>15.0602409638554</v>
      </c>
      <c r="I64" s="660" t="n">
        <f aca="false">'норма времени'!D68</f>
        <v>180</v>
      </c>
      <c r="J64" s="661" t="n">
        <f aca="false">H64*I64</f>
        <v>2710.84337349398</v>
      </c>
    </row>
    <row r="65" customFormat="false" ht="15" hidden="false" customHeight="false" outlineLevel="0" collapsed="false">
      <c r="A65" s="571" t="s">
        <v>120</v>
      </c>
      <c r="B65" s="328" t="str">
        <f aca="false">'[4]норма времени'!B69</f>
        <v>Определение фенола (флуориметрический)</v>
      </c>
      <c r="C65" s="954" t="n">
        <v>38000</v>
      </c>
      <c r="D65" s="954" t="n">
        <v>25000</v>
      </c>
      <c r="E65" s="954" t="n">
        <v>15000</v>
      </c>
      <c r="F65" s="955" t="n">
        <f aca="false">C65+D65+E65</f>
        <v>78000</v>
      </c>
      <c r="G65" s="955" t="n">
        <f aca="false">F65/149.4</f>
        <v>522.088353413655</v>
      </c>
      <c r="H65" s="661" t="n">
        <f aca="false">G65/60</f>
        <v>8.70147255689424</v>
      </c>
      <c r="I65" s="660" t="n">
        <f aca="false">'норма времени'!D139</f>
        <v>190</v>
      </c>
      <c r="J65" s="661" t="n">
        <f aca="false">H65*I65</f>
        <v>1653.27978580991</v>
      </c>
    </row>
    <row r="66" customFormat="false" ht="15" hidden="false" customHeight="false" outlineLevel="0" collapsed="false">
      <c r="A66" s="571" t="s">
        <v>122</v>
      </c>
      <c r="B66" s="328" t="str">
        <f aca="false">'[4]норма времени'!B70</f>
        <v>Определение фенола (газохроматографический)</v>
      </c>
      <c r="C66" s="954" t="n">
        <v>50000</v>
      </c>
      <c r="D66" s="954" t="n">
        <v>45000</v>
      </c>
      <c r="E66" s="954" t="n">
        <v>40000</v>
      </c>
      <c r="F66" s="955" t="n">
        <f aca="false">C66+D66+E66</f>
        <v>135000</v>
      </c>
      <c r="G66" s="955" t="n">
        <f aca="false">F66/149.4</f>
        <v>903.614457831325</v>
      </c>
      <c r="H66" s="661" t="n">
        <f aca="false">G66/60</f>
        <v>15.0602409638554</v>
      </c>
      <c r="I66" s="660" t="n">
        <f aca="false">'норма времени'!D70</f>
        <v>170</v>
      </c>
      <c r="J66" s="661" t="n">
        <f aca="false">H66*I66</f>
        <v>2560.24096385542</v>
      </c>
    </row>
    <row r="67" customFormat="false" ht="15" hidden="false" customHeight="false" outlineLevel="0" collapsed="false">
      <c r="A67" s="571" t="s">
        <v>124</v>
      </c>
      <c r="B67" s="328" t="str">
        <f aca="false">'[4]норма времени'!B71</f>
        <v>Определение сероводорода</v>
      </c>
      <c r="C67" s="954" t="n">
        <v>25000</v>
      </c>
      <c r="D67" s="954" t="n">
        <v>20000</v>
      </c>
      <c r="E67" s="954" t="n">
        <v>15000</v>
      </c>
      <c r="F67" s="955" t="n">
        <f aca="false">C67+D67+E67</f>
        <v>60000</v>
      </c>
      <c r="G67" s="955" t="n">
        <f aca="false">F67/149.4</f>
        <v>401.606425702811</v>
      </c>
      <c r="H67" s="661" t="n">
        <f aca="false">G67/60</f>
        <v>6.69344042838019</v>
      </c>
      <c r="I67" s="660" t="n">
        <f aca="false">'норма времени'!D71</f>
        <v>50</v>
      </c>
      <c r="J67" s="661" t="n">
        <f aca="false">H67*I67</f>
        <v>334.672021419009</v>
      </c>
    </row>
    <row r="68" customFormat="false" ht="15" hidden="false" customHeight="false" outlineLevel="0" collapsed="false">
      <c r="A68" s="571" t="s">
        <v>126</v>
      </c>
      <c r="B68" s="328" t="str">
        <f aca="false">'[4]норма времени'!B72</f>
        <v>Определение полифосфатов</v>
      </c>
      <c r="C68" s="954" t="n">
        <v>25000</v>
      </c>
      <c r="D68" s="954" t="n">
        <v>20000</v>
      </c>
      <c r="E68" s="954" t="n">
        <v>15000</v>
      </c>
      <c r="F68" s="955" t="n">
        <f aca="false">C68+D68+E68</f>
        <v>60000</v>
      </c>
      <c r="G68" s="955" t="n">
        <f aca="false">F68/149.4</f>
        <v>401.606425702811</v>
      </c>
      <c r="H68" s="661" t="n">
        <f aca="false">G68/60</f>
        <v>6.69344042838019</v>
      </c>
      <c r="I68" s="660" t="n">
        <f aca="false">'норма времени'!D72</f>
        <v>120</v>
      </c>
      <c r="J68" s="661" t="n">
        <f aca="false">H68*I68</f>
        <v>803.212851405623</v>
      </c>
    </row>
    <row r="69" customFormat="false" ht="15" hidden="false" customHeight="false" outlineLevel="0" collapsed="false">
      <c r="A69" s="571" t="s">
        <v>128</v>
      </c>
      <c r="B69" s="328" t="str">
        <f aca="false">'[4]норма времени'!B73</f>
        <v>Определение селена</v>
      </c>
      <c r="C69" s="954" t="n">
        <v>30000</v>
      </c>
      <c r="D69" s="954" t="n">
        <v>25000</v>
      </c>
      <c r="E69" s="954" t="n">
        <v>20000</v>
      </c>
      <c r="F69" s="955" t="n">
        <f aca="false">C69+D69+E69</f>
        <v>75000</v>
      </c>
      <c r="G69" s="955" t="n">
        <f aca="false">F69/149.4</f>
        <v>502.008032128514</v>
      </c>
      <c r="H69" s="661" t="n">
        <f aca="false">G69/60</f>
        <v>8.36680053547523</v>
      </c>
      <c r="I69" s="660" t="n">
        <f aca="false">'норма времени'!D73</f>
        <v>55</v>
      </c>
      <c r="J69" s="661" t="n">
        <f aca="false">H69*I69</f>
        <v>460.174029451138</v>
      </c>
    </row>
    <row r="70" customFormat="false" ht="15" hidden="false" customHeight="false" outlineLevel="0" collapsed="false">
      <c r="A70" s="571" t="s">
        <v>130</v>
      </c>
      <c r="B70" s="328" t="str">
        <f aca="false">'[4]норма времени'!B74</f>
        <v>Определение нефтепродуктов </v>
      </c>
      <c r="C70" s="954" t="n">
        <v>50000</v>
      </c>
      <c r="D70" s="954" t="n">
        <v>25000</v>
      </c>
      <c r="E70" s="954" t="n">
        <v>20000</v>
      </c>
      <c r="F70" s="955" t="n">
        <f aca="false">C70+D70+E70</f>
        <v>95000</v>
      </c>
      <c r="G70" s="955" t="n">
        <f aca="false">F70/149.4</f>
        <v>635.876840696118</v>
      </c>
      <c r="H70" s="661" t="n">
        <f aca="false">G70/60</f>
        <v>10.5979473449353</v>
      </c>
      <c r="I70" s="660" t="n">
        <f aca="false">'норма времени'!D74</f>
        <v>105</v>
      </c>
      <c r="J70" s="661" t="n">
        <f aca="false">H70*I70</f>
        <v>1112.78447121821</v>
      </c>
    </row>
    <row r="71" customFormat="false" ht="15" hidden="false" customHeight="false" outlineLevel="0" collapsed="false">
      <c r="A71" s="571" t="s">
        <v>132</v>
      </c>
      <c r="B71" s="328" t="str">
        <f aca="false">'[4]норма времени'!B75</f>
        <v>Определение органического углерода</v>
      </c>
      <c r="C71" s="954" t="n">
        <v>45000</v>
      </c>
      <c r="D71" s="954" t="n">
        <v>40000</v>
      </c>
      <c r="E71" s="954" t="n">
        <v>25000</v>
      </c>
      <c r="F71" s="955" t="n">
        <f aca="false">C71+D71+E71</f>
        <v>110000</v>
      </c>
      <c r="G71" s="955" t="n">
        <f aca="false">F71/149.4</f>
        <v>736.278447121821</v>
      </c>
      <c r="H71" s="661" t="n">
        <f aca="false">G71/60</f>
        <v>12.2713074520303</v>
      </c>
      <c r="I71" s="660" t="n">
        <f aca="false">'норма времени'!D75</f>
        <v>170</v>
      </c>
      <c r="J71" s="661" t="n">
        <f aca="false">H71*I71</f>
        <v>2086.12226684516</v>
      </c>
    </row>
    <row r="72" customFormat="false" ht="15" hidden="false" customHeight="false" outlineLevel="0" collapsed="false">
      <c r="A72" s="571" t="s">
        <v>134</v>
      </c>
      <c r="B72" s="328" t="str">
        <f aca="false">'[4]норма времени'!B76</f>
        <v>Определение калия</v>
      </c>
      <c r="C72" s="954" t="n">
        <v>35000</v>
      </c>
      <c r="D72" s="954" t="n">
        <v>30000</v>
      </c>
      <c r="E72" s="954" t="n">
        <v>25000</v>
      </c>
      <c r="F72" s="955" t="n">
        <f aca="false">C72+D72+E72</f>
        <v>90000</v>
      </c>
      <c r="G72" s="955" t="n">
        <f aca="false">F72/149.4</f>
        <v>602.409638554217</v>
      </c>
      <c r="H72" s="661" t="n">
        <f aca="false">G72/60</f>
        <v>10.0401606425703</v>
      </c>
      <c r="I72" s="660" t="n">
        <f aca="false">'норма времени'!D76</f>
        <v>215</v>
      </c>
      <c r="J72" s="661" t="n">
        <f aca="false">H72*I72</f>
        <v>2158.63453815261</v>
      </c>
    </row>
    <row r="73" customFormat="false" ht="15" hidden="false" customHeight="false" outlineLevel="0" collapsed="false">
      <c r="A73" s="571" t="s">
        <v>136</v>
      </c>
      <c r="B73" s="328" t="str">
        <f aca="false">'[4]норма времени'!B77</f>
        <v>Определение натрия</v>
      </c>
      <c r="C73" s="954" t="n">
        <v>35000</v>
      </c>
      <c r="D73" s="954" t="n">
        <v>30000</v>
      </c>
      <c r="E73" s="954" t="n">
        <v>25000</v>
      </c>
      <c r="F73" s="955" t="n">
        <f aca="false">C73+D73+E73</f>
        <v>90000</v>
      </c>
      <c r="G73" s="955" t="n">
        <f aca="false">F73/149.4</f>
        <v>602.409638554217</v>
      </c>
      <c r="H73" s="661" t="n">
        <f aca="false">G73/60</f>
        <v>10.0401606425703</v>
      </c>
      <c r="I73" s="660" t="n">
        <f aca="false">'норма времени'!D77</f>
        <v>215</v>
      </c>
      <c r="J73" s="661" t="n">
        <f aca="false">H73*I73</f>
        <v>2158.63453815261</v>
      </c>
    </row>
    <row r="74" customFormat="false" ht="15" hidden="false" customHeight="false" outlineLevel="0" collapsed="false">
      <c r="A74" s="571" t="s">
        <v>138</v>
      </c>
      <c r="B74" s="328" t="str">
        <f aca="false">'[4]норма времени'!B78</f>
        <v>отбор проб воды</v>
      </c>
      <c r="C74" s="954" t="n">
        <v>60000</v>
      </c>
      <c r="D74" s="954" t="n">
        <v>50000</v>
      </c>
      <c r="E74" s="954" t="n">
        <v>40000</v>
      </c>
      <c r="F74" s="955" t="n">
        <f aca="false">C74+D74+E74</f>
        <v>150000</v>
      </c>
      <c r="G74" s="955" t="n">
        <f aca="false">F74/149.4</f>
        <v>1004.01606425703</v>
      </c>
      <c r="H74" s="661" t="n">
        <f aca="false">G74/60</f>
        <v>16.7336010709505</v>
      </c>
      <c r="I74" s="660" t="n">
        <f aca="false">'норма времени'!D78</f>
        <v>30</v>
      </c>
      <c r="J74" s="661" t="n">
        <f aca="false">H74*I74</f>
        <v>502.008032128514</v>
      </c>
    </row>
    <row r="75" customFormat="false" ht="15" hidden="false" customHeight="false" outlineLevel="0" collapsed="false">
      <c r="A75" s="571" t="s">
        <v>140</v>
      </c>
      <c r="B75" s="328" t="s">
        <v>2944</v>
      </c>
      <c r="C75" s="954" t="n">
        <v>50000</v>
      </c>
      <c r="D75" s="954" t="n">
        <v>45000</v>
      </c>
      <c r="E75" s="954" t="n">
        <v>40000</v>
      </c>
      <c r="F75" s="955" t="n">
        <f aca="false">C75+D75+E75</f>
        <v>135000</v>
      </c>
      <c r="G75" s="955" t="n">
        <f aca="false">F75/149.4</f>
        <v>903.614457831325</v>
      </c>
      <c r="H75" s="661" t="n">
        <f aca="false">G75/60</f>
        <v>15.0602409638554</v>
      </c>
      <c r="I75" s="660" t="n">
        <f aca="false">'норма времени'!D79</f>
        <v>20</v>
      </c>
      <c r="J75" s="661" t="n">
        <f aca="false">H75*I75</f>
        <v>301.204819277108</v>
      </c>
    </row>
    <row r="76" customFormat="false" ht="15" hidden="false" customHeight="false" outlineLevel="0" collapsed="false">
      <c r="A76" s="571" t="s">
        <v>142</v>
      </c>
      <c r="B76" s="328" t="s">
        <v>2945</v>
      </c>
      <c r="C76" s="954" t="n">
        <v>50000</v>
      </c>
      <c r="D76" s="954" t="n">
        <v>45000</v>
      </c>
      <c r="E76" s="954" t="n">
        <v>40000</v>
      </c>
      <c r="F76" s="955" t="n">
        <v>135000</v>
      </c>
      <c r="G76" s="955" t="n">
        <f aca="false">F76/149.4</f>
        <v>903.614457831325</v>
      </c>
      <c r="H76" s="661" t="n">
        <f aca="false">G76/60</f>
        <v>15.0602409638554</v>
      </c>
      <c r="I76" s="660" t="n">
        <f aca="false">'норма времени'!D80</f>
        <v>105</v>
      </c>
      <c r="J76" s="661" t="n">
        <f aca="false">H76*I76</f>
        <v>1581.32530120482</v>
      </c>
    </row>
    <row r="77" customFormat="false" ht="15" hidden="false" customHeight="false" outlineLevel="0" collapsed="false">
      <c r="A77" s="571" t="s">
        <v>144</v>
      </c>
      <c r="B77" s="328" t="s">
        <v>2946</v>
      </c>
      <c r="C77" s="954" t="n">
        <v>50000</v>
      </c>
      <c r="D77" s="954" t="n">
        <v>45000</v>
      </c>
      <c r="E77" s="954" t="n">
        <v>40000</v>
      </c>
      <c r="F77" s="955" t="n">
        <v>135000</v>
      </c>
      <c r="G77" s="955" t="n">
        <f aca="false">F77/149.4</f>
        <v>903.614457831325</v>
      </c>
      <c r="H77" s="661" t="n">
        <f aca="false">G77/60</f>
        <v>15.0602409638554</v>
      </c>
      <c r="I77" s="660" t="n">
        <f aca="false">'норма времени'!D81</f>
        <v>205</v>
      </c>
      <c r="J77" s="661" t="n">
        <f aca="false">H77*I77</f>
        <v>3087.34939759036</v>
      </c>
    </row>
    <row r="78" customFormat="false" ht="15" hidden="false" customHeight="false" outlineLevel="0" collapsed="false">
      <c r="A78" s="571" t="s">
        <v>146</v>
      </c>
      <c r="B78" s="328" t="s">
        <v>4353</v>
      </c>
      <c r="C78" s="954" t="n">
        <v>50000</v>
      </c>
      <c r="D78" s="954" t="n">
        <v>45000</v>
      </c>
      <c r="E78" s="954" t="n">
        <v>40000</v>
      </c>
      <c r="F78" s="955" t="n">
        <v>135000</v>
      </c>
      <c r="G78" s="955" t="n">
        <f aca="false">F78/149.4</f>
        <v>903.614457831325</v>
      </c>
      <c r="H78" s="661" t="n">
        <f aca="false">G78/60</f>
        <v>15.0602409638554</v>
      </c>
      <c r="I78" s="660" t="n">
        <f aca="false">'норма времени'!D82</f>
        <v>205</v>
      </c>
      <c r="J78" s="661" t="n">
        <f aca="false">H78*I78</f>
        <v>3087.34939759036</v>
      </c>
    </row>
    <row r="79" customFormat="false" ht="15" hidden="false" customHeight="false" outlineLevel="0" collapsed="false">
      <c r="A79" s="571" t="s">
        <v>148</v>
      </c>
      <c r="B79" s="328" t="s">
        <v>2948</v>
      </c>
      <c r="C79" s="954" t="n">
        <v>60000</v>
      </c>
      <c r="D79" s="954" t="n">
        <v>50000</v>
      </c>
      <c r="E79" s="954" t="n">
        <v>45000</v>
      </c>
      <c r="F79" s="955" t="n">
        <v>155000</v>
      </c>
      <c r="G79" s="955" t="n">
        <f aca="false">F79/149.4</f>
        <v>1037.48326639893</v>
      </c>
      <c r="H79" s="661" t="n">
        <f aca="false">G79/60</f>
        <v>17.2913877733155</v>
      </c>
      <c r="I79" s="660" t="n">
        <f aca="false">'норма времени'!D83</f>
        <v>65</v>
      </c>
      <c r="J79" s="661" t="n">
        <f aca="false">H79*I79</f>
        <v>1123.94020526551</v>
      </c>
    </row>
    <row r="80" customFormat="false" ht="15" hidden="false" customHeight="false" outlineLevel="0" collapsed="false">
      <c r="A80" s="571" t="s">
        <v>144</v>
      </c>
      <c r="B80" s="328" t="s">
        <v>2949</v>
      </c>
      <c r="C80" s="954" t="n">
        <v>50000</v>
      </c>
      <c r="D80" s="954" t="n">
        <v>45000</v>
      </c>
      <c r="E80" s="954" t="n">
        <v>40000</v>
      </c>
      <c r="F80" s="955" t="n">
        <v>135000</v>
      </c>
      <c r="G80" s="955" t="n">
        <f aca="false">F80/149.4</f>
        <v>903.614457831325</v>
      </c>
      <c r="H80" s="661" t="n">
        <f aca="false">G80/60</f>
        <v>15.0602409638554</v>
      </c>
      <c r="I80" s="660" t="n">
        <f aca="false">'норма времени'!D84</f>
        <v>205</v>
      </c>
      <c r="J80" s="661" t="n">
        <f aca="false">H80*I80</f>
        <v>3087.34939759036</v>
      </c>
    </row>
    <row r="81" customFormat="false" ht="42.75" hidden="false" customHeight="false" outlineLevel="0" collapsed="false">
      <c r="A81" s="350" t="s">
        <v>152</v>
      </c>
      <c r="B81" s="467" t="str">
        <f aca="false">'[4]норма времени'!B79</f>
        <v>Воды питьевые, минеральные природные и искусственно-минерализованные воды, расфасованные в емкости </v>
      </c>
      <c r="C81" s="1253"/>
      <c r="D81" s="1253"/>
      <c r="E81" s="1253"/>
      <c r="F81" s="1254"/>
      <c r="G81" s="1254"/>
      <c r="H81" s="1250"/>
      <c r="I81" s="1255"/>
      <c r="J81" s="1250"/>
    </row>
    <row r="82" customFormat="false" ht="15" hidden="false" customHeight="false" outlineLevel="0" collapsed="false">
      <c r="A82" s="571" t="s">
        <v>154</v>
      </c>
      <c r="B82" s="328" t="str">
        <f aca="false">'[4]норма времени'!B80</f>
        <v>Определение запаха </v>
      </c>
      <c r="C82" s="954" t="n">
        <v>55000</v>
      </c>
      <c r="D82" s="954" t="n">
        <v>35000</v>
      </c>
      <c r="E82" s="954" t="n">
        <v>30000</v>
      </c>
      <c r="F82" s="955" t="n">
        <f aca="false">C82+D82+E82</f>
        <v>120000</v>
      </c>
      <c r="G82" s="955" t="n">
        <f aca="false">F82/149.4</f>
        <v>803.212851405623</v>
      </c>
      <c r="H82" s="661" t="n">
        <f aca="false">G82/60</f>
        <v>13.3868808567604</v>
      </c>
      <c r="I82" s="660" t="n">
        <f aca="false">'норма времени'!D86</f>
        <v>10</v>
      </c>
      <c r="J82" s="661" t="n">
        <f aca="false">H82*I82</f>
        <v>133.868808567604</v>
      </c>
    </row>
    <row r="83" customFormat="false" ht="15" hidden="false" customHeight="false" outlineLevel="0" collapsed="false">
      <c r="A83" s="571" t="s">
        <v>155</v>
      </c>
      <c r="B83" s="328" t="str">
        <f aca="false">'[4]норма времени'!B81</f>
        <v>Определение привкуса </v>
      </c>
      <c r="C83" s="954" t="n">
        <v>55000</v>
      </c>
      <c r="D83" s="954" t="n">
        <v>45000</v>
      </c>
      <c r="E83" s="954" t="n">
        <v>35000</v>
      </c>
      <c r="F83" s="955" t="n">
        <f aca="false">C83+D83+E83</f>
        <v>135000</v>
      </c>
      <c r="G83" s="955" t="n">
        <f aca="false">F83/149.4</f>
        <v>903.614457831325</v>
      </c>
      <c r="H83" s="661" t="n">
        <f aca="false">G83/60</f>
        <v>15.0602409638554</v>
      </c>
      <c r="I83" s="660" t="n">
        <f aca="false">'норма времени'!D87</f>
        <v>10</v>
      </c>
      <c r="J83" s="661" t="n">
        <f aca="false">H83*I83</f>
        <v>150.602409638554</v>
      </c>
    </row>
    <row r="84" customFormat="false" ht="15" hidden="false" customHeight="false" outlineLevel="0" collapsed="false">
      <c r="A84" s="571" t="s">
        <v>156</v>
      </c>
      <c r="B84" s="328" t="str">
        <f aca="false">'[4]норма времени'!B82</f>
        <v>Определение цветности</v>
      </c>
      <c r="C84" s="954" t="n">
        <v>35000</v>
      </c>
      <c r="D84" s="954" t="n">
        <v>30000</v>
      </c>
      <c r="E84" s="954" t="n">
        <v>25000</v>
      </c>
      <c r="F84" s="955" t="n">
        <f aca="false">C84+D84+E84</f>
        <v>90000</v>
      </c>
      <c r="G84" s="955" t="n">
        <f aca="false">F84/149.4</f>
        <v>602.409638554217</v>
      </c>
      <c r="H84" s="661" t="n">
        <f aca="false">G84/60</f>
        <v>10.0401606425703</v>
      </c>
      <c r="I84" s="660" t="n">
        <f aca="false">'норма времени'!D88</f>
        <v>20</v>
      </c>
      <c r="J84" s="661" t="n">
        <f aca="false">H84*I84</f>
        <v>200.803212851406</v>
      </c>
    </row>
    <row r="85" customFormat="false" ht="15" hidden="false" customHeight="false" outlineLevel="0" collapsed="false">
      <c r="A85" s="571" t="s">
        <v>157</v>
      </c>
      <c r="B85" s="328" t="str">
        <f aca="false">'[4]норма времени'!B83</f>
        <v>Определения мутности </v>
      </c>
      <c r="C85" s="954" t="n">
        <v>60000</v>
      </c>
      <c r="D85" s="954" t="n">
        <v>55000</v>
      </c>
      <c r="E85" s="954" t="n">
        <v>50000</v>
      </c>
      <c r="F85" s="955" t="n">
        <f aca="false">C85+D85+E85</f>
        <v>165000</v>
      </c>
      <c r="G85" s="955" t="n">
        <f aca="false">F85/149.4</f>
        <v>1104.41767068273</v>
      </c>
      <c r="H85" s="661" t="n">
        <f aca="false">G85/60</f>
        <v>18.4069611780455</v>
      </c>
      <c r="I85" s="660" t="n">
        <f aca="false">'норма времени'!D89</f>
        <v>30</v>
      </c>
      <c r="J85" s="661" t="n">
        <f aca="false">H85*I85</f>
        <v>552.208835341365</v>
      </c>
    </row>
    <row r="86" customFormat="false" ht="15" hidden="false" customHeight="false" outlineLevel="0" collapsed="false">
      <c r="A86" s="571" t="s">
        <v>158</v>
      </c>
      <c r="B86" s="328" t="str">
        <f aca="false">'[4]норма времени'!B84</f>
        <v>Определение водородного показателя рН </v>
      </c>
      <c r="C86" s="954" t="n">
        <v>60000</v>
      </c>
      <c r="D86" s="954" t="n">
        <v>50000</v>
      </c>
      <c r="E86" s="954" t="n">
        <v>45000</v>
      </c>
      <c r="F86" s="955" t="n">
        <f aca="false">C86+D86+E86</f>
        <v>155000</v>
      </c>
      <c r="G86" s="955" t="n">
        <f aca="false">F86/149.4</f>
        <v>1037.48326639893</v>
      </c>
      <c r="H86" s="661" t="n">
        <f aca="false">G86/60</f>
        <v>17.2913877733155</v>
      </c>
      <c r="I86" s="660" t="n">
        <f aca="false">'норма времени'!D90</f>
        <v>25</v>
      </c>
      <c r="J86" s="661" t="n">
        <f aca="false">H86*I86</f>
        <v>432.284694332887</v>
      </c>
    </row>
    <row r="87" customFormat="false" ht="15" hidden="false" customHeight="false" outlineLevel="0" collapsed="false">
      <c r="A87" s="571" t="s">
        <v>159</v>
      </c>
      <c r="B87" s="328" t="str">
        <f aca="false">'[4]норма времени'!B85</f>
        <v>Определение общей минерализаци (сухой остаток)</v>
      </c>
      <c r="C87" s="954" t="n">
        <v>60000</v>
      </c>
      <c r="D87" s="954" t="n">
        <v>45000</v>
      </c>
      <c r="E87" s="954" t="n">
        <v>35000</v>
      </c>
      <c r="F87" s="955" t="n">
        <f aca="false">C87+D87+E87</f>
        <v>140000</v>
      </c>
      <c r="G87" s="955" t="n">
        <f aca="false">F87/149.4</f>
        <v>937.081659973226</v>
      </c>
      <c r="H87" s="661" t="n">
        <f aca="false">G87/60</f>
        <v>15.6180276662204</v>
      </c>
      <c r="I87" s="660" t="n">
        <f aca="false">'норма времени'!D91</f>
        <v>45</v>
      </c>
      <c r="J87" s="661" t="n">
        <f aca="false">H87*I87</f>
        <v>702.81124497992</v>
      </c>
    </row>
    <row r="88" customFormat="false" ht="15" hidden="false" customHeight="false" outlineLevel="0" collapsed="false">
      <c r="A88" s="571" t="s">
        <v>160</v>
      </c>
      <c r="B88" s="328" t="str">
        <f aca="false">'[4]норма времени'!B86</f>
        <v>Определение перманганатной окисляемости </v>
      </c>
      <c r="C88" s="954" t="n">
        <v>30300</v>
      </c>
      <c r="D88" s="954" t="n">
        <v>30000</v>
      </c>
      <c r="E88" s="954" t="n">
        <v>30000</v>
      </c>
      <c r="F88" s="955" t="n">
        <f aca="false">C88+D88+E88</f>
        <v>90300</v>
      </c>
      <c r="G88" s="955" t="n">
        <f aca="false">F88/149.4</f>
        <v>604.417670682731</v>
      </c>
      <c r="H88" s="661" t="n">
        <f aca="false">G88/60</f>
        <v>10.0736278447122</v>
      </c>
      <c r="I88" s="660" t="n">
        <f aca="false">'норма времени'!D92</f>
        <v>60</v>
      </c>
      <c r="J88" s="661" t="n">
        <f aca="false">H88*I88</f>
        <v>604.417670682731</v>
      </c>
    </row>
    <row r="89" customFormat="false" ht="15" hidden="false" customHeight="false" outlineLevel="0" collapsed="false">
      <c r="A89" s="571" t="s">
        <v>161</v>
      </c>
      <c r="B89" s="328" t="str">
        <f aca="false">'[4]норма времени'!B87</f>
        <v>Определение щелочности</v>
      </c>
      <c r="C89" s="954" t="n">
        <v>50000</v>
      </c>
      <c r="D89" s="954" t="n">
        <v>40000</v>
      </c>
      <c r="E89" s="954" t="n">
        <v>30000</v>
      </c>
      <c r="F89" s="955" t="n">
        <f aca="false">C89+D89+E89</f>
        <v>120000</v>
      </c>
      <c r="G89" s="955" t="n">
        <f aca="false">F89/149.4</f>
        <v>803.212851405623</v>
      </c>
      <c r="H89" s="661" t="n">
        <f aca="false">G89/60</f>
        <v>13.3868808567604</v>
      </c>
      <c r="I89" s="660" t="n">
        <f aca="false">'норма времени'!D93</f>
        <v>40</v>
      </c>
      <c r="J89" s="661" t="n">
        <f aca="false">H89*I89</f>
        <v>535.475234270415</v>
      </c>
    </row>
    <row r="90" customFormat="false" ht="15" hidden="false" customHeight="false" outlineLevel="0" collapsed="false">
      <c r="A90" s="571" t="s">
        <v>163</v>
      </c>
      <c r="B90" s="328" t="str">
        <f aca="false">'[4]норма времени'!B88</f>
        <v>Определение жесткости</v>
      </c>
      <c r="C90" s="954" t="n">
        <v>45000</v>
      </c>
      <c r="D90" s="954" t="n">
        <v>40000</v>
      </c>
      <c r="E90" s="954" t="n">
        <v>35000</v>
      </c>
      <c r="F90" s="955" t="n">
        <f aca="false">C90+D90+E90</f>
        <v>120000</v>
      </c>
      <c r="G90" s="955" t="n">
        <f aca="false">F90/149.4</f>
        <v>803.212851405623</v>
      </c>
      <c r="H90" s="661" t="n">
        <f aca="false">G90/60</f>
        <v>13.3868808567604</v>
      </c>
      <c r="I90" s="660" t="n">
        <f aca="false">'норма времени'!D94</f>
        <v>20</v>
      </c>
      <c r="J90" s="661" t="n">
        <f aca="false">H90*I90</f>
        <v>267.737617135208</v>
      </c>
    </row>
    <row r="91" customFormat="false" ht="15" hidden="false" customHeight="false" outlineLevel="0" collapsed="false">
      <c r="A91" s="571" t="s">
        <v>165</v>
      </c>
      <c r="B91" s="328" t="str">
        <f aca="false">'[4]норма времени'!B89</f>
        <v>Определение хлоридов </v>
      </c>
      <c r="C91" s="954" t="n">
        <v>25000</v>
      </c>
      <c r="D91" s="954" t="n">
        <v>20000</v>
      </c>
      <c r="E91" s="954" t="n">
        <v>15000</v>
      </c>
      <c r="F91" s="955" t="n">
        <f aca="false">C91+D91+E91</f>
        <v>60000</v>
      </c>
      <c r="G91" s="955" t="n">
        <f aca="false">F91/149.4</f>
        <v>401.606425702811</v>
      </c>
      <c r="H91" s="661" t="n">
        <f aca="false">G91/60</f>
        <v>6.69344042838019</v>
      </c>
      <c r="I91" s="660" t="n">
        <f aca="false">'норма времени'!D95</f>
        <v>20</v>
      </c>
      <c r="J91" s="661" t="n">
        <f aca="false">H91*I91</f>
        <v>133.868808567604</v>
      </c>
    </row>
    <row r="92" customFormat="false" ht="15" hidden="false" customHeight="false" outlineLevel="0" collapsed="false">
      <c r="A92" s="571" t="s">
        <v>166</v>
      </c>
      <c r="B92" s="328" t="str">
        <f aca="false">'[4]норма времени'!B90</f>
        <v>Определение нитратов</v>
      </c>
      <c r="C92" s="954" t="n">
        <v>30000</v>
      </c>
      <c r="D92" s="954" t="n">
        <v>25000</v>
      </c>
      <c r="E92" s="954" t="n">
        <v>15000</v>
      </c>
      <c r="F92" s="955" t="n">
        <f aca="false">C92+D92+E92</f>
        <v>70000</v>
      </c>
      <c r="G92" s="955" t="n">
        <f aca="false">F92/149.4</f>
        <v>468.540829986613</v>
      </c>
      <c r="H92" s="661" t="n">
        <f aca="false">G92/60</f>
        <v>7.80901383311022</v>
      </c>
      <c r="I92" s="660" t="n">
        <f aca="false">'норма времени'!D96</f>
        <v>120</v>
      </c>
      <c r="J92" s="661" t="n">
        <f aca="false">H92*I92</f>
        <v>937.081659973226</v>
      </c>
    </row>
    <row r="93" customFormat="false" ht="15" hidden="false" customHeight="false" outlineLevel="0" collapsed="false">
      <c r="A93" s="571" t="s">
        <v>167</v>
      </c>
      <c r="B93" s="328" t="str">
        <f aca="false">'[4]норма времени'!B91</f>
        <v>Определение нитритов</v>
      </c>
      <c r="C93" s="954" t="n">
        <v>30000</v>
      </c>
      <c r="D93" s="954" t="n">
        <v>25000</v>
      </c>
      <c r="E93" s="954" t="n">
        <v>15000</v>
      </c>
      <c r="F93" s="955" t="n">
        <f aca="false">C93+D93+E93</f>
        <v>70000</v>
      </c>
      <c r="G93" s="955" t="n">
        <f aca="false">F93/149.4</f>
        <v>468.540829986613</v>
      </c>
      <c r="H93" s="661" t="n">
        <f aca="false">G93/60</f>
        <v>7.80901383311022</v>
      </c>
      <c r="I93" s="660" t="n">
        <f aca="false">'норма времени'!D97</f>
        <v>120</v>
      </c>
      <c r="J93" s="661" t="n">
        <f aca="false">H93*I93</f>
        <v>937.081659973226</v>
      </c>
    </row>
    <row r="94" customFormat="false" ht="15" hidden="false" customHeight="false" outlineLevel="0" collapsed="false">
      <c r="A94" s="571" t="s">
        <v>168</v>
      </c>
      <c r="B94" s="328" t="str">
        <f aca="false">'[4]норма времени'!B92</f>
        <v>Определение азота аммиака </v>
      </c>
      <c r="C94" s="954" t="n">
        <v>35000</v>
      </c>
      <c r="D94" s="954" t="n">
        <v>30000</v>
      </c>
      <c r="E94" s="954" t="n">
        <v>25000</v>
      </c>
      <c r="F94" s="955" t="n">
        <f aca="false">C94+D94+E94</f>
        <v>90000</v>
      </c>
      <c r="G94" s="955" t="n">
        <f aca="false">F94/149.4</f>
        <v>602.409638554217</v>
      </c>
      <c r="H94" s="661" t="n">
        <f aca="false">G94/60</f>
        <v>10.0401606425703</v>
      </c>
      <c r="I94" s="660" t="n">
        <f aca="false">'норма времени'!D98</f>
        <v>85</v>
      </c>
      <c r="J94" s="661" t="n">
        <f aca="false">H94*I94</f>
        <v>853.413654618474</v>
      </c>
    </row>
    <row r="95" customFormat="false" ht="15" hidden="false" customHeight="false" outlineLevel="0" collapsed="false">
      <c r="A95" s="571" t="s">
        <v>169</v>
      </c>
      <c r="B95" s="328" t="str">
        <f aca="false">'[4]норма времени'!B93</f>
        <v>Определение сульфата</v>
      </c>
      <c r="C95" s="954" t="n">
        <v>35000</v>
      </c>
      <c r="D95" s="954" t="n">
        <v>30000</v>
      </c>
      <c r="E95" s="954" t="n">
        <v>25000</v>
      </c>
      <c r="F95" s="955" t="n">
        <f aca="false">C95+D95+E95</f>
        <v>90000</v>
      </c>
      <c r="G95" s="955" t="n">
        <f aca="false">F95/149.4</f>
        <v>602.409638554217</v>
      </c>
      <c r="H95" s="661" t="n">
        <f aca="false">G95/60</f>
        <v>10.0401606425703</v>
      </c>
      <c r="I95" s="660" t="n">
        <f aca="false">'норма времени'!D99</f>
        <v>85</v>
      </c>
      <c r="J95" s="661" t="n">
        <f aca="false">H95*I95</f>
        <v>853.413654618474</v>
      </c>
    </row>
    <row r="96" customFormat="false" ht="15" hidden="false" customHeight="false" outlineLevel="0" collapsed="false">
      <c r="A96" s="571" t="s">
        <v>171</v>
      </c>
      <c r="B96" s="328" t="str">
        <f aca="false">'[4]норма времени'!B94</f>
        <v>Определение фтора</v>
      </c>
      <c r="C96" s="954" t="n">
        <v>25000</v>
      </c>
      <c r="D96" s="954" t="n">
        <v>20000</v>
      </c>
      <c r="E96" s="954" t="n">
        <v>15000</v>
      </c>
      <c r="F96" s="955" t="n">
        <f aca="false">C96+D96+E96</f>
        <v>60000</v>
      </c>
      <c r="G96" s="955" t="n">
        <f aca="false">F96/149.4</f>
        <v>401.606425702811</v>
      </c>
      <c r="H96" s="661" t="n">
        <f aca="false">G96/60</f>
        <v>6.69344042838019</v>
      </c>
      <c r="I96" s="660" t="n">
        <f aca="false">'норма времени'!D100</f>
        <v>40</v>
      </c>
      <c r="J96" s="661" t="n">
        <f aca="false">H96*I96</f>
        <v>267.737617135208</v>
      </c>
    </row>
    <row r="97" customFormat="false" ht="15" hidden="false" customHeight="false" outlineLevel="0" collapsed="false">
      <c r="A97" s="571" t="s">
        <v>173</v>
      </c>
      <c r="B97" s="328" t="str">
        <f aca="false">'[4]норма времени'!B95</f>
        <v>Определение калий и натрий</v>
      </c>
      <c r="C97" s="954" t="n">
        <v>35000</v>
      </c>
      <c r="D97" s="954" t="n">
        <v>30000</v>
      </c>
      <c r="E97" s="954" t="n">
        <v>25000</v>
      </c>
      <c r="F97" s="955" t="n">
        <f aca="false">C97+D97+E97</f>
        <v>90000</v>
      </c>
      <c r="G97" s="955" t="n">
        <f aca="false">F97/149.4</f>
        <v>602.409638554217</v>
      </c>
      <c r="H97" s="661" t="n">
        <f aca="false">G97/60</f>
        <v>10.0401606425703</v>
      </c>
      <c r="I97" s="660" t="n">
        <f aca="false">'норма времени'!D101</f>
        <v>70</v>
      </c>
      <c r="J97" s="661" t="n">
        <f aca="false">H97*I97</f>
        <v>702.81124497992</v>
      </c>
    </row>
    <row r="98" customFormat="false" ht="15" hidden="false" customHeight="false" outlineLevel="0" collapsed="false">
      <c r="A98" s="571" t="s">
        <v>174</v>
      </c>
      <c r="B98" s="328" t="str">
        <f aca="false">'[4]норма времени'!B96</f>
        <v>Определение кальция</v>
      </c>
      <c r="C98" s="954" t="n">
        <v>40000</v>
      </c>
      <c r="D98" s="954" t="n">
        <v>35000</v>
      </c>
      <c r="E98" s="954" t="n">
        <v>25000</v>
      </c>
      <c r="F98" s="955" t="n">
        <f aca="false">C98+D98+E98</f>
        <v>100000</v>
      </c>
      <c r="G98" s="955" t="n">
        <f aca="false">F98/149.4</f>
        <v>669.344042838019</v>
      </c>
      <c r="H98" s="661" t="n">
        <f aca="false">G98/60</f>
        <v>11.1557340473003</v>
      </c>
      <c r="I98" s="660" t="n">
        <f aca="false">'норма времени'!D102</f>
        <v>70</v>
      </c>
      <c r="J98" s="661" t="n">
        <f aca="false">H98*I98</f>
        <v>780.901383311022</v>
      </c>
    </row>
    <row r="99" customFormat="false" ht="15" hidden="false" customHeight="false" outlineLevel="0" collapsed="false">
      <c r="A99" s="571" t="s">
        <v>175</v>
      </c>
      <c r="B99" s="328" t="str">
        <f aca="false">'[4]норма времени'!B97</f>
        <v>Определение магния</v>
      </c>
      <c r="C99" s="954" t="n">
        <v>40000</v>
      </c>
      <c r="D99" s="954" t="n">
        <v>35000</v>
      </c>
      <c r="E99" s="954" t="n">
        <v>25000</v>
      </c>
      <c r="F99" s="955" t="n">
        <f aca="false">C99+D99+E99</f>
        <v>100000</v>
      </c>
      <c r="G99" s="955" t="n">
        <f aca="false">F99/149.4</f>
        <v>669.344042838019</v>
      </c>
      <c r="H99" s="661" t="n">
        <f aca="false">G99/60</f>
        <v>11.1557340473003</v>
      </c>
      <c r="I99" s="660" t="n">
        <f aca="false">'норма времени'!D103</f>
        <v>40</v>
      </c>
      <c r="J99" s="661" t="n">
        <f aca="false">H99*I99</f>
        <v>446.229361892013</v>
      </c>
    </row>
    <row r="100" customFormat="false" ht="15" hidden="false" customHeight="false" outlineLevel="0" collapsed="false">
      <c r="A100" s="571" t="s">
        <v>176</v>
      </c>
      <c r="B100" s="328" t="str">
        <f aca="false">'[4]норма времени'!B98</f>
        <v>Определение гидрокарбоната</v>
      </c>
      <c r="C100" s="954" t="n">
        <v>40000</v>
      </c>
      <c r="D100" s="954" t="n">
        <v>35000</v>
      </c>
      <c r="E100" s="954" t="n">
        <v>25000</v>
      </c>
      <c r="F100" s="955" t="n">
        <f aca="false">C100+D100+E100</f>
        <v>100000</v>
      </c>
      <c r="G100" s="955" t="n">
        <f aca="false">F100/149.4</f>
        <v>669.344042838019</v>
      </c>
      <c r="H100" s="661" t="n">
        <f aca="false">G100/60</f>
        <v>11.1557340473003</v>
      </c>
      <c r="I100" s="660" t="n">
        <f aca="false">'норма времени'!D104</f>
        <v>70</v>
      </c>
      <c r="J100" s="661" t="n">
        <f aca="false">H100*I100</f>
        <v>780.901383311022</v>
      </c>
    </row>
    <row r="101" customFormat="false" ht="15" hidden="false" customHeight="false" outlineLevel="0" collapsed="false">
      <c r="A101" s="571" t="s">
        <v>178</v>
      </c>
      <c r="B101" s="328" t="str">
        <f aca="false">'[4]норма времени'!B99</f>
        <v>Определение остаточного свободного хлора </v>
      </c>
      <c r="C101" s="954" t="n">
        <v>50000</v>
      </c>
      <c r="D101" s="954" t="n">
        <v>40000</v>
      </c>
      <c r="E101" s="954" t="n">
        <v>30000</v>
      </c>
      <c r="F101" s="955" t="n">
        <f aca="false">C101+D101+E101</f>
        <v>120000</v>
      </c>
      <c r="G101" s="955" t="n">
        <f aca="false">F101/149.4</f>
        <v>803.212851405623</v>
      </c>
      <c r="H101" s="661" t="n">
        <f aca="false">G101/60</f>
        <v>13.3868808567604</v>
      </c>
      <c r="I101" s="660" t="n">
        <f aca="false">'норма времени'!D105</f>
        <v>80</v>
      </c>
      <c r="J101" s="661" t="n">
        <f aca="false">H101*I101</f>
        <v>1070.95046854083</v>
      </c>
    </row>
    <row r="102" customFormat="false" ht="15" hidden="false" customHeight="false" outlineLevel="0" collapsed="false">
      <c r="A102" s="571" t="s">
        <v>179</v>
      </c>
      <c r="B102" s="328" t="str">
        <f aca="false">'[4]норма времени'!B100</f>
        <v> Определение остаточного связного хлора </v>
      </c>
      <c r="C102" s="954" t="n">
        <v>45000</v>
      </c>
      <c r="D102" s="954" t="n">
        <v>35000</v>
      </c>
      <c r="E102" s="954" t="n">
        <v>25000</v>
      </c>
      <c r="F102" s="955" t="n">
        <f aca="false">C102+D102+E102</f>
        <v>105000</v>
      </c>
      <c r="G102" s="955" t="n">
        <f aca="false">F102/149.4</f>
        <v>702.81124497992</v>
      </c>
      <c r="H102" s="661" t="n">
        <f aca="false">G102/60</f>
        <v>11.7135207496653</v>
      </c>
      <c r="I102" s="660" t="n">
        <f aca="false">'норма времени'!D106</f>
        <v>55</v>
      </c>
      <c r="J102" s="661" t="n">
        <f aca="false">H102*I102</f>
        <v>644.243641231593</v>
      </c>
    </row>
    <row r="103" customFormat="false" ht="15" hidden="false" customHeight="false" outlineLevel="0" collapsed="false">
      <c r="A103" s="571" t="s">
        <v>180</v>
      </c>
      <c r="B103" s="328" t="str">
        <f aca="false">'[4]норма времени'!B101</f>
        <v>Определение остаточного озона при озонировании</v>
      </c>
      <c r="C103" s="954" t="n">
        <v>40000</v>
      </c>
      <c r="D103" s="954" t="n">
        <v>35000</v>
      </c>
      <c r="E103" s="954" t="n">
        <v>25000</v>
      </c>
      <c r="F103" s="955" t="n">
        <f aca="false">C103+D103+E103</f>
        <v>100000</v>
      </c>
      <c r="G103" s="955" t="n">
        <f aca="false">F103/149.4</f>
        <v>669.344042838019</v>
      </c>
      <c r="H103" s="661" t="n">
        <f aca="false">G103/60</f>
        <v>11.1557340473003</v>
      </c>
      <c r="I103" s="660" t="n">
        <f aca="false">'норма времени'!D107</f>
        <v>30</v>
      </c>
      <c r="J103" s="661" t="n">
        <f aca="false">H103*I103</f>
        <v>334.672021419009</v>
      </c>
    </row>
    <row r="104" customFormat="false" ht="15" hidden="false" customHeight="false" outlineLevel="0" collapsed="false">
      <c r="A104" s="571" t="s">
        <v>181</v>
      </c>
      <c r="B104" s="328" t="str">
        <f aca="false">'[4]норма времени'!B102</f>
        <v>Определение кислорода</v>
      </c>
      <c r="C104" s="954" t="n">
        <v>50000</v>
      </c>
      <c r="D104" s="954" t="n">
        <v>40000</v>
      </c>
      <c r="E104" s="954" t="n">
        <v>30000</v>
      </c>
      <c r="F104" s="955" t="n">
        <f aca="false">C104+D104+E104</f>
        <v>120000</v>
      </c>
      <c r="G104" s="955" t="n">
        <f aca="false">F104/149.4</f>
        <v>803.212851405623</v>
      </c>
      <c r="H104" s="661" t="n">
        <f aca="false">G104/60</f>
        <v>13.3868808567604</v>
      </c>
      <c r="I104" s="660" t="n">
        <f aca="false">'норма времени'!D108</f>
        <v>140</v>
      </c>
      <c r="J104" s="661" t="n">
        <f aca="false">H104*I104</f>
        <v>1874.16331994645</v>
      </c>
    </row>
    <row r="105" customFormat="false" ht="30" hidden="false" customHeight="false" outlineLevel="0" collapsed="false">
      <c r="A105" s="571" t="s">
        <v>183</v>
      </c>
      <c r="B105" s="328" t="str">
        <f aca="false">'[4]норма времени'!B103</f>
        <v>Определение содержания концентрации анионных поверхностно -активных веществ (СПАВ) </v>
      </c>
      <c r="C105" s="954" t="n">
        <v>70000</v>
      </c>
      <c r="D105" s="954" t="n">
        <v>65000</v>
      </c>
      <c r="E105" s="954" t="n">
        <v>60000</v>
      </c>
      <c r="F105" s="955" t="n">
        <f aca="false">C105+D105+E105</f>
        <v>195000</v>
      </c>
      <c r="G105" s="955" t="n">
        <f aca="false">F105/149.4</f>
        <v>1305.22088353414</v>
      </c>
      <c r="H105" s="661" t="n">
        <f aca="false">G105/60</f>
        <v>21.7536813922356</v>
      </c>
      <c r="I105" s="660" t="n">
        <f aca="false">'норма времени'!D109</f>
        <v>155</v>
      </c>
      <c r="J105" s="661" t="n">
        <f aca="false">H105*I105</f>
        <v>3371.82061579652</v>
      </c>
    </row>
    <row r="106" customFormat="false" ht="15" hidden="false" customHeight="false" outlineLevel="0" collapsed="false">
      <c r="A106" s="571" t="s">
        <v>185</v>
      </c>
      <c r="B106" s="328" t="str">
        <f aca="false">'[4]норма времени'!B104</f>
        <v>Определение алюминия</v>
      </c>
      <c r="C106" s="954" t="n">
        <v>35000</v>
      </c>
      <c r="D106" s="954" t="n">
        <v>25000</v>
      </c>
      <c r="E106" s="954" t="n">
        <v>20000</v>
      </c>
      <c r="F106" s="955" t="n">
        <f aca="false">C106+D106+E106</f>
        <v>80000</v>
      </c>
      <c r="G106" s="955" t="n">
        <f aca="false">F106/149.4</f>
        <v>535.475234270415</v>
      </c>
      <c r="H106" s="661" t="n">
        <f aca="false">G106/60</f>
        <v>8.92458723784025</v>
      </c>
      <c r="I106" s="660" t="n">
        <f aca="false">'норма времени'!D110</f>
        <v>130</v>
      </c>
      <c r="J106" s="661" t="n">
        <f aca="false">H106*I106</f>
        <v>1160.19634091923</v>
      </c>
    </row>
    <row r="107" customFormat="false" ht="15" hidden="false" customHeight="false" outlineLevel="0" collapsed="false">
      <c r="A107" s="571" t="s">
        <v>186</v>
      </c>
      <c r="B107" s="328" t="str">
        <f aca="false">'[4]норма времени'!B105</f>
        <v>Определение бора</v>
      </c>
      <c r="C107" s="954" t="n">
        <v>35000</v>
      </c>
      <c r="D107" s="954" t="n">
        <v>30000</v>
      </c>
      <c r="E107" s="954" t="n">
        <v>25000</v>
      </c>
      <c r="F107" s="955" t="n">
        <f aca="false">C107+D107+E107</f>
        <v>90000</v>
      </c>
      <c r="G107" s="955" t="n">
        <f aca="false">F107/149.4</f>
        <v>602.409638554217</v>
      </c>
      <c r="H107" s="661" t="n">
        <f aca="false">G107/60</f>
        <v>10.0401606425703</v>
      </c>
      <c r="I107" s="660" t="n">
        <f aca="false">'норма времени'!D111</f>
        <v>170</v>
      </c>
      <c r="J107" s="661" t="n">
        <f aca="false">H107*I107</f>
        <v>1706.82730923695</v>
      </c>
    </row>
    <row r="108" customFormat="false" ht="15" hidden="false" customHeight="false" outlineLevel="0" collapsed="false">
      <c r="A108" s="571" t="s">
        <v>188</v>
      </c>
      <c r="B108" s="328" t="str">
        <f aca="false">'[4]норма времени'!B106</f>
        <v>Определение бенз(а)пирена</v>
      </c>
      <c r="C108" s="954" t="n">
        <v>35000</v>
      </c>
      <c r="D108" s="954" t="n">
        <v>30000</v>
      </c>
      <c r="E108" s="954" t="n">
        <v>25000</v>
      </c>
      <c r="F108" s="955" t="n">
        <f aca="false">C108+D108+E108</f>
        <v>90000</v>
      </c>
      <c r="G108" s="955" t="n">
        <f aca="false">F108/149.4</f>
        <v>602.409638554217</v>
      </c>
      <c r="H108" s="661" t="n">
        <f aca="false">G108/60</f>
        <v>10.0401606425703</v>
      </c>
      <c r="I108" s="660" t="n">
        <f aca="false">'норма времени'!D112</f>
        <v>210</v>
      </c>
      <c r="J108" s="661" t="n">
        <f aca="false">H108*I108</f>
        <v>2108.43373493976</v>
      </c>
    </row>
    <row r="109" customFormat="false" ht="15" hidden="false" customHeight="false" outlineLevel="0" collapsed="false">
      <c r="A109" s="571" t="s">
        <v>189</v>
      </c>
      <c r="B109" s="328" t="str">
        <f aca="false">'[4]норма времени'!B107</f>
        <v>Определение железо</v>
      </c>
      <c r="C109" s="954" t="n">
        <v>30000</v>
      </c>
      <c r="D109" s="954" t="n">
        <v>25000</v>
      </c>
      <c r="E109" s="954" t="n">
        <v>15000</v>
      </c>
      <c r="F109" s="955" t="n">
        <f aca="false">C109+D109+E109</f>
        <v>70000</v>
      </c>
      <c r="G109" s="955" t="n">
        <f aca="false">F109/149.4</f>
        <v>468.540829986613</v>
      </c>
      <c r="H109" s="661" t="n">
        <f aca="false">G109/60</f>
        <v>7.80901383311022</v>
      </c>
      <c r="I109" s="660" t="n">
        <f aca="false">'норма времени'!D113</f>
        <v>70</v>
      </c>
      <c r="J109" s="661" t="n">
        <f aca="false">H109*I109</f>
        <v>546.630968317715</v>
      </c>
    </row>
    <row r="110" customFormat="false" ht="15" hidden="false" customHeight="false" outlineLevel="0" collapsed="false">
      <c r="A110" s="571" t="s">
        <v>190</v>
      </c>
      <c r="B110" s="328" t="str">
        <f aca="false">'[4]норма времени'!B108</f>
        <v>Определение хрома</v>
      </c>
      <c r="C110" s="954" t="n">
        <v>45000</v>
      </c>
      <c r="D110" s="954" t="n">
        <v>40000</v>
      </c>
      <c r="E110" s="954" t="n">
        <v>35000</v>
      </c>
      <c r="F110" s="955" t="n">
        <f aca="false">C110+D110+E110</f>
        <v>120000</v>
      </c>
      <c r="G110" s="955" t="n">
        <f aca="false">F110/149.4</f>
        <v>803.212851405623</v>
      </c>
      <c r="H110" s="661" t="n">
        <f aca="false">G110/60</f>
        <v>13.3868808567604</v>
      </c>
      <c r="I110" s="660" t="n">
        <f aca="false">'норма времени'!D114</f>
        <v>70</v>
      </c>
      <c r="J110" s="661" t="n">
        <f aca="false">H110*I110</f>
        <v>937.081659973226</v>
      </c>
    </row>
    <row r="111" customFormat="false" ht="15" hidden="false" customHeight="false" outlineLevel="0" collapsed="false">
      <c r="A111" s="571" t="s">
        <v>192</v>
      </c>
      <c r="B111" s="328" t="str">
        <f aca="false">'[4]норма времени'!B109</f>
        <v>Определение свинца (вольтамперометрический)</v>
      </c>
      <c r="C111" s="954" t="n">
        <v>55000</v>
      </c>
      <c r="D111" s="954" t="n">
        <v>45000</v>
      </c>
      <c r="E111" s="954" t="n">
        <v>40000</v>
      </c>
      <c r="F111" s="955" t="n">
        <f aca="false">C111+D111+E111</f>
        <v>140000</v>
      </c>
      <c r="G111" s="955" t="n">
        <f aca="false">F111/149.4</f>
        <v>937.081659973226</v>
      </c>
      <c r="H111" s="661" t="n">
        <f aca="false">G111/60</f>
        <v>15.6180276662204</v>
      </c>
      <c r="I111" s="660" t="n">
        <f aca="false">'норма времени'!D115</f>
        <v>215</v>
      </c>
      <c r="J111" s="661" t="n">
        <f aca="false">H111*I111</f>
        <v>3357.87594823739</v>
      </c>
    </row>
    <row r="112" customFormat="false" ht="15" hidden="false" customHeight="false" outlineLevel="0" collapsed="false">
      <c r="A112" s="571" t="s">
        <v>193</v>
      </c>
      <c r="B112" s="328" t="str">
        <f aca="false">'[4]норма времени'!B110</f>
        <v>Определение свинца (атомно-абсорбционный)</v>
      </c>
      <c r="C112" s="954" t="n">
        <v>50000</v>
      </c>
      <c r="D112" s="954" t="n">
        <v>45000</v>
      </c>
      <c r="E112" s="954" t="n">
        <v>40000</v>
      </c>
      <c r="F112" s="955" t="n">
        <f aca="false">C112+D112+E112</f>
        <v>135000</v>
      </c>
      <c r="G112" s="955" t="n">
        <f aca="false">F112/149.4</f>
        <v>903.614457831325</v>
      </c>
      <c r="H112" s="661" t="n">
        <f aca="false">G112/60</f>
        <v>15.0602409638554</v>
      </c>
      <c r="I112" s="660" t="n">
        <f aca="false">'норма времени'!D116</f>
        <v>170</v>
      </c>
      <c r="J112" s="661" t="n">
        <f aca="false">H112*I112</f>
        <v>2560.24096385542</v>
      </c>
    </row>
    <row r="113" customFormat="false" ht="15" hidden="false" customHeight="false" outlineLevel="0" collapsed="false">
      <c r="A113" s="571" t="s">
        <v>194</v>
      </c>
      <c r="B113" s="328" t="str">
        <f aca="false">'[4]норма времени'!B111</f>
        <v>Определение кадмия (вольтамперометрический)</v>
      </c>
      <c r="C113" s="954" t="n">
        <v>45000</v>
      </c>
      <c r="D113" s="954" t="n">
        <v>35000</v>
      </c>
      <c r="E113" s="954" t="n">
        <v>30000</v>
      </c>
      <c r="F113" s="955" t="n">
        <f aca="false">C113+D113+E113</f>
        <v>110000</v>
      </c>
      <c r="G113" s="955" t="n">
        <f aca="false">F113/149.4</f>
        <v>736.278447121821</v>
      </c>
      <c r="H113" s="661" t="n">
        <f aca="false">G113/60</f>
        <v>12.2713074520303</v>
      </c>
      <c r="I113" s="660" t="n">
        <f aca="false">'норма времени'!D117</f>
        <v>205</v>
      </c>
      <c r="J113" s="661" t="n">
        <f aca="false">H113*I113</f>
        <v>2515.61802766622</v>
      </c>
    </row>
    <row r="114" customFormat="false" ht="15" hidden="false" customHeight="false" outlineLevel="0" collapsed="false">
      <c r="A114" s="571" t="s">
        <v>196</v>
      </c>
      <c r="B114" s="328" t="str">
        <f aca="false">'[4]норма времени'!B112</f>
        <v>Определение кадмия (атомно-абсорбционный)</v>
      </c>
      <c r="C114" s="954" t="n">
        <v>45000</v>
      </c>
      <c r="D114" s="954" t="n">
        <v>35000</v>
      </c>
      <c r="E114" s="954" t="n">
        <v>30000</v>
      </c>
      <c r="F114" s="955" t="n">
        <f aca="false">C114+D114+E114</f>
        <v>110000</v>
      </c>
      <c r="G114" s="955" t="n">
        <f aca="false">F114/149.4</f>
        <v>736.278447121821</v>
      </c>
      <c r="H114" s="661" t="n">
        <f aca="false">G114/60</f>
        <v>12.2713074520303</v>
      </c>
      <c r="I114" s="660" t="n">
        <f aca="false">'норма времени'!D118</f>
        <v>170</v>
      </c>
      <c r="J114" s="661" t="n">
        <f aca="false">H114*I114</f>
        <v>2086.12226684516</v>
      </c>
    </row>
    <row r="115" customFormat="false" ht="15" hidden="false" customHeight="false" outlineLevel="0" collapsed="false">
      <c r="A115" s="571" t="s">
        <v>198</v>
      </c>
      <c r="B115" s="328" t="str">
        <f aca="false">'[4]норма времени'!B113</f>
        <v>Определение цинка (вольтамперометрический)</v>
      </c>
      <c r="C115" s="954" t="n">
        <v>40000</v>
      </c>
      <c r="D115" s="954" t="n">
        <v>30000</v>
      </c>
      <c r="E115" s="954" t="n">
        <v>25000</v>
      </c>
      <c r="F115" s="955" t="n">
        <f aca="false">C115+D115+E115</f>
        <v>95000</v>
      </c>
      <c r="G115" s="955" t="n">
        <f aca="false">F115/149.4</f>
        <v>635.876840696118</v>
      </c>
      <c r="H115" s="661" t="n">
        <f aca="false">G115/60</f>
        <v>10.5979473449353</v>
      </c>
      <c r="I115" s="660" t="n">
        <f aca="false">'норма времени'!D119</f>
        <v>205</v>
      </c>
      <c r="J115" s="661" t="n">
        <f aca="false">H115*I115</f>
        <v>2172.57920571174</v>
      </c>
    </row>
    <row r="116" customFormat="false" ht="15" hidden="false" customHeight="false" outlineLevel="0" collapsed="false">
      <c r="A116" s="571" t="s">
        <v>200</v>
      </c>
      <c r="B116" s="328" t="str">
        <f aca="false">'[4]норма времени'!B114</f>
        <v>Определение цинка (атомно-абсорбционный)</v>
      </c>
      <c r="C116" s="954" t="n">
        <v>35000</v>
      </c>
      <c r="D116" s="954" t="n">
        <v>25000</v>
      </c>
      <c r="E116" s="954" t="n">
        <v>20000</v>
      </c>
      <c r="F116" s="955" t="n">
        <f aca="false">C116+D116+E116</f>
        <v>80000</v>
      </c>
      <c r="G116" s="955" t="n">
        <f aca="false">F116/149.4</f>
        <v>535.475234270415</v>
      </c>
      <c r="H116" s="661" t="n">
        <f aca="false">G116/60</f>
        <v>8.92458723784025</v>
      </c>
      <c r="I116" s="660" t="n">
        <f aca="false">'норма времени'!D120</f>
        <v>170</v>
      </c>
      <c r="J116" s="661" t="n">
        <f aca="false">H116*I116</f>
        <v>1517.17983043284</v>
      </c>
    </row>
    <row r="117" customFormat="false" ht="15" hidden="false" customHeight="false" outlineLevel="0" collapsed="false">
      <c r="A117" s="571" t="s">
        <v>202</v>
      </c>
      <c r="B117" s="328" t="str">
        <f aca="false">'[4]норма времени'!B115</f>
        <v>Определение меди (вольтамперометрический)</v>
      </c>
      <c r="C117" s="954" t="n">
        <v>50000</v>
      </c>
      <c r="D117" s="954" t="n">
        <v>40000</v>
      </c>
      <c r="E117" s="954" t="n">
        <v>30000</v>
      </c>
      <c r="F117" s="955" t="n">
        <f aca="false">C117+D117+E117</f>
        <v>120000</v>
      </c>
      <c r="G117" s="955" t="n">
        <f aca="false">F117/149.4</f>
        <v>803.212851405623</v>
      </c>
      <c r="H117" s="661" t="n">
        <f aca="false">G117/60</f>
        <v>13.3868808567604</v>
      </c>
      <c r="I117" s="660" t="n">
        <f aca="false">'норма времени'!D121</f>
        <v>205</v>
      </c>
      <c r="J117" s="661" t="n">
        <f aca="false">H117*I117</f>
        <v>2744.31057563588</v>
      </c>
    </row>
    <row r="118" customFormat="false" ht="15" hidden="false" customHeight="false" outlineLevel="0" collapsed="false">
      <c r="A118" s="571" t="s">
        <v>203</v>
      </c>
      <c r="B118" s="328" t="str">
        <f aca="false">'[4]норма времени'!B116</f>
        <v>Определение меди (атомно-абсорбционный)</v>
      </c>
      <c r="C118" s="954" t="n">
        <v>50000</v>
      </c>
      <c r="D118" s="954" t="n">
        <v>40000</v>
      </c>
      <c r="E118" s="954" t="n">
        <v>30000</v>
      </c>
      <c r="F118" s="955" t="n">
        <f aca="false">C118+D118+E118</f>
        <v>120000</v>
      </c>
      <c r="G118" s="955" t="n">
        <f aca="false">F118/149.4</f>
        <v>803.212851405623</v>
      </c>
      <c r="H118" s="661" t="n">
        <f aca="false">G118/60</f>
        <v>13.3868808567604</v>
      </c>
      <c r="I118" s="660" t="n">
        <f aca="false">'норма времени'!D122</f>
        <v>80</v>
      </c>
      <c r="J118" s="661" t="n">
        <f aca="false">H118*I118</f>
        <v>1070.95046854083</v>
      </c>
    </row>
    <row r="119" customFormat="false" ht="15" hidden="false" customHeight="false" outlineLevel="0" collapsed="false">
      <c r="A119" s="571" t="s">
        <v>204</v>
      </c>
      <c r="B119" s="328" t="str">
        <f aca="false">'[4]норма времени'!B117</f>
        <v>Определение мышьяка (вольтамперометрический)</v>
      </c>
      <c r="C119" s="954" t="n">
        <v>55000</v>
      </c>
      <c r="D119" s="954" t="n">
        <v>40000</v>
      </c>
      <c r="E119" s="954" t="n">
        <v>30000</v>
      </c>
      <c r="F119" s="955" t="n">
        <f aca="false">C119+D119+E119</f>
        <v>125000</v>
      </c>
      <c r="G119" s="955" t="n">
        <f aca="false">F119/149.4</f>
        <v>836.680053547523</v>
      </c>
      <c r="H119" s="661" t="n">
        <f aca="false">G119/60</f>
        <v>13.9446675591254</v>
      </c>
      <c r="I119" s="660" t="n">
        <f aca="false">'норма времени'!D123</f>
        <v>205</v>
      </c>
      <c r="J119" s="661" t="n">
        <f aca="false">H119*I119</f>
        <v>2858.6568496207</v>
      </c>
    </row>
    <row r="120" customFormat="false" ht="15" hidden="false" customHeight="false" outlineLevel="0" collapsed="false">
      <c r="A120" s="571" t="s">
        <v>205</v>
      </c>
      <c r="B120" s="328" t="str">
        <f aca="false">'[4]норма времени'!B118</f>
        <v>Определение мышьяка  (атомно-абсорбционный)</v>
      </c>
      <c r="C120" s="954" t="n">
        <v>45000</v>
      </c>
      <c r="D120" s="954" t="n">
        <v>35000</v>
      </c>
      <c r="E120" s="954" t="n">
        <v>25000</v>
      </c>
      <c r="F120" s="955" t="n">
        <f aca="false">C120+D120+E120</f>
        <v>105000</v>
      </c>
      <c r="G120" s="955" t="n">
        <f aca="false">F120/149.4</f>
        <v>702.81124497992</v>
      </c>
      <c r="H120" s="661" t="n">
        <f aca="false">G120/60</f>
        <v>11.7135207496653</v>
      </c>
      <c r="I120" s="660" t="n">
        <f aca="false">'норма времени'!D124</f>
        <v>170</v>
      </c>
      <c r="J120" s="661" t="n">
        <f aca="false">H120*I120</f>
        <v>1991.29852744311</v>
      </c>
    </row>
    <row r="121" customFormat="false" ht="15" hidden="false" customHeight="false" outlineLevel="0" collapsed="false">
      <c r="A121" s="571" t="s">
        <v>206</v>
      </c>
      <c r="B121" s="328" t="str">
        <f aca="false">'[4]норма времени'!B119</f>
        <v>Определение ртути (вольтамперометрический)</v>
      </c>
      <c r="C121" s="954" t="n">
        <v>55000</v>
      </c>
      <c r="D121" s="954" t="n">
        <v>45000</v>
      </c>
      <c r="E121" s="954" t="n">
        <v>35000</v>
      </c>
      <c r="F121" s="955" t="n">
        <f aca="false">C121+D121+E121</f>
        <v>135000</v>
      </c>
      <c r="G121" s="955" t="n">
        <f aca="false">F121/149.4</f>
        <v>903.614457831325</v>
      </c>
      <c r="H121" s="661" t="n">
        <f aca="false">G121/60</f>
        <v>15.0602409638554</v>
      </c>
      <c r="I121" s="660" t="n">
        <f aca="false">'норма времени'!D125</f>
        <v>205</v>
      </c>
      <c r="J121" s="661" t="n">
        <f aca="false">H121*I121</f>
        <v>3087.34939759036</v>
      </c>
    </row>
    <row r="122" customFormat="false" ht="15" hidden="false" customHeight="false" outlineLevel="0" collapsed="false">
      <c r="A122" s="571" t="s">
        <v>207</v>
      </c>
      <c r="B122" s="328" t="str">
        <f aca="false">'[4]норма времени'!B120</f>
        <v>Определение ртути (атомно-абсорбционный)</v>
      </c>
      <c r="C122" s="954" t="n">
        <v>50000</v>
      </c>
      <c r="D122" s="954" t="n">
        <v>40000</v>
      </c>
      <c r="E122" s="954" t="n">
        <v>25000</v>
      </c>
      <c r="F122" s="955" t="n">
        <f aca="false">C122+D122+E122</f>
        <v>115000</v>
      </c>
      <c r="G122" s="955" t="n">
        <f aca="false">F122/149.4</f>
        <v>769.745649263722</v>
      </c>
      <c r="H122" s="661" t="n">
        <f aca="false">G122/60</f>
        <v>12.8290941543954</v>
      </c>
      <c r="I122" s="660" t="n">
        <f aca="false">'норма времени'!D126</f>
        <v>170</v>
      </c>
      <c r="J122" s="661" t="n">
        <f aca="false">H122*I122</f>
        <v>2180.94600624721</v>
      </c>
    </row>
    <row r="123" customFormat="false" ht="15" hidden="false" customHeight="false" outlineLevel="0" collapsed="false">
      <c r="A123" s="571" t="s">
        <v>208</v>
      </c>
      <c r="B123" s="328" t="str">
        <f aca="false">'[4]норма времени'!B121</f>
        <v>Определение марганца (фотометрический)</v>
      </c>
      <c r="C123" s="954" t="n">
        <v>30000</v>
      </c>
      <c r="D123" s="954" t="n">
        <v>25000</v>
      </c>
      <c r="E123" s="954" t="n">
        <v>15000</v>
      </c>
      <c r="F123" s="955" t="n">
        <f aca="false">C123+D123+E123</f>
        <v>70000</v>
      </c>
      <c r="G123" s="955" t="n">
        <f aca="false">F123/149.4</f>
        <v>468.540829986613</v>
      </c>
      <c r="H123" s="661" t="n">
        <f aca="false">G123/60</f>
        <v>7.80901383311022</v>
      </c>
      <c r="I123" s="660" t="n">
        <f aca="false">'норма времени'!D127</f>
        <v>90</v>
      </c>
      <c r="J123" s="661" t="n">
        <f aca="false">H123*I123</f>
        <v>702.81124497992</v>
      </c>
    </row>
    <row r="124" customFormat="false" ht="15" hidden="false" customHeight="false" outlineLevel="0" collapsed="false">
      <c r="A124" s="571" t="s">
        <v>209</v>
      </c>
      <c r="B124" s="328" t="str">
        <f aca="false">'[4]норма времени'!B122</f>
        <v>Определение марганца (атомно-абсорбционный)</v>
      </c>
      <c r="C124" s="954" t="n">
        <v>30000</v>
      </c>
      <c r="D124" s="954" t="n">
        <v>25000</v>
      </c>
      <c r="E124" s="954" t="n">
        <v>15000</v>
      </c>
      <c r="F124" s="955" t="n">
        <f aca="false">C124+D124+E124</f>
        <v>70000</v>
      </c>
      <c r="G124" s="955" t="n">
        <f aca="false">F124/149.4</f>
        <v>468.540829986613</v>
      </c>
      <c r="H124" s="661" t="n">
        <f aca="false">G124/60</f>
        <v>7.80901383311022</v>
      </c>
      <c r="I124" s="660" t="n">
        <f aca="false">'норма времени'!D128</f>
        <v>170</v>
      </c>
      <c r="J124" s="661" t="n">
        <f aca="false">H124*I124</f>
        <v>1327.53235162874</v>
      </c>
    </row>
    <row r="125" customFormat="false" ht="15" hidden="false" customHeight="false" outlineLevel="0" collapsed="false">
      <c r="A125" s="571" t="s">
        <v>210</v>
      </c>
      <c r="B125" s="328" t="str">
        <f aca="false">'[4]норма времени'!B123</f>
        <v>Определение кобальта  </v>
      </c>
      <c r="C125" s="954" t="n">
        <v>55000</v>
      </c>
      <c r="D125" s="954" t="n">
        <v>50000</v>
      </c>
      <c r="E125" s="954" t="n">
        <v>47500</v>
      </c>
      <c r="F125" s="955" t="n">
        <f aca="false">C125+D125+E125</f>
        <v>152500</v>
      </c>
      <c r="G125" s="955" t="n">
        <f aca="false">F125/149.4</f>
        <v>1020.74966532798</v>
      </c>
      <c r="H125" s="661" t="n">
        <f aca="false">G125/60</f>
        <v>17.012494422133</v>
      </c>
      <c r="I125" s="660" t="n">
        <f aca="false">'норма времени'!D129</f>
        <v>100</v>
      </c>
      <c r="J125" s="661" t="n">
        <f aca="false">H125*I125</f>
        <v>1701.2494422133</v>
      </c>
    </row>
    <row r="126" customFormat="false" ht="15" hidden="false" customHeight="false" outlineLevel="0" collapsed="false">
      <c r="A126" s="571" t="s">
        <v>211</v>
      </c>
      <c r="B126" s="328" t="str">
        <f aca="false">'[4]норма времени'!B124</f>
        <v>Определение молибдена</v>
      </c>
      <c r="C126" s="954" t="n">
        <v>45000</v>
      </c>
      <c r="D126" s="954" t="n">
        <v>40000</v>
      </c>
      <c r="E126" s="954" t="n">
        <v>30000</v>
      </c>
      <c r="F126" s="955" t="n">
        <f aca="false">C126+D126+E126</f>
        <v>115000</v>
      </c>
      <c r="G126" s="955" t="n">
        <f aca="false">F126/149.4</f>
        <v>769.745649263722</v>
      </c>
      <c r="H126" s="661" t="n">
        <f aca="false">G126/60</f>
        <v>12.8290941543954</v>
      </c>
      <c r="I126" s="660" t="n">
        <f aca="false">'норма времени'!D130</f>
        <v>150</v>
      </c>
      <c r="J126" s="661" t="n">
        <f aca="false">H126*I126</f>
        <v>1924.3641231593</v>
      </c>
    </row>
    <row r="127" customFormat="false" ht="15" hidden="false" customHeight="false" outlineLevel="0" collapsed="false">
      <c r="A127" s="571" t="s">
        <v>212</v>
      </c>
      <c r="B127" s="328" t="str">
        <f aca="false">'[4]норма времени'!B125</f>
        <v>Определение никеля</v>
      </c>
      <c r="C127" s="954" t="n">
        <v>60000</v>
      </c>
      <c r="D127" s="954" t="n">
        <v>50000</v>
      </c>
      <c r="E127" s="954" t="n">
        <v>40000</v>
      </c>
      <c r="F127" s="955" t="n">
        <f aca="false">C127+D127+E127</f>
        <v>150000</v>
      </c>
      <c r="G127" s="955" t="n">
        <f aca="false">F127/149.4</f>
        <v>1004.01606425703</v>
      </c>
      <c r="H127" s="661" t="n">
        <f aca="false">G127/60</f>
        <v>16.7336010709505</v>
      </c>
      <c r="I127" s="660" t="n">
        <f aca="false">'норма времени'!D131</f>
        <v>180</v>
      </c>
      <c r="J127" s="661" t="n">
        <f aca="false">H127*I127</f>
        <v>3012.04819277108</v>
      </c>
    </row>
    <row r="128" customFormat="false" ht="15" hidden="false" customHeight="false" outlineLevel="0" collapsed="false">
      <c r="A128" s="571" t="s">
        <v>213</v>
      </c>
      <c r="B128" s="328" t="str">
        <f aca="false">'[4]норма времени'!B117</f>
        <v>Определение мышьяка (вольтамперометрический)</v>
      </c>
      <c r="C128" s="954" t="n">
        <v>45000</v>
      </c>
      <c r="D128" s="954" t="n">
        <v>40000</v>
      </c>
      <c r="E128" s="954" t="n">
        <v>30000</v>
      </c>
      <c r="F128" s="955" t="n">
        <f aca="false">C128+D128+E128</f>
        <v>115000</v>
      </c>
      <c r="G128" s="955" t="n">
        <f aca="false">F128/149.4</f>
        <v>769.745649263722</v>
      </c>
      <c r="H128" s="661" t="n">
        <f aca="false">G128/60</f>
        <v>12.8290941543954</v>
      </c>
      <c r="I128" s="660" t="n">
        <f aca="false">'норма времени'!D132</f>
        <v>200</v>
      </c>
      <c r="J128" s="661" t="n">
        <f aca="false">H128*I128</f>
        <v>2565.81883087907</v>
      </c>
    </row>
    <row r="129" customFormat="false" ht="15" hidden="false" customHeight="false" outlineLevel="0" collapsed="false">
      <c r="A129" s="571" t="s">
        <v>214</v>
      </c>
      <c r="B129" s="328" t="str">
        <f aca="false">'[4]норма времени'!B118</f>
        <v>Определение мышьяка  (атомно-абсорбционный)</v>
      </c>
      <c r="C129" s="954" t="n">
        <v>80000</v>
      </c>
      <c r="D129" s="954" t="n">
        <v>75000</v>
      </c>
      <c r="E129" s="954" t="n">
        <v>70000</v>
      </c>
      <c r="F129" s="955" t="n">
        <f aca="false">C129+D129+E129</f>
        <v>225000</v>
      </c>
      <c r="G129" s="955" t="n">
        <f aca="false">F129/149.4</f>
        <v>1506.02409638554</v>
      </c>
      <c r="H129" s="661" t="n">
        <f aca="false">G129/60</f>
        <v>25.1004016064257</v>
      </c>
      <c r="I129" s="660" t="n">
        <f aca="false">'норма времени'!D133</f>
        <v>220</v>
      </c>
      <c r="J129" s="661" t="n">
        <f aca="false">H129*I129</f>
        <v>5522.08835341366</v>
      </c>
    </row>
    <row r="130" customFormat="false" ht="15" hidden="false" customHeight="false" outlineLevel="0" collapsed="false">
      <c r="A130" s="571" t="s">
        <v>215</v>
      </c>
      <c r="B130" s="328" t="str">
        <f aca="false">'[4]норма времени'!B128</f>
        <v>Определение сероводорода</v>
      </c>
      <c r="C130" s="954" t="n">
        <v>30000</v>
      </c>
      <c r="D130" s="954" t="n">
        <v>25000</v>
      </c>
      <c r="E130" s="954" t="n">
        <v>15000</v>
      </c>
      <c r="F130" s="955" t="n">
        <f aca="false">C130+D130+E130</f>
        <v>70000</v>
      </c>
      <c r="G130" s="955" t="n">
        <f aca="false">F130/149.4</f>
        <v>468.540829986613</v>
      </c>
      <c r="H130" s="661" t="n">
        <f aca="false">G130/60</f>
        <v>7.80901383311022</v>
      </c>
      <c r="I130" s="660" t="n">
        <f aca="false">'норма времени'!D134</f>
        <v>80</v>
      </c>
      <c r="J130" s="661" t="n">
        <f aca="false">H130*I130</f>
        <v>624.721106648818</v>
      </c>
    </row>
    <row r="131" customFormat="false" ht="15" hidden="false" customHeight="false" outlineLevel="0" collapsed="false">
      <c r="A131" s="571" t="s">
        <v>216</v>
      </c>
      <c r="B131" s="328" t="str">
        <f aca="false">'[4]норма времени'!B129</f>
        <v>Определение полифосфатов</v>
      </c>
      <c r="C131" s="954" t="n">
        <v>30000</v>
      </c>
      <c r="D131" s="954" t="n">
        <v>25000</v>
      </c>
      <c r="E131" s="954" t="n">
        <v>15000</v>
      </c>
      <c r="F131" s="955" t="n">
        <f aca="false">C131+D131+E131</f>
        <v>70000</v>
      </c>
      <c r="G131" s="955" t="n">
        <f aca="false">F131/149.4</f>
        <v>468.540829986613</v>
      </c>
      <c r="H131" s="661" t="n">
        <f aca="false">G131/60</f>
        <v>7.80901383311022</v>
      </c>
      <c r="I131" s="660" t="n">
        <f aca="false">'норма времени'!D135</f>
        <v>90</v>
      </c>
      <c r="J131" s="661" t="n">
        <f aca="false">H131*I131</f>
        <v>702.81124497992</v>
      </c>
    </row>
    <row r="132" customFormat="false" ht="15" hidden="false" customHeight="false" outlineLevel="0" collapsed="false">
      <c r="A132" s="571" t="s">
        <v>217</v>
      </c>
      <c r="B132" s="328" t="str">
        <f aca="false">'[4]норма времени'!B130</f>
        <v>Определение селена</v>
      </c>
      <c r="C132" s="954" t="n">
        <v>65000</v>
      </c>
      <c r="D132" s="954" t="n">
        <v>55000</v>
      </c>
      <c r="E132" s="954" t="n">
        <v>45000</v>
      </c>
      <c r="F132" s="955" t="n">
        <f aca="false">C132+D132+E132</f>
        <v>165000</v>
      </c>
      <c r="G132" s="955" t="n">
        <f aca="false">F132/149.4</f>
        <v>1104.41767068273</v>
      </c>
      <c r="H132" s="661" t="n">
        <f aca="false">G132/60</f>
        <v>18.4069611780455</v>
      </c>
      <c r="I132" s="660" t="n">
        <f aca="false">'норма времени'!D136</f>
        <v>50</v>
      </c>
      <c r="J132" s="661" t="n">
        <f aca="false">H132*I132</f>
        <v>920.348058902276</v>
      </c>
    </row>
    <row r="133" customFormat="false" ht="15" hidden="false" customHeight="false" outlineLevel="0" collapsed="false">
      <c r="A133" s="571" t="s">
        <v>218</v>
      </c>
      <c r="B133" s="328" t="str">
        <f aca="false">'[4]норма времени'!B131</f>
        <v>Определение нефтепродуктов</v>
      </c>
      <c r="C133" s="954" t="n">
        <v>65000</v>
      </c>
      <c r="D133" s="954" t="n">
        <v>60000</v>
      </c>
      <c r="E133" s="954" t="n">
        <v>50000</v>
      </c>
      <c r="F133" s="955" t="n">
        <f aca="false">C133+D133+E133</f>
        <v>175000</v>
      </c>
      <c r="G133" s="955" t="n">
        <f aca="false">F133/149.4</f>
        <v>1171.35207496653</v>
      </c>
      <c r="H133" s="661" t="n">
        <f aca="false">G133/60</f>
        <v>19.5225345827755</v>
      </c>
      <c r="I133" s="660" t="n">
        <f aca="false">'норма времени'!D137</f>
        <v>75</v>
      </c>
      <c r="J133" s="661" t="n">
        <f aca="false">H133*I133</f>
        <v>1464.19009370817</v>
      </c>
    </row>
    <row r="134" customFormat="false" ht="15" hidden="false" customHeight="false" outlineLevel="0" collapsed="false">
      <c r="A134" s="571" t="s">
        <v>219</v>
      </c>
      <c r="B134" s="328" t="str">
        <f aca="false">'[4]норма времени'!B132</f>
        <v>Определение органического углерода</v>
      </c>
      <c r="C134" s="954" t="n">
        <v>45000</v>
      </c>
      <c r="D134" s="954" t="n">
        <v>40000</v>
      </c>
      <c r="E134" s="954" t="n">
        <v>30000</v>
      </c>
      <c r="F134" s="955" t="n">
        <f aca="false">C134+D134+E134</f>
        <v>115000</v>
      </c>
      <c r="G134" s="955" t="n">
        <f aca="false">F134/149.4</f>
        <v>769.745649263722</v>
      </c>
      <c r="H134" s="661" t="n">
        <f aca="false">G134/60</f>
        <v>12.8290941543954</v>
      </c>
      <c r="I134" s="660" t="n">
        <f aca="false">'норма времени'!D138</f>
        <v>170</v>
      </c>
      <c r="J134" s="661" t="n">
        <f aca="false">H134*I134</f>
        <v>2180.94600624721</v>
      </c>
    </row>
    <row r="135" customFormat="false" ht="15" hidden="false" customHeight="false" outlineLevel="0" collapsed="false">
      <c r="A135" s="571" t="s">
        <v>220</v>
      </c>
      <c r="B135" s="328" t="str">
        <f aca="false">'[4]норма времени'!B133</f>
        <v>Определение йода</v>
      </c>
      <c r="C135" s="954" t="n">
        <v>38000</v>
      </c>
      <c r="D135" s="954" t="n">
        <v>25000</v>
      </c>
      <c r="E135" s="954" t="n">
        <v>15000</v>
      </c>
      <c r="F135" s="955" t="n">
        <f aca="false">C135+D135+E135</f>
        <v>78000</v>
      </c>
      <c r="G135" s="955" t="n">
        <f aca="false">F135/149.4</f>
        <v>522.088353413655</v>
      </c>
      <c r="H135" s="661" t="n">
        <f aca="false">G135/60</f>
        <v>8.70147255689424</v>
      </c>
      <c r="I135" s="660" t="n">
        <f aca="false">'норма времени'!D139</f>
        <v>190</v>
      </c>
      <c r="J135" s="661" t="n">
        <f aca="false">H135*I135</f>
        <v>1653.27978580991</v>
      </c>
    </row>
    <row r="136" customFormat="false" ht="15" hidden="false" customHeight="false" outlineLevel="0" collapsed="false">
      <c r="A136" s="571" t="s">
        <v>222</v>
      </c>
      <c r="B136" s="328" t="str">
        <f aca="false">'[4]норма времени'!B134</f>
        <v>Определение калия</v>
      </c>
      <c r="C136" s="954" t="n">
        <v>50000</v>
      </c>
      <c r="D136" s="954" t="n">
        <v>40000</v>
      </c>
      <c r="E136" s="954" t="n">
        <v>30000</v>
      </c>
      <c r="F136" s="955" t="n">
        <f aca="false">C136+D136+E136</f>
        <v>120000</v>
      </c>
      <c r="G136" s="955" t="n">
        <f aca="false">F136/149.4</f>
        <v>803.212851405623</v>
      </c>
      <c r="H136" s="661" t="n">
        <f aca="false">G136/60</f>
        <v>13.3868808567604</v>
      </c>
      <c r="I136" s="660" t="n">
        <f aca="false">'норма времени'!D140</f>
        <v>215</v>
      </c>
      <c r="J136" s="661" t="n">
        <f aca="false">H136*I136</f>
        <v>2878.17938420348</v>
      </c>
    </row>
    <row r="137" customFormat="false" ht="15" hidden="false" customHeight="false" outlineLevel="0" collapsed="false">
      <c r="A137" s="571" t="s">
        <v>223</v>
      </c>
      <c r="B137" s="328" t="str">
        <f aca="false">'[4]норма времени'!B135</f>
        <v>Определение натрия</v>
      </c>
      <c r="C137" s="954" t="n">
        <v>50000</v>
      </c>
      <c r="D137" s="954" t="n">
        <v>40000</v>
      </c>
      <c r="E137" s="954" t="n">
        <v>30000</v>
      </c>
      <c r="F137" s="955" t="n">
        <f aca="false">C137+D137+E137</f>
        <v>120000</v>
      </c>
      <c r="G137" s="955" t="n">
        <f aca="false">F137/149.4</f>
        <v>803.212851405623</v>
      </c>
      <c r="H137" s="661" t="n">
        <f aca="false">G137/60</f>
        <v>13.3868808567604</v>
      </c>
      <c r="I137" s="660" t="n">
        <f aca="false">'норма времени'!D141</f>
        <v>215</v>
      </c>
      <c r="J137" s="661" t="n">
        <f aca="false">H137*I137</f>
        <v>2878.17938420348</v>
      </c>
    </row>
    <row r="138" customFormat="false" ht="15" hidden="false" customHeight="false" outlineLevel="0" collapsed="false">
      <c r="A138" s="571" t="s">
        <v>224</v>
      </c>
      <c r="B138" s="328" t="str">
        <f aca="false">'[4]норма времени'!B136</f>
        <v>Определение двуокись углерода</v>
      </c>
      <c r="C138" s="954" t="n">
        <v>35000</v>
      </c>
      <c r="D138" s="954" t="n">
        <v>30000</v>
      </c>
      <c r="E138" s="954" t="n">
        <v>25000</v>
      </c>
      <c r="F138" s="955" t="n">
        <f aca="false">C138+D138+E138</f>
        <v>90000</v>
      </c>
      <c r="G138" s="955" t="n">
        <f aca="false">F138/149.4</f>
        <v>602.409638554217</v>
      </c>
      <c r="H138" s="661" t="n">
        <f aca="false">G138/60</f>
        <v>10.0401606425703</v>
      </c>
      <c r="I138" s="660" t="n">
        <f aca="false">'норма времени'!D142</f>
        <v>140</v>
      </c>
      <c r="J138" s="661" t="n">
        <f aca="false">H138*I138</f>
        <v>1405.62248995984</v>
      </c>
    </row>
    <row r="139" customFormat="false" ht="15" hidden="false" customHeight="false" outlineLevel="0" collapsed="false">
      <c r="A139" s="350" t="s">
        <v>226</v>
      </c>
      <c r="B139" s="467" t="str">
        <f aca="false">'[4]норма времени'!B137</f>
        <v>ПОЧВА</v>
      </c>
      <c r="C139" s="1253"/>
      <c r="D139" s="1253"/>
      <c r="E139" s="1253"/>
      <c r="F139" s="1254"/>
      <c r="G139" s="1254"/>
      <c r="H139" s="1250"/>
      <c r="I139" s="1255"/>
      <c r="J139" s="1250"/>
    </row>
    <row r="140" customFormat="false" ht="15" hidden="false" customHeight="false" outlineLevel="0" collapsed="false">
      <c r="A140" s="571" t="s">
        <v>228</v>
      </c>
      <c r="B140" s="328" t="str">
        <f aca="false">'[4]норма времени'!B138</f>
        <v>Определение влажности</v>
      </c>
      <c r="C140" s="954" t="n">
        <v>30000</v>
      </c>
      <c r="D140" s="954" t="n">
        <v>25000</v>
      </c>
      <c r="E140" s="954" t="n">
        <v>20000</v>
      </c>
      <c r="F140" s="955" t="n">
        <f aca="false">C140+D140+E140</f>
        <v>75000</v>
      </c>
      <c r="G140" s="955" t="n">
        <f aca="false">F140/149.4</f>
        <v>502.008032128514</v>
      </c>
      <c r="H140" s="661" t="n">
        <f aca="false">G140/60</f>
        <v>8.36680053547523</v>
      </c>
      <c r="I140" s="660" t="n">
        <f aca="false">'норма времени'!D144</f>
        <v>155</v>
      </c>
      <c r="J140" s="661" t="n">
        <f aca="false">H140*I140</f>
        <v>1296.85408299866</v>
      </c>
    </row>
    <row r="141" customFormat="false" ht="15" hidden="false" customHeight="false" outlineLevel="0" collapsed="false">
      <c r="A141" s="571" t="s">
        <v>230</v>
      </c>
      <c r="B141" s="328" t="str">
        <f aca="false">'[4]норма времени'!B139</f>
        <v>Определение водородного показателя</v>
      </c>
      <c r="C141" s="954" t="n">
        <v>30000</v>
      </c>
      <c r="D141" s="954" t="n">
        <v>25000</v>
      </c>
      <c r="E141" s="954" t="n">
        <v>20000</v>
      </c>
      <c r="F141" s="955" t="n">
        <f aca="false">C141+D141+E141</f>
        <v>75000</v>
      </c>
      <c r="G141" s="955" t="n">
        <f aca="false">F141/149.4</f>
        <v>502.008032128514</v>
      </c>
      <c r="H141" s="661" t="n">
        <f aca="false">G141/60</f>
        <v>8.36680053547523</v>
      </c>
      <c r="I141" s="660" t="n">
        <f aca="false">'норма времени'!D145</f>
        <v>25</v>
      </c>
      <c r="J141" s="661" t="n">
        <f aca="false">H141*I141</f>
        <v>209.170013386881</v>
      </c>
    </row>
    <row r="142" customFormat="false" ht="15" hidden="false" customHeight="false" outlineLevel="0" collapsed="false">
      <c r="A142" s="571" t="s">
        <v>232</v>
      </c>
      <c r="B142" s="328" t="str">
        <f aca="false">'[4]норма времени'!B140</f>
        <v>Определение плотного остатка</v>
      </c>
      <c r="C142" s="954" t="n">
        <v>60000</v>
      </c>
      <c r="D142" s="954" t="n">
        <v>50000</v>
      </c>
      <c r="E142" s="954" t="n">
        <v>40000</v>
      </c>
      <c r="F142" s="955" t="n">
        <f aca="false">C142+D142+E142</f>
        <v>150000</v>
      </c>
      <c r="G142" s="955" t="n">
        <f aca="false">F142/149.4</f>
        <v>1004.01606425703</v>
      </c>
      <c r="H142" s="661" t="n">
        <f aca="false">G142/60</f>
        <v>16.7336010709505</v>
      </c>
      <c r="I142" s="660" t="n">
        <f aca="false">'норма времени'!D146</f>
        <v>100</v>
      </c>
      <c r="J142" s="661" t="n">
        <f aca="false">H142*I142</f>
        <v>1673.36010709505</v>
      </c>
    </row>
    <row r="143" customFormat="false" ht="15" hidden="false" customHeight="false" outlineLevel="0" collapsed="false">
      <c r="A143" s="571" t="s">
        <v>234</v>
      </c>
      <c r="B143" s="328" t="str">
        <f aca="false">'[4]норма времени'!B141</f>
        <v>Определение нитратов</v>
      </c>
      <c r="C143" s="954" t="n">
        <v>30000</v>
      </c>
      <c r="D143" s="954" t="n">
        <v>25000</v>
      </c>
      <c r="E143" s="954" t="n">
        <v>20000</v>
      </c>
      <c r="F143" s="955" t="n">
        <f aca="false">C143+D143+E143</f>
        <v>75000</v>
      </c>
      <c r="G143" s="955" t="n">
        <f aca="false">F143/149.4</f>
        <v>502.008032128514</v>
      </c>
      <c r="H143" s="661" t="n">
        <f aca="false">G143/60</f>
        <v>8.36680053547523</v>
      </c>
      <c r="I143" s="660" t="n">
        <f aca="false">'норма времени'!D147</f>
        <v>70</v>
      </c>
      <c r="J143" s="661" t="n">
        <f aca="false">H143*I143</f>
        <v>585.676037483266</v>
      </c>
    </row>
    <row r="144" customFormat="false" ht="15" hidden="false" customHeight="false" outlineLevel="0" collapsed="false">
      <c r="A144" s="571" t="s">
        <v>235</v>
      </c>
      <c r="B144" s="328" t="str">
        <f aca="false">'[4]норма времени'!B142</f>
        <v>Определение органического вещества</v>
      </c>
      <c r="C144" s="954" t="n">
        <v>60000</v>
      </c>
      <c r="D144" s="954" t="n">
        <v>50000</v>
      </c>
      <c r="E144" s="954" t="n">
        <v>40000</v>
      </c>
      <c r="F144" s="955" t="n">
        <f aca="false">C144+D144+E144</f>
        <v>150000</v>
      </c>
      <c r="G144" s="955" t="n">
        <f aca="false">F144/149.4</f>
        <v>1004.01606425703</v>
      </c>
      <c r="H144" s="661" t="n">
        <f aca="false">G144/60</f>
        <v>16.7336010709505</v>
      </c>
      <c r="I144" s="660" t="n">
        <f aca="false">'норма времени'!D148</f>
        <v>40</v>
      </c>
      <c r="J144" s="661" t="n">
        <f aca="false">H144*I144</f>
        <v>669.344042838019</v>
      </c>
    </row>
    <row r="145" customFormat="false" ht="15" hidden="false" customHeight="false" outlineLevel="0" collapsed="false">
      <c r="A145" s="571" t="s">
        <v>237</v>
      </c>
      <c r="B145" s="328" t="str">
        <f aca="false">'[4]норма времени'!B143</f>
        <v>Определение обменного аммония </v>
      </c>
      <c r="C145" s="954" t="n">
        <v>60000</v>
      </c>
      <c r="D145" s="954" t="n">
        <v>50000</v>
      </c>
      <c r="E145" s="954" t="n">
        <v>40000</v>
      </c>
      <c r="F145" s="955" t="n">
        <f aca="false">C145+D145+E145</f>
        <v>150000</v>
      </c>
      <c r="G145" s="955" t="n">
        <f aca="false">F145/149.4</f>
        <v>1004.01606425703</v>
      </c>
      <c r="H145" s="661" t="n">
        <f aca="false">G145/60</f>
        <v>16.7336010709505</v>
      </c>
      <c r="I145" s="660" t="n">
        <f aca="false">'норма времени'!D149</f>
        <v>30</v>
      </c>
      <c r="J145" s="661" t="n">
        <f aca="false">H145*I145</f>
        <v>502.008032128514</v>
      </c>
    </row>
    <row r="146" customFormat="false" ht="15" hidden="false" customHeight="false" outlineLevel="0" collapsed="false">
      <c r="A146" s="571" t="s">
        <v>239</v>
      </c>
      <c r="B146" s="328" t="str">
        <f aca="false">'[4]норма времени'!B144</f>
        <v>Определение азота</v>
      </c>
      <c r="C146" s="954" t="n">
        <v>35000</v>
      </c>
      <c r="D146" s="954" t="n">
        <v>30000</v>
      </c>
      <c r="E146" s="954" t="n">
        <v>20000</v>
      </c>
      <c r="F146" s="955" t="n">
        <f aca="false">C146+D146+E146</f>
        <v>85000</v>
      </c>
      <c r="G146" s="955" t="n">
        <f aca="false">F146/149.4</f>
        <v>568.942436412316</v>
      </c>
      <c r="H146" s="661" t="n">
        <f aca="false">G146/60</f>
        <v>9.48237394020527</v>
      </c>
      <c r="I146" s="660" t="n">
        <f aca="false">'норма времени'!D150</f>
        <v>80</v>
      </c>
      <c r="J146" s="661" t="n">
        <f aca="false">H146*I146</f>
        <v>758.589915216421</v>
      </c>
    </row>
    <row r="147" customFormat="false" ht="15" hidden="false" customHeight="false" outlineLevel="0" collapsed="false">
      <c r="A147" s="571" t="s">
        <v>241</v>
      </c>
      <c r="B147" s="328" t="s">
        <v>2969</v>
      </c>
      <c r="C147" s="954" t="n">
        <v>35000</v>
      </c>
      <c r="D147" s="954" t="n">
        <v>30000</v>
      </c>
      <c r="E147" s="954" t="n">
        <v>25000</v>
      </c>
      <c r="F147" s="955" t="n">
        <f aca="false">C147+D147+E147</f>
        <v>90000</v>
      </c>
      <c r="G147" s="955" t="n">
        <f aca="false">F147/149.4</f>
        <v>602.409638554217</v>
      </c>
      <c r="H147" s="661" t="n">
        <f aca="false">G147/60</f>
        <v>10.0401606425703</v>
      </c>
      <c r="I147" s="660" t="n">
        <f aca="false">'норма времени'!D151</f>
        <v>140</v>
      </c>
      <c r="J147" s="661" t="n">
        <f aca="false">H147*I147</f>
        <v>1405.62248995984</v>
      </c>
    </row>
    <row r="148" customFormat="false" ht="15" hidden="false" customHeight="false" outlineLevel="0" collapsed="false">
      <c r="A148" s="571" t="s">
        <v>243</v>
      </c>
      <c r="B148" s="328" t="str">
        <f aca="false">'[4]норма времени'!B146</f>
        <v>Определение кальций и магний</v>
      </c>
      <c r="C148" s="954" t="n">
        <v>30000</v>
      </c>
      <c r="D148" s="954" t="n">
        <v>20000</v>
      </c>
      <c r="E148" s="954" t="n">
        <v>15000</v>
      </c>
      <c r="F148" s="955" t="n">
        <f aca="false">C148+D148+E148</f>
        <v>65000</v>
      </c>
      <c r="G148" s="955" t="n">
        <f aca="false">F148/149.4</f>
        <v>435.073627844712</v>
      </c>
      <c r="H148" s="661" t="n">
        <f aca="false">G148/60</f>
        <v>7.2512271307452</v>
      </c>
      <c r="I148" s="660" t="n">
        <f aca="false">'норма времени'!D152</f>
        <v>140</v>
      </c>
      <c r="J148" s="661" t="n">
        <f aca="false">H148*I148</f>
        <v>1015.17179830433</v>
      </c>
    </row>
    <row r="149" customFormat="false" ht="15" hidden="false" customHeight="false" outlineLevel="0" collapsed="false">
      <c r="A149" s="571" t="s">
        <v>245</v>
      </c>
      <c r="B149" s="328" t="str">
        <f aca="false">'[4]норма времени'!B147</f>
        <v>Определение хлорида</v>
      </c>
      <c r="C149" s="954" t="n">
        <v>30000</v>
      </c>
      <c r="D149" s="954" t="n">
        <v>20000</v>
      </c>
      <c r="E149" s="954" t="n">
        <v>15000</v>
      </c>
      <c r="F149" s="955" t="n">
        <f aca="false">C149+D149+E149</f>
        <v>65000</v>
      </c>
      <c r="G149" s="955" t="n">
        <f aca="false">F149/149.4</f>
        <v>435.073627844712</v>
      </c>
      <c r="H149" s="661" t="n">
        <f aca="false">G149/60</f>
        <v>7.2512271307452</v>
      </c>
      <c r="I149" s="660" t="n">
        <f aca="false">'норма времени'!D153</f>
        <v>55</v>
      </c>
      <c r="J149" s="661" t="n">
        <f aca="false">H149*I149</f>
        <v>398.817492190986</v>
      </c>
    </row>
    <row r="150" customFormat="false" ht="15" hidden="false" customHeight="false" outlineLevel="0" collapsed="false">
      <c r="A150" s="571" t="s">
        <v>247</v>
      </c>
      <c r="B150" s="328" t="str">
        <f aca="false">'[4]норма времени'!B148</f>
        <v>Определение сульфата</v>
      </c>
      <c r="C150" s="954" t="n">
        <v>30000</v>
      </c>
      <c r="D150" s="954" t="n">
        <v>20000</v>
      </c>
      <c r="E150" s="954" t="n">
        <v>15000</v>
      </c>
      <c r="F150" s="955" t="n">
        <f aca="false">C150+D150+E150</f>
        <v>65000</v>
      </c>
      <c r="G150" s="955" t="n">
        <f aca="false">F150/149.4</f>
        <v>435.073627844712</v>
      </c>
      <c r="H150" s="661" t="n">
        <f aca="false">G150/60</f>
        <v>7.2512271307452</v>
      </c>
      <c r="I150" s="660" t="n">
        <f aca="false">'норма времени'!D154</f>
        <v>40</v>
      </c>
      <c r="J150" s="661" t="n">
        <f aca="false">H150*I150</f>
        <v>290.049085229808</v>
      </c>
    </row>
    <row r="151" customFormat="false" ht="15" hidden="false" customHeight="false" outlineLevel="0" collapsed="false">
      <c r="A151" s="571" t="s">
        <v>248</v>
      </c>
      <c r="B151" s="328" t="s">
        <v>2972</v>
      </c>
      <c r="C151" s="954" t="n">
        <v>30000</v>
      </c>
      <c r="D151" s="954" t="n">
        <v>20000</v>
      </c>
      <c r="E151" s="954" t="n">
        <v>15000</v>
      </c>
      <c r="F151" s="955" t="n">
        <f aca="false">C151+D151+E151</f>
        <v>65000</v>
      </c>
      <c r="G151" s="955" t="n">
        <f aca="false">F151/149.4</f>
        <v>435.073627844712</v>
      </c>
      <c r="H151" s="661" t="n">
        <f aca="false">G151/60</f>
        <v>7.2512271307452</v>
      </c>
      <c r="I151" s="660" t="n">
        <f aca="false">'норма времени'!D155</f>
        <v>50</v>
      </c>
      <c r="J151" s="661" t="n">
        <f aca="false">H151*I151</f>
        <v>362.56135653726</v>
      </c>
    </row>
    <row r="152" customFormat="false" ht="15" hidden="false" customHeight="false" outlineLevel="0" collapsed="false">
      <c r="A152" s="571" t="s">
        <v>250</v>
      </c>
      <c r="B152" s="328" t="s">
        <v>2959</v>
      </c>
      <c r="C152" s="954" t="n">
        <v>50000</v>
      </c>
      <c r="D152" s="954" t="n">
        <v>40000</v>
      </c>
      <c r="E152" s="954" t="n">
        <v>30000</v>
      </c>
      <c r="F152" s="955" t="n">
        <f aca="false">C152+D152+E152</f>
        <v>120000</v>
      </c>
      <c r="G152" s="955" t="n">
        <f aca="false">F152/149.4</f>
        <v>803.212851405623</v>
      </c>
      <c r="H152" s="661" t="n">
        <f aca="false">G152/60</f>
        <v>13.3868808567604</v>
      </c>
      <c r="I152" s="660" t="n">
        <f aca="false">'норма времени'!D156</f>
        <v>55</v>
      </c>
      <c r="J152" s="661" t="n">
        <f aca="false">H152*I152</f>
        <v>736.278447121821</v>
      </c>
    </row>
    <row r="153" customFormat="false" ht="30" hidden="false" customHeight="false" outlineLevel="0" collapsed="false">
      <c r="A153" s="571" t="s">
        <v>251</v>
      </c>
      <c r="B153" s="328" t="str">
        <f aca="false">'[4]норма времени'!B151</f>
        <v>Определение марганца, никеля, кобальта, железа, селена, ртути, мышьяка</v>
      </c>
      <c r="C153" s="954" t="n">
        <v>110000</v>
      </c>
      <c r="D153" s="954" t="n">
        <v>105000</v>
      </c>
      <c r="E153" s="954" t="n">
        <v>100000</v>
      </c>
      <c r="F153" s="955" t="n">
        <f aca="false">C153+D153+E153</f>
        <v>315000</v>
      </c>
      <c r="G153" s="955" t="n">
        <f aca="false">F153/149.4</f>
        <v>2108.43373493976</v>
      </c>
      <c r="H153" s="661" t="n">
        <f aca="false">G153/60</f>
        <v>35.140562248996</v>
      </c>
      <c r="I153" s="660" t="n">
        <f aca="false">'норма времени'!D157</f>
        <v>210</v>
      </c>
      <c r="J153" s="661" t="n">
        <f aca="false">H153*I153</f>
        <v>7379.51807228916</v>
      </c>
    </row>
    <row r="154" customFormat="false" ht="30" hidden="false" customHeight="false" outlineLevel="0" collapsed="false">
      <c r="A154" s="571" t="s">
        <v>253</v>
      </c>
      <c r="B154" s="328" t="str">
        <f aca="false">'[4]норма времени'!B152</f>
        <v>Определение свинца, кадмия, цинка и меди (вольтамперометрический)</v>
      </c>
      <c r="C154" s="954" t="n">
        <v>110000</v>
      </c>
      <c r="D154" s="954" t="n">
        <v>105000</v>
      </c>
      <c r="E154" s="954" t="n">
        <v>100000</v>
      </c>
      <c r="F154" s="955" t="n">
        <f aca="false">C154+D154+E154</f>
        <v>315000</v>
      </c>
      <c r="G154" s="955" t="n">
        <f aca="false">F154/149.4</f>
        <v>2108.43373493976</v>
      </c>
      <c r="H154" s="661" t="n">
        <f aca="false">G154/60</f>
        <v>35.140562248996</v>
      </c>
      <c r="I154" s="660" t="n">
        <f aca="false">'норма времени'!D158</f>
        <v>210</v>
      </c>
      <c r="J154" s="661" t="n">
        <f aca="false">H154*I154</f>
        <v>7379.51807228916</v>
      </c>
    </row>
    <row r="155" customFormat="false" ht="30" hidden="false" customHeight="false" outlineLevel="0" collapsed="false">
      <c r="A155" s="571" t="s">
        <v>255</v>
      </c>
      <c r="B155" s="328" t="str">
        <f aca="false">'[4]норма времени'!B153</f>
        <v>Определение свинца, кадмия, цинка и меди                                 (атомно-абсорбционный)</v>
      </c>
      <c r="C155" s="954" t="n">
        <v>110000</v>
      </c>
      <c r="D155" s="954" t="n">
        <v>105000</v>
      </c>
      <c r="E155" s="954" t="n">
        <v>100000</v>
      </c>
      <c r="F155" s="955" t="n">
        <f aca="false">C155+D155+E155</f>
        <v>315000</v>
      </c>
      <c r="G155" s="955" t="n">
        <f aca="false">F155/149.4</f>
        <v>2108.43373493976</v>
      </c>
      <c r="H155" s="661" t="n">
        <f aca="false">G155/60</f>
        <v>35.140562248996</v>
      </c>
      <c r="I155" s="660" t="n">
        <f aca="false">'норма времени'!D159</f>
        <v>210</v>
      </c>
      <c r="J155" s="661" t="n">
        <f aca="false">H155*I155</f>
        <v>7379.51807228916</v>
      </c>
    </row>
    <row r="156" customFormat="false" ht="60" hidden="false" customHeight="false" outlineLevel="0" collapsed="false">
      <c r="A156" s="571" t="s">
        <v>257</v>
      </c>
      <c r="B156" s="328" t="str">
        <f aca="false">'[4]норма времени'!B154</f>
        <v>приготовление вытяжки для определения валового содержания цинка, кадмия, свинца, меди, марганца, никеля, кобальта, железа, мышьяка, селена, ртути в почве</v>
      </c>
      <c r="C156" s="954" t="n">
        <v>55000</v>
      </c>
      <c r="D156" s="954" t="n">
        <v>45000</v>
      </c>
      <c r="E156" s="954" t="n">
        <v>33050</v>
      </c>
      <c r="F156" s="955" t="n">
        <f aca="false">C156+D156+E156</f>
        <v>133050</v>
      </c>
      <c r="G156" s="955" t="n">
        <f aca="false">F156/149.4</f>
        <v>890.562248995984</v>
      </c>
      <c r="H156" s="661" t="n">
        <f aca="false">G156/60</f>
        <v>14.8427041499331</v>
      </c>
      <c r="I156" s="660" t="n">
        <f aca="false">'норма времени'!D160</f>
        <v>50</v>
      </c>
      <c r="J156" s="661" t="n">
        <f aca="false">H156*I156</f>
        <v>742.135207496653</v>
      </c>
    </row>
    <row r="157" customFormat="false" ht="15" hidden="false" customHeight="false" outlineLevel="0" collapsed="false">
      <c r="A157" s="571" t="s">
        <v>259</v>
      </c>
      <c r="B157" s="328" t="str">
        <f aca="false">'[4]норма времени'!B155</f>
        <v>приготовления солевой вытяжки из почв</v>
      </c>
      <c r="C157" s="954" t="n">
        <v>45000</v>
      </c>
      <c r="D157" s="954" t="n">
        <v>35000</v>
      </c>
      <c r="E157" s="954" t="n">
        <v>25000</v>
      </c>
      <c r="F157" s="955" t="n">
        <f aca="false">C157+D157+E157</f>
        <v>105000</v>
      </c>
      <c r="G157" s="955" t="n">
        <f aca="false">F157/149.4</f>
        <v>702.81124497992</v>
      </c>
      <c r="H157" s="661" t="n">
        <f aca="false">G157/60</f>
        <v>11.7135207496653</v>
      </c>
      <c r="I157" s="660" t="n">
        <f aca="false">'норма времени'!D161</f>
        <v>50</v>
      </c>
      <c r="J157" s="661" t="n">
        <f aca="false">H157*I157</f>
        <v>585.676037483266</v>
      </c>
    </row>
    <row r="158" customFormat="false" ht="15" hidden="false" customHeight="false" outlineLevel="0" collapsed="false">
      <c r="A158" s="571" t="s">
        <v>261</v>
      </c>
      <c r="B158" s="328" t="str">
        <f aca="false">'[4]норма времени'!B156</f>
        <v>отбор проб почвы (выезд)</v>
      </c>
      <c r="C158" s="954" t="n">
        <v>60000</v>
      </c>
      <c r="D158" s="954" t="n">
        <v>50000</v>
      </c>
      <c r="E158" s="954" t="n">
        <v>45000</v>
      </c>
      <c r="F158" s="955" t="n">
        <f aca="false">C158+D158+E158</f>
        <v>155000</v>
      </c>
      <c r="G158" s="955" t="n">
        <f aca="false">F158/149.4</f>
        <v>1037.48326639893</v>
      </c>
      <c r="H158" s="661" t="n">
        <f aca="false">G158/60</f>
        <v>17.2913877733155</v>
      </c>
      <c r="I158" s="660" t="n">
        <f aca="false">'норма времени'!D162</f>
        <v>25</v>
      </c>
      <c r="J158" s="661" t="n">
        <f aca="false">H158*I158</f>
        <v>432.284694332887</v>
      </c>
    </row>
    <row r="159" customFormat="false" ht="114" hidden="false" customHeight="false" outlineLevel="0" collapsed="false">
      <c r="A159" s="350" t="s">
        <v>263</v>
      </c>
      <c r="B159" s="1256" t="s">
        <v>2979</v>
      </c>
      <c r="C159" s="1253"/>
      <c r="D159" s="1253"/>
      <c r="E159" s="1253"/>
      <c r="F159" s="1254"/>
      <c r="G159" s="1254"/>
      <c r="H159" s="1250"/>
      <c r="I159" s="1246"/>
      <c r="J159" s="1250"/>
    </row>
    <row r="160" customFormat="false" ht="15" hidden="false" customHeight="false" outlineLevel="0" collapsed="false">
      <c r="A160" s="479" t="s">
        <v>265</v>
      </c>
      <c r="B160" s="480" t="s">
        <v>2980</v>
      </c>
      <c r="C160" s="954" t="n">
        <v>85000</v>
      </c>
      <c r="D160" s="954" t="n">
        <v>80000</v>
      </c>
      <c r="E160" s="954" t="n">
        <v>60000</v>
      </c>
      <c r="F160" s="955" t="n">
        <f aca="false">C160+D160+E160</f>
        <v>225000</v>
      </c>
      <c r="G160" s="955" t="n">
        <f aca="false">F160/149.4</f>
        <v>1506.02409638554</v>
      </c>
      <c r="H160" s="661" t="n">
        <f aca="false">G160/60</f>
        <v>25.1004016064257</v>
      </c>
      <c r="I160" s="660" t="n">
        <f aca="false">'норма времени'!D164</f>
        <v>20</v>
      </c>
      <c r="J160" s="661" t="n">
        <f aca="false">H160*I160</f>
        <v>502.008032128514</v>
      </c>
    </row>
    <row r="161" customFormat="false" ht="15" hidden="false" customHeight="false" outlineLevel="0" collapsed="false">
      <c r="A161" s="479" t="s">
        <v>267</v>
      </c>
      <c r="B161" s="480" t="s">
        <v>2981</v>
      </c>
      <c r="C161" s="954" t="n">
        <v>85000</v>
      </c>
      <c r="D161" s="954" t="n">
        <v>80000</v>
      </c>
      <c r="E161" s="954" t="n">
        <v>60000</v>
      </c>
      <c r="F161" s="955" t="n">
        <f aca="false">C161+D161+E161</f>
        <v>225000</v>
      </c>
      <c r="G161" s="955" t="n">
        <f aca="false">F161/149.4</f>
        <v>1506.02409638554</v>
      </c>
      <c r="H161" s="661" t="n">
        <f aca="false">G161/60</f>
        <v>25.1004016064257</v>
      </c>
      <c r="I161" s="660" t="n">
        <f aca="false">'норма времени'!D165</f>
        <v>20</v>
      </c>
      <c r="J161" s="661" t="n">
        <f aca="false">H161*I161</f>
        <v>502.008032128514</v>
      </c>
    </row>
    <row r="162" customFormat="false" ht="15" hidden="false" customHeight="false" outlineLevel="0" collapsed="false">
      <c r="A162" s="479" t="s">
        <v>268</v>
      </c>
      <c r="B162" s="480" t="s">
        <v>2881</v>
      </c>
      <c r="C162" s="954" t="n">
        <v>85000</v>
      </c>
      <c r="D162" s="954" t="n">
        <v>80000</v>
      </c>
      <c r="E162" s="954" t="n">
        <v>60000</v>
      </c>
      <c r="F162" s="955" t="n">
        <f aca="false">C162+D162+E162</f>
        <v>225000</v>
      </c>
      <c r="G162" s="955" t="n">
        <f aca="false">F162/149.4</f>
        <v>1506.02409638554</v>
      </c>
      <c r="H162" s="661" t="n">
        <f aca="false">G162/60</f>
        <v>25.1004016064257</v>
      </c>
      <c r="I162" s="660" t="n">
        <f aca="false">'норма времени'!D166</f>
        <v>20</v>
      </c>
      <c r="J162" s="661" t="n">
        <f aca="false">H162*I162</f>
        <v>502.008032128514</v>
      </c>
    </row>
    <row r="163" customFormat="false" ht="30" hidden="false" customHeight="false" outlineLevel="0" collapsed="false">
      <c r="A163" s="479" t="s">
        <v>269</v>
      </c>
      <c r="B163" s="481" t="s">
        <v>2982</v>
      </c>
      <c r="C163" s="954" t="n">
        <v>55000</v>
      </c>
      <c r="D163" s="954" t="n">
        <v>45000</v>
      </c>
      <c r="E163" s="954" t="n">
        <v>35000</v>
      </c>
      <c r="F163" s="955" t="n">
        <f aca="false">C163+D163+E163</f>
        <v>135000</v>
      </c>
      <c r="G163" s="955" t="n">
        <f aca="false">F163/149.4</f>
        <v>903.614457831325</v>
      </c>
      <c r="H163" s="661" t="n">
        <f aca="false">G163/60</f>
        <v>15.0602409638554</v>
      </c>
      <c r="I163" s="660" t="n">
        <f aca="false">'норма времени'!D167</f>
        <v>55</v>
      </c>
      <c r="J163" s="661" t="n">
        <f aca="false">H163*I163</f>
        <v>828.313253012048</v>
      </c>
    </row>
    <row r="164" customFormat="false" ht="15" hidden="false" customHeight="false" outlineLevel="0" collapsed="false">
      <c r="A164" s="479" t="s">
        <v>271</v>
      </c>
      <c r="B164" s="480" t="s">
        <v>2983</v>
      </c>
      <c r="C164" s="954" t="n">
        <v>70000</v>
      </c>
      <c r="D164" s="954" t="n">
        <v>60000</v>
      </c>
      <c r="E164" s="954" t="n">
        <v>50000</v>
      </c>
      <c r="F164" s="955" t="n">
        <f aca="false">C164+D164+E164</f>
        <v>180000</v>
      </c>
      <c r="G164" s="955" t="n">
        <f aca="false">F164/149.4</f>
        <v>1204.81927710843</v>
      </c>
      <c r="H164" s="661" t="n">
        <f aca="false">G164/60</f>
        <v>20.0803212851406</v>
      </c>
      <c r="I164" s="660" t="n">
        <f aca="false">'норма времени'!D168</f>
        <v>20</v>
      </c>
      <c r="J164" s="661" t="n">
        <f aca="false">H164*I164</f>
        <v>401.606425702811</v>
      </c>
    </row>
    <row r="165" customFormat="false" ht="15" hidden="false" customHeight="false" outlineLevel="0" collapsed="false">
      <c r="A165" s="479" t="s">
        <v>273</v>
      </c>
      <c r="B165" s="480" t="s">
        <v>2984</v>
      </c>
      <c r="C165" s="954" t="n">
        <v>90000</v>
      </c>
      <c r="D165" s="954" t="n">
        <v>85000</v>
      </c>
      <c r="E165" s="954" t="n">
        <v>70000</v>
      </c>
      <c r="F165" s="955" t="n">
        <f aca="false">C165+D165+E165</f>
        <v>245000</v>
      </c>
      <c r="G165" s="955" t="n">
        <f aca="false">F165/149.4</f>
        <v>1639.89290495315</v>
      </c>
      <c r="H165" s="661" t="n">
        <f aca="false">G165/60</f>
        <v>27.3315484158858</v>
      </c>
      <c r="I165" s="660" t="n">
        <f aca="false">'норма времени'!D169</f>
        <v>30</v>
      </c>
      <c r="J165" s="661" t="n">
        <f aca="false">H165*I165</f>
        <v>819.946452476573</v>
      </c>
    </row>
    <row r="166" s="451" customFormat="true" ht="15" hidden="false" customHeight="false" outlineLevel="0" collapsed="false">
      <c r="A166" s="479" t="s">
        <v>275</v>
      </c>
      <c r="B166" s="480" t="s">
        <v>2985</v>
      </c>
      <c r="C166" s="954" t="n">
        <v>55000</v>
      </c>
      <c r="D166" s="954" t="n">
        <v>45000</v>
      </c>
      <c r="E166" s="954" t="n">
        <v>35000</v>
      </c>
      <c r="F166" s="955" t="n">
        <f aca="false">C166+D166+E166</f>
        <v>135000</v>
      </c>
      <c r="G166" s="955" t="n">
        <f aca="false">F166/149.4</f>
        <v>903.614457831325</v>
      </c>
      <c r="H166" s="661" t="n">
        <f aca="false">G166/60</f>
        <v>15.0602409638554</v>
      </c>
      <c r="I166" s="660" t="n">
        <f aca="false">'норма времени'!D170</f>
        <v>25</v>
      </c>
      <c r="J166" s="661" t="n">
        <f aca="false">H166*I166</f>
        <v>376.506024096386</v>
      </c>
      <c r="K166" s="1257"/>
      <c r="L166" s="1257"/>
      <c r="M166" s="1257"/>
      <c r="N166" s="1257"/>
      <c r="O166" s="1257"/>
      <c r="P166" s="1257"/>
      <c r="Q166" s="1257"/>
      <c r="R166" s="1257"/>
      <c r="S166" s="1257"/>
    </row>
    <row r="167" s="451" customFormat="true" ht="15" hidden="false" customHeight="false" outlineLevel="0" collapsed="false">
      <c r="A167" s="479" t="s">
        <v>277</v>
      </c>
      <c r="B167" s="480" t="s">
        <v>2986</v>
      </c>
      <c r="C167" s="954" t="n">
        <v>70000</v>
      </c>
      <c r="D167" s="954" t="n">
        <v>60000</v>
      </c>
      <c r="E167" s="954" t="n">
        <v>50000</v>
      </c>
      <c r="F167" s="955" t="n">
        <f aca="false">C167+D167+E167</f>
        <v>180000</v>
      </c>
      <c r="G167" s="955" t="n">
        <f aca="false">F167/149.4</f>
        <v>1204.81927710843</v>
      </c>
      <c r="H167" s="661" t="n">
        <f aca="false">G167/60</f>
        <v>20.0803212851406</v>
      </c>
      <c r="I167" s="660" t="n">
        <f aca="false">'норма времени'!D171</f>
        <v>85</v>
      </c>
      <c r="J167" s="661" t="n">
        <f aca="false">H167*I167</f>
        <v>1706.82730923695</v>
      </c>
      <c r="K167" s="1257"/>
      <c r="L167" s="1257"/>
      <c r="M167" s="1257"/>
      <c r="N167" s="1257"/>
      <c r="O167" s="1257"/>
      <c r="P167" s="1257"/>
      <c r="Q167" s="1257"/>
      <c r="R167" s="1257"/>
      <c r="S167" s="1257"/>
    </row>
    <row r="168" s="451" customFormat="true" ht="33.75" hidden="false" customHeight="true" outlineLevel="0" collapsed="false">
      <c r="A168" s="479" t="s">
        <v>279</v>
      </c>
      <c r="B168" s="480" t="s">
        <v>2987</v>
      </c>
      <c r="C168" s="954" t="n">
        <v>70000</v>
      </c>
      <c r="D168" s="954" t="n">
        <v>60000</v>
      </c>
      <c r="E168" s="954" t="n">
        <v>50000</v>
      </c>
      <c r="F168" s="955" t="n">
        <f aca="false">C168+D168+E168</f>
        <v>180000</v>
      </c>
      <c r="G168" s="955" t="n">
        <f aca="false">F168/149.4</f>
        <v>1204.81927710843</v>
      </c>
      <c r="H168" s="661" t="n">
        <f aca="false">G168/60</f>
        <v>20.0803212851406</v>
      </c>
      <c r="I168" s="660" t="n">
        <f aca="false">'норма времени'!D172</f>
        <v>120</v>
      </c>
      <c r="J168" s="661" t="n">
        <f aca="false">H168*I168</f>
        <v>2409.63855421687</v>
      </c>
      <c r="K168" s="1257"/>
      <c r="L168" s="1257"/>
      <c r="M168" s="1257"/>
      <c r="N168" s="1257"/>
      <c r="O168" s="1257"/>
      <c r="P168" s="1257"/>
      <c r="Q168" s="1257"/>
      <c r="R168" s="1257"/>
      <c r="S168" s="1257"/>
    </row>
    <row r="169" customFormat="false" ht="45" hidden="false" customHeight="false" outlineLevel="0" collapsed="false">
      <c r="A169" s="479" t="s">
        <v>281</v>
      </c>
      <c r="B169" s="480" t="s">
        <v>2988</v>
      </c>
      <c r="C169" s="954" t="n">
        <v>70000</v>
      </c>
      <c r="D169" s="954" t="n">
        <v>60000</v>
      </c>
      <c r="E169" s="954" t="n">
        <v>50000</v>
      </c>
      <c r="F169" s="955" t="n">
        <f aca="false">C169+D169+E169</f>
        <v>180000</v>
      </c>
      <c r="G169" s="955" t="n">
        <f aca="false">F169/149.4</f>
        <v>1204.81927710843</v>
      </c>
      <c r="H169" s="661" t="n">
        <f aca="false">G169/60</f>
        <v>20.0803212851406</v>
      </c>
      <c r="I169" s="660" t="n">
        <f aca="false">'норма времени'!D173</f>
        <v>120</v>
      </c>
      <c r="J169" s="661" t="n">
        <f aca="false">H169*I169</f>
        <v>2409.63855421687</v>
      </c>
    </row>
    <row r="170" customFormat="false" ht="45" hidden="false" customHeight="false" outlineLevel="0" collapsed="false">
      <c r="A170" s="479" t="s">
        <v>283</v>
      </c>
      <c r="B170" s="480" t="s">
        <v>4097</v>
      </c>
      <c r="C170" s="954" t="n">
        <v>70000</v>
      </c>
      <c r="D170" s="954" t="n">
        <v>60000</v>
      </c>
      <c r="E170" s="954" t="n">
        <v>50000</v>
      </c>
      <c r="F170" s="955" t="n">
        <f aca="false">C170+D170+E170</f>
        <v>180000</v>
      </c>
      <c r="G170" s="955" t="n">
        <f aca="false">F170/149.4</f>
        <v>1204.81927710843</v>
      </c>
      <c r="H170" s="661" t="n">
        <f aca="false">G170/60</f>
        <v>20.0803212851406</v>
      </c>
      <c r="I170" s="660" t="n">
        <f aca="false">'норма времени'!D174</f>
        <v>120</v>
      </c>
      <c r="J170" s="661" t="n">
        <f aca="false">H170*I170</f>
        <v>2409.63855421687</v>
      </c>
    </row>
    <row r="171" customFormat="false" ht="15" hidden="false" customHeight="false" outlineLevel="0" collapsed="false">
      <c r="A171" s="479" t="s">
        <v>285</v>
      </c>
      <c r="B171" s="480" t="s">
        <v>2990</v>
      </c>
      <c r="C171" s="954" t="n">
        <v>65000</v>
      </c>
      <c r="D171" s="954" t="n">
        <v>55000</v>
      </c>
      <c r="E171" s="954" t="n">
        <v>40000</v>
      </c>
      <c r="F171" s="955" t="n">
        <f aca="false">C171+D171+E171</f>
        <v>160000</v>
      </c>
      <c r="G171" s="955" t="n">
        <f aca="false">F171/149.4</f>
        <v>1070.95046854083</v>
      </c>
      <c r="H171" s="661" t="n">
        <f aca="false">G171/60</f>
        <v>17.8491744756805</v>
      </c>
      <c r="I171" s="660" t="n">
        <f aca="false">'норма времени'!D175</f>
        <v>95</v>
      </c>
      <c r="J171" s="661" t="n">
        <f aca="false">H171*I171</f>
        <v>1695.67157518965</v>
      </c>
    </row>
    <row r="172" customFormat="false" ht="15" hidden="false" customHeight="false" outlineLevel="0" collapsed="false">
      <c r="A172" s="479" t="s">
        <v>287</v>
      </c>
      <c r="B172" s="480" t="s">
        <v>2991</v>
      </c>
      <c r="C172" s="954" t="n">
        <v>65000</v>
      </c>
      <c r="D172" s="954" t="n">
        <v>55000</v>
      </c>
      <c r="E172" s="954" t="n">
        <v>40000</v>
      </c>
      <c r="F172" s="955" t="n">
        <f aca="false">C172+D172+E172</f>
        <v>160000</v>
      </c>
      <c r="G172" s="955" t="n">
        <f aca="false">F172/149.4</f>
        <v>1070.95046854083</v>
      </c>
      <c r="H172" s="661" t="n">
        <f aca="false">G172/60</f>
        <v>17.8491744756805</v>
      </c>
      <c r="I172" s="660" t="n">
        <f aca="false">'норма времени'!D176</f>
        <v>95</v>
      </c>
      <c r="J172" s="661" t="n">
        <f aca="false">H172*I172</f>
        <v>1695.67157518965</v>
      </c>
    </row>
    <row r="173" customFormat="false" ht="15" hidden="false" customHeight="false" outlineLevel="0" collapsed="false">
      <c r="A173" s="479" t="s">
        <v>289</v>
      </c>
      <c r="B173" s="480" t="s">
        <v>2992</v>
      </c>
      <c r="C173" s="954" t="n">
        <v>65000</v>
      </c>
      <c r="D173" s="954" t="n">
        <v>55000</v>
      </c>
      <c r="E173" s="954" t="n">
        <v>40000</v>
      </c>
      <c r="F173" s="955" t="n">
        <f aca="false">C173+D173+E173</f>
        <v>160000</v>
      </c>
      <c r="G173" s="955" t="n">
        <f aca="false">F173/149.4</f>
        <v>1070.95046854083</v>
      </c>
      <c r="H173" s="661" t="n">
        <f aca="false">G173/60</f>
        <v>17.8491744756805</v>
      </c>
      <c r="I173" s="660" t="n">
        <f aca="false">'норма времени'!D177</f>
        <v>95</v>
      </c>
      <c r="J173" s="661" t="n">
        <f aca="false">H173*I173</f>
        <v>1695.67157518965</v>
      </c>
    </row>
    <row r="174" customFormat="false" ht="15" hidden="false" customHeight="false" outlineLevel="0" collapsed="false">
      <c r="A174" s="479" t="s">
        <v>291</v>
      </c>
      <c r="B174" s="480" t="s">
        <v>2993</v>
      </c>
      <c r="C174" s="954" t="n">
        <v>70000</v>
      </c>
      <c r="D174" s="954" t="n">
        <v>60000</v>
      </c>
      <c r="E174" s="954" t="n">
        <v>50000</v>
      </c>
      <c r="F174" s="955" t="n">
        <f aca="false">C174+D174+E174</f>
        <v>180000</v>
      </c>
      <c r="G174" s="955" t="n">
        <f aca="false">F174/149.4</f>
        <v>1204.81927710843</v>
      </c>
      <c r="H174" s="661" t="n">
        <f aca="false">G174/60</f>
        <v>20.0803212851406</v>
      </c>
      <c r="I174" s="660" t="n">
        <f aca="false">'норма времени'!D178</f>
        <v>95</v>
      </c>
      <c r="J174" s="661" t="n">
        <f aca="false">H174*I174</f>
        <v>1907.63052208835</v>
      </c>
    </row>
    <row r="175" customFormat="false" ht="15" hidden="false" customHeight="false" outlineLevel="0" collapsed="false">
      <c r="A175" s="479" t="s">
        <v>293</v>
      </c>
      <c r="B175" s="480" t="s">
        <v>2994</v>
      </c>
      <c r="C175" s="954" t="n">
        <v>80000</v>
      </c>
      <c r="D175" s="954" t="n">
        <v>70000</v>
      </c>
      <c r="E175" s="954" t="n">
        <v>50000</v>
      </c>
      <c r="F175" s="955" t="n">
        <f aca="false">C175+D175+E175</f>
        <v>200000</v>
      </c>
      <c r="G175" s="955" t="n">
        <f aca="false">F175/149.4</f>
        <v>1338.68808567604</v>
      </c>
      <c r="H175" s="661" t="n">
        <f aca="false">G175/60</f>
        <v>22.3114680946006</v>
      </c>
      <c r="I175" s="660" t="n">
        <f aca="false">'норма времени'!D179</f>
        <v>95</v>
      </c>
      <c r="J175" s="661" t="n">
        <f aca="false">H175*I175</f>
        <v>2119.58946898706</v>
      </c>
    </row>
    <row r="176" customFormat="false" ht="30" hidden="false" customHeight="false" outlineLevel="0" collapsed="false">
      <c r="A176" s="479" t="s">
        <v>295</v>
      </c>
      <c r="B176" s="480" t="s">
        <v>2995</v>
      </c>
      <c r="C176" s="954" t="n">
        <v>70000</v>
      </c>
      <c r="D176" s="954" t="n">
        <v>60000</v>
      </c>
      <c r="E176" s="954" t="n">
        <v>50000</v>
      </c>
      <c r="F176" s="955" t="n">
        <f aca="false">C176+D176+E176</f>
        <v>180000</v>
      </c>
      <c r="G176" s="955" t="n">
        <f aca="false">F176/149.4</f>
        <v>1204.81927710843</v>
      </c>
      <c r="H176" s="661" t="n">
        <f aca="false">G176/60</f>
        <v>20.0803212851406</v>
      </c>
      <c r="I176" s="660" t="n">
        <f aca="false">'норма времени'!D180</f>
        <v>95</v>
      </c>
      <c r="J176" s="661" t="n">
        <f aca="false">H176*I176</f>
        <v>1907.63052208835</v>
      </c>
    </row>
    <row r="177" customFormat="false" ht="30" hidden="false" customHeight="false" outlineLevel="0" collapsed="false">
      <c r="A177" s="479" t="s">
        <v>297</v>
      </c>
      <c r="B177" s="480" t="s">
        <v>2996</v>
      </c>
      <c r="C177" s="954" t="n">
        <v>80000</v>
      </c>
      <c r="D177" s="954" t="n">
        <v>70000</v>
      </c>
      <c r="E177" s="954" t="n">
        <v>55000</v>
      </c>
      <c r="F177" s="955" t="n">
        <f aca="false">C177+D177+E177</f>
        <v>205000</v>
      </c>
      <c r="G177" s="955" t="n">
        <f aca="false">F177/149.4</f>
        <v>1372.15528781794</v>
      </c>
      <c r="H177" s="661" t="n">
        <f aca="false">G177/60</f>
        <v>22.8692547969656</v>
      </c>
      <c r="I177" s="660" t="n">
        <f aca="false">'норма времени'!D181</f>
        <v>95</v>
      </c>
      <c r="J177" s="661" t="n">
        <f aca="false">H177*I177</f>
        <v>2172.57920571174</v>
      </c>
    </row>
    <row r="178" customFormat="false" ht="30" hidden="false" customHeight="false" outlineLevel="0" collapsed="false">
      <c r="A178" s="479" t="s">
        <v>299</v>
      </c>
      <c r="B178" s="480" t="s">
        <v>2997</v>
      </c>
      <c r="C178" s="954" t="n">
        <v>80000</v>
      </c>
      <c r="D178" s="954" t="n">
        <v>70000</v>
      </c>
      <c r="E178" s="954" t="n">
        <v>55000</v>
      </c>
      <c r="F178" s="955" t="n">
        <f aca="false">C178+D178+E178</f>
        <v>205000</v>
      </c>
      <c r="G178" s="955" t="n">
        <f aca="false">F178/149.4</f>
        <v>1372.15528781794</v>
      </c>
      <c r="H178" s="661" t="n">
        <f aca="false">G178/60</f>
        <v>22.8692547969656</v>
      </c>
      <c r="I178" s="660" t="n">
        <f aca="false">'норма времени'!D182</f>
        <v>95</v>
      </c>
      <c r="J178" s="661" t="n">
        <f aca="false">H178*I178</f>
        <v>2172.57920571174</v>
      </c>
    </row>
    <row r="179" customFormat="false" ht="30" hidden="false" customHeight="false" outlineLevel="0" collapsed="false">
      <c r="A179" s="479" t="s">
        <v>301</v>
      </c>
      <c r="B179" s="480" t="s">
        <v>2998</v>
      </c>
      <c r="C179" s="954" t="n">
        <v>80000</v>
      </c>
      <c r="D179" s="954" t="n">
        <v>70000</v>
      </c>
      <c r="E179" s="954" t="n">
        <v>40000</v>
      </c>
      <c r="F179" s="955" t="n">
        <f aca="false">C179+D179+E179</f>
        <v>190000</v>
      </c>
      <c r="G179" s="955" t="n">
        <f aca="false">F179/149.4</f>
        <v>1271.75368139224</v>
      </c>
      <c r="H179" s="661" t="n">
        <f aca="false">G179/60</f>
        <v>21.1958946898706</v>
      </c>
      <c r="I179" s="660" t="n">
        <f aca="false">'норма времени'!D183</f>
        <v>105</v>
      </c>
      <c r="J179" s="661" t="n">
        <f aca="false">H179*I179</f>
        <v>2225.56894243641</v>
      </c>
    </row>
    <row r="180" customFormat="false" ht="30" hidden="false" customHeight="false" outlineLevel="0" collapsed="false">
      <c r="A180" s="479" t="s">
        <v>303</v>
      </c>
      <c r="B180" s="480" t="s">
        <v>2999</v>
      </c>
      <c r="C180" s="954" t="n">
        <v>60000</v>
      </c>
      <c r="D180" s="954" t="n">
        <v>50000</v>
      </c>
      <c r="E180" s="954" t="n">
        <v>40000</v>
      </c>
      <c r="F180" s="955" t="n">
        <f aca="false">C180+D180+E180</f>
        <v>150000</v>
      </c>
      <c r="G180" s="955" t="n">
        <f aca="false">F180/149.4</f>
        <v>1004.01606425703</v>
      </c>
      <c r="H180" s="661" t="n">
        <f aca="false">G180/60</f>
        <v>16.7336010709505</v>
      </c>
      <c r="I180" s="660" t="n">
        <f aca="false">'норма времени'!D184</f>
        <v>105</v>
      </c>
      <c r="J180" s="661" t="n">
        <f aca="false">H180*I180</f>
        <v>1757.0281124498</v>
      </c>
    </row>
    <row r="181" customFormat="false" ht="30" hidden="false" customHeight="false" outlineLevel="0" collapsed="false">
      <c r="A181" s="479" t="s">
        <v>305</v>
      </c>
      <c r="B181" s="480" t="s">
        <v>3000</v>
      </c>
      <c r="C181" s="954" t="n">
        <v>90000</v>
      </c>
      <c r="D181" s="954" t="n">
        <v>85000</v>
      </c>
      <c r="E181" s="954" t="n">
        <v>85000</v>
      </c>
      <c r="F181" s="955" t="n">
        <f aca="false">C181+D181+E181</f>
        <v>260000</v>
      </c>
      <c r="G181" s="955" t="n">
        <f aca="false">F181/149.4</f>
        <v>1740.29451137885</v>
      </c>
      <c r="H181" s="661" t="n">
        <f aca="false">G181/60</f>
        <v>29.0049085229808</v>
      </c>
      <c r="I181" s="660" t="n">
        <f aca="false">'норма времени'!D185</f>
        <v>180</v>
      </c>
      <c r="J181" s="661" t="n">
        <f aca="false">H181*I181</f>
        <v>5220.88353413655</v>
      </c>
    </row>
    <row r="182" customFormat="false" ht="30" hidden="false" customHeight="false" outlineLevel="0" collapsed="false">
      <c r="A182" s="479" t="s">
        <v>307</v>
      </c>
      <c r="B182" s="480" t="s">
        <v>3001</v>
      </c>
      <c r="C182" s="954" t="n">
        <v>90000</v>
      </c>
      <c r="D182" s="954" t="n">
        <v>85000</v>
      </c>
      <c r="E182" s="954" t="n">
        <v>85000</v>
      </c>
      <c r="F182" s="955" t="n">
        <f aca="false">C182+D182+E182</f>
        <v>260000</v>
      </c>
      <c r="G182" s="955" t="n">
        <f aca="false">F182/149.4</f>
        <v>1740.29451137885</v>
      </c>
      <c r="H182" s="661" t="n">
        <f aca="false">G182/60</f>
        <v>29.0049085229808</v>
      </c>
      <c r="I182" s="660" t="n">
        <f aca="false">'норма времени'!D186</f>
        <v>180</v>
      </c>
      <c r="J182" s="661" t="n">
        <f aca="false">H182*I182</f>
        <v>5220.88353413655</v>
      </c>
    </row>
    <row r="183" customFormat="false" ht="30" hidden="false" customHeight="false" outlineLevel="0" collapsed="false">
      <c r="A183" s="479" t="s">
        <v>309</v>
      </c>
      <c r="B183" s="480" t="s">
        <v>3002</v>
      </c>
      <c r="C183" s="954" t="n">
        <v>90000</v>
      </c>
      <c r="D183" s="954" t="n">
        <v>85000</v>
      </c>
      <c r="E183" s="954" t="n">
        <v>85000</v>
      </c>
      <c r="F183" s="955" t="n">
        <f aca="false">C183+D183+E183</f>
        <v>260000</v>
      </c>
      <c r="G183" s="955" t="n">
        <f aca="false">F183/149.4</f>
        <v>1740.29451137885</v>
      </c>
      <c r="H183" s="661" t="n">
        <f aca="false">G183/60</f>
        <v>29.0049085229808</v>
      </c>
      <c r="I183" s="660" t="n">
        <f aca="false">'норма времени'!D187</f>
        <v>180</v>
      </c>
      <c r="J183" s="661" t="n">
        <f aca="false">H183*I183</f>
        <v>5220.88353413655</v>
      </c>
    </row>
    <row r="184" customFormat="false" ht="30" hidden="false" customHeight="false" outlineLevel="0" collapsed="false">
      <c r="A184" s="479" t="s">
        <v>311</v>
      </c>
      <c r="B184" s="480" t="s">
        <v>3003</v>
      </c>
      <c r="C184" s="954" t="n">
        <v>80000</v>
      </c>
      <c r="D184" s="954" t="n">
        <v>70000</v>
      </c>
      <c r="E184" s="954" t="n">
        <v>60000</v>
      </c>
      <c r="F184" s="955" t="n">
        <f aca="false">C184+D184+E184</f>
        <v>210000</v>
      </c>
      <c r="G184" s="955" t="n">
        <f aca="false">F184/149.4</f>
        <v>1405.62248995984</v>
      </c>
      <c r="H184" s="661" t="n">
        <f aca="false">G184/60</f>
        <v>23.4270414993307</v>
      </c>
      <c r="I184" s="660" t="n">
        <f aca="false">'норма времени'!D188</f>
        <v>180</v>
      </c>
      <c r="J184" s="661" t="n">
        <f aca="false">H184*I184</f>
        <v>4216.86746987952</v>
      </c>
    </row>
    <row r="185" customFormat="false" ht="30" hidden="false" customHeight="false" outlineLevel="0" collapsed="false">
      <c r="A185" s="479" t="s">
        <v>313</v>
      </c>
      <c r="B185" s="480" t="s">
        <v>3004</v>
      </c>
      <c r="C185" s="954" t="n">
        <v>80000</v>
      </c>
      <c r="D185" s="954" t="n">
        <v>70000</v>
      </c>
      <c r="E185" s="954" t="n">
        <v>60000</v>
      </c>
      <c r="F185" s="955" t="n">
        <f aca="false">C185+D185+E185</f>
        <v>210000</v>
      </c>
      <c r="G185" s="955" t="n">
        <f aca="false">F185/149.4</f>
        <v>1405.62248995984</v>
      </c>
      <c r="H185" s="661" t="n">
        <f aca="false">G185/60</f>
        <v>23.4270414993307</v>
      </c>
      <c r="I185" s="660" t="n">
        <f aca="false">'норма времени'!D189</f>
        <v>180</v>
      </c>
      <c r="J185" s="661" t="n">
        <f aca="false">H185*I185</f>
        <v>4216.86746987952</v>
      </c>
    </row>
    <row r="186" customFormat="false" ht="45" hidden="false" customHeight="false" outlineLevel="0" collapsed="false">
      <c r="A186" s="479" t="s">
        <v>315</v>
      </c>
      <c r="B186" s="480" t="s">
        <v>3005</v>
      </c>
      <c r="C186" s="954" t="n">
        <v>90000</v>
      </c>
      <c r="D186" s="954" t="n">
        <v>85000</v>
      </c>
      <c r="E186" s="954" t="n">
        <v>60000</v>
      </c>
      <c r="F186" s="955" t="n">
        <f aca="false">C186+D186+E186</f>
        <v>235000</v>
      </c>
      <c r="G186" s="955" t="n">
        <f aca="false">F186/149.4</f>
        <v>1572.95850066934</v>
      </c>
      <c r="H186" s="661" t="n">
        <f aca="false">G186/60</f>
        <v>26.2159750111557</v>
      </c>
      <c r="I186" s="660" t="n">
        <f aca="false">'норма времени'!D190</f>
        <v>180</v>
      </c>
      <c r="J186" s="661" t="n">
        <f aca="false">H186*I186</f>
        <v>4718.87550200803</v>
      </c>
    </row>
    <row r="187" customFormat="false" ht="60" hidden="false" customHeight="false" outlineLevel="0" collapsed="false">
      <c r="A187" s="479" t="s">
        <v>317</v>
      </c>
      <c r="B187" s="480" t="s">
        <v>3006</v>
      </c>
      <c r="C187" s="954" t="n">
        <v>80000</v>
      </c>
      <c r="D187" s="954" t="n">
        <v>70000</v>
      </c>
      <c r="E187" s="954" t="n">
        <v>60000</v>
      </c>
      <c r="F187" s="955" t="n">
        <f aca="false">C187+D187+E187</f>
        <v>210000</v>
      </c>
      <c r="G187" s="955" t="n">
        <f aca="false">F187/149.4</f>
        <v>1405.62248995984</v>
      </c>
      <c r="H187" s="661" t="n">
        <f aca="false">G187/60</f>
        <v>23.4270414993307</v>
      </c>
      <c r="I187" s="660" t="n">
        <f aca="false">'норма времени'!D191</f>
        <v>180</v>
      </c>
      <c r="J187" s="661" t="n">
        <f aca="false">H187*I187</f>
        <v>4216.86746987952</v>
      </c>
    </row>
    <row r="188" customFormat="false" ht="30" hidden="false" customHeight="false" outlineLevel="0" collapsed="false">
      <c r="A188" s="479" t="s">
        <v>319</v>
      </c>
      <c r="B188" s="480" t="s">
        <v>3007</v>
      </c>
      <c r="C188" s="954" t="n">
        <v>80000</v>
      </c>
      <c r="D188" s="954" t="n">
        <v>70000</v>
      </c>
      <c r="E188" s="954" t="n">
        <v>60000</v>
      </c>
      <c r="F188" s="955" t="n">
        <f aca="false">C188+D188+E188</f>
        <v>210000</v>
      </c>
      <c r="G188" s="955" t="n">
        <f aca="false">F188/149.4</f>
        <v>1405.62248995984</v>
      </c>
      <c r="H188" s="661" t="n">
        <f aca="false">G188/60</f>
        <v>23.4270414993307</v>
      </c>
      <c r="I188" s="660" t="n">
        <f aca="false">'норма времени'!D192</f>
        <v>70</v>
      </c>
      <c r="J188" s="661" t="n">
        <f aca="false">H188*I188</f>
        <v>1639.89290495315</v>
      </c>
    </row>
    <row r="189" customFormat="false" ht="30" hidden="false" customHeight="false" outlineLevel="0" collapsed="false">
      <c r="A189" s="479" t="s">
        <v>321</v>
      </c>
      <c r="B189" s="480" t="s">
        <v>3008</v>
      </c>
      <c r="C189" s="954" t="n">
        <v>30000</v>
      </c>
      <c r="D189" s="954" t="n">
        <v>20000</v>
      </c>
      <c r="E189" s="954" t="n">
        <v>10000</v>
      </c>
      <c r="F189" s="955" t="n">
        <f aca="false">C189+D189+E189</f>
        <v>60000</v>
      </c>
      <c r="G189" s="955" t="n">
        <f aca="false">F189/149.4</f>
        <v>401.606425702811</v>
      </c>
      <c r="H189" s="661" t="n">
        <f aca="false">G189/60</f>
        <v>6.69344042838019</v>
      </c>
      <c r="I189" s="660" t="n">
        <f aca="false">'норма времени'!D193</f>
        <v>70</v>
      </c>
      <c r="J189" s="661" t="n">
        <f aca="false">H189*I189</f>
        <v>468.540829986613</v>
      </c>
    </row>
    <row r="190" customFormat="false" ht="36.75" hidden="false" customHeight="true" outlineLevel="0" collapsed="false">
      <c r="A190" s="350" t="s">
        <v>324</v>
      </c>
      <c r="B190" s="467" t="str">
        <f aca="false">'[5]норма времени'!B14</f>
        <v>Мясо и мясопродукты: птица, яйца, и продукты их переработки, консервы из мяса и мяса птицы</v>
      </c>
      <c r="C190" s="1253"/>
      <c r="D190" s="1253"/>
      <c r="E190" s="1253"/>
      <c r="F190" s="1254"/>
      <c r="G190" s="1254"/>
      <c r="H190" s="1250"/>
      <c r="I190" s="1246"/>
      <c r="J190" s="1250"/>
    </row>
    <row r="191" customFormat="false" ht="15" hidden="false" customHeight="false" outlineLevel="0" collapsed="false">
      <c r="A191" s="571" t="s">
        <v>326</v>
      </c>
      <c r="B191" s="328" t="str">
        <f aca="false">'[5]норма времени'!B15</f>
        <v> Определение органолептических показателей</v>
      </c>
      <c r="C191" s="954" t="n">
        <v>30000</v>
      </c>
      <c r="D191" s="954" t="n">
        <v>25000</v>
      </c>
      <c r="E191" s="954" t="n">
        <v>20000</v>
      </c>
      <c r="F191" s="955" t="n">
        <f aca="false">C191+D191+E191</f>
        <v>75000</v>
      </c>
      <c r="G191" s="955" t="n">
        <f aca="false">F191/149.4</f>
        <v>502.008032128514</v>
      </c>
      <c r="H191" s="661" t="n">
        <f aca="false">G191/60</f>
        <v>8.36680053547523</v>
      </c>
      <c r="I191" s="660" t="n">
        <f aca="false">'норма времени'!D195</f>
        <v>50</v>
      </c>
      <c r="J191" s="661" t="n">
        <f aca="false">H191*I191</f>
        <v>418.340026773762</v>
      </c>
    </row>
    <row r="192" customFormat="false" ht="15" hidden="false" customHeight="false" outlineLevel="0" collapsed="false">
      <c r="A192" s="571" t="s">
        <v>328</v>
      </c>
      <c r="B192" s="328" t="str">
        <f aca="false">'[5]норма времени'!B16</f>
        <v>Определение посторонних примесей</v>
      </c>
      <c r="C192" s="954" t="n">
        <v>30000</v>
      </c>
      <c r="D192" s="954" t="n">
        <v>25000</v>
      </c>
      <c r="E192" s="954" t="n">
        <v>20000</v>
      </c>
      <c r="F192" s="955" t="n">
        <f aca="false">C192+D192+E192</f>
        <v>75000</v>
      </c>
      <c r="G192" s="955" t="n">
        <f aca="false">F192/149.4</f>
        <v>502.008032128514</v>
      </c>
      <c r="H192" s="661" t="n">
        <f aca="false">G192/60</f>
        <v>8.36680053547523</v>
      </c>
      <c r="I192" s="660" t="n">
        <f aca="false">'норма времени'!D196</f>
        <v>30</v>
      </c>
      <c r="J192" s="661" t="n">
        <f aca="false">H192*I192</f>
        <v>251.004016064257</v>
      </c>
    </row>
    <row r="193" customFormat="false" ht="15" hidden="false" customHeight="false" outlineLevel="0" collapsed="false">
      <c r="A193" s="571" t="s">
        <v>330</v>
      </c>
      <c r="B193" s="328" t="str">
        <f aca="false">'[5]норма времени'!B17</f>
        <v>Определение водородного  показателя</v>
      </c>
      <c r="C193" s="954" t="n">
        <v>70000</v>
      </c>
      <c r="D193" s="954" t="n">
        <v>70000</v>
      </c>
      <c r="E193" s="954" t="n">
        <v>60000</v>
      </c>
      <c r="F193" s="955" t="n">
        <f aca="false">C193+D193+E193</f>
        <v>200000</v>
      </c>
      <c r="G193" s="955" t="n">
        <f aca="false">F193/149.4</f>
        <v>1338.68808567604</v>
      </c>
      <c r="H193" s="661" t="n">
        <f aca="false">G193/60</f>
        <v>22.3114680946006</v>
      </c>
      <c r="I193" s="660" t="n">
        <f aca="false">'норма времени'!D197</f>
        <v>60</v>
      </c>
      <c r="J193" s="661" t="n">
        <f aca="false">H193*I193</f>
        <v>1338.68808567604</v>
      </c>
    </row>
    <row r="194" customFormat="false" ht="15" hidden="false" customHeight="false" outlineLevel="0" collapsed="false">
      <c r="A194" s="571" t="s">
        <v>331</v>
      </c>
      <c r="B194" s="328" t="str">
        <f aca="false">'[5]норма времени'!B18</f>
        <v>Определение влаги арбитражным методом</v>
      </c>
      <c r="C194" s="954" t="n">
        <v>40000</v>
      </c>
      <c r="D194" s="954" t="n">
        <v>30000</v>
      </c>
      <c r="E194" s="954" t="n">
        <v>20000</v>
      </c>
      <c r="F194" s="955" t="n">
        <f aca="false">C194+D194+E194</f>
        <v>90000</v>
      </c>
      <c r="G194" s="955" t="n">
        <f aca="false">F194/149.4</f>
        <v>602.409638554217</v>
      </c>
      <c r="H194" s="661" t="n">
        <f aca="false">G194/60</f>
        <v>10.0401606425703</v>
      </c>
      <c r="I194" s="660" t="n">
        <f aca="false">'норма времени'!D198</f>
        <v>160</v>
      </c>
      <c r="J194" s="661" t="n">
        <f aca="false">H194*I194</f>
        <v>1606.42570281124</v>
      </c>
    </row>
    <row r="195" customFormat="false" ht="15" hidden="false" customHeight="false" outlineLevel="0" collapsed="false">
      <c r="A195" s="571" t="s">
        <v>333</v>
      </c>
      <c r="B195" s="328" t="str">
        <f aca="false">'[5]норма времени'!B19</f>
        <v>Определение поваренной соли</v>
      </c>
      <c r="C195" s="954" t="n">
        <v>30000</v>
      </c>
      <c r="D195" s="954" t="n">
        <v>25000</v>
      </c>
      <c r="E195" s="954" t="n">
        <v>20000</v>
      </c>
      <c r="F195" s="955" t="n">
        <f aca="false">C195+D195+E195</f>
        <v>75000</v>
      </c>
      <c r="G195" s="955" t="n">
        <f aca="false">F195/149.4</f>
        <v>502.008032128514</v>
      </c>
      <c r="H195" s="661" t="n">
        <f aca="false">G195/60</f>
        <v>8.36680053547523</v>
      </c>
      <c r="I195" s="660" t="n">
        <f aca="false">'норма времени'!D199</f>
        <v>40</v>
      </c>
      <c r="J195" s="661" t="n">
        <f aca="false">H195*I195</f>
        <v>334.672021419009</v>
      </c>
    </row>
    <row r="196" customFormat="false" ht="15" hidden="false" customHeight="false" outlineLevel="0" collapsed="false">
      <c r="A196" s="571" t="s">
        <v>335</v>
      </c>
      <c r="B196" s="328" t="str">
        <f aca="false">'[5]норма времени'!B20</f>
        <v>Определение нитрита натрия </v>
      </c>
      <c r="C196" s="954" t="n">
        <v>30000</v>
      </c>
      <c r="D196" s="954" t="n">
        <v>0</v>
      </c>
      <c r="E196" s="954" t="n">
        <v>0</v>
      </c>
      <c r="F196" s="955" t="n">
        <f aca="false">C196+D196+E196</f>
        <v>30000</v>
      </c>
      <c r="G196" s="955" t="n">
        <f aca="false">F196/149.4</f>
        <v>200.803212851406</v>
      </c>
      <c r="H196" s="661" t="n">
        <f aca="false">G196/60</f>
        <v>3.34672021419009</v>
      </c>
      <c r="I196" s="660" t="n">
        <f aca="false">'норма времени'!D200</f>
        <v>90</v>
      </c>
      <c r="J196" s="661" t="n">
        <f aca="false">H196*I196</f>
        <v>301.204819277108</v>
      </c>
    </row>
    <row r="197" customFormat="false" ht="15" hidden="false" customHeight="false" outlineLevel="0" collapsed="false">
      <c r="A197" s="571" t="s">
        <v>337</v>
      </c>
      <c r="B197" s="328" t="str">
        <f aca="false">'[5]норма времени'!B21</f>
        <v>Определение крахмала (при применении) </v>
      </c>
      <c r="C197" s="954" t="n">
        <v>50000</v>
      </c>
      <c r="D197" s="954" t="n">
        <v>0</v>
      </c>
      <c r="E197" s="954"/>
      <c r="F197" s="955" t="n">
        <f aca="false">C197+D197+E197</f>
        <v>50000</v>
      </c>
      <c r="G197" s="955" t="n">
        <f aca="false">F197/149.4</f>
        <v>334.672021419009</v>
      </c>
      <c r="H197" s="661" t="n">
        <f aca="false">G197/60</f>
        <v>5.57786702365016</v>
      </c>
      <c r="I197" s="660" t="n">
        <f aca="false">'норма времени'!D201</f>
        <v>80</v>
      </c>
      <c r="J197" s="661" t="n">
        <f aca="false">H197*I197</f>
        <v>446.229361892013</v>
      </c>
    </row>
    <row r="198" customFormat="false" ht="15" hidden="false" customHeight="false" outlineLevel="0" collapsed="false">
      <c r="A198" s="571" t="s">
        <v>339</v>
      </c>
      <c r="B198" s="328" t="str">
        <f aca="false">'[5]норма времени'!B22</f>
        <v>Определение белка в пищевых продуктах </v>
      </c>
      <c r="C198" s="954" t="n">
        <v>30000</v>
      </c>
      <c r="D198" s="954" t="n">
        <v>0</v>
      </c>
      <c r="E198" s="954" t="n">
        <v>0</v>
      </c>
      <c r="F198" s="955" t="n">
        <f aca="false">C198+D198+E198</f>
        <v>30000</v>
      </c>
      <c r="G198" s="955" t="n">
        <f aca="false">F198/149.4</f>
        <v>200.803212851406</v>
      </c>
      <c r="H198" s="661" t="n">
        <f aca="false">G198/60</f>
        <v>3.34672021419009</v>
      </c>
      <c r="I198" s="660" t="n">
        <f aca="false">'норма времени'!D202</f>
        <v>160</v>
      </c>
      <c r="J198" s="661" t="n">
        <f aca="false">H198*I198</f>
        <v>535.475234270415</v>
      </c>
    </row>
    <row r="199" customFormat="false" ht="15" hidden="false" customHeight="false" outlineLevel="0" collapsed="false">
      <c r="A199" s="571" t="s">
        <v>341</v>
      </c>
      <c r="B199" s="328" t="str">
        <f aca="false">'[5]норма времени'!B23</f>
        <v>Определение зольных веществ </v>
      </c>
      <c r="C199" s="954" t="n">
        <v>70000</v>
      </c>
      <c r="D199" s="954" t="n">
        <v>60000</v>
      </c>
      <c r="E199" s="954" t="n">
        <v>50000</v>
      </c>
      <c r="F199" s="955" t="n">
        <f aca="false">C199+D199+E199</f>
        <v>180000</v>
      </c>
      <c r="G199" s="955" t="n">
        <f aca="false">F199/149.4</f>
        <v>1204.81927710843</v>
      </c>
      <c r="H199" s="661" t="n">
        <f aca="false">G199/60</f>
        <v>20.0803212851406</v>
      </c>
      <c r="I199" s="660" t="n">
        <f aca="false">'норма времени'!D203</f>
        <v>75</v>
      </c>
      <c r="J199" s="661" t="n">
        <f aca="false">H199*I199</f>
        <v>1506.02409638554</v>
      </c>
    </row>
    <row r="200" customFormat="false" ht="15" hidden="false" customHeight="false" outlineLevel="0" collapsed="false">
      <c r="A200" s="571" t="s">
        <v>343</v>
      </c>
      <c r="B200" s="328" t="str">
        <f aca="false">'[5]норма времени'!B24</f>
        <v>Определение массовой доли жира ( по Герберу)</v>
      </c>
      <c r="C200" s="954" t="n">
        <v>50000</v>
      </c>
      <c r="D200" s="954" t="n">
        <v>40000</v>
      </c>
      <c r="E200" s="954" t="n">
        <v>30000</v>
      </c>
      <c r="F200" s="955" t="n">
        <f aca="false">C200+D200+E200</f>
        <v>120000</v>
      </c>
      <c r="G200" s="955" t="n">
        <f aca="false">F200/149.4</f>
        <v>803.212851405623</v>
      </c>
      <c r="H200" s="661" t="n">
        <f aca="false">G200/60</f>
        <v>13.3868808567604</v>
      </c>
      <c r="I200" s="660" t="n">
        <f aca="false">'норма времени'!D204</f>
        <v>145</v>
      </c>
      <c r="J200" s="661" t="n">
        <f aca="false">H200*I200</f>
        <v>1941.09772423025</v>
      </c>
    </row>
    <row r="201" customFormat="false" ht="13.5" hidden="false" customHeight="true" outlineLevel="0" collapsed="false">
      <c r="A201" s="571" t="s">
        <v>345</v>
      </c>
      <c r="B201" s="328" t="str">
        <f aca="false">'[5]норма времени'!B25</f>
        <v>Определение массовой доли жира (по Сокслету)</v>
      </c>
      <c r="C201" s="954" t="n">
        <v>70000</v>
      </c>
      <c r="D201" s="954" t="n">
        <v>0</v>
      </c>
      <c r="E201" s="954" t="n">
        <v>0</v>
      </c>
      <c r="F201" s="955" t="n">
        <f aca="false">C201+D201+E201</f>
        <v>70000</v>
      </c>
      <c r="G201" s="955" t="n">
        <f aca="false">F201/149.4</f>
        <v>468.540829986613</v>
      </c>
      <c r="H201" s="661" t="n">
        <f aca="false">G201/60</f>
        <v>7.80901383311022</v>
      </c>
      <c r="I201" s="660" t="n">
        <f aca="false">'норма времени'!D205</f>
        <v>30</v>
      </c>
      <c r="J201" s="661" t="n">
        <f aca="false">H201*I201</f>
        <v>234.270414993307</v>
      </c>
    </row>
    <row r="202" customFormat="false" ht="15" hidden="false" customHeight="false" outlineLevel="0" collapsed="false">
      <c r="A202" s="571" t="s">
        <v>347</v>
      </c>
      <c r="B202" s="328" t="str">
        <f aca="false">'[5]норма времени'!B26</f>
        <v>Определение общего фосфора ( по показаниям) </v>
      </c>
      <c r="C202" s="954" t="n">
        <v>50000</v>
      </c>
      <c r="D202" s="954" t="n">
        <v>40000</v>
      </c>
      <c r="E202" s="954" t="n">
        <v>30000</v>
      </c>
      <c r="F202" s="955" t="n">
        <f aca="false">C202+D202+E202</f>
        <v>120000</v>
      </c>
      <c r="G202" s="955" t="n">
        <f aca="false">F202/149.4</f>
        <v>803.212851405623</v>
      </c>
      <c r="H202" s="661" t="n">
        <f aca="false">G202/60</f>
        <v>13.3868808567604</v>
      </c>
      <c r="I202" s="660" t="n">
        <f aca="false">'норма времени'!D206</f>
        <v>140</v>
      </c>
      <c r="J202" s="661" t="n">
        <f aca="false">H202*I202</f>
        <v>1874.16331994645</v>
      </c>
    </row>
    <row r="203" customFormat="false" ht="30" hidden="false" customHeight="false" outlineLevel="0" collapsed="false">
      <c r="A203" s="571" t="s">
        <v>349</v>
      </c>
      <c r="B203" s="328" t="str">
        <f aca="false">'[5]норма времени'!B27</f>
        <v>Определение остаточной  активности кислой фосфатазы (по показаниям) </v>
      </c>
      <c r="C203" s="954" t="n">
        <v>40000</v>
      </c>
      <c r="D203" s="954" t="n">
        <v>30000</v>
      </c>
      <c r="E203" s="954" t="n">
        <v>20000</v>
      </c>
      <c r="F203" s="955" t="n">
        <f aca="false">C203+D203+E203</f>
        <v>90000</v>
      </c>
      <c r="G203" s="955" t="n">
        <f aca="false">F203/149.4</f>
        <v>602.409638554217</v>
      </c>
      <c r="H203" s="661" t="n">
        <f aca="false">G203/60</f>
        <v>10.0401606425703</v>
      </c>
      <c r="I203" s="660" t="n">
        <f aca="false">'норма времени'!D207</f>
        <v>75</v>
      </c>
      <c r="J203" s="661" t="n">
        <f aca="false">H203*I203</f>
        <v>753.012048192771</v>
      </c>
    </row>
    <row r="204" customFormat="false" ht="15" hidden="false" customHeight="false" outlineLevel="0" collapsed="false">
      <c r="A204" s="571" t="s">
        <v>351</v>
      </c>
      <c r="B204" s="328" t="str">
        <f aca="false">'[5]норма времени'!B28</f>
        <v>Определение кислотного числа  в мясе птицы </v>
      </c>
      <c r="C204" s="954" t="n">
        <v>60000</v>
      </c>
      <c r="D204" s="954"/>
      <c r="E204" s="954"/>
      <c r="F204" s="955" t="n">
        <f aca="false">C204+D204+E204</f>
        <v>60000</v>
      </c>
      <c r="G204" s="955" t="n">
        <f aca="false">F204/149.4</f>
        <v>401.606425702811</v>
      </c>
      <c r="H204" s="661" t="n">
        <f aca="false">G204/60</f>
        <v>6.69344042838019</v>
      </c>
      <c r="I204" s="660" t="n">
        <f aca="false">'норма времени'!D208</f>
        <v>30</v>
      </c>
      <c r="J204" s="661" t="n">
        <f aca="false">H204*I204</f>
        <v>200.803212851406</v>
      </c>
    </row>
    <row r="205" customFormat="false" ht="15" hidden="false" customHeight="false" outlineLevel="0" collapsed="false">
      <c r="A205" s="571" t="s">
        <v>353</v>
      </c>
      <c r="B205" s="328" t="str">
        <f aca="false">'[5]норма времени'!B29</f>
        <v>Определение перекисного числа в мясе птицы </v>
      </c>
      <c r="C205" s="954" t="n">
        <v>70000</v>
      </c>
      <c r="D205" s="954" t="n">
        <v>65000</v>
      </c>
      <c r="E205" s="954" t="n">
        <v>55000</v>
      </c>
      <c r="F205" s="955" t="n">
        <f aca="false">C205+D205+E205</f>
        <v>190000</v>
      </c>
      <c r="G205" s="955" t="n">
        <f aca="false">F205/149.4</f>
        <v>1271.75368139224</v>
      </c>
      <c r="H205" s="661" t="n">
        <f aca="false">G205/60</f>
        <v>21.1958946898706</v>
      </c>
      <c r="I205" s="660" t="n">
        <f aca="false">'норма времени'!D209</f>
        <v>30</v>
      </c>
      <c r="J205" s="661" t="n">
        <f aca="false">H205*I205</f>
        <v>635.876840696118</v>
      </c>
    </row>
    <row r="206" customFormat="false" ht="15" hidden="false" customHeight="false" outlineLevel="0" collapsed="false">
      <c r="A206" s="571" t="s">
        <v>355</v>
      </c>
      <c r="B206" s="328" t="str">
        <f aca="false">'[5]норма времени'!B30</f>
        <v>Определение свинца ААС</v>
      </c>
      <c r="C206" s="954" t="n">
        <v>70000</v>
      </c>
      <c r="D206" s="954" t="n">
        <v>65000</v>
      </c>
      <c r="E206" s="954" t="n">
        <v>55000</v>
      </c>
      <c r="F206" s="955" t="n">
        <f aca="false">C206+D206+E206</f>
        <v>190000</v>
      </c>
      <c r="G206" s="955" t="n">
        <f aca="false">F206/149.4</f>
        <v>1271.75368139224</v>
      </c>
      <c r="H206" s="661" t="n">
        <f aca="false">G206/60</f>
        <v>21.1958946898706</v>
      </c>
      <c r="I206" s="660" t="n">
        <f aca="false">'норма времени'!D210</f>
        <v>70</v>
      </c>
      <c r="J206" s="661" t="n">
        <f aca="false">H206*I206</f>
        <v>1483.71262829094</v>
      </c>
    </row>
    <row r="207" customFormat="false" ht="15" hidden="false" customHeight="false" outlineLevel="0" collapsed="false">
      <c r="A207" s="571" t="s">
        <v>357</v>
      </c>
      <c r="B207" s="328" t="str">
        <f aca="false">'[5]норма времени'!B31</f>
        <v>Определение свинца методом ИВ</v>
      </c>
      <c r="C207" s="954" t="n">
        <v>30000</v>
      </c>
      <c r="D207" s="954" t="n">
        <v>81000</v>
      </c>
      <c r="E207" s="954" t="n">
        <v>15000</v>
      </c>
      <c r="F207" s="955" t="n">
        <f aca="false">C207+D207+E207</f>
        <v>126000</v>
      </c>
      <c r="G207" s="955" t="n">
        <f aca="false">F207/149.4</f>
        <v>843.373493975904</v>
      </c>
      <c r="H207" s="661" t="n">
        <f aca="false">G207/60</f>
        <v>14.0562248995984</v>
      </c>
      <c r="I207" s="660" t="n">
        <f aca="false">'норма времени'!D211</f>
        <v>140</v>
      </c>
      <c r="J207" s="661" t="n">
        <f aca="false">H207*I207</f>
        <v>1967.87148594378</v>
      </c>
    </row>
    <row r="208" customFormat="false" ht="15" hidden="false" customHeight="false" outlineLevel="0" collapsed="false">
      <c r="A208" s="571" t="s">
        <v>359</v>
      </c>
      <c r="B208" s="328" t="str">
        <f aca="false">'[5]норма времени'!B32</f>
        <v>Определение кадмияААС</v>
      </c>
      <c r="C208" s="954" t="n">
        <v>30000</v>
      </c>
      <c r="D208" s="954" t="n">
        <v>25000</v>
      </c>
      <c r="E208" s="954" t="n">
        <v>81000</v>
      </c>
      <c r="F208" s="955" t="n">
        <f aca="false">C208+D208+E208</f>
        <v>136000</v>
      </c>
      <c r="G208" s="955" t="n">
        <f aca="false">F208/149.4</f>
        <v>910.307898259705</v>
      </c>
      <c r="H208" s="661" t="n">
        <f aca="false">G208/60</f>
        <v>15.1717983043284</v>
      </c>
      <c r="I208" s="660" t="n">
        <f aca="false">'норма времени'!D212</f>
        <v>180</v>
      </c>
      <c r="J208" s="661" t="n">
        <f aca="false">H208*I208</f>
        <v>2730.92369477912</v>
      </c>
    </row>
    <row r="209" customFormat="false" ht="15" hidden="false" customHeight="false" outlineLevel="0" collapsed="false">
      <c r="A209" s="571" t="s">
        <v>361</v>
      </c>
      <c r="B209" s="328" t="str">
        <f aca="false">'[5]норма времени'!B33</f>
        <v>Определение кадмия методом ИВ</v>
      </c>
      <c r="C209" s="954" t="n">
        <v>50000</v>
      </c>
      <c r="D209" s="954" t="n">
        <v>40000</v>
      </c>
      <c r="E209" s="954" t="n">
        <v>30000</v>
      </c>
      <c r="F209" s="955" t="n">
        <f aca="false">C209+D209+E209</f>
        <v>120000</v>
      </c>
      <c r="G209" s="955" t="n">
        <f aca="false">F209/149.4</f>
        <v>803.212851405623</v>
      </c>
      <c r="H209" s="661" t="n">
        <f aca="false">G209/60</f>
        <v>13.3868808567604</v>
      </c>
      <c r="I209" s="660" t="n">
        <f aca="false">'норма времени'!D213</f>
        <v>100</v>
      </c>
      <c r="J209" s="661" t="n">
        <f aca="false">H209*I209</f>
        <v>1338.68808567604</v>
      </c>
    </row>
    <row r="210" customFormat="false" ht="15" hidden="false" customHeight="false" outlineLevel="0" collapsed="false">
      <c r="A210" s="571" t="s">
        <v>363</v>
      </c>
      <c r="B210" s="328" t="str">
        <f aca="false">'[5]норма времени'!B34</f>
        <v>Определение меди (для консервов)ААС</v>
      </c>
      <c r="C210" s="954" t="n">
        <v>60000</v>
      </c>
      <c r="D210" s="954" t="n">
        <v>55000</v>
      </c>
      <c r="E210" s="954" t="n">
        <v>45950</v>
      </c>
      <c r="F210" s="955" t="n">
        <f aca="false">C210+D210+E210</f>
        <v>160950</v>
      </c>
      <c r="G210" s="955" t="n">
        <f aca="false">F210/149.4</f>
        <v>1077.30923694779</v>
      </c>
      <c r="H210" s="661" t="n">
        <f aca="false">G210/60</f>
        <v>17.9551539491299</v>
      </c>
      <c r="I210" s="660" t="n">
        <f aca="false">'норма времени'!D214</f>
        <v>65</v>
      </c>
      <c r="J210" s="661" t="n">
        <f aca="false">H210*I210</f>
        <v>1167.08500669344</v>
      </c>
    </row>
    <row r="211" customFormat="false" ht="15" hidden="false" customHeight="false" outlineLevel="0" collapsed="false">
      <c r="A211" s="571" t="s">
        <v>365</v>
      </c>
      <c r="B211" s="328" t="str">
        <f aca="false">'[5]норма времени'!B35</f>
        <v>Определение меди (для консервов) методом ИВ</v>
      </c>
      <c r="C211" s="954" t="n">
        <v>30000</v>
      </c>
      <c r="D211" s="954" t="n">
        <v>25000</v>
      </c>
      <c r="E211" s="954" t="n">
        <v>20000</v>
      </c>
      <c r="F211" s="955" t="n">
        <f aca="false">C211+D211+E211</f>
        <v>75000</v>
      </c>
      <c r="G211" s="955" t="n">
        <f aca="false">F211/149.4</f>
        <v>502.008032128514</v>
      </c>
      <c r="H211" s="661" t="n">
        <f aca="false">G211/60</f>
        <v>8.36680053547523</v>
      </c>
      <c r="I211" s="660" t="n">
        <f aca="false">'норма времени'!D215</f>
        <v>220</v>
      </c>
      <c r="J211" s="661" t="n">
        <f aca="false">H211*I211</f>
        <v>1840.69611780455</v>
      </c>
    </row>
    <row r="212" customFormat="false" ht="17.25" hidden="false" customHeight="true" outlineLevel="0" collapsed="false">
      <c r="A212" s="571" t="s">
        <v>367</v>
      </c>
      <c r="B212" s="328" t="str">
        <f aca="false">'[5]норма времени'!B36</f>
        <v>Определение цинка (для консервов) ААС</v>
      </c>
      <c r="C212" s="954" t="n">
        <v>80000</v>
      </c>
      <c r="D212" s="954" t="n">
        <v>75000</v>
      </c>
      <c r="E212" s="954" t="n">
        <v>70000</v>
      </c>
      <c r="F212" s="955" t="n">
        <f aca="false">C212+D212+E212</f>
        <v>225000</v>
      </c>
      <c r="G212" s="955" t="n">
        <f aca="false">F212/149.4</f>
        <v>1506.02409638554</v>
      </c>
      <c r="H212" s="661" t="n">
        <f aca="false">G212/60</f>
        <v>25.1004016064257</v>
      </c>
      <c r="I212" s="660" t="n">
        <f aca="false">'норма времени'!D216</f>
        <v>70</v>
      </c>
      <c r="J212" s="661" t="n">
        <f aca="false">H212*I212</f>
        <v>1757.0281124498</v>
      </c>
    </row>
    <row r="213" customFormat="false" ht="15" hidden="false" customHeight="false" outlineLevel="0" collapsed="false">
      <c r="A213" s="571" t="s">
        <v>369</v>
      </c>
      <c r="B213" s="328" t="str">
        <f aca="false">'[5]норма времени'!B37</f>
        <v>Определение цинка (для консервов) методом ИВ</v>
      </c>
      <c r="C213" s="954" t="n">
        <v>80000</v>
      </c>
      <c r="D213" s="954" t="n">
        <v>75000</v>
      </c>
      <c r="E213" s="954" t="n">
        <v>70000</v>
      </c>
      <c r="F213" s="955" t="n">
        <f aca="false">C213+D213+E213</f>
        <v>225000</v>
      </c>
      <c r="G213" s="955" t="n">
        <f aca="false">F213/149.4</f>
        <v>1506.02409638554</v>
      </c>
      <c r="H213" s="661" t="n">
        <f aca="false">G213/60</f>
        <v>25.1004016064257</v>
      </c>
      <c r="I213" s="660" t="n">
        <f aca="false">'норма времени'!D217</f>
        <v>70</v>
      </c>
      <c r="J213" s="661" t="n">
        <f aca="false">H213*I213</f>
        <v>1757.0281124498</v>
      </c>
    </row>
    <row r="214" customFormat="false" ht="15" hidden="false" customHeight="false" outlineLevel="0" collapsed="false">
      <c r="A214" s="571" t="s">
        <v>371</v>
      </c>
      <c r="B214" s="328" t="str">
        <f aca="false">'[5]норма времени'!B38</f>
        <v>Определение мышьяка ААС</v>
      </c>
      <c r="C214" s="954" t="n">
        <v>55000</v>
      </c>
      <c r="D214" s="954" t="n">
        <v>45000</v>
      </c>
      <c r="E214" s="954" t="n">
        <v>40000</v>
      </c>
      <c r="F214" s="955" t="n">
        <f aca="false">C214+D214+E214</f>
        <v>140000</v>
      </c>
      <c r="G214" s="955" t="n">
        <f aca="false">F214/149.4</f>
        <v>937.081659973226</v>
      </c>
      <c r="H214" s="661" t="n">
        <f aca="false">G214/60</f>
        <v>15.6180276662204</v>
      </c>
      <c r="I214" s="660" t="n">
        <f aca="false">'норма времени'!D218</f>
        <v>170</v>
      </c>
      <c r="J214" s="661" t="n">
        <f aca="false">H214*I214</f>
        <v>2655.06470325747</v>
      </c>
    </row>
    <row r="215" customFormat="false" ht="15" hidden="false" customHeight="false" outlineLevel="0" collapsed="false">
      <c r="A215" s="571" t="s">
        <v>373</v>
      </c>
      <c r="B215" s="328" t="str">
        <f aca="false">'[5]норма времени'!B39</f>
        <v>Определение мышьяка методом ИВ</v>
      </c>
      <c r="C215" s="954" t="n">
        <v>30000</v>
      </c>
      <c r="D215" s="954" t="n">
        <v>25000</v>
      </c>
      <c r="E215" s="954" t="n">
        <v>15000</v>
      </c>
      <c r="F215" s="955" t="n">
        <f aca="false">C215+D215+E215</f>
        <v>70000</v>
      </c>
      <c r="G215" s="955" t="n">
        <f aca="false">F215/149.4</f>
        <v>468.540829986613</v>
      </c>
      <c r="H215" s="661" t="n">
        <f aca="false">G215/60</f>
        <v>7.80901383311022</v>
      </c>
      <c r="I215" s="660" t="n">
        <f aca="false">'норма времени'!D219</f>
        <v>85</v>
      </c>
      <c r="J215" s="661" t="n">
        <f aca="false">H215*I215</f>
        <v>663.766175814369</v>
      </c>
    </row>
    <row r="216" customFormat="false" ht="15" hidden="false" customHeight="false" outlineLevel="0" collapsed="false">
      <c r="A216" s="571" t="s">
        <v>375</v>
      </c>
      <c r="B216" s="328" t="str">
        <f aca="false">'[5]норма времени'!B40</f>
        <v>Определение ртути ( по показаниям)ААС</v>
      </c>
      <c r="C216" s="954" t="n">
        <v>30000</v>
      </c>
      <c r="D216" s="954" t="n">
        <v>25000</v>
      </c>
      <c r="E216" s="954" t="n">
        <v>20000</v>
      </c>
      <c r="F216" s="955" t="n">
        <f aca="false">C216+D216+E216</f>
        <v>75000</v>
      </c>
      <c r="G216" s="955" t="n">
        <f aca="false">F216/149.4</f>
        <v>502.008032128514</v>
      </c>
      <c r="H216" s="661" t="n">
        <f aca="false">G216/60</f>
        <v>8.36680053547523</v>
      </c>
      <c r="I216" s="660" t="n">
        <f aca="false">'норма времени'!D220</f>
        <v>380</v>
      </c>
      <c r="J216" s="661" t="n">
        <f aca="false">H216*I216</f>
        <v>3179.38420348059</v>
      </c>
    </row>
    <row r="217" customFormat="false" ht="15" hidden="false" customHeight="false" outlineLevel="0" collapsed="false">
      <c r="A217" s="571" t="s">
        <v>377</v>
      </c>
      <c r="B217" s="328" t="str">
        <f aca="false">'[5]норма времени'!B41</f>
        <v>Определение ртути ( по показаниям)  методом ИВ</v>
      </c>
      <c r="C217" s="954" t="n">
        <v>25000</v>
      </c>
      <c r="D217" s="954" t="n">
        <v>20000</v>
      </c>
      <c r="E217" s="954" t="n">
        <v>15000</v>
      </c>
      <c r="F217" s="955" t="n">
        <f aca="false">C217+D217+E217</f>
        <v>60000</v>
      </c>
      <c r="G217" s="955" t="n">
        <f aca="false">F217/149.4</f>
        <v>401.606425702811</v>
      </c>
      <c r="H217" s="661" t="n">
        <f aca="false">G217/60</f>
        <v>6.69344042838019</v>
      </c>
      <c r="I217" s="660" t="n">
        <f aca="false">'норма времени'!D221</f>
        <v>230</v>
      </c>
      <c r="J217" s="661" t="n">
        <f aca="false">H217*I217</f>
        <v>1539.49129852744</v>
      </c>
    </row>
    <row r="218" customFormat="false" ht="30" hidden="false" customHeight="false" outlineLevel="0" collapsed="false">
      <c r="A218" s="571" t="s">
        <v>379</v>
      </c>
      <c r="B218" s="328" t="str">
        <f aca="false">'[5]норма времени'!B42</f>
        <v>Определение олова (для консервов в сборной жестяной таре)</v>
      </c>
      <c r="C218" s="954" t="n">
        <v>40000</v>
      </c>
      <c r="D218" s="954" t="n">
        <v>35000</v>
      </c>
      <c r="E218" s="954" t="n">
        <v>30000</v>
      </c>
      <c r="F218" s="955" t="n">
        <f aca="false">C218+D218+E218</f>
        <v>105000</v>
      </c>
      <c r="G218" s="955" t="n">
        <f aca="false">F218/149.4</f>
        <v>702.81124497992</v>
      </c>
      <c r="H218" s="661" t="n">
        <f aca="false">G218/60</f>
        <v>11.7135207496653</v>
      </c>
      <c r="I218" s="660" t="n">
        <f aca="false">'норма времени'!D222</f>
        <v>160</v>
      </c>
      <c r="J218" s="661" t="n">
        <f aca="false">H218*I218</f>
        <v>1874.16331994645</v>
      </c>
    </row>
    <row r="219" customFormat="false" ht="30" hidden="false" customHeight="false" outlineLevel="0" collapsed="false">
      <c r="A219" s="571" t="s">
        <v>381</v>
      </c>
      <c r="B219" s="328" t="str">
        <f aca="false">'[5]норма времени'!B43</f>
        <v>Определение хрома (для консервов в сборной хромированной таре) </v>
      </c>
      <c r="C219" s="954" t="n">
        <v>70000</v>
      </c>
      <c r="D219" s="954" t="n">
        <v>60000</v>
      </c>
      <c r="E219" s="954" t="n">
        <v>50000</v>
      </c>
      <c r="F219" s="955" t="n">
        <f aca="false">C219+D219+E219</f>
        <v>180000</v>
      </c>
      <c r="G219" s="955" t="n">
        <f aca="false">F219/149.4</f>
        <v>1204.81927710843</v>
      </c>
      <c r="H219" s="661" t="n">
        <f aca="false">G219/60</f>
        <v>20.0803212851406</v>
      </c>
      <c r="I219" s="660" t="n">
        <f aca="false">'норма времени'!D223</f>
        <v>70</v>
      </c>
      <c r="J219" s="661" t="n">
        <f aca="false">H219*I219</f>
        <v>1405.62248995984</v>
      </c>
    </row>
    <row r="220" customFormat="false" ht="30" hidden="false" customHeight="false" outlineLevel="0" collapsed="false">
      <c r="A220" s="571" t="s">
        <v>383</v>
      </c>
      <c r="B220" s="328" t="str">
        <f aca="false">'[5]норма времени'!B44</f>
        <v>Определение нитрозаминов для копченых продуктов и консервов с добавлением нитрата натрия </v>
      </c>
      <c r="C220" s="954" t="n">
        <v>80000</v>
      </c>
      <c r="D220" s="954" t="n">
        <v>75000</v>
      </c>
      <c r="E220" s="954" t="n">
        <v>70000</v>
      </c>
      <c r="F220" s="955" t="n">
        <f aca="false">C220+D220+E220</f>
        <v>225000</v>
      </c>
      <c r="G220" s="955" t="n">
        <f aca="false">F220/149.4</f>
        <v>1506.02409638554</v>
      </c>
      <c r="H220" s="661" t="n">
        <f aca="false">G220/60</f>
        <v>25.1004016064257</v>
      </c>
      <c r="I220" s="660" t="n">
        <f aca="false">'норма времени'!D224</f>
        <v>60</v>
      </c>
      <c r="J220" s="661" t="n">
        <f aca="false">H220*I220</f>
        <v>1506.02409638554</v>
      </c>
    </row>
    <row r="221" customFormat="false" ht="15" hidden="false" customHeight="false" outlineLevel="0" collapsed="false">
      <c r="A221" s="571" t="s">
        <v>385</v>
      </c>
      <c r="B221" s="328" t="str">
        <f aca="false">'[5]норма времени'!B45</f>
        <v>Определение бенз(а)пирина для копченых продуктов </v>
      </c>
      <c r="C221" s="954" t="n">
        <v>50000</v>
      </c>
      <c r="D221" s="954" t="n">
        <v>40000</v>
      </c>
      <c r="E221" s="954" t="n">
        <v>30000</v>
      </c>
      <c r="F221" s="955" t="n">
        <f aca="false">C221+D221+E221</f>
        <v>120000</v>
      </c>
      <c r="G221" s="955" t="n">
        <f aca="false">F221/149.4</f>
        <v>803.212851405623</v>
      </c>
      <c r="H221" s="661" t="n">
        <f aca="false">G221/60</f>
        <v>13.3868808567604</v>
      </c>
      <c r="I221" s="660" t="n">
        <f aca="false">'норма времени'!D225</f>
        <v>20</v>
      </c>
      <c r="J221" s="661" t="n">
        <f aca="false">H221*I221</f>
        <v>267.737617135208</v>
      </c>
    </row>
    <row r="222" customFormat="false" ht="15" hidden="false" customHeight="false" outlineLevel="0" collapsed="false">
      <c r="A222" s="571" t="s">
        <v>387</v>
      </c>
      <c r="B222" s="328" t="str">
        <f aca="false">'[5]норма времени'!B46</f>
        <v>Определение  левомецетиновой  группы</v>
      </c>
      <c r="C222" s="954" t="n">
        <v>75000</v>
      </c>
      <c r="D222" s="954" t="n">
        <v>70000</v>
      </c>
      <c r="E222" s="954" t="n">
        <v>60000</v>
      </c>
      <c r="F222" s="955" t="n">
        <f aca="false">C222+D222+E222</f>
        <v>205000</v>
      </c>
      <c r="G222" s="955" t="n">
        <f aca="false">F222/149.4</f>
        <v>1372.15528781794</v>
      </c>
      <c r="H222" s="661" t="n">
        <f aca="false">G222/60</f>
        <v>22.8692547969656</v>
      </c>
      <c r="I222" s="660" t="n">
        <f aca="false">'норма времени'!D226</f>
        <v>115</v>
      </c>
      <c r="J222" s="661" t="n">
        <f aca="false">H222*I222</f>
        <v>2629.96430165105</v>
      </c>
    </row>
    <row r="223" customFormat="false" ht="19.5" hidden="false" customHeight="true" outlineLevel="0" collapsed="false">
      <c r="A223" s="571" t="s">
        <v>389</v>
      </c>
      <c r="B223" s="328" t="str">
        <f aca="false">'[5]норма времени'!B47</f>
        <v>Определение  тетрациклиновой  группы</v>
      </c>
      <c r="C223" s="954" t="n">
        <v>80000</v>
      </c>
      <c r="D223" s="954" t="n">
        <v>70000</v>
      </c>
      <c r="E223" s="954" t="n">
        <v>60000</v>
      </c>
      <c r="F223" s="955" t="n">
        <f aca="false">C223+D223+E223</f>
        <v>210000</v>
      </c>
      <c r="G223" s="955" t="n">
        <f aca="false">F223/149.4</f>
        <v>1405.62248995984</v>
      </c>
      <c r="H223" s="661" t="n">
        <f aca="false">G223/60</f>
        <v>23.4270414993307</v>
      </c>
      <c r="I223" s="660" t="n">
        <f aca="false">'норма времени'!D227</f>
        <v>105</v>
      </c>
      <c r="J223" s="661" t="n">
        <f aca="false">H223*I223</f>
        <v>2459.83935742972</v>
      </c>
    </row>
    <row r="224" customFormat="false" ht="15" hidden="false" customHeight="false" outlineLevel="0" collapsed="false">
      <c r="A224" s="571" t="s">
        <v>391</v>
      </c>
      <c r="B224" s="328" t="str">
        <f aca="false">'[5]норма времени'!B48</f>
        <v>Определение массовой доли хлеба</v>
      </c>
      <c r="C224" s="954" t="n">
        <v>50000</v>
      </c>
      <c r="D224" s="954" t="n">
        <v>45000</v>
      </c>
      <c r="E224" s="954" t="n">
        <v>35000</v>
      </c>
      <c r="F224" s="955" t="n">
        <f aca="false">C224+D224+E224</f>
        <v>130000</v>
      </c>
      <c r="G224" s="955" t="n">
        <f aca="false">F224/149.4</f>
        <v>870.147255689424</v>
      </c>
      <c r="H224" s="661" t="n">
        <f aca="false">G224/60</f>
        <v>14.5024542614904</v>
      </c>
      <c r="I224" s="660" t="n">
        <f aca="false">'норма времени'!D228</f>
        <v>140</v>
      </c>
      <c r="J224" s="661" t="n">
        <f aca="false">H224*I224</f>
        <v>2030.34359660866</v>
      </c>
    </row>
    <row r="225" customFormat="false" ht="28.5" hidden="false" customHeight="false" outlineLevel="0" collapsed="false">
      <c r="A225" s="350" t="s">
        <v>393</v>
      </c>
      <c r="B225" s="467" t="str">
        <f aca="false">'[5]норма времени'!B49</f>
        <v>Молоко и молочные продукты, молочные консервы</v>
      </c>
      <c r="C225" s="1253"/>
      <c r="D225" s="1253"/>
      <c r="E225" s="1253"/>
      <c r="F225" s="1254"/>
      <c r="G225" s="1254"/>
      <c r="H225" s="1250"/>
      <c r="I225" s="1255"/>
      <c r="J225" s="1250"/>
    </row>
    <row r="226" customFormat="false" ht="21" hidden="false" customHeight="true" outlineLevel="0" collapsed="false">
      <c r="A226" s="571" t="s">
        <v>395</v>
      </c>
      <c r="B226" s="328" t="str">
        <f aca="false">'[5]норма времени'!B50</f>
        <v> Определение органолептических показателей</v>
      </c>
      <c r="C226" s="954" t="n">
        <v>55000</v>
      </c>
      <c r="D226" s="954" t="n">
        <v>45000</v>
      </c>
      <c r="E226" s="954" t="n">
        <v>35000</v>
      </c>
      <c r="F226" s="955" t="n">
        <f aca="false">C226+D226+E226</f>
        <v>135000</v>
      </c>
      <c r="G226" s="955" t="n">
        <f aca="false">F226/149.4</f>
        <v>903.614457831325</v>
      </c>
      <c r="H226" s="661" t="n">
        <f aca="false">G226/60</f>
        <v>15.0602409638554</v>
      </c>
      <c r="I226" s="660" t="n">
        <f aca="false">'норма времени'!D230</f>
        <v>40</v>
      </c>
      <c r="J226" s="661" t="n">
        <f aca="false">H226*I226</f>
        <v>602.409638554217</v>
      </c>
    </row>
    <row r="227" customFormat="false" ht="15" hidden="false" customHeight="false" outlineLevel="0" collapsed="false">
      <c r="A227" s="571" t="s">
        <v>396</v>
      </c>
      <c r="B227" s="328" t="str">
        <f aca="false">'[5]норма времени'!B51</f>
        <v> Определение пастеризации </v>
      </c>
      <c r="C227" s="954" t="n">
        <v>50000</v>
      </c>
      <c r="D227" s="954" t="n">
        <v>40000</v>
      </c>
      <c r="E227" s="954" t="n">
        <v>30000</v>
      </c>
      <c r="F227" s="955" t="n">
        <f aca="false">C227+D227+E227</f>
        <v>120000</v>
      </c>
      <c r="G227" s="955" t="n">
        <f aca="false">F227/149.4</f>
        <v>803.212851405623</v>
      </c>
      <c r="H227" s="661" t="n">
        <f aca="false">G227/60</f>
        <v>13.3868808567604</v>
      </c>
      <c r="I227" s="660" t="n">
        <f aca="false">'норма времени'!D231</f>
        <v>60</v>
      </c>
      <c r="J227" s="661" t="n">
        <f aca="false">H227*I227</f>
        <v>803.212851405623</v>
      </c>
    </row>
    <row r="228" customFormat="false" ht="15" hidden="false" customHeight="false" outlineLevel="0" collapsed="false">
      <c r="A228" s="571" t="s">
        <v>398</v>
      </c>
      <c r="B228" s="328" t="str">
        <f aca="false">'[5]норма времени'!B52</f>
        <v> Определение кислотности</v>
      </c>
      <c r="C228" s="954" t="n">
        <v>40000</v>
      </c>
      <c r="D228" s="954" t="n">
        <v>0</v>
      </c>
      <c r="E228" s="954" t="n">
        <v>0</v>
      </c>
      <c r="F228" s="955" t="n">
        <f aca="false">C228+D228+E228</f>
        <v>40000</v>
      </c>
      <c r="G228" s="955" t="n">
        <f aca="false">F228/149.4</f>
        <v>267.737617135208</v>
      </c>
      <c r="H228" s="661" t="n">
        <f aca="false">G228/60</f>
        <v>4.46229361892013</v>
      </c>
      <c r="I228" s="660" t="n">
        <f aca="false">'норма времени'!D232</f>
        <v>40</v>
      </c>
      <c r="J228" s="661" t="n">
        <f aca="false">H228*I228</f>
        <v>178.491744756805</v>
      </c>
    </row>
    <row r="229" customFormat="false" ht="15" hidden="false" customHeight="false" outlineLevel="0" collapsed="false">
      <c r="A229" s="571" t="s">
        <v>400</v>
      </c>
      <c r="B229" s="328" t="str">
        <f aca="false">'[5]норма времени'!B53</f>
        <v> Определение плотности  (ареометром):</v>
      </c>
      <c r="C229" s="954" t="n">
        <v>50000</v>
      </c>
      <c r="D229" s="954" t="n">
        <v>40000</v>
      </c>
      <c r="E229" s="954" t="n">
        <v>30000</v>
      </c>
      <c r="F229" s="955" t="n">
        <f aca="false">C229+D229+E229</f>
        <v>120000</v>
      </c>
      <c r="G229" s="955" t="n">
        <f aca="false">F229/149.4</f>
        <v>803.212851405623</v>
      </c>
      <c r="H229" s="661" t="n">
        <f aca="false">G229/60</f>
        <v>13.3868808567604</v>
      </c>
      <c r="I229" s="660" t="n">
        <f aca="false">'норма времени'!D233</f>
        <v>50</v>
      </c>
      <c r="J229" s="661" t="n">
        <f aca="false">H229*I229</f>
        <v>669.344042838019</v>
      </c>
    </row>
    <row r="230" customFormat="false" ht="15" hidden="false" customHeight="false" outlineLevel="0" collapsed="false">
      <c r="A230" s="571" t="s">
        <v>402</v>
      </c>
      <c r="B230" s="328" t="str">
        <f aca="false">'[5]норма времени'!B54</f>
        <v> Определение плотности на рефрактометре</v>
      </c>
      <c r="C230" s="954" t="n">
        <v>50000</v>
      </c>
      <c r="D230" s="954" t="n">
        <v>40000</v>
      </c>
      <c r="E230" s="954" t="n">
        <v>30000</v>
      </c>
      <c r="F230" s="955" t="n">
        <f aca="false">C230+D230+E230</f>
        <v>120000</v>
      </c>
      <c r="G230" s="955" t="n">
        <f aca="false">F230/149.4</f>
        <v>803.212851405623</v>
      </c>
      <c r="H230" s="661" t="n">
        <f aca="false">G230/60</f>
        <v>13.3868808567604</v>
      </c>
      <c r="I230" s="660" t="n">
        <f aca="false">'норма времени'!D234</f>
        <v>60</v>
      </c>
      <c r="J230" s="661" t="n">
        <f aca="false">H230*I230</f>
        <v>803.212851405623</v>
      </c>
    </row>
    <row r="231" customFormat="false" ht="15" hidden="false" customHeight="false" outlineLevel="0" collapsed="false">
      <c r="A231" s="571" t="s">
        <v>404</v>
      </c>
      <c r="B231" s="328" t="str">
        <f aca="false">'[5]норма времени'!B55</f>
        <v> Определение фурозина</v>
      </c>
      <c r="C231" s="954" t="n">
        <v>50000</v>
      </c>
      <c r="D231" s="954" t="n">
        <v>40000</v>
      </c>
      <c r="E231" s="954" t="n">
        <v>30000</v>
      </c>
      <c r="F231" s="955" t="n">
        <f aca="false">C231+D231+E231</f>
        <v>120000</v>
      </c>
      <c r="G231" s="955" t="n">
        <f aca="false">F231/149.4</f>
        <v>803.212851405623</v>
      </c>
      <c r="H231" s="661" t="n">
        <f aca="false">G231/60</f>
        <v>13.3868808567604</v>
      </c>
      <c r="I231" s="660" t="n">
        <f aca="false">'норма времени'!D235</f>
        <v>70</v>
      </c>
      <c r="J231" s="661" t="n">
        <f aca="false">H231*I231</f>
        <v>937.081659973226</v>
      </c>
    </row>
    <row r="232" customFormat="false" ht="15.75" hidden="false" customHeight="true" outlineLevel="0" collapsed="false">
      <c r="A232" s="571" t="s">
        <v>406</v>
      </c>
      <c r="B232" s="328" t="str">
        <f aca="false">'[5]норма времени'!B56</f>
        <v> Определение соды</v>
      </c>
      <c r="C232" s="954" t="n">
        <v>40000</v>
      </c>
      <c r="D232" s="954" t="n">
        <v>30000</v>
      </c>
      <c r="E232" s="954" t="n">
        <v>20000</v>
      </c>
      <c r="F232" s="955" t="n">
        <f aca="false">C232+D232+E232</f>
        <v>90000</v>
      </c>
      <c r="G232" s="955" t="n">
        <f aca="false">F232/149.4</f>
        <v>602.409638554217</v>
      </c>
      <c r="H232" s="661" t="n">
        <f aca="false">G232/60</f>
        <v>10.0401606425703</v>
      </c>
      <c r="I232" s="660" t="n">
        <f aca="false">'норма времени'!D236</f>
        <v>105</v>
      </c>
      <c r="J232" s="661" t="n">
        <f aca="false">H232*I232</f>
        <v>1054.21686746988</v>
      </c>
    </row>
    <row r="233" customFormat="false" ht="15" hidden="false" customHeight="false" outlineLevel="0" collapsed="false">
      <c r="A233" s="571" t="s">
        <v>408</v>
      </c>
      <c r="B233" s="328" t="str">
        <f aca="false">'[5]норма времени'!B57</f>
        <v> Определение аммиака</v>
      </c>
      <c r="C233" s="954" t="n">
        <v>40000</v>
      </c>
      <c r="D233" s="954" t="n">
        <v>30000</v>
      </c>
      <c r="E233" s="954" t="n">
        <v>20000</v>
      </c>
      <c r="F233" s="955" t="n">
        <f aca="false">C233+D233+E233</f>
        <v>90000</v>
      </c>
      <c r="G233" s="955" t="n">
        <f aca="false">F233/149.4</f>
        <v>602.409638554217</v>
      </c>
      <c r="H233" s="661" t="n">
        <f aca="false">G233/60</f>
        <v>10.0401606425703</v>
      </c>
      <c r="I233" s="660" t="n">
        <f aca="false">'норма времени'!D237</f>
        <v>50</v>
      </c>
      <c r="J233" s="661" t="n">
        <f aca="false">H233*I233</f>
        <v>502.008032128514</v>
      </c>
    </row>
    <row r="234" customFormat="false" ht="19.5" hidden="false" customHeight="true" outlineLevel="0" collapsed="false">
      <c r="A234" s="571" t="s">
        <v>410</v>
      </c>
      <c r="B234" s="328" t="str">
        <f aca="false">'[5]норма времени'!B58</f>
        <v> Определение нитратов и нитритов </v>
      </c>
      <c r="C234" s="954" t="n">
        <v>50000</v>
      </c>
      <c r="D234" s="954" t="n">
        <v>40000</v>
      </c>
      <c r="E234" s="954" t="n">
        <v>30000</v>
      </c>
      <c r="F234" s="955" t="n">
        <f aca="false">C234+D234+E234</f>
        <v>120000</v>
      </c>
      <c r="G234" s="955" t="n">
        <f aca="false">F234/149.4</f>
        <v>803.212851405623</v>
      </c>
      <c r="H234" s="661" t="n">
        <f aca="false">G234/60</f>
        <v>13.3868808567604</v>
      </c>
      <c r="I234" s="660" t="n">
        <f aca="false">'норма времени'!D238</f>
        <v>100</v>
      </c>
      <c r="J234" s="661" t="n">
        <f aca="false">H234*I234</f>
        <v>1338.68808567604</v>
      </c>
    </row>
    <row r="235" customFormat="false" ht="15" hidden="false" customHeight="false" outlineLevel="0" collapsed="false">
      <c r="A235" s="571" t="s">
        <v>412</v>
      </c>
      <c r="B235" s="328" t="str">
        <f aca="false">'[5]норма времени'!B59</f>
        <v> Определение влаги</v>
      </c>
      <c r="C235" s="954" t="n">
        <v>40000</v>
      </c>
      <c r="D235" s="954" t="n">
        <v>25000</v>
      </c>
      <c r="E235" s="954" t="n">
        <v>15000</v>
      </c>
      <c r="F235" s="955" t="n">
        <f aca="false">C235+D235+E235</f>
        <v>80000</v>
      </c>
      <c r="G235" s="955" t="n">
        <f aca="false">F235/149.4</f>
        <v>535.475234270415</v>
      </c>
      <c r="H235" s="661" t="n">
        <f aca="false">G235/60</f>
        <v>8.92458723784025</v>
      </c>
      <c r="I235" s="660" t="n">
        <f aca="false">'норма времени'!D239</f>
        <v>90</v>
      </c>
      <c r="J235" s="661" t="n">
        <f aca="false">H235*I235</f>
        <v>803.212851405623</v>
      </c>
    </row>
    <row r="236" customFormat="false" ht="15" hidden="false" customHeight="false" outlineLevel="0" collapsed="false">
      <c r="A236" s="571" t="s">
        <v>414</v>
      </c>
      <c r="B236" s="328" t="str">
        <f aca="false">'[5]норма времени'!B60</f>
        <v> Определение влаги арбитражным методом, СОМО .</v>
      </c>
      <c r="C236" s="954" t="n">
        <v>60000</v>
      </c>
      <c r="D236" s="954" t="n">
        <v>50000</v>
      </c>
      <c r="E236" s="954" t="n">
        <v>40000</v>
      </c>
      <c r="F236" s="955" t="n">
        <f aca="false">C236+D236+E236</f>
        <v>150000</v>
      </c>
      <c r="G236" s="955" t="n">
        <f aca="false">F236/149.4</f>
        <v>1004.01606425703</v>
      </c>
      <c r="H236" s="661" t="n">
        <f aca="false">G236/60</f>
        <v>16.7336010709505</v>
      </c>
      <c r="I236" s="660" t="n">
        <f aca="false">'норма времени'!D240</f>
        <v>110</v>
      </c>
      <c r="J236" s="661" t="n">
        <f aca="false">H236*I236</f>
        <v>1840.69611780455</v>
      </c>
    </row>
    <row r="237" customFormat="false" ht="15" hidden="false" customHeight="false" outlineLevel="0" collapsed="false">
      <c r="A237" s="571" t="s">
        <v>416</v>
      </c>
      <c r="B237" s="328" t="str">
        <f aca="false">'[5]норма времени'!B61</f>
        <v> Определение сахара (фотометрическим методом)</v>
      </c>
      <c r="C237" s="954" t="n">
        <v>35000</v>
      </c>
      <c r="D237" s="954" t="n">
        <v>25000</v>
      </c>
      <c r="E237" s="954" t="n">
        <v>15000</v>
      </c>
      <c r="F237" s="955" t="n">
        <f aca="false">C237+D237+E237</f>
        <v>75000</v>
      </c>
      <c r="G237" s="955" t="n">
        <f aca="false">F237/149.4</f>
        <v>502.008032128514</v>
      </c>
      <c r="H237" s="661" t="n">
        <f aca="false">G237/60</f>
        <v>8.36680053547523</v>
      </c>
      <c r="I237" s="660" t="n">
        <f aca="false">'норма времени'!D241</f>
        <v>150</v>
      </c>
      <c r="J237" s="661" t="n">
        <f aca="false">H237*I237</f>
        <v>1255.02008032129</v>
      </c>
    </row>
    <row r="238" customFormat="false" ht="15" hidden="false" customHeight="false" outlineLevel="0" collapsed="false">
      <c r="A238" s="571" t="s">
        <v>418</v>
      </c>
      <c r="B238" s="328" t="str">
        <f aca="false">'[5]норма времени'!B62</f>
        <v> Определение сахара (титрометрическим методом)</v>
      </c>
      <c r="C238" s="954" t="n">
        <v>50000</v>
      </c>
      <c r="D238" s="954" t="n">
        <v>40000</v>
      </c>
      <c r="E238" s="954" t="n">
        <v>30000</v>
      </c>
      <c r="F238" s="955" t="n">
        <f aca="false">C238+D238+E238</f>
        <v>120000</v>
      </c>
      <c r="G238" s="955" t="n">
        <f aca="false">F238/149.4</f>
        <v>803.212851405623</v>
      </c>
      <c r="H238" s="661" t="n">
        <f aca="false">G238/60</f>
        <v>13.3868808567604</v>
      </c>
      <c r="I238" s="660" t="n">
        <f aca="false">'норма времени'!D242</f>
        <v>80</v>
      </c>
      <c r="J238" s="661" t="n">
        <f aca="false">H238*I238</f>
        <v>1070.95046854083</v>
      </c>
    </row>
    <row r="239" customFormat="false" ht="15" hidden="false" customHeight="false" outlineLevel="0" collapsed="false">
      <c r="A239" s="571" t="s">
        <v>420</v>
      </c>
      <c r="B239" s="328" t="str">
        <f aca="false">'[5]норма времени'!B63</f>
        <v> Определение перекиси водорода </v>
      </c>
      <c r="C239" s="954" t="n">
        <v>30000</v>
      </c>
      <c r="D239" s="954" t="n">
        <v>25000</v>
      </c>
      <c r="E239" s="954" t="n">
        <v>20000</v>
      </c>
      <c r="F239" s="955" t="n">
        <f aca="false">C239+D239+E239</f>
        <v>75000</v>
      </c>
      <c r="G239" s="955" t="n">
        <f aca="false">F239/149.4</f>
        <v>502.008032128514</v>
      </c>
      <c r="H239" s="661" t="n">
        <f aca="false">G239/60</f>
        <v>8.36680053547523</v>
      </c>
      <c r="I239" s="660" t="n">
        <f aca="false">'норма времени'!D243</f>
        <v>100</v>
      </c>
      <c r="J239" s="661" t="n">
        <f aca="false">H239*I239</f>
        <v>836.680053547523</v>
      </c>
    </row>
    <row r="240" customFormat="false" ht="15" hidden="false" customHeight="false" outlineLevel="0" collapsed="false">
      <c r="A240" s="571" t="s">
        <v>422</v>
      </c>
      <c r="B240" s="328" t="str">
        <f aca="false">'[5]норма времени'!B64</f>
        <v> Определение жира ( по Герберу)</v>
      </c>
      <c r="C240" s="954" t="n">
        <v>30000</v>
      </c>
      <c r="D240" s="954" t="n">
        <v>25000</v>
      </c>
      <c r="E240" s="954" t="n">
        <v>20000</v>
      </c>
      <c r="F240" s="955" t="n">
        <f aca="false">C240+D240+E240</f>
        <v>75000</v>
      </c>
      <c r="G240" s="955" t="n">
        <f aca="false">F240/149.4</f>
        <v>502.008032128514</v>
      </c>
      <c r="H240" s="661" t="n">
        <f aca="false">G240/60</f>
        <v>8.36680053547523</v>
      </c>
      <c r="I240" s="660" t="n">
        <f aca="false">'норма времени'!D244</f>
        <v>50</v>
      </c>
      <c r="J240" s="661" t="n">
        <f aca="false">H240*I240</f>
        <v>418.340026773762</v>
      </c>
    </row>
    <row r="241" customFormat="false" ht="15" hidden="false" customHeight="false" outlineLevel="0" collapsed="false">
      <c r="A241" s="571" t="s">
        <v>424</v>
      </c>
      <c r="B241" s="328" t="str">
        <f aca="false">'[5]норма времени'!B65</f>
        <v> Определение жира (по Сокслету)</v>
      </c>
      <c r="C241" s="954" t="n">
        <v>30000</v>
      </c>
      <c r="D241" s="954" t="n">
        <v>25000</v>
      </c>
      <c r="E241" s="954" t="n">
        <v>20000</v>
      </c>
      <c r="F241" s="955" t="n">
        <f aca="false">C241+D241+E241</f>
        <v>75000</v>
      </c>
      <c r="G241" s="955" t="n">
        <f aca="false">F241/149.4</f>
        <v>502.008032128514</v>
      </c>
      <c r="H241" s="661" t="n">
        <f aca="false">G241/60</f>
        <v>8.36680053547523</v>
      </c>
      <c r="I241" s="660" t="n">
        <f aca="false">'норма времени'!D245</f>
        <v>80</v>
      </c>
      <c r="J241" s="661" t="n">
        <f aca="false">H241*I241</f>
        <v>669.344042838019</v>
      </c>
    </row>
    <row r="242" customFormat="false" ht="15" hidden="false" customHeight="false" outlineLevel="0" collapsed="false">
      <c r="A242" s="571" t="s">
        <v>426</v>
      </c>
      <c r="B242" s="328" t="str">
        <f aca="false">'[5]норма времени'!B66</f>
        <v> Определение кислотного числа жира </v>
      </c>
      <c r="C242" s="954" t="n">
        <v>30000</v>
      </c>
      <c r="D242" s="954" t="n">
        <v>25000</v>
      </c>
      <c r="E242" s="954" t="n">
        <v>20000</v>
      </c>
      <c r="F242" s="955" t="n">
        <f aca="false">C242+D242+E242</f>
        <v>75000</v>
      </c>
      <c r="G242" s="955" t="n">
        <f aca="false">F242/149.4</f>
        <v>502.008032128514</v>
      </c>
      <c r="H242" s="661" t="n">
        <f aca="false">G242/60</f>
        <v>8.36680053547523</v>
      </c>
      <c r="I242" s="660" t="n">
        <f aca="false">'норма времени'!D246</f>
        <v>40</v>
      </c>
      <c r="J242" s="661" t="n">
        <f aca="false">H242*I242</f>
        <v>334.672021419009</v>
      </c>
    </row>
    <row r="243" customFormat="false" ht="15" hidden="false" customHeight="false" outlineLevel="0" collapsed="false">
      <c r="A243" s="571" t="s">
        <v>428</v>
      </c>
      <c r="B243" s="328" t="str">
        <f aca="false">'[5]норма времени'!B67</f>
        <v> Определение активности фосфатазы </v>
      </c>
      <c r="C243" s="954" t="n">
        <v>50000</v>
      </c>
      <c r="D243" s="954" t="n">
        <v>40000</v>
      </c>
      <c r="E243" s="954" t="n">
        <v>30000</v>
      </c>
      <c r="F243" s="955" t="n">
        <f aca="false">C243+D243+E243</f>
        <v>120000</v>
      </c>
      <c r="G243" s="955" t="n">
        <f aca="false">F243/149.4</f>
        <v>803.212851405623</v>
      </c>
      <c r="H243" s="661" t="n">
        <f aca="false">G243/60</f>
        <v>13.3868808567604</v>
      </c>
      <c r="I243" s="660" t="n">
        <f aca="false">'норма времени'!D247</f>
        <v>85</v>
      </c>
      <c r="J243" s="661" t="n">
        <f aca="false">H243*I243</f>
        <v>1137.88487282463</v>
      </c>
    </row>
    <row r="244" customFormat="false" ht="15" hidden="false" customHeight="false" outlineLevel="0" collapsed="false">
      <c r="A244" s="571" t="s">
        <v>430</v>
      </c>
      <c r="B244" s="328" t="str">
        <f aca="false">'[5]норма времени'!B68</f>
        <v> Определение массовой доли сахарозы </v>
      </c>
      <c r="C244" s="954" t="n">
        <v>50000</v>
      </c>
      <c r="D244" s="954" t="n">
        <v>40000</v>
      </c>
      <c r="E244" s="954" t="n">
        <v>30000</v>
      </c>
      <c r="F244" s="955" t="n">
        <f aca="false">C244+D244+E244</f>
        <v>120000</v>
      </c>
      <c r="G244" s="955" t="n">
        <f aca="false">F244/149.4</f>
        <v>803.212851405623</v>
      </c>
      <c r="H244" s="661" t="n">
        <f aca="false">G244/60</f>
        <v>13.3868808567604</v>
      </c>
      <c r="I244" s="660" t="n">
        <f aca="false">'норма времени'!D248</f>
        <v>80</v>
      </c>
      <c r="J244" s="661" t="n">
        <f aca="false">H244*I244</f>
        <v>1070.95046854083</v>
      </c>
    </row>
    <row r="245" customFormat="false" ht="20.25" hidden="false" customHeight="true" outlineLevel="0" collapsed="false">
      <c r="A245" s="571" t="s">
        <v>432</v>
      </c>
      <c r="B245" s="328" t="str">
        <f aca="false">'[5]норма времени'!B69</f>
        <v> Определение сухих веществ</v>
      </c>
      <c r="C245" s="954" t="n">
        <v>50000</v>
      </c>
      <c r="D245" s="954" t="n">
        <v>40000</v>
      </c>
      <c r="E245" s="954" t="n">
        <v>30000</v>
      </c>
      <c r="F245" s="955" t="n">
        <f aca="false">C245+D245+E245</f>
        <v>120000</v>
      </c>
      <c r="G245" s="955" t="n">
        <f aca="false">F245/149.4</f>
        <v>803.212851405623</v>
      </c>
      <c r="H245" s="661" t="n">
        <f aca="false">G245/60</f>
        <v>13.3868808567604</v>
      </c>
      <c r="I245" s="660" t="n">
        <f aca="false">'норма времени'!D249</f>
        <v>45</v>
      </c>
      <c r="J245" s="661" t="n">
        <f aca="false">H245*I245</f>
        <v>602.409638554217</v>
      </c>
    </row>
    <row r="246" customFormat="false" ht="15" hidden="false" customHeight="false" outlineLevel="0" collapsed="false">
      <c r="A246" s="571" t="s">
        <v>434</v>
      </c>
      <c r="B246" s="328" t="str">
        <f aca="false">'[5]норма времени'!B70</f>
        <v> Определение кадмия  (ИВ)</v>
      </c>
      <c r="C246" s="954" t="n">
        <v>50000</v>
      </c>
      <c r="D246" s="954" t="n">
        <v>40000</v>
      </c>
      <c r="E246" s="954" t="n">
        <v>30000</v>
      </c>
      <c r="F246" s="955" t="n">
        <f aca="false">C246+D246+E246</f>
        <v>120000</v>
      </c>
      <c r="G246" s="955" t="n">
        <f aca="false">F246/149.4</f>
        <v>803.212851405623</v>
      </c>
      <c r="H246" s="661" t="n">
        <f aca="false">G246/60</f>
        <v>13.3868808567604</v>
      </c>
      <c r="I246" s="660" t="n">
        <f aca="false">'норма времени'!D250</f>
        <v>110</v>
      </c>
      <c r="J246" s="661" t="n">
        <f aca="false">H246*I246</f>
        <v>1472.55689424364</v>
      </c>
    </row>
    <row r="247" customFormat="false" ht="15" hidden="false" customHeight="false" outlineLevel="0" collapsed="false">
      <c r="A247" s="571" t="s">
        <v>436</v>
      </c>
      <c r="B247" s="328" t="str">
        <f aca="false">'[5]норма времени'!B71</f>
        <v> Определение кадмия  (ААС)</v>
      </c>
      <c r="C247" s="954" t="n">
        <v>60000</v>
      </c>
      <c r="D247" s="954" t="n">
        <v>50000</v>
      </c>
      <c r="E247" s="954" t="n">
        <v>40000</v>
      </c>
      <c r="F247" s="955" t="n">
        <f aca="false">C247+D247+E247</f>
        <v>150000</v>
      </c>
      <c r="G247" s="955" t="n">
        <f aca="false">F247/149.4</f>
        <v>1004.01606425703</v>
      </c>
      <c r="H247" s="661" t="n">
        <f aca="false">G247/60</f>
        <v>16.7336010709505</v>
      </c>
      <c r="I247" s="660" t="n">
        <f aca="false">'норма времени'!D251</f>
        <v>80</v>
      </c>
      <c r="J247" s="661" t="n">
        <f aca="false">H247*I247</f>
        <v>1338.68808567604</v>
      </c>
    </row>
    <row r="248" customFormat="false" ht="15" hidden="false" customHeight="false" outlineLevel="0" collapsed="false">
      <c r="A248" s="571" t="s">
        <v>438</v>
      </c>
      <c r="B248" s="328" t="str">
        <f aca="false">'[5]норма времени'!B72</f>
        <v> Определение свинца (ААС)</v>
      </c>
      <c r="C248" s="954" t="n">
        <v>40000</v>
      </c>
      <c r="D248" s="954" t="n">
        <v>30000</v>
      </c>
      <c r="E248" s="954" t="n">
        <v>20000</v>
      </c>
      <c r="F248" s="955" t="n">
        <f aca="false">C248+D248+E248</f>
        <v>90000</v>
      </c>
      <c r="G248" s="955" t="n">
        <f aca="false">F248/149.4</f>
        <v>602.409638554217</v>
      </c>
      <c r="H248" s="661" t="n">
        <f aca="false">G248/60</f>
        <v>10.0401606425703</v>
      </c>
      <c r="I248" s="660" t="n">
        <f aca="false">'норма времени'!D252</f>
        <v>70</v>
      </c>
      <c r="J248" s="661" t="n">
        <f aca="false">H248*I248</f>
        <v>702.81124497992</v>
      </c>
    </row>
    <row r="249" customFormat="false" ht="15" hidden="false" customHeight="false" outlineLevel="0" collapsed="false">
      <c r="A249" s="571" t="s">
        <v>440</v>
      </c>
      <c r="B249" s="328" t="str">
        <f aca="false">'[5]норма времени'!B73</f>
        <v> Определение свинца (ИВ)</v>
      </c>
      <c r="C249" s="954" t="n">
        <v>40000</v>
      </c>
      <c r="D249" s="954" t="n">
        <v>30000</v>
      </c>
      <c r="E249" s="954" t="n">
        <v>20000</v>
      </c>
      <c r="F249" s="955" t="n">
        <f aca="false">C249+D249+E249</f>
        <v>90000</v>
      </c>
      <c r="G249" s="955" t="n">
        <f aca="false">F249/149.4</f>
        <v>602.409638554217</v>
      </c>
      <c r="H249" s="661" t="n">
        <f aca="false">G249/60</f>
        <v>10.0401606425703</v>
      </c>
      <c r="I249" s="660" t="n">
        <f aca="false">'норма времени'!D253</f>
        <v>140</v>
      </c>
      <c r="J249" s="661" t="n">
        <f aca="false">H249*I249</f>
        <v>1405.62248995984</v>
      </c>
    </row>
    <row r="250" customFormat="false" ht="23.25" hidden="false" customHeight="true" outlineLevel="0" collapsed="false">
      <c r="A250" s="571" t="s">
        <v>442</v>
      </c>
      <c r="B250" s="328" t="str">
        <f aca="false">'[5]норма времени'!B74</f>
        <v> Определение олова (для консервов в сборной жестяной таре) </v>
      </c>
      <c r="C250" s="954" t="n">
        <v>70000</v>
      </c>
      <c r="D250" s="954" t="n">
        <v>60000</v>
      </c>
      <c r="E250" s="954" t="n">
        <v>50000</v>
      </c>
      <c r="F250" s="955" t="n">
        <f aca="false">C250+D250+E250</f>
        <v>180000</v>
      </c>
      <c r="G250" s="955" t="n">
        <f aca="false">F250/149.4</f>
        <v>1204.81927710843</v>
      </c>
      <c r="H250" s="661" t="n">
        <f aca="false">G250/60</f>
        <v>20.0803212851406</v>
      </c>
      <c r="I250" s="660" t="n">
        <f aca="false">'норма времени'!D254</f>
        <v>80</v>
      </c>
      <c r="J250" s="661" t="n">
        <f aca="false">H250*I250</f>
        <v>1606.42570281124</v>
      </c>
    </row>
    <row r="251" customFormat="false" ht="30" hidden="false" customHeight="false" outlineLevel="0" collapsed="false">
      <c r="A251" s="571" t="s">
        <v>444</v>
      </c>
      <c r="B251" s="328" t="str">
        <f aca="false">'[5]норма времени'!B75</f>
        <v> Определение хрома (для консервов в сборной хромированной таре) </v>
      </c>
      <c r="C251" s="954" t="n">
        <v>80000</v>
      </c>
      <c r="D251" s="954" t="n">
        <v>70000</v>
      </c>
      <c r="E251" s="954" t="n">
        <v>60000</v>
      </c>
      <c r="F251" s="955" t="n">
        <f aca="false">C251+D251+E251</f>
        <v>210000</v>
      </c>
      <c r="G251" s="955" t="n">
        <f aca="false">F251/149.4</f>
        <v>1405.62248995984</v>
      </c>
      <c r="H251" s="661" t="n">
        <f aca="false">G251/60</f>
        <v>23.4270414993307</v>
      </c>
      <c r="I251" s="660" t="n">
        <f aca="false">'норма времени'!D255</f>
        <v>80</v>
      </c>
      <c r="J251" s="661" t="n">
        <f aca="false">H251*I251</f>
        <v>1874.16331994645</v>
      </c>
    </row>
    <row r="252" customFormat="false" ht="15" hidden="false" customHeight="false" outlineLevel="0" collapsed="false">
      <c r="A252" s="571" t="s">
        <v>446</v>
      </c>
      <c r="B252" s="328" t="str">
        <f aca="false">'[5]норма времени'!B76</f>
        <v> Определение мышьяка (ААС)</v>
      </c>
      <c r="C252" s="954" t="n">
        <v>80000</v>
      </c>
      <c r="D252" s="954" t="n">
        <v>70000</v>
      </c>
      <c r="E252" s="954" t="n">
        <v>60000</v>
      </c>
      <c r="F252" s="955" t="n">
        <f aca="false">C252+D252+E252</f>
        <v>210000</v>
      </c>
      <c r="G252" s="955" t="n">
        <f aca="false">F252/149.4</f>
        <v>1405.62248995984</v>
      </c>
      <c r="H252" s="661" t="n">
        <f aca="false">G252/60</f>
        <v>23.4270414993307</v>
      </c>
      <c r="I252" s="660" t="n">
        <f aca="false">'норма времени'!D256</f>
        <v>110</v>
      </c>
      <c r="J252" s="661" t="n">
        <f aca="false">H252*I252</f>
        <v>2576.97456492637</v>
      </c>
    </row>
    <row r="253" customFormat="false" ht="15" hidden="false" customHeight="false" outlineLevel="0" collapsed="false">
      <c r="A253" s="571" t="s">
        <v>448</v>
      </c>
      <c r="B253" s="328" t="str">
        <f aca="false">'[5]норма времени'!B77</f>
        <v> Определение мышьяка (ИВ)</v>
      </c>
      <c r="C253" s="954" t="n">
        <v>40000</v>
      </c>
      <c r="D253" s="954" t="n">
        <v>30000</v>
      </c>
      <c r="E253" s="954" t="n">
        <v>20000</v>
      </c>
      <c r="F253" s="955" t="n">
        <f aca="false">C253+D253+E253</f>
        <v>90000</v>
      </c>
      <c r="G253" s="955" t="n">
        <f aca="false">F253/149.4</f>
        <v>602.409638554217</v>
      </c>
      <c r="H253" s="661" t="n">
        <f aca="false">G253/60</f>
        <v>10.0401606425703</v>
      </c>
      <c r="I253" s="660" t="n">
        <f aca="false">'норма времени'!D257</f>
        <v>50</v>
      </c>
      <c r="J253" s="661" t="n">
        <f aca="false">H253*I253</f>
        <v>502.008032128514</v>
      </c>
    </row>
    <row r="254" customFormat="false" ht="15" hidden="false" customHeight="false" outlineLevel="0" collapsed="false">
      <c r="A254" s="571" t="s">
        <v>450</v>
      </c>
      <c r="B254" s="328" t="str">
        <f aca="false">'[5]норма времени'!B78</f>
        <v> Определение ртути (ААС)</v>
      </c>
      <c r="C254" s="954" t="n">
        <v>75000</v>
      </c>
      <c r="D254" s="954" t="n">
        <v>65000</v>
      </c>
      <c r="E254" s="954" t="n">
        <v>55000</v>
      </c>
      <c r="F254" s="955" t="n">
        <f aca="false">C254+D254+E254</f>
        <v>195000</v>
      </c>
      <c r="G254" s="955" t="n">
        <f aca="false">F254/149.4</f>
        <v>1305.22088353414</v>
      </c>
      <c r="H254" s="661" t="n">
        <f aca="false">G254/60</f>
        <v>21.7536813922356</v>
      </c>
      <c r="I254" s="660" t="n">
        <f aca="false">'норма времени'!D258</f>
        <v>140</v>
      </c>
      <c r="J254" s="661" t="n">
        <f aca="false">H254*I254</f>
        <v>3045.51539491299</v>
      </c>
    </row>
    <row r="255" customFormat="false" ht="15" hidden="false" customHeight="false" outlineLevel="0" collapsed="false">
      <c r="A255" s="571" t="s">
        <v>452</v>
      </c>
      <c r="B255" s="328" t="str">
        <f aca="false">'[5]норма времени'!B79</f>
        <v> Определение ртути (СТА)</v>
      </c>
      <c r="C255" s="954" t="n">
        <v>50000</v>
      </c>
      <c r="D255" s="954" t="n">
        <v>40000</v>
      </c>
      <c r="E255" s="954" t="n">
        <v>30000</v>
      </c>
      <c r="F255" s="955" t="n">
        <f aca="false">C255+D255+E255</f>
        <v>120000</v>
      </c>
      <c r="G255" s="955" t="n">
        <f aca="false">F255/149.4</f>
        <v>803.212851405623</v>
      </c>
      <c r="H255" s="661" t="n">
        <f aca="false">G255/60</f>
        <v>13.3868808567604</v>
      </c>
      <c r="I255" s="660" t="n">
        <f aca="false">'норма времени'!D259</f>
        <v>60</v>
      </c>
      <c r="J255" s="661" t="n">
        <f aca="false">H255*I255</f>
        <v>803.212851405623</v>
      </c>
    </row>
    <row r="256" customFormat="false" ht="14.25" hidden="false" customHeight="true" outlineLevel="0" collapsed="false">
      <c r="A256" s="571" t="s">
        <v>454</v>
      </c>
      <c r="B256" s="328" t="str">
        <f aca="false">'[5]норма времени'!B80</f>
        <v> Определение микотоксина (афлатоксин М1) </v>
      </c>
      <c r="C256" s="954" t="n">
        <v>35000</v>
      </c>
      <c r="D256" s="954" t="n">
        <v>30000</v>
      </c>
      <c r="E256" s="954" t="n">
        <v>25000</v>
      </c>
      <c r="F256" s="955" t="n">
        <f aca="false">C256+D256+E256</f>
        <v>90000</v>
      </c>
      <c r="G256" s="955" t="n">
        <f aca="false">F256/149.4</f>
        <v>602.409638554217</v>
      </c>
      <c r="H256" s="661" t="n">
        <f aca="false">G256/60</f>
        <v>10.0401606425703</v>
      </c>
      <c r="I256" s="660" t="n">
        <f aca="false">'норма времени'!D260</f>
        <v>90</v>
      </c>
      <c r="J256" s="661" t="n">
        <f aca="false">H256*I256</f>
        <v>903.614457831325</v>
      </c>
    </row>
    <row r="257" customFormat="false" ht="30" hidden="false" customHeight="false" outlineLevel="0" collapsed="false">
      <c r="A257" s="571" t="s">
        <v>456</v>
      </c>
      <c r="B257" s="328" t="str">
        <f aca="false">'[5]норма времени'!B81</f>
        <v>Определение антибиотиков в пищевых продуктов методом ВЭЖХ</v>
      </c>
      <c r="C257" s="954" t="n">
        <v>65000</v>
      </c>
      <c r="D257" s="954" t="n">
        <v>55000</v>
      </c>
      <c r="E257" s="954" t="n">
        <v>45000</v>
      </c>
      <c r="F257" s="955" t="n">
        <f aca="false">C257+D257+E257</f>
        <v>165000</v>
      </c>
      <c r="G257" s="955" t="n">
        <f aca="false">F257/149.4</f>
        <v>1104.41767068273</v>
      </c>
      <c r="H257" s="661" t="n">
        <f aca="false">G257/60</f>
        <v>18.4069611780455</v>
      </c>
      <c r="I257" s="660" t="n">
        <f aca="false">'норма времени'!D261</f>
        <v>80</v>
      </c>
      <c r="J257" s="661" t="n">
        <f aca="false">H257*I257</f>
        <v>1472.55689424364</v>
      </c>
    </row>
    <row r="258" customFormat="false" ht="15" hidden="false" customHeight="false" outlineLevel="0" collapsed="false">
      <c r="A258" s="571" t="s">
        <v>458</v>
      </c>
      <c r="B258" s="328" t="str">
        <f aca="false">'[5]норма времени'!B82</f>
        <v>Кальций</v>
      </c>
      <c r="C258" s="954" t="n">
        <v>65000</v>
      </c>
      <c r="D258" s="954" t="n">
        <v>55000</v>
      </c>
      <c r="E258" s="954" t="n">
        <v>45000</v>
      </c>
      <c r="F258" s="955" t="n">
        <f aca="false">C258+D258+E258</f>
        <v>165000</v>
      </c>
      <c r="G258" s="955" t="n">
        <f aca="false">F258/149.4</f>
        <v>1104.41767068273</v>
      </c>
      <c r="H258" s="661" t="n">
        <f aca="false">G258/60</f>
        <v>18.4069611780455</v>
      </c>
      <c r="I258" s="660" t="n">
        <f aca="false">'норма времени'!D262</f>
        <v>130</v>
      </c>
      <c r="J258" s="661" t="n">
        <f aca="false">H258*I258</f>
        <v>2392.90495314592</v>
      </c>
    </row>
    <row r="259" customFormat="false" ht="15" hidden="false" customHeight="false" outlineLevel="0" collapsed="false">
      <c r="A259" s="571" t="s">
        <v>460</v>
      </c>
      <c r="B259" s="328" t="str">
        <f aca="false">'[5]норма времени'!B83</f>
        <v>Калий</v>
      </c>
      <c r="C259" s="954" t="n">
        <v>60000</v>
      </c>
      <c r="D259" s="954" t="n">
        <v>50000</v>
      </c>
      <c r="E259" s="954" t="n">
        <v>40000</v>
      </c>
      <c r="F259" s="955" t="n">
        <f aca="false">C259+D259+E259</f>
        <v>150000</v>
      </c>
      <c r="G259" s="955" t="n">
        <f aca="false">F259/149.4</f>
        <v>1004.01606425703</v>
      </c>
      <c r="H259" s="661" t="n">
        <f aca="false">G259/60</f>
        <v>16.7336010709505</v>
      </c>
      <c r="I259" s="660" t="n">
        <f aca="false">'норма времени'!D263</f>
        <v>130</v>
      </c>
      <c r="J259" s="661" t="n">
        <f aca="false">H259*I259</f>
        <v>2175.36813922356</v>
      </c>
    </row>
    <row r="260" customFormat="false" ht="15" hidden="false" customHeight="false" outlineLevel="0" collapsed="false">
      <c r="A260" s="571" t="s">
        <v>462</v>
      </c>
      <c r="B260" s="328" t="str">
        <f aca="false">'[5]норма времени'!B84</f>
        <v>Магний</v>
      </c>
      <c r="C260" s="954" t="n">
        <v>65000</v>
      </c>
      <c r="D260" s="954" t="n">
        <v>55000</v>
      </c>
      <c r="E260" s="954" t="n">
        <v>45000</v>
      </c>
      <c r="F260" s="955" t="n">
        <f aca="false">C260+D260+E260</f>
        <v>165000</v>
      </c>
      <c r="G260" s="955" t="n">
        <f aca="false">F260/149.4</f>
        <v>1104.41767068273</v>
      </c>
      <c r="H260" s="661" t="n">
        <f aca="false">G260/60</f>
        <v>18.4069611780455</v>
      </c>
      <c r="I260" s="660" t="n">
        <f aca="false">'норма времени'!D264</f>
        <v>130</v>
      </c>
      <c r="J260" s="661" t="n">
        <f aca="false">H260*I260</f>
        <v>2392.90495314592</v>
      </c>
    </row>
    <row r="261" customFormat="false" ht="15" hidden="false" customHeight="false" outlineLevel="0" collapsed="false">
      <c r="A261" s="571" t="s">
        <v>464</v>
      </c>
      <c r="B261" s="328" t="str">
        <f aca="false">'[5]норма времени'!B85</f>
        <v>Меламин</v>
      </c>
      <c r="C261" s="954" t="n">
        <v>65000</v>
      </c>
      <c r="D261" s="954" t="n">
        <v>55000</v>
      </c>
      <c r="E261" s="954" t="n">
        <v>45000</v>
      </c>
      <c r="F261" s="955" t="n">
        <f aca="false">C261+D261+E261</f>
        <v>165000</v>
      </c>
      <c r="G261" s="955" t="n">
        <f aca="false">F261/149.4</f>
        <v>1104.41767068273</v>
      </c>
      <c r="H261" s="661" t="n">
        <f aca="false">G261/60</f>
        <v>18.4069611780455</v>
      </c>
      <c r="I261" s="660" t="n">
        <f aca="false">'норма времени'!D265</f>
        <v>60</v>
      </c>
      <c r="J261" s="661" t="n">
        <f aca="false">H261*I261</f>
        <v>1104.41767068273</v>
      </c>
    </row>
    <row r="262" customFormat="false" ht="30" hidden="false" customHeight="false" outlineLevel="0" collapsed="false">
      <c r="A262" s="571" t="s">
        <v>466</v>
      </c>
      <c r="B262" s="328" t="str">
        <f aca="false">'[5]норма времени'!B86</f>
        <v>Определение витаминов в пищевых продуктах методом ВЭЖХ. </v>
      </c>
      <c r="C262" s="954" t="n">
        <v>65000</v>
      </c>
      <c r="D262" s="954" t="n">
        <v>55000</v>
      </c>
      <c r="E262" s="954" t="n">
        <v>45000</v>
      </c>
      <c r="F262" s="955" t="n">
        <f aca="false">C262+D262+E262</f>
        <v>165000</v>
      </c>
      <c r="G262" s="955" t="n">
        <f aca="false">F262/149.4</f>
        <v>1104.41767068273</v>
      </c>
      <c r="H262" s="661" t="n">
        <f aca="false">G262/60</f>
        <v>18.4069611780455</v>
      </c>
      <c r="I262" s="660" t="n">
        <f aca="false">'норма времени'!D266</f>
        <v>160</v>
      </c>
      <c r="J262" s="661" t="n">
        <f aca="false">H262*I262</f>
        <v>2945.11378848728</v>
      </c>
    </row>
    <row r="263" customFormat="false" ht="30" hidden="false" customHeight="false" outlineLevel="0" collapsed="false">
      <c r="A263" s="571" t="s">
        <v>468</v>
      </c>
      <c r="B263" s="328" t="str">
        <f aca="false">'[5]норма времени'!B87</f>
        <v>Определение витаминов в пищевых продуктах колориметрическим методом.</v>
      </c>
      <c r="C263" s="954" t="n">
        <v>85000</v>
      </c>
      <c r="D263" s="954" t="n">
        <v>75000</v>
      </c>
      <c r="E263" s="954" t="n">
        <v>70000</v>
      </c>
      <c r="F263" s="955" t="n">
        <f aca="false">C263+D263+E263</f>
        <v>230000</v>
      </c>
      <c r="G263" s="955" t="n">
        <f aca="false">F263/149.4</f>
        <v>1539.49129852744</v>
      </c>
      <c r="H263" s="661" t="n">
        <f aca="false">G263/60</f>
        <v>25.6581883087907</v>
      </c>
      <c r="I263" s="660" t="n">
        <f aca="false">'норма времени'!D267</f>
        <v>70</v>
      </c>
      <c r="J263" s="661" t="n">
        <f aca="false">H263*I263</f>
        <v>1796.07318161535</v>
      </c>
    </row>
    <row r="264" customFormat="false" ht="15" hidden="false" customHeight="false" outlineLevel="0" collapsed="false">
      <c r="A264" s="571" t="s">
        <v>470</v>
      </c>
      <c r="B264" s="328" t="str">
        <f aca="false">'[5]норма времени'!B88</f>
        <v>Жирнокислотный состав</v>
      </c>
      <c r="C264" s="954" t="n">
        <v>65000</v>
      </c>
      <c r="D264" s="954" t="n">
        <v>60000</v>
      </c>
      <c r="E264" s="954" t="n">
        <v>50000</v>
      </c>
      <c r="F264" s="955" t="n">
        <f aca="false">C264+D264+E264</f>
        <v>175000</v>
      </c>
      <c r="G264" s="955" t="n">
        <f aca="false">F264/149.4</f>
        <v>1171.35207496653</v>
      </c>
      <c r="H264" s="661" t="n">
        <f aca="false">G264/60</f>
        <v>19.5225345827755</v>
      </c>
      <c r="I264" s="660" t="n">
        <f aca="false">'норма времени'!D268</f>
        <v>140</v>
      </c>
      <c r="J264" s="661" t="n">
        <f aca="false">H264*I264</f>
        <v>2733.15484158858</v>
      </c>
    </row>
    <row r="265" customFormat="false" ht="15" hidden="false" customHeight="false" outlineLevel="0" collapsed="false">
      <c r="A265" s="571" t="s">
        <v>472</v>
      </c>
      <c r="B265" s="328" t="str">
        <f aca="false">'[5]норма времени'!B89</f>
        <v>Степень чистоты</v>
      </c>
      <c r="C265" s="954" t="n">
        <v>35000</v>
      </c>
      <c r="D265" s="954" t="n">
        <v>30000</v>
      </c>
      <c r="E265" s="954" t="n">
        <v>25000</v>
      </c>
      <c r="F265" s="955" t="n">
        <f aca="false">C265+D265+E265</f>
        <v>90000</v>
      </c>
      <c r="G265" s="955" t="n">
        <f aca="false">F265/149.4</f>
        <v>602.409638554217</v>
      </c>
      <c r="H265" s="661" t="n">
        <f aca="false">G265/60</f>
        <v>10.0401606425703</v>
      </c>
      <c r="I265" s="660" t="n">
        <f aca="false">'норма времени'!D269</f>
        <v>70</v>
      </c>
      <c r="J265" s="661" t="n">
        <f aca="false">H265*I265</f>
        <v>702.81124497992</v>
      </c>
    </row>
    <row r="266" customFormat="false" ht="15" hidden="false" customHeight="false" outlineLevel="0" collapsed="false">
      <c r="A266" s="571" t="s">
        <v>474</v>
      </c>
      <c r="B266" s="328" t="str">
        <f aca="false">'[5]норма времени'!B90</f>
        <v>Стерины</v>
      </c>
      <c r="C266" s="954" t="n">
        <v>80000</v>
      </c>
      <c r="D266" s="954" t="n">
        <v>70000</v>
      </c>
      <c r="E266" s="954" t="n">
        <v>55000</v>
      </c>
      <c r="F266" s="955" t="n">
        <f aca="false">C266+D266+E266</f>
        <v>205000</v>
      </c>
      <c r="G266" s="955" t="n">
        <f aca="false">F266/149.4</f>
        <v>1372.15528781794</v>
      </c>
      <c r="H266" s="661" t="n">
        <f aca="false">G266/60</f>
        <v>22.8692547969656</v>
      </c>
      <c r="I266" s="660" t="n">
        <f aca="false">'норма времени'!D270</f>
        <v>130</v>
      </c>
      <c r="J266" s="661" t="n">
        <f aca="false">H266*I266</f>
        <v>2973.00312360553</v>
      </c>
    </row>
    <row r="267" customFormat="false" ht="18.75" hidden="false" customHeight="true" outlineLevel="0" collapsed="false">
      <c r="A267" s="571" t="s">
        <v>476</v>
      </c>
      <c r="B267" s="328" t="str">
        <f aca="false">'[5]норма времени'!B91</f>
        <v>Йод (при йодировании)</v>
      </c>
      <c r="C267" s="954" t="n">
        <v>30000</v>
      </c>
      <c r="D267" s="954" t="n">
        <v>15000</v>
      </c>
      <c r="E267" s="954" t="n">
        <v>10000</v>
      </c>
      <c r="F267" s="955" t="n">
        <f aca="false">C267+D267+E267</f>
        <v>55000</v>
      </c>
      <c r="G267" s="955" t="n">
        <f aca="false">F267/149.4</f>
        <v>368.13922356091</v>
      </c>
      <c r="H267" s="661" t="n">
        <f aca="false">G267/60</f>
        <v>6.13565372601517</v>
      </c>
      <c r="I267" s="660" t="n">
        <f aca="false">'норма времени'!D271</f>
        <v>110</v>
      </c>
      <c r="J267" s="661" t="n">
        <f aca="false">H267*I267</f>
        <v>674.921909861669</v>
      </c>
    </row>
    <row r="268" customFormat="false" ht="15" hidden="false" customHeight="false" outlineLevel="0" collapsed="false">
      <c r="A268" s="571" t="s">
        <v>478</v>
      </c>
      <c r="B268" s="328" t="str">
        <f aca="false">'[5]норма времени'!B92</f>
        <v>Натрий хлористый</v>
      </c>
      <c r="C268" s="954" t="n">
        <v>30000</v>
      </c>
      <c r="D268" s="954" t="n">
        <v>15000</v>
      </c>
      <c r="E268" s="954" t="n">
        <v>10000</v>
      </c>
      <c r="F268" s="955" t="n">
        <f aca="false">C268+D268+E268</f>
        <v>55000</v>
      </c>
      <c r="G268" s="955" t="n">
        <f aca="false">F268/149.4</f>
        <v>368.13922356091</v>
      </c>
      <c r="H268" s="661" t="n">
        <f aca="false">G268/60</f>
        <v>6.13565372601517</v>
      </c>
      <c r="I268" s="660" t="n">
        <f aca="false">'норма времени'!D272</f>
        <v>110</v>
      </c>
      <c r="J268" s="661" t="n">
        <f aca="false">H268*I268</f>
        <v>674.921909861669</v>
      </c>
    </row>
    <row r="269" customFormat="false" ht="42.75" hidden="false" customHeight="false" outlineLevel="0" collapsed="false">
      <c r="A269" s="350" t="s">
        <v>480</v>
      </c>
      <c r="B269" s="467" t="str">
        <f aca="false">'[5]норма времени'!B93</f>
        <v> Рыба, нерыбные объекты промысла и продукты, вырабатываемые из них, консервы и пресервы рыбные</v>
      </c>
      <c r="C269" s="1253"/>
      <c r="D269" s="1253"/>
      <c r="E269" s="1253"/>
      <c r="F269" s="1254"/>
      <c r="G269" s="1254"/>
      <c r="H269" s="1250"/>
      <c r="I269" s="1255"/>
      <c r="J269" s="1250"/>
    </row>
    <row r="270" customFormat="false" ht="15" hidden="false" customHeight="false" outlineLevel="0" collapsed="false">
      <c r="A270" s="571" t="s">
        <v>482</v>
      </c>
      <c r="B270" s="328" t="str">
        <f aca="false">'[5]норма времени'!B94</f>
        <v> Определение органолептических показателей</v>
      </c>
      <c r="C270" s="954" t="n">
        <v>50000</v>
      </c>
      <c r="D270" s="954" t="n">
        <v>40000</v>
      </c>
      <c r="E270" s="954" t="n">
        <v>30000</v>
      </c>
      <c r="F270" s="955" t="n">
        <f aca="false">C270+D270+E270</f>
        <v>120000</v>
      </c>
      <c r="G270" s="955" t="n">
        <f aca="false">F270/149.4</f>
        <v>803.212851405623</v>
      </c>
      <c r="H270" s="661" t="n">
        <f aca="false">G270/60</f>
        <v>13.3868808567604</v>
      </c>
      <c r="I270" s="660" t="n">
        <f aca="false">'норма времени'!D274</f>
        <v>45</v>
      </c>
      <c r="J270" s="661" t="n">
        <f aca="false">H270*I270</f>
        <v>602.409638554217</v>
      </c>
    </row>
    <row r="271" customFormat="false" ht="15" hidden="false" customHeight="false" outlineLevel="0" collapsed="false">
      <c r="A271" s="571" t="s">
        <v>483</v>
      </c>
      <c r="B271" s="328" t="str">
        <f aca="false">'[5]норма времени'!B95</f>
        <v>Определение поваренной соли</v>
      </c>
      <c r="C271" s="954" t="n">
        <v>60000</v>
      </c>
      <c r="D271" s="954" t="n">
        <v>50000</v>
      </c>
      <c r="E271" s="954" t="n">
        <v>40000</v>
      </c>
      <c r="F271" s="955" t="n">
        <f aca="false">C271+D271+E271</f>
        <v>150000</v>
      </c>
      <c r="G271" s="955" t="n">
        <f aca="false">F271/149.4</f>
        <v>1004.01606425703</v>
      </c>
      <c r="H271" s="661" t="n">
        <f aca="false">G271/60</f>
        <v>16.7336010709505</v>
      </c>
      <c r="I271" s="660" t="n">
        <f aca="false">'норма времени'!D275</f>
        <v>40</v>
      </c>
      <c r="J271" s="661" t="n">
        <f aca="false">H271*I271</f>
        <v>669.344042838019</v>
      </c>
    </row>
    <row r="272" customFormat="false" ht="15" hidden="false" customHeight="false" outlineLevel="0" collapsed="false">
      <c r="A272" s="571" t="s">
        <v>484</v>
      </c>
      <c r="B272" s="328" t="str">
        <f aca="false">'[5]норма времени'!B96</f>
        <v> Определение влаги  ускоренным методом</v>
      </c>
      <c r="C272" s="954" t="n">
        <v>60000</v>
      </c>
      <c r="D272" s="954" t="n">
        <v>50000</v>
      </c>
      <c r="E272" s="954" t="n">
        <v>40000</v>
      </c>
      <c r="F272" s="955" t="n">
        <f aca="false">C272+D272+E272</f>
        <v>150000</v>
      </c>
      <c r="G272" s="955" t="n">
        <f aca="false">F272/149.4</f>
        <v>1004.01606425703</v>
      </c>
      <c r="H272" s="661" t="n">
        <f aca="false">G272/60</f>
        <v>16.7336010709505</v>
      </c>
      <c r="I272" s="660" t="n">
        <f aca="false">'норма времени'!D276</f>
        <v>90</v>
      </c>
      <c r="J272" s="661" t="n">
        <f aca="false">H272*I272</f>
        <v>1506.02409638554</v>
      </c>
    </row>
    <row r="273" customFormat="false" ht="15" hidden="false" customHeight="false" outlineLevel="0" collapsed="false">
      <c r="A273" s="571" t="s">
        <v>486</v>
      </c>
      <c r="B273" s="328" t="str">
        <f aca="false">'[5]норма времени'!B97</f>
        <v> Определение влаги  арбитражным методом</v>
      </c>
      <c r="C273" s="954" t="n">
        <v>50000</v>
      </c>
      <c r="D273" s="954" t="n">
        <v>40000</v>
      </c>
      <c r="E273" s="954" t="n">
        <v>30000</v>
      </c>
      <c r="F273" s="955" t="n">
        <f aca="false">C273+D273+E273</f>
        <v>120000</v>
      </c>
      <c r="G273" s="955" t="n">
        <f aca="false">F273/149.4</f>
        <v>803.212851405623</v>
      </c>
      <c r="H273" s="661" t="n">
        <f aca="false">G273/60</f>
        <v>13.3868808567604</v>
      </c>
      <c r="I273" s="660" t="n">
        <f aca="false">'норма времени'!D277</f>
        <v>110</v>
      </c>
      <c r="J273" s="661" t="n">
        <f aca="false">H273*I273</f>
        <v>1472.55689424364</v>
      </c>
    </row>
    <row r="274" customFormat="false" ht="15" hidden="false" customHeight="false" outlineLevel="0" collapsed="false">
      <c r="A274" s="571" t="s">
        <v>487</v>
      </c>
      <c r="B274" s="328" t="str">
        <f aca="false">'[5]норма времени'!B98</f>
        <v> Определение жира ( по Герберу)</v>
      </c>
      <c r="C274" s="954" t="n">
        <v>50000</v>
      </c>
      <c r="D274" s="954" t="n">
        <v>40000</v>
      </c>
      <c r="E274" s="954" t="n">
        <v>30000</v>
      </c>
      <c r="F274" s="955" t="n">
        <f aca="false">C274+D274+E274</f>
        <v>120000</v>
      </c>
      <c r="G274" s="955" t="n">
        <f aca="false">F274/149.4</f>
        <v>803.212851405623</v>
      </c>
      <c r="H274" s="661" t="n">
        <f aca="false">G274/60</f>
        <v>13.3868808567604</v>
      </c>
      <c r="I274" s="660" t="n">
        <f aca="false">'норма времени'!D278</f>
        <v>110</v>
      </c>
      <c r="J274" s="661" t="n">
        <f aca="false">H274*I274</f>
        <v>1472.55689424364</v>
      </c>
    </row>
    <row r="275" customFormat="false" ht="15" hidden="false" customHeight="false" outlineLevel="0" collapsed="false">
      <c r="A275" s="571" t="s">
        <v>488</v>
      </c>
      <c r="B275" s="328" t="str">
        <f aca="false">'[5]норма времени'!B99</f>
        <v> Определение жира (по Сокслету)</v>
      </c>
      <c r="C275" s="954" t="n">
        <v>35000</v>
      </c>
      <c r="D275" s="954" t="n">
        <v>25000</v>
      </c>
      <c r="E275" s="954" t="n">
        <v>15000</v>
      </c>
      <c r="F275" s="955" t="n">
        <f aca="false">C275+D275+E275</f>
        <v>75000</v>
      </c>
      <c r="G275" s="955" t="n">
        <f aca="false">F275/149.4</f>
        <v>502.008032128514</v>
      </c>
      <c r="H275" s="661" t="n">
        <f aca="false">G275/60</f>
        <v>8.36680053547523</v>
      </c>
      <c r="I275" s="660" t="n">
        <f aca="false">'норма времени'!D279</f>
        <v>30</v>
      </c>
      <c r="J275" s="661" t="n">
        <f aca="false">H275*I275</f>
        <v>251.004016064257</v>
      </c>
    </row>
    <row r="276" customFormat="false" ht="30" hidden="false" customHeight="false" outlineLevel="0" collapsed="false">
      <c r="A276" s="571" t="s">
        <v>489</v>
      </c>
      <c r="B276" s="328" t="str">
        <f aca="false">'[5]норма времени'!B100</f>
        <v> Определение кислотности (в перерасчете на яблочную кислоту) </v>
      </c>
      <c r="C276" s="954" t="n">
        <v>40000</v>
      </c>
      <c r="D276" s="954" t="n">
        <v>30000</v>
      </c>
      <c r="E276" s="954" t="n">
        <v>25000</v>
      </c>
      <c r="F276" s="955" t="n">
        <f aca="false">C276+D276+E276</f>
        <v>95000</v>
      </c>
      <c r="G276" s="955" t="n">
        <f aca="false">F276/149.4</f>
        <v>635.876840696118</v>
      </c>
      <c r="H276" s="661" t="n">
        <f aca="false">G276/60</f>
        <v>10.5979473449353</v>
      </c>
      <c r="I276" s="660" t="n">
        <f aca="false">'норма времени'!D280</f>
        <v>100</v>
      </c>
      <c r="J276" s="661" t="n">
        <f aca="false">H276*I276</f>
        <v>1059.79473449353</v>
      </c>
    </row>
    <row r="277" customFormat="false" ht="15" hidden="false" customHeight="false" outlineLevel="0" collapsed="false">
      <c r="A277" s="571" t="s">
        <v>491</v>
      </c>
      <c r="B277" s="328" t="str">
        <f aca="false">'[5]норма времени'!B101</f>
        <v> Определение свинца (ААС)</v>
      </c>
      <c r="C277" s="954" t="n">
        <v>45000</v>
      </c>
      <c r="D277" s="954" t="n">
        <v>35000</v>
      </c>
      <c r="E277" s="954" t="n">
        <v>30000</v>
      </c>
      <c r="F277" s="955" t="n">
        <f aca="false">C277+D277+E277</f>
        <v>110000</v>
      </c>
      <c r="G277" s="955" t="n">
        <f aca="false">F277/149.4</f>
        <v>736.278447121821</v>
      </c>
      <c r="H277" s="661" t="n">
        <f aca="false">G277/60</f>
        <v>12.2713074520303</v>
      </c>
      <c r="I277" s="660" t="n">
        <f aca="false">'норма времени'!D281</f>
        <v>200</v>
      </c>
      <c r="J277" s="661" t="n">
        <f aca="false">H277*I277</f>
        <v>2454.26149040607</v>
      </c>
    </row>
    <row r="278" customFormat="false" ht="15" hidden="false" customHeight="false" outlineLevel="0" collapsed="false">
      <c r="A278" s="571" t="s">
        <v>492</v>
      </c>
      <c r="B278" s="328" t="str">
        <f aca="false">'[5]норма времени'!B102</f>
        <v> Определение свинца (ИВ)</v>
      </c>
      <c r="C278" s="954" t="n">
        <v>55000</v>
      </c>
      <c r="D278" s="954" t="n">
        <v>45000</v>
      </c>
      <c r="E278" s="954" t="n">
        <v>35000</v>
      </c>
      <c r="F278" s="955" t="n">
        <f aca="false">C278+D278+E278</f>
        <v>135000</v>
      </c>
      <c r="G278" s="955" t="n">
        <f aca="false">F278/149.4</f>
        <v>903.614457831325</v>
      </c>
      <c r="H278" s="661" t="n">
        <f aca="false">G278/60</f>
        <v>15.0602409638554</v>
      </c>
      <c r="I278" s="660" t="n">
        <f aca="false">'норма времени'!D282</f>
        <v>60</v>
      </c>
      <c r="J278" s="661" t="n">
        <f aca="false">H278*I278</f>
        <v>903.614457831325</v>
      </c>
    </row>
    <row r="279" customFormat="false" ht="15" hidden="false" customHeight="false" outlineLevel="0" collapsed="false">
      <c r="A279" s="571" t="s">
        <v>494</v>
      </c>
      <c r="B279" s="328" t="str">
        <f aca="false">'[5]норма времени'!B103</f>
        <v> Определение кадмия  (ААС)</v>
      </c>
      <c r="C279" s="954" t="n">
        <v>45000</v>
      </c>
      <c r="D279" s="954" t="n">
        <v>35000</v>
      </c>
      <c r="E279" s="954" t="n">
        <v>30000</v>
      </c>
      <c r="F279" s="955" t="n">
        <f aca="false">C279+D279+E279</f>
        <v>110000</v>
      </c>
      <c r="G279" s="955" t="n">
        <f aca="false">F279/149.4</f>
        <v>736.278447121821</v>
      </c>
      <c r="H279" s="661" t="n">
        <f aca="false">G279/60</f>
        <v>12.2713074520303</v>
      </c>
      <c r="I279" s="660" t="n">
        <f aca="false">'норма времени'!D283</f>
        <v>200</v>
      </c>
      <c r="J279" s="661" t="n">
        <f aca="false">H279*I279</f>
        <v>2454.26149040607</v>
      </c>
    </row>
    <row r="280" customFormat="false" ht="15" hidden="false" customHeight="false" outlineLevel="0" collapsed="false">
      <c r="A280" s="571" t="s">
        <v>496</v>
      </c>
      <c r="B280" s="328" t="str">
        <f aca="false">'[5]норма времени'!B104</f>
        <v> Определение кадмия  (ИВ)</v>
      </c>
      <c r="C280" s="954" t="n">
        <v>45000</v>
      </c>
      <c r="D280" s="954" t="n">
        <v>35000</v>
      </c>
      <c r="E280" s="954" t="n">
        <v>30000</v>
      </c>
      <c r="F280" s="955" t="n">
        <f aca="false">C280+D280+E280</f>
        <v>110000</v>
      </c>
      <c r="G280" s="955" t="n">
        <f aca="false">F280/149.4</f>
        <v>736.278447121821</v>
      </c>
      <c r="H280" s="661" t="n">
        <f aca="false">G280/60</f>
        <v>12.2713074520303</v>
      </c>
      <c r="I280" s="660" t="n">
        <f aca="false">'норма времени'!D284</f>
        <v>80</v>
      </c>
      <c r="J280" s="661" t="n">
        <f aca="false">H280*I280</f>
        <v>981.704596162428</v>
      </c>
    </row>
    <row r="281" customFormat="false" ht="15" hidden="false" customHeight="false" outlineLevel="0" collapsed="false">
      <c r="A281" s="571" t="s">
        <v>498</v>
      </c>
      <c r="B281" s="328" t="str">
        <f aca="false">'[5]норма времени'!B105</f>
        <v> Определение сухих веществ</v>
      </c>
      <c r="C281" s="954" t="n">
        <v>50000</v>
      </c>
      <c r="D281" s="954" t="n">
        <v>40000</v>
      </c>
      <c r="E281" s="954" t="n">
        <v>30000</v>
      </c>
      <c r="F281" s="955" t="n">
        <f aca="false">C281+D281+E281</f>
        <v>120000</v>
      </c>
      <c r="G281" s="955" t="n">
        <f aca="false">F281/149.4</f>
        <v>803.212851405623</v>
      </c>
      <c r="H281" s="661" t="n">
        <f aca="false">G281/60</f>
        <v>13.3868808567604</v>
      </c>
      <c r="I281" s="660" t="n">
        <f aca="false">'норма времени'!D285</f>
        <v>60</v>
      </c>
      <c r="J281" s="661" t="n">
        <f aca="false">H281*I281</f>
        <v>803.212851405623</v>
      </c>
    </row>
    <row r="282" customFormat="false" ht="19.5" hidden="false" customHeight="true" outlineLevel="0" collapsed="false">
      <c r="A282" s="571" t="s">
        <v>500</v>
      </c>
      <c r="B282" s="328" t="str">
        <f aca="false">'[5]норма времени'!B106</f>
        <v> Определение олова (для консервов в сборной жестяной таре)</v>
      </c>
      <c r="C282" s="954" t="n">
        <v>55000</v>
      </c>
      <c r="D282" s="954" t="n">
        <v>45000</v>
      </c>
      <c r="E282" s="954" t="n">
        <v>35000</v>
      </c>
      <c r="F282" s="955" t="n">
        <f aca="false">C282+D282+E282</f>
        <v>135000</v>
      </c>
      <c r="G282" s="955" t="n">
        <f aca="false">F282/149.4</f>
        <v>903.614457831325</v>
      </c>
      <c r="H282" s="661" t="n">
        <f aca="false">G282/60</f>
        <v>15.0602409638554</v>
      </c>
      <c r="I282" s="660" t="n">
        <f aca="false">'норма времени'!D286</f>
        <v>170</v>
      </c>
      <c r="J282" s="661" t="n">
        <f aca="false">H282*I282</f>
        <v>2560.24096385542</v>
      </c>
    </row>
    <row r="283" customFormat="false" ht="30" hidden="false" customHeight="false" outlineLevel="0" collapsed="false">
      <c r="A283" s="571" t="s">
        <v>501</v>
      </c>
      <c r="B283" s="328" t="str">
        <f aca="false">'[5]норма времени'!B107</f>
        <v> Определение хрома (для консервов в сборной хромированной таре) </v>
      </c>
      <c r="C283" s="954" t="n">
        <v>55000</v>
      </c>
      <c r="D283" s="954" t="n">
        <v>45000</v>
      </c>
      <c r="E283" s="954" t="n">
        <v>35000</v>
      </c>
      <c r="F283" s="955" t="n">
        <f aca="false">C283+D283+E283</f>
        <v>135000</v>
      </c>
      <c r="G283" s="955" t="n">
        <f aca="false">F283/149.4</f>
        <v>903.614457831325</v>
      </c>
      <c r="H283" s="661" t="n">
        <f aca="false">G283/60</f>
        <v>15.0602409638554</v>
      </c>
      <c r="I283" s="660" t="n">
        <f aca="false">'норма времени'!D287</f>
        <v>150</v>
      </c>
      <c r="J283" s="661" t="n">
        <f aca="false">H283*I283</f>
        <v>2259.03614457831</v>
      </c>
    </row>
    <row r="284" customFormat="false" ht="15" hidden="false" customHeight="false" outlineLevel="0" collapsed="false">
      <c r="A284" s="571" t="s">
        <v>502</v>
      </c>
      <c r="B284" s="328" t="str">
        <f aca="false">'[5]норма времени'!B108</f>
        <v> Определение мышьяка (ААС)</v>
      </c>
      <c r="C284" s="954" t="n">
        <v>50000</v>
      </c>
      <c r="D284" s="954" t="n">
        <v>40000</v>
      </c>
      <c r="E284" s="954" t="n">
        <v>30000</v>
      </c>
      <c r="F284" s="955" t="n">
        <f aca="false">C284+D284+E284</f>
        <v>120000</v>
      </c>
      <c r="G284" s="955" t="n">
        <f aca="false">F284/149.4</f>
        <v>803.212851405623</v>
      </c>
      <c r="H284" s="661" t="n">
        <f aca="false">G284/60</f>
        <v>13.3868808567604</v>
      </c>
      <c r="I284" s="660" t="n">
        <f aca="false">'норма времени'!D288</f>
        <v>170</v>
      </c>
      <c r="J284" s="661" t="n">
        <f aca="false">H284*I284</f>
        <v>2275.76974564926</v>
      </c>
    </row>
    <row r="285" customFormat="false" ht="15" hidden="false" customHeight="false" outlineLevel="0" collapsed="false">
      <c r="A285" s="571" t="s">
        <v>503</v>
      </c>
      <c r="B285" s="328" t="str">
        <f aca="false">'[5]норма времени'!B109</f>
        <v> Определение мышьяка (ИВ)</v>
      </c>
      <c r="C285" s="954" t="n">
        <v>50000</v>
      </c>
      <c r="D285" s="954" t="n">
        <v>40000</v>
      </c>
      <c r="E285" s="954" t="n">
        <v>30000</v>
      </c>
      <c r="F285" s="955" t="n">
        <f aca="false">C285+D285+E285</f>
        <v>120000</v>
      </c>
      <c r="G285" s="955" t="n">
        <f aca="false">F285/149.4</f>
        <v>803.212851405623</v>
      </c>
      <c r="H285" s="661" t="n">
        <f aca="false">G285/60</f>
        <v>13.3868808567604</v>
      </c>
      <c r="I285" s="660" t="n">
        <f aca="false">'норма времени'!D289</f>
        <v>60</v>
      </c>
      <c r="J285" s="661" t="n">
        <f aca="false">H285*I285</f>
        <v>803.212851405623</v>
      </c>
    </row>
    <row r="286" customFormat="false" ht="15" hidden="false" customHeight="false" outlineLevel="0" collapsed="false">
      <c r="A286" s="571" t="s">
        <v>505</v>
      </c>
      <c r="B286" s="328" t="str">
        <f aca="false">'[5]норма времени'!B110</f>
        <v> Определение ртути (ААС)</v>
      </c>
      <c r="C286" s="954" t="n">
        <v>65000</v>
      </c>
      <c r="D286" s="954" t="n">
        <v>55000</v>
      </c>
      <c r="E286" s="954" t="n">
        <v>45000</v>
      </c>
      <c r="F286" s="955" t="n">
        <f aca="false">C286+D286+E286</f>
        <v>165000</v>
      </c>
      <c r="G286" s="955" t="n">
        <f aca="false">F286/149.4</f>
        <v>1104.41767068273</v>
      </c>
      <c r="H286" s="661" t="n">
        <f aca="false">G286/60</f>
        <v>18.4069611780455</v>
      </c>
      <c r="I286" s="660" t="n">
        <f aca="false">'норма времени'!D290</f>
        <v>140</v>
      </c>
      <c r="J286" s="661" t="n">
        <f aca="false">H286*I286</f>
        <v>2576.97456492637</v>
      </c>
    </row>
    <row r="287" customFormat="false" ht="15" hidden="false" customHeight="false" outlineLevel="0" collapsed="false">
      <c r="A287" s="571" t="s">
        <v>507</v>
      </c>
      <c r="B287" s="328" t="str">
        <f aca="false">'[5]норма времени'!B111</f>
        <v> Определение ртути (СТА)</v>
      </c>
      <c r="C287" s="954" t="n">
        <v>45000</v>
      </c>
      <c r="D287" s="954" t="n">
        <v>35000</v>
      </c>
      <c r="E287" s="954" t="n">
        <v>30000</v>
      </c>
      <c r="F287" s="955" t="n">
        <f aca="false">C287+D287+E287</f>
        <v>110000</v>
      </c>
      <c r="G287" s="955" t="n">
        <f aca="false">F287/149.4</f>
        <v>736.278447121821</v>
      </c>
      <c r="H287" s="661" t="n">
        <f aca="false">G287/60</f>
        <v>12.2713074520303</v>
      </c>
      <c r="I287" s="660" t="n">
        <f aca="false">'норма времени'!D291</f>
        <v>70</v>
      </c>
      <c r="J287" s="661" t="n">
        <f aca="false">H287*I287</f>
        <v>858.991521642124</v>
      </c>
    </row>
    <row r="288" customFormat="false" ht="30" hidden="false" customHeight="false" outlineLevel="0" collapsed="false">
      <c r="A288" s="571" t="s">
        <v>509</v>
      </c>
      <c r="B288" s="328" t="str">
        <f aca="false">'[5]норма времени'!B112</f>
        <v> Определение гистамина (скумбриевые, тунцовые, сельдевые, лососевые) </v>
      </c>
      <c r="C288" s="954" t="n">
        <v>65000</v>
      </c>
      <c r="D288" s="954" t="n">
        <v>55000</v>
      </c>
      <c r="E288" s="954" t="n">
        <v>45000</v>
      </c>
      <c r="F288" s="955" t="n">
        <f aca="false">C288+D288+E288</f>
        <v>165000</v>
      </c>
      <c r="G288" s="955" t="n">
        <f aca="false">F288/149.4</f>
        <v>1104.41767068273</v>
      </c>
      <c r="H288" s="661" t="n">
        <f aca="false">G288/60</f>
        <v>18.4069611780455</v>
      </c>
      <c r="I288" s="660" t="n">
        <f aca="false">'норма времени'!D292</f>
        <v>175</v>
      </c>
      <c r="J288" s="661" t="n">
        <f aca="false">H288*I288</f>
        <v>3221.21820615796</v>
      </c>
    </row>
    <row r="289" customFormat="false" ht="23.25" hidden="false" customHeight="true" outlineLevel="0" collapsed="false">
      <c r="A289" s="571" t="s">
        <v>511</v>
      </c>
      <c r="B289" s="328" t="str">
        <f aca="false">'[5]норма времени'!B113</f>
        <v> Определение нитрозаминов </v>
      </c>
      <c r="C289" s="954" t="n">
        <v>65000</v>
      </c>
      <c r="D289" s="954" t="n">
        <v>55000</v>
      </c>
      <c r="E289" s="954" t="n">
        <v>45000</v>
      </c>
      <c r="F289" s="955" t="n">
        <f aca="false">C289+D289+E289</f>
        <v>165000</v>
      </c>
      <c r="G289" s="955" t="n">
        <f aca="false">F289/149.4</f>
        <v>1104.41767068273</v>
      </c>
      <c r="H289" s="661" t="n">
        <f aca="false">G289/60</f>
        <v>18.4069611780455</v>
      </c>
      <c r="I289" s="660" t="n">
        <f aca="false">'норма времени'!D293</f>
        <v>60</v>
      </c>
      <c r="J289" s="661" t="n">
        <f aca="false">H289*I289</f>
        <v>1104.41767068273</v>
      </c>
    </row>
    <row r="290" customFormat="false" ht="15" hidden="false" customHeight="false" outlineLevel="0" collapsed="false">
      <c r="A290" s="571" t="s">
        <v>513</v>
      </c>
      <c r="B290" s="328" t="str">
        <f aca="false">'[5]норма времени'!B114</f>
        <v> Определение бенз(а)пирина для копченых продуктов </v>
      </c>
      <c r="C290" s="954" t="n">
        <v>45000</v>
      </c>
      <c r="D290" s="954" t="n">
        <v>35000</v>
      </c>
      <c r="E290" s="954" t="n">
        <v>25000</v>
      </c>
      <c r="F290" s="955" t="n">
        <f aca="false">C290+D290+E290</f>
        <v>105000</v>
      </c>
      <c r="G290" s="955" t="n">
        <f aca="false">F290/149.4</f>
        <v>702.81124497992</v>
      </c>
      <c r="H290" s="661" t="n">
        <f aca="false">G290/60</f>
        <v>11.7135207496653</v>
      </c>
      <c r="I290" s="660" t="n">
        <f aca="false">'норма времени'!D294</f>
        <v>20</v>
      </c>
      <c r="J290" s="661" t="n">
        <f aca="false">H290*I290</f>
        <v>234.270414993307</v>
      </c>
    </row>
    <row r="291" customFormat="false" ht="15" hidden="false" customHeight="false" outlineLevel="0" collapsed="false">
      <c r="A291" s="571" t="s">
        <v>514</v>
      </c>
      <c r="B291" s="328" t="str">
        <f aca="false">'[5]норма времени'!B115</f>
        <v>Определение бензойнокислого натрия (по показанию)</v>
      </c>
      <c r="C291" s="954" t="n">
        <v>45000</v>
      </c>
      <c r="D291" s="954" t="n">
        <v>35000</v>
      </c>
      <c r="E291" s="954" t="n">
        <v>25000</v>
      </c>
      <c r="F291" s="955" t="n">
        <f aca="false">C291+D291+E291</f>
        <v>105000</v>
      </c>
      <c r="G291" s="955" t="n">
        <f aca="false">F291/149.4</f>
        <v>702.81124497992</v>
      </c>
      <c r="H291" s="661" t="n">
        <f aca="false">G291/60</f>
        <v>11.7135207496653</v>
      </c>
      <c r="I291" s="660" t="n">
        <f aca="false">'норма времени'!D295</f>
        <v>85</v>
      </c>
      <c r="J291" s="661" t="n">
        <f aca="false">H291*I291</f>
        <v>995.649263721553</v>
      </c>
    </row>
    <row r="292" customFormat="false" ht="15" hidden="false" customHeight="false" outlineLevel="0" collapsed="false">
      <c r="A292" s="571" t="s">
        <v>516</v>
      </c>
      <c r="B292" s="328" t="str">
        <f aca="false">'[5]норма времени'!B116</f>
        <v>Определение домоевой кислоты</v>
      </c>
      <c r="C292" s="954" t="n">
        <v>60000</v>
      </c>
      <c r="D292" s="954" t="n">
        <v>50000</v>
      </c>
      <c r="E292" s="954" t="n">
        <v>40000</v>
      </c>
      <c r="F292" s="955" t="n">
        <f aca="false">C292+D292+E292</f>
        <v>150000</v>
      </c>
      <c r="G292" s="955" t="n">
        <f aca="false">F292/149.4</f>
        <v>1004.01606425703</v>
      </c>
      <c r="H292" s="661" t="n">
        <f aca="false">G292/60</f>
        <v>16.7336010709505</v>
      </c>
      <c r="I292" s="660" t="n">
        <f aca="false">'норма времени'!D296</f>
        <v>180</v>
      </c>
      <c r="J292" s="661" t="n">
        <f aca="false">H292*I292</f>
        <v>3012.04819277108</v>
      </c>
    </row>
    <row r="293" customFormat="false" ht="15" hidden="false" customHeight="false" outlineLevel="0" collapsed="false">
      <c r="A293" s="571" t="s">
        <v>518</v>
      </c>
      <c r="B293" s="328" t="str">
        <f aca="false">'[5]норма времени'!B117</f>
        <v>Определение посторонних примесей</v>
      </c>
      <c r="C293" s="954" t="n">
        <v>70000</v>
      </c>
      <c r="D293" s="954" t="n">
        <v>60000</v>
      </c>
      <c r="E293" s="954" t="n">
        <v>50000</v>
      </c>
      <c r="F293" s="955" t="n">
        <f aca="false">C293+D293+E293</f>
        <v>180000</v>
      </c>
      <c r="G293" s="955" t="n">
        <f aca="false">F293/149.4</f>
        <v>1204.81927710843</v>
      </c>
      <c r="H293" s="661" t="n">
        <f aca="false">G293/60</f>
        <v>20.0803212851406</v>
      </c>
      <c r="I293" s="660" t="n">
        <f aca="false">'норма времени'!D297</f>
        <v>45</v>
      </c>
      <c r="J293" s="661" t="n">
        <f aca="false">H293*I293</f>
        <v>903.614457831325</v>
      </c>
    </row>
    <row r="294" customFormat="false" ht="15" hidden="false" customHeight="false" outlineLevel="0" collapsed="false">
      <c r="A294" s="571" t="s">
        <v>519</v>
      </c>
      <c r="B294" s="328" t="str">
        <f aca="false">'[5]норма времени'!B118</f>
        <v>Определение составных частей</v>
      </c>
      <c r="C294" s="954" t="n">
        <v>70000</v>
      </c>
      <c r="D294" s="954" t="n">
        <v>60000</v>
      </c>
      <c r="E294" s="954" t="n">
        <v>50000</v>
      </c>
      <c r="F294" s="955" t="n">
        <f aca="false">C294+D294+E294</f>
        <v>180000</v>
      </c>
      <c r="G294" s="955" t="n">
        <f aca="false">F294/149.4</f>
        <v>1204.81927710843</v>
      </c>
      <c r="H294" s="661" t="n">
        <f aca="false">G294/60</f>
        <v>20.0803212851406</v>
      </c>
      <c r="I294" s="660" t="n">
        <f aca="false">'норма времени'!D298</f>
        <v>45</v>
      </c>
      <c r="J294" s="661" t="n">
        <f aca="false">H294*I294</f>
        <v>903.614457831325</v>
      </c>
    </row>
    <row r="295" customFormat="false" ht="15" hidden="false" customHeight="false" outlineLevel="0" collapsed="false">
      <c r="A295" s="571" t="s">
        <v>521</v>
      </c>
      <c r="B295" s="328" t="str">
        <f aca="false">'[5]норма времени'!B119</f>
        <v>Определение отстоя к массе рыб</v>
      </c>
      <c r="C295" s="954" t="n">
        <v>70000</v>
      </c>
      <c r="D295" s="954" t="n">
        <v>60000</v>
      </c>
      <c r="E295" s="954" t="n">
        <v>50000</v>
      </c>
      <c r="F295" s="955" t="n">
        <f aca="false">C295+D295+E295</f>
        <v>180000</v>
      </c>
      <c r="G295" s="955" t="n">
        <f aca="false">F295/149.4</f>
        <v>1204.81927710843</v>
      </c>
      <c r="H295" s="661" t="n">
        <f aca="false">G295/60</f>
        <v>20.0803212851406</v>
      </c>
      <c r="I295" s="660" t="n">
        <f aca="false">'норма времени'!D299</f>
        <v>45</v>
      </c>
      <c r="J295" s="661" t="n">
        <f aca="false">H295*I295</f>
        <v>903.614457831325</v>
      </c>
    </row>
    <row r="296" customFormat="false" ht="15" hidden="false" customHeight="false" outlineLevel="0" collapsed="false">
      <c r="A296" s="571" t="s">
        <v>523</v>
      </c>
      <c r="B296" s="328" t="str">
        <f aca="false">'[5]норма времени'!B120</f>
        <v> Определение белоковых веществ (сырой протеин)</v>
      </c>
      <c r="C296" s="954" t="n">
        <v>80000</v>
      </c>
      <c r="D296" s="954" t="n">
        <v>70000</v>
      </c>
      <c r="E296" s="954" t="n">
        <v>60000</v>
      </c>
      <c r="F296" s="955" t="n">
        <f aca="false">C296+D296+E296</f>
        <v>210000</v>
      </c>
      <c r="G296" s="955" t="n">
        <f aca="false">F296/149.4</f>
        <v>1405.62248995984</v>
      </c>
      <c r="H296" s="661" t="n">
        <f aca="false">G296/60</f>
        <v>23.4270414993307</v>
      </c>
      <c r="I296" s="660" t="n">
        <f aca="false">'норма времени'!D300</f>
        <v>70</v>
      </c>
      <c r="J296" s="661" t="n">
        <f aca="false">H296*I296</f>
        <v>1639.89290495315</v>
      </c>
    </row>
    <row r="297" customFormat="false" ht="28.5" hidden="false" customHeight="false" outlineLevel="0" collapsed="false">
      <c r="A297" s="350" t="s">
        <v>525</v>
      </c>
      <c r="B297" s="467" t="str">
        <f aca="false">'[5]норма времени'!B121</f>
        <v>Зерно (семена) мукомольно-крупяные и хлебобулочные изделия </v>
      </c>
      <c r="C297" s="1253"/>
      <c r="D297" s="1253"/>
      <c r="E297" s="1253"/>
      <c r="F297" s="1254"/>
      <c r="G297" s="1254"/>
      <c r="H297" s="1250"/>
      <c r="I297" s="1255"/>
      <c r="J297" s="1250"/>
    </row>
    <row r="298" customFormat="false" ht="15" hidden="false" customHeight="false" outlineLevel="0" collapsed="false">
      <c r="A298" s="571" t="s">
        <v>527</v>
      </c>
      <c r="B298" s="328" t="str">
        <f aca="false">'[5]норма времени'!B122</f>
        <v> Определение органолептических показателей</v>
      </c>
      <c r="C298" s="954" t="n">
        <v>50000</v>
      </c>
      <c r="D298" s="954" t="n">
        <v>40000</v>
      </c>
      <c r="E298" s="954" t="n">
        <v>30000</v>
      </c>
      <c r="F298" s="955" t="n">
        <f aca="false">C298+D298+E298</f>
        <v>120000</v>
      </c>
      <c r="G298" s="955" t="n">
        <f aca="false">F298/149.4</f>
        <v>803.212851405623</v>
      </c>
      <c r="H298" s="661" t="n">
        <f aca="false">G298/60</f>
        <v>13.3868808567604</v>
      </c>
      <c r="I298" s="660" t="n">
        <f aca="false">'норма времени'!D302</f>
        <v>45</v>
      </c>
      <c r="J298" s="661" t="n">
        <f aca="false">H298*I298</f>
        <v>602.409638554217</v>
      </c>
    </row>
    <row r="299" customFormat="false" ht="30" hidden="false" customHeight="false" outlineLevel="0" collapsed="false">
      <c r="A299" s="571" t="s">
        <v>528</v>
      </c>
      <c r="B299" s="328" t="str">
        <f aca="false">'[5]норма времени'!B123</f>
        <v>Определение металломагнитных и минеральных примесей </v>
      </c>
      <c r="C299" s="954" t="n">
        <v>50000</v>
      </c>
      <c r="D299" s="954" t="n">
        <v>40000</v>
      </c>
      <c r="E299" s="954" t="n">
        <v>30000</v>
      </c>
      <c r="F299" s="955" t="n">
        <f aca="false">C299+D299+E299</f>
        <v>120000</v>
      </c>
      <c r="G299" s="955" t="n">
        <f aca="false">F299/149.4</f>
        <v>803.212851405623</v>
      </c>
      <c r="H299" s="661" t="n">
        <f aca="false">G299/60</f>
        <v>13.3868808567604</v>
      </c>
      <c r="I299" s="660" t="n">
        <f aca="false">'норма времени'!D303</f>
        <v>45</v>
      </c>
      <c r="J299" s="661" t="n">
        <f aca="false">H299*I299</f>
        <v>602.409638554217</v>
      </c>
    </row>
    <row r="300" customFormat="false" ht="15" hidden="false" customHeight="false" outlineLevel="0" collapsed="false">
      <c r="A300" s="571" t="s">
        <v>530</v>
      </c>
      <c r="B300" s="328" t="str">
        <f aca="false">'[5]норма времени'!B124</f>
        <v> Определение влаги  ускоренным методом</v>
      </c>
      <c r="C300" s="954" t="n">
        <v>60000</v>
      </c>
      <c r="D300" s="954" t="n">
        <v>50000</v>
      </c>
      <c r="E300" s="954" t="n">
        <v>40000</v>
      </c>
      <c r="F300" s="955" t="n">
        <f aca="false">C300+D300+E300</f>
        <v>150000</v>
      </c>
      <c r="G300" s="955" t="n">
        <f aca="false">F300/149.4</f>
        <v>1004.01606425703</v>
      </c>
      <c r="H300" s="661" t="n">
        <f aca="false">G300/60</f>
        <v>16.7336010709505</v>
      </c>
      <c r="I300" s="660" t="n">
        <f aca="false">'норма времени'!D304</f>
        <v>90</v>
      </c>
      <c r="J300" s="661" t="n">
        <f aca="false">H300*I300</f>
        <v>1506.02409638554</v>
      </c>
    </row>
    <row r="301" customFormat="false" ht="15" hidden="false" customHeight="false" outlineLevel="0" collapsed="false">
      <c r="A301" s="571" t="s">
        <v>531</v>
      </c>
      <c r="B301" s="328" t="str">
        <f aca="false">'[5]норма времени'!B125</f>
        <v> Определение влаги  арбитражным методом</v>
      </c>
      <c r="C301" s="954" t="n">
        <v>60000</v>
      </c>
      <c r="D301" s="954" t="n">
        <v>50000</v>
      </c>
      <c r="E301" s="954" t="n">
        <v>40000</v>
      </c>
      <c r="F301" s="955" t="n">
        <f aca="false">C301+D301+E301</f>
        <v>150000</v>
      </c>
      <c r="G301" s="955" t="n">
        <f aca="false">F301/149.4</f>
        <v>1004.01606425703</v>
      </c>
      <c r="H301" s="661" t="n">
        <f aca="false">G301/60</f>
        <v>16.7336010709505</v>
      </c>
      <c r="I301" s="660" t="n">
        <f aca="false">'норма времени'!D305</f>
        <v>110</v>
      </c>
      <c r="J301" s="661" t="n">
        <f aca="false">H301*I301</f>
        <v>1840.69611780455</v>
      </c>
    </row>
    <row r="302" customFormat="false" ht="15" hidden="false" customHeight="false" outlineLevel="0" collapsed="false">
      <c r="A302" s="571" t="s">
        <v>532</v>
      </c>
      <c r="B302" s="328" t="str">
        <f aca="false">'[5]норма времени'!B126</f>
        <v>Определение кислотности </v>
      </c>
      <c r="C302" s="954" t="n">
        <v>40000</v>
      </c>
      <c r="D302" s="954" t="n">
        <v>0</v>
      </c>
      <c r="E302" s="954" t="n">
        <v>0</v>
      </c>
      <c r="F302" s="955" t="n">
        <f aca="false">C302+D302+E302</f>
        <v>40000</v>
      </c>
      <c r="G302" s="955" t="n">
        <f aca="false">F302/149.4</f>
        <v>267.737617135208</v>
      </c>
      <c r="H302" s="661" t="n">
        <f aca="false">G302/60</f>
        <v>4.46229361892013</v>
      </c>
      <c r="I302" s="660" t="n">
        <f aca="false">'норма времени'!D306</f>
        <v>40</v>
      </c>
      <c r="J302" s="661" t="n">
        <f aca="false">H302*I302</f>
        <v>178.491744756805</v>
      </c>
    </row>
    <row r="303" customFormat="false" ht="15" hidden="false" customHeight="false" outlineLevel="0" collapsed="false">
      <c r="A303" s="571" t="s">
        <v>533</v>
      </c>
      <c r="B303" s="328" t="str">
        <f aca="false">'[5]норма времени'!B127</f>
        <v>Определение пористости </v>
      </c>
      <c r="C303" s="954" t="n">
        <v>50000</v>
      </c>
      <c r="D303" s="954" t="n">
        <v>40000</v>
      </c>
      <c r="E303" s="954" t="n">
        <v>30000</v>
      </c>
      <c r="F303" s="955" t="n">
        <f aca="false">C303+D303+E303</f>
        <v>120000</v>
      </c>
      <c r="G303" s="955" t="n">
        <f aca="false">F303/149.4</f>
        <v>803.212851405623</v>
      </c>
      <c r="H303" s="661" t="n">
        <f aca="false">G303/60</f>
        <v>13.3868808567604</v>
      </c>
      <c r="I303" s="660" t="n">
        <f aca="false">'норма времени'!D307</f>
        <v>50</v>
      </c>
      <c r="J303" s="661" t="n">
        <f aca="false">H303*I303</f>
        <v>669.344042838019</v>
      </c>
    </row>
    <row r="304" customFormat="false" ht="15" hidden="false" customHeight="false" outlineLevel="0" collapsed="false">
      <c r="A304" s="571" t="s">
        <v>535</v>
      </c>
      <c r="B304" s="328" t="str">
        <f aca="false">'[5]норма времени'!B128</f>
        <v> Определение жира ( по Герберу)</v>
      </c>
      <c r="C304" s="954" t="n">
        <v>50000</v>
      </c>
      <c r="D304" s="954" t="n">
        <v>40000</v>
      </c>
      <c r="E304" s="954" t="n">
        <v>30000</v>
      </c>
      <c r="F304" s="955" t="n">
        <f aca="false">C304+D304+E304</f>
        <v>120000</v>
      </c>
      <c r="G304" s="955" t="n">
        <f aca="false">F304/149.4</f>
        <v>803.212851405623</v>
      </c>
      <c r="H304" s="661" t="n">
        <f aca="false">G304/60</f>
        <v>13.3868808567604</v>
      </c>
      <c r="I304" s="660" t="n">
        <f aca="false">'норма времени'!D308</f>
        <v>110</v>
      </c>
      <c r="J304" s="661" t="n">
        <f aca="false">H304*I304</f>
        <v>1472.55689424364</v>
      </c>
    </row>
    <row r="305" customFormat="false" ht="21.75" hidden="false" customHeight="true" outlineLevel="0" collapsed="false">
      <c r="A305" s="571" t="s">
        <v>536</v>
      </c>
      <c r="B305" s="328" t="str">
        <f aca="false">'[5]норма времени'!B129</f>
        <v> Определение жира (по Сокслету)</v>
      </c>
      <c r="C305" s="954" t="n">
        <v>70000</v>
      </c>
      <c r="D305" s="954" t="n">
        <v>60000</v>
      </c>
      <c r="E305" s="954" t="n">
        <v>50000</v>
      </c>
      <c r="F305" s="955" t="n">
        <f aca="false">C305+D305+E305</f>
        <v>180000</v>
      </c>
      <c r="G305" s="955" t="n">
        <f aca="false">F305/149.4</f>
        <v>1204.81927710843</v>
      </c>
      <c r="H305" s="661" t="n">
        <f aca="false">G305/60</f>
        <v>20.0803212851406</v>
      </c>
      <c r="I305" s="660" t="n">
        <f aca="false">'норма времени'!D309</f>
        <v>40</v>
      </c>
      <c r="J305" s="661" t="n">
        <f aca="false">H305*I305</f>
        <v>803.212851405622</v>
      </c>
    </row>
    <row r="306" customFormat="false" ht="30" hidden="false" customHeight="false" outlineLevel="0" collapsed="false">
      <c r="A306" s="571" t="s">
        <v>537</v>
      </c>
      <c r="B306" s="328" t="str">
        <f aca="false">'[5]норма времени'!B130</f>
        <v>Определение массовой доли сахара (фотометрическим методом)</v>
      </c>
      <c r="C306" s="954" t="n">
        <v>45000</v>
      </c>
      <c r="D306" s="954" t="n">
        <v>35000</v>
      </c>
      <c r="E306" s="954" t="n">
        <v>25000</v>
      </c>
      <c r="F306" s="955" t="n">
        <f aca="false">C306+D306+E306</f>
        <v>105000</v>
      </c>
      <c r="G306" s="955" t="n">
        <f aca="false">F306/149.4</f>
        <v>702.81124497992</v>
      </c>
      <c r="H306" s="661" t="n">
        <f aca="false">G306/60</f>
        <v>11.7135207496653</v>
      </c>
      <c r="I306" s="660" t="n">
        <f aca="false">'норма времени'!D310</f>
        <v>65</v>
      </c>
      <c r="J306" s="661" t="n">
        <f aca="false">H306*I306</f>
        <v>761.378848728246</v>
      </c>
    </row>
    <row r="307" customFormat="false" ht="30" hidden="false" customHeight="false" outlineLevel="0" collapsed="false">
      <c r="A307" s="571" t="s">
        <v>539</v>
      </c>
      <c r="B307" s="328" t="str">
        <f aca="false">'[5]норма времени'!B131</f>
        <v>Определение массовой доли сахара (титрометрическим методом)</v>
      </c>
      <c r="C307" s="954" t="n">
        <v>60000</v>
      </c>
      <c r="D307" s="954" t="n">
        <v>50000</v>
      </c>
      <c r="E307" s="954" t="n">
        <v>40000</v>
      </c>
      <c r="F307" s="955" t="n">
        <f aca="false">C307+D307+E307</f>
        <v>150000</v>
      </c>
      <c r="G307" s="955" t="n">
        <f aca="false">F307/149.4</f>
        <v>1004.01606425703</v>
      </c>
      <c r="H307" s="661" t="n">
        <f aca="false">G307/60</f>
        <v>16.7336010709505</v>
      </c>
      <c r="I307" s="660" t="n">
        <f aca="false">'норма времени'!D311</f>
        <v>40</v>
      </c>
      <c r="J307" s="661" t="n">
        <f aca="false">H307*I307</f>
        <v>669.344042838019</v>
      </c>
    </row>
    <row r="308" customFormat="false" ht="15" hidden="false" customHeight="false" outlineLevel="0" collapsed="false">
      <c r="A308" s="571" t="s">
        <v>541</v>
      </c>
      <c r="B308" s="328" t="str">
        <f aca="false">'[5]норма времени'!B132</f>
        <v>Определение поваренной соли</v>
      </c>
      <c r="C308" s="954" t="n">
        <v>30000</v>
      </c>
      <c r="D308" s="954" t="n">
        <v>20000</v>
      </c>
      <c r="E308" s="954" t="n">
        <v>15000</v>
      </c>
      <c r="F308" s="955" t="n">
        <f aca="false">C308+D308+E308</f>
        <v>65000</v>
      </c>
      <c r="G308" s="955" t="n">
        <f aca="false">F308/149.4</f>
        <v>435.073627844712</v>
      </c>
      <c r="H308" s="661" t="n">
        <f aca="false">G308/60</f>
        <v>7.2512271307452</v>
      </c>
      <c r="I308" s="660" t="n">
        <f aca="false">'норма времени'!D312</f>
        <v>40</v>
      </c>
      <c r="J308" s="661" t="n">
        <f aca="false">H308*I308</f>
        <v>290.049085229808</v>
      </c>
    </row>
    <row r="309" customFormat="false" ht="15" hidden="false" customHeight="false" outlineLevel="0" collapsed="false">
      <c r="A309" s="571" t="s">
        <v>542</v>
      </c>
      <c r="B309" s="328" t="str">
        <f aca="false">'[5]норма времени'!B133</f>
        <v>Определение кадмия</v>
      </c>
      <c r="C309" s="954" t="n">
        <v>40000</v>
      </c>
      <c r="D309" s="954" t="n">
        <v>30000</v>
      </c>
      <c r="E309" s="954" t="n">
        <v>20000</v>
      </c>
      <c r="F309" s="955" t="n">
        <f aca="false">C309+D309+E309</f>
        <v>90000</v>
      </c>
      <c r="G309" s="955" t="n">
        <f aca="false">F309/149.4</f>
        <v>602.409638554217</v>
      </c>
      <c r="H309" s="661" t="n">
        <f aca="false">G309/60</f>
        <v>10.0401606425703</v>
      </c>
      <c r="I309" s="660" t="n">
        <f aca="false">'норма времени'!D313</f>
        <v>210</v>
      </c>
      <c r="J309" s="661" t="n">
        <f aca="false">H309*I309</f>
        <v>2108.43373493976</v>
      </c>
    </row>
    <row r="310" customFormat="false" ht="15" hidden="false" customHeight="false" outlineLevel="0" collapsed="false">
      <c r="A310" s="571" t="s">
        <v>544</v>
      </c>
      <c r="B310" s="328" t="str">
        <f aca="false">'[5]норма времени'!B134</f>
        <v>Определение свинца </v>
      </c>
      <c r="C310" s="954" t="n">
        <v>50000</v>
      </c>
      <c r="D310" s="954" t="n">
        <v>40000</v>
      </c>
      <c r="E310" s="954" t="n">
        <v>30000</v>
      </c>
      <c r="F310" s="955" t="n">
        <f aca="false">C310+D310+E310</f>
        <v>120000</v>
      </c>
      <c r="G310" s="955" t="n">
        <f aca="false">F310/149.4</f>
        <v>803.212851405623</v>
      </c>
      <c r="H310" s="661" t="n">
        <f aca="false">G310/60</f>
        <v>13.3868808567604</v>
      </c>
      <c r="I310" s="660" t="n">
        <f aca="false">'норма времени'!D314</f>
        <v>150</v>
      </c>
      <c r="J310" s="661" t="n">
        <f aca="false">H310*I310</f>
        <v>2008.03212851406</v>
      </c>
    </row>
    <row r="311" customFormat="false" ht="19.5" hidden="false" customHeight="true" outlineLevel="0" collapsed="false">
      <c r="A311" s="571" t="s">
        <v>546</v>
      </c>
      <c r="B311" s="328" t="str">
        <f aca="false">'[5]норма времени'!B135</f>
        <v>Определение мышьяка </v>
      </c>
      <c r="C311" s="954" t="n">
        <v>30000</v>
      </c>
      <c r="D311" s="954" t="n">
        <v>25000</v>
      </c>
      <c r="E311" s="954" t="n">
        <v>15000</v>
      </c>
      <c r="F311" s="955" t="n">
        <f aca="false">C311+D311+E311</f>
        <v>70000</v>
      </c>
      <c r="G311" s="955" t="n">
        <f aca="false">F311/149.4</f>
        <v>468.540829986613</v>
      </c>
      <c r="H311" s="661" t="n">
        <f aca="false">G311/60</f>
        <v>7.80901383311022</v>
      </c>
      <c r="I311" s="660" t="n">
        <f aca="false">'норма времени'!D315</f>
        <v>140</v>
      </c>
      <c r="J311" s="661" t="n">
        <f aca="false">H311*I311</f>
        <v>1093.26193663543</v>
      </c>
    </row>
    <row r="312" customFormat="false" ht="15" hidden="false" customHeight="false" outlineLevel="0" collapsed="false">
      <c r="A312" s="571" t="s">
        <v>548</v>
      </c>
      <c r="B312" s="328" t="str">
        <f aca="false">'[5]норма времени'!B136</f>
        <v>Определение ртути </v>
      </c>
      <c r="C312" s="954" t="n">
        <v>30000</v>
      </c>
      <c r="D312" s="954" t="n">
        <v>25000</v>
      </c>
      <c r="E312" s="954" t="n">
        <v>15000</v>
      </c>
      <c r="F312" s="955" t="n">
        <f aca="false">C312+D312+E312</f>
        <v>70000</v>
      </c>
      <c r="G312" s="955" t="n">
        <f aca="false">F312/149.4</f>
        <v>468.540829986613</v>
      </c>
      <c r="H312" s="661" t="n">
        <f aca="false">G312/60</f>
        <v>7.80901383311022</v>
      </c>
      <c r="I312" s="660" t="n">
        <f aca="false">'норма времени'!D316</f>
        <v>140</v>
      </c>
      <c r="J312" s="661" t="n">
        <f aca="false">H312*I312</f>
        <v>1093.26193663543</v>
      </c>
    </row>
    <row r="313" customFormat="false" ht="15" hidden="false" customHeight="false" outlineLevel="0" collapsed="false">
      <c r="A313" s="571" t="s">
        <v>550</v>
      </c>
      <c r="B313" s="328" t="str">
        <f aca="false">'[5]норма времени'!B137</f>
        <v>Определение микотоксинов афлатоксин В1</v>
      </c>
      <c r="C313" s="954" t="n">
        <v>30000</v>
      </c>
      <c r="D313" s="954" t="n">
        <v>25000</v>
      </c>
      <c r="E313" s="954" t="n">
        <v>15000</v>
      </c>
      <c r="F313" s="955" t="n">
        <f aca="false">C313+D313+E313</f>
        <v>70000</v>
      </c>
      <c r="G313" s="955" t="n">
        <f aca="false">F313/149.4</f>
        <v>468.540829986613</v>
      </c>
      <c r="H313" s="661" t="n">
        <f aca="false">G313/60</f>
        <v>7.80901383311022</v>
      </c>
      <c r="I313" s="660" t="n">
        <f aca="false">'норма времени'!D317</f>
        <v>130</v>
      </c>
      <c r="J313" s="661" t="n">
        <f aca="false">H313*I313</f>
        <v>1015.17179830433</v>
      </c>
    </row>
    <row r="314" customFormat="false" ht="15" hidden="false" customHeight="false" outlineLevel="0" collapsed="false">
      <c r="A314" s="571" t="s">
        <v>552</v>
      </c>
      <c r="B314" s="328" t="str">
        <f aca="false">'[5]норма времени'!B138</f>
        <v>Определение дезоксиниваленола</v>
      </c>
      <c r="C314" s="954" t="n">
        <v>30000</v>
      </c>
      <c r="D314" s="954" t="n">
        <v>25000</v>
      </c>
      <c r="E314" s="954" t="n">
        <v>15000</v>
      </c>
      <c r="F314" s="955" t="n">
        <f aca="false">C314+D314+E314</f>
        <v>70000</v>
      </c>
      <c r="G314" s="955" t="n">
        <f aca="false">F314/149.4</f>
        <v>468.540829986613</v>
      </c>
      <c r="H314" s="661" t="n">
        <f aca="false">G314/60</f>
        <v>7.80901383311022</v>
      </c>
      <c r="I314" s="660" t="n">
        <f aca="false">'норма времени'!D318</f>
        <v>140</v>
      </c>
      <c r="J314" s="661" t="n">
        <f aca="false">H314*I314</f>
        <v>1093.26193663543</v>
      </c>
    </row>
    <row r="315" customFormat="false" ht="15" hidden="false" customHeight="false" outlineLevel="0" collapsed="false">
      <c r="A315" s="571" t="s">
        <v>554</v>
      </c>
      <c r="B315" s="328" t="str">
        <f aca="false">'[5]норма времени'!B139</f>
        <v>Определение Т-2 токсина</v>
      </c>
      <c r="C315" s="954" t="n">
        <v>35000</v>
      </c>
      <c r="D315" s="954" t="n">
        <v>30000</v>
      </c>
      <c r="E315" s="954" t="n">
        <v>20000</v>
      </c>
      <c r="F315" s="955" t="n">
        <f aca="false">C315+D315+E315</f>
        <v>85000</v>
      </c>
      <c r="G315" s="955" t="n">
        <f aca="false">F315/149.4</f>
        <v>568.942436412316</v>
      </c>
      <c r="H315" s="661" t="n">
        <f aca="false">G315/60</f>
        <v>9.48237394020527</v>
      </c>
      <c r="I315" s="660" t="n">
        <f aca="false">'норма времени'!D319</f>
        <v>210</v>
      </c>
      <c r="J315" s="661" t="n">
        <f aca="false">H315*I315</f>
        <v>1991.29852744311</v>
      </c>
    </row>
    <row r="316" customFormat="false" ht="15" hidden="false" customHeight="false" outlineLevel="0" collapsed="false">
      <c r="A316" s="571" t="s">
        <v>556</v>
      </c>
      <c r="B316" s="328" t="str">
        <f aca="false">'[5]норма времени'!B140</f>
        <v>Определение зераленона</v>
      </c>
      <c r="C316" s="954" t="n">
        <v>45000</v>
      </c>
      <c r="D316" s="954" t="n">
        <v>30000</v>
      </c>
      <c r="E316" s="954" t="n">
        <v>20000</v>
      </c>
      <c r="F316" s="955" t="n">
        <f aca="false">C316+D316+E316</f>
        <v>95000</v>
      </c>
      <c r="G316" s="955" t="n">
        <f aca="false">F316/149.4</f>
        <v>635.876840696118</v>
      </c>
      <c r="H316" s="661" t="n">
        <f aca="false">G316/60</f>
        <v>10.5979473449353</v>
      </c>
      <c r="I316" s="660" t="n">
        <f aca="false">'норма времени'!D320</f>
        <v>110</v>
      </c>
      <c r="J316" s="661" t="n">
        <f aca="false">H316*I316</f>
        <v>1165.77420794288</v>
      </c>
    </row>
    <row r="317" customFormat="false" ht="15" hidden="false" customHeight="false" outlineLevel="0" collapsed="false">
      <c r="A317" s="571" t="s">
        <v>558</v>
      </c>
      <c r="B317" s="328" t="str">
        <f aca="false">'[5]норма времени'!B141</f>
        <v>Определение нитрозамина  </v>
      </c>
      <c r="C317" s="954" t="n">
        <v>45000</v>
      </c>
      <c r="D317" s="954" t="n">
        <v>30000</v>
      </c>
      <c r="E317" s="954" t="n">
        <v>20000</v>
      </c>
      <c r="F317" s="955" t="n">
        <f aca="false">C317+D317+E317</f>
        <v>95000</v>
      </c>
      <c r="G317" s="955" t="n">
        <f aca="false">F317/149.4</f>
        <v>635.876840696118</v>
      </c>
      <c r="H317" s="661" t="n">
        <f aca="false">G317/60</f>
        <v>10.5979473449353</v>
      </c>
      <c r="I317" s="660" t="n">
        <f aca="false">'норма времени'!D321</f>
        <v>135</v>
      </c>
      <c r="J317" s="661" t="n">
        <f aca="false">H317*I317</f>
        <v>1430.72289156627</v>
      </c>
    </row>
    <row r="318" customFormat="false" ht="15" hidden="false" customHeight="false" outlineLevel="0" collapsed="false">
      <c r="A318" s="571" t="s">
        <v>560</v>
      </c>
      <c r="B318" s="328" t="str">
        <f aca="false">'[5]норма времени'!B142</f>
        <v>развариваемость</v>
      </c>
      <c r="C318" s="954" t="n">
        <v>30000</v>
      </c>
      <c r="D318" s="954" t="n">
        <v>25000</v>
      </c>
      <c r="E318" s="954" t="n">
        <v>15000</v>
      </c>
      <c r="F318" s="955" t="n">
        <f aca="false">C318+D318+E318</f>
        <v>70000</v>
      </c>
      <c r="G318" s="955" t="n">
        <f aca="false">F318/149.4</f>
        <v>468.540829986613</v>
      </c>
      <c r="H318" s="661" t="n">
        <f aca="false">G318/60</f>
        <v>7.80901383311022</v>
      </c>
      <c r="I318" s="660" t="n">
        <f aca="false">'норма времени'!D322</f>
        <v>80</v>
      </c>
      <c r="J318" s="661" t="n">
        <f aca="false">H318*I318</f>
        <v>624.721106648818</v>
      </c>
    </row>
    <row r="319" customFormat="false" ht="15" hidden="false" customHeight="false" outlineLevel="0" collapsed="false">
      <c r="A319" s="571" t="s">
        <v>562</v>
      </c>
      <c r="B319" s="328" t="str">
        <f aca="false">'[5]норма времени'!B143</f>
        <v>зольность</v>
      </c>
      <c r="C319" s="954" t="n">
        <v>60000</v>
      </c>
      <c r="D319" s="954" t="n">
        <v>50000</v>
      </c>
      <c r="E319" s="954" t="n">
        <v>40350</v>
      </c>
      <c r="F319" s="955" t="n">
        <f aca="false">C319+D319+E319</f>
        <v>150350</v>
      </c>
      <c r="G319" s="955" t="n">
        <f aca="false">F319/149.4</f>
        <v>1006.35876840696</v>
      </c>
      <c r="H319" s="661" t="n">
        <f aca="false">G319/60</f>
        <v>16.772646140116</v>
      </c>
      <c r="I319" s="660" t="n">
        <f aca="false">'норма времени'!D323</f>
        <v>80</v>
      </c>
      <c r="J319" s="661" t="n">
        <f aca="false">H319*I319</f>
        <v>1341.81169120928</v>
      </c>
    </row>
    <row r="320" customFormat="false" ht="15" hidden="false" customHeight="false" outlineLevel="0" collapsed="false">
      <c r="A320" s="571" t="s">
        <v>564</v>
      </c>
      <c r="B320" s="328" t="str">
        <f aca="false">'[5]норма времени'!B144</f>
        <v>фумонизины В1,В2</v>
      </c>
      <c r="C320" s="954" t="n">
        <v>60000</v>
      </c>
      <c r="D320" s="954" t="n">
        <v>50000</v>
      </c>
      <c r="E320" s="954" t="n">
        <v>40350</v>
      </c>
      <c r="F320" s="955" t="n">
        <f aca="false">C320+D320+E320</f>
        <v>150350</v>
      </c>
      <c r="G320" s="955" t="n">
        <f aca="false">F320/149.4</f>
        <v>1006.35876840696</v>
      </c>
      <c r="H320" s="661" t="n">
        <f aca="false">G320/60</f>
        <v>16.772646140116</v>
      </c>
      <c r="I320" s="660" t="n">
        <f aca="false">'норма времени'!D324</f>
        <v>140</v>
      </c>
      <c r="J320" s="661" t="n">
        <f aca="false">H320*I320</f>
        <v>2348.17045961624</v>
      </c>
    </row>
    <row r="321" customFormat="false" ht="15" hidden="false" customHeight="false" outlineLevel="0" collapsed="false">
      <c r="A321" s="571" t="s">
        <v>566</v>
      </c>
      <c r="B321" s="328" t="str">
        <f aca="false">'[5]норма времени'!B145</f>
        <v>охратоксин А</v>
      </c>
      <c r="C321" s="954" t="n">
        <v>30000</v>
      </c>
      <c r="D321" s="954" t="n">
        <v>25000</v>
      </c>
      <c r="E321" s="954" t="n">
        <v>20000</v>
      </c>
      <c r="F321" s="955" t="n">
        <f aca="false">C321+D321+E321</f>
        <v>75000</v>
      </c>
      <c r="G321" s="955" t="n">
        <f aca="false">F321/149.4</f>
        <v>502.008032128514</v>
      </c>
      <c r="H321" s="661" t="n">
        <f aca="false">G321/60</f>
        <v>8.36680053547523</v>
      </c>
      <c r="I321" s="660" t="n">
        <f aca="false">'норма времени'!D325</f>
        <v>85</v>
      </c>
      <c r="J321" s="661" t="n">
        <f aca="false">H321*I321</f>
        <v>711.178045515395</v>
      </c>
    </row>
    <row r="322" customFormat="false" ht="14.25" hidden="false" customHeight="true" outlineLevel="0" collapsed="false">
      <c r="A322" s="571" t="s">
        <v>568</v>
      </c>
      <c r="B322" s="328" t="str">
        <f aca="false">'[5]норма времени'!B146</f>
        <v>йод (при йодировании)</v>
      </c>
      <c r="C322" s="954" t="n">
        <v>25000</v>
      </c>
      <c r="D322" s="954" t="n">
        <v>20000</v>
      </c>
      <c r="E322" s="954" t="n">
        <v>15000</v>
      </c>
      <c r="F322" s="955" t="n">
        <f aca="false">C322+D322+E322</f>
        <v>60000</v>
      </c>
      <c r="G322" s="955" t="n">
        <f aca="false">F322/149.4</f>
        <v>401.606425702811</v>
      </c>
      <c r="H322" s="661" t="n">
        <f aca="false">G322/60</f>
        <v>6.69344042838019</v>
      </c>
      <c r="I322" s="660" t="n">
        <f aca="false">'норма времени'!D326</f>
        <v>90</v>
      </c>
      <c r="J322" s="661" t="n">
        <f aca="false">H322*I322</f>
        <v>602.409638554217</v>
      </c>
    </row>
    <row r="323" customFormat="false" ht="15" hidden="false" customHeight="false" outlineLevel="0" collapsed="false">
      <c r="A323" s="571" t="s">
        <v>570</v>
      </c>
      <c r="B323" s="328" t="str">
        <f aca="false">'[5]норма времени'!B147</f>
        <v>сорная примесь</v>
      </c>
      <c r="C323" s="954" t="n">
        <v>35000</v>
      </c>
      <c r="D323" s="954" t="n">
        <v>30000</v>
      </c>
      <c r="E323" s="954" t="n">
        <v>25000</v>
      </c>
      <c r="F323" s="955" t="n">
        <f aca="false">C323+D323+E323</f>
        <v>90000</v>
      </c>
      <c r="G323" s="955" t="n">
        <f aca="false">F323/149.4</f>
        <v>602.409638554217</v>
      </c>
      <c r="H323" s="661" t="n">
        <f aca="false">G323/60</f>
        <v>10.0401606425703</v>
      </c>
      <c r="I323" s="660" t="n">
        <f aca="false">'норма времени'!D327</f>
        <v>50</v>
      </c>
      <c r="J323" s="661" t="n">
        <f aca="false">H323*I323</f>
        <v>502.008032128514</v>
      </c>
    </row>
    <row r="324" customFormat="false" ht="15" hidden="false" customHeight="false" outlineLevel="0" collapsed="false">
      <c r="A324" s="571" t="s">
        <v>572</v>
      </c>
      <c r="B324" s="328" t="str">
        <f aca="false">'[5]норма времени'!B148</f>
        <v>зараженность вредителями хлебных запасов</v>
      </c>
      <c r="C324" s="954" t="n">
        <v>40000</v>
      </c>
      <c r="D324" s="954" t="n">
        <v>30000</v>
      </c>
      <c r="E324" s="954" t="n">
        <v>25000</v>
      </c>
      <c r="F324" s="955" t="n">
        <f aca="false">C324+D324+E324</f>
        <v>95000</v>
      </c>
      <c r="G324" s="955" t="n">
        <f aca="false">F324/149.4</f>
        <v>635.876840696118</v>
      </c>
      <c r="H324" s="661" t="n">
        <f aca="false">G324/60</f>
        <v>10.5979473449353</v>
      </c>
      <c r="I324" s="660" t="n">
        <f aca="false">'норма времени'!D328</f>
        <v>60</v>
      </c>
      <c r="J324" s="661" t="n">
        <f aca="false">H324*I324</f>
        <v>635.876840696118</v>
      </c>
    </row>
    <row r="325" customFormat="false" ht="15" hidden="false" customHeight="false" outlineLevel="0" collapsed="false">
      <c r="A325" s="571" t="s">
        <v>574</v>
      </c>
      <c r="B325" s="328" t="str">
        <f aca="false">'[5]норма времени'!B149</f>
        <v>бенз(а)пирен </v>
      </c>
      <c r="C325" s="954" t="n">
        <v>25000</v>
      </c>
      <c r="D325" s="954" t="n">
        <v>20000</v>
      </c>
      <c r="E325" s="954" t="n">
        <v>15000</v>
      </c>
      <c r="F325" s="955" t="n">
        <f aca="false">C325+D325+E325</f>
        <v>60000</v>
      </c>
      <c r="G325" s="955" t="n">
        <f aca="false">F325/149.4</f>
        <v>401.606425702811</v>
      </c>
      <c r="H325" s="661" t="n">
        <f aca="false">G325/60</f>
        <v>6.69344042838019</v>
      </c>
      <c r="I325" s="660" t="n">
        <f aca="false">'норма времени'!D329</f>
        <v>85</v>
      </c>
      <c r="J325" s="661" t="n">
        <f aca="false">H325*I325</f>
        <v>568.942436412316</v>
      </c>
    </row>
    <row r="326" customFormat="false" ht="15" hidden="false" customHeight="false" outlineLevel="0" collapsed="false">
      <c r="A326" s="571" t="s">
        <v>576</v>
      </c>
      <c r="B326" s="328" t="str">
        <f aca="false">'[5]норма времени'!B150</f>
        <v>олигосахара</v>
      </c>
      <c r="C326" s="954" t="n">
        <v>70000</v>
      </c>
      <c r="D326" s="954" t="n">
        <v>60000</v>
      </c>
      <c r="E326" s="954" t="n">
        <v>50000</v>
      </c>
      <c r="F326" s="955" t="n">
        <f aca="false">C326+D326+E326</f>
        <v>180000</v>
      </c>
      <c r="G326" s="955" t="n">
        <f aca="false">F326/149.4</f>
        <v>1204.81927710843</v>
      </c>
      <c r="H326" s="661" t="n">
        <f aca="false">G326/60</f>
        <v>20.0803212851406</v>
      </c>
      <c r="I326" s="660" t="n">
        <f aca="false">'норма времени'!D330</f>
        <v>85</v>
      </c>
      <c r="J326" s="661" t="n">
        <f aca="false">H326*I326</f>
        <v>1706.82730923695</v>
      </c>
    </row>
    <row r="327" customFormat="false" ht="15" hidden="false" customHeight="false" outlineLevel="0" collapsed="false">
      <c r="A327" s="571" t="s">
        <v>578</v>
      </c>
      <c r="B327" s="328" t="str">
        <f aca="false">'[5]норма времени'!B151</f>
        <v>определение клейковины</v>
      </c>
      <c r="C327" s="954" t="n">
        <v>60000</v>
      </c>
      <c r="D327" s="954" t="n">
        <v>50000</v>
      </c>
      <c r="E327" s="954" t="n">
        <v>45000</v>
      </c>
      <c r="F327" s="955" t="n">
        <f aca="false">C327+D327+E327</f>
        <v>155000</v>
      </c>
      <c r="G327" s="955" t="n">
        <f aca="false">F327/149.4</f>
        <v>1037.48326639893</v>
      </c>
      <c r="H327" s="661" t="n">
        <f aca="false">G327/60</f>
        <v>17.2913877733155</v>
      </c>
      <c r="I327" s="660" t="n">
        <f aca="false">'норма времени'!D331</f>
        <v>80</v>
      </c>
      <c r="J327" s="661" t="n">
        <f aca="false">H327*I327</f>
        <v>1383.31102186524</v>
      </c>
    </row>
    <row r="328" customFormat="false" ht="15" hidden="false" customHeight="false" outlineLevel="0" collapsed="false">
      <c r="A328" s="350" t="s">
        <v>580</v>
      </c>
      <c r="B328" s="467" t="str">
        <f aca="false">'[5]норма времени'!B152</f>
        <v>Сахар и кондитерские изделия </v>
      </c>
      <c r="C328" s="1253"/>
      <c r="D328" s="1253"/>
      <c r="E328" s="1253"/>
      <c r="F328" s="1254"/>
      <c r="G328" s="1254"/>
      <c r="H328" s="1250"/>
      <c r="I328" s="1255"/>
      <c r="J328" s="1250"/>
    </row>
    <row r="329" customFormat="false" ht="15" hidden="false" customHeight="false" outlineLevel="0" collapsed="false">
      <c r="A329" s="571" t="s">
        <v>582</v>
      </c>
      <c r="B329" s="328" t="str">
        <f aca="false">'[5]норма времени'!B153</f>
        <v> Определение органолептических показателей</v>
      </c>
      <c r="C329" s="954" t="n">
        <v>40000</v>
      </c>
      <c r="D329" s="954" t="n">
        <v>30000</v>
      </c>
      <c r="E329" s="954" t="n">
        <v>20000</v>
      </c>
      <c r="F329" s="955" t="n">
        <f aca="false">C329+D329+E329</f>
        <v>90000</v>
      </c>
      <c r="G329" s="955" t="n">
        <f aca="false">F329/149.4</f>
        <v>602.409638554217</v>
      </c>
      <c r="H329" s="661" t="n">
        <f aca="false">G329/60</f>
        <v>10.0401606425703</v>
      </c>
      <c r="I329" s="660" t="n">
        <f aca="false">'норма времени'!D333</f>
        <v>60</v>
      </c>
      <c r="J329" s="661" t="n">
        <f aca="false">H329*I329</f>
        <v>602.409638554217</v>
      </c>
    </row>
    <row r="330" customFormat="false" ht="15" hidden="false" customHeight="false" outlineLevel="0" collapsed="false">
      <c r="A330" s="571" t="s">
        <v>583</v>
      </c>
      <c r="B330" s="328" t="str">
        <f aca="false">'[5]норма времени'!B154</f>
        <v> Определение влаги  ускоренным методом</v>
      </c>
      <c r="C330" s="954" t="n">
        <v>60000</v>
      </c>
      <c r="D330" s="954" t="n">
        <v>50000</v>
      </c>
      <c r="E330" s="954" t="n">
        <v>40000</v>
      </c>
      <c r="F330" s="955" t="n">
        <f aca="false">C330+D330+E330</f>
        <v>150000</v>
      </c>
      <c r="G330" s="955" t="n">
        <f aca="false">F330/149.4</f>
        <v>1004.01606425703</v>
      </c>
      <c r="H330" s="661" t="n">
        <f aca="false">G330/60</f>
        <v>16.7336010709505</v>
      </c>
      <c r="I330" s="660" t="n">
        <f aca="false">'норма времени'!D334</f>
        <v>100</v>
      </c>
      <c r="J330" s="661" t="n">
        <f aca="false">H330*I330</f>
        <v>1673.36010709505</v>
      </c>
    </row>
    <row r="331" customFormat="false" ht="15" hidden="false" customHeight="false" outlineLevel="0" collapsed="false">
      <c r="A331" s="571" t="s">
        <v>584</v>
      </c>
      <c r="B331" s="328" t="str">
        <f aca="false">'[5]норма времени'!B155</f>
        <v> Определение влаги  арбитражным методом</v>
      </c>
      <c r="C331" s="954" t="n">
        <v>60000</v>
      </c>
      <c r="D331" s="954" t="n">
        <v>50000</v>
      </c>
      <c r="E331" s="954" t="n">
        <v>40000</v>
      </c>
      <c r="F331" s="955" t="n">
        <f aca="false">C331+D331+E331</f>
        <v>150000</v>
      </c>
      <c r="G331" s="955" t="n">
        <f aca="false">F331/149.4</f>
        <v>1004.01606425703</v>
      </c>
      <c r="H331" s="661" t="n">
        <f aca="false">G331/60</f>
        <v>16.7336010709505</v>
      </c>
      <c r="I331" s="660" t="n">
        <f aca="false">'норма времени'!D335</f>
        <v>110</v>
      </c>
      <c r="J331" s="661" t="n">
        <f aca="false">H331*I331</f>
        <v>1840.69611780455</v>
      </c>
    </row>
    <row r="332" customFormat="false" ht="30" hidden="false" customHeight="false" outlineLevel="0" collapsed="false">
      <c r="A332" s="571" t="s">
        <v>585</v>
      </c>
      <c r="B332" s="328" t="str">
        <f aca="false">'[5]норма времени'!B156</f>
        <v>Определение кислотности и щелочноси титрометрическим методом:</v>
      </c>
      <c r="C332" s="954" t="n">
        <v>40000</v>
      </c>
      <c r="D332" s="954" t="n">
        <v>35000</v>
      </c>
      <c r="E332" s="954" t="n">
        <v>25000</v>
      </c>
      <c r="F332" s="955" t="n">
        <f aca="false">C332+D332+E332</f>
        <v>100000</v>
      </c>
      <c r="G332" s="955" t="n">
        <f aca="false">F332/149.4</f>
        <v>669.344042838019</v>
      </c>
      <c r="H332" s="661" t="n">
        <f aca="false">G332/60</f>
        <v>11.1557340473003</v>
      </c>
      <c r="I332" s="660" t="n">
        <f aca="false">'норма времени'!D336</f>
        <v>77</v>
      </c>
      <c r="J332" s="661" t="n">
        <f aca="false">H332*I332</f>
        <v>858.991521642124</v>
      </c>
    </row>
    <row r="333" customFormat="false" ht="18.75" hidden="false" customHeight="true" outlineLevel="0" collapsed="false">
      <c r="A333" s="571" t="s">
        <v>587</v>
      </c>
      <c r="B333" s="328" t="str">
        <f aca="false">'[5]норма времени'!B157</f>
        <v> Определение жира ( по Герберу)</v>
      </c>
      <c r="C333" s="954" t="n">
        <v>35000</v>
      </c>
      <c r="D333" s="954" t="n">
        <v>25000</v>
      </c>
      <c r="E333" s="954" t="n">
        <v>20000</v>
      </c>
      <c r="F333" s="955" t="n">
        <f aca="false">C333+D333+E333</f>
        <v>80000</v>
      </c>
      <c r="G333" s="955" t="n">
        <f aca="false">F333/149.4</f>
        <v>535.475234270415</v>
      </c>
      <c r="H333" s="661" t="n">
        <f aca="false">G333/60</f>
        <v>8.92458723784025</v>
      </c>
      <c r="I333" s="660" t="n">
        <f aca="false">'норма времени'!D337</f>
        <v>110</v>
      </c>
      <c r="J333" s="661" t="n">
        <f aca="false">H333*I333</f>
        <v>981.704596162428</v>
      </c>
    </row>
    <row r="334" customFormat="false" ht="15" hidden="false" customHeight="false" outlineLevel="0" collapsed="false">
      <c r="A334" s="571" t="s">
        <v>588</v>
      </c>
      <c r="B334" s="328" t="str">
        <f aca="false">'[5]норма времени'!B158</f>
        <v> Определение жира (по Сокслету)</v>
      </c>
      <c r="C334" s="954" t="n">
        <v>35000</v>
      </c>
      <c r="D334" s="954" t="n">
        <v>25000</v>
      </c>
      <c r="E334" s="954" t="n">
        <v>20000</v>
      </c>
      <c r="F334" s="955" t="n">
        <f aca="false">C334+D334+E334</f>
        <v>80000</v>
      </c>
      <c r="G334" s="955" t="n">
        <f aca="false">F334/149.4</f>
        <v>535.475234270415</v>
      </c>
      <c r="H334" s="661" t="n">
        <f aca="false">G334/60</f>
        <v>8.92458723784025</v>
      </c>
      <c r="I334" s="660" t="n">
        <f aca="false">'норма времени'!D338</f>
        <v>110</v>
      </c>
      <c r="J334" s="661" t="n">
        <f aca="false">H334*I334</f>
        <v>981.704596162428</v>
      </c>
    </row>
    <row r="335" customFormat="false" ht="15" hidden="false" customHeight="false" outlineLevel="0" collapsed="false">
      <c r="A335" s="571" t="s">
        <v>589</v>
      </c>
      <c r="B335" s="328" t="str">
        <f aca="false">'[5]норма времени'!B159</f>
        <v>Определение сухих веществ</v>
      </c>
      <c r="C335" s="954" t="n">
        <v>60000</v>
      </c>
      <c r="D335" s="954" t="n">
        <v>50000</v>
      </c>
      <c r="E335" s="954" t="n">
        <v>40000</v>
      </c>
      <c r="F335" s="955" t="n">
        <f aca="false">C335+D335+E335</f>
        <v>150000</v>
      </c>
      <c r="G335" s="955" t="n">
        <f aca="false">F335/149.4</f>
        <v>1004.01606425703</v>
      </c>
      <c r="H335" s="661" t="n">
        <f aca="false">G335/60</f>
        <v>16.7336010709505</v>
      </c>
      <c r="I335" s="660" t="n">
        <f aca="false">'норма времени'!D339</f>
        <v>62</v>
      </c>
      <c r="J335" s="661" t="n">
        <f aca="false">H335*I335</f>
        <v>1037.48326639893</v>
      </c>
    </row>
    <row r="336" customFormat="false" ht="15" hidden="false" customHeight="false" outlineLevel="0" collapsed="false">
      <c r="A336" s="571" t="s">
        <v>590</v>
      </c>
      <c r="B336" s="328" t="str">
        <f aca="false">'[5]норма времени'!B160</f>
        <v>Определение цветности</v>
      </c>
      <c r="C336" s="954" t="n">
        <v>60000</v>
      </c>
      <c r="D336" s="954" t="n">
        <v>50000</v>
      </c>
      <c r="E336" s="954" t="n">
        <v>40000</v>
      </c>
      <c r="F336" s="955" t="n">
        <f aca="false">C336+D336+E336</f>
        <v>150000</v>
      </c>
      <c r="G336" s="955" t="n">
        <f aca="false">F336/149.4</f>
        <v>1004.01606425703</v>
      </c>
      <c r="H336" s="661" t="n">
        <f aca="false">G336/60</f>
        <v>16.7336010709505</v>
      </c>
      <c r="I336" s="660" t="n">
        <f aca="false">'норма времени'!D340</f>
        <v>50</v>
      </c>
      <c r="J336" s="661" t="n">
        <f aca="false">H336*I336</f>
        <v>836.680053547523</v>
      </c>
    </row>
    <row r="337" customFormat="false" ht="15" hidden="false" customHeight="false" outlineLevel="0" collapsed="false">
      <c r="A337" s="571" t="s">
        <v>591</v>
      </c>
      <c r="B337" s="328" t="str">
        <f aca="false">'[5]норма времени'!B161</f>
        <v> Определение сахарозы </v>
      </c>
      <c r="C337" s="954" t="n">
        <v>25000</v>
      </c>
      <c r="D337" s="954" t="n">
        <v>20000</v>
      </c>
      <c r="E337" s="954" t="n">
        <v>15000</v>
      </c>
      <c r="F337" s="955" t="n">
        <f aca="false">C337+D337+E337</f>
        <v>60000</v>
      </c>
      <c r="G337" s="955" t="n">
        <f aca="false">F337/149.4</f>
        <v>401.606425702811</v>
      </c>
      <c r="H337" s="661" t="n">
        <f aca="false">G337/60</f>
        <v>6.69344042838019</v>
      </c>
      <c r="I337" s="660" t="n">
        <f aca="false">'норма времени'!D341</f>
        <v>190</v>
      </c>
      <c r="J337" s="661" t="n">
        <f aca="false">H337*I337</f>
        <v>1271.75368139224</v>
      </c>
    </row>
    <row r="338" customFormat="false" ht="30" hidden="false" customHeight="false" outlineLevel="0" collapsed="false">
      <c r="A338" s="571" t="s">
        <v>593</v>
      </c>
      <c r="B338" s="328" t="str">
        <f aca="false">'[5]норма времени'!B162</f>
        <v>Определение массовой доли сахара  (фотометрическим методом)</v>
      </c>
      <c r="C338" s="954" t="n">
        <v>25000</v>
      </c>
      <c r="D338" s="954" t="n">
        <v>20000</v>
      </c>
      <c r="E338" s="954" t="n">
        <v>15000</v>
      </c>
      <c r="F338" s="955" t="n">
        <f aca="false">C338+D338+E338</f>
        <v>60000</v>
      </c>
      <c r="G338" s="955" t="n">
        <f aca="false">F338/149.4</f>
        <v>401.606425702811</v>
      </c>
      <c r="H338" s="661" t="n">
        <f aca="false">G338/60</f>
        <v>6.69344042838019</v>
      </c>
      <c r="I338" s="660" t="n">
        <f aca="false">'норма времени'!D342</f>
        <v>150</v>
      </c>
      <c r="J338" s="661" t="n">
        <f aca="false">H338*I338</f>
        <v>1004.01606425703</v>
      </c>
    </row>
    <row r="339" customFormat="false" ht="30" hidden="false" customHeight="false" outlineLevel="0" collapsed="false">
      <c r="A339" s="571" t="s">
        <v>594</v>
      </c>
      <c r="B339" s="328" t="str">
        <f aca="false">'[5]норма времени'!B163</f>
        <v> Определение массовой доли сахара (титрометрическим методом)</v>
      </c>
      <c r="C339" s="954" t="n">
        <v>40000</v>
      </c>
      <c r="D339" s="954" t="n">
        <v>30000</v>
      </c>
      <c r="E339" s="954" t="n">
        <v>20000</v>
      </c>
      <c r="F339" s="955" t="n">
        <f aca="false">C339+D339+E339</f>
        <v>90000</v>
      </c>
      <c r="G339" s="955" t="n">
        <f aca="false">F339/149.4</f>
        <v>602.409638554217</v>
      </c>
      <c r="H339" s="661" t="n">
        <f aca="false">G339/60</f>
        <v>10.0401606425703</v>
      </c>
      <c r="I339" s="660" t="n">
        <f aca="false">'норма времени'!D343</f>
        <v>70</v>
      </c>
      <c r="J339" s="661" t="n">
        <f aca="false">H339*I339</f>
        <v>702.81124497992</v>
      </c>
    </row>
    <row r="340" customFormat="false" ht="15" hidden="false" customHeight="false" outlineLevel="0" collapsed="false">
      <c r="A340" s="571" t="s">
        <v>595</v>
      </c>
      <c r="B340" s="328" t="str">
        <f aca="false">'[5]норма времени'!B164</f>
        <v> Определение золы </v>
      </c>
      <c r="C340" s="954" t="n">
        <v>60000</v>
      </c>
      <c r="D340" s="954" t="n">
        <v>50000</v>
      </c>
      <c r="E340" s="954" t="n">
        <v>40000</v>
      </c>
      <c r="F340" s="955" t="n">
        <f aca="false">C340+D340+E340</f>
        <v>150000</v>
      </c>
      <c r="G340" s="955" t="n">
        <f aca="false">F340/149.4</f>
        <v>1004.01606425703</v>
      </c>
      <c r="H340" s="661" t="n">
        <f aca="false">G340/60</f>
        <v>16.7336010709505</v>
      </c>
      <c r="I340" s="660" t="n">
        <f aca="false">'норма времени'!D344</f>
        <v>75</v>
      </c>
      <c r="J340" s="661" t="n">
        <f aca="false">H340*I340</f>
        <v>1255.02008032129</v>
      </c>
    </row>
    <row r="341" customFormat="false" ht="15" hidden="false" customHeight="false" outlineLevel="0" collapsed="false">
      <c r="A341" s="571" t="s">
        <v>597</v>
      </c>
      <c r="B341" s="328" t="str">
        <f aca="false">'[5]норма времени'!B165</f>
        <v>Определение редуцирующих веществ </v>
      </c>
      <c r="C341" s="954" t="n">
        <v>25000</v>
      </c>
      <c r="D341" s="954" t="n">
        <v>20000</v>
      </c>
      <c r="E341" s="954" t="n">
        <v>15000</v>
      </c>
      <c r="F341" s="955" t="n">
        <f aca="false">C341+D341+E341</f>
        <v>60000</v>
      </c>
      <c r="G341" s="955" t="n">
        <f aca="false">F341/149.4</f>
        <v>401.606425702811</v>
      </c>
      <c r="H341" s="661" t="n">
        <f aca="false">G341/60</f>
        <v>6.69344042838019</v>
      </c>
      <c r="I341" s="660" t="n">
        <f aca="false">'норма времени'!D345</f>
        <v>55</v>
      </c>
      <c r="J341" s="661" t="n">
        <f aca="false">H341*I341</f>
        <v>368.13922356091</v>
      </c>
    </row>
    <row r="342" customFormat="false" ht="15" hidden="false" customHeight="false" outlineLevel="0" collapsed="false">
      <c r="A342" s="571" t="s">
        <v>599</v>
      </c>
      <c r="B342" s="328" t="str">
        <f aca="false">'[5]норма времени'!B166</f>
        <v>Определение массовой доли сернистой кислоты </v>
      </c>
      <c r="C342" s="954" t="n">
        <v>25000</v>
      </c>
      <c r="D342" s="954" t="n">
        <v>20000</v>
      </c>
      <c r="E342" s="954" t="n">
        <v>15000</v>
      </c>
      <c r="F342" s="955" t="n">
        <f aca="false">C342+D342+E342</f>
        <v>60000</v>
      </c>
      <c r="G342" s="955" t="n">
        <f aca="false">F342/149.4</f>
        <v>401.606425702811</v>
      </c>
      <c r="H342" s="661" t="n">
        <f aca="false">G342/60</f>
        <v>6.69344042838019</v>
      </c>
      <c r="I342" s="660" t="n">
        <f aca="false">'норма времени'!D346</f>
        <v>40</v>
      </c>
      <c r="J342" s="661" t="n">
        <f aca="false">H342*I342</f>
        <v>267.737617135208</v>
      </c>
    </row>
    <row r="343" customFormat="false" ht="15" hidden="false" customHeight="false" outlineLevel="0" collapsed="false">
      <c r="A343" s="571" t="s">
        <v>601</v>
      </c>
      <c r="B343" s="328" t="str">
        <f aca="false">'[5]норма времени'!B167</f>
        <v>Определение свинца </v>
      </c>
      <c r="C343" s="954" t="n">
        <v>40000</v>
      </c>
      <c r="D343" s="954" t="n">
        <v>30000</v>
      </c>
      <c r="E343" s="954" t="n">
        <v>20000</v>
      </c>
      <c r="F343" s="955" t="n">
        <f aca="false">C343+D343+E343</f>
        <v>90000</v>
      </c>
      <c r="G343" s="955" t="n">
        <f aca="false">F343/149.4</f>
        <v>602.409638554217</v>
      </c>
      <c r="H343" s="661" t="n">
        <f aca="false">G343/60</f>
        <v>10.0401606425703</v>
      </c>
      <c r="I343" s="660" t="n">
        <f aca="false">'норма времени'!D347</f>
        <v>200</v>
      </c>
      <c r="J343" s="661" t="n">
        <f aca="false">H343*I343</f>
        <v>2008.03212851406</v>
      </c>
    </row>
    <row r="344" customFormat="false" ht="17.25" hidden="false" customHeight="true" outlineLevel="0" collapsed="false">
      <c r="A344" s="571" t="s">
        <v>602</v>
      </c>
      <c r="B344" s="328" t="str">
        <f aca="false">'[5]норма времени'!B168</f>
        <v>Определение кадмия</v>
      </c>
      <c r="C344" s="954" t="n">
        <v>40000</v>
      </c>
      <c r="D344" s="954" t="n">
        <v>30000</v>
      </c>
      <c r="E344" s="954" t="n">
        <v>20000</v>
      </c>
      <c r="F344" s="955" t="n">
        <f aca="false">C344+D344+E344</f>
        <v>90000</v>
      </c>
      <c r="G344" s="955" t="n">
        <f aca="false">F344/149.4</f>
        <v>602.409638554217</v>
      </c>
      <c r="H344" s="661" t="n">
        <f aca="false">G344/60</f>
        <v>10.0401606425703</v>
      </c>
      <c r="I344" s="660" t="n">
        <f aca="false">'норма времени'!D348</f>
        <v>200</v>
      </c>
      <c r="J344" s="661" t="n">
        <f aca="false">H344*I344</f>
        <v>2008.03212851406</v>
      </c>
    </row>
    <row r="345" customFormat="false" ht="15" hidden="false" customHeight="false" outlineLevel="0" collapsed="false">
      <c r="A345" s="571" t="s">
        <v>603</v>
      </c>
      <c r="B345" s="328" t="str">
        <f aca="false">'[5]норма времени'!B169</f>
        <v>Определение мышьяка</v>
      </c>
      <c r="C345" s="954" t="n">
        <v>25000</v>
      </c>
      <c r="D345" s="954" t="n">
        <v>20000</v>
      </c>
      <c r="E345" s="954" t="n">
        <v>15000</v>
      </c>
      <c r="F345" s="955" t="n">
        <f aca="false">C345+D345+E345</f>
        <v>60000</v>
      </c>
      <c r="G345" s="955" t="n">
        <f aca="false">F345/149.4</f>
        <v>401.606425702811</v>
      </c>
      <c r="H345" s="661" t="n">
        <f aca="false">G345/60</f>
        <v>6.69344042838019</v>
      </c>
      <c r="I345" s="660" t="n">
        <f aca="false">'норма времени'!D349</f>
        <v>140</v>
      </c>
      <c r="J345" s="661" t="n">
        <f aca="false">H345*I345</f>
        <v>937.081659973226</v>
      </c>
    </row>
    <row r="346" customFormat="false" ht="15" hidden="false" customHeight="false" outlineLevel="0" collapsed="false">
      <c r="A346" s="571" t="s">
        <v>604</v>
      </c>
      <c r="B346" s="328" t="str">
        <f aca="false">'[5]норма времени'!B170</f>
        <v>Определение ртути </v>
      </c>
      <c r="C346" s="954" t="n">
        <v>50000</v>
      </c>
      <c r="D346" s="954" t="n">
        <v>40000</v>
      </c>
      <c r="E346" s="954" t="n">
        <v>30000</v>
      </c>
      <c r="F346" s="955" t="n">
        <f aca="false">C346+D346+E346</f>
        <v>120000</v>
      </c>
      <c r="G346" s="955" t="n">
        <f aca="false">F346/149.4</f>
        <v>803.212851405623</v>
      </c>
      <c r="H346" s="661" t="n">
        <f aca="false">G346/60</f>
        <v>13.3868808567604</v>
      </c>
      <c r="I346" s="660" t="n">
        <f aca="false">'норма времени'!D350</f>
        <v>170</v>
      </c>
      <c r="J346" s="661" t="n">
        <f aca="false">H346*I346</f>
        <v>2275.76974564926</v>
      </c>
    </row>
    <row r="347" customFormat="false" ht="30" hidden="false" customHeight="false" outlineLevel="0" collapsed="false">
      <c r="A347" s="571" t="s">
        <v>605</v>
      </c>
      <c r="B347" s="328" t="str">
        <f aca="false">'[5]норма времени'!B171</f>
        <v>Определение афлатоксин В1- для изделий содержащих орехи </v>
      </c>
      <c r="C347" s="954" t="n">
        <v>25000</v>
      </c>
      <c r="D347" s="954" t="n">
        <v>20000</v>
      </c>
      <c r="E347" s="954" t="n">
        <v>15000</v>
      </c>
      <c r="F347" s="955" t="n">
        <f aca="false">C347+D347+E347</f>
        <v>60000</v>
      </c>
      <c r="G347" s="955" t="n">
        <f aca="false">F347/149.4</f>
        <v>401.606425702811</v>
      </c>
      <c r="H347" s="661" t="n">
        <f aca="false">G347/60</f>
        <v>6.69344042838019</v>
      </c>
      <c r="I347" s="660" t="n">
        <f aca="false">'норма времени'!D351</f>
        <v>145</v>
      </c>
      <c r="J347" s="661" t="n">
        <f aca="false">H347*I347</f>
        <v>970.548862115127</v>
      </c>
    </row>
    <row r="348" customFormat="false" ht="15" hidden="false" customHeight="false" outlineLevel="0" collapsed="false">
      <c r="A348" s="571" t="s">
        <v>607</v>
      </c>
      <c r="B348" s="328" t="str">
        <f aca="false">'[5]норма времени'!B172</f>
        <v>Определение дезоксиниваленола</v>
      </c>
      <c r="C348" s="954" t="n">
        <v>25000</v>
      </c>
      <c r="D348" s="954" t="n">
        <v>20000</v>
      </c>
      <c r="E348" s="954" t="n">
        <v>15000</v>
      </c>
      <c r="F348" s="955" t="n">
        <f aca="false">C348+D348+E348</f>
        <v>60000</v>
      </c>
      <c r="G348" s="955" t="n">
        <f aca="false">F348/149.4</f>
        <v>401.606425702811</v>
      </c>
      <c r="H348" s="661" t="n">
        <f aca="false">G348/60</f>
        <v>6.69344042838019</v>
      </c>
      <c r="I348" s="660" t="n">
        <f aca="false">'норма времени'!D352</f>
        <v>110</v>
      </c>
      <c r="J348" s="661" t="n">
        <f aca="false">H348*I348</f>
        <v>736.278447121821</v>
      </c>
    </row>
    <row r="349" customFormat="false" ht="15" hidden="false" customHeight="false" outlineLevel="0" collapsed="false">
      <c r="A349" s="571" t="s">
        <v>608</v>
      </c>
      <c r="B349" s="328" t="str">
        <f aca="false">'[5]норма времени'!B173</f>
        <v>сорбиновая кислота </v>
      </c>
      <c r="C349" s="954" t="n">
        <v>25000</v>
      </c>
      <c r="D349" s="954" t="n">
        <v>20000</v>
      </c>
      <c r="E349" s="954" t="n">
        <v>15000</v>
      </c>
      <c r="F349" s="955" t="n">
        <f aca="false">C349+D349+E349</f>
        <v>60000</v>
      </c>
      <c r="G349" s="955" t="n">
        <f aca="false">F349/149.4</f>
        <v>401.606425702811</v>
      </c>
      <c r="H349" s="661" t="n">
        <f aca="false">G349/60</f>
        <v>6.69344042838019</v>
      </c>
      <c r="I349" s="660" t="n">
        <f aca="false">'норма времени'!D353</f>
        <v>190</v>
      </c>
      <c r="J349" s="661" t="n">
        <f aca="false">H349*I349</f>
        <v>1271.75368139224</v>
      </c>
    </row>
    <row r="350" customFormat="false" ht="15" hidden="false" customHeight="false" outlineLevel="0" collapsed="false">
      <c r="A350" s="571" t="s">
        <v>610</v>
      </c>
      <c r="B350" s="328" t="str">
        <f aca="false">'[5]норма времени'!B174</f>
        <v>намокаемость</v>
      </c>
      <c r="C350" s="954" t="n">
        <v>60000</v>
      </c>
      <c r="D350" s="954" t="n">
        <v>50000</v>
      </c>
      <c r="E350" s="954" t="n">
        <v>40000</v>
      </c>
      <c r="F350" s="955" t="n">
        <f aca="false">C350+D350+E350</f>
        <v>150000</v>
      </c>
      <c r="G350" s="955" t="n">
        <f aca="false">F350/149.4</f>
        <v>1004.01606425703</v>
      </c>
      <c r="H350" s="661" t="n">
        <f aca="false">G350/60</f>
        <v>16.7336010709505</v>
      </c>
      <c r="I350" s="660" t="n">
        <f aca="false">'норма времени'!D354</f>
        <v>60</v>
      </c>
      <c r="J350" s="661" t="n">
        <f aca="false">H350*I350</f>
        <v>1004.01606425703</v>
      </c>
    </row>
    <row r="351" customFormat="false" ht="15" hidden="false" customHeight="false" outlineLevel="0" collapsed="false">
      <c r="A351" s="350" t="s">
        <v>612</v>
      </c>
      <c r="B351" s="467" t="str">
        <f aca="false">'[5]норма времени'!B182</f>
        <v>МЕД натуральный</v>
      </c>
      <c r="C351" s="1253"/>
      <c r="D351" s="1253"/>
      <c r="E351" s="1253"/>
      <c r="F351" s="1254"/>
      <c r="G351" s="1254"/>
      <c r="H351" s="1250"/>
      <c r="I351" s="1255"/>
      <c r="J351" s="1250"/>
    </row>
    <row r="352" customFormat="false" ht="22.5" hidden="false" customHeight="true" outlineLevel="0" collapsed="false">
      <c r="A352" s="571" t="s">
        <v>614</v>
      </c>
      <c r="B352" s="328" t="str">
        <f aca="false">'[5]норма времени'!B183</f>
        <v> Определение влаги  ускоренным методом</v>
      </c>
      <c r="C352" s="954" t="n">
        <v>50000</v>
      </c>
      <c r="D352" s="954" t="n">
        <v>40000</v>
      </c>
      <c r="E352" s="954" t="n">
        <v>30000</v>
      </c>
      <c r="F352" s="955" t="n">
        <f aca="false">C352+D352+E352</f>
        <v>120000</v>
      </c>
      <c r="G352" s="955" t="n">
        <f aca="false">F352/149.4</f>
        <v>803.212851405623</v>
      </c>
      <c r="H352" s="661" t="n">
        <f aca="false">G352/60</f>
        <v>13.3868808567604</v>
      </c>
      <c r="I352" s="660" t="n">
        <f aca="false">'норма времени'!D356</f>
        <v>90</v>
      </c>
      <c r="J352" s="661" t="n">
        <f aca="false">H352*I352</f>
        <v>1204.81927710843</v>
      </c>
    </row>
    <row r="353" customFormat="false" ht="18.75" hidden="false" customHeight="true" outlineLevel="0" collapsed="false">
      <c r="A353" s="571" t="s">
        <v>615</v>
      </c>
      <c r="B353" s="328" t="str">
        <f aca="false">'[5]норма времени'!B184</f>
        <v> Определение влаги  арбитражным методом</v>
      </c>
      <c r="C353" s="954" t="n">
        <v>60000</v>
      </c>
      <c r="D353" s="954" t="n">
        <v>50000</v>
      </c>
      <c r="E353" s="954" t="n">
        <v>40000</v>
      </c>
      <c r="F353" s="955" t="n">
        <f aca="false">C353+D353+E353</f>
        <v>150000</v>
      </c>
      <c r="G353" s="955" t="n">
        <f aca="false">F353/149.4</f>
        <v>1004.01606425703</v>
      </c>
      <c r="H353" s="661" t="n">
        <f aca="false">G353/60</f>
        <v>16.7336010709505</v>
      </c>
      <c r="I353" s="660" t="n">
        <f aca="false">'норма времени'!D357</f>
        <v>110</v>
      </c>
      <c r="J353" s="661" t="n">
        <f aca="false">H353*I353</f>
        <v>1840.69611780455</v>
      </c>
    </row>
    <row r="354" customFormat="false" ht="21" hidden="false" customHeight="true" outlineLevel="0" collapsed="false">
      <c r="A354" s="571" t="s">
        <v>616</v>
      </c>
      <c r="B354" s="328" t="str">
        <f aca="false">'[5]норма времени'!B185</f>
        <v>Определение массовой доли редуцирующих веществ сахара и сахарозы</v>
      </c>
      <c r="C354" s="954" t="n">
        <v>40000</v>
      </c>
      <c r="D354" s="954" t="n">
        <v>30000</v>
      </c>
      <c r="E354" s="954" t="n">
        <v>20000</v>
      </c>
      <c r="F354" s="955" t="n">
        <f aca="false">C354+D354+E354</f>
        <v>90000</v>
      </c>
      <c r="G354" s="955" t="n">
        <f aca="false">F354/149.4</f>
        <v>602.409638554217</v>
      </c>
      <c r="H354" s="661" t="n">
        <f aca="false">G354/60</f>
        <v>10.0401606425703</v>
      </c>
      <c r="I354" s="660" t="n">
        <f aca="false">'норма времени'!D358</f>
        <v>50</v>
      </c>
      <c r="J354" s="661" t="n">
        <f aca="false">H354*I354</f>
        <v>502.008032128514</v>
      </c>
    </row>
    <row r="355" customFormat="false" ht="21" hidden="false" customHeight="true" outlineLevel="0" collapsed="false">
      <c r="A355" s="571" t="s">
        <v>618</v>
      </c>
      <c r="B355" s="328" t="str">
        <f aca="false">'[5]норма времени'!B186</f>
        <v> Определение диастазного числа</v>
      </c>
      <c r="C355" s="954" t="n">
        <v>35000</v>
      </c>
      <c r="D355" s="954" t="n">
        <v>25000</v>
      </c>
      <c r="E355" s="954" t="n">
        <v>15000</v>
      </c>
      <c r="F355" s="955" t="n">
        <f aca="false">C355+D355+E355</f>
        <v>75000</v>
      </c>
      <c r="G355" s="955" t="n">
        <f aca="false">F355/149.4</f>
        <v>502.008032128514</v>
      </c>
      <c r="H355" s="661" t="n">
        <f aca="false">G355/60</f>
        <v>8.36680053547523</v>
      </c>
      <c r="I355" s="660" t="n">
        <f aca="false">'норма времени'!D359</f>
        <v>50</v>
      </c>
      <c r="J355" s="661" t="n">
        <f aca="false">H355*I355</f>
        <v>418.340026773762</v>
      </c>
    </row>
    <row r="356" customFormat="false" ht="21" hidden="false" customHeight="true" outlineLevel="0" collapsed="false">
      <c r="A356" s="571" t="s">
        <v>620</v>
      </c>
      <c r="B356" s="328" t="str">
        <f aca="false">'[5]норма времени'!B187</f>
        <v>Определение механических примесей</v>
      </c>
      <c r="C356" s="954" t="n">
        <v>35000</v>
      </c>
      <c r="D356" s="954" t="n">
        <v>25000</v>
      </c>
      <c r="E356" s="954" t="n">
        <v>15000</v>
      </c>
      <c r="F356" s="955" t="n">
        <f aca="false">C356+D356+E356</f>
        <v>75000</v>
      </c>
      <c r="G356" s="955" t="n">
        <f aca="false">F356/149.4</f>
        <v>502.008032128514</v>
      </c>
      <c r="H356" s="661" t="n">
        <f aca="false">G356/60</f>
        <v>8.36680053547523</v>
      </c>
      <c r="I356" s="660" t="n">
        <f aca="false">'норма времени'!D360</f>
        <v>40</v>
      </c>
      <c r="J356" s="661" t="n">
        <f aca="false">H356*I356</f>
        <v>334.672021419009</v>
      </c>
    </row>
    <row r="357" customFormat="false" ht="18" hidden="false" customHeight="true" outlineLevel="0" collapsed="false">
      <c r="A357" s="571" t="s">
        <v>622</v>
      </c>
      <c r="B357" s="328" t="str">
        <f aca="false">'[5]норма времени'!B188</f>
        <v>Определение общей кислотности</v>
      </c>
      <c r="C357" s="954" t="n">
        <v>30000</v>
      </c>
      <c r="D357" s="954"/>
      <c r="E357" s="954"/>
      <c r="F357" s="955" t="n">
        <f aca="false">C357+D357+E357</f>
        <v>30000</v>
      </c>
      <c r="G357" s="955" t="n">
        <f aca="false">F357/149.4</f>
        <v>200.803212851406</v>
      </c>
      <c r="H357" s="661" t="n">
        <f aca="false">G357/60</f>
        <v>3.34672021419009</v>
      </c>
      <c r="I357" s="660" t="n">
        <f aca="false">'норма времени'!D361</f>
        <v>50</v>
      </c>
      <c r="J357" s="661" t="n">
        <f aca="false">H357*I357</f>
        <v>167.336010709505</v>
      </c>
    </row>
    <row r="358" customFormat="false" ht="16.5" hidden="false" customHeight="true" outlineLevel="0" collapsed="false">
      <c r="A358" s="571" t="s">
        <v>624</v>
      </c>
      <c r="B358" s="328" t="str">
        <f aca="false">'[5]норма времени'!B189</f>
        <v>Определение оксиметилфурфурола</v>
      </c>
      <c r="C358" s="954" t="n">
        <v>30000</v>
      </c>
      <c r="D358" s="954" t="n">
        <v>20000</v>
      </c>
      <c r="E358" s="954" t="n">
        <v>15000</v>
      </c>
      <c r="F358" s="955" t="n">
        <f aca="false">C358+D358+E358</f>
        <v>65000</v>
      </c>
      <c r="G358" s="955" t="n">
        <f aca="false">F358/149.4</f>
        <v>435.073627844712</v>
      </c>
      <c r="H358" s="661" t="n">
        <f aca="false">G358/60</f>
        <v>7.2512271307452</v>
      </c>
      <c r="I358" s="660" t="n">
        <f aca="false">'норма времени'!D362</f>
        <v>85</v>
      </c>
      <c r="J358" s="661" t="n">
        <f aca="false">H358*I358</f>
        <v>616.354306113342</v>
      </c>
    </row>
    <row r="359" customFormat="false" ht="21" hidden="false" customHeight="true" outlineLevel="0" collapsed="false">
      <c r="A359" s="571" t="s">
        <v>626</v>
      </c>
      <c r="B359" s="328" t="str">
        <f aca="false">'[5]норма времени'!B190</f>
        <v>Определение свинца </v>
      </c>
      <c r="C359" s="954" t="n">
        <v>55000</v>
      </c>
      <c r="D359" s="954" t="n">
        <v>50000</v>
      </c>
      <c r="E359" s="954" t="n">
        <v>45750</v>
      </c>
      <c r="F359" s="955" t="n">
        <f aca="false">C359+D359+E359</f>
        <v>150750</v>
      </c>
      <c r="G359" s="955" t="n">
        <f aca="false">F359/149.4</f>
        <v>1009.03614457831</v>
      </c>
      <c r="H359" s="661" t="n">
        <f aca="false">G359/60</f>
        <v>16.8172690763052</v>
      </c>
      <c r="I359" s="660" t="n">
        <f aca="false">'норма времени'!D363</f>
        <v>200</v>
      </c>
      <c r="J359" s="661" t="n">
        <f aca="false">H359*I359</f>
        <v>3363.45381526104</v>
      </c>
    </row>
    <row r="360" customFormat="false" ht="16.5" hidden="false" customHeight="true" outlineLevel="0" collapsed="false">
      <c r="A360" s="571" t="s">
        <v>627</v>
      </c>
      <c r="B360" s="328" t="str">
        <f aca="false">'[5]норма времени'!B191</f>
        <v>Определение кадмия</v>
      </c>
      <c r="C360" s="954" t="n">
        <v>55000</v>
      </c>
      <c r="D360" s="954" t="n">
        <v>50000</v>
      </c>
      <c r="E360" s="954" t="n">
        <v>45750</v>
      </c>
      <c r="F360" s="955" t="n">
        <f aca="false">C360+D360+E360</f>
        <v>150750</v>
      </c>
      <c r="G360" s="955" t="n">
        <f aca="false">F360/149.4</f>
        <v>1009.03614457831</v>
      </c>
      <c r="H360" s="661" t="n">
        <f aca="false">G360/60</f>
        <v>16.8172690763052</v>
      </c>
      <c r="I360" s="660" t="n">
        <f aca="false">'норма времени'!D364</f>
        <v>200</v>
      </c>
      <c r="J360" s="661" t="n">
        <f aca="false">H360*I360</f>
        <v>3363.45381526104</v>
      </c>
    </row>
    <row r="361" customFormat="false" ht="21" hidden="false" customHeight="true" outlineLevel="0" collapsed="false">
      <c r="A361" s="571" t="s">
        <v>628</v>
      </c>
      <c r="B361" s="328" t="str">
        <f aca="false">'[5]норма времени'!B192</f>
        <v>Определение мышьяка</v>
      </c>
      <c r="C361" s="954" t="n">
        <v>30000</v>
      </c>
      <c r="D361" s="954" t="n">
        <v>20000</v>
      </c>
      <c r="E361" s="954" t="n">
        <v>15000</v>
      </c>
      <c r="F361" s="955" t="n">
        <f aca="false">C361+D361+E361</f>
        <v>65000</v>
      </c>
      <c r="G361" s="955" t="n">
        <f aca="false">F361/149.4</f>
        <v>435.073627844712</v>
      </c>
      <c r="H361" s="661" t="n">
        <f aca="false">G361/60</f>
        <v>7.2512271307452</v>
      </c>
      <c r="I361" s="660" t="n">
        <f aca="false">'норма времени'!D365</f>
        <v>120</v>
      </c>
      <c r="J361" s="661" t="n">
        <f aca="false">H361*I361</f>
        <v>870.147255689424</v>
      </c>
    </row>
    <row r="362" customFormat="false" ht="22.5" hidden="false" customHeight="true" outlineLevel="0" collapsed="false">
      <c r="A362" s="571" t="s">
        <v>629</v>
      </c>
      <c r="B362" s="328" t="str">
        <f aca="false">'[5]норма времени'!B193</f>
        <v>Органолептические показатели</v>
      </c>
      <c r="C362" s="954" t="n">
        <v>35000</v>
      </c>
      <c r="D362" s="954" t="n">
        <v>25000</v>
      </c>
      <c r="E362" s="954" t="n">
        <v>15000</v>
      </c>
      <c r="F362" s="955" t="n">
        <f aca="false">C362+D362+E362</f>
        <v>75000</v>
      </c>
      <c r="G362" s="955" t="n">
        <f aca="false">F362/149.4</f>
        <v>502.008032128514</v>
      </c>
      <c r="H362" s="661" t="n">
        <f aca="false">G362/60</f>
        <v>8.36680053547523</v>
      </c>
      <c r="I362" s="660" t="n">
        <f aca="false">'норма времени'!D366</f>
        <v>55</v>
      </c>
      <c r="J362" s="661" t="n">
        <f aca="false">H362*I362</f>
        <v>460.174029451138</v>
      </c>
    </row>
    <row r="363" customFormat="false" ht="21" hidden="false" customHeight="true" outlineLevel="0" collapsed="false">
      <c r="A363" s="571" t="s">
        <v>631</v>
      </c>
      <c r="B363" s="328" t="str">
        <f aca="false">'[5]норма времени'!B194</f>
        <v>Признаки брожения</v>
      </c>
      <c r="C363" s="954" t="n">
        <v>60000</v>
      </c>
      <c r="D363" s="954" t="n">
        <v>50000</v>
      </c>
      <c r="E363" s="954" t="n">
        <v>40000</v>
      </c>
      <c r="F363" s="955" t="n">
        <f aca="false">C363+D363+E363</f>
        <v>150000</v>
      </c>
      <c r="G363" s="955" t="n">
        <f aca="false">F363/149.4</f>
        <v>1004.01606425703</v>
      </c>
      <c r="H363" s="661" t="n">
        <f aca="false">G363/60</f>
        <v>16.7336010709505</v>
      </c>
      <c r="I363" s="660" t="n">
        <f aca="false">'норма времени'!D367</f>
        <v>55</v>
      </c>
      <c r="J363" s="661" t="n">
        <f aca="false">H363*I363</f>
        <v>920.348058902276</v>
      </c>
    </row>
    <row r="364" customFormat="false" ht="21.75" hidden="false" customHeight="true" outlineLevel="0" collapsed="false">
      <c r="A364" s="571" t="s">
        <v>633</v>
      </c>
      <c r="B364" s="328" t="str">
        <f aca="false">'[5]норма времени'!B195</f>
        <v>Наличие пыльцевых зерен</v>
      </c>
      <c r="C364" s="954" t="n">
        <v>60000</v>
      </c>
      <c r="D364" s="954" t="n">
        <v>50000</v>
      </c>
      <c r="E364" s="954" t="n">
        <v>40000</v>
      </c>
      <c r="F364" s="955" t="n">
        <f aca="false">C364+D364+E364</f>
        <v>150000</v>
      </c>
      <c r="G364" s="955" t="n">
        <f aca="false">F364/149.4</f>
        <v>1004.01606425703</v>
      </c>
      <c r="H364" s="661" t="n">
        <f aca="false">G364/60</f>
        <v>16.7336010709505</v>
      </c>
      <c r="I364" s="660" t="n">
        <f aca="false">'норма времени'!D368</f>
        <v>55</v>
      </c>
      <c r="J364" s="661" t="n">
        <f aca="false">H364*I364</f>
        <v>920.348058902276</v>
      </c>
    </row>
    <row r="365" customFormat="false" ht="27.75" hidden="false" customHeight="true" outlineLevel="0" collapsed="false">
      <c r="A365" s="571" t="s">
        <v>635</v>
      </c>
      <c r="B365" s="328" t="str">
        <f aca="false">'[5]норма времени'!B196</f>
        <v>определение массовой доли воды</v>
      </c>
      <c r="C365" s="954" t="n">
        <v>60000</v>
      </c>
      <c r="D365" s="954" t="n">
        <v>50000</v>
      </c>
      <c r="E365" s="954" t="n">
        <v>40000</v>
      </c>
      <c r="F365" s="955" t="n">
        <f aca="false">C365+D365+E365</f>
        <v>150000</v>
      </c>
      <c r="G365" s="955" t="n">
        <f aca="false">F365/149.4</f>
        <v>1004.01606425703</v>
      </c>
      <c r="H365" s="661" t="n">
        <f aca="false">G365/60</f>
        <v>16.7336010709505</v>
      </c>
      <c r="I365" s="660" t="n">
        <f aca="false">'норма времени'!D369</f>
        <v>55</v>
      </c>
      <c r="J365" s="661" t="n">
        <f aca="false">H365*I365</f>
        <v>920.348058902276</v>
      </c>
    </row>
    <row r="366" customFormat="false" ht="21" hidden="false" customHeight="true" outlineLevel="0" collapsed="false">
      <c r="A366" s="350" t="s">
        <v>637</v>
      </c>
      <c r="B366" s="467" t="str">
        <f aca="false">'[5]норма времени'!B197</f>
        <v> Плодоовощная продукция, консервы овощные, фруктовые, ягодные и грибные</v>
      </c>
      <c r="C366" s="1253"/>
      <c r="D366" s="1253"/>
      <c r="E366" s="1253"/>
      <c r="F366" s="1254"/>
      <c r="G366" s="1254"/>
      <c r="H366" s="1250"/>
      <c r="I366" s="1255"/>
      <c r="J366" s="1250"/>
    </row>
    <row r="367" customFormat="false" ht="15" hidden="false" customHeight="false" outlineLevel="0" collapsed="false">
      <c r="A367" s="571" t="s">
        <v>639</v>
      </c>
      <c r="B367" s="328" t="str">
        <f aca="false">'[5]норма времени'!B198</f>
        <v> Определение органолептических показателей</v>
      </c>
      <c r="C367" s="954" t="n">
        <v>50000</v>
      </c>
      <c r="D367" s="954" t="n">
        <v>40000</v>
      </c>
      <c r="E367" s="954" t="n">
        <v>30000</v>
      </c>
      <c r="F367" s="955" t="n">
        <f aca="false">C367+D367+E367</f>
        <v>120000</v>
      </c>
      <c r="G367" s="955" t="n">
        <f aca="false">F367/149.4</f>
        <v>803.212851405623</v>
      </c>
      <c r="H367" s="661" t="n">
        <f aca="false">G367/60</f>
        <v>13.3868808567604</v>
      </c>
      <c r="I367" s="660" t="n">
        <f aca="false">'норма времени'!D371</f>
        <v>45</v>
      </c>
      <c r="J367" s="661" t="n">
        <f aca="false">H367*I367</f>
        <v>602.409638554217</v>
      </c>
    </row>
    <row r="368" customFormat="false" ht="15" hidden="false" customHeight="false" outlineLevel="0" collapsed="false">
      <c r="A368" s="571" t="s">
        <v>640</v>
      </c>
      <c r="B368" s="328" t="str">
        <f aca="false">'[5]норма времени'!B199</f>
        <v> Определение влаги  ускоренным методом</v>
      </c>
      <c r="C368" s="954" t="n">
        <v>50000</v>
      </c>
      <c r="D368" s="954" t="n">
        <v>40000</v>
      </c>
      <c r="E368" s="954" t="n">
        <v>30000</v>
      </c>
      <c r="F368" s="955" t="n">
        <f aca="false">C368+D368+E368</f>
        <v>120000</v>
      </c>
      <c r="G368" s="955" t="n">
        <f aca="false">F368/149.4</f>
        <v>803.212851405623</v>
      </c>
      <c r="H368" s="661" t="n">
        <f aca="false">G368/60</f>
        <v>13.3868808567604</v>
      </c>
      <c r="I368" s="660" t="n">
        <f aca="false">'норма времени'!D372</f>
        <v>90</v>
      </c>
      <c r="J368" s="661" t="n">
        <f aca="false">H368*I368</f>
        <v>1204.81927710843</v>
      </c>
    </row>
    <row r="369" customFormat="false" ht="15" hidden="false" customHeight="false" outlineLevel="0" collapsed="false">
      <c r="A369" s="571" t="s">
        <v>641</v>
      </c>
      <c r="B369" s="328" t="str">
        <f aca="false">'[5]норма времени'!B200</f>
        <v> Определение влаги  арбитражным методом</v>
      </c>
      <c r="C369" s="954" t="n">
        <v>50000</v>
      </c>
      <c r="D369" s="954" t="n">
        <v>40000</v>
      </c>
      <c r="E369" s="954" t="n">
        <v>30000</v>
      </c>
      <c r="F369" s="955" t="n">
        <f aca="false">C369+D369+E369</f>
        <v>120000</v>
      </c>
      <c r="G369" s="955" t="n">
        <f aca="false">F369/149.4</f>
        <v>803.212851405623</v>
      </c>
      <c r="H369" s="661" t="n">
        <f aca="false">G369/60</f>
        <v>13.3868808567604</v>
      </c>
      <c r="I369" s="660" t="n">
        <f aca="false">'норма времени'!D373</f>
        <v>110</v>
      </c>
      <c r="J369" s="661" t="n">
        <f aca="false">H369*I369</f>
        <v>1472.55689424364</v>
      </c>
    </row>
    <row r="370" customFormat="false" ht="15" hidden="false" customHeight="false" outlineLevel="0" collapsed="false">
      <c r="A370" s="571" t="s">
        <v>642</v>
      </c>
      <c r="B370" s="328" t="str">
        <f aca="false">'[5]норма времени'!B201</f>
        <v> Определение титруемой кислотности  </v>
      </c>
      <c r="C370" s="954" t="n">
        <v>30000</v>
      </c>
      <c r="D370" s="954" t="n">
        <v>20000</v>
      </c>
      <c r="E370" s="954" t="n">
        <v>15000</v>
      </c>
      <c r="F370" s="955" t="n">
        <f aca="false">C370+D370+E370</f>
        <v>65000</v>
      </c>
      <c r="G370" s="955" t="n">
        <f aca="false">F370/149.4</f>
        <v>435.073627844712</v>
      </c>
      <c r="H370" s="661" t="n">
        <f aca="false">G370/60</f>
        <v>7.2512271307452</v>
      </c>
      <c r="I370" s="660" t="n">
        <f aca="false">'норма времени'!D374</f>
        <v>50</v>
      </c>
      <c r="J370" s="661" t="n">
        <f aca="false">H370*I370</f>
        <v>362.56135653726</v>
      </c>
    </row>
    <row r="371" customFormat="false" ht="15" hidden="false" customHeight="false" outlineLevel="0" collapsed="false">
      <c r="A371" s="571" t="s">
        <v>644</v>
      </c>
      <c r="B371" s="328" t="str">
        <f aca="false">'[5]норма времени'!B202</f>
        <v> Определение жира ( по Герберу)</v>
      </c>
      <c r="C371" s="954" t="n">
        <v>40000</v>
      </c>
      <c r="D371" s="954" t="n">
        <v>30000</v>
      </c>
      <c r="E371" s="954" t="n">
        <v>25000</v>
      </c>
      <c r="F371" s="955" t="n">
        <f aca="false">C371+D371+E371</f>
        <v>95000</v>
      </c>
      <c r="G371" s="955" t="n">
        <f aca="false">F371/149.4</f>
        <v>635.876840696118</v>
      </c>
      <c r="H371" s="661" t="n">
        <f aca="false">G371/60</f>
        <v>10.5979473449353</v>
      </c>
      <c r="I371" s="660" t="n">
        <f aca="false">'норма времени'!D375</f>
        <v>110</v>
      </c>
      <c r="J371" s="661" t="n">
        <f aca="false">H371*I371</f>
        <v>1165.77420794288</v>
      </c>
    </row>
    <row r="372" customFormat="false" ht="15" hidden="false" customHeight="false" outlineLevel="0" collapsed="false">
      <c r="A372" s="571" t="s">
        <v>645</v>
      </c>
      <c r="B372" s="328" t="str">
        <f aca="false">'[5]норма времени'!B203</f>
        <v> Определение жира (по Сокслету)</v>
      </c>
      <c r="C372" s="954" t="n">
        <v>25000</v>
      </c>
      <c r="D372" s="954" t="n">
        <v>15000</v>
      </c>
      <c r="E372" s="954" t="n">
        <v>10000</v>
      </c>
      <c r="F372" s="955" t="n">
        <f aca="false">C372+D372+E372</f>
        <v>50000</v>
      </c>
      <c r="G372" s="955" t="n">
        <f aca="false">F372/149.4</f>
        <v>334.672021419009</v>
      </c>
      <c r="H372" s="661" t="n">
        <f aca="false">G372/60</f>
        <v>5.57786702365016</v>
      </c>
      <c r="I372" s="660" t="n">
        <f aca="false">'норма времени'!D376</f>
        <v>100</v>
      </c>
      <c r="J372" s="661" t="n">
        <f aca="false">H372*I372</f>
        <v>557.786702365016</v>
      </c>
    </row>
    <row r="373" customFormat="false" ht="15" hidden="false" customHeight="false" outlineLevel="0" collapsed="false">
      <c r="A373" s="571" t="s">
        <v>646</v>
      </c>
      <c r="B373" s="328" t="str">
        <f aca="false">'[5]норма времени'!B204</f>
        <v>Определение сухих веществ</v>
      </c>
      <c r="C373" s="954" t="n">
        <v>50000</v>
      </c>
      <c r="D373" s="954" t="n">
        <v>40000</v>
      </c>
      <c r="E373" s="954" t="n">
        <v>30000</v>
      </c>
      <c r="F373" s="955" t="n">
        <f aca="false">C373+D373+E373</f>
        <v>120000</v>
      </c>
      <c r="G373" s="955" t="n">
        <f aca="false">F373/149.4</f>
        <v>803.212851405623</v>
      </c>
      <c r="H373" s="661" t="n">
        <f aca="false">G373/60</f>
        <v>13.3868808567604</v>
      </c>
      <c r="I373" s="660" t="n">
        <f aca="false">'норма времени'!D377</f>
        <v>60</v>
      </c>
      <c r="J373" s="661" t="n">
        <f aca="false">H373*I373</f>
        <v>803.212851405623</v>
      </c>
    </row>
    <row r="374" customFormat="false" ht="15" hidden="false" customHeight="false" outlineLevel="0" collapsed="false">
      <c r="A374" s="571" t="s">
        <v>647</v>
      </c>
      <c r="B374" s="328" t="str">
        <f aca="false">'[5]норма времени'!B205</f>
        <v>Определение  массовой доли хлоридов </v>
      </c>
      <c r="C374" s="954" t="n">
        <v>25000</v>
      </c>
      <c r="D374" s="954" t="n">
        <v>15000</v>
      </c>
      <c r="E374" s="954" t="n">
        <v>10000</v>
      </c>
      <c r="F374" s="955" t="n">
        <f aca="false">C374+D374+E374</f>
        <v>50000</v>
      </c>
      <c r="G374" s="955" t="n">
        <f aca="false">F374/149.4</f>
        <v>334.672021419009</v>
      </c>
      <c r="H374" s="661" t="n">
        <f aca="false">G374/60</f>
        <v>5.57786702365016</v>
      </c>
      <c r="I374" s="660" t="n">
        <f aca="false">'норма времени'!D378</f>
        <v>160</v>
      </c>
      <c r="J374" s="661" t="n">
        <f aca="false">H374*I374</f>
        <v>892.458723784025</v>
      </c>
    </row>
    <row r="375" customFormat="false" ht="30" hidden="false" customHeight="false" outlineLevel="0" collapsed="false">
      <c r="A375" s="571" t="s">
        <v>649</v>
      </c>
      <c r="B375" s="328" t="str">
        <f aca="false">'[5]норма времени'!B206</f>
        <v>Определение массовой доли сахара (фотометрическим методом)</v>
      </c>
      <c r="C375" s="954" t="n">
        <v>25000</v>
      </c>
      <c r="D375" s="954" t="n">
        <v>15000</v>
      </c>
      <c r="E375" s="954" t="n">
        <v>10000</v>
      </c>
      <c r="F375" s="955" t="n">
        <f aca="false">C375+D375+E375</f>
        <v>50000</v>
      </c>
      <c r="G375" s="955" t="n">
        <f aca="false">F375/149.4</f>
        <v>334.672021419009</v>
      </c>
      <c r="H375" s="661" t="n">
        <f aca="false">G375/60</f>
        <v>5.57786702365016</v>
      </c>
      <c r="I375" s="660" t="n">
        <f aca="false">'норма времени'!D379</f>
        <v>180</v>
      </c>
      <c r="J375" s="661" t="n">
        <f aca="false">H375*I375</f>
        <v>1004.01606425703</v>
      </c>
    </row>
    <row r="376" customFormat="false" ht="30" hidden="false" customHeight="false" outlineLevel="0" collapsed="false">
      <c r="A376" s="571" t="s">
        <v>650</v>
      </c>
      <c r="B376" s="328" t="str">
        <f aca="false">'[5]норма времени'!B207</f>
        <v>Определение  массовой доли сахара (титрометрическим методом)</v>
      </c>
      <c r="C376" s="954" t="n">
        <v>50000</v>
      </c>
      <c r="D376" s="954" t="n">
        <v>40000</v>
      </c>
      <c r="E376" s="954" t="n">
        <v>30000</v>
      </c>
      <c r="F376" s="955" t="n">
        <f aca="false">C376+D376+E376</f>
        <v>120000</v>
      </c>
      <c r="G376" s="955" t="n">
        <f aca="false">F376/149.4</f>
        <v>803.212851405623</v>
      </c>
      <c r="H376" s="661" t="n">
        <f aca="false">G376/60</f>
        <v>13.3868808567604</v>
      </c>
      <c r="I376" s="660" t="n">
        <f aca="false">'норма времени'!D380</f>
        <v>65</v>
      </c>
      <c r="J376" s="661" t="n">
        <f aca="false">H376*I376</f>
        <v>870.147255689424</v>
      </c>
    </row>
    <row r="377" customFormat="false" ht="15" hidden="false" customHeight="false" outlineLevel="0" collapsed="false">
      <c r="A377" s="571" t="s">
        <v>651</v>
      </c>
      <c r="B377" s="328" t="str">
        <f aca="false">'[5]норма времени'!B208</f>
        <v>Определение  свинца </v>
      </c>
      <c r="C377" s="954" t="n">
        <v>60000</v>
      </c>
      <c r="D377" s="954" t="n">
        <v>55000</v>
      </c>
      <c r="E377" s="954" t="n">
        <v>40000</v>
      </c>
      <c r="F377" s="955" t="n">
        <f aca="false">C377+D377+E377</f>
        <v>155000</v>
      </c>
      <c r="G377" s="955" t="n">
        <f aca="false">F377/149.4</f>
        <v>1037.48326639893</v>
      </c>
      <c r="H377" s="661" t="n">
        <f aca="false">G377/60</f>
        <v>17.2913877733155</v>
      </c>
      <c r="I377" s="660" t="n">
        <f aca="false">'норма времени'!D381</f>
        <v>200</v>
      </c>
      <c r="J377" s="661" t="n">
        <f aca="false">H377*I377</f>
        <v>3458.2775546631</v>
      </c>
    </row>
    <row r="378" customFormat="false" ht="15" hidden="false" customHeight="false" outlineLevel="0" collapsed="false">
      <c r="A378" s="571" t="s">
        <v>652</v>
      </c>
      <c r="B378" s="328" t="str">
        <f aca="false">'[5]норма времени'!B209</f>
        <v>Определение кадмия</v>
      </c>
      <c r="C378" s="954" t="n">
        <v>65000</v>
      </c>
      <c r="D378" s="954" t="n">
        <v>55000</v>
      </c>
      <c r="E378" s="954" t="n">
        <v>40000</v>
      </c>
      <c r="F378" s="955" t="n">
        <f aca="false">C378+D378+E378</f>
        <v>160000</v>
      </c>
      <c r="G378" s="955" t="n">
        <f aca="false">F378/149.4</f>
        <v>1070.95046854083</v>
      </c>
      <c r="H378" s="661" t="n">
        <f aca="false">G378/60</f>
        <v>17.8491744756805</v>
      </c>
      <c r="I378" s="660" t="n">
        <f aca="false">'норма времени'!D382</f>
        <v>200</v>
      </c>
      <c r="J378" s="661" t="n">
        <f aca="false">H378*I378</f>
        <v>3569.8348951361</v>
      </c>
    </row>
    <row r="379" customFormat="false" ht="15" hidden="false" customHeight="false" outlineLevel="0" collapsed="false">
      <c r="A379" s="571" t="s">
        <v>653</v>
      </c>
      <c r="B379" s="328" t="str">
        <f aca="false">'[5]норма времени'!B210</f>
        <v> Определение мышьяка </v>
      </c>
      <c r="C379" s="954" t="n">
        <v>25000</v>
      </c>
      <c r="D379" s="954" t="n">
        <v>15000</v>
      </c>
      <c r="E379" s="954" t="n">
        <v>10000</v>
      </c>
      <c r="F379" s="955" t="n">
        <f aca="false">C379+D379+E379</f>
        <v>50000</v>
      </c>
      <c r="G379" s="955" t="n">
        <f aca="false">F379/149.4</f>
        <v>334.672021419009</v>
      </c>
      <c r="H379" s="661" t="n">
        <f aca="false">G379/60</f>
        <v>5.57786702365016</v>
      </c>
      <c r="I379" s="660" t="n">
        <f aca="false">'норма времени'!D383</f>
        <v>170</v>
      </c>
      <c r="J379" s="661" t="n">
        <f aca="false">H379*I379</f>
        <v>948.237394020527</v>
      </c>
    </row>
    <row r="380" customFormat="false" ht="15" hidden="false" customHeight="false" outlineLevel="0" collapsed="false">
      <c r="A380" s="571" t="s">
        <v>654</v>
      </c>
      <c r="B380" s="328" t="str">
        <f aca="false">'[5]норма времени'!B211</f>
        <v>Определение  ртути</v>
      </c>
      <c r="C380" s="954" t="n">
        <v>45000</v>
      </c>
      <c r="D380" s="954" t="n">
        <v>30000</v>
      </c>
      <c r="E380" s="954" t="n">
        <v>25000</v>
      </c>
      <c r="F380" s="955" t="n">
        <f aca="false">C380+D380+E380</f>
        <v>100000</v>
      </c>
      <c r="G380" s="955" t="n">
        <f aca="false">F380/149.4</f>
        <v>669.344042838019</v>
      </c>
      <c r="H380" s="661" t="n">
        <f aca="false">G380/60</f>
        <v>11.1557340473003</v>
      </c>
      <c r="I380" s="660" t="n">
        <f aca="false">'норма времени'!D384</f>
        <v>170</v>
      </c>
      <c r="J380" s="661" t="n">
        <f aca="false">H380*I380</f>
        <v>1896.47478804105</v>
      </c>
    </row>
    <row r="381" customFormat="false" ht="15" hidden="false" customHeight="false" outlineLevel="0" collapsed="false">
      <c r="A381" s="571" t="s">
        <v>655</v>
      </c>
      <c r="B381" s="328" t="str">
        <f aca="false">'[5]норма времени'!B212</f>
        <v>Определение патулина</v>
      </c>
      <c r="C381" s="954" t="n">
        <v>25000</v>
      </c>
      <c r="D381" s="954" t="n">
        <v>15000</v>
      </c>
      <c r="E381" s="954" t="n">
        <v>10000</v>
      </c>
      <c r="F381" s="955" t="n">
        <f aca="false">C381+D381+E381</f>
        <v>50000</v>
      </c>
      <c r="G381" s="955" t="n">
        <f aca="false">F381/149.4</f>
        <v>334.672021419009</v>
      </c>
      <c r="H381" s="661" t="n">
        <f aca="false">G381/60</f>
        <v>5.57786702365016</v>
      </c>
      <c r="I381" s="660" t="n">
        <f aca="false">'норма времени'!D385</f>
        <v>140</v>
      </c>
      <c r="J381" s="661" t="n">
        <f aca="false">H381*I381</f>
        <v>780.901383311022</v>
      </c>
    </row>
    <row r="382" customFormat="false" ht="30" hidden="false" customHeight="false" outlineLevel="0" collapsed="false">
      <c r="A382" s="571" t="s">
        <v>657</v>
      </c>
      <c r="B382" s="328" t="str">
        <f aca="false">'[5]норма времени'!B213</f>
        <v>Определение олова (для консервов в сборной жестяной таре) </v>
      </c>
      <c r="C382" s="954" t="n">
        <v>25000</v>
      </c>
      <c r="D382" s="954" t="n">
        <v>15000</v>
      </c>
      <c r="E382" s="954" t="n">
        <v>10000</v>
      </c>
      <c r="F382" s="955" t="n">
        <f aca="false">C382+D382+E382</f>
        <v>50000</v>
      </c>
      <c r="G382" s="955" t="n">
        <f aca="false">F382/149.4</f>
        <v>334.672021419009</v>
      </c>
      <c r="H382" s="661" t="n">
        <f aca="false">G382/60</f>
        <v>5.57786702365016</v>
      </c>
      <c r="I382" s="660" t="n">
        <f aca="false">'норма времени'!D386</f>
        <v>170</v>
      </c>
      <c r="J382" s="661" t="n">
        <f aca="false">H382*I382</f>
        <v>948.237394020527</v>
      </c>
    </row>
    <row r="383" customFormat="false" ht="30" hidden="false" customHeight="false" outlineLevel="0" collapsed="false">
      <c r="A383" s="571" t="s">
        <v>658</v>
      </c>
      <c r="B383" s="328" t="str">
        <f aca="false">'[5]норма времени'!B214</f>
        <v>Определение хрома (для консервов в сборной хромированной таре)</v>
      </c>
      <c r="C383" s="954" t="n">
        <v>45000</v>
      </c>
      <c r="D383" s="954" t="n">
        <v>30000</v>
      </c>
      <c r="E383" s="954" t="n">
        <v>25000</v>
      </c>
      <c r="F383" s="955" t="n">
        <f aca="false">C383+D383+E383</f>
        <v>100000</v>
      </c>
      <c r="G383" s="955" t="n">
        <f aca="false">F383/149.4</f>
        <v>669.344042838019</v>
      </c>
      <c r="H383" s="661" t="n">
        <f aca="false">G383/60</f>
        <v>11.1557340473003</v>
      </c>
      <c r="I383" s="660" t="n">
        <f aca="false">'норма времени'!D387</f>
        <v>80</v>
      </c>
      <c r="J383" s="661" t="n">
        <f aca="false">H383*I383</f>
        <v>892.458723784025</v>
      </c>
    </row>
    <row r="384" customFormat="false" ht="15" hidden="false" customHeight="false" outlineLevel="0" collapsed="false">
      <c r="A384" s="571" t="s">
        <v>659</v>
      </c>
      <c r="B384" s="328" t="str">
        <f aca="false">'[5]норма времени'!B215</f>
        <v>сорбиновая и бензонной кислот</v>
      </c>
      <c r="C384" s="954" t="n">
        <v>25000</v>
      </c>
      <c r="D384" s="954" t="n">
        <v>15000</v>
      </c>
      <c r="E384" s="954" t="n">
        <v>10000</v>
      </c>
      <c r="F384" s="955" t="n">
        <f aca="false">C384+D384+E384</f>
        <v>50000</v>
      </c>
      <c r="G384" s="955" t="n">
        <f aca="false">F384/149.4</f>
        <v>334.672021419009</v>
      </c>
      <c r="H384" s="661" t="n">
        <f aca="false">G384/60</f>
        <v>5.57786702365016</v>
      </c>
      <c r="I384" s="660" t="n">
        <f aca="false">'норма времени'!D388</f>
        <v>110</v>
      </c>
      <c r="J384" s="661" t="n">
        <f aca="false">H384*I384</f>
        <v>613.565372601517</v>
      </c>
    </row>
    <row r="385" customFormat="false" ht="15" hidden="false" customHeight="false" outlineLevel="0" collapsed="false">
      <c r="A385" s="571" t="s">
        <v>661</v>
      </c>
      <c r="B385" s="328" t="str">
        <f aca="false">'[5]норма времени'!B216</f>
        <v>диоксид серы</v>
      </c>
      <c r="C385" s="954" t="n">
        <v>45000</v>
      </c>
      <c r="D385" s="954" t="n">
        <v>30000</v>
      </c>
      <c r="E385" s="954" t="n">
        <v>25000</v>
      </c>
      <c r="F385" s="955" t="n">
        <f aca="false">C385+D385+E385</f>
        <v>100000</v>
      </c>
      <c r="G385" s="955" t="n">
        <f aca="false">F385/149.4</f>
        <v>669.344042838019</v>
      </c>
      <c r="H385" s="661" t="n">
        <f aca="false">G385/60</f>
        <v>11.1557340473003</v>
      </c>
      <c r="I385" s="660" t="n">
        <f aca="false">'норма времени'!D389</f>
        <v>170</v>
      </c>
      <c r="J385" s="661" t="n">
        <f aca="false">H385*I385</f>
        <v>1896.47478804105</v>
      </c>
    </row>
    <row r="386" customFormat="false" ht="15" hidden="false" customHeight="false" outlineLevel="0" collapsed="false">
      <c r="A386" s="350" t="s">
        <v>663</v>
      </c>
      <c r="B386" s="467" t="str">
        <f aca="false">'[5]норма времени'!B217</f>
        <v>Масличные сырье жировые продукты, майонезы </v>
      </c>
      <c r="C386" s="1253"/>
      <c r="D386" s="1253"/>
      <c r="E386" s="1253"/>
      <c r="F386" s="1254"/>
      <c r="G386" s="1254"/>
      <c r="H386" s="1250"/>
      <c r="I386" s="1255"/>
      <c r="J386" s="1250"/>
    </row>
    <row r="387" customFormat="false" ht="15.75" hidden="false" customHeight="true" outlineLevel="0" collapsed="false">
      <c r="A387" s="571" t="s">
        <v>665</v>
      </c>
      <c r="B387" s="328" t="str">
        <f aca="false">'[5]норма времени'!B218</f>
        <v> Определение органолептических показателей</v>
      </c>
      <c r="C387" s="954" t="n">
        <v>60000</v>
      </c>
      <c r="D387" s="954" t="n">
        <v>50000</v>
      </c>
      <c r="E387" s="954" t="n">
        <v>40000</v>
      </c>
      <c r="F387" s="955" t="n">
        <f aca="false">C387+D387+E387</f>
        <v>150000</v>
      </c>
      <c r="G387" s="955" t="n">
        <f aca="false">F387/149.4</f>
        <v>1004.01606425703</v>
      </c>
      <c r="H387" s="661" t="n">
        <f aca="false">G387/60</f>
        <v>16.7336010709505</v>
      </c>
      <c r="I387" s="660" t="n">
        <f aca="false">'норма времени'!D391</f>
        <v>24</v>
      </c>
      <c r="J387" s="661" t="n">
        <f aca="false">H387*I387</f>
        <v>401.606425702811</v>
      </c>
    </row>
    <row r="388" customFormat="false" ht="30" hidden="false" customHeight="false" outlineLevel="0" collapsed="false">
      <c r="A388" s="571" t="s">
        <v>666</v>
      </c>
      <c r="B388" s="328" t="str">
        <f aca="false">'[5]норма времени'!B219</f>
        <v> Определение массовой доли фосфорсодержащих вещества  </v>
      </c>
      <c r="C388" s="954" t="n">
        <v>40000</v>
      </c>
      <c r="D388" s="954" t="n">
        <v>35000</v>
      </c>
      <c r="E388" s="954" t="n">
        <v>30000</v>
      </c>
      <c r="F388" s="955" t="n">
        <f aca="false">C388+D388+E388</f>
        <v>105000</v>
      </c>
      <c r="G388" s="955" t="n">
        <f aca="false">F388/149.4</f>
        <v>702.81124497992</v>
      </c>
      <c r="H388" s="661" t="n">
        <f aca="false">G388/60</f>
        <v>11.7135207496653</v>
      </c>
      <c r="I388" s="660" t="n">
        <f aca="false">'норма времени'!D392</f>
        <v>90</v>
      </c>
      <c r="J388" s="661" t="n">
        <f aca="false">H388*I388</f>
        <v>1054.21686746988</v>
      </c>
    </row>
    <row r="389" customFormat="false" ht="15" hidden="false" customHeight="false" outlineLevel="0" collapsed="false">
      <c r="A389" s="571" t="s">
        <v>668</v>
      </c>
      <c r="B389" s="328" t="str">
        <f aca="false">'[5]норма времени'!B220</f>
        <v> Определение  кислотности </v>
      </c>
      <c r="C389" s="954" t="n">
        <v>30000</v>
      </c>
      <c r="D389" s="954"/>
      <c r="E389" s="954"/>
      <c r="F389" s="955" t="n">
        <f aca="false">C389+D389+E389</f>
        <v>30000</v>
      </c>
      <c r="G389" s="955" t="n">
        <f aca="false">F389/149.4</f>
        <v>200.803212851406</v>
      </c>
      <c r="H389" s="661" t="n">
        <f aca="false">G389/60</f>
        <v>3.34672021419009</v>
      </c>
      <c r="I389" s="660" t="n">
        <f aca="false">'норма времени'!D393</f>
        <v>60</v>
      </c>
      <c r="J389" s="661" t="n">
        <f aca="false">H389*I389</f>
        <v>200.803212851406</v>
      </c>
    </row>
    <row r="390" customFormat="false" ht="15" hidden="false" customHeight="false" outlineLevel="0" collapsed="false">
      <c r="A390" s="571" t="s">
        <v>669</v>
      </c>
      <c r="B390" s="328" t="str">
        <f aca="false">'[5]норма времени'!B221</f>
        <v> Определение кислотного числа  </v>
      </c>
      <c r="C390" s="954" t="n">
        <v>30000</v>
      </c>
      <c r="D390" s="954"/>
      <c r="E390" s="954"/>
      <c r="F390" s="955" t="n">
        <f aca="false">C390+D390+E390</f>
        <v>30000</v>
      </c>
      <c r="G390" s="955" t="n">
        <f aca="false">F390/149.4</f>
        <v>200.803212851406</v>
      </c>
      <c r="H390" s="661" t="n">
        <f aca="false">G390/60</f>
        <v>3.34672021419009</v>
      </c>
      <c r="I390" s="660" t="n">
        <f aca="false">'норма времени'!D394</f>
        <v>60</v>
      </c>
      <c r="J390" s="661" t="n">
        <f aca="false">H390*I390</f>
        <v>200.803212851406</v>
      </c>
    </row>
    <row r="391" customFormat="false" ht="15" hidden="false" customHeight="false" outlineLevel="0" collapsed="false">
      <c r="A391" s="571" t="s">
        <v>671</v>
      </c>
      <c r="B391" s="328" t="str">
        <f aca="false">'[5]норма времени'!B222</f>
        <v> Определение  цветного числа  ( по показаниям)</v>
      </c>
      <c r="C391" s="954" t="n">
        <v>35000</v>
      </c>
      <c r="D391" s="954" t="n">
        <v>25000</v>
      </c>
      <c r="E391" s="954" t="n">
        <v>15000</v>
      </c>
      <c r="F391" s="955" t="n">
        <f aca="false">C391+D391+E391</f>
        <v>75000</v>
      </c>
      <c r="G391" s="955" t="n">
        <f aca="false">F391/149.4</f>
        <v>502.008032128514</v>
      </c>
      <c r="H391" s="661" t="n">
        <f aca="false">G391/60</f>
        <v>8.36680053547523</v>
      </c>
      <c r="I391" s="660" t="n">
        <f aca="false">'норма времени'!D395</f>
        <v>80</v>
      </c>
      <c r="J391" s="661" t="n">
        <f aca="false">H391*I391</f>
        <v>669.344042838019</v>
      </c>
    </row>
    <row r="392" customFormat="false" ht="15" hidden="false" customHeight="false" outlineLevel="0" collapsed="false">
      <c r="A392" s="571" t="s">
        <v>673</v>
      </c>
      <c r="B392" s="328" t="str">
        <f aca="false">'[5]норма времени'!B223</f>
        <v> Определение влаги  ускоренным методом</v>
      </c>
      <c r="C392" s="954" t="n">
        <v>60000</v>
      </c>
      <c r="D392" s="954" t="n">
        <v>50000</v>
      </c>
      <c r="E392" s="954" t="n">
        <v>40000</v>
      </c>
      <c r="F392" s="955" t="n">
        <f aca="false">C392+D392+E392</f>
        <v>150000</v>
      </c>
      <c r="G392" s="955" t="n">
        <f aca="false">F392/149.4</f>
        <v>1004.01606425703</v>
      </c>
      <c r="H392" s="661" t="n">
        <f aca="false">G392/60</f>
        <v>16.7336010709505</v>
      </c>
      <c r="I392" s="660" t="n">
        <f aca="false">'норма времени'!D396</f>
        <v>90</v>
      </c>
      <c r="J392" s="661" t="n">
        <f aca="false">H392*I392</f>
        <v>1506.02409638554</v>
      </c>
    </row>
    <row r="393" customFormat="false" ht="15" hidden="false" customHeight="false" outlineLevel="0" collapsed="false">
      <c r="A393" s="571" t="s">
        <v>674</v>
      </c>
      <c r="B393" s="328" t="str">
        <f aca="false">'[5]норма времени'!B224</f>
        <v> Определение влаги  арбитражным методом</v>
      </c>
      <c r="C393" s="954" t="n">
        <v>60000</v>
      </c>
      <c r="D393" s="954" t="n">
        <v>50000</v>
      </c>
      <c r="E393" s="954" t="n">
        <v>40000</v>
      </c>
      <c r="F393" s="955" t="n">
        <f aca="false">C393+D393+E393</f>
        <v>150000</v>
      </c>
      <c r="G393" s="955" t="n">
        <f aca="false">F393/149.4</f>
        <v>1004.01606425703</v>
      </c>
      <c r="H393" s="661" t="n">
        <f aca="false">G393/60</f>
        <v>16.7336010709505</v>
      </c>
      <c r="I393" s="660" t="n">
        <f aca="false">'норма времени'!D397</f>
        <v>110</v>
      </c>
      <c r="J393" s="661" t="n">
        <f aca="false">H393*I393</f>
        <v>1840.69611780455</v>
      </c>
    </row>
    <row r="394" customFormat="false" ht="15" hidden="false" customHeight="false" outlineLevel="0" collapsed="false">
      <c r="A394" s="571" t="s">
        <v>675</v>
      </c>
      <c r="B394" s="328" t="str">
        <f aca="false">'[5]норма времени'!B225</f>
        <v> Определение массовой доли поваренной соли</v>
      </c>
      <c r="C394" s="954" t="n">
        <v>35000</v>
      </c>
      <c r="D394" s="954" t="n">
        <v>25000</v>
      </c>
      <c r="E394" s="954" t="n">
        <v>15000</v>
      </c>
      <c r="F394" s="955" t="n">
        <f aca="false">C394+D394+E394</f>
        <v>75000</v>
      </c>
      <c r="G394" s="955" t="n">
        <f aca="false">F394/149.4</f>
        <v>502.008032128514</v>
      </c>
      <c r="H394" s="661" t="n">
        <f aca="false">G394/60</f>
        <v>8.36680053547523</v>
      </c>
      <c r="I394" s="660" t="n">
        <f aca="false">'норма времени'!D398</f>
        <v>65</v>
      </c>
      <c r="J394" s="661" t="n">
        <f aca="false">H394*I394</f>
        <v>543.84203480589</v>
      </c>
    </row>
    <row r="395" customFormat="false" ht="15" hidden="false" customHeight="false" outlineLevel="0" collapsed="false">
      <c r="A395" s="571" t="s">
        <v>677</v>
      </c>
      <c r="B395" s="328" t="str">
        <f aca="false">'[5]норма времени'!B226</f>
        <v> Определение массовой доли жира ( по Герберу)</v>
      </c>
      <c r="C395" s="954" t="n">
        <v>40000</v>
      </c>
      <c r="D395" s="954" t="n">
        <v>35000</v>
      </c>
      <c r="E395" s="954" t="n">
        <v>30000</v>
      </c>
      <c r="F395" s="955" t="n">
        <f aca="false">C395+D395+E395</f>
        <v>105000</v>
      </c>
      <c r="G395" s="955" t="n">
        <f aca="false">F395/149.4</f>
        <v>702.81124497992</v>
      </c>
      <c r="H395" s="661" t="n">
        <f aca="false">G395/60</f>
        <v>11.7135207496653</v>
      </c>
      <c r="I395" s="660" t="n">
        <f aca="false">'норма времени'!D399</f>
        <v>110</v>
      </c>
      <c r="J395" s="661" t="n">
        <f aca="false">H395*I395</f>
        <v>1288.48728246319</v>
      </c>
    </row>
    <row r="396" customFormat="false" ht="15" hidden="false" customHeight="false" outlineLevel="0" collapsed="false">
      <c r="A396" s="571" t="s">
        <v>678</v>
      </c>
      <c r="B396" s="328" t="str">
        <f aca="false">'[5]норма времени'!B227</f>
        <v> Определение жира (по Сокслету)</v>
      </c>
      <c r="C396" s="954" t="n">
        <v>35000</v>
      </c>
      <c r="D396" s="954" t="n">
        <v>25000</v>
      </c>
      <c r="E396" s="954" t="n">
        <v>15000</v>
      </c>
      <c r="F396" s="955" t="n">
        <f aca="false">C396+D396+E396</f>
        <v>75000</v>
      </c>
      <c r="G396" s="955" t="n">
        <f aca="false">F396/149.4</f>
        <v>502.008032128514</v>
      </c>
      <c r="H396" s="661" t="n">
        <f aca="false">G396/60</f>
        <v>8.36680053547523</v>
      </c>
      <c r="I396" s="660" t="n">
        <f aca="false">'норма времени'!D400</f>
        <v>160</v>
      </c>
      <c r="J396" s="661" t="n">
        <f aca="false">H396*I396</f>
        <v>1338.68808567604</v>
      </c>
    </row>
    <row r="397" customFormat="false" ht="15" hidden="false" customHeight="false" outlineLevel="0" collapsed="false">
      <c r="A397" s="571" t="s">
        <v>679</v>
      </c>
      <c r="B397" s="328" t="str">
        <f aca="false">'[5]норма времени'!B228</f>
        <v> Определение  йодного числа (по показаниям) </v>
      </c>
      <c r="C397" s="954" t="n">
        <v>35000</v>
      </c>
      <c r="D397" s="954" t="n">
        <v>25000</v>
      </c>
      <c r="E397" s="954" t="n">
        <v>15000</v>
      </c>
      <c r="F397" s="955" t="n">
        <f aca="false">C397+D397+E397</f>
        <v>75000</v>
      </c>
      <c r="G397" s="955" t="n">
        <f aca="false">F397/149.4</f>
        <v>502.008032128514</v>
      </c>
      <c r="H397" s="661" t="n">
        <f aca="false">G397/60</f>
        <v>8.36680053547523</v>
      </c>
      <c r="I397" s="660" t="n">
        <f aca="false">'норма времени'!D401</f>
        <v>150</v>
      </c>
      <c r="J397" s="661" t="n">
        <f aca="false">H397*I397</f>
        <v>1255.02008032129</v>
      </c>
    </row>
    <row r="398" customFormat="false" ht="16.5" hidden="false" customHeight="true" outlineLevel="0" collapsed="false">
      <c r="A398" s="571" t="s">
        <v>681</v>
      </c>
      <c r="B398" s="328" t="str">
        <f aca="false">'[5]норма времени'!B229</f>
        <v> Определение перекисного числа </v>
      </c>
      <c r="C398" s="954" t="n">
        <v>35000</v>
      </c>
      <c r="D398" s="954" t="n">
        <v>25000</v>
      </c>
      <c r="E398" s="954" t="n">
        <v>15000</v>
      </c>
      <c r="F398" s="955" t="n">
        <f aca="false">C398+D398+E398</f>
        <v>75000</v>
      </c>
      <c r="G398" s="955" t="n">
        <f aca="false">F398/149.4</f>
        <v>502.008032128514</v>
      </c>
      <c r="H398" s="661" t="n">
        <f aca="false">G398/60</f>
        <v>8.36680053547523</v>
      </c>
      <c r="I398" s="660" t="n">
        <f aca="false">'норма времени'!D402</f>
        <v>85</v>
      </c>
      <c r="J398" s="661" t="n">
        <f aca="false">H398*I398</f>
        <v>711.178045515395</v>
      </c>
    </row>
    <row r="399" customFormat="false" ht="15" hidden="false" customHeight="false" outlineLevel="0" collapsed="false">
      <c r="A399" s="571" t="s">
        <v>683</v>
      </c>
      <c r="B399" s="328" t="str">
        <f aca="false">'[5]норма времени'!B230</f>
        <v>Определение  свинца </v>
      </c>
      <c r="C399" s="954" t="n">
        <v>65000</v>
      </c>
      <c r="D399" s="954" t="n">
        <v>60000</v>
      </c>
      <c r="E399" s="954" t="n">
        <v>40000</v>
      </c>
      <c r="F399" s="955" t="n">
        <f aca="false">C399+D399+E399</f>
        <v>165000</v>
      </c>
      <c r="G399" s="955" t="n">
        <f aca="false">F399/149.4</f>
        <v>1104.41767068273</v>
      </c>
      <c r="H399" s="661" t="n">
        <f aca="false">G399/60</f>
        <v>18.4069611780455</v>
      </c>
      <c r="I399" s="660" t="n">
        <f aca="false">'норма времени'!D403</f>
        <v>200</v>
      </c>
      <c r="J399" s="661" t="n">
        <f aca="false">H399*I399</f>
        <v>3681.3922356091</v>
      </c>
    </row>
    <row r="400" customFormat="false" ht="15" hidden="false" customHeight="false" outlineLevel="0" collapsed="false">
      <c r="A400" s="571" t="s">
        <v>684</v>
      </c>
      <c r="B400" s="328" t="str">
        <f aca="false">'[5]норма времени'!B231</f>
        <v>Определение кадмия</v>
      </c>
      <c r="C400" s="954" t="n">
        <v>65000</v>
      </c>
      <c r="D400" s="954" t="n">
        <v>60000</v>
      </c>
      <c r="E400" s="954" t="n">
        <v>40000</v>
      </c>
      <c r="F400" s="955" t="n">
        <f aca="false">C400+D400+E400</f>
        <v>165000</v>
      </c>
      <c r="G400" s="955" t="n">
        <f aca="false">F400/149.4</f>
        <v>1104.41767068273</v>
      </c>
      <c r="H400" s="661" t="n">
        <f aca="false">G400/60</f>
        <v>18.4069611780455</v>
      </c>
      <c r="I400" s="660" t="n">
        <f aca="false">'норма времени'!D404</f>
        <v>200</v>
      </c>
      <c r="J400" s="661" t="n">
        <f aca="false">H400*I400</f>
        <v>3681.3922356091</v>
      </c>
    </row>
    <row r="401" customFormat="false" ht="15" hidden="false" customHeight="false" outlineLevel="0" collapsed="false">
      <c r="A401" s="571" t="s">
        <v>685</v>
      </c>
      <c r="B401" s="328" t="str">
        <f aca="false">'[5]норма времени'!B232</f>
        <v> Определение мышьяка </v>
      </c>
      <c r="C401" s="954" t="n">
        <v>30000</v>
      </c>
      <c r="D401" s="954" t="n">
        <v>25000</v>
      </c>
      <c r="E401" s="954" t="n">
        <v>15000</v>
      </c>
      <c r="F401" s="955" t="n">
        <f aca="false">C401+D401+E401</f>
        <v>70000</v>
      </c>
      <c r="G401" s="955" t="n">
        <f aca="false">F401/149.4</f>
        <v>468.540829986613</v>
      </c>
      <c r="H401" s="661" t="n">
        <f aca="false">G401/60</f>
        <v>7.80901383311022</v>
      </c>
      <c r="I401" s="660" t="n">
        <f aca="false">'норма времени'!D405</f>
        <v>170</v>
      </c>
      <c r="J401" s="661" t="n">
        <f aca="false">H401*I401</f>
        <v>1327.53235162874</v>
      </c>
    </row>
    <row r="402" customFormat="false" ht="15" hidden="false" customHeight="false" outlineLevel="0" collapsed="false">
      <c r="A402" s="571" t="s">
        <v>686</v>
      </c>
      <c r="B402" s="328" t="str">
        <f aca="false">'[5]норма времени'!B233</f>
        <v>Определение  ртути</v>
      </c>
      <c r="C402" s="954" t="n">
        <v>50000</v>
      </c>
      <c r="D402" s="954" t="n">
        <v>35000</v>
      </c>
      <c r="E402" s="954" t="n">
        <v>30000</v>
      </c>
      <c r="F402" s="955" t="n">
        <f aca="false">C402+D402+E402</f>
        <v>115000</v>
      </c>
      <c r="G402" s="955" t="n">
        <f aca="false">F402/149.4</f>
        <v>769.745649263722</v>
      </c>
      <c r="H402" s="661" t="n">
        <f aca="false">G402/60</f>
        <v>12.8290941543954</v>
      </c>
      <c r="I402" s="660" t="n">
        <f aca="false">'норма времени'!D406</f>
        <v>170</v>
      </c>
      <c r="J402" s="661" t="n">
        <f aca="false">H402*I402</f>
        <v>2180.94600624721</v>
      </c>
    </row>
    <row r="403" customFormat="false" ht="15" hidden="false" customHeight="false" outlineLevel="0" collapsed="false">
      <c r="A403" s="571" t="s">
        <v>687</v>
      </c>
      <c r="B403" s="328" t="str">
        <f aca="false">'[5]норма времени'!B234</f>
        <v>Определение  меди ( для поставляемых на хранение) </v>
      </c>
      <c r="C403" s="954" t="n">
        <v>30000</v>
      </c>
      <c r="D403" s="954" t="n">
        <v>25000</v>
      </c>
      <c r="E403" s="954" t="n">
        <v>15000</v>
      </c>
      <c r="F403" s="955" t="n">
        <f aca="false">C403+D403+E403</f>
        <v>70000</v>
      </c>
      <c r="G403" s="955" t="n">
        <f aca="false">F403/149.4</f>
        <v>468.540829986613</v>
      </c>
      <c r="H403" s="661" t="n">
        <f aca="false">G403/60</f>
        <v>7.80901383311022</v>
      </c>
      <c r="I403" s="660" t="n">
        <f aca="false">'норма времени'!D407</f>
        <v>200</v>
      </c>
      <c r="J403" s="661" t="n">
        <f aca="false">H403*I403</f>
        <v>1561.80276662204</v>
      </c>
    </row>
    <row r="404" customFormat="false" ht="15" hidden="false" customHeight="false" outlineLevel="0" collapsed="false">
      <c r="A404" s="571" t="s">
        <v>689</v>
      </c>
      <c r="B404" s="328" t="str">
        <f aca="false">'[5]норма времени'!B235</f>
        <v>Определение афлотоксина В1</v>
      </c>
      <c r="C404" s="954" t="n">
        <v>30000</v>
      </c>
      <c r="D404" s="954" t="n">
        <v>25000</v>
      </c>
      <c r="E404" s="954" t="n">
        <v>15000</v>
      </c>
      <c r="F404" s="955" t="n">
        <f aca="false">C404+D404+E404</f>
        <v>70000</v>
      </c>
      <c r="G404" s="955" t="n">
        <f aca="false">F404/149.4</f>
        <v>468.540829986613</v>
      </c>
      <c r="H404" s="661" t="n">
        <f aca="false">G404/60</f>
        <v>7.80901383311022</v>
      </c>
      <c r="I404" s="660" t="n">
        <f aca="false">'норма времени'!D408</f>
        <v>110</v>
      </c>
      <c r="J404" s="661" t="n">
        <f aca="false">H404*I404</f>
        <v>858.991521642124</v>
      </c>
    </row>
    <row r="405" customFormat="false" ht="15" hidden="false" customHeight="false" outlineLevel="0" collapsed="false">
      <c r="A405" s="571" t="s">
        <v>691</v>
      </c>
      <c r="B405" s="328" t="str">
        <f aca="false">'[5]норма времени'!B236</f>
        <v>Показатель преломления</v>
      </c>
      <c r="C405" s="954" t="n">
        <v>60000</v>
      </c>
      <c r="D405" s="954" t="n">
        <v>50000</v>
      </c>
      <c r="E405" s="954" t="n">
        <v>40000</v>
      </c>
      <c r="F405" s="955" t="n">
        <f aca="false">C405+D405+E405</f>
        <v>150000</v>
      </c>
      <c r="G405" s="955" t="n">
        <f aca="false">F405/149.4</f>
        <v>1004.01606425703</v>
      </c>
      <c r="H405" s="661" t="n">
        <f aca="false">G405/60</f>
        <v>16.7336010709505</v>
      </c>
      <c r="I405" s="660" t="n">
        <f aca="false">'норма времени'!D409</f>
        <v>60</v>
      </c>
      <c r="J405" s="661" t="n">
        <f aca="false">H405*I405</f>
        <v>1004.01606425703</v>
      </c>
    </row>
    <row r="406" customFormat="false" ht="15" hidden="false" customHeight="false" outlineLevel="0" collapsed="false">
      <c r="A406" s="571" t="s">
        <v>693</v>
      </c>
      <c r="B406" s="328" t="str">
        <f aca="false">'[5]норма времени'!B237</f>
        <v>Отстой</v>
      </c>
      <c r="C406" s="954" t="n">
        <v>60000</v>
      </c>
      <c r="D406" s="954" t="n">
        <v>50000</v>
      </c>
      <c r="E406" s="954" t="n">
        <v>40000</v>
      </c>
      <c r="F406" s="955" t="n">
        <f aca="false">C406+D406+E406</f>
        <v>150000</v>
      </c>
      <c r="G406" s="955" t="n">
        <f aca="false">F406/149.4</f>
        <v>1004.01606425703</v>
      </c>
      <c r="H406" s="661" t="n">
        <f aca="false">G406/60</f>
        <v>16.7336010709505</v>
      </c>
      <c r="I406" s="660" t="n">
        <f aca="false">'норма времени'!D410</f>
        <v>60</v>
      </c>
      <c r="J406" s="661" t="n">
        <f aca="false">H406*I406</f>
        <v>1004.01606425703</v>
      </c>
    </row>
    <row r="407" customFormat="false" ht="15" hidden="false" customHeight="false" outlineLevel="0" collapsed="false">
      <c r="A407" s="571" t="s">
        <v>695</v>
      </c>
      <c r="B407" s="328" t="str">
        <f aca="false">'[5]норма времени'!B238</f>
        <v>Зола</v>
      </c>
      <c r="C407" s="954" t="n">
        <v>40000</v>
      </c>
      <c r="D407" s="954" t="n">
        <v>30000</v>
      </c>
      <c r="E407" s="954" t="n">
        <v>20000</v>
      </c>
      <c r="F407" s="955" t="n">
        <f aca="false">C407+D407+E407</f>
        <v>90000</v>
      </c>
      <c r="G407" s="955" t="n">
        <f aca="false">F407/149.4</f>
        <v>602.409638554217</v>
      </c>
      <c r="H407" s="661" t="n">
        <f aca="false">G407/60</f>
        <v>10.0401606425703</v>
      </c>
      <c r="I407" s="660" t="n">
        <f aca="false">'норма времени'!D411</f>
        <v>150</v>
      </c>
      <c r="J407" s="661" t="n">
        <f aca="false">H407*I407</f>
        <v>1506.02409638554</v>
      </c>
    </row>
    <row r="408" customFormat="false" ht="15" hidden="false" customHeight="false" outlineLevel="0" collapsed="false">
      <c r="A408" s="571" t="s">
        <v>697</v>
      </c>
      <c r="B408" s="328" t="str">
        <f aca="false">'[5]норма времени'!B239</f>
        <v>Прозрачность</v>
      </c>
      <c r="C408" s="954" t="n">
        <v>50000</v>
      </c>
      <c r="D408" s="954" t="n">
        <v>40000</v>
      </c>
      <c r="E408" s="954" t="n">
        <v>30000</v>
      </c>
      <c r="F408" s="955" t="n">
        <f aca="false">C408+D408+E408</f>
        <v>120000</v>
      </c>
      <c r="G408" s="955" t="n">
        <f aca="false">F408/149.4</f>
        <v>803.212851405623</v>
      </c>
      <c r="H408" s="661" t="n">
        <f aca="false">G408/60</f>
        <v>13.3868808567604</v>
      </c>
      <c r="I408" s="660" t="n">
        <f aca="false">'норма времени'!D412</f>
        <v>60</v>
      </c>
      <c r="J408" s="661" t="n">
        <f aca="false">H408*I408</f>
        <v>803.212851405623</v>
      </c>
    </row>
    <row r="409" customFormat="false" ht="16.5" hidden="false" customHeight="true" outlineLevel="0" collapsed="false">
      <c r="A409" s="350" t="s">
        <v>699</v>
      </c>
      <c r="B409" s="467" t="str">
        <f aca="false">'[5]норма времени'!B240</f>
        <v>Напитки, алкогольная и безалкогольная продукция </v>
      </c>
      <c r="C409" s="1253"/>
      <c r="D409" s="1253"/>
      <c r="E409" s="1253"/>
      <c r="F409" s="1254"/>
      <c r="G409" s="1254"/>
      <c r="H409" s="1250"/>
      <c r="I409" s="1255"/>
      <c r="J409" s="1250"/>
    </row>
    <row r="410" customFormat="false" ht="15" hidden="false" customHeight="false" outlineLevel="0" collapsed="false">
      <c r="A410" s="571" t="s">
        <v>701</v>
      </c>
      <c r="B410" s="328" t="str">
        <f aca="false">'[5]норма времени'!B241</f>
        <v> Определение органолептических показателей</v>
      </c>
      <c r="C410" s="954" t="n">
        <v>60000</v>
      </c>
      <c r="D410" s="954" t="n">
        <v>50000</v>
      </c>
      <c r="E410" s="954" t="n">
        <v>40000</v>
      </c>
      <c r="F410" s="955" t="n">
        <f aca="false">C410+D410+E410</f>
        <v>150000</v>
      </c>
      <c r="G410" s="955" t="n">
        <f aca="false">F410/149.4</f>
        <v>1004.01606425703</v>
      </c>
      <c r="H410" s="661" t="n">
        <f aca="false">G410/60</f>
        <v>16.7336010709505</v>
      </c>
      <c r="I410" s="660" t="n">
        <f aca="false">'норма времени'!D414</f>
        <v>45</v>
      </c>
      <c r="J410" s="661" t="n">
        <f aca="false">H410*I410</f>
        <v>753.012048192771</v>
      </c>
    </row>
    <row r="411" customFormat="false" ht="15" hidden="false" customHeight="false" outlineLevel="0" collapsed="false">
      <c r="A411" s="571" t="s">
        <v>702</v>
      </c>
      <c r="B411" s="328" t="str">
        <f aca="false">'[5]норма времени'!B242</f>
        <v>Определение титруемой кислотности </v>
      </c>
      <c r="C411" s="954" t="n">
        <v>30000</v>
      </c>
      <c r="D411" s="954"/>
      <c r="E411" s="954"/>
      <c r="F411" s="955" t="n">
        <f aca="false">C411+D411+E411</f>
        <v>30000</v>
      </c>
      <c r="G411" s="955" t="n">
        <f aca="false">F411/149.4</f>
        <v>200.803212851406</v>
      </c>
      <c r="H411" s="661" t="n">
        <f aca="false">G411/60</f>
        <v>3.34672021419009</v>
      </c>
      <c r="I411" s="660" t="n">
        <f aca="false">'норма времени'!D415</f>
        <v>45</v>
      </c>
      <c r="J411" s="661" t="n">
        <f aca="false">H411*I411</f>
        <v>150.602409638554</v>
      </c>
    </row>
    <row r="412" customFormat="false" ht="15" hidden="false" customHeight="false" outlineLevel="0" collapsed="false">
      <c r="A412" s="571" t="s">
        <v>703</v>
      </c>
      <c r="B412" s="328" t="str">
        <f aca="false">'[5]норма времени'!B243</f>
        <v>Определение сахара фотометрическим методом</v>
      </c>
      <c r="C412" s="954" t="n">
        <v>25000</v>
      </c>
      <c r="D412" s="954" t="n">
        <v>20000</v>
      </c>
      <c r="E412" s="954" t="n">
        <v>15000</v>
      </c>
      <c r="F412" s="955" t="n">
        <f aca="false">C412+D412+E412</f>
        <v>60000</v>
      </c>
      <c r="G412" s="955" t="n">
        <f aca="false">F412/149.4</f>
        <v>401.606425702811</v>
      </c>
      <c r="H412" s="661" t="n">
        <f aca="false">G412/60</f>
        <v>6.69344042838019</v>
      </c>
      <c r="I412" s="660" t="n">
        <f aca="false">'норма времени'!D416</f>
        <v>180</v>
      </c>
      <c r="J412" s="661" t="n">
        <f aca="false">H412*I412</f>
        <v>1204.81927710843</v>
      </c>
    </row>
    <row r="413" customFormat="false" ht="15" hidden="false" customHeight="false" outlineLevel="0" collapsed="false">
      <c r="A413" s="571" t="s">
        <v>705</v>
      </c>
      <c r="B413" s="328" t="str">
        <f aca="false">'[5]норма времени'!B244</f>
        <v>Определение сахара титрометрическим методом</v>
      </c>
      <c r="C413" s="954" t="n">
        <v>25000</v>
      </c>
      <c r="D413" s="954" t="n">
        <v>20000</v>
      </c>
      <c r="E413" s="954" t="n">
        <v>15000</v>
      </c>
      <c r="F413" s="955" t="n">
        <f aca="false">C413+D413+E413</f>
        <v>60000</v>
      </c>
      <c r="G413" s="955" t="n">
        <f aca="false">F413/149.4</f>
        <v>401.606425702811</v>
      </c>
      <c r="H413" s="661" t="n">
        <f aca="false">G413/60</f>
        <v>6.69344042838019</v>
      </c>
      <c r="I413" s="660" t="n">
        <f aca="false">'норма времени'!D417</f>
        <v>120</v>
      </c>
      <c r="J413" s="661" t="n">
        <f aca="false">H413*I413</f>
        <v>803.212851405623</v>
      </c>
    </row>
    <row r="414" customFormat="false" ht="15" hidden="false" customHeight="false" outlineLevel="0" collapsed="false">
      <c r="A414" s="571" t="s">
        <v>707</v>
      </c>
      <c r="B414" s="328" t="str">
        <f aca="false">'[5]норма времени'!B245</f>
        <v>Определение метилового спирта </v>
      </c>
      <c r="C414" s="954" t="n">
        <v>30000</v>
      </c>
      <c r="D414" s="954" t="n">
        <v>20000</v>
      </c>
      <c r="E414" s="954" t="n">
        <v>15000</v>
      </c>
      <c r="F414" s="955" t="n">
        <f aca="false">C414+D414+E414</f>
        <v>65000</v>
      </c>
      <c r="G414" s="955" t="n">
        <f aca="false">F414/149.4</f>
        <v>435.073627844712</v>
      </c>
      <c r="H414" s="661" t="n">
        <f aca="false">G414/60</f>
        <v>7.2512271307452</v>
      </c>
      <c r="I414" s="660" t="n">
        <f aca="false">'норма времени'!D418</f>
        <v>150</v>
      </c>
      <c r="J414" s="661" t="n">
        <f aca="false">H414*I414</f>
        <v>1087.68406961178</v>
      </c>
    </row>
    <row r="415" customFormat="false" ht="15" hidden="false" customHeight="false" outlineLevel="0" collapsed="false">
      <c r="A415" s="571" t="s">
        <v>709</v>
      </c>
      <c r="B415" s="328" t="str">
        <f aca="false">'[5]норма времени'!B246</f>
        <v>Определение свободной и общей сернистой кислоты </v>
      </c>
      <c r="C415" s="954" t="n">
        <v>25000</v>
      </c>
      <c r="D415" s="954" t="n">
        <v>20000</v>
      </c>
      <c r="E415" s="954" t="n">
        <v>15000</v>
      </c>
      <c r="F415" s="955" t="n">
        <f aca="false">C415+D415+E415</f>
        <v>60000</v>
      </c>
      <c r="G415" s="955" t="n">
        <f aca="false">F415/149.4</f>
        <v>401.606425702811</v>
      </c>
      <c r="H415" s="661" t="n">
        <f aca="false">G415/60</f>
        <v>6.69344042838019</v>
      </c>
      <c r="I415" s="660" t="n">
        <f aca="false">'норма времени'!D419</f>
        <v>110</v>
      </c>
      <c r="J415" s="661" t="n">
        <f aca="false">H415*I415</f>
        <v>736.278447121821</v>
      </c>
    </row>
    <row r="416" customFormat="false" ht="15" hidden="false" customHeight="false" outlineLevel="0" collapsed="false">
      <c r="A416" s="571" t="s">
        <v>711</v>
      </c>
      <c r="B416" s="328" t="str">
        <f aca="false">'[5]норма времени'!B247</f>
        <v>Определение относительной плотности </v>
      </c>
      <c r="C416" s="954" t="n">
        <v>60000</v>
      </c>
      <c r="D416" s="954" t="n">
        <v>50000</v>
      </c>
      <c r="E416" s="954" t="n">
        <v>40000</v>
      </c>
      <c r="F416" s="955" t="n">
        <f aca="false">C416+D416+E416</f>
        <v>150000</v>
      </c>
      <c r="G416" s="955" t="n">
        <f aca="false">F416/149.4</f>
        <v>1004.01606425703</v>
      </c>
      <c r="H416" s="661" t="n">
        <f aca="false">G416/60</f>
        <v>16.7336010709505</v>
      </c>
      <c r="I416" s="660" t="n">
        <f aca="false">'норма времени'!D420</f>
        <v>55</v>
      </c>
      <c r="J416" s="661" t="n">
        <f aca="false">H416*I416</f>
        <v>920.348058902276</v>
      </c>
    </row>
    <row r="417" customFormat="false" ht="15" hidden="false" customHeight="false" outlineLevel="0" collapsed="false">
      <c r="A417" s="571" t="s">
        <v>713</v>
      </c>
      <c r="B417" s="328" t="str">
        <f aca="false">'[5]норма времени'!B248</f>
        <v>Определение сложных эфиров </v>
      </c>
      <c r="C417" s="954" t="n">
        <v>45000</v>
      </c>
      <c r="D417" s="954" t="n">
        <v>35000</v>
      </c>
      <c r="E417" s="954" t="n">
        <v>30000</v>
      </c>
      <c r="F417" s="955" t="n">
        <f aca="false">C417+D417+E417</f>
        <v>110000</v>
      </c>
      <c r="G417" s="955" t="n">
        <f aca="false">F417/149.4</f>
        <v>736.278447121821</v>
      </c>
      <c r="H417" s="661" t="n">
        <f aca="false">G417/60</f>
        <v>12.2713074520303</v>
      </c>
      <c r="I417" s="660" t="n">
        <f aca="false">'норма времени'!D421</f>
        <v>100</v>
      </c>
      <c r="J417" s="661" t="n">
        <f aca="false">H417*I417</f>
        <v>1227.13074520303</v>
      </c>
    </row>
    <row r="418" customFormat="false" ht="15" hidden="false" customHeight="false" outlineLevel="0" collapsed="false">
      <c r="A418" s="571" t="s">
        <v>715</v>
      </c>
      <c r="B418" s="328" t="str">
        <f aca="false">'[5]норма времени'!B249</f>
        <v>Определение кислотности</v>
      </c>
      <c r="C418" s="954" t="n">
        <v>30000</v>
      </c>
      <c r="D418" s="954" t="n">
        <v>20000</v>
      </c>
      <c r="E418" s="954" t="n">
        <v>15000</v>
      </c>
      <c r="F418" s="955" t="n">
        <f aca="false">C418+D418+E418</f>
        <v>65000</v>
      </c>
      <c r="G418" s="955" t="n">
        <f aca="false">F418/149.4</f>
        <v>435.073627844712</v>
      </c>
      <c r="H418" s="661" t="n">
        <f aca="false">G418/60</f>
        <v>7.2512271307452</v>
      </c>
      <c r="I418" s="660" t="n">
        <f aca="false">'норма времени'!D422</f>
        <v>130</v>
      </c>
      <c r="J418" s="661" t="n">
        <f aca="false">H418*I418</f>
        <v>942.659526996876</v>
      </c>
    </row>
    <row r="419" customFormat="false" ht="15" hidden="false" customHeight="false" outlineLevel="0" collapsed="false">
      <c r="A419" s="571" t="s">
        <v>716</v>
      </c>
      <c r="B419" s="328" t="str">
        <f aca="false">'[5]норма времени'!B250</f>
        <v>Определение летучих кислот </v>
      </c>
      <c r="C419" s="954" t="n">
        <v>30000</v>
      </c>
      <c r="D419" s="954" t="n">
        <v>20000</v>
      </c>
      <c r="E419" s="954" t="n">
        <v>15000</v>
      </c>
      <c r="F419" s="955" t="n">
        <f aca="false">C419+D419+E419</f>
        <v>65000</v>
      </c>
      <c r="G419" s="955" t="n">
        <f aca="false">F419/149.4</f>
        <v>435.073627844712</v>
      </c>
      <c r="H419" s="661" t="n">
        <f aca="false">G419/60</f>
        <v>7.2512271307452</v>
      </c>
      <c r="I419" s="660" t="n">
        <f aca="false">'норма времени'!D423</f>
        <v>130</v>
      </c>
      <c r="J419" s="661" t="n">
        <f aca="false">H419*I419</f>
        <v>942.659526996876</v>
      </c>
    </row>
    <row r="420" customFormat="false" ht="16.5" hidden="false" customHeight="true" outlineLevel="0" collapsed="false">
      <c r="A420" s="571" t="s">
        <v>718</v>
      </c>
      <c r="B420" s="328" t="str">
        <f aca="false">'[5]норма времени'!B251</f>
        <v>Определение крепости </v>
      </c>
      <c r="C420" s="954" t="n">
        <v>40000</v>
      </c>
      <c r="D420" s="954" t="n">
        <v>30000</v>
      </c>
      <c r="E420" s="954" t="n">
        <v>25000</v>
      </c>
      <c r="F420" s="955" t="n">
        <f aca="false">C420+D420+E420</f>
        <v>95000</v>
      </c>
      <c r="G420" s="955" t="n">
        <f aca="false">F420/149.4</f>
        <v>635.876840696118</v>
      </c>
      <c r="H420" s="661" t="n">
        <f aca="false">G420/60</f>
        <v>10.5979473449353</v>
      </c>
      <c r="I420" s="660" t="n">
        <f aca="false">'норма времени'!D424</f>
        <v>120</v>
      </c>
      <c r="J420" s="661" t="n">
        <f aca="false">H420*I420</f>
        <v>1271.75368139224</v>
      </c>
    </row>
    <row r="421" customFormat="false" ht="15" hidden="false" customHeight="false" outlineLevel="0" collapsed="false">
      <c r="A421" s="571" t="s">
        <v>720</v>
      </c>
      <c r="B421" s="328" t="str">
        <f aca="false">'[5]норма времени'!B252</f>
        <v>Определение окисляемости</v>
      </c>
      <c r="C421" s="954" t="n">
        <v>30000</v>
      </c>
      <c r="D421" s="954" t="n">
        <v>20000</v>
      </c>
      <c r="E421" s="954" t="n">
        <v>15000</v>
      </c>
      <c r="F421" s="955" t="n">
        <f aca="false">C421+D421+E421</f>
        <v>65000</v>
      </c>
      <c r="G421" s="955" t="n">
        <f aca="false">F421/149.4</f>
        <v>435.073627844712</v>
      </c>
      <c r="H421" s="661" t="n">
        <f aca="false">G421/60</f>
        <v>7.2512271307452</v>
      </c>
      <c r="I421" s="660" t="n">
        <f aca="false">'норма времени'!D425</f>
        <v>120</v>
      </c>
      <c r="J421" s="661" t="n">
        <f aca="false">H421*I421</f>
        <v>870.147255689424</v>
      </c>
    </row>
    <row r="422" customFormat="false" ht="15" hidden="false" customHeight="false" outlineLevel="0" collapsed="false">
      <c r="A422" s="571" t="s">
        <v>722</v>
      </c>
      <c r="B422" s="328" t="str">
        <f aca="false">'[5]норма времени'!B253</f>
        <v>Определение сивушных масел </v>
      </c>
      <c r="C422" s="954" t="n">
        <v>25000</v>
      </c>
      <c r="D422" s="954" t="n">
        <v>20000</v>
      </c>
      <c r="E422" s="954" t="n">
        <v>15000</v>
      </c>
      <c r="F422" s="955" t="n">
        <f aca="false">C422+D422+E422</f>
        <v>60000</v>
      </c>
      <c r="G422" s="955" t="n">
        <f aca="false">F422/149.4</f>
        <v>401.606425702811</v>
      </c>
      <c r="H422" s="661" t="n">
        <f aca="false">G422/60</f>
        <v>6.69344042838019</v>
      </c>
      <c r="I422" s="660" t="n">
        <f aca="false">'норма времени'!D426</f>
        <v>170</v>
      </c>
      <c r="J422" s="661" t="n">
        <f aca="false">H422*I422</f>
        <v>1137.88487282463</v>
      </c>
    </row>
    <row r="423" customFormat="false" ht="15" hidden="false" customHeight="false" outlineLevel="0" collapsed="false">
      <c r="A423" s="571" t="s">
        <v>724</v>
      </c>
      <c r="B423" s="328" t="str">
        <f aca="false">'[5]норма времени'!B254</f>
        <v>Определение массовой концентрации общего экстракта </v>
      </c>
      <c r="C423" s="954" t="n">
        <v>30000</v>
      </c>
      <c r="D423" s="954" t="n">
        <v>15000</v>
      </c>
      <c r="E423" s="954" t="n">
        <v>10000</v>
      </c>
      <c r="F423" s="955" t="n">
        <f aca="false">C423+D423+E423</f>
        <v>55000</v>
      </c>
      <c r="G423" s="955" t="n">
        <f aca="false">F423/149.4</f>
        <v>368.13922356091</v>
      </c>
      <c r="H423" s="661" t="n">
        <f aca="false">G423/60</f>
        <v>6.13565372601517</v>
      </c>
      <c r="I423" s="660" t="n">
        <f aca="false">'норма времени'!D427</f>
        <v>200</v>
      </c>
      <c r="J423" s="661" t="n">
        <f aca="false">H423*I423</f>
        <v>1227.13074520303</v>
      </c>
    </row>
    <row r="424" customFormat="false" ht="15" hidden="false" customHeight="false" outlineLevel="0" collapsed="false">
      <c r="A424" s="571" t="s">
        <v>726</v>
      </c>
      <c r="B424" s="328" t="str">
        <f aca="false">'[5]норма времени'!B255</f>
        <v>Определение фурфурола</v>
      </c>
      <c r="C424" s="954" t="n">
        <v>25000</v>
      </c>
      <c r="D424" s="954" t="n">
        <v>20000</v>
      </c>
      <c r="E424" s="954" t="n">
        <v>15000</v>
      </c>
      <c r="F424" s="955" t="n">
        <f aca="false">C424+D424+E424</f>
        <v>60000</v>
      </c>
      <c r="G424" s="955" t="n">
        <f aca="false">F424/149.4</f>
        <v>401.606425702811</v>
      </c>
      <c r="H424" s="661" t="n">
        <f aca="false">G424/60</f>
        <v>6.69344042838019</v>
      </c>
      <c r="I424" s="660" t="n">
        <f aca="false">'норма времени'!D428</f>
        <v>190</v>
      </c>
      <c r="J424" s="661" t="n">
        <f aca="false">H424*I424</f>
        <v>1271.75368139224</v>
      </c>
    </row>
    <row r="425" customFormat="false" ht="15" hidden="false" customHeight="false" outlineLevel="0" collapsed="false">
      <c r="A425" s="571" t="s">
        <v>728</v>
      </c>
      <c r="B425" s="328" t="str">
        <f aca="false">'[5]норма времени'!B256</f>
        <v>Определение альдегидов </v>
      </c>
      <c r="C425" s="954" t="n">
        <v>25000</v>
      </c>
      <c r="D425" s="954" t="n">
        <v>20000</v>
      </c>
      <c r="E425" s="954" t="n">
        <v>15000</v>
      </c>
      <c r="F425" s="955" t="n">
        <f aca="false">C425+D425+E425</f>
        <v>60000</v>
      </c>
      <c r="G425" s="955" t="n">
        <f aca="false">F425/149.4</f>
        <v>401.606425702811</v>
      </c>
      <c r="H425" s="661" t="n">
        <f aca="false">G425/60</f>
        <v>6.69344042838019</v>
      </c>
      <c r="I425" s="660" t="n">
        <f aca="false">'норма времени'!D429</f>
        <v>140</v>
      </c>
      <c r="J425" s="661" t="n">
        <f aca="false">H425*I425</f>
        <v>937.081659973226</v>
      </c>
    </row>
    <row r="426" customFormat="false" ht="15" hidden="false" customHeight="false" outlineLevel="0" collapsed="false">
      <c r="A426" s="571" t="s">
        <v>730</v>
      </c>
      <c r="B426" s="328" t="str">
        <f aca="false">'[5]норма времени'!B257</f>
        <v>Определение цветности </v>
      </c>
      <c r="C426" s="954" t="n">
        <v>80000</v>
      </c>
      <c r="D426" s="954" t="n">
        <v>60000</v>
      </c>
      <c r="E426" s="954" t="n">
        <v>50000</v>
      </c>
      <c r="F426" s="955" t="n">
        <f aca="false">C426+D426+E426</f>
        <v>190000</v>
      </c>
      <c r="G426" s="955" t="n">
        <f aca="false">F426/149.4</f>
        <v>1271.75368139224</v>
      </c>
      <c r="H426" s="661" t="n">
        <f aca="false">G426/60</f>
        <v>21.1958946898706</v>
      </c>
      <c r="I426" s="660" t="n">
        <f aca="false">'норма времени'!D430</f>
        <v>50</v>
      </c>
      <c r="J426" s="661" t="n">
        <f aca="false">H426*I426</f>
        <v>1059.79473449353</v>
      </c>
    </row>
    <row r="427" customFormat="false" ht="15" hidden="false" customHeight="false" outlineLevel="0" collapsed="false">
      <c r="A427" s="571" t="s">
        <v>731</v>
      </c>
      <c r="B427" s="328" t="str">
        <f aca="false">'[5]норма времени'!B258</f>
        <v>Определение сухих веществ </v>
      </c>
      <c r="C427" s="954" t="n">
        <v>50000</v>
      </c>
      <c r="D427" s="954" t="n">
        <v>40000</v>
      </c>
      <c r="E427" s="954" t="n">
        <v>35000</v>
      </c>
      <c r="F427" s="955" t="n">
        <f aca="false">C427+D427+E427</f>
        <v>125000</v>
      </c>
      <c r="G427" s="955" t="n">
        <f aca="false">F427/149.4</f>
        <v>836.680053547523</v>
      </c>
      <c r="H427" s="661" t="n">
        <f aca="false">G427/60</f>
        <v>13.9446675591254</v>
      </c>
      <c r="I427" s="660" t="n">
        <f aca="false">'норма времени'!D431</f>
        <v>60</v>
      </c>
      <c r="J427" s="661" t="n">
        <f aca="false">H427*I427</f>
        <v>836.680053547523</v>
      </c>
    </row>
    <row r="428" customFormat="false" ht="15" hidden="false" customHeight="false" outlineLevel="0" collapsed="false">
      <c r="A428" s="571" t="s">
        <v>732</v>
      </c>
      <c r="B428" s="328" t="str">
        <f aca="false">'[5]норма времени'!B259</f>
        <v>Определение  свинца </v>
      </c>
      <c r="C428" s="954" t="n">
        <v>35000</v>
      </c>
      <c r="D428" s="954" t="n">
        <v>25000</v>
      </c>
      <c r="E428" s="954" t="n">
        <v>20000</v>
      </c>
      <c r="F428" s="955" t="n">
        <f aca="false">C428+D428+E428</f>
        <v>80000</v>
      </c>
      <c r="G428" s="955" t="n">
        <f aca="false">F428/149.4</f>
        <v>535.475234270415</v>
      </c>
      <c r="H428" s="661" t="n">
        <f aca="false">G428/60</f>
        <v>8.92458723784025</v>
      </c>
      <c r="I428" s="660" t="n">
        <f aca="false">'норма времени'!D432</f>
        <v>330</v>
      </c>
      <c r="J428" s="661" t="n">
        <f aca="false">H428*I428</f>
        <v>2945.11378848728</v>
      </c>
    </row>
    <row r="429" customFormat="false" ht="15" hidden="false" customHeight="false" outlineLevel="0" collapsed="false">
      <c r="A429" s="571" t="s">
        <v>733</v>
      </c>
      <c r="B429" s="328" t="str">
        <f aca="false">'[5]норма времени'!B260</f>
        <v>Определение кадмия</v>
      </c>
      <c r="C429" s="954" t="n">
        <v>40000</v>
      </c>
      <c r="D429" s="954" t="n">
        <v>30000</v>
      </c>
      <c r="E429" s="954" t="n">
        <v>25000</v>
      </c>
      <c r="F429" s="955" t="n">
        <f aca="false">C429+D429+E429</f>
        <v>95000</v>
      </c>
      <c r="G429" s="955" t="n">
        <f aca="false">F429/149.4</f>
        <v>635.876840696118</v>
      </c>
      <c r="H429" s="661" t="n">
        <f aca="false">G429/60</f>
        <v>10.5979473449353</v>
      </c>
      <c r="I429" s="660" t="n">
        <f aca="false">'норма времени'!D433</f>
        <v>200</v>
      </c>
      <c r="J429" s="661" t="n">
        <f aca="false">H429*I429</f>
        <v>2119.58946898706</v>
      </c>
    </row>
    <row r="430" customFormat="false" ht="16.5" hidden="false" customHeight="true" outlineLevel="0" collapsed="false">
      <c r="A430" s="571" t="s">
        <v>734</v>
      </c>
      <c r="B430" s="328" t="str">
        <f aca="false">'[5]норма времени'!B261</f>
        <v>Определение меди </v>
      </c>
      <c r="C430" s="954" t="n">
        <v>40000</v>
      </c>
      <c r="D430" s="954" t="n">
        <v>30000</v>
      </c>
      <c r="E430" s="954" t="n">
        <v>25000</v>
      </c>
      <c r="F430" s="955" t="n">
        <f aca="false">C430+D430+E430</f>
        <v>95000</v>
      </c>
      <c r="G430" s="955" t="n">
        <f aca="false">F430/149.4</f>
        <v>635.876840696118</v>
      </c>
      <c r="H430" s="661" t="n">
        <f aca="false">G430/60</f>
        <v>10.5979473449353</v>
      </c>
      <c r="I430" s="660" t="n">
        <f aca="false">'норма времени'!D434</f>
        <v>200</v>
      </c>
      <c r="J430" s="661" t="n">
        <f aca="false">H430*I430</f>
        <v>2119.58946898706</v>
      </c>
    </row>
    <row r="431" customFormat="false" ht="15" hidden="false" customHeight="false" outlineLevel="0" collapsed="false">
      <c r="A431" s="571" t="s">
        <v>736</v>
      </c>
      <c r="B431" s="328" t="str">
        <f aca="false">'[5]норма времени'!B262</f>
        <v>Определение железа </v>
      </c>
      <c r="C431" s="954" t="n">
        <v>30000</v>
      </c>
      <c r="D431" s="954" t="n">
        <v>25000</v>
      </c>
      <c r="E431" s="954" t="n">
        <v>20000</v>
      </c>
      <c r="F431" s="955" t="n">
        <f aca="false">C431+D431+E431</f>
        <v>75000</v>
      </c>
      <c r="G431" s="955" t="n">
        <f aca="false">F431/149.4</f>
        <v>502.008032128514</v>
      </c>
      <c r="H431" s="661" t="n">
        <f aca="false">G431/60</f>
        <v>8.36680053547523</v>
      </c>
      <c r="I431" s="660" t="n">
        <f aca="false">'норма времени'!D435</f>
        <v>400</v>
      </c>
      <c r="J431" s="661" t="n">
        <f aca="false">H431*I431</f>
        <v>3346.72021419009</v>
      </c>
    </row>
    <row r="432" customFormat="false" ht="15" hidden="false" customHeight="false" outlineLevel="0" collapsed="false">
      <c r="A432" s="571" t="s">
        <v>737</v>
      </c>
      <c r="B432" s="328" t="str">
        <f aca="false">'[5]норма времени'!B263</f>
        <v> Определение мышьяка </v>
      </c>
      <c r="C432" s="954" t="n">
        <v>30000</v>
      </c>
      <c r="D432" s="954" t="n">
        <v>25000</v>
      </c>
      <c r="E432" s="954" t="n">
        <v>20000</v>
      </c>
      <c r="F432" s="955" t="n">
        <f aca="false">C432+D432+E432</f>
        <v>75000</v>
      </c>
      <c r="G432" s="955" t="n">
        <f aca="false">F432/149.4</f>
        <v>502.008032128514</v>
      </c>
      <c r="H432" s="661" t="n">
        <f aca="false">G432/60</f>
        <v>8.36680053547523</v>
      </c>
      <c r="I432" s="660" t="n">
        <f aca="false">'норма времени'!D436</f>
        <v>170</v>
      </c>
      <c r="J432" s="661" t="n">
        <f aca="false">H432*I432</f>
        <v>1422.35609103079</v>
      </c>
    </row>
    <row r="433" customFormat="false" ht="15" hidden="false" customHeight="false" outlineLevel="0" collapsed="false">
      <c r="A433" s="571" t="s">
        <v>738</v>
      </c>
      <c r="B433" s="328" t="str">
        <f aca="false">'[5]норма времени'!B264</f>
        <v>Определение  ртути</v>
      </c>
      <c r="C433" s="954" t="n">
        <v>30000</v>
      </c>
      <c r="D433" s="954" t="n">
        <v>25000</v>
      </c>
      <c r="E433" s="954" t="n">
        <v>20000</v>
      </c>
      <c r="F433" s="955" t="n">
        <f aca="false">C433+D433+E433</f>
        <v>75000</v>
      </c>
      <c r="G433" s="955" t="n">
        <f aca="false">F433/149.4</f>
        <v>502.008032128514</v>
      </c>
      <c r="H433" s="661" t="n">
        <f aca="false">G433/60</f>
        <v>8.36680053547523</v>
      </c>
      <c r="I433" s="660" t="n">
        <f aca="false">'норма времени'!D437</f>
        <v>160</v>
      </c>
      <c r="J433" s="661" t="n">
        <f aca="false">H433*I433</f>
        <v>1338.68808567604</v>
      </c>
    </row>
    <row r="434" customFormat="false" ht="15" hidden="false" customHeight="false" outlineLevel="0" collapsed="false">
      <c r="A434" s="571" t="s">
        <v>739</v>
      </c>
      <c r="B434" s="328" t="str">
        <f aca="false">'[5]норма времени'!B265</f>
        <v>Определение патулина</v>
      </c>
      <c r="C434" s="954" t="n">
        <v>30000</v>
      </c>
      <c r="D434" s="954" t="n">
        <v>25000</v>
      </c>
      <c r="E434" s="954" t="n">
        <v>20000</v>
      </c>
      <c r="F434" s="955" t="n">
        <f aca="false">C434+D434+E434</f>
        <v>75000</v>
      </c>
      <c r="G434" s="955" t="n">
        <f aca="false">F434/149.4</f>
        <v>502.008032128514</v>
      </c>
      <c r="H434" s="661" t="n">
        <f aca="false">G434/60</f>
        <v>8.36680053547523</v>
      </c>
      <c r="I434" s="660" t="n">
        <f aca="false">'норма времени'!D438</f>
        <v>100</v>
      </c>
      <c r="J434" s="661" t="n">
        <f aca="false">H434*I434</f>
        <v>836.680053547523</v>
      </c>
    </row>
    <row r="435" customFormat="false" ht="15" hidden="false" customHeight="false" outlineLevel="0" collapsed="false">
      <c r="A435" s="571" t="s">
        <v>740</v>
      </c>
      <c r="B435" s="328" t="str">
        <f aca="false">'[5]норма времени'!B266</f>
        <v>Определение нитрозаминов (пиво) </v>
      </c>
      <c r="C435" s="954" t="n">
        <v>30000</v>
      </c>
      <c r="D435" s="954" t="n">
        <v>25000</v>
      </c>
      <c r="E435" s="954" t="n">
        <v>20000</v>
      </c>
      <c r="F435" s="955" t="n">
        <f aca="false">C435+D435+E435</f>
        <v>75000</v>
      </c>
      <c r="G435" s="955" t="n">
        <f aca="false">F435/149.4</f>
        <v>502.008032128514</v>
      </c>
      <c r="H435" s="661" t="n">
        <f aca="false">G435/60</f>
        <v>8.36680053547523</v>
      </c>
      <c r="I435" s="660" t="n">
        <f aca="false">'норма времени'!D439</f>
        <v>90</v>
      </c>
      <c r="J435" s="661" t="n">
        <f aca="false">H435*I435</f>
        <v>753.012048192771</v>
      </c>
    </row>
    <row r="436" customFormat="false" ht="15" hidden="false" customHeight="false" outlineLevel="0" collapsed="false">
      <c r="A436" s="571" t="s">
        <v>742</v>
      </c>
      <c r="B436" s="328" t="str">
        <f aca="false">'[5]норма времени'!B267</f>
        <v>Определение кофеина ( по показаниям)</v>
      </c>
      <c r="C436" s="954" t="n">
        <v>25000</v>
      </c>
      <c r="D436" s="954" t="n">
        <v>15000</v>
      </c>
      <c r="E436" s="954" t="n">
        <v>15000</v>
      </c>
      <c r="F436" s="955" t="n">
        <f aca="false">C436+D436+E436</f>
        <v>55000</v>
      </c>
      <c r="G436" s="955" t="n">
        <f aca="false">F436/149.4</f>
        <v>368.13922356091</v>
      </c>
      <c r="H436" s="661" t="n">
        <f aca="false">G436/60</f>
        <v>6.13565372601517</v>
      </c>
      <c r="I436" s="660" t="n">
        <f aca="false">'норма времени'!D440</f>
        <v>390</v>
      </c>
      <c r="J436" s="661" t="n">
        <f aca="false">H436*I436</f>
        <v>2392.90495314592</v>
      </c>
    </row>
    <row r="437" customFormat="false" ht="15" hidden="false" customHeight="false" outlineLevel="0" collapsed="false">
      <c r="A437" s="571" t="s">
        <v>744</v>
      </c>
      <c r="B437" s="328" t="str">
        <f aca="false">'[5]норма времени'!B268</f>
        <v>Определение герметичности укупорки</v>
      </c>
      <c r="C437" s="954" t="n">
        <v>65000</v>
      </c>
      <c r="D437" s="954" t="n">
        <v>50000</v>
      </c>
      <c r="E437" s="954" t="n">
        <v>40000</v>
      </c>
      <c r="F437" s="955" t="n">
        <f aca="false">C437+D437+E437</f>
        <v>155000</v>
      </c>
      <c r="G437" s="955" t="n">
        <f aca="false">F437/149.4</f>
        <v>1037.48326639893</v>
      </c>
      <c r="H437" s="661" t="n">
        <f aca="false">G437/60</f>
        <v>17.2913877733155</v>
      </c>
      <c r="I437" s="660" t="n">
        <f aca="false">'норма времени'!D441</f>
        <v>65</v>
      </c>
      <c r="J437" s="661" t="n">
        <f aca="false">H437*I437</f>
        <v>1123.94020526551</v>
      </c>
    </row>
    <row r="438" customFormat="false" ht="15" hidden="false" customHeight="false" outlineLevel="0" collapsed="false">
      <c r="A438" s="571" t="s">
        <v>746</v>
      </c>
      <c r="B438" s="328" t="str">
        <f aca="false">'[5]норма времени'!B269</f>
        <v>определение  спирта</v>
      </c>
      <c r="C438" s="954" t="n">
        <v>45000</v>
      </c>
      <c r="D438" s="954" t="n">
        <v>35000</v>
      </c>
      <c r="E438" s="954" t="n">
        <v>25000</v>
      </c>
      <c r="F438" s="955" t="n">
        <f aca="false">C438+D438+E438</f>
        <v>105000</v>
      </c>
      <c r="G438" s="955" t="n">
        <f aca="false">F438/149.4</f>
        <v>702.81124497992</v>
      </c>
      <c r="H438" s="661" t="n">
        <f aca="false">G438/60</f>
        <v>11.7135207496653</v>
      </c>
      <c r="I438" s="660" t="n">
        <f aca="false">'норма времени'!D442</f>
        <v>85</v>
      </c>
      <c r="J438" s="661" t="n">
        <f aca="false">H438*I438</f>
        <v>995.649263721553</v>
      </c>
    </row>
    <row r="439" customFormat="false" ht="15" hidden="false" customHeight="false" outlineLevel="0" collapsed="false">
      <c r="A439" s="571" t="s">
        <v>748</v>
      </c>
      <c r="B439" s="328" t="str">
        <f aca="false">'[5]норма времени'!B270</f>
        <v>определение двуокиси углерода</v>
      </c>
      <c r="C439" s="954" t="n">
        <v>30000</v>
      </c>
      <c r="D439" s="954" t="n">
        <v>20000</v>
      </c>
      <c r="E439" s="954" t="n">
        <v>15000</v>
      </c>
      <c r="F439" s="955" t="n">
        <f aca="false">C439+D439+E439</f>
        <v>65000</v>
      </c>
      <c r="G439" s="955" t="n">
        <f aca="false">F439/149.4</f>
        <v>435.073627844712</v>
      </c>
      <c r="H439" s="661" t="n">
        <f aca="false">G439/60</f>
        <v>7.2512271307452</v>
      </c>
      <c r="I439" s="660" t="n">
        <f aca="false">'норма времени'!D443</f>
        <v>85</v>
      </c>
      <c r="J439" s="661" t="n">
        <f aca="false">H439*I439</f>
        <v>616.354306113342</v>
      </c>
    </row>
    <row r="440" customFormat="false" ht="18.75" hidden="false" customHeight="true" outlineLevel="0" collapsed="false">
      <c r="A440" s="571" t="s">
        <v>750</v>
      </c>
      <c r="B440" s="328" t="str">
        <f aca="false">'[5]норма времени'!B271</f>
        <v>Определение общего  экстракта</v>
      </c>
      <c r="C440" s="954" t="n">
        <v>65000</v>
      </c>
      <c r="D440" s="954" t="n">
        <v>50000</v>
      </c>
      <c r="E440" s="954" t="n">
        <v>45000</v>
      </c>
      <c r="F440" s="955" t="n">
        <f aca="false">C440+D440+E440</f>
        <v>160000</v>
      </c>
      <c r="G440" s="955" t="n">
        <f aca="false">F440/149.4</f>
        <v>1070.95046854083</v>
      </c>
      <c r="H440" s="661" t="n">
        <f aca="false">G440/60</f>
        <v>17.8491744756805</v>
      </c>
      <c r="I440" s="660" t="n">
        <f aca="false">'норма времени'!D444</f>
        <v>65</v>
      </c>
      <c r="J440" s="661" t="n">
        <f aca="false">H440*I440</f>
        <v>1160.19634091923</v>
      </c>
    </row>
    <row r="441" customFormat="false" ht="15" hidden="false" customHeight="false" outlineLevel="0" collapsed="false">
      <c r="A441" s="571" t="s">
        <v>752</v>
      </c>
      <c r="B441" s="328" t="str">
        <f aca="false">'[5]норма времени'!B272</f>
        <v>Определение  спирта в пиве</v>
      </c>
      <c r="C441" s="954" t="n">
        <v>70000</v>
      </c>
      <c r="D441" s="954" t="n">
        <v>65000</v>
      </c>
      <c r="E441" s="954" t="n">
        <v>55000</v>
      </c>
      <c r="F441" s="955" t="n">
        <f aca="false">C441+D441+E441</f>
        <v>190000</v>
      </c>
      <c r="G441" s="955" t="n">
        <f aca="false">F441/149.4</f>
        <v>1271.75368139224</v>
      </c>
      <c r="H441" s="661" t="n">
        <f aca="false">G441/60</f>
        <v>21.1958946898706</v>
      </c>
      <c r="I441" s="660" t="n">
        <f aca="false">'норма времени'!D445</f>
        <v>80</v>
      </c>
      <c r="J441" s="661" t="n">
        <f aca="false">H441*I441</f>
        <v>1695.67157518965</v>
      </c>
    </row>
    <row r="442" customFormat="false" ht="20.25" hidden="false" customHeight="true" outlineLevel="0" collapsed="false">
      <c r="A442" s="571" t="s">
        <v>754</v>
      </c>
      <c r="B442" s="328" t="str">
        <f aca="false">'[5]норма времени'!B273</f>
        <v>Определение  сухих веществ в сусле</v>
      </c>
      <c r="C442" s="954" t="n">
        <v>60000</v>
      </c>
      <c r="D442" s="954" t="n">
        <v>55000</v>
      </c>
      <c r="E442" s="954" t="n">
        <v>45000</v>
      </c>
      <c r="F442" s="955" t="n">
        <f aca="false">C442+D442+E442</f>
        <v>160000</v>
      </c>
      <c r="G442" s="955" t="n">
        <f aca="false">F442/149.4</f>
        <v>1070.95046854083</v>
      </c>
      <c r="H442" s="661" t="n">
        <f aca="false">G442/60</f>
        <v>17.8491744756805</v>
      </c>
      <c r="I442" s="660" t="n">
        <f aca="false">'норма времени'!D446</f>
        <v>65</v>
      </c>
      <c r="J442" s="661" t="n">
        <f aca="false">H442*I442</f>
        <v>1160.19634091923</v>
      </c>
    </row>
    <row r="443" customFormat="false" ht="15" hidden="false" customHeight="false" outlineLevel="0" collapsed="false">
      <c r="A443" s="571" t="s">
        <v>756</v>
      </c>
      <c r="B443" s="328" t="str">
        <f aca="false">'[5]норма времени'!B274</f>
        <v>Определение свинца (Рb)  в пищевых продуктах</v>
      </c>
      <c r="C443" s="954" t="n">
        <v>30000</v>
      </c>
      <c r="D443" s="954" t="n">
        <v>25000</v>
      </c>
      <c r="E443" s="954" t="n">
        <v>20000</v>
      </c>
      <c r="F443" s="955" t="n">
        <f aca="false">C443+D443+E443</f>
        <v>75000</v>
      </c>
      <c r="G443" s="955" t="n">
        <f aca="false">F443/149.4</f>
        <v>502.008032128514</v>
      </c>
      <c r="H443" s="661" t="n">
        <f aca="false">G443/60</f>
        <v>8.36680053547523</v>
      </c>
      <c r="I443" s="660" t="n">
        <f aca="false">'норма времени'!D447</f>
        <v>85</v>
      </c>
      <c r="J443" s="661" t="n">
        <f aca="false">H443*I443</f>
        <v>711.178045515395</v>
      </c>
    </row>
    <row r="444" customFormat="false" ht="15" hidden="false" customHeight="false" outlineLevel="0" collapsed="false">
      <c r="A444" s="571" t="s">
        <v>758</v>
      </c>
      <c r="B444" s="328" t="str">
        <f aca="false">'[5]норма времени'!B275</f>
        <v>Определение  кобальта</v>
      </c>
      <c r="C444" s="954" t="n">
        <v>30000</v>
      </c>
      <c r="D444" s="954" t="n">
        <v>25000</v>
      </c>
      <c r="E444" s="954" t="n">
        <v>20000</v>
      </c>
      <c r="F444" s="955" t="n">
        <f aca="false">C444+D444+E444</f>
        <v>75000</v>
      </c>
      <c r="G444" s="955" t="n">
        <f aca="false">F444/149.4</f>
        <v>502.008032128514</v>
      </c>
      <c r="H444" s="661" t="n">
        <f aca="false">G444/60</f>
        <v>8.36680053547523</v>
      </c>
      <c r="I444" s="660" t="n">
        <f aca="false">'норма времени'!D448</f>
        <v>135</v>
      </c>
      <c r="J444" s="661" t="n">
        <f aca="false">H444*I444</f>
        <v>1129.51807228916</v>
      </c>
    </row>
    <row r="445" customFormat="false" ht="15" hidden="false" customHeight="false" outlineLevel="0" collapsed="false">
      <c r="A445" s="571" t="s">
        <v>759</v>
      </c>
      <c r="B445" s="328" t="str">
        <f aca="false">'[5]норма времени'!B276</f>
        <v>Определение олова Sn в пищевых продуктах </v>
      </c>
      <c r="C445" s="954" t="n">
        <v>70000</v>
      </c>
      <c r="D445" s="954" t="n">
        <v>60000</v>
      </c>
      <c r="E445" s="954" t="n">
        <v>50000</v>
      </c>
      <c r="F445" s="955" t="n">
        <f aca="false">C445+D445+E445</f>
        <v>180000</v>
      </c>
      <c r="G445" s="955" t="n">
        <f aca="false">F445/149.4</f>
        <v>1204.81927710843</v>
      </c>
      <c r="H445" s="661" t="n">
        <f aca="false">G445/60</f>
        <v>20.0803212851406</v>
      </c>
      <c r="I445" s="660" t="n">
        <f aca="false">'норма времени'!D449</f>
        <v>100</v>
      </c>
      <c r="J445" s="661" t="n">
        <f aca="false">H445*I445</f>
        <v>2008.03212851406</v>
      </c>
    </row>
    <row r="446" customFormat="false" ht="15" hidden="false" customHeight="false" outlineLevel="0" collapsed="false">
      <c r="A446" s="571" t="s">
        <v>761</v>
      </c>
      <c r="B446" s="328" t="str">
        <f aca="false">'[5]норма времени'!B277</f>
        <v>Определение хрома (Cr)  в напитках</v>
      </c>
      <c r="C446" s="954" t="n">
        <v>80000</v>
      </c>
      <c r="D446" s="954" t="n">
        <v>70000</v>
      </c>
      <c r="E446" s="954" t="n">
        <v>60000</v>
      </c>
      <c r="F446" s="955" t="n">
        <f aca="false">C446+D446+E446</f>
        <v>210000</v>
      </c>
      <c r="G446" s="955" t="n">
        <f aca="false">F446/149.4</f>
        <v>1405.62248995984</v>
      </c>
      <c r="H446" s="661" t="n">
        <f aca="false">G446/60</f>
        <v>23.4270414993307</v>
      </c>
      <c r="I446" s="660" t="n">
        <f aca="false">'норма времени'!D450</f>
        <v>70</v>
      </c>
      <c r="J446" s="661" t="n">
        <f aca="false">H446*I446</f>
        <v>1639.89290495315</v>
      </c>
    </row>
    <row r="447" customFormat="false" ht="15" hidden="false" customHeight="false" outlineLevel="0" collapsed="false">
      <c r="A447" s="571" t="s">
        <v>763</v>
      </c>
      <c r="B447" s="328" t="str">
        <f aca="false">'[5]норма времени'!B278</f>
        <v>Определение хинина</v>
      </c>
      <c r="C447" s="954" t="n">
        <v>25000</v>
      </c>
      <c r="D447" s="954" t="n">
        <v>15000</v>
      </c>
      <c r="E447" s="954" t="n">
        <v>15000</v>
      </c>
      <c r="F447" s="955" t="n">
        <f aca="false">C447+D447+E447</f>
        <v>55000</v>
      </c>
      <c r="G447" s="955" t="n">
        <f aca="false">F447/149.4</f>
        <v>368.13922356091</v>
      </c>
      <c r="H447" s="661" t="n">
        <f aca="false">G447/60</f>
        <v>6.13565372601517</v>
      </c>
      <c r="I447" s="660" t="n">
        <f aca="false">'норма времени'!D451</f>
        <v>65</v>
      </c>
      <c r="J447" s="661" t="n">
        <f aca="false">H447*I447</f>
        <v>398.817492190986</v>
      </c>
    </row>
    <row r="448" customFormat="false" ht="15" hidden="false" customHeight="false" outlineLevel="0" collapsed="false">
      <c r="A448" s="571" t="s">
        <v>765</v>
      </c>
      <c r="B448" s="328" t="str">
        <f aca="false">'[5]норма времени'!B279</f>
        <v>Определение селена</v>
      </c>
      <c r="C448" s="954" t="n">
        <v>25000</v>
      </c>
      <c r="D448" s="954" t="n">
        <v>15000</v>
      </c>
      <c r="E448" s="954" t="n">
        <v>15000</v>
      </c>
      <c r="F448" s="955" t="n">
        <f aca="false">C448+D448+E448</f>
        <v>55000</v>
      </c>
      <c r="G448" s="955" t="n">
        <f aca="false">F448/149.4</f>
        <v>368.13922356091</v>
      </c>
      <c r="H448" s="661" t="n">
        <f aca="false">G448/60</f>
        <v>6.13565372601517</v>
      </c>
      <c r="I448" s="660" t="n">
        <f aca="false">'норма времени'!D452</f>
        <v>60</v>
      </c>
      <c r="J448" s="661" t="n">
        <f aca="false">H448*I448</f>
        <v>368.13922356091</v>
      </c>
    </row>
    <row r="449" customFormat="false" ht="15" hidden="false" customHeight="false" outlineLevel="0" collapsed="false">
      <c r="A449" s="350" t="s">
        <v>766</v>
      </c>
      <c r="B449" s="467" t="str">
        <f aca="false">'[5]норма времени'!B280</f>
        <v>Соль пищевая </v>
      </c>
      <c r="C449" s="1253"/>
      <c r="D449" s="1253"/>
      <c r="E449" s="1253"/>
      <c r="F449" s="1254"/>
      <c r="G449" s="1254"/>
      <c r="H449" s="1250"/>
      <c r="I449" s="1255"/>
      <c r="J449" s="1250"/>
    </row>
    <row r="450" customFormat="false" ht="16.5" hidden="false" customHeight="true" outlineLevel="0" collapsed="false">
      <c r="A450" s="571" t="s">
        <v>768</v>
      </c>
      <c r="B450" s="328" t="str">
        <f aca="false">'[5]норма времени'!B281</f>
        <v> Определение органолептических показателей, гранулометрический состав</v>
      </c>
      <c r="C450" s="954" t="n">
        <v>65000</v>
      </c>
      <c r="D450" s="954" t="n">
        <v>50000</v>
      </c>
      <c r="E450" s="954" t="n">
        <v>40000</v>
      </c>
      <c r="F450" s="955" t="n">
        <f aca="false">C450+D450+E450</f>
        <v>155000</v>
      </c>
      <c r="G450" s="955" t="n">
        <f aca="false">F450/149.4</f>
        <v>1037.48326639893</v>
      </c>
      <c r="H450" s="661" t="n">
        <f aca="false">G450/60</f>
        <v>17.2913877733155</v>
      </c>
      <c r="I450" s="660" t="n">
        <f aca="false">'норма времени'!D454</f>
        <v>45</v>
      </c>
      <c r="J450" s="661" t="n">
        <f aca="false">H450*I450</f>
        <v>778.112449799197</v>
      </c>
    </row>
    <row r="451" customFormat="false" ht="15" hidden="false" customHeight="false" outlineLevel="0" collapsed="false">
      <c r="A451" s="571" t="s">
        <v>770</v>
      </c>
      <c r="B451" s="328" t="str">
        <f aca="false">'[5]норма времени'!B282</f>
        <v> Определение влаги  ускоренным методом</v>
      </c>
      <c r="C451" s="954" t="n">
        <v>50000</v>
      </c>
      <c r="D451" s="954" t="n">
        <v>40000</v>
      </c>
      <c r="E451" s="954" t="n">
        <v>35000</v>
      </c>
      <c r="F451" s="955" t="n">
        <f aca="false">C451+D451+E451</f>
        <v>125000</v>
      </c>
      <c r="G451" s="955" t="n">
        <f aca="false">F451/149.4</f>
        <v>836.680053547523</v>
      </c>
      <c r="H451" s="661" t="n">
        <f aca="false">G451/60</f>
        <v>13.9446675591254</v>
      </c>
      <c r="I451" s="660" t="n">
        <f aca="false">'норма времени'!D455</f>
        <v>90</v>
      </c>
      <c r="J451" s="661" t="n">
        <f aca="false">H451*I451</f>
        <v>1255.02008032129</v>
      </c>
    </row>
    <row r="452" customFormat="false" ht="15" hidden="false" customHeight="false" outlineLevel="0" collapsed="false">
      <c r="A452" s="571" t="s">
        <v>771</v>
      </c>
      <c r="B452" s="328" t="str">
        <f aca="false">'[5]норма времени'!B283</f>
        <v> Определение влаги  арбитражным методом</v>
      </c>
      <c r="C452" s="954" t="n">
        <v>65000</v>
      </c>
      <c r="D452" s="954" t="n">
        <v>50000</v>
      </c>
      <c r="E452" s="954" t="n">
        <v>40000</v>
      </c>
      <c r="F452" s="955" t="n">
        <f aca="false">C452+D452+E452</f>
        <v>155000</v>
      </c>
      <c r="G452" s="955" t="n">
        <f aca="false">F452/149.4</f>
        <v>1037.48326639893</v>
      </c>
      <c r="H452" s="661" t="n">
        <f aca="false">G452/60</f>
        <v>17.2913877733155</v>
      </c>
      <c r="I452" s="660" t="n">
        <f aca="false">'норма времени'!D456</f>
        <v>110</v>
      </c>
      <c r="J452" s="661" t="n">
        <f aca="false">H452*I452</f>
        <v>1902.0526550647</v>
      </c>
    </row>
    <row r="453" customFormat="false" ht="15" hidden="false" customHeight="false" outlineLevel="0" collapsed="false">
      <c r="A453" s="571" t="s">
        <v>772</v>
      </c>
      <c r="B453" s="328" t="str">
        <f aca="false">'[5]норма времени'!B284</f>
        <v>Определение ионов кальция</v>
      </c>
      <c r="C453" s="954" t="n">
        <v>70000</v>
      </c>
      <c r="D453" s="954" t="n">
        <v>60000</v>
      </c>
      <c r="E453" s="954" t="n">
        <v>50000</v>
      </c>
      <c r="F453" s="955" t="n">
        <f aca="false">C453+D453+E453</f>
        <v>180000</v>
      </c>
      <c r="G453" s="955" t="n">
        <f aca="false">F453/149.4</f>
        <v>1204.81927710843</v>
      </c>
      <c r="H453" s="661" t="n">
        <f aca="false">G453/60</f>
        <v>20.0803212851406</v>
      </c>
      <c r="I453" s="660" t="n">
        <f aca="false">'норма времени'!D457</f>
        <v>60</v>
      </c>
      <c r="J453" s="661" t="n">
        <f aca="false">H453*I453</f>
        <v>1204.81927710843</v>
      </c>
    </row>
    <row r="454" customFormat="false" ht="15" hidden="false" customHeight="false" outlineLevel="0" collapsed="false">
      <c r="A454" s="571" t="s">
        <v>774</v>
      </c>
      <c r="B454" s="328" t="str">
        <f aca="false">'[5]норма времени'!B285</f>
        <v>Определение нерастворимого в воде остатка </v>
      </c>
      <c r="C454" s="954" t="n">
        <v>80000</v>
      </c>
      <c r="D454" s="954" t="n">
        <v>70000</v>
      </c>
      <c r="E454" s="954" t="n">
        <v>60000</v>
      </c>
      <c r="F454" s="955" t="n">
        <f aca="false">C454+D454+E454</f>
        <v>210000</v>
      </c>
      <c r="G454" s="955" t="n">
        <f aca="false">F454/149.4</f>
        <v>1405.62248995984</v>
      </c>
      <c r="H454" s="661" t="n">
        <f aca="false">G454/60</f>
        <v>23.4270414993307</v>
      </c>
      <c r="I454" s="660" t="n">
        <f aca="false">'норма времени'!D458</f>
        <v>60</v>
      </c>
      <c r="J454" s="661" t="n">
        <f aca="false">H454*I454</f>
        <v>1405.62248995984</v>
      </c>
    </row>
    <row r="455" customFormat="false" ht="15" hidden="false" customHeight="false" outlineLevel="0" collapsed="false">
      <c r="A455" s="571" t="s">
        <v>776</v>
      </c>
      <c r="B455" s="328" t="str">
        <f aca="false">'[5]норма времени'!B286</f>
        <v>Определение магний-иона </v>
      </c>
      <c r="C455" s="954" t="n">
        <v>70000</v>
      </c>
      <c r="D455" s="954" t="n">
        <v>60000</v>
      </c>
      <c r="E455" s="954" t="n">
        <v>50000</v>
      </c>
      <c r="F455" s="955" t="n">
        <f aca="false">C455+D455+E455</f>
        <v>180000</v>
      </c>
      <c r="G455" s="955" t="n">
        <f aca="false">F455/149.4</f>
        <v>1204.81927710843</v>
      </c>
      <c r="H455" s="661" t="n">
        <f aca="false">G455/60</f>
        <v>20.0803212851406</v>
      </c>
      <c r="I455" s="660" t="n">
        <f aca="false">'норма времени'!D459</f>
        <v>60</v>
      </c>
      <c r="J455" s="661" t="n">
        <f aca="false">H455*I455</f>
        <v>1204.81927710843</v>
      </c>
    </row>
    <row r="456" customFormat="false" ht="15" hidden="false" customHeight="false" outlineLevel="0" collapsed="false">
      <c r="A456" s="571" t="s">
        <v>778</v>
      </c>
      <c r="B456" s="328" t="str">
        <f aca="false">'[5]норма времени'!B287</f>
        <v>Определение сульфат-иона</v>
      </c>
      <c r="C456" s="954" t="n">
        <v>45000</v>
      </c>
      <c r="D456" s="954" t="n">
        <v>35000</v>
      </c>
      <c r="E456" s="954" t="n">
        <v>25000</v>
      </c>
      <c r="F456" s="955" t="n">
        <f aca="false">C456+D456+E456</f>
        <v>105000</v>
      </c>
      <c r="G456" s="955" t="n">
        <f aca="false">F456/149.4</f>
        <v>702.81124497992</v>
      </c>
      <c r="H456" s="661" t="n">
        <f aca="false">G456/60</f>
        <v>11.7135207496653</v>
      </c>
      <c r="I456" s="660" t="n">
        <f aca="false">'норма времени'!D460</f>
        <v>85</v>
      </c>
      <c r="J456" s="661" t="n">
        <f aca="false">H456*I456</f>
        <v>995.649263721553</v>
      </c>
    </row>
    <row r="457" customFormat="false" ht="15" hidden="false" customHeight="false" outlineLevel="0" collapsed="false">
      <c r="A457" s="571" t="s">
        <v>780</v>
      </c>
      <c r="B457" s="328" t="str">
        <f aca="false">'[5]норма времени'!B288</f>
        <v>Определение калия йодистого в соли</v>
      </c>
      <c r="C457" s="954" t="n">
        <v>30000</v>
      </c>
      <c r="D457" s="954" t="n">
        <v>25000</v>
      </c>
      <c r="E457" s="954" t="n">
        <v>20000</v>
      </c>
      <c r="F457" s="955" t="n">
        <f aca="false">C457+D457+E457</f>
        <v>75000</v>
      </c>
      <c r="G457" s="955" t="n">
        <f aca="false">F457/149.4</f>
        <v>502.008032128514</v>
      </c>
      <c r="H457" s="661" t="n">
        <f aca="false">G457/60</f>
        <v>8.36680053547523</v>
      </c>
      <c r="I457" s="660" t="n">
        <f aca="false">'норма времени'!D461</f>
        <v>140</v>
      </c>
      <c r="J457" s="661" t="n">
        <f aca="false">H457*I457</f>
        <v>1171.35207496653</v>
      </c>
    </row>
    <row r="458" customFormat="false" ht="15" hidden="false" customHeight="false" outlineLevel="0" collapsed="false">
      <c r="A458" s="571" t="s">
        <v>782</v>
      </c>
      <c r="B458" s="328" t="str">
        <f aca="false">'[5]норма времени'!B289</f>
        <v>Определение оксида железа </v>
      </c>
      <c r="C458" s="954" t="n">
        <v>30000</v>
      </c>
      <c r="D458" s="954" t="n">
        <v>25000</v>
      </c>
      <c r="E458" s="954" t="n">
        <v>20000</v>
      </c>
      <c r="F458" s="955" t="n">
        <f aca="false">C458+D458+E458</f>
        <v>75000</v>
      </c>
      <c r="G458" s="955" t="n">
        <f aca="false">F458/149.4</f>
        <v>502.008032128514</v>
      </c>
      <c r="H458" s="661" t="n">
        <f aca="false">G458/60</f>
        <v>8.36680053547523</v>
      </c>
      <c r="I458" s="660" t="n">
        <f aca="false">'норма времени'!D462</f>
        <v>105</v>
      </c>
      <c r="J458" s="661" t="n">
        <f aca="false">H458*I458</f>
        <v>878.5140562249</v>
      </c>
    </row>
    <row r="459" customFormat="false" ht="15" hidden="false" customHeight="false" outlineLevel="0" collapsed="false">
      <c r="A459" s="571" t="s">
        <v>784</v>
      </c>
      <c r="B459" s="328" t="str">
        <f aca="false">'[5]норма времени'!B290</f>
        <v>Определение хлор-иона </v>
      </c>
      <c r="C459" s="954" t="n">
        <v>70000</v>
      </c>
      <c r="D459" s="954" t="n">
        <v>60000</v>
      </c>
      <c r="E459" s="954" t="n">
        <v>50000</v>
      </c>
      <c r="F459" s="955" t="n">
        <f aca="false">C459+D459+E459</f>
        <v>180000</v>
      </c>
      <c r="G459" s="955" t="n">
        <f aca="false">F459/149.4</f>
        <v>1204.81927710843</v>
      </c>
      <c r="H459" s="661" t="n">
        <f aca="false">G459/60</f>
        <v>20.0803212851406</v>
      </c>
      <c r="I459" s="660" t="n">
        <f aca="false">'норма времени'!D463</f>
        <v>60</v>
      </c>
      <c r="J459" s="661" t="n">
        <f aca="false">H459*I459</f>
        <v>1204.81927710843</v>
      </c>
    </row>
    <row r="460" customFormat="false" ht="15" hidden="false" customHeight="false" outlineLevel="0" collapsed="false">
      <c r="A460" s="571" t="s">
        <v>786</v>
      </c>
      <c r="B460" s="328" t="str">
        <f aca="false">'[5]норма времени'!B291</f>
        <v>Определение свинца </v>
      </c>
      <c r="C460" s="954" t="n">
        <v>45000</v>
      </c>
      <c r="D460" s="954" t="n">
        <v>35000</v>
      </c>
      <c r="E460" s="954" t="n">
        <v>25000</v>
      </c>
      <c r="F460" s="955" t="n">
        <f aca="false">C460+D460+E460</f>
        <v>105000</v>
      </c>
      <c r="G460" s="955" t="n">
        <f aca="false">F460/149.4</f>
        <v>702.81124497992</v>
      </c>
      <c r="H460" s="661" t="n">
        <f aca="false">G460/60</f>
        <v>11.7135207496653</v>
      </c>
      <c r="I460" s="660" t="n">
        <f aca="false">'норма времени'!D464</f>
        <v>200</v>
      </c>
      <c r="J460" s="661" t="n">
        <f aca="false">H460*I460</f>
        <v>2342.70414993307</v>
      </c>
    </row>
    <row r="461" customFormat="false" ht="17.25" hidden="false" customHeight="true" outlineLevel="0" collapsed="false">
      <c r="A461" s="571" t="s">
        <v>787</v>
      </c>
      <c r="B461" s="328" t="str">
        <f aca="false">'[5]норма времени'!B292</f>
        <v> Определение мышьяка </v>
      </c>
      <c r="C461" s="954" t="n">
        <v>40000</v>
      </c>
      <c r="D461" s="954" t="n">
        <v>30000</v>
      </c>
      <c r="E461" s="954" t="n">
        <v>25000</v>
      </c>
      <c r="F461" s="955" t="n">
        <f aca="false">C461+D461+E461</f>
        <v>95000</v>
      </c>
      <c r="G461" s="955" t="n">
        <f aca="false">F461/149.4</f>
        <v>635.876840696118</v>
      </c>
      <c r="H461" s="661" t="n">
        <f aca="false">G461/60</f>
        <v>10.5979473449353</v>
      </c>
      <c r="I461" s="660" t="n">
        <f aca="false">'норма времени'!D465</f>
        <v>170</v>
      </c>
      <c r="J461" s="661" t="n">
        <f aca="false">H461*I461</f>
        <v>1801.651048639</v>
      </c>
    </row>
    <row r="462" customFormat="false" ht="15" hidden="false" customHeight="false" outlineLevel="0" collapsed="false">
      <c r="A462" s="571" t="s">
        <v>788</v>
      </c>
      <c r="B462" s="328" t="str">
        <f aca="false">'[5]норма времени'!B293</f>
        <v>Определение кадмия</v>
      </c>
      <c r="C462" s="954" t="n">
        <v>50000</v>
      </c>
      <c r="D462" s="954" t="n">
        <v>40000</v>
      </c>
      <c r="E462" s="954" t="n">
        <v>30000</v>
      </c>
      <c r="F462" s="955" t="n">
        <f aca="false">C462+D462+E462</f>
        <v>120000</v>
      </c>
      <c r="G462" s="955" t="n">
        <f aca="false">F462/149.4</f>
        <v>803.212851405623</v>
      </c>
      <c r="H462" s="661" t="n">
        <f aca="false">G462/60</f>
        <v>13.3868808567604</v>
      </c>
      <c r="I462" s="660" t="n">
        <f aca="false">'норма времени'!D466</f>
        <v>200</v>
      </c>
      <c r="J462" s="661" t="n">
        <f aca="false">H462*I462</f>
        <v>2677.37617135208</v>
      </c>
    </row>
    <row r="463" customFormat="false" ht="15" hidden="false" customHeight="false" outlineLevel="0" collapsed="false">
      <c r="A463" s="571" t="s">
        <v>789</v>
      </c>
      <c r="B463" s="328" t="str">
        <f aca="false">'[5]норма времени'!B294</f>
        <v>Определение  ртути</v>
      </c>
      <c r="C463" s="954" t="n">
        <v>40000</v>
      </c>
      <c r="D463" s="954" t="n">
        <v>30000</v>
      </c>
      <c r="E463" s="954" t="n">
        <v>25000</v>
      </c>
      <c r="F463" s="955" t="n">
        <f aca="false">C463+D463+E463</f>
        <v>95000</v>
      </c>
      <c r="G463" s="955" t="n">
        <f aca="false">F463/149.4</f>
        <v>635.876840696118</v>
      </c>
      <c r="H463" s="661" t="n">
        <f aca="false">G463/60</f>
        <v>10.5979473449353</v>
      </c>
      <c r="I463" s="660" t="n">
        <f aca="false">'норма времени'!D467</f>
        <v>170</v>
      </c>
      <c r="J463" s="661" t="n">
        <f aca="false">H463*I463</f>
        <v>1801.651048639</v>
      </c>
    </row>
    <row r="464" customFormat="false" ht="15" hidden="false" customHeight="false" outlineLevel="0" collapsed="false">
      <c r="A464" s="571" t="s">
        <v>790</v>
      </c>
      <c r="B464" s="328" t="str">
        <f aca="false">'[5]норма времени'!B295</f>
        <v>йод</v>
      </c>
      <c r="C464" s="954" t="n">
        <v>40000</v>
      </c>
      <c r="D464" s="954" t="n">
        <v>30000</v>
      </c>
      <c r="E464" s="954" t="n">
        <v>25000</v>
      </c>
      <c r="F464" s="955" t="n">
        <f aca="false">C464+D464+E464</f>
        <v>95000</v>
      </c>
      <c r="G464" s="955" t="n">
        <f aca="false">F464/149.4</f>
        <v>635.876840696118</v>
      </c>
      <c r="H464" s="661" t="n">
        <f aca="false">G464/60</f>
        <v>10.5979473449353</v>
      </c>
      <c r="I464" s="660" t="n">
        <f aca="false">'норма времени'!D468</f>
        <v>30</v>
      </c>
      <c r="J464" s="661" t="n">
        <f aca="false">H464*I464</f>
        <v>317.938420348059</v>
      </c>
    </row>
    <row r="465" customFormat="false" ht="15" hidden="false" customHeight="false" outlineLevel="0" collapsed="false">
      <c r="A465" s="571" t="s">
        <v>792</v>
      </c>
      <c r="B465" s="328" t="str">
        <f aca="false">'[5]норма времени'!B296</f>
        <v>массовая доля хлористого натрия</v>
      </c>
      <c r="C465" s="954" t="n">
        <v>35000</v>
      </c>
      <c r="D465" s="954" t="n">
        <v>25000</v>
      </c>
      <c r="E465" s="954" t="n">
        <v>20000</v>
      </c>
      <c r="F465" s="955" t="n">
        <f aca="false">C465+D465+E465</f>
        <v>80000</v>
      </c>
      <c r="G465" s="955" t="n">
        <f aca="false">F465/149.4</f>
        <v>535.475234270415</v>
      </c>
      <c r="H465" s="661" t="n">
        <f aca="false">G465/60</f>
        <v>8.92458723784025</v>
      </c>
      <c r="I465" s="660" t="n">
        <f aca="false">'норма времени'!D469</f>
        <v>220</v>
      </c>
      <c r="J465" s="661" t="n">
        <f aca="false">H465*I465</f>
        <v>1963.40919232486</v>
      </c>
    </row>
    <row r="466" customFormat="false" ht="15" hidden="false" customHeight="false" outlineLevel="0" collapsed="false">
      <c r="A466" s="350" t="s">
        <v>794</v>
      </c>
      <c r="B466" s="467" t="str">
        <f aca="false">'[5]норма времени'!B297</f>
        <v>Чай черный, зеленый </v>
      </c>
      <c r="C466" s="1253"/>
      <c r="D466" s="1253"/>
      <c r="E466" s="1253"/>
      <c r="F466" s="1254"/>
      <c r="G466" s="1254"/>
      <c r="H466" s="1250"/>
      <c r="I466" s="1255"/>
      <c r="J466" s="1250"/>
    </row>
    <row r="467" customFormat="false" ht="15" hidden="false" customHeight="false" outlineLevel="0" collapsed="false">
      <c r="A467" s="571" t="s">
        <v>796</v>
      </c>
      <c r="B467" s="328" t="str">
        <f aca="false">'[5]норма времени'!B298</f>
        <v> Определение органолептических показателей</v>
      </c>
      <c r="C467" s="954" t="n">
        <v>50000</v>
      </c>
      <c r="D467" s="954" t="n">
        <v>40000</v>
      </c>
      <c r="E467" s="954" t="n">
        <v>30000</v>
      </c>
      <c r="F467" s="955" t="n">
        <f aca="false">C467+D467+E467</f>
        <v>120000</v>
      </c>
      <c r="G467" s="955" t="n">
        <f aca="false">F467/149.4</f>
        <v>803.212851405623</v>
      </c>
      <c r="H467" s="661" t="n">
        <f aca="false">G467/60</f>
        <v>13.3868808567604</v>
      </c>
      <c r="I467" s="660" t="n">
        <f aca="false">'норма времени'!D471</f>
        <v>45</v>
      </c>
      <c r="J467" s="661" t="n">
        <f aca="false">H467*I467</f>
        <v>602.409638554217</v>
      </c>
    </row>
    <row r="468" customFormat="false" ht="15" hidden="false" customHeight="false" outlineLevel="0" collapsed="false">
      <c r="A468" s="571" t="s">
        <v>797</v>
      </c>
      <c r="B468" s="328" t="str">
        <f aca="false">'[5]норма времени'!B299</f>
        <v> Определение влаги  ускоренным методом</v>
      </c>
      <c r="C468" s="954" t="n">
        <v>50000</v>
      </c>
      <c r="D468" s="954" t="n">
        <v>40000</v>
      </c>
      <c r="E468" s="954" t="n">
        <v>30000</v>
      </c>
      <c r="F468" s="955" t="n">
        <f aca="false">C468+D468+E468</f>
        <v>120000</v>
      </c>
      <c r="G468" s="955" t="n">
        <f aca="false">F468/149.4</f>
        <v>803.212851405623</v>
      </c>
      <c r="H468" s="661" t="n">
        <f aca="false">G468/60</f>
        <v>13.3868808567604</v>
      </c>
      <c r="I468" s="660" t="n">
        <f aca="false">'норма времени'!D472</f>
        <v>90</v>
      </c>
      <c r="J468" s="661" t="n">
        <f aca="false">H468*I468</f>
        <v>1204.81927710843</v>
      </c>
    </row>
    <row r="469" customFormat="false" ht="15" hidden="false" customHeight="false" outlineLevel="0" collapsed="false">
      <c r="A469" s="571" t="s">
        <v>798</v>
      </c>
      <c r="B469" s="328" t="str">
        <f aca="false">'[5]норма времени'!B300</f>
        <v> Определение влаги  арбитражным методом</v>
      </c>
      <c r="C469" s="954" t="n">
        <v>55000</v>
      </c>
      <c r="D469" s="954" t="n">
        <v>45000</v>
      </c>
      <c r="E469" s="954" t="n">
        <v>35000</v>
      </c>
      <c r="F469" s="955" t="n">
        <f aca="false">C469+D469+E469</f>
        <v>135000</v>
      </c>
      <c r="G469" s="955" t="n">
        <f aca="false">F469/149.4</f>
        <v>903.614457831325</v>
      </c>
      <c r="H469" s="661" t="n">
        <f aca="false">G469/60</f>
        <v>15.0602409638554</v>
      </c>
      <c r="I469" s="660" t="n">
        <f aca="false">'норма времени'!D473</f>
        <v>110</v>
      </c>
      <c r="J469" s="661" t="n">
        <f aca="false">H469*I469</f>
        <v>1656.6265060241</v>
      </c>
    </row>
    <row r="470" customFormat="false" ht="15" hidden="false" customHeight="false" outlineLevel="0" collapsed="false">
      <c r="A470" s="571" t="s">
        <v>799</v>
      </c>
      <c r="B470" s="328" t="str">
        <f aca="false">'[5]норма времени'!B301</f>
        <v> Определение золы </v>
      </c>
      <c r="C470" s="954" t="n">
        <v>55000</v>
      </c>
      <c r="D470" s="954" t="n">
        <v>45000</v>
      </c>
      <c r="E470" s="954" t="n">
        <v>35000</v>
      </c>
      <c r="F470" s="955" t="n">
        <f aca="false">C470+D470+E470</f>
        <v>135000</v>
      </c>
      <c r="G470" s="955" t="n">
        <f aca="false">F470/149.4</f>
        <v>903.614457831325</v>
      </c>
      <c r="H470" s="661" t="n">
        <f aca="false">G470/60</f>
        <v>15.0602409638554</v>
      </c>
      <c r="I470" s="660" t="n">
        <f aca="false">'норма времени'!D474</f>
        <v>75</v>
      </c>
      <c r="J470" s="661" t="n">
        <f aca="false">H470*I470</f>
        <v>1129.51807228916</v>
      </c>
    </row>
    <row r="471" customFormat="false" ht="15" hidden="false" customHeight="false" outlineLevel="0" collapsed="false">
      <c r="A471" s="571" t="s">
        <v>800</v>
      </c>
      <c r="B471" s="328" t="str">
        <f aca="false">'[5]норма времени'!B302</f>
        <v> Определение танина</v>
      </c>
      <c r="C471" s="954" t="n">
        <v>35000</v>
      </c>
      <c r="D471" s="954" t="n">
        <v>25000</v>
      </c>
      <c r="E471" s="954" t="n">
        <v>20000</v>
      </c>
      <c r="F471" s="955" t="n">
        <f aca="false">C471+D471+E471</f>
        <v>80000</v>
      </c>
      <c r="G471" s="955" t="n">
        <f aca="false">F471/149.4</f>
        <v>535.475234270415</v>
      </c>
      <c r="H471" s="661" t="n">
        <f aca="false">G471/60</f>
        <v>8.92458723784025</v>
      </c>
      <c r="I471" s="660" t="n">
        <f aca="false">'норма времени'!D475</f>
        <v>75</v>
      </c>
      <c r="J471" s="661" t="n">
        <f aca="false">H471*I471</f>
        <v>669.344042838019</v>
      </c>
    </row>
    <row r="472" customFormat="false" ht="18.75" hidden="false" customHeight="true" outlineLevel="0" collapsed="false">
      <c r="A472" s="571" t="s">
        <v>802</v>
      </c>
      <c r="B472" s="328" t="str">
        <f aca="false">'[5]норма времени'!B303</f>
        <v> Определение кофеина</v>
      </c>
      <c r="C472" s="954" t="n">
        <v>35000</v>
      </c>
      <c r="D472" s="954" t="n">
        <v>25000</v>
      </c>
      <c r="E472" s="954" t="n">
        <v>20000</v>
      </c>
      <c r="F472" s="955" t="n">
        <f aca="false">C472+D472+E472</f>
        <v>80000</v>
      </c>
      <c r="G472" s="955" t="n">
        <f aca="false">F472/149.4</f>
        <v>535.475234270415</v>
      </c>
      <c r="H472" s="661" t="n">
        <f aca="false">G472/60</f>
        <v>8.92458723784025</v>
      </c>
      <c r="I472" s="660" t="n">
        <f aca="false">'норма времени'!D476</f>
        <v>140</v>
      </c>
      <c r="J472" s="661" t="n">
        <f aca="false">H472*I472</f>
        <v>1249.44221329764</v>
      </c>
    </row>
    <row r="473" customFormat="false" ht="30" hidden="false" customHeight="false" outlineLevel="0" collapsed="false">
      <c r="A473" s="571" t="s">
        <v>804</v>
      </c>
      <c r="B473" s="328" t="str">
        <f aca="false">'[5]норма времени'!B304</f>
        <v> Определение массовой доли мелочи и металломагнитных примесей </v>
      </c>
      <c r="C473" s="954" t="n">
        <v>50000</v>
      </c>
      <c r="D473" s="954" t="n">
        <v>45000</v>
      </c>
      <c r="E473" s="954" t="n">
        <v>30000</v>
      </c>
      <c r="F473" s="955" t="n">
        <f aca="false">C473+D473+E473</f>
        <v>125000</v>
      </c>
      <c r="G473" s="955" t="n">
        <f aca="false">F473/149.4</f>
        <v>836.680053547523</v>
      </c>
      <c r="H473" s="661" t="n">
        <f aca="false">G473/60</f>
        <v>13.9446675591254</v>
      </c>
      <c r="I473" s="660" t="n">
        <f aca="false">'норма времени'!D477</f>
        <v>40</v>
      </c>
      <c r="J473" s="661" t="n">
        <f aca="false">H473*I473</f>
        <v>557.786702365016</v>
      </c>
    </row>
    <row r="474" customFormat="false" ht="30" hidden="false" customHeight="false" outlineLevel="0" collapsed="false">
      <c r="A474" s="571" t="s">
        <v>806</v>
      </c>
      <c r="B474" s="328" t="str">
        <f aca="false">'[5]норма времени'!B305</f>
        <v> Определение массовой доли водорастворимых веществ </v>
      </c>
      <c r="C474" s="954" t="n">
        <v>50000</v>
      </c>
      <c r="D474" s="954" t="n">
        <v>40000</v>
      </c>
      <c r="E474" s="954" t="n">
        <v>30000</v>
      </c>
      <c r="F474" s="955" t="n">
        <f aca="false">C474+D474+E474</f>
        <v>120000</v>
      </c>
      <c r="G474" s="955" t="n">
        <f aca="false">F474/149.4</f>
        <v>803.212851405623</v>
      </c>
      <c r="H474" s="661" t="n">
        <f aca="false">G474/60</f>
        <v>13.3868808567604</v>
      </c>
      <c r="I474" s="660" t="n">
        <f aca="false">'норма времени'!D478</f>
        <v>45</v>
      </c>
      <c r="J474" s="661" t="n">
        <f aca="false">H474*I474</f>
        <v>602.409638554217</v>
      </c>
    </row>
    <row r="475" customFormat="false" ht="15" hidden="false" customHeight="false" outlineLevel="0" collapsed="false">
      <c r="A475" s="571" t="s">
        <v>808</v>
      </c>
      <c r="B475" s="328" t="str">
        <f aca="false">'[5]норма времени'!B306</f>
        <v> Определение сырой клечатки</v>
      </c>
      <c r="C475" s="954" t="n">
        <v>30000</v>
      </c>
      <c r="D475" s="954" t="n">
        <v>20000</v>
      </c>
      <c r="E475" s="954" t="n">
        <v>15000</v>
      </c>
      <c r="F475" s="955" t="n">
        <f aca="false">C475+D475+E475</f>
        <v>65000</v>
      </c>
      <c r="G475" s="955" t="n">
        <f aca="false">F475/149.4</f>
        <v>435.073627844712</v>
      </c>
      <c r="H475" s="661" t="n">
        <f aca="false">G475/60</f>
        <v>7.2512271307452</v>
      </c>
      <c r="I475" s="660" t="n">
        <f aca="false">'норма времени'!D479</f>
        <v>140</v>
      </c>
      <c r="J475" s="661" t="n">
        <f aca="false">H475*I475</f>
        <v>1015.17179830433</v>
      </c>
    </row>
    <row r="476" customFormat="false" ht="15" hidden="false" customHeight="false" outlineLevel="0" collapsed="false">
      <c r="A476" s="571" t="s">
        <v>810</v>
      </c>
      <c r="B476" s="328" t="str">
        <f aca="false">'[5]норма времени'!B307</f>
        <v> Определение экстрактивных веществ </v>
      </c>
      <c r="C476" s="954" t="n">
        <v>65000</v>
      </c>
      <c r="D476" s="954" t="n">
        <v>60000</v>
      </c>
      <c r="E476" s="954" t="n">
        <v>55000</v>
      </c>
      <c r="F476" s="955" t="n">
        <f aca="false">C476+D476+E476</f>
        <v>180000</v>
      </c>
      <c r="G476" s="955" t="n">
        <f aca="false">F476/149.4</f>
        <v>1204.81927710843</v>
      </c>
      <c r="H476" s="661" t="n">
        <f aca="false">G476/60</f>
        <v>20.0803212851406</v>
      </c>
      <c r="I476" s="660" t="n">
        <f aca="false">'норма времени'!D480</f>
        <v>65</v>
      </c>
      <c r="J476" s="661" t="n">
        <f aca="false">H476*I476</f>
        <v>1305.22088353414</v>
      </c>
    </row>
    <row r="477" customFormat="false" ht="15" hidden="false" customHeight="false" outlineLevel="0" collapsed="false">
      <c r="A477" s="571" t="s">
        <v>812</v>
      </c>
      <c r="B477" s="328" t="str">
        <f aca="false">'[5]норма времени'!B308</f>
        <v>Определение свинца </v>
      </c>
      <c r="C477" s="954" t="n">
        <v>30000</v>
      </c>
      <c r="D477" s="954" t="n">
        <v>20000</v>
      </c>
      <c r="E477" s="954" t="n">
        <v>15000</v>
      </c>
      <c r="F477" s="955" t="n">
        <f aca="false">C477+D477+E477</f>
        <v>65000</v>
      </c>
      <c r="G477" s="955" t="n">
        <f aca="false">F477/149.4</f>
        <v>435.073627844712</v>
      </c>
      <c r="H477" s="661" t="n">
        <f aca="false">G477/60</f>
        <v>7.2512271307452</v>
      </c>
      <c r="I477" s="660" t="n">
        <f aca="false">'норма времени'!D481</f>
        <v>230</v>
      </c>
      <c r="J477" s="661" t="n">
        <f aca="false">H477*I477</f>
        <v>1667.7822400714</v>
      </c>
    </row>
    <row r="478" customFormat="false" ht="15" hidden="false" customHeight="false" outlineLevel="0" collapsed="false">
      <c r="A478" s="571" t="s">
        <v>813</v>
      </c>
      <c r="B478" s="328" t="str">
        <f aca="false">'[5]норма времени'!B309</f>
        <v> Определение мышьяка </v>
      </c>
      <c r="C478" s="954" t="n">
        <v>30000</v>
      </c>
      <c r="D478" s="954" t="n">
        <v>20000</v>
      </c>
      <c r="E478" s="954" t="n">
        <v>15000</v>
      </c>
      <c r="F478" s="955" t="n">
        <f aca="false">C478+D478+E478</f>
        <v>65000</v>
      </c>
      <c r="G478" s="955" t="n">
        <f aca="false">F478/149.4</f>
        <v>435.073627844712</v>
      </c>
      <c r="H478" s="661" t="n">
        <f aca="false">G478/60</f>
        <v>7.2512271307452</v>
      </c>
      <c r="I478" s="660" t="n">
        <f aca="false">'норма времени'!D482</f>
        <v>105</v>
      </c>
      <c r="J478" s="661" t="n">
        <f aca="false">H478*I478</f>
        <v>761.378848728246</v>
      </c>
    </row>
    <row r="479" customFormat="false" ht="15" hidden="false" customHeight="false" outlineLevel="0" collapsed="false">
      <c r="A479" s="571" t="s">
        <v>815</v>
      </c>
      <c r="B479" s="328" t="str">
        <f aca="false">'[5]норма времени'!B310</f>
        <v>Определение кадмия</v>
      </c>
      <c r="C479" s="954" t="n">
        <v>25000</v>
      </c>
      <c r="D479" s="954" t="n">
        <v>20000</v>
      </c>
      <c r="E479" s="954" t="n">
        <v>15000</v>
      </c>
      <c r="F479" s="955" t="n">
        <f aca="false">C479+D479+E479</f>
        <v>60000</v>
      </c>
      <c r="G479" s="955" t="n">
        <f aca="false">F479/149.4</f>
        <v>401.606425702811</v>
      </c>
      <c r="H479" s="661" t="n">
        <f aca="false">G479/60</f>
        <v>6.69344042838019</v>
      </c>
      <c r="I479" s="660" t="n">
        <f aca="false">'норма времени'!D483</f>
        <v>200</v>
      </c>
      <c r="J479" s="661" t="n">
        <f aca="false">H479*I479</f>
        <v>1338.68808567604</v>
      </c>
    </row>
    <row r="480" customFormat="false" ht="15" hidden="false" customHeight="false" outlineLevel="0" collapsed="false">
      <c r="A480" s="571" t="s">
        <v>816</v>
      </c>
      <c r="B480" s="328" t="str">
        <f aca="false">'[5]норма времени'!B311</f>
        <v>Определение  ртути</v>
      </c>
      <c r="C480" s="954" t="n">
        <v>25000</v>
      </c>
      <c r="D480" s="954" t="n">
        <v>20000</v>
      </c>
      <c r="E480" s="954" t="n">
        <v>15000</v>
      </c>
      <c r="F480" s="955" t="n">
        <f aca="false">C480+D480+E480</f>
        <v>60000</v>
      </c>
      <c r="G480" s="955" t="n">
        <f aca="false">F480/149.4</f>
        <v>401.606425702811</v>
      </c>
      <c r="H480" s="661" t="n">
        <f aca="false">G480/60</f>
        <v>6.69344042838019</v>
      </c>
      <c r="I480" s="660" t="n">
        <f aca="false">'норма времени'!D484</f>
        <v>80</v>
      </c>
      <c r="J480" s="661" t="n">
        <f aca="false">H480*I480</f>
        <v>535.475234270415</v>
      </c>
    </row>
    <row r="481" customFormat="false" ht="15" hidden="false" customHeight="false" outlineLevel="0" collapsed="false">
      <c r="A481" s="571" t="s">
        <v>817</v>
      </c>
      <c r="B481" s="328" t="str">
        <f aca="false">'[5]норма времени'!B312</f>
        <v>Определение афлотоксина </v>
      </c>
      <c r="C481" s="954"/>
      <c r="D481" s="954"/>
      <c r="E481" s="954" t="n">
        <v>20000</v>
      </c>
      <c r="F481" s="955" t="n">
        <f aca="false">C481+D481+E481</f>
        <v>20000</v>
      </c>
      <c r="G481" s="955" t="n">
        <f aca="false">F481/149.4</f>
        <v>133.868808567604</v>
      </c>
      <c r="H481" s="661" t="n">
        <f aca="false">G481/60</f>
        <v>2.23114680946006</v>
      </c>
      <c r="I481" s="660" t="n">
        <f aca="false">'норма времени'!D485</f>
        <v>20</v>
      </c>
      <c r="J481" s="661" t="n">
        <f aca="false">H481*I481</f>
        <v>44.6229361892013</v>
      </c>
    </row>
    <row r="482" customFormat="false" ht="15" hidden="false" customHeight="false" outlineLevel="0" collapsed="false">
      <c r="A482" s="571" t="s">
        <v>819</v>
      </c>
      <c r="B482" s="328" t="str">
        <f aca="false">'[5]норма времени'!B313</f>
        <v>Посторонние примеси</v>
      </c>
      <c r="C482" s="954" t="n">
        <v>60000</v>
      </c>
      <c r="D482" s="954" t="n">
        <v>50000</v>
      </c>
      <c r="E482" s="954" t="n">
        <v>40000</v>
      </c>
      <c r="F482" s="955" t="n">
        <f aca="false">C482+D482+E482</f>
        <v>150000</v>
      </c>
      <c r="G482" s="955" t="n">
        <f aca="false">F482/149.4</f>
        <v>1004.01606425703</v>
      </c>
      <c r="H482" s="661" t="n">
        <f aca="false">G482/60</f>
        <v>16.7336010709505</v>
      </c>
      <c r="I482" s="660" t="n">
        <f aca="false">'норма времени'!D486</f>
        <v>40</v>
      </c>
      <c r="J482" s="661" t="n">
        <f aca="false">H482*I482</f>
        <v>669.344042838019</v>
      </c>
    </row>
    <row r="483" customFormat="false" ht="16.5" hidden="false" customHeight="true" outlineLevel="0" collapsed="false">
      <c r="A483" s="571" t="s">
        <v>821</v>
      </c>
      <c r="B483" s="328" t="str">
        <f aca="false">'[5]норма времени'!B314</f>
        <v>Дисперсность </v>
      </c>
      <c r="C483" s="954" t="n">
        <v>50000</v>
      </c>
      <c r="D483" s="954" t="n">
        <v>45000</v>
      </c>
      <c r="E483" s="954" t="n">
        <v>35000</v>
      </c>
      <c r="F483" s="955" t="n">
        <f aca="false">C483+D483+E483</f>
        <v>130000</v>
      </c>
      <c r="G483" s="955" t="n">
        <f aca="false">F483/149.4</f>
        <v>870.147255689424</v>
      </c>
      <c r="H483" s="661" t="n">
        <f aca="false">G483/60</f>
        <v>14.5024542614904</v>
      </c>
      <c r="I483" s="660" t="n">
        <f aca="false">'норма времени'!D487</f>
        <v>40</v>
      </c>
      <c r="J483" s="661" t="n">
        <f aca="false">H483*I483</f>
        <v>580.098170459616</v>
      </c>
    </row>
    <row r="484" customFormat="false" ht="15" hidden="false" customHeight="false" outlineLevel="0" collapsed="false">
      <c r="A484" s="571" t="s">
        <v>823</v>
      </c>
      <c r="B484" s="328" t="str">
        <f aca="false">'[5]норма времени'!B315</f>
        <v>Жир</v>
      </c>
      <c r="C484" s="954" t="n">
        <v>35000</v>
      </c>
      <c r="D484" s="954" t="n">
        <v>25000</v>
      </c>
      <c r="E484" s="954" t="n">
        <v>15000</v>
      </c>
      <c r="F484" s="955" t="n">
        <f aca="false">C484+D484+E484</f>
        <v>75000</v>
      </c>
      <c r="G484" s="955" t="n">
        <f aca="false">F484/149.4</f>
        <v>502.008032128514</v>
      </c>
      <c r="H484" s="661" t="n">
        <f aca="false">G484/60</f>
        <v>8.36680053547523</v>
      </c>
      <c r="I484" s="660" t="n">
        <f aca="false">'норма времени'!D488</f>
        <v>180</v>
      </c>
      <c r="J484" s="661" t="n">
        <f aca="false">H484*I484</f>
        <v>1506.02409638554</v>
      </c>
    </row>
    <row r="485" customFormat="false" ht="15" hidden="false" customHeight="false" outlineLevel="0" collapsed="false">
      <c r="A485" s="350" t="s">
        <v>825</v>
      </c>
      <c r="B485" s="467" t="str">
        <f aca="false">'[5]норма времени'!B316</f>
        <v>Кофе</v>
      </c>
      <c r="C485" s="1253"/>
      <c r="D485" s="1253"/>
      <c r="E485" s="1253"/>
      <c r="F485" s="1254"/>
      <c r="G485" s="1254"/>
      <c r="H485" s="1250"/>
      <c r="I485" s="1255"/>
      <c r="J485" s="1250"/>
    </row>
    <row r="486" customFormat="false" ht="15" hidden="false" customHeight="false" outlineLevel="0" collapsed="false">
      <c r="A486" s="571" t="s">
        <v>827</v>
      </c>
      <c r="B486" s="328" t="str">
        <f aca="false">'[5]норма времени'!B317</f>
        <v> Определение органолептических показателей</v>
      </c>
      <c r="C486" s="954" t="n">
        <v>50000</v>
      </c>
      <c r="D486" s="954" t="n">
        <v>40000</v>
      </c>
      <c r="E486" s="954" t="n">
        <v>30000</v>
      </c>
      <c r="F486" s="955" t="n">
        <f aca="false">C486+D486+E486</f>
        <v>120000</v>
      </c>
      <c r="G486" s="955" t="n">
        <f aca="false">F486/149.4</f>
        <v>803.212851405623</v>
      </c>
      <c r="H486" s="661" t="n">
        <f aca="false">G486/60</f>
        <v>13.3868808567604</v>
      </c>
      <c r="I486" s="660" t="n">
        <f aca="false">'норма времени'!D490</f>
        <v>45</v>
      </c>
      <c r="J486" s="661" t="n">
        <f aca="false">H486*I486</f>
        <v>602.409638554217</v>
      </c>
    </row>
    <row r="487" customFormat="false" ht="15" hidden="false" customHeight="false" outlineLevel="0" collapsed="false">
      <c r="A487" s="571" t="s">
        <v>828</v>
      </c>
      <c r="B487" s="328" t="str">
        <f aca="false">'[5]норма времени'!B318</f>
        <v> Определение влаги  ускоренным методом</v>
      </c>
      <c r="C487" s="954" t="n">
        <v>50000</v>
      </c>
      <c r="D487" s="954" t="n">
        <v>40000</v>
      </c>
      <c r="E487" s="954" t="n">
        <v>30000</v>
      </c>
      <c r="F487" s="955" t="n">
        <f aca="false">C487+D487+E487</f>
        <v>120000</v>
      </c>
      <c r="G487" s="955" t="n">
        <f aca="false">F487/149.4</f>
        <v>803.212851405623</v>
      </c>
      <c r="H487" s="661" t="n">
        <f aca="false">G487/60</f>
        <v>13.3868808567604</v>
      </c>
      <c r="I487" s="660" t="n">
        <f aca="false">'норма времени'!D491</f>
        <v>90</v>
      </c>
      <c r="J487" s="661" t="n">
        <f aca="false">H487*I487</f>
        <v>1204.81927710843</v>
      </c>
    </row>
    <row r="488" customFormat="false" ht="15" hidden="false" customHeight="false" outlineLevel="0" collapsed="false">
      <c r="A488" s="571" t="s">
        <v>829</v>
      </c>
      <c r="B488" s="328" t="str">
        <f aca="false">'[5]норма времени'!B319</f>
        <v> Определение влаги  арбитражным методом</v>
      </c>
      <c r="C488" s="954" t="n">
        <v>55000</v>
      </c>
      <c r="D488" s="954" t="n">
        <v>45000</v>
      </c>
      <c r="E488" s="954" t="n">
        <v>40000</v>
      </c>
      <c r="F488" s="955" t="n">
        <f aca="false">C488+D488+E488</f>
        <v>140000</v>
      </c>
      <c r="G488" s="955" t="n">
        <f aca="false">F488/149.4</f>
        <v>937.081659973226</v>
      </c>
      <c r="H488" s="661" t="n">
        <f aca="false">G488/60</f>
        <v>15.6180276662204</v>
      </c>
      <c r="I488" s="660" t="n">
        <f aca="false">'норма времени'!D492</f>
        <v>110</v>
      </c>
      <c r="J488" s="661" t="n">
        <f aca="false">H488*I488</f>
        <v>1717.98304328425</v>
      </c>
    </row>
    <row r="489" customFormat="false" ht="15" hidden="false" customHeight="false" outlineLevel="0" collapsed="false">
      <c r="A489" s="571" t="s">
        <v>830</v>
      </c>
      <c r="B489" s="328" t="str">
        <f aca="false">'[5]норма времени'!B320</f>
        <v> Определение золы </v>
      </c>
      <c r="C489" s="954" t="n">
        <v>55000</v>
      </c>
      <c r="D489" s="954" t="n">
        <v>45000</v>
      </c>
      <c r="E489" s="954" t="n">
        <v>40000</v>
      </c>
      <c r="F489" s="955" t="n">
        <f aca="false">C489+D489+E489</f>
        <v>140000</v>
      </c>
      <c r="G489" s="955" t="n">
        <f aca="false">F489/149.4</f>
        <v>937.081659973226</v>
      </c>
      <c r="H489" s="661" t="n">
        <f aca="false">G489/60</f>
        <v>15.6180276662204</v>
      </c>
      <c r="I489" s="660" t="n">
        <f aca="false">'норма времени'!D493</f>
        <v>75</v>
      </c>
      <c r="J489" s="661" t="n">
        <f aca="false">H489*I489</f>
        <v>1171.35207496653</v>
      </c>
    </row>
    <row r="490" customFormat="false" ht="15" hidden="false" customHeight="false" outlineLevel="0" collapsed="false">
      <c r="A490" s="571" t="s">
        <v>831</v>
      </c>
      <c r="B490" s="328" t="str">
        <f aca="false">'[5]норма времени'!B321</f>
        <v>Определение водородного показателя</v>
      </c>
      <c r="C490" s="954" t="n">
        <v>65000</v>
      </c>
      <c r="D490" s="954" t="n">
        <v>55000</v>
      </c>
      <c r="E490" s="954" t="n">
        <v>45000</v>
      </c>
      <c r="F490" s="955" t="n">
        <f aca="false">C490+D490+E490</f>
        <v>165000</v>
      </c>
      <c r="G490" s="955" t="n">
        <f aca="false">F490/149.4</f>
        <v>1104.41767068273</v>
      </c>
      <c r="H490" s="661" t="n">
        <f aca="false">G490/60</f>
        <v>18.4069611780455</v>
      </c>
      <c r="I490" s="660" t="n">
        <f aca="false">'норма времени'!D494</f>
        <v>40</v>
      </c>
      <c r="J490" s="661" t="n">
        <f aca="false">H490*I490</f>
        <v>736.278447121821</v>
      </c>
    </row>
    <row r="491" customFormat="false" ht="15" hidden="false" customHeight="false" outlineLevel="0" collapsed="false">
      <c r="A491" s="571" t="s">
        <v>832</v>
      </c>
      <c r="B491" s="328" t="str">
        <f aca="false">'[5]норма времени'!B322</f>
        <v> Определение кофеина</v>
      </c>
      <c r="C491" s="954" t="n">
        <v>30000</v>
      </c>
      <c r="D491" s="954" t="n">
        <v>20000</v>
      </c>
      <c r="E491" s="954" t="n">
        <v>15000</v>
      </c>
      <c r="F491" s="955" t="n">
        <f aca="false">C491+D491+E491</f>
        <v>65000</v>
      </c>
      <c r="G491" s="955" t="n">
        <f aca="false">F491/149.4</f>
        <v>435.073627844712</v>
      </c>
      <c r="H491" s="661" t="n">
        <f aca="false">G491/60</f>
        <v>7.2512271307452</v>
      </c>
      <c r="I491" s="660" t="n">
        <f aca="false">'норма времени'!D495</f>
        <v>300</v>
      </c>
      <c r="J491" s="661" t="n">
        <f aca="false">H491*I491</f>
        <v>2175.36813922356</v>
      </c>
    </row>
    <row r="492" customFormat="false" ht="30" hidden="false" customHeight="false" outlineLevel="0" collapsed="false">
      <c r="A492" s="571" t="s">
        <v>833</v>
      </c>
      <c r="B492" s="328" t="str">
        <f aca="false">'[5]норма времени'!B323</f>
        <v> Определение массовой доли  металломагнитных примесей </v>
      </c>
      <c r="C492" s="954" t="n">
        <v>50000</v>
      </c>
      <c r="D492" s="954" t="n">
        <v>40000</v>
      </c>
      <c r="E492" s="954" t="n">
        <v>30000</v>
      </c>
      <c r="F492" s="955" t="n">
        <f aca="false">C492+D492+E492</f>
        <v>120000</v>
      </c>
      <c r="G492" s="955" t="n">
        <f aca="false">F492/149.4</f>
        <v>803.212851405623</v>
      </c>
      <c r="H492" s="661" t="n">
        <f aca="false">G492/60</f>
        <v>13.3868808567604</v>
      </c>
      <c r="I492" s="660" t="n">
        <f aca="false">'норма времени'!D496</f>
        <v>20</v>
      </c>
      <c r="J492" s="661" t="n">
        <f aca="false">H492*I492</f>
        <v>267.737617135208</v>
      </c>
    </row>
    <row r="493" customFormat="false" ht="15" hidden="false" customHeight="false" outlineLevel="0" collapsed="false">
      <c r="A493" s="571" t="s">
        <v>835</v>
      </c>
      <c r="B493" s="328" t="str">
        <f aca="false">'[5]норма времени'!B324</f>
        <v>Определение полной растворимости </v>
      </c>
      <c r="C493" s="954" t="n">
        <v>60000</v>
      </c>
      <c r="D493" s="954" t="n">
        <v>50000</v>
      </c>
      <c r="E493" s="954" t="n">
        <v>40000</v>
      </c>
      <c r="F493" s="955" t="n">
        <f aca="false">C493+D493+E493</f>
        <v>150000</v>
      </c>
      <c r="G493" s="955" t="n">
        <f aca="false">F493/149.4</f>
        <v>1004.01606425703</v>
      </c>
      <c r="H493" s="661" t="n">
        <f aca="false">G493/60</f>
        <v>16.7336010709505</v>
      </c>
      <c r="I493" s="660" t="n">
        <f aca="false">'норма времени'!D497</f>
        <v>40</v>
      </c>
      <c r="J493" s="661" t="n">
        <f aca="false">H493*I493</f>
        <v>669.344042838019</v>
      </c>
    </row>
    <row r="494" customFormat="false" ht="19.5" hidden="false" customHeight="true" outlineLevel="0" collapsed="false">
      <c r="A494" s="571" t="s">
        <v>837</v>
      </c>
      <c r="B494" s="328" t="str">
        <f aca="false">'[5]норма времени'!B325</f>
        <v>Определение экстрактивных веществ </v>
      </c>
      <c r="C494" s="954" t="n">
        <v>70000</v>
      </c>
      <c r="D494" s="954" t="n">
        <v>60000</v>
      </c>
      <c r="E494" s="954" t="n">
        <v>50000</v>
      </c>
      <c r="F494" s="955" t="n">
        <f aca="false">C494+D494+E494</f>
        <v>180000</v>
      </c>
      <c r="G494" s="955" t="n">
        <f aca="false">F494/149.4</f>
        <v>1204.81927710843</v>
      </c>
      <c r="H494" s="661" t="n">
        <f aca="false">G494/60</f>
        <v>20.0803212851406</v>
      </c>
      <c r="I494" s="660" t="n">
        <f aca="false">'норма времени'!D498</f>
        <v>70</v>
      </c>
      <c r="J494" s="661" t="n">
        <f aca="false">H494*I494</f>
        <v>1405.62248995984</v>
      </c>
    </row>
    <row r="495" customFormat="false" ht="15" hidden="false" customHeight="false" outlineLevel="0" collapsed="false">
      <c r="A495" s="571" t="s">
        <v>838</v>
      </c>
      <c r="B495" s="328" t="str">
        <f aca="false">'[5]норма времени'!B326</f>
        <v>Определение свинца </v>
      </c>
      <c r="C495" s="954" t="n">
        <v>30000</v>
      </c>
      <c r="D495" s="954" t="n">
        <v>20000</v>
      </c>
      <c r="E495" s="954" t="n">
        <v>15000</v>
      </c>
      <c r="F495" s="955" t="n">
        <f aca="false">C495+D495+E495</f>
        <v>65000</v>
      </c>
      <c r="G495" s="955" t="n">
        <f aca="false">F495/149.4</f>
        <v>435.073627844712</v>
      </c>
      <c r="H495" s="661" t="n">
        <f aca="false">G495/60</f>
        <v>7.2512271307452</v>
      </c>
      <c r="I495" s="660" t="n">
        <f aca="false">'норма времени'!D499</f>
        <v>120</v>
      </c>
      <c r="J495" s="661" t="n">
        <f aca="false">H495*I495</f>
        <v>870.147255689424</v>
      </c>
    </row>
    <row r="496" customFormat="false" ht="15" hidden="false" customHeight="false" outlineLevel="0" collapsed="false">
      <c r="A496" s="571" t="s">
        <v>839</v>
      </c>
      <c r="B496" s="328" t="str">
        <f aca="false">'[5]норма времени'!B327</f>
        <v> Определение мышьяка </v>
      </c>
      <c r="C496" s="954" t="n">
        <v>30000</v>
      </c>
      <c r="D496" s="954" t="n">
        <v>20000</v>
      </c>
      <c r="E496" s="954" t="n">
        <v>15000</v>
      </c>
      <c r="F496" s="955" t="n">
        <f aca="false">C496+D496+E496</f>
        <v>65000</v>
      </c>
      <c r="G496" s="955" t="n">
        <f aca="false">F496/149.4</f>
        <v>435.073627844712</v>
      </c>
      <c r="H496" s="661" t="n">
        <f aca="false">G496/60</f>
        <v>7.2512271307452</v>
      </c>
      <c r="I496" s="660" t="n">
        <f aca="false">'норма времени'!D500</f>
        <v>140</v>
      </c>
      <c r="J496" s="661" t="n">
        <f aca="false">H496*I496</f>
        <v>1015.17179830433</v>
      </c>
    </row>
    <row r="497" customFormat="false" ht="15" hidden="false" customHeight="false" outlineLevel="0" collapsed="false">
      <c r="A497" s="571" t="s">
        <v>840</v>
      </c>
      <c r="B497" s="328" t="str">
        <f aca="false">'[5]норма времени'!B328</f>
        <v>Определение кадмия</v>
      </c>
      <c r="C497" s="954" t="n">
        <v>30000</v>
      </c>
      <c r="D497" s="954" t="n">
        <v>20000</v>
      </c>
      <c r="E497" s="954" t="n">
        <v>15000</v>
      </c>
      <c r="F497" s="955" t="n">
        <f aca="false">C497+D497+E497</f>
        <v>65000</v>
      </c>
      <c r="G497" s="955" t="n">
        <f aca="false">F497/149.4</f>
        <v>435.073627844712</v>
      </c>
      <c r="H497" s="661" t="n">
        <f aca="false">G497/60</f>
        <v>7.2512271307452</v>
      </c>
      <c r="I497" s="660" t="n">
        <f aca="false">'норма времени'!D501</f>
        <v>200</v>
      </c>
      <c r="J497" s="661" t="n">
        <f aca="false">H497*I497</f>
        <v>1450.24542614904</v>
      </c>
    </row>
    <row r="498" customFormat="false" ht="15" hidden="false" customHeight="false" outlineLevel="0" collapsed="false">
      <c r="A498" s="571" t="s">
        <v>841</v>
      </c>
      <c r="B498" s="328" t="str">
        <f aca="false">'[5]норма времени'!B329</f>
        <v>Определение  ртути</v>
      </c>
      <c r="C498" s="954" t="n">
        <v>30000</v>
      </c>
      <c r="D498" s="954" t="n">
        <v>20000</v>
      </c>
      <c r="E498" s="954" t="n">
        <v>15000</v>
      </c>
      <c r="F498" s="955" t="n">
        <f aca="false">C498+D498+E498</f>
        <v>65000</v>
      </c>
      <c r="G498" s="955" t="n">
        <f aca="false">F498/149.4</f>
        <v>435.073627844712</v>
      </c>
      <c r="H498" s="661" t="n">
        <f aca="false">G498/60</f>
        <v>7.2512271307452</v>
      </c>
      <c r="I498" s="660" t="n">
        <f aca="false">'норма времени'!D502</f>
        <v>260</v>
      </c>
      <c r="J498" s="661" t="n">
        <f aca="false">H498*I498</f>
        <v>1885.31905399375</v>
      </c>
    </row>
    <row r="499" customFormat="false" ht="15" hidden="false" customHeight="false" outlineLevel="0" collapsed="false">
      <c r="A499" s="571" t="s">
        <v>842</v>
      </c>
      <c r="B499" s="328" t="str">
        <f aca="false">'[5]норма времени'!B330</f>
        <v>Микотоксины</v>
      </c>
      <c r="C499" s="954" t="n">
        <v>30000</v>
      </c>
      <c r="D499" s="954" t="n">
        <v>20000</v>
      </c>
      <c r="E499" s="954" t="n">
        <v>15000</v>
      </c>
      <c r="F499" s="955" t="n">
        <f aca="false">C499+D499+E499</f>
        <v>65000</v>
      </c>
      <c r="G499" s="955" t="n">
        <f aca="false">F499/149.4</f>
        <v>435.073627844712</v>
      </c>
      <c r="H499" s="661" t="n">
        <f aca="false">G499/60</f>
        <v>7.2512271307452</v>
      </c>
      <c r="I499" s="660" t="n">
        <f aca="false">'норма времени'!D503</f>
        <v>90</v>
      </c>
      <c r="J499" s="661" t="n">
        <f aca="false">H499*I499</f>
        <v>652.610441767068</v>
      </c>
    </row>
    <row r="500" customFormat="false" ht="15" hidden="false" customHeight="false" outlineLevel="0" collapsed="false">
      <c r="A500" s="350" t="s">
        <v>844</v>
      </c>
      <c r="B500" s="467" t="str">
        <f aca="false">'[5]норма времени'!B331</f>
        <v> Какао,какао порошок </v>
      </c>
      <c r="C500" s="1253"/>
      <c r="D500" s="1253"/>
      <c r="E500" s="1253"/>
      <c r="F500" s="1254"/>
      <c r="G500" s="1254"/>
      <c r="H500" s="1250"/>
      <c r="I500" s="1255"/>
      <c r="J500" s="1250"/>
    </row>
    <row r="501" customFormat="false" ht="15" hidden="false" customHeight="false" outlineLevel="0" collapsed="false">
      <c r="A501" s="571" t="s">
        <v>846</v>
      </c>
      <c r="B501" s="328" t="str">
        <f aca="false">'[5]норма времени'!B332</f>
        <v> Определение органолептических показателей</v>
      </c>
      <c r="C501" s="954" t="n">
        <v>50000</v>
      </c>
      <c r="D501" s="954" t="n">
        <v>40000</v>
      </c>
      <c r="E501" s="954" t="n">
        <v>30000</v>
      </c>
      <c r="F501" s="955" t="n">
        <f aca="false">C501+D501+E501</f>
        <v>120000</v>
      </c>
      <c r="G501" s="955" t="n">
        <f aca="false">F501/149.4</f>
        <v>803.212851405623</v>
      </c>
      <c r="H501" s="661" t="n">
        <f aca="false">G501/60</f>
        <v>13.3868808567604</v>
      </c>
      <c r="I501" s="660" t="n">
        <f aca="false">'норма времени'!D505</f>
        <v>45</v>
      </c>
      <c r="J501" s="661" t="n">
        <f aca="false">H501*I501</f>
        <v>602.409638554217</v>
      </c>
    </row>
    <row r="502" customFormat="false" ht="15" hidden="false" customHeight="false" outlineLevel="0" collapsed="false">
      <c r="A502" s="571" t="s">
        <v>847</v>
      </c>
      <c r="B502" s="328" t="str">
        <f aca="false">'[5]норма времени'!B333</f>
        <v> Определение влаги  ускоренным методом</v>
      </c>
      <c r="C502" s="954" t="n">
        <v>50000</v>
      </c>
      <c r="D502" s="954" t="n">
        <v>40000</v>
      </c>
      <c r="E502" s="954" t="n">
        <v>30000</v>
      </c>
      <c r="F502" s="955" t="n">
        <f aca="false">C502+D502+E502</f>
        <v>120000</v>
      </c>
      <c r="G502" s="955" t="n">
        <f aca="false">F502/149.4</f>
        <v>803.212851405623</v>
      </c>
      <c r="H502" s="661" t="n">
        <f aca="false">G502/60</f>
        <v>13.3868808567604</v>
      </c>
      <c r="I502" s="660" t="n">
        <f aca="false">'норма времени'!D506</f>
        <v>90</v>
      </c>
      <c r="J502" s="661" t="n">
        <f aca="false">H502*I502</f>
        <v>1204.81927710843</v>
      </c>
    </row>
    <row r="503" customFormat="false" ht="15" hidden="false" customHeight="false" outlineLevel="0" collapsed="false">
      <c r="A503" s="571" t="s">
        <v>848</v>
      </c>
      <c r="B503" s="328" t="str">
        <f aca="false">'[5]норма времени'!B334</f>
        <v> Определение влаги  арбитражным методом</v>
      </c>
      <c r="C503" s="954" t="n">
        <v>60000</v>
      </c>
      <c r="D503" s="954" t="n">
        <v>50000</v>
      </c>
      <c r="E503" s="954" t="n">
        <v>40000</v>
      </c>
      <c r="F503" s="955" t="n">
        <f aca="false">C503+D503+E503</f>
        <v>150000</v>
      </c>
      <c r="G503" s="955" t="n">
        <f aca="false">F503/149.4</f>
        <v>1004.01606425703</v>
      </c>
      <c r="H503" s="661" t="n">
        <f aca="false">G503/60</f>
        <v>16.7336010709505</v>
      </c>
      <c r="I503" s="660" t="n">
        <f aca="false">'норма времени'!D507</f>
        <v>110</v>
      </c>
      <c r="J503" s="661" t="n">
        <f aca="false">H503*I503</f>
        <v>1840.69611780455</v>
      </c>
    </row>
    <row r="504" customFormat="false" ht="14.25" hidden="false" customHeight="true" outlineLevel="0" collapsed="false">
      <c r="A504" s="571" t="s">
        <v>849</v>
      </c>
      <c r="B504" s="328" t="str">
        <f aca="false">'[5]норма времени'!B335</f>
        <v> Определение массовой доли жира ( по Герберу)</v>
      </c>
      <c r="C504" s="954" t="n">
        <v>40000</v>
      </c>
      <c r="D504" s="954" t="n">
        <v>30000</v>
      </c>
      <c r="E504" s="954" t="n">
        <v>25000</v>
      </c>
      <c r="F504" s="955" t="n">
        <f aca="false">C504+D504+E504</f>
        <v>95000</v>
      </c>
      <c r="G504" s="955" t="n">
        <f aca="false">F504/149.4</f>
        <v>635.876840696118</v>
      </c>
      <c r="H504" s="661" t="n">
        <f aca="false">G504/60</f>
        <v>10.5979473449353</v>
      </c>
      <c r="I504" s="660" t="n">
        <f aca="false">'норма времени'!D508</f>
        <v>110</v>
      </c>
      <c r="J504" s="661" t="n">
        <f aca="false">H504*I504</f>
        <v>1165.77420794288</v>
      </c>
    </row>
    <row r="505" customFormat="false" ht="15" hidden="false" customHeight="false" outlineLevel="0" collapsed="false">
      <c r="A505" s="571" t="s">
        <v>850</v>
      </c>
      <c r="B505" s="328" t="str">
        <f aca="false">'[5]норма времени'!B336</f>
        <v> Определение жира (по Сокслету)</v>
      </c>
      <c r="C505" s="954" t="n">
        <v>45000</v>
      </c>
      <c r="D505" s="954"/>
      <c r="E505" s="954"/>
      <c r="F505" s="955" t="n">
        <f aca="false">C505+D505+E505</f>
        <v>45000</v>
      </c>
      <c r="G505" s="955" t="n">
        <f aca="false">F505/149.4</f>
        <v>301.204819277108</v>
      </c>
      <c r="H505" s="661" t="n">
        <f aca="false">G505/60</f>
        <v>5.02008032128514</v>
      </c>
      <c r="I505" s="660" t="n">
        <f aca="false">'норма времени'!D509</f>
        <v>30</v>
      </c>
      <c r="J505" s="661" t="n">
        <f aca="false">H505*I505</f>
        <v>150.602409638554</v>
      </c>
    </row>
    <row r="506" customFormat="false" ht="15" hidden="false" customHeight="false" outlineLevel="0" collapsed="false">
      <c r="A506" s="571" t="s">
        <v>851</v>
      </c>
      <c r="B506" s="328" t="str">
        <f aca="false">'[5]норма времени'!B337</f>
        <v>Определение водородного показателя</v>
      </c>
      <c r="C506" s="954" t="n">
        <v>70000</v>
      </c>
      <c r="D506" s="954" t="n">
        <v>60000</v>
      </c>
      <c r="E506" s="954" t="n">
        <v>50000</v>
      </c>
      <c r="F506" s="955" t="n">
        <f aca="false">C506+D506+E506</f>
        <v>180000</v>
      </c>
      <c r="G506" s="955" t="n">
        <f aca="false">F506/149.4</f>
        <v>1204.81927710843</v>
      </c>
      <c r="H506" s="661" t="n">
        <f aca="false">G506/60</f>
        <v>20.0803212851406</v>
      </c>
      <c r="I506" s="660" t="n">
        <f aca="false">'норма времени'!D510</f>
        <v>35</v>
      </c>
      <c r="J506" s="661" t="n">
        <f aca="false">H506*I506</f>
        <v>702.81124497992</v>
      </c>
    </row>
    <row r="507" customFormat="false" ht="15" hidden="false" customHeight="false" outlineLevel="0" collapsed="false">
      <c r="A507" s="571" t="s">
        <v>852</v>
      </c>
      <c r="B507" s="328" t="str">
        <f aca="false">'[5]норма времени'!B338</f>
        <v> Определение золы </v>
      </c>
      <c r="C507" s="954" t="n">
        <v>55000</v>
      </c>
      <c r="D507" s="954" t="n">
        <v>40000</v>
      </c>
      <c r="E507" s="954" t="n">
        <v>30000</v>
      </c>
      <c r="F507" s="955" t="n">
        <f aca="false">C507+D507+E507</f>
        <v>125000</v>
      </c>
      <c r="G507" s="955" t="n">
        <f aca="false">F507/149.4</f>
        <v>836.680053547523</v>
      </c>
      <c r="H507" s="661" t="n">
        <f aca="false">G507/60</f>
        <v>13.9446675591254</v>
      </c>
      <c r="I507" s="660" t="n">
        <f aca="false">'норма времени'!D511</f>
        <v>75</v>
      </c>
      <c r="J507" s="661" t="n">
        <f aca="false">H507*I507</f>
        <v>1045.8500669344</v>
      </c>
    </row>
    <row r="508" customFormat="false" ht="30" hidden="false" customHeight="false" outlineLevel="0" collapsed="false">
      <c r="A508" s="571" t="s">
        <v>853</v>
      </c>
      <c r="B508" s="328" t="str">
        <f aca="false">'[5]норма времени'!B339</f>
        <v> Определение массовой доли  металломагнитных примесей </v>
      </c>
      <c r="C508" s="954" t="n">
        <v>55000</v>
      </c>
      <c r="D508" s="954" t="n">
        <v>40000</v>
      </c>
      <c r="E508" s="954" t="n">
        <v>30000</v>
      </c>
      <c r="F508" s="955" t="n">
        <f aca="false">C508+D508+E508</f>
        <v>125000</v>
      </c>
      <c r="G508" s="955" t="n">
        <f aca="false">F508/149.4</f>
        <v>836.680053547523</v>
      </c>
      <c r="H508" s="661" t="n">
        <f aca="false">G508/60</f>
        <v>13.9446675591254</v>
      </c>
      <c r="I508" s="660" t="n">
        <f aca="false">'норма времени'!D512</f>
        <v>15</v>
      </c>
      <c r="J508" s="661" t="n">
        <f aca="false">H508*I508</f>
        <v>209.170013386881</v>
      </c>
    </row>
    <row r="509" customFormat="false" ht="15" hidden="false" customHeight="false" outlineLevel="0" collapsed="false">
      <c r="A509" s="571" t="s">
        <v>854</v>
      </c>
      <c r="B509" s="328" t="str">
        <f aca="false">'[5]норма времени'!B340</f>
        <v>Определение свинца </v>
      </c>
      <c r="C509" s="954" t="n">
        <v>30000</v>
      </c>
      <c r="D509" s="954" t="n">
        <v>20000</v>
      </c>
      <c r="E509" s="954" t="n">
        <v>15000</v>
      </c>
      <c r="F509" s="955" t="n">
        <f aca="false">C509+D509+E509</f>
        <v>65000</v>
      </c>
      <c r="G509" s="955" t="n">
        <f aca="false">F509/149.4</f>
        <v>435.073627844712</v>
      </c>
      <c r="H509" s="661" t="n">
        <f aca="false">G509/60</f>
        <v>7.2512271307452</v>
      </c>
      <c r="I509" s="660" t="n">
        <f aca="false">'норма времени'!D513</f>
        <v>200</v>
      </c>
      <c r="J509" s="661" t="n">
        <f aca="false">H509*I509</f>
        <v>1450.24542614904</v>
      </c>
    </row>
    <row r="510" customFormat="false" ht="15" hidden="false" customHeight="false" outlineLevel="0" collapsed="false">
      <c r="A510" s="571" t="s">
        <v>855</v>
      </c>
      <c r="B510" s="328" t="str">
        <f aca="false">'[5]норма времени'!B341</f>
        <v> Определение мышьяка </v>
      </c>
      <c r="C510" s="954" t="n">
        <v>30000</v>
      </c>
      <c r="D510" s="954" t="n">
        <v>20000</v>
      </c>
      <c r="E510" s="954" t="n">
        <v>15000</v>
      </c>
      <c r="F510" s="955" t="n">
        <f aca="false">C510+D510+E510</f>
        <v>65000</v>
      </c>
      <c r="G510" s="955" t="n">
        <f aca="false">F510/149.4</f>
        <v>435.073627844712</v>
      </c>
      <c r="H510" s="661" t="n">
        <f aca="false">G510/60</f>
        <v>7.2512271307452</v>
      </c>
      <c r="I510" s="660" t="n">
        <f aca="false">'норма времени'!D514</f>
        <v>170</v>
      </c>
      <c r="J510" s="661" t="n">
        <f aca="false">H510*I510</f>
        <v>1232.70861222668</v>
      </c>
    </row>
    <row r="511" customFormat="false" ht="15" hidden="false" customHeight="false" outlineLevel="0" collapsed="false">
      <c r="A511" s="571" t="s">
        <v>856</v>
      </c>
      <c r="B511" s="328" t="str">
        <f aca="false">'[5]норма времени'!B342</f>
        <v>Определение кадмия</v>
      </c>
      <c r="C511" s="954" t="n">
        <v>30000</v>
      </c>
      <c r="D511" s="954" t="n">
        <v>20000</v>
      </c>
      <c r="E511" s="954" t="n">
        <v>15000</v>
      </c>
      <c r="F511" s="955" t="n">
        <f aca="false">C511+D511+E511</f>
        <v>65000</v>
      </c>
      <c r="G511" s="955" t="n">
        <f aca="false">F511/149.4</f>
        <v>435.073627844712</v>
      </c>
      <c r="H511" s="661" t="n">
        <f aca="false">G511/60</f>
        <v>7.2512271307452</v>
      </c>
      <c r="I511" s="660" t="n">
        <f aca="false">'норма времени'!D515</f>
        <v>200</v>
      </c>
      <c r="J511" s="661" t="n">
        <f aca="false">H511*I511</f>
        <v>1450.24542614904</v>
      </c>
    </row>
    <row r="512" customFormat="false" ht="15" hidden="false" customHeight="false" outlineLevel="0" collapsed="false">
      <c r="A512" s="571" t="s">
        <v>857</v>
      </c>
      <c r="B512" s="328" t="str">
        <f aca="false">'[5]норма времени'!B343</f>
        <v>Определение  ртути</v>
      </c>
      <c r="C512" s="954" t="n">
        <v>30000</v>
      </c>
      <c r="D512" s="954" t="n">
        <v>20000</v>
      </c>
      <c r="E512" s="954" t="n">
        <v>15000</v>
      </c>
      <c r="F512" s="955" t="n">
        <f aca="false">C512+D512+E512</f>
        <v>65000</v>
      </c>
      <c r="G512" s="955" t="n">
        <f aca="false">F512/149.4</f>
        <v>435.073627844712</v>
      </c>
      <c r="H512" s="661" t="n">
        <f aca="false">G512/60</f>
        <v>7.2512271307452</v>
      </c>
      <c r="I512" s="660" t="n">
        <f aca="false">'норма времени'!D516</f>
        <v>260</v>
      </c>
      <c r="J512" s="661" t="n">
        <f aca="false">H512*I512</f>
        <v>1885.31905399375</v>
      </c>
    </row>
    <row r="513" customFormat="false" ht="15" hidden="false" customHeight="false" outlineLevel="0" collapsed="false">
      <c r="A513" s="350" t="s">
        <v>858</v>
      </c>
      <c r="B513" s="467" t="str">
        <f aca="false">'[5]норма времени'!B344</f>
        <v>Специи и пряности , ( в том числе дрожжи)</v>
      </c>
      <c r="C513" s="1253"/>
      <c r="D513" s="1253"/>
      <c r="E513" s="1253"/>
      <c r="F513" s="1254"/>
      <c r="G513" s="1254"/>
      <c r="H513" s="1250"/>
      <c r="I513" s="1255"/>
      <c r="J513" s="1250"/>
    </row>
    <row r="514" customFormat="false" ht="15" hidden="false" customHeight="false" outlineLevel="0" collapsed="false">
      <c r="A514" s="571" t="s">
        <v>860</v>
      </c>
      <c r="B514" s="328" t="str">
        <f aca="false">'[5]норма времени'!B345</f>
        <v> Определение органолептических показателей</v>
      </c>
      <c r="C514" s="954" t="n">
        <v>50000</v>
      </c>
      <c r="D514" s="954" t="n">
        <v>40000</v>
      </c>
      <c r="E514" s="954" t="n">
        <v>30000</v>
      </c>
      <c r="F514" s="955" t="n">
        <f aca="false">C514+D514+E514</f>
        <v>120000</v>
      </c>
      <c r="G514" s="955" t="n">
        <f aca="false">F514/149.4</f>
        <v>803.212851405623</v>
      </c>
      <c r="H514" s="661" t="n">
        <f aca="false">G514/60</f>
        <v>13.3868808567604</v>
      </c>
      <c r="I514" s="660" t="n">
        <f aca="false">'норма времени'!D518</f>
        <v>45</v>
      </c>
      <c r="J514" s="661" t="n">
        <f aca="false">H514*I514</f>
        <v>602.409638554217</v>
      </c>
    </row>
    <row r="515" customFormat="false" ht="17.25" hidden="false" customHeight="true" outlineLevel="0" collapsed="false">
      <c r="A515" s="571" t="s">
        <v>861</v>
      </c>
      <c r="B515" s="328" t="str">
        <f aca="false">'[5]норма времени'!B346</f>
        <v> Определение влаги  ускоренным методом</v>
      </c>
      <c r="C515" s="954" t="n">
        <v>50000</v>
      </c>
      <c r="D515" s="954" t="n">
        <v>40000</v>
      </c>
      <c r="E515" s="954" t="n">
        <v>30000</v>
      </c>
      <c r="F515" s="955" t="n">
        <f aca="false">C515+D515+E515</f>
        <v>120000</v>
      </c>
      <c r="G515" s="955" t="n">
        <f aca="false">F515/149.4</f>
        <v>803.212851405623</v>
      </c>
      <c r="H515" s="661" t="n">
        <f aca="false">G515/60</f>
        <v>13.3868808567604</v>
      </c>
      <c r="I515" s="660" t="n">
        <f aca="false">'норма времени'!D519</f>
        <v>90</v>
      </c>
      <c r="J515" s="661" t="n">
        <f aca="false">H515*I515</f>
        <v>1204.81927710843</v>
      </c>
    </row>
    <row r="516" customFormat="false" ht="15" hidden="false" customHeight="false" outlineLevel="0" collapsed="false">
      <c r="A516" s="571" t="s">
        <v>862</v>
      </c>
      <c r="B516" s="328" t="str">
        <f aca="false">'[5]норма времени'!B347</f>
        <v> Определение влаги  арбитражным методом</v>
      </c>
      <c r="C516" s="954" t="n">
        <v>60000</v>
      </c>
      <c r="D516" s="954" t="n">
        <v>50000</v>
      </c>
      <c r="E516" s="954" t="n">
        <v>40000</v>
      </c>
      <c r="F516" s="955" t="n">
        <f aca="false">C516+D516+E516</f>
        <v>150000</v>
      </c>
      <c r="G516" s="955" t="n">
        <f aca="false">F516/149.4</f>
        <v>1004.01606425703</v>
      </c>
      <c r="H516" s="661" t="n">
        <f aca="false">G516/60</f>
        <v>16.7336010709505</v>
      </c>
      <c r="I516" s="660" t="n">
        <f aca="false">'норма времени'!D520</f>
        <v>110</v>
      </c>
      <c r="J516" s="661" t="n">
        <f aca="false">H516*I516</f>
        <v>1840.69611780455</v>
      </c>
    </row>
    <row r="517" customFormat="false" ht="15" hidden="false" customHeight="false" outlineLevel="0" collapsed="false">
      <c r="A517" s="571" t="s">
        <v>863</v>
      </c>
      <c r="B517" s="328" t="str">
        <f aca="false">'[5]норма времени'!B348</f>
        <v> Определение золы </v>
      </c>
      <c r="C517" s="954" t="n">
        <v>65000</v>
      </c>
      <c r="D517" s="954" t="n">
        <v>55000</v>
      </c>
      <c r="E517" s="954" t="n">
        <v>45000</v>
      </c>
      <c r="F517" s="955" t="n">
        <f aca="false">C517+D517+E517</f>
        <v>165000</v>
      </c>
      <c r="G517" s="955" t="n">
        <f aca="false">F517/149.4</f>
        <v>1104.41767068273</v>
      </c>
      <c r="H517" s="661" t="n">
        <f aca="false">G517/60</f>
        <v>18.4069611780455</v>
      </c>
      <c r="I517" s="660" t="n">
        <f aca="false">'норма времени'!D521</f>
        <v>75</v>
      </c>
      <c r="J517" s="661" t="n">
        <f aca="false">H517*I517</f>
        <v>1380.52208835341</v>
      </c>
    </row>
    <row r="518" customFormat="false" ht="15" hidden="false" customHeight="false" outlineLevel="0" collapsed="false">
      <c r="A518" s="571" t="s">
        <v>864</v>
      </c>
      <c r="B518" s="328" t="str">
        <f aca="false">'[5]норма времени'!B349</f>
        <v>Определение свинца </v>
      </c>
      <c r="C518" s="954" t="n">
        <v>60000</v>
      </c>
      <c r="D518" s="954" t="n">
        <v>50000</v>
      </c>
      <c r="E518" s="954" t="n">
        <v>40000</v>
      </c>
      <c r="F518" s="955" t="n">
        <f aca="false">C518+D518+E518</f>
        <v>150000</v>
      </c>
      <c r="G518" s="955" t="n">
        <f aca="false">F518/149.4</f>
        <v>1004.01606425703</v>
      </c>
      <c r="H518" s="661" t="n">
        <f aca="false">G518/60</f>
        <v>16.7336010709505</v>
      </c>
      <c r="I518" s="660" t="n">
        <f aca="false">'норма времени'!D522</f>
        <v>200</v>
      </c>
      <c r="J518" s="661" t="n">
        <f aca="false">H518*I518</f>
        <v>3346.72021419009</v>
      </c>
    </row>
    <row r="519" customFormat="false" ht="15" hidden="false" customHeight="false" outlineLevel="0" collapsed="false">
      <c r="A519" s="571" t="s">
        <v>865</v>
      </c>
      <c r="B519" s="328" t="str">
        <f aca="false">'[5]норма времени'!B350</f>
        <v> Определение мышьяка </v>
      </c>
      <c r="C519" s="954" t="n">
        <v>55000</v>
      </c>
      <c r="D519" s="954" t="n">
        <v>45000</v>
      </c>
      <c r="E519" s="954" t="n">
        <v>40000</v>
      </c>
      <c r="F519" s="955" t="n">
        <f aca="false">C519+D519+E519</f>
        <v>140000</v>
      </c>
      <c r="G519" s="955" t="n">
        <f aca="false">F519/149.4</f>
        <v>937.081659973226</v>
      </c>
      <c r="H519" s="661" t="n">
        <f aca="false">G519/60</f>
        <v>15.6180276662204</v>
      </c>
      <c r="I519" s="660" t="n">
        <f aca="false">'норма времени'!D523</f>
        <v>170</v>
      </c>
      <c r="J519" s="661" t="n">
        <f aca="false">H519*I519</f>
        <v>2655.06470325747</v>
      </c>
    </row>
    <row r="520" customFormat="false" ht="15" hidden="false" customHeight="false" outlineLevel="0" collapsed="false">
      <c r="A520" s="571" t="s">
        <v>866</v>
      </c>
      <c r="B520" s="328" t="str">
        <f aca="false">'[5]норма времени'!B351</f>
        <v>Определение кадмия</v>
      </c>
      <c r="C520" s="954" t="n">
        <v>60000</v>
      </c>
      <c r="D520" s="954" t="n">
        <v>50000</v>
      </c>
      <c r="E520" s="954" t="n">
        <v>40000</v>
      </c>
      <c r="F520" s="955" t="n">
        <f aca="false">C520+D520+E520</f>
        <v>150000</v>
      </c>
      <c r="G520" s="955" t="n">
        <f aca="false">F520/149.4</f>
        <v>1004.01606425703</v>
      </c>
      <c r="H520" s="661" t="n">
        <f aca="false">G520/60</f>
        <v>16.7336010709505</v>
      </c>
      <c r="I520" s="660" t="n">
        <f aca="false">'норма времени'!D524</f>
        <v>200</v>
      </c>
      <c r="J520" s="661" t="n">
        <f aca="false">H520*I520</f>
        <v>3346.72021419009</v>
      </c>
    </row>
    <row r="521" customFormat="false" ht="15" hidden="false" customHeight="false" outlineLevel="0" collapsed="false">
      <c r="A521" s="571" t="s">
        <v>867</v>
      </c>
      <c r="B521" s="328" t="str">
        <f aca="false">'[5]норма времени'!B352</f>
        <v>Определение  ртути</v>
      </c>
      <c r="C521" s="954" t="n">
        <v>55000</v>
      </c>
      <c r="D521" s="954" t="n">
        <v>45000</v>
      </c>
      <c r="E521" s="954" t="n">
        <v>40000</v>
      </c>
      <c r="F521" s="955" t="n">
        <f aca="false">C521+D521+E521</f>
        <v>140000</v>
      </c>
      <c r="G521" s="955" t="n">
        <f aca="false">F521/149.4</f>
        <v>937.081659973226</v>
      </c>
      <c r="H521" s="661" t="n">
        <f aca="false">G521/60</f>
        <v>15.6180276662204</v>
      </c>
      <c r="I521" s="660" t="n">
        <f aca="false">'норма времени'!D525</f>
        <v>170</v>
      </c>
      <c r="J521" s="661" t="n">
        <f aca="false">H521*I521</f>
        <v>2655.06470325747</v>
      </c>
    </row>
    <row r="522" customFormat="false" ht="57" hidden="false" customHeight="false" outlineLevel="0" collapsed="false">
      <c r="A522" s="350" t="s">
        <v>868</v>
      </c>
      <c r="B522" s="467" t="str">
        <f aca="false">'[5]норма времени'!B353</f>
        <v>  ДДУ, школы, специальный технические учебные заведения, больничные организации, организация охраны материнства и детства, предприятия общественого питания</v>
      </c>
      <c r="C522" s="1253"/>
      <c r="D522" s="1253"/>
      <c r="E522" s="1253"/>
      <c r="F522" s="1254"/>
      <c r="G522" s="1254"/>
      <c r="H522" s="1250"/>
      <c r="I522" s="1255"/>
      <c r="J522" s="1250"/>
    </row>
    <row r="523" customFormat="false" ht="30" hidden="false" customHeight="false" outlineLevel="0" collapsed="false">
      <c r="A523" s="571" t="s">
        <v>870</v>
      </c>
      <c r="B523" s="328" t="str">
        <f aca="false">'[5]норма времени'!B354</f>
        <v>Определение качества. термической обработки (варка, жарка, мясных и рыбных блюд) </v>
      </c>
      <c r="C523" s="954" t="n">
        <v>25000</v>
      </c>
      <c r="D523" s="954" t="n">
        <v>20000</v>
      </c>
      <c r="E523" s="954" t="n">
        <v>15000</v>
      </c>
      <c r="F523" s="955" t="n">
        <f aca="false">C523+D523+E523</f>
        <v>60000</v>
      </c>
      <c r="G523" s="955" t="n">
        <f aca="false">F523/149.4</f>
        <v>401.606425702811</v>
      </c>
      <c r="H523" s="661" t="n">
        <f aca="false">G523/60</f>
        <v>6.69344042838019</v>
      </c>
      <c r="I523" s="660" t="n">
        <f aca="false">'норма времени'!D527</f>
        <v>220</v>
      </c>
      <c r="J523" s="661" t="n">
        <f aca="false">H523*I523</f>
        <v>1472.55689424364</v>
      </c>
    </row>
    <row r="524" customFormat="false" ht="15" hidden="false" customHeight="false" outlineLevel="0" collapsed="false">
      <c r="A524" s="571" t="s">
        <v>872</v>
      </c>
      <c r="B524" s="328" t="str">
        <f aca="false">'[5]норма времени'!B355</f>
        <v>Определение витамина С, лимонная кислота</v>
      </c>
      <c r="C524" s="954" t="n">
        <v>50000</v>
      </c>
      <c r="D524" s="954" t="n">
        <v>40000</v>
      </c>
      <c r="E524" s="954" t="n">
        <v>30000</v>
      </c>
      <c r="F524" s="955" t="n">
        <f aca="false">C524+D524+E524</f>
        <v>120000</v>
      </c>
      <c r="G524" s="955" t="n">
        <f aca="false">F524/149.4</f>
        <v>803.212851405623</v>
      </c>
      <c r="H524" s="661" t="n">
        <f aca="false">G524/60</f>
        <v>13.3868808567604</v>
      </c>
      <c r="I524" s="660" t="n">
        <f aca="false">'норма времени'!D528</f>
        <v>160</v>
      </c>
      <c r="J524" s="661" t="n">
        <f aca="false">H524*I524</f>
        <v>2141.90093708166</v>
      </c>
    </row>
    <row r="525" customFormat="false" ht="15" hidden="false" customHeight="false" outlineLevel="0" collapsed="false">
      <c r="A525" s="571" t="s">
        <v>874</v>
      </c>
      <c r="B525" s="328" t="str">
        <f aca="false">'[5]норма времени'!B356</f>
        <v>Определение фритюрных жиров </v>
      </c>
      <c r="C525" s="954" t="n">
        <v>25000</v>
      </c>
      <c r="D525" s="954" t="n">
        <v>20000</v>
      </c>
      <c r="E525" s="954" t="n">
        <v>15000</v>
      </c>
      <c r="F525" s="955" t="n">
        <f aca="false">C525+D525+E525</f>
        <v>60000</v>
      </c>
      <c r="G525" s="955" t="n">
        <f aca="false">F525/149.4</f>
        <v>401.606425702811</v>
      </c>
      <c r="H525" s="661" t="n">
        <f aca="false">G525/60</f>
        <v>6.69344042838019</v>
      </c>
      <c r="I525" s="660" t="n">
        <f aca="false">'норма времени'!D529</f>
        <v>200</v>
      </c>
      <c r="J525" s="661" t="n">
        <f aca="false">H525*I525</f>
        <v>1338.68808567604</v>
      </c>
    </row>
    <row r="526" customFormat="false" ht="14.25" hidden="false" customHeight="true" outlineLevel="0" collapsed="false">
      <c r="A526" s="571" t="s">
        <v>876</v>
      </c>
      <c r="B526" s="328" t="str">
        <f aca="false">'[5]норма времени'!B357</f>
        <v>Определение калорийности готовых блюд </v>
      </c>
      <c r="C526" s="954" t="n">
        <v>55000</v>
      </c>
      <c r="D526" s="954" t="n">
        <v>40000</v>
      </c>
      <c r="E526" s="954" t="n">
        <v>30000</v>
      </c>
      <c r="F526" s="955" t="n">
        <f aca="false">C526+D526+E526</f>
        <v>125000</v>
      </c>
      <c r="G526" s="955" t="n">
        <f aca="false">F526/149.4</f>
        <v>836.680053547523</v>
      </c>
      <c r="H526" s="661" t="n">
        <f aca="false">G526/60</f>
        <v>13.9446675591254</v>
      </c>
      <c r="I526" s="660" t="n">
        <f aca="false">'норма времени'!D530</f>
        <v>170</v>
      </c>
      <c r="J526" s="661" t="n">
        <f aca="false">H526*I526</f>
        <v>2370.59348505132</v>
      </c>
    </row>
    <row r="527" customFormat="false" ht="28.5" hidden="false" customHeight="false" outlineLevel="0" collapsed="false">
      <c r="A527" s="350" t="s">
        <v>878</v>
      </c>
      <c r="B527" s="467" t="str">
        <f aca="false">'[5]норма времени'!B358</f>
        <v>(по показаниям ) Табак и табачные изделия, сигареты</v>
      </c>
      <c r="C527" s="1253"/>
      <c r="D527" s="1253"/>
      <c r="E527" s="1253"/>
      <c r="F527" s="1254"/>
      <c r="G527" s="1254"/>
      <c r="H527" s="1250"/>
      <c r="I527" s="1255"/>
      <c r="J527" s="1250"/>
    </row>
    <row r="528" customFormat="false" ht="15" hidden="false" customHeight="false" outlineLevel="0" collapsed="false">
      <c r="A528" s="571" t="s">
        <v>880</v>
      </c>
      <c r="B528" s="328" t="str">
        <f aca="false">'[5]норма времени'!B359</f>
        <v> Определение органолептических показателей</v>
      </c>
      <c r="C528" s="954" t="n">
        <v>40000</v>
      </c>
      <c r="D528" s="954" t="n">
        <v>30000</v>
      </c>
      <c r="E528" s="954" t="n">
        <v>20000</v>
      </c>
      <c r="F528" s="955" t="n">
        <f aca="false">C528+D528+E528</f>
        <v>90000</v>
      </c>
      <c r="G528" s="955" t="n">
        <f aca="false">F528/149.4</f>
        <v>602.409638554217</v>
      </c>
      <c r="H528" s="661" t="n">
        <f aca="false">G528/60</f>
        <v>10.0401606425703</v>
      </c>
      <c r="I528" s="660" t="n">
        <f aca="false">'норма времени'!D532</f>
        <v>45</v>
      </c>
      <c r="J528" s="661" t="n">
        <f aca="false">H528*I528</f>
        <v>451.807228915663</v>
      </c>
    </row>
    <row r="529" customFormat="false" ht="15" hidden="false" customHeight="false" outlineLevel="0" collapsed="false">
      <c r="A529" s="571" t="s">
        <v>881</v>
      </c>
      <c r="B529" s="328" t="str">
        <f aca="false">'[5]норма времени'!B360</f>
        <v>Определение влаги </v>
      </c>
      <c r="C529" s="954" t="n">
        <v>40000</v>
      </c>
      <c r="D529" s="954" t="n">
        <v>30000</v>
      </c>
      <c r="E529" s="954" t="n">
        <v>20000</v>
      </c>
      <c r="F529" s="955" t="n">
        <f aca="false">C529+D529+E529</f>
        <v>90000</v>
      </c>
      <c r="G529" s="955" t="n">
        <f aca="false">F529/149.4</f>
        <v>602.409638554217</v>
      </c>
      <c r="H529" s="661" t="n">
        <f aca="false">G529/60</f>
        <v>10.0401606425703</v>
      </c>
      <c r="I529" s="660" t="n">
        <f aca="false">'норма времени'!D533</f>
        <v>150</v>
      </c>
      <c r="J529" s="661" t="n">
        <f aca="false">H529*I529</f>
        <v>1506.02409638554</v>
      </c>
    </row>
    <row r="530" customFormat="false" ht="15" hidden="false" customHeight="false" outlineLevel="0" collapsed="false">
      <c r="A530" s="571" t="s">
        <v>882</v>
      </c>
      <c r="B530" s="328" t="str">
        <f aca="false">'[5]норма времени'!B361</f>
        <v>Определение алкалоидов</v>
      </c>
      <c r="C530" s="954" t="n">
        <v>35000</v>
      </c>
      <c r="D530" s="954" t="n">
        <v>30000</v>
      </c>
      <c r="E530" s="954" t="n">
        <v>20000</v>
      </c>
      <c r="F530" s="955" t="n">
        <f aca="false">C530+D530+E530</f>
        <v>85000</v>
      </c>
      <c r="G530" s="955" t="n">
        <f aca="false">F530/149.4</f>
        <v>568.942436412316</v>
      </c>
      <c r="H530" s="661" t="n">
        <f aca="false">G530/60</f>
        <v>9.48237394020527</v>
      </c>
      <c r="I530" s="660" t="n">
        <f aca="false">'норма времени'!D534</f>
        <v>145</v>
      </c>
      <c r="J530" s="661" t="n">
        <f aca="false">H530*I530</f>
        <v>1374.94422132976</v>
      </c>
    </row>
    <row r="531" customFormat="false" ht="15" hidden="false" customHeight="false" outlineLevel="0" collapsed="false">
      <c r="A531" s="571" t="s">
        <v>884</v>
      </c>
      <c r="B531" s="328" t="str">
        <f aca="false">'[5]норма времени'!B362</f>
        <v>Определение пыли</v>
      </c>
      <c r="C531" s="954" t="n">
        <v>35000</v>
      </c>
      <c r="D531" s="954" t="n">
        <v>30000</v>
      </c>
      <c r="E531" s="954" t="n">
        <v>20000</v>
      </c>
      <c r="F531" s="955" t="n">
        <f aca="false">C531+D531+E531</f>
        <v>85000</v>
      </c>
      <c r="G531" s="955" t="n">
        <f aca="false">F531/149.4</f>
        <v>568.942436412316</v>
      </c>
      <c r="H531" s="661" t="n">
        <f aca="false">G531/60</f>
        <v>9.48237394020527</v>
      </c>
      <c r="I531" s="660" t="n">
        <f aca="false">'норма времени'!D535</f>
        <v>105</v>
      </c>
      <c r="J531" s="661" t="n">
        <f aca="false">H531*I531</f>
        <v>995.649263721553</v>
      </c>
    </row>
    <row r="532" customFormat="false" ht="15" hidden="false" customHeight="false" outlineLevel="0" collapsed="false">
      <c r="A532" s="571" t="s">
        <v>886</v>
      </c>
      <c r="B532" s="328" t="str">
        <f aca="false">'[5]норма времени'!B363</f>
        <v>Определение никотина</v>
      </c>
      <c r="C532" s="954" t="n">
        <v>30000</v>
      </c>
      <c r="D532" s="954" t="n">
        <v>15000</v>
      </c>
      <c r="E532" s="954" t="n">
        <v>10000</v>
      </c>
      <c r="F532" s="955" t="n">
        <f aca="false">C532+D532+E532</f>
        <v>55000</v>
      </c>
      <c r="G532" s="955" t="n">
        <f aca="false">F532/149.4</f>
        <v>368.13922356091</v>
      </c>
      <c r="H532" s="661" t="n">
        <f aca="false">G532/60</f>
        <v>6.13565372601517</v>
      </c>
      <c r="I532" s="660" t="n">
        <f aca="false">'норма времени'!D536</f>
        <v>330</v>
      </c>
      <c r="J532" s="661" t="n">
        <f aca="false">H532*I532</f>
        <v>2024.76572958501</v>
      </c>
    </row>
    <row r="533" customFormat="false" ht="15" hidden="false" customHeight="false" outlineLevel="0" collapsed="false">
      <c r="A533" s="350" t="s">
        <v>888</v>
      </c>
      <c r="B533" s="467" t="str">
        <f aca="false">'[5]норма времени'!B364</f>
        <v>БАДы</v>
      </c>
      <c r="C533" s="1253"/>
      <c r="D533" s="1253"/>
      <c r="E533" s="1253"/>
      <c r="F533" s="1254"/>
      <c r="G533" s="1254"/>
      <c r="H533" s="1250"/>
      <c r="I533" s="1255"/>
      <c r="J533" s="1250"/>
    </row>
    <row r="534" customFormat="false" ht="15" hidden="false" customHeight="false" outlineLevel="0" collapsed="false">
      <c r="A534" s="571" t="s">
        <v>890</v>
      </c>
      <c r="B534" s="328" t="str">
        <f aca="false">'[5]норма времени'!B365</f>
        <v>Определеие СТМ методом ИВ</v>
      </c>
      <c r="C534" s="954" t="n">
        <v>30000</v>
      </c>
      <c r="D534" s="954" t="n">
        <v>15000</v>
      </c>
      <c r="E534" s="954" t="n">
        <v>10000</v>
      </c>
      <c r="F534" s="955" t="n">
        <f aca="false">C534+D534+E534</f>
        <v>55000</v>
      </c>
      <c r="G534" s="955" t="n">
        <f aca="false">F534/149.4</f>
        <v>368.13922356091</v>
      </c>
      <c r="H534" s="661" t="n">
        <f aca="false">G534/60</f>
        <v>6.13565372601517</v>
      </c>
      <c r="I534" s="660" t="n">
        <f aca="false">'норма времени'!D538</f>
        <v>190</v>
      </c>
      <c r="J534" s="661" t="n">
        <f aca="false">H534*I534</f>
        <v>1165.77420794288</v>
      </c>
    </row>
    <row r="535" customFormat="false" ht="15" hidden="false" customHeight="false" outlineLevel="0" collapsed="false">
      <c r="A535" s="571" t="s">
        <v>892</v>
      </c>
      <c r="B535" s="328" t="str">
        <f aca="false">'[5]норма времени'!B366</f>
        <v>Определеие СТМ методом ААС</v>
      </c>
      <c r="C535" s="954" t="n">
        <v>30000</v>
      </c>
      <c r="D535" s="954" t="n">
        <v>15000</v>
      </c>
      <c r="E535" s="954" t="n">
        <v>10000</v>
      </c>
      <c r="F535" s="955" t="n">
        <f aca="false">C535+D535+E535</f>
        <v>55000</v>
      </c>
      <c r="G535" s="955" t="n">
        <f aca="false">F535/149.4</f>
        <v>368.13922356091</v>
      </c>
      <c r="H535" s="661" t="n">
        <f aca="false">G535/60</f>
        <v>6.13565372601517</v>
      </c>
      <c r="I535" s="660" t="n">
        <f aca="false">'норма времени'!D539</f>
        <v>90</v>
      </c>
      <c r="J535" s="661" t="n">
        <f aca="false">H535*I535</f>
        <v>552.208835341365</v>
      </c>
    </row>
    <row r="536" customFormat="false" ht="30" hidden="false" customHeight="false" outlineLevel="0" collapsed="false">
      <c r="A536" s="571" t="s">
        <v>894</v>
      </c>
      <c r="B536" s="328" t="str">
        <f aca="false">'[5]норма времени'!B367</f>
        <v>Определение витаминов в пищевых продуктах методом ВЭЖХ. </v>
      </c>
      <c r="C536" s="954" t="n">
        <v>30000</v>
      </c>
      <c r="D536" s="954" t="n">
        <v>15000</v>
      </c>
      <c r="E536" s="954" t="n">
        <v>10000</v>
      </c>
      <c r="F536" s="955" t="n">
        <f aca="false">C536+D536+E536</f>
        <v>55000</v>
      </c>
      <c r="G536" s="955" t="n">
        <f aca="false">F536/149.4</f>
        <v>368.13922356091</v>
      </c>
      <c r="H536" s="661" t="n">
        <f aca="false">G536/60</f>
        <v>6.13565372601517</v>
      </c>
      <c r="I536" s="660" t="n">
        <f aca="false">'норма времени'!D540</f>
        <v>115</v>
      </c>
      <c r="J536" s="661" t="n">
        <f aca="false">H536*I536</f>
        <v>705.600178491745</v>
      </c>
    </row>
    <row r="537" customFormat="false" ht="17.25" hidden="false" customHeight="true" outlineLevel="0" collapsed="false">
      <c r="A537" s="571" t="s">
        <v>896</v>
      </c>
      <c r="B537" s="328" t="str">
        <f aca="false">'[5]норма времени'!B368</f>
        <v>Определение витаминов в пищевых продуктах колориметрическим методом.</v>
      </c>
      <c r="C537" s="954" t="n">
        <v>70000</v>
      </c>
      <c r="D537" s="954" t="n">
        <v>60000</v>
      </c>
      <c r="E537" s="954" t="n">
        <v>50000</v>
      </c>
      <c r="F537" s="955" t="n">
        <f aca="false">C537+D537+E537</f>
        <v>180000</v>
      </c>
      <c r="G537" s="955" t="n">
        <f aca="false">F537/149.4</f>
        <v>1204.81927710843</v>
      </c>
      <c r="H537" s="661" t="n">
        <f aca="false">G537/60</f>
        <v>20.0803212851406</v>
      </c>
      <c r="I537" s="660" t="n">
        <f aca="false">'норма времени'!D541</f>
        <v>130</v>
      </c>
      <c r="J537" s="661" t="n">
        <f aca="false">H537*I537</f>
        <v>2610.44176706827</v>
      </c>
    </row>
    <row r="538" customFormat="false" ht="15" hidden="false" customHeight="false" outlineLevel="0" collapsed="false">
      <c r="A538" s="571" t="s">
        <v>897</v>
      </c>
      <c r="B538" s="328" t="str">
        <f aca="false">'[5]норма времени'!B369</f>
        <v>Белка</v>
      </c>
      <c r="C538" s="954" t="n">
        <v>55000</v>
      </c>
      <c r="D538" s="954"/>
      <c r="E538" s="954"/>
      <c r="F538" s="955" t="n">
        <f aca="false">C538+D538+E538</f>
        <v>55000</v>
      </c>
      <c r="G538" s="955" t="n">
        <f aca="false">F538/149.4</f>
        <v>368.13922356091</v>
      </c>
      <c r="H538" s="661" t="n">
        <f aca="false">G538/60</f>
        <v>6.13565372601517</v>
      </c>
      <c r="I538" s="660" t="n">
        <f aca="false">'норма времени'!D542</f>
        <v>570</v>
      </c>
      <c r="J538" s="661" t="n">
        <f aca="false">H538*I538</f>
        <v>3497.32262382865</v>
      </c>
    </row>
    <row r="539" customFormat="false" ht="15" hidden="false" customHeight="false" outlineLevel="0" collapsed="false">
      <c r="A539" s="571" t="s">
        <v>899</v>
      </c>
      <c r="B539" s="328" t="str">
        <f aca="false">'[5]норма времени'!B370</f>
        <v>Жира по Сокслету</v>
      </c>
      <c r="C539" s="954" t="n">
        <v>30000</v>
      </c>
      <c r="D539" s="954" t="n">
        <v>20000</v>
      </c>
      <c r="E539" s="954" t="n">
        <v>15000</v>
      </c>
      <c r="F539" s="955" t="n">
        <f aca="false">C539+D539+E539</f>
        <v>65000</v>
      </c>
      <c r="G539" s="955" t="n">
        <f aca="false">F539/149.4</f>
        <v>435.073627844712</v>
      </c>
      <c r="H539" s="661" t="n">
        <f aca="false">G539/60</f>
        <v>7.2512271307452</v>
      </c>
      <c r="I539" s="660" t="n">
        <f aca="false">'норма времени'!D543</f>
        <v>240</v>
      </c>
      <c r="J539" s="661" t="n">
        <f aca="false">H539*I539</f>
        <v>1740.29451137885</v>
      </c>
    </row>
    <row r="540" customFormat="false" ht="15" hidden="false" customHeight="false" outlineLevel="0" collapsed="false">
      <c r="A540" s="571" t="s">
        <v>901</v>
      </c>
      <c r="B540" s="328" t="str">
        <f aca="false">'[5]норма времени'!B371</f>
        <v>Жира</v>
      </c>
      <c r="C540" s="954" t="n">
        <v>55000</v>
      </c>
      <c r="D540" s="954" t="n">
        <v>45000</v>
      </c>
      <c r="E540" s="954" t="n">
        <v>35000</v>
      </c>
      <c r="F540" s="955" t="n">
        <f aca="false">C540+D540+E540</f>
        <v>135000</v>
      </c>
      <c r="G540" s="955" t="n">
        <f aca="false">F540/149.4</f>
        <v>903.614457831325</v>
      </c>
      <c r="H540" s="661" t="n">
        <f aca="false">G540/60</f>
        <v>15.0602409638554</v>
      </c>
      <c r="I540" s="660" t="n">
        <f aca="false">'норма времени'!D544</f>
        <v>60</v>
      </c>
      <c r="J540" s="661" t="n">
        <f aca="false">H540*I540</f>
        <v>903.614457831325</v>
      </c>
    </row>
    <row r="541" customFormat="false" ht="15" hidden="false" customHeight="false" outlineLevel="0" collapsed="false">
      <c r="A541" s="571" t="s">
        <v>902</v>
      </c>
      <c r="B541" s="328" t="str">
        <f aca="false">'[5]норма времени'!B372</f>
        <v>Оксиметилфурфурол</v>
      </c>
      <c r="C541" s="954" t="n">
        <v>30000</v>
      </c>
      <c r="D541" s="954" t="n">
        <v>20000</v>
      </c>
      <c r="E541" s="954" t="n">
        <v>15000</v>
      </c>
      <c r="F541" s="955" t="n">
        <f aca="false">C541+D541+E541</f>
        <v>65000</v>
      </c>
      <c r="G541" s="955" t="n">
        <f aca="false">F541/149.4</f>
        <v>435.073627844712</v>
      </c>
      <c r="H541" s="661" t="n">
        <f aca="false">G541/60</f>
        <v>7.2512271307452</v>
      </c>
      <c r="I541" s="660" t="n">
        <f aca="false">'норма времени'!D545</f>
        <v>140</v>
      </c>
      <c r="J541" s="661" t="n">
        <f aca="false">H541*I541</f>
        <v>1015.17179830433</v>
      </c>
    </row>
    <row r="542" customFormat="false" ht="15" hidden="false" customHeight="false" outlineLevel="0" collapsed="false">
      <c r="A542" s="571" t="s">
        <v>904</v>
      </c>
      <c r="B542" s="328" t="str">
        <f aca="false">'[5]норма времени'!B373</f>
        <v>Йод</v>
      </c>
      <c r="C542" s="954" t="n">
        <v>45000</v>
      </c>
      <c r="D542" s="954" t="n">
        <v>35000</v>
      </c>
      <c r="E542" s="954" t="n">
        <v>25000</v>
      </c>
      <c r="F542" s="955" t="n">
        <f aca="false">C542+D542+E542</f>
        <v>105000</v>
      </c>
      <c r="G542" s="955" t="n">
        <f aca="false">F542/149.4</f>
        <v>702.81124497992</v>
      </c>
      <c r="H542" s="661" t="n">
        <f aca="false">G542/60</f>
        <v>11.7135207496653</v>
      </c>
      <c r="I542" s="660" t="n">
        <f aca="false">'норма времени'!D546</f>
        <v>90</v>
      </c>
      <c r="J542" s="661" t="n">
        <f aca="false">H542*I542</f>
        <v>1054.21686746988</v>
      </c>
    </row>
    <row r="543" customFormat="false" ht="15" hidden="false" customHeight="false" outlineLevel="0" collapsed="false">
      <c r="A543" s="571" t="s">
        <v>906</v>
      </c>
      <c r="B543" s="328" t="str">
        <f aca="false">'[5]норма времени'!B374</f>
        <v>Афлотоксин</v>
      </c>
      <c r="C543" s="954" t="n">
        <v>30000</v>
      </c>
      <c r="D543" s="954" t="n">
        <v>20000</v>
      </c>
      <c r="E543" s="954" t="n">
        <v>15000</v>
      </c>
      <c r="F543" s="955" t="n">
        <f aca="false">C543+D543+E543</f>
        <v>65000</v>
      </c>
      <c r="G543" s="955" t="n">
        <f aca="false">F543/149.4</f>
        <v>435.073627844712</v>
      </c>
      <c r="H543" s="661" t="n">
        <f aca="false">G543/60</f>
        <v>7.2512271307452</v>
      </c>
      <c r="I543" s="660" t="n">
        <f aca="false">'норма времени'!D547</f>
        <v>105</v>
      </c>
      <c r="J543" s="661" t="n">
        <f aca="false">H543*I543</f>
        <v>761.378848728246</v>
      </c>
    </row>
    <row r="544" customFormat="false" ht="15" hidden="false" customHeight="false" outlineLevel="0" collapsed="false">
      <c r="A544" s="571" t="s">
        <v>908</v>
      </c>
      <c r="B544" s="328" t="str">
        <f aca="false">'[5]норма времени'!B375</f>
        <v>Охратоксин</v>
      </c>
      <c r="C544" s="954" t="n">
        <v>45000</v>
      </c>
      <c r="D544" s="954" t="n">
        <v>40000</v>
      </c>
      <c r="E544" s="954" t="n">
        <v>35000</v>
      </c>
      <c r="F544" s="955" t="n">
        <f aca="false">C544+D544+E544</f>
        <v>120000</v>
      </c>
      <c r="G544" s="955" t="n">
        <f aca="false">F544/149.4</f>
        <v>803.212851405623</v>
      </c>
      <c r="H544" s="661" t="n">
        <f aca="false">G544/60</f>
        <v>13.3868808567604</v>
      </c>
      <c r="I544" s="660" t="n">
        <f aca="false">'норма времени'!D548</f>
        <v>85</v>
      </c>
      <c r="J544" s="661" t="n">
        <f aca="false">H544*I544</f>
        <v>1137.88487282463</v>
      </c>
    </row>
    <row r="545" customFormat="false" ht="15" hidden="false" customHeight="false" outlineLevel="0" collapsed="false">
      <c r="A545" s="571" t="s">
        <v>910</v>
      </c>
      <c r="B545" s="328" t="str">
        <f aca="false">'[5]норма времени'!B376</f>
        <v>Зеараленон</v>
      </c>
      <c r="C545" s="954" t="n">
        <v>25000</v>
      </c>
      <c r="D545" s="954" t="n">
        <v>20000</v>
      </c>
      <c r="E545" s="954" t="n">
        <v>15000</v>
      </c>
      <c r="F545" s="955" t="n">
        <f aca="false">C545+D545+E545</f>
        <v>60000</v>
      </c>
      <c r="G545" s="955" t="n">
        <f aca="false">F545/149.4</f>
        <v>401.606425702811</v>
      </c>
      <c r="H545" s="661" t="n">
        <f aca="false">G545/60</f>
        <v>6.69344042838019</v>
      </c>
      <c r="I545" s="660" t="n">
        <f aca="false">'норма времени'!D549</f>
        <v>70</v>
      </c>
      <c r="J545" s="661" t="n">
        <f aca="false">H545*I545</f>
        <v>468.540829986613</v>
      </c>
    </row>
    <row r="546" customFormat="false" ht="15" hidden="false" customHeight="false" outlineLevel="0" collapsed="false">
      <c r="A546" s="571" t="s">
        <v>912</v>
      </c>
      <c r="B546" s="328" t="str">
        <f aca="false">'[5]норма времени'!B377</f>
        <v>Дезоксиваленол</v>
      </c>
      <c r="C546" s="954" t="n">
        <v>25000</v>
      </c>
      <c r="D546" s="954" t="n">
        <v>20000</v>
      </c>
      <c r="E546" s="954" t="n">
        <v>15000</v>
      </c>
      <c r="F546" s="955" t="n">
        <f aca="false">C546+D546+E546</f>
        <v>60000</v>
      </c>
      <c r="G546" s="955" t="n">
        <f aca="false">F546/149.4</f>
        <v>401.606425702811</v>
      </c>
      <c r="H546" s="661" t="n">
        <f aca="false">G546/60</f>
        <v>6.69344042838019</v>
      </c>
      <c r="I546" s="660" t="n">
        <f aca="false">'норма времени'!D550</f>
        <v>100</v>
      </c>
      <c r="J546" s="661" t="n">
        <f aca="false">H546*I546</f>
        <v>669.344042838019</v>
      </c>
    </row>
    <row r="547" customFormat="false" ht="15" hidden="false" customHeight="false" outlineLevel="0" collapsed="false">
      <c r="A547" s="350" t="s">
        <v>914</v>
      </c>
      <c r="B547" s="467" t="s">
        <v>3248</v>
      </c>
      <c r="C547" s="1253"/>
      <c r="D547" s="1253"/>
      <c r="E547" s="1253"/>
      <c r="F547" s="1254"/>
      <c r="G547" s="1254"/>
      <c r="H547" s="1250"/>
      <c r="I547" s="1246"/>
      <c r="J547" s="1250"/>
    </row>
    <row r="548" customFormat="false" ht="45" hidden="false" customHeight="false" outlineLevel="0" collapsed="false">
      <c r="A548" s="327" t="s">
        <v>916</v>
      </c>
      <c r="B548" s="433" t="s">
        <v>3249</v>
      </c>
      <c r="C548" s="954" t="n">
        <v>40000</v>
      </c>
      <c r="D548" s="954" t="n">
        <v>35000</v>
      </c>
      <c r="E548" s="954" t="n">
        <v>30000</v>
      </c>
      <c r="F548" s="955" t="n">
        <f aca="false">C548+D548+E548</f>
        <v>105000</v>
      </c>
      <c r="G548" s="955" t="n">
        <f aca="false">F548/149.4</f>
        <v>702.81124497992</v>
      </c>
      <c r="H548" s="661" t="n">
        <f aca="false">G548/60</f>
        <v>11.7135207496653</v>
      </c>
      <c r="I548" s="660" t="n">
        <f aca="false">'норма времени'!D552</f>
        <v>40</v>
      </c>
      <c r="J548" s="661" t="n">
        <f aca="false">H548*I548</f>
        <v>468.540829986613</v>
      </c>
    </row>
    <row r="549" customFormat="false" ht="15" hidden="false" customHeight="false" outlineLevel="0" collapsed="false">
      <c r="A549" s="327" t="s">
        <v>918</v>
      </c>
      <c r="B549" s="492" t="s">
        <v>3250</v>
      </c>
      <c r="C549" s="954" t="n">
        <v>40000</v>
      </c>
      <c r="D549" s="954" t="n">
        <v>30000</v>
      </c>
      <c r="E549" s="954" t="n">
        <v>20000</v>
      </c>
      <c r="F549" s="955" t="n">
        <f aca="false">C549+D549+E549</f>
        <v>90000</v>
      </c>
      <c r="G549" s="955" t="n">
        <f aca="false">F549/149.4</f>
        <v>602.409638554217</v>
      </c>
      <c r="H549" s="661" t="n">
        <f aca="false">G549/60</f>
        <v>10.0401606425703</v>
      </c>
      <c r="I549" s="660" t="n">
        <f aca="false">'норма времени'!D553</f>
        <v>40</v>
      </c>
      <c r="J549" s="661" t="n">
        <f aca="false">H549*I549</f>
        <v>401.606425702811</v>
      </c>
    </row>
    <row r="550" customFormat="false" ht="15" hidden="false" customHeight="false" outlineLevel="0" collapsed="false">
      <c r="A550" s="327" t="s">
        <v>920</v>
      </c>
      <c r="B550" s="433" t="s">
        <v>3238</v>
      </c>
      <c r="C550" s="954" t="n">
        <v>75000</v>
      </c>
      <c r="D550" s="954" t="n">
        <v>65000</v>
      </c>
      <c r="E550" s="954" t="n">
        <v>55000</v>
      </c>
      <c r="F550" s="955" t="n">
        <f aca="false">C550+D550+E550</f>
        <v>195000</v>
      </c>
      <c r="G550" s="955" t="n">
        <f aca="false">F550/149.4</f>
        <v>1305.22088353414</v>
      </c>
      <c r="H550" s="661" t="n">
        <f aca="false">G550/60</f>
        <v>21.7536813922356</v>
      </c>
      <c r="I550" s="660" t="n">
        <f aca="false">'норма времени'!D554</f>
        <v>55</v>
      </c>
      <c r="J550" s="661" t="n">
        <f aca="false">H550*I550</f>
        <v>1196.45247657296</v>
      </c>
    </row>
    <row r="551" customFormat="false" ht="30" hidden="false" customHeight="false" outlineLevel="0" collapsed="false">
      <c r="A551" s="327" t="s">
        <v>921</v>
      </c>
      <c r="B551" s="488" t="s">
        <v>3251</v>
      </c>
      <c r="C551" s="954" t="n">
        <v>75000</v>
      </c>
      <c r="D551" s="954" t="n">
        <v>65000</v>
      </c>
      <c r="E551" s="954" t="n">
        <v>55000</v>
      </c>
      <c r="F551" s="955" t="n">
        <f aca="false">C551+D551+E551</f>
        <v>195000</v>
      </c>
      <c r="G551" s="955" t="n">
        <f aca="false">F551/149.4</f>
        <v>1305.22088353414</v>
      </c>
      <c r="H551" s="661" t="n">
        <f aca="false">G551/60</f>
        <v>21.7536813922356</v>
      </c>
      <c r="I551" s="660" t="n">
        <f aca="false">'норма времени'!D555</f>
        <v>40</v>
      </c>
      <c r="J551" s="661" t="n">
        <f aca="false">H551*I551</f>
        <v>870.147255689424</v>
      </c>
    </row>
    <row r="552" customFormat="false" ht="15" hidden="false" customHeight="false" outlineLevel="0" collapsed="false">
      <c r="A552" s="327" t="s">
        <v>923</v>
      </c>
      <c r="B552" s="433" t="s">
        <v>3252</v>
      </c>
      <c r="C552" s="954" t="n">
        <v>70000</v>
      </c>
      <c r="D552" s="954" t="n">
        <v>60000</v>
      </c>
      <c r="E552" s="954" t="n">
        <v>50000</v>
      </c>
      <c r="F552" s="955" t="n">
        <f aca="false">C552+D552+E552</f>
        <v>180000</v>
      </c>
      <c r="G552" s="955" t="n">
        <f aca="false">F552/149.4</f>
        <v>1204.81927710843</v>
      </c>
      <c r="H552" s="661" t="n">
        <f aca="false">G552/60</f>
        <v>20.0803212851406</v>
      </c>
      <c r="I552" s="660" t="n">
        <f aca="false">'норма времени'!D556</f>
        <v>50</v>
      </c>
      <c r="J552" s="661" t="n">
        <f aca="false">H552*I552</f>
        <v>1004.01606425703</v>
      </c>
    </row>
    <row r="553" customFormat="false" ht="15" hidden="false" customHeight="false" outlineLevel="0" collapsed="false">
      <c r="A553" s="327" t="s">
        <v>925</v>
      </c>
      <c r="B553" s="433" t="s">
        <v>3253</v>
      </c>
      <c r="C553" s="954" t="n">
        <v>70000</v>
      </c>
      <c r="D553" s="954" t="n">
        <v>60000</v>
      </c>
      <c r="E553" s="954" t="n">
        <v>50000</v>
      </c>
      <c r="F553" s="955" t="n">
        <f aca="false">C553+D553+E553</f>
        <v>180000</v>
      </c>
      <c r="G553" s="955" t="n">
        <f aca="false">F553/149.4</f>
        <v>1204.81927710843</v>
      </c>
      <c r="H553" s="661" t="n">
        <f aca="false">G553/60</f>
        <v>20.0803212851406</v>
      </c>
      <c r="I553" s="660" t="n">
        <f aca="false">'норма времени'!D557</f>
        <v>30</v>
      </c>
      <c r="J553" s="661" t="n">
        <f aca="false">H553*I553</f>
        <v>602.409638554217</v>
      </c>
    </row>
    <row r="554" customFormat="false" ht="15" hidden="false" customHeight="false" outlineLevel="0" collapsed="false">
      <c r="A554" s="327" t="s">
        <v>927</v>
      </c>
      <c r="B554" s="433" t="s">
        <v>3254</v>
      </c>
      <c r="C554" s="954" t="n">
        <v>75000</v>
      </c>
      <c r="D554" s="954" t="n">
        <v>65000</v>
      </c>
      <c r="E554" s="954" t="n">
        <v>55000</v>
      </c>
      <c r="F554" s="955" t="n">
        <f aca="false">C554+D554+E554</f>
        <v>195000</v>
      </c>
      <c r="G554" s="955" t="n">
        <f aca="false">F554/149.4</f>
        <v>1305.22088353414</v>
      </c>
      <c r="H554" s="661" t="n">
        <f aca="false">G554/60</f>
        <v>21.7536813922356</v>
      </c>
      <c r="I554" s="660" t="n">
        <f aca="false">'норма времени'!D558</f>
        <v>75</v>
      </c>
      <c r="J554" s="661" t="n">
        <f aca="false">H554*I554</f>
        <v>1631.52610441767</v>
      </c>
    </row>
    <row r="555" customFormat="false" ht="30" hidden="false" customHeight="false" outlineLevel="0" collapsed="false">
      <c r="A555" s="327" t="s">
        <v>928</v>
      </c>
      <c r="B555" s="433" t="s">
        <v>3255</v>
      </c>
      <c r="C555" s="954" t="n">
        <v>70000</v>
      </c>
      <c r="D555" s="954" t="n">
        <v>60000</v>
      </c>
      <c r="E555" s="954" t="n">
        <v>50000</v>
      </c>
      <c r="F555" s="955" t="n">
        <f aca="false">C555+D555+E555</f>
        <v>180000</v>
      </c>
      <c r="G555" s="955" t="n">
        <f aca="false">F555/149.4</f>
        <v>1204.81927710843</v>
      </c>
      <c r="H555" s="661" t="n">
        <f aca="false">G555/60</f>
        <v>20.0803212851406</v>
      </c>
      <c r="I555" s="660" t="n">
        <f aca="false">'норма времени'!D559</f>
        <v>60</v>
      </c>
      <c r="J555" s="661" t="n">
        <f aca="false">H555*I555</f>
        <v>1204.81927710843</v>
      </c>
    </row>
    <row r="556" customFormat="false" ht="15" hidden="false" customHeight="false" outlineLevel="0" collapsed="false">
      <c r="A556" s="327" t="s">
        <v>930</v>
      </c>
      <c r="B556" s="433" t="s">
        <v>3256</v>
      </c>
      <c r="C556" s="954" t="n">
        <v>70000</v>
      </c>
      <c r="D556" s="954" t="n">
        <v>60000</v>
      </c>
      <c r="E556" s="954" t="n">
        <v>50000</v>
      </c>
      <c r="F556" s="955" t="n">
        <f aca="false">C556+D556+E556</f>
        <v>180000</v>
      </c>
      <c r="G556" s="955" t="n">
        <f aca="false">F556/149.4</f>
        <v>1204.81927710843</v>
      </c>
      <c r="H556" s="661" t="n">
        <f aca="false">G556/60</f>
        <v>20.0803212851406</v>
      </c>
      <c r="I556" s="660" t="n">
        <f aca="false">'норма времени'!D560</f>
        <v>70</v>
      </c>
      <c r="J556" s="661" t="n">
        <f aca="false">H556*I556</f>
        <v>1405.62248995984</v>
      </c>
    </row>
    <row r="557" customFormat="false" ht="15" hidden="false" customHeight="false" outlineLevel="0" collapsed="false">
      <c r="A557" s="327" t="s">
        <v>931</v>
      </c>
      <c r="B557" s="433" t="s">
        <v>3257</v>
      </c>
      <c r="C557" s="954" t="n">
        <v>75000</v>
      </c>
      <c r="D557" s="954" t="n">
        <v>65000</v>
      </c>
      <c r="E557" s="954" t="n">
        <v>55000</v>
      </c>
      <c r="F557" s="955" t="n">
        <f aca="false">C557+D557+E557</f>
        <v>195000</v>
      </c>
      <c r="G557" s="955" t="n">
        <f aca="false">F557/149.4</f>
        <v>1305.22088353414</v>
      </c>
      <c r="H557" s="661" t="n">
        <f aca="false">G557/60</f>
        <v>21.7536813922356</v>
      </c>
      <c r="I557" s="660" t="n">
        <f aca="false">'норма времени'!D561</f>
        <v>65</v>
      </c>
      <c r="J557" s="661" t="n">
        <f aca="false">H557*I557</f>
        <v>1413.98929049531</v>
      </c>
    </row>
    <row r="558" customFormat="false" ht="15" hidden="false" customHeight="false" outlineLevel="0" collapsed="false">
      <c r="A558" s="327" t="s">
        <v>933</v>
      </c>
      <c r="B558" s="433" t="s">
        <v>3258</v>
      </c>
      <c r="C558" s="954" t="n">
        <v>30000</v>
      </c>
      <c r="D558" s="954" t="n">
        <v>20000</v>
      </c>
      <c r="E558" s="954" t="n">
        <v>10000</v>
      </c>
      <c r="F558" s="955" t="n">
        <f aca="false">C558+D558+E558</f>
        <v>60000</v>
      </c>
      <c r="G558" s="955" t="n">
        <f aca="false">F558/149.4</f>
        <v>401.606425702811</v>
      </c>
      <c r="H558" s="661" t="n">
        <f aca="false">G558/60</f>
        <v>6.69344042838019</v>
      </c>
      <c r="I558" s="660" t="n">
        <f aca="false">'норма времени'!D562</f>
        <v>60</v>
      </c>
      <c r="J558" s="661" t="n">
        <f aca="false">H558*I558</f>
        <v>401.606425702811</v>
      </c>
    </row>
    <row r="559" customFormat="false" ht="15" hidden="false" customHeight="false" outlineLevel="0" collapsed="false">
      <c r="A559" s="327" t="s">
        <v>935</v>
      </c>
      <c r="B559" s="433" t="s">
        <v>3259</v>
      </c>
      <c r="C559" s="954" t="n">
        <v>75000</v>
      </c>
      <c r="D559" s="954" t="n">
        <v>65000</v>
      </c>
      <c r="E559" s="954" t="n">
        <v>55000</v>
      </c>
      <c r="F559" s="955" t="n">
        <f aca="false">C559+D559+E559</f>
        <v>195000</v>
      </c>
      <c r="G559" s="955" t="n">
        <f aca="false">F559/149.4</f>
        <v>1305.22088353414</v>
      </c>
      <c r="H559" s="661" t="n">
        <f aca="false">G559/60</f>
        <v>21.7536813922356</v>
      </c>
      <c r="I559" s="660" t="n">
        <f aca="false">'норма времени'!D563</f>
        <v>55</v>
      </c>
      <c r="J559" s="661" t="n">
        <f aca="false">H559*I559</f>
        <v>1196.45247657296</v>
      </c>
    </row>
    <row r="560" customFormat="false" ht="15" hidden="false" customHeight="false" outlineLevel="0" collapsed="false">
      <c r="A560" s="327" t="s">
        <v>937</v>
      </c>
      <c r="B560" s="433" t="s">
        <v>3260</v>
      </c>
      <c r="C560" s="954" t="n">
        <v>75000</v>
      </c>
      <c r="D560" s="954" t="n">
        <v>65000</v>
      </c>
      <c r="E560" s="954" t="n">
        <v>55000</v>
      </c>
      <c r="F560" s="955" t="n">
        <f aca="false">C560+D560+E560</f>
        <v>195000</v>
      </c>
      <c r="G560" s="955" t="n">
        <f aca="false">F560/149.4</f>
        <v>1305.22088353414</v>
      </c>
      <c r="H560" s="661" t="n">
        <f aca="false">G560/60</f>
        <v>21.7536813922356</v>
      </c>
      <c r="I560" s="660" t="n">
        <f aca="false">'норма времени'!D564</f>
        <v>80</v>
      </c>
      <c r="J560" s="661" t="n">
        <f aca="false">H560*I560</f>
        <v>1740.29451137885</v>
      </c>
    </row>
    <row r="561" customFormat="false" ht="15" hidden="false" customHeight="false" outlineLevel="0" collapsed="false">
      <c r="A561" s="327" t="s">
        <v>939</v>
      </c>
      <c r="B561" s="433" t="s">
        <v>3261</v>
      </c>
      <c r="C561" s="954" t="n">
        <v>75000</v>
      </c>
      <c r="D561" s="954" t="n">
        <v>65000</v>
      </c>
      <c r="E561" s="954" t="n">
        <v>55000</v>
      </c>
      <c r="F561" s="955" t="n">
        <f aca="false">C561+D561+E561</f>
        <v>195000</v>
      </c>
      <c r="G561" s="955" t="n">
        <f aca="false">F561/149.4</f>
        <v>1305.22088353414</v>
      </c>
      <c r="H561" s="661" t="n">
        <f aca="false">G561/60</f>
        <v>21.7536813922356</v>
      </c>
      <c r="I561" s="660" t="n">
        <f aca="false">'норма времени'!D565</f>
        <v>75</v>
      </c>
      <c r="J561" s="661" t="n">
        <f aca="false">H561*I561</f>
        <v>1631.52610441767</v>
      </c>
    </row>
    <row r="562" customFormat="false" ht="15" hidden="false" customHeight="false" outlineLevel="0" collapsed="false">
      <c r="A562" s="327" t="s">
        <v>940</v>
      </c>
      <c r="B562" s="433" t="s">
        <v>3262</v>
      </c>
      <c r="C562" s="954" t="n">
        <v>75000</v>
      </c>
      <c r="D562" s="954" t="n">
        <v>65000</v>
      </c>
      <c r="E562" s="954" t="n">
        <v>55000</v>
      </c>
      <c r="F562" s="955" t="n">
        <f aca="false">C562+D562+E562</f>
        <v>195000</v>
      </c>
      <c r="G562" s="955" t="n">
        <f aca="false">F562/149.4</f>
        <v>1305.22088353414</v>
      </c>
      <c r="H562" s="661" t="n">
        <f aca="false">G562/60</f>
        <v>21.7536813922356</v>
      </c>
      <c r="I562" s="660" t="n">
        <f aca="false">'норма времени'!D566</f>
        <v>30</v>
      </c>
      <c r="J562" s="661" t="n">
        <f aca="false">H562*I562</f>
        <v>652.610441767068</v>
      </c>
    </row>
    <row r="563" customFormat="false" ht="15" hidden="false" customHeight="false" outlineLevel="0" collapsed="false">
      <c r="A563" s="327" t="s">
        <v>942</v>
      </c>
      <c r="B563" s="433" t="s">
        <v>3263</v>
      </c>
      <c r="C563" s="954" t="n">
        <v>75000</v>
      </c>
      <c r="D563" s="954" t="n">
        <v>65000</v>
      </c>
      <c r="E563" s="954" t="n">
        <v>55000</v>
      </c>
      <c r="F563" s="955" t="n">
        <f aca="false">C563+D563+E563</f>
        <v>195000</v>
      </c>
      <c r="G563" s="955" t="n">
        <f aca="false">F563/149.4</f>
        <v>1305.22088353414</v>
      </c>
      <c r="H563" s="661" t="n">
        <f aca="false">G563/60</f>
        <v>21.7536813922356</v>
      </c>
      <c r="I563" s="660" t="n">
        <f aca="false">'норма времени'!D567</f>
        <v>80</v>
      </c>
      <c r="J563" s="661" t="n">
        <f aca="false">H563*I563</f>
        <v>1740.29451137885</v>
      </c>
    </row>
    <row r="564" customFormat="false" ht="30" hidden="false" customHeight="false" outlineLevel="0" collapsed="false">
      <c r="A564" s="327" t="s">
        <v>944</v>
      </c>
      <c r="B564" s="433" t="s">
        <v>3264</v>
      </c>
      <c r="C564" s="954" t="n">
        <v>75000</v>
      </c>
      <c r="D564" s="954" t="n">
        <v>65000</v>
      </c>
      <c r="E564" s="954" t="n">
        <v>55000</v>
      </c>
      <c r="F564" s="955" t="n">
        <f aca="false">C564+D564+E564</f>
        <v>195000</v>
      </c>
      <c r="G564" s="955" t="n">
        <f aca="false">F564/149.4</f>
        <v>1305.22088353414</v>
      </c>
      <c r="H564" s="661" t="n">
        <f aca="false">G564/60</f>
        <v>21.7536813922356</v>
      </c>
      <c r="I564" s="660" t="n">
        <f aca="false">'норма времени'!D568</f>
        <v>65</v>
      </c>
      <c r="J564" s="661" t="n">
        <f aca="false">H564*I564</f>
        <v>1413.98929049531</v>
      </c>
    </row>
    <row r="565" customFormat="false" ht="30" hidden="false" customHeight="false" outlineLevel="0" collapsed="false">
      <c r="A565" s="327" t="s">
        <v>946</v>
      </c>
      <c r="B565" s="433" t="s">
        <v>3265</v>
      </c>
      <c r="C565" s="954" t="n">
        <v>75000</v>
      </c>
      <c r="D565" s="954" t="n">
        <v>65000</v>
      </c>
      <c r="E565" s="954" t="n">
        <v>55000</v>
      </c>
      <c r="F565" s="955" t="n">
        <f aca="false">C565+D565+E565</f>
        <v>195000</v>
      </c>
      <c r="G565" s="955" t="n">
        <f aca="false">F565/149.4</f>
        <v>1305.22088353414</v>
      </c>
      <c r="H565" s="661" t="n">
        <f aca="false">G565/60</f>
        <v>21.7536813922356</v>
      </c>
      <c r="I565" s="660" t="n">
        <f aca="false">'норма времени'!D569</f>
        <v>55</v>
      </c>
      <c r="J565" s="661" t="n">
        <f aca="false">H565*I565</f>
        <v>1196.45247657296</v>
      </c>
    </row>
    <row r="566" customFormat="false" ht="15" hidden="false" customHeight="false" outlineLevel="0" collapsed="false">
      <c r="A566" s="327" t="s">
        <v>948</v>
      </c>
      <c r="B566" s="433" t="s">
        <v>3266</v>
      </c>
      <c r="C566" s="954" t="n">
        <v>75000</v>
      </c>
      <c r="D566" s="954" t="n">
        <v>65000</v>
      </c>
      <c r="E566" s="954" t="n">
        <v>55000</v>
      </c>
      <c r="F566" s="955" t="n">
        <f aca="false">C566+D566+E566</f>
        <v>195000</v>
      </c>
      <c r="G566" s="955" t="n">
        <f aca="false">F566/149.4</f>
        <v>1305.22088353414</v>
      </c>
      <c r="H566" s="661" t="n">
        <f aca="false">G566/60</f>
        <v>21.7536813922356</v>
      </c>
      <c r="I566" s="660" t="n">
        <f aca="false">'норма времени'!D570</f>
        <v>65</v>
      </c>
      <c r="J566" s="661" t="n">
        <f aca="false">H566*I566</f>
        <v>1413.98929049531</v>
      </c>
    </row>
    <row r="567" customFormat="false" ht="15" hidden="false" customHeight="false" outlineLevel="0" collapsed="false">
      <c r="A567" s="327" t="s">
        <v>950</v>
      </c>
      <c r="B567" s="433" t="s">
        <v>3267</v>
      </c>
      <c r="C567" s="954" t="n">
        <v>75000</v>
      </c>
      <c r="D567" s="954" t="n">
        <v>65000</v>
      </c>
      <c r="E567" s="954" t="n">
        <v>55000</v>
      </c>
      <c r="F567" s="955" t="n">
        <f aca="false">C567+D567+E567</f>
        <v>195000</v>
      </c>
      <c r="G567" s="955" t="n">
        <f aca="false">F567/149.4</f>
        <v>1305.22088353414</v>
      </c>
      <c r="H567" s="661" t="n">
        <f aca="false">G567/60</f>
        <v>21.7536813922356</v>
      </c>
      <c r="I567" s="660" t="n">
        <f aca="false">'норма времени'!D571</f>
        <v>60</v>
      </c>
      <c r="J567" s="661" t="n">
        <f aca="false">H567*I567</f>
        <v>1305.22088353414</v>
      </c>
    </row>
    <row r="568" customFormat="false" ht="15" hidden="false" customHeight="false" outlineLevel="0" collapsed="false">
      <c r="A568" s="327" t="s">
        <v>952</v>
      </c>
      <c r="B568" s="433" t="s">
        <v>3268</v>
      </c>
      <c r="C568" s="954" t="n">
        <v>75000</v>
      </c>
      <c r="D568" s="954" t="n">
        <v>65000</v>
      </c>
      <c r="E568" s="954" t="n">
        <v>55000</v>
      </c>
      <c r="F568" s="955" t="n">
        <f aca="false">C568+D568+E568</f>
        <v>195000</v>
      </c>
      <c r="G568" s="955" t="n">
        <f aca="false">F568/149.4</f>
        <v>1305.22088353414</v>
      </c>
      <c r="H568" s="661" t="n">
        <f aca="false">G568/60</f>
        <v>21.7536813922356</v>
      </c>
      <c r="I568" s="660" t="n">
        <f aca="false">'норма времени'!D572</f>
        <v>60</v>
      </c>
      <c r="J568" s="661" t="n">
        <f aca="false">H568*I568</f>
        <v>1305.22088353414</v>
      </c>
    </row>
    <row r="569" customFormat="false" ht="15" hidden="false" customHeight="false" outlineLevel="0" collapsed="false">
      <c r="A569" s="327" t="s">
        <v>954</v>
      </c>
      <c r="B569" s="433" t="s">
        <v>3269</v>
      </c>
      <c r="C569" s="954" t="n">
        <v>75000</v>
      </c>
      <c r="D569" s="954" t="n">
        <v>65000</v>
      </c>
      <c r="E569" s="954" t="n">
        <v>55000</v>
      </c>
      <c r="F569" s="955" t="n">
        <f aca="false">C569+D569+E569</f>
        <v>195000</v>
      </c>
      <c r="G569" s="955" t="n">
        <f aca="false">F569/149.4</f>
        <v>1305.22088353414</v>
      </c>
      <c r="H569" s="661" t="n">
        <f aca="false">G569/60</f>
        <v>21.7536813922356</v>
      </c>
      <c r="I569" s="660" t="n">
        <f aca="false">'норма времени'!D573</f>
        <v>30</v>
      </c>
      <c r="J569" s="661" t="n">
        <f aca="false">H569*I569</f>
        <v>652.610441767068</v>
      </c>
    </row>
    <row r="570" customFormat="false" ht="15" hidden="false" customHeight="false" outlineLevel="0" collapsed="false">
      <c r="A570" s="327" t="s">
        <v>955</v>
      </c>
      <c r="B570" s="433" t="s">
        <v>3270</v>
      </c>
      <c r="C570" s="954" t="n">
        <v>75000</v>
      </c>
      <c r="D570" s="954" t="n">
        <v>65000</v>
      </c>
      <c r="E570" s="954" t="n">
        <v>55000</v>
      </c>
      <c r="F570" s="955" t="n">
        <f aca="false">C570+D570+E570</f>
        <v>195000</v>
      </c>
      <c r="G570" s="955" t="n">
        <f aca="false">F570/149.4</f>
        <v>1305.22088353414</v>
      </c>
      <c r="H570" s="661" t="n">
        <f aca="false">G570/60</f>
        <v>21.7536813922356</v>
      </c>
      <c r="I570" s="660" t="n">
        <f aca="false">'норма времени'!D574</f>
        <v>65</v>
      </c>
      <c r="J570" s="661" t="n">
        <f aca="false">H570*I570</f>
        <v>1413.98929049531</v>
      </c>
    </row>
    <row r="571" customFormat="false" ht="15" hidden="false" customHeight="false" outlineLevel="0" collapsed="false">
      <c r="A571" s="327" t="s">
        <v>957</v>
      </c>
      <c r="B571" s="433" t="s">
        <v>3271</v>
      </c>
      <c r="C571" s="954" t="n">
        <v>75000</v>
      </c>
      <c r="D571" s="954" t="n">
        <v>65000</v>
      </c>
      <c r="E571" s="954" t="n">
        <v>55000</v>
      </c>
      <c r="F571" s="955" t="n">
        <f aca="false">C571+D571+E571</f>
        <v>195000</v>
      </c>
      <c r="G571" s="955" t="n">
        <f aca="false">F571/149.4</f>
        <v>1305.22088353414</v>
      </c>
      <c r="H571" s="661" t="n">
        <f aca="false">G571/60</f>
        <v>21.7536813922356</v>
      </c>
      <c r="I571" s="660" t="n">
        <f aca="false">'норма времени'!D575</f>
        <v>55</v>
      </c>
      <c r="J571" s="661" t="n">
        <f aca="false">H571*I571</f>
        <v>1196.45247657296</v>
      </c>
    </row>
    <row r="572" customFormat="false" ht="15" hidden="false" customHeight="false" outlineLevel="0" collapsed="false">
      <c r="A572" s="327" t="s">
        <v>959</v>
      </c>
      <c r="B572" s="433" t="s">
        <v>3272</v>
      </c>
      <c r="C572" s="954" t="n">
        <v>75000</v>
      </c>
      <c r="D572" s="954" t="n">
        <v>65000</v>
      </c>
      <c r="E572" s="954" t="n">
        <v>55000</v>
      </c>
      <c r="F572" s="955" t="n">
        <f aca="false">C572+D572+E572</f>
        <v>195000</v>
      </c>
      <c r="G572" s="955" t="n">
        <f aca="false">F572/149.4</f>
        <v>1305.22088353414</v>
      </c>
      <c r="H572" s="661" t="n">
        <f aca="false">G572/60</f>
        <v>21.7536813922356</v>
      </c>
      <c r="I572" s="660" t="n">
        <f aca="false">'норма времени'!D576</f>
        <v>75</v>
      </c>
      <c r="J572" s="661" t="n">
        <f aca="false">H572*I572</f>
        <v>1631.52610441767</v>
      </c>
    </row>
    <row r="573" customFormat="false" ht="30" hidden="false" customHeight="false" outlineLevel="0" collapsed="false">
      <c r="A573" s="327" t="s">
        <v>961</v>
      </c>
      <c r="B573" s="493" t="s">
        <v>3273</v>
      </c>
      <c r="C573" s="954" t="n">
        <v>75000</v>
      </c>
      <c r="D573" s="954" t="n">
        <v>65000</v>
      </c>
      <c r="E573" s="954" t="n">
        <v>55000</v>
      </c>
      <c r="F573" s="955" t="n">
        <f aca="false">C573+D573+E573</f>
        <v>195000</v>
      </c>
      <c r="G573" s="955" t="n">
        <f aca="false">F573/149.4</f>
        <v>1305.22088353414</v>
      </c>
      <c r="H573" s="661" t="n">
        <f aca="false">G573/60</f>
        <v>21.7536813922356</v>
      </c>
      <c r="I573" s="660" t="n">
        <f aca="false">'норма времени'!D577</f>
        <v>65</v>
      </c>
      <c r="J573" s="661" t="n">
        <f aca="false">H573*I573</f>
        <v>1413.98929049531</v>
      </c>
    </row>
    <row r="574" customFormat="false" ht="15" hidden="false" customHeight="false" outlineLevel="0" collapsed="false">
      <c r="A574" s="327" t="s">
        <v>963</v>
      </c>
      <c r="B574" s="493" t="s">
        <v>3274</v>
      </c>
      <c r="C574" s="954" t="n">
        <v>75000</v>
      </c>
      <c r="D574" s="954" t="n">
        <v>65000</v>
      </c>
      <c r="E574" s="954" t="n">
        <v>55000</v>
      </c>
      <c r="F574" s="955" t="n">
        <f aca="false">C574+D574+E574</f>
        <v>195000</v>
      </c>
      <c r="G574" s="955" t="n">
        <f aca="false">F574/149.4</f>
        <v>1305.22088353414</v>
      </c>
      <c r="H574" s="661" t="n">
        <f aca="false">G574/60</f>
        <v>21.7536813922356</v>
      </c>
      <c r="I574" s="660" t="n">
        <f aca="false">'норма времени'!D578</f>
        <v>30</v>
      </c>
      <c r="J574" s="661" t="n">
        <f aca="false">H574*I574</f>
        <v>652.610441767068</v>
      </c>
    </row>
    <row r="575" customFormat="false" ht="15" hidden="false" customHeight="false" outlineLevel="0" collapsed="false">
      <c r="A575" s="327" t="s">
        <v>965</v>
      </c>
      <c r="B575" s="493" t="s">
        <v>3275</v>
      </c>
      <c r="C575" s="954" t="n">
        <v>75000</v>
      </c>
      <c r="D575" s="954" t="n">
        <v>65000</v>
      </c>
      <c r="E575" s="954" t="n">
        <v>55000</v>
      </c>
      <c r="F575" s="955" t="n">
        <f aca="false">C575+D575+E575</f>
        <v>195000</v>
      </c>
      <c r="G575" s="955" t="n">
        <f aca="false">F575/149.4</f>
        <v>1305.22088353414</v>
      </c>
      <c r="H575" s="661" t="n">
        <f aca="false">G575/60</f>
        <v>21.7536813922356</v>
      </c>
      <c r="I575" s="660" t="n">
        <f aca="false">'норма времени'!D579</f>
        <v>75</v>
      </c>
      <c r="J575" s="661" t="n">
        <f aca="false">H575*I575</f>
        <v>1631.52610441767</v>
      </c>
    </row>
    <row r="576" customFormat="false" ht="15" hidden="false" customHeight="false" outlineLevel="0" collapsed="false">
      <c r="A576" s="327" t="s">
        <v>967</v>
      </c>
      <c r="B576" s="493" t="s">
        <v>3276</v>
      </c>
      <c r="C576" s="954" t="n">
        <v>75000</v>
      </c>
      <c r="D576" s="954" t="n">
        <v>65000</v>
      </c>
      <c r="E576" s="954" t="n">
        <v>55000</v>
      </c>
      <c r="F576" s="955" t="n">
        <f aca="false">C576+D576+E576</f>
        <v>195000</v>
      </c>
      <c r="G576" s="955" t="n">
        <f aca="false">F576/149.4</f>
        <v>1305.22088353414</v>
      </c>
      <c r="H576" s="661" t="n">
        <f aca="false">G576/60</f>
        <v>21.7536813922356</v>
      </c>
      <c r="I576" s="660" t="n">
        <f aca="false">'норма времени'!D580</f>
        <v>65</v>
      </c>
      <c r="J576" s="661" t="n">
        <f aca="false">H576*I576</f>
        <v>1413.98929049531</v>
      </c>
    </row>
    <row r="577" customFormat="false" ht="15" hidden="false" customHeight="false" outlineLevel="0" collapsed="false">
      <c r="A577" s="327" t="s">
        <v>969</v>
      </c>
      <c r="B577" s="493" t="s">
        <v>3277</v>
      </c>
      <c r="C577" s="954" t="n">
        <v>75000</v>
      </c>
      <c r="D577" s="954" t="n">
        <v>65000</v>
      </c>
      <c r="E577" s="954" t="n">
        <v>55000</v>
      </c>
      <c r="F577" s="955" t="n">
        <f aca="false">C577+D577+E577</f>
        <v>195000</v>
      </c>
      <c r="G577" s="955" t="n">
        <f aca="false">F577/149.4</f>
        <v>1305.22088353414</v>
      </c>
      <c r="H577" s="661" t="n">
        <f aca="false">G577/60</f>
        <v>21.7536813922356</v>
      </c>
      <c r="I577" s="660" t="n">
        <f aca="false">'норма времени'!D581</f>
        <v>55</v>
      </c>
      <c r="J577" s="661" t="n">
        <f aca="false">H577*I577</f>
        <v>1196.45247657296</v>
      </c>
    </row>
    <row r="578" customFormat="false" ht="15" hidden="false" customHeight="false" outlineLevel="0" collapsed="false">
      <c r="A578" s="327" t="s">
        <v>971</v>
      </c>
      <c r="B578" s="493" t="s">
        <v>3278</v>
      </c>
      <c r="C578" s="954" t="n">
        <v>75000</v>
      </c>
      <c r="D578" s="954" t="n">
        <v>65000</v>
      </c>
      <c r="E578" s="954" t="n">
        <v>55000</v>
      </c>
      <c r="F578" s="955" t="n">
        <f aca="false">C578+D578+E578</f>
        <v>195000</v>
      </c>
      <c r="G578" s="955" t="n">
        <f aca="false">F578/149.4</f>
        <v>1305.22088353414</v>
      </c>
      <c r="H578" s="661" t="n">
        <f aca="false">G578/60</f>
        <v>21.7536813922356</v>
      </c>
      <c r="I578" s="660" t="n">
        <f aca="false">'норма времени'!D582</f>
        <v>55</v>
      </c>
      <c r="J578" s="661" t="n">
        <f aca="false">H578*I578</f>
        <v>1196.45247657296</v>
      </c>
    </row>
    <row r="579" customFormat="false" ht="15" hidden="false" customHeight="false" outlineLevel="0" collapsed="false">
      <c r="A579" s="327" t="s">
        <v>973</v>
      </c>
      <c r="B579" s="493" t="s">
        <v>3279</v>
      </c>
      <c r="C579" s="954" t="n">
        <v>75000</v>
      </c>
      <c r="D579" s="954" t="n">
        <v>65000</v>
      </c>
      <c r="E579" s="954" t="n">
        <v>55000</v>
      </c>
      <c r="F579" s="955" t="n">
        <f aca="false">C579+D579+E579</f>
        <v>195000</v>
      </c>
      <c r="G579" s="955" t="n">
        <f aca="false">F579/149.4</f>
        <v>1305.22088353414</v>
      </c>
      <c r="H579" s="661" t="n">
        <f aca="false">G579/60</f>
        <v>21.7536813922356</v>
      </c>
      <c r="I579" s="660" t="n">
        <f aca="false">'норма времени'!D583</f>
        <v>55</v>
      </c>
      <c r="J579" s="661" t="n">
        <f aca="false">H579*I579</f>
        <v>1196.45247657296</v>
      </c>
    </row>
    <row r="580" customFormat="false" ht="15" hidden="false" customHeight="false" outlineLevel="0" collapsed="false">
      <c r="A580" s="327" t="s">
        <v>975</v>
      </c>
      <c r="B580" s="493" t="s">
        <v>3280</v>
      </c>
      <c r="C580" s="954" t="n">
        <v>75000</v>
      </c>
      <c r="D580" s="954" t="n">
        <v>65000</v>
      </c>
      <c r="E580" s="954" t="n">
        <v>55000</v>
      </c>
      <c r="F580" s="955" t="n">
        <f aca="false">C580+D580+E580</f>
        <v>195000</v>
      </c>
      <c r="G580" s="955" t="n">
        <f aca="false">F580/149.4</f>
        <v>1305.22088353414</v>
      </c>
      <c r="H580" s="661" t="n">
        <f aca="false">G580/60</f>
        <v>21.7536813922356</v>
      </c>
      <c r="I580" s="660" t="n">
        <f aca="false">'норма времени'!D584</f>
        <v>65</v>
      </c>
      <c r="J580" s="661" t="n">
        <f aca="false">H580*I580</f>
        <v>1413.98929049531</v>
      </c>
    </row>
    <row r="581" customFormat="false" ht="30" hidden="false" customHeight="false" outlineLevel="0" collapsed="false">
      <c r="A581" s="327" t="s">
        <v>977</v>
      </c>
      <c r="B581" s="493" t="s">
        <v>3281</v>
      </c>
      <c r="C581" s="954" t="n">
        <v>75000</v>
      </c>
      <c r="D581" s="954" t="n">
        <v>65000</v>
      </c>
      <c r="E581" s="954" t="n">
        <v>55000</v>
      </c>
      <c r="F581" s="955" t="n">
        <f aca="false">C581+D581+E581</f>
        <v>195000</v>
      </c>
      <c r="G581" s="955" t="n">
        <f aca="false">F581/149.4</f>
        <v>1305.22088353414</v>
      </c>
      <c r="H581" s="661" t="n">
        <f aca="false">G581/60</f>
        <v>21.7536813922356</v>
      </c>
      <c r="I581" s="660" t="n">
        <f aca="false">'норма времени'!D585</f>
        <v>75</v>
      </c>
      <c r="J581" s="661" t="n">
        <f aca="false">H581*I581</f>
        <v>1631.52610441767</v>
      </c>
    </row>
    <row r="582" customFormat="false" ht="42.75" hidden="false" customHeight="false" outlineLevel="0" collapsed="false">
      <c r="A582" s="350" t="s">
        <v>979</v>
      </c>
      <c r="B582" s="467" t="s">
        <v>3282</v>
      </c>
      <c r="C582" s="1253"/>
      <c r="D582" s="1253"/>
      <c r="E582" s="1253"/>
      <c r="F582" s="1254"/>
      <c r="G582" s="1254"/>
      <c r="H582" s="1250"/>
      <c r="I582" s="1255"/>
      <c r="J582" s="1250"/>
    </row>
    <row r="583" customFormat="false" ht="45" hidden="false" customHeight="false" outlineLevel="0" collapsed="false">
      <c r="A583" s="327" t="s">
        <v>981</v>
      </c>
      <c r="B583" s="433" t="s">
        <v>3249</v>
      </c>
      <c r="C583" s="954" t="n">
        <v>40000</v>
      </c>
      <c r="D583" s="954" t="n">
        <v>35000</v>
      </c>
      <c r="E583" s="954" t="n">
        <v>30000</v>
      </c>
      <c r="F583" s="955" t="n">
        <f aca="false">C583+D583+E583</f>
        <v>105000</v>
      </c>
      <c r="G583" s="955" t="n">
        <f aca="false">F583/149.4</f>
        <v>702.81124497992</v>
      </c>
      <c r="H583" s="661" t="n">
        <f aca="false">G583/60</f>
        <v>11.7135207496653</v>
      </c>
      <c r="I583" s="660" t="n">
        <f aca="false">'норма времени'!D587</f>
        <v>40</v>
      </c>
      <c r="J583" s="661" t="n">
        <f aca="false">H583*I583</f>
        <v>468.540829986613</v>
      </c>
    </row>
    <row r="584" customFormat="false" ht="15" hidden="false" customHeight="false" outlineLevel="0" collapsed="false">
      <c r="A584" s="327" t="s">
        <v>982</v>
      </c>
      <c r="B584" s="492" t="s">
        <v>3283</v>
      </c>
      <c r="C584" s="954" t="n">
        <v>40000</v>
      </c>
      <c r="D584" s="954" t="n">
        <v>30000</v>
      </c>
      <c r="E584" s="954" t="n">
        <v>20000</v>
      </c>
      <c r="F584" s="955" t="n">
        <f aca="false">C584+D584+E584</f>
        <v>90000</v>
      </c>
      <c r="G584" s="955" t="n">
        <f aca="false">F584/149.4</f>
        <v>602.409638554217</v>
      </c>
      <c r="H584" s="661" t="n">
        <f aca="false">G584/60</f>
        <v>10.0401606425703</v>
      </c>
      <c r="I584" s="660" t="n">
        <f aca="false">'норма времени'!D588</f>
        <v>40</v>
      </c>
      <c r="J584" s="661" t="n">
        <f aca="false">H584*I584</f>
        <v>401.606425702811</v>
      </c>
    </row>
    <row r="585" customFormat="false" ht="15" hidden="false" customHeight="false" outlineLevel="0" collapsed="false">
      <c r="A585" s="327" t="s">
        <v>983</v>
      </c>
      <c r="B585" s="433" t="s">
        <v>3238</v>
      </c>
      <c r="C585" s="954" t="n">
        <v>75000</v>
      </c>
      <c r="D585" s="954" t="n">
        <v>65000</v>
      </c>
      <c r="E585" s="954" t="n">
        <v>55000</v>
      </c>
      <c r="F585" s="955" t="n">
        <f aca="false">C585+D585+E585</f>
        <v>195000</v>
      </c>
      <c r="G585" s="955" t="n">
        <f aca="false">F585/149.4</f>
        <v>1305.22088353414</v>
      </c>
      <c r="H585" s="661" t="n">
        <f aca="false">G585/60</f>
        <v>21.7536813922356</v>
      </c>
      <c r="I585" s="660" t="n">
        <f aca="false">'норма времени'!D589</f>
        <v>55</v>
      </c>
      <c r="J585" s="661" t="n">
        <f aca="false">H585*I585</f>
        <v>1196.45247657296</v>
      </c>
    </row>
    <row r="586" customFormat="false" ht="45" hidden="false" customHeight="false" outlineLevel="0" collapsed="false">
      <c r="A586" s="327" t="s">
        <v>984</v>
      </c>
      <c r="B586" s="433" t="s">
        <v>3284</v>
      </c>
      <c r="C586" s="954" t="n">
        <v>75000</v>
      </c>
      <c r="D586" s="954" t="n">
        <v>65000</v>
      </c>
      <c r="E586" s="954" t="n">
        <v>55000</v>
      </c>
      <c r="F586" s="955" t="n">
        <f aca="false">C586+D586+E586</f>
        <v>195000</v>
      </c>
      <c r="G586" s="955" t="n">
        <f aca="false">F586/149.4</f>
        <v>1305.22088353414</v>
      </c>
      <c r="H586" s="661" t="n">
        <f aca="false">G586/60</f>
        <v>21.7536813922356</v>
      </c>
      <c r="I586" s="660" t="n">
        <f aca="false">'норма времени'!D590</f>
        <v>40</v>
      </c>
      <c r="J586" s="661" t="n">
        <f aca="false">H586*I586</f>
        <v>870.147255689424</v>
      </c>
    </row>
    <row r="587" customFormat="false" ht="15" hidden="false" customHeight="false" outlineLevel="0" collapsed="false">
      <c r="A587" s="327" t="s">
        <v>986</v>
      </c>
      <c r="B587" s="328" t="s">
        <v>3285</v>
      </c>
      <c r="C587" s="954" t="n">
        <v>70000</v>
      </c>
      <c r="D587" s="954" t="n">
        <v>55000</v>
      </c>
      <c r="E587" s="954" t="n">
        <v>50000</v>
      </c>
      <c r="F587" s="955" t="n">
        <f aca="false">C587+D587+E587</f>
        <v>175000</v>
      </c>
      <c r="G587" s="955" t="n">
        <f aca="false">F587/149.4</f>
        <v>1171.35207496653</v>
      </c>
      <c r="H587" s="661" t="n">
        <f aca="false">G587/60</f>
        <v>19.5225345827755</v>
      </c>
      <c r="I587" s="660" t="n">
        <f aca="false">'норма времени'!D591</f>
        <v>60</v>
      </c>
      <c r="J587" s="661" t="n">
        <f aca="false">H587*I587</f>
        <v>1171.35207496653</v>
      </c>
    </row>
    <row r="588" customFormat="false" ht="30" hidden="false" customHeight="false" outlineLevel="0" collapsed="false">
      <c r="A588" s="327" t="s">
        <v>987</v>
      </c>
      <c r="B588" s="328" t="s">
        <v>3286</v>
      </c>
      <c r="C588" s="954" t="n">
        <v>60000</v>
      </c>
      <c r="D588" s="954" t="n">
        <v>50000</v>
      </c>
      <c r="E588" s="954" t="n">
        <v>40000</v>
      </c>
      <c r="F588" s="955" t="n">
        <f aca="false">C588+D588+E588</f>
        <v>150000</v>
      </c>
      <c r="G588" s="955" t="n">
        <f aca="false">F588/149.4</f>
        <v>1004.01606425703</v>
      </c>
      <c r="H588" s="661" t="n">
        <f aca="false">G588/60</f>
        <v>16.7336010709505</v>
      </c>
      <c r="I588" s="660" t="n">
        <f aca="false">'норма времени'!D592</f>
        <v>55</v>
      </c>
      <c r="J588" s="661" t="n">
        <f aca="false">H588*I588</f>
        <v>920.348058902276</v>
      </c>
    </row>
    <row r="589" customFormat="false" ht="15" hidden="false" customHeight="false" outlineLevel="0" collapsed="false">
      <c r="A589" s="327" t="s">
        <v>989</v>
      </c>
      <c r="B589" s="433" t="s">
        <v>3287</v>
      </c>
      <c r="C589" s="954" t="n">
        <v>40000</v>
      </c>
      <c r="D589" s="954" t="n">
        <v>30000</v>
      </c>
      <c r="E589" s="954" t="n">
        <v>20000</v>
      </c>
      <c r="F589" s="955" t="n">
        <f aca="false">C589+D589+E589</f>
        <v>90000</v>
      </c>
      <c r="G589" s="955" t="n">
        <f aca="false">F589/149.4</f>
        <v>602.409638554217</v>
      </c>
      <c r="H589" s="661" t="n">
        <f aca="false">G589/60</f>
        <v>10.0401606425703</v>
      </c>
      <c r="I589" s="660" t="n">
        <f aca="false">'норма времени'!D593</f>
        <v>60</v>
      </c>
      <c r="J589" s="661" t="n">
        <f aca="false">H589*I589</f>
        <v>602.409638554217</v>
      </c>
    </row>
    <row r="590" customFormat="false" ht="15" hidden="false" customHeight="false" outlineLevel="0" collapsed="false">
      <c r="A590" s="327" t="s">
        <v>990</v>
      </c>
      <c r="B590" s="433" t="s">
        <v>3288</v>
      </c>
      <c r="C590" s="954" t="n">
        <v>60000</v>
      </c>
      <c r="D590" s="954" t="n">
        <v>50000</v>
      </c>
      <c r="E590" s="954" t="n">
        <v>40000</v>
      </c>
      <c r="F590" s="955" t="n">
        <f aca="false">C590+D590+E590</f>
        <v>150000</v>
      </c>
      <c r="G590" s="955" t="n">
        <f aca="false">F590/149.4</f>
        <v>1004.01606425703</v>
      </c>
      <c r="H590" s="661" t="n">
        <f aca="false">G590/60</f>
        <v>16.7336010709505</v>
      </c>
      <c r="I590" s="660" t="n">
        <f aca="false">'норма времени'!D594</f>
        <v>60</v>
      </c>
      <c r="J590" s="661" t="n">
        <f aca="false">H590*I590</f>
        <v>1004.01606425703</v>
      </c>
    </row>
    <row r="591" customFormat="false" ht="15" hidden="false" customHeight="false" outlineLevel="0" collapsed="false">
      <c r="A591" s="350" t="s">
        <v>992</v>
      </c>
      <c r="B591" s="467" t="s">
        <v>3289</v>
      </c>
      <c r="C591" s="1253"/>
      <c r="D591" s="1253"/>
      <c r="E591" s="1253"/>
      <c r="F591" s="1254"/>
      <c r="G591" s="1254"/>
      <c r="H591" s="1250"/>
      <c r="I591" s="1255"/>
      <c r="J591" s="1250"/>
    </row>
    <row r="592" customFormat="false" ht="45" hidden="false" customHeight="false" outlineLevel="0" collapsed="false">
      <c r="A592" s="327" t="s">
        <v>994</v>
      </c>
      <c r="B592" s="488" t="s">
        <v>3249</v>
      </c>
      <c r="C592" s="954" t="n">
        <v>40000</v>
      </c>
      <c r="D592" s="954" t="n">
        <v>35000</v>
      </c>
      <c r="E592" s="954" t="n">
        <v>30000</v>
      </c>
      <c r="F592" s="955" t="n">
        <f aca="false">C592+D592+E592</f>
        <v>105000</v>
      </c>
      <c r="G592" s="955" t="n">
        <f aca="false">F592/149.4</f>
        <v>702.81124497992</v>
      </c>
      <c r="H592" s="661" t="n">
        <f aca="false">G592/60</f>
        <v>11.7135207496653</v>
      </c>
      <c r="I592" s="660" t="n">
        <f aca="false">'норма времени'!D596</f>
        <v>40</v>
      </c>
      <c r="J592" s="661" t="n">
        <f aca="false">H592*I592</f>
        <v>468.540829986613</v>
      </c>
    </row>
    <row r="593" customFormat="false" ht="45" hidden="false" customHeight="false" outlineLevel="0" collapsed="false">
      <c r="A593" s="327" t="s">
        <v>995</v>
      </c>
      <c r="B593" s="488" t="s">
        <v>3290</v>
      </c>
      <c r="C593" s="954" t="n">
        <v>75000</v>
      </c>
      <c r="D593" s="954" t="n">
        <v>65000</v>
      </c>
      <c r="E593" s="954" t="n">
        <v>55000</v>
      </c>
      <c r="F593" s="955" t="n">
        <f aca="false">C593+D593+E593</f>
        <v>195000</v>
      </c>
      <c r="G593" s="955" t="n">
        <f aca="false">F593/149.4</f>
        <v>1305.22088353414</v>
      </c>
      <c r="H593" s="661" t="n">
        <f aca="false">G593/60</f>
        <v>21.7536813922356</v>
      </c>
      <c r="I593" s="660" t="n">
        <f aca="false">'норма времени'!D597</f>
        <v>40</v>
      </c>
      <c r="J593" s="661" t="n">
        <f aca="false">H593*I593</f>
        <v>870.147255689424</v>
      </c>
    </row>
    <row r="594" customFormat="false" ht="15" hidden="false" customHeight="false" outlineLevel="0" collapsed="false">
      <c r="A594" s="327" t="s">
        <v>997</v>
      </c>
      <c r="B594" s="488" t="s">
        <v>3291</v>
      </c>
      <c r="C594" s="954" t="n">
        <v>40000</v>
      </c>
      <c r="D594" s="954" t="n">
        <v>40000</v>
      </c>
      <c r="E594" s="954" t="n">
        <v>39500</v>
      </c>
      <c r="F594" s="955" t="n">
        <f aca="false">C594+D594+E594</f>
        <v>119500</v>
      </c>
      <c r="G594" s="955" t="n">
        <f aca="false">F594/149.4</f>
        <v>799.866131191432</v>
      </c>
      <c r="H594" s="661" t="n">
        <f aca="false">G594/60</f>
        <v>13.3311021865239</v>
      </c>
      <c r="I594" s="660" t="n">
        <f aca="false">'норма времени'!D598</f>
        <v>70</v>
      </c>
      <c r="J594" s="661" t="n">
        <f aca="false">H594*I594</f>
        <v>933.177153056671</v>
      </c>
    </row>
    <row r="595" customFormat="false" ht="15" hidden="false" customHeight="false" outlineLevel="0" collapsed="false">
      <c r="A595" s="327" t="s">
        <v>998</v>
      </c>
      <c r="B595" s="488" t="s">
        <v>2889</v>
      </c>
      <c r="C595" s="954" t="n">
        <v>75000</v>
      </c>
      <c r="D595" s="954" t="n">
        <v>65000</v>
      </c>
      <c r="E595" s="954" t="n">
        <v>55000</v>
      </c>
      <c r="F595" s="955" t="n">
        <f aca="false">C595+D595+E595</f>
        <v>195000</v>
      </c>
      <c r="G595" s="955" t="n">
        <f aca="false">F595/149.4</f>
        <v>1305.22088353414</v>
      </c>
      <c r="H595" s="661" t="n">
        <f aca="false">G595/60</f>
        <v>21.7536813922356</v>
      </c>
      <c r="I595" s="660" t="n">
        <f aca="false">'норма времени'!D599</f>
        <v>65</v>
      </c>
      <c r="J595" s="661" t="n">
        <f aca="false">H595*I595</f>
        <v>1413.98929049531</v>
      </c>
    </row>
    <row r="596" customFormat="false" ht="15" hidden="false" customHeight="false" outlineLevel="0" collapsed="false">
      <c r="A596" s="327" t="s">
        <v>999</v>
      </c>
      <c r="B596" s="488" t="s">
        <v>3292</v>
      </c>
      <c r="C596" s="954" t="n">
        <v>40000</v>
      </c>
      <c r="D596" s="954" t="n">
        <v>40000</v>
      </c>
      <c r="E596" s="954" t="n">
        <v>39500</v>
      </c>
      <c r="F596" s="955" t="n">
        <f aca="false">C596+D596+E596</f>
        <v>119500</v>
      </c>
      <c r="G596" s="955" t="n">
        <f aca="false">F596/149.4</f>
        <v>799.866131191432</v>
      </c>
      <c r="H596" s="661" t="n">
        <f aca="false">G596/60</f>
        <v>13.3311021865239</v>
      </c>
      <c r="I596" s="660" t="n">
        <f aca="false">'норма времени'!D600</f>
        <v>80</v>
      </c>
      <c r="J596" s="661" t="n">
        <f aca="false">H596*I596</f>
        <v>1066.48817492191</v>
      </c>
    </row>
    <row r="597" customFormat="false" ht="30" hidden="false" customHeight="false" outlineLevel="0" collapsed="false">
      <c r="A597" s="327" t="s">
        <v>1001</v>
      </c>
      <c r="B597" s="488" t="s">
        <v>3293</v>
      </c>
      <c r="C597" s="954" t="n">
        <v>30000</v>
      </c>
      <c r="D597" s="954" t="n">
        <v>20000</v>
      </c>
      <c r="E597" s="954" t="n">
        <v>10000</v>
      </c>
      <c r="F597" s="955" t="n">
        <f aca="false">C597+D597+E597</f>
        <v>60000</v>
      </c>
      <c r="G597" s="955" t="n">
        <f aca="false">F597/149.4</f>
        <v>401.606425702811</v>
      </c>
      <c r="H597" s="661" t="n">
        <f aca="false">G597/60</f>
        <v>6.69344042838019</v>
      </c>
      <c r="I597" s="660" t="n">
        <f aca="false">'норма времени'!D601</f>
        <v>65</v>
      </c>
      <c r="J597" s="661" t="n">
        <f aca="false">H597*I597</f>
        <v>435.073627844712</v>
      </c>
    </row>
    <row r="598" customFormat="false" ht="30" hidden="false" customHeight="false" outlineLevel="0" collapsed="false">
      <c r="A598" s="327" t="s">
        <v>1003</v>
      </c>
      <c r="B598" s="488" t="s">
        <v>3294</v>
      </c>
      <c r="C598" s="954" t="n">
        <v>30000</v>
      </c>
      <c r="D598" s="954" t="n">
        <v>20000</v>
      </c>
      <c r="E598" s="954" t="n">
        <v>10000</v>
      </c>
      <c r="F598" s="955" t="n">
        <f aca="false">C598+D598+E598</f>
        <v>60000</v>
      </c>
      <c r="G598" s="955" t="n">
        <f aca="false">F598/149.4</f>
        <v>401.606425702811</v>
      </c>
      <c r="H598" s="661" t="n">
        <f aca="false">G598/60</f>
        <v>6.69344042838019</v>
      </c>
      <c r="I598" s="660" t="n">
        <f aca="false">'норма времени'!D602</f>
        <v>50</v>
      </c>
      <c r="J598" s="661" t="n">
        <f aca="false">H598*I598</f>
        <v>334.672021419009</v>
      </c>
    </row>
    <row r="599" customFormat="false" ht="30" hidden="false" customHeight="false" outlineLevel="0" collapsed="false">
      <c r="A599" s="327" t="s">
        <v>1005</v>
      </c>
      <c r="B599" s="488" t="s">
        <v>3295</v>
      </c>
      <c r="C599" s="954" t="n">
        <v>30000</v>
      </c>
      <c r="D599" s="954" t="n">
        <v>20000</v>
      </c>
      <c r="E599" s="954" t="n">
        <v>10000</v>
      </c>
      <c r="F599" s="955" t="n">
        <f aca="false">C599+D599+E599</f>
        <v>60000</v>
      </c>
      <c r="G599" s="955" t="n">
        <f aca="false">F599/149.4</f>
        <v>401.606425702811</v>
      </c>
      <c r="H599" s="661" t="n">
        <f aca="false">G599/60</f>
        <v>6.69344042838019</v>
      </c>
      <c r="I599" s="660" t="n">
        <f aca="false">'норма времени'!D603</f>
        <v>65</v>
      </c>
      <c r="J599" s="661" t="n">
        <f aca="false">H599*I599</f>
        <v>435.073627844712</v>
      </c>
    </row>
    <row r="600" customFormat="false" ht="30" hidden="false" customHeight="false" outlineLevel="0" collapsed="false">
      <c r="A600" s="327" t="s">
        <v>1007</v>
      </c>
      <c r="B600" s="488" t="s">
        <v>3296</v>
      </c>
      <c r="C600" s="954" t="n">
        <v>40000</v>
      </c>
      <c r="D600" s="954" t="n">
        <v>30000</v>
      </c>
      <c r="E600" s="954" t="n">
        <v>20000</v>
      </c>
      <c r="F600" s="955" t="n">
        <f aca="false">C600+D600+E600</f>
        <v>90000</v>
      </c>
      <c r="G600" s="955" t="n">
        <f aca="false">F600/149.4</f>
        <v>602.409638554217</v>
      </c>
      <c r="H600" s="661" t="n">
        <f aca="false">G600/60</f>
        <v>10.0401606425703</v>
      </c>
      <c r="I600" s="660" t="n">
        <f aca="false">'норма времени'!D604</f>
        <v>95</v>
      </c>
      <c r="J600" s="661" t="n">
        <f aca="false">H600*I600</f>
        <v>953.815261044177</v>
      </c>
    </row>
    <row r="601" customFormat="false" ht="30" hidden="false" customHeight="false" outlineLevel="0" collapsed="false">
      <c r="A601" s="327" t="s">
        <v>1009</v>
      </c>
      <c r="B601" s="488" t="s">
        <v>3297</v>
      </c>
      <c r="C601" s="954" t="n">
        <v>30000</v>
      </c>
      <c r="D601" s="954" t="n">
        <v>20000</v>
      </c>
      <c r="E601" s="954" t="n">
        <v>10000</v>
      </c>
      <c r="F601" s="955" t="n">
        <f aca="false">C601+D601+E601</f>
        <v>60000</v>
      </c>
      <c r="G601" s="955" t="n">
        <f aca="false">F601/149.4</f>
        <v>401.606425702811</v>
      </c>
      <c r="H601" s="661" t="n">
        <f aca="false">G601/60</f>
        <v>6.69344042838019</v>
      </c>
      <c r="I601" s="660" t="n">
        <f aca="false">'норма времени'!D605</f>
        <v>55</v>
      </c>
      <c r="J601" s="661" t="n">
        <f aca="false">H601*I601</f>
        <v>368.13922356091</v>
      </c>
    </row>
    <row r="602" customFormat="false" ht="30" hidden="false" customHeight="false" outlineLevel="0" collapsed="false">
      <c r="A602" s="327" t="s">
        <v>1011</v>
      </c>
      <c r="B602" s="488" t="s">
        <v>3298</v>
      </c>
      <c r="C602" s="954" t="n">
        <v>30000</v>
      </c>
      <c r="D602" s="954" t="n">
        <v>20000</v>
      </c>
      <c r="E602" s="954" t="n">
        <v>10000</v>
      </c>
      <c r="F602" s="955" t="n">
        <f aca="false">C602+D602+E602</f>
        <v>60000</v>
      </c>
      <c r="G602" s="955" t="n">
        <f aca="false">F602/149.4</f>
        <v>401.606425702811</v>
      </c>
      <c r="H602" s="661" t="n">
        <f aca="false">G602/60</f>
        <v>6.69344042838019</v>
      </c>
      <c r="I602" s="660" t="n">
        <f aca="false">'норма времени'!D606</f>
        <v>45</v>
      </c>
      <c r="J602" s="661" t="n">
        <f aca="false">H602*I602</f>
        <v>301.204819277108</v>
      </c>
    </row>
    <row r="603" customFormat="false" ht="15" hidden="false" customHeight="false" outlineLevel="0" collapsed="false">
      <c r="A603" s="327" t="s">
        <v>1013</v>
      </c>
      <c r="B603" s="488" t="s">
        <v>3299</v>
      </c>
      <c r="C603" s="954" t="n">
        <v>40000</v>
      </c>
      <c r="D603" s="954" t="n">
        <v>35000</v>
      </c>
      <c r="E603" s="954" t="n">
        <v>25000</v>
      </c>
      <c r="F603" s="955" t="n">
        <f aca="false">C603+D603+E603</f>
        <v>100000</v>
      </c>
      <c r="G603" s="955" t="n">
        <f aca="false">F603/149.4</f>
        <v>669.344042838019</v>
      </c>
      <c r="H603" s="661" t="n">
        <f aca="false">G603/60</f>
        <v>11.1557340473003</v>
      </c>
      <c r="I603" s="660" t="n">
        <f aca="false">'норма времени'!D607</f>
        <v>70</v>
      </c>
      <c r="J603" s="661" t="n">
        <f aca="false">H603*I603</f>
        <v>780.901383311022</v>
      </c>
    </row>
    <row r="604" customFormat="false" ht="15" hidden="false" customHeight="false" outlineLevel="0" collapsed="false">
      <c r="A604" s="327" t="s">
        <v>1015</v>
      </c>
      <c r="B604" s="488" t="s">
        <v>3300</v>
      </c>
      <c r="C604" s="954" t="n">
        <v>30000</v>
      </c>
      <c r="D604" s="954" t="n">
        <v>20000</v>
      </c>
      <c r="E604" s="954" t="n">
        <v>10000</v>
      </c>
      <c r="F604" s="955" t="n">
        <f aca="false">C604+D604+E604</f>
        <v>60000</v>
      </c>
      <c r="G604" s="955" t="n">
        <f aca="false">F604/149.4</f>
        <v>401.606425702811</v>
      </c>
      <c r="H604" s="661" t="n">
        <f aca="false">G604/60</f>
        <v>6.69344042838019</v>
      </c>
      <c r="I604" s="660" t="n">
        <f aca="false">'норма времени'!D608</f>
        <v>70</v>
      </c>
      <c r="J604" s="661" t="n">
        <f aca="false">H604*I604</f>
        <v>468.540829986613</v>
      </c>
    </row>
    <row r="605" customFormat="false" ht="15" hidden="false" customHeight="false" outlineLevel="0" collapsed="false">
      <c r="A605" s="327" t="s">
        <v>1017</v>
      </c>
      <c r="B605" s="488" t="s">
        <v>3301</v>
      </c>
      <c r="C605" s="954" t="n">
        <v>75000</v>
      </c>
      <c r="D605" s="954" t="n">
        <v>65000</v>
      </c>
      <c r="E605" s="954" t="n">
        <v>55000</v>
      </c>
      <c r="F605" s="955" t="n">
        <f aca="false">C605+D605+E605</f>
        <v>195000</v>
      </c>
      <c r="G605" s="955" t="n">
        <f aca="false">F605/149.4</f>
        <v>1305.22088353414</v>
      </c>
      <c r="H605" s="661" t="n">
        <f aca="false">G605/60</f>
        <v>21.7536813922356</v>
      </c>
      <c r="I605" s="660" t="n">
        <f aca="false">'норма времени'!D609</f>
        <v>55</v>
      </c>
      <c r="J605" s="661" t="n">
        <f aca="false">H605*I605</f>
        <v>1196.45247657296</v>
      </c>
    </row>
    <row r="606" customFormat="false" ht="45" hidden="false" customHeight="false" outlineLevel="0" collapsed="false">
      <c r="A606" s="327" t="s">
        <v>1019</v>
      </c>
      <c r="B606" s="488" t="s">
        <v>3302</v>
      </c>
      <c r="C606" s="954" t="n">
        <v>40000</v>
      </c>
      <c r="D606" s="954" t="n">
        <v>35000</v>
      </c>
      <c r="E606" s="954" t="n">
        <v>25000</v>
      </c>
      <c r="F606" s="955" t="n">
        <f aca="false">C606+D606+E606</f>
        <v>100000</v>
      </c>
      <c r="G606" s="955" t="n">
        <f aca="false">F606/149.4</f>
        <v>669.344042838019</v>
      </c>
      <c r="H606" s="661" t="n">
        <f aca="false">G606/60</f>
        <v>11.1557340473003</v>
      </c>
      <c r="I606" s="660" t="n">
        <f aca="false">'норма времени'!D610</f>
        <v>55</v>
      </c>
      <c r="J606" s="661" t="n">
        <f aca="false">H606*I606</f>
        <v>613.565372601517</v>
      </c>
    </row>
    <row r="607" customFormat="false" ht="30" hidden="false" customHeight="false" outlineLevel="0" collapsed="false">
      <c r="A607" s="327" t="s">
        <v>1021</v>
      </c>
      <c r="B607" s="488" t="s">
        <v>3303</v>
      </c>
      <c r="C607" s="954" t="n">
        <v>30000</v>
      </c>
      <c r="D607" s="954" t="n">
        <v>20000</v>
      </c>
      <c r="E607" s="954" t="n">
        <v>10000</v>
      </c>
      <c r="F607" s="955" t="n">
        <f aca="false">C607+D607+E607</f>
        <v>60000</v>
      </c>
      <c r="G607" s="955" t="n">
        <f aca="false">F607/149.4</f>
        <v>401.606425702811</v>
      </c>
      <c r="H607" s="661" t="n">
        <f aca="false">G607/60</f>
        <v>6.69344042838019</v>
      </c>
      <c r="I607" s="660" t="n">
        <f aca="false">'норма времени'!D611</f>
        <v>50</v>
      </c>
      <c r="J607" s="661" t="n">
        <f aca="false">H607*I607</f>
        <v>334.672021419009</v>
      </c>
    </row>
    <row r="608" customFormat="false" ht="15" hidden="false" customHeight="false" outlineLevel="0" collapsed="false">
      <c r="A608" s="327" t="s">
        <v>1023</v>
      </c>
      <c r="B608" s="488" t="s">
        <v>3304</v>
      </c>
      <c r="C608" s="954" t="n">
        <v>30000</v>
      </c>
      <c r="D608" s="954" t="n">
        <v>20000</v>
      </c>
      <c r="E608" s="954" t="n">
        <v>10000</v>
      </c>
      <c r="F608" s="955" t="n">
        <f aca="false">C608+D608+E608</f>
        <v>60000</v>
      </c>
      <c r="G608" s="955" t="n">
        <f aca="false">F608/149.4</f>
        <v>401.606425702811</v>
      </c>
      <c r="H608" s="661" t="n">
        <f aca="false">G608/60</f>
        <v>6.69344042838019</v>
      </c>
      <c r="I608" s="660" t="n">
        <f aca="false">'норма времени'!D612</f>
        <v>50</v>
      </c>
      <c r="J608" s="661" t="n">
        <f aca="false">H608*I608</f>
        <v>334.672021419009</v>
      </c>
    </row>
    <row r="609" customFormat="false" ht="30" hidden="false" customHeight="false" outlineLevel="0" collapsed="false">
      <c r="A609" s="327" t="s">
        <v>1025</v>
      </c>
      <c r="B609" s="488" t="s">
        <v>3305</v>
      </c>
      <c r="C609" s="954" t="n">
        <v>30000</v>
      </c>
      <c r="D609" s="954" t="n">
        <v>20000</v>
      </c>
      <c r="E609" s="954" t="n">
        <v>10000</v>
      </c>
      <c r="F609" s="955" t="n">
        <f aca="false">C609+D609+E609</f>
        <v>60000</v>
      </c>
      <c r="G609" s="955" t="n">
        <f aca="false">F609/149.4</f>
        <v>401.606425702811</v>
      </c>
      <c r="H609" s="661" t="n">
        <f aca="false">G609/60</f>
        <v>6.69344042838019</v>
      </c>
      <c r="I609" s="660" t="n">
        <f aca="false">'норма времени'!D613</f>
        <v>30</v>
      </c>
      <c r="J609" s="661" t="n">
        <f aca="false">H609*I609</f>
        <v>200.803212851406</v>
      </c>
    </row>
    <row r="610" s="451" customFormat="true" ht="85.5" hidden="false" customHeight="false" outlineLevel="0" collapsed="false">
      <c r="A610" s="350" t="s">
        <v>1027</v>
      </c>
      <c r="B610" s="346" t="s">
        <v>3306</v>
      </c>
      <c r="C610" s="1253"/>
      <c r="D610" s="1253"/>
      <c r="E610" s="1253"/>
      <c r="F610" s="1253"/>
      <c r="G610" s="955" t="n">
        <f aca="false">F610/149.4</f>
        <v>0</v>
      </c>
      <c r="H610" s="1254"/>
      <c r="I610" s="1246"/>
      <c r="J610" s="1250"/>
      <c r="K610" s="1257"/>
      <c r="L610" s="1257"/>
      <c r="M610" s="1257"/>
      <c r="N610" s="1257"/>
      <c r="O610" s="1257"/>
      <c r="P610" s="1257"/>
      <c r="Q610" s="1257"/>
      <c r="R610" s="1257"/>
      <c r="S610" s="1257"/>
      <c r="T610" s="1257"/>
    </row>
    <row r="611" customFormat="false" ht="15" hidden="false" customHeight="false" outlineLevel="0" collapsed="false">
      <c r="A611" s="327" t="s">
        <v>1029</v>
      </c>
      <c r="B611" s="433" t="s">
        <v>3307</v>
      </c>
      <c r="C611" s="1258" t="n">
        <v>90000</v>
      </c>
      <c r="D611" s="1258" t="n">
        <v>80000</v>
      </c>
      <c r="E611" s="1258" t="n">
        <v>70000</v>
      </c>
      <c r="F611" s="955" t="n">
        <f aca="false">C611+D611+E611</f>
        <v>240000</v>
      </c>
      <c r="G611" s="955" t="n">
        <f aca="false">F611/149.4</f>
        <v>1606.42570281125</v>
      </c>
      <c r="H611" s="661" t="n">
        <f aca="false">G611/60</f>
        <v>26.7737617135208</v>
      </c>
      <c r="I611" s="660" t="n">
        <f aca="false">'норма времени'!D615</f>
        <v>260</v>
      </c>
      <c r="J611" s="661" t="n">
        <f aca="false">H611*I611</f>
        <v>6961.1780455154</v>
      </c>
      <c r="T611" s="581"/>
    </row>
    <row r="612" customFormat="false" ht="18" hidden="false" customHeight="true" outlineLevel="0" collapsed="false">
      <c r="A612" s="327" t="s">
        <v>1031</v>
      </c>
      <c r="B612" s="433" t="s">
        <v>3308</v>
      </c>
      <c r="C612" s="1258" t="n">
        <v>90000</v>
      </c>
      <c r="D612" s="1258" t="n">
        <v>80000</v>
      </c>
      <c r="E612" s="1258" t="n">
        <v>70000</v>
      </c>
      <c r="F612" s="955" t="n">
        <f aca="false">C612+D612+E612</f>
        <v>240000</v>
      </c>
      <c r="G612" s="955" t="n">
        <f aca="false">F612/149.4</f>
        <v>1606.42570281125</v>
      </c>
      <c r="H612" s="661" t="n">
        <f aca="false">G612/60</f>
        <v>26.7737617135208</v>
      </c>
      <c r="I612" s="660" t="n">
        <f aca="false">'норма времени'!D616</f>
        <v>310</v>
      </c>
      <c r="J612" s="661" t="n">
        <f aca="false">H612*I612</f>
        <v>8299.86613119143</v>
      </c>
      <c r="T612" s="581"/>
    </row>
    <row r="613" customFormat="false" ht="15" hidden="false" customHeight="false" outlineLevel="0" collapsed="false">
      <c r="A613" s="327" t="s">
        <v>1033</v>
      </c>
      <c r="B613" s="433" t="s">
        <v>3309</v>
      </c>
      <c r="C613" s="1258" t="n">
        <v>90000</v>
      </c>
      <c r="D613" s="1258" t="n">
        <v>80000</v>
      </c>
      <c r="E613" s="1258" t="n">
        <v>70000</v>
      </c>
      <c r="F613" s="955" t="n">
        <f aca="false">C613+D613+E613</f>
        <v>240000</v>
      </c>
      <c r="G613" s="955" t="n">
        <f aca="false">F613/149.4</f>
        <v>1606.42570281125</v>
      </c>
      <c r="H613" s="661" t="n">
        <f aca="false">G613/60</f>
        <v>26.7737617135208</v>
      </c>
      <c r="I613" s="660" t="n">
        <f aca="false">'норма времени'!D617</f>
        <v>260</v>
      </c>
      <c r="J613" s="661" t="n">
        <f aca="false">H613*I613</f>
        <v>6961.1780455154</v>
      </c>
      <c r="T613" s="581"/>
    </row>
    <row r="614" customFormat="false" ht="15" hidden="false" customHeight="false" outlineLevel="0" collapsed="false">
      <c r="A614" s="327" t="s">
        <v>1035</v>
      </c>
      <c r="B614" s="433" t="s">
        <v>3310</v>
      </c>
      <c r="C614" s="1258" t="n">
        <v>90000</v>
      </c>
      <c r="D614" s="1258" t="n">
        <v>80000</v>
      </c>
      <c r="E614" s="1258" t="n">
        <v>70000</v>
      </c>
      <c r="F614" s="955" t="n">
        <f aca="false">C614+D614+E614</f>
        <v>240000</v>
      </c>
      <c r="G614" s="955" t="n">
        <f aca="false">F614/149.4</f>
        <v>1606.42570281125</v>
      </c>
      <c r="H614" s="661" t="n">
        <f aca="false">G614/60</f>
        <v>26.7737617135208</v>
      </c>
      <c r="I614" s="660" t="n">
        <f aca="false">'норма времени'!D618</f>
        <v>260</v>
      </c>
      <c r="J614" s="661" t="n">
        <f aca="false">H614*I614</f>
        <v>6961.1780455154</v>
      </c>
      <c r="T614" s="581"/>
    </row>
    <row r="615" customFormat="false" ht="30" hidden="false" customHeight="false" outlineLevel="0" collapsed="false">
      <c r="A615" s="327" t="s">
        <v>1037</v>
      </c>
      <c r="B615" s="488" t="s">
        <v>3311</v>
      </c>
      <c r="C615" s="1258" t="n">
        <v>90000</v>
      </c>
      <c r="D615" s="1258" t="n">
        <v>80000</v>
      </c>
      <c r="E615" s="1258" t="n">
        <v>70000</v>
      </c>
      <c r="F615" s="955" t="n">
        <f aca="false">C615+D615+E615</f>
        <v>240000</v>
      </c>
      <c r="G615" s="955" t="n">
        <f aca="false">F615/149.4</f>
        <v>1606.42570281125</v>
      </c>
      <c r="H615" s="661" t="n">
        <f aca="false">G615/60</f>
        <v>26.7737617135208</v>
      </c>
      <c r="I615" s="660" t="n">
        <f aca="false">'норма времени'!D619</f>
        <v>260</v>
      </c>
      <c r="J615" s="661" t="n">
        <f aca="false">H615*I615</f>
        <v>6961.1780455154</v>
      </c>
      <c r="T615" s="581"/>
    </row>
    <row r="616" customFormat="false" ht="15" hidden="false" customHeight="false" outlineLevel="0" collapsed="false">
      <c r="A616" s="327" t="s">
        <v>1039</v>
      </c>
      <c r="B616" s="433" t="s">
        <v>3312</v>
      </c>
      <c r="C616" s="1258" t="n">
        <v>90000</v>
      </c>
      <c r="D616" s="1258" t="n">
        <v>80000</v>
      </c>
      <c r="E616" s="1258" t="n">
        <v>70000</v>
      </c>
      <c r="F616" s="955" t="n">
        <f aca="false">C616+D616+E616</f>
        <v>240000</v>
      </c>
      <c r="G616" s="955" t="n">
        <f aca="false">F616/149.4</f>
        <v>1606.42570281125</v>
      </c>
      <c r="H616" s="661" t="n">
        <f aca="false">G616/60</f>
        <v>26.7737617135208</v>
      </c>
      <c r="I616" s="660" t="n">
        <f aca="false">'норма времени'!D620</f>
        <v>260</v>
      </c>
      <c r="J616" s="661" t="n">
        <f aca="false">H616*I616</f>
        <v>6961.1780455154</v>
      </c>
      <c r="T616" s="581"/>
    </row>
    <row r="617" customFormat="false" ht="30" hidden="false" customHeight="false" outlineLevel="0" collapsed="false">
      <c r="A617" s="327" t="s">
        <v>1041</v>
      </c>
      <c r="B617" s="488" t="s">
        <v>3313</v>
      </c>
      <c r="C617" s="1258" t="n">
        <v>90000</v>
      </c>
      <c r="D617" s="1258" t="n">
        <v>80000</v>
      </c>
      <c r="E617" s="1258" t="n">
        <v>70000</v>
      </c>
      <c r="F617" s="955" t="n">
        <f aca="false">C617+D617+E617</f>
        <v>240000</v>
      </c>
      <c r="G617" s="955" t="n">
        <f aca="false">F617/149.4</f>
        <v>1606.42570281125</v>
      </c>
      <c r="H617" s="661" t="n">
        <f aca="false">G617/60</f>
        <v>26.7737617135208</v>
      </c>
      <c r="I617" s="660" t="n">
        <f aca="false">'норма времени'!D621</f>
        <v>260</v>
      </c>
      <c r="J617" s="661" t="n">
        <f aca="false">H617*I617</f>
        <v>6961.1780455154</v>
      </c>
      <c r="T617" s="581"/>
    </row>
    <row r="618" customFormat="false" ht="45" hidden="false" customHeight="false" outlineLevel="0" collapsed="false">
      <c r="A618" s="327" t="s">
        <v>1043</v>
      </c>
      <c r="B618" s="488" t="s">
        <v>3314</v>
      </c>
      <c r="C618" s="1258" t="n">
        <v>90000</v>
      </c>
      <c r="D618" s="1258" t="n">
        <v>80000</v>
      </c>
      <c r="E618" s="1258" t="n">
        <v>70000</v>
      </c>
      <c r="F618" s="955" t="n">
        <f aca="false">C618+D618+E618</f>
        <v>240000</v>
      </c>
      <c r="G618" s="955" t="n">
        <f aca="false">F618/149.4</f>
        <v>1606.42570281125</v>
      </c>
      <c r="H618" s="661" t="n">
        <f aca="false">G618/60</f>
        <v>26.7737617135208</v>
      </c>
      <c r="I618" s="660" t="n">
        <f aca="false">'норма времени'!D622</f>
        <v>260</v>
      </c>
      <c r="J618" s="661" t="n">
        <f aca="false">H618*I618</f>
        <v>6961.1780455154</v>
      </c>
      <c r="T618" s="581"/>
    </row>
    <row r="619" customFormat="false" ht="15" hidden="false" customHeight="false" outlineLevel="0" collapsed="false">
      <c r="A619" s="327" t="s">
        <v>1045</v>
      </c>
      <c r="B619" s="488" t="s">
        <v>3315</v>
      </c>
      <c r="C619" s="1258" t="n">
        <v>90000</v>
      </c>
      <c r="D619" s="1258" t="n">
        <v>80000</v>
      </c>
      <c r="E619" s="1258" t="n">
        <v>70000</v>
      </c>
      <c r="F619" s="955" t="n">
        <f aca="false">C619+D619+E619</f>
        <v>240000</v>
      </c>
      <c r="G619" s="955" t="n">
        <f aca="false">F619/149.4</f>
        <v>1606.42570281125</v>
      </c>
      <c r="H619" s="661" t="n">
        <f aca="false">G619/60</f>
        <v>26.7737617135208</v>
      </c>
      <c r="I619" s="660" t="n">
        <f aca="false">'норма времени'!D623</f>
        <v>260</v>
      </c>
      <c r="J619" s="661" t="n">
        <f aca="false">H619*I619</f>
        <v>6961.1780455154</v>
      </c>
      <c r="T619" s="581"/>
    </row>
    <row r="620" s="451" customFormat="true" ht="42.75" hidden="false" customHeight="false" outlineLevel="0" collapsed="false">
      <c r="A620" s="350" t="s">
        <v>1047</v>
      </c>
      <c r="B620" s="346" t="s">
        <v>3316</v>
      </c>
      <c r="C620" s="1253"/>
      <c r="D620" s="1253"/>
      <c r="E620" s="1253"/>
      <c r="F620" s="1249"/>
      <c r="G620" s="1249"/>
      <c r="H620" s="1259"/>
      <c r="I620" s="1255"/>
      <c r="J620" s="1259"/>
      <c r="K620" s="1257"/>
      <c r="L620" s="1257"/>
      <c r="M620" s="1257"/>
      <c r="N620" s="1257"/>
      <c r="O620" s="1257"/>
      <c r="P620" s="1257"/>
      <c r="Q620" s="1257"/>
      <c r="R620" s="1257"/>
      <c r="S620" s="1257"/>
      <c r="T620" s="1257"/>
    </row>
    <row r="621" customFormat="false" ht="15" hidden="false" customHeight="false" outlineLevel="0" collapsed="false">
      <c r="A621" s="327" t="s">
        <v>1049</v>
      </c>
      <c r="B621" s="433" t="s">
        <v>3307</v>
      </c>
      <c r="C621" s="1258" t="n">
        <v>90000</v>
      </c>
      <c r="D621" s="1258" t="n">
        <v>80000</v>
      </c>
      <c r="E621" s="1258" t="n">
        <v>70000</v>
      </c>
      <c r="F621" s="955" t="n">
        <f aca="false">C621+D621+E621</f>
        <v>240000</v>
      </c>
      <c r="G621" s="955" t="n">
        <f aca="false">F621/149.4</f>
        <v>1606.42570281125</v>
      </c>
      <c r="H621" s="661" t="n">
        <f aca="false">G621/60</f>
        <v>26.7737617135208</v>
      </c>
      <c r="I621" s="660" t="n">
        <f aca="false">'норма времени'!D625</f>
        <v>260</v>
      </c>
      <c r="J621" s="661" t="n">
        <f aca="false">H621*I621</f>
        <v>6961.1780455154</v>
      </c>
      <c r="T621" s="581"/>
    </row>
    <row r="622" customFormat="false" ht="15" hidden="false" customHeight="false" outlineLevel="0" collapsed="false">
      <c r="A622" s="327" t="s">
        <v>1050</v>
      </c>
      <c r="B622" s="433" t="s">
        <v>3310</v>
      </c>
      <c r="C622" s="1258" t="n">
        <v>90000</v>
      </c>
      <c r="D622" s="1258" t="n">
        <v>80000</v>
      </c>
      <c r="E622" s="1258" t="n">
        <v>70000</v>
      </c>
      <c r="F622" s="955" t="n">
        <f aca="false">C622+D622+E622</f>
        <v>240000</v>
      </c>
      <c r="G622" s="955" t="n">
        <f aca="false">F622/149.4</f>
        <v>1606.42570281125</v>
      </c>
      <c r="H622" s="661" t="n">
        <f aca="false">G622/60</f>
        <v>26.7737617135208</v>
      </c>
      <c r="I622" s="660" t="n">
        <f aca="false">'норма времени'!D626</f>
        <v>260</v>
      </c>
      <c r="J622" s="661" t="n">
        <f aca="false">H622*I622</f>
        <v>6961.1780455154</v>
      </c>
      <c r="T622" s="581"/>
    </row>
    <row r="623" customFormat="false" ht="15" hidden="false" customHeight="false" outlineLevel="0" collapsed="false">
      <c r="A623" s="327" t="s">
        <v>1052</v>
      </c>
      <c r="B623" s="433" t="s">
        <v>3317</v>
      </c>
      <c r="C623" s="1258" t="n">
        <v>90000</v>
      </c>
      <c r="D623" s="1258" t="n">
        <v>80000</v>
      </c>
      <c r="E623" s="1258" t="n">
        <v>70000</v>
      </c>
      <c r="F623" s="955" t="n">
        <f aca="false">C623+D623+E623</f>
        <v>240000</v>
      </c>
      <c r="G623" s="955" t="n">
        <f aca="false">F623/149.4</f>
        <v>1606.42570281125</v>
      </c>
      <c r="H623" s="661" t="n">
        <f aca="false">G623/60</f>
        <v>26.7737617135208</v>
      </c>
      <c r="I623" s="660" t="n">
        <f aca="false">'норма времени'!D627</f>
        <v>260</v>
      </c>
      <c r="J623" s="661" t="n">
        <f aca="false">H623*I623</f>
        <v>6961.1780455154</v>
      </c>
      <c r="T623" s="581"/>
    </row>
    <row r="624" s="451" customFormat="true" ht="28.5" hidden="false" customHeight="false" outlineLevel="0" collapsed="false">
      <c r="A624" s="350" t="s">
        <v>1054</v>
      </c>
      <c r="B624" s="467" t="s">
        <v>3318</v>
      </c>
      <c r="C624" s="1253"/>
      <c r="D624" s="1253"/>
      <c r="E624" s="1253"/>
      <c r="F624" s="1249"/>
      <c r="G624" s="1249"/>
      <c r="H624" s="1259"/>
      <c r="I624" s="1255"/>
      <c r="J624" s="1259"/>
      <c r="K624" s="1257"/>
      <c r="L624" s="1257"/>
      <c r="M624" s="1257"/>
      <c r="N624" s="1257"/>
      <c r="O624" s="1257"/>
      <c r="P624" s="1257"/>
      <c r="Q624" s="1257"/>
      <c r="R624" s="1257"/>
      <c r="S624" s="1257"/>
      <c r="T624" s="1257"/>
    </row>
    <row r="625" customFormat="false" ht="15" hidden="false" customHeight="false" outlineLevel="0" collapsed="false">
      <c r="A625" s="327" t="s">
        <v>1056</v>
      </c>
      <c r="B625" s="433" t="s">
        <v>3307</v>
      </c>
      <c r="C625" s="1258" t="n">
        <v>90000</v>
      </c>
      <c r="D625" s="1258" t="n">
        <v>80000</v>
      </c>
      <c r="E625" s="1258" t="n">
        <v>70000</v>
      </c>
      <c r="F625" s="955" t="n">
        <f aca="false">C625+D625+E625</f>
        <v>240000</v>
      </c>
      <c r="G625" s="955" t="n">
        <f aca="false">F625/149.4</f>
        <v>1606.42570281125</v>
      </c>
      <c r="H625" s="661" t="n">
        <f aca="false">G625/60</f>
        <v>26.7737617135208</v>
      </c>
      <c r="I625" s="660" t="n">
        <f aca="false">'норма времени'!D629</f>
        <v>260</v>
      </c>
      <c r="J625" s="661" t="n">
        <f aca="false">H625*I625</f>
        <v>6961.1780455154</v>
      </c>
      <c r="T625" s="581"/>
    </row>
    <row r="626" customFormat="false" ht="15" hidden="false" customHeight="false" outlineLevel="0" collapsed="false">
      <c r="A626" s="327" t="s">
        <v>1057</v>
      </c>
      <c r="B626" s="433" t="s">
        <v>3309</v>
      </c>
      <c r="C626" s="1258" t="n">
        <v>90000</v>
      </c>
      <c r="D626" s="1258" t="n">
        <v>80000</v>
      </c>
      <c r="E626" s="1258" t="n">
        <v>70000</v>
      </c>
      <c r="F626" s="955" t="n">
        <f aca="false">C626+D626+E626</f>
        <v>240000</v>
      </c>
      <c r="G626" s="955" t="n">
        <f aca="false">F626/149.4</f>
        <v>1606.42570281125</v>
      </c>
      <c r="H626" s="661" t="n">
        <f aca="false">G626/60</f>
        <v>26.7737617135208</v>
      </c>
      <c r="I626" s="660" t="n">
        <f aca="false">'норма времени'!D630</f>
        <v>260</v>
      </c>
      <c r="J626" s="661" t="n">
        <f aca="false">H626*I626</f>
        <v>6961.1780455154</v>
      </c>
      <c r="T626" s="581"/>
    </row>
    <row r="627" customFormat="false" ht="15" hidden="false" customHeight="false" outlineLevel="0" collapsed="false">
      <c r="A627" s="327" t="s">
        <v>1058</v>
      </c>
      <c r="B627" s="433" t="s">
        <v>5275</v>
      </c>
      <c r="C627" s="1258" t="n">
        <v>90000</v>
      </c>
      <c r="D627" s="1258" t="n">
        <v>80000</v>
      </c>
      <c r="E627" s="1258" t="n">
        <v>70000</v>
      </c>
      <c r="F627" s="955" t="n">
        <f aca="false">C627+D627+E627</f>
        <v>240000</v>
      </c>
      <c r="G627" s="955" t="n">
        <f aca="false">F627/149.4</f>
        <v>1606.42570281125</v>
      </c>
      <c r="H627" s="661" t="n">
        <f aca="false">G627/60</f>
        <v>26.7737617135208</v>
      </c>
      <c r="I627" s="660" t="n">
        <f aca="false">'норма времени'!D631</f>
        <v>340</v>
      </c>
      <c r="J627" s="661" t="n">
        <f aca="false">H627*I627</f>
        <v>9103.07898259706</v>
      </c>
      <c r="T627" s="581"/>
    </row>
    <row r="628" s="451" customFormat="true" ht="28.5" hidden="false" customHeight="false" outlineLevel="0" collapsed="false">
      <c r="A628" s="350" t="s">
        <v>1060</v>
      </c>
      <c r="B628" s="467" t="s">
        <v>3320</v>
      </c>
      <c r="C628" s="1253"/>
      <c r="D628" s="1253"/>
      <c r="E628" s="1253"/>
      <c r="F628" s="1249"/>
      <c r="G628" s="1249"/>
      <c r="H628" s="1259"/>
      <c r="I628" s="1255"/>
      <c r="J628" s="1259"/>
      <c r="K628" s="1257"/>
      <c r="L628" s="1257"/>
      <c r="M628" s="1257"/>
      <c r="N628" s="1257"/>
      <c r="O628" s="1257"/>
      <c r="P628" s="1257"/>
      <c r="Q628" s="1257"/>
      <c r="R628" s="1257"/>
      <c r="S628" s="1257"/>
      <c r="T628" s="1257"/>
    </row>
    <row r="629" customFormat="false" ht="15" hidden="false" customHeight="false" outlineLevel="0" collapsed="false">
      <c r="A629" s="327" t="s">
        <v>1062</v>
      </c>
      <c r="B629" s="433" t="s">
        <v>3307</v>
      </c>
      <c r="C629" s="1258" t="n">
        <v>90000</v>
      </c>
      <c r="D629" s="1258" t="n">
        <v>80000</v>
      </c>
      <c r="E629" s="1258" t="n">
        <v>70000</v>
      </c>
      <c r="F629" s="955" t="n">
        <f aca="false">C629+D629+E629</f>
        <v>240000</v>
      </c>
      <c r="G629" s="955" t="n">
        <f aca="false">F629/149.4</f>
        <v>1606.42570281125</v>
      </c>
      <c r="H629" s="661" t="n">
        <f aca="false">G629/60</f>
        <v>26.7737617135208</v>
      </c>
      <c r="I629" s="660" t="n">
        <f aca="false">'норма времени'!D633</f>
        <v>260</v>
      </c>
      <c r="J629" s="661" t="n">
        <f aca="false">H629*I629</f>
        <v>6961.1780455154</v>
      </c>
      <c r="T629" s="581"/>
    </row>
    <row r="630" customFormat="false" ht="17.25" hidden="false" customHeight="true" outlineLevel="0" collapsed="false">
      <c r="A630" s="327" t="s">
        <v>1064</v>
      </c>
      <c r="B630" s="433" t="s">
        <v>3308</v>
      </c>
      <c r="C630" s="1258" t="n">
        <v>90000</v>
      </c>
      <c r="D630" s="1258" t="n">
        <v>80000</v>
      </c>
      <c r="E630" s="1258" t="n">
        <v>70000</v>
      </c>
      <c r="F630" s="955" t="n">
        <f aca="false">C630+D630+E630</f>
        <v>240000</v>
      </c>
      <c r="G630" s="955" t="n">
        <f aca="false">F630/149.4</f>
        <v>1606.42570281125</v>
      </c>
      <c r="H630" s="661" t="n">
        <f aca="false">G630/60</f>
        <v>26.7737617135208</v>
      </c>
      <c r="I630" s="660" t="n">
        <f aca="false">'норма времени'!D634</f>
        <v>480</v>
      </c>
      <c r="J630" s="661" t="n">
        <f aca="false">H630*I630</f>
        <v>12851.40562249</v>
      </c>
      <c r="T630" s="581"/>
    </row>
    <row r="631" s="451" customFormat="true" ht="42.75" hidden="false" customHeight="false" outlineLevel="0" collapsed="false">
      <c r="A631" s="350" t="s">
        <v>1066</v>
      </c>
      <c r="B631" s="467" t="s">
        <v>3083</v>
      </c>
      <c r="C631" s="1253"/>
      <c r="D631" s="1253"/>
      <c r="E631" s="1253"/>
      <c r="F631" s="1249"/>
      <c r="G631" s="1249"/>
      <c r="H631" s="1259"/>
      <c r="I631" s="1255"/>
      <c r="J631" s="1259"/>
      <c r="K631" s="1257"/>
      <c r="L631" s="1257"/>
      <c r="M631" s="1257"/>
      <c r="N631" s="1257"/>
      <c r="O631" s="1257"/>
      <c r="P631" s="1257"/>
      <c r="Q631" s="1257"/>
      <c r="R631" s="1257"/>
      <c r="S631" s="1257"/>
      <c r="T631" s="1257"/>
    </row>
    <row r="632" customFormat="false" ht="15" hidden="false" customHeight="false" outlineLevel="0" collapsed="false">
      <c r="A632" s="327" t="s">
        <v>1068</v>
      </c>
      <c r="B632" s="433" t="s">
        <v>3307</v>
      </c>
      <c r="C632" s="1258" t="n">
        <v>90000</v>
      </c>
      <c r="D632" s="1258" t="n">
        <v>80000</v>
      </c>
      <c r="E632" s="1258" t="n">
        <v>70000</v>
      </c>
      <c r="F632" s="955" t="n">
        <f aca="false">C632+D632+E632</f>
        <v>240000</v>
      </c>
      <c r="G632" s="955" t="n">
        <f aca="false">F632/149.4</f>
        <v>1606.42570281125</v>
      </c>
      <c r="H632" s="661" t="n">
        <f aca="false">G632/60</f>
        <v>26.7737617135208</v>
      </c>
      <c r="I632" s="660" t="n">
        <f aca="false">'норма времени'!D636</f>
        <v>340</v>
      </c>
      <c r="J632" s="661" t="n">
        <f aca="false">H632*I632</f>
        <v>9103.07898259706</v>
      </c>
      <c r="T632" s="581"/>
    </row>
    <row r="633" customFormat="false" ht="15" hidden="false" customHeight="false" outlineLevel="0" collapsed="false">
      <c r="A633" s="327" t="s">
        <v>1069</v>
      </c>
      <c r="B633" s="433" t="s">
        <v>3321</v>
      </c>
      <c r="C633" s="1258" t="n">
        <v>90000</v>
      </c>
      <c r="D633" s="1258" t="n">
        <v>80000</v>
      </c>
      <c r="E633" s="1258" t="n">
        <v>70000</v>
      </c>
      <c r="F633" s="955" t="n">
        <f aca="false">C633+D633+E633</f>
        <v>240000</v>
      </c>
      <c r="G633" s="955" t="n">
        <f aca="false">F633/149.4</f>
        <v>1606.42570281125</v>
      </c>
      <c r="H633" s="661" t="n">
        <f aca="false">G633/60</f>
        <v>26.7737617135208</v>
      </c>
      <c r="I633" s="660" t="n">
        <f aca="false">'норма времени'!D637</f>
        <v>340</v>
      </c>
      <c r="J633" s="661" t="n">
        <f aca="false">H633*I633</f>
        <v>9103.07898259706</v>
      </c>
      <c r="T633" s="581"/>
    </row>
    <row r="634" customFormat="false" ht="15" hidden="false" customHeight="false" outlineLevel="0" collapsed="false">
      <c r="A634" s="327" t="s">
        <v>1070</v>
      </c>
      <c r="B634" s="433" t="s">
        <v>3310</v>
      </c>
      <c r="C634" s="1258" t="n">
        <v>90000</v>
      </c>
      <c r="D634" s="1258" t="n">
        <v>80000</v>
      </c>
      <c r="E634" s="1258" t="n">
        <v>70000</v>
      </c>
      <c r="F634" s="955" t="n">
        <f aca="false">C634+D634+E634</f>
        <v>240000</v>
      </c>
      <c r="G634" s="955" t="n">
        <f aca="false">F634/149.4</f>
        <v>1606.42570281125</v>
      </c>
      <c r="H634" s="661" t="n">
        <f aca="false">G634/60</f>
        <v>26.7737617135208</v>
      </c>
      <c r="I634" s="660" t="n">
        <f aca="false">'норма времени'!D638</f>
        <v>260</v>
      </c>
      <c r="J634" s="661" t="n">
        <f aca="false">H634*I634</f>
        <v>6961.1780455154</v>
      </c>
      <c r="T634" s="581"/>
    </row>
    <row r="635" s="451" customFormat="true" ht="28.5" hidden="false" customHeight="false" outlineLevel="0" collapsed="false">
      <c r="A635" s="350" t="s">
        <v>1071</v>
      </c>
      <c r="B635" s="467" t="s">
        <v>3322</v>
      </c>
      <c r="C635" s="1253"/>
      <c r="D635" s="1253"/>
      <c r="E635" s="1253"/>
      <c r="F635" s="1249"/>
      <c r="G635" s="1249"/>
      <c r="H635" s="1259"/>
      <c r="I635" s="1255"/>
      <c r="J635" s="1259"/>
      <c r="K635" s="1257"/>
      <c r="L635" s="1257"/>
      <c r="M635" s="1257"/>
      <c r="N635" s="1257"/>
      <c r="O635" s="1257"/>
      <c r="P635" s="1257"/>
      <c r="Q635" s="1257"/>
      <c r="R635" s="1257"/>
      <c r="S635" s="1257"/>
      <c r="T635" s="1257"/>
    </row>
    <row r="636" customFormat="false" ht="15" hidden="false" customHeight="false" outlineLevel="0" collapsed="false">
      <c r="A636" s="327" t="s">
        <v>1073</v>
      </c>
      <c r="B636" s="488" t="s">
        <v>3323</v>
      </c>
      <c r="C636" s="1258" t="n">
        <v>90000</v>
      </c>
      <c r="D636" s="1258" t="n">
        <v>80000</v>
      </c>
      <c r="E636" s="1258" t="n">
        <v>70000</v>
      </c>
      <c r="F636" s="955" t="n">
        <f aca="false">C636+D636+E636</f>
        <v>240000</v>
      </c>
      <c r="G636" s="955" t="n">
        <f aca="false">F636/149.4</f>
        <v>1606.42570281125</v>
      </c>
      <c r="H636" s="661" t="n">
        <f aca="false">G636/60</f>
        <v>26.7737617135208</v>
      </c>
      <c r="I636" s="660" t="n">
        <f aca="false">'норма времени'!D640</f>
        <v>340</v>
      </c>
      <c r="J636" s="661" t="n">
        <f aca="false">H636*I636</f>
        <v>9103.07898259706</v>
      </c>
      <c r="T636" s="581"/>
    </row>
    <row r="637" customFormat="false" ht="15" hidden="false" customHeight="false" outlineLevel="0" collapsed="false">
      <c r="A637" s="327" t="s">
        <v>1074</v>
      </c>
      <c r="B637" s="488" t="s">
        <v>3324</v>
      </c>
      <c r="C637" s="1258" t="n">
        <v>90000</v>
      </c>
      <c r="D637" s="1258" t="n">
        <v>80000</v>
      </c>
      <c r="E637" s="1258" t="n">
        <v>70000</v>
      </c>
      <c r="F637" s="955" t="n">
        <f aca="false">C637+D637+E637</f>
        <v>240000</v>
      </c>
      <c r="G637" s="955" t="n">
        <f aca="false">F637/149.4</f>
        <v>1606.42570281125</v>
      </c>
      <c r="H637" s="661" t="n">
        <f aca="false">G637/60</f>
        <v>26.7737617135208</v>
      </c>
      <c r="I637" s="660" t="n">
        <f aca="false">'норма времени'!D641</f>
        <v>310</v>
      </c>
      <c r="J637" s="661" t="n">
        <f aca="false">H637*I637</f>
        <v>8299.86613119143</v>
      </c>
      <c r="T637" s="581"/>
    </row>
    <row r="638" customFormat="false" ht="15" hidden="false" customHeight="false" outlineLevel="0" collapsed="false">
      <c r="A638" s="327" t="s">
        <v>1076</v>
      </c>
      <c r="B638" s="488" t="s">
        <v>3310</v>
      </c>
      <c r="C638" s="1258" t="n">
        <v>90000</v>
      </c>
      <c r="D638" s="1258" t="n">
        <v>80000</v>
      </c>
      <c r="E638" s="1258" t="n">
        <v>70000</v>
      </c>
      <c r="F638" s="955" t="n">
        <f aca="false">C638+D638+E638</f>
        <v>240000</v>
      </c>
      <c r="G638" s="955" t="n">
        <f aca="false">F638/149.4</f>
        <v>1606.42570281125</v>
      </c>
      <c r="H638" s="661" t="n">
        <f aca="false">G638/60</f>
        <v>26.7737617135208</v>
      </c>
      <c r="I638" s="660" t="n">
        <f aca="false">'норма времени'!D642</f>
        <v>260</v>
      </c>
      <c r="J638" s="661" t="n">
        <f aca="false">H638*I638</f>
        <v>6961.1780455154</v>
      </c>
      <c r="T638" s="581"/>
    </row>
    <row r="639" customFormat="false" ht="30" hidden="false" customHeight="false" outlineLevel="0" collapsed="false">
      <c r="A639" s="327" t="s">
        <v>1077</v>
      </c>
      <c r="B639" s="488" t="s">
        <v>3325</v>
      </c>
      <c r="C639" s="1258" t="n">
        <v>90000</v>
      </c>
      <c r="D639" s="1258" t="n">
        <v>80000</v>
      </c>
      <c r="E639" s="1258" t="n">
        <v>70000</v>
      </c>
      <c r="F639" s="955" t="n">
        <f aca="false">C639+D639+E639</f>
        <v>240000</v>
      </c>
      <c r="G639" s="955" t="n">
        <f aca="false">F639/149.4</f>
        <v>1606.42570281125</v>
      </c>
      <c r="H639" s="661" t="n">
        <f aca="false">G639/60</f>
        <v>26.7737617135208</v>
      </c>
      <c r="I639" s="660" t="n">
        <f aca="false">'норма времени'!D643</f>
        <v>340</v>
      </c>
      <c r="J639" s="661" t="n">
        <f aca="false">H639*I639</f>
        <v>9103.07898259706</v>
      </c>
      <c r="T639" s="581"/>
    </row>
    <row r="640" customFormat="false" ht="45" hidden="false" customHeight="false" outlineLevel="0" collapsed="false">
      <c r="A640" s="327" t="s">
        <v>1079</v>
      </c>
      <c r="B640" s="488" t="s">
        <v>3314</v>
      </c>
      <c r="C640" s="1258" t="n">
        <v>90000</v>
      </c>
      <c r="D640" s="1258" t="n">
        <v>80000</v>
      </c>
      <c r="E640" s="1258" t="n">
        <v>70000</v>
      </c>
      <c r="F640" s="955" t="n">
        <f aca="false">C640+D640+E640</f>
        <v>240000</v>
      </c>
      <c r="G640" s="955" t="n">
        <f aca="false">F640/149.4</f>
        <v>1606.42570281125</v>
      </c>
      <c r="H640" s="661" t="n">
        <f aca="false">G640/60</f>
        <v>26.7737617135208</v>
      </c>
      <c r="I640" s="660" t="n">
        <f aca="false">'норма времени'!D644</f>
        <v>260</v>
      </c>
      <c r="J640" s="661" t="n">
        <f aca="false">H640*I640</f>
        <v>6961.1780455154</v>
      </c>
      <c r="T640" s="581"/>
    </row>
    <row r="641" customFormat="false" ht="15" hidden="false" customHeight="false" outlineLevel="0" collapsed="false">
      <c r="A641" s="327" t="s">
        <v>1080</v>
      </c>
      <c r="B641" s="488" t="s">
        <v>3312</v>
      </c>
      <c r="C641" s="1258" t="n">
        <v>90000</v>
      </c>
      <c r="D641" s="1258" t="n">
        <v>80000</v>
      </c>
      <c r="E641" s="1258" t="n">
        <v>70000</v>
      </c>
      <c r="F641" s="955" t="n">
        <f aca="false">C641+D641+E641</f>
        <v>240000</v>
      </c>
      <c r="G641" s="955" t="n">
        <f aca="false">F641/149.4</f>
        <v>1606.42570281125</v>
      </c>
      <c r="H641" s="661" t="n">
        <f aca="false">G641/60</f>
        <v>26.7737617135208</v>
      </c>
      <c r="I641" s="660" t="n">
        <f aca="false">'норма времени'!D645</f>
        <v>260</v>
      </c>
      <c r="J641" s="661" t="n">
        <f aca="false">H641*I641</f>
        <v>6961.1780455154</v>
      </c>
      <c r="T641" s="581"/>
    </row>
    <row r="642" customFormat="false" ht="15" hidden="false" customHeight="false" outlineLevel="0" collapsed="false">
      <c r="A642" s="327" t="s">
        <v>1081</v>
      </c>
      <c r="B642" s="488" t="s">
        <v>3309</v>
      </c>
      <c r="C642" s="1258" t="n">
        <v>90000</v>
      </c>
      <c r="D642" s="1258" t="n">
        <v>80000</v>
      </c>
      <c r="E642" s="1258" t="n">
        <v>70000</v>
      </c>
      <c r="F642" s="955" t="n">
        <f aca="false">C642+D642+E642</f>
        <v>240000</v>
      </c>
      <c r="G642" s="955" t="n">
        <f aca="false">F642/149.4</f>
        <v>1606.42570281125</v>
      </c>
      <c r="H642" s="661" t="n">
        <f aca="false">G642/60</f>
        <v>26.7737617135208</v>
      </c>
      <c r="I642" s="660" t="n">
        <f aca="false">'норма времени'!D646</f>
        <v>260</v>
      </c>
      <c r="J642" s="661" t="n">
        <f aca="false">H642*I642</f>
        <v>6961.1780455154</v>
      </c>
      <c r="T642" s="581"/>
    </row>
    <row r="643" customFormat="false" ht="15" hidden="false" customHeight="false" outlineLevel="0" collapsed="false">
      <c r="A643" s="327" t="s">
        <v>1082</v>
      </c>
      <c r="B643" s="488" t="s">
        <v>3315</v>
      </c>
      <c r="C643" s="1258" t="n">
        <v>90000</v>
      </c>
      <c r="D643" s="1258" t="n">
        <v>80000</v>
      </c>
      <c r="E643" s="1258" t="n">
        <v>70000</v>
      </c>
      <c r="F643" s="955" t="n">
        <f aca="false">C643+D643+E643</f>
        <v>240000</v>
      </c>
      <c r="G643" s="955" t="n">
        <f aca="false">F643/149.4</f>
        <v>1606.42570281125</v>
      </c>
      <c r="H643" s="661" t="n">
        <f aca="false">G643/60</f>
        <v>26.7737617135208</v>
      </c>
      <c r="I643" s="660" t="n">
        <f aca="false">'норма времени'!D647</f>
        <v>270</v>
      </c>
      <c r="J643" s="661" t="n">
        <f aca="false">H643*I643</f>
        <v>7228.9156626506</v>
      </c>
      <c r="T643" s="581"/>
    </row>
    <row r="644" customFormat="false" ht="30" hidden="false" customHeight="false" outlineLevel="0" collapsed="false">
      <c r="A644" s="327" t="s">
        <v>1084</v>
      </c>
      <c r="B644" s="488" t="s">
        <v>3311</v>
      </c>
      <c r="C644" s="1258" t="n">
        <v>90000</v>
      </c>
      <c r="D644" s="1258" t="n">
        <v>80000</v>
      </c>
      <c r="E644" s="1258" t="n">
        <v>70000</v>
      </c>
      <c r="F644" s="955" t="n">
        <f aca="false">C644+D644+E644</f>
        <v>240000</v>
      </c>
      <c r="G644" s="955" t="n">
        <f aca="false">F644/149.4</f>
        <v>1606.42570281125</v>
      </c>
      <c r="H644" s="661" t="n">
        <f aca="false">G644/60</f>
        <v>26.7737617135208</v>
      </c>
      <c r="I644" s="660" t="n">
        <f aca="false">'норма времени'!D648</f>
        <v>340</v>
      </c>
      <c r="J644" s="661" t="n">
        <f aca="false">H644*I644</f>
        <v>9103.07898259706</v>
      </c>
      <c r="T644" s="581"/>
    </row>
    <row r="645" customFormat="false" ht="30" hidden="false" customHeight="false" outlineLevel="0" collapsed="false">
      <c r="A645" s="327" t="s">
        <v>1085</v>
      </c>
      <c r="B645" s="488" t="s">
        <v>3313</v>
      </c>
      <c r="C645" s="1258" t="n">
        <v>90000</v>
      </c>
      <c r="D645" s="1258" t="n">
        <v>80000</v>
      </c>
      <c r="E645" s="1258" t="n">
        <v>70000</v>
      </c>
      <c r="F645" s="955" t="n">
        <f aca="false">C645+D645+E645</f>
        <v>240000</v>
      </c>
      <c r="G645" s="955" t="n">
        <f aca="false">F645/149.4</f>
        <v>1606.42570281125</v>
      </c>
      <c r="H645" s="661" t="n">
        <f aca="false">G645/60</f>
        <v>26.7737617135208</v>
      </c>
      <c r="I645" s="660" t="n">
        <f aca="false">'норма времени'!D649</f>
        <v>330</v>
      </c>
      <c r="J645" s="661" t="n">
        <f aca="false">H645*I645</f>
        <v>8835.34136546185</v>
      </c>
      <c r="T645" s="581"/>
    </row>
    <row r="646" customFormat="false" ht="15" hidden="false" customHeight="false" outlineLevel="0" collapsed="false">
      <c r="A646" s="327" t="s">
        <v>1087</v>
      </c>
      <c r="B646" s="488" t="s">
        <v>3308</v>
      </c>
      <c r="C646" s="1258" t="n">
        <v>90000</v>
      </c>
      <c r="D646" s="1258" t="n">
        <v>80000</v>
      </c>
      <c r="E646" s="1258" t="n">
        <v>70000</v>
      </c>
      <c r="F646" s="955" t="n">
        <f aca="false">C646+D646+E646</f>
        <v>240000</v>
      </c>
      <c r="G646" s="955" t="n">
        <f aca="false">F646/149.4</f>
        <v>1606.42570281125</v>
      </c>
      <c r="H646" s="661" t="n">
        <f aca="false">G646/60</f>
        <v>26.7737617135208</v>
      </c>
      <c r="I646" s="660" t="n">
        <f aca="false">'норма времени'!D650</f>
        <v>340</v>
      </c>
      <c r="J646" s="661" t="n">
        <f aca="false">H646*I646</f>
        <v>9103.07898259706</v>
      </c>
      <c r="T646" s="581"/>
    </row>
    <row r="647" s="451" customFormat="true" ht="15" hidden="false" customHeight="false" outlineLevel="0" collapsed="false">
      <c r="A647" s="350" t="s">
        <v>1088</v>
      </c>
      <c r="B647" s="467" t="s">
        <v>3326</v>
      </c>
      <c r="C647" s="1253"/>
      <c r="D647" s="1253"/>
      <c r="E647" s="1253"/>
      <c r="F647" s="1249"/>
      <c r="G647" s="1249"/>
      <c r="H647" s="1259"/>
      <c r="I647" s="1255"/>
      <c r="J647" s="1259"/>
      <c r="K647" s="1257"/>
      <c r="L647" s="1257"/>
      <c r="M647" s="1257"/>
      <c r="N647" s="1257"/>
      <c r="O647" s="1257"/>
      <c r="P647" s="1257"/>
      <c r="Q647" s="1257"/>
      <c r="R647" s="1257"/>
      <c r="S647" s="1257"/>
      <c r="T647" s="1257"/>
    </row>
    <row r="648" customFormat="false" ht="15" hidden="false" customHeight="false" outlineLevel="0" collapsed="false">
      <c r="A648" s="327" t="s">
        <v>1090</v>
      </c>
      <c r="B648" s="433" t="s">
        <v>3307</v>
      </c>
      <c r="C648" s="1258" t="n">
        <v>90000</v>
      </c>
      <c r="D648" s="1258" t="n">
        <v>80000</v>
      </c>
      <c r="E648" s="1258" t="n">
        <v>70000</v>
      </c>
      <c r="F648" s="955" t="n">
        <f aca="false">C648+D648+E648</f>
        <v>240000</v>
      </c>
      <c r="G648" s="955" t="n">
        <f aca="false">F648/149.4</f>
        <v>1606.42570281125</v>
      </c>
      <c r="H648" s="661" t="n">
        <f aca="false">G648/60</f>
        <v>26.7737617135208</v>
      </c>
      <c r="I648" s="660" t="n">
        <f aca="false">'норма времени'!D652</f>
        <v>270</v>
      </c>
      <c r="J648" s="661" t="n">
        <f aca="false">H648*I648</f>
        <v>7228.9156626506</v>
      </c>
      <c r="T648" s="581"/>
    </row>
    <row r="649" s="451" customFormat="true" ht="15" hidden="false" customHeight="false" outlineLevel="0" collapsed="false">
      <c r="A649" s="350" t="s">
        <v>1091</v>
      </c>
      <c r="B649" s="346" t="s">
        <v>3327</v>
      </c>
      <c r="C649" s="1253"/>
      <c r="D649" s="1253"/>
      <c r="E649" s="1253"/>
      <c r="F649" s="1249"/>
      <c r="G649" s="1249"/>
      <c r="H649" s="1259"/>
      <c r="I649" s="1255"/>
      <c r="J649" s="1259"/>
      <c r="K649" s="1257"/>
      <c r="L649" s="1257"/>
      <c r="M649" s="1257"/>
      <c r="N649" s="1257"/>
      <c r="O649" s="1257"/>
      <c r="P649" s="1257"/>
      <c r="Q649" s="1257"/>
      <c r="R649" s="1257"/>
      <c r="S649" s="1257"/>
      <c r="T649" s="1257"/>
    </row>
    <row r="650" customFormat="false" ht="15" hidden="false" customHeight="false" outlineLevel="0" collapsed="false">
      <c r="A650" s="327" t="s">
        <v>1093</v>
      </c>
      <c r="B650" s="433" t="s">
        <v>3307</v>
      </c>
      <c r="C650" s="1258" t="n">
        <v>90000</v>
      </c>
      <c r="D650" s="1258" t="n">
        <v>80000</v>
      </c>
      <c r="E650" s="1258" t="n">
        <v>70000</v>
      </c>
      <c r="F650" s="955" t="n">
        <f aca="false">C650+D650+E650</f>
        <v>240000</v>
      </c>
      <c r="G650" s="955" t="n">
        <f aca="false">F650/149.4</f>
        <v>1606.42570281125</v>
      </c>
      <c r="H650" s="661" t="n">
        <f aca="false">G650/60</f>
        <v>26.7737617135208</v>
      </c>
      <c r="I650" s="660" t="n">
        <f aca="false">'норма времени'!D654</f>
        <v>270</v>
      </c>
      <c r="J650" s="661" t="n">
        <f aca="false">H650*I650</f>
        <v>7228.9156626506</v>
      </c>
      <c r="T650" s="581"/>
    </row>
    <row r="651" s="451" customFormat="true" ht="28.5" hidden="false" customHeight="false" outlineLevel="0" collapsed="false">
      <c r="A651" s="350" t="s">
        <v>1094</v>
      </c>
      <c r="B651" s="467" t="s">
        <v>3328</v>
      </c>
      <c r="C651" s="1253"/>
      <c r="D651" s="1253"/>
      <c r="E651" s="1253"/>
      <c r="F651" s="1249"/>
      <c r="G651" s="1249"/>
      <c r="H651" s="1259"/>
      <c r="I651" s="1255"/>
      <c r="J651" s="1259"/>
      <c r="K651" s="1257"/>
      <c r="L651" s="1257"/>
      <c r="M651" s="1257"/>
      <c r="N651" s="1257"/>
      <c r="O651" s="1257"/>
      <c r="P651" s="1257"/>
      <c r="Q651" s="1257"/>
      <c r="R651" s="1257"/>
      <c r="S651" s="1257"/>
      <c r="T651" s="1257"/>
    </row>
    <row r="652" customFormat="false" ht="15" hidden="false" customHeight="false" outlineLevel="0" collapsed="false">
      <c r="A652" s="327" t="s">
        <v>1096</v>
      </c>
      <c r="B652" s="488" t="s">
        <v>3329</v>
      </c>
      <c r="C652" s="1258" t="n">
        <v>90000</v>
      </c>
      <c r="D652" s="1258" t="n">
        <v>80000</v>
      </c>
      <c r="E652" s="1258" t="n">
        <v>70000</v>
      </c>
      <c r="F652" s="955" t="n">
        <f aca="false">C652+D652+E652</f>
        <v>240000</v>
      </c>
      <c r="G652" s="955" t="n">
        <f aca="false">F652/149.4</f>
        <v>1606.42570281125</v>
      </c>
      <c r="H652" s="661" t="n">
        <f aca="false">G652/60</f>
        <v>26.7737617135208</v>
      </c>
      <c r="I652" s="660" t="n">
        <f aca="false">'[6]норма времени'!D646</f>
        <v>90</v>
      </c>
      <c r="J652" s="661" t="n">
        <f aca="false">H652*I652</f>
        <v>2409.63855421687</v>
      </c>
      <c r="T652" s="581"/>
    </row>
    <row r="653" customFormat="false" ht="15" hidden="false" customHeight="false" outlineLevel="0" collapsed="false">
      <c r="A653" s="327" t="s">
        <v>1098</v>
      </c>
      <c r="B653" s="488" t="s">
        <v>3307</v>
      </c>
      <c r="C653" s="1258" t="n">
        <v>90000</v>
      </c>
      <c r="D653" s="1258" t="n">
        <v>80000</v>
      </c>
      <c r="E653" s="1258" t="n">
        <v>70000</v>
      </c>
      <c r="F653" s="955" t="n">
        <f aca="false">C653+D653+E653</f>
        <v>240000</v>
      </c>
      <c r="G653" s="955" t="n">
        <f aca="false">F653/149.4</f>
        <v>1606.42570281125</v>
      </c>
      <c r="H653" s="661" t="n">
        <f aca="false">G653/60</f>
        <v>26.7737617135208</v>
      </c>
      <c r="I653" s="660" t="n">
        <f aca="false">'[6]норма времени'!D647</f>
        <v>340</v>
      </c>
      <c r="J653" s="661" t="n">
        <f aca="false">H653*I653</f>
        <v>9103.07898259706</v>
      </c>
      <c r="T653" s="581"/>
    </row>
    <row r="654" customFormat="false" ht="15" hidden="false" customHeight="false" outlineLevel="0" collapsed="false">
      <c r="A654" s="327" t="s">
        <v>1099</v>
      </c>
      <c r="B654" s="488" t="s">
        <v>3324</v>
      </c>
      <c r="C654" s="1258" t="n">
        <v>90000</v>
      </c>
      <c r="D654" s="1258" t="n">
        <v>80000</v>
      </c>
      <c r="E654" s="1258" t="n">
        <v>70000</v>
      </c>
      <c r="F654" s="955" t="n">
        <f aca="false">C654+D654+E654</f>
        <v>240000</v>
      </c>
      <c r="G654" s="955" t="n">
        <f aca="false">F654/149.4</f>
        <v>1606.42570281125</v>
      </c>
      <c r="H654" s="661" t="n">
        <f aca="false">G654/60</f>
        <v>26.7737617135208</v>
      </c>
      <c r="I654" s="660" t="n">
        <f aca="false">'[6]норма времени'!D648</f>
        <v>310</v>
      </c>
      <c r="J654" s="661" t="n">
        <f aca="false">H654*I654</f>
        <v>8299.86613119143</v>
      </c>
      <c r="T654" s="581"/>
    </row>
    <row r="655" customFormat="false" ht="15" hidden="false" customHeight="false" outlineLevel="0" collapsed="false">
      <c r="A655" s="327" t="s">
        <v>1100</v>
      </c>
      <c r="B655" s="488" t="s">
        <v>3310</v>
      </c>
      <c r="C655" s="1258" t="n">
        <v>90000</v>
      </c>
      <c r="D655" s="1258" t="n">
        <v>80000</v>
      </c>
      <c r="E655" s="1258" t="n">
        <v>70000</v>
      </c>
      <c r="F655" s="955" t="n">
        <f aca="false">C655+D655+E655</f>
        <v>240000</v>
      </c>
      <c r="G655" s="955" t="n">
        <f aca="false">F655/149.4</f>
        <v>1606.42570281125</v>
      </c>
      <c r="H655" s="661" t="n">
        <f aca="false">G655/60</f>
        <v>26.7737617135208</v>
      </c>
      <c r="I655" s="660" t="n">
        <f aca="false">'[6]норма времени'!D649</f>
        <v>260</v>
      </c>
      <c r="J655" s="661" t="n">
        <f aca="false">H655*I655</f>
        <v>6961.1780455154</v>
      </c>
      <c r="T655" s="581"/>
    </row>
    <row r="656" customFormat="false" ht="30" hidden="false" customHeight="false" outlineLevel="0" collapsed="false">
      <c r="A656" s="327" t="s">
        <v>1101</v>
      </c>
      <c r="B656" s="488" t="s">
        <v>3330</v>
      </c>
      <c r="C656" s="1258" t="n">
        <v>90000</v>
      </c>
      <c r="D656" s="1258" t="n">
        <v>80000</v>
      </c>
      <c r="E656" s="1258" t="n">
        <v>70000</v>
      </c>
      <c r="F656" s="955" t="n">
        <f aca="false">C656+D656+E656</f>
        <v>240000</v>
      </c>
      <c r="G656" s="955" t="n">
        <f aca="false">F656/149.4</f>
        <v>1606.42570281125</v>
      </c>
      <c r="H656" s="661" t="n">
        <f aca="false">G656/60</f>
        <v>26.7737617135208</v>
      </c>
      <c r="I656" s="660" t="n">
        <f aca="false">'[6]норма времени'!D650</f>
        <v>320</v>
      </c>
      <c r="J656" s="661" t="n">
        <f aca="false">H656*I656</f>
        <v>8567.60374832664</v>
      </c>
      <c r="T656" s="581"/>
    </row>
    <row r="657" customFormat="false" ht="30" hidden="false" customHeight="false" outlineLevel="0" collapsed="false">
      <c r="A657" s="327" t="s">
        <v>1102</v>
      </c>
      <c r="B657" s="488" t="s">
        <v>3311</v>
      </c>
      <c r="C657" s="1258" t="n">
        <v>90000</v>
      </c>
      <c r="D657" s="1258" t="n">
        <v>80000</v>
      </c>
      <c r="E657" s="1258" t="n">
        <v>70000</v>
      </c>
      <c r="F657" s="955" t="n">
        <f aca="false">C657+D657+E657</f>
        <v>240000</v>
      </c>
      <c r="G657" s="955" t="n">
        <f aca="false">F657/149.4</f>
        <v>1606.42570281125</v>
      </c>
      <c r="H657" s="661" t="n">
        <f aca="false">G657/60</f>
        <v>26.7737617135208</v>
      </c>
      <c r="I657" s="660" t="n">
        <f aca="false">'[6]норма времени'!D651</f>
        <v>280</v>
      </c>
      <c r="J657" s="661" t="n">
        <f aca="false">H657*I657</f>
        <v>7496.65327978581</v>
      </c>
      <c r="T657" s="581"/>
    </row>
    <row r="658" customFormat="false" ht="15" hidden="false" customHeight="false" outlineLevel="0" collapsed="false">
      <c r="A658" s="327" t="s">
        <v>1103</v>
      </c>
      <c r="B658" s="494" t="s">
        <v>3331</v>
      </c>
      <c r="C658" s="1258" t="n">
        <v>90000</v>
      </c>
      <c r="D658" s="1258" t="n">
        <v>80000</v>
      </c>
      <c r="E658" s="1258" t="n">
        <v>70000</v>
      </c>
      <c r="F658" s="955" t="n">
        <f aca="false">C658+D658+E658</f>
        <v>240000</v>
      </c>
      <c r="G658" s="955" t="n">
        <f aca="false">F658/149.4</f>
        <v>1606.42570281125</v>
      </c>
      <c r="H658" s="661" t="n">
        <f aca="false">G658/60</f>
        <v>26.7737617135208</v>
      </c>
      <c r="I658" s="660" t="n">
        <f aca="false">'[6]норма времени'!D652</f>
        <v>260</v>
      </c>
      <c r="J658" s="661" t="n">
        <f aca="false">H658*I658</f>
        <v>6961.1780455154</v>
      </c>
      <c r="T658" s="581"/>
    </row>
    <row r="659" customFormat="false" ht="15" hidden="false" customHeight="false" outlineLevel="0" collapsed="false">
      <c r="A659" s="327" t="s">
        <v>1105</v>
      </c>
      <c r="B659" s="488" t="s">
        <v>3309</v>
      </c>
      <c r="C659" s="1258" t="n">
        <v>90000</v>
      </c>
      <c r="D659" s="1258" t="n">
        <v>80000</v>
      </c>
      <c r="E659" s="1258" t="n">
        <v>70000</v>
      </c>
      <c r="F659" s="955" t="n">
        <f aca="false">C659+D659+E659</f>
        <v>240000</v>
      </c>
      <c r="G659" s="955" t="n">
        <f aca="false">F659/149.4</f>
        <v>1606.42570281125</v>
      </c>
      <c r="H659" s="661" t="n">
        <f aca="false">G659/60</f>
        <v>26.7737617135208</v>
      </c>
      <c r="I659" s="660" t="n">
        <f aca="false">'[6]норма времени'!D653</f>
        <v>260</v>
      </c>
      <c r="J659" s="661" t="n">
        <f aca="false">H659*I659</f>
        <v>6961.1780455154</v>
      </c>
      <c r="T659" s="581"/>
    </row>
    <row r="660" customFormat="false" ht="45" hidden="false" customHeight="false" outlineLevel="0" collapsed="false">
      <c r="A660" s="327" t="s">
        <v>1106</v>
      </c>
      <c r="B660" s="488" t="s">
        <v>3332</v>
      </c>
      <c r="C660" s="1258" t="n">
        <v>90000</v>
      </c>
      <c r="D660" s="1258" t="n">
        <v>80000</v>
      </c>
      <c r="E660" s="1258" t="n">
        <v>70000</v>
      </c>
      <c r="F660" s="955" t="n">
        <f aca="false">C660+D660+E660</f>
        <v>240000</v>
      </c>
      <c r="G660" s="955" t="n">
        <f aca="false">F660/149.4</f>
        <v>1606.42570281125</v>
      </c>
      <c r="H660" s="661" t="n">
        <f aca="false">G660/60</f>
        <v>26.7737617135208</v>
      </c>
      <c r="I660" s="660" t="n">
        <f aca="false">'[6]норма времени'!D654</f>
        <v>280</v>
      </c>
      <c r="J660" s="661" t="n">
        <f aca="false">H660*I660</f>
        <v>7496.65327978581</v>
      </c>
      <c r="T660" s="581"/>
    </row>
    <row r="661" customFormat="false" ht="15" hidden="false" customHeight="false" outlineLevel="0" collapsed="false">
      <c r="A661" s="327" t="s">
        <v>1107</v>
      </c>
      <c r="B661" s="488" t="s">
        <v>3315</v>
      </c>
      <c r="C661" s="1258" t="n">
        <v>90000</v>
      </c>
      <c r="D661" s="1258" t="n">
        <v>80000</v>
      </c>
      <c r="E661" s="1258" t="n">
        <v>70000</v>
      </c>
      <c r="F661" s="955" t="n">
        <f aca="false">C661+D661+E661</f>
        <v>240000</v>
      </c>
      <c r="G661" s="955" t="n">
        <f aca="false">F661/149.4</f>
        <v>1606.42570281125</v>
      </c>
      <c r="H661" s="661" t="n">
        <f aca="false">G661/60</f>
        <v>26.7737617135208</v>
      </c>
      <c r="I661" s="660" t="n">
        <f aca="false">'[6]норма времени'!D655</f>
        <v>270</v>
      </c>
      <c r="J661" s="661" t="n">
        <f aca="false">H661*I661</f>
        <v>7228.9156626506</v>
      </c>
      <c r="T661" s="581"/>
    </row>
    <row r="662" s="451" customFormat="true" ht="15" hidden="false" customHeight="false" outlineLevel="0" collapsed="false">
      <c r="A662" s="350" t="s">
        <v>1108</v>
      </c>
      <c r="B662" s="346" t="s">
        <v>3333</v>
      </c>
      <c r="C662" s="1253"/>
      <c r="D662" s="1253"/>
      <c r="E662" s="1253"/>
      <c r="F662" s="1249"/>
      <c r="G662" s="955" t="n">
        <f aca="false">F662/149.4</f>
        <v>0</v>
      </c>
      <c r="H662" s="1259"/>
      <c r="I662" s="1255"/>
      <c r="J662" s="1259"/>
      <c r="K662" s="1257"/>
      <c r="L662" s="1257"/>
      <c r="M662" s="1257"/>
      <c r="N662" s="1257"/>
      <c r="O662" s="1257"/>
      <c r="P662" s="1257"/>
      <c r="Q662" s="1257"/>
      <c r="R662" s="1257"/>
      <c r="S662" s="1257"/>
      <c r="T662" s="1257"/>
    </row>
    <row r="663" customFormat="false" ht="15" hidden="false" customHeight="false" outlineLevel="0" collapsed="false">
      <c r="A663" s="327" t="s">
        <v>1110</v>
      </c>
      <c r="B663" s="488" t="s">
        <v>3307</v>
      </c>
      <c r="C663" s="1258" t="n">
        <v>90000</v>
      </c>
      <c r="D663" s="1258" t="n">
        <v>80000</v>
      </c>
      <c r="E663" s="1258" t="n">
        <v>70000</v>
      </c>
      <c r="F663" s="955" t="n">
        <f aca="false">C663+D663+E663</f>
        <v>240000</v>
      </c>
      <c r="G663" s="955" t="n">
        <f aca="false">F663/149.4</f>
        <v>1606.42570281125</v>
      </c>
      <c r="H663" s="661" t="n">
        <f aca="false">G663/60</f>
        <v>26.7737617135208</v>
      </c>
      <c r="I663" s="660" t="n">
        <f aca="false">'[6]норма времени'!D657</f>
        <v>340</v>
      </c>
      <c r="J663" s="661" t="n">
        <f aca="false">H663*I663</f>
        <v>9103.07898259706</v>
      </c>
      <c r="T663" s="581"/>
    </row>
    <row r="664" customFormat="false" ht="15" hidden="false" customHeight="false" outlineLevel="0" collapsed="false">
      <c r="A664" s="327" t="s">
        <v>1111</v>
      </c>
      <c r="B664" s="488" t="s">
        <v>3324</v>
      </c>
      <c r="C664" s="1258" t="n">
        <v>90000</v>
      </c>
      <c r="D664" s="1258" t="n">
        <v>80000</v>
      </c>
      <c r="E664" s="1258" t="n">
        <v>70000</v>
      </c>
      <c r="F664" s="955" t="n">
        <f aca="false">C664+D664+E664</f>
        <v>240000</v>
      </c>
      <c r="G664" s="955" t="n">
        <f aca="false">F664/149.4</f>
        <v>1606.42570281125</v>
      </c>
      <c r="H664" s="661" t="n">
        <f aca="false">G664/60</f>
        <v>26.7737617135208</v>
      </c>
      <c r="I664" s="660" t="n">
        <f aca="false">'[6]норма времени'!D658</f>
        <v>310</v>
      </c>
      <c r="J664" s="661" t="n">
        <f aca="false">H664*I664</f>
        <v>8299.86613119143</v>
      </c>
      <c r="T664" s="581"/>
    </row>
    <row r="665" customFormat="false" ht="15" hidden="false" customHeight="false" outlineLevel="0" collapsed="false">
      <c r="A665" s="327" t="s">
        <v>1112</v>
      </c>
      <c r="B665" s="488" t="s">
        <v>3310</v>
      </c>
      <c r="C665" s="1258" t="n">
        <v>90000</v>
      </c>
      <c r="D665" s="1258" t="n">
        <v>80000</v>
      </c>
      <c r="E665" s="1258" t="n">
        <v>70000</v>
      </c>
      <c r="F665" s="955" t="n">
        <f aca="false">C665+D665+E665</f>
        <v>240000</v>
      </c>
      <c r="G665" s="955" t="n">
        <f aca="false">F665/149.4</f>
        <v>1606.42570281125</v>
      </c>
      <c r="H665" s="661" t="n">
        <f aca="false">G665/60</f>
        <v>26.7737617135208</v>
      </c>
      <c r="I665" s="660" t="n">
        <f aca="false">'[6]норма времени'!D659</f>
        <v>260</v>
      </c>
      <c r="J665" s="661" t="n">
        <f aca="false">H665*I665</f>
        <v>6961.1780455154</v>
      </c>
      <c r="T665" s="581"/>
    </row>
    <row r="666" customFormat="false" ht="45" hidden="false" customHeight="false" outlineLevel="0" collapsed="false">
      <c r="A666" s="327" t="s">
        <v>1113</v>
      </c>
      <c r="B666" s="488" t="s">
        <v>3332</v>
      </c>
      <c r="C666" s="1258" t="n">
        <v>90000</v>
      </c>
      <c r="D666" s="1258" t="n">
        <v>80000</v>
      </c>
      <c r="E666" s="1258" t="n">
        <v>70000</v>
      </c>
      <c r="F666" s="955" t="n">
        <f aca="false">C666+D666+E666</f>
        <v>240000</v>
      </c>
      <c r="G666" s="955" t="n">
        <f aca="false">F666/149.4</f>
        <v>1606.42570281125</v>
      </c>
      <c r="H666" s="661" t="n">
        <f aca="false">G666/60</f>
        <v>26.7737617135208</v>
      </c>
      <c r="I666" s="660" t="n">
        <f aca="false">'[6]норма времени'!D660</f>
        <v>280</v>
      </c>
      <c r="J666" s="661" t="n">
        <f aca="false">H666*I666</f>
        <v>7496.65327978581</v>
      </c>
      <c r="T666" s="581"/>
    </row>
    <row r="667" customFormat="false" ht="15" hidden="false" customHeight="false" outlineLevel="0" collapsed="false">
      <c r="A667" s="327" t="s">
        <v>1114</v>
      </c>
      <c r="B667" s="488" t="s">
        <v>3309</v>
      </c>
      <c r="C667" s="1258" t="n">
        <v>90000</v>
      </c>
      <c r="D667" s="1258" t="n">
        <v>80000</v>
      </c>
      <c r="E667" s="1258" t="n">
        <v>70000</v>
      </c>
      <c r="F667" s="955" t="n">
        <f aca="false">C667+D667+E667</f>
        <v>240000</v>
      </c>
      <c r="G667" s="955" t="n">
        <f aca="false">F667/149.4</f>
        <v>1606.42570281125</v>
      </c>
      <c r="H667" s="661" t="n">
        <f aca="false">G667/60</f>
        <v>26.7737617135208</v>
      </c>
      <c r="I667" s="660" t="n">
        <f aca="false">'[6]норма времени'!D661</f>
        <v>260</v>
      </c>
      <c r="J667" s="661" t="n">
        <f aca="false">H667*I667</f>
        <v>6961.1780455154</v>
      </c>
      <c r="T667" s="581"/>
    </row>
    <row r="668" customFormat="false" ht="15" hidden="false" customHeight="false" outlineLevel="0" collapsed="false">
      <c r="A668" s="327" t="s">
        <v>1115</v>
      </c>
      <c r="B668" s="488" t="s">
        <v>3334</v>
      </c>
      <c r="C668" s="1258" t="n">
        <v>90000</v>
      </c>
      <c r="D668" s="1258" t="n">
        <v>80000</v>
      </c>
      <c r="E668" s="1258" t="n">
        <v>70000</v>
      </c>
      <c r="F668" s="955" t="n">
        <f aca="false">C668+D668+E668</f>
        <v>240000</v>
      </c>
      <c r="G668" s="955" t="n">
        <f aca="false">F668/149.4</f>
        <v>1606.42570281125</v>
      </c>
      <c r="H668" s="661" t="n">
        <f aca="false">G668/60</f>
        <v>26.7737617135208</v>
      </c>
      <c r="I668" s="660" t="n">
        <f aca="false">'[6]норма времени'!D662</f>
        <v>280</v>
      </c>
      <c r="J668" s="661" t="n">
        <f aca="false">H668*I668</f>
        <v>7496.65327978581</v>
      </c>
      <c r="T668" s="581"/>
    </row>
    <row r="669" customFormat="false" ht="30" hidden="false" customHeight="false" outlineLevel="0" collapsed="false">
      <c r="A669" s="327" t="s">
        <v>1117</v>
      </c>
      <c r="B669" s="488" t="s">
        <v>3313</v>
      </c>
      <c r="C669" s="1258" t="n">
        <v>90000</v>
      </c>
      <c r="D669" s="1258" t="n">
        <v>80000</v>
      </c>
      <c r="E669" s="1258" t="n">
        <v>70000</v>
      </c>
      <c r="F669" s="955" t="n">
        <f aca="false">C669+D669+E669</f>
        <v>240000</v>
      </c>
      <c r="G669" s="955" t="n">
        <f aca="false">F669/149.4</f>
        <v>1606.42570281125</v>
      </c>
      <c r="H669" s="661" t="n">
        <f aca="false">G669/60</f>
        <v>26.7737617135208</v>
      </c>
      <c r="I669" s="660" t="n">
        <f aca="false">'[6]норма времени'!D663</f>
        <v>280</v>
      </c>
      <c r="J669" s="661" t="n">
        <f aca="false">H669*I669</f>
        <v>7496.65327978581</v>
      </c>
      <c r="T669" s="581"/>
    </row>
    <row r="670" customFormat="false" ht="15" hidden="false" customHeight="false" outlineLevel="0" collapsed="false">
      <c r="A670" s="327" t="s">
        <v>1118</v>
      </c>
      <c r="B670" s="488" t="s">
        <v>3308</v>
      </c>
      <c r="C670" s="1258" t="n">
        <v>90000</v>
      </c>
      <c r="D670" s="1258" t="n">
        <v>80000</v>
      </c>
      <c r="E670" s="1258" t="n">
        <v>70000</v>
      </c>
      <c r="F670" s="955" t="n">
        <f aca="false">C670+D670+E670</f>
        <v>240000</v>
      </c>
      <c r="G670" s="955" t="n">
        <f aca="false">F670/149.4</f>
        <v>1606.42570281125</v>
      </c>
      <c r="H670" s="661" t="n">
        <f aca="false">G670/60</f>
        <v>26.7737617135208</v>
      </c>
      <c r="I670" s="660" t="n">
        <f aca="false">'[6]норма времени'!D664</f>
        <v>340</v>
      </c>
      <c r="J670" s="661" t="n">
        <f aca="false">H670*I670</f>
        <v>9103.07898259706</v>
      </c>
      <c r="T670" s="581"/>
    </row>
    <row r="671" s="451" customFormat="true" ht="18.75" hidden="false" customHeight="true" outlineLevel="0" collapsed="false">
      <c r="A671" s="350" t="s">
        <v>1119</v>
      </c>
      <c r="B671" s="467" t="s">
        <v>3170</v>
      </c>
      <c r="C671" s="1253"/>
      <c r="D671" s="1253"/>
      <c r="E671" s="1253"/>
      <c r="F671" s="1249"/>
      <c r="G671" s="955" t="n">
        <f aca="false">F671/149.4</f>
        <v>0</v>
      </c>
      <c r="H671" s="1259"/>
      <c r="I671" s="1255"/>
      <c r="J671" s="1259"/>
      <c r="K671" s="1257"/>
      <c r="L671" s="1257"/>
      <c r="M671" s="1257"/>
      <c r="N671" s="1257"/>
      <c r="O671" s="1257"/>
      <c r="P671" s="1257"/>
      <c r="Q671" s="1257"/>
      <c r="R671" s="1257"/>
      <c r="S671" s="1257"/>
      <c r="T671" s="1257"/>
    </row>
    <row r="672" customFormat="false" ht="15" hidden="false" customHeight="false" outlineLevel="0" collapsed="false">
      <c r="A672" s="327" t="s">
        <v>1120</v>
      </c>
      <c r="B672" s="433" t="s">
        <v>3307</v>
      </c>
      <c r="C672" s="1258" t="n">
        <v>90000</v>
      </c>
      <c r="D672" s="1258" t="n">
        <v>80000</v>
      </c>
      <c r="E672" s="1258" t="n">
        <v>70000</v>
      </c>
      <c r="F672" s="955" t="n">
        <f aca="false">C672+D672+E672</f>
        <v>240000</v>
      </c>
      <c r="G672" s="955" t="n">
        <f aca="false">F672/149.4</f>
        <v>1606.42570281125</v>
      </c>
      <c r="H672" s="661" t="n">
        <f aca="false">G672/60</f>
        <v>26.7737617135208</v>
      </c>
      <c r="I672" s="660" t="n">
        <f aca="false">'[6]норма времени'!D666</f>
        <v>260</v>
      </c>
      <c r="J672" s="661" t="n">
        <f aca="false">H672*I672</f>
        <v>6961.1780455154</v>
      </c>
      <c r="T672" s="581"/>
    </row>
    <row r="673" s="451" customFormat="true" ht="15" hidden="false" customHeight="false" outlineLevel="0" collapsed="false">
      <c r="A673" s="350" t="s">
        <v>1121</v>
      </c>
      <c r="B673" s="467" t="s">
        <v>3213</v>
      </c>
      <c r="C673" s="1253"/>
      <c r="D673" s="1253"/>
      <c r="E673" s="1253"/>
      <c r="F673" s="1249"/>
      <c r="G673" s="955" t="n">
        <f aca="false">F673/149.4</f>
        <v>0</v>
      </c>
      <c r="H673" s="1259"/>
      <c r="I673" s="1255"/>
      <c r="J673" s="1259"/>
      <c r="K673" s="1257"/>
      <c r="L673" s="1257"/>
      <c r="M673" s="1257"/>
      <c r="N673" s="1257"/>
      <c r="O673" s="1257"/>
      <c r="P673" s="1257"/>
      <c r="Q673" s="1257"/>
      <c r="R673" s="1257"/>
      <c r="S673" s="1257"/>
      <c r="T673" s="1257"/>
    </row>
    <row r="674" customFormat="false" ht="15" hidden="false" customHeight="false" outlineLevel="0" collapsed="false">
      <c r="A674" s="327" t="s">
        <v>1123</v>
      </c>
      <c r="B674" s="433" t="s">
        <v>3307</v>
      </c>
      <c r="C674" s="1258" t="n">
        <v>90000</v>
      </c>
      <c r="D674" s="1258" t="n">
        <v>80000</v>
      </c>
      <c r="E674" s="1258" t="n">
        <v>70000</v>
      </c>
      <c r="F674" s="955" t="n">
        <f aca="false">C674+D674+E674</f>
        <v>240000</v>
      </c>
      <c r="G674" s="955" t="n">
        <f aca="false">F674/149.4</f>
        <v>1606.42570281125</v>
      </c>
      <c r="H674" s="661" t="n">
        <f aca="false">G674/60</f>
        <v>26.7737617135208</v>
      </c>
      <c r="I674" s="660" t="n">
        <f aca="false">'[6]норма времени'!D668</f>
        <v>260</v>
      </c>
      <c r="J674" s="661" t="n">
        <f aca="false">H674*I674</f>
        <v>6961.1780455154</v>
      </c>
      <c r="T674" s="581"/>
    </row>
    <row r="675" customFormat="false" ht="20.25" hidden="false" customHeight="true" outlineLevel="0" collapsed="false">
      <c r="A675" s="327" t="s">
        <v>1124</v>
      </c>
      <c r="B675" s="433" t="s">
        <v>3309</v>
      </c>
      <c r="C675" s="1258" t="n">
        <v>90000</v>
      </c>
      <c r="D675" s="1258" t="n">
        <v>80000</v>
      </c>
      <c r="E675" s="1258" t="n">
        <v>70000</v>
      </c>
      <c r="F675" s="955" t="n">
        <f aca="false">C675+D675+E675</f>
        <v>240000</v>
      </c>
      <c r="G675" s="955" t="n">
        <f aca="false">F675/149.4</f>
        <v>1606.42570281125</v>
      </c>
      <c r="H675" s="661" t="n">
        <f aca="false">G675/60</f>
        <v>26.7737617135208</v>
      </c>
      <c r="I675" s="660" t="n">
        <f aca="false">'[6]норма времени'!D669</f>
        <v>260</v>
      </c>
      <c r="J675" s="661" t="n">
        <f aca="false">H675*I675</f>
        <v>6961.1780455154</v>
      </c>
      <c r="T675" s="581"/>
    </row>
    <row r="676" customFormat="false" ht="15" hidden="false" customHeight="false" outlineLevel="0" collapsed="false">
      <c r="A676" s="327" t="s">
        <v>1125</v>
      </c>
      <c r="B676" s="433" t="s">
        <v>3335</v>
      </c>
      <c r="C676" s="1258" t="n">
        <v>90000</v>
      </c>
      <c r="D676" s="1258" t="n">
        <v>80000</v>
      </c>
      <c r="E676" s="1258" t="n">
        <v>70000</v>
      </c>
      <c r="F676" s="955" t="n">
        <f aca="false">C676+D676+E676</f>
        <v>240000</v>
      </c>
      <c r="G676" s="955" t="n">
        <f aca="false">F676/149.4</f>
        <v>1606.42570281125</v>
      </c>
      <c r="H676" s="661" t="n">
        <f aca="false">G676/60</f>
        <v>26.7737617135208</v>
      </c>
      <c r="I676" s="660" t="n">
        <f aca="false">'[6]норма времени'!D670</f>
        <v>320</v>
      </c>
      <c r="J676" s="661" t="n">
        <f aca="false">H676*I676</f>
        <v>8567.60374832664</v>
      </c>
      <c r="T676" s="581"/>
    </row>
    <row r="677" customFormat="false" ht="15" hidden="false" customHeight="false" outlineLevel="0" collapsed="false">
      <c r="A677" s="327" t="s">
        <v>1127</v>
      </c>
      <c r="B677" s="433" t="s">
        <v>3331</v>
      </c>
      <c r="C677" s="1258" t="n">
        <v>90000</v>
      </c>
      <c r="D677" s="1258" t="n">
        <v>80000</v>
      </c>
      <c r="E677" s="1258" t="n">
        <v>70000</v>
      </c>
      <c r="F677" s="955" t="n">
        <f aca="false">C677+D677+E677</f>
        <v>240000</v>
      </c>
      <c r="G677" s="955" t="n">
        <f aca="false">F677/149.4</f>
        <v>1606.42570281125</v>
      </c>
      <c r="H677" s="661" t="n">
        <f aca="false">G677/60</f>
        <v>26.7737617135208</v>
      </c>
      <c r="I677" s="660" t="n">
        <f aca="false">'[6]норма времени'!D671</f>
        <v>330</v>
      </c>
      <c r="J677" s="661" t="n">
        <f aca="false">H677*I677</f>
        <v>8835.34136546185</v>
      </c>
      <c r="T677" s="581"/>
    </row>
    <row r="678" s="451" customFormat="true" ht="15" hidden="false" customHeight="false" outlineLevel="0" collapsed="false">
      <c r="A678" s="350" t="s">
        <v>1128</v>
      </c>
      <c r="B678" s="467" t="s">
        <v>1129</v>
      </c>
      <c r="C678" s="1253"/>
      <c r="D678" s="1253"/>
      <c r="E678" s="1253"/>
      <c r="F678" s="1249"/>
      <c r="G678" s="955" t="n">
        <f aca="false">F678/149.4</f>
        <v>0</v>
      </c>
      <c r="H678" s="1259"/>
      <c r="I678" s="1255"/>
      <c r="J678" s="1259"/>
      <c r="K678" s="1257"/>
      <c r="L678" s="1257"/>
      <c r="M678" s="1257"/>
      <c r="N678" s="1257"/>
      <c r="O678" s="1257"/>
      <c r="P678" s="1257"/>
      <c r="Q678" s="1257"/>
      <c r="R678" s="1257"/>
      <c r="S678" s="1257"/>
      <c r="T678" s="1257"/>
    </row>
    <row r="679" customFormat="false" ht="15" hidden="false" customHeight="false" outlineLevel="0" collapsed="false">
      <c r="A679" s="327" t="s">
        <v>1130</v>
      </c>
      <c r="B679" s="433" t="s">
        <v>3307</v>
      </c>
      <c r="C679" s="1258" t="n">
        <v>90000</v>
      </c>
      <c r="D679" s="1258" t="n">
        <v>80000</v>
      </c>
      <c r="E679" s="1258" t="n">
        <v>70000</v>
      </c>
      <c r="F679" s="955" t="n">
        <f aca="false">C679+D679+E679</f>
        <v>240000</v>
      </c>
      <c r="G679" s="955" t="n">
        <f aca="false">F679/149.4</f>
        <v>1606.42570281125</v>
      </c>
      <c r="H679" s="661" t="n">
        <f aca="false">G679/60</f>
        <v>26.7737617135208</v>
      </c>
      <c r="I679" s="660" t="n">
        <f aca="false">'[6]норма времени'!D673</f>
        <v>260</v>
      </c>
      <c r="J679" s="661" t="n">
        <f aca="false">H679*I679</f>
        <v>6961.1780455154</v>
      </c>
      <c r="T679" s="581"/>
    </row>
    <row r="680" customFormat="false" ht="15" hidden="false" customHeight="false" outlineLevel="0" collapsed="false">
      <c r="A680" s="327" t="s">
        <v>1131</v>
      </c>
      <c r="B680" s="433" t="s">
        <v>3331</v>
      </c>
      <c r="C680" s="1258" t="n">
        <v>90000</v>
      </c>
      <c r="D680" s="1258" t="n">
        <v>80000</v>
      </c>
      <c r="E680" s="1258" t="n">
        <v>70000</v>
      </c>
      <c r="F680" s="955" t="n">
        <f aca="false">C680+D680+E680</f>
        <v>240000</v>
      </c>
      <c r="G680" s="955" t="n">
        <f aca="false">F680/149.4</f>
        <v>1606.42570281125</v>
      </c>
      <c r="H680" s="661" t="n">
        <f aca="false">G680/60</f>
        <v>26.7737617135208</v>
      </c>
      <c r="I680" s="660" t="n">
        <f aca="false">'[6]норма времени'!D674</f>
        <v>260</v>
      </c>
      <c r="J680" s="661" t="n">
        <f aca="false">H680*I680</f>
        <v>6961.1780455154</v>
      </c>
      <c r="T680" s="581"/>
    </row>
    <row r="681" customFormat="false" ht="15" hidden="false" customHeight="false" outlineLevel="0" collapsed="false">
      <c r="A681" s="327" t="s">
        <v>1132</v>
      </c>
      <c r="B681" s="433" t="s">
        <v>3336</v>
      </c>
      <c r="C681" s="1258" t="n">
        <v>90000</v>
      </c>
      <c r="D681" s="1258" t="n">
        <v>80000</v>
      </c>
      <c r="E681" s="1258" t="n">
        <v>70000</v>
      </c>
      <c r="F681" s="955" t="n">
        <f aca="false">C681+D681+E681</f>
        <v>240000</v>
      </c>
      <c r="G681" s="955" t="n">
        <f aca="false">F681/149.4</f>
        <v>1606.42570281125</v>
      </c>
      <c r="H681" s="661" t="n">
        <f aca="false">G681/60</f>
        <v>26.7737617135208</v>
      </c>
      <c r="I681" s="660" t="n">
        <f aca="false">'[6]норма времени'!D675</f>
        <v>260</v>
      </c>
      <c r="J681" s="661" t="n">
        <f aca="false">H681*I681</f>
        <v>6961.1780455154</v>
      </c>
      <c r="T681" s="581"/>
    </row>
    <row r="682" s="451" customFormat="true" ht="18" hidden="false" customHeight="true" outlineLevel="0" collapsed="false">
      <c r="A682" s="350" t="s">
        <v>1133</v>
      </c>
      <c r="B682" s="467" t="s">
        <v>3337</v>
      </c>
      <c r="C682" s="1253"/>
      <c r="D682" s="1253"/>
      <c r="E682" s="1253"/>
      <c r="F682" s="1249"/>
      <c r="G682" s="955" t="n">
        <f aca="false">F682/149.4</f>
        <v>0</v>
      </c>
      <c r="H682" s="1259"/>
      <c r="I682" s="1255"/>
      <c r="J682" s="1259"/>
      <c r="K682" s="1257"/>
      <c r="L682" s="1257"/>
      <c r="M682" s="1257"/>
      <c r="N682" s="1257"/>
      <c r="O682" s="1257"/>
      <c r="P682" s="1257"/>
      <c r="Q682" s="1257"/>
      <c r="R682" s="1257"/>
      <c r="S682" s="1257"/>
      <c r="T682" s="1257"/>
    </row>
    <row r="683" customFormat="false" ht="15" hidden="false" customHeight="false" outlineLevel="0" collapsed="false">
      <c r="A683" s="327" t="s">
        <v>1135</v>
      </c>
      <c r="B683" s="433" t="s">
        <v>3307</v>
      </c>
      <c r="C683" s="1258" t="n">
        <v>90000</v>
      </c>
      <c r="D683" s="1258" t="n">
        <v>80000</v>
      </c>
      <c r="E683" s="1258" t="n">
        <v>70000</v>
      </c>
      <c r="F683" s="955" t="n">
        <f aca="false">C683+D683+E683</f>
        <v>240000</v>
      </c>
      <c r="G683" s="955" t="n">
        <f aca="false">F683/149.4</f>
        <v>1606.42570281125</v>
      </c>
      <c r="H683" s="661" t="n">
        <f aca="false">G683/60</f>
        <v>26.7737617135208</v>
      </c>
      <c r="I683" s="660" t="n">
        <f aca="false">'[6]норма времени'!D677</f>
        <v>260</v>
      </c>
      <c r="J683" s="661" t="n">
        <f aca="false">H683*I683</f>
        <v>6961.1780455154</v>
      </c>
      <c r="T683" s="581"/>
    </row>
    <row r="684" s="451" customFormat="true" ht="15" hidden="false" customHeight="false" outlineLevel="0" collapsed="false">
      <c r="A684" s="350" t="s">
        <v>1136</v>
      </c>
      <c r="B684" s="467" t="s">
        <v>3338</v>
      </c>
      <c r="C684" s="1253"/>
      <c r="D684" s="1253"/>
      <c r="E684" s="1253"/>
      <c r="F684" s="1249"/>
      <c r="G684" s="955" t="n">
        <f aca="false">F684/149.4</f>
        <v>0</v>
      </c>
      <c r="H684" s="1259"/>
      <c r="I684" s="1255"/>
      <c r="J684" s="1259"/>
      <c r="K684" s="1257"/>
      <c r="L684" s="1257"/>
      <c r="M684" s="1257"/>
      <c r="N684" s="1257"/>
      <c r="O684" s="1257"/>
      <c r="P684" s="1257"/>
      <c r="Q684" s="1257"/>
      <c r="R684" s="1257"/>
      <c r="S684" s="1257"/>
      <c r="T684" s="1257"/>
    </row>
    <row r="685" customFormat="false" ht="15" hidden="false" customHeight="false" outlineLevel="0" collapsed="false">
      <c r="A685" s="327" t="s">
        <v>1138</v>
      </c>
      <c r="B685" s="433" t="s">
        <v>3307</v>
      </c>
      <c r="C685" s="1258" t="n">
        <v>90000</v>
      </c>
      <c r="D685" s="1258" t="n">
        <v>80000</v>
      </c>
      <c r="E685" s="1258" t="n">
        <v>70000</v>
      </c>
      <c r="F685" s="955" t="n">
        <f aca="false">C685+D685+E685</f>
        <v>240000</v>
      </c>
      <c r="G685" s="955" t="n">
        <f aca="false">F685/149.4</f>
        <v>1606.42570281125</v>
      </c>
      <c r="H685" s="661" t="n">
        <f aca="false">G685/60</f>
        <v>26.7737617135208</v>
      </c>
      <c r="I685" s="660" t="n">
        <f aca="false">'[6]норма времени'!D679</f>
        <v>260</v>
      </c>
      <c r="J685" s="661" t="n">
        <f aca="false">H685*I685</f>
        <v>6961.1780455154</v>
      </c>
      <c r="T685" s="581"/>
    </row>
    <row r="686" customFormat="false" ht="30" hidden="false" customHeight="false" outlineLevel="0" collapsed="false">
      <c r="A686" s="327" t="s">
        <v>1139</v>
      </c>
      <c r="B686" s="488" t="s">
        <v>3313</v>
      </c>
      <c r="C686" s="1258" t="n">
        <v>90000</v>
      </c>
      <c r="D686" s="1258" t="n">
        <v>80000</v>
      </c>
      <c r="E686" s="1258" t="n">
        <v>70000</v>
      </c>
      <c r="F686" s="955" t="n">
        <f aca="false">C686+D686+E686</f>
        <v>240000</v>
      </c>
      <c r="G686" s="955" t="n">
        <f aca="false">F686/149.4</f>
        <v>1606.42570281125</v>
      </c>
      <c r="H686" s="661" t="n">
        <f aca="false">G686/60</f>
        <v>26.7737617135208</v>
      </c>
      <c r="I686" s="660" t="n">
        <f aca="false">'[6]норма времени'!D680</f>
        <v>260</v>
      </c>
      <c r="J686" s="661" t="n">
        <f aca="false">H686*I686</f>
        <v>6961.1780455154</v>
      </c>
      <c r="T686" s="581"/>
    </row>
    <row r="687" customFormat="false" ht="15" hidden="false" customHeight="false" outlineLevel="0" collapsed="false">
      <c r="A687" s="327" t="s">
        <v>1140</v>
      </c>
      <c r="B687" s="433" t="s">
        <v>3309</v>
      </c>
      <c r="C687" s="1258" t="n">
        <v>90000</v>
      </c>
      <c r="D687" s="1258" t="n">
        <v>80000</v>
      </c>
      <c r="E687" s="1258" t="n">
        <v>70000</v>
      </c>
      <c r="F687" s="955" t="n">
        <f aca="false">C687+D687+E687</f>
        <v>240000</v>
      </c>
      <c r="G687" s="955" t="n">
        <f aca="false">F687/149.4</f>
        <v>1606.42570281125</v>
      </c>
      <c r="H687" s="661" t="n">
        <f aca="false">G687/60</f>
        <v>26.7737617135208</v>
      </c>
      <c r="I687" s="660" t="n">
        <f aca="false">'[6]норма времени'!D681</f>
        <v>260</v>
      </c>
      <c r="J687" s="661" t="n">
        <f aca="false">H687*I687</f>
        <v>6961.1780455154</v>
      </c>
      <c r="T687" s="581"/>
    </row>
    <row r="688" s="451" customFormat="true" ht="15" hidden="false" customHeight="false" outlineLevel="0" collapsed="false">
      <c r="A688" s="350" t="s">
        <v>1141</v>
      </c>
      <c r="B688" s="467" t="s">
        <v>3339</v>
      </c>
      <c r="C688" s="1253"/>
      <c r="D688" s="1253"/>
      <c r="E688" s="1253"/>
      <c r="F688" s="1249"/>
      <c r="G688" s="955" t="n">
        <f aca="false">F688/149.4</f>
        <v>0</v>
      </c>
      <c r="H688" s="1259"/>
      <c r="I688" s="1255"/>
      <c r="J688" s="1259"/>
      <c r="K688" s="1257"/>
      <c r="L688" s="1257"/>
      <c r="M688" s="1257"/>
      <c r="N688" s="1257"/>
      <c r="O688" s="1257"/>
      <c r="P688" s="1257"/>
      <c r="Q688" s="1257"/>
      <c r="R688" s="1257"/>
      <c r="S688" s="1257"/>
      <c r="T688" s="1257"/>
    </row>
    <row r="689" customFormat="false" ht="37.5" hidden="false" customHeight="true" outlineLevel="0" collapsed="false">
      <c r="A689" s="327" t="s">
        <v>1143</v>
      </c>
      <c r="B689" s="433" t="s">
        <v>3309</v>
      </c>
      <c r="C689" s="1258" t="n">
        <v>90000</v>
      </c>
      <c r="D689" s="1258" t="n">
        <v>80000</v>
      </c>
      <c r="E689" s="1258" t="n">
        <v>70000</v>
      </c>
      <c r="F689" s="955" t="n">
        <f aca="false">C689+D689+E689</f>
        <v>240000</v>
      </c>
      <c r="G689" s="955" t="n">
        <f aca="false">F689/149.4</f>
        <v>1606.42570281125</v>
      </c>
      <c r="H689" s="661" t="n">
        <f aca="false">G689/60</f>
        <v>26.7737617135208</v>
      </c>
      <c r="I689" s="660" t="n">
        <f aca="false">'[6]норма времени'!D683</f>
        <v>260</v>
      </c>
      <c r="J689" s="661" t="n">
        <f aca="false">H689*I689</f>
        <v>6961.1780455154</v>
      </c>
      <c r="T689" s="581"/>
    </row>
    <row r="690" customFormat="false" ht="15" hidden="false" customHeight="false" outlineLevel="0" collapsed="false">
      <c r="A690" s="327" t="s">
        <v>1144</v>
      </c>
      <c r="B690" s="433" t="s">
        <v>3310</v>
      </c>
      <c r="C690" s="1258" t="n">
        <v>90000</v>
      </c>
      <c r="D690" s="1258" t="n">
        <v>80000</v>
      </c>
      <c r="E690" s="1258" t="n">
        <v>70000</v>
      </c>
      <c r="F690" s="955" t="n">
        <f aca="false">C690+D690+E690</f>
        <v>240000</v>
      </c>
      <c r="G690" s="955" t="n">
        <f aca="false">F690/149.4</f>
        <v>1606.42570281125</v>
      </c>
      <c r="H690" s="661" t="n">
        <f aca="false">G690/60</f>
        <v>26.7737617135208</v>
      </c>
      <c r="I690" s="660" t="n">
        <f aca="false">'[6]норма времени'!D684</f>
        <v>280</v>
      </c>
      <c r="J690" s="661" t="n">
        <f aca="false">H690*I690</f>
        <v>7496.65327978581</v>
      </c>
      <c r="T690" s="581"/>
    </row>
    <row r="691" customFormat="false" ht="30" hidden="false" customHeight="false" outlineLevel="0" collapsed="false">
      <c r="A691" s="327" t="s">
        <v>1145</v>
      </c>
      <c r="B691" s="488" t="s">
        <v>3330</v>
      </c>
      <c r="C691" s="1258" t="n">
        <v>90000</v>
      </c>
      <c r="D691" s="1258" t="n">
        <v>80000</v>
      </c>
      <c r="E691" s="1258" t="n">
        <v>70000</v>
      </c>
      <c r="F691" s="955" t="n">
        <f aca="false">C691+D691+E691</f>
        <v>240000</v>
      </c>
      <c r="G691" s="955" t="n">
        <f aca="false">F691/149.4</f>
        <v>1606.42570281125</v>
      </c>
      <c r="H691" s="661" t="n">
        <f aca="false">G691/60</f>
        <v>26.7737617135208</v>
      </c>
      <c r="I691" s="660" t="n">
        <f aca="false">'[6]норма времени'!D685</f>
        <v>290</v>
      </c>
      <c r="J691" s="661" t="n">
        <f aca="false">H691*I691</f>
        <v>7764.39089692102</v>
      </c>
      <c r="T691" s="581"/>
    </row>
    <row r="692" customFormat="false" ht="30" hidden="false" customHeight="false" outlineLevel="0" collapsed="false">
      <c r="A692" s="327" t="s">
        <v>1146</v>
      </c>
      <c r="B692" s="488" t="s">
        <v>3311</v>
      </c>
      <c r="C692" s="1258" t="n">
        <v>90000</v>
      </c>
      <c r="D692" s="1258" t="n">
        <v>80000</v>
      </c>
      <c r="E692" s="1258" t="n">
        <v>70000</v>
      </c>
      <c r="F692" s="955" t="n">
        <f aca="false">C692+D692+E692</f>
        <v>240000</v>
      </c>
      <c r="G692" s="955" t="n">
        <f aca="false">F692/149.4</f>
        <v>1606.42570281125</v>
      </c>
      <c r="H692" s="661" t="n">
        <f aca="false">G692/60</f>
        <v>26.7737617135208</v>
      </c>
      <c r="I692" s="660" t="n">
        <f aca="false">'[6]норма времени'!D686</f>
        <v>260</v>
      </c>
      <c r="J692" s="661" t="n">
        <f aca="false">H692*I692</f>
        <v>6961.1780455154</v>
      </c>
      <c r="T692" s="581"/>
    </row>
    <row r="693" customFormat="false" ht="15" hidden="false" customHeight="false" outlineLevel="0" collapsed="false">
      <c r="A693" s="327" t="s">
        <v>1147</v>
      </c>
      <c r="B693" s="488" t="s">
        <v>3340</v>
      </c>
      <c r="C693" s="1258" t="n">
        <v>90000</v>
      </c>
      <c r="D693" s="1258" t="n">
        <v>80000</v>
      </c>
      <c r="E693" s="1258" t="n">
        <v>70000</v>
      </c>
      <c r="F693" s="955" t="n">
        <f aca="false">C693+D693+E693</f>
        <v>240000</v>
      </c>
      <c r="G693" s="955" t="n">
        <f aca="false">F693/149.4</f>
        <v>1606.42570281125</v>
      </c>
      <c r="H693" s="661" t="n">
        <f aca="false">G693/60</f>
        <v>26.7737617135208</v>
      </c>
      <c r="I693" s="660" t="n">
        <f aca="false">'[6]норма времени'!D687</f>
        <v>320</v>
      </c>
      <c r="J693" s="661" t="n">
        <f aca="false">H693*I693</f>
        <v>8567.60374832664</v>
      </c>
      <c r="T693" s="581"/>
    </row>
    <row r="694" customFormat="false" ht="35.25" hidden="false" customHeight="true" outlineLevel="0" collapsed="false">
      <c r="A694" s="327" t="s">
        <v>1148</v>
      </c>
      <c r="B694" s="488" t="s">
        <v>3313</v>
      </c>
      <c r="C694" s="1258" t="n">
        <v>90000</v>
      </c>
      <c r="D694" s="1258" t="n">
        <v>80000</v>
      </c>
      <c r="E694" s="1258" t="n">
        <v>70000</v>
      </c>
      <c r="F694" s="955" t="n">
        <f aca="false">C694+D694+E694</f>
        <v>240000</v>
      </c>
      <c r="G694" s="955" t="n">
        <f aca="false">F694/149.4</f>
        <v>1606.42570281125</v>
      </c>
      <c r="H694" s="661" t="n">
        <f aca="false">G694/60</f>
        <v>26.7737617135208</v>
      </c>
      <c r="I694" s="660" t="n">
        <f aca="false">'[6]норма времени'!D688</f>
        <v>280</v>
      </c>
      <c r="J694" s="661" t="n">
        <f aca="false">H694*I694</f>
        <v>7496.65327978581</v>
      </c>
      <c r="T694" s="581"/>
    </row>
    <row r="695" customFormat="false" ht="15" hidden="false" customHeight="false" outlineLevel="0" collapsed="false">
      <c r="A695" s="327" t="s">
        <v>1149</v>
      </c>
      <c r="B695" s="433" t="s">
        <v>3307</v>
      </c>
      <c r="C695" s="1258" t="n">
        <v>90000</v>
      </c>
      <c r="D695" s="1258" t="n">
        <v>80000</v>
      </c>
      <c r="E695" s="1258" t="n">
        <v>70000</v>
      </c>
      <c r="F695" s="955" t="n">
        <f aca="false">C695+D695+E695</f>
        <v>240000</v>
      </c>
      <c r="G695" s="955" t="n">
        <f aca="false">F695/149.4</f>
        <v>1606.42570281125</v>
      </c>
      <c r="H695" s="661" t="n">
        <f aca="false">G695/60</f>
        <v>26.7737617135208</v>
      </c>
      <c r="I695" s="660" t="n">
        <f aca="false">'[6]норма времени'!D689</f>
        <v>310</v>
      </c>
      <c r="J695" s="661" t="n">
        <f aca="false">H695*I695</f>
        <v>8299.86613119143</v>
      </c>
      <c r="T695" s="581"/>
    </row>
    <row r="696" customFormat="false" ht="15" hidden="false" customHeight="false" outlineLevel="0" collapsed="false">
      <c r="A696" s="327" t="s">
        <v>1150</v>
      </c>
      <c r="B696" s="433" t="s">
        <v>3315</v>
      </c>
      <c r="C696" s="1258" t="n">
        <v>90000</v>
      </c>
      <c r="D696" s="1258" t="n">
        <v>80000</v>
      </c>
      <c r="E696" s="1258" t="n">
        <v>70000</v>
      </c>
      <c r="F696" s="955" t="n">
        <f aca="false">C696+D696+E696</f>
        <v>240000</v>
      </c>
      <c r="G696" s="955" t="n">
        <f aca="false">F696/149.4</f>
        <v>1606.42570281125</v>
      </c>
      <c r="H696" s="661" t="n">
        <f aca="false">G696/60</f>
        <v>26.7737617135208</v>
      </c>
      <c r="I696" s="660" t="n">
        <f aca="false">'[6]норма времени'!D690</f>
        <v>260</v>
      </c>
      <c r="J696" s="661" t="n">
        <f aca="false">H696*I696</f>
        <v>6961.1780455154</v>
      </c>
      <c r="T696" s="581"/>
    </row>
    <row r="697" customFormat="false" ht="45" hidden="false" customHeight="false" outlineLevel="0" collapsed="false">
      <c r="A697" s="327" t="s">
        <v>1151</v>
      </c>
      <c r="B697" s="488" t="s">
        <v>3314</v>
      </c>
      <c r="C697" s="1258" t="n">
        <v>90000</v>
      </c>
      <c r="D697" s="1258" t="n">
        <v>80000</v>
      </c>
      <c r="E697" s="1258" t="n">
        <v>70000</v>
      </c>
      <c r="F697" s="955" t="n">
        <f aca="false">C697+D697+E697</f>
        <v>240000</v>
      </c>
      <c r="G697" s="955" t="n">
        <f aca="false">F697/149.4</f>
        <v>1606.42570281125</v>
      </c>
      <c r="H697" s="661" t="n">
        <f aca="false">G697/60</f>
        <v>26.7737617135208</v>
      </c>
      <c r="I697" s="660" t="n">
        <f aca="false">'[6]норма времени'!D691</f>
        <v>290</v>
      </c>
      <c r="J697" s="661" t="n">
        <f aca="false">H697*I697</f>
        <v>7764.39089692102</v>
      </c>
      <c r="T697" s="581"/>
    </row>
    <row r="698" customFormat="false" ht="15" hidden="false" customHeight="false" outlineLevel="0" collapsed="false">
      <c r="A698" s="327" t="s">
        <v>1152</v>
      </c>
      <c r="B698" s="488" t="s">
        <v>3324</v>
      </c>
      <c r="C698" s="1258" t="n">
        <v>90000</v>
      </c>
      <c r="D698" s="1258" t="n">
        <v>80000</v>
      </c>
      <c r="E698" s="1258" t="n">
        <v>70000</v>
      </c>
      <c r="F698" s="955" t="n">
        <f aca="false">C698+D698+E698</f>
        <v>240000</v>
      </c>
      <c r="G698" s="955" t="n">
        <f aca="false">F698/149.4</f>
        <v>1606.42570281125</v>
      </c>
      <c r="H698" s="661" t="n">
        <f aca="false">G698/60</f>
        <v>26.7737617135208</v>
      </c>
      <c r="I698" s="660" t="n">
        <f aca="false">'[6]норма времени'!D692</f>
        <v>280</v>
      </c>
      <c r="J698" s="661" t="n">
        <f aca="false">H698*I698</f>
        <v>7496.65327978581</v>
      </c>
      <c r="T698" s="581"/>
    </row>
    <row r="699" customFormat="false" ht="15" hidden="false" customHeight="false" outlineLevel="0" collapsed="false">
      <c r="A699" s="327" t="s">
        <v>1153</v>
      </c>
      <c r="B699" s="433" t="s">
        <v>3308</v>
      </c>
      <c r="C699" s="1258" t="n">
        <v>90000</v>
      </c>
      <c r="D699" s="1258" t="n">
        <v>80000</v>
      </c>
      <c r="E699" s="1258" t="n">
        <v>70000</v>
      </c>
      <c r="F699" s="955" t="n">
        <f aca="false">C699+D699+E699</f>
        <v>240000</v>
      </c>
      <c r="G699" s="955" t="n">
        <f aca="false">F699/149.4</f>
        <v>1606.42570281125</v>
      </c>
      <c r="H699" s="661" t="n">
        <f aca="false">G699/60</f>
        <v>26.7737617135208</v>
      </c>
      <c r="I699" s="660" t="n">
        <f aca="false">'[6]норма времени'!D693</f>
        <v>340</v>
      </c>
      <c r="J699" s="661" t="n">
        <f aca="false">H699*I699</f>
        <v>9103.07898259706</v>
      </c>
      <c r="T699" s="581"/>
    </row>
    <row r="700" s="451" customFormat="true" ht="42.75" hidden="false" customHeight="false" outlineLevel="0" collapsed="false">
      <c r="A700" s="350" t="s">
        <v>1155</v>
      </c>
      <c r="B700" s="467" t="s">
        <v>3341</v>
      </c>
      <c r="C700" s="1253"/>
      <c r="D700" s="1253"/>
      <c r="E700" s="1253"/>
      <c r="F700" s="1249"/>
      <c r="G700" s="955" t="n">
        <f aca="false">F700/149.4</f>
        <v>0</v>
      </c>
      <c r="H700" s="1259"/>
      <c r="I700" s="1255"/>
      <c r="J700" s="1259"/>
      <c r="K700" s="1257"/>
      <c r="L700" s="1257"/>
      <c r="M700" s="1257"/>
      <c r="N700" s="1257"/>
      <c r="O700" s="1257"/>
      <c r="P700" s="1257"/>
      <c r="Q700" s="1257"/>
      <c r="R700" s="1257"/>
      <c r="S700" s="1257"/>
      <c r="T700" s="1257"/>
    </row>
    <row r="701" customFormat="false" ht="30" hidden="false" customHeight="false" outlineLevel="0" collapsed="false">
      <c r="A701" s="327" t="s">
        <v>1157</v>
      </c>
      <c r="B701" s="492" t="s">
        <v>3342</v>
      </c>
      <c r="C701" s="1258" t="n">
        <v>90000</v>
      </c>
      <c r="D701" s="1258" t="n">
        <v>80000</v>
      </c>
      <c r="E701" s="1258" t="n">
        <v>70000</v>
      </c>
      <c r="F701" s="955" t="n">
        <f aca="false">C701+D701+E701</f>
        <v>240000</v>
      </c>
      <c r="G701" s="955" t="n">
        <f aca="false">F701/149.4</f>
        <v>1606.42570281125</v>
      </c>
      <c r="H701" s="661" t="n">
        <f aca="false">G701/60</f>
        <v>26.7737617135208</v>
      </c>
      <c r="I701" s="660" t="n">
        <f aca="false">'[6]норма времени'!D695</f>
        <v>25</v>
      </c>
      <c r="J701" s="661" t="n">
        <f aca="false">H701*I701</f>
        <v>669.344042838019</v>
      </c>
      <c r="T701" s="581"/>
    </row>
    <row r="702" customFormat="false" ht="30" hidden="false" customHeight="false" outlineLevel="0" collapsed="false">
      <c r="A702" s="327" t="s">
        <v>1158</v>
      </c>
      <c r="B702" s="492" t="s">
        <v>3343</v>
      </c>
      <c r="C702" s="1258" t="n">
        <v>90000</v>
      </c>
      <c r="D702" s="1258" t="n">
        <v>80000</v>
      </c>
      <c r="E702" s="1258" t="n">
        <v>70000</v>
      </c>
      <c r="F702" s="955" t="n">
        <f aca="false">C702+D702+E702</f>
        <v>240000</v>
      </c>
      <c r="G702" s="955" t="n">
        <f aca="false">F702/149.4</f>
        <v>1606.42570281125</v>
      </c>
      <c r="H702" s="661" t="n">
        <f aca="false">G702/60</f>
        <v>26.7737617135208</v>
      </c>
      <c r="I702" s="660" t="n">
        <f aca="false">'[6]норма времени'!D696</f>
        <v>30</v>
      </c>
      <c r="J702" s="661" t="n">
        <f aca="false">H702*I702</f>
        <v>803.212851405623</v>
      </c>
      <c r="T702" s="581"/>
    </row>
    <row r="703" customFormat="false" ht="30" hidden="false" customHeight="false" outlineLevel="0" collapsed="false">
      <c r="A703" s="327" t="s">
        <v>1160</v>
      </c>
      <c r="B703" s="492" t="s">
        <v>3344</v>
      </c>
      <c r="C703" s="1258" t="n">
        <v>90000</v>
      </c>
      <c r="D703" s="1258" t="n">
        <v>80000</v>
      </c>
      <c r="E703" s="1258" t="n">
        <v>70000</v>
      </c>
      <c r="F703" s="955" t="n">
        <f aca="false">C703+D703+E703</f>
        <v>240000</v>
      </c>
      <c r="G703" s="955" t="n">
        <f aca="false">F703/149.4</f>
        <v>1606.42570281125</v>
      </c>
      <c r="H703" s="661" t="n">
        <f aca="false">G703/60</f>
        <v>26.7737617135208</v>
      </c>
      <c r="I703" s="660" t="n">
        <f aca="false">'[6]норма времени'!D697</f>
        <v>260</v>
      </c>
      <c r="J703" s="661" t="n">
        <f aca="false">H703*I703</f>
        <v>6961.1780455154</v>
      </c>
      <c r="T703" s="581"/>
    </row>
    <row r="704" customFormat="false" ht="30" hidden="false" customHeight="false" outlineLevel="0" collapsed="false">
      <c r="A704" s="327" t="s">
        <v>1162</v>
      </c>
      <c r="B704" s="492" t="s">
        <v>3345</v>
      </c>
      <c r="C704" s="1258" t="n">
        <v>90000</v>
      </c>
      <c r="D704" s="1258" t="n">
        <v>80000</v>
      </c>
      <c r="E704" s="1258" t="n">
        <v>70000</v>
      </c>
      <c r="F704" s="955" t="n">
        <f aca="false">C704+D704+E704</f>
        <v>240000</v>
      </c>
      <c r="G704" s="955" t="n">
        <f aca="false">F704/149.4</f>
        <v>1606.42570281125</v>
      </c>
      <c r="H704" s="661" t="n">
        <f aca="false">G704/60</f>
        <v>26.7737617135208</v>
      </c>
      <c r="I704" s="660" t="n">
        <f aca="false">'[6]норма времени'!D698</f>
        <v>30</v>
      </c>
      <c r="J704" s="661" t="n">
        <f aca="false">H704*I704</f>
        <v>803.212851405623</v>
      </c>
      <c r="T704" s="581"/>
    </row>
    <row r="705" s="451" customFormat="true" ht="21" hidden="false" customHeight="true" outlineLevel="0" collapsed="false">
      <c r="A705" s="350" t="s">
        <v>1164</v>
      </c>
      <c r="B705" s="346" t="s">
        <v>3346</v>
      </c>
      <c r="C705" s="1253"/>
      <c r="D705" s="1253"/>
      <c r="E705" s="1253"/>
      <c r="F705" s="1249"/>
      <c r="G705" s="955" t="n">
        <f aca="false">F705/149.4</f>
        <v>0</v>
      </c>
      <c r="H705" s="1259"/>
      <c r="I705" s="1255"/>
      <c r="J705" s="1259"/>
      <c r="K705" s="1257"/>
      <c r="L705" s="1257"/>
      <c r="M705" s="1257"/>
      <c r="N705" s="1257"/>
      <c r="O705" s="1257"/>
      <c r="P705" s="1257"/>
      <c r="Q705" s="1257"/>
      <c r="R705" s="1257"/>
      <c r="S705" s="1257"/>
      <c r="T705" s="1257"/>
    </row>
    <row r="706" customFormat="false" ht="21" hidden="false" customHeight="true" outlineLevel="0" collapsed="false">
      <c r="A706" s="327" t="s">
        <v>1166</v>
      </c>
      <c r="B706" s="433" t="s">
        <v>3317</v>
      </c>
      <c r="C706" s="1258" t="n">
        <v>90000</v>
      </c>
      <c r="D706" s="1258" t="n">
        <v>80000</v>
      </c>
      <c r="E706" s="1258" t="n">
        <v>70000</v>
      </c>
      <c r="F706" s="955" t="n">
        <f aca="false">C706+D706+E706</f>
        <v>240000</v>
      </c>
      <c r="G706" s="955" t="n">
        <f aca="false">F706/149.4</f>
        <v>1606.42570281125</v>
      </c>
      <c r="H706" s="661" t="n">
        <f aca="false">G706/60</f>
        <v>26.7737617135208</v>
      </c>
      <c r="I706" s="660" t="n">
        <f aca="false">'[6]норма времени'!D700</f>
        <v>280</v>
      </c>
      <c r="J706" s="661" t="n">
        <f aca="false">H706*I706</f>
        <v>7496.65327978581</v>
      </c>
      <c r="T706" s="581"/>
    </row>
    <row r="707" customFormat="false" ht="15" hidden="false" customHeight="false" outlineLevel="0" collapsed="false">
      <c r="A707" s="327" t="s">
        <v>1168</v>
      </c>
      <c r="B707" s="433" t="s">
        <v>3307</v>
      </c>
      <c r="C707" s="1258" t="n">
        <v>90000</v>
      </c>
      <c r="D707" s="1258" t="n">
        <v>80000</v>
      </c>
      <c r="E707" s="1258" t="n">
        <v>70000</v>
      </c>
      <c r="F707" s="955" t="n">
        <f aca="false">C707+D707+E707</f>
        <v>240000</v>
      </c>
      <c r="G707" s="955" t="n">
        <f aca="false">F707/149.4</f>
        <v>1606.42570281125</v>
      </c>
      <c r="H707" s="661" t="n">
        <f aca="false">G707/60</f>
        <v>26.7737617135208</v>
      </c>
      <c r="I707" s="660" t="n">
        <f aca="false">'[6]норма времени'!D701</f>
        <v>260</v>
      </c>
      <c r="J707" s="661" t="n">
        <f aca="false">H707*I707</f>
        <v>6961.1780455154</v>
      </c>
      <c r="T707" s="581"/>
    </row>
    <row r="708" customFormat="false" ht="15" hidden="false" customHeight="false" outlineLevel="0" collapsed="false">
      <c r="A708" s="327" t="s">
        <v>1169</v>
      </c>
      <c r="B708" s="433" t="s">
        <v>3347</v>
      </c>
      <c r="C708" s="1258" t="n">
        <v>90000</v>
      </c>
      <c r="D708" s="1258" t="n">
        <v>80000</v>
      </c>
      <c r="E708" s="1258" t="n">
        <v>70000</v>
      </c>
      <c r="F708" s="955" t="n">
        <f aca="false">C708+D708+E708</f>
        <v>240000</v>
      </c>
      <c r="G708" s="955" t="n">
        <f aca="false">F708/149.4</f>
        <v>1606.42570281125</v>
      </c>
      <c r="H708" s="661" t="n">
        <f aca="false">G708/60</f>
        <v>26.7737617135208</v>
      </c>
      <c r="I708" s="660" t="n">
        <f aca="false">'[6]норма времени'!D702</f>
        <v>260</v>
      </c>
      <c r="J708" s="661" t="n">
        <f aca="false">H708*I708</f>
        <v>6961.1780455154</v>
      </c>
      <c r="T708" s="581"/>
    </row>
    <row r="709" customFormat="false" ht="32.25" hidden="false" customHeight="true" outlineLevel="0" collapsed="false">
      <c r="A709" s="327" t="s">
        <v>1171</v>
      </c>
      <c r="B709" s="433" t="s">
        <v>3309</v>
      </c>
      <c r="C709" s="1258" t="n">
        <v>90000</v>
      </c>
      <c r="D709" s="1258" t="n">
        <v>80000</v>
      </c>
      <c r="E709" s="1258" t="n">
        <v>70000</v>
      </c>
      <c r="F709" s="955" t="n">
        <f aca="false">C709+D709+E709</f>
        <v>240000</v>
      </c>
      <c r="G709" s="955" t="n">
        <f aca="false">F709/149.4</f>
        <v>1606.42570281125</v>
      </c>
      <c r="H709" s="661" t="n">
        <f aca="false">G709/60</f>
        <v>26.7737617135208</v>
      </c>
      <c r="I709" s="660" t="n">
        <f aca="false">'[6]норма времени'!D703</f>
        <v>260</v>
      </c>
      <c r="J709" s="661" t="n">
        <f aca="false">H709*I709</f>
        <v>6961.1780455154</v>
      </c>
      <c r="T709" s="581"/>
    </row>
    <row r="710" s="451" customFormat="true" ht="26.25" hidden="false" customHeight="true" outlineLevel="0" collapsed="false">
      <c r="A710" s="350" t="s">
        <v>1172</v>
      </c>
      <c r="B710" s="346" t="s">
        <v>3348</v>
      </c>
      <c r="C710" s="1253"/>
      <c r="D710" s="1253"/>
      <c r="E710" s="1253"/>
      <c r="F710" s="1249"/>
      <c r="G710" s="955" t="n">
        <f aca="false">F710/149.4</f>
        <v>0</v>
      </c>
      <c r="H710" s="1259"/>
      <c r="I710" s="1255"/>
      <c r="J710" s="1259"/>
      <c r="K710" s="1257"/>
      <c r="L710" s="1257"/>
      <c r="M710" s="1257"/>
      <c r="N710" s="1257"/>
      <c r="O710" s="1257"/>
      <c r="P710" s="1257"/>
      <c r="Q710" s="1257"/>
      <c r="R710" s="1257"/>
      <c r="S710" s="1257"/>
      <c r="T710" s="1257"/>
    </row>
    <row r="711" customFormat="false" ht="15" hidden="false" customHeight="false" outlineLevel="0" collapsed="false">
      <c r="A711" s="327" t="s">
        <v>1174</v>
      </c>
      <c r="B711" s="433" t="s">
        <v>3323</v>
      </c>
      <c r="C711" s="1258" t="n">
        <v>90000</v>
      </c>
      <c r="D711" s="1258" t="n">
        <v>80000</v>
      </c>
      <c r="E711" s="1258" t="n">
        <v>70000</v>
      </c>
      <c r="F711" s="955" t="n">
        <f aca="false">C711+D711+E711</f>
        <v>240000</v>
      </c>
      <c r="G711" s="955" t="n">
        <f aca="false">F711/149.4</f>
        <v>1606.42570281125</v>
      </c>
      <c r="H711" s="661" t="n">
        <f aca="false">G711/60</f>
        <v>26.7737617135208</v>
      </c>
      <c r="I711" s="660" t="n">
        <f aca="false">'[6]норма времени'!D705</f>
        <v>280</v>
      </c>
      <c r="J711" s="661" t="n">
        <f aca="false">H711*I711</f>
        <v>7496.65327978581</v>
      </c>
      <c r="T711" s="581"/>
    </row>
    <row r="712" customFormat="false" ht="15" hidden="false" customHeight="false" outlineLevel="0" collapsed="false">
      <c r="A712" s="327" t="s">
        <v>1175</v>
      </c>
      <c r="B712" s="433" t="s">
        <v>3308</v>
      </c>
      <c r="C712" s="1258" t="n">
        <v>90000</v>
      </c>
      <c r="D712" s="1258" t="n">
        <v>80000</v>
      </c>
      <c r="E712" s="1258" t="n">
        <v>70000</v>
      </c>
      <c r="F712" s="955" t="n">
        <f aca="false">C712+D712+E712</f>
        <v>240000</v>
      </c>
      <c r="G712" s="955" t="n">
        <f aca="false">F712/149.4</f>
        <v>1606.42570281125</v>
      </c>
      <c r="H712" s="661" t="n">
        <f aca="false">G712/60</f>
        <v>26.7737617135208</v>
      </c>
      <c r="I712" s="660" t="n">
        <f aca="false">'[6]норма времени'!D706</f>
        <v>340</v>
      </c>
      <c r="J712" s="661" t="n">
        <f aca="false">H712*I712</f>
        <v>9103.07898259706</v>
      </c>
      <c r="T712" s="581"/>
    </row>
    <row r="713" s="451" customFormat="true" ht="42.75" hidden="false" customHeight="false" outlineLevel="0" collapsed="false">
      <c r="A713" s="350" t="s">
        <v>1176</v>
      </c>
      <c r="B713" s="346" t="s">
        <v>3349</v>
      </c>
      <c r="C713" s="1253"/>
      <c r="D713" s="1253"/>
      <c r="E713" s="1253"/>
      <c r="F713" s="1249"/>
      <c r="G713" s="955" t="n">
        <f aca="false">F713/149.4</f>
        <v>0</v>
      </c>
      <c r="H713" s="1259"/>
      <c r="I713" s="1255"/>
      <c r="J713" s="1259"/>
      <c r="K713" s="1257"/>
      <c r="L713" s="1257"/>
      <c r="M713" s="1257"/>
      <c r="N713" s="1257"/>
      <c r="O713" s="1257"/>
      <c r="P713" s="1257"/>
      <c r="Q713" s="1257"/>
      <c r="R713" s="1257"/>
      <c r="S713" s="1257"/>
      <c r="T713" s="1257"/>
    </row>
    <row r="714" customFormat="false" ht="30" hidden="false" customHeight="false" outlineLevel="0" collapsed="false">
      <c r="A714" s="327" t="s">
        <v>1178</v>
      </c>
      <c r="B714" s="433" t="s">
        <v>3350</v>
      </c>
      <c r="C714" s="1258" t="n">
        <v>90000</v>
      </c>
      <c r="D714" s="1258" t="n">
        <v>80000</v>
      </c>
      <c r="E714" s="1258" t="n">
        <v>70000</v>
      </c>
      <c r="F714" s="955" t="n">
        <f aca="false">C714+D714+E714</f>
        <v>240000</v>
      </c>
      <c r="G714" s="955" t="n">
        <f aca="false">F714/149.4</f>
        <v>1606.42570281125</v>
      </c>
      <c r="H714" s="661" t="n">
        <f aca="false">G714/60</f>
        <v>26.7737617135208</v>
      </c>
      <c r="I714" s="660" t="n">
        <f aca="false">'[6]норма времени'!D708</f>
        <v>310</v>
      </c>
      <c r="J714" s="661" t="n">
        <f aca="false">H714*I714</f>
        <v>8299.86613119143</v>
      </c>
      <c r="T714" s="581"/>
    </row>
    <row r="715" s="451" customFormat="true" ht="21.75" hidden="false" customHeight="true" outlineLevel="0" collapsed="false">
      <c r="A715" s="350" t="s">
        <v>1180</v>
      </c>
      <c r="B715" s="346" t="s">
        <v>3351</v>
      </c>
      <c r="C715" s="1253"/>
      <c r="D715" s="1253"/>
      <c r="E715" s="1253"/>
      <c r="F715" s="1249"/>
      <c r="G715" s="955" t="n">
        <f aca="false">F715/149.4</f>
        <v>0</v>
      </c>
      <c r="H715" s="1259"/>
      <c r="I715" s="1255"/>
      <c r="J715" s="1259"/>
      <c r="K715" s="1257"/>
      <c r="L715" s="1257"/>
      <c r="M715" s="1257"/>
      <c r="N715" s="1257"/>
      <c r="O715" s="1257"/>
      <c r="P715" s="1257"/>
      <c r="Q715" s="1257"/>
      <c r="R715" s="1257"/>
      <c r="S715" s="1257"/>
      <c r="T715" s="1257"/>
    </row>
    <row r="716" customFormat="false" ht="15" hidden="false" customHeight="false" outlineLevel="0" collapsed="false">
      <c r="A716" s="327" t="s">
        <v>1182</v>
      </c>
      <c r="B716" s="433" t="s">
        <v>3323</v>
      </c>
      <c r="C716" s="1258" t="n">
        <v>90000</v>
      </c>
      <c r="D716" s="1258" t="n">
        <v>80000</v>
      </c>
      <c r="E716" s="1258" t="n">
        <v>70000</v>
      </c>
      <c r="F716" s="955" t="n">
        <f aca="false">C716+D716+E716</f>
        <v>240000</v>
      </c>
      <c r="G716" s="955" t="n">
        <f aca="false">F716/149.4</f>
        <v>1606.42570281125</v>
      </c>
      <c r="H716" s="661" t="n">
        <f aca="false">G716/60</f>
        <v>26.7737617135208</v>
      </c>
      <c r="I716" s="660" t="n">
        <f aca="false">'[6]норма времени'!D710</f>
        <v>340</v>
      </c>
      <c r="J716" s="661" t="n">
        <f aca="false">H716*I716</f>
        <v>9103.07898259706</v>
      </c>
      <c r="T716" s="581"/>
    </row>
    <row r="717" s="451" customFormat="true" ht="28.5" hidden="false" customHeight="false" outlineLevel="0" collapsed="false">
      <c r="A717" s="350" t="s">
        <v>1183</v>
      </c>
      <c r="B717" s="346" t="s">
        <v>3352</v>
      </c>
      <c r="C717" s="1253"/>
      <c r="D717" s="1253"/>
      <c r="E717" s="1253"/>
      <c r="F717" s="1249"/>
      <c r="G717" s="955" t="n">
        <f aca="false">F717/149.4</f>
        <v>0</v>
      </c>
      <c r="H717" s="1259"/>
      <c r="I717" s="1255"/>
      <c r="J717" s="1259"/>
      <c r="K717" s="1257"/>
      <c r="L717" s="1257"/>
      <c r="M717" s="1257"/>
      <c r="N717" s="1257"/>
      <c r="O717" s="1257"/>
      <c r="P717" s="1257"/>
      <c r="Q717" s="1257"/>
      <c r="R717" s="1257"/>
      <c r="S717" s="1257"/>
      <c r="T717" s="1257"/>
    </row>
    <row r="718" customFormat="false" ht="15" hidden="false" customHeight="false" outlineLevel="0" collapsed="false">
      <c r="A718" s="327" t="s">
        <v>1185</v>
      </c>
      <c r="B718" s="433" t="s">
        <v>3307</v>
      </c>
      <c r="C718" s="1258" t="n">
        <v>90000</v>
      </c>
      <c r="D718" s="1258" t="n">
        <v>80000</v>
      </c>
      <c r="E718" s="1258" t="n">
        <v>70000</v>
      </c>
      <c r="F718" s="955" t="n">
        <f aca="false">C718+D718+E718</f>
        <v>240000</v>
      </c>
      <c r="G718" s="955" t="n">
        <f aca="false">F718/149.4</f>
        <v>1606.42570281125</v>
      </c>
      <c r="H718" s="661" t="n">
        <f aca="false">G718/60</f>
        <v>26.7737617135208</v>
      </c>
      <c r="I718" s="660" t="n">
        <f aca="false">'[6]норма времени'!D712</f>
        <v>340</v>
      </c>
      <c r="J718" s="661" t="n">
        <f aca="false">H718*I718</f>
        <v>9103.07898259706</v>
      </c>
      <c r="T718" s="581"/>
    </row>
    <row r="719" customFormat="false" ht="27" hidden="false" customHeight="true" outlineLevel="0" collapsed="false">
      <c r="A719" s="327" t="s">
        <v>1186</v>
      </c>
      <c r="B719" s="433" t="s">
        <v>3309</v>
      </c>
      <c r="C719" s="1258" t="n">
        <v>90000</v>
      </c>
      <c r="D719" s="1258" t="n">
        <v>80000</v>
      </c>
      <c r="E719" s="1258" t="n">
        <v>70000</v>
      </c>
      <c r="F719" s="955" t="n">
        <f aca="false">C719+D719+E719</f>
        <v>240000</v>
      </c>
      <c r="G719" s="955" t="n">
        <f aca="false">F719/149.4</f>
        <v>1606.42570281125</v>
      </c>
      <c r="H719" s="661" t="n">
        <f aca="false">G719/60</f>
        <v>26.7737617135208</v>
      </c>
      <c r="I719" s="660" t="n">
        <f aca="false">'[6]норма времени'!D713</f>
        <v>260</v>
      </c>
      <c r="J719" s="661" t="n">
        <f aca="false">H719*I719</f>
        <v>6961.1780455154</v>
      </c>
      <c r="T719" s="581"/>
    </row>
    <row r="720" customFormat="false" ht="15" hidden="false" customHeight="false" outlineLevel="0" collapsed="false">
      <c r="A720" s="327" t="s">
        <v>1187</v>
      </c>
      <c r="B720" s="433" t="s">
        <v>3310</v>
      </c>
      <c r="C720" s="1258" t="n">
        <v>90000</v>
      </c>
      <c r="D720" s="1258" t="n">
        <v>80000</v>
      </c>
      <c r="E720" s="1258" t="n">
        <v>70000</v>
      </c>
      <c r="F720" s="955" t="n">
        <f aca="false">C720+D720+E720</f>
        <v>240000</v>
      </c>
      <c r="G720" s="955" t="n">
        <f aca="false">F720/149.4</f>
        <v>1606.42570281125</v>
      </c>
      <c r="H720" s="661" t="n">
        <f aca="false">G720/60</f>
        <v>26.7737617135208</v>
      </c>
      <c r="I720" s="660" t="n">
        <f aca="false">'[6]норма времени'!D714</f>
        <v>260</v>
      </c>
      <c r="J720" s="661" t="n">
        <f aca="false">H720*I720</f>
        <v>6961.1780455154</v>
      </c>
      <c r="T720" s="581"/>
    </row>
    <row r="721" customFormat="false" ht="15" hidden="false" customHeight="false" outlineLevel="0" collapsed="false">
      <c r="A721" s="327" t="s">
        <v>1188</v>
      </c>
      <c r="B721" s="433" t="s">
        <v>3308</v>
      </c>
      <c r="C721" s="1258" t="n">
        <v>90000</v>
      </c>
      <c r="D721" s="1258" t="n">
        <v>80000</v>
      </c>
      <c r="E721" s="1258" t="n">
        <v>70000</v>
      </c>
      <c r="F721" s="955" t="n">
        <f aca="false">C721+D721+E721</f>
        <v>240000</v>
      </c>
      <c r="G721" s="955" t="n">
        <f aca="false">F721/149.4</f>
        <v>1606.42570281125</v>
      </c>
      <c r="H721" s="661" t="n">
        <f aca="false">G721/60</f>
        <v>26.7737617135208</v>
      </c>
      <c r="I721" s="660" t="n">
        <f aca="false">'[6]норма времени'!D715</f>
        <v>340</v>
      </c>
      <c r="J721" s="661" t="n">
        <f aca="false">H721*I721</f>
        <v>9103.07898259706</v>
      </c>
      <c r="T721" s="581"/>
    </row>
    <row r="722" customFormat="false" ht="15" hidden="false" customHeight="false" outlineLevel="0" collapsed="false">
      <c r="A722" s="327" t="s">
        <v>1189</v>
      </c>
      <c r="B722" s="433" t="s">
        <v>3324</v>
      </c>
      <c r="C722" s="1258" t="n">
        <v>90000</v>
      </c>
      <c r="D722" s="1258" t="n">
        <v>80000</v>
      </c>
      <c r="E722" s="1258" t="n">
        <v>70000</v>
      </c>
      <c r="F722" s="955" t="n">
        <f aca="false">C722+D722+E722</f>
        <v>240000</v>
      </c>
      <c r="G722" s="955" t="n">
        <f aca="false">F722/149.4</f>
        <v>1606.42570281125</v>
      </c>
      <c r="H722" s="661" t="n">
        <f aca="false">G722/60</f>
        <v>26.7737617135208</v>
      </c>
      <c r="I722" s="660" t="n">
        <f aca="false">'[6]норма времени'!D716</f>
        <v>310</v>
      </c>
      <c r="J722" s="661" t="n">
        <f aca="false">H722*I722</f>
        <v>8299.86613119143</v>
      </c>
      <c r="T722" s="581"/>
    </row>
    <row r="723" s="451" customFormat="true" ht="25.5" hidden="false" customHeight="true" outlineLevel="0" collapsed="false">
      <c r="A723" s="350" t="s">
        <v>1190</v>
      </c>
      <c r="B723" s="346" t="s">
        <v>3353</v>
      </c>
      <c r="C723" s="1253"/>
      <c r="D723" s="1253"/>
      <c r="E723" s="1253"/>
      <c r="F723" s="1249"/>
      <c r="G723" s="955" t="n">
        <f aca="false">F723/149.4</f>
        <v>0</v>
      </c>
      <c r="H723" s="1259"/>
      <c r="I723" s="1255"/>
      <c r="J723" s="1259"/>
      <c r="K723" s="1257"/>
      <c r="L723" s="1257"/>
      <c r="M723" s="1257"/>
      <c r="N723" s="1257"/>
      <c r="O723" s="1257"/>
      <c r="P723" s="1257"/>
      <c r="Q723" s="1257"/>
      <c r="R723" s="1257"/>
      <c r="S723" s="1257"/>
      <c r="T723" s="1257"/>
    </row>
    <row r="724" customFormat="false" ht="15" hidden="false" customHeight="false" outlineLevel="0" collapsed="false">
      <c r="A724" s="327" t="s">
        <v>1192</v>
      </c>
      <c r="B724" s="433" t="s">
        <v>3307</v>
      </c>
      <c r="C724" s="1258" t="n">
        <v>90000</v>
      </c>
      <c r="D724" s="1258" t="n">
        <v>80000</v>
      </c>
      <c r="E724" s="1258" t="n">
        <v>70000</v>
      </c>
      <c r="F724" s="955" t="n">
        <f aca="false">C724+D724+E724</f>
        <v>240000</v>
      </c>
      <c r="G724" s="955" t="n">
        <f aca="false">F724/149.4</f>
        <v>1606.42570281125</v>
      </c>
      <c r="H724" s="661" t="n">
        <f aca="false">G724/60</f>
        <v>26.7737617135208</v>
      </c>
      <c r="I724" s="660" t="n">
        <f aca="false">'[6]норма времени'!D718</f>
        <v>340</v>
      </c>
      <c r="J724" s="661" t="n">
        <f aca="false">H724*I724</f>
        <v>9103.07898259706</v>
      </c>
      <c r="T724" s="581"/>
    </row>
    <row r="725" s="451" customFormat="true" ht="27" hidden="false" customHeight="true" outlineLevel="0" collapsed="false">
      <c r="A725" s="350" t="s">
        <v>1193</v>
      </c>
      <c r="B725" s="495" t="s">
        <v>3354</v>
      </c>
      <c r="C725" s="1253"/>
      <c r="D725" s="1253"/>
      <c r="E725" s="1253"/>
      <c r="F725" s="1249"/>
      <c r="G725" s="955" t="n">
        <f aca="false">F725/149.4</f>
        <v>0</v>
      </c>
      <c r="H725" s="1259"/>
      <c r="I725" s="1255"/>
      <c r="J725" s="1259"/>
      <c r="K725" s="1257"/>
      <c r="L725" s="1257"/>
      <c r="M725" s="1257"/>
      <c r="N725" s="1257"/>
      <c r="O725" s="1257"/>
      <c r="P725" s="1257"/>
      <c r="Q725" s="1257"/>
      <c r="R725" s="1257"/>
      <c r="S725" s="1257"/>
      <c r="T725" s="1257"/>
    </row>
    <row r="726" customFormat="false" ht="15" hidden="false" customHeight="false" outlineLevel="0" collapsed="false">
      <c r="A726" s="327" t="s">
        <v>1195</v>
      </c>
      <c r="B726" s="433" t="s">
        <v>3307</v>
      </c>
      <c r="C726" s="1258" t="n">
        <v>90000</v>
      </c>
      <c r="D726" s="1258" t="n">
        <v>80000</v>
      </c>
      <c r="E726" s="1258" t="n">
        <v>70000</v>
      </c>
      <c r="F726" s="955" t="n">
        <f aca="false">C726+D726+E726</f>
        <v>240000</v>
      </c>
      <c r="G726" s="955" t="n">
        <f aca="false">F726/149.4</f>
        <v>1606.42570281125</v>
      </c>
      <c r="H726" s="661" t="n">
        <f aca="false">G726/60</f>
        <v>26.7737617135208</v>
      </c>
      <c r="I726" s="660" t="n">
        <f aca="false">'[6]норма времени'!D720</f>
        <v>280</v>
      </c>
      <c r="J726" s="661" t="n">
        <f aca="false">H726*I726</f>
        <v>7496.65327978581</v>
      </c>
      <c r="T726" s="581"/>
    </row>
    <row r="727" s="451" customFormat="true" ht="27" hidden="false" customHeight="true" outlineLevel="0" collapsed="false">
      <c r="A727" s="350" t="s">
        <v>1196</v>
      </c>
      <c r="B727" s="467" t="s">
        <v>3355</v>
      </c>
      <c r="C727" s="1253"/>
      <c r="D727" s="1253"/>
      <c r="E727" s="1253"/>
      <c r="F727" s="1254"/>
      <c r="G727" s="955" t="n">
        <f aca="false">F727/149.4</f>
        <v>0</v>
      </c>
      <c r="H727" s="1250"/>
      <c r="I727" s="1246"/>
      <c r="J727" s="1250"/>
      <c r="K727" s="1257"/>
      <c r="L727" s="1257"/>
      <c r="M727" s="1257"/>
      <c r="N727" s="1257"/>
      <c r="O727" s="1257"/>
      <c r="P727" s="1257"/>
      <c r="Q727" s="1257"/>
      <c r="R727" s="1257"/>
      <c r="S727" s="1257"/>
    </row>
    <row r="728" customFormat="false" ht="25.5" hidden="false" customHeight="true" outlineLevel="0" collapsed="false">
      <c r="A728" s="571" t="s">
        <v>1198</v>
      </c>
      <c r="B728" s="433" t="s">
        <v>3010</v>
      </c>
      <c r="C728" s="954" t="n">
        <v>15000</v>
      </c>
      <c r="D728" s="954" t="n">
        <v>15000</v>
      </c>
      <c r="E728" s="954" t="n">
        <v>10000</v>
      </c>
      <c r="F728" s="955" t="n">
        <f aca="false">C728+D728+E728</f>
        <v>40000</v>
      </c>
      <c r="G728" s="955" t="n">
        <f aca="false">F728/149.4</f>
        <v>267.737617135208</v>
      </c>
      <c r="H728" s="661" t="n">
        <f aca="false">G728/60</f>
        <v>4.46229361892013</v>
      </c>
      <c r="I728" s="660" t="n">
        <f aca="false">'норма времени'!D732</f>
        <v>70</v>
      </c>
      <c r="J728" s="661" t="n">
        <f aca="false">H728*I728</f>
        <v>312.360553324409</v>
      </c>
    </row>
    <row r="729" customFormat="false" ht="15" hidden="false" customHeight="false" outlineLevel="0" collapsed="false">
      <c r="A729" s="571" t="s">
        <v>1199</v>
      </c>
      <c r="B729" s="433" t="s">
        <v>3356</v>
      </c>
      <c r="C729" s="954" t="n">
        <v>15000</v>
      </c>
      <c r="D729" s="954" t="n">
        <v>10000</v>
      </c>
      <c r="E729" s="954" t="n">
        <v>10000</v>
      </c>
      <c r="F729" s="955" t="n">
        <f aca="false">C729+D729+E729</f>
        <v>35000</v>
      </c>
      <c r="G729" s="955" t="n">
        <f aca="false">F729/149.4</f>
        <v>234.270414993307</v>
      </c>
      <c r="H729" s="661" t="n">
        <f aca="false">G729/60</f>
        <v>3.90450691655511</v>
      </c>
      <c r="I729" s="660" t="n">
        <f aca="false">'норма времени'!D733</f>
        <v>170</v>
      </c>
      <c r="J729" s="661" t="n">
        <f aca="false">H729*I729</f>
        <v>663.766175814369</v>
      </c>
    </row>
    <row r="730" customFormat="false" ht="15" hidden="false" customHeight="false" outlineLevel="0" collapsed="false">
      <c r="A730" s="571" t="s">
        <v>1201</v>
      </c>
      <c r="B730" s="433" t="s">
        <v>3357</v>
      </c>
      <c r="C730" s="954" t="n">
        <v>81000</v>
      </c>
      <c r="D730" s="954" t="n">
        <v>15000</v>
      </c>
      <c r="E730" s="954" t="n">
        <v>10000</v>
      </c>
      <c r="F730" s="955" t="n">
        <f aca="false">C730+D730+E730</f>
        <v>106000</v>
      </c>
      <c r="G730" s="955" t="n">
        <f aca="false">F730/149.4</f>
        <v>709.5046854083</v>
      </c>
      <c r="H730" s="661" t="n">
        <f aca="false">G730/60</f>
        <v>11.8250780901383</v>
      </c>
      <c r="I730" s="660" t="n">
        <f aca="false">'норма времени'!D734</f>
        <v>100</v>
      </c>
      <c r="J730" s="661" t="n">
        <f aca="false">H730*I730</f>
        <v>1182.50780901383</v>
      </c>
    </row>
    <row r="731" customFormat="false" ht="15" hidden="false" customHeight="false" outlineLevel="0" collapsed="false">
      <c r="A731" s="571" t="s">
        <v>1203</v>
      </c>
      <c r="B731" s="433" t="s">
        <v>3358</v>
      </c>
      <c r="C731" s="954" t="n">
        <v>15000</v>
      </c>
      <c r="D731" s="954" t="n">
        <v>10000</v>
      </c>
      <c r="E731" s="954" t="n">
        <v>10000</v>
      </c>
      <c r="F731" s="955" t="n">
        <f aca="false">C731+D731+E731</f>
        <v>35000</v>
      </c>
      <c r="G731" s="955" t="n">
        <f aca="false">F731/149.4</f>
        <v>234.270414993307</v>
      </c>
      <c r="H731" s="661" t="n">
        <f aca="false">G731/60</f>
        <v>3.90450691655511</v>
      </c>
      <c r="I731" s="660" t="n">
        <f aca="false">'норма времени'!D735</f>
        <v>370</v>
      </c>
      <c r="J731" s="661" t="n">
        <f aca="false">H731*I731</f>
        <v>1444.66755912539</v>
      </c>
    </row>
    <row r="732" customFormat="false" ht="15" hidden="false" customHeight="false" outlineLevel="0" collapsed="false">
      <c r="A732" s="571" t="s">
        <v>1205</v>
      </c>
      <c r="B732" s="433" t="s">
        <v>3359</v>
      </c>
      <c r="C732" s="954" t="n">
        <v>15000</v>
      </c>
      <c r="D732" s="954" t="n">
        <v>10000</v>
      </c>
      <c r="E732" s="954" t="n">
        <v>10000</v>
      </c>
      <c r="F732" s="955" t="n">
        <f aca="false">C732+D732+E732</f>
        <v>35000</v>
      </c>
      <c r="G732" s="955" t="n">
        <f aca="false">F732/149.4</f>
        <v>234.270414993307</v>
      </c>
      <c r="H732" s="661" t="n">
        <f aca="false">G732/60</f>
        <v>3.90450691655511</v>
      </c>
      <c r="I732" s="660" t="n">
        <f aca="false">'норма времени'!D736</f>
        <v>370</v>
      </c>
      <c r="J732" s="661" t="n">
        <f aca="false">H732*I732</f>
        <v>1444.66755912539</v>
      </c>
    </row>
    <row r="733" customFormat="false" ht="15" hidden="false" customHeight="false" outlineLevel="0" collapsed="false">
      <c r="A733" s="571" t="s">
        <v>1207</v>
      </c>
      <c r="B733" s="433" t="s">
        <v>3360</v>
      </c>
      <c r="C733" s="954" t="n">
        <v>25000</v>
      </c>
      <c r="D733" s="954" t="n">
        <v>81000</v>
      </c>
      <c r="E733" s="954" t="n">
        <v>15000</v>
      </c>
      <c r="F733" s="955" t="n">
        <f aca="false">C733+D733+E733</f>
        <v>121000</v>
      </c>
      <c r="G733" s="955" t="n">
        <f aca="false">F733/149.4</f>
        <v>809.906291834003</v>
      </c>
      <c r="H733" s="661" t="n">
        <f aca="false">G733/60</f>
        <v>13.4984381972334</v>
      </c>
      <c r="I733" s="660" t="n">
        <f aca="false">'норма времени'!D737</f>
        <v>110</v>
      </c>
      <c r="J733" s="661" t="n">
        <f aca="false">H733*I733</f>
        <v>1484.82820169567</v>
      </c>
    </row>
    <row r="734" customFormat="false" ht="30" hidden="false" customHeight="false" outlineLevel="0" collapsed="false">
      <c r="A734" s="571" t="s">
        <v>1209</v>
      </c>
      <c r="B734" s="433" t="s">
        <v>3361</v>
      </c>
      <c r="C734" s="954" t="n">
        <v>15000</v>
      </c>
      <c r="D734" s="954" t="n">
        <v>10000</v>
      </c>
      <c r="E734" s="954" t="n">
        <v>10000</v>
      </c>
      <c r="F734" s="955" t="n">
        <f aca="false">C734+D734+E734</f>
        <v>35000</v>
      </c>
      <c r="G734" s="955" t="n">
        <f aca="false">F734/149.4</f>
        <v>234.270414993307</v>
      </c>
      <c r="H734" s="661" t="n">
        <f aca="false">G734/60</f>
        <v>3.90450691655511</v>
      </c>
      <c r="I734" s="660" t="n">
        <f aca="false">'норма времени'!D738</f>
        <v>180</v>
      </c>
      <c r="J734" s="661" t="n">
        <f aca="false">H734*I734</f>
        <v>702.81124497992</v>
      </c>
    </row>
    <row r="735" customFormat="false" ht="38.25" hidden="false" customHeight="true" outlineLevel="0" collapsed="false">
      <c r="A735" s="571" t="s">
        <v>1211</v>
      </c>
      <c r="B735" s="433" t="s">
        <v>3362</v>
      </c>
      <c r="C735" s="954" t="n">
        <v>15000</v>
      </c>
      <c r="D735" s="954" t="n">
        <v>10000</v>
      </c>
      <c r="E735" s="954" t="n">
        <v>10000</v>
      </c>
      <c r="F735" s="955" t="n">
        <f aca="false">C735+D735+E735</f>
        <v>35000</v>
      </c>
      <c r="G735" s="955" t="n">
        <f aca="false">F735/149.4</f>
        <v>234.270414993307</v>
      </c>
      <c r="H735" s="661" t="n">
        <f aca="false">G735/60</f>
        <v>3.90450691655511</v>
      </c>
      <c r="I735" s="660" t="n">
        <f aca="false">'норма времени'!D739</f>
        <v>140</v>
      </c>
      <c r="J735" s="661" t="n">
        <f aca="false">H735*I735</f>
        <v>546.630968317715</v>
      </c>
    </row>
    <row r="736" customFormat="false" ht="20.25" hidden="false" customHeight="true" outlineLevel="0" collapsed="false">
      <c r="A736" s="571" t="s">
        <v>1213</v>
      </c>
      <c r="B736" s="433" t="s">
        <v>3363</v>
      </c>
      <c r="C736" s="954" t="n">
        <v>15000</v>
      </c>
      <c r="D736" s="954" t="n">
        <v>10000</v>
      </c>
      <c r="E736" s="954" t="n">
        <v>10000</v>
      </c>
      <c r="F736" s="955" t="n">
        <f aca="false">C736+D736+E736</f>
        <v>35000</v>
      </c>
      <c r="G736" s="955" t="n">
        <f aca="false">F736/149.4</f>
        <v>234.270414993307</v>
      </c>
      <c r="H736" s="661" t="n">
        <f aca="false">G736/60</f>
        <v>3.90450691655511</v>
      </c>
      <c r="I736" s="660" t="n">
        <f aca="false">'норма времени'!D740</f>
        <v>370</v>
      </c>
      <c r="J736" s="661" t="n">
        <f aca="false">H736*I736</f>
        <v>1444.66755912539</v>
      </c>
    </row>
    <row r="737" customFormat="false" ht="24.75" hidden="false" customHeight="true" outlineLevel="0" collapsed="false">
      <c r="A737" s="571" t="s">
        <v>1215</v>
      </c>
      <c r="B737" s="433" t="s">
        <v>3364</v>
      </c>
      <c r="C737" s="954" t="n">
        <v>15000</v>
      </c>
      <c r="D737" s="954" t="n">
        <v>10000</v>
      </c>
      <c r="E737" s="954" t="n">
        <v>10000</v>
      </c>
      <c r="F737" s="955" t="n">
        <f aca="false">C737+D737+E737</f>
        <v>35000</v>
      </c>
      <c r="G737" s="955" t="n">
        <f aca="false">F737/149.4</f>
        <v>234.270414993307</v>
      </c>
      <c r="H737" s="661" t="n">
        <f aca="false">G737/60</f>
        <v>3.90450691655511</v>
      </c>
      <c r="I737" s="660" t="n">
        <f aca="false">'норма времени'!D741</f>
        <v>370</v>
      </c>
      <c r="J737" s="661" t="n">
        <f aca="false">H737*I737</f>
        <v>1444.66755912539</v>
      </c>
    </row>
    <row r="738" customFormat="false" ht="15.75" hidden="false" customHeight="true" outlineLevel="0" collapsed="false">
      <c r="A738" s="571" t="s">
        <v>1217</v>
      </c>
      <c r="B738" s="433" t="s">
        <v>3365</v>
      </c>
      <c r="C738" s="954" t="n">
        <v>10000</v>
      </c>
      <c r="D738" s="954" t="n">
        <v>10000</v>
      </c>
      <c r="E738" s="954" t="n">
        <v>10000</v>
      </c>
      <c r="F738" s="955" t="n">
        <f aca="false">C738+D738+E738</f>
        <v>30000</v>
      </c>
      <c r="G738" s="955" t="n">
        <f aca="false">F738/149.4</f>
        <v>200.803212851406</v>
      </c>
      <c r="H738" s="661" t="n">
        <f aca="false">G738/60</f>
        <v>3.34672021419009</v>
      </c>
      <c r="I738" s="660" t="n">
        <f aca="false">'норма времени'!D742</f>
        <v>370</v>
      </c>
      <c r="J738" s="661" t="n">
        <f aca="false">H738*I738</f>
        <v>1238.28647925033</v>
      </c>
    </row>
    <row r="739" customFormat="false" ht="15" hidden="false" customHeight="false" outlineLevel="0" collapsed="false">
      <c r="A739" s="571" t="s">
        <v>1219</v>
      </c>
      <c r="B739" s="433" t="s">
        <v>3366</v>
      </c>
      <c r="C739" s="954" t="n">
        <v>10000</v>
      </c>
      <c r="D739" s="954" t="n">
        <v>10000</v>
      </c>
      <c r="E739" s="954" t="n">
        <v>5000</v>
      </c>
      <c r="F739" s="955" t="n">
        <f aca="false">C739+D739+E739</f>
        <v>25000</v>
      </c>
      <c r="G739" s="955" t="n">
        <f aca="false">F739/149.4</f>
        <v>167.336010709505</v>
      </c>
      <c r="H739" s="661" t="n">
        <f aca="false">G739/60</f>
        <v>2.78893351182508</v>
      </c>
      <c r="I739" s="660" t="n">
        <f aca="false">'норма времени'!D743</f>
        <v>370</v>
      </c>
      <c r="J739" s="661" t="n">
        <f aca="false">H739*I739</f>
        <v>1031.90539937528</v>
      </c>
    </row>
    <row r="740" customFormat="false" ht="15" hidden="false" customHeight="false" outlineLevel="0" collapsed="false">
      <c r="A740" s="571" t="s">
        <v>1221</v>
      </c>
      <c r="B740" s="433" t="s">
        <v>3367</v>
      </c>
      <c r="C740" s="954" t="n">
        <v>10000</v>
      </c>
      <c r="D740" s="954" t="n">
        <v>10000</v>
      </c>
      <c r="E740" s="954" t="n">
        <v>5000</v>
      </c>
      <c r="F740" s="955" t="n">
        <f aca="false">C740+D740+E740</f>
        <v>25000</v>
      </c>
      <c r="G740" s="955" t="n">
        <f aca="false">F740/149.4</f>
        <v>167.336010709505</v>
      </c>
      <c r="H740" s="661" t="n">
        <f aca="false">G740/60</f>
        <v>2.78893351182508</v>
      </c>
      <c r="I740" s="660" t="n">
        <f aca="false">'норма времени'!D744</f>
        <v>370</v>
      </c>
      <c r="J740" s="661" t="n">
        <f aca="false">H740*I740</f>
        <v>1031.90539937528</v>
      </c>
    </row>
    <row r="741" customFormat="false" ht="18.75" hidden="false" customHeight="true" outlineLevel="0" collapsed="false">
      <c r="A741" s="571" t="s">
        <v>1223</v>
      </c>
      <c r="B741" s="433" t="s">
        <v>3368</v>
      </c>
      <c r="C741" s="954" t="n">
        <v>10000</v>
      </c>
      <c r="D741" s="954" t="n">
        <v>10000</v>
      </c>
      <c r="E741" s="954" t="n">
        <v>5000</v>
      </c>
      <c r="F741" s="955" t="n">
        <f aca="false">C741+D741+E741</f>
        <v>25000</v>
      </c>
      <c r="G741" s="955" t="n">
        <f aca="false">F741/149.4</f>
        <v>167.336010709505</v>
      </c>
      <c r="H741" s="661" t="n">
        <f aca="false">G741/60</f>
        <v>2.78893351182508</v>
      </c>
      <c r="I741" s="660" t="n">
        <f aca="false">'норма времени'!D745</f>
        <v>370</v>
      </c>
      <c r="J741" s="661" t="n">
        <f aca="false">H741*I741</f>
        <v>1031.90539937528</v>
      </c>
    </row>
    <row r="742" customFormat="false" ht="23.25" hidden="false" customHeight="true" outlineLevel="0" collapsed="false">
      <c r="A742" s="571" t="s">
        <v>1225</v>
      </c>
      <c r="B742" s="433" t="s">
        <v>3369</v>
      </c>
      <c r="C742" s="954" t="n">
        <v>10000</v>
      </c>
      <c r="D742" s="954" t="n">
        <v>10000</v>
      </c>
      <c r="E742" s="954" t="n">
        <v>5000</v>
      </c>
      <c r="F742" s="955" t="n">
        <f aca="false">C742+D742+E742</f>
        <v>25000</v>
      </c>
      <c r="G742" s="955" t="n">
        <f aca="false">F742/149.4</f>
        <v>167.336010709505</v>
      </c>
      <c r="H742" s="661" t="n">
        <f aca="false">G742/60</f>
        <v>2.78893351182508</v>
      </c>
      <c r="I742" s="660" t="n">
        <f aca="false">'норма времени'!D746</f>
        <v>370</v>
      </c>
      <c r="J742" s="661" t="n">
        <f aca="false">H742*I742</f>
        <v>1031.90539937528</v>
      </c>
    </row>
    <row r="743" customFormat="false" ht="23.25" hidden="false" customHeight="true" outlineLevel="0" collapsed="false">
      <c r="A743" s="571" t="s">
        <v>1227</v>
      </c>
      <c r="B743" s="433" t="s">
        <v>3370</v>
      </c>
      <c r="C743" s="954" t="n">
        <v>10000</v>
      </c>
      <c r="D743" s="954" t="n">
        <v>10000</v>
      </c>
      <c r="E743" s="954" t="n">
        <v>5000</v>
      </c>
      <c r="F743" s="955" t="n">
        <f aca="false">C743+D743+E743</f>
        <v>25000</v>
      </c>
      <c r="G743" s="955" t="n">
        <f aca="false">F743/149.4</f>
        <v>167.336010709505</v>
      </c>
      <c r="H743" s="661" t="n">
        <f aca="false">G743/60</f>
        <v>2.78893351182508</v>
      </c>
      <c r="I743" s="660" t="n">
        <f aca="false">'норма времени'!D747</f>
        <v>370</v>
      </c>
      <c r="J743" s="661" t="n">
        <f aca="false">H743*I743</f>
        <v>1031.90539937528</v>
      </c>
    </row>
    <row r="744" customFormat="false" ht="22.5" hidden="false" customHeight="true" outlineLevel="0" collapsed="false">
      <c r="A744" s="571" t="s">
        <v>1229</v>
      </c>
      <c r="B744" s="433" t="s">
        <v>3371</v>
      </c>
      <c r="C744" s="954" t="n">
        <v>10000</v>
      </c>
      <c r="D744" s="954" t="n">
        <v>10000</v>
      </c>
      <c r="E744" s="954" t="n">
        <v>5000</v>
      </c>
      <c r="F744" s="955" t="n">
        <f aca="false">C744+D744+E744</f>
        <v>25000</v>
      </c>
      <c r="G744" s="955" t="n">
        <f aca="false">F744/149.4</f>
        <v>167.336010709505</v>
      </c>
      <c r="H744" s="661" t="n">
        <f aca="false">G744/60</f>
        <v>2.78893351182508</v>
      </c>
      <c r="I744" s="660" t="n">
        <f aca="false">'норма времени'!D748</f>
        <v>370</v>
      </c>
      <c r="J744" s="661" t="n">
        <f aca="false">H744*I744</f>
        <v>1031.90539937528</v>
      </c>
    </row>
    <row r="745" customFormat="false" ht="21.75" hidden="false" customHeight="true" outlineLevel="0" collapsed="false">
      <c r="A745" s="571" t="s">
        <v>1231</v>
      </c>
      <c r="B745" s="433" t="s">
        <v>3372</v>
      </c>
      <c r="C745" s="954" t="n">
        <v>10000</v>
      </c>
      <c r="D745" s="954" t="n">
        <v>10000</v>
      </c>
      <c r="E745" s="954" t="n">
        <v>5000</v>
      </c>
      <c r="F745" s="955" t="n">
        <f aca="false">C745+D745+E745</f>
        <v>25000</v>
      </c>
      <c r="G745" s="955" t="n">
        <f aca="false">F745/149.4</f>
        <v>167.336010709505</v>
      </c>
      <c r="H745" s="661" t="n">
        <f aca="false">G745/60</f>
        <v>2.78893351182508</v>
      </c>
      <c r="I745" s="660" t="n">
        <f aca="false">'норма времени'!D749</f>
        <v>370</v>
      </c>
      <c r="J745" s="661" t="n">
        <f aca="false">H745*I745</f>
        <v>1031.90539937528</v>
      </c>
    </row>
    <row r="746" customFormat="false" ht="22.5" hidden="false" customHeight="true" outlineLevel="0" collapsed="false">
      <c r="A746" s="571" t="s">
        <v>1233</v>
      </c>
      <c r="B746" s="433" t="s">
        <v>3373</v>
      </c>
      <c r="C746" s="954" t="n">
        <v>81000</v>
      </c>
      <c r="D746" s="954" t="n">
        <v>15000</v>
      </c>
      <c r="E746" s="954" t="n">
        <v>10000</v>
      </c>
      <c r="F746" s="955" t="n">
        <f aca="false">C746+D746+E746</f>
        <v>106000</v>
      </c>
      <c r="G746" s="955" t="n">
        <f aca="false">F746/149.4</f>
        <v>709.5046854083</v>
      </c>
      <c r="H746" s="661" t="n">
        <f aca="false">G746/60</f>
        <v>11.8250780901383</v>
      </c>
      <c r="I746" s="660" t="n">
        <f aca="false">'норма времени'!D750</f>
        <v>110</v>
      </c>
      <c r="J746" s="661" t="n">
        <f aca="false">H746*I746</f>
        <v>1300.75858991522</v>
      </c>
    </row>
    <row r="747" customFormat="false" ht="21.75" hidden="false" customHeight="true" outlineLevel="0" collapsed="false">
      <c r="A747" s="571" t="s">
        <v>1235</v>
      </c>
      <c r="B747" s="433" t="s">
        <v>3374</v>
      </c>
      <c r="C747" s="954" t="n">
        <v>25000</v>
      </c>
      <c r="D747" s="954" t="n">
        <v>81000</v>
      </c>
      <c r="E747" s="954" t="n">
        <v>15000</v>
      </c>
      <c r="F747" s="955" t="n">
        <f aca="false">C747+D747+E747</f>
        <v>121000</v>
      </c>
      <c r="G747" s="955" t="n">
        <f aca="false">F747/149.4</f>
        <v>809.906291834003</v>
      </c>
      <c r="H747" s="661" t="n">
        <f aca="false">G747/60</f>
        <v>13.4984381972334</v>
      </c>
      <c r="I747" s="660" t="n">
        <f aca="false">'норма времени'!D751</f>
        <v>120</v>
      </c>
      <c r="J747" s="661" t="n">
        <f aca="false">H747*I747</f>
        <v>1619.81258366801</v>
      </c>
    </row>
    <row r="748" customFormat="false" ht="25.5" hidden="false" customHeight="true" outlineLevel="0" collapsed="false">
      <c r="A748" s="571" t="s">
        <v>1237</v>
      </c>
      <c r="B748" s="433" t="s">
        <v>3375</v>
      </c>
      <c r="C748" s="954" t="n">
        <v>15000</v>
      </c>
      <c r="D748" s="954" t="n">
        <v>10000</v>
      </c>
      <c r="E748" s="954" t="n">
        <v>10000</v>
      </c>
      <c r="F748" s="955" t="n">
        <f aca="false">C748+D748+E748</f>
        <v>35000</v>
      </c>
      <c r="G748" s="955" t="n">
        <f aca="false">F748/149.4</f>
        <v>234.270414993307</v>
      </c>
      <c r="H748" s="661" t="n">
        <f aca="false">G748/60</f>
        <v>3.90450691655511</v>
      </c>
      <c r="I748" s="660" t="n">
        <f aca="false">'норма времени'!D752</f>
        <v>370</v>
      </c>
      <c r="J748" s="661" t="n">
        <f aca="false">H748*I748</f>
        <v>1444.66755912539</v>
      </c>
    </row>
    <row r="749" customFormat="false" ht="30" hidden="false" customHeight="false" outlineLevel="0" collapsed="false">
      <c r="A749" s="571" t="s">
        <v>1238</v>
      </c>
      <c r="B749" s="433" t="s">
        <v>3376</v>
      </c>
      <c r="C749" s="954" t="n">
        <v>15000</v>
      </c>
      <c r="D749" s="954" t="n">
        <v>10000</v>
      </c>
      <c r="E749" s="954" t="n">
        <v>10000</v>
      </c>
      <c r="F749" s="955" t="n">
        <f aca="false">C749+D749+E749</f>
        <v>35000</v>
      </c>
      <c r="G749" s="955" t="n">
        <f aca="false">F749/149.4</f>
        <v>234.270414993307</v>
      </c>
      <c r="H749" s="661" t="n">
        <f aca="false">G749/60</f>
        <v>3.90450691655511</v>
      </c>
      <c r="I749" s="660" t="n">
        <f aca="false">'норма времени'!D753</f>
        <v>370</v>
      </c>
      <c r="J749" s="661" t="n">
        <f aca="false">H749*I749</f>
        <v>1444.66755912539</v>
      </c>
    </row>
    <row r="750" customFormat="false" ht="15" hidden="false" customHeight="false" outlineLevel="0" collapsed="false">
      <c r="A750" s="571" t="s">
        <v>1240</v>
      </c>
      <c r="B750" s="433" t="s">
        <v>3377</v>
      </c>
      <c r="C750" s="954" t="n">
        <v>81000</v>
      </c>
      <c r="D750" s="954" t="n">
        <v>15000</v>
      </c>
      <c r="E750" s="954" t="n">
        <v>10000</v>
      </c>
      <c r="F750" s="955" t="n">
        <f aca="false">C750+D750+E750</f>
        <v>106000</v>
      </c>
      <c r="G750" s="955" t="n">
        <f aca="false">F750/149.4</f>
        <v>709.5046854083</v>
      </c>
      <c r="H750" s="661" t="n">
        <f aca="false">G750/60</f>
        <v>11.8250780901383</v>
      </c>
      <c r="I750" s="660" t="n">
        <f aca="false">'норма времени'!D754</f>
        <v>370</v>
      </c>
      <c r="J750" s="661" t="n">
        <f aca="false">H750*I750</f>
        <v>4375.27889335118</v>
      </c>
    </row>
    <row r="751" customFormat="false" ht="15" hidden="false" customHeight="false" outlineLevel="0" collapsed="false">
      <c r="A751" s="571" t="s">
        <v>1242</v>
      </c>
      <c r="B751" s="433" t="s">
        <v>3378</v>
      </c>
      <c r="C751" s="954" t="n">
        <v>81000</v>
      </c>
      <c r="D751" s="954" t="n">
        <v>15000</v>
      </c>
      <c r="E751" s="954" t="n">
        <v>10000</v>
      </c>
      <c r="F751" s="955" t="n">
        <f aca="false">C751+D751+E751</f>
        <v>106000</v>
      </c>
      <c r="G751" s="955" t="n">
        <f aca="false">F751/149.4</f>
        <v>709.5046854083</v>
      </c>
      <c r="H751" s="661" t="n">
        <f aca="false">G751/60</f>
        <v>11.8250780901383</v>
      </c>
      <c r="I751" s="660" t="n">
        <f aca="false">'норма времени'!D755</f>
        <v>370</v>
      </c>
      <c r="J751" s="661" t="n">
        <f aca="false">H751*I751</f>
        <v>4375.27889335118</v>
      </c>
    </row>
    <row r="752" customFormat="false" ht="15" hidden="false" customHeight="false" outlineLevel="0" collapsed="false">
      <c r="A752" s="571" t="s">
        <v>1244</v>
      </c>
      <c r="B752" s="433" t="s">
        <v>3379</v>
      </c>
      <c r="C752" s="954" t="n">
        <v>81000</v>
      </c>
      <c r="D752" s="954" t="n">
        <v>15000</v>
      </c>
      <c r="E752" s="954" t="n">
        <v>10000</v>
      </c>
      <c r="F752" s="955" t="n">
        <f aca="false">C752+D752+E752</f>
        <v>106000</v>
      </c>
      <c r="G752" s="955" t="n">
        <f aca="false">F752/149.4</f>
        <v>709.5046854083</v>
      </c>
      <c r="H752" s="661" t="n">
        <f aca="false">G752/60</f>
        <v>11.8250780901383</v>
      </c>
      <c r="I752" s="660" t="n">
        <f aca="false">'норма времени'!D756</f>
        <v>370</v>
      </c>
      <c r="J752" s="661" t="n">
        <f aca="false">H752*I752</f>
        <v>4375.27889335118</v>
      </c>
    </row>
    <row r="753" customFormat="false" ht="20.25" hidden="false" customHeight="true" outlineLevel="0" collapsed="false">
      <c r="A753" s="571" t="s">
        <v>1246</v>
      </c>
      <c r="B753" s="433" t="s">
        <v>3380</v>
      </c>
      <c r="C753" s="954" t="n">
        <v>81000</v>
      </c>
      <c r="D753" s="954" t="n">
        <v>15000</v>
      </c>
      <c r="E753" s="954" t="n">
        <v>10000</v>
      </c>
      <c r="F753" s="955" t="n">
        <f aca="false">C753+D753+E753</f>
        <v>106000</v>
      </c>
      <c r="G753" s="955" t="n">
        <f aca="false">F753/149.4</f>
        <v>709.5046854083</v>
      </c>
      <c r="H753" s="661" t="n">
        <f aca="false">G753/60</f>
        <v>11.8250780901383</v>
      </c>
      <c r="I753" s="660" t="n">
        <f aca="false">'норма времени'!D757</f>
        <v>370</v>
      </c>
      <c r="J753" s="661" t="n">
        <f aca="false">H753*I753</f>
        <v>4375.27889335118</v>
      </c>
    </row>
    <row r="754" customFormat="false" ht="15" hidden="false" customHeight="false" outlineLevel="0" collapsed="false">
      <c r="A754" s="571" t="s">
        <v>1248</v>
      </c>
      <c r="B754" s="433" t="s">
        <v>3381</v>
      </c>
      <c r="C754" s="954" t="n">
        <v>81000</v>
      </c>
      <c r="D754" s="954" t="n">
        <v>15000</v>
      </c>
      <c r="E754" s="954" t="n">
        <v>10000</v>
      </c>
      <c r="F754" s="955" t="n">
        <f aca="false">C754+D754+E754</f>
        <v>106000</v>
      </c>
      <c r="G754" s="955" t="n">
        <f aca="false">F754/149.4</f>
        <v>709.5046854083</v>
      </c>
      <c r="H754" s="661" t="n">
        <f aca="false">G754/60</f>
        <v>11.8250780901383</v>
      </c>
      <c r="I754" s="660" t="n">
        <f aca="false">'норма времени'!D758</f>
        <v>370</v>
      </c>
      <c r="J754" s="661" t="n">
        <f aca="false">H754*I754</f>
        <v>4375.27889335118</v>
      </c>
    </row>
    <row r="755" customFormat="false" ht="23.25" hidden="false" customHeight="true" outlineLevel="0" collapsed="false">
      <c r="A755" s="571" t="s">
        <v>1250</v>
      </c>
      <c r="B755" s="433" t="s">
        <v>3382</v>
      </c>
      <c r="C755" s="954" t="n">
        <v>81000</v>
      </c>
      <c r="D755" s="954" t="n">
        <v>15000</v>
      </c>
      <c r="E755" s="954" t="n">
        <v>10000</v>
      </c>
      <c r="F755" s="955" t="n">
        <f aca="false">C755+D755+E755</f>
        <v>106000</v>
      </c>
      <c r="G755" s="955" t="n">
        <f aca="false">F755/149.4</f>
        <v>709.5046854083</v>
      </c>
      <c r="H755" s="661" t="n">
        <f aca="false">G755/60</f>
        <v>11.8250780901383</v>
      </c>
      <c r="I755" s="660" t="n">
        <f aca="false">'норма времени'!D759</f>
        <v>370</v>
      </c>
      <c r="J755" s="661" t="n">
        <f aca="false">H755*I755</f>
        <v>4375.27889335118</v>
      </c>
    </row>
    <row r="756" customFormat="false" ht="22.5" hidden="false" customHeight="true" outlineLevel="0" collapsed="false">
      <c r="A756" s="571" t="s">
        <v>1252</v>
      </c>
      <c r="B756" s="433" t="s">
        <v>3383</v>
      </c>
      <c r="C756" s="954" t="n">
        <v>81000</v>
      </c>
      <c r="D756" s="954" t="n">
        <v>15000</v>
      </c>
      <c r="E756" s="954" t="n">
        <v>10000</v>
      </c>
      <c r="F756" s="955" t="n">
        <f aca="false">C756+D756+E756</f>
        <v>106000</v>
      </c>
      <c r="G756" s="955" t="n">
        <f aca="false">F756/149.4</f>
        <v>709.5046854083</v>
      </c>
      <c r="H756" s="661" t="n">
        <f aca="false">G756/60</f>
        <v>11.8250780901383</v>
      </c>
      <c r="I756" s="660" t="n">
        <f aca="false">'норма времени'!D760</f>
        <v>370</v>
      </c>
      <c r="J756" s="661" t="n">
        <f aca="false">H756*I756</f>
        <v>4375.27889335118</v>
      </c>
    </row>
    <row r="757" customFormat="false" ht="18.75" hidden="false" customHeight="true" outlineLevel="0" collapsed="false">
      <c r="A757" s="571" t="s">
        <v>1254</v>
      </c>
      <c r="B757" s="433" t="s">
        <v>3384</v>
      </c>
      <c r="C757" s="954" t="n">
        <v>81000</v>
      </c>
      <c r="D757" s="954" t="n">
        <v>15000</v>
      </c>
      <c r="E757" s="954" t="n">
        <v>10000</v>
      </c>
      <c r="F757" s="955" t="n">
        <f aca="false">C757+D757+E757</f>
        <v>106000</v>
      </c>
      <c r="G757" s="955" t="n">
        <f aca="false">F757/149.4</f>
        <v>709.5046854083</v>
      </c>
      <c r="H757" s="661" t="n">
        <f aca="false">G757/60</f>
        <v>11.8250780901383</v>
      </c>
      <c r="I757" s="660" t="n">
        <f aca="false">'норма времени'!D761</f>
        <v>370</v>
      </c>
      <c r="J757" s="661" t="n">
        <f aca="false">H757*I757</f>
        <v>4375.27889335118</v>
      </c>
    </row>
    <row r="758" customFormat="false" ht="17.25" hidden="false" customHeight="true" outlineLevel="0" collapsed="false">
      <c r="A758" s="571" t="s">
        <v>1256</v>
      </c>
      <c r="B758" s="433" t="s">
        <v>3385</v>
      </c>
      <c r="C758" s="954" t="n">
        <v>81000</v>
      </c>
      <c r="D758" s="954" t="n">
        <v>15000</v>
      </c>
      <c r="E758" s="954" t="n">
        <v>10000</v>
      </c>
      <c r="F758" s="955" t="n">
        <f aca="false">C758+D758+E758</f>
        <v>106000</v>
      </c>
      <c r="G758" s="955" t="n">
        <f aca="false">F758/149.4</f>
        <v>709.5046854083</v>
      </c>
      <c r="H758" s="661" t="n">
        <f aca="false">G758/60</f>
        <v>11.8250780901383</v>
      </c>
      <c r="I758" s="660" t="n">
        <f aca="false">'норма времени'!D762</f>
        <v>370</v>
      </c>
      <c r="J758" s="661" t="n">
        <f aca="false">H758*I758</f>
        <v>4375.27889335118</v>
      </c>
    </row>
    <row r="759" customFormat="false" ht="15" hidden="false" customHeight="false" outlineLevel="0" collapsed="false">
      <c r="A759" s="571" t="s">
        <v>1258</v>
      </c>
      <c r="B759" s="433" t="s">
        <v>3386</v>
      </c>
      <c r="C759" s="954" t="n">
        <v>45000</v>
      </c>
      <c r="D759" s="954" t="n">
        <v>35000</v>
      </c>
      <c r="E759" s="954" t="n">
        <v>25000</v>
      </c>
      <c r="F759" s="955" t="n">
        <f aca="false">C759+D759+E759</f>
        <v>105000</v>
      </c>
      <c r="G759" s="955" t="n">
        <f aca="false">F759/149.4</f>
        <v>702.81124497992</v>
      </c>
      <c r="H759" s="661" t="n">
        <f aca="false">G759/60</f>
        <v>11.7135207496653</v>
      </c>
      <c r="I759" s="660" t="n">
        <f aca="false">'норма времени'!D763</f>
        <v>170</v>
      </c>
      <c r="J759" s="661" t="n">
        <f aca="false">H759*I759</f>
        <v>1991.29852744311</v>
      </c>
    </row>
    <row r="760" customFormat="false" ht="15" hidden="false" customHeight="false" outlineLevel="0" collapsed="false">
      <c r="A760" s="571" t="s">
        <v>1260</v>
      </c>
      <c r="B760" s="433" t="s">
        <v>3387</v>
      </c>
      <c r="C760" s="954" t="n">
        <v>81000</v>
      </c>
      <c r="D760" s="954" t="n">
        <v>15000</v>
      </c>
      <c r="E760" s="954" t="n">
        <v>10000</v>
      </c>
      <c r="F760" s="955" t="n">
        <f aca="false">C760+D760+E760</f>
        <v>106000</v>
      </c>
      <c r="G760" s="955" t="n">
        <f aca="false">F760/149.4</f>
        <v>709.5046854083</v>
      </c>
      <c r="H760" s="661" t="n">
        <f aca="false">G760/60</f>
        <v>11.8250780901383</v>
      </c>
      <c r="I760" s="660" t="n">
        <f aca="false">'норма времени'!D764</f>
        <v>150</v>
      </c>
      <c r="J760" s="661" t="n">
        <f aca="false">H760*I760</f>
        <v>1773.76171352075</v>
      </c>
    </row>
    <row r="761" customFormat="false" ht="25.5" hidden="false" customHeight="true" outlineLevel="0" collapsed="false">
      <c r="A761" s="571" t="s">
        <v>1262</v>
      </c>
      <c r="B761" s="433" t="s">
        <v>3388</v>
      </c>
      <c r="C761" s="954" t="n">
        <v>81000</v>
      </c>
      <c r="D761" s="954" t="n">
        <v>15000</v>
      </c>
      <c r="E761" s="954" t="n">
        <v>10000</v>
      </c>
      <c r="F761" s="955" t="n">
        <f aca="false">C761+D761+E761</f>
        <v>106000</v>
      </c>
      <c r="G761" s="955" t="n">
        <f aca="false">F761/149.4</f>
        <v>709.5046854083</v>
      </c>
      <c r="H761" s="661" t="n">
        <f aca="false">G761/60</f>
        <v>11.8250780901383</v>
      </c>
      <c r="I761" s="660" t="n">
        <f aca="false">'норма времени'!D765</f>
        <v>370</v>
      </c>
      <c r="J761" s="661" t="n">
        <f aca="false">H761*I761</f>
        <v>4375.27889335118</v>
      </c>
    </row>
    <row r="762" customFormat="false" ht="26.25" hidden="false" customHeight="true" outlineLevel="0" collapsed="false">
      <c r="A762" s="571" t="s">
        <v>1264</v>
      </c>
      <c r="B762" s="433" t="s">
        <v>3389</v>
      </c>
      <c r="C762" s="954" t="n">
        <v>81000</v>
      </c>
      <c r="D762" s="954" t="n">
        <v>15000</v>
      </c>
      <c r="E762" s="954" t="n">
        <v>10000</v>
      </c>
      <c r="F762" s="955" t="n">
        <f aca="false">C762+D762+E762</f>
        <v>106000</v>
      </c>
      <c r="G762" s="955" t="n">
        <f aca="false">F762/149.4</f>
        <v>709.5046854083</v>
      </c>
      <c r="H762" s="661" t="n">
        <f aca="false">G762/60</f>
        <v>11.8250780901383</v>
      </c>
      <c r="I762" s="660" t="n">
        <f aca="false">'норма времени'!D766</f>
        <v>170</v>
      </c>
      <c r="J762" s="661" t="n">
        <f aca="false">H762*I762</f>
        <v>2010.26327532352</v>
      </c>
    </row>
    <row r="763" customFormat="false" ht="36" hidden="false" customHeight="true" outlineLevel="0" collapsed="false">
      <c r="A763" s="571" t="s">
        <v>1266</v>
      </c>
      <c r="B763" s="433" t="s">
        <v>3390</v>
      </c>
      <c r="C763" s="954" t="n">
        <v>25000</v>
      </c>
      <c r="D763" s="954" t="n">
        <v>81000</v>
      </c>
      <c r="E763" s="954" t="n">
        <v>15000</v>
      </c>
      <c r="F763" s="955" t="n">
        <f aca="false">C763+D763+E763</f>
        <v>121000</v>
      </c>
      <c r="G763" s="955" t="n">
        <f aca="false">F763/149.4</f>
        <v>809.906291834003</v>
      </c>
      <c r="H763" s="661" t="n">
        <f aca="false">G763/60</f>
        <v>13.4984381972334</v>
      </c>
      <c r="I763" s="660" t="n">
        <f aca="false">'норма времени'!D767</f>
        <v>170</v>
      </c>
      <c r="J763" s="661" t="n">
        <f aca="false">H763*I763</f>
        <v>2294.73449352967</v>
      </c>
    </row>
    <row r="764" customFormat="false" ht="30" hidden="false" customHeight="false" outlineLevel="0" collapsed="false">
      <c r="A764" s="571" t="s">
        <v>1268</v>
      </c>
      <c r="B764" s="433" t="s">
        <v>3391</v>
      </c>
      <c r="C764" s="954" t="n">
        <v>15000</v>
      </c>
      <c r="D764" s="954" t="n">
        <v>10000</v>
      </c>
      <c r="E764" s="954" t="n">
        <v>5000</v>
      </c>
      <c r="F764" s="955" t="n">
        <f aca="false">C764+D764+E764</f>
        <v>30000</v>
      </c>
      <c r="G764" s="955" t="n">
        <f aca="false">F764/149.4</f>
        <v>200.803212851406</v>
      </c>
      <c r="H764" s="661" t="n">
        <f aca="false">G764/60</f>
        <v>3.34672021419009</v>
      </c>
      <c r="I764" s="660" t="n">
        <f aca="false">'норма времени'!D768</f>
        <v>370</v>
      </c>
      <c r="J764" s="661" t="n">
        <f aca="false">H764*I764</f>
        <v>1238.28647925033</v>
      </c>
    </row>
    <row r="765" customFormat="false" ht="15" hidden="false" customHeight="false" outlineLevel="0" collapsed="false">
      <c r="A765" s="571" t="s">
        <v>1270</v>
      </c>
      <c r="B765" s="433" t="s">
        <v>3392</v>
      </c>
      <c r="C765" s="954" t="n">
        <v>15000</v>
      </c>
      <c r="D765" s="954" t="n">
        <v>15000</v>
      </c>
      <c r="E765" s="954" t="n">
        <v>10000</v>
      </c>
      <c r="F765" s="955" t="n">
        <f aca="false">C765+D765+E765</f>
        <v>40000</v>
      </c>
      <c r="G765" s="955" t="n">
        <f aca="false">F765/149.4</f>
        <v>267.737617135208</v>
      </c>
      <c r="H765" s="661" t="n">
        <f aca="false">G765/60</f>
        <v>4.46229361892013</v>
      </c>
      <c r="I765" s="660" t="n">
        <f aca="false">'норма времени'!D769</f>
        <v>370</v>
      </c>
      <c r="J765" s="661" t="n">
        <f aca="false">H765*I765</f>
        <v>1651.04863900045</v>
      </c>
    </row>
    <row r="766" customFormat="false" ht="30" hidden="false" customHeight="false" outlineLevel="0" collapsed="false">
      <c r="A766" s="571" t="s">
        <v>1272</v>
      </c>
      <c r="B766" s="433" t="s">
        <v>3393</v>
      </c>
      <c r="C766" s="954" t="n">
        <v>81000</v>
      </c>
      <c r="D766" s="954" t="n">
        <v>15000</v>
      </c>
      <c r="E766" s="954" t="n">
        <v>10000</v>
      </c>
      <c r="F766" s="955" t="n">
        <f aca="false">C766+D766+E766</f>
        <v>106000</v>
      </c>
      <c r="G766" s="955" t="n">
        <f aca="false">F766/149.4</f>
        <v>709.5046854083</v>
      </c>
      <c r="H766" s="661" t="n">
        <f aca="false">G766/60</f>
        <v>11.8250780901383</v>
      </c>
      <c r="I766" s="660" t="n">
        <f aca="false">'норма времени'!D770</f>
        <v>370</v>
      </c>
      <c r="J766" s="661" t="n">
        <f aca="false">H766*I766</f>
        <v>4375.27889335118</v>
      </c>
    </row>
    <row r="767" customFormat="false" ht="15" hidden="false" customHeight="false" outlineLevel="0" collapsed="false">
      <c r="A767" s="571" t="s">
        <v>1274</v>
      </c>
      <c r="B767" s="433" t="s">
        <v>3394</v>
      </c>
      <c r="C767" s="954" t="n">
        <v>35000</v>
      </c>
      <c r="D767" s="954" t="n">
        <v>25000</v>
      </c>
      <c r="E767" s="954" t="n">
        <v>15000</v>
      </c>
      <c r="F767" s="955" t="n">
        <f aca="false">C767+D767+E767</f>
        <v>75000</v>
      </c>
      <c r="G767" s="955" t="n">
        <f aca="false">F767/149.4</f>
        <v>502.008032128514</v>
      </c>
      <c r="H767" s="661" t="n">
        <f aca="false">G767/60</f>
        <v>8.36680053547523</v>
      </c>
      <c r="I767" s="660" t="n">
        <f aca="false">'норма времени'!D771</f>
        <v>170</v>
      </c>
      <c r="J767" s="661" t="n">
        <f aca="false">H767*I767</f>
        <v>1422.35609103079</v>
      </c>
    </row>
    <row r="768" customFormat="false" ht="30" hidden="false" customHeight="false" outlineLevel="0" collapsed="false">
      <c r="A768" s="571" t="s">
        <v>1276</v>
      </c>
      <c r="B768" s="433" t="s">
        <v>3395</v>
      </c>
      <c r="C768" s="954" t="n">
        <v>15000</v>
      </c>
      <c r="D768" s="954" t="n">
        <v>10000</v>
      </c>
      <c r="E768" s="954" t="n">
        <v>10000</v>
      </c>
      <c r="F768" s="955" t="n">
        <f aca="false">C768+D768+E768</f>
        <v>35000</v>
      </c>
      <c r="G768" s="955" t="n">
        <f aca="false">F768/149.4</f>
        <v>234.270414993307</v>
      </c>
      <c r="H768" s="661" t="n">
        <f aca="false">G768/60</f>
        <v>3.90450691655511</v>
      </c>
      <c r="I768" s="660" t="n">
        <f aca="false">'норма времени'!D772</f>
        <v>370</v>
      </c>
      <c r="J768" s="661" t="n">
        <f aca="false">H768*I768</f>
        <v>1444.66755912539</v>
      </c>
    </row>
    <row r="769" customFormat="false" ht="15" hidden="false" customHeight="false" outlineLevel="0" collapsed="false">
      <c r="A769" s="571" t="s">
        <v>1278</v>
      </c>
      <c r="B769" s="433" t="s">
        <v>3396</v>
      </c>
      <c r="C769" s="954" t="n">
        <v>15000</v>
      </c>
      <c r="D769" s="954" t="n">
        <v>18100</v>
      </c>
      <c r="E769" s="954" t="n">
        <v>10000</v>
      </c>
      <c r="F769" s="955" t="n">
        <f aca="false">C769+D769+E769</f>
        <v>43100</v>
      </c>
      <c r="G769" s="955" t="n">
        <f aca="false">F769/149.4</f>
        <v>288.487282463186</v>
      </c>
      <c r="H769" s="661" t="n">
        <f aca="false">G769/60</f>
        <v>4.80812137438644</v>
      </c>
      <c r="I769" s="660" t="n">
        <f aca="false">'норма времени'!D773</f>
        <v>370</v>
      </c>
      <c r="J769" s="661" t="n">
        <f aca="false">H769*I769</f>
        <v>1779.00490852298</v>
      </c>
    </row>
    <row r="770" s="531" customFormat="true" ht="19.5" hidden="false" customHeight="true" outlineLevel="0" collapsed="false">
      <c r="A770" s="341" t="s">
        <v>1280</v>
      </c>
      <c r="B770" s="1260" t="s">
        <v>3397</v>
      </c>
      <c r="C770" s="1258" t="n">
        <v>90000</v>
      </c>
      <c r="D770" s="1258" t="n">
        <v>80000</v>
      </c>
      <c r="E770" s="1258" t="n">
        <v>70000</v>
      </c>
      <c r="F770" s="955" t="n">
        <f aca="false">C770+D770+E770</f>
        <v>240000</v>
      </c>
      <c r="G770" s="955" t="n">
        <f aca="false">F770/149.4</f>
        <v>1606.42570281125</v>
      </c>
      <c r="H770" s="661" t="n">
        <f aca="false">G770/60</f>
        <v>26.7737617135208</v>
      </c>
      <c r="I770" s="660" t="n">
        <f aca="false">'норма времени'!D774</f>
        <v>340</v>
      </c>
      <c r="J770" s="661" t="n">
        <f aca="false">H770*I770</f>
        <v>9103.07898259706</v>
      </c>
    </row>
    <row r="771" customFormat="false" ht="15" hidden="false" customHeight="false" outlineLevel="0" collapsed="false">
      <c r="A771" s="343" t="s">
        <v>3398</v>
      </c>
      <c r="B771" s="318" t="s">
        <v>3399</v>
      </c>
      <c r="C771" s="1261"/>
      <c r="D771" s="1261"/>
      <c r="E771" s="1261"/>
      <c r="F771" s="1262"/>
      <c r="G771" s="955" t="n">
        <f aca="false">F771/149.4</f>
        <v>0</v>
      </c>
      <c r="H771" s="1263"/>
      <c r="I771" s="1264"/>
      <c r="J771" s="1263"/>
    </row>
    <row r="772" customFormat="false" ht="45" hidden="false" customHeight="false" outlineLevel="0" collapsed="false">
      <c r="A772" s="327" t="s">
        <v>1284</v>
      </c>
      <c r="B772" s="492" t="s">
        <v>3400</v>
      </c>
      <c r="C772" s="954" t="n">
        <v>15000</v>
      </c>
      <c r="D772" s="954" t="n">
        <v>15000</v>
      </c>
      <c r="E772" s="954" t="n">
        <v>15000</v>
      </c>
      <c r="F772" s="955" t="n">
        <f aca="false">C772+D772+E772</f>
        <v>45000</v>
      </c>
      <c r="G772" s="955" t="n">
        <f aca="false">F772/149.4</f>
        <v>301.204819277108</v>
      </c>
      <c r="H772" s="661" t="n">
        <f aca="false">G772/60</f>
        <v>5.02008032128514</v>
      </c>
      <c r="I772" s="660" t="n">
        <f aca="false">'норма времени'!D776</f>
        <v>45</v>
      </c>
      <c r="J772" s="661" t="n">
        <f aca="false">H772*I772</f>
        <v>225.903614457831</v>
      </c>
    </row>
    <row r="773" customFormat="false" ht="30" hidden="false" customHeight="false" outlineLevel="0" collapsed="false">
      <c r="A773" s="327" t="s">
        <v>1286</v>
      </c>
      <c r="B773" s="492" t="s">
        <v>3401</v>
      </c>
      <c r="C773" s="954" t="n">
        <v>30000</v>
      </c>
      <c r="D773" s="954" t="n">
        <v>25000</v>
      </c>
      <c r="E773" s="954" t="n">
        <v>30000</v>
      </c>
      <c r="F773" s="955" t="n">
        <f aca="false">C773+D773+E773</f>
        <v>85000</v>
      </c>
      <c r="G773" s="955" t="n">
        <f aca="false">F773/149.4</f>
        <v>568.942436412316</v>
      </c>
      <c r="H773" s="661" t="n">
        <f aca="false">G773/60</f>
        <v>9.48237394020527</v>
      </c>
      <c r="I773" s="660" t="n">
        <f aca="false">'норма времени'!D777</f>
        <v>33</v>
      </c>
      <c r="J773" s="661" t="n">
        <f aca="false">H773*I773</f>
        <v>312.918340026774</v>
      </c>
    </row>
    <row r="774" customFormat="false" ht="30" hidden="false" customHeight="false" outlineLevel="0" collapsed="false">
      <c r="A774" s="327" t="s">
        <v>1288</v>
      </c>
      <c r="B774" s="492" t="s">
        <v>3402</v>
      </c>
      <c r="C774" s="954" t="n">
        <v>30000</v>
      </c>
      <c r="D774" s="954" t="n">
        <v>25000</v>
      </c>
      <c r="E774" s="954" t="n">
        <v>30000</v>
      </c>
      <c r="F774" s="955" t="n">
        <f aca="false">C774+D774+E774</f>
        <v>85000</v>
      </c>
      <c r="G774" s="955" t="n">
        <f aca="false">F774/149.4</f>
        <v>568.942436412316</v>
      </c>
      <c r="H774" s="661" t="n">
        <f aca="false">G774/60</f>
        <v>9.48237394020527</v>
      </c>
      <c r="I774" s="660" t="n">
        <f aca="false">'норма времени'!D778</f>
        <v>33</v>
      </c>
      <c r="J774" s="661" t="n">
        <f aca="false">H774*I774</f>
        <v>312.918340026774</v>
      </c>
    </row>
    <row r="775" customFormat="false" ht="30" hidden="false" customHeight="false" outlineLevel="0" collapsed="false">
      <c r="A775" s="327" t="s">
        <v>1290</v>
      </c>
      <c r="B775" s="492" t="s">
        <v>3403</v>
      </c>
      <c r="C775" s="954" t="n">
        <v>20000</v>
      </c>
      <c r="D775" s="954" t="n">
        <v>15500</v>
      </c>
      <c r="E775" s="954" t="n">
        <v>15000</v>
      </c>
      <c r="F775" s="955" t="n">
        <f aca="false">C775+D775+E775</f>
        <v>50500</v>
      </c>
      <c r="G775" s="955" t="n">
        <f aca="false">F775/149.4</f>
        <v>338.018741633199</v>
      </c>
      <c r="H775" s="661" t="n">
        <f aca="false">G775/60</f>
        <v>5.63364569388666</v>
      </c>
      <c r="I775" s="660" t="n">
        <f aca="false">'норма времени'!D779</f>
        <v>33</v>
      </c>
      <c r="J775" s="661" t="n">
        <f aca="false">H775*I775</f>
        <v>185.91030789826</v>
      </c>
    </row>
    <row r="776" customFormat="false" ht="15" hidden="false" customHeight="false" outlineLevel="0" collapsed="false">
      <c r="A776" s="327" t="s">
        <v>1292</v>
      </c>
      <c r="B776" s="492" t="s">
        <v>3404</v>
      </c>
      <c r="C776" s="954" t="n">
        <v>30000</v>
      </c>
      <c r="D776" s="954" t="n">
        <v>25000</v>
      </c>
      <c r="E776" s="954" t="n">
        <v>30000</v>
      </c>
      <c r="F776" s="955" t="n">
        <f aca="false">C776+D776+E776</f>
        <v>85000</v>
      </c>
      <c r="G776" s="955" t="n">
        <f aca="false">F776/149.4</f>
        <v>568.942436412316</v>
      </c>
      <c r="H776" s="661" t="n">
        <f aca="false">G776/60</f>
        <v>9.48237394020527</v>
      </c>
      <c r="I776" s="660" t="n">
        <f aca="false">'норма времени'!D780</f>
        <v>15</v>
      </c>
      <c r="J776" s="661" t="n">
        <f aca="false">H776*I776</f>
        <v>142.235609103079</v>
      </c>
    </row>
    <row r="777" customFormat="false" ht="15" hidden="false" customHeight="false" outlineLevel="0" collapsed="false">
      <c r="A777" s="327" t="s">
        <v>1294</v>
      </c>
      <c r="B777" s="492" t="s">
        <v>3405</v>
      </c>
      <c r="C777" s="954" t="n">
        <v>25000</v>
      </c>
      <c r="D777" s="954" t="n">
        <v>20000</v>
      </c>
      <c r="E777" s="954" t="n">
        <v>20000</v>
      </c>
      <c r="F777" s="955" t="n">
        <f aca="false">C777+D777+E777</f>
        <v>65000</v>
      </c>
      <c r="G777" s="955" t="n">
        <f aca="false">F777/149.4</f>
        <v>435.073627844712</v>
      </c>
      <c r="H777" s="661" t="n">
        <f aca="false">G777/60</f>
        <v>7.2512271307452</v>
      </c>
      <c r="I777" s="660" t="n">
        <f aca="false">'норма времени'!D781</f>
        <v>50</v>
      </c>
      <c r="J777" s="661" t="n">
        <f aca="false">H777*I777</f>
        <v>362.56135653726</v>
      </c>
    </row>
    <row r="778" customFormat="false" ht="15" hidden="false" customHeight="false" outlineLevel="0" collapsed="false">
      <c r="A778" s="327" t="s">
        <v>1296</v>
      </c>
      <c r="B778" s="492" t="s">
        <v>3406</v>
      </c>
      <c r="C778" s="954" t="n">
        <v>25000</v>
      </c>
      <c r="D778" s="954" t="n">
        <v>20000</v>
      </c>
      <c r="E778" s="954" t="n">
        <v>20000</v>
      </c>
      <c r="F778" s="955" t="n">
        <f aca="false">C778+D778+E778</f>
        <v>65000</v>
      </c>
      <c r="G778" s="955" t="n">
        <f aca="false">F778/149.4</f>
        <v>435.073627844712</v>
      </c>
      <c r="H778" s="661" t="n">
        <f aca="false">G778/60</f>
        <v>7.2512271307452</v>
      </c>
      <c r="I778" s="660" t="n">
        <f aca="false">'норма времени'!D782</f>
        <v>50</v>
      </c>
      <c r="J778" s="661" t="n">
        <f aca="false">H778*I778</f>
        <v>362.56135653726</v>
      </c>
    </row>
    <row r="779" customFormat="false" ht="15" hidden="false" customHeight="false" outlineLevel="0" collapsed="false">
      <c r="A779" s="327" t="s">
        <v>1298</v>
      </c>
      <c r="B779" s="492" t="s">
        <v>3407</v>
      </c>
      <c r="C779" s="954" t="n">
        <v>30000</v>
      </c>
      <c r="D779" s="954" t="n">
        <v>25000</v>
      </c>
      <c r="E779" s="954" t="n">
        <v>30000</v>
      </c>
      <c r="F779" s="955" t="n">
        <f aca="false">C779+D779+E779</f>
        <v>85000</v>
      </c>
      <c r="G779" s="955" t="n">
        <f aca="false">F779/149.4</f>
        <v>568.942436412316</v>
      </c>
      <c r="H779" s="661" t="n">
        <f aca="false">G779/60</f>
        <v>9.48237394020527</v>
      </c>
      <c r="I779" s="660" t="n">
        <f aca="false">'норма времени'!D783</f>
        <v>50</v>
      </c>
      <c r="J779" s="661" t="n">
        <f aca="false">H779*I779</f>
        <v>474.118697010263</v>
      </c>
    </row>
    <row r="780" customFormat="false" ht="30" hidden="false" customHeight="false" outlineLevel="0" collapsed="false">
      <c r="A780" s="327" t="s">
        <v>1300</v>
      </c>
      <c r="B780" s="492" t="s">
        <v>3408</v>
      </c>
      <c r="C780" s="954" t="n">
        <v>15000</v>
      </c>
      <c r="D780" s="954" t="n">
        <v>10000</v>
      </c>
      <c r="E780" s="954" t="n">
        <v>10000</v>
      </c>
      <c r="F780" s="955" t="n">
        <f aca="false">C780+D780+E780</f>
        <v>35000</v>
      </c>
      <c r="G780" s="955" t="n">
        <f aca="false">F780/149.4</f>
        <v>234.270414993307</v>
      </c>
      <c r="H780" s="661" t="n">
        <f aca="false">G780/60</f>
        <v>3.90450691655511</v>
      </c>
      <c r="I780" s="660" t="n">
        <f aca="false">'норма времени'!D784</f>
        <v>35</v>
      </c>
      <c r="J780" s="661" t="n">
        <f aca="false">H780*I780</f>
        <v>136.657742079429</v>
      </c>
    </row>
    <row r="781" customFormat="false" ht="30" hidden="false" customHeight="false" outlineLevel="0" collapsed="false">
      <c r="A781" s="327" t="s">
        <v>1302</v>
      </c>
      <c r="B781" s="492" t="s">
        <v>3409</v>
      </c>
      <c r="C781" s="954" t="n">
        <v>15000</v>
      </c>
      <c r="D781" s="954" t="n">
        <v>10000</v>
      </c>
      <c r="E781" s="954" t="n">
        <v>10000</v>
      </c>
      <c r="F781" s="955" t="n">
        <f aca="false">C781+D781+E781</f>
        <v>35000</v>
      </c>
      <c r="G781" s="955" t="n">
        <f aca="false">F781/149.4</f>
        <v>234.270414993307</v>
      </c>
      <c r="H781" s="661" t="n">
        <f aca="false">G781/60</f>
        <v>3.90450691655511</v>
      </c>
      <c r="I781" s="660" t="n">
        <f aca="false">'норма времени'!D785</f>
        <v>35</v>
      </c>
      <c r="J781" s="661" t="n">
        <f aca="false">H781*I781</f>
        <v>136.657742079429</v>
      </c>
    </row>
    <row r="782" customFormat="false" ht="15" hidden="false" customHeight="false" outlineLevel="0" collapsed="false">
      <c r="A782" s="327" t="s">
        <v>1304</v>
      </c>
      <c r="B782" s="492" t="s">
        <v>3410</v>
      </c>
      <c r="C782" s="954" t="n">
        <v>15000</v>
      </c>
      <c r="D782" s="954" t="n">
        <v>10000</v>
      </c>
      <c r="E782" s="954" t="n">
        <v>10000</v>
      </c>
      <c r="F782" s="955" t="n">
        <f aca="false">C782+D782+E782</f>
        <v>35000</v>
      </c>
      <c r="G782" s="955" t="n">
        <f aca="false">F782/149.4</f>
        <v>234.270414993307</v>
      </c>
      <c r="H782" s="661" t="n">
        <f aca="false">G782/60</f>
        <v>3.90450691655511</v>
      </c>
      <c r="I782" s="660" t="n">
        <f aca="false">'норма времени'!D786</f>
        <v>35</v>
      </c>
      <c r="J782" s="661" t="n">
        <f aca="false">H782*I782</f>
        <v>136.657742079429</v>
      </c>
    </row>
    <row r="783" customFormat="false" ht="15" hidden="false" customHeight="false" outlineLevel="0" collapsed="false">
      <c r="A783" s="327" t="s">
        <v>1306</v>
      </c>
      <c r="B783" s="492" t="s">
        <v>3411</v>
      </c>
      <c r="C783" s="954" t="n">
        <v>25000</v>
      </c>
      <c r="D783" s="954" t="n">
        <v>25000</v>
      </c>
      <c r="E783" s="954" t="n">
        <v>25000</v>
      </c>
      <c r="F783" s="955" t="n">
        <f aca="false">C783+D783+E783</f>
        <v>75000</v>
      </c>
      <c r="G783" s="955" t="n">
        <f aca="false">F783/149.4</f>
        <v>502.008032128514</v>
      </c>
      <c r="H783" s="661" t="n">
        <f aca="false">G783/60</f>
        <v>8.36680053547523</v>
      </c>
      <c r="I783" s="660" t="n">
        <f aca="false">'норма времени'!D787</f>
        <v>35</v>
      </c>
      <c r="J783" s="661" t="n">
        <f aca="false">H783*I783</f>
        <v>292.838018741633</v>
      </c>
    </row>
    <row r="784" customFormat="false" ht="15" hidden="false" customHeight="false" outlineLevel="0" collapsed="false">
      <c r="A784" s="327" t="s">
        <v>1308</v>
      </c>
      <c r="B784" s="492" t="s">
        <v>3412</v>
      </c>
      <c r="C784" s="954" t="n">
        <v>25000</v>
      </c>
      <c r="D784" s="954" t="n">
        <v>25000</v>
      </c>
      <c r="E784" s="954" t="n">
        <v>25000</v>
      </c>
      <c r="F784" s="955" t="n">
        <f aca="false">C784+D784+E784</f>
        <v>75000</v>
      </c>
      <c r="G784" s="955" t="n">
        <f aca="false">F784/149.4</f>
        <v>502.008032128514</v>
      </c>
      <c r="H784" s="661" t="n">
        <f aca="false">G784/60</f>
        <v>8.36680053547523</v>
      </c>
      <c r="I784" s="660" t="n">
        <f aca="false">'норма времени'!D788</f>
        <v>50</v>
      </c>
      <c r="J784" s="661" t="n">
        <f aca="false">H784*I784</f>
        <v>418.340026773762</v>
      </c>
    </row>
    <row r="785" customFormat="false" ht="15" hidden="false" customHeight="false" outlineLevel="0" collapsed="false">
      <c r="A785" s="327" t="s">
        <v>1310</v>
      </c>
      <c r="B785" s="498" t="s">
        <v>3413</v>
      </c>
      <c r="C785" s="954" t="n">
        <v>25000</v>
      </c>
      <c r="D785" s="954" t="n">
        <v>20000</v>
      </c>
      <c r="E785" s="954" t="n">
        <v>20000</v>
      </c>
      <c r="F785" s="955" t="n">
        <f aca="false">C785+D785+E785</f>
        <v>65000</v>
      </c>
      <c r="G785" s="955" t="n">
        <f aca="false">F785/149.4</f>
        <v>435.073627844712</v>
      </c>
      <c r="H785" s="661" t="n">
        <f aca="false">G785/60</f>
        <v>7.2512271307452</v>
      </c>
      <c r="I785" s="660" t="n">
        <f aca="false">'норма времени'!D789</f>
        <v>30</v>
      </c>
      <c r="J785" s="661" t="n">
        <f aca="false">H785*I785</f>
        <v>217.536813922356</v>
      </c>
    </row>
    <row r="786" customFormat="false" ht="15" hidden="false" customHeight="false" outlineLevel="0" collapsed="false">
      <c r="A786" s="327" t="s">
        <v>1312</v>
      </c>
      <c r="B786" s="492" t="s">
        <v>3414</v>
      </c>
      <c r="C786" s="954" t="n">
        <v>25000</v>
      </c>
      <c r="D786" s="954" t="n">
        <v>20000</v>
      </c>
      <c r="E786" s="954" t="n">
        <v>20000</v>
      </c>
      <c r="F786" s="955" t="n">
        <f aca="false">C786+D786+E786</f>
        <v>65000</v>
      </c>
      <c r="G786" s="955" t="n">
        <f aca="false">F786/149.4</f>
        <v>435.073627844712</v>
      </c>
      <c r="H786" s="661" t="n">
        <f aca="false">G786/60</f>
        <v>7.2512271307452</v>
      </c>
      <c r="I786" s="660" t="n">
        <f aca="false">'норма времени'!D790</f>
        <v>55</v>
      </c>
      <c r="J786" s="661" t="n">
        <f aca="false">H786*I786</f>
        <v>398.817492190986</v>
      </c>
    </row>
    <row r="787" customFormat="false" ht="15" hidden="false" customHeight="false" outlineLevel="0" collapsed="false">
      <c r="A787" s="327" t="s">
        <v>1314</v>
      </c>
      <c r="B787" s="492" t="s">
        <v>3415</v>
      </c>
      <c r="C787" s="954" t="n">
        <v>25000</v>
      </c>
      <c r="D787" s="954" t="n">
        <v>20000</v>
      </c>
      <c r="E787" s="954" t="n">
        <v>20000</v>
      </c>
      <c r="F787" s="955" t="n">
        <f aca="false">C787+D787+E787</f>
        <v>65000</v>
      </c>
      <c r="G787" s="955" t="n">
        <f aca="false">F787/149.4</f>
        <v>435.073627844712</v>
      </c>
      <c r="H787" s="661" t="n">
        <f aca="false">G787/60</f>
        <v>7.2512271307452</v>
      </c>
      <c r="I787" s="660" t="n">
        <f aca="false">'норма времени'!D791</f>
        <v>50</v>
      </c>
      <c r="J787" s="661" t="n">
        <f aca="false">H787*I787</f>
        <v>362.56135653726</v>
      </c>
    </row>
    <row r="788" customFormat="false" ht="15" hidden="false" customHeight="false" outlineLevel="0" collapsed="false">
      <c r="A788" s="327" t="s">
        <v>1316</v>
      </c>
      <c r="B788" s="476" t="s">
        <v>3416</v>
      </c>
      <c r="C788" s="954" t="n">
        <v>5000</v>
      </c>
      <c r="D788" s="954" t="n">
        <v>5000</v>
      </c>
      <c r="E788" s="954"/>
      <c r="F788" s="955" t="n">
        <f aca="false">C788+D788+E788</f>
        <v>10000</v>
      </c>
      <c r="G788" s="955" t="n">
        <f aca="false">F788/149.4</f>
        <v>66.9344042838019</v>
      </c>
      <c r="H788" s="661" t="n">
        <f aca="false">G788/60</f>
        <v>1.11557340473003</v>
      </c>
      <c r="I788" s="660" t="n">
        <f aca="false">'норма времени'!D792</f>
        <v>25</v>
      </c>
      <c r="J788" s="661" t="n">
        <f aca="false">H788*I788</f>
        <v>27.8893351182508</v>
      </c>
    </row>
    <row r="789" customFormat="false" ht="30" hidden="false" customHeight="false" outlineLevel="0" collapsed="false">
      <c r="A789" s="327" t="s">
        <v>1318</v>
      </c>
      <c r="B789" s="489" t="s">
        <v>3417</v>
      </c>
      <c r="C789" s="954" t="n">
        <v>8000</v>
      </c>
      <c r="D789" s="954" t="n">
        <v>4100</v>
      </c>
      <c r="E789" s="954"/>
      <c r="F789" s="955" t="n">
        <f aca="false">C789+D789+E789</f>
        <v>12100</v>
      </c>
      <c r="G789" s="955" t="n">
        <f aca="false">F789/149.4</f>
        <v>80.9906291834003</v>
      </c>
      <c r="H789" s="661" t="n">
        <f aca="false">G789/60</f>
        <v>1.34984381972334</v>
      </c>
      <c r="I789" s="660" t="n">
        <f aca="false">'норма времени'!D793</f>
        <v>60</v>
      </c>
      <c r="J789" s="661" t="n">
        <f aca="false">H789*I789</f>
        <v>80.9906291834003</v>
      </c>
    </row>
    <row r="790" customFormat="false" ht="28.5" hidden="false" customHeight="false" outlineLevel="0" collapsed="false">
      <c r="A790" s="343" t="s">
        <v>1320</v>
      </c>
      <c r="B790" s="1265" t="s">
        <v>6907</v>
      </c>
      <c r="C790" s="1261"/>
      <c r="D790" s="1261"/>
      <c r="E790" s="1261"/>
      <c r="F790" s="1262"/>
      <c r="G790" s="955" t="n">
        <f aca="false">F790/149.4</f>
        <v>0</v>
      </c>
      <c r="H790" s="1263"/>
      <c r="I790" s="1264"/>
      <c r="J790" s="1263"/>
    </row>
    <row r="791" s="451" customFormat="true" ht="57" hidden="false" customHeight="false" outlineLevel="0" collapsed="false">
      <c r="A791" s="350" t="s">
        <v>1322</v>
      </c>
      <c r="B791" s="467" t="s">
        <v>3419</v>
      </c>
      <c r="C791" s="1253"/>
      <c r="D791" s="1253"/>
      <c r="E791" s="1253"/>
      <c r="F791" s="1254"/>
      <c r="G791" s="955" t="n">
        <f aca="false">F791/149.4</f>
        <v>0</v>
      </c>
      <c r="H791" s="1250"/>
      <c r="I791" s="1246"/>
      <c r="J791" s="1250"/>
      <c r="K791" s="1257"/>
      <c r="L791" s="1257"/>
      <c r="M791" s="1257"/>
      <c r="N791" s="1257"/>
      <c r="O791" s="1257"/>
      <c r="P791" s="1257"/>
      <c r="Q791" s="1257"/>
      <c r="R791" s="1257"/>
      <c r="S791" s="1257"/>
    </row>
    <row r="792" customFormat="false" ht="15" hidden="false" customHeight="false" outlineLevel="0" collapsed="false">
      <c r="A792" s="571" t="s">
        <v>1324</v>
      </c>
      <c r="B792" s="328" t="s">
        <v>3420</v>
      </c>
      <c r="C792" s="954" t="n">
        <v>35000</v>
      </c>
      <c r="D792" s="954" t="n">
        <v>25000</v>
      </c>
      <c r="E792" s="954" t="n">
        <v>20000</v>
      </c>
      <c r="F792" s="955" t="n">
        <f aca="false">C792+D792+E792</f>
        <v>80000</v>
      </c>
      <c r="G792" s="955" t="n">
        <f aca="false">F792/149.4</f>
        <v>535.475234270415</v>
      </c>
      <c r="H792" s="661" t="n">
        <f aca="false">G792/60</f>
        <v>8.92458723784025</v>
      </c>
      <c r="I792" s="660" t="n">
        <f aca="false">'норма времени'!D796</f>
        <v>45</v>
      </c>
      <c r="J792" s="661" t="n">
        <f aca="false">H792*I792</f>
        <v>401.606425702811</v>
      </c>
    </row>
    <row r="793" customFormat="false" ht="15" hidden="false" customHeight="false" outlineLevel="0" collapsed="false">
      <c r="A793" s="571" t="s">
        <v>1325</v>
      </c>
      <c r="B793" s="328" t="s">
        <v>3421</v>
      </c>
      <c r="C793" s="954" t="n">
        <v>50000</v>
      </c>
      <c r="D793" s="954" t="n">
        <v>35000</v>
      </c>
      <c r="E793" s="954" t="n">
        <v>30000</v>
      </c>
      <c r="F793" s="955" t="n">
        <f aca="false">C793+D793+E793</f>
        <v>115000</v>
      </c>
      <c r="G793" s="955" t="n">
        <f aca="false">F793/149.4</f>
        <v>769.745649263722</v>
      </c>
      <c r="H793" s="661" t="n">
        <f aca="false">G793/60</f>
        <v>12.8290941543954</v>
      </c>
      <c r="I793" s="660" t="n">
        <f aca="false">'норма времени'!D797</f>
        <v>45</v>
      </c>
      <c r="J793" s="661" t="n">
        <f aca="false">H793*I793</f>
        <v>577.309236947791</v>
      </c>
    </row>
    <row r="794" customFormat="false" ht="15" hidden="false" customHeight="false" outlineLevel="0" collapsed="false">
      <c r="A794" s="571" t="s">
        <v>1327</v>
      </c>
      <c r="B794" s="328" t="s">
        <v>3422</v>
      </c>
      <c r="C794" s="954" t="n">
        <v>40000</v>
      </c>
      <c r="D794" s="954" t="n">
        <v>30000</v>
      </c>
      <c r="E794" s="954" t="n">
        <v>30000</v>
      </c>
      <c r="F794" s="955" t="n">
        <f aca="false">C794+D794+E794</f>
        <v>100000</v>
      </c>
      <c r="G794" s="955" t="n">
        <f aca="false">F794/149.4</f>
        <v>669.344042838019</v>
      </c>
      <c r="H794" s="661" t="n">
        <f aca="false">G794/60</f>
        <v>11.1557340473003</v>
      </c>
      <c r="I794" s="660" t="n">
        <f aca="false">'норма времени'!D798</f>
        <v>45</v>
      </c>
      <c r="J794" s="661" t="n">
        <f aca="false">H794*I794</f>
        <v>502.008032128514</v>
      </c>
    </row>
    <row r="795" customFormat="false" ht="15" hidden="false" customHeight="false" outlineLevel="0" collapsed="false">
      <c r="A795" s="571" t="s">
        <v>1329</v>
      </c>
      <c r="B795" s="328" t="s">
        <v>3423</v>
      </c>
      <c r="C795" s="954" t="n">
        <v>50000</v>
      </c>
      <c r="D795" s="954" t="n">
        <v>35000</v>
      </c>
      <c r="E795" s="954" t="n">
        <v>30000</v>
      </c>
      <c r="F795" s="955" t="n">
        <f aca="false">C795+D795+E795</f>
        <v>115000</v>
      </c>
      <c r="G795" s="955" t="n">
        <f aca="false">F795/149.4</f>
        <v>769.745649263722</v>
      </c>
      <c r="H795" s="661" t="n">
        <f aca="false">G795/60</f>
        <v>12.8290941543954</v>
      </c>
      <c r="I795" s="660" t="n">
        <f aca="false">'норма времени'!D799</f>
        <v>45</v>
      </c>
      <c r="J795" s="661" t="n">
        <f aca="false">H795*I795</f>
        <v>577.309236947791</v>
      </c>
    </row>
    <row r="796" customFormat="false" ht="15" hidden="false" customHeight="false" outlineLevel="0" collapsed="false">
      <c r="A796" s="571" t="s">
        <v>1331</v>
      </c>
      <c r="B796" s="328" t="s">
        <v>3424</v>
      </c>
      <c r="C796" s="954" t="n">
        <v>50000</v>
      </c>
      <c r="D796" s="954" t="n">
        <v>35000</v>
      </c>
      <c r="E796" s="954" t="n">
        <v>30000</v>
      </c>
      <c r="F796" s="955" t="n">
        <f aca="false">C796+D796+E796</f>
        <v>115000</v>
      </c>
      <c r="G796" s="955" t="n">
        <f aca="false">F796/149.4</f>
        <v>769.745649263722</v>
      </c>
      <c r="H796" s="661" t="n">
        <f aca="false">G796/60</f>
        <v>12.8290941543954</v>
      </c>
      <c r="I796" s="660" t="n">
        <f aca="false">'норма времени'!D800</f>
        <v>45</v>
      </c>
      <c r="J796" s="661" t="n">
        <f aca="false">H796*I796</f>
        <v>577.309236947791</v>
      </c>
    </row>
    <row r="797" customFormat="false" ht="15" hidden="false" customHeight="false" outlineLevel="0" collapsed="false">
      <c r="A797" s="571" t="s">
        <v>1333</v>
      </c>
      <c r="B797" s="328" t="s">
        <v>3425</v>
      </c>
      <c r="C797" s="954" t="n">
        <v>50000</v>
      </c>
      <c r="D797" s="954" t="n">
        <v>35000</v>
      </c>
      <c r="E797" s="954" t="n">
        <v>30000</v>
      </c>
      <c r="F797" s="955" t="n">
        <f aca="false">C797+D797+E797</f>
        <v>115000</v>
      </c>
      <c r="G797" s="955" t="n">
        <f aca="false">F797/149.4</f>
        <v>769.745649263722</v>
      </c>
      <c r="H797" s="661" t="n">
        <f aca="false">G797/60</f>
        <v>12.8290941543954</v>
      </c>
      <c r="I797" s="660" t="n">
        <f aca="false">'норма времени'!D801</f>
        <v>45</v>
      </c>
      <c r="J797" s="661" t="n">
        <f aca="false">H797*I797</f>
        <v>577.309236947791</v>
      </c>
    </row>
    <row r="798" customFormat="false" ht="15" hidden="false" customHeight="false" outlineLevel="0" collapsed="false">
      <c r="A798" s="571" t="s">
        <v>1335</v>
      </c>
      <c r="B798" s="328" t="s">
        <v>3426</v>
      </c>
      <c r="C798" s="954" t="n">
        <v>45000</v>
      </c>
      <c r="D798" s="954" t="n">
        <v>30000</v>
      </c>
      <c r="E798" s="954" t="n">
        <v>20000</v>
      </c>
      <c r="F798" s="955" t="n">
        <f aca="false">C798+D798+E798</f>
        <v>95000</v>
      </c>
      <c r="G798" s="955" t="n">
        <f aca="false">F798/149.4</f>
        <v>635.876840696118</v>
      </c>
      <c r="H798" s="661" t="n">
        <f aca="false">G798/60</f>
        <v>10.5979473449353</v>
      </c>
      <c r="I798" s="660" t="n">
        <f aca="false">'норма времени'!D802</f>
        <v>60</v>
      </c>
      <c r="J798" s="661" t="n">
        <f aca="false">H798*I798</f>
        <v>635.876840696118</v>
      </c>
    </row>
    <row r="799" customFormat="false" ht="15" hidden="false" customHeight="false" outlineLevel="0" collapsed="false">
      <c r="A799" s="571" t="s">
        <v>1337</v>
      </c>
      <c r="B799" s="328" t="s">
        <v>3427</v>
      </c>
      <c r="C799" s="954" t="n">
        <v>25000</v>
      </c>
      <c r="D799" s="954" t="n">
        <v>20000</v>
      </c>
      <c r="E799" s="954" t="n">
        <v>10000</v>
      </c>
      <c r="F799" s="955" t="n">
        <f aca="false">C799+D799+E799</f>
        <v>55000</v>
      </c>
      <c r="G799" s="955" t="n">
        <f aca="false">F799/149.4</f>
        <v>368.13922356091</v>
      </c>
      <c r="H799" s="661" t="n">
        <f aca="false">G799/60</f>
        <v>6.13565372601517</v>
      </c>
      <c r="I799" s="660" t="n">
        <f aca="false">'норма времени'!D803</f>
        <v>120</v>
      </c>
      <c r="J799" s="661" t="n">
        <f aca="false">H799*I799</f>
        <v>736.278447121821</v>
      </c>
    </row>
    <row r="800" customFormat="false" ht="15" hidden="false" customHeight="false" outlineLevel="0" collapsed="false">
      <c r="A800" s="571" t="s">
        <v>1339</v>
      </c>
      <c r="B800" s="328" t="s">
        <v>3428</v>
      </c>
      <c r="C800" s="954" t="n">
        <v>25000</v>
      </c>
      <c r="D800" s="954" t="n">
        <v>20000</v>
      </c>
      <c r="E800" s="954" t="n">
        <v>10000</v>
      </c>
      <c r="F800" s="955" t="n">
        <f aca="false">C800+D800+E800</f>
        <v>55000</v>
      </c>
      <c r="G800" s="955" t="n">
        <f aca="false">F800/149.4</f>
        <v>368.13922356091</v>
      </c>
      <c r="H800" s="661" t="n">
        <f aca="false">G800/60</f>
        <v>6.13565372601517</v>
      </c>
      <c r="I800" s="660" t="n">
        <f aca="false">'норма времени'!D804</f>
        <v>80</v>
      </c>
      <c r="J800" s="661" t="n">
        <f aca="false">H800*I800</f>
        <v>490.852298081214</v>
      </c>
    </row>
    <row r="801" customFormat="false" ht="15" hidden="false" customHeight="false" outlineLevel="0" collapsed="false">
      <c r="A801" s="571" t="s">
        <v>1341</v>
      </c>
      <c r="B801" s="328" t="s">
        <v>3429</v>
      </c>
      <c r="C801" s="954" t="n">
        <v>45000</v>
      </c>
      <c r="D801" s="954" t="n">
        <v>30000</v>
      </c>
      <c r="E801" s="954" t="n">
        <v>20000</v>
      </c>
      <c r="F801" s="955" t="n">
        <f aca="false">C801+D801+E801</f>
        <v>95000</v>
      </c>
      <c r="G801" s="955" t="n">
        <f aca="false">F801/149.4</f>
        <v>635.876840696118</v>
      </c>
      <c r="H801" s="661" t="n">
        <f aca="false">G801/60</f>
        <v>10.5979473449353</v>
      </c>
      <c r="I801" s="660" t="n">
        <f aca="false">'норма времени'!D805</f>
        <v>80</v>
      </c>
      <c r="J801" s="661" t="n">
        <f aca="false">H801*I801</f>
        <v>847.835787594824</v>
      </c>
    </row>
    <row r="802" customFormat="false" ht="15" hidden="false" customHeight="false" outlineLevel="0" collapsed="false">
      <c r="A802" s="571" t="s">
        <v>1343</v>
      </c>
      <c r="B802" s="328" t="s">
        <v>3430</v>
      </c>
      <c r="C802" s="954" t="n">
        <v>35000</v>
      </c>
      <c r="D802" s="954" t="n">
        <v>25000</v>
      </c>
      <c r="E802" s="954" t="n">
        <v>20000</v>
      </c>
      <c r="F802" s="955" t="n">
        <f aca="false">C802+D802+E802</f>
        <v>80000</v>
      </c>
      <c r="G802" s="955" t="n">
        <f aca="false">F802/149.4</f>
        <v>535.475234270415</v>
      </c>
      <c r="H802" s="661" t="n">
        <f aca="false">G802/60</f>
        <v>8.92458723784025</v>
      </c>
      <c r="I802" s="660" t="n">
        <f aca="false">'норма времени'!D806</f>
        <v>80</v>
      </c>
      <c r="J802" s="661" t="n">
        <f aca="false">H802*I802</f>
        <v>713.96697902722</v>
      </c>
    </row>
    <row r="803" customFormat="false" ht="15" hidden="false" customHeight="false" outlineLevel="0" collapsed="false">
      <c r="A803" s="571" t="s">
        <v>1345</v>
      </c>
      <c r="B803" s="328" t="s">
        <v>3431</v>
      </c>
      <c r="C803" s="954" t="n">
        <v>20000</v>
      </c>
      <c r="D803" s="954" t="n">
        <v>20000</v>
      </c>
      <c r="E803" s="954" t="n">
        <v>10000</v>
      </c>
      <c r="F803" s="955" t="n">
        <f aca="false">C803+D803+E803</f>
        <v>50000</v>
      </c>
      <c r="G803" s="955" t="n">
        <f aca="false">F803/149.4</f>
        <v>334.672021419009</v>
      </c>
      <c r="H803" s="661" t="n">
        <f aca="false">G803/60</f>
        <v>5.57786702365016</v>
      </c>
      <c r="I803" s="660" t="n">
        <f aca="false">'норма времени'!D807</f>
        <v>15</v>
      </c>
      <c r="J803" s="661" t="n">
        <f aca="false">H803*I803</f>
        <v>83.6680053547523</v>
      </c>
    </row>
    <row r="804" customFormat="false" ht="15" hidden="false" customHeight="false" outlineLevel="0" collapsed="false">
      <c r="A804" s="571" t="s">
        <v>1346</v>
      </c>
      <c r="B804" s="328" t="s">
        <v>3199</v>
      </c>
      <c r="C804" s="954" t="n">
        <v>10000</v>
      </c>
      <c r="D804" s="954" t="n">
        <v>10000</v>
      </c>
      <c r="E804" s="954" t="n">
        <v>5000</v>
      </c>
      <c r="F804" s="955" t="n">
        <f aca="false">C804+D804+E804</f>
        <v>25000</v>
      </c>
      <c r="G804" s="955" t="n">
        <f aca="false">F804/149.4</f>
        <v>167.336010709505</v>
      </c>
      <c r="H804" s="661" t="n">
        <f aca="false">G804/60</f>
        <v>2.78893351182508</v>
      </c>
      <c r="I804" s="660" t="n">
        <f aca="false">'норма времени'!D808</f>
        <v>80</v>
      </c>
      <c r="J804" s="661" t="n">
        <f aca="false">H804*I804</f>
        <v>223.114680946006</v>
      </c>
    </row>
    <row r="805" customFormat="false" ht="15" hidden="false" customHeight="false" outlineLevel="0" collapsed="false">
      <c r="A805" s="571" t="s">
        <v>1347</v>
      </c>
      <c r="B805" s="328" t="s">
        <v>3432</v>
      </c>
      <c r="C805" s="954" t="n">
        <v>10000</v>
      </c>
      <c r="D805" s="954" t="n">
        <v>10000</v>
      </c>
      <c r="E805" s="954" t="n">
        <v>5000</v>
      </c>
      <c r="F805" s="955" t="n">
        <f aca="false">C805+D805+E805</f>
        <v>25000</v>
      </c>
      <c r="G805" s="955" t="n">
        <f aca="false">F805/149.4</f>
        <v>167.336010709505</v>
      </c>
      <c r="H805" s="661" t="n">
        <f aca="false">G805/60</f>
        <v>2.78893351182508</v>
      </c>
      <c r="I805" s="660" t="n">
        <f aca="false">'норма времени'!D809</f>
        <v>20</v>
      </c>
      <c r="J805" s="661" t="n">
        <f aca="false">H805*I805</f>
        <v>55.7786702365016</v>
      </c>
    </row>
    <row r="806" customFormat="false" ht="15" hidden="false" customHeight="false" outlineLevel="0" collapsed="false">
      <c r="A806" s="571" t="s">
        <v>1349</v>
      </c>
      <c r="B806" s="328" t="s">
        <v>3433</v>
      </c>
      <c r="C806" s="954" t="n">
        <v>40000</v>
      </c>
      <c r="D806" s="954" t="n">
        <v>30000</v>
      </c>
      <c r="E806" s="954" t="n">
        <v>20000</v>
      </c>
      <c r="F806" s="955" t="n">
        <f aca="false">C806+D806+E806</f>
        <v>90000</v>
      </c>
      <c r="G806" s="955" t="n">
        <f aca="false">F806/149.4</f>
        <v>602.409638554217</v>
      </c>
      <c r="H806" s="661" t="n">
        <f aca="false">G806/60</f>
        <v>10.0401606425703</v>
      </c>
      <c r="I806" s="660" t="n">
        <f aca="false">'норма времени'!D810</f>
        <v>60</v>
      </c>
      <c r="J806" s="661" t="n">
        <f aca="false">H806*I806</f>
        <v>602.409638554217</v>
      </c>
    </row>
    <row r="807" customFormat="false" ht="15" hidden="false" customHeight="false" outlineLevel="0" collapsed="false">
      <c r="A807" s="571" t="s">
        <v>1350</v>
      </c>
      <c r="B807" s="328" t="s">
        <v>3434</v>
      </c>
      <c r="C807" s="954" t="n">
        <v>10000</v>
      </c>
      <c r="D807" s="954" t="n">
        <v>5000</v>
      </c>
      <c r="E807" s="954" t="n">
        <v>5000</v>
      </c>
      <c r="F807" s="955" t="n">
        <f aca="false">C807+D807+E807</f>
        <v>20000</v>
      </c>
      <c r="G807" s="955" t="n">
        <f aca="false">F807/149.4</f>
        <v>133.868808567604</v>
      </c>
      <c r="H807" s="661" t="n">
        <f aca="false">G807/60</f>
        <v>2.23114680946006</v>
      </c>
      <c r="I807" s="660" t="n">
        <f aca="false">'норма времени'!D811</f>
        <v>70</v>
      </c>
      <c r="J807" s="661" t="n">
        <f aca="false">H807*I807</f>
        <v>156.180276662204</v>
      </c>
    </row>
    <row r="808" customFormat="false" ht="15" hidden="false" customHeight="false" outlineLevel="0" collapsed="false">
      <c r="A808" s="571" t="s">
        <v>1351</v>
      </c>
      <c r="B808" s="328" t="s">
        <v>3435</v>
      </c>
      <c r="C808" s="954" t="n">
        <v>20000</v>
      </c>
      <c r="D808" s="954" t="n">
        <v>15000</v>
      </c>
      <c r="E808" s="954" t="n">
        <v>10000</v>
      </c>
      <c r="F808" s="955" t="n">
        <f aca="false">C808+D808+E808</f>
        <v>45000</v>
      </c>
      <c r="G808" s="955" t="n">
        <f aca="false">F808/149.4</f>
        <v>301.204819277108</v>
      </c>
      <c r="H808" s="661" t="n">
        <f aca="false">G808/60</f>
        <v>5.02008032128514</v>
      </c>
      <c r="I808" s="660" t="n">
        <f aca="false">'норма времени'!D812</f>
        <v>40</v>
      </c>
      <c r="J808" s="661" t="n">
        <f aca="false">H808*I808</f>
        <v>200.803212851406</v>
      </c>
    </row>
    <row r="809" customFormat="false" ht="15" hidden="false" customHeight="false" outlineLevel="0" collapsed="false">
      <c r="A809" s="571" t="s">
        <v>1353</v>
      </c>
      <c r="B809" s="328" t="s">
        <v>2913</v>
      </c>
      <c r="C809" s="954" t="n">
        <v>20000</v>
      </c>
      <c r="D809" s="954" t="n">
        <v>20000</v>
      </c>
      <c r="E809" s="954" t="n">
        <v>10000</v>
      </c>
      <c r="F809" s="955" t="n">
        <f aca="false">C809+D809+E809</f>
        <v>50000</v>
      </c>
      <c r="G809" s="955" t="n">
        <f aca="false">F809/149.4</f>
        <v>334.672021419009</v>
      </c>
      <c r="H809" s="661" t="n">
        <f aca="false">G809/60</f>
        <v>5.57786702365016</v>
      </c>
      <c r="I809" s="660" t="n">
        <f aca="false">'норма времени'!D813</f>
        <v>20</v>
      </c>
      <c r="J809" s="661" t="n">
        <f aca="false">H809*I809</f>
        <v>111.557340473003</v>
      </c>
    </row>
    <row r="810" customFormat="false" ht="15" hidden="false" customHeight="false" outlineLevel="0" collapsed="false">
      <c r="A810" s="571" t="s">
        <v>1354</v>
      </c>
      <c r="B810" s="328" t="s">
        <v>3104</v>
      </c>
      <c r="C810" s="954" t="n">
        <v>35000</v>
      </c>
      <c r="D810" s="954" t="n">
        <v>25000</v>
      </c>
      <c r="E810" s="954" t="n">
        <v>15000</v>
      </c>
      <c r="F810" s="955" t="n">
        <f aca="false">C810+D810+E810</f>
        <v>75000</v>
      </c>
      <c r="G810" s="955" t="n">
        <f aca="false">F810/149.4</f>
        <v>502.008032128514</v>
      </c>
      <c r="H810" s="661" t="n">
        <f aca="false">G810/60</f>
        <v>8.36680053547523</v>
      </c>
      <c r="I810" s="660" t="n">
        <f aca="false">'норма времени'!D814</f>
        <v>80</v>
      </c>
      <c r="J810" s="661" t="n">
        <f aca="false">H810*I810</f>
        <v>669.344042838019</v>
      </c>
    </row>
    <row r="811" customFormat="false" ht="15" hidden="false" customHeight="false" outlineLevel="0" collapsed="false">
      <c r="A811" s="571" t="s">
        <v>1355</v>
      </c>
      <c r="B811" s="328" t="s">
        <v>3436</v>
      </c>
      <c r="C811" s="954" t="n">
        <v>25000</v>
      </c>
      <c r="D811" s="954" t="n">
        <v>15000</v>
      </c>
      <c r="E811" s="954" t="n">
        <v>15000</v>
      </c>
      <c r="F811" s="955" t="n">
        <f aca="false">C811+D811+E811</f>
        <v>55000</v>
      </c>
      <c r="G811" s="955" t="n">
        <f aca="false">F811/149.4</f>
        <v>368.13922356091</v>
      </c>
      <c r="H811" s="661" t="n">
        <f aca="false">G811/60</f>
        <v>6.13565372601517</v>
      </c>
      <c r="I811" s="660" t="n">
        <f aca="false">'норма времени'!D815</f>
        <v>80</v>
      </c>
      <c r="J811" s="661" t="n">
        <f aca="false">H811*I811</f>
        <v>490.852298081214</v>
      </c>
    </row>
    <row r="812" customFormat="false" ht="15" hidden="false" customHeight="false" outlineLevel="0" collapsed="false">
      <c r="A812" s="571" t="s">
        <v>1356</v>
      </c>
      <c r="B812" s="328" t="s">
        <v>3437</v>
      </c>
      <c r="C812" s="954" t="n">
        <v>25000</v>
      </c>
      <c r="D812" s="954" t="n">
        <v>15000</v>
      </c>
      <c r="E812" s="954" t="n">
        <v>15000</v>
      </c>
      <c r="F812" s="955" t="n">
        <f aca="false">C812+D812+E812</f>
        <v>55000</v>
      </c>
      <c r="G812" s="955" t="n">
        <f aca="false">F812/149.4</f>
        <v>368.13922356091</v>
      </c>
      <c r="H812" s="661" t="n">
        <f aca="false">G812/60</f>
        <v>6.13565372601517</v>
      </c>
      <c r="I812" s="660" t="n">
        <f aca="false">'норма времени'!D816</f>
        <v>80</v>
      </c>
      <c r="J812" s="661" t="n">
        <f aca="false">H812*I812</f>
        <v>490.852298081214</v>
      </c>
    </row>
    <row r="813" customFormat="false" ht="15" hidden="false" customHeight="false" outlineLevel="0" collapsed="false">
      <c r="A813" s="571" t="s">
        <v>1357</v>
      </c>
      <c r="B813" s="328" t="s">
        <v>3438</v>
      </c>
      <c r="C813" s="954" t="n">
        <v>15000</v>
      </c>
      <c r="D813" s="954" t="n">
        <v>10000</v>
      </c>
      <c r="E813" s="954" t="n">
        <v>10000</v>
      </c>
      <c r="F813" s="955" t="n">
        <f aca="false">C813+D813+E813</f>
        <v>35000</v>
      </c>
      <c r="G813" s="955" t="n">
        <f aca="false">F813/149.4</f>
        <v>234.270414993307</v>
      </c>
      <c r="H813" s="661" t="n">
        <f aca="false">G813/60</f>
        <v>3.90450691655511</v>
      </c>
      <c r="I813" s="660" t="n">
        <f aca="false">'норма времени'!D817</f>
        <v>60</v>
      </c>
      <c r="J813" s="661" t="n">
        <f aca="false">H813*I813</f>
        <v>234.270414993307</v>
      </c>
    </row>
    <row r="814" customFormat="false" ht="15" hidden="false" customHeight="false" outlineLevel="0" collapsed="false">
      <c r="A814" s="571" t="s">
        <v>1359</v>
      </c>
      <c r="B814" s="328" t="s">
        <v>3439</v>
      </c>
      <c r="C814" s="954" t="n">
        <v>15000</v>
      </c>
      <c r="D814" s="954" t="n">
        <v>15000</v>
      </c>
      <c r="E814" s="954" t="n">
        <v>10000</v>
      </c>
      <c r="F814" s="955" t="n">
        <f aca="false">C814+D814+E814</f>
        <v>40000</v>
      </c>
      <c r="G814" s="955" t="n">
        <f aca="false">F814/149.4</f>
        <v>267.737617135208</v>
      </c>
      <c r="H814" s="661" t="n">
        <f aca="false">G814/60</f>
        <v>4.46229361892013</v>
      </c>
      <c r="I814" s="660" t="n">
        <f aca="false">'норма времени'!D818</f>
        <v>80</v>
      </c>
      <c r="J814" s="661" t="n">
        <f aca="false">H814*I814</f>
        <v>356.98348951361</v>
      </c>
    </row>
    <row r="815" customFormat="false" ht="15" hidden="false" customHeight="false" outlineLevel="0" collapsed="false">
      <c r="A815" s="571" t="s">
        <v>1361</v>
      </c>
      <c r="B815" s="328" t="s">
        <v>3440</v>
      </c>
      <c r="C815" s="954" t="n">
        <v>30000</v>
      </c>
      <c r="D815" s="954" t="n">
        <v>25000</v>
      </c>
      <c r="E815" s="954" t="n">
        <v>15000</v>
      </c>
      <c r="F815" s="955" t="n">
        <f aca="false">C815+D815+E815</f>
        <v>70000</v>
      </c>
      <c r="G815" s="955" t="n">
        <f aca="false">F815/149.4</f>
        <v>468.540829986613</v>
      </c>
      <c r="H815" s="661" t="n">
        <f aca="false">G815/60</f>
        <v>7.80901383311022</v>
      </c>
      <c r="I815" s="660" t="n">
        <f aca="false">'норма времени'!D819</f>
        <v>80</v>
      </c>
      <c r="J815" s="661" t="n">
        <f aca="false">H815*I815</f>
        <v>624.721106648818</v>
      </c>
    </row>
    <row r="816" customFormat="false" ht="15" hidden="false" customHeight="false" outlineLevel="0" collapsed="false">
      <c r="A816" s="571" t="s">
        <v>1363</v>
      </c>
      <c r="B816" s="328" t="s">
        <v>3441</v>
      </c>
      <c r="C816" s="954" t="n">
        <v>20000</v>
      </c>
      <c r="D816" s="954" t="n">
        <v>15000</v>
      </c>
      <c r="E816" s="954" t="n">
        <v>10000</v>
      </c>
      <c r="F816" s="955" t="n">
        <f aca="false">C816+D816+E816</f>
        <v>45000</v>
      </c>
      <c r="G816" s="955" t="n">
        <f aca="false">F816/149.4</f>
        <v>301.204819277108</v>
      </c>
      <c r="H816" s="661" t="n">
        <f aca="false">G816/60</f>
        <v>5.02008032128514</v>
      </c>
      <c r="I816" s="660" t="n">
        <f aca="false">'норма времени'!D820</f>
        <v>80</v>
      </c>
      <c r="J816" s="661" t="n">
        <f aca="false">H816*I816</f>
        <v>401.606425702811</v>
      </c>
    </row>
    <row r="817" customFormat="false" ht="15" hidden="false" customHeight="false" outlineLevel="0" collapsed="false">
      <c r="A817" s="571" t="s">
        <v>1365</v>
      </c>
      <c r="B817" s="328" t="s">
        <v>3442</v>
      </c>
      <c r="C817" s="954" t="n">
        <v>15000</v>
      </c>
      <c r="D817" s="954" t="n">
        <v>10000</v>
      </c>
      <c r="E817" s="954" t="n">
        <v>10000</v>
      </c>
      <c r="F817" s="955" t="n">
        <f aca="false">C817+D817+E817</f>
        <v>35000</v>
      </c>
      <c r="G817" s="955" t="n">
        <f aca="false">F817/149.4</f>
        <v>234.270414993307</v>
      </c>
      <c r="H817" s="661" t="n">
        <f aca="false">G817/60</f>
        <v>3.90450691655511</v>
      </c>
      <c r="I817" s="660" t="n">
        <f aca="false">'норма времени'!D821</f>
        <v>60</v>
      </c>
      <c r="J817" s="661" t="n">
        <f aca="false">H817*I817</f>
        <v>234.270414993307</v>
      </c>
    </row>
    <row r="818" customFormat="false" ht="15" hidden="false" customHeight="false" outlineLevel="0" collapsed="false">
      <c r="A818" s="571" t="s">
        <v>1367</v>
      </c>
      <c r="B818" s="328" t="s">
        <v>3443</v>
      </c>
      <c r="C818" s="954" t="n">
        <v>15000</v>
      </c>
      <c r="D818" s="954" t="n">
        <v>10000</v>
      </c>
      <c r="E818" s="954" t="n">
        <v>10000</v>
      </c>
      <c r="F818" s="955" t="n">
        <f aca="false">C818+D818+E818</f>
        <v>35000</v>
      </c>
      <c r="G818" s="955" t="n">
        <f aca="false">F818/149.4</f>
        <v>234.270414993307</v>
      </c>
      <c r="H818" s="661" t="n">
        <f aca="false">G818/60</f>
        <v>3.90450691655511</v>
      </c>
      <c r="I818" s="660" t="n">
        <f aca="false">'норма времени'!D822</f>
        <v>80</v>
      </c>
      <c r="J818" s="661" t="n">
        <f aca="false">H818*I818</f>
        <v>312.360553324409</v>
      </c>
    </row>
    <row r="819" customFormat="false" ht="15" hidden="false" customHeight="false" outlineLevel="0" collapsed="false">
      <c r="A819" s="571" t="s">
        <v>1369</v>
      </c>
      <c r="B819" s="328" t="s">
        <v>3444</v>
      </c>
      <c r="C819" s="954" t="n">
        <v>10000</v>
      </c>
      <c r="D819" s="954" t="n">
        <v>10000</v>
      </c>
      <c r="E819" s="954" t="n">
        <v>10000</v>
      </c>
      <c r="F819" s="955" t="n">
        <f aca="false">C819+D819+E819</f>
        <v>30000</v>
      </c>
      <c r="G819" s="955" t="n">
        <f aca="false">F819/149.4</f>
        <v>200.803212851406</v>
      </c>
      <c r="H819" s="661" t="n">
        <f aca="false">G819/60</f>
        <v>3.34672021419009</v>
      </c>
      <c r="I819" s="660" t="n">
        <f aca="false">'норма времени'!D823</f>
        <v>80</v>
      </c>
      <c r="J819" s="661" t="n">
        <f aca="false">H819*I819</f>
        <v>267.737617135208</v>
      </c>
    </row>
    <row r="820" customFormat="false" ht="15" hidden="false" customHeight="false" outlineLevel="0" collapsed="false">
      <c r="A820" s="571" t="s">
        <v>1371</v>
      </c>
      <c r="B820" s="328" t="s">
        <v>3445</v>
      </c>
      <c r="C820" s="954" t="n">
        <v>10000</v>
      </c>
      <c r="D820" s="954" t="n">
        <v>10000</v>
      </c>
      <c r="E820" s="954" t="n">
        <v>5000</v>
      </c>
      <c r="F820" s="955" t="n">
        <f aca="false">C820+D820+E820</f>
        <v>25000</v>
      </c>
      <c r="G820" s="955" t="n">
        <f aca="false">F820/149.4</f>
        <v>167.336010709505</v>
      </c>
      <c r="H820" s="661" t="n">
        <f aca="false">G820/60</f>
        <v>2.78893351182508</v>
      </c>
      <c r="I820" s="660" t="n">
        <f aca="false">'норма времени'!D824</f>
        <v>80</v>
      </c>
      <c r="J820" s="661" t="n">
        <f aca="false">H820*I820</f>
        <v>223.114680946006</v>
      </c>
    </row>
    <row r="821" customFormat="false" ht="15" hidden="false" customHeight="false" outlineLevel="0" collapsed="false">
      <c r="A821" s="571" t="s">
        <v>1373</v>
      </c>
      <c r="B821" s="328" t="s">
        <v>3446</v>
      </c>
      <c r="C821" s="954" t="n">
        <v>10000</v>
      </c>
      <c r="D821" s="954" t="n">
        <v>15000</v>
      </c>
      <c r="E821" s="954" t="n">
        <v>5000</v>
      </c>
      <c r="F821" s="955" t="n">
        <f aca="false">C821+D821+E821</f>
        <v>30000</v>
      </c>
      <c r="G821" s="955" t="n">
        <f aca="false">F821/149.4</f>
        <v>200.803212851406</v>
      </c>
      <c r="H821" s="661" t="n">
        <f aca="false">G821/60</f>
        <v>3.34672021419009</v>
      </c>
      <c r="I821" s="660" t="n">
        <f aca="false">'норма времени'!D825</f>
        <v>80</v>
      </c>
      <c r="J821" s="661" t="n">
        <f aca="false">H821*I821</f>
        <v>267.737617135208</v>
      </c>
    </row>
    <row r="822" customFormat="false" ht="15" hidden="false" customHeight="false" outlineLevel="0" collapsed="false">
      <c r="A822" s="571" t="s">
        <v>1375</v>
      </c>
      <c r="B822" s="328" t="s">
        <v>3447</v>
      </c>
      <c r="C822" s="954" t="n">
        <v>10000</v>
      </c>
      <c r="D822" s="954" t="n">
        <v>15000</v>
      </c>
      <c r="E822" s="954" t="n">
        <v>5000</v>
      </c>
      <c r="F822" s="955" t="n">
        <f aca="false">C822+D822+E822</f>
        <v>30000</v>
      </c>
      <c r="G822" s="955" t="n">
        <f aca="false">F822/149.4</f>
        <v>200.803212851406</v>
      </c>
      <c r="H822" s="661" t="n">
        <f aca="false">G822/60</f>
        <v>3.34672021419009</v>
      </c>
      <c r="I822" s="660" t="n">
        <f aca="false">'норма времени'!D826</f>
        <v>80</v>
      </c>
      <c r="J822" s="661" t="n">
        <f aca="false">H822*I822</f>
        <v>267.737617135208</v>
      </c>
    </row>
    <row r="823" customFormat="false" ht="15" hidden="false" customHeight="false" outlineLevel="0" collapsed="false">
      <c r="A823" s="571" t="s">
        <v>1377</v>
      </c>
      <c r="B823" s="328" t="s">
        <v>3448</v>
      </c>
      <c r="C823" s="954" t="n">
        <v>10000</v>
      </c>
      <c r="D823" s="954" t="n">
        <v>15000</v>
      </c>
      <c r="E823" s="954" t="n">
        <v>5000</v>
      </c>
      <c r="F823" s="955" t="n">
        <f aca="false">C823+D823+E823</f>
        <v>30000</v>
      </c>
      <c r="G823" s="955" t="n">
        <f aca="false">F823/149.4</f>
        <v>200.803212851406</v>
      </c>
      <c r="H823" s="661" t="n">
        <f aca="false">G823/60</f>
        <v>3.34672021419009</v>
      </c>
      <c r="I823" s="660" t="n">
        <f aca="false">'норма времени'!D827</f>
        <v>80</v>
      </c>
      <c r="J823" s="661" t="n">
        <f aca="false">H823*I823</f>
        <v>267.737617135208</v>
      </c>
    </row>
    <row r="824" customFormat="false" ht="15" hidden="false" customHeight="false" outlineLevel="0" collapsed="false">
      <c r="A824" s="571" t="s">
        <v>1379</v>
      </c>
      <c r="B824" s="328" t="s">
        <v>3449</v>
      </c>
      <c r="C824" s="954" t="n">
        <v>10000</v>
      </c>
      <c r="D824" s="954" t="n">
        <v>15000</v>
      </c>
      <c r="E824" s="954" t="n">
        <v>5000</v>
      </c>
      <c r="F824" s="955" t="n">
        <f aca="false">C824+D824+E824</f>
        <v>30000</v>
      </c>
      <c r="G824" s="955" t="n">
        <f aca="false">F824/149.4</f>
        <v>200.803212851406</v>
      </c>
      <c r="H824" s="661" t="n">
        <f aca="false">G824/60</f>
        <v>3.34672021419009</v>
      </c>
      <c r="I824" s="660" t="n">
        <f aca="false">'норма времени'!D828</f>
        <v>80</v>
      </c>
      <c r="J824" s="661" t="n">
        <f aca="false">H824*I824</f>
        <v>267.737617135208</v>
      </c>
    </row>
    <row r="825" customFormat="false" ht="15" hidden="false" customHeight="false" outlineLevel="0" collapsed="false">
      <c r="A825" s="571" t="s">
        <v>1381</v>
      </c>
      <c r="B825" s="328" t="s">
        <v>3450</v>
      </c>
      <c r="C825" s="954" t="n">
        <v>40000</v>
      </c>
      <c r="D825" s="954" t="n">
        <v>30000</v>
      </c>
      <c r="E825" s="954" t="n">
        <v>25000</v>
      </c>
      <c r="F825" s="955" t="n">
        <f aca="false">C825+D825+E825</f>
        <v>95000</v>
      </c>
      <c r="G825" s="955" t="n">
        <f aca="false">F825/149.4</f>
        <v>635.876840696118</v>
      </c>
      <c r="H825" s="661" t="n">
        <f aca="false">G825/60</f>
        <v>10.5979473449353</v>
      </c>
      <c r="I825" s="660" t="n">
        <f aca="false">'норма времени'!D829</f>
        <v>80</v>
      </c>
      <c r="J825" s="661" t="n">
        <f aca="false">H825*I825</f>
        <v>847.835787594824</v>
      </c>
    </row>
    <row r="826" customFormat="false" ht="15" hidden="false" customHeight="false" outlineLevel="0" collapsed="false">
      <c r="A826" s="571" t="s">
        <v>1383</v>
      </c>
      <c r="B826" s="328" t="s">
        <v>3451</v>
      </c>
      <c r="C826" s="954" t="n">
        <v>35000</v>
      </c>
      <c r="D826" s="954" t="n">
        <v>30000</v>
      </c>
      <c r="E826" s="954" t="n">
        <v>20000</v>
      </c>
      <c r="F826" s="955" t="n">
        <f aca="false">C826+D826+E826</f>
        <v>85000</v>
      </c>
      <c r="G826" s="955" t="n">
        <f aca="false">F826/149.4</f>
        <v>568.942436412316</v>
      </c>
      <c r="H826" s="661" t="n">
        <f aca="false">G826/60</f>
        <v>9.48237394020527</v>
      </c>
      <c r="I826" s="660" t="n">
        <f aca="false">'норма времени'!D830</f>
        <v>80</v>
      </c>
      <c r="J826" s="661" t="n">
        <f aca="false">H826*I826</f>
        <v>758.589915216421</v>
      </c>
    </row>
    <row r="827" customFormat="false" ht="15" hidden="false" customHeight="false" outlineLevel="0" collapsed="false">
      <c r="A827" s="571" t="s">
        <v>1385</v>
      </c>
      <c r="B827" s="328" t="s">
        <v>3452</v>
      </c>
      <c r="C827" s="954" t="n">
        <v>35000</v>
      </c>
      <c r="D827" s="954" t="n">
        <v>25000</v>
      </c>
      <c r="E827" s="954" t="n">
        <v>20000</v>
      </c>
      <c r="F827" s="955" t="n">
        <f aca="false">C827+D827+E827</f>
        <v>80000</v>
      </c>
      <c r="G827" s="955" t="n">
        <f aca="false">F827/149.4</f>
        <v>535.475234270415</v>
      </c>
      <c r="H827" s="661" t="n">
        <f aca="false">G827/60</f>
        <v>8.92458723784025</v>
      </c>
      <c r="I827" s="660" t="n">
        <f aca="false">'норма времени'!D831</f>
        <v>80</v>
      </c>
      <c r="J827" s="661" t="n">
        <f aca="false">H827*I827</f>
        <v>713.96697902722</v>
      </c>
    </row>
    <row r="828" customFormat="false" ht="15" hidden="false" customHeight="false" outlineLevel="0" collapsed="false">
      <c r="A828" s="571" t="s">
        <v>1387</v>
      </c>
      <c r="B828" s="328" t="s">
        <v>3453</v>
      </c>
      <c r="C828" s="954" t="n">
        <v>10000</v>
      </c>
      <c r="D828" s="954" t="n">
        <v>10000</v>
      </c>
      <c r="E828" s="954" t="n">
        <v>5000</v>
      </c>
      <c r="F828" s="955" t="n">
        <f aca="false">C828+D828+E828</f>
        <v>25000</v>
      </c>
      <c r="G828" s="955" t="n">
        <f aca="false">F828/149.4</f>
        <v>167.336010709505</v>
      </c>
      <c r="H828" s="661" t="n">
        <f aca="false">G828/60</f>
        <v>2.78893351182508</v>
      </c>
      <c r="I828" s="660" t="n">
        <f aca="false">'норма времени'!D832</f>
        <v>80</v>
      </c>
      <c r="J828" s="661" t="n">
        <f aca="false">H828*I828</f>
        <v>223.114680946006</v>
      </c>
    </row>
    <row r="829" customFormat="false" ht="15" hidden="false" customHeight="false" outlineLevel="0" collapsed="false">
      <c r="A829" s="571" t="s">
        <v>1389</v>
      </c>
      <c r="B829" s="328" t="s">
        <v>3454</v>
      </c>
      <c r="C829" s="954" t="n">
        <v>10000</v>
      </c>
      <c r="D829" s="954" t="n">
        <v>10000</v>
      </c>
      <c r="E829" s="954" t="n">
        <v>5000</v>
      </c>
      <c r="F829" s="955" t="n">
        <f aca="false">C829+D829+E829</f>
        <v>25000</v>
      </c>
      <c r="G829" s="955" t="n">
        <f aca="false">F829/149.4</f>
        <v>167.336010709505</v>
      </c>
      <c r="H829" s="661" t="n">
        <f aca="false">G829/60</f>
        <v>2.78893351182508</v>
      </c>
      <c r="I829" s="660" t="n">
        <f aca="false">'норма времени'!D833</f>
        <v>80</v>
      </c>
      <c r="J829" s="661" t="n">
        <f aca="false">H829*I829</f>
        <v>223.114680946006</v>
      </c>
    </row>
    <row r="830" customFormat="false" ht="15" hidden="false" customHeight="false" outlineLevel="0" collapsed="false">
      <c r="A830" s="571" t="s">
        <v>1391</v>
      </c>
      <c r="B830" s="328" t="s">
        <v>3455</v>
      </c>
      <c r="C830" s="954" t="n">
        <v>15000</v>
      </c>
      <c r="D830" s="954" t="n">
        <v>10000</v>
      </c>
      <c r="E830" s="954" t="n">
        <v>5000</v>
      </c>
      <c r="F830" s="955" t="n">
        <f aca="false">C830+D830+E830</f>
        <v>30000</v>
      </c>
      <c r="G830" s="955" t="n">
        <f aca="false">F830/149.4</f>
        <v>200.803212851406</v>
      </c>
      <c r="H830" s="661" t="n">
        <f aca="false">G830/60</f>
        <v>3.34672021419009</v>
      </c>
      <c r="I830" s="660" t="n">
        <f aca="false">'норма времени'!D834</f>
        <v>80</v>
      </c>
      <c r="J830" s="661" t="n">
        <f aca="false">H830*I830</f>
        <v>267.737617135208</v>
      </c>
    </row>
    <row r="831" customFormat="false" ht="15" hidden="false" customHeight="false" outlineLevel="0" collapsed="false">
      <c r="A831" s="571" t="s">
        <v>1393</v>
      </c>
      <c r="B831" s="328" t="s">
        <v>3456</v>
      </c>
      <c r="C831" s="954" t="n">
        <v>15000</v>
      </c>
      <c r="D831" s="954" t="n">
        <v>10000</v>
      </c>
      <c r="E831" s="954" t="n">
        <v>5000</v>
      </c>
      <c r="F831" s="955" t="n">
        <f aca="false">C831+D831+E831</f>
        <v>30000</v>
      </c>
      <c r="G831" s="955" t="n">
        <f aca="false">F831/149.4</f>
        <v>200.803212851406</v>
      </c>
      <c r="H831" s="661" t="n">
        <f aca="false">G831/60</f>
        <v>3.34672021419009</v>
      </c>
      <c r="I831" s="660" t="n">
        <f aca="false">'норма времени'!D835</f>
        <v>60</v>
      </c>
      <c r="J831" s="661" t="n">
        <f aca="false">H831*I831</f>
        <v>200.803212851406</v>
      </c>
    </row>
    <row r="832" customFormat="false" ht="15" hidden="false" customHeight="false" outlineLevel="0" collapsed="false">
      <c r="A832" s="571" t="s">
        <v>1395</v>
      </c>
      <c r="B832" s="328" t="s">
        <v>3457</v>
      </c>
      <c r="C832" s="954" t="n">
        <v>30000</v>
      </c>
      <c r="D832" s="954" t="n">
        <v>20000</v>
      </c>
      <c r="E832" s="954" t="n">
        <v>15000</v>
      </c>
      <c r="F832" s="955" t="n">
        <f aca="false">C832+D832+E832</f>
        <v>65000</v>
      </c>
      <c r="G832" s="955" t="n">
        <f aca="false">F832/149.4</f>
        <v>435.073627844712</v>
      </c>
      <c r="H832" s="661" t="n">
        <f aca="false">G832/60</f>
        <v>7.2512271307452</v>
      </c>
      <c r="I832" s="660" t="n">
        <f aca="false">'норма времени'!D836</f>
        <v>80</v>
      </c>
      <c r="J832" s="661" t="n">
        <f aca="false">H832*I832</f>
        <v>580.098170459616</v>
      </c>
    </row>
    <row r="833" customFormat="false" ht="15" hidden="false" customHeight="false" outlineLevel="0" collapsed="false">
      <c r="A833" s="571" t="s">
        <v>1397</v>
      </c>
      <c r="B833" s="328" t="s">
        <v>3458</v>
      </c>
      <c r="C833" s="954" t="n">
        <v>10000</v>
      </c>
      <c r="D833" s="954" t="n">
        <v>10000</v>
      </c>
      <c r="E833" s="954" t="n">
        <v>5000</v>
      </c>
      <c r="F833" s="955" t="n">
        <f aca="false">C833+D833+E833</f>
        <v>25000</v>
      </c>
      <c r="G833" s="955" t="n">
        <f aca="false">F833/149.4</f>
        <v>167.336010709505</v>
      </c>
      <c r="H833" s="661" t="n">
        <f aca="false">G833/60</f>
        <v>2.78893351182508</v>
      </c>
      <c r="I833" s="660" t="n">
        <f aca="false">'норма времени'!D837</f>
        <v>60</v>
      </c>
      <c r="J833" s="661" t="n">
        <f aca="false">H833*I833</f>
        <v>167.336010709505</v>
      </c>
    </row>
    <row r="834" customFormat="false" ht="15" hidden="false" customHeight="false" outlineLevel="0" collapsed="false">
      <c r="A834" s="571" t="s">
        <v>1399</v>
      </c>
      <c r="B834" s="328" t="s">
        <v>3459</v>
      </c>
      <c r="C834" s="954" t="n">
        <v>10000</v>
      </c>
      <c r="D834" s="954" t="n">
        <v>10000</v>
      </c>
      <c r="E834" s="954" t="n">
        <v>5000</v>
      </c>
      <c r="F834" s="955" t="n">
        <f aca="false">C834+D834+E834</f>
        <v>25000</v>
      </c>
      <c r="G834" s="955" t="n">
        <f aca="false">F834/149.4</f>
        <v>167.336010709505</v>
      </c>
      <c r="H834" s="661" t="n">
        <f aca="false">G834/60</f>
        <v>2.78893351182508</v>
      </c>
      <c r="I834" s="660" t="n">
        <f aca="false">'норма времени'!D838</f>
        <v>60</v>
      </c>
      <c r="J834" s="661" t="n">
        <f aca="false">H834*I834</f>
        <v>167.336010709505</v>
      </c>
    </row>
    <row r="835" customFormat="false" ht="15" hidden="false" customHeight="false" outlineLevel="0" collapsed="false">
      <c r="A835" s="571" t="s">
        <v>1401</v>
      </c>
      <c r="B835" s="328" t="s">
        <v>3460</v>
      </c>
      <c r="C835" s="954" t="n">
        <v>10000</v>
      </c>
      <c r="D835" s="954" t="n">
        <v>10000</v>
      </c>
      <c r="E835" s="954" t="n">
        <v>5000</v>
      </c>
      <c r="F835" s="955" t="n">
        <f aca="false">C835+D835+E835</f>
        <v>25000</v>
      </c>
      <c r="G835" s="955" t="n">
        <f aca="false">F835/149.4</f>
        <v>167.336010709505</v>
      </c>
      <c r="H835" s="661" t="n">
        <f aca="false">G835/60</f>
        <v>2.78893351182508</v>
      </c>
      <c r="I835" s="660" t="n">
        <f aca="false">'норма времени'!D839</f>
        <v>80</v>
      </c>
      <c r="J835" s="661" t="n">
        <f aca="false">H835*I835</f>
        <v>223.114680946006</v>
      </c>
    </row>
    <row r="836" customFormat="false" ht="15" hidden="false" customHeight="false" outlineLevel="0" collapsed="false">
      <c r="A836" s="571" t="s">
        <v>1403</v>
      </c>
      <c r="B836" s="328" t="s">
        <v>3461</v>
      </c>
      <c r="C836" s="954" t="n">
        <v>10000</v>
      </c>
      <c r="D836" s="954" t="n">
        <v>10000</v>
      </c>
      <c r="E836" s="954" t="n">
        <v>5000</v>
      </c>
      <c r="F836" s="955" t="n">
        <f aca="false">C836+D836+E836</f>
        <v>25000</v>
      </c>
      <c r="G836" s="955" t="n">
        <f aca="false">F836/149.4</f>
        <v>167.336010709505</v>
      </c>
      <c r="H836" s="661" t="n">
        <f aca="false">G836/60</f>
        <v>2.78893351182508</v>
      </c>
      <c r="I836" s="660" t="n">
        <f aca="false">'норма времени'!D840</f>
        <v>80</v>
      </c>
      <c r="J836" s="661" t="n">
        <f aca="false">H836*I836</f>
        <v>223.114680946006</v>
      </c>
    </row>
    <row r="837" customFormat="false" ht="15" hidden="false" customHeight="false" outlineLevel="0" collapsed="false">
      <c r="A837" s="571" t="s">
        <v>1405</v>
      </c>
      <c r="B837" s="328" t="s">
        <v>3462</v>
      </c>
      <c r="C837" s="954" t="n">
        <v>15000</v>
      </c>
      <c r="D837" s="954" t="n">
        <v>10000</v>
      </c>
      <c r="E837" s="954" t="n">
        <v>5000</v>
      </c>
      <c r="F837" s="955" t="n">
        <f aca="false">C837+D837+E837</f>
        <v>30000</v>
      </c>
      <c r="G837" s="955" t="n">
        <f aca="false">F837/149.4</f>
        <v>200.803212851406</v>
      </c>
      <c r="H837" s="661" t="n">
        <f aca="false">G837/60</f>
        <v>3.34672021419009</v>
      </c>
      <c r="I837" s="660" t="n">
        <f aca="false">'норма времени'!D841</f>
        <v>80</v>
      </c>
      <c r="J837" s="661" t="n">
        <f aca="false">H837*I837</f>
        <v>267.737617135208</v>
      </c>
    </row>
    <row r="838" customFormat="false" ht="15" hidden="false" customHeight="false" outlineLevel="0" collapsed="false">
      <c r="A838" s="571" t="s">
        <v>1407</v>
      </c>
      <c r="B838" s="328" t="s">
        <v>3463</v>
      </c>
      <c r="C838" s="954" t="n">
        <v>10000</v>
      </c>
      <c r="D838" s="954" t="n">
        <v>10000</v>
      </c>
      <c r="E838" s="954" t="n">
        <v>5000</v>
      </c>
      <c r="F838" s="955" t="n">
        <f aca="false">C838+D838+E838</f>
        <v>25000</v>
      </c>
      <c r="G838" s="955" t="n">
        <f aca="false">F838/149.4</f>
        <v>167.336010709505</v>
      </c>
      <c r="H838" s="661" t="n">
        <f aca="false">G838/60</f>
        <v>2.78893351182508</v>
      </c>
      <c r="I838" s="660" t="n">
        <f aca="false">'норма времени'!D842</f>
        <v>60</v>
      </c>
      <c r="J838" s="661" t="n">
        <f aca="false">H838*I838</f>
        <v>167.336010709505</v>
      </c>
    </row>
    <row r="839" customFormat="false" ht="15" hidden="false" customHeight="false" outlineLevel="0" collapsed="false">
      <c r="A839" s="571" t="s">
        <v>1408</v>
      </c>
      <c r="B839" s="328" t="s">
        <v>3464</v>
      </c>
      <c r="C839" s="954" t="n">
        <v>15000</v>
      </c>
      <c r="D839" s="954" t="n">
        <v>15000</v>
      </c>
      <c r="E839" s="954" t="n">
        <v>10000</v>
      </c>
      <c r="F839" s="955" t="n">
        <f aca="false">C839+D839+E839</f>
        <v>40000</v>
      </c>
      <c r="G839" s="955" t="n">
        <f aca="false">F839/149.4</f>
        <v>267.737617135208</v>
      </c>
      <c r="H839" s="661" t="n">
        <f aca="false">G839/60</f>
        <v>4.46229361892013</v>
      </c>
      <c r="I839" s="660" t="n">
        <f aca="false">'норма времени'!D843</f>
        <v>100</v>
      </c>
      <c r="J839" s="661" t="n">
        <f aca="false">H839*I839</f>
        <v>446.229361892013</v>
      </c>
    </row>
    <row r="840" customFormat="false" ht="15" hidden="false" customHeight="false" outlineLevel="0" collapsed="false">
      <c r="A840" s="571" t="s">
        <v>1409</v>
      </c>
      <c r="B840" s="328" t="s">
        <v>3465</v>
      </c>
      <c r="C840" s="954" t="n">
        <v>10000</v>
      </c>
      <c r="D840" s="954" t="n">
        <v>5000</v>
      </c>
      <c r="E840" s="954" t="n">
        <v>5000</v>
      </c>
      <c r="F840" s="955" t="n">
        <f aca="false">C840+D840+E840</f>
        <v>20000</v>
      </c>
      <c r="G840" s="955" t="n">
        <f aca="false">F840/149.4</f>
        <v>133.868808567604</v>
      </c>
      <c r="H840" s="661" t="n">
        <f aca="false">G840/60</f>
        <v>2.23114680946006</v>
      </c>
      <c r="I840" s="660" t="n">
        <f aca="false">'норма времени'!D844</f>
        <v>60</v>
      </c>
      <c r="J840" s="661" t="n">
        <f aca="false">H840*I840</f>
        <v>133.868808567604</v>
      </c>
    </row>
    <row r="841" customFormat="false" ht="30" hidden="false" customHeight="false" outlineLevel="0" collapsed="false">
      <c r="A841" s="571" t="s">
        <v>1411</v>
      </c>
      <c r="B841" s="328" t="s">
        <v>3466</v>
      </c>
      <c r="C841" s="954" t="n">
        <v>15000</v>
      </c>
      <c r="D841" s="954" t="n">
        <v>10000</v>
      </c>
      <c r="E841" s="954" t="n">
        <v>10000</v>
      </c>
      <c r="F841" s="955" t="n">
        <f aca="false">C841+D841+E841</f>
        <v>35000</v>
      </c>
      <c r="G841" s="955" t="n">
        <f aca="false">F841/149.4</f>
        <v>234.270414993307</v>
      </c>
      <c r="H841" s="661" t="n">
        <f aca="false">G841/60</f>
        <v>3.90450691655511</v>
      </c>
      <c r="I841" s="660" t="n">
        <f aca="false">'норма времени'!D845</f>
        <v>80</v>
      </c>
      <c r="J841" s="661" t="n">
        <f aca="false">H841*I841</f>
        <v>312.360553324409</v>
      </c>
    </row>
    <row r="842" customFormat="false" ht="15" hidden="false" customHeight="false" outlineLevel="0" collapsed="false">
      <c r="A842" s="571" t="s">
        <v>1413</v>
      </c>
      <c r="B842" s="328" t="s">
        <v>3467</v>
      </c>
      <c r="C842" s="954" t="n">
        <v>75000</v>
      </c>
      <c r="D842" s="954" t="n">
        <v>72000</v>
      </c>
      <c r="E842" s="954" t="n">
        <v>65000</v>
      </c>
      <c r="F842" s="955" t="n">
        <f aca="false">C842+D842+E842</f>
        <v>212000</v>
      </c>
      <c r="G842" s="955" t="n">
        <f aca="false">F842/149.4</f>
        <v>1419.0093708166</v>
      </c>
      <c r="H842" s="661" t="n">
        <f aca="false">G842/60</f>
        <v>23.6501561802767</v>
      </c>
      <c r="I842" s="660" t="n">
        <f aca="false">'норма времени'!D846</f>
        <v>80</v>
      </c>
      <c r="J842" s="661" t="n">
        <f aca="false">H842*I842</f>
        <v>1892.01249442213</v>
      </c>
    </row>
    <row r="843" customFormat="false" ht="15" hidden="false" customHeight="false" outlineLevel="0" collapsed="false">
      <c r="A843" s="571" t="s">
        <v>1415</v>
      </c>
      <c r="B843" s="328" t="s">
        <v>3468</v>
      </c>
      <c r="C843" s="954" t="n">
        <v>20000</v>
      </c>
      <c r="D843" s="954" t="n">
        <v>20000</v>
      </c>
      <c r="E843" s="954" t="n">
        <v>20000</v>
      </c>
      <c r="F843" s="955" t="n">
        <f aca="false">C843+D843+E843</f>
        <v>60000</v>
      </c>
      <c r="G843" s="955" t="n">
        <f aca="false">F843/149.4</f>
        <v>401.606425702811</v>
      </c>
      <c r="H843" s="661" t="n">
        <f aca="false">G843/60</f>
        <v>6.69344042838019</v>
      </c>
      <c r="I843" s="660" t="n">
        <f aca="false">'норма времени'!D847</f>
        <v>260</v>
      </c>
      <c r="J843" s="661" t="n">
        <f aca="false">H843*I843</f>
        <v>1740.29451137885</v>
      </c>
    </row>
    <row r="844" customFormat="false" ht="15" hidden="false" customHeight="false" outlineLevel="0" collapsed="false">
      <c r="A844" s="571" t="s">
        <v>1417</v>
      </c>
      <c r="B844" s="328" t="s">
        <v>3469</v>
      </c>
      <c r="C844" s="954" t="n">
        <v>15000</v>
      </c>
      <c r="D844" s="954" t="n">
        <v>10000</v>
      </c>
      <c r="E844" s="954" t="n">
        <v>5000</v>
      </c>
      <c r="F844" s="955" t="n">
        <f aca="false">C844+D844+E844</f>
        <v>30000</v>
      </c>
      <c r="G844" s="955" t="n">
        <f aca="false">F844/149.4</f>
        <v>200.803212851406</v>
      </c>
      <c r="H844" s="661" t="n">
        <f aca="false">G844/60</f>
        <v>3.34672021419009</v>
      </c>
      <c r="I844" s="660" t="n">
        <f aca="false">'норма времени'!D848</f>
        <v>60</v>
      </c>
      <c r="J844" s="661" t="n">
        <f aca="false">H844*I844</f>
        <v>200.803212851406</v>
      </c>
    </row>
    <row r="845" s="451" customFormat="true" ht="23.25" hidden="false" customHeight="true" outlineLevel="0" collapsed="false">
      <c r="A845" s="350" t="s">
        <v>1419</v>
      </c>
      <c r="B845" s="467" t="s">
        <v>3470</v>
      </c>
      <c r="C845" s="1253"/>
      <c r="D845" s="1253"/>
      <c r="E845" s="1253"/>
      <c r="F845" s="1254"/>
      <c r="G845" s="955" t="n">
        <f aca="false">F845/149.4</f>
        <v>0</v>
      </c>
      <c r="H845" s="1250"/>
      <c r="I845" s="1255"/>
      <c r="J845" s="1250"/>
      <c r="K845" s="1257"/>
      <c r="L845" s="1257"/>
      <c r="M845" s="1257"/>
      <c r="N845" s="1257"/>
      <c r="O845" s="1257"/>
      <c r="P845" s="1257"/>
      <c r="Q845" s="1257"/>
      <c r="R845" s="1257"/>
      <c r="S845" s="1257"/>
    </row>
    <row r="846" customFormat="false" ht="30" hidden="false" customHeight="false" outlineLevel="0" collapsed="false">
      <c r="A846" s="571" t="s">
        <v>1421</v>
      </c>
      <c r="B846" s="328" t="s">
        <v>3471</v>
      </c>
      <c r="C846" s="954" t="n">
        <v>45000</v>
      </c>
      <c r="D846" s="954" t="n">
        <v>40000</v>
      </c>
      <c r="E846" s="954" t="n">
        <v>35000</v>
      </c>
      <c r="F846" s="955" t="n">
        <f aca="false">C846+D846+E846</f>
        <v>120000</v>
      </c>
      <c r="G846" s="955" t="n">
        <f aca="false">F846/149.4</f>
        <v>803.212851405623</v>
      </c>
      <c r="H846" s="661" t="n">
        <f aca="false">G846/60</f>
        <v>13.3868808567604</v>
      </c>
      <c r="I846" s="660" t="n">
        <f aca="false">'норма времени'!D850</f>
        <v>40</v>
      </c>
      <c r="J846" s="661" t="n">
        <f aca="false">H846*I846</f>
        <v>535.475234270415</v>
      </c>
    </row>
    <row r="847" customFormat="false" ht="36" hidden="false" customHeight="true" outlineLevel="0" collapsed="false">
      <c r="A847" s="571" t="s">
        <v>1423</v>
      </c>
      <c r="B847" s="328" t="s">
        <v>3472</v>
      </c>
      <c r="C847" s="954" t="n">
        <v>25000</v>
      </c>
      <c r="D847" s="954" t="n">
        <v>20000</v>
      </c>
      <c r="E847" s="954" t="n">
        <v>15000</v>
      </c>
      <c r="F847" s="955" t="n">
        <f aca="false">C847+D847+E847</f>
        <v>60000</v>
      </c>
      <c r="G847" s="955" t="n">
        <f aca="false">F847/149.4</f>
        <v>401.606425702811</v>
      </c>
      <c r="H847" s="661" t="n">
        <f aca="false">G847/60</f>
        <v>6.69344042838019</v>
      </c>
      <c r="I847" s="660" t="n">
        <f aca="false">'норма времени'!D851</f>
        <v>45</v>
      </c>
      <c r="J847" s="661" t="n">
        <f aca="false">H847*I847</f>
        <v>301.204819277108</v>
      </c>
    </row>
    <row r="848" customFormat="false" ht="15" hidden="false" customHeight="false" outlineLevel="0" collapsed="false">
      <c r="A848" s="571" t="s">
        <v>1425</v>
      </c>
      <c r="B848" s="328" t="s">
        <v>3473</v>
      </c>
      <c r="C848" s="954" t="n">
        <v>15000</v>
      </c>
      <c r="D848" s="954" t="n">
        <v>10000</v>
      </c>
      <c r="E848" s="954" t="n">
        <v>5000</v>
      </c>
      <c r="F848" s="955" t="n">
        <f aca="false">C848+D848+E848</f>
        <v>30000</v>
      </c>
      <c r="G848" s="955" t="n">
        <f aca="false">F848/149.4</f>
        <v>200.803212851406</v>
      </c>
      <c r="H848" s="661" t="n">
        <f aca="false">G848/60</f>
        <v>3.34672021419009</v>
      </c>
      <c r="I848" s="660" t="n">
        <f aca="false">'норма времени'!D852</f>
        <v>80</v>
      </c>
      <c r="J848" s="661" t="n">
        <f aca="false">H848*I848</f>
        <v>267.737617135208</v>
      </c>
    </row>
    <row r="849" customFormat="false" ht="15" hidden="false" customHeight="false" outlineLevel="0" collapsed="false">
      <c r="A849" s="571" t="s">
        <v>1427</v>
      </c>
      <c r="B849" s="328" t="s">
        <v>3436</v>
      </c>
      <c r="C849" s="954" t="n">
        <v>25000</v>
      </c>
      <c r="D849" s="954" t="n">
        <v>20000</v>
      </c>
      <c r="E849" s="954" t="n">
        <v>15000</v>
      </c>
      <c r="F849" s="955" t="n">
        <f aca="false">C849+D849+E849</f>
        <v>60000</v>
      </c>
      <c r="G849" s="955" t="n">
        <f aca="false">F849/149.4</f>
        <v>401.606425702811</v>
      </c>
      <c r="H849" s="661" t="n">
        <f aca="false">G849/60</f>
        <v>6.69344042838019</v>
      </c>
      <c r="I849" s="660" t="n">
        <f aca="false">'норма времени'!D853</f>
        <v>80</v>
      </c>
      <c r="J849" s="661" t="n">
        <f aca="false">H849*I849</f>
        <v>535.475234270415</v>
      </c>
    </row>
    <row r="850" customFormat="false" ht="15" hidden="false" customHeight="false" outlineLevel="0" collapsed="false">
      <c r="A850" s="571" t="s">
        <v>1428</v>
      </c>
      <c r="B850" s="328" t="s">
        <v>3437</v>
      </c>
      <c r="C850" s="954" t="n">
        <v>25000</v>
      </c>
      <c r="D850" s="954" t="n">
        <v>20000</v>
      </c>
      <c r="E850" s="954" t="n">
        <v>15000</v>
      </c>
      <c r="F850" s="955" t="n">
        <f aca="false">C850+D850+E850</f>
        <v>60000</v>
      </c>
      <c r="G850" s="955" t="n">
        <f aca="false">F850/149.4</f>
        <v>401.606425702811</v>
      </c>
      <c r="H850" s="661" t="n">
        <f aca="false">G850/60</f>
        <v>6.69344042838019</v>
      </c>
      <c r="I850" s="660" t="n">
        <f aca="false">'норма времени'!D854</f>
        <v>80</v>
      </c>
      <c r="J850" s="661" t="n">
        <f aca="false">H850*I850</f>
        <v>535.475234270415</v>
      </c>
    </row>
    <row r="851" customFormat="false" ht="15" hidden="false" customHeight="false" outlineLevel="0" collapsed="false">
      <c r="A851" s="571" t="s">
        <v>1429</v>
      </c>
      <c r="B851" s="328" t="s">
        <v>3474</v>
      </c>
      <c r="C851" s="954" t="n">
        <v>25000</v>
      </c>
      <c r="D851" s="954" t="n">
        <v>20000</v>
      </c>
      <c r="E851" s="954" t="n">
        <v>15000</v>
      </c>
      <c r="F851" s="955" t="n">
        <f aca="false">C851+D851+E851</f>
        <v>60000</v>
      </c>
      <c r="G851" s="955" t="n">
        <f aca="false">F851/149.4</f>
        <v>401.606425702811</v>
      </c>
      <c r="H851" s="661" t="n">
        <f aca="false">G851/60</f>
        <v>6.69344042838019</v>
      </c>
      <c r="I851" s="660" t="n">
        <f aca="false">'норма времени'!D855</f>
        <v>80</v>
      </c>
      <c r="J851" s="661" t="n">
        <f aca="false">H851*I851</f>
        <v>535.475234270415</v>
      </c>
    </row>
    <row r="852" customFormat="false" ht="15" hidden="false" customHeight="false" outlineLevel="0" collapsed="false">
      <c r="A852" s="571" t="s">
        <v>1430</v>
      </c>
      <c r="B852" s="328" t="s">
        <v>3475</v>
      </c>
      <c r="C852" s="954" t="n">
        <v>25000</v>
      </c>
      <c r="D852" s="954" t="n">
        <v>20000</v>
      </c>
      <c r="E852" s="954" t="n">
        <v>15000</v>
      </c>
      <c r="F852" s="955" t="n">
        <f aca="false">C852+D852+E852</f>
        <v>60000</v>
      </c>
      <c r="G852" s="955" t="n">
        <f aca="false">F852/149.4</f>
        <v>401.606425702811</v>
      </c>
      <c r="H852" s="661" t="n">
        <f aca="false">G852/60</f>
        <v>6.69344042838019</v>
      </c>
      <c r="I852" s="660" t="n">
        <f aca="false">'норма времени'!D856</f>
        <v>80</v>
      </c>
      <c r="J852" s="661" t="n">
        <f aca="false">H852*I852</f>
        <v>535.475234270415</v>
      </c>
    </row>
    <row r="853" customFormat="false" ht="15" hidden="false" customHeight="false" outlineLevel="0" collapsed="false">
      <c r="A853" s="571" t="s">
        <v>1432</v>
      </c>
      <c r="B853" s="328" t="s">
        <v>3476</v>
      </c>
      <c r="C853" s="954" t="n">
        <v>45000</v>
      </c>
      <c r="D853" s="954" t="n">
        <v>40000</v>
      </c>
      <c r="E853" s="954" t="n">
        <v>35000</v>
      </c>
      <c r="F853" s="955" t="n">
        <f aca="false">C853+D853+E853</f>
        <v>120000</v>
      </c>
      <c r="G853" s="955" t="n">
        <f aca="false">F853/149.4</f>
        <v>803.212851405623</v>
      </c>
      <c r="H853" s="661" t="n">
        <f aca="false">G853/60</f>
        <v>13.3868808567604</v>
      </c>
      <c r="I853" s="660" t="n">
        <f aca="false">'норма времени'!D857</f>
        <v>80</v>
      </c>
      <c r="J853" s="661" t="n">
        <f aca="false">H853*I853</f>
        <v>1070.95046854083</v>
      </c>
    </row>
    <row r="854" customFormat="false" ht="15" hidden="false" customHeight="false" outlineLevel="0" collapsed="false">
      <c r="A854" s="571" t="s">
        <v>1433</v>
      </c>
      <c r="B854" s="328" t="s">
        <v>3445</v>
      </c>
      <c r="C854" s="954" t="n">
        <v>25000</v>
      </c>
      <c r="D854" s="954" t="n">
        <v>20000</v>
      </c>
      <c r="E854" s="954" t="n">
        <v>15000</v>
      </c>
      <c r="F854" s="955" t="n">
        <f aca="false">C854+D854+E854</f>
        <v>60000</v>
      </c>
      <c r="G854" s="955" t="n">
        <f aca="false">F854/149.4</f>
        <v>401.606425702811</v>
      </c>
      <c r="H854" s="661" t="n">
        <f aca="false">G854/60</f>
        <v>6.69344042838019</v>
      </c>
      <c r="I854" s="660" t="n">
        <f aca="false">'норма времени'!D858</f>
        <v>80</v>
      </c>
      <c r="J854" s="661" t="n">
        <f aca="false">H854*I854</f>
        <v>535.475234270415</v>
      </c>
    </row>
    <row r="855" customFormat="false" ht="15" hidden="false" customHeight="false" outlineLevel="0" collapsed="false">
      <c r="A855" s="571" t="s">
        <v>1434</v>
      </c>
      <c r="B855" s="328" t="s">
        <v>3440</v>
      </c>
      <c r="C855" s="954" t="n">
        <v>15000</v>
      </c>
      <c r="D855" s="954" t="n">
        <v>15000</v>
      </c>
      <c r="E855" s="954" t="n">
        <v>15000</v>
      </c>
      <c r="F855" s="955" t="n">
        <f aca="false">C855+D855+E855</f>
        <v>45000</v>
      </c>
      <c r="G855" s="955" t="n">
        <f aca="false">F855/149.4</f>
        <v>301.204819277108</v>
      </c>
      <c r="H855" s="661" t="n">
        <f aca="false">G855/60</f>
        <v>5.02008032128514</v>
      </c>
      <c r="I855" s="660" t="n">
        <f aca="false">'норма времени'!D859</f>
        <v>80</v>
      </c>
      <c r="J855" s="661" t="n">
        <f aca="false">H855*I855</f>
        <v>401.606425702811</v>
      </c>
    </row>
    <row r="856" customFormat="false" ht="15" hidden="false" customHeight="false" outlineLevel="0" collapsed="false">
      <c r="A856" s="571" t="s">
        <v>1435</v>
      </c>
      <c r="B856" s="328" t="s">
        <v>3444</v>
      </c>
      <c r="C856" s="954" t="n">
        <v>15000</v>
      </c>
      <c r="D856" s="954" t="n">
        <v>15000</v>
      </c>
      <c r="E856" s="954" t="n">
        <v>15000</v>
      </c>
      <c r="F856" s="955" t="n">
        <f aca="false">C856+D856+E856</f>
        <v>45000</v>
      </c>
      <c r="G856" s="955" t="n">
        <f aca="false">F856/149.4</f>
        <v>301.204819277108</v>
      </c>
      <c r="H856" s="661" t="n">
        <f aca="false">G856/60</f>
        <v>5.02008032128514</v>
      </c>
      <c r="I856" s="660" t="n">
        <f aca="false">'норма времени'!D860</f>
        <v>80</v>
      </c>
      <c r="J856" s="661" t="n">
        <f aca="false">H856*I856</f>
        <v>401.606425702811</v>
      </c>
    </row>
    <row r="857" customFormat="false" ht="15" hidden="false" customHeight="false" outlineLevel="0" collapsed="false">
      <c r="A857" s="571" t="s">
        <v>1436</v>
      </c>
      <c r="B857" s="328" t="s">
        <v>3441</v>
      </c>
      <c r="C857" s="954" t="n">
        <v>25000</v>
      </c>
      <c r="D857" s="954" t="n">
        <v>20000</v>
      </c>
      <c r="E857" s="954" t="n">
        <v>15000</v>
      </c>
      <c r="F857" s="955" t="n">
        <f aca="false">C857+D857+E857</f>
        <v>60000</v>
      </c>
      <c r="G857" s="955" t="n">
        <f aca="false">F857/149.4</f>
        <v>401.606425702811</v>
      </c>
      <c r="H857" s="661" t="n">
        <f aca="false">G857/60</f>
        <v>6.69344042838019</v>
      </c>
      <c r="I857" s="660" t="n">
        <f aca="false">'норма времени'!D861</f>
        <v>80</v>
      </c>
      <c r="J857" s="661" t="n">
        <f aca="false">H857*I857</f>
        <v>535.475234270415</v>
      </c>
    </row>
    <row r="858" customFormat="false" ht="15" hidden="false" customHeight="false" outlineLevel="0" collapsed="false">
      <c r="A858" s="571" t="s">
        <v>1437</v>
      </c>
      <c r="B858" s="328" t="s">
        <v>3446</v>
      </c>
      <c r="C858" s="954" t="n">
        <v>20000</v>
      </c>
      <c r="D858" s="954" t="n">
        <v>15000</v>
      </c>
      <c r="E858" s="954" t="n">
        <v>15000</v>
      </c>
      <c r="F858" s="955" t="n">
        <f aca="false">C858+D858+E858</f>
        <v>50000</v>
      </c>
      <c r="G858" s="955" t="n">
        <f aca="false">F858/149.4</f>
        <v>334.672021419009</v>
      </c>
      <c r="H858" s="661" t="n">
        <f aca="false">G858/60</f>
        <v>5.57786702365016</v>
      </c>
      <c r="I858" s="660" t="n">
        <f aca="false">'норма времени'!D862</f>
        <v>80</v>
      </c>
      <c r="J858" s="661" t="n">
        <f aca="false">H858*I858</f>
        <v>446.229361892013</v>
      </c>
    </row>
    <row r="859" customFormat="false" ht="15" hidden="false" customHeight="false" outlineLevel="0" collapsed="false">
      <c r="A859" s="571" t="s">
        <v>1438</v>
      </c>
      <c r="B859" s="328" t="s">
        <v>3447</v>
      </c>
      <c r="C859" s="954" t="n">
        <v>20000</v>
      </c>
      <c r="D859" s="954" t="n">
        <v>15000</v>
      </c>
      <c r="E859" s="954" t="n">
        <v>15000</v>
      </c>
      <c r="F859" s="955" t="n">
        <f aca="false">C859+D859+E859</f>
        <v>50000</v>
      </c>
      <c r="G859" s="955" t="n">
        <f aca="false">F859/149.4</f>
        <v>334.672021419009</v>
      </c>
      <c r="H859" s="661" t="n">
        <f aca="false">G859/60</f>
        <v>5.57786702365016</v>
      </c>
      <c r="I859" s="660" t="n">
        <f aca="false">'норма времени'!D863</f>
        <v>80</v>
      </c>
      <c r="J859" s="661" t="n">
        <f aca="false">H859*I859</f>
        <v>446.229361892013</v>
      </c>
    </row>
    <row r="860" customFormat="false" ht="15" hidden="false" customHeight="false" outlineLevel="0" collapsed="false">
      <c r="A860" s="571" t="s">
        <v>1439</v>
      </c>
      <c r="B860" s="328" t="s">
        <v>3452</v>
      </c>
      <c r="C860" s="954" t="n">
        <v>15000</v>
      </c>
      <c r="D860" s="954" t="n">
        <v>15000</v>
      </c>
      <c r="E860" s="954" t="n">
        <v>15000</v>
      </c>
      <c r="F860" s="955" t="n">
        <f aca="false">C860+D860+E860</f>
        <v>45000</v>
      </c>
      <c r="G860" s="955" t="n">
        <f aca="false">F860/149.4</f>
        <v>301.204819277108</v>
      </c>
      <c r="H860" s="661" t="n">
        <f aca="false">G860/60</f>
        <v>5.02008032128514</v>
      </c>
      <c r="I860" s="660" t="n">
        <f aca="false">'норма времени'!D864</f>
        <v>80</v>
      </c>
      <c r="J860" s="661" t="n">
        <f aca="false">H860*I860</f>
        <v>401.606425702811</v>
      </c>
    </row>
    <row r="861" customFormat="false" ht="15" hidden="false" customHeight="false" outlineLevel="0" collapsed="false">
      <c r="A861" s="571" t="s">
        <v>1440</v>
      </c>
      <c r="B861" s="328" t="s">
        <v>3453</v>
      </c>
      <c r="C861" s="954" t="n">
        <v>10000</v>
      </c>
      <c r="D861" s="954" t="n">
        <v>10000</v>
      </c>
      <c r="E861" s="954" t="n">
        <v>5000</v>
      </c>
      <c r="F861" s="955" t="n">
        <f aca="false">C861+D861+E861</f>
        <v>25000</v>
      </c>
      <c r="G861" s="955" t="n">
        <f aca="false">F861/149.4</f>
        <v>167.336010709505</v>
      </c>
      <c r="H861" s="661" t="n">
        <f aca="false">G861/60</f>
        <v>2.78893351182508</v>
      </c>
      <c r="I861" s="660" t="n">
        <f aca="false">'норма времени'!D865</f>
        <v>80</v>
      </c>
      <c r="J861" s="661" t="n">
        <f aca="false">H861*I861</f>
        <v>223.114680946006</v>
      </c>
    </row>
    <row r="862" customFormat="false" ht="15" hidden="false" customHeight="false" outlineLevel="0" collapsed="false">
      <c r="A862" s="571" t="s">
        <v>1441</v>
      </c>
      <c r="B862" s="328" t="s">
        <v>3477</v>
      </c>
      <c r="C862" s="954" t="n">
        <v>10000</v>
      </c>
      <c r="D862" s="954" t="n">
        <v>10000</v>
      </c>
      <c r="E862" s="954" t="n">
        <v>5000</v>
      </c>
      <c r="F862" s="955" t="n">
        <f aca="false">C862+D862+E862</f>
        <v>25000</v>
      </c>
      <c r="G862" s="955" t="n">
        <f aca="false">F862/149.4</f>
        <v>167.336010709505</v>
      </c>
      <c r="H862" s="661" t="n">
        <f aca="false">G862/60</f>
        <v>2.78893351182508</v>
      </c>
      <c r="I862" s="660" t="n">
        <f aca="false">'норма времени'!D866</f>
        <v>80</v>
      </c>
      <c r="J862" s="661" t="n">
        <f aca="false">H862*I862</f>
        <v>223.114680946006</v>
      </c>
    </row>
    <row r="863" customFormat="false" ht="15" hidden="false" customHeight="false" outlineLevel="0" collapsed="false">
      <c r="A863" s="571" t="s">
        <v>1443</v>
      </c>
      <c r="B863" s="328" t="s">
        <v>3478</v>
      </c>
      <c r="C863" s="954" t="n">
        <v>15000</v>
      </c>
      <c r="D863" s="954" t="n">
        <v>10000</v>
      </c>
      <c r="E863" s="954" t="n">
        <v>5000</v>
      </c>
      <c r="F863" s="955" t="n">
        <f aca="false">C863+D863+E863</f>
        <v>30000</v>
      </c>
      <c r="G863" s="955" t="n">
        <f aca="false">F863/149.4</f>
        <v>200.803212851406</v>
      </c>
      <c r="H863" s="661" t="n">
        <f aca="false">G863/60</f>
        <v>3.34672021419009</v>
      </c>
      <c r="I863" s="660" t="n">
        <f aca="false">'норма времени'!D867</f>
        <v>80</v>
      </c>
      <c r="J863" s="661" t="n">
        <f aca="false">H863*I863</f>
        <v>267.737617135208</v>
      </c>
    </row>
    <row r="864" customFormat="false" ht="15" hidden="false" customHeight="false" outlineLevel="0" collapsed="false">
      <c r="A864" s="571" t="s">
        <v>1444</v>
      </c>
      <c r="B864" s="328" t="s">
        <v>3479</v>
      </c>
      <c r="C864" s="954" t="n">
        <v>15000</v>
      </c>
      <c r="D864" s="954" t="n">
        <v>10000</v>
      </c>
      <c r="E864" s="954" t="n">
        <v>5000</v>
      </c>
      <c r="F864" s="955" t="n">
        <f aca="false">C864+D864+E864</f>
        <v>30000</v>
      </c>
      <c r="G864" s="955" t="n">
        <f aca="false">F864/149.4</f>
        <v>200.803212851406</v>
      </c>
      <c r="H864" s="661" t="n">
        <f aca="false">G864/60</f>
        <v>3.34672021419009</v>
      </c>
      <c r="I864" s="660" t="n">
        <f aca="false">'норма времени'!D868</f>
        <v>80</v>
      </c>
      <c r="J864" s="661" t="n">
        <f aca="false">H864*I864</f>
        <v>267.737617135208</v>
      </c>
    </row>
    <row r="865" customFormat="false" ht="15" hidden="false" customHeight="false" outlineLevel="0" collapsed="false">
      <c r="A865" s="571" t="s">
        <v>1445</v>
      </c>
      <c r="B865" s="328" t="s">
        <v>3480</v>
      </c>
      <c r="C865" s="954" t="n">
        <v>15000</v>
      </c>
      <c r="D865" s="954" t="n">
        <v>10000</v>
      </c>
      <c r="E865" s="954" t="n">
        <v>5000</v>
      </c>
      <c r="F865" s="955" t="n">
        <f aca="false">C865+D865+E865</f>
        <v>30000</v>
      </c>
      <c r="G865" s="955" t="n">
        <f aca="false">F865/149.4</f>
        <v>200.803212851406</v>
      </c>
      <c r="H865" s="661" t="n">
        <f aca="false">G865/60</f>
        <v>3.34672021419009</v>
      </c>
      <c r="I865" s="660" t="n">
        <f aca="false">'норма времени'!D869</f>
        <v>80</v>
      </c>
      <c r="J865" s="661" t="n">
        <f aca="false">H865*I865</f>
        <v>267.737617135208</v>
      </c>
    </row>
    <row r="866" customFormat="false" ht="15" hidden="false" customHeight="false" outlineLevel="0" collapsed="false">
      <c r="A866" s="571" t="s">
        <v>1446</v>
      </c>
      <c r="B866" s="328" t="s">
        <v>3432</v>
      </c>
      <c r="C866" s="954" t="n">
        <v>15000</v>
      </c>
      <c r="D866" s="954" t="n">
        <v>10000</v>
      </c>
      <c r="E866" s="954" t="n">
        <v>10000</v>
      </c>
      <c r="F866" s="955" t="n">
        <f aca="false">C866+D866+E866</f>
        <v>35000</v>
      </c>
      <c r="G866" s="955" t="n">
        <f aca="false">F866/149.4</f>
        <v>234.270414993307</v>
      </c>
      <c r="H866" s="661" t="n">
        <f aca="false">G866/60</f>
        <v>3.90450691655511</v>
      </c>
      <c r="I866" s="660" t="n">
        <f aca="false">'норма времени'!D870</f>
        <v>60</v>
      </c>
      <c r="J866" s="661" t="n">
        <f aca="false">H866*I866</f>
        <v>234.270414993307</v>
      </c>
    </row>
    <row r="867" customFormat="false" ht="15" hidden="false" customHeight="false" outlineLevel="0" collapsed="false">
      <c r="A867" s="571" t="s">
        <v>1447</v>
      </c>
      <c r="B867" s="328" t="s">
        <v>3149</v>
      </c>
      <c r="C867" s="954" t="n">
        <v>15000</v>
      </c>
      <c r="D867" s="954" t="n">
        <v>10000</v>
      </c>
      <c r="E867" s="954" t="n">
        <v>5000</v>
      </c>
      <c r="F867" s="955" t="n">
        <f aca="false">C867+D867+E867</f>
        <v>30000</v>
      </c>
      <c r="G867" s="955" t="n">
        <f aca="false">F867/149.4</f>
        <v>200.803212851406</v>
      </c>
      <c r="H867" s="661" t="n">
        <f aca="false">G867/60</f>
        <v>3.34672021419009</v>
      </c>
      <c r="I867" s="660" t="n">
        <f aca="false">'норма времени'!D871</f>
        <v>80</v>
      </c>
      <c r="J867" s="661" t="n">
        <f aca="false">H867*I867</f>
        <v>267.737617135208</v>
      </c>
    </row>
    <row r="868" customFormat="false" ht="15" hidden="false" customHeight="false" outlineLevel="0" collapsed="false">
      <c r="A868" s="571" t="s">
        <v>1448</v>
      </c>
      <c r="B868" s="328" t="s">
        <v>3461</v>
      </c>
      <c r="C868" s="954" t="n">
        <v>20000</v>
      </c>
      <c r="D868" s="954" t="n">
        <v>15000</v>
      </c>
      <c r="E868" s="954" t="n">
        <v>10000</v>
      </c>
      <c r="F868" s="955" t="n">
        <f aca="false">C868+D868+E868</f>
        <v>45000</v>
      </c>
      <c r="G868" s="955" t="n">
        <f aca="false">F868/149.4</f>
        <v>301.204819277108</v>
      </c>
      <c r="H868" s="661" t="n">
        <f aca="false">G868/60</f>
        <v>5.02008032128514</v>
      </c>
      <c r="I868" s="660" t="n">
        <f aca="false">'норма времени'!D872</f>
        <v>60</v>
      </c>
      <c r="J868" s="661" t="n">
        <f aca="false">H868*I868</f>
        <v>301.204819277108</v>
      </c>
    </row>
    <row r="869" customFormat="false" ht="15" hidden="false" customHeight="false" outlineLevel="0" collapsed="false">
      <c r="A869" s="571" t="s">
        <v>1449</v>
      </c>
      <c r="B869" s="328" t="s">
        <v>3462</v>
      </c>
      <c r="C869" s="954" t="n">
        <v>15000</v>
      </c>
      <c r="D869" s="954" t="n">
        <v>10000</v>
      </c>
      <c r="E869" s="954" t="n">
        <v>5000</v>
      </c>
      <c r="F869" s="955" t="n">
        <f aca="false">C869+D869+E869</f>
        <v>30000</v>
      </c>
      <c r="G869" s="955" t="n">
        <f aca="false">F869/149.4</f>
        <v>200.803212851406</v>
      </c>
      <c r="H869" s="661" t="n">
        <f aca="false">G869/60</f>
        <v>3.34672021419009</v>
      </c>
      <c r="I869" s="660" t="n">
        <f aca="false">'норма времени'!D873</f>
        <v>80</v>
      </c>
      <c r="J869" s="661" t="n">
        <f aca="false">H869*I869</f>
        <v>267.737617135208</v>
      </c>
    </row>
    <row r="870" customFormat="false" ht="15" hidden="false" customHeight="false" outlineLevel="0" collapsed="false">
      <c r="A870" s="571" t="s">
        <v>1450</v>
      </c>
      <c r="B870" s="328" t="s">
        <v>3463</v>
      </c>
      <c r="C870" s="954" t="n">
        <v>15000</v>
      </c>
      <c r="D870" s="954" t="n">
        <v>10000</v>
      </c>
      <c r="E870" s="954" t="n">
        <v>10000</v>
      </c>
      <c r="F870" s="955" t="n">
        <f aca="false">C870+D870+E870</f>
        <v>35000</v>
      </c>
      <c r="G870" s="955" t="n">
        <f aca="false">F870/149.4</f>
        <v>234.270414993307</v>
      </c>
      <c r="H870" s="661" t="n">
        <f aca="false">G870/60</f>
        <v>3.90450691655511</v>
      </c>
      <c r="I870" s="660" t="n">
        <f aca="false">'норма времени'!D874</f>
        <v>60</v>
      </c>
      <c r="J870" s="661" t="n">
        <f aca="false">H870*I870</f>
        <v>234.270414993307</v>
      </c>
    </row>
    <row r="871" customFormat="false" ht="30" hidden="false" customHeight="false" outlineLevel="0" collapsed="false">
      <c r="A871" s="571" t="s">
        <v>1451</v>
      </c>
      <c r="B871" s="328" t="s">
        <v>3466</v>
      </c>
      <c r="C871" s="954" t="n">
        <v>25000</v>
      </c>
      <c r="D871" s="954" t="n">
        <v>15000</v>
      </c>
      <c r="E871" s="954" t="n">
        <v>10000</v>
      </c>
      <c r="F871" s="955" t="n">
        <f aca="false">C871+D871+E871</f>
        <v>50000</v>
      </c>
      <c r="G871" s="955" t="n">
        <f aca="false">F871/149.4</f>
        <v>334.672021419009</v>
      </c>
      <c r="H871" s="661" t="n">
        <f aca="false">G871/60</f>
        <v>5.57786702365016</v>
      </c>
      <c r="I871" s="660" t="n">
        <f aca="false">'норма времени'!D875</f>
        <v>80</v>
      </c>
      <c r="J871" s="661" t="n">
        <f aca="false">H871*I871</f>
        <v>446.229361892013</v>
      </c>
    </row>
    <row r="872" customFormat="false" ht="15" hidden="false" customHeight="false" outlineLevel="0" collapsed="false">
      <c r="A872" s="571" t="s">
        <v>1452</v>
      </c>
      <c r="B872" s="328" t="s">
        <v>3481</v>
      </c>
      <c r="C872" s="954" t="n">
        <v>15000</v>
      </c>
      <c r="D872" s="954" t="n">
        <v>10000</v>
      </c>
      <c r="E872" s="954" t="n">
        <v>5000</v>
      </c>
      <c r="F872" s="955" t="n">
        <f aca="false">C872+D872+E872</f>
        <v>30000</v>
      </c>
      <c r="G872" s="955" t="n">
        <f aca="false">F872/149.4</f>
        <v>200.803212851406</v>
      </c>
      <c r="H872" s="661" t="n">
        <f aca="false">G872/60</f>
        <v>3.34672021419009</v>
      </c>
      <c r="I872" s="660" t="n">
        <f aca="false">'норма времени'!D876</f>
        <v>110</v>
      </c>
      <c r="J872" s="661" t="n">
        <f aca="false">H872*I872</f>
        <v>368.13922356091</v>
      </c>
    </row>
    <row r="873" customFormat="false" ht="15" hidden="false" customHeight="false" outlineLevel="0" collapsed="false">
      <c r="A873" s="571" t="s">
        <v>1454</v>
      </c>
      <c r="B873" s="328" t="s">
        <v>3482</v>
      </c>
      <c r="C873" s="954" t="n">
        <v>15000</v>
      </c>
      <c r="D873" s="954" t="n">
        <v>10000</v>
      </c>
      <c r="E873" s="954" t="n">
        <v>10000</v>
      </c>
      <c r="F873" s="955" t="n">
        <f aca="false">C873+D873+E873</f>
        <v>35000</v>
      </c>
      <c r="G873" s="955" t="n">
        <f aca="false">F873/149.4</f>
        <v>234.270414993307</v>
      </c>
      <c r="H873" s="661" t="n">
        <f aca="false">G873/60</f>
        <v>3.90450691655511</v>
      </c>
      <c r="I873" s="660" t="n">
        <f aca="false">'норма времени'!D877</f>
        <v>80</v>
      </c>
      <c r="J873" s="661" t="n">
        <f aca="false">H873*I873</f>
        <v>312.360553324409</v>
      </c>
    </row>
    <row r="874" customFormat="false" ht="15" hidden="false" customHeight="false" outlineLevel="0" collapsed="false">
      <c r="A874" s="571" t="s">
        <v>1455</v>
      </c>
      <c r="B874" s="328" t="s">
        <v>3483</v>
      </c>
      <c r="C874" s="954" t="n">
        <v>10000</v>
      </c>
      <c r="D874" s="954" t="n">
        <v>10000</v>
      </c>
      <c r="E874" s="954" t="n">
        <v>5000</v>
      </c>
      <c r="F874" s="955" t="n">
        <f aca="false">C874+D874+E874</f>
        <v>25000</v>
      </c>
      <c r="G874" s="955" t="n">
        <f aca="false">F874/149.4</f>
        <v>167.336010709505</v>
      </c>
      <c r="H874" s="661" t="n">
        <f aca="false">G874/60</f>
        <v>2.78893351182508</v>
      </c>
      <c r="I874" s="660" t="n">
        <f aca="false">'норма времени'!D878</f>
        <v>80</v>
      </c>
      <c r="J874" s="661" t="n">
        <f aca="false">H874*I874</f>
        <v>223.114680946006</v>
      </c>
    </row>
    <row r="875" customFormat="false" ht="15" hidden="false" customHeight="false" outlineLevel="0" collapsed="false">
      <c r="A875" s="571" t="s">
        <v>1456</v>
      </c>
      <c r="B875" s="328" t="s">
        <v>3484</v>
      </c>
      <c r="C875" s="954" t="n">
        <v>35000</v>
      </c>
      <c r="D875" s="954" t="n">
        <v>30000</v>
      </c>
      <c r="E875" s="954" t="n">
        <v>25000</v>
      </c>
      <c r="F875" s="955" t="n">
        <f aca="false">C875+D875+E875</f>
        <v>90000</v>
      </c>
      <c r="G875" s="955" t="n">
        <f aca="false">F875/149.4</f>
        <v>602.409638554217</v>
      </c>
      <c r="H875" s="661" t="n">
        <f aca="false">G875/60</f>
        <v>10.0401606425703</v>
      </c>
      <c r="I875" s="660" t="n">
        <f aca="false">'норма времени'!D879</f>
        <v>80</v>
      </c>
      <c r="J875" s="661" t="n">
        <f aca="false">H875*I875</f>
        <v>803.212851405622</v>
      </c>
    </row>
    <row r="876" customFormat="false" ht="15" hidden="false" customHeight="false" outlineLevel="0" collapsed="false">
      <c r="A876" s="571" t="s">
        <v>1458</v>
      </c>
      <c r="B876" s="328" t="s">
        <v>3485</v>
      </c>
      <c r="C876" s="954" t="n">
        <v>20000</v>
      </c>
      <c r="D876" s="954" t="n">
        <v>20000</v>
      </c>
      <c r="E876" s="954" t="n">
        <v>15000</v>
      </c>
      <c r="F876" s="955" t="n">
        <f aca="false">C876+D876+E876</f>
        <v>55000</v>
      </c>
      <c r="G876" s="955" t="n">
        <f aca="false">F876/149.4</f>
        <v>368.13922356091</v>
      </c>
      <c r="H876" s="661" t="n">
        <f aca="false">G876/60</f>
        <v>6.13565372601517</v>
      </c>
      <c r="I876" s="660" t="n">
        <f aca="false">'норма времени'!D880</f>
        <v>80</v>
      </c>
      <c r="J876" s="661" t="n">
        <f aca="false">H876*I876</f>
        <v>490.852298081214</v>
      </c>
    </row>
    <row r="877" customFormat="false" ht="15" hidden="false" customHeight="false" outlineLevel="0" collapsed="false">
      <c r="A877" s="571" t="s">
        <v>1459</v>
      </c>
      <c r="B877" s="328" t="s">
        <v>3486</v>
      </c>
      <c r="C877" s="954" t="n">
        <v>65000</v>
      </c>
      <c r="D877" s="954" t="n">
        <v>55000</v>
      </c>
      <c r="E877" s="954" t="n">
        <v>50000</v>
      </c>
      <c r="F877" s="955" t="n">
        <f aca="false">C877+D877+E877</f>
        <v>170000</v>
      </c>
      <c r="G877" s="955" t="n">
        <f aca="false">F877/149.4</f>
        <v>1137.88487282463</v>
      </c>
      <c r="H877" s="661" t="n">
        <f aca="false">G877/60</f>
        <v>18.9647478804105</v>
      </c>
      <c r="I877" s="660" t="n">
        <f aca="false">'норма времени'!D881</f>
        <v>100</v>
      </c>
      <c r="J877" s="661" t="n">
        <f aca="false">H877*I877</f>
        <v>1896.47478804105</v>
      </c>
    </row>
    <row r="878" customFormat="false" ht="15" hidden="false" customHeight="false" outlineLevel="0" collapsed="false">
      <c r="A878" s="571" t="s">
        <v>1461</v>
      </c>
      <c r="B878" s="328" t="s">
        <v>3487</v>
      </c>
      <c r="C878" s="954" t="n">
        <v>45000</v>
      </c>
      <c r="D878" s="954" t="n">
        <v>40000</v>
      </c>
      <c r="E878" s="954" t="n">
        <v>28000</v>
      </c>
      <c r="F878" s="955" t="n">
        <f aca="false">C878+D878+E878</f>
        <v>113000</v>
      </c>
      <c r="G878" s="955" t="n">
        <f aca="false">F878/149.4</f>
        <v>756.358768406961</v>
      </c>
      <c r="H878" s="661" t="n">
        <f aca="false">G878/60</f>
        <v>12.6059794734494</v>
      </c>
      <c r="I878" s="660" t="n">
        <f aca="false">'норма времени'!D882</f>
        <v>140</v>
      </c>
      <c r="J878" s="661" t="n">
        <f aca="false">H878*I878</f>
        <v>1764.83712628291</v>
      </c>
    </row>
    <row r="879" customFormat="false" ht="15" hidden="false" customHeight="false" outlineLevel="0" collapsed="false">
      <c r="A879" s="571" t="s">
        <v>1463</v>
      </c>
      <c r="B879" s="328" t="s">
        <v>3488</v>
      </c>
      <c r="C879" s="954" t="n">
        <v>15000</v>
      </c>
      <c r="D879" s="954" t="n">
        <v>10000</v>
      </c>
      <c r="E879" s="954" t="n">
        <v>5000</v>
      </c>
      <c r="F879" s="955" t="n">
        <f aca="false">C879+D879+E879</f>
        <v>30000</v>
      </c>
      <c r="G879" s="955" t="n">
        <f aca="false">F879/149.4</f>
        <v>200.803212851406</v>
      </c>
      <c r="H879" s="661" t="n">
        <f aca="false">G879/60</f>
        <v>3.34672021419009</v>
      </c>
      <c r="I879" s="660" t="n">
        <f aca="false">'норма времени'!D883</f>
        <v>60</v>
      </c>
      <c r="J879" s="661" t="n">
        <f aca="false">H879*I879</f>
        <v>200.803212851406</v>
      </c>
    </row>
    <row r="880" customFormat="false" ht="15" hidden="false" customHeight="false" outlineLevel="0" collapsed="false">
      <c r="A880" s="571" t="s">
        <v>1465</v>
      </c>
      <c r="B880" s="328" t="s">
        <v>3489</v>
      </c>
      <c r="C880" s="954" t="n">
        <v>12760</v>
      </c>
      <c r="D880" s="954" t="n">
        <v>10000</v>
      </c>
      <c r="E880" s="954" t="n">
        <v>10000</v>
      </c>
      <c r="F880" s="955" t="n">
        <f aca="false">C880+D880+E880</f>
        <v>32760</v>
      </c>
      <c r="G880" s="955" t="n">
        <f aca="false">F880/149.4</f>
        <v>219.277108433735</v>
      </c>
      <c r="H880" s="661" t="n">
        <f aca="false">G880/60</f>
        <v>3.65461847389558</v>
      </c>
      <c r="I880" s="660" t="n">
        <f aca="false">'норма времени'!D884</f>
        <v>740</v>
      </c>
      <c r="J880" s="661" t="n">
        <f aca="false">H880*I880</f>
        <v>2704.41767068273</v>
      </c>
    </row>
    <row r="881" customFormat="false" ht="15" hidden="false" customHeight="false" outlineLevel="0" collapsed="false">
      <c r="A881" s="571" t="s">
        <v>1467</v>
      </c>
      <c r="B881" s="328" t="s">
        <v>3490</v>
      </c>
      <c r="C881" s="954" t="n">
        <v>10000</v>
      </c>
      <c r="D881" s="954" t="n">
        <v>7260</v>
      </c>
      <c r="E881" s="954" t="n">
        <v>5000</v>
      </c>
      <c r="F881" s="955" t="n">
        <f aca="false">C881+D881+E881</f>
        <v>22260</v>
      </c>
      <c r="G881" s="955" t="n">
        <f aca="false">F881/149.4</f>
        <v>148.995983935743</v>
      </c>
      <c r="H881" s="661" t="n">
        <f aca="false">G881/60</f>
        <v>2.48326639892905</v>
      </c>
      <c r="I881" s="660" t="n">
        <f aca="false">'норма времени'!D885</f>
        <v>740</v>
      </c>
      <c r="J881" s="661" t="n">
        <f aca="false">H881*I881</f>
        <v>1837.6171352075</v>
      </c>
    </row>
    <row r="882" customFormat="false" ht="15" hidden="false" customHeight="false" outlineLevel="0" collapsed="false">
      <c r="A882" s="571" t="s">
        <v>1469</v>
      </c>
      <c r="B882" s="328" t="s">
        <v>3491</v>
      </c>
      <c r="C882" s="954" t="n">
        <v>45000</v>
      </c>
      <c r="D882" s="954" t="n">
        <v>34545</v>
      </c>
      <c r="E882" s="954" t="n">
        <v>32000</v>
      </c>
      <c r="F882" s="955" t="n">
        <f aca="false">C882+D882+E882</f>
        <v>111545</v>
      </c>
      <c r="G882" s="955" t="n">
        <f aca="false">F882/149.4</f>
        <v>746.619812583668</v>
      </c>
      <c r="H882" s="661" t="n">
        <f aca="false">G882/60</f>
        <v>12.4436635430611</v>
      </c>
      <c r="I882" s="660" t="n">
        <f aca="false">'норма времени'!D886</f>
        <v>740</v>
      </c>
      <c r="J882" s="661" t="n">
        <f aca="false">H882*I882</f>
        <v>9208.31102186524</v>
      </c>
    </row>
    <row r="883" s="451" customFormat="true" ht="35.25" hidden="false" customHeight="true" outlineLevel="0" collapsed="false">
      <c r="A883" s="350" t="s">
        <v>1471</v>
      </c>
      <c r="B883" s="467" t="s">
        <v>3492</v>
      </c>
      <c r="C883" s="1253"/>
      <c r="D883" s="1253"/>
      <c r="E883" s="1253"/>
      <c r="F883" s="1254"/>
      <c r="G883" s="955" t="n">
        <f aca="false">F883/149.4</f>
        <v>0</v>
      </c>
      <c r="H883" s="1250"/>
      <c r="I883" s="1255"/>
      <c r="J883" s="1250"/>
      <c r="K883" s="1257"/>
      <c r="L883" s="1257"/>
      <c r="M883" s="1257"/>
      <c r="N883" s="1257"/>
      <c r="O883" s="1257"/>
      <c r="P883" s="1257"/>
      <c r="Q883" s="1257"/>
      <c r="R883" s="1257"/>
      <c r="S883" s="1257"/>
    </row>
    <row r="884" customFormat="false" ht="15.75" hidden="false" customHeight="true" outlineLevel="0" collapsed="false">
      <c r="A884" s="571" t="s">
        <v>1473</v>
      </c>
      <c r="B884" s="328" t="s">
        <v>3493</v>
      </c>
      <c r="C884" s="954" t="n">
        <v>10000</v>
      </c>
      <c r="D884" s="954" t="n">
        <v>5000</v>
      </c>
      <c r="E884" s="954" t="n">
        <v>4000</v>
      </c>
      <c r="F884" s="955" t="n">
        <f aca="false">C884+D884+E884</f>
        <v>19000</v>
      </c>
      <c r="G884" s="955" t="n">
        <f aca="false">F884/149.4</f>
        <v>127.175368139224</v>
      </c>
      <c r="H884" s="661" t="n">
        <f aca="false">G884/60</f>
        <v>2.11958946898706</v>
      </c>
      <c r="I884" s="660" t="n">
        <f aca="false">'норма времени'!D888</f>
        <v>40</v>
      </c>
      <c r="J884" s="661" t="n">
        <f aca="false">H884*I884</f>
        <v>84.7835787594824</v>
      </c>
    </row>
    <row r="885" customFormat="false" ht="15" hidden="false" customHeight="false" outlineLevel="0" collapsed="false">
      <c r="A885" s="571" t="s">
        <v>1475</v>
      </c>
      <c r="B885" s="328" t="s">
        <v>3494</v>
      </c>
      <c r="C885" s="954" t="n">
        <v>30000</v>
      </c>
      <c r="D885" s="954" t="n">
        <v>30000</v>
      </c>
      <c r="E885" s="954" t="n">
        <v>29700</v>
      </c>
      <c r="F885" s="955" t="n">
        <f aca="false">C885+D885+E885</f>
        <v>89700</v>
      </c>
      <c r="G885" s="955" t="n">
        <f aca="false">F885/149.4</f>
        <v>600.401606425703</v>
      </c>
      <c r="H885" s="661" t="n">
        <f aca="false">G885/60</f>
        <v>10.0066934404284</v>
      </c>
      <c r="I885" s="660" t="n">
        <f aca="false">'норма времени'!D889</f>
        <v>45</v>
      </c>
      <c r="J885" s="661" t="n">
        <f aca="false">H885*I885</f>
        <v>450.301204819277</v>
      </c>
    </row>
    <row r="886" customFormat="false" ht="15" hidden="false" customHeight="false" outlineLevel="0" collapsed="false">
      <c r="A886" s="571" t="s">
        <v>1476</v>
      </c>
      <c r="B886" s="328" t="s">
        <v>3495</v>
      </c>
      <c r="C886" s="954" t="n">
        <v>45000</v>
      </c>
      <c r="D886" s="954" t="n">
        <v>35000</v>
      </c>
      <c r="E886" s="954" t="n">
        <v>25000</v>
      </c>
      <c r="F886" s="955" t="n">
        <f aca="false">C886+D886+E886</f>
        <v>105000</v>
      </c>
      <c r="G886" s="955" t="n">
        <f aca="false">F886/149.4</f>
        <v>702.81124497992</v>
      </c>
      <c r="H886" s="661" t="n">
        <f aca="false">G886/60</f>
        <v>11.7135207496653</v>
      </c>
      <c r="I886" s="660" t="n">
        <f aca="false">'норма времени'!D890</f>
        <v>45</v>
      </c>
      <c r="J886" s="661" t="n">
        <f aca="false">H886*I886</f>
        <v>527.10843373494</v>
      </c>
    </row>
    <row r="887" customFormat="false" ht="15" hidden="false" customHeight="false" outlineLevel="0" collapsed="false">
      <c r="A887" s="571" t="s">
        <v>1477</v>
      </c>
      <c r="B887" s="328" t="s">
        <v>3496</v>
      </c>
      <c r="C887" s="954" t="n">
        <v>45000</v>
      </c>
      <c r="D887" s="954" t="n">
        <v>40000</v>
      </c>
      <c r="E887" s="954" t="n">
        <v>35000</v>
      </c>
      <c r="F887" s="955" t="n">
        <f aca="false">C887+D887+E887</f>
        <v>120000</v>
      </c>
      <c r="G887" s="955" t="n">
        <f aca="false">F887/149.4</f>
        <v>803.212851405623</v>
      </c>
      <c r="H887" s="661" t="n">
        <f aca="false">G887/60</f>
        <v>13.3868808567604</v>
      </c>
      <c r="I887" s="660" t="n">
        <f aca="false">'норма времени'!D891</f>
        <v>45</v>
      </c>
      <c r="J887" s="661" t="n">
        <f aca="false">H887*I887</f>
        <v>602.409638554217</v>
      </c>
    </row>
    <row r="888" customFormat="false" ht="15" hidden="false" customHeight="false" outlineLevel="0" collapsed="false">
      <c r="A888" s="571" t="s">
        <v>1478</v>
      </c>
      <c r="B888" s="328" t="s">
        <v>3497</v>
      </c>
      <c r="C888" s="954" t="n">
        <v>30000</v>
      </c>
      <c r="D888" s="954" t="n">
        <v>20000</v>
      </c>
      <c r="E888" s="954" t="n">
        <v>20000</v>
      </c>
      <c r="F888" s="955" t="n">
        <f aca="false">C888+D888+E888</f>
        <v>70000</v>
      </c>
      <c r="G888" s="955" t="n">
        <f aca="false">F888/149.4</f>
        <v>468.540829986613</v>
      </c>
      <c r="H888" s="661" t="n">
        <f aca="false">G888/60</f>
        <v>7.80901383311022</v>
      </c>
      <c r="I888" s="660" t="n">
        <f aca="false">'норма времени'!D892</f>
        <v>60</v>
      </c>
      <c r="J888" s="661" t="n">
        <f aca="false">H888*I888</f>
        <v>468.540829986613</v>
      </c>
    </row>
    <row r="889" customFormat="false" ht="15" hidden="false" customHeight="false" outlineLevel="0" collapsed="false">
      <c r="A889" s="571" t="s">
        <v>1479</v>
      </c>
      <c r="B889" s="328" t="s">
        <v>3498</v>
      </c>
      <c r="C889" s="954" t="n">
        <v>30000</v>
      </c>
      <c r="D889" s="954" t="n">
        <v>28000</v>
      </c>
      <c r="E889" s="954" t="n">
        <v>20000</v>
      </c>
      <c r="F889" s="955" t="n">
        <f aca="false">C889+D889+E889</f>
        <v>78000</v>
      </c>
      <c r="G889" s="955" t="n">
        <f aca="false">F889/149.4</f>
        <v>522.088353413655</v>
      </c>
      <c r="H889" s="661" t="n">
        <f aca="false">G889/60</f>
        <v>8.70147255689424</v>
      </c>
      <c r="I889" s="660" t="n">
        <f aca="false">'норма времени'!D893</f>
        <v>80</v>
      </c>
      <c r="J889" s="661" t="n">
        <f aca="false">H889*I889</f>
        <v>696.117804551539</v>
      </c>
    </row>
    <row r="890" customFormat="false" ht="15" hidden="false" customHeight="false" outlineLevel="0" collapsed="false">
      <c r="A890" s="571" t="s">
        <v>1480</v>
      </c>
      <c r="B890" s="328" t="s">
        <v>3499</v>
      </c>
      <c r="C890" s="954" t="n">
        <v>25000</v>
      </c>
      <c r="D890" s="954" t="n">
        <v>20000</v>
      </c>
      <c r="E890" s="954" t="n">
        <v>15000</v>
      </c>
      <c r="F890" s="955" t="n">
        <f aca="false">C890+D890+E890</f>
        <v>60000</v>
      </c>
      <c r="G890" s="955" t="n">
        <f aca="false">F890/149.4</f>
        <v>401.606425702811</v>
      </c>
      <c r="H890" s="661" t="n">
        <f aca="false">G890/60</f>
        <v>6.69344042838019</v>
      </c>
      <c r="I890" s="660" t="n">
        <f aca="false">'норма времени'!D894</f>
        <v>80</v>
      </c>
      <c r="J890" s="661" t="n">
        <f aca="false">H890*I890</f>
        <v>535.475234270415</v>
      </c>
    </row>
    <row r="891" customFormat="false" ht="15" hidden="false" customHeight="false" outlineLevel="0" collapsed="false">
      <c r="A891" s="571" t="s">
        <v>1481</v>
      </c>
      <c r="B891" s="328" t="s">
        <v>3500</v>
      </c>
      <c r="C891" s="954" t="n">
        <v>35000</v>
      </c>
      <c r="D891" s="954" t="n">
        <v>30000</v>
      </c>
      <c r="E891" s="954" t="n">
        <v>28000</v>
      </c>
      <c r="F891" s="955" t="n">
        <f aca="false">C891+D891+E891</f>
        <v>93000</v>
      </c>
      <c r="G891" s="955" t="n">
        <f aca="false">F891/149.4</f>
        <v>622.489959839357</v>
      </c>
      <c r="H891" s="661" t="n">
        <f aca="false">G891/60</f>
        <v>10.3748326639893</v>
      </c>
      <c r="I891" s="660" t="n">
        <f aca="false">'норма времени'!D895</f>
        <v>80</v>
      </c>
      <c r="J891" s="661" t="n">
        <f aca="false">H891*I891</f>
        <v>829.986613119143</v>
      </c>
    </row>
    <row r="892" customFormat="false" ht="15" hidden="false" customHeight="false" outlineLevel="0" collapsed="false">
      <c r="A892" s="571" t="s">
        <v>1482</v>
      </c>
      <c r="B892" s="328" t="s">
        <v>3501</v>
      </c>
      <c r="C892" s="954" t="n">
        <v>35000</v>
      </c>
      <c r="D892" s="954" t="n">
        <v>30000</v>
      </c>
      <c r="E892" s="954" t="n">
        <v>20000</v>
      </c>
      <c r="F892" s="955" t="n">
        <f aca="false">C892+D892+E892</f>
        <v>85000</v>
      </c>
      <c r="G892" s="955" t="n">
        <f aca="false">F892/149.4</f>
        <v>568.942436412316</v>
      </c>
      <c r="H892" s="661" t="n">
        <f aca="false">G892/60</f>
        <v>9.48237394020527</v>
      </c>
      <c r="I892" s="660" t="n">
        <f aca="false">'норма времени'!D896</f>
        <v>80</v>
      </c>
      <c r="J892" s="661" t="n">
        <f aca="false">H892*I892</f>
        <v>758.589915216421</v>
      </c>
    </row>
    <row r="893" customFormat="false" ht="15" hidden="false" customHeight="false" outlineLevel="0" collapsed="false">
      <c r="A893" s="571" t="s">
        <v>1483</v>
      </c>
      <c r="B893" s="328" t="s">
        <v>3431</v>
      </c>
      <c r="C893" s="954" t="n">
        <v>45000</v>
      </c>
      <c r="D893" s="954" t="n">
        <v>35000</v>
      </c>
      <c r="E893" s="954" t="n">
        <v>30000</v>
      </c>
      <c r="F893" s="955" t="n">
        <f aca="false">C893+D893+E893</f>
        <v>110000</v>
      </c>
      <c r="G893" s="955" t="n">
        <f aca="false">F893/149.4</f>
        <v>736.278447121821</v>
      </c>
      <c r="H893" s="661" t="n">
        <f aca="false">G893/60</f>
        <v>12.2713074520303</v>
      </c>
      <c r="I893" s="660" t="n">
        <f aca="false">'норма времени'!D897</f>
        <v>80</v>
      </c>
      <c r="J893" s="661" t="n">
        <f aca="false">H893*I893</f>
        <v>981.704596162428</v>
      </c>
    </row>
    <row r="894" customFormat="false" ht="15" hidden="false" customHeight="false" outlineLevel="0" collapsed="false">
      <c r="A894" s="571" t="s">
        <v>1484</v>
      </c>
      <c r="B894" s="328" t="s">
        <v>3199</v>
      </c>
      <c r="C894" s="954" t="n">
        <v>45000</v>
      </c>
      <c r="D894" s="954" t="n">
        <v>35000</v>
      </c>
      <c r="E894" s="954" t="n">
        <v>30000</v>
      </c>
      <c r="F894" s="955" t="n">
        <f aca="false">C894+D894+E894</f>
        <v>110000</v>
      </c>
      <c r="G894" s="955" t="n">
        <f aca="false">F894/149.4</f>
        <v>736.278447121821</v>
      </c>
      <c r="H894" s="661" t="n">
        <f aca="false">G894/60</f>
        <v>12.2713074520303</v>
      </c>
      <c r="I894" s="660" t="n">
        <f aca="false">'норма времени'!D898</f>
        <v>80</v>
      </c>
      <c r="J894" s="661" t="n">
        <f aca="false">H894*I894</f>
        <v>981.704596162428</v>
      </c>
    </row>
    <row r="895" customFormat="false" ht="15" hidden="false" customHeight="false" outlineLevel="0" collapsed="false">
      <c r="A895" s="571" t="s">
        <v>1485</v>
      </c>
      <c r="B895" s="328" t="s">
        <v>3502</v>
      </c>
      <c r="C895" s="954" t="n">
        <v>35000</v>
      </c>
      <c r="D895" s="954" t="n">
        <v>25000</v>
      </c>
      <c r="E895" s="954" t="n">
        <v>15000</v>
      </c>
      <c r="F895" s="955" t="n">
        <f aca="false">C895+D895+E895</f>
        <v>75000</v>
      </c>
      <c r="G895" s="955" t="n">
        <f aca="false">F895/149.4</f>
        <v>502.008032128514</v>
      </c>
      <c r="H895" s="661" t="n">
        <f aca="false">G895/60</f>
        <v>8.36680053547523</v>
      </c>
      <c r="I895" s="660" t="n">
        <f aca="false">'норма времени'!D899</f>
        <v>80</v>
      </c>
      <c r="J895" s="661" t="n">
        <f aca="false">H895*I895</f>
        <v>669.344042838019</v>
      </c>
    </row>
    <row r="896" customFormat="false" ht="15" hidden="false" customHeight="false" outlineLevel="0" collapsed="false">
      <c r="A896" s="571" t="s">
        <v>1486</v>
      </c>
      <c r="B896" s="328" t="s">
        <v>3433</v>
      </c>
      <c r="C896" s="954" t="n">
        <v>30000</v>
      </c>
      <c r="D896" s="954" t="n">
        <v>25000</v>
      </c>
      <c r="E896" s="954" t="n">
        <v>15000</v>
      </c>
      <c r="F896" s="955" t="n">
        <f aca="false">C896+D896+E896</f>
        <v>70000</v>
      </c>
      <c r="G896" s="955" t="n">
        <f aca="false">F896/149.4</f>
        <v>468.540829986613</v>
      </c>
      <c r="H896" s="661" t="n">
        <f aca="false">G896/60</f>
        <v>7.80901383311022</v>
      </c>
      <c r="I896" s="660" t="n">
        <f aca="false">'норма времени'!D900</f>
        <v>60</v>
      </c>
      <c r="J896" s="661" t="n">
        <f aca="false">H896*I896</f>
        <v>468.540829986613</v>
      </c>
    </row>
    <row r="897" customFormat="false" ht="15" hidden="false" customHeight="false" outlineLevel="0" collapsed="false">
      <c r="A897" s="571" t="s">
        <v>1487</v>
      </c>
      <c r="B897" s="328" t="s">
        <v>3434</v>
      </c>
      <c r="C897" s="954" t="n">
        <v>45000</v>
      </c>
      <c r="D897" s="954" t="n">
        <v>35000</v>
      </c>
      <c r="E897" s="954" t="n">
        <v>25000</v>
      </c>
      <c r="F897" s="955" t="n">
        <f aca="false">C897+D897+E897</f>
        <v>105000</v>
      </c>
      <c r="G897" s="955" t="n">
        <f aca="false">F897/149.4</f>
        <v>702.81124497992</v>
      </c>
      <c r="H897" s="661" t="n">
        <f aca="false">G897/60</f>
        <v>11.7135207496653</v>
      </c>
      <c r="I897" s="660" t="n">
        <f aca="false">'норма времени'!D901</f>
        <v>80</v>
      </c>
      <c r="J897" s="661" t="n">
        <f aca="false">H897*I897</f>
        <v>937.081659973226</v>
      </c>
    </row>
    <row r="898" customFormat="false" ht="15" hidden="false" customHeight="false" outlineLevel="0" collapsed="false">
      <c r="A898" s="571" t="s">
        <v>1488</v>
      </c>
      <c r="B898" s="328" t="s">
        <v>3435</v>
      </c>
      <c r="C898" s="954" t="n">
        <v>15000</v>
      </c>
      <c r="D898" s="954" t="n">
        <v>10000</v>
      </c>
      <c r="E898" s="954" t="n">
        <v>5000</v>
      </c>
      <c r="F898" s="955" t="n">
        <f aca="false">C898+D898+E898</f>
        <v>30000</v>
      </c>
      <c r="G898" s="955" t="n">
        <f aca="false">F898/149.4</f>
        <v>200.803212851406</v>
      </c>
      <c r="H898" s="661" t="n">
        <f aca="false">G898/60</f>
        <v>3.34672021419009</v>
      </c>
      <c r="I898" s="660" t="n">
        <f aca="false">'норма времени'!D902</f>
        <v>80</v>
      </c>
      <c r="J898" s="661" t="n">
        <f aca="false">H898*I898</f>
        <v>267.737617135208</v>
      </c>
    </row>
    <row r="899" customFormat="false" ht="15" hidden="false" customHeight="false" outlineLevel="0" collapsed="false">
      <c r="A899" s="571" t="s">
        <v>1489</v>
      </c>
      <c r="B899" s="328" t="s">
        <v>3436</v>
      </c>
      <c r="C899" s="954" t="n">
        <v>45000</v>
      </c>
      <c r="D899" s="954" t="n">
        <v>35000</v>
      </c>
      <c r="E899" s="954" t="n">
        <v>30000</v>
      </c>
      <c r="F899" s="955" t="n">
        <f aca="false">C899+D899+E899</f>
        <v>110000</v>
      </c>
      <c r="G899" s="955" t="n">
        <f aca="false">F899/149.4</f>
        <v>736.278447121821</v>
      </c>
      <c r="H899" s="661" t="n">
        <f aca="false">G899/60</f>
        <v>12.2713074520303</v>
      </c>
      <c r="I899" s="660" t="n">
        <f aca="false">'норма времени'!D903</f>
        <v>80</v>
      </c>
      <c r="J899" s="661" t="n">
        <f aca="false">H899*I899</f>
        <v>981.704596162428</v>
      </c>
    </row>
    <row r="900" customFormat="false" ht="15" hidden="false" customHeight="false" outlineLevel="0" collapsed="false">
      <c r="A900" s="571" t="s">
        <v>1490</v>
      </c>
      <c r="B900" s="328" t="s">
        <v>3437</v>
      </c>
      <c r="C900" s="954" t="n">
        <v>45000</v>
      </c>
      <c r="D900" s="954" t="n">
        <v>35000</v>
      </c>
      <c r="E900" s="954" t="n">
        <v>30000</v>
      </c>
      <c r="F900" s="955" t="n">
        <f aca="false">C900+D900+E900</f>
        <v>110000</v>
      </c>
      <c r="G900" s="955" t="n">
        <f aca="false">F900/149.4</f>
        <v>736.278447121821</v>
      </c>
      <c r="H900" s="661" t="n">
        <f aca="false">G900/60</f>
        <v>12.2713074520303</v>
      </c>
      <c r="I900" s="660" t="n">
        <f aca="false">'норма времени'!D904</f>
        <v>80</v>
      </c>
      <c r="J900" s="661" t="n">
        <f aca="false">H900*I900</f>
        <v>981.704596162428</v>
      </c>
    </row>
    <row r="901" customFormat="false" ht="15" hidden="false" customHeight="false" outlineLevel="0" collapsed="false">
      <c r="A901" s="571" t="s">
        <v>1491</v>
      </c>
      <c r="B901" s="328" t="s">
        <v>3438</v>
      </c>
      <c r="C901" s="954" t="n">
        <v>45000</v>
      </c>
      <c r="D901" s="954" t="n">
        <v>40000</v>
      </c>
      <c r="E901" s="954" t="n">
        <v>35000</v>
      </c>
      <c r="F901" s="955" t="n">
        <f aca="false">C901+D901+E901</f>
        <v>120000</v>
      </c>
      <c r="G901" s="955" t="n">
        <f aca="false">F901/149.4</f>
        <v>803.212851405623</v>
      </c>
      <c r="H901" s="661" t="n">
        <f aca="false">G901/60</f>
        <v>13.3868808567604</v>
      </c>
      <c r="I901" s="660" t="n">
        <f aca="false">'норма времени'!D905</f>
        <v>60</v>
      </c>
      <c r="J901" s="661" t="n">
        <f aca="false">H901*I901</f>
        <v>803.212851405623</v>
      </c>
    </row>
    <row r="902" customFormat="false" ht="15" hidden="false" customHeight="false" outlineLevel="0" collapsed="false">
      <c r="A902" s="571" t="s">
        <v>1492</v>
      </c>
      <c r="B902" s="328" t="s">
        <v>3503</v>
      </c>
      <c r="C902" s="954" t="n">
        <v>20000</v>
      </c>
      <c r="D902" s="954" t="n">
        <v>10000</v>
      </c>
      <c r="E902" s="954" t="n">
        <v>10000</v>
      </c>
      <c r="F902" s="955" t="n">
        <f aca="false">C902+D902+E902</f>
        <v>40000</v>
      </c>
      <c r="G902" s="955" t="n">
        <f aca="false">F902/149.4</f>
        <v>267.737617135208</v>
      </c>
      <c r="H902" s="661" t="n">
        <f aca="false">G902/60</f>
        <v>4.46229361892013</v>
      </c>
      <c r="I902" s="660" t="n">
        <f aca="false">'норма времени'!D906</f>
        <v>80</v>
      </c>
      <c r="J902" s="661" t="n">
        <f aca="false">H902*I902</f>
        <v>356.98348951361</v>
      </c>
    </row>
    <row r="903" customFormat="false" ht="15" hidden="false" customHeight="false" outlineLevel="0" collapsed="false">
      <c r="A903" s="571" t="s">
        <v>1493</v>
      </c>
      <c r="B903" s="328" t="s">
        <v>3504</v>
      </c>
      <c r="C903" s="954" t="n">
        <v>30000</v>
      </c>
      <c r="D903" s="954" t="n">
        <v>25000</v>
      </c>
      <c r="E903" s="954" t="n">
        <v>20000</v>
      </c>
      <c r="F903" s="955" t="n">
        <f aca="false">C903+D903+E903</f>
        <v>75000</v>
      </c>
      <c r="G903" s="955" t="n">
        <f aca="false">F903/149.4</f>
        <v>502.008032128514</v>
      </c>
      <c r="H903" s="661" t="n">
        <f aca="false">G903/60</f>
        <v>8.36680053547523</v>
      </c>
      <c r="I903" s="660" t="n">
        <f aca="false">'норма времени'!D907</f>
        <v>60</v>
      </c>
      <c r="J903" s="661" t="n">
        <f aca="false">H903*I903</f>
        <v>502.008032128514</v>
      </c>
    </row>
    <row r="904" customFormat="false" ht="15" hidden="false" customHeight="false" outlineLevel="0" collapsed="false">
      <c r="A904" s="571" t="s">
        <v>1494</v>
      </c>
      <c r="B904" s="328" t="s">
        <v>3440</v>
      </c>
      <c r="C904" s="954" t="n">
        <v>30000</v>
      </c>
      <c r="D904" s="954" t="n">
        <v>25000</v>
      </c>
      <c r="E904" s="954" t="n">
        <v>15000</v>
      </c>
      <c r="F904" s="955" t="n">
        <f aca="false">C904+D904+E904</f>
        <v>70000</v>
      </c>
      <c r="G904" s="955" t="n">
        <f aca="false">F904/149.4</f>
        <v>468.540829986613</v>
      </c>
      <c r="H904" s="661" t="n">
        <f aca="false">G904/60</f>
        <v>7.80901383311022</v>
      </c>
      <c r="I904" s="660" t="n">
        <f aca="false">'норма времени'!D908</f>
        <v>80</v>
      </c>
      <c r="J904" s="661" t="n">
        <f aca="false">H904*I904</f>
        <v>624.721106648818</v>
      </c>
    </row>
    <row r="905" customFormat="false" ht="15" hidden="false" customHeight="false" outlineLevel="0" collapsed="false">
      <c r="A905" s="571" t="s">
        <v>1495</v>
      </c>
      <c r="B905" s="328" t="s">
        <v>3505</v>
      </c>
      <c r="C905" s="954" t="n">
        <v>20000</v>
      </c>
      <c r="D905" s="954" t="n">
        <v>15000</v>
      </c>
      <c r="E905" s="954" t="n">
        <v>10000</v>
      </c>
      <c r="F905" s="955" t="n">
        <f aca="false">C905+D905+E905</f>
        <v>45000</v>
      </c>
      <c r="G905" s="955" t="n">
        <f aca="false">F905/149.4</f>
        <v>301.204819277108</v>
      </c>
      <c r="H905" s="661" t="n">
        <f aca="false">G905/60</f>
        <v>5.02008032128514</v>
      </c>
      <c r="I905" s="660" t="n">
        <f aca="false">'норма времени'!D909</f>
        <v>80</v>
      </c>
      <c r="J905" s="661" t="n">
        <f aca="false">H905*I905</f>
        <v>401.606425702811</v>
      </c>
    </row>
    <row r="906" customFormat="false" ht="30" hidden="false" customHeight="false" outlineLevel="0" collapsed="false">
      <c r="A906" s="571" t="s">
        <v>1496</v>
      </c>
      <c r="B906" s="328" t="s">
        <v>3466</v>
      </c>
      <c r="C906" s="954" t="n">
        <v>10000</v>
      </c>
      <c r="D906" s="954" t="n">
        <v>5000</v>
      </c>
      <c r="E906" s="954" t="n">
        <v>5000</v>
      </c>
      <c r="F906" s="955" t="n">
        <f aca="false">C906+D906+E906</f>
        <v>20000</v>
      </c>
      <c r="G906" s="955" t="n">
        <f aca="false">F906/149.4</f>
        <v>133.868808567604</v>
      </c>
      <c r="H906" s="661" t="n">
        <f aca="false">G906/60</f>
        <v>2.23114680946006</v>
      </c>
      <c r="I906" s="660" t="n">
        <f aca="false">'норма времени'!D910</f>
        <v>80</v>
      </c>
      <c r="J906" s="661" t="n">
        <f aca="false">H906*I906</f>
        <v>178.491744756805</v>
      </c>
    </row>
    <row r="907" customFormat="false" ht="15" hidden="false" customHeight="false" outlineLevel="0" collapsed="false">
      <c r="A907" s="571" t="s">
        <v>1497</v>
      </c>
      <c r="B907" s="328" t="s">
        <v>3506</v>
      </c>
      <c r="C907" s="954" t="n">
        <v>25000</v>
      </c>
      <c r="D907" s="954" t="n">
        <v>20000</v>
      </c>
      <c r="E907" s="954" t="n">
        <v>15000</v>
      </c>
      <c r="F907" s="955" t="n">
        <f aca="false">C907+D907+E907</f>
        <v>60000</v>
      </c>
      <c r="G907" s="955" t="n">
        <f aca="false">F907/149.4</f>
        <v>401.606425702811</v>
      </c>
      <c r="H907" s="661" t="n">
        <f aca="false">G907/60</f>
        <v>6.69344042838019</v>
      </c>
      <c r="I907" s="660" t="n">
        <f aca="false">'норма времени'!D911</f>
        <v>60</v>
      </c>
      <c r="J907" s="661" t="n">
        <f aca="false">H907*I907</f>
        <v>401.606425702811</v>
      </c>
    </row>
    <row r="908" customFormat="false" ht="15" hidden="false" customHeight="false" outlineLevel="0" collapsed="false">
      <c r="A908" s="571" t="s">
        <v>1498</v>
      </c>
      <c r="B908" s="328" t="s">
        <v>3457</v>
      </c>
      <c r="C908" s="954" t="n">
        <v>20000</v>
      </c>
      <c r="D908" s="954" t="n">
        <v>15000</v>
      </c>
      <c r="E908" s="954" t="n">
        <v>10000</v>
      </c>
      <c r="F908" s="955" t="n">
        <f aca="false">C908+D908+E908</f>
        <v>45000</v>
      </c>
      <c r="G908" s="955" t="n">
        <f aca="false">F908/149.4</f>
        <v>301.204819277108</v>
      </c>
      <c r="H908" s="661" t="n">
        <f aca="false">G908/60</f>
        <v>5.02008032128514</v>
      </c>
      <c r="I908" s="660" t="n">
        <f aca="false">'норма времени'!D912</f>
        <v>80</v>
      </c>
      <c r="J908" s="661" t="n">
        <f aca="false">H908*I908</f>
        <v>401.606425702811</v>
      </c>
    </row>
    <row r="909" customFormat="false" ht="15" hidden="false" customHeight="false" outlineLevel="0" collapsed="false">
      <c r="A909" s="571" t="s">
        <v>1499</v>
      </c>
      <c r="B909" s="328" t="s">
        <v>3507</v>
      </c>
      <c r="C909" s="954" t="n">
        <v>20000</v>
      </c>
      <c r="D909" s="954" t="n">
        <v>10000</v>
      </c>
      <c r="E909" s="954" t="n">
        <v>10000</v>
      </c>
      <c r="F909" s="955" t="n">
        <f aca="false">C909+D909+E909</f>
        <v>40000</v>
      </c>
      <c r="G909" s="955" t="n">
        <f aca="false">F909/149.4</f>
        <v>267.737617135208</v>
      </c>
      <c r="H909" s="661" t="n">
        <f aca="false">G909/60</f>
        <v>4.46229361892013</v>
      </c>
      <c r="I909" s="660" t="n">
        <f aca="false">'норма времени'!D913</f>
        <v>60</v>
      </c>
      <c r="J909" s="661" t="n">
        <f aca="false">H909*I909</f>
        <v>267.737617135208</v>
      </c>
    </row>
    <row r="910" customFormat="false" ht="15" hidden="false" customHeight="false" outlineLevel="0" collapsed="false">
      <c r="A910" s="571" t="s">
        <v>1500</v>
      </c>
      <c r="B910" s="328" t="s">
        <v>3508</v>
      </c>
      <c r="C910" s="954" t="n">
        <v>15000</v>
      </c>
      <c r="D910" s="954" t="n">
        <v>10000</v>
      </c>
      <c r="E910" s="954" t="n">
        <v>5000</v>
      </c>
      <c r="F910" s="955" t="n">
        <f aca="false">C910+D910+E910</f>
        <v>30000</v>
      </c>
      <c r="G910" s="955" t="n">
        <f aca="false">F910/149.4</f>
        <v>200.803212851406</v>
      </c>
      <c r="H910" s="661" t="n">
        <f aca="false">G910/60</f>
        <v>3.34672021419009</v>
      </c>
      <c r="I910" s="660" t="n">
        <f aca="false">'норма времени'!D914</f>
        <v>80</v>
      </c>
      <c r="J910" s="661" t="n">
        <f aca="false">H910*I910</f>
        <v>267.737617135208</v>
      </c>
    </row>
    <row r="911" customFormat="false" ht="15" hidden="false" customHeight="false" outlineLevel="0" collapsed="false">
      <c r="A911" s="571" t="s">
        <v>1501</v>
      </c>
      <c r="B911" s="328" t="s">
        <v>3509</v>
      </c>
      <c r="C911" s="954" t="n">
        <v>15000</v>
      </c>
      <c r="D911" s="954" t="n">
        <v>10000</v>
      </c>
      <c r="E911" s="954" t="n">
        <v>5000</v>
      </c>
      <c r="F911" s="955" t="n">
        <f aca="false">C911+D911+E911</f>
        <v>30000</v>
      </c>
      <c r="G911" s="955" t="n">
        <f aca="false">F911/149.4</f>
        <v>200.803212851406</v>
      </c>
      <c r="H911" s="661" t="n">
        <f aca="false">G911/60</f>
        <v>3.34672021419009</v>
      </c>
      <c r="I911" s="660" t="n">
        <f aca="false">'норма времени'!D915</f>
        <v>80</v>
      </c>
      <c r="J911" s="661" t="n">
        <f aca="false">H911*I911</f>
        <v>267.737617135208</v>
      </c>
    </row>
    <row r="912" customFormat="false" ht="15" hidden="false" customHeight="false" outlineLevel="0" collapsed="false">
      <c r="A912" s="571" t="s">
        <v>1502</v>
      </c>
      <c r="B912" s="328" t="s">
        <v>3460</v>
      </c>
      <c r="C912" s="954" t="n">
        <v>20000</v>
      </c>
      <c r="D912" s="954" t="n">
        <v>15000</v>
      </c>
      <c r="E912" s="954" t="n">
        <v>10000</v>
      </c>
      <c r="F912" s="955" t="n">
        <f aca="false">C912+D912+E912</f>
        <v>45000</v>
      </c>
      <c r="G912" s="955" t="n">
        <f aca="false">F912/149.4</f>
        <v>301.204819277108</v>
      </c>
      <c r="H912" s="661" t="n">
        <f aca="false">G912/60</f>
        <v>5.02008032128514</v>
      </c>
      <c r="I912" s="660" t="n">
        <f aca="false">'норма времени'!D916</f>
        <v>80</v>
      </c>
      <c r="J912" s="661" t="n">
        <f aca="false">H912*I912</f>
        <v>401.606425702811</v>
      </c>
    </row>
    <row r="913" customFormat="false" ht="15" hidden="false" customHeight="false" outlineLevel="0" collapsed="false">
      <c r="A913" s="571" t="s">
        <v>1503</v>
      </c>
      <c r="B913" s="328" t="s">
        <v>3445</v>
      </c>
      <c r="C913" s="954" t="n">
        <v>15000</v>
      </c>
      <c r="D913" s="954" t="n">
        <v>10000</v>
      </c>
      <c r="E913" s="954" t="n">
        <v>10000</v>
      </c>
      <c r="F913" s="955" t="n">
        <f aca="false">C913+D913+E913</f>
        <v>35000</v>
      </c>
      <c r="G913" s="955" t="n">
        <f aca="false">F913/149.4</f>
        <v>234.270414993307</v>
      </c>
      <c r="H913" s="661" t="n">
        <f aca="false">G913/60</f>
        <v>3.90450691655511</v>
      </c>
      <c r="I913" s="660" t="n">
        <f aca="false">'норма времени'!D917</f>
        <v>80</v>
      </c>
      <c r="J913" s="661" t="n">
        <f aca="false">H913*I913</f>
        <v>312.360553324409</v>
      </c>
    </row>
    <row r="914" customFormat="false" ht="15" hidden="false" customHeight="false" outlineLevel="0" collapsed="false">
      <c r="A914" s="571" t="s">
        <v>1504</v>
      </c>
      <c r="B914" s="328" t="s">
        <v>3510</v>
      </c>
      <c r="C914" s="954" t="n">
        <v>10000</v>
      </c>
      <c r="D914" s="954" t="n">
        <v>10000</v>
      </c>
      <c r="E914" s="954" t="n">
        <v>10000</v>
      </c>
      <c r="F914" s="955" t="n">
        <f aca="false">C914+D914+E914</f>
        <v>30000</v>
      </c>
      <c r="G914" s="955" t="n">
        <f aca="false">F914/149.4</f>
        <v>200.803212851406</v>
      </c>
      <c r="H914" s="661" t="n">
        <f aca="false">G914/60</f>
        <v>3.34672021419009</v>
      </c>
      <c r="I914" s="660" t="n">
        <f aca="false">'норма времени'!D918</f>
        <v>80</v>
      </c>
      <c r="J914" s="661" t="n">
        <f aca="false">H914*I914</f>
        <v>267.737617135208</v>
      </c>
    </row>
    <row r="915" customFormat="false" ht="15" hidden="false" customHeight="false" outlineLevel="0" collapsed="false">
      <c r="A915" s="571" t="s">
        <v>1505</v>
      </c>
      <c r="B915" s="328" t="s">
        <v>3511</v>
      </c>
      <c r="C915" s="954" t="n">
        <v>15000</v>
      </c>
      <c r="D915" s="954" t="n">
        <v>10000</v>
      </c>
      <c r="E915" s="954" t="n">
        <v>10000</v>
      </c>
      <c r="F915" s="955" t="n">
        <f aca="false">C915+D915+E915</f>
        <v>35000</v>
      </c>
      <c r="G915" s="955" t="n">
        <f aca="false">F915/149.4</f>
        <v>234.270414993307</v>
      </c>
      <c r="H915" s="661" t="n">
        <f aca="false">G915/60</f>
        <v>3.90450691655511</v>
      </c>
      <c r="I915" s="660" t="n">
        <f aca="false">'норма времени'!D919</f>
        <v>80</v>
      </c>
      <c r="J915" s="661" t="n">
        <f aca="false">H915*I915</f>
        <v>312.360553324409</v>
      </c>
    </row>
    <row r="916" customFormat="false" ht="15" hidden="false" customHeight="false" outlineLevel="0" collapsed="false">
      <c r="A916" s="571" t="s">
        <v>1507</v>
      </c>
      <c r="B916" s="328" t="s">
        <v>3512</v>
      </c>
      <c r="C916" s="954" t="n">
        <v>15000</v>
      </c>
      <c r="D916" s="954" t="n">
        <v>15000</v>
      </c>
      <c r="E916" s="954" t="n">
        <v>10000</v>
      </c>
      <c r="F916" s="955" t="n">
        <f aca="false">C916+D916+E916</f>
        <v>40000</v>
      </c>
      <c r="G916" s="955" t="n">
        <f aca="false">F916/149.4</f>
        <v>267.737617135208</v>
      </c>
      <c r="H916" s="661" t="n">
        <f aca="false">G916/60</f>
        <v>4.46229361892013</v>
      </c>
      <c r="I916" s="660" t="n">
        <f aca="false">'норма времени'!D920</f>
        <v>80</v>
      </c>
      <c r="J916" s="661" t="n">
        <f aca="false">H916*I916</f>
        <v>356.98348951361</v>
      </c>
    </row>
    <row r="917" customFormat="false" ht="15" hidden="false" customHeight="false" outlineLevel="0" collapsed="false">
      <c r="A917" s="571" t="s">
        <v>1509</v>
      </c>
      <c r="B917" s="328" t="s">
        <v>3513</v>
      </c>
      <c r="C917" s="954" t="n">
        <v>15000</v>
      </c>
      <c r="D917" s="954" t="n">
        <v>15000</v>
      </c>
      <c r="E917" s="954" t="n">
        <v>10000</v>
      </c>
      <c r="F917" s="955" t="n">
        <f aca="false">C917+D917+E917</f>
        <v>40000</v>
      </c>
      <c r="G917" s="955" t="n">
        <f aca="false">F917/149.4</f>
        <v>267.737617135208</v>
      </c>
      <c r="H917" s="661" t="n">
        <f aca="false">G917/60</f>
        <v>4.46229361892013</v>
      </c>
      <c r="I917" s="660" t="n">
        <f aca="false">'норма времени'!D921</f>
        <v>80</v>
      </c>
      <c r="J917" s="661" t="n">
        <f aca="false">H917*I917</f>
        <v>356.98348951361</v>
      </c>
    </row>
    <row r="918" customFormat="false" ht="15" hidden="false" customHeight="false" outlineLevel="0" collapsed="false">
      <c r="A918" s="571" t="s">
        <v>1510</v>
      </c>
      <c r="B918" s="328" t="s">
        <v>3514</v>
      </c>
      <c r="C918" s="954" t="n">
        <v>15000</v>
      </c>
      <c r="D918" s="954" t="n">
        <v>10000</v>
      </c>
      <c r="E918" s="954" t="n">
        <v>10000</v>
      </c>
      <c r="F918" s="955" t="n">
        <f aca="false">C918+D918+E918</f>
        <v>35000</v>
      </c>
      <c r="G918" s="955" t="n">
        <f aca="false">F918/149.4</f>
        <v>234.270414993307</v>
      </c>
      <c r="H918" s="661" t="n">
        <f aca="false">G918/60</f>
        <v>3.90450691655511</v>
      </c>
      <c r="I918" s="660" t="n">
        <f aca="false">'норма времени'!D922</f>
        <v>80</v>
      </c>
      <c r="J918" s="661" t="n">
        <f aca="false">H918*I918</f>
        <v>312.360553324409</v>
      </c>
    </row>
    <row r="919" customFormat="false" ht="15" hidden="false" customHeight="false" outlineLevel="0" collapsed="false">
      <c r="A919" s="571" t="s">
        <v>1511</v>
      </c>
      <c r="B919" s="328" t="s">
        <v>3453</v>
      </c>
      <c r="C919" s="954" t="n">
        <v>15000</v>
      </c>
      <c r="D919" s="954" t="n">
        <v>10000</v>
      </c>
      <c r="E919" s="954" t="n">
        <v>10000</v>
      </c>
      <c r="F919" s="955" t="n">
        <f aca="false">C919+D919+E919</f>
        <v>35000</v>
      </c>
      <c r="G919" s="955" t="n">
        <f aca="false">F919/149.4</f>
        <v>234.270414993307</v>
      </c>
      <c r="H919" s="661" t="n">
        <f aca="false">G919/60</f>
        <v>3.90450691655511</v>
      </c>
      <c r="I919" s="660" t="n">
        <f aca="false">'норма времени'!D923</f>
        <v>80</v>
      </c>
      <c r="J919" s="661" t="n">
        <f aca="false">H919*I919</f>
        <v>312.360553324409</v>
      </c>
    </row>
    <row r="920" customFormat="false" ht="15" hidden="false" customHeight="false" outlineLevel="0" collapsed="false">
      <c r="A920" s="571" t="s">
        <v>1512</v>
      </c>
      <c r="B920" s="328" t="s">
        <v>3462</v>
      </c>
      <c r="C920" s="954" t="n">
        <v>5000</v>
      </c>
      <c r="D920" s="954" t="n">
        <v>5000</v>
      </c>
      <c r="E920" s="954" t="n">
        <v>5000</v>
      </c>
      <c r="F920" s="955" t="n">
        <f aca="false">C920+D920+E920</f>
        <v>15000</v>
      </c>
      <c r="G920" s="955" t="n">
        <f aca="false">F920/149.4</f>
        <v>100.401606425703</v>
      </c>
      <c r="H920" s="661" t="n">
        <f aca="false">G920/60</f>
        <v>1.67336010709505</v>
      </c>
      <c r="I920" s="660" t="n">
        <f aca="false">'норма времени'!D924</f>
        <v>80</v>
      </c>
      <c r="J920" s="661" t="n">
        <f aca="false">H920*I920</f>
        <v>133.868808567604</v>
      </c>
    </row>
    <row r="921" customFormat="false" ht="15" hidden="false" customHeight="false" outlineLevel="0" collapsed="false">
      <c r="A921" s="571" t="s">
        <v>1513</v>
      </c>
      <c r="B921" s="328" t="s">
        <v>3463</v>
      </c>
      <c r="C921" s="954" t="n">
        <v>25000</v>
      </c>
      <c r="D921" s="954" t="n">
        <v>20000</v>
      </c>
      <c r="E921" s="954" t="n">
        <v>15000</v>
      </c>
      <c r="F921" s="955" t="n">
        <f aca="false">C921+D921+E921</f>
        <v>60000</v>
      </c>
      <c r="G921" s="955" t="n">
        <f aca="false">F921/149.4</f>
        <v>401.606425702811</v>
      </c>
      <c r="H921" s="661" t="n">
        <f aca="false">G921/60</f>
        <v>6.69344042838019</v>
      </c>
      <c r="I921" s="660" t="n">
        <f aca="false">'норма времени'!D925</f>
        <v>80</v>
      </c>
      <c r="J921" s="661" t="n">
        <f aca="false">H921*I921</f>
        <v>535.475234270415</v>
      </c>
    </row>
    <row r="922" customFormat="false" ht="15" hidden="false" customHeight="false" outlineLevel="0" collapsed="false">
      <c r="A922" s="571" t="s">
        <v>1514</v>
      </c>
      <c r="B922" s="328" t="s">
        <v>3455</v>
      </c>
      <c r="C922" s="954" t="n">
        <v>10000</v>
      </c>
      <c r="D922" s="954" t="n">
        <v>5000</v>
      </c>
      <c r="E922" s="954"/>
      <c r="F922" s="955" t="n">
        <f aca="false">C922+D922+E922</f>
        <v>15000</v>
      </c>
      <c r="G922" s="955" t="n">
        <f aca="false">F922/149.4</f>
        <v>100.401606425703</v>
      </c>
      <c r="H922" s="661" t="n">
        <f aca="false">G922/60</f>
        <v>1.67336010709505</v>
      </c>
      <c r="I922" s="660" t="n">
        <f aca="false">'норма времени'!D926</f>
        <v>80</v>
      </c>
      <c r="J922" s="661" t="n">
        <f aca="false">H922*I922</f>
        <v>133.868808567604</v>
      </c>
    </row>
    <row r="923" customFormat="false" ht="15" hidden="false" customHeight="false" outlineLevel="0" collapsed="false">
      <c r="A923" s="571" t="s">
        <v>1515</v>
      </c>
      <c r="B923" s="328" t="s">
        <v>3454</v>
      </c>
      <c r="C923" s="954" t="n">
        <v>5000</v>
      </c>
      <c r="D923" s="954" t="n">
        <v>5000</v>
      </c>
      <c r="E923" s="954"/>
      <c r="F923" s="955" t="n">
        <f aca="false">C923+D923+E923</f>
        <v>10000</v>
      </c>
      <c r="G923" s="955" t="n">
        <f aca="false">F923/149.4</f>
        <v>66.9344042838019</v>
      </c>
      <c r="H923" s="661" t="n">
        <f aca="false">G923/60</f>
        <v>1.11557340473003</v>
      </c>
      <c r="I923" s="660" t="n">
        <f aca="false">'норма времени'!D927</f>
        <v>80</v>
      </c>
      <c r="J923" s="661" t="n">
        <f aca="false">H923*I923</f>
        <v>89.2458723784025</v>
      </c>
    </row>
    <row r="924" customFormat="false" ht="15" hidden="false" customHeight="false" outlineLevel="0" collapsed="false">
      <c r="A924" s="571" t="s">
        <v>1516</v>
      </c>
      <c r="B924" s="328" t="s">
        <v>3465</v>
      </c>
      <c r="C924" s="954" t="n">
        <v>5000</v>
      </c>
      <c r="D924" s="954" t="n">
        <v>5000</v>
      </c>
      <c r="E924" s="954"/>
      <c r="F924" s="955" t="n">
        <f aca="false">C924+D924+E924</f>
        <v>10000</v>
      </c>
      <c r="G924" s="955" t="n">
        <f aca="false">F924/149.4</f>
        <v>66.9344042838019</v>
      </c>
      <c r="H924" s="661" t="n">
        <f aca="false">G924/60</f>
        <v>1.11557340473003</v>
      </c>
      <c r="I924" s="660" t="n">
        <f aca="false">'норма времени'!D928</f>
        <v>60</v>
      </c>
      <c r="J924" s="661" t="n">
        <f aca="false">H924*I924</f>
        <v>66.9344042838019</v>
      </c>
    </row>
    <row r="925" customFormat="false" ht="48" hidden="false" customHeight="true" outlineLevel="0" collapsed="false">
      <c r="A925" s="571" t="s">
        <v>1517</v>
      </c>
      <c r="B925" s="328" t="s">
        <v>3515</v>
      </c>
      <c r="C925" s="954" t="n">
        <v>15000</v>
      </c>
      <c r="D925" s="954" t="n">
        <v>10000</v>
      </c>
      <c r="E925" s="954" t="n">
        <v>10000</v>
      </c>
      <c r="F925" s="955" t="n">
        <f aca="false">C925+D925+E925</f>
        <v>35000</v>
      </c>
      <c r="G925" s="955" t="n">
        <f aca="false">F925/149.4</f>
        <v>234.270414993307</v>
      </c>
      <c r="H925" s="661" t="n">
        <f aca="false">G925/60</f>
        <v>3.90450691655511</v>
      </c>
      <c r="I925" s="660" t="n">
        <f aca="false">'норма времени'!D929</f>
        <v>60</v>
      </c>
      <c r="J925" s="661" t="n">
        <f aca="false">H925*I925</f>
        <v>234.270414993307</v>
      </c>
    </row>
    <row r="926" customFormat="false" ht="15" hidden="false" customHeight="false" outlineLevel="0" collapsed="false">
      <c r="A926" s="571" t="s">
        <v>1519</v>
      </c>
      <c r="B926" s="328" t="s">
        <v>3486</v>
      </c>
      <c r="C926" s="954" t="n">
        <v>75000</v>
      </c>
      <c r="D926" s="954" t="n">
        <v>70000</v>
      </c>
      <c r="E926" s="954" t="n">
        <v>65000</v>
      </c>
      <c r="F926" s="955" t="n">
        <f aca="false">C926+D926+E926</f>
        <v>210000</v>
      </c>
      <c r="G926" s="955" t="n">
        <f aca="false">F926/149.4</f>
        <v>1405.62248995984</v>
      </c>
      <c r="H926" s="661" t="n">
        <f aca="false">G926/60</f>
        <v>23.4270414993307</v>
      </c>
      <c r="I926" s="660" t="n">
        <f aca="false">'норма времени'!D930</f>
        <v>80</v>
      </c>
      <c r="J926" s="661" t="n">
        <f aca="false">H926*I926</f>
        <v>1874.16331994645</v>
      </c>
    </row>
    <row r="927" customFormat="false" ht="15" hidden="false" customHeight="false" outlineLevel="0" collapsed="false">
      <c r="A927" s="571" t="s">
        <v>1521</v>
      </c>
      <c r="B927" s="328" t="s">
        <v>3516</v>
      </c>
      <c r="C927" s="954" t="n">
        <v>25000</v>
      </c>
      <c r="D927" s="954" t="n">
        <v>20000</v>
      </c>
      <c r="E927" s="954" t="n">
        <v>15000</v>
      </c>
      <c r="F927" s="955" t="n">
        <f aca="false">C927+D927+E927</f>
        <v>60000</v>
      </c>
      <c r="G927" s="955" t="n">
        <f aca="false">F927/149.4</f>
        <v>401.606425702811</v>
      </c>
      <c r="H927" s="661" t="n">
        <f aca="false">G927/60</f>
        <v>6.69344042838019</v>
      </c>
      <c r="I927" s="660" t="n">
        <f aca="false">'норма времени'!D931</f>
        <v>260</v>
      </c>
      <c r="J927" s="661" t="n">
        <f aca="false">H927*I927</f>
        <v>1740.29451137885</v>
      </c>
    </row>
    <row r="928" s="451" customFormat="true" ht="33" hidden="false" customHeight="true" outlineLevel="0" collapsed="false">
      <c r="A928" s="350" t="s">
        <v>1523</v>
      </c>
      <c r="B928" s="467" t="s">
        <v>3517</v>
      </c>
      <c r="C928" s="1253"/>
      <c r="D928" s="1253"/>
      <c r="E928" s="1253"/>
      <c r="F928" s="1254"/>
      <c r="G928" s="955" t="n">
        <f aca="false">F928/149.4</f>
        <v>0</v>
      </c>
      <c r="H928" s="1250"/>
      <c r="I928" s="1255"/>
      <c r="J928" s="1250"/>
      <c r="K928" s="1257"/>
      <c r="L928" s="1257"/>
      <c r="M928" s="1257"/>
      <c r="N928" s="1257"/>
      <c r="O928" s="1257"/>
      <c r="P928" s="1257"/>
      <c r="Q928" s="1257"/>
      <c r="R928" s="1257"/>
      <c r="S928" s="1257"/>
    </row>
    <row r="929" customFormat="false" ht="15" hidden="false" customHeight="false" outlineLevel="0" collapsed="false">
      <c r="A929" s="571" t="s">
        <v>1525</v>
      </c>
      <c r="B929" s="328" t="s">
        <v>3518</v>
      </c>
      <c r="C929" s="954" t="n">
        <v>45000</v>
      </c>
      <c r="D929" s="954" t="n">
        <v>40000</v>
      </c>
      <c r="E929" s="954" t="n">
        <v>30000</v>
      </c>
      <c r="F929" s="955" t="n">
        <f aca="false">C929+D929+E929</f>
        <v>115000</v>
      </c>
      <c r="G929" s="955" t="n">
        <f aca="false">F929/149.4</f>
        <v>769.745649263722</v>
      </c>
      <c r="H929" s="661" t="n">
        <f aca="false">G929/60</f>
        <v>12.8290941543954</v>
      </c>
      <c r="I929" s="660" t="n">
        <f aca="false">'норма времени'!D933</f>
        <v>45</v>
      </c>
      <c r="J929" s="661" t="n">
        <f aca="false">H929*I929</f>
        <v>577.309236947791</v>
      </c>
    </row>
    <row r="930" customFormat="false" ht="15" hidden="false" customHeight="false" outlineLevel="0" collapsed="false">
      <c r="A930" s="571" t="s">
        <v>1527</v>
      </c>
      <c r="B930" s="328" t="s">
        <v>3139</v>
      </c>
      <c r="C930" s="954" t="n">
        <v>10000</v>
      </c>
      <c r="D930" s="954" t="n">
        <v>10000</v>
      </c>
      <c r="E930" s="954" t="n">
        <v>5000</v>
      </c>
      <c r="F930" s="955" t="n">
        <f aca="false">C930+D930+E930</f>
        <v>25000</v>
      </c>
      <c r="G930" s="955" t="n">
        <f aca="false">F930/149.4</f>
        <v>167.336010709505</v>
      </c>
      <c r="H930" s="661" t="n">
        <f aca="false">G930/60</f>
        <v>2.78893351182508</v>
      </c>
      <c r="I930" s="660" t="n">
        <f aca="false">'норма времени'!D934</f>
        <v>40</v>
      </c>
      <c r="J930" s="661" t="n">
        <f aca="false">H930*I930</f>
        <v>111.557340473003</v>
      </c>
    </row>
    <row r="931" customFormat="false" ht="15" hidden="false" customHeight="false" outlineLevel="0" collapsed="false">
      <c r="A931" s="571" t="s">
        <v>1528</v>
      </c>
      <c r="B931" s="328" t="s">
        <v>2964</v>
      </c>
      <c r="C931" s="954" t="n">
        <v>25000</v>
      </c>
      <c r="D931" s="954" t="n">
        <v>20000</v>
      </c>
      <c r="E931" s="954" t="n">
        <v>15000</v>
      </c>
      <c r="F931" s="955" t="n">
        <f aca="false">C931+D931+E931</f>
        <v>60000</v>
      </c>
      <c r="G931" s="955" t="n">
        <f aca="false">F931/149.4</f>
        <v>401.606425702811</v>
      </c>
      <c r="H931" s="661" t="n">
        <f aca="false">G931/60</f>
        <v>6.69344042838019</v>
      </c>
      <c r="I931" s="660" t="n">
        <f aca="false">'норма времени'!D935</f>
        <v>55</v>
      </c>
      <c r="J931" s="661" t="n">
        <f aca="false">H931*I931</f>
        <v>368.13922356091</v>
      </c>
    </row>
    <row r="932" customFormat="false" ht="30" hidden="false" customHeight="false" outlineLevel="0" collapsed="false">
      <c r="A932" s="571" t="s">
        <v>1529</v>
      </c>
      <c r="B932" s="328" t="s">
        <v>3519</v>
      </c>
      <c r="C932" s="954" t="n">
        <v>60000</v>
      </c>
      <c r="D932" s="954" t="n">
        <v>55000</v>
      </c>
      <c r="E932" s="954" t="n">
        <v>45000</v>
      </c>
      <c r="F932" s="955" t="n">
        <f aca="false">C932+D932+E932</f>
        <v>160000</v>
      </c>
      <c r="G932" s="955" t="n">
        <f aca="false">F932/149.4</f>
        <v>1070.95046854083</v>
      </c>
      <c r="H932" s="661" t="n">
        <f aca="false">G932/60</f>
        <v>17.8491744756805</v>
      </c>
      <c r="I932" s="660" t="n">
        <f aca="false">'норма времени'!D936</f>
        <v>80</v>
      </c>
      <c r="J932" s="661" t="n">
        <f aca="false">H932*I932</f>
        <v>1427.93395805444</v>
      </c>
    </row>
    <row r="933" customFormat="false" ht="30" hidden="false" customHeight="false" outlineLevel="0" collapsed="false">
      <c r="A933" s="571" t="s">
        <v>1531</v>
      </c>
      <c r="B933" s="328" t="s">
        <v>3520</v>
      </c>
      <c r="C933" s="954" t="n">
        <v>60000</v>
      </c>
      <c r="D933" s="954" t="n">
        <v>55000</v>
      </c>
      <c r="E933" s="954" t="n">
        <v>45000</v>
      </c>
      <c r="F933" s="955" t="n">
        <f aca="false">C933+D933+E933</f>
        <v>160000</v>
      </c>
      <c r="G933" s="955" t="n">
        <f aca="false">F933/149.4</f>
        <v>1070.95046854083</v>
      </c>
      <c r="H933" s="661" t="n">
        <f aca="false">G933/60</f>
        <v>17.8491744756805</v>
      </c>
      <c r="I933" s="660" t="n">
        <f aca="false">'норма времени'!D937</f>
        <v>80</v>
      </c>
      <c r="J933" s="661" t="n">
        <f aca="false">H933*I933</f>
        <v>1427.93395805444</v>
      </c>
    </row>
    <row r="934" customFormat="false" ht="15" hidden="false" customHeight="false" outlineLevel="0" collapsed="false">
      <c r="A934" s="571" t="s">
        <v>1533</v>
      </c>
      <c r="B934" s="328" t="s">
        <v>3129</v>
      </c>
      <c r="C934" s="954" t="n">
        <v>35000</v>
      </c>
      <c r="D934" s="954" t="n">
        <v>25000</v>
      </c>
      <c r="E934" s="954" t="n">
        <v>10000</v>
      </c>
      <c r="F934" s="955" t="n">
        <f aca="false">C934+D934+E934</f>
        <v>70000</v>
      </c>
      <c r="G934" s="955" t="n">
        <f aca="false">F934/149.4</f>
        <v>468.540829986613</v>
      </c>
      <c r="H934" s="661" t="n">
        <f aca="false">G934/60</f>
        <v>7.80901383311022</v>
      </c>
      <c r="I934" s="660" t="n">
        <f aca="false">'норма времени'!D938</f>
        <v>120</v>
      </c>
      <c r="J934" s="661" t="n">
        <f aca="false">H934*I934</f>
        <v>937.081659973226</v>
      </c>
    </row>
    <row r="935" customFormat="false" ht="15" hidden="false" customHeight="false" outlineLevel="0" collapsed="false">
      <c r="A935" s="571" t="s">
        <v>1534</v>
      </c>
      <c r="B935" s="328" t="s">
        <v>3521</v>
      </c>
      <c r="C935" s="954" t="n">
        <v>25000</v>
      </c>
      <c r="D935" s="954" t="n">
        <v>15000</v>
      </c>
      <c r="E935" s="954" t="n">
        <v>15000</v>
      </c>
      <c r="F935" s="955" t="n">
        <f aca="false">C935+D935+E935</f>
        <v>55000</v>
      </c>
      <c r="G935" s="955" t="n">
        <f aca="false">F935/149.4</f>
        <v>368.13922356091</v>
      </c>
      <c r="H935" s="661" t="n">
        <f aca="false">G935/60</f>
        <v>6.13565372601517</v>
      </c>
      <c r="I935" s="660" t="n">
        <f aca="false">'норма времени'!D939</f>
        <v>120</v>
      </c>
      <c r="J935" s="661" t="n">
        <f aca="false">H935*I935</f>
        <v>736.278447121821</v>
      </c>
    </row>
    <row r="936" customFormat="false" ht="15" hidden="false" customHeight="false" outlineLevel="0" collapsed="false">
      <c r="A936" s="571" t="s">
        <v>1535</v>
      </c>
      <c r="B936" s="328" t="s">
        <v>3269</v>
      </c>
      <c r="C936" s="954" t="n">
        <v>45000</v>
      </c>
      <c r="D936" s="954" t="n">
        <v>35000</v>
      </c>
      <c r="E936" s="954" t="n">
        <v>25000</v>
      </c>
      <c r="F936" s="955" t="n">
        <f aca="false">C936+D936+E936</f>
        <v>105000</v>
      </c>
      <c r="G936" s="955" t="n">
        <f aca="false">F936/149.4</f>
        <v>702.81124497992</v>
      </c>
      <c r="H936" s="661" t="n">
        <f aca="false">G936/60</f>
        <v>11.7135207496653</v>
      </c>
      <c r="I936" s="660" t="n">
        <f aca="false">'норма времени'!D940</f>
        <v>120</v>
      </c>
      <c r="J936" s="661" t="n">
        <f aca="false">H936*I936</f>
        <v>1405.62248995984</v>
      </c>
    </row>
    <row r="937" customFormat="false" ht="15" hidden="false" customHeight="false" outlineLevel="0" collapsed="false">
      <c r="A937" s="571" t="s">
        <v>1536</v>
      </c>
      <c r="B937" s="328" t="s">
        <v>3522</v>
      </c>
      <c r="C937" s="954" t="n">
        <v>60000</v>
      </c>
      <c r="D937" s="954" t="n">
        <v>55000</v>
      </c>
      <c r="E937" s="954" t="n">
        <v>45000</v>
      </c>
      <c r="F937" s="955" t="n">
        <f aca="false">C937+D937+E937</f>
        <v>160000</v>
      </c>
      <c r="G937" s="955" t="n">
        <f aca="false">F937/149.4</f>
        <v>1070.95046854083</v>
      </c>
      <c r="H937" s="661" t="n">
        <f aca="false">G937/60</f>
        <v>17.8491744756805</v>
      </c>
      <c r="I937" s="660" t="n">
        <f aca="false">'норма времени'!D941</f>
        <v>80</v>
      </c>
      <c r="J937" s="661" t="n">
        <f aca="false">H937*I937</f>
        <v>1427.93395805444</v>
      </c>
    </row>
    <row r="938" customFormat="false" ht="42.75" hidden="false" customHeight="true" outlineLevel="0" collapsed="false">
      <c r="A938" s="571" t="s">
        <v>1538</v>
      </c>
      <c r="B938" s="328" t="s">
        <v>3523</v>
      </c>
      <c r="C938" s="954" t="n">
        <v>20000</v>
      </c>
      <c r="D938" s="954" t="n">
        <v>10000</v>
      </c>
      <c r="E938" s="954" t="n">
        <v>10000</v>
      </c>
      <c r="F938" s="955" t="n">
        <f aca="false">C938+D938+E938</f>
        <v>40000</v>
      </c>
      <c r="G938" s="955" t="n">
        <f aca="false">F938/149.4</f>
        <v>267.737617135208</v>
      </c>
      <c r="H938" s="661" t="n">
        <f aca="false">G938/60</f>
        <v>4.46229361892013</v>
      </c>
      <c r="I938" s="660" t="n">
        <f aca="false">'норма времени'!D942</f>
        <v>740</v>
      </c>
      <c r="J938" s="661" t="n">
        <f aca="false">H938*I938</f>
        <v>3302.09727800089</v>
      </c>
    </row>
    <row r="939" customFormat="false" ht="15" hidden="false" customHeight="false" outlineLevel="0" collapsed="false">
      <c r="A939" s="571" t="s">
        <v>1540</v>
      </c>
      <c r="B939" s="328" t="s">
        <v>3524</v>
      </c>
      <c r="C939" s="954" t="n">
        <v>80000</v>
      </c>
      <c r="D939" s="954" t="n">
        <v>75000</v>
      </c>
      <c r="E939" s="954" t="n">
        <v>72000</v>
      </c>
      <c r="F939" s="955" t="n">
        <f aca="false">C939+D939+E939</f>
        <v>227000</v>
      </c>
      <c r="G939" s="955" t="n">
        <f aca="false">F939/149.4</f>
        <v>1519.4109772423</v>
      </c>
      <c r="H939" s="661" t="n">
        <f aca="false">G939/60</f>
        <v>25.3235162873717</v>
      </c>
      <c r="I939" s="660" t="n">
        <f aca="false">'норма времени'!D943</f>
        <v>60</v>
      </c>
      <c r="J939" s="661" t="n">
        <f aca="false">H939*I939</f>
        <v>1519.4109772423</v>
      </c>
    </row>
    <row r="940" customFormat="false" ht="15" hidden="false" customHeight="false" outlineLevel="0" collapsed="false">
      <c r="A940" s="571" t="s">
        <v>1542</v>
      </c>
      <c r="B940" s="328" t="s">
        <v>3525</v>
      </c>
      <c r="C940" s="954" t="n">
        <v>18000</v>
      </c>
      <c r="D940" s="954" t="n">
        <v>12000</v>
      </c>
      <c r="E940" s="954" t="n">
        <v>10000</v>
      </c>
      <c r="F940" s="955" t="n">
        <f aca="false">C940+D940+E940</f>
        <v>40000</v>
      </c>
      <c r="G940" s="955" t="n">
        <f aca="false">F940/149.4</f>
        <v>267.737617135208</v>
      </c>
      <c r="H940" s="661" t="n">
        <f aca="false">G940/60</f>
        <v>4.46229361892013</v>
      </c>
      <c r="I940" s="660" t="n">
        <f aca="false">'норма времени'!D944</f>
        <v>420</v>
      </c>
      <c r="J940" s="661" t="n">
        <f aca="false">H940*I940</f>
        <v>1874.16331994645</v>
      </c>
    </row>
    <row r="941" customFormat="false" ht="30" hidden="false" customHeight="false" outlineLevel="0" collapsed="false">
      <c r="A941" s="571" t="s">
        <v>1544</v>
      </c>
      <c r="B941" s="328" t="s">
        <v>3526</v>
      </c>
      <c r="C941" s="954" t="n">
        <v>50000</v>
      </c>
      <c r="D941" s="954" t="n">
        <v>45000</v>
      </c>
      <c r="E941" s="954" t="n">
        <v>40000</v>
      </c>
      <c r="F941" s="955" t="n">
        <f aca="false">C941+D941+E941</f>
        <v>135000</v>
      </c>
      <c r="G941" s="955" t="n">
        <f aca="false">F941/149.4</f>
        <v>903.614457831325</v>
      </c>
      <c r="H941" s="661" t="n">
        <f aca="false">G941/60</f>
        <v>15.0602409638554</v>
      </c>
      <c r="I941" s="660" t="n">
        <f aca="false">'норма времени'!D945</f>
        <v>160</v>
      </c>
      <c r="J941" s="661" t="n">
        <f aca="false">H941*I941</f>
        <v>2409.63855421687</v>
      </c>
    </row>
    <row r="942" customFormat="false" ht="30" hidden="false" customHeight="false" outlineLevel="0" collapsed="false">
      <c r="A942" s="571" t="s">
        <v>1546</v>
      </c>
      <c r="B942" s="328" t="s">
        <v>3527</v>
      </c>
      <c r="C942" s="954" t="n">
        <v>45000</v>
      </c>
      <c r="D942" s="954" t="n">
        <v>35000</v>
      </c>
      <c r="E942" s="954" t="n">
        <v>35000</v>
      </c>
      <c r="F942" s="955" t="n">
        <f aca="false">C942+D942+E942</f>
        <v>115000</v>
      </c>
      <c r="G942" s="955" t="n">
        <f aca="false">F942/149.4</f>
        <v>769.745649263722</v>
      </c>
      <c r="H942" s="661" t="n">
        <f aca="false">G942/60</f>
        <v>12.8290941543954</v>
      </c>
      <c r="I942" s="660" t="n">
        <f aca="false">'норма времени'!D946</f>
        <v>140</v>
      </c>
      <c r="J942" s="661" t="n">
        <f aca="false">H942*I942</f>
        <v>1796.07318161535</v>
      </c>
    </row>
    <row r="943" customFormat="false" ht="30" hidden="false" customHeight="false" outlineLevel="0" collapsed="false">
      <c r="A943" s="571" t="s">
        <v>1548</v>
      </c>
      <c r="B943" s="328" t="s">
        <v>3528</v>
      </c>
      <c r="C943" s="954" t="n">
        <v>45000</v>
      </c>
      <c r="D943" s="954" t="n">
        <v>38000</v>
      </c>
      <c r="E943" s="954" t="n">
        <v>35000</v>
      </c>
      <c r="F943" s="955" t="n">
        <f aca="false">C943+D943+E943</f>
        <v>118000</v>
      </c>
      <c r="G943" s="955" t="n">
        <f aca="false">F943/149.4</f>
        <v>789.825970548862</v>
      </c>
      <c r="H943" s="661" t="n">
        <f aca="false">G943/60</f>
        <v>13.1637661758144</v>
      </c>
      <c r="I943" s="660" t="n">
        <f aca="false">'норма времени'!D947</f>
        <v>150</v>
      </c>
      <c r="J943" s="661" t="n">
        <f aca="false">H943*I943</f>
        <v>1974.56492637216</v>
      </c>
    </row>
    <row r="944" customFormat="false" ht="15" hidden="false" customHeight="false" outlineLevel="0" collapsed="false">
      <c r="A944" s="571" t="s">
        <v>1550</v>
      </c>
      <c r="B944" s="328" t="s">
        <v>3529</v>
      </c>
      <c r="C944" s="954" t="n">
        <v>55000</v>
      </c>
      <c r="D944" s="954" t="n">
        <v>48000</v>
      </c>
      <c r="E944" s="954" t="n">
        <v>35000</v>
      </c>
      <c r="F944" s="955" t="n">
        <f aca="false">C944+D944+E944</f>
        <v>138000</v>
      </c>
      <c r="G944" s="955" t="n">
        <f aca="false">F944/149.4</f>
        <v>923.694779116466</v>
      </c>
      <c r="H944" s="661" t="n">
        <f aca="false">G944/60</f>
        <v>15.3949129852744</v>
      </c>
      <c r="I944" s="660" t="n">
        <f aca="false">'норма времени'!D948</f>
        <v>120</v>
      </c>
      <c r="J944" s="661" t="n">
        <f aca="false">H944*I944</f>
        <v>1847.38955823293</v>
      </c>
    </row>
    <row r="945" customFormat="false" ht="37.5" hidden="false" customHeight="true" outlineLevel="0" collapsed="false">
      <c r="A945" s="571" t="s">
        <v>1552</v>
      </c>
      <c r="B945" s="328" t="s">
        <v>3530</v>
      </c>
      <c r="C945" s="954" t="n">
        <v>8902</v>
      </c>
      <c r="D945" s="954" t="n">
        <v>5000</v>
      </c>
      <c r="E945" s="954" t="n">
        <v>5000</v>
      </c>
      <c r="F945" s="955" t="n">
        <f aca="false">C945+D945+E945</f>
        <v>18902</v>
      </c>
      <c r="G945" s="955" t="n">
        <f aca="false">F945/149.4</f>
        <v>126.519410977242</v>
      </c>
      <c r="H945" s="661" t="n">
        <f aca="false">G945/60</f>
        <v>2.10865684962071</v>
      </c>
      <c r="I945" s="660" t="n">
        <f aca="false">'норма времени'!D949</f>
        <v>1804</v>
      </c>
      <c r="J945" s="661" t="n">
        <f aca="false">H945*I945</f>
        <v>3804.01695671575</v>
      </c>
    </row>
    <row r="946" customFormat="false" ht="15" hidden="false" customHeight="false" outlineLevel="0" collapsed="false">
      <c r="A946" s="571" t="s">
        <v>1554</v>
      </c>
      <c r="B946" s="328" t="s">
        <v>3488</v>
      </c>
      <c r="C946" s="954" t="n">
        <v>15000</v>
      </c>
      <c r="D946" s="954" t="n">
        <v>10000</v>
      </c>
      <c r="E946" s="954" t="n">
        <v>5000</v>
      </c>
      <c r="F946" s="955" t="n">
        <f aca="false">C946+D946+E946</f>
        <v>30000</v>
      </c>
      <c r="G946" s="955" t="n">
        <f aca="false">F946/149.4</f>
        <v>200.803212851406</v>
      </c>
      <c r="H946" s="661" t="n">
        <f aca="false">G946/60</f>
        <v>3.34672021419009</v>
      </c>
      <c r="I946" s="660" t="n">
        <f aca="false">'норма времени'!D950</f>
        <v>60</v>
      </c>
      <c r="J946" s="661" t="n">
        <f aca="false">H946*I946</f>
        <v>200.803212851406</v>
      </c>
    </row>
    <row r="947" customFormat="false" ht="30" hidden="false" customHeight="false" outlineLevel="0" collapsed="false">
      <c r="A947" s="571" t="s">
        <v>1556</v>
      </c>
      <c r="B947" s="328" t="s">
        <v>3531</v>
      </c>
      <c r="C947" s="954" t="n">
        <v>14500</v>
      </c>
      <c r="D947" s="954" t="n">
        <v>12000</v>
      </c>
      <c r="E947" s="954" t="n">
        <v>10000</v>
      </c>
      <c r="F947" s="955" t="n">
        <f aca="false">C947+D947+E947</f>
        <v>36500</v>
      </c>
      <c r="G947" s="955" t="n">
        <f aca="false">F947/149.4</f>
        <v>244.310575635877</v>
      </c>
      <c r="H947" s="661" t="n">
        <f aca="false">G947/60</f>
        <v>4.07184292726461</v>
      </c>
      <c r="I947" s="660" t="n">
        <f aca="false">'норма времени'!D951</f>
        <v>2424</v>
      </c>
      <c r="J947" s="661" t="n">
        <f aca="false">H947*I947</f>
        <v>9870.14725568942</v>
      </c>
    </row>
    <row r="948" customFormat="false" ht="15" hidden="false" customHeight="false" outlineLevel="0" collapsed="false">
      <c r="A948" s="571" t="s">
        <v>1558</v>
      </c>
      <c r="B948" s="328" t="s">
        <v>3532</v>
      </c>
      <c r="C948" s="954" t="n">
        <v>12000</v>
      </c>
      <c r="D948" s="954" t="n">
        <v>12000</v>
      </c>
      <c r="E948" s="954" t="n">
        <v>10500</v>
      </c>
      <c r="F948" s="955" t="n">
        <f aca="false">C948+D948+E948</f>
        <v>34500</v>
      </c>
      <c r="G948" s="955" t="n">
        <f aca="false">F948/149.4</f>
        <v>230.923694779116</v>
      </c>
      <c r="H948" s="661" t="n">
        <f aca="false">G948/60</f>
        <v>3.84872824631861</v>
      </c>
      <c r="I948" s="660" t="n">
        <f aca="false">'норма времени'!D952</f>
        <v>740</v>
      </c>
      <c r="J948" s="661" t="n">
        <f aca="false">H948*I948</f>
        <v>2848.05890227577</v>
      </c>
    </row>
    <row r="949" customFormat="false" ht="30.75" hidden="false" customHeight="true" outlineLevel="0" collapsed="false">
      <c r="A949" s="571" t="s">
        <v>1560</v>
      </c>
      <c r="B949" s="487" t="s">
        <v>3533</v>
      </c>
      <c r="C949" s="954" t="n">
        <v>9650</v>
      </c>
      <c r="D949" s="954" t="n">
        <v>6200</v>
      </c>
      <c r="E949" s="954" t="n">
        <v>6200</v>
      </c>
      <c r="F949" s="955" t="n">
        <v>22050</v>
      </c>
      <c r="G949" s="955" t="n">
        <f aca="false">F949/149.4</f>
        <v>147.590361445783</v>
      </c>
      <c r="H949" s="976" t="n">
        <v>2.25004591930448</v>
      </c>
      <c r="I949" s="660" t="n">
        <f aca="false">'норма времени'!D953</f>
        <v>6780</v>
      </c>
      <c r="J949" s="976" t="n">
        <v>15255.3113328843</v>
      </c>
    </row>
    <row r="950" customFormat="false" ht="15" hidden="false" customHeight="false" outlineLevel="0" collapsed="false">
      <c r="A950" s="571" t="s">
        <v>1562</v>
      </c>
      <c r="B950" s="328" t="s">
        <v>3491</v>
      </c>
      <c r="C950" s="954" t="n">
        <v>26000</v>
      </c>
      <c r="D950" s="954" t="n">
        <v>20000</v>
      </c>
      <c r="E950" s="954" t="n">
        <v>15000</v>
      </c>
      <c r="F950" s="955" t="n">
        <f aca="false">C950+D950+E950</f>
        <v>61000</v>
      </c>
      <c r="G950" s="955" t="n">
        <f aca="false">F950/149.4</f>
        <v>408.299866131191</v>
      </c>
      <c r="H950" s="661" t="n">
        <f aca="false">G950/60</f>
        <v>6.80499776885319</v>
      </c>
      <c r="I950" s="660" t="n">
        <f aca="false">'норма времени'!D954</f>
        <v>740</v>
      </c>
      <c r="J950" s="661" t="n">
        <f aca="false">H950*I950</f>
        <v>5035.69834895136</v>
      </c>
    </row>
    <row r="951" customFormat="false" ht="30" hidden="false" customHeight="false" outlineLevel="0" collapsed="false">
      <c r="A951" s="571" t="s">
        <v>1563</v>
      </c>
      <c r="B951" s="328" t="s">
        <v>3534</v>
      </c>
      <c r="C951" s="954" t="n">
        <v>17550</v>
      </c>
      <c r="D951" s="954" t="n">
        <v>13500</v>
      </c>
      <c r="E951" s="954" t="n">
        <v>10500</v>
      </c>
      <c r="F951" s="955" t="n">
        <f aca="false">C951+D951+E951</f>
        <v>41550</v>
      </c>
      <c r="G951" s="955" t="n">
        <f aca="false">F951/149.4</f>
        <v>278.112449799197</v>
      </c>
      <c r="H951" s="661" t="n">
        <f aca="false">G951/60</f>
        <v>4.63520749665328</v>
      </c>
      <c r="I951" s="660" t="n">
        <f aca="false">'норма времени'!D955</f>
        <v>2755</v>
      </c>
      <c r="J951" s="661" t="n">
        <f aca="false">H951*I951</f>
        <v>12769.9966532798</v>
      </c>
    </row>
    <row r="952" s="451" customFormat="true" ht="27" hidden="false" customHeight="true" outlineLevel="0" collapsed="false">
      <c r="A952" s="350" t="s">
        <v>1565</v>
      </c>
      <c r="B952" s="467" t="s">
        <v>3535</v>
      </c>
      <c r="C952" s="1253"/>
      <c r="D952" s="1253"/>
      <c r="E952" s="1253"/>
      <c r="F952" s="1254"/>
      <c r="G952" s="955" t="n">
        <f aca="false">F952/149.4</f>
        <v>0</v>
      </c>
      <c r="H952" s="1250"/>
      <c r="I952" s="1255"/>
      <c r="J952" s="1250"/>
      <c r="K952" s="1257"/>
      <c r="L952" s="1257"/>
      <c r="M952" s="1257"/>
      <c r="N952" s="1257"/>
      <c r="O952" s="1257"/>
      <c r="P952" s="1257"/>
      <c r="Q952" s="1257"/>
      <c r="R952" s="1257"/>
      <c r="S952" s="1257"/>
    </row>
    <row r="953" customFormat="false" ht="15" hidden="false" customHeight="false" outlineLevel="0" collapsed="false">
      <c r="A953" s="571" t="s">
        <v>1567</v>
      </c>
      <c r="B953" s="328" t="s">
        <v>3139</v>
      </c>
      <c r="C953" s="954" t="n">
        <v>40000</v>
      </c>
      <c r="D953" s="954" t="n">
        <v>35000</v>
      </c>
      <c r="E953" s="954" t="n">
        <v>25000</v>
      </c>
      <c r="F953" s="955" t="n">
        <f aca="false">C953+D953+E953</f>
        <v>100000</v>
      </c>
      <c r="G953" s="955" t="n">
        <f aca="false">F953/149.4</f>
        <v>669.344042838019</v>
      </c>
      <c r="H953" s="661" t="n">
        <f aca="false">G953/60</f>
        <v>11.1557340473003</v>
      </c>
      <c r="I953" s="660" t="n">
        <f aca="false">'норма времени'!D957</f>
        <v>60</v>
      </c>
      <c r="J953" s="661" t="n">
        <f aca="false">H953*I953</f>
        <v>669.344042838019</v>
      </c>
    </row>
    <row r="954" customFormat="false" ht="15" hidden="false" customHeight="false" outlineLevel="0" collapsed="false">
      <c r="A954" s="571" t="s">
        <v>1568</v>
      </c>
      <c r="B954" s="328" t="s">
        <v>3536</v>
      </c>
      <c r="C954" s="954" t="n">
        <v>25000</v>
      </c>
      <c r="D954" s="954" t="n">
        <v>20000</v>
      </c>
      <c r="E954" s="954" t="n">
        <v>15000</v>
      </c>
      <c r="F954" s="955" t="n">
        <f aca="false">C954+D954+E954</f>
        <v>60000</v>
      </c>
      <c r="G954" s="955" t="n">
        <f aca="false">F954/149.4</f>
        <v>401.606425702811</v>
      </c>
      <c r="H954" s="661" t="n">
        <f aca="false">G954/60</f>
        <v>6.69344042838019</v>
      </c>
      <c r="I954" s="660" t="n">
        <f aca="false">'норма времени'!D958</f>
        <v>80</v>
      </c>
      <c r="J954" s="661" t="n">
        <f aca="false">H954*I954</f>
        <v>535.475234270415</v>
      </c>
    </row>
    <row r="955" customFormat="false" ht="15" hidden="false" customHeight="false" outlineLevel="0" collapsed="false">
      <c r="A955" s="571" t="s">
        <v>1569</v>
      </c>
      <c r="B955" s="328" t="s">
        <v>3537</v>
      </c>
      <c r="C955" s="954" t="n">
        <v>25000</v>
      </c>
      <c r="D955" s="954" t="n">
        <v>20000</v>
      </c>
      <c r="E955" s="954" t="n">
        <v>10000</v>
      </c>
      <c r="F955" s="955" t="n">
        <f aca="false">C955+D955+E955</f>
        <v>55000</v>
      </c>
      <c r="G955" s="955" t="n">
        <f aca="false">F955/149.4</f>
        <v>368.13922356091</v>
      </c>
      <c r="H955" s="661" t="n">
        <f aca="false">G955/60</f>
        <v>6.13565372601517</v>
      </c>
      <c r="I955" s="660" t="n">
        <f aca="false">'норма времени'!D959</f>
        <v>110</v>
      </c>
      <c r="J955" s="661" t="n">
        <f aca="false">H955*I955</f>
        <v>674.921909861669</v>
      </c>
    </row>
    <row r="956" customFormat="false" ht="15" hidden="false" customHeight="false" outlineLevel="0" collapsed="false">
      <c r="A956" s="571" t="s">
        <v>1570</v>
      </c>
      <c r="B956" s="328" t="s">
        <v>3436</v>
      </c>
      <c r="C956" s="954" t="n">
        <v>10000</v>
      </c>
      <c r="D956" s="954" t="n">
        <v>5000</v>
      </c>
      <c r="E956" s="954" t="n">
        <v>5000</v>
      </c>
      <c r="F956" s="955" t="n">
        <f aca="false">C956+D956+E956</f>
        <v>20000</v>
      </c>
      <c r="G956" s="955" t="n">
        <f aca="false">F956/149.4</f>
        <v>133.868808567604</v>
      </c>
      <c r="H956" s="661" t="n">
        <f aca="false">G956/60</f>
        <v>2.23114680946006</v>
      </c>
      <c r="I956" s="660" t="n">
        <f aca="false">'норма времени'!D960</f>
        <v>110</v>
      </c>
      <c r="J956" s="661" t="n">
        <f aca="false">H956*I956</f>
        <v>245.426149040607</v>
      </c>
    </row>
    <row r="957" customFormat="false" ht="15" hidden="false" customHeight="false" outlineLevel="0" collapsed="false">
      <c r="A957" s="571" t="s">
        <v>1571</v>
      </c>
      <c r="B957" s="328" t="s">
        <v>3438</v>
      </c>
      <c r="C957" s="954" t="n">
        <v>20000</v>
      </c>
      <c r="D957" s="954" t="n">
        <v>15000</v>
      </c>
      <c r="E957" s="954" t="n">
        <v>10000</v>
      </c>
      <c r="F957" s="955" t="n">
        <f aca="false">C957+D957+E957</f>
        <v>45000</v>
      </c>
      <c r="G957" s="955" t="n">
        <f aca="false">F957/149.4</f>
        <v>301.204819277108</v>
      </c>
      <c r="H957" s="661" t="n">
        <f aca="false">G957/60</f>
        <v>5.02008032128514</v>
      </c>
      <c r="I957" s="660" t="n">
        <f aca="false">'норма времени'!D961</f>
        <v>110</v>
      </c>
      <c r="J957" s="661" t="n">
        <f aca="false">H957*I957</f>
        <v>552.208835341365</v>
      </c>
    </row>
    <row r="958" customFormat="false" ht="15" hidden="false" customHeight="false" outlineLevel="0" collapsed="false">
      <c r="A958" s="571" t="s">
        <v>1572</v>
      </c>
      <c r="B958" s="328" t="s">
        <v>3474</v>
      </c>
      <c r="C958" s="954" t="n">
        <v>20000</v>
      </c>
      <c r="D958" s="954" t="n">
        <v>15000</v>
      </c>
      <c r="E958" s="954" t="n">
        <v>10000</v>
      </c>
      <c r="F958" s="955" t="n">
        <f aca="false">C958+D958+E958</f>
        <v>45000</v>
      </c>
      <c r="G958" s="955" t="n">
        <f aca="false">F958/149.4</f>
        <v>301.204819277108</v>
      </c>
      <c r="H958" s="661" t="n">
        <f aca="false">G958/60</f>
        <v>5.02008032128514</v>
      </c>
      <c r="I958" s="660" t="n">
        <f aca="false">'норма времени'!D962</f>
        <v>110</v>
      </c>
      <c r="J958" s="661" t="n">
        <f aca="false">H958*I958</f>
        <v>552.208835341365</v>
      </c>
    </row>
    <row r="959" customFormat="false" ht="15" hidden="false" customHeight="false" outlineLevel="0" collapsed="false">
      <c r="A959" s="571" t="s">
        <v>1573</v>
      </c>
      <c r="B959" s="328" t="s">
        <v>3538</v>
      </c>
      <c r="C959" s="954" t="n">
        <v>5000</v>
      </c>
      <c r="D959" s="954" t="n">
        <v>5000</v>
      </c>
      <c r="E959" s="954" t="n">
        <v>5000</v>
      </c>
      <c r="F959" s="955" t="n">
        <f aca="false">C959+D959+E959</f>
        <v>15000</v>
      </c>
      <c r="G959" s="955" t="n">
        <f aca="false">F959/149.4</f>
        <v>100.401606425703</v>
      </c>
      <c r="H959" s="661" t="n">
        <f aca="false">G959/60</f>
        <v>1.67336010709505</v>
      </c>
      <c r="I959" s="660" t="n">
        <f aca="false">'норма времени'!D963</f>
        <v>110</v>
      </c>
      <c r="J959" s="661" t="n">
        <f aca="false">H959*I959</f>
        <v>184.069611780455</v>
      </c>
    </row>
    <row r="960" customFormat="false" ht="15" hidden="false" customHeight="false" outlineLevel="0" collapsed="false">
      <c r="A960" s="571" t="s">
        <v>1575</v>
      </c>
      <c r="B960" s="328" t="s">
        <v>3539</v>
      </c>
      <c r="C960" s="954" t="n">
        <v>15000</v>
      </c>
      <c r="D960" s="954" t="n">
        <v>10000</v>
      </c>
      <c r="E960" s="954" t="n">
        <v>5000</v>
      </c>
      <c r="F960" s="955" t="n">
        <f aca="false">C960+D960+E960</f>
        <v>30000</v>
      </c>
      <c r="G960" s="955" t="n">
        <f aca="false">F960/149.4</f>
        <v>200.803212851406</v>
      </c>
      <c r="H960" s="661" t="n">
        <f aca="false">G960/60</f>
        <v>3.34672021419009</v>
      </c>
      <c r="I960" s="660" t="n">
        <f aca="false">'норма времени'!D964</f>
        <v>110</v>
      </c>
      <c r="J960" s="661" t="n">
        <f aca="false">H960*I960</f>
        <v>368.13922356091</v>
      </c>
    </row>
    <row r="961" customFormat="false" ht="15" hidden="false" customHeight="false" outlineLevel="0" collapsed="false">
      <c r="A961" s="571" t="s">
        <v>1576</v>
      </c>
      <c r="B961" s="328" t="s">
        <v>3441</v>
      </c>
      <c r="C961" s="954" t="n">
        <v>15000</v>
      </c>
      <c r="D961" s="954" t="n">
        <v>10000</v>
      </c>
      <c r="E961" s="954" t="n">
        <v>5000</v>
      </c>
      <c r="F961" s="955" t="n">
        <f aca="false">C961+D961+E961</f>
        <v>30000</v>
      </c>
      <c r="G961" s="955" t="n">
        <f aca="false">F961/149.4</f>
        <v>200.803212851406</v>
      </c>
      <c r="H961" s="661" t="n">
        <f aca="false">G961/60</f>
        <v>3.34672021419009</v>
      </c>
      <c r="I961" s="660" t="n">
        <f aca="false">'норма времени'!D965</f>
        <v>110</v>
      </c>
      <c r="J961" s="661" t="n">
        <f aca="false">H961*I961</f>
        <v>368.13922356091</v>
      </c>
    </row>
    <row r="962" customFormat="false" ht="15" hidden="false" customHeight="false" outlineLevel="0" collapsed="false">
      <c r="A962" s="571" t="s">
        <v>1577</v>
      </c>
      <c r="B962" s="328" t="s">
        <v>3442</v>
      </c>
      <c r="C962" s="954" t="n">
        <v>5000</v>
      </c>
      <c r="D962" s="954" t="n">
        <v>5000</v>
      </c>
      <c r="E962" s="954" t="n">
        <v>5000</v>
      </c>
      <c r="F962" s="955" t="n">
        <f aca="false">C962+D962+E962</f>
        <v>15000</v>
      </c>
      <c r="G962" s="955" t="n">
        <f aca="false">F962/149.4</f>
        <v>100.401606425703</v>
      </c>
      <c r="H962" s="661" t="n">
        <f aca="false">G962/60</f>
        <v>1.67336010709505</v>
      </c>
      <c r="I962" s="660" t="n">
        <f aca="false">'норма времени'!D966</f>
        <v>110</v>
      </c>
      <c r="J962" s="661" t="n">
        <f aca="false">H962*I962</f>
        <v>184.069611780455</v>
      </c>
    </row>
    <row r="963" customFormat="false" ht="30" hidden="false" customHeight="false" outlineLevel="0" collapsed="false">
      <c r="A963" s="571" t="s">
        <v>1578</v>
      </c>
      <c r="B963" s="328" t="s">
        <v>3540</v>
      </c>
      <c r="C963" s="954" t="n">
        <v>15000</v>
      </c>
      <c r="D963" s="954" t="n">
        <v>10000</v>
      </c>
      <c r="E963" s="954" t="n">
        <v>5000</v>
      </c>
      <c r="F963" s="955" t="n">
        <f aca="false">C963+D963+E963</f>
        <v>30000</v>
      </c>
      <c r="G963" s="955" t="n">
        <f aca="false">F963/149.4</f>
        <v>200.803212851406</v>
      </c>
      <c r="H963" s="661" t="n">
        <f aca="false">G963/60</f>
        <v>3.34672021419009</v>
      </c>
      <c r="I963" s="660" t="n">
        <f aca="false">'норма времени'!D967</f>
        <v>110</v>
      </c>
      <c r="J963" s="661" t="n">
        <f aca="false">H963*I963</f>
        <v>368.13922356091</v>
      </c>
    </row>
    <row r="964" customFormat="false" ht="15" hidden="false" customHeight="false" outlineLevel="0" collapsed="false">
      <c r="A964" s="571" t="s">
        <v>1579</v>
      </c>
      <c r="B964" s="328" t="s">
        <v>3541</v>
      </c>
      <c r="C964" s="954" t="n">
        <v>5000</v>
      </c>
      <c r="D964" s="954" t="n">
        <v>5000</v>
      </c>
      <c r="E964" s="954"/>
      <c r="F964" s="955" t="n">
        <f aca="false">C964+D964+E964</f>
        <v>10000</v>
      </c>
      <c r="G964" s="955" t="n">
        <f aca="false">F964/149.4</f>
        <v>66.9344042838019</v>
      </c>
      <c r="H964" s="661" t="n">
        <f aca="false">G964/60</f>
        <v>1.11557340473003</v>
      </c>
      <c r="I964" s="660" t="n">
        <f aca="false">'норма времени'!D968</f>
        <v>110</v>
      </c>
      <c r="J964" s="661" t="n">
        <f aca="false">H964*I964</f>
        <v>122.713074520303</v>
      </c>
    </row>
    <row r="965" customFormat="false" ht="15" hidden="false" customHeight="false" outlineLevel="0" collapsed="false">
      <c r="A965" s="571" t="s">
        <v>1580</v>
      </c>
      <c r="B965" s="328" t="s">
        <v>3447</v>
      </c>
      <c r="C965" s="954" t="n">
        <v>10000</v>
      </c>
      <c r="D965" s="954" t="n">
        <v>5000</v>
      </c>
      <c r="E965" s="954" t="n">
        <v>5000</v>
      </c>
      <c r="F965" s="955" t="n">
        <f aca="false">C965+D965+E965</f>
        <v>20000</v>
      </c>
      <c r="G965" s="955" t="n">
        <f aca="false">F965/149.4</f>
        <v>133.868808567604</v>
      </c>
      <c r="H965" s="661" t="n">
        <f aca="false">G965/60</f>
        <v>2.23114680946006</v>
      </c>
      <c r="I965" s="660" t="n">
        <f aca="false">'норма времени'!D969</f>
        <v>110</v>
      </c>
      <c r="J965" s="661" t="n">
        <f aca="false">H965*I965</f>
        <v>245.426149040607</v>
      </c>
    </row>
    <row r="966" customFormat="false" ht="15" hidden="false" customHeight="false" outlineLevel="0" collapsed="false">
      <c r="A966" s="571" t="s">
        <v>1581</v>
      </c>
      <c r="B966" s="328" t="s">
        <v>3514</v>
      </c>
      <c r="C966" s="954" t="n">
        <v>30000</v>
      </c>
      <c r="D966" s="954" t="n">
        <v>25000</v>
      </c>
      <c r="E966" s="954" t="n">
        <v>20000</v>
      </c>
      <c r="F966" s="955" t="n">
        <f aca="false">C966+D966+E966</f>
        <v>75000</v>
      </c>
      <c r="G966" s="955" t="n">
        <f aca="false">F966/149.4</f>
        <v>502.008032128514</v>
      </c>
      <c r="H966" s="661" t="n">
        <f aca="false">G966/60</f>
        <v>8.36680053547523</v>
      </c>
      <c r="I966" s="660" t="n">
        <f aca="false">'норма времени'!D970</f>
        <v>110</v>
      </c>
      <c r="J966" s="661" t="n">
        <f aca="false">H966*I966</f>
        <v>920.348058902276</v>
      </c>
    </row>
    <row r="967" customFormat="false" ht="15" hidden="false" customHeight="false" outlineLevel="0" collapsed="false">
      <c r="A967" s="571" t="s">
        <v>1582</v>
      </c>
      <c r="B967" s="328" t="s">
        <v>3513</v>
      </c>
      <c r="C967" s="954" t="n">
        <v>30000</v>
      </c>
      <c r="D967" s="954" t="n">
        <v>25000</v>
      </c>
      <c r="E967" s="954" t="n">
        <v>20000</v>
      </c>
      <c r="F967" s="955" t="n">
        <f aca="false">C967+D967+E967</f>
        <v>75000</v>
      </c>
      <c r="G967" s="955" t="n">
        <f aca="false">F967/149.4</f>
        <v>502.008032128514</v>
      </c>
      <c r="H967" s="661" t="n">
        <f aca="false">G967/60</f>
        <v>8.36680053547523</v>
      </c>
      <c r="I967" s="660" t="n">
        <f aca="false">'норма времени'!D971</f>
        <v>110</v>
      </c>
      <c r="J967" s="661" t="n">
        <f aca="false">H967*I967</f>
        <v>920.348058902276</v>
      </c>
    </row>
    <row r="968" customFormat="false" ht="15" hidden="false" customHeight="false" outlineLevel="0" collapsed="false">
      <c r="A968" s="571" t="s">
        <v>1583</v>
      </c>
      <c r="B968" s="328" t="s">
        <v>3542</v>
      </c>
      <c r="C968" s="954" t="n">
        <v>10000</v>
      </c>
      <c r="D968" s="954" t="n">
        <v>10000</v>
      </c>
      <c r="E968" s="954" t="n">
        <v>5000</v>
      </c>
      <c r="F968" s="955" t="n">
        <f aca="false">C968+D968+E968</f>
        <v>25000</v>
      </c>
      <c r="G968" s="955" t="n">
        <f aca="false">F968/149.4</f>
        <v>167.336010709505</v>
      </c>
      <c r="H968" s="661" t="n">
        <f aca="false">G968/60</f>
        <v>2.78893351182508</v>
      </c>
      <c r="I968" s="660" t="n">
        <f aca="false">'норма времени'!D972</f>
        <v>110</v>
      </c>
      <c r="J968" s="661" t="n">
        <f aca="false">H968*I968</f>
        <v>306.782686300759</v>
      </c>
    </row>
    <row r="969" customFormat="false" ht="15" hidden="false" customHeight="false" outlineLevel="0" collapsed="false">
      <c r="A969" s="571" t="s">
        <v>1584</v>
      </c>
      <c r="B969" s="328" t="s">
        <v>3543</v>
      </c>
      <c r="C969" s="954" t="n">
        <v>35000</v>
      </c>
      <c r="D969" s="954" t="n">
        <v>25000</v>
      </c>
      <c r="E969" s="954" t="n">
        <v>20000</v>
      </c>
      <c r="F969" s="955" t="n">
        <f aca="false">C969+D969+E969</f>
        <v>80000</v>
      </c>
      <c r="G969" s="955" t="n">
        <f aca="false">F969/149.4</f>
        <v>535.475234270415</v>
      </c>
      <c r="H969" s="661" t="n">
        <f aca="false">G969/60</f>
        <v>8.92458723784025</v>
      </c>
      <c r="I969" s="660" t="n">
        <f aca="false">'норма времени'!D973</f>
        <v>110</v>
      </c>
      <c r="J969" s="661" t="n">
        <f aca="false">H969*I969</f>
        <v>981.704596162428</v>
      </c>
    </row>
    <row r="970" customFormat="false" ht="15" hidden="false" customHeight="false" outlineLevel="0" collapsed="false">
      <c r="A970" s="571" t="s">
        <v>1585</v>
      </c>
      <c r="B970" s="328" t="s">
        <v>3544</v>
      </c>
      <c r="C970" s="954" t="n">
        <v>15000</v>
      </c>
      <c r="D970" s="954" t="n">
        <v>10000</v>
      </c>
      <c r="E970" s="954" t="n">
        <v>5000</v>
      </c>
      <c r="F970" s="955" t="n">
        <f aca="false">C970+D970+E970</f>
        <v>30000</v>
      </c>
      <c r="G970" s="955" t="n">
        <f aca="false">F970/149.4</f>
        <v>200.803212851406</v>
      </c>
      <c r="H970" s="661" t="n">
        <f aca="false">G970/60</f>
        <v>3.34672021419009</v>
      </c>
      <c r="I970" s="660" t="n">
        <f aca="false">'норма времени'!D974</f>
        <v>110</v>
      </c>
      <c r="J970" s="661" t="n">
        <f aca="false">H970*I970</f>
        <v>368.13922356091</v>
      </c>
    </row>
    <row r="971" customFormat="false" ht="15" hidden="false" customHeight="false" outlineLevel="0" collapsed="false">
      <c r="A971" s="571" t="s">
        <v>1587</v>
      </c>
      <c r="B971" s="328" t="s">
        <v>3458</v>
      </c>
      <c r="C971" s="954" t="n">
        <v>15000</v>
      </c>
      <c r="D971" s="954" t="n">
        <v>15000</v>
      </c>
      <c r="E971" s="954" t="n">
        <v>10000</v>
      </c>
      <c r="F971" s="955" t="n">
        <f aca="false">C971+D971+E971</f>
        <v>40000</v>
      </c>
      <c r="G971" s="955" t="n">
        <f aca="false">F971/149.4</f>
        <v>267.737617135208</v>
      </c>
      <c r="H971" s="661" t="n">
        <f aca="false">G971/60</f>
        <v>4.46229361892013</v>
      </c>
      <c r="I971" s="660" t="n">
        <f aca="false">'норма времени'!D975</f>
        <v>110</v>
      </c>
      <c r="J971" s="661" t="n">
        <f aca="false">H971*I971</f>
        <v>490.852298081214</v>
      </c>
    </row>
    <row r="972" customFormat="false" ht="15" hidden="false" customHeight="false" outlineLevel="0" collapsed="false">
      <c r="A972" s="571" t="s">
        <v>1588</v>
      </c>
      <c r="B972" s="328" t="s">
        <v>3443</v>
      </c>
      <c r="C972" s="954" t="n">
        <v>15000</v>
      </c>
      <c r="D972" s="954" t="n">
        <v>10000</v>
      </c>
      <c r="E972" s="954" t="n">
        <v>5000</v>
      </c>
      <c r="F972" s="955" t="n">
        <f aca="false">C972+D972+E972</f>
        <v>30000</v>
      </c>
      <c r="G972" s="955" t="n">
        <f aca="false">F972/149.4</f>
        <v>200.803212851406</v>
      </c>
      <c r="H972" s="661" t="n">
        <f aca="false">G972/60</f>
        <v>3.34672021419009</v>
      </c>
      <c r="I972" s="660" t="n">
        <f aca="false">'норма времени'!D976</f>
        <v>110</v>
      </c>
      <c r="J972" s="661" t="n">
        <f aca="false">H972*I972</f>
        <v>368.13922356091</v>
      </c>
    </row>
    <row r="973" customFormat="false" ht="15" hidden="false" customHeight="false" outlineLevel="0" collapsed="false">
      <c r="A973" s="571" t="s">
        <v>1589</v>
      </c>
      <c r="B973" s="328" t="s">
        <v>3545</v>
      </c>
      <c r="C973" s="954" t="n">
        <v>45000</v>
      </c>
      <c r="D973" s="954" t="n">
        <v>35000</v>
      </c>
      <c r="E973" s="954" t="n">
        <v>30000</v>
      </c>
      <c r="F973" s="955" t="n">
        <f aca="false">C973+D973+E973</f>
        <v>110000</v>
      </c>
      <c r="G973" s="955" t="n">
        <f aca="false">F973/149.4</f>
        <v>736.278447121821</v>
      </c>
      <c r="H973" s="661" t="n">
        <f aca="false">G973/60</f>
        <v>12.2713074520303</v>
      </c>
      <c r="I973" s="660" t="n">
        <f aca="false">'норма времени'!D977</f>
        <v>110</v>
      </c>
      <c r="J973" s="661" t="n">
        <f aca="false">H973*I973</f>
        <v>1349.84381972334</v>
      </c>
    </row>
    <row r="974" customFormat="false" ht="15" hidden="false" customHeight="false" outlineLevel="0" collapsed="false">
      <c r="A974" s="571" t="s">
        <v>1591</v>
      </c>
      <c r="B974" s="328" t="s">
        <v>3444</v>
      </c>
      <c r="C974" s="954" t="n">
        <v>15000</v>
      </c>
      <c r="D974" s="954" t="n">
        <v>10000</v>
      </c>
      <c r="E974" s="954" t="n">
        <v>5000</v>
      </c>
      <c r="F974" s="955" t="n">
        <f aca="false">C974+D974+E974</f>
        <v>30000</v>
      </c>
      <c r="G974" s="955" t="n">
        <f aca="false">F974/149.4</f>
        <v>200.803212851406</v>
      </c>
      <c r="H974" s="661" t="n">
        <f aca="false">G974/60</f>
        <v>3.34672021419009</v>
      </c>
      <c r="I974" s="660" t="n">
        <f aca="false">'норма времени'!D978</f>
        <v>110</v>
      </c>
      <c r="J974" s="661" t="n">
        <f aca="false">H974*I974</f>
        <v>368.13922356091</v>
      </c>
    </row>
    <row r="975" customFormat="false" ht="15" hidden="false" customHeight="false" outlineLevel="0" collapsed="false">
      <c r="A975" s="571" t="s">
        <v>1592</v>
      </c>
      <c r="B975" s="328" t="s">
        <v>3546</v>
      </c>
      <c r="C975" s="954" t="n">
        <v>15000</v>
      </c>
      <c r="D975" s="954" t="n">
        <v>10000</v>
      </c>
      <c r="E975" s="954" t="n">
        <v>5000</v>
      </c>
      <c r="F975" s="955" t="n">
        <f aca="false">C975+D975+E975</f>
        <v>30000</v>
      </c>
      <c r="G975" s="955" t="n">
        <f aca="false">F975/149.4</f>
        <v>200.803212851406</v>
      </c>
      <c r="H975" s="661" t="n">
        <f aca="false">G975/60</f>
        <v>3.34672021419009</v>
      </c>
      <c r="I975" s="660" t="n">
        <f aca="false">'норма времени'!D979</f>
        <v>110</v>
      </c>
      <c r="J975" s="661" t="n">
        <f aca="false">H975*I975</f>
        <v>368.13922356091</v>
      </c>
    </row>
    <row r="976" customFormat="false" ht="15" hidden="false" customHeight="false" outlineLevel="0" collapsed="false">
      <c r="A976" s="571" t="s">
        <v>1593</v>
      </c>
      <c r="B976" s="328" t="s">
        <v>3547</v>
      </c>
      <c r="C976" s="954" t="n">
        <v>15000</v>
      </c>
      <c r="D976" s="954" t="n">
        <v>10000</v>
      </c>
      <c r="E976" s="954" t="n">
        <v>5000</v>
      </c>
      <c r="F976" s="955" t="n">
        <f aca="false">C976+D976+E976</f>
        <v>30000</v>
      </c>
      <c r="G976" s="955" t="n">
        <f aca="false">F976/149.4</f>
        <v>200.803212851406</v>
      </c>
      <c r="H976" s="661" t="n">
        <f aca="false">G976/60</f>
        <v>3.34672021419009</v>
      </c>
      <c r="I976" s="660" t="n">
        <f aca="false">'норма времени'!D980</f>
        <v>110</v>
      </c>
      <c r="J976" s="661" t="n">
        <f aca="false">H976*I976</f>
        <v>368.13922356091</v>
      </c>
    </row>
    <row r="977" customFormat="false" ht="15" hidden="false" customHeight="false" outlineLevel="0" collapsed="false">
      <c r="A977" s="571" t="s">
        <v>1595</v>
      </c>
      <c r="B977" s="328" t="s">
        <v>3548</v>
      </c>
      <c r="C977" s="954" t="n">
        <v>25000</v>
      </c>
      <c r="D977" s="954" t="n">
        <v>20000</v>
      </c>
      <c r="E977" s="954" t="n">
        <v>18000</v>
      </c>
      <c r="F977" s="955" t="n">
        <f aca="false">C977+D977+E977</f>
        <v>63000</v>
      </c>
      <c r="G977" s="955" t="n">
        <f aca="false">F977/149.4</f>
        <v>421.686746987952</v>
      </c>
      <c r="H977" s="661" t="n">
        <f aca="false">G977/60</f>
        <v>7.0281124497992</v>
      </c>
      <c r="I977" s="660" t="n">
        <f aca="false">'норма времени'!D981</f>
        <v>100</v>
      </c>
      <c r="J977" s="661" t="n">
        <f aca="false">H977*I977</f>
        <v>702.81124497992</v>
      </c>
    </row>
    <row r="978" customFormat="false" ht="15" hidden="false" customHeight="false" outlineLevel="0" collapsed="false">
      <c r="A978" s="571" t="s">
        <v>1596</v>
      </c>
      <c r="B978" s="328" t="s">
        <v>3549</v>
      </c>
      <c r="C978" s="954" t="n">
        <v>30000</v>
      </c>
      <c r="D978" s="954" t="n">
        <v>25000</v>
      </c>
      <c r="E978" s="954" t="n">
        <v>20000</v>
      </c>
      <c r="F978" s="955" t="n">
        <f aca="false">C978+D978+E978</f>
        <v>75000</v>
      </c>
      <c r="G978" s="955" t="n">
        <f aca="false">F978/149.4</f>
        <v>502.008032128514</v>
      </c>
      <c r="H978" s="661" t="n">
        <f aca="false">G978/60</f>
        <v>8.36680053547523</v>
      </c>
      <c r="I978" s="660" t="n">
        <f aca="false">'норма времени'!D982</f>
        <v>90</v>
      </c>
      <c r="J978" s="661" t="n">
        <f aca="false">H978*I978</f>
        <v>753.012048192771</v>
      </c>
    </row>
    <row r="979" customFormat="false" ht="15" hidden="false" customHeight="false" outlineLevel="0" collapsed="false">
      <c r="A979" s="571" t="s">
        <v>1597</v>
      </c>
      <c r="B979" s="328" t="s">
        <v>3550</v>
      </c>
      <c r="C979" s="954" t="n">
        <v>15000</v>
      </c>
      <c r="D979" s="954" t="n">
        <v>10000</v>
      </c>
      <c r="E979" s="954" t="n">
        <v>5000</v>
      </c>
      <c r="F979" s="955" t="n">
        <f aca="false">C979+D979+E979</f>
        <v>30000</v>
      </c>
      <c r="G979" s="955" t="n">
        <f aca="false">F979/149.4</f>
        <v>200.803212851406</v>
      </c>
      <c r="H979" s="661" t="n">
        <f aca="false">G979/60</f>
        <v>3.34672021419009</v>
      </c>
      <c r="I979" s="660" t="n">
        <f aca="false">'норма времени'!D983</f>
        <v>110</v>
      </c>
      <c r="J979" s="661" t="n">
        <f aca="false">H979*I979</f>
        <v>368.13922356091</v>
      </c>
    </row>
    <row r="980" customFormat="false" ht="15" hidden="false" customHeight="false" outlineLevel="0" collapsed="false">
      <c r="A980" s="571" t="s">
        <v>1598</v>
      </c>
      <c r="B980" s="328" t="s">
        <v>3551</v>
      </c>
      <c r="C980" s="954" t="n">
        <v>15000</v>
      </c>
      <c r="D980" s="954" t="n">
        <v>10000</v>
      </c>
      <c r="E980" s="954" t="n">
        <v>5000</v>
      </c>
      <c r="F980" s="955" t="n">
        <f aca="false">C980+D980+E980</f>
        <v>30000</v>
      </c>
      <c r="G980" s="955" t="n">
        <f aca="false">F980/149.4</f>
        <v>200.803212851406</v>
      </c>
      <c r="H980" s="661" t="n">
        <f aca="false">G980/60</f>
        <v>3.34672021419009</v>
      </c>
      <c r="I980" s="660" t="n">
        <f aca="false">'норма времени'!D984</f>
        <v>110</v>
      </c>
      <c r="J980" s="661" t="n">
        <f aca="false">H980*I980</f>
        <v>368.13922356091</v>
      </c>
    </row>
    <row r="981" customFormat="false" ht="15" hidden="false" customHeight="false" outlineLevel="0" collapsed="false">
      <c r="A981" s="571" t="s">
        <v>1600</v>
      </c>
      <c r="B981" s="328" t="s">
        <v>3465</v>
      </c>
      <c r="C981" s="954" t="n">
        <v>15000</v>
      </c>
      <c r="D981" s="954" t="n">
        <v>10000</v>
      </c>
      <c r="E981" s="954" t="n">
        <v>5000</v>
      </c>
      <c r="F981" s="955" t="n">
        <f aca="false">C981+D981+E981</f>
        <v>30000</v>
      </c>
      <c r="G981" s="955" t="n">
        <f aca="false">F981/149.4</f>
        <v>200.803212851406</v>
      </c>
      <c r="H981" s="661" t="n">
        <f aca="false">G981/60</f>
        <v>3.34672021419009</v>
      </c>
      <c r="I981" s="660" t="n">
        <f aca="false">'норма времени'!D985</f>
        <v>110</v>
      </c>
      <c r="J981" s="661" t="n">
        <f aca="false">H981*I981</f>
        <v>368.13922356091</v>
      </c>
    </row>
    <row r="982" customFormat="false" ht="15" hidden="false" customHeight="false" outlineLevel="0" collapsed="false">
      <c r="A982" s="571" t="s">
        <v>1601</v>
      </c>
      <c r="B982" s="328" t="s">
        <v>3552</v>
      </c>
      <c r="C982" s="954" t="n">
        <v>5000</v>
      </c>
      <c r="D982" s="954" t="n">
        <v>5000</v>
      </c>
      <c r="E982" s="954"/>
      <c r="F982" s="955" t="n">
        <f aca="false">C982+D982+E982</f>
        <v>10000</v>
      </c>
      <c r="G982" s="955" t="n">
        <f aca="false">F982/149.4</f>
        <v>66.9344042838019</v>
      </c>
      <c r="H982" s="661" t="n">
        <f aca="false">G982/60</f>
        <v>1.11557340473003</v>
      </c>
      <c r="I982" s="660" t="n">
        <f aca="false">'норма времени'!D986</f>
        <v>110</v>
      </c>
      <c r="J982" s="661" t="n">
        <f aca="false">H982*I982</f>
        <v>122.713074520303</v>
      </c>
    </row>
    <row r="983" customFormat="false" ht="15" hidden="false" customHeight="false" outlineLevel="0" collapsed="false">
      <c r="A983" s="571" t="s">
        <v>1603</v>
      </c>
      <c r="B983" s="328" t="s">
        <v>3553</v>
      </c>
      <c r="C983" s="954" t="n">
        <v>20000</v>
      </c>
      <c r="D983" s="954" t="n">
        <v>15000</v>
      </c>
      <c r="E983" s="954" t="n">
        <v>10000</v>
      </c>
      <c r="F983" s="955" t="n">
        <f aca="false">C983+D983+E983</f>
        <v>45000</v>
      </c>
      <c r="G983" s="955" t="n">
        <f aca="false">F983/149.4</f>
        <v>301.204819277108</v>
      </c>
      <c r="H983" s="661" t="n">
        <f aca="false">G983/60</f>
        <v>5.02008032128514</v>
      </c>
      <c r="I983" s="660" t="n">
        <f aca="false">'норма времени'!D987</f>
        <v>480</v>
      </c>
      <c r="J983" s="661" t="n">
        <f aca="false">H983*I983</f>
        <v>2409.63855421687</v>
      </c>
    </row>
    <row r="984" customFormat="false" ht="15" hidden="false" customHeight="false" outlineLevel="0" collapsed="false">
      <c r="A984" s="571" t="s">
        <v>1605</v>
      </c>
      <c r="B984" s="328" t="s">
        <v>3481</v>
      </c>
      <c r="C984" s="954" t="n">
        <v>15000</v>
      </c>
      <c r="D984" s="954" t="n">
        <v>10000</v>
      </c>
      <c r="E984" s="954" t="n">
        <v>5000</v>
      </c>
      <c r="F984" s="955" t="n">
        <f aca="false">C984+D984+E984</f>
        <v>30000</v>
      </c>
      <c r="G984" s="955" t="n">
        <f aca="false">F984/149.4</f>
        <v>200.803212851406</v>
      </c>
      <c r="H984" s="661" t="n">
        <f aca="false">G984/60</f>
        <v>3.34672021419009</v>
      </c>
      <c r="I984" s="660" t="n">
        <f aca="false">'норма времени'!D988</f>
        <v>280</v>
      </c>
      <c r="J984" s="661" t="n">
        <f aca="false">H984*I984</f>
        <v>937.081659973226</v>
      </c>
    </row>
    <row r="985" customFormat="false" ht="30" hidden="false" customHeight="false" outlineLevel="0" collapsed="false">
      <c r="A985" s="571" t="s">
        <v>1606</v>
      </c>
      <c r="B985" s="328" t="s">
        <v>3554</v>
      </c>
      <c r="C985" s="954" t="n">
        <v>15000</v>
      </c>
      <c r="D985" s="954" t="n">
        <v>10000</v>
      </c>
      <c r="E985" s="954" t="n">
        <v>5000</v>
      </c>
      <c r="F985" s="955" t="n">
        <f aca="false">C985+D985+E985</f>
        <v>30000</v>
      </c>
      <c r="G985" s="955" t="n">
        <f aca="false">F985/149.4</f>
        <v>200.803212851406</v>
      </c>
      <c r="H985" s="661" t="n">
        <f aca="false">G985/60</f>
        <v>3.34672021419009</v>
      </c>
      <c r="I985" s="660" t="n">
        <f aca="false">'норма времени'!D989</f>
        <v>110</v>
      </c>
      <c r="J985" s="661" t="n">
        <f aca="false">H985*I985</f>
        <v>368.13922356091</v>
      </c>
    </row>
    <row r="986" customFormat="false" ht="15" hidden="false" customHeight="false" outlineLevel="0" collapsed="false">
      <c r="A986" s="571" t="s">
        <v>1608</v>
      </c>
      <c r="B986" s="328" t="s">
        <v>3486</v>
      </c>
      <c r="C986" s="954" t="n">
        <v>78000</v>
      </c>
      <c r="D986" s="954" t="n">
        <v>75000</v>
      </c>
      <c r="E986" s="954" t="n">
        <v>70000</v>
      </c>
      <c r="F986" s="955" t="n">
        <f aca="false">C986+D986+E986</f>
        <v>223000</v>
      </c>
      <c r="G986" s="955" t="n">
        <f aca="false">F986/149.4</f>
        <v>1492.63721552878</v>
      </c>
      <c r="H986" s="661" t="n">
        <f aca="false">G986/60</f>
        <v>24.8772869254797</v>
      </c>
      <c r="I986" s="660" t="n">
        <f aca="false">'норма времени'!D990</f>
        <v>80</v>
      </c>
      <c r="J986" s="661" t="n">
        <f aca="false">H986*I986</f>
        <v>1990.18295403838</v>
      </c>
    </row>
    <row r="987" customFormat="false" ht="15" hidden="false" customHeight="false" outlineLevel="0" collapsed="false">
      <c r="A987" s="571" t="s">
        <v>1610</v>
      </c>
      <c r="B987" s="328" t="s">
        <v>3532</v>
      </c>
      <c r="C987" s="954" t="n">
        <v>12895</v>
      </c>
      <c r="D987" s="954" t="n">
        <v>10000</v>
      </c>
      <c r="E987" s="954" t="n">
        <v>10000</v>
      </c>
      <c r="F987" s="955" t="n">
        <f aca="false">C987+D987+E987</f>
        <v>32895</v>
      </c>
      <c r="G987" s="955" t="n">
        <f aca="false">F987/149.4</f>
        <v>220.180722891566</v>
      </c>
      <c r="H987" s="661" t="n">
        <f aca="false">G987/60</f>
        <v>3.66967871485944</v>
      </c>
      <c r="I987" s="660" t="n">
        <f aca="false">'норма времени'!D991</f>
        <v>280</v>
      </c>
      <c r="J987" s="661" t="n">
        <f aca="false">H987*I987</f>
        <v>1027.51004016064</v>
      </c>
    </row>
    <row r="988" customFormat="false" ht="15" hidden="false" customHeight="false" outlineLevel="0" collapsed="false">
      <c r="A988" s="571" t="s">
        <v>1611</v>
      </c>
      <c r="B988" s="328" t="s">
        <v>3555</v>
      </c>
      <c r="C988" s="954" t="n">
        <v>21250</v>
      </c>
      <c r="D988" s="954" t="n">
        <v>20000</v>
      </c>
      <c r="E988" s="954" t="n">
        <v>10000</v>
      </c>
      <c r="F988" s="955" t="n">
        <f aca="false">C988+D988+E988</f>
        <v>51250</v>
      </c>
      <c r="G988" s="955" t="n">
        <f aca="false">F988/149.4</f>
        <v>343.038821954485</v>
      </c>
      <c r="H988" s="661" t="n">
        <f aca="false">G988/60</f>
        <v>5.71731369924141</v>
      </c>
      <c r="I988" s="660" t="n">
        <f aca="false">'норма времени'!D992</f>
        <v>740</v>
      </c>
      <c r="J988" s="661" t="n">
        <f aca="false">H988*I988</f>
        <v>4230.81213743864</v>
      </c>
    </row>
    <row r="989" s="451" customFormat="true" ht="27.75" hidden="false" customHeight="true" outlineLevel="0" collapsed="false">
      <c r="A989" s="350" t="s">
        <v>1613</v>
      </c>
      <c r="B989" s="467" t="s">
        <v>3556</v>
      </c>
      <c r="C989" s="1253"/>
      <c r="D989" s="1253"/>
      <c r="E989" s="1253"/>
      <c r="F989" s="1254"/>
      <c r="G989" s="955" t="n">
        <f aca="false">F989/149.4</f>
        <v>0</v>
      </c>
      <c r="H989" s="1250"/>
      <c r="I989" s="1255"/>
      <c r="J989" s="1250"/>
      <c r="K989" s="1257"/>
      <c r="L989" s="1257"/>
      <c r="M989" s="1257"/>
      <c r="N989" s="1257"/>
      <c r="O989" s="1257"/>
      <c r="P989" s="1257"/>
      <c r="Q989" s="1257"/>
      <c r="R989" s="1257"/>
      <c r="S989" s="1257"/>
    </row>
    <row r="990" customFormat="false" ht="15" hidden="false" customHeight="false" outlineLevel="0" collapsed="false">
      <c r="A990" s="571" t="s">
        <v>1615</v>
      </c>
      <c r="B990" s="328" t="s">
        <v>3139</v>
      </c>
      <c r="C990" s="954" t="n">
        <v>50000</v>
      </c>
      <c r="D990" s="954" t="n">
        <v>40000</v>
      </c>
      <c r="E990" s="954" t="n">
        <v>30000</v>
      </c>
      <c r="F990" s="955" t="n">
        <f aca="false">C990+D990+E990</f>
        <v>120000</v>
      </c>
      <c r="G990" s="955" t="n">
        <f aca="false">F990/149.4</f>
        <v>803.212851405623</v>
      </c>
      <c r="H990" s="661" t="n">
        <f aca="false">G990/60</f>
        <v>13.3868808567604</v>
      </c>
      <c r="I990" s="660" t="n">
        <f aca="false">'норма времени'!D994</f>
        <v>45</v>
      </c>
      <c r="J990" s="661" t="n">
        <f aca="false">H990*I990</f>
        <v>602.409638554217</v>
      </c>
    </row>
    <row r="991" customFormat="false" ht="15" hidden="false" customHeight="false" outlineLevel="0" collapsed="false">
      <c r="A991" s="571" t="s">
        <v>1616</v>
      </c>
      <c r="B991" s="328" t="s">
        <v>3549</v>
      </c>
      <c r="C991" s="954" t="n">
        <v>30000</v>
      </c>
      <c r="D991" s="954" t="n">
        <v>25000</v>
      </c>
      <c r="E991" s="954" t="n">
        <v>30000</v>
      </c>
      <c r="F991" s="955" t="n">
        <f aca="false">C991+D991+E991</f>
        <v>85000</v>
      </c>
      <c r="G991" s="955" t="n">
        <f aca="false">F991/149.4</f>
        <v>568.942436412316</v>
      </c>
      <c r="H991" s="661" t="n">
        <f aca="false">G991/60</f>
        <v>9.48237394020527</v>
      </c>
      <c r="I991" s="660" t="n">
        <f aca="false">'норма времени'!D995</f>
        <v>90</v>
      </c>
      <c r="J991" s="661" t="n">
        <f aca="false">H991*I991</f>
        <v>853.413654618474</v>
      </c>
    </row>
    <row r="992" customFormat="false" ht="15" hidden="false" customHeight="false" outlineLevel="0" collapsed="false">
      <c r="A992" s="571" t="s">
        <v>1617</v>
      </c>
      <c r="B992" s="328" t="s">
        <v>3548</v>
      </c>
      <c r="C992" s="954" t="n">
        <v>30000</v>
      </c>
      <c r="D992" s="954" t="n">
        <v>25000</v>
      </c>
      <c r="E992" s="954" t="n">
        <v>30000</v>
      </c>
      <c r="F992" s="955" t="n">
        <f aca="false">C992+D992+E992</f>
        <v>85000</v>
      </c>
      <c r="G992" s="955" t="n">
        <f aca="false">F992/149.4</f>
        <v>568.942436412316</v>
      </c>
      <c r="H992" s="661" t="n">
        <f aca="false">G992/60</f>
        <v>9.48237394020527</v>
      </c>
      <c r="I992" s="660" t="n">
        <f aca="false">'норма времени'!D996</f>
        <v>100</v>
      </c>
      <c r="J992" s="661" t="n">
        <f aca="false">H992*I992</f>
        <v>948.237394020527</v>
      </c>
    </row>
    <row r="993" customFormat="false" ht="15" hidden="false" customHeight="false" outlineLevel="0" collapsed="false">
      <c r="A993" s="571" t="s">
        <v>1618</v>
      </c>
      <c r="B993" s="328" t="s">
        <v>3557</v>
      </c>
      <c r="C993" s="954" t="n">
        <v>50000</v>
      </c>
      <c r="D993" s="954" t="n">
        <v>40000</v>
      </c>
      <c r="E993" s="954" t="n">
        <v>35000</v>
      </c>
      <c r="F993" s="955" t="n">
        <f aca="false">C993+D993+E993</f>
        <v>125000</v>
      </c>
      <c r="G993" s="955" t="n">
        <f aca="false">F993/149.4</f>
        <v>836.680053547523</v>
      </c>
      <c r="H993" s="661" t="n">
        <f aca="false">G993/60</f>
        <v>13.9446675591254</v>
      </c>
      <c r="I993" s="660" t="n">
        <f aca="false">'норма времени'!D997</f>
        <v>80</v>
      </c>
      <c r="J993" s="661" t="n">
        <f aca="false">H993*I993</f>
        <v>1115.57340473003</v>
      </c>
    </row>
    <row r="994" customFormat="false" ht="15" hidden="false" customHeight="false" outlineLevel="0" collapsed="false">
      <c r="A994" s="571" t="s">
        <v>1620</v>
      </c>
      <c r="B994" s="328" t="s">
        <v>3546</v>
      </c>
      <c r="C994" s="954" t="n">
        <v>5000</v>
      </c>
      <c r="D994" s="954" t="n">
        <v>5000</v>
      </c>
      <c r="E994" s="954" t="n">
        <v>5000</v>
      </c>
      <c r="F994" s="955" t="n">
        <f aca="false">C994+D994+E994</f>
        <v>15000</v>
      </c>
      <c r="G994" s="955" t="n">
        <f aca="false">F994/149.4</f>
        <v>100.401606425703</v>
      </c>
      <c r="H994" s="661" t="n">
        <f aca="false">G994/60</f>
        <v>1.67336010709505</v>
      </c>
      <c r="I994" s="660" t="n">
        <f aca="false">'норма времени'!D998</f>
        <v>80</v>
      </c>
      <c r="J994" s="661" t="n">
        <f aca="false">H994*I994</f>
        <v>133.868808567604</v>
      </c>
    </row>
    <row r="995" customFormat="false" ht="15" hidden="false" customHeight="false" outlineLevel="0" collapsed="false">
      <c r="A995" s="571" t="s">
        <v>1621</v>
      </c>
      <c r="B995" s="328" t="s">
        <v>3558</v>
      </c>
      <c r="C995" s="954" t="n">
        <v>5000</v>
      </c>
      <c r="D995" s="954" t="n">
        <v>5000</v>
      </c>
      <c r="E995" s="954" t="n">
        <v>5000</v>
      </c>
      <c r="F995" s="955" t="n">
        <f aca="false">C995+D995+E995</f>
        <v>15000</v>
      </c>
      <c r="G995" s="955" t="n">
        <f aca="false">F995/149.4</f>
        <v>100.401606425703</v>
      </c>
      <c r="H995" s="661" t="n">
        <f aca="false">G995/60</f>
        <v>1.67336010709505</v>
      </c>
      <c r="I995" s="660" t="n">
        <f aca="false">'норма времени'!D999</f>
        <v>80</v>
      </c>
      <c r="J995" s="661" t="n">
        <f aca="false">H995*I995</f>
        <v>133.868808567604</v>
      </c>
    </row>
    <row r="996" customFormat="false" ht="15" hidden="false" customHeight="false" outlineLevel="0" collapsed="false">
      <c r="A996" s="571" t="s">
        <v>1623</v>
      </c>
      <c r="B996" s="328" t="s">
        <v>3543</v>
      </c>
      <c r="C996" s="954" t="n">
        <v>50000</v>
      </c>
      <c r="D996" s="954" t="n">
        <v>40000</v>
      </c>
      <c r="E996" s="954" t="n">
        <v>30000</v>
      </c>
      <c r="F996" s="955" t="n">
        <f aca="false">C996+D996+E996</f>
        <v>120000</v>
      </c>
      <c r="G996" s="955" t="n">
        <f aca="false">F996/149.4</f>
        <v>803.212851405623</v>
      </c>
      <c r="H996" s="661" t="n">
        <f aca="false">G996/60</f>
        <v>13.3868808567604</v>
      </c>
      <c r="I996" s="660" t="n">
        <f aca="false">'норма времени'!D1000</f>
        <v>80</v>
      </c>
      <c r="J996" s="661" t="n">
        <f aca="false">H996*I996</f>
        <v>1070.95046854083</v>
      </c>
    </row>
    <row r="997" customFormat="false" ht="15" hidden="false" customHeight="false" outlineLevel="0" collapsed="false">
      <c r="A997" s="571" t="s">
        <v>1624</v>
      </c>
      <c r="B997" s="328" t="s">
        <v>3514</v>
      </c>
      <c r="C997" s="954" t="n">
        <v>20000</v>
      </c>
      <c r="D997" s="954" t="n">
        <v>10000</v>
      </c>
      <c r="E997" s="954" t="n">
        <v>10000</v>
      </c>
      <c r="F997" s="955" t="n">
        <f aca="false">C997+D997+E997</f>
        <v>40000</v>
      </c>
      <c r="G997" s="955" t="n">
        <f aca="false">F997/149.4</f>
        <v>267.737617135208</v>
      </c>
      <c r="H997" s="661" t="n">
        <f aca="false">G997/60</f>
        <v>4.46229361892013</v>
      </c>
      <c r="I997" s="660" t="n">
        <f aca="false">'норма времени'!D1001</f>
        <v>80</v>
      </c>
      <c r="J997" s="661" t="n">
        <f aca="false">H997*I997</f>
        <v>356.98348951361</v>
      </c>
    </row>
    <row r="998" customFormat="false" ht="15" hidden="false" customHeight="false" outlineLevel="0" collapsed="false">
      <c r="A998" s="571" t="s">
        <v>1625</v>
      </c>
      <c r="B998" s="328" t="s">
        <v>3441</v>
      </c>
      <c r="C998" s="954" t="n">
        <v>20000</v>
      </c>
      <c r="D998" s="954" t="n">
        <v>10000</v>
      </c>
      <c r="E998" s="954" t="n">
        <v>10000</v>
      </c>
      <c r="F998" s="955" t="n">
        <f aca="false">C998+D998+E998</f>
        <v>40000</v>
      </c>
      <c r="G998" s="955" t="n">
        <f aca="false">F998/149.4</f>
        <v>267.737617135208</v>
      </c>
      <c r="H998" s="661" t="n">
        <f aca="false">G998/60</f>
        <v>4.46229361892013</v>
      </c>
      <c r="I998" s="660" t="n">
        <f aca="false">'норма времени'!D1002</f>
        <v>80</v>
      </c>
      <c r="J998" s="661" t="n">
        <f aca="false">H998*I998</f>
        <v>356.98348951361</v>
      </c>
    </row>
    <row r="999" customFormat="false" ht="15" hidden="false" customHeight="false" outlineLevel="0" collapsed="false">
      <c r="A999" s="571" t="s">
        <v>1626</v>
      </c>
      <c r="B999" s="328" t="s">
        <v>3438</v>
      </c>
      <c r="C999" s="954" t="n">
        <v>30000</v>
      </c>
      <c r="D999" s="954" t="n">
        <v>25000</v>
      </c>
      <c r="E999" s="954" t="n">
        <v>30000</v>
      </c>
      <c r="F999" s="955" t="n">
        <f aca="false">C999+D999+E999</f>
        <v>85000</v>
      </c>
      <c r="G999" s="955" t="n">
        <f aca="false">F999/149.4</f>
        <v>568.942436412316</v>
      </c>
      <c r="H999" s="661" t="n">
        <f aca="false">G999/60</f>
        <v>9.48237394020527</v>
      </c>
      <c r="I999" s="660" t="n">
        <f aca="false">'норма времени'!D1003</f>
        <v>80</v>
      </c>
      <c r="J999" s="661" t="n">
        <f aca="false">H999*I999</f>
        <v>758.589915216421</v>
      </c>
    </row>
    <row r="1000" customFormat="false" ht="15" hidden="false" customHeight="false" outlineLevel="0" collapsed="false">
      <c r="A1000" s="571" t="s">
        <v>1627</v>
      </c>
      <c r="B1000" s="328" t="s">
        <v>3465</v>
      </c>
      <c r="C1000" s="954" t="n">
        <v>10000</v>
      </c>
      <c r="D1000" s="954" t="n">
        <v>5000</v>
      </c>
      <c r="E1000" s="954" t="n">
        <v>5000</v>
      </c>
      <c r="F1000" s="955" t="n">
        <f aca="false">C1000+D1000+E1000</f>
        <v>20000</v>
      </c>
      <c r="G1000" s="955" t="n">
        <f aca="false">F1000/149.4</f>
        <v>133.868808567604</v>
      </c>
      <c r="H1000" s="661" t="n">
        <f aca="false">G1000/60</f>
        <v>2.23114680946006</v>
      </c>
      <c r="I1000" s="660" t="n">
        <f aca="false">'норма времени'!D1004</f>
        <v>80</v>
      </c>
      <c r="J1000" s="661" t="n">
        <f aca="false">H1000*I1000</f>
        <v>178.491744756805</v>
      </c>
    </row>
    <row r="1001" customFormat="false" ht="15" hidden="false" customHeight="false" outlineLevel="0" collapsed="false">
      <c r="A1001" s="571" t="s">
        <v>1628</v>
      </c>
      <c r="B1001" s="328" t="s">
        <v>3544</v>
      </c>
      <c r="C1001" s="954" t="n">
        <v>10000</v>
      </c>
      <c r="D1001" s="954" t="n">
        <v>5000</v>
      </c>
      <c r="E1001" s="954" t="n">
        <v>5000</v>
      </c>
      <c r="F1001" s="955" t="n">
        <f aca="false">C1001+D1001+E1001</f>
        <v>20000</v>
      </c>
      <c r="G1001" s="955" t="n">
        <f aca="false">F1001/149.4</f>
        <v>133.868808567604</v>
      </c>
      <c r="H1001" s="661" t="n">
        <f aca="false">G1001/60</f>
        <v>2.23114680946006</v>
      </c>
      <c r="I1001" s="660" t="n">
        <f aca="false">'норма времени'!D1005</f>
        <v>80</v>
      </c>
      <c r="J1001" s="661" t="n">
        <f aca="false">H1001*I1001</f>
        <v>178.491744756805</v>
      </c>
    </row>
    <row r="1002" customFormat="false" ht="15" hidden="false" customHeight="false" outlineLevel="0" collapsed="false">
      <c r="A1002" s="571" t="s">
        <v>1629</v>
      </c>
      <c r="B1002" s="328" t="s">
        <v>3559</v>
      </c>
      <c r="C1002" s="954" t="n">
        <v>10000</v>
      </c>
      <c r="D1002" s="954" t="n">
        <v>5000</v>
      </c>
      <c r="E1002" s="954" t="n">
        <v>5000</v>
      </c>
      <c r="F1002" s="955" t="n">
        <f aca="false">C1002+D1002+E1002</f>
        <v>20000</v>
      </c>
      <c r="G1002" s="955" t="n">
        <f aca="false">F1002/149.4</f>
        <v>133.868808567604</v>
      </c>
      <c r="H1002" s="661" t="n">
        <f aca="false">G1002/60</f>
        <v>2.23114680946006</v>
      </c>
      <c r="I1002" s="660" t="n">
        <f aca="false">'норма времени'!D1006</f>
        <v>80</v>
      </c>
      <c r="J1002" s="661" t="n">
        <f aca="false">H1002*I1002</f>
        <v>178.491744756805</v>
      </c>
    </row>
    <row r="1003" customFormat="false" ht="15" hidden="false" customHeight="false" outlineLevel="0" collapsed="false">
      <c r="A1003" s="571" t="s">
        <v>1630</v>
      </c>
      <c r="B1003" s="328" t="s">
        <v>3536</v>
      </c>
      <c r="C1003" s="954" t="n">
        <v>30000</v>
      </c>
      <c r="D1003" s="954" t="n">
        <v>25000</v>
      </c>
      <c r="E1003" s="954" t="n">
        <v>30000</v>
      </c>
      <c r="F1003" s="955" t="n">
        <f aca="false">C1003+D1003+E1003</f>
        <v>85000</v>
      </c>
      <c r="G1003" s="955" t="n">
        <f aca="false">F1003/149.4</f>
        <v>568.942436412316</v>
      </c>
      <c r="H1003" s="661" t="n">
        <f aca="false">G1003/60</f>
        <v>9.48237394020527</v>
      </c>
      <c r="I1003" s="660" t="n">
        <f aca="false">'норма времени'!D1007</f>
        <v>80</v>
      </c>
      <c r="J1003" s="661" t="n">
        <f aca="false">H1003*I1003</f>
        <v>758.589915216421</v>
      </c>
    </row>
    <row r="1004" customFormat="false" ht="15" hidden="false" customHeight="false" outlineLevel="0" collapsed="false">
      <c r="A1004" s="571" t="s">
        <v>1631</v>
      </c>
      <c r="B1004" s="328" t="s">
        <v>3552</v>
      </c>
      <c r="C1004" s="954" t="n">
        <v>5000</v>
      </c>
      <c r="D1004" s="954" t="n">
        <v>5000</v>
      </c>
      <c r="E1004" s="954"/>
      <c r="F1004" s="955" t="n">
        <f aca="false">C1004+D1004+E1004</f>
        <v>10000</v>
      </c>
      <c r="G1004" s="955" t="n">
        <f aca="false">F1004/149.4</f>
        <v>66.9344042838019</v>
      </c>
      <c r="H1004" s="661" t="n">
        <f aca="false">G1004/60</f>
        <v>1.11557340473003</v>
      </c>
      <c r="I1004" s="660" t="n">
        <f aca="false">'норма времени'!D1008</f>
        <v>80</v>
      </c>
      <c r="J1004" s="661" t="n">
        <f aca="false">H1004*I1004</f>
        <v>89.2458723784025</v>
      </c>
    </row>
    <row r="1005" customFormat="false" ht="15" hidden="false" customHeight="false" outlineLevel="0" collapsed="false">
      <c r="A1005" s="571" t="s">
        <v>1632</v>
      </c>
      <c r="B1005" s="328" t="s">
        <v>3129</v>
      </c>
      <c r="C1005" s="954" t="n">
        <v>25000</v>
      </c>
      <c r="D1005" s="954" t="n">
        <v>20000</v>
      </c>
      <c r="E1005" s="954" t="n">
        <v>15000</v>
      </c>
      <c r="F1005" s="955" t="n">
        <f aca="false">C1005+D1005+E1005</f>
        <v>60000</v>
      </c>
      <c r="G1005" s="955" t="n">
        <f aca="false">F1005/149.4</f>
        <v>401.606425702811</v>
      </c>
      <c r="H1005" s="661" t="n">
        <f aca="false">G1005/60</f>
        <v>6.69344042838019</v>
      </c>
      <c r="I1005" s="660" t="n">
        <f aca="false">'норма времени'!D1009</f>
        <v>120</v>
      </c>
      <c r="J1005" s="661" t="n">
        <f aca="false">H1005*I1005</f>
        <v>803.212851405623</v>
      </c>
    </row>
    <row r="1006" customFormat="false" ht="15" hidden="false" customHeight="false" outlineLevel="0" collapsed="false">
      <c r="A1006" s="571" t="s">
        <v>1633</v>
      </c>
      <c r="B1006" s="328" t="s">
        <v>3269</v>
      </c>
      <c r="C1006" s="954" t="n">
        <v>35000</v>
      </c>
      <c r="D1006" s="954" t="n">
        <v>25000</v>
      </c>
      <c r="E1006" s="954" t="n">
        <v>15000</v>
      </c>
      <c r="F1006" s="955" t="n">
        <f aca="false">C1006+D1006+E1006</f>
        <v>75000</v>
      </c>
      <c r="G1006" s="955" t="n">
        <f aca="false">F1006/149.4</f>
        <v>502.008032128514</v>
      </c>
      <c r="H1006" s="661" t="n">
        <f aca="false">G1006/60</f>
        <v>8.36680053547523</v>
      </c>
      <c r="I1006" s="660" t="n">
        <f aca="false">'норма времени'!D1010</f>
        <v>120</v>
      </c>
      <c r="J1006" s="661" t="n">
        <f aca="false">H1006*I1006</f>
        <v>1004.01606425703</v>
      </c>
    </row>
    <row r="1007" customFormat="false" ht="15" hidden="false" customHeight="false" outlineLevel="0" collapsed="false">
      <c r="A1007" s="571" t="s">
        <v>1634</v>
      </c>
      <c r="B1007" s="328" t="s">
        <v>3254</v>
      </c>
      <c r="C1007" s="954" t="n">
        <v>50000</v>
      </c>
      <c r="D1007" s="954" t="n">
        <v>40000</v>
      </c>
      <c r="E1007" s="954" t="n">
        <v>30000</v>
      </c>
      <c r="F1007" s="955" t="n">
        <f aca="false">C1007+D1007+E1007</f>
        <v>120000</v>
      </c>
      <c r="G1007" s="955" t="n">
        <f aca="false">F1007/149.4</f>
        <v>803.212851405623</v>
      </c>
      <c r="H1007" s="661" t="n">
        <f aca="false">G1007/60</f>
        <v>13.3868808567604</v>
      </c>
      <c r="I1007" s="660" t="n">
        <f aca="false">'норма времени'!D1011</f>
        <v>120</v>
      </c>
      <c r="J1007" s="661" t="n">
        <f aca="false">H1007*I1007</f>
        <v>1606.42570281125</v>
      </c>
    </row>
    <row r="1008" customFormat="false" ht="15" hidden="false" customHeight="false" outlineLevel="0" collapsed="false">
      <c r="A1008" s="571" t="s">
        <v>1635</v>
      </c>
      <c r="B1008" s="328" t="s">
        <v>3486</v>
      </c>
      <c r="C1008" s="954" t="n">
        <v>75000</v>
      </c>
      <c r="D1008" s="954" t="n">
        <v>75000</v>
      </c>
      <c r="E1008" s="954" t="n">
        <v>70000</v>
      </c>
      <c r="F1008" s="955" t="n">
        <f aca="false">C1008+D1008+E1008</f>
        <v>220000</v>
      </c>
      <c r="G1008" s="955" t="n">
        <f aca="false">F1008/149.4</f>
        <v>1472.55689424364</v>
      </c>
      <c r="H1008" s="661" t="n">
        <f aca="false">G1008/60</f>
        <v>24.5426149040607</v>
      </c>
      <c r="I1008" s="660" t="n">
        <f aca="false">'норма времени'!D1012</f>
        <v>80</v>
      </c>
      <c r="J1008" s="661" t="n">
        <f aca="false">H1008*I1008</f>
        <v>1963.40919232486</v>
      </c>
    </row>
    <row r="1009" customFormat="false" ht="15" hidden="false" customHeight="false" outlineLevel="0" collapsed="false">
      <c r="A1009" s="571" t="s">
        <v>1636</v>
      </c>
      <c r="B1009" s="328" t="s">
        <v>3560</v>
      </c>
      <c r="C1009" s="954" t="n">
        <v>25000</v>
      </c>
      <c r="D1009" s="954" t="n">
        <v>20000</v>
      </c>
      <c r="E1009" s="954" t="n">
        <v>20000</v>
      </c>
      <c r="F1009" s="955" t="n">
        <f aca="false">C1009+D1009+E1009</f>
        <v>65000</v>
      </c>
      <c r="G1009" s="955" t="n">
        <f aca="false">F1009/149.4</f>
        <v>435.073627844712</v>
      </c>
      <c r="H1009" s="661" t="n">
        <f aca="false">G1009/60</f>
        <v>7.2512271307452</v>
      </c>
      <c r="I1009" s="660" t="n">
        <f aca="false">'норма времени'!D1013</f>
        <v>260</v>
      </c>
      <c r="J1009" s="661" t="n">
        <f aca="false">H1009*I1009</f>
        <v>1885.31905399375</v>
      </c>
    </row>
    <row r="1010" customFormat="false" ht="15" hidden="false" customHeight="false" outlineLevel="0" collapsed="false">
      <c r="A1010" s="571" t="s">
        <v>1637</v>
      </c>
      <c r="B1010" s="328" t="s">
        <v>3488</v>
      </c>
      <c r="C1010" s="954" t="n">
        <v>15000</v>
      </c>
      <c r="D1010" s="954" t="n">
        <v>10000</v>
      </c>
      <c r="E1010" s="954" t="n">
        <v>5000</v>
      </c>
      <c r="F1010" s="955" t="n">
        <f aca="false">C1010+D1010+E1010</f>
        <v>30000</v>
      </c>
      <c r="G1010" s="955" t="n">
        <f aca="false">F1010/149.4</f>
        <v>200.803212851406</v>
      </c>
      <c r="H1010" s="661" t="n">
        <f aca="false">G1010/60</f>
        <v>3.34672021419009</v>
      </c>
      <c r="I1010" s="660" t="n">
        <f aca="false">'норма времени'!D1014</f>
        <v>60</v>
      </c>
      <c r="J1010" s="661" t="n">
        <f aca="false">H1010*I1010</f>
        <v>200.803212851406</v>
      </c>
    </row>
    <row r="1011" customFormat="false" ht="30" hidden="false" customHeight="false" outlineLevel="0" collapsed="false">
      <c r="A1011" s="571" t="s">
        <v>1638</v>
      </c>
      <c r="B1011" s="328" t="s">
        <v>3561</v>
      </c>
      <c r="C1011" s="954" t="n">
        <v>13172</v>
      </c>
      <c r="D1011" s="954" t="n">
        <v>12000</v>
      </c>
      <c r="E1011" s="954" t="n">
        <v>10000</v>
      </c>
      <c r="F1011" s="955" t="n">
        <f aca="false">C1011+D1011+E1011</f>
        <v>35172</v>
      </c>
      <c r="G1011" s="955" t="n">
        <f aca="false">F1011/149.4</f>
        <v>235.421686746988</v>
      </c>
      <c r="H1011" s="661" t="n">
        <f aca="false">G1011/60</f>
        <v>3.92369477911647</v>
      </c>
      <c r="I1011" s="660" t="n">
        <f aca="false">'норма времени'!D1015</f>
        <v>1804</v>
      </c>
      <c r="J1011" s="661" t="n">
        <f aca="false">H1011*I1011</f>
        <v>7078.34538152611</v>
      </c>
    </row>
    <row r="1012" customFormat="false" ht="15" hidden="false" customHeight="false" outlineLevel="0" collapsed="false">
      <c r="A1012" s="571" t="s">
        <v>1640</v>
      </c>
      <c r="B1012" s="328" t="s">
        <v>3562</v>
      </c>
      <c r="C1012" s="954" t="n">
        <v>12200</v>
      </c>
      <c r="D1012" s="954" t="n">
        <v>12000</v>
      </c>
      <c r="E1012" s="954" t="n">
        <v>10000</v>
      </c>
      <c r="F1012" s="955" t="n">
        <f aca="false">C1012+D1012+E1012</f>
        <v>34200</v>
      </c>
      <c r="G1012" s="955" t="n">
        <f aca="false">F1012/149.4</f>
        <v>228.915662650602</v>
      </c>
      <c r="H1012" s="661" t="n">
        <f aca="false">G1012/60</f>
        <v>3.81526104417671</v>
      </c>
      <c r="I1012" s="660" t="n">
        <f aca="false">'норма времени'!D1016</f>
        <v>740</v>
      </c>
      <c r="J1012" s="661" t="n">
        <f aca="false">H1012*I1012</f>
        <v>2823.29317269076</v>
      </c>
    </row>
    <row r="1013" customFormat="false" ht="18.75" hidden="false" customHeight="true" outlineLevel="0" collapsed="false">
      <c r="A1013" s="571" t="s">
        <v>1642</v>
      </c>
      <c r="B1013" s="328" t="s">
        <v>3563</v>
      </c>
      <c r="C1013" s="954" t="n">
        <v>30000</v>
      </c>
      <c r="D1013" s="954" t="n">
        <v>21000</v>
      </c>
      <c r="E1013" s="954" t="n">
        <v>10000</v>
      </c>
      <c r="F1013" s="955" t="n">
        <f aca="false">C1013+D1013+E1013</f>
        <v>61000</v>
      </c>
      <c r="G1013" s="955" t="n">
        <f aca="false">F1013/149.4</f>
        <v>408.299866131191</v>
      </c>
      <c r="H1013" s="661" t="n">
        <f aca="false">G1013/60</f>
        <v>6.80499776885319</v>
      </c>
      <c r="I1013" s="660" t="n">
        <f aca="false">'норма времени'!D1017</f>
        <v>740</v>
      </c>
      <c r="J1013" s="661" t="n">
        <f aca="false">H1013*I1013</f>
        <v>5035.69834895136</v>
      </c>
    </row>
    <row r="1014" customFormat="false" ht="15" hidden="false" customHeight="false" outlineLevel="0" collapsed="false">
      <c r="A1014" s="571" t="s">
        <v>1644</v>
      </c>
      <c r="B1014" s="328" t="s">
        <v>3564</v>
      </c>
      <c r="C1014" s="954" t="n">
        <v>20000</v>
      </c>
      <c r="D1014" s="954" t="n">
        <v>15000</v>
      </c>
      <c r="E1014" s="954" t="n">
        <v>15000</v>
      </c>
      <c r="F1014" s="955" t="n">
        <f aca="false">C1014+D1014+E1014</f>
        <v>50000</v>
      </c>
      <c r="G1014" s="955" t="n">
        <f aca="false">F1014/149.4</f>
        <v>334.672021419009</v>
      </c>
      <c r="H1014" s="661" t="n">
        <f aca="false">G1014/60</f>
        <v>5.57786702365016</v>
      </c>
      <c r="I1014" s="660" t="n">
        <f aca="false">'норма времени'!D1018</f>
        <v>740</v>
      </c>
      <c r="J1014" s="661" t="n">
        <f aca="false">H1014*I1014</f>
        <v>4127.62159750112</v>
      </c>
    </row>
    <row r="1015" customFormat="false" ht="45" hidden="false" customHeight="false" outlineLevel="0" collapsed="false">
      <c r="A1015" s="571" t="s">
        <v>1646</v>
      </c>
      <c r="B1015" s="328" t="s">
        <v>3533</v>
      </c>
      <c r="C1015" s="954" t="n">
        <v>9650</v>
      </c>
      <c r="D1015" s="954" t="n">
        <v>6200</v>
      </c>
      <c r="E1015" s="954" t="n">
        <v>6200</v>
      </c>
      <c r="F1015" s="955" t="n">
        <f aca="false">C1015+D1015+E1015</f>
        <v>22050</v>
      </c>
      <c r="G1015" s="955" t="n">
        <f aca="false">F1015/149.4</f>
        <v>147.590361445783</v>
      </c>
      <c r="H1015" s="661" t="n">
        <f aca="false">G1015/60</f>
        <v>2.45983935742972</v>
      </c>
      <c r="I1015" s="660" t="n">
        <f aca="false">'норма времени'!D1019</f>
        <v>5800</v>
      </c>
      <c r="J1015" s="661" t="n">
        <f aca="false">H1015*I1015</f>
        <v>14267.0682730924</v>
      </c>
    </row>
    <row r="1016" customFormat="false" ht="30" hidden="false" customHeight="false" outlineLevel="0" collapsed="false">
      <c r="A1016" s="571" t="s">
        <v>1647</v>
      </c>
      <c r="B1016" s="328" t="s">
        <v>3534</v>
      </c>
      <c r="C1016" s="954" t="n">
        <v>17550</v>
      </c>
      <c r="D1016" s="954" t="n">
        <v>13500</v>
      </c>
      <c r="E1016" s="954" t="n">
        <v>10500</v>
      </c>
      <c r="F1016" s="955" t="n">
        <f aca="false">C1016+D1016+E1016</f>
        <v>41550</v>
      </c>
      <c r="G1016" s="955" t="n">
        <f aca="false">F1016/149.4</f>
        <v>278.112449799197</v>
      </c>
      <c r="H1016" s="661" t="n">
        <f aca="false">G1016/60</f>
        <v>4.63520749665328</v>
      </c>
      <c r="I1016" s="660" t="n">
        <f aca="false">'норма времени'!D1020</f>
        <v>1960</v>
      </c>
      <c r="J1016" s="661" t="n">
        <f aca="false">H1016*I1016</f>
        <v>9085.00669344043</v>
      </c>
    </row>
    <row r="1017" customFormat="false" ht="30" hidden="false" customHeight="false" outlineLevel="0" collapsed="false">
      <c r="A1017" s="571" t="s">
        <v>1648</v>
      </c>
      <c r="B1017" s="328" t="s">
        <v>3565</v>
      </c>
      <c r="C1017" s="954" t="n">
        <v>125000</v>
      </c>
      <c r="D1017" s="954" t="n">
        <v>120000</v>
      </c>
      <c r="E1017" s="954" t="n">
        <v>115000</v>
      </c>
      <c r="F1017" s="955" t="n">
        <f aca="false">C1017+D1017+E1017</f>
        <v>360000</v>
      </c>
      <c r="G1017" s="955" t="n">
        <f aca="false">F1017/149.4</f>
        <v>2409.63855421687</v>
      </c>
      <c r="H1017" s="661" t="n">
        <f aca="false">G1017/60</f>
        <v>40.1606425702811</v>
      </c>
      <c r="I1017" s="660" t="n">
        <f aca="false">'норма времени'!D1021</f>
        <v>80</v>
      </c>
      <c r="J1017" s="661" t="n">
        <f aca="false">H1017*I1017</f>
        <v>3212.85140562249</v>
      </c>
    </row>
    <row r="1018" s="451" customFormat="true" ht="27.75" hidden="false" customHeight="true" outlineLevel="0" collapsed="false">
      <c r="A1018" s="350" t="s">
        <v>1650</v>
      </c>
      <c r="B1018" s="467" t="s">
        <v>3566</v>
      </c>
      <c r="C1018" s="1253"/>
      <c r="D1018" s="1253"/>
      <c r="E1018" s="1253"/>
      <c r="F1018" s="1254"/>
      <c r="G1018" s="955" t="n">
        <f aca="false">F1018/149.4</f>
        <v>0</v>
      </c>
      <c r="H1018" s="1250"/>
      <c r="I1018" s="1255"/>
      <c r="J1018" s="1250"/>
      <c r="K1018" s="1257"/>
      <c r="L1018" s="1257"/>
      <c r="M1018" s="1257"/>
      <c r="N1018" s="1257"/>
      <c r="O1018" s="1257"/>
      <c r="P1018" s="1257"/>
      <c r="Q1018" s="1257"/>
      <c r="R1018" s="1257"/>
      <c r="S1018" s="1257"/>
    </row>
    <row r="1019" customFormat="false" ht="15" hidden="false" customHeight="false" outlineLevel="0" collapsed="false">
      <c r="A1019" s="571" t="s">
        <v>1652</v>
      </c>
      <c r="B1019" s="328" t="s">
        <v>3139</v>
      </c>
      <c r="C1019" s="954" t="n">
        <v>50000</v>
      </c>
      <c r="D1019" s="954" t="n">
        <v>45000</v>
      </c>
      <c r="E1019" s="954" t="n">
        <v>40000</v>
      </c>
      <c r="F1019" s="955" t="n">
        <f aca="false">C1019+D1019+E1019</f>
        <v>135000</v>
      </c>
      <c r="G1019" s="955" t="n">
        <f aca="false">F1019/149.4</f>
        <v>903.614457831325</v>
      </c>
      <c r="H1019" s="661" t="n">
        <f aca="false">G1019/60</f>
        <v>15.0602409638554</v>
      </c>
      <c r="I1019" s="660" t="n">
        <f aca="false">'норма времени'!D1023</f>
        <v>45</v>
      </c>
      <c r="J1019" s="661" t="n">
        <f aca="false">H1019*I1019</f>
        <v>677.710843373494</v>
      </c>
    </row>
    <row r="1020" customFormat="false" ht="15" hidden="false" customHeight="false" outlineLevel="0" collapsed="false">
      <c r="A1020" s="571" t="s">
        <v>1653</v>
      </c>
      <c r="B1020" s="328" t="s">
        <v>3567</v>
      </c>
      <c r="C1020" s="954" t="n">
        <v>50000</v>
      </c>
      <c r="D1020" s="954" t="n">
        <v>45000</v>
      </c>
      <c r="E1020" s="954" t="n">
        <v>40000</v>
      </c>
      <c r="F1020" s="955" t="n">
        <f aca="false">C1020+D1020+E1020</f>
        <v>135000</v>
      </c>
      <c r="G1020" s="955" t="n">
        <f aca="false">F1020/149.4</f>
        <v>903.614457831325</v>
      </c>
      <c r="H1020" s="661" t="n">
        <f aca="false">G1020/60</f>
        <v>15.0602409638554</v>
      </c>
      <c r="I1020" s="660" t="n">
        <f aca="false">'норма времени'!D1024</f>
        <v>60</v>
      </c>
      <c r="J1020" s="661" t="n">
        <f aca="false">H1020*I1020</f>
        <v>903.614457831325</v>
      </c>
    </row>
    <row r="1021" customFormat="false" ht="15" hidden="false" customHeight="false" outlineLevel="0" collapsed="false">
      <c r="A1021" s="571" t="s">
        <v>1654</v>
      </c>
      <c r="B1021" s="328" t="s">
        <v>3497</v>
      </c>
      <c r="C1021" s="954" t="n">
        <v>30000</v>
      </c>
      <c r="D1021" s="954" t="n">
        <v>25000</v>
      </c>
      <c r="E1021" s="954" t="n">
        <v>30000</v>
      </c>
      <c r="F1021" s="955" t="n">
        <f aca="false">C1021+D1021+E1021</f>
        <v>85000</v>
      </c>
      <c r="G1021" s="955" t="n">
        <f aca="false">F1021/149.4</f>
        <v>568.942436412316</v>
      </c>
      <c r="H1021" s="661" t="n">
        <f aca="false">G1021/60</f>
        <v>9.48237394020527</v>
      </c>
      <c r="I1021" s="660" t="n">
        <f aca="false">'норма времени'!D1025</f>
        <v>60</v>
      </c>
      <c r="J1021" s="661" t="n">
        <f aca="false">H1021*I1021</f>
        <v>568.942436412316</v>
      </c>
    </row>
    <row r="1022" customFormat="false" ht="15" hidden="false" customHeight="false" outlineLevel="0" collapsed="false">
      <c r="A1022" s="571" t="s">
        <v>1655</v>
      </c>
      <c r="B1022" s="328" t="s">
        <v>3568</v>
      </c>
      <c r="C1022" s="954" t="n">
        <v>20000</v>
      </c>
      <c r="D1022" s="954" t="n">
        <v>15000</v>
      </c>
      <c r="E1022" s="954" t="n">
        <v>10000</v>
      </c>
      <c r="F1022" s="955" t="n">
        <f aca="false">C1022+D1022+E1022</f>
        <v>45000</v>
      </c>
      <c r="G1022" s="955" t="n">
        <f aca="false">F1022/149.4</f>
        <v>301.204819277108</v>
      </c>
      <c r="H1022" s="661" t="n">
        <f aca="false">G1022/60</f>
        <v>5.02008032128514</v>
      </c>
      <c r="I1022" s="660" t="n">
        <f aca="false">'норма времени'!D1026</f>
        <v>80</v>
      </c>
      <c r="J1022" s="661" t="n">
        <f aca="false">H1022*I1022</f>
        <v>401.606425702811</v>
      </c>
    </row>
    <row r="1023" customFormat="false" ht="15" hidden="false" customHeight="false" outlineLevel="0" collapsed="false">
      <c r="A1023" s="571" t="s">
        <v>1656</v>
      </c>
      <c r="B1023" s="328" t="s">
        <v>3463</v>
      </c>
      <c r="C1023" s="954" t="n">
        <v>30000</v>
      </c>
      <c r="D1023" s="954" t="n">
        <v>25000</v>
      </c>
      <c r="E1023" s="954" t="n">
        <v>30000</v>
      </c>
      <c r="F1023" s="955" t="n">
        <f aca="false">C1023+D1023+E1023</f>
        <v>85000</v>
      </c>
      <c r="G1023" s="955" t="n">
        <f aca="false">F1023/149.4</f>
        <v>568.942436412316</v>
      </c>
      <c r="H1023" s="661" t="n">
        <f aca="false">G1023/60</f>
        <v>9.48237394020527</v>
      </c>
      <c r="I1023" s="660" t="n">
        <f aca="false">'норма времени'!D1027</f>
        <v>80</v>
      </c>
      <c r="J1023" s="661" t="n">
        <f aca="false">H1023*I1023</f>
        <v>758.589915216421</v>
      </c>
    </row>
    <row r="1024" customFormat="false" ht="30" hidden="false" customHeight="false" outlineLevel="0" collapsed="false">
      <c r="A1024" s="571" t="s">
        <v>1657</v>
      </c>
      <c r="B1024" s="328" t="s">
        <v>3466</v>
      </c>
      <c r="C1024" s="954" t="n">
        <v>30000</v>
      </c>
      <c r="D1024" s="954" t="n">
        <v>25000</v>
      </c>
      <c r="E1024" s="954" t="n">
        <v>30000</v>
      </c>
      <c r="F1024" s="955" t="n">
        <f aca="false">C1024+D1024+E1024</f>
        <v>85000</v>
      </c>
      <c r="G1024" s="955" t="n">
        <f aca="false">F1024/149.4</f>
        <v>568.942436412316</v>
      </c>
      <c r="H1024" s="661" t="n">
        <f aca="false">G1024/60</f>
        <v>9.48237394020527</v>
      </c>
      <c r="I1024" s="660" t="n">
        <f aca="false">'норма времени'!D1028</f>
        <v>80</v>
      </c>
      <c r="J1024" s="661" t="n">
        <f aca="false">H1024*I1024</f>
        <v>758.589915216421</v>
      </c>
    </row>
    <row r="1025" customFormat="false" ht="15" hidden="false" customHeight="false" outlineLevel="0" collapsed="false">
      <c r="A1025" s="571" t="s">
        <v>1658</v>
      </c>
      <c r="B1025" s="328" t="s">
        <v>3486</v>
      </c>
      <c r="C1025" s="954" t="n">
        <v>80000</v>
      </c>
      <c r="D1025" s="954" t="n">
        <v>75000</v>
      </c>
      <c r="E1025" s="954" t="n">
        <v>65000</v>
      </c>
      <c r="F1025" s="955" t="n">
        <f aca="false">C1025+D1025+E1025</f>
        <v>220000</v>
      </c>
      <c r="G1025" s="955" t="n">
        <f aca="false">F1025/149.4</f>
        <v>1472.55689424364</v>
      </c>
      <c r="H1025" s="661" t="n">
        <f aca="false">G1025/60</f>
        <v>24.5426149040607</v>
      </c>
      <c r="I1025" s="660" t="n">
        <f aca="false">'норма времени'!D1029</f>
        <v>80</v>
      </c>
      <c r="J1025" s="661" t="n">
        <f aca="false">H1025*I1025</f>
        <v>1963.40919232486</v>
      </c>
    </row>
    <row r="1026" customFormat="false" ht="15" hidden="false" customHeight="false" outlineLevel="0" collapsed="false">
      <c r="A1026" s="571" t="s">
        <v>1659</v>
      </c>
      <c r="B1026" s="328" t="s">
        <v>3560</v>
      </c>
      <c r="C1026" s="954" t="n">
        <v>25000</v>
      </c>
      <c r="D1026" s="954" t="n">
        <v>20000</v>
      </c>
      <c r="E1026" s="954" t="n">
        <v>15000</v>
      </c>
      <c r="F1026" s="955" t="n">
        <f aca="false">C1026+D1026+E1026</f>
        <v>60000</v>
      </c>
      <c r="G1026" s="955" t="n">
        <f aca="false">F1026/149.4</f>
        <v>401.606425702811</v>
      </c>
      <c r="H1026" s="661" t="n">
        <f aca="false">G1026/60</f>
        <v>6.69344042838019</v>
      </c>
      <c r="I1026" s="660" t="n">
        <f aca="false">'норма времени'!D1030</f>
        <v>260</v>
      </c>
      <c r="J1026" s="661" t="n">
        <f aca="false">H1026*I1026</f>
        <v>1740.29451137885</v>
      </c>
    </row>
    <row r="1027" customFormat="false" ht="15" hidden="false" customHeight="false" outlineLevel="0" collapsed="false">
      <c r="A1027" s="571" t="s">
        <v>1660</v>
      </c>
      <c r="B1027" s="328" t="s">
        <v>3569</v>
      </c>
      <c r="C1027" s="954" t="n">
        <v>85000</v>
      </c>
      <c r="D1027" s="954" t="n">
        <v>75000</v>
      </c>
      <c r="E1027" s="954" t="n">
        <v>75000</v>
      </c>
      <c r="F1027" s="955" t="n">
        <f aca="false">C1027+D1027+E1027</f>
        <v>235000</v>
      </c>
      <c r="G1027" s="955" t="n">
        <f aca="false">F1027/149.4</f>
        <v>1572.95850066934</v>
      </c>
      <c r="H1027" s="661" t="n">
        <f aca="false">G1027/60</f>
        <v>26.2159750111557</v>
      </c>
      <c r="I1027" s="660" t="n">
        <f aca="false">'норма времени'!D1031</f>
        <v>80</v>
      </c>
      <c r="J1027" s="661" t="n">
        <f aca="false">H1027*I1027</f>
        <v>2097.27800089246</v>
      </c>
    </row>
    <row r="1028" customFormat="false" ht="30" hidden="false" customHeight="false" outlineLevel="0" collapsed="false">
      <c r="A1028" s="571" t="s">
        <v>1662</v>
      </c>
      <c r="B1028" s="328" t="s">
        <v>3523</v>
      </c>
      <c r="C1028" s="954" t="n">
        <v>20000</v>
      </c>
      <c r="D1028" s="954" t="n">
        <v>15000</v>
      </c>
      <c r="E1028" s="954" t="n">
        <v>10000</v>
      </c>
      <c r="F1028" s="955" t="n">
        <f aca="false">C1028+D1028+E1028</f>
        <v>45000</v>
      </c>
      <c r="G1028" s="955" t="n">
        <f aca="false">F1028/149.4</f>
        <v>301.204819277108</v>
      </c>
      <c r="H1028" s="661" t="n">
        <f aca="false">G1028/60</f>
        <v>5.02008032128514</v>
      </c>
      <c r="I1028" s="660" t="n">
        <f aca="false">'норма времени'!D1032</f>
        <v>740</v>
      </c>
      <c r="J1028" s="661" t="n">
        <f aca="false">H1028*I1028</f>
        <v>3714.859437751</v>
      </c>
    </row>
    <row r="1029" s="451" customFormat="true" ht="47.25" hidden="false" customHeight="true" outlineLevel="0" collapsed="false">
      <c r="A1029" s="350" t="s">
        <v>1663</v>
      </c>
      <c r="B1029" s="467" t="s">
        <v>3570</v>
      </c>
      <c r="C1029" s="1253"/>
      <c r="D1029" s="1253"/>
      <c r="E1029" s="1253"/>
      <c r="F1029" s="1254"/>
      <c r="G1029" s="955" t="n">
        <f aca="false">F1029/149.4</f>
        <v>0</v>
      </c>
      <c r="H1029" s="1250"/>
      <c r="I1029" s="1255"/>
      <c r="J1029" s="1250"/>
      <c r="K1029" s="1257"/>
      <c r="L1029" s="1257"/>
      <c r="M1029" s="1257"/>
      <c r="N1029" s="1257"/>
      <c r="O1029" s="1257"/>
      <c r="P1029" s="1257"/>
      <c r="Q1029" s="1257"/>
      <c r="R1029" s="1257"/>
      <c r="S1029" s="1257"/>
    </row>
    <row r="1030" customFormat="false" ht="30" hidden="false" customHeight="false" outlineLevel="0" collapsed="false">
      <c r="A1030" s="571" t="s">
        <v>1665</v>
      </c>
      <c r="B1030" s="328" t="s">
        <v>3571</v>
      </c>
      <c r="C1030" s="954" t="n">
        <v>10000</v>
      </c>
      <c r="D1030" s="954" t="n">
        <v>8000</v>
      </c>
      <c r="E1030" s="954" t="n">
        <v>5000</v>
      </c>
      <c r="F1030" s="955" t="n">
        <f aca="false">C1030+D1030+E1030</f>
        <v>23000</v>
      </c>
      <c r="G1030" s="955" t="n">
        <f aca="false">F1030/149.4</f>
        <v>153.949129852744</v>
      </c>
      <c r="H1030" s="661" t="n">
        <f aca="false">G1030/60</f>
        <v>2.56581883087907</v>
      </c>
      <c r="I1030" s="660" t="n">
        <f aca="false">'норма времени'!D1034</f>
        <v>2424</v>
      </c>
      <c r="J1030" s="661" t="n">
        <f aca="false">H1030*I1030</f>
        <v>6219.54484605087</v>
      </c>
    </row>
    <row r="1031" customFormat="false" ht="30" hidden="false" customHeight="false" outlineLevel="0" collapsed="false">
      <c r="A1031" s="571" t="s">
        <v>1666</v>
      </c>
      <c r="B1031" s="328" t="s">
        <v>3572</v>
      </c>
      <c r="C1031" s="954" t="n">
        <v>10000</v>
      </c>
      <c r="D1031" s="954" t="n">
        <v>5000</v>
      </c>
      <c r="E1031" s="954" t="n">
        <v>5000</v>
      </c>
      <c r="F1031" s="955" t="n">
        <f aca="false">C1031+D1031+E1031</f>
        <v>20000</v>
      </c>
      <c r="G1031" s="955" t="n">
        <f aca="false">F1031/149.4</f>
        <v>133.868808567604</v>
      </c>
      <c r="H1031" s="661" t="n">
        <f aca="false">G1031/60</f>
        <v>2.23114680946006</v>
      </c>
      <c r="I1031" s="660" t="n">
        <f aca="false">'норма времени'!D1035</f>
        <v>740</v>
      </c>
      <c r="J1031" s="661" t="n">
        <f aca="false">H1031*I1031</f>
        <v>1651.04863900045</v>
      </c>
    </row>
    <row r="1032" customFormat="false" ht="30" hidden="false" customHeight="false" outlineLevel="0" collapsed="false">
      <c r="A1032" s="571" t="s">
        <v>1667</v>
      </c>
      <c r="B1032" s="328" t="s">
        <v>3573</v>
      </c>
      <c r="C1032" s="954" t="n">
        <v>10000</v>
      </c>
      <c r="D1032" s="954" t="n">
        <v>5000</v>
      </c>
      <c r="E1032" s="954" t="n">
        <v>5000</v>
      </c>
      <c r="F1032" s="955" t="n">
        <f aca="false">C1032+D1032+E1032</f>
        <v>20000</v>
      </c>
      <c r="G1032" s="955" t="n">
        <f aca="false">F1032/149.4</f>
        <v>133.868808567604</v>
      </c>
      <c r="H1032" s="661" t="n">
        <f aca="false">G1032/60</f>
        <v>2.23114680946006</v>
      </c>
      <c r="I1032" s="660" t="n">
        <f aca="false">'норма времени'!D1036</f>
        <v>1505</v>
      </c>
      <c r="J1032" s="661" t="n">
        <f aca="false">H1032*I1032</f>
        <v>3357.87594823739</v>
      </c>
    </row>
    <row r="1033" customFormat="false" ht="30" hidden="false" customHeight="false" outlineLevel="0" collapsed="false">
      <c r="A1033" s="571" t="s">
        <v>1669</v>
      </c>
      <c r="B1033" s="328" t="s">
        <v>3574</v>
      </c>
      <c r="C1033" s="954" t="n">
        <v>12500</v>
      </c>
      <c r="D1033" s="954" t="n">
        <v>10420</v>
      </c>
      <c r="E1033" s="954" t="n">
        <v>10000</v>
      </c>
      <c r="F1033" s="955" t="n">
        <f aca="false">C1033+D1033+E1033</f>
        <v>32920</v>
      </c>
      <c r="G1033" s="955" t="n">
        <f aca="false">F1033/149.4</f>
        <v>220.348058902276</v>
      </c>
      <c r="H1033" s="661" t="n">
        <f aca="false">G1033/60</f>
        <v>3.67246764837126</v>
      </c>
      <c r="I1033" s="660" t="n">
        <f aca="false">'норма времени'!D1037</f>
        <v>740</v>
      </c>
      <c r="J1033" s="661" t="n">
        <f aca="false">H1033*I1033</f>
        <v>2717.62605979473</v>
      </c>
    </row>
    <row r="1034" customFormat="false" ht="30" hidden="false" customHeight="false" outlineLevel="0" collapsed="false">
      <c r="A1034" s="571" t="s">
        <v>1671</v>
      </c>
      <c r="B1034" s="328" t="s">
        <v>3575</v>
      </c>
      <c r="C1034" s="954" t="n">
        <v>15000</v>
      </c>
      <c r="D1034" s="954" t="n">
        <v>12245</v>
      </c>
      <c r="E1034" s="954" t="n">
        <v>10500</v>
      </c>
      <c r="F1034" s="955" t="n">
        <f aca="false">C1034+D1034+E1034</f>
        <v>37745</v>
      </c>
      <c r="G1034" s="955" t="n">
        <f aca="false">F1034/149.4</f>
        <v>252.64390896921</v>
      </c>
      <c r="H1034" s="661" t="n">
        <f aca="false">G1034/60</f>
        <v>4.2107318161535</v>
      </c>
      <c r="I1034" s="660" t="n">
        <f aca="false">'норма времени'!D1038</f>
        <v>1505</v>
      </c>
      <c r="J1034" s="661" t="n">
        <f aca="false">H1034*I1034</f>
        <v>6337.15138331102</v>
      </c>
    </row>
    <row r="1035" customFormat="false" ht="45" hidden="false" customHeight="false" outlineLevel="0" collapsed="false">
      <c r="A1035" s="571" t="s">
        <v>1673</v>
      </c>
      <c r="B1035" s="328" t="s">
        <v>3576</v>
      </c>
      <c r="C1035" s="954" t="n">
        <v>22500</v>
      </c>
      <c r="D1035" s="954" t="n">
        <v>20000</v>
      </c>
      <c r="E1035" s="954" t="n">
        <v>15000</v>
      </c>
      <c r="F1035" s="955" t="n">
        <f aca="false">C1035+D1035+E1035</f>
        <v>57500</v>
      </c>
      <c r="G1035" s="955" t="n">
        <f aca="false">F1035/149.4</f>
        <v>384.872824631861</v>
      </c>
      <c r="H1035" s="661" t="n">
        <f aca="false">G1035/60</f>
        <v>6.41454707719768</v>
      </c>
      <c r="I1035" s="660" t="n">
        <f aca="false">'норма времени'!D1039</f>
        <v>740</v>
      </c>
      <c r="J1035" s="661" t="n">
        <f aca="false">H1035*I1035</f>
        <v>4746.76483712628</v>
      </c>
    </row>
    <row r="1036" customFormat="false" ht="45" hidden="false" customHeight="false" outlineLevel="0" collapsed="false">
      <c r="A1036" s="571" t="s">
        <v>1675</v>
      </c>
      <c r="B1036" s="328" t="s">
        <v>3577</v>
      </c>
      <c r="C1036" s="954" t="n">
        <v>13000</v>
      </c>
      <c r="D1036" s="954" t="n">
        <v>10000</v>
      </c>
      <c r="E1036" s="954" t="n">
        <v>5000</v>
      </c>
      <c r="F1036" s="955" t="n">
        <f aca="false">C1036+D1036+E1036</f>
        <v>28000</v>
      </c>
      <c r="G1036" s="955" t="n">
        <f aca="false">F1036/149.4</f>
        <v>187.416331994645</v>
      </c>
      <c r="H1036" s="661" t="n">
        <f aca="false">G1036/60</f>
        <v>3.12360553324409</v>
      </c>
      <c r="I1036" s="660" t="n">
        <f aca="false">'норма времени'!D1040</f>
        <v>2100</v>
      </c>
      <c r="J1036" s="661" t="n">
        <f aca="false">H1036*I1036</f>
        <v>6559.57161981258</v>
      </c>
    </row>
    <row r="1037" customFormat="false" ht="30" hidden="false" customHeight="false" outlineLevel="0" collapsed="false">
      <c r="A1037" s="571" t="s">
        <v>1677</v>
      </c>
      <c r="B1037" s="328" t="s">
        <v>3578</v>
      </c>
      <c r="C1037" s="954" t="n">
        <v>15000</v>
      </c>
      <c r="D1037" s="954" t="n">
        <v>11000</v>
      </c>
      <c r="E1037" s="954" t="n">
        <v>8000</v>
      </c>
      <c r="F1037" s="955" t="n">
        <f aca="false">C1037+D1037+E1037</f>
        <v>34000</v>
      </c>
      <c r="G1037" s="955" t="n">
        <f aca="false">F1037/149.4</f>
        <v>227.576974564926</v>
      </c>
      <c r="H1037" s="661" t="n">
        <f aca="false">G1037/60</f>
        <v>3.79294957608211</v>
      </c>
      <c r="I1037" s="660" t="n">
        <f aca="false">'норма времени'!D1041</f>
        <v>2755</v>
      </c>
      <c r="J1037" s="661" t="n">
        <f aca="false">H1037*I1037</f>
        <v>10449.5760821062</v>
      </c>
    </row>
    <row r="1038" customFormat="false" ht="45" hidden="false" customHeight="false" outlineLevel="0" collapsed="false">
      <c r="A1038" s="571" t="s">
        <v>1678</v>
      </c>
      <c r="B1038" s="328" t="s">
        <v>3533</v>
      </c>
      <c r="C1038" s="954" t="n">
        <v>9650</v>
      </c>
      <c r="D1038" s="954" t="n">
        <v>6200</v>
      </c>
      <c r="E1038" s="954" t="n">
        <v>6200</v>
      </c>
      <c r="F1038" s="955" t="n">
        <f aca="false">C1038+D1038+E1038</f>
        <v>22050</v>
      </c>
      <c r="G1038" s="955" t="n">
        <f aca="false">F1038/149.4</f>
        <v>147.590361445783</v>
      </c>
      <c r="H1038" s="661" t="n">
        <f aca="false">G1038/60</f>
        <v>2.45983935742972</v>
      </c>
      <c r="I1038" s="660" t="n">
        <f aca="false">'норма времени'!D1042</f>
        <v>6070</v>
      </c>
      <c r="J1038" s="661" t="n">
        <f aca="false">H1038*I1038</f>
        <v>14931.2248995984</v>
      </c>
    </row>
    <row r="1039" customFormat="false" ht="30" hidden="false" customHeight="false" outlineLevel="0" collapsed="false">
      <c r="A1039" s="571" t="s">
        <v>1679</v>
      </c>
      <c r="B1039" s="328" t="s">
        <v>3579</v>
      </c>
      <c r="C1039" s="954" t="n">
        <v>10000</v>
      </c>
      <c r="D1039" s="954" t="n">
        <v>10000</v>
      </c>
      <c r="E1039" s="954" t="n">
        <v>8350</v>
      </c>
      <c r="F1039" s="955" t="n">
        <f aca="false">C1039+D1039+E1039</f>
        <v>28350</v>
      </c>
      <c r="G1039" s="955" t="n">
        <f aca="false">F1039/149.4</f>
        <v>189.759036144578</v>
      </c>
      <c r="H1039" s="661" t="n">
        <f aca="false">G1039/60</f>
        <v>3.16265060240964</v>
      </c>
      <c r="I1039" s="660" t="n">
        <f aca="false">'норма времени'!D1043</f>
        <v>2755</v>
      </c>
      <c r="J1039" s="661" t="n">
        <f aca="false">H1039*I1039</f>
        <v>8713.10240963856</v>
      </c>
    </row>
    <row r="1040" customFormat="false" ht="15" hidden="false" customHeight="false" outlineLevel="0" collapsed="false">
      <c r="A1040" s="571" t="s">
        <v>1681</v>
      </c>
      <c r="B1040" s="328" t="s">
        <v>3488</v>
      </c>
      <c r="C1040" s="954" t="n">
        <v>15000</v>
      </c>
      <c r="D1040" s="954" t="n">
        <v>10000</v>
      </c>
      <c r="E1040" s="954" t="n">
        <v>5000</v>
      </c>
      <c r="F1040" s="955" t="n">
        <f aca="false">C1040+D1040+E1040</f>
        <v>30000</v>
      </c>
      <c r="G1040" s="955" t="n">
        <f aca="false">F1040/149.4</f>
        <v>200.803212851406</v>
      </c>
      <c r="H1040" s="661" t="n">
        <f aca="false">G1040/60</f>
        <v>3.34672021419009</v>
      </c>
      <c r="I1040" s="660" t="n">
        <f aca="false">'норма времени'!D1044</f>
        <v>60</v>
      </c>
      <c r="J1040" s="661" t="n">
        <f aca="false">H1040*I1040</f>
        <v>200.803212851406</v>
      </c>
    </row>
    <row r="1041" s="451" customFormat="true" ht="15" hidden="false" customHeight="false" outlineLevel="0" collapsed="false">
      <c r="A1041" s="350" t="s">
        <v>1682</v>
      </c>
      <c r="B1041" s="467" t="s">
        <v>3580</v>
      </c>
      <c r="C1041" s="1253"/>
      <c r="D1041" s="1253"/>
      <c r="E1041" s="1253"/>
      <c r="F1041" s="1254"/>
      <c r="G1041" s="955" t="n">
        <f aca="false">F1041/149.4</f>
        <v>0</v>
      </c>
      <c r="H1041" s="1250"/>
      <c r="I1041" s="1255"/>
      <c r="J1041" s="1250"/>
      <c r="K1041" s="1257"/>
      <c r="L1041" s="1257"/>
      <c r="M1041" s="1257"/>
      <c r="N1041" s="1257"/>
      <c r="O1041" s="1257"/>
      <c r="P1041" s="1257"/>
      <c r="Q1041" s="1257"/>
      <c r="R1041" s="1257"/>
      <c r="S1041" s="1257"/>
    </row>
    <row r="1042" customFormat="false" ht="30" hidden="false" customHeight="false" outlineLevel="0" collapsed="false">
      <c r="A1042" s="571" t="s">
        <v>1684</v>
      </c>
      <c r="B1042" s="328" t="s">
        <v>3581</v>
      </c>
      <c r="C1042" s="954" t="n">
        <v>30000</v>
      </c>
      <c r="D1042" s="954" t="n">
        <v>25000</v>
      </c>
      <c r="E1042" s="954" t="n">
        <v>15000</v>
      </c>
      <c r="F1042" s="955" t="n">
        <f aca="false">C1042+D1042+E1042</f>
        <v>70000</v>
      </c>
      <c r="G1042" s="955" t="n">
        <f aca="false">F1042/149.4</f>
        <v>468.540829986613</v>
      </c>
      <c r="H1042" s="661" t="n">
        <f aca="false">G1042/60</f>
        <v>7.80901383311022</v>
      </c>
      <c r="I1042" s="660" t="n">
        <f aca="false">'норма времени'!D1046</f>
        <v>225</v>
      </c>
      <c r="J1042" s="661" t="n">
        <f aca="false">H1042*I1042</f>
        <v>1757.0281124498</v>
      </c>
    </row>
    <row r="1043" customFormat="false" ht="45" hidden="false" customHeight="false" outlineLevel="0" collapsed="false">
      <c r="A1043" s="571" t="s">
        <v>1686</v>
      </c>
      <c r="B1043" s="328" t="s">
        <v>3582</v>
      </c>
      <c r="C1043" s="954" t="n">
        <v>45000</v>
      </c>
      <c r="D1043" s="954" t="n">
        <v>40000</v>
      </c>
      <c r="E1043" s="954" t="n">
        <v>35000</v>
      </c>
      <c r="F1043" s="955" t="n">
        <f aca="false">C1043+D1043+E1043</f>
        <v>120000</v>
      </c>
      <c r="G1043" s="955" t="n">
        <f aca="false">F1043/149.4</f>
        <v>803.212851405623</v>
      </c>
      <c r="H1043" s="661" t="n">
        <f aca="false">G1043/60</f>
        <v>13.3868808567604</v>
      </c>
      <c r="I1043" s="660" t="n">
        <f aca="false">'норма времени'!D1047</f>
        <v>225</v>
      </c>
      <c r="J1043" s="661" t="n">
        <f aca="false">H1043*I1043</f>
        <v>3012.04819277108</v>
      </c>
    </row>
    <row r="1044" customFormat="false" ht="20.25" hidden="false" customHeight="true" outlineLevel="0" collapsed="false">
      <c r="A1044" s="343" t="s">
        <v>1688</v>
      </c>
      <c r="B1044" s="318" t="s">
        <v>3583</v>
      </c>
      <c r="C1044" s="1261"/>
      <c r="D1044" s="1261"/>
      <c r="E1044" s="1261"/>
      <c r="F1044" s="1262"/>
      <c r="G1044" s="955" t="n">
        <f aca="false">F1044/149.4</f>
        <v>0</v>
      </c>
      <c r="H1044" s="1263"/>
      <c r="I1044" s="1264"/>
      <c r="J1044" s="1263"/>
    </row>
    <row r="1045" s="451" customFormat="true" ht="42.75" hidden="false" customHeight="false" outlineLevel="0" collapsed="false">
      <c r="A1045" s="350" t="s">
        <v>1690</v>
      </c>
      <c r="B1045" s="467" t="str">
        <f aca="false">'[7]норма времени'!B15</f>
        <v>на территории жилой застрой, при отводе земельных участков под строительство, в жилых и общественных зданиях</v>
      </c>
      <c r="C1045" s="1253"/>
      <c r="D1045" s="1253"/>
      <c r="E1045" s="1253"/>
      <c r="F1045" s="1254"/>
      <c r="G1045" s="955" t="n">
        <f aca="false">F1045/149.4</f>
        <v>0</v>
      </c>
      <c r="H1045" s="1250"/>
      <c r="I1045" s="1246"/>
      <c r="J1045" s="1250"/>
      <c r="K1045" s="1257"/>
      <c r="L1045" s="1257"/>
      <c r="M1045" s="1257"/>
      <c r="N1045" s="1257"/>
      <c r="O1045" s="1257"/>
      <c r="P1045" s="1257"/>
      <c r="Q1045" s="1257"/>
      <c r="R1045" s="1257"/>
      <c r="S1045" s="1257"/>
    </row>
    <row r="1046" customFormat="false" ht="15" hidden="false" customHeight="false" outlineLevel="0" collapsed="false">
      <c r="A1046" s="327" t="s">
        <v>1692</v>
      </c>
      <c r="B1046" s="328" t="str">
        <f aca="false">'[7]норма времени'!B16</f>
        <v>Определение мощности дозы гамма излучения </v>
      </c>
      <c r="C1046" s="954" t="n">
        <v>61500</v>
      </c>
      <c r="D1046" s="954"/>
      <c r="E1046" s="954"/>
      <c r="F1046" s="955" t="n">
        <f aca="false">C1046+D1046+E1046</f>
        <v>61500</v>
      </c>
      <c r="G1046" s="955" t="n">
        <f aca="false">F1046/149.4</f>
        <v>411.646586345382</v>
      </c>
      <c r="H1046" s="661" t="n">
        <f aca="false">G1046/60</f>
        <v>6.86077643908969</v>
      </c>
      <c r="I1046" s="660" t="n">
        <f aca="false">'[7]норма времени'!D16</f>
        <v>16</v>
      </c>
      <c r="J1046" s="661" t="n">
        <f aca="false">H1046*I1046</f>
        <v>109.772423025435</v>
      </c>
    </row>
    <row r="1047" customFormat="false" ht="15" hidden="false" customHeight="false" outlineLevel="0" collapsed="false">
      <c r="A1047" s="327" t="s">
        <v>1694</v>
      </c>
      <c r="B1047" s="328" t="str">
        <f aca="false">'[7]норма времени'!B17</f>
        <v>Определение плотность потока радона и ДПР </v>
      </c>
      <c r="C1047" s="954" t="n">
        <v>6000</v>
      </c>
      <c r="D1047" s="954" t="n">
        <v>6000</v>
      </c>
      <c r="E1047" s="954" t="n">
        <v>5000</v>
      </c>
      <c r="F1047" s="955" t="n">
        <f aca="false">C1047+D1047+E1047</f>
        <v>17000</v>
      </c>
      <c r="G1047" s="955" t="n">
        <f aca="false">F1047/149.4</f>
        <v>113.788487282463</v>
      </c>
      <c r="H1047" s="661" t="n">
        <f aca="false">G1047/60</f>
        <v>1.89647478804105</v>
      </c>
      <c r="I1047" s="660" t="n">
        <f aca="false">'[7]норма времени'!D17</f>
        <v>90</v>
      </c>
      <c r="J1047" s="661" t="n">
        <f aca="false">H1047*I1047</f>
        <v>170.682730923695</v>
      </c>
    </row>
    <row r="1048" s="451" customFormat="true" ht="42.75" hidden="false" customHeight="false" outlineLevel="0" collapsed="false">
      <c r="A1048" s="350" t="s">
        <v>1696</v>
      </c>
      <c r="B1048" s="467" t="str">
        <f aca="false">'[7]норма времени'!B18</f>
        <v>Ренгенские кабинеты, кабинеты лучевой диагностики и терапии, организации использующие открытые ИИИ, рабочих мест</v>
      </c>
      <c r="C1048" s="1253"/>
      <c r="D1048" s="1253"/>
      <c r="E1048" s="1253"/>
      <c r="F1048" s="1254"/>
      <c r="G1048" s="955" t="n">
        <f aca="false">F1048/149.4</f>
        <v>0</v>
      </c>
      <c r="H1048" s="1250"/>
      <c r="I1048" s="1246"/>
      <c r="J1048" s="1250"/>
      <c r="K1048" s="1257"/>
      <c r="L1048" s="1257"/>
      <c r="M1048" s="1257"/>
      <c r="N1048" s="1257"/>
      <c r="O1048" s="1257"/>
      <c r="P1048" s="1257"/>
      <c r="Q1048" s="1257"/>
      <c r="R1048" s="1257"/>
      <c r="S1048" s="1257"/>
    </row>
    <row r="1049" customFormat="false" ht="30" hidden="false" customHeight="false" outlineLevel="0" collapsed="false">
      <c r="A1049" s="327" t="s">
        <v>1698</v>
      </c>
      <c r="B1049" s="328" t="str">
        <f aca="false">'[7]норма времени'!B19</f>
        <v>определение мощности дозы гамма ренгеновское излучения на рабочих местах</v>
      </c>
      <c r="C1049" s="954" t="n">
        <v>25000</v>
      </c>
      <c r="D1049" s="954" t="n">
        <v>20000</v>
      </c>
      <c r="E1049" s="954" t="n">
        <v>10000</v>
      </c>
      <c r="F1049" s="955" t="n">
        <f aca="false">C1049+D1049+E1049</f>
        <v>55000</v>
      </c>
      <c r="G1049" s="955" t="n">
        <f aca="false">F1049/149.4</f>
        <v>368.13922356091</v>
      </c>
      <c r="H1049" s="661" t="n">
        <f aca="false">G1049/60</f>
        <v>6.13565372601517</v>
      </c>
      <c r="I1049" s="660" t="n">
        <f aca="false">'[7]норма времени'!D19</f>
        <v>51</v>
      </c>
      <c r="J1049" s="661" t="n">
        <f aca="false">H1049*I1049</f>
        <v>312.918340026774</v>
      </c>
    </row>
    <row r="1050" customFormat="false" ht="60" hidden="false" customHeight="false" outlineLevel="0" collapsed="false">
      <c r="A1050" s="327" t="s">
        <v>1700</v>
      </c>
      <c r="B1050" s="328" t="str">
        <f aca="false">'[7]норма времени'!B20</f>
        <v>Измерения произведения поглощенной дозы на площадь рентгеновского излучения на выходе рентгеновского аппарата определения расчетным путем эффективной дозы</v>
      </c>
      <c r="C1050" s="954" t="n">
        <v>15000</v>
      </c>
      <c r="D1050" s="954" t="n">
        <v>10000</v>
      </c>
      <c r="E1050" s="954" t="n">
        <v>5000</v>
      </c>
      <c r="F1050" s="955" t="n">
        <f aca="false">C1050+D1050+E1050</f>
        <v>30000</v>
      </c>
      <c r="G1050" s="955" t="n">
        <f aca="false">F1050/149.4</f>
        <v>200.803212851406</v>
      </c>
      <c r="H1050" s="661" t="n">
        <f aca="false">G1050/60</f>
        <v>3.34672021419009</v>
      </c>
      <c r="I1050" s="660" t="n">
        <f aca="false">'[7]норма времени'!D20</f>
        <v>120</v>
      </c>
      <c r="J1050" s="661" t="n">
        <f aca="false">H1050*I1050</f>
        <v>401.606425702811</v>
      </c>
    </row>
    <row r="1051" s="451" customFormat="true" ht="26.25" hidden="false" customHeight="true" outlineLevel="0" collapsed="false">
      <c r="A1051" s="351" t="s">
        <v>1702</v>
      </c>
      <c r="B1051" s="467" t="str">
        <f aca="false">'[7]норма времени'!B22</f>
        <v>Воздух промышленных предприятий,  воздух рабочей зоны</v>
      </c>
      <c r="C1051" s="1253"/>
      <c r="D1051" s="1253"/>
      <c r="E1051" s="1253"/>
      <c r="F1051" s="1254"/>
      <c r="G1051" s="955" t="n">
        <f aca="false">F1051/149.4</f>
        <v>0</v>
      </c>
      <c r="H1051" s="1250"/>
      <c r="I1051" s="1246"/>
      <c r="J1051" s="1250"/>
      <c r="K1051" s="1257"/>
      <c r="L1051" s="1257"/>
      <c r="M1051" s="1257"/>
      <c r="N1051" s="1257"/>
      <c r="O1051" s="1257"/>
      <c r="P1051" s="1257"/>
      <c r="Q1051" s="1257"/>
      <c r="R1051" s="1257"/>
      <c r="S1051" s="1257"/>
    </row>
    <row r="1052" customFormat="false" ht="15" hidden="false" customHeight="false" outlineLevel="0" collapsed="false">
      <c r="A1052" s="327" t="s">
        <v>1704</v>
      </c>
      <c r="B1052" s="328" t="str">
        <f aca="false">'[7]норма времени'!B23</f>
        <v>Измерения уровни концентрации радона , ДПР торона</v>
      </c>
      <c r="C1052" s="954" t="n">
        <v>100000</v>
      </c>
      <c r="D1052" s="954" t="n">
        <v>80000</v>
      </c>
      <c r="E1052" s="954" t="n">
        <v>60000</v>
      </c>
      <c r="F1052" s="955" t="n">
        <f aca="false">C1052+D1052+E1052</f>
        <v>240000</v>
      </c>
      <c r="G1052" s="955" t="n">
        <f aca="false">F1052/149.4</f>
        <v>1606.42570281125</v>
      </c>
      <c r="H1052" s="661" t="n">
        <f aca="false">G1052/60</f>
        <v>26.7737617135208</v>
      </c>
      <c r="I1052" s="660" t="n">
        <f aca="false">'[7]норма времени'!D23</f>
        <v>25</v>
      </c>
      <c r="J1052" s="661" t="n">
        <f aca="false">H1052*I1052</f>
        <v>669.344042838019</v>
      </c>
    </row>
    <row r="1053" customFormat="false" ht="15" hidden="false" customHeight="false" outlineLevel="0" collapsed="false">
      <c r="A1053" s="327" t="s">
        <v>1706</v>
      </c>
      <c r="B1053" s="328" t="str">
        <f aca="false">'[7]норма времени'!B24</f>
        <v>Определение суммарной альфа-бета активности</v>
      </c>
      <c r="C1053" s="954" t="n">
        <v>30000</v>
      </c>
      <c r="D1053" s="954" t="n">
        <v>25000</v>
      </c>
      <c r="E1053" s="954" t="n">
        <v>25000</v>
      </c>
      <c r="F1053" s="955" t="n">
        <f aca="false">C1053+D1053+E1053</f>
        <v>80000</v>
      </c>
      <c r="G1053" s="955" t="n">
        <f aca="false">F1053/149.4</f>
        <v>535.475234270415</v>
      </c>
      <c r="H1053" s="661" t="n">
        <f aca="false">G1053/60</f>
        <v>8.92458723784025</v>
      </c>
      <c r="I1053" s="660" t="n">
        <f aca="false">'[7]норма времени'!D24</f>
        <v>180</v>
      </c>
      <c r="J1053" s="661" t="n">
        <f aca="false">H1053*I1053</f>
        <v>1606.42570281125</v>
      </c>
    </row>
    <row r="1054" s="451" customFormat="true" ht="28.5" hidden="false" customHeight="false" outlineLevel="0" collapsed="false">
      <c r="A1054" s="350" t="s">
        <v>1708</v>
      </c>
      <c r="B1054" s="467" t="str">
        <f aca="false">'[7]норма времени'!B25</f>
        <v>Атмосферный воздух, осадки, оседающая пыль (Мониторинг окружающей среды)</v>
      </c>
      <c r="C1054" s="1253"/>
      <c r="D1054" s="1253"/>
      <c r="E1054" s="1253"/>
      <c r="F1054" s="1254"/>
      <c r="G1054" s="955" t="n">
        <f aca="false">F1054/149.4</f>
        <v>0</v>
      </c>
      <c r="H1054" s="1250"/>
      <c r="I1054" s="1246"/>
      <c r="J1054" s="1250"/>
      <c r="K1054" s="1257"/>
      <c r="L1054" s="1257"/>
      <c r="M1054" s="1257"/>
      <c r="N1054" s="1257"/>
      <c r="O1054" s="1257"/>
      <c r="P1054" s="1257"/>
      <c r="Q1054" s="1257"/>
      <c r="R1054" s="1257"/>
      <c r="S1054" s="1257"/>
    </row>
    <row r="1055" customFormat="false" ht="15" hidden="false" customHeight="false" outlineLevel="0" collapsed="false">
      <c r="A1055" s="327" t="s">
        <v>1710</v>
      </c>
      <c r="B1055" s="328" t="str">
        <f aca="false">'[7]норма времени'!B26</f>
        <v>Определение суммарной альфа-бета активности</v>
      </c>
      <c r="C1055" s="954" t="n">
        <v>30000</v>
      </c>
      <c r="D1055" s="954" t="n">
        <v>25000</v>
      </c>
      <c r="E1055" s="954" t="n">
        <v>20000</v>
      </c>
      <c r="F1055" s="955" t="n">
        <f aca="false">C1055+D1055+E1055</f>
        <v>75000</v>
      </c>
      <c r="G1055" s="955" t="n">
        <f aca="false">F1055/149.4</f>
        <v>502.008032128514</v>
      </c>
      <c r="H1055" s="661" t="n">
        <f aca="false">G1055/60</f>
        <v>8.36680053547523</v>
      </c>
      <c r="I1055" s="660" t="n">
        <f aca="false">'[7]норма времени'!D26</f>
        <v>190</v>
      </c>
      <c r="J1055" s="661" t="n">
        <f aca="false">H1055*I1055</f>
        <v>1589.69210174029</v>
      </c>
    </row>
    <row r="1056" customFormat="false" ht="15" hidden="false" customHeight="false" outlineLevel="0" collapsed="false">
      <c r="A1056" s="327" t="s">
        <v>1711</v>
      </c>
      <c r="B1056" s="328" t="str">
        <f aca="false">'[7]норма времени'!B27</f>
        <v>Определение  цезия - 137 </v>
      </c>
      <c r="C1056" s="954" t="n">
        <v>30000</v>
      </c>
      <c r="D1056" s="954" t="n">
        <v>20000</v>
      </c>
      <c r="E1056" s="954" t="n">
        <v>20000</v>
      </c>
      <c r="F1056" s="955" t="n">
        <f aca="false">C1056+D1056+E1056</f>
        <v>70000</v>
      </c>
      <c r="G1056" s="955" t="n">
        <f aca="false">F1056/149.4</f>
        <v>468.540829986613</v>
      </c>
      <c r="H1056" s="661" t="n">
        <f aca="false">G1056/60</f>
        <v>7.80901383311022</v>
      </c>
      <c r="I1056" s="660" t="n">
        <f aca="false">'[7]норма времени'!D27</f>
        <v>570</v>
      </c>
      <c r="J1056" s="661" t="n">
        <f aca="false">H1056*I1056</f>
        <v>4451.13788487282</v>
      </c>
    </row>
    <row r="1057" customFormat="false" ht="15" hidden="false" customHeight="false" outlineLevel="0" collapsed="false">
      <c r="A1057" s="327" t="s">
        <v>1713</v>
      </c>
      <c r="B1057" s="328" t="str">
        <f aca="false">'[7]норма времени'!B28</f>
        <v>Определение стронция -90 </v>
      </c>
      <c r="C1057" s="954" t="n">
        <v>25000</v>
      </c>
      <c r="D1057" s="954" t="n">
        <v>15000</v>
      </c>
      <c r="E1057" s="954" t="n">
        <v>15000</v>
      </c>
      <c r="F1057" s="955" t="n">
        <f aca="false">C1057+D1057+E1057</f>
        <v>55000</v>
      </c>
      <c r="G1057" s="955" t="n">
        <f aca="false">F1057/149.4</f>
        <v>368.13922356091</v>
      </c>
      <c r="H1057" s="661" t="n">
        <f aca="false">G1057/60</f>
        <v>6.13565372601517</v>
      </c>
      <c r="I1057" s="660" t="n">
        <f aca="false">'[7]норма времени'!D28</f>
        <v>750</v>
      </c>
      <c r="J1057" s="661" t="n">
        <f aca="false">H1057*I1057</f>
        <v>4601.74029451138</v>
      </c>
    </row>
    <row r="1058" customFormat="false" ht="15" hidden="false" customHeight="false" outlineLevel="0" collapsed="false">
      <c r="A1058" s="327" t="s">
        <v>1715</v>
      </c>
      <c r="B1058" s="328" t="str">
        <f aca="false">'[7]норма времени'!B29</f>
        <v>Определения свинца -210</v>
      </c>
      <c r="C1058" s="954" t="n">
        <v>22500</v>
      </c>
      <c r="D1058" s="954" t="n">
        <v>20000</v>
      </c>
      <c r="E1058" s="954" t="n">
        <v>15000</v>
      </c>
      <c r="F1058" s="955" t="n">
        <f aca="false">C1058+D1058+E1058</f>
        <v>57500</v>
      </c>
      <c r="G1058" s="955" t="n">
        <f aca="false">F1058/149.4</f>
        <v>384.872824631861</v>
      </c>
      <c r="H1058" s="661" t="n">
        <f aca="false">G1058/60</f>
        <v>6.41454707719768</v>
      </c>
      <c r="I1058" s="660" t="n">
        <f aca="false">'[7]норма времени'!D29</f>
        <v>540</v>
      </c>
      <c r="J1058" s="661" t="n">
        <f aca="false">H1058*I1058</f>
        <v>3463.85542168675</v>
      </c>
    </row>
    <row r="1059" customFormat="false" ht="15" hidden="false" customHeight="false" outlineLevel="0" collapsed="false">
      <c r="A1059" s="327" t="s">
        <v>1717</v>
      </c>
      <c r="B1059" s="328" t="str">
        <f aca="false">'[7]норма времени'!B30</f>
        <v>Определения радия -226</v>
      </c>
      <c r="C1059" s="954" t="n">
        <v>20000</v>
      </c>
      <c r="D1059" s="954" t="n">
        <v>15000</v>
      </c>
      <c r="E1059" s="954" t="n">
        <v>15000</v>
      </c>
      <c r="F1059" s="955" t="n">
        <f aca="false">C1059+D1059+E1059</f>
        <v>50000</v>
      </c>
      <c r="G1059" s="955" t="n">
        <f aca="false">F1059/149.4</f>
        <v>334.672021419009</v>
      </c>
      <c r="H1059" s="661" t="n">
        <f aca="false">G1059/60</f>
        <v>5.57786702365016</v>
      </c>
      <c r="I1059" s="660" t="n">
        <f aca="false">'[7]норма времени'!D30</f>
        <v>550</v>
      </c>
      <c r="J1059" s="661" t="n">
        <f aca="false">H1059*I1059</f>
        <v>3067.82686300759</v>
      </c>
    </row>
    <row r="1060" s="451" customFormat="true" ht="28.5" hidden="false" customHeight="false" outlineLevel="0" collapsed="false">
      <c r="A1060" s="350" t="s">
        <v>1719</v>
      </c>
      <c r="B1060" s="467" t="str">
        <f aca="false">'[7]норма времени'!B31</f>
        <v> Горнодобывающее,  Уранодобывающие предприятия, организации использующие ИИИ</v>
      </c>
      <c r="C1060" s="1253"/>
      <c r="D1060" s="1253"/>
      <c r="E1060" s="1253"/>
      <c r="F1060" s="1254"/>
      <c r="G1060" s="955" t="n">
        <f aca="false">F1060/149.4</f>
        <v>0</v>
      </c>
      <c r="H1060" s="1250"/>
      <c r="I1060" s="1246"/>
      <c r="J1060" s="1250"/>
      <c r="K1060" s="1257"/>
      <c r="L1060" s="1257"/>
      <c r="M1060" s="1257"/>
      <c r="N1060" s="1257"/>
      <c r="O1060" s="1257"/>
      <c r="P1060" s="1257"/>
      <c r="Q1060" s="1257"/>
      <c r="R1060" s="1257"/>
      <c r="S1060" s="1257"/>
    </row>
    <row r="1061" customFormat="false" ht="15" hidden="false" customHeight="false" outlineLevel="0" collapsed="false">
      <c r="A1061" s="327" t="s">
        <v>1721</v>
      </c>
      <c r="B1061" s="328" t="str">
        <f aca="false">'[7]норма времени'!B32</f>
        <v>Измерения массовой концентрации аэрозолей</v>
      </c>
      <c r="C1061" s="954" t="n">
        <v>20000</v>
      </c>
      <c r="D1061" s="954" t="n">
        <v>15000</v>
      </c>
      <c r="E1061" s="954" t="n">
        <v>10000</v>
      </c>
      <c r="F1061" s="955" t="n">
        <f aca="false">C1061+D1061+E1061</f>
        <v>45000</v>
      </c>
      <c r="G1061" s="955" t="n">
        <f aca="false">F1061/149.4</f>
        <v>301.204819277108</v>
      </c>
      <c r="H1061" s="661" t="n">
        <f aca="false">G1061/60</f>
        <v>5.02008032128514</v>
      </c>
      <c r="I1061" s="660" t="n">
        <f aca="false">'[7]норма времени'!D32</f>
        <v>90</v>
      </c>
      <c r="J1061" s="661" t="n">
        <f aca="false">H1061*I1061</f>
        <v>451.807228915663</v>
      </c>
    </row>
    <row r="1062" customFormat="false" ht="15" hidden="false" customHeight="false" outlineLevel="0" collapsed="false">
      <c r="A1062" s="327" t="s">
        <v>1723</v>
      </c>
      <c r="B1062" s="328" t="str">
        <f aca="false">'[7]норма времени'!B33</f>
        <v>Измерения альфа - излучения</v>
      </c>
      <c r="C1062" s="954" t="n">
        <v>5000</v>
      </c>
      <c r="D1062" s="954" t="n">
        <v>4000</v>
      </c>
      <c r="E1062" s="954" t="n">
        <v>3000</v>
      </c>
      <c r="F1062" s="955" t="n">
        <f aca="false">C1062+D1062+E1062</f>
        <v>12000</v>
      </c>
      <c r="G1062" s="955" t="n">
        <f aca="false">F1062/149.4</f>
        <v>80.3212851405623</v>
      </c>
      <c r="H1062" s="661" t="n">
        <f aca="false">G1062/60</f>
        <v>1.33868808567604</v>
      </c>
      <c r="I1062" s="660" t="n">
        <f aca="false">'[7]норма времени'!D33</f>
        <v>20</v>
      </c>
      <c r="J1062" s="661" t="n">
        <f aca="false">H1062*I1062</f>
        <v>26.7737617135208</v>
      </c>
    </row>
    <row r="1063" customFormat="false" ht="15" hidden="false" customHeight="false" outlineLevel="0" collapsed="false">
      <c r="A1063" s="327" t="s">
        <v>1725</v>
      </c>
      <c r="B1063" s="328" t="str">
        <f aca="false">'[7]норма времени'!B34</f>
        <v>Измерения гамма- излучения</v>
      </c>
      <c r="C1063" s="954" t="n">
        <v>61500</v>
      </c>
      <c r="D1063" s="954"/>
      <c r="E1063" s="954"/>
      <c r="F1063" s="955" t="n">
        <f aca="false">C1063+D1063+E1063</f>
        <v>61500</v>
      </c>
      <c r="G1063" s="955" t="n">
        <f aca="false">F1063/149.4</f>
        <v>411.646586345382</v>
      </c>
      <c r="H1063" s="661" t="n">
        <f aca="false">G1063/60</f>
        <v>6.86077643908969</v>
      </c>
      <c r="I1063" s="660" t="n">
        <f aca="false">'[7]норма времени'!D34</f>
        <v>16</v>
      </c>
      <c r="J1063" s="661" t="n">
        <f aca="false">H1063*I1063</f>
        <v>109.772423025435</v>
      </c>
    </row>
    <row r="1064" customFormat="false" ht="15" hidden="false" customHeight="false" outlineLevel="0" collapsed="false">
      <c r="A1064" s="327" t="s">
        <v>1727</v>
      </c>
      <c r="B1064" s="328" t="str">
        <f aca="false">'[7]норма времени'!B35</f>
        <v>Измерения бета - излучения</v>
      </c>
      <c r="C1064" s="954" t="n">
        <v>5000</v>
      </c>
      <c r="D1064" s="954" t="n">
        <v>4000</v>
      </c>
      <c r="E1064" s="954" t="n">
        <v>3000</v>
      </c>
      <c r="F1064" s="955" t="n">
        <f aca="false">C1064+D1064+E1064</f>
        <v>12000</v>
      </c>
      <c r="G1064" s="955" t="n">
        <f aca="false">F1064/149.4</f>
        <v>80.3212851405623</v>
      </c>
      <c r="H1064" s="661" t="n">
        <f aca="false">G1064/60</f>
        <v>1.33868808567604</v>
      </c>
      <c r="I1064" s="660" t="n">
        <f aca="false">'[7]норма времени'!D35</f>
        <v>20</v>
      </c>
      <c r="J1064" s="661" t="n">
        <f aca="false">H1064*I1064</f>
        <v>26.7737617135208</v>
      </c>
    </row>
    <row r="1065" customFormat="false" ht="15" hidden="false" customHeight="false" outlineLevel="0" collapsed="false">
      <c r="A1065" s="327" t="s">
        <v>1729</v>
      </c>
      <c r="B1065" s="328" t="str">
        <f aca="false">'[7]норма времени'!B36</f>
        <v>Измерение нейтронного излучения</v>
      </c>
      <c r="C1065" s="954" t="n">
        <v>5000</v>
      </c>
      <c r="D1065" s="954" t="n">
        <v>4000</v>
      </c>
      <c r="E1065" s="954" t="n">
        <v>3000</v>
      </c>
      <c r="F1065" s="955" t="n">
        <f aca="false">C1065+D1065+E1065</f>
        <v>12000</v>
      </c>
      <c r="G1065" s="955" t="n">
        <f aca="false">F1065/149.4</f>
        <v>80.3212851405623</v>
      </c>
      <c r="H1065" s="661" t="n">
        <f aca="false">G1065/60</f>
        <v>1.33868808567604</v>
      </c>
      <c r="I1065" s="660" t="n">
        <f aca="false">'[7]норма времени'!D36</f>
        <v>16</v>
      </c>
      <c r="J1065" s="661" t="n">
        <f aca="false">H1065*I1065</f>
        <v>21.4190093708166</v>
      </c>
    </row>
    <row r="1066" customFormat="false" ht="15" hidden="false" customHeight="false" outlineLevel="0" collapsed="false">
      <c r="A1066" s="327" t="s">
        <v>1731</v>
      </c>
      <c r="B1066" s="328" t="str">
        <f aca="false">'[7]норма времени'!B37</f>
        <v>Измерения рентгеновского излучения</v>
      </c>
      <c r="C1066" s="954" t="n">
        <v>5000</v>
      </c>
      <c r="D1066" s="954" t="n">
        <v>4000</v>
      </c>
      <c r="E1066" s="954" t="n">
        <v>3000</v>
      </c>
      <c r="F1066" s="955" t="n">
        <f aca="false">C1066+D1066+E1066</f>
        <v>12000</v>
      </c>
      <c r="G1066" s="955" t="n">
        <f aca="false">F1066/149.4</f>
        <v>80.3212851405623</v>
      </c>
      <c r="H1066" s="661" t="n">
        <f aca="false">G1066/60</f>
        <v>1.33868808567604</v>
      </c>
      <c r="I1066" s="660" t="n">
        <f aca="false">'[7]норма времени'!D37</f>
        <v>25</v>
      </c>
      <c r="J1066" s="661" t="n">
        <f aca="false">H1066*I1066</f>
        <v>33.4672021419009</v>
      </c>
    </row>
    <row r="1067" customFormat="false" ht="24.75" hidden="false" customHeight="true" outlineLevel="0" collapsed="false">
      <c r="A1067" s="327" t="s">
        <v>1733</v>
      </c>
      <c r="B1067" s="328" t="str">
        <f aca="false">'[7]норма времени'!B38</f>
        <v>Определение общей альфа - бета активности (методом мазков)</v>
      </c>
      <c r="C1067" s="954" t="n">
        <v>45000</v>
      </c>
      <c r="D1067" s="954" t="n">
        <v>30000</v>
      </c>
      <c r="E1067" s="954" t="n">
        <v>20000</v>
      </c>
      <c r="F1067" s="955" t="n">
        <f aca="false">C1067+D1067+E1067</f>
        <v>95000</v>
      </c>
      <c r="G1067" s="955" t="n">
        <f aca="false">F1067/149.4</f>
        <v>635.876840696118</v>
      </c>
      <c r="H1067" s="661" t="n">
        <f aca="false">G1067/60</f>
        <v>10.5979473449353</v>
      </c>
      <c r="I1067" s="660" t="n">
        <f aca="false">'[7]норма времени'!D38</f>
        <v>180</v>
      </c>
      <c r="J1067" s="661" t="n">
        <f aca="false">H1067*I1067</f>
        <v>1907.63052208835</v>
      </c>
    </row>
    <row r="1068" customFormat="false" ht="30" hidden="false" customHeight="false" outlineLevel="0" collapsed="false">
      <c r="A1068" s="327" t="s">
        <v>1735</v>
      </c>
      <c r="B1068" s="328" t="str">
        <f aca="false">'[7]норма времени'!B39</f>
        <v>Определения отдельных радионуклидов в зависимости от типа загрязнения-гамма спектометрия</v>
      </c>
      <c r="C1068" s="954" t="n">
        <v>5000</v>
      </c>
      <c r="D1068" s="954" t="n">
        <v>5000</v>
      </c>
      <c r="E1068" s="954" t="n">
        <v>2500</v>
      </c>
      <c r="F1068" s="955" t="n">
        <f aca="false">C1068+D1068+E1068</f>
        <v>12500</v>
      </c>
      <c r="G1068" s="955" t="n">
        <f aca="false">F1068/149.4</f>
        <v>83.6680053547523</v>
      </c>
      <c r="H1068" s="661" t="n">
        <f aca="false">G1068/60</f>
        <v>1.39446675591254</v>
      </c>
      <c r="I1068" s="660" t="n">
        <f aca="false">'[7]норма времени'!D39</f>
        <v>180</v>
      </c>
      <c r="J1068" s="661" t="n">
        <f aca="false">H1068*I1068</f>
        <v>251.004016064257</v>
      </c>
    </row>
    <row r="1069" customFormat="false" ht="30" hidden="false" customHeight="false" outlineLevel="0" collapsed="false">
      <c r="A1069" s="327" t="s">
        <v>1737</v>
      </c>
      <c r="B1069" s="328" t="str">
        <f aca="false">'[7]норма времени'!B40</f>
        <v>Определения отдельных радионуклидов в зависимости от типа загрязнения-бетта спектометрия</v>
      </c>
      <c r="C1069" s="954" t="n">
        <v>15000</v>
      </c>
      <c r="D1069" s="954" t="n">
        <v>15000</v>
      </c>
      <c r="E1069" s="954" t="n">
        <v>10000</v>
      </c>
      <c r="F1069" s="955" t="n">
        <f aca="false">C1069+D1069+E1069</f>
        <v>40000</v>
      </c>
      <c r="G1069" s="955" t="n">
        <f aca="false">F1069/149.4</f>
        <v>267.737617135208</v>
      </c>
      <c r="H1069" s="661" t="n">
        <f aca="false">G1069/60</f>
        <v>4.46229361892013</v>
      </c>
      <c r="I1069" s="660" t="n">
        <f aca="false">'[7]норма времени'!D40</f>
        <v>180</v>
      </c>
      <c r="J1069" s="661" t="n">
        <f aca="false">H1069*I1069</f>
        <v>803.212851405623</v>
      </c>
    </row>
    <row r="1070" s="451" customFormat="true" ht="57" hidden="false" customHeight="false" outlineLevel="0" collapsed="false">
      <c r="A1070" s="350" t="s">
        <v>1739</v>
      </c>
      <c r="B1070" s="467" t="str">
        <f aca="false">'[7]норма времени'!B41</f>
        <v>Топливное сырье; Нефть продукты ее переработки и промышленные отходы; сырье , материалы и изделия; Минеральные удобрения; Строительные материалы; Ювилирные изделия</v>
      </c>
      <c r="C1070" s="1253"/>
      <c r="D1070" s="1253"/>
      <c r="E1070" s="1253"/>
      <c r="F1070" s="1254"/>
      <c r="G1070" s="955" t="n">
        <f aca="false">F1070/149.4</f>
        <v>0</v>
      </c>
      <c r="H1070" s="1250"/>
      <c r="I1070" s="1246"/>
      <c r="J1070" s="1250"/>
      <c r="K1070" s="1257"/>
      <c r="L1070" s="1257"/>
      <c r="M1070" s="1257"/>
      <c r="N1070" s="1257"/>
      <c r="O1070" s="1257"/>
      <c r="P1070" s="1257"/>
      <c r="Q1070" s="1257"/>
      <c r="R1070" s="1257"/>
      <c r="S1070" s="1257"/>
    </row>
    <row r="1071" customFormat="false" ht="15" hidden="false" customHeight="false" outlineLevel="0" collapsed="false">
      <c r="A1071" s="327" t="s">
        <v>1741</v>
      </c>
      <c r="B1071" s="328" t="str">
        <f aca="false">'[7]норма времени'!B42</f>
        <v>Определение удельной активности радионуклидов</v>
      </c>
      <c r="C1071" s="954" t="n">
        <v>10000</v>
      </c>
      <c r="D1071" s="954" t="n">
        <v>10000</v>
      </c>
      <c r="E1071" s="954" t="n">
        <v>5000</v>
      </c>
      <c r="F1071" s="955" t="n">
        <f aca="false">C1071+D1071+E1071</f>
        <v>25000</v>
      </c>
      <c r="G1071" s="955" t="n">
        <f aca="false">F1071/149.4</f>
        <v>167.336010709505</v>
      </c>
      <c r="H1071" s="661" t="n">
        <f aca="false">G1071/60</f>
        <v>2.78893351182508</v>
      </c>
      <c r="I1071" s="660" t="n">
        <f aca="false">'норма времени'!D1075</f>
        <v>50</v>
      </c>
      <c r="J1071" s="661" t="n">
        <f aca="false">H1071*I1071</f>
        <v>139.446675591254</v>
      </c>
    </row>
    <row r="1072" s="451" customFormat="true" ht="42.75" hidden="false" customHeight="false" outlineLevel="0" collapsed="false">
      <c r="A1072" s="351" t="s">
        <v>1743</v>
      </c>
      <c r="B1072" s="467" t="str">
        <f aca="false">'[7]норма времени'!B43</f>
        <v>Пищевый продукты, Лекарственные растения , (сухие, жидкие, бальзамы, настойки), древесное сырье (спектрометрическим методом)</v>
      </c>
      <c r="C1072" s="1253"/>
      <c r="D1072" s="1253"/>
      <c r="E1072" s="1253"/>
      <c r="F1072" s="1254"/>
      <c r="G1072" s="955" t="n">
        <f aca="false">F1072/149.4</f>
        <v>0</v>
      </c>
      <c r="H1072" s="1250"/>
      <c r="I1072" s="1246"/>
      <c r="J1072" s="1250"/>
      <c r="K1072" s="1257"/>
      <c r="L1072" s="1257"/>
      <c r="M1072" s="1257"/>
      <c r="N1072" s="1257"/>
      <c r="O1072" s="1257"/>
      <c r="P1072" s="1257"/>
      <c r="Q1072" s="1257"/>
      <c r="R1072" s="1257"/>
      <c r="S1072" s="1257"/>
    </row>
    <row r="1073" customFormat="false" ht="15" hidden="false" customHeight="false" outlineLevel="0" collapsed="false">
      <c r="A1073" s="327" t="s">
        <v>1745</v>
      </c>
      <c r="B1073" s="328" t="str">
        <f aca="false">'[7]норма времени'!B44</f>
        <v>Определение цезия -137</v>
      </c>
      <c r="C1073" s="954" t="n">
        <v>50000</v>
      </c>
      <c r="D1073" s="954" t="n">
        <v>45000</v>
      </c>
      <c r="E1073" s="954" t="n">
        <v>35000</v>
      </c>
      <c r="F1073" s="955" t="n">
        <f aca="false">C1073+D1073+E1073</f>
        <v>130000</v>
      </c>
      <c r="G1073" s="955" t="n">
        <f aca="false">F1073/149.4</f>
        <v>870.147255689424</v>
      </c>
      <c r="H1073" s="661" t="n">
        <f aca="false">G1073/60</f>
        <v>14.5024542614904</v>
      </c>
      <c r="I1073" s="660" t="n">
        <f aca="false">'[7]норма времени'!D44</f>
        <v>50</v>
      </c>
      <c r="J1073" s="661" t="n">
        <f aca="false">H1073*I1073</f>
        <v>725.12271307452</v>
      </c>
    </row>
    <row r="1074" customFormat="false" ht="15" hidden="false" customHeight="false" outlineLevel="0" collapsed="false">
      <c r="A1074" s="327" t="s">
        <v>1747</v>
      </c>
      <c r="B1074" s="328" t="str">
        <f aca="false">'[7]норма времени'!B45</f>
        <v>Определение стронций-90</v>
      </c>
      <c r="C1074" s="954" t="n">
        <v>150000</v>
      </c>
      <c r="D1074" s="954" t="n">
        <v>100000</v>
      </c>
      <c r="E1074" s="954" t="n">
        <v>70000</v>
      </c>
      <c r="F1074" s="955" t="n">
        <f aca="false">C1074+D1074+E1074</f>
        <v>320000</v>
      </c>
      <c r="G1074" s="955" t="n">
        <f aca="false">F1074/149.4</f>
        <v>2141.90093708166</v>
      </c>
      <c r="H1074" s="661" t="n">
        <f aca="false">G1074/60</f>
        <v>35.698348951361</v>
      </c>
      <c r="I1074" s="660" t="n">
        <f aca="false">'[7]норма времени'!D45</f>
        <v>50</v>
      </c>
      <c r="J1074" s="661" t="n">
        <f aca="false">H1074*I1074</f>
        <v>1784.91744756805</v>
      </c>
    </row>
    <row r="1075" s="451" customFormat="true" ht="15" hidden="false" customHeight="false" outlineLevel="0" collapsed="false">
      <c r="A1075" s="351" t="s">
        <v>1749</v>
      </c>
      <c r="B1075" s="467" t="str">
        <f aca="false">'[7]норма времени'!B46</f>
        <v>Почва</v>
      </c>
      <c r="C1075" s="1253"/>
      <c r="D1075" s="1253"/>
      <c r="E1075" s="1253"/>
      <c r="F1075" s="1254"/>
      <c r="G1075" s="955" t="n">
        <f aca="false">F1075/149.4</f>
        <v>0</v>
      </c>
      <c r="H1075" s="1250"/>
      <c r="I1075" s="1246"/>
      <c r="J1075" s="1250"/>
      <c r="K1075" s="1257"/>
      <c r="L1075" s="1257"/>
      <c r="M1075" s="1257"/>
      <c r="N1075" s="1257"/>
      <c r="O1075" s="1257"/>
      <c r="P1075" s="1257"/>
      <c r="Q1075" s="1257"/>
      <c r="R1075" s="1257"/>
      <c r="S1075" s="1257"/>
    </row>
    <row r="1076" customFormat="false" ht="30" hidden="false" customHeight="false" outlineLevel="0" collapsed="false">
      <c r="A1076" s="327" t="s">
        <v>1751</v>
      </c>
      <c r="B1076" s="328" t="str">
        <f aca="false">'[7]норма времени'!B47</f>
        <v>Определениеудельной активности радионуклидов ( цезия -137, калия -40, тория -232, радия -226)</v>
      </c>
      <c r="C1076" s="954" t="n">
        <v>10000</v>
      </c>
      <c r="D1076" s="954" t="n">
        <v>10000</v>
      </c>
      <c r="E1076" s="954" t="n">
        <v>5000</v>
      </c>
      <c r="F1076" s="955" t="n">
        <f aca="false">C1076+D1076+E1076</f>
        <v>25000</v>
      </c>
      <c r="G1076" s="955" t="n">
        <f aca="false">F1076/149.4</f>
        <v>167.336010709505</v>
      </c>
      <c r="H1076" s="661" t="n">
        <f aca="false">G1076/60</f>
        <v>2.78893351182508</v>
      </c>
      <c r="I1076" s="660" t="n">
        <f aca="false">'[7]норма времени'!D47</f>
        <v>50</v>
      </c>
      <c r="J1076" s="661" t="n">
        <f aca="false">H1076*I1076</f>
        <v>139.446675591254</v>
      </c>
    </row>
    <row r="1077" customFormat="false" ht="23.25" hidden="false" customHeight="true" outlineLevel="0" collapsed="false">
      <c r="A1077" s="327" t="s">
        <v>1753</v>
      </c>
      <c r="B1077" s="328" t="str">
        <f aca="false">'[7]норма времени'!B48</f>
        <v>Определение суммарной альфа-бета активности</v>
      </c>
      <c r="C1077" s="954" t="n">
        <v>35000</v>
      </c>
      <c r="D1077" s="954" t="n">
        <v>30000</v>
      </c>
      <c r="E1077" s="954" t="n">
        <v>25000</v>
      </c>
      <c r="F1077" s="955" t="n">
        <f aca="false">C1077+D1077+E1077</f>
        <v>90000</v>
      </c>
      <c r="G1077" s="955" t="n">
        <f aca="false">F1077/149.4</f>
        <v>602.409638554217</v>
      </c>
      <c r="H1077" s="661" t="n">
        <f aca="false">G1077/60</f>
        <v>10.0401606425703</v>
      </c>
      <c r="I1077" s="660" t="n">
        <f aca="false">'[7]норма времени'!D48</f>
        <v>190</v>
      </c>
      <c r="J1077" s="661" t="n">
        <f aca="false">H1077*I1077</f>
        <v>1907.63052208835</v>
      </c>
    </row>
    <row r="1078" s="451" customFormat="true" ht="42.75" hidden="false" customHeight="false" outlineLevel="0" collapsed="false">
      <c r="A1078" s="351" t="s">
        <v>1754</v>
      </c>
      <c r="B1078" s="467" t="str">
        <f aca="false">'[7]норма времени'!B54</f>
        <v>Исследование воды (вода открытых источников,водоемов, подземных вод, вода из скважин, вода питьевая)</v>
      </c>
      <c r="C1078" s="1253"/>
      <c r="D1078" s="1253"/>
      <c r="E1078" s="1253"/>
      <c r="F1078" s="1254"/>
      <c r="G1078" s="955" t="n">
        <f aca="false">F1078/149.4</f>
        <v>0</v>
      </c>
      <c r="H1078" s="1250"/>
      <c r="I1078" s="1246"/>
      <c r="J1078" s="1250"/>
      <c r="K1078" s="1257"/>
      <c r="L1078" s="1257"/>
      <c r="M1078" s="1257"/>
      <c r="N1078" s="1257"/>
      <c r="O1078" s="1257"/>
      <c r="P1078" s="1257"/>
      <c r="Q1078" s="1257"/>
      <c r="R1078" s="1257"/>
      <c r="S1078" s="1257"/>
    </row>
    <row r="1079" customFormat="false" ht="30" hidden="false" customHeight="false" outlineLevel="0" collapsed="false">
      <c r="A1079" s="327" t="s">
        <v>1756</v>
      </c>
      <c r="B1079" s="328" t="str">
        <f aca="false">'[7]норма времени'!B55</f>
        <v>Определение суммарной альфа и бета активности  радионуклидов:</v>
      </c>
      <c r="C1079" s="954" t="n">
        <v>30000</v>
      </c>
      <c r="D1079" s="954" t="n">
        <v>25000</v>
      </c>
      <c r="E1079" s="954" t="n">
        <v>20000</v>
      </c>
      <c r="F1079" s="955" t="n">
        <f aca="false">C1079+D1079+E1079</f>
        <v>75000</v>
      </c>
      <c r="G1079" s="955" t="n">
        <f aca="false">F1079/149.4</f>
        <v>502.008032128514</v>
      </c>
      <c r="H1079" s="661" t="n">
        <f aca="false">G1079/60</f>
        <v>8.36680053547523</v>
      </c>
      <c r="I1079" s="660" t="n">
        <f aca="false">'[7]норма времени'!D55</f>
        <v>180</v>
      </c>
      <c r="J1079" s="661" t="n">
        <f aca="false">H1079*I1079</f>
        <v>1506.02409638554</v>
      </c>
    </row>
    <row r="1080" customFormat="false" ht="15" hidden="false" customHeight="false" outlineLevel="0" collapsed="false">
      <c r="A1080" s="327" t="s">
        <v>1758</v>
      </c>
      <c r="B1080" s="328" t="str">
        <f aca="false">'[7]норма времени'!B56</f>
        <v>Определение  цезия - 137 </v>
      </c>
      <c r="C1080" s="954" t="n">
        <v>30000</v>
      </c>
      <c r="D1080" s="954" t="n">
        <v>20000</v>
      </c>
      <c r="E1080" s="954" t="n">
        <v>20000</v>
      </c>
      <c r="F1080" s="955" t="n">
        <f aca="false">C1080+D1080+E1080</f>
        <v>70000</v>
      </c>
      <c r="G1080" s="955" t="n">
        <f aca="false">F1080/149.4</f>
        <v>468.540829986613</v>
      </c>
      <c r="H1080" s="661" t="n">
        <f aca="false">G1080/60</f>
        <v>7.80901383311022</v>
      </c>
      <c r="I1080" s="660" t="n">
        <f aca="false">'норма времени'!D1084</f>
        <v>570</v>
      </c>
      <c r="J1080" s="661" t="n">
        <f aca="false">H1080*I1080</f>
        <v>4451.13788487282</v>
      </c>
    </row>
    <row r="1081" customFormat="false" ht="15" hidden="false" customHeight="false" outlineLevel="0" collapsed="false">
      <c r="A1081" s="327" t="s">
        <v>1759</v>
      </c>
      <c r="B1081" s="328" t="str">
        <f aca="false">'[7]норма времени'!B57</f>
        <v>Определение стронция -90 </v>
      </c>
      <c r="C1081" s="954" t="n">
        <v>25000</v>
      </c>
      <c r="D1081" s="954" t="n">
        <v>15000</v>
      </c>
      <c r="E1081" s="954" t="n">
        <v>15000</v>
      </c>
      <c r="F1081" s="955" t="n">
        <f aca="false">C1081+D1081+E1081</f>
        <v>55000</v>
      </c>
      <c r="G1081" s="955" t="n">
        <f aca="false">F1081/149.4</f>
        <v>368.13922356091</v>
      </c>
      <c r="H1081" s="661" t="n">
        <f aca="false">G1081/60</f>
        <v>6.13565372601517</v>
      </c>
      <c r="I1081" s="660" t="n">
        <f aca="false">'норма времени'!D1085</f>
        <v>750</v>
      </c>
      <c r="J1081" s="661" t="n">
        <f aca="false">H1081*I1081</f>
        <v>4601.74029451138</v>
      </c>
    </row>
    <row r="1082" customFormat="false" ht="30" hidden="false" customHeight="false" outlineLevel="0" collapsed="false">
      <c r="A1082" s="327" t="s">
        <v>1760</v>
      </c>
      <c r="B1082" s="328" t="str">
        <f aca="false">'[7]норма времени'!B59</f>
        <v>Определение  тория 232, фотоколориметрическим методом</v>
      </c>
      <c r="C1082" s="954" t="n">
        <v>40000</v>
      </c>
      <c r="D1082" s="954" t="n">
        <v>30000</v>
      </c>
      <c r="E1082" s="954" t="n">
        <v>25000</v>
      </c>
      <c r="F1082" s="955" t="n">
        <f aca="false">C1082+D1082+E1082</f>
        <v>95000</v>
      </c>
      <c r="G1082" s="955" t="n">
        <f aca="false">F1082/149.4</f>
        <v>635.876840696118</v>
      </c>
      <c r="H1082" s="661" t="n">
        <f aca="false">G1082/60</f>
        <v>10.5979473449353</v>
      </c>
      <c r="I1082" s="660" t="n">
        <f aca="false">'[7]норма времени'!D59</f>
        <v>180</v>
      </c>
      <c r="J1082" s="661" t="n">
        <f aca="false">H1082*I1082</f>
        <v>1907.63052208835</v>
      </c>
    </row>
    <row r="1083" customFormat="false" ht="15" hidden="false" customHeight="false" outlineLevel="0" collapsed="false">
      <c r="A1083" s="327" t="s">
        <v>1762</v>
      </c>
      <c r="B1083" s="328" t="str">
        <f aca="false">'[7]норма времени'!B60</f>
        <v>Определение радия (226) </v>
      </c>
      <c r="C1083" s="954" t="n">
        <v>20000</v>
      </c>
      <c r="D1083" s="954" t="n">
        <v>15000</v>
      </c>
      <c r="E1083" s="954" t="n">
        <v>15000</v>
      </c>
      <c r="F1083" s="955" t="n">
        <f aca="false">C1083+D1083+E1083</f>
        <v>50000</v>
      </c>
      <c r="G1083" s="955" t="n">
        <f aca="false">F1083/149.4</f>
        <v>334.672021419009</v>
      </c>
      <c r="H1083" s="661" t="n">
        <f aca="false">G1083/60</f>
        <v>5.57786702365016</v>
      </c>
      <c r="I1083" s="660" t="n">
        <f aca="false">'норма времени'!D1087</f>
        <v>550</v>
      </c>
      <c r="J1083" s="661" t="n">
        <f aca="false">H1083*I1083</f>
        <v>3067.82686300759</v>
      </c>
    </row>
    <row r="1084" customFormat="false" ht="15" hidden="false" customHeight="false" outlineLevel="0" collapsed="false">
      <c r="A1084" s="327" t="s">
        <v>1764</v>
      </c>
      <c r="B1084" s="328" t="str">
        <f aca="false">'[7]норма времени'!B61</f>
        <v>Определение радия (228) </v>
      </c>
      <c r="C1084" s="954" t="n">
        <v>20000</v>
      </c>
      <c r="D1084" s="954" t="n">
        <v>15000</v>
      </c>
      <c r="E1084" s="954" t="n">
        <v>15000</v>
      </c>
      <c r="F1084" s="955" t="n">
        <f aca="false">C1084+D1084+E1084</f>
        <v>50000</v>
      </c>
      <c r="G1084" s="955" t="n">
        <f aca="false">F1084/149.4</f>
        <v>334.672021419009</v>
      </c>
      <c r="H1084" s="661" t="n">
        <f aca="false">G1084/60</f>
        <v>5.57786702365016</v>
      </c>
      <c r="I1084" s="660" t="n">
        <f aca="false">'норма времени'!D1088</f>
        <v>550</v>
      </c>
      <c r="J1084" s="661" t="n">
        <f aca="false">H1084*I1084</f>
        <v>3067.82686300759</v>
      </c>
    </row>
    <row r="1085" customFormat="false" ht="30" hidden="false" customHeight="false" outlineLevel="0" collapsed="false">
      <c r="A1085" s="327" t="s">
        <v>1766</v>
      </c>
      <c r="B1085" s="328" t="str">
        <f aca="false">'[7]норма времени'!B63</f>
        <v>Определение содерджания: Урана (фотоколориметрическим методом )</v>
      </c>
      <c r="C1085" s="954" t="n">
        <v>60000</v>
      </c>
      <c r="D1085" s="954" t="n">
        <v>50000</v>
      </c>
      <c r="E1085" s="954" t="n">
        <v>45000</v>
      </c>
      <c r="F1085" s="955" t="n">
        <f aca="false">C1085+D1085+E1085</f>
        <v>155000</v>
      </c>
      <c r="G1085" s="955" t="n">
        <f aca="false">F1085/149.4</f>
        <v>1037.48326639893</v>
      </c>
      <c r="H1085" s="661" t="n">
        <f aca="false">G1085/60</f>
        <v>17.2913877733155</v>
      </c>
      <c r="I1085" s="660" t="n">
        <f aca="false">'[7]норма времени'!D63</f>
        <v>150</v>
      </c>
      <c r="J1085" s="661" t="n">
        <f aca="false">H1085*I1085</f>
        <v>2593.70816599732</v>
      </c>
    </row>
    <row r="1086" customFormat="false" ht="15" hidden="false" customHeight="false" outlineLevel="0" collapsed="false">
      <c r="A1086" s="327" t="s">
        <v>1768</v>
      </c>
      <c r="B1086" s="328" t="str">
        <f aca="false">'[7]норма времени'!B64</f>
        <v>Определение удельной активности  полония-210 </v>
      </c>
      <c r="C1086" s="954" t="n">
        <v>40000</v>
      </c>
      <c r="D1086" s="954" t="n">
        <v>35000</v>
      </c>
      <c r="E1086" s="954" t="n">
        <v>25000</v>
      </c>
      <c r="F1086" s="955" t="n">
        <f aca="false">C1086+D1086+E1086</f>
        <v>100000</v>
      </c>
      <c r="G1086" s="955" t="n">
        <f aca="false">F1086/149.4</f>
        <v>669.344042838019</v>
      </c>
      <c r="H1086" s="661" t="n">
        <f aca="false">G1086/60</f>
        <v>11.1557340473003</v>
      </c>
      <c r="I1086" s="660" t="n">
        <f aca="false">'[7]норма времени'!D64</f>
        <v>650</v>
      </c>
      <c r="J1086" s="661" t="n">
        <f aca="false">H1086*I1086</f>
        <v>7251.2271307452</v>
      </c>
    </row>
    <row r="1087" customFormat="false" ht="15" hidden="false" customHeight="false" outlineLevel="0" collapsed="false">
      <c r="A1087" s="327" t="s">
        <v>1770</v>
      </c>
      <c r="B1087" s="328" t="str">
        <f aca="false">'[7]норма времени'!B65</f>
        <v>Определение удельной активности  свинца210 </v>
      </c>
      <c r="C1087" s="954" t="n">
        <v>22500</v>
      </c>
      <c r="D1087" s="954" t="n">
        <v>20000</v>
      </c>
      <c r="E1087" s="954" t="n">
        <v>15000</v>
      </c>
      <c r="F1087" s="955" t="n">
        <f aca="false">C1087+D1087+E1087</f>
        <v>57500</v>
      </c>
      <c r="G1087" s="955" t="n">
        <f aca="false">F1087/149.4</f>
        <v>384.872824631861</v>
      </c>
      <c r="H1087" s="661" t="n">
        <f aca="false">G1087/60</f>
        <v>6.41454707719768</v>
      </c>
      <c r="I1087" s="660" t="n">
        <f aca="false">'норма времени'!D1091</f>
        <v>540</v>
      </c>
      <c r="J1087" s="661" t="n">
        <f aca="false">H1087*I1087</f>
        <v>3463.85542168675</v>
      </c>
    </row>
    <row r="1088" customFormat="false" ht="15" hidden="false" customHeight="false" outlineLevel="0" collapsed="false">
      <c r="A1088" s="327" t="s">
        <v>1772</v>
      </c>
      <c r="B1088" s="328" t="str">
        <f aca="false">'[7]норма времени'!B66</f>
        <v>измерение радона </v>
      </c>
      <c r="C1088" s="954" t="n">
        <v>15000</v>
      </c>
      <c r="D1088" s="954" t="n">
        <v>10000</v>
      </c>
      <c r="E1088" s="954" t="n">
        <v>5000</v>
      </c>
      <c r="F1088" s="955" t="n">
        <f aca="false">C1088+D1088+E1088</f>
        <v>30000</v>
      </c>
      <c r="G1088" s="955" t="n">
        <f aca="false">F1088/149.4</f>
        <v>200.803212851406</v>
      </c>
      <c r="H1088" s="661" t="n">
        <f aca="false">G1088/60</f>
        <v>3.34672021419009</v>
      </c>
      <c r="I1088" s="660" t="n">
        <f aca="false">'[7]норма времени'!D66</f>
        <v>55</v>
      </c>
      <c r="J1088" s="661" t="n">
        <f aca="false">H1088*I1088</f>
        <v>184.069611780455</v>
      </c>
    </row>
    <row r="1089" s="451" customFormat="true" ht="19.5" hidden="false" customHeight="true" outlineLevel="0" collapsed="false">
      <c r="A1089" s="350" t="s">
        <v>1774</v>
      </c>
      <c r="B1089" s="467" t="str">
        <f aca="false">'[7]норма времени'!B71</f>
        <v>Определение доз облучения персонала </v>
      </c>
      <c r="C1089" s="1253"/>
      <c r="D1089" s="1253"/>
      <c r="E1089" s="1253"/>
      <c r="F1089" s="1254"/>
      <c r="G1089" s="1254"/>
      <c r="H1089" s="1250"/>
      <c r="I1089" s="1246"/>
      <c r="J1089" s="1250"/>
      <c r="K1089" s="1257"/>
      <c r="L1089" s="1257"/>
      <c r="M1089" s="1257"/>
      <c r="N1089" s="1257"/>
      <c r="O1089" s="1257"/>
      <c r="P1089" s="1257"/>
      <c r="Q1089" s="1257"/>
      <c r="R1089" s="1257"/>
      <c r="S1089" s="1257"/>
    </row>
    <row r="1090" s="1271" customFormat="true" ht="25.5" hidden="false" customHeight="true" outlineLevel="0" collapsed="false">
      <c r="A1090" s="352" t="s">
        <v>1776</v>
      </c>
      <c r="B1090" s="1266" t="str">
        <f aca="false">'[7]норма времени'!B72</f>
        <v>Измерение индивидуальной дозы облучения персонала</v>
      </c>
      <c r="C1090" s="1258" t="n">
        <v>10000</v>
      </c>
      <c r="D1090" s="1258" t="n">
        <v>9000</v>
      </c>
      <c r="E1090" s="1258" t="n">
        <v>5650</v>
      </c>
      <c r="F1090" s="1267" t="n">
        <f aca="false">C1090+D1090+E1090</f>
        <v>24650</v>
      </c>
      <c r="G1090" s="1267" t="n">
        <f aca="false">F1090/149.4</f>
        <v>164.993306559572</v>
      </c>
      <c r="H1090" s="1268" t="n">
        <f aca="false">G1090/60</f>
        <v>2.74988844265953</v>
      </c>
      <c r="I1090" s="1269" t="n">
        <f aca="false">'норма времени'!D1094</f>
        <v>125</v>
      </c>
      <c r="J1090" s="1268" t="n">
        <f aca="false">H1090*I1090</f>
        <v>343.736055332441</v>
      </c>
      <c r="K1090" s="1270"/>
      <c r="L1090" s="1270"/>
      <c r="M1090" s="1270"/>
      <c r="N1090" s="1270"/>
      <c r="O1090" s="1270"/>
      <c r="P1090" s="1270"/>
      <c r="Q1090" s="1270"/>
      <c r="R1090" s="1270"/>
      <c r="S1090" s="1270"/>
    </row>
    <row r="1091" s="451" customFormat="true" ht="15" hidden="false" customHeight="false" outlineLevel="0" collapsed="false">
      <c r="A1091" s="350" t="s">
        <v>1778</v>
      </c>
      <c r="B1091" s="467" t="str">
        <f aca="false">'[7]норма времени'!B80</f>
        <v>Пищевые продукты</v>
      </c>
      <c r="C1091" s="1253"/>
      <c r="D1091" s="1253"/>
      <c r="E1091" s="1253"/>
      <c r="F1091" s="1254"/>
      <c r="G1091" s="1254"/>
      <c r="H1091" s="1250"/>
      <c r="I1091" s="1246"/>
      <c r="J1091" s="1250"/>
      <c r="K1091" s="1257"/>
      <c r="L1091" s="1257"/>
      <c r="M1091" s="1257"/>
      <c r="N1091" s="1257"/>
      <c r="O1091" s="1257"/>
      <c r="P1091" s="1257"/>
      <c r="Q1091" s="1257"/>
      <c r="R1091" s="1257"/>
      <c r="S1091" s="1257"/>
    </row>
    <row r="1092" customFormat="false" ht="15" hidden="false" customHeight="false" outlineLevel="0" collapsed="false">
      <c r="A1092" s="327" t="s">
        <v>1780</v>
      </c>
      <c r="B1092" s="328" t="str">
        <f aca="false">'[7]норма времени'!B81</f>
        <v>определения факта облучения пищевых продуктов</v>
      </c>
      <c r="C1092" s="954" t="n">
        <v>45000</v>
      </c>
      <c r="D1092" s="954" t="n">
        <v>40000</v>
      </c>
      <c r="E1092" s="954" t="n">
        <v>30000</v>
      </c>
      <c r="F1092" s="955" t="n">
        <f aca="false">C1092+D1092+E1092</f>
        <v>115000</v>
      </c>
      <c r="G1092" s="955" t="n">
        <f aca="false">F1092/149.4</f>
        <v>769.745649263722</v>
      </c>
      <c r="H1092" s="661" t="n">
        <f aca="false">G1092/60</f>
        <v>12.8290941543954</v>
      </c>
      <c r="I1092" s="660" t="n">
        <f aca="false">'[7]норма времени'!D81</f>
        <v>80</v>
      </c>
      <c r="J1092" s="661" t="n">
        <f aca="false">H1092*I1092</f>
        <v>1026.32753235163</v>
      </c>
    </row>
    <row r="1093" customFormat="false" ht="33" hidden="false" customHeight="true" outlineLevel="0" collapsed="false">
      <c r="A1093" s="356" t="s">
        <v>1782</v>
      </c>
      <c r="B1093" s="357" t="s">
        <v>3628</v>
      </c>
      <c r="C1093" s="1261"/>
      <c r="D1093" s="1261"/>
      <c r="E1093" s="1261"/>
      <c r="F1093" s="1262"/>
      <c r="G1093" s="1262"/>
      <c r="H1093" s="1263"/>
      <c r="I1093" s="1264"/>
      <c r="J1093" s="1263"/>
    </row>
    <row r="1094" s="451" customFormat="true" ht="15" hidden="false" customHeight="false" outlineLevel="0" collapsed="false">
      <c r="A1094" s="350" t="s">
        <v>1784</v>
      </c>
      <c r="B1094" s="509" t="s">
        <v>3629</v>
      </c>
      <c r="C1094" s="1253"/>
      <c r="D1094" s="1253"/>
      <c r="E1094" s="1253"/>
      <c r="F1094" s="1254"/>
      <c r="G1094" s="1254"/>
      <c r="H1094" s="1250"/>
      <c r="I1094" s="1246"/>
      <c r="J1094" s="1250"/>
      <c r="K1094" s="1257"/>
      <c r="L1094" s="1257"/>
      <c r="M1094" s="1257"/>
      <c r="N1094" s="1257"/>
      <c r="O1094" s="1257"/>
      <c r="P1094" s="1257"/>
      <c r="Q1094" s="1257"/>
      <c r="R1094" s="1257"/>
      <c r="S1094" s="1257"/>
    </row>
    <row r="1095" customFormat="false" ht="30" hidden="false" customHeight="false" outlineLevel="0" collapsed="false">
      <c r="A1095" s="327" t="s">
        <v>1786</v>
      </c>
      <c r="B1095" s="500" t="s">
        <v>3630</v>
      </c>
      <c r="C1095" s="954" t="n">
        <v>30000</v>
      </c>
      <c r="D1095" s="954" t="n">
        <v>25000</v>
      </c>
      <c r="E1095" s="954" t="n">
        <v>20000</v>
      </c>
      <c r="F1095" s="955" t="n">
        <f aca="false">C1095+D1095+E1095</f>
        <v>75000</v>
      </c>
      <c r="G1095" s="955" t="n">
        <f aca="false">F1095/149.4</f>
        <v>502.008032128514</v>
      </c>
      <c r="H1095" s="661" t="n">
        <f aca="false">G1095/60</f>
        <v>8.36680053547523</v>
      </c>
      <c r="I1095" s="660" t="n">
        <f aca="false">'норма времени'!D1099</f>
        <v>30</v>
      </c>
      <c r="J1095" s="661" t="n">
        <f aca="false">H1095*I1095</f>
        <v>251.004016064257</v>
      </c>
    </row>
    <row r="1096" customFormat="false" ht="30" hidden="false" customHeight="false" outlineLevel="0" collapsed="false">
      <c r="A1096" s="327" t="s">
        <v>1788</v>
      </c>
      <c r="B1096" s="500" t="s">
        <v>3631</v>
      </c>
      <c r="C1096" s="954" t="n">
        <v>30000</v>
      </c>
      <c r="D1096" s="954" t="n">
        <v>25000</v>
      </c>
      <c r="E1096" s="954" t="n">
        <v>20000</v>
      </c>
      <c r="F1096" s="955" t="n">
        <f aca="false">C1096+D1096+E1096</f>
        <v>75000</v>
      </c>
      <c r="G1096" s="955" t="n">
        <f aca="false">F1096/149.4</f>
        <v>502.008032128514</v>
      </c>
      <c r="H1096" s="661" t="n">
        <f aca="false">G1096/60</f>
        <v>8.36680053547523</v>
      </c>
      <c r="I1096" s="660" t="n">
        <f aca="false">'норма времени'!D1100</f>
        <v>40</v>
      </c>
      <c r="J1096" s="661" t="n">
        <f aca="false">H1096*I1096</f>
        <v>334.672021419009</v>
      </c>
    </row>
    <row r="1097" customFormat="false" ht="30" hidden="false" customHeight="false" outlineLevel="0" collapsed="false">
      <c r="A1097" s="327" t="s">
        <v>1790</v>
      </c>
      <c r="B1097" s="522" t="s">
        <v>3632</v>
      </c>
      <c r="C1097" s="954" t="n">
        <v>30000</v>
      </c>
      <c r="D1097" s="954" t="n">
        <v>25000</v>
      </c>
      <c r="E1097" s="954" t="n">
        <v>20000</v>
      </c>
      <c r="F1097" s="955" t="n">
        <f aca="false">C1097+D1097+E1097</f>
        <v>75000</v>
      </c>
      <c r="G1097" s="955" t="n">
        <f aca="false">F1097/149.4</f>
        <v>502.008032128514</v>
      </c>
      <c r="H1097" s="661" t="n">
        <f aca="false">G1097/60</f>
        <v>8.36680053547523</v>
      </c>
      <c r="I1097" s="660" t="n">
        <f aca="false">'норма времени'!D1101</f>
        <v>36</v>
      </c>
      <c r="J1097" s="661" t="n">
        <f aca="false">H1097*I1097</f>
        <v>301.204819277108</v>
      </c>
    </row>
    <row r="1098" customFormat="false" ht="30" hidden="false" customHeight="false" outlineLevel="0" collapsed="false">
      <c r="A1098" s="327" t="s">
        <v>1792</v>
      </c>
      <c r="B1098" s="522" t="s">
        <v>3633</v>
      </c>
      <c r="C1098" s="954" t="n">
        <v>30000</v>
      </c>
      <c r="D1098" s="954" t="n">
        <v>25000</v>
      </c>
      <c r="E1098" s="954" t="n">
        <v>20000</v>
      </c>
      <c r="F1098" s="955" t="n">
        <f aca="false">C1098+D1098+E1098</f>
        <v>75000</v>
      </c>
      <c r="G1098" s="955" t="n">
        <f aca="false">F1098/149.4</f>
        <v>502.008032128514</v>
      </c>
      <c r="H1098" s="661" t="n">
        <f aca="false">G1098/60</f>
        <v>8.36680053547523</v>
      </c>
      <c r="I1098" s="660" t="n">
        <f aca="false">'норма времени'!D1102</f>
        <v>30</v>
      </c>
      <c r="J1098" s="661" t="n">
        <f aca="false">H1098*I1098</f>
        <v>251.004016064257</v>
      </c>
    </row>
    <row r="1099" customFormat="false" ht="30" hidden="false" customHeight="false" outlineLevel="0" collapsed="false">
      <c r="A1099" s="327" t="s">
        <v>1794</v>
      </c>
      <c r="B1099" s="488" t="s">
        <v>3634</v>
      </c>
      <c r="C1099" s="954" t="n">
        <v>30000</v>
      </c>
      <c r="D1099" s="954" t="n">
        <v>25000</v>
      </c>
      <c r="E1099" s="954" t="n">
        <v>20000</v>
      </c>
      <c r="F1099" s="955" t="n">
        <f aca="false">C1099+D1099+E1099</f>
        <v>75000</v>
      </c>
      <c r="G1099" s="955" t="n">
        <f aca="false">F1099/149.4</f>
        <v>502.008032128514</v>
      </c>
      <c r="H1099" s="661" t="n">
        <f aca="false">G1099/60</f>
        <v>8.36680053547523</v>
      </c>
      <c r="I1099" s="660" t="n">
        <f aca="false">'норма времени'!D1103</f>
        <v>34</v>
      </c>
      <c r="J1099" s="661" t="n">
        <f aca="false">H1099*I1099</f>
        <v>284.471218206158</v>
      </c>
    </row>
    <row r="1100" customFormat="false" ht="30" hidden="false" customHeight="false" outlineLevel="0" collapsed="false">
      <c r="A1100" s="327" t="s">
        <v>1796</v>
      </c>
      <c r="B1100" s="522" t="s">
        <v>3635</v>
      </c>
      <c r="C1100" s="954" t="n">
        <v>30000</v>
      </c>
      <c r="D1100" s="954" t="n">
        <v>25000</v>
      </c>
      <c r="E1100" s="954" t="n">
        <v>20000</v>
      </c>
      <c r="F1100" s="955" t="n">
        <f aca="false">C1100+D1100+E1100</f>
        <v>75000</v>
      </c>
      <c r="G1100" s="955" t="n">
        <f aca="false">F1100/149.4</f>
        <v>502.008032128514</v>
      </c>
      <c r="H1100" s="661" t="n">
        <f aca="false">G1100/60</f>
        <v>8.36680053547523</v>
      </c>
      <c r="I1100" s="660" t="n">
        <f aca="false">'норма времени'!D1104</f>
        <v>51</v>
      </c>
      <c r="J1100" s="661" t="n">
        <f aca="false">H1100*I1100</f>
        <v>426.706827309237</v>
      </c>
    </row>
    <row r="1101" customFormat="false" ht="30" hidden="false" customHeight="false" outlineLevel="0" collapsed="false">
      <c r="A1101" s="327" t="s">
        <v>1798</v>
      </c>
      <c r="B1101" s="522" t="s">
        <v>3636</v>
      </c>
      <c r="C1101" s="954" t="n">
        <v>30000</v>
      </c>
      <c r="D1101" s="954" t="n">
        <v>25000</v>
      </c>
      <c r="E1101" s="954" t="n">
        <v>20000</v>
      </c>
      <c r="F1101" s="955" t="n">
        <f aca="false">C1101+D1101+E1101</f>
        <v>75000</v>
      </c>
      <c r="G1101" s="955" t="n">
        <f aca="false">F1101/149.4</f>
        <v>502.008032128514</v>
      </c>
      <c r="H1101" s="661" t="n">
        <f aca="false">G1101/60</f>
        <v>8.36680053547523</v>
      </c>
      <c r="I1101" s="660" t="n">
        <f aca="false">'норма времени'!D1105</f>
        <v>30</v>
      </c>
      <c r="J1101" s="661" t="n">
        <f aca="false">H1101*I1101</f>
        <v>251.004016064257</v>
      </c>
    </row>
    <row r="1102" customFormat="false" ht="30" hidden="false" customHeight="false" outlineLevel="0" collapsed="false">
      <c r="A1102" s="327" t="s">
        <v>1800</v>
      </c>
      <c r="B1102" s="522" t="s">
        <v>3637</v>
      </c>
      <c r="C1102" s="954" t="n">
        <v>30000</v>
      </c>
      <c r="D1102" s="954" t="n">
        <v>25000</v>
      </c>
      <c r="E1102" s="954" t="n">
        <v>20000</v>
      </c>
      <c r="F1102" s="955" t="n">
        <f aca="false">C1102+D1102+E1102</f>
        <v>75000</v>
      </c>
      <c r="G1102" s="955" t="n">
        <f aca="false">F1102/149.4</f>
        <v>502.008032128514</v>
      </c>
      <c r="H1102" s="661" t="n">
        <f aca="false">G1102/60</f>
        <v>8.36680053547523</v>
      </c>
      <c r="I1102" s="660" t="n">
        <f aca="false">'норма времени'!D1106</f>
        <v>30</v>
      </c>
      <c r="J1102" s="661" t="n">
        <f aca="false">H1102*I1102</f>
        <v>251.004016064257</v>
      </c>
    </row>
    <row r="1103" customFormat="false" ht="19.5" hidden="false" customHeight="true" outlineLevel="0" collapsed="false">
      <c r="A1103" s="327" t="s">
        <v>1802</v>
      </c>
      <c r="B1103" s="522" t="s">
        <v>3638</v>
      </c>
      <c r="C1103" s="954" t="n">
        <v>30000</v>
      </c>
      <c r="D1103" s="954" t="n">
        <v>25000</v>
      </c>
      <c r="E1103" s="954" t="n">
        <v>20000</v>
      </c>
      <c r="F1103" s="955" t="n">
        <f aca="false">C1103+D1103+E1103</f>
        <v>75000</v>
      </c>
      <c r="G1103" s="955" t="n">
        <f aca="false">F1103/149.4</f>
        <v>502.008032128514</v>
      </c>
      <c r="H1103" s="661" t="n">
        <f aca="false">G1103/60</f>
        <v>8.36680053547523</v>
      </c>
      <c r="I1103" s="660" t="n">
        <f aca="false">'норма времени'!D1107</f>
        <v>40</v>
      </c>
      <c r="J1103" s="661" t="n">
        <f aca="false">H1103*I1103</f>
        <v>334.672021419009</v>
      </c>
    </row>
    <row r="1104" customFormat="false" ht="30" hidden="false" customHeight="false" outlineLevel="0" collapsed="false">
      <c r="A1104" s="327" t="s">
        <v>1804</v>
      </c>
      <c r="B1104" s="522" t="s">
        <v>3639</v>
      </c>
      <c r="C1104" s="954" t="n">
        <v>30000</v>
      </c>
      <c r="D1104" s="954" t="n">
        <v>25000</v>
      </c>
      <c r="E1104" s="954" t="n">
        <v>20000</v>
      </c>
      <c r="F1104" s="955" t="n">
        <f aca="false">C1104+D1104+E1104</f>
        <v>75000</v>
      </c>
      <c r="G1104" s="955" t="n">
        <f aca="false">F1104/149.4</f>
        <v>502.008032128514</v>
      </c>
      <c r="H1104" s="661" t="n">
        <f aca="false">G1104/60</f>
        <v>8.36680053547523</v>
      </c>
      <c r="I1104" s="660" t="n">
        <f aca="false">'норма времени'!D1108</f>
        <v>78</v>
      </c>
      <c r="J1104" s="661" t="n">
        <f aca="false">H1104*I1104</f>
        <v>652.610441767068</v>
      </c>
    </row>
    <row r="1105" customFormat="false" ht="30" hidden="false" customHeight="false" outlineLevel="0" collapsed="false">
      <c r="A1105" s="327" t="s">
        <v>1806</v>
      </c>
      <c r="B1105" s="522" t="s">
        <v>3640</v>
      </c>
      <c r="C1105" s="954" t="n">
        <v>30000</v>
      </c>
      <c r="D1105" s="954" t="n">
        <v>25000</v>
      </c>
      <c r="E1105" s="954" t="n">
        <v>20000</v>
      </c>
      <c r="F1105" s="955" t="n">
        <f aca="false">C1105+D1105+E1105</f>
        <v>75000</v>
      </c>
      <c r="G1105" s="955" t="n">
        <f aca="false">F1105/149.4</f>
        <v>502.008032128514</v>
      </c>
      <c r="H1105" s="661" t="n">
        <f aca="false">G1105/60</f>
        <v>8.36680053547523</v>
      </c>
      <c r="I1105" s="660" t="n">
        <f aca="false">'норма времени'!D1109</f>
        <v>50</v>
      </c>
      <c r="J1105" s="661" t="n">
        <f aca="false">H1105*I1105</f>
        <v>418.340026773762</v>
      </c>
    </row>
    <row r="1106" customFormat="false" ht="30" hidden="false" customHeight="false" outlineLevel="0" collapsed="false">
      <c r="A1106" s="327" t="s">
        <v>1808</v>
      </c>
      <c r="B1106" s="522" t="s">
        <v>3641</v>
      </c>
      <c r="C1106" s="954" t="n">
        <v>30000</v>
      </c>
      <c r="D1106" s="954" t="n">
        <v>25000</v>
      </c>
      <c r="E1106" s="954" t="n">
        <v>20000</v>
      </c>
      <c r="F1106" s="955" t="n">
        <f aca="false">C1106+D1106+E1106</f>
        <v>75000</v>
      </c>
      <c r="G1106" s="955" t="n">
        <f aca="false">F1106/149.4</f>
        <v>502.008032128514</v>
      </c>
      <c r="H1106" s="661" t="n">
        <f aca="false">G1106/60</f>
        <v>8.36680053547523</v>
      </c>
      <c r="I1106" s="660" t="n">
        <f aca="false">'норма времени'!D1110</f>
        <v>34</v>
      </c>
      <c r="J1106" s="661" t="n">
        <f aca="false">H1106*I1106</f>
        <v>284.471218206158</v>
      </c>
    </row>
    <row r="1107" customFormat="false" ht="30" hidden="false" customHeight="false" outlineLevel="0" collapsed="false">
      <c r="A1107" s="327" t="s">
        <v>1810</v>
      </c>
      <c r="B1107" s="522" t="s">
        <v>3642</v>
      </c>
      <c r="C1107" s="954" t="n">
        <v>30000</v>
      </c>
      <c r="D1107" s="954" t="n">
        <v>25000</v>
      </c>
      <c r="E1107" s="954" t="n">
        <v>20000</v>
      </c>
      <c r="F1107" s="955" t="n">
        <f aca="false">C1107+D1107+E1107</f>
        <v>75000</v>
      </c>
      <c r="G1107" s="955" t="n">
        <f aca="false">F1107/149.4</f>
        <v>502.008032128514</v>
      </c>
      <c r="H1107" s="661" t="n">
        <f aca="false">G1107/60</f>
        <v>8.36680053547523</v>
      </c>
      <c r="I1107" s="660" t="n">
        <f aca="false">'норма времени'!D1111</f>
        <v>40</v>
      </c>
      <c r="J1107" s="661" t="n">
        <f aca="false">H1107*I1107</f>
        <v>334.672021419009</v>
      </c>
    </row>
    <row r="1108" customFormat="false" ht="30" hidden="false" customHeight="false" outlineLevel="0" collapsed="false">
      <c r="A1108" s="327" t="s">
        <v>1812</v>
      </c>
      <c r="B1108" s="522" t="s">
        <v>3643</v>
      </c>
      <c r="C1108" s="954" t="n">
        <v>30000</v>
      </c>
      <c r="D1108" s="954" t="n">
        <v>25000</v>
      </c>
      <c r="E1108" s="954" t="n">
        <v>20000</v>
      </c>
      <c r="F1108" s="955" t="n">
        <f aca="false">C1108+D1108+E1108</f>
        <v>75000</v>
      </c>
      <c r="G1108" s="955" t="n">
        <f aca="false">F1108/149.4</f>
        <v>502.008032128514</v>
      </c>
      <c r="H1108" s="661" t="n">
        <f aca="false">G1108/60</f>
        <v>8.36680053547523</v>
      </c>
      <c r="I1108" s="660" t="n">
        <f aca="false">'норма времени'!D1112</f>
        <v>50</v>
      </c>
      <c r="J1108" s="661" t="n">
        <f aca="false">H1108*I1108</f>
        <v>418.340026773762</v>
      </c>
    </row>
    <row r="1109" customFormat="false" ht="30" hidden="false" customHeight="false" outlineLevel="0" collapsed="false">
      <c r="A1109" s="327" t="s">
        <v>1814</v>
      </c>
      <c r="B1109" s="522" t="s">
        <v>3644</v>
      </c>
      <c r="C1109" s="954" t="n">
        <v>30000</v>
      </c>
      <c r="D1109" s="954" t="n">
        <v>25000</v>
      </c>
      <c r="E1109" s="954" t="n">
        <v>20000</v>
      </c>
      <c r="F1109" s="955" t="n">
        <f aca="false">C1109+D1109+E1109</f>
        <v>75000</v>
      </c>
      <c r="G1109" s="955" t="n">
        <f aca="false">F1109/149.4</f>
        <v>502.008032128514</v>
      </c>
      <c r="H1109" s="661" t="n">
        <f aca="false">G1109/60</f>
        <v>8.36680053547523</v>
      </c>
      <c r="I1109" s="660" t="n">
        <f aca="false">'норма времени'!D1113</f>
        <v>40</v>
      </c>
      <c r="J1109" s="661" t="n">
        <f aca="false">H1109*I1109</f>
        <v>334.672021419009</v>
      </c>
    </row>
    <row r="1110" customFormat="false" ht="30" hidden="false" customHeight="false" outlineLevel="0" collapsed="false">
      <c r="A1110" s="327" t="s">
        <v>1816</v>
      </c>
      <c r="B1110" s="522" t="s">
        <v>3645</v>
      </c>
      <c r="C1110" s="954" t="n">
        <v>30000</v>
      </c>
      <c r="D1110" s="954" t="n">
        <v>25000</v>
      </c>
      <c r="E1110" s="954" t="n">
        <v>20000</v>
      </c>
      <c r="F1110" s="955" t="n">
        <f aca="false">C1110+D1110+E1110</f>
        <v>75000</v>
      </c>
      <c r="G1110" s="955" t="n">
        <f aca="false">F1110/149.4</f>
        <v>502.008032128514</v>
      </c>
      <c r="H1110" s="661" t="n">
        <f aca="false">G1110/60</f>
        <v>8.36680053547523</v>
      </c>
      <c r="I1110" s="660" t="n">
        <f aca="false">'норма времени'!D1114</f>
        <v>50</v>
      </c>
      <c r="J1110" s="661" t="n">
        <f aca="false">H1110*I1110</f>
        <v>418.340026773762</v>
      </c>
    </row>
    <row r="1111" customFormat="false" ht="15" hidden="false" customHeight="false" outlineLevel="0" collapsed="false">
      <c r="A1111" s="327" t="s">
        <v>1818</v>
      </c>
      <c r="B1111" s="522" t="s">
        <v>3646</v>
      </c>
      <c r="C1111" s="954" t="n">
        <v>30000</v>
      </c>
      <c r="D1111" s="954" t="n">
        <v>25000</v>
      </c>
      <c r="E1111" s="954" t="n">
        <v>20000</v>
      </c>
      <c r="F1111" s="955" t="n">
        <f aca="false">C1111+D1111+E1111</f>
        <v>75000</v>
      </c>
      <c r="G1111" s="955" t="n">
        <f aca="false">F1111/149.4</f>
        <v>502.008032128514</v>
      </c>
      <c r="H1111" s="661" t="n">
        <f aca="false">G1111/60</f>
        <v>8.36680053547523</v>
      </c>
      <c r="I1111" s="660" t="n">
        <f aca="false">'норма времени'!D1115</f>
        <v>50</v>
      </c>
      <c r="J1111" s="661" t="n">
        <f aca="false">H1111*I1111</f>
        <v>418.340026773762</v>
      </c>
    </row>
    <row r="1112" customFormat="false" ht="30" hidden="false" customHeight="false" outlineLevel="0" collapsed="false">
      <c r="A1112" s="327" t="s">
        <v>1820</v>
      </c>
      <c r="B1112" s="522" t="s">
        <v>3647</v>
      </c>
      <c r="C1112" s="954" t="n">
        <v>30000</v>
      </c>
      <c r="D1112" s="954" t="n">
        <v>25000</v>
      </c>
      <c r="E1112" s="954" t="n">
        <v>20000</v>
      </c>
      <c r="F1112" s="955" t="n">
        <f aca="false">C1112+D1112+E1112</f>
        <v>75000</v>
      </c>
      <c r="G1112" s="955" t="n">
        <f aca="false">F1112/149.4</f>
        <v>502.008032128514</v>
      </c>
      <c r="H1112" s="661" t="n">
        <f aca="false">G1112/60</f>
        <v>8.36680053547523</v>
      </c>
      <c r="I1112" s="660" t="n">
        <f aca="false">'норма времени'!D1116</f>
        <v>70</v>
      </c>
      <c r="J1112" s="661" t="n">
        <f aca="false">H1112*I1112</f>
        <v>585.676037483266</v>
      </c>
    </row>
    <row r="1113" customFormat="false" ht="30" hidden="false" customHeight="false" outlineLevel="0" collapsed="false">
      <c r="A1113" s="327" t="s">
        <v>1822</v>
      </c>
      <c r="B1113" s="522" t="s">
        <v>3648</v>
      </c>
      <c r="C1113" s="954" t="n">
        <v>30000</v>
      </c>
      <c r="D1113" s="954" t="n">
        <v>25000</v>
      </c>
      <c r="E1113" s="954" t="n">
        <v>20000</v>
      </c>
      <c r="F1113" s="955" t="n">
        <f aca="false">C1113+D1113+E1113</f>
        <v>75000</v>
      </c>
      <c r="G1113" s="955" t="n">
        <f aca="false">F1113/149.4</f>
        <v>502.008032128514</v>
      </c>
      <c r="H1113" s="661" t="n">
        <f aca="false">G1113/60</f>
        <v>8.36680053547523</v>
      </c>
      <c r="I1113" s="660" t="n">
        <f aca="false">'норма времени'!D1117</f>
        <v>44</v>
      </c>
      <c r="J1113" s="661" t="n">
        <f aca="false">H1113*I1113</f>
        <v>368.13922356091</v>
      </c>
    </row>
    <row r="1114" customFormat="false" ht="30" hidden="false" customHeight="false" outlineLevel="0" collapsed="false">
      <c r="A1114" s="327" t="s">
        <v>1824</v>
      </c>
      <c r="B1114" s="500" t="s">
        <v>3649</v>
      </c>
      <c r="C1114" s="954" t="n">
        <v>30000</v>
      </c>
      <c r="D1114" s="954" t="n">
        <v>25000</v>
      </c>
      <c r="E1114" s="954" t="n">
        <v>20000</v>
      </c>
      <c r="F1114" s="955" t="n">
        <f aca="false">C1114+D1114+E1114</f>
        <v>75000</v>
      </c>
      <c r="G1114" s="955" t="n">
        <f aca="false">F1114/149.4</f>
        <v>502.008032128514</v>
      </c>
      <c r="H1114" s="661" t="n">
        <f aca="false">G1114/60</f>
        <v>8.36680053547523</v>
      </c>
      <c r="I1114" s="660" t="n">
        <f aca="false">'норма времени'!D1118</f>
        <v>87</v>
      </c>
      <c r="J1114" s="661" t="n">
        <f aca="false">H1114*I1114</f>
        <v>727.911646586345</v>
      </c>
    </row>
    <row r="1115" s="451" customFormat="true" ht="15" hidden="false" customHeight="false" outlineLevel="0" collapsed="false">
      <c r="A1115" s="350" t="s">
        <v>1826</v>
      </c>
      <c r="B1115" s="509" t="s">
        <v>3626</v>
      </c>
      <c r="C1115" s="1248"/>
      <c r="D1115" s="1248"/>
      <c r="E1115" s="1248"/>
      <c r="F1115" s="1249"/>
      <c r="G1115" s="1249"/>
      <c r="H1115" s="1259"/>
      <c r="I1115" s="1255"/>
      <c r="J1115" s="1259"/>
      <c r="K1115" s="1257"/>
      <c r="L1115" s="1257"/>
      <c r="M1115" s="1257"/>
      <c r="N1115" s="1257"/>
      <c r="O1115" s="1257"/>
      <c r="P1115" s="1257"/>
      <c r="Q1115" s="1257"/>
      <c r="R1115" s="1257"/>
      <c r="S1115" s="1257"/>
    </row>
    <row r="1116" customFormat="false" ht="45" hidden="false" customHeight="false" outlineLevel="0" collapsed="false">
      <c r="A1116" s="327" t="s">
        <v>1827</v>
      </c>
      <c r="B1116" s="500" t="s">
        <v>3650</v>
      </c>
      <c r="C1116" s="954" t="n">
        <v>30000</v>
      </c>
      <c r="D1116" s="954" t="n">
        <v>25000</v>
      </c>
      <c r="E1116" s="954" t="n">
        <v>20000</v>
      </c>
      <c r="F1116" s="955" t="n">
        <f aca="false">C1116+D1116+E1116</f>
        <v>75000</v>
      </c>
      <c r="G1116" s="955" t="n">
        <f aca="false">F1116/149.4</f>
        <v>502.008032128514</v>
      </c>
      <c r="H1116" s="661" t="n">
        <f aca="false">G1116/60</f>
        <v>8.36680053547523</v>
      </c>
      <c r="I1116" s="660" t="n">
        <f aca="false">'норма времени'!D1120</f>
        <v>30</v>
      </c>
      <c r="J1116" s="661" t="n">
        <f aca="false">H1116*I1116</f>
        <v>251.004016064257</v>
      </c>
    </row>
    <row r="1117" customFormat="false" ht="45" hidden="false" customHeight="false" outlineLevel="0" collapsed="false">
      <c r="A1117" s="327" t="s">
        <v>1829</v>
      </c>
      <c r="B1117" s="500" t="s">
        <v>3651</v>
      </c>
      <c r="C1117" s="954" t="n">
        <v>30000</v>
      </c>
      <c r="D1117" s="954" t="n">
        <v>25000</v>
      </c>
      <c r="E1117" s="954" t="n">
        <v>20000</v>
      </c>
      <c r="F1117" s="955" t="n">
        <f aca="false">C1117+D1117+E1117</f>
        <v>75000</v>
      </c>
      <c r="G1117" s="955" t="n">
        <f aca="false">F1117/149.4</f>
        <v>502.008032128514</v>
      </c>
      <c r="H1117" s="661" t="n">
        <f aca="false">G1117/60</f>
        <v>8.36680053547523</v>
      </c>
      <c r="I1117" s="660" t="n">
        <f aca="false">'норма времени'!D1121</f>
        <v>60</v>
      </c>
      <c r="J1117" s="661" t="n">
        <f aca="false">H1117*I1117</f>
        <v>502.008032128514</v>
      </c>
    </row>
    <row r="1118" customFormat="false" ht="30" hidden="false" customHeight="false" outlineLevel="0" collapsed="false">
      <c r="A1118" s="327" t="s">
        <v>1831</v>
      </c>
      <c r="B1118" s="522" t="s">
        <v>3652</v>
      </c>
      <c r="C1118" s="954" t="n">
        <v>30000</v>
      </c>
      <c r="D1118" s="954" t="n">
        <v>25000</v>
      </c>
      <c r="E1118" s="954" t="n">
        <v>20000</v>
      </c>
      <c r="F1118" s="955" t="n">
        <f aca="false">C1118+D1118+E1118</f>
        <v>75000</v>
      </c>
      <c r="G1118" s="955" t="n">
        <f aca="false">F1118/149.4</f>
        <v>502.008032128514</v>
      </c>
      <c r="H1118" s="661" t="n">
        <f aca="false">G1118/60</f>
        <v>8.36680053547523</v>
      </c>
      <c r="I1118" s="660" t="n">
        <f aca="false">'норма времени'!D1122</f>
        <v>45</v>
      </c>
      <c r="J1118" s="661" t="n">
        <f aca="false">H1118*I1118</f>
        <v>376.506024096386</v>
      </c>
    </row>
    <row r="1119" customFormat="false" ht="15.75" hidden="false" customHeight="true" outlineLevel="0" collapsed="false">
      <c r="A1119" s="327" t="s">
        <v>1833</v>
      </c>
      <c r="B1119" s="522" t="s">
        <v>3653</v>
      </c>
      <c r="C1119" s="954" t="n">
        <v>30000</v>
      </c>
      <c r="D1119" s="954" t="n">
        <v>25000</v>
      </c>
      <c r="E1119" s="954" t="n">
        <v>20000</v>
      </c>
      <c r="F1119" s="955" t="n">
        <f aca="false">C1119+D1119+E1119</f>
        <v>75000</v>
      </c>
      <c r="G1119" s="955" t="n">
        <f aca="false">F1119/149.4</f>
        <v>502.008032128514</v>
      </c>
      <c r="H1119" s="661" t="n">
        <f aca="false">G1119/60</f>
        <v>8.36680053547523</v>
      </c>
      <c r="I1119" s="660" t="n">
        <f aca="false">'норма времени'!D1123</f>
        <v>60</v>
      </c>
      <c r="J1119" s="661" t="n">
        <f aca="false">H1119*I1119</f>
        <v>502.008032128514</v>
      </c>
    </row>
    <row r="1120" customFormat="false" ht="30" hidden="false" customHeight="false" outlineLevel="0" collapsed="false">
      <c r="A1120" s="327" t="s">
        <v>1835</v>
      </c>
      <c r="B1120" s="522" t="s">
        <v>3654</v>
      </c>
      <c r="C1120" s="954" t="n">
        <v>30000</v>
      </c>
      <c r="D1120" s="954" t="n">
        <v>25000</v>
      </c>
      <c r="E1120" s="954" t="n">
        <v>20000</v>
      </c>
      <c r="F1120" s="955" t="n">
        <f aca="false">C1120+D1120+E1120</f>
        <v>75000</v>
      </c>
      <c r="G1120" s="955" t="n">
        <f aca="false">F1120/149.4</f>
        <v>502.008032128514</v>
      </c>
      <c r="H1120" s="661" t="n">
        <f aca="false">G1120/60</f>
        <v>8.36680053547523</v>
      </c>
      <c r="I1120" s="660" t="n">
        <f aca="false">'норма времени'!D1124</f>
        <v>45</v>
      </c>
      <c r="J1120" s="661" t="n">
        <f aca="false">H1120*I1120</f>
        <v>376.506024096386</v>
      </c>
    </row>
    <row r="1121" customFormat="false" ht="30" hidden="false" customHeight="false" outlineLevel="0" collapsed="false">
      <c r="A1121" s="327" t="s">
        <v>1837</v>
      </c>
      <c r="B1121" s="522" t="s">
        <v>3655</v>
      </c>
      <c r="C1121" s="954" t="n">
        <v>30000</v>
      </c>
      <c r="D1121" s="954" t="n">
        <v>25000</v>
      </c>
      <c r="E1121" s="954" t="n">
        <v>20000</v>
      </c>
      <c r="F1121" s="955" t="n">
        <f aca="false">C1121+D1121+E1121</f>
        <v>75000</v>
      </c>
      <c r="G1121" s="955" t="n">
        <f aca="false">F1121/149.4</f>
        <v>502.008032128514</v>
      </c>
      <c r="H1121" s="661" t="n">
        <f aca="false">G1121/60</f>
        <v>8.36680053547523</v>
      </c>
      <c r="I1121" s="660" t="n">
        <f aca="false">'норма времени'!D1125</f>
        <v>60</v>
      </c>
      <c r="J1121" s="661" t="n">
        <f aca="false">H1121*I1121</f>
        <v>502.008032128514</v>
      </c>
    </row>
    <row r="1122" customFormat="false" ht="30" hidden="false" customHeight="false" outlineLevel="0" collapsed="false">
      <c r="A1122" s="327" t="s">
        <v>1839</v>
      </c>
      <c r="B1122" s="522" t="s">
        <v>3642</v>
      </c>
      <c r="C1122" s="954" t="n">
        <v>30000</v>
      </c>
      <c r="D1122" s="954" t="n">
        <v>25000</v>
      </c>
      <c r="E1122" s="954" t="n">
        <v>20000</v>
      </c>
      <c r="F1122" s="955" t="n">
        <f aca="false">C1122+D1122+E1122</f>
        <v>75000</v>
      </c>
      <c r="G1122" s="955" t="n">
        <f aca="false">F1122/149.4</f>
        <v>502.008032128514</v>
      </c>
      <c r="H1122" s="661" t="n">
        <f aca="false">G1122/60</f>
        <v>8.36680053547523</v>
      </c>
      <c r="I1122" s="660" t="n">
        <f aca="false">'норма времени'!D1126</f>
        <v>40</v>
      </c>
      <c r="J1122" s="661" t="n">
        <f aca="false">H1122*I1122</f>
        <v>334.672021419009</v>
      </c>
    </row>
    <row r="1123" customFormat="false" ht="30" hidden="false" customHeight="false" outlineLevel="0" collapsed="false">
      <c r="A1123" s="327" t="s">
        <v>1840</v>
      </c>
      <c r="B1123" s="522" t="s">
        <v>3643</v>
      </c>
      <c r="C1123" s="954" t="n">
        <v>30000</v>
      </c>
      <c r="D1123" s="954" t="n">
        <v>25000</v>
      </c>
      <c r="E1123" s="954" t="n">
        <v>20000</v>
      </c>
      <c r="F1123" s="955" t="n">
        <f aca="false">C1123+D1123+E1123</f>
        <v>75000</v>
      </c>
      <c r="G1123" s="955" t="n">
        <f aca="false">F1123/149.4</f>
        <v>502.008032128514</v>
      </c>
      <c r="H1123" s="661" t="n">
        <f aca="false">G1123/60</f>
        <v>8.36680053547523</v>
      </c>
      <c r="I1123" s="660" t="n">
        <f aca="false">'норма времени'!D1127</f>
        <v>60</v>
      </c>
      <c r="J1123" s="661" t="n">
        <f aca="false">H1123*I1123</f>
        <v>502.008032128514</v>
      </c>
    </row>
    <row r="1124" customFormat="false" ht="15" hidden="false" customHeight="false" outlineLevel="0" collapsed="false">
      <c r="A1124" s="327" t="s">
        <v>1841</v>
      </c>
      <c r="B1124" s="522" t="s">
        <v>3656</v>
      </c>
      <c r="C1124" s="954" t="n">
        <v>30000</v>
      </c>
      <c r="D1124" s="954" t="n">
        <v>25000</v>
      </c>
      <c r="E1124" s="954" t="n">
        <v>20000</v>
      </c>
      <c r="F1124" s="955" t="n">
        <f aca="false">C1124+D1124+E1124</f>
        <v>75000</v>
      </c>
      <c r="G1124" s="955" t="n">
        <f aca="false">F1124/149.4</f>
        <v>502.008032128514</v>
      </c>
      <c r="H1124" s="661" t="n">
        <f aca="false">G1124/60</f>
        <v>8.36680053547523</v>
      </c>
      <c r="I1124" s="660" t="n">
        <f aca="false">'норма времени'!D1128</f>
        <v>40</v>
      </c>
      <c r="J1124" s="661" t="n">
        <f aca="false">H1124*I1124</f>
        <v>334.672021419009</v>
      </c>
    </row>
    <row r="1125" customFormat="false" ht="30" hidden="false" customHeight="false" outlineLevel="0" collapsed="false">
      <c r="A1125" s="327" t="s">
        <v>1843</v>
      </c>
      <c r="B1125" s="522" t="s">
        <v>3657</v>
      </c>
      <c r="C1125" s="954" t="n">
        <v>30000</v>
      </c>
      <c r="D1125" s="954" t="n">
        <v>25000</v>
      </c>
      <c r="E1125" s="954" t="n">
        <v>20000</v>
      </c>
      <c r="F1125" s="955" t="n">
        <f aca="false">C1125+D1125+E1125</f>
        <v>75000</v>
      </c>
      <c r="G1125" s="955" t="n">
        <f aca="false">F1125/149.4</f>
        <v>502.008032128514</v>
      </c>
      <c r="H1125" s="661" t="n">
        <f aca="false">G1125/60</f>
        <v>8.36680053547523</v>
      </c>
      <c r="I1125" s="660" t="n">
        <f aca="false">'норма времени'!D1129</f>
        <v>60</v>
      </c>
      <c r="J1125" s="661" t="n">
        <f aca="false">H1125*I1125</f>
        <v>502.008032128514</v>
      </c>
    </row>
    <row r="1126" customFormat="false" ht="30" hidden="false" customHeight="false" outlineLevel="0" collapsed="false">
      <c r="A1126" s="327" t="s">
        <v>1845</v>
      </c>
      <c r="B1126" s="522" t="s">
        <v>3658</v>
      </c>
      <c r="C1126" s="954" t="n">
        <v>30000</v>
      </c>
      <c r="D1126" s="954" t="n">
        <v>25000</v>
      </c>
      <c r="E1126" s="954" t="n">
        <v>20000</v>
      </c>
      <c r="F1126" s="955" t="n">
        <f aca="false">C1126+D1126+E1126</f>
        <v>75000</v>
      </c>
      <c r="G1126" s="955" t="n">
        <f aca="false">F1126/149.4</f>
        <v>502.008032128514</v>
      </c>
      <c r="H1126" s="661" t="n">
        <f aca="false">G1126/60</f>
        <v>8.36680053547523</v>
      </c>
      <c r="I1126" s="660" t="n">
        <f aca="false">'норма времени'!D1130</f>
        <v>45</v>
      </c>
      <c r="J1126" s="661" t="n">
        <f aca="false">H1126*I1126</f>
        <v>376.506024096386</v>
      </c>
    </row>
    <row r="1127" customFormat="false" ht="30" hidden="false" customHeight="false" outlineLevel="0" collapsed="false">
      <c r="A1127" s="327" t="s">
        <v>1847</v>
      </c>
      <c r="B1127" s="522" t="s">
        <v>3659</v>
      </c>
      <c r="C1127" s="954" t="n">
        <v>30000</v>
      </c>
      <c r="D1127" s="954" t="n">
        <v>25000</v>
      </c>
      <c r="E1127" s="954" t="n">
        <v>20000</v>
      </c>
      <c r="F1127" s="955" t="n">
        <f aca="false">C1127+D1127+E1127</f>
        <v>75000</v>
      </c>
      <c r="G1127" s="955" t="n">
        <f aca="false">F1127/149.4</f>
        <v>502.008032128514</v>
      </c>
      <c r="H1127" s="661" t="n">
        <f aca="false">G1127/60</f>
        <v>8.36680053547523</v>
      </c>
      <c r="I1127" s="660" t="n">
        <f aca="false">'норма времени'!D1131</f>
        <v>60</v>
      </c>
      <c r="J1127" s="661" t="n">
        <f aca="false">H1127*I1127</f>
        <v>502.008032128514</v>
      </c>
    </row>
    <row r="1128" customFormat="false" ht="30" hidden="false" customHeight="false" outlineLevel="0" collapsed="false">
      <c r="A1128" s="327" t="s">
        <v>1848</v>
      </c>
      <c r="B1128" s="522" t="s">
        <v>3660</v>
      </c>
      <c r="C1128" s="954" t="n">
        <v>30000</v>
      </c>
      <c r="D1128" s="954" t="n">
        <v>25000</v>
      </c>
      <c r="E1128" s="954" t="n">
        <v>20000</v>
      </c>
      <c r="F1128" s="955" t="n">
        <f aca="false">C1128+D1128+E1128</f>
        <v>75000</v>
      </c>
      <c r="G1128" s="955" t="n">
        <f aca="false">F1128/149.4</f>
        <v>502.008032128514</v>
      </c>
      <c r="H1128" s="661" t="n">
        <f aca="false">G1128/60</f>
        <v>8.36680053547523</v>
      </c>
      <c r="I1128" s="660" t="n">
        <f aca="false">'норма времени'!D1132</f>
        <v>50</v>
      </c>
      <c r="J1128" s="661" t="n">
        <f aca="false">H1128*I1128</f>
        <v>418.340026773762</v>
      </c>
    </row>
    <row r="1129" customFormat="false" ht="30" hidden="false" customHeight="false" outlineLevel="0" collapsed="false">
      <c r="A1129" s="327" t="s">
        <v>1850</v>
      </c>
      <c r="B1129" s="522" t="s">
        <v>3661</v>
      </c>
      <c r="C1129" s="954" t="n">
        <v>30000</v>
      </c>
      <c r="D1129" s="954" t="n">
        <v>25000</v>
      </c>
      <c r="E1129" s="954" t="n">
        <v>20000</v>
      </c>
      <c r="F1129" s="955" t="n">
        <f aca="false">C1129+D1129+E1129</f>
        <v>75000</v>
      </c>
      <c r="G1129" s="955" t="n">
        <f aca="false">F1129/149.4</f>
        <v>502.008032128514</v>
      </c>
      <c r="H1129" s="661" t="n">
        <f aca="false">G1129/60</f>
        <v>8.36680053547523</v>
      </c>
      <c r="I1129" s="660" t="n">
        <f aca="false">'норма времени'!D1133</f>
        <v>60</v>
      </c>
      <c r="J1129" s="661" t="n">
        <f aca="false">H1129*I1129</f>
        <v>502.008032128514</v>
      </c>
    </row>
    <row r="1130" customFormat="false" ht="30" hidden="false" customHeight="false" outlineLevel="0" collapsed="false">
      <c r="A1130" s="327" t="s">
        <v>1852</v>
      </c>
      <c r="B1130" s="522" t="s">
        <v>3662</v>
      </c>
      <c r="C1130" s="954" t="n">
        <v>30000</v>
      </c>
      <c r="D1130" s="954" t="n">
        <v>25000</v>
      </c>
      <c r="E1130" s="954" t="n">
        <v>20000</v>
      </c>
      <c r="F1130" s="955" t="n">
        <f aca="false">C1130+D1130+E1130</f>
        <v>75000</v>
      </c>
      <c r="G1130" s="955" t="n">
        <f aca="false">F1130/149.4</f>
        <v>502.008032128514</v>
      </c>
      <c r="H1130" s="661" t="n">
        <f aca="false">G1130/60</f>
        <v>8.36680053547523</v>
      </c>
      <c r="I1130" s="660" t="n">
        <f aca="false">'норма времени'!D1134</f>
        <v>35</v>
      </c>
      <c r="J1130" s="661" t="n">
        <f aca="false">H1130*I1130</f>
        <v>292.838018741633</v>
      </c>
    </row>
    <row r="1131" customFormat="false" ht="30" hidden="false" customHeight="false" outlineLevel="0" collapsed="false">
      <c r="A1131" s="327" t="s">
        <v>1854</v>
      </c>
      <c r="B1131" s="522" t="s">
        <v>3663</v>
      </c>
      <c r="C1131" s="954" t="n">
        <v>30000</v>
      </c>
      <c r="D1131" s="954" t="n">
        <v>25000</v>
      </c>
      <c r="E1131" s="954" t="n">
        <v>20000</v>
      </c>
      <c r="F1131" s="955" t="n">
        <f aca="false">C1131+D1131+E1131</f>
        <v>75000</v>
      </c>
      <c r="G1131" s="955" t="n">
        <f aca="false">F1131/149.4</f>
        <v>502.008032128514</v>
      </c>
      <c r="H1131" s="661" t="n">
        <f aca="false">G1131/60</f>
        <v>8.36680053547523</v>
      </c>
      <c r="I1131" s="660" t="n">
        <f aca="false">'норма времени'!D1135</f>
        <v>60</v>
      </c>
      <c r="J1131" s="661" t="n">
        <f aca="false">H1131*I1131</f>
        <v>502.008032128514</v>
      </c>
    </row>
    <row r="1132" customFormat="false" ht="30" hidden="false" customHeight="false" outlineLevel="0" collapsed="false">
      <c r="A1132" s="327" t="s">
        <v>1856</v>
      </c>
      <c r="B1132" s="522" t="s">
        <v>3664</v>
      </c>
      <c r="C1132" s="954" t="n">
        <v>30000</v>
      </c>
      <c r="D1132" s="954" t="n">
        <v>25000</v>
      </c>
      <c r="E1132" s="954" t="n">
        <v>20000</v>
      </c>
      <c r="F1132" s="955" t="n">
        <f aca="false">C1132+D1132+E1132</f>
        <v>75000</v>
      </c>
      <c r="G1132" s="955" t="n">
        <f aca="false">F1132/149.4</f>
        <v>502.008032128514</v>
      </c>
      <c r="H1132" s="661" t="n">
        <f aca="false">G1132/60</f>
        <v>8.36680053547523</v>
      </c>
      <c r="I1132" s="660" t="n">
        <f aca="false">'норма времени'!D1136</f>
        <v>40</v>
      </c>
      <c r="J1132" s="661" t="n">
        <f aca="false">H1132*I1132</f>
        <v>334.672021419009</v>
      </c>
    </row>
    <row r="1133" customFormat="false" ht="30" hidden="false" customHeight="false" outlineLevel="0" collapsed="false">
      <c r="A1133" s="327" t="s">
        <v>1858</v>
      </c>
      <c r="B1133" s="522" t="s">
        <v>3665</v>
      </c>
      <c r="C1133" s="954" t="n">
        <v>30000</v>
      </c>
      <c r="D1133" s="954" t="n">
        <v>25000</v>
      </c>
      <c r="E1133" s="954" t="n">
        <v>20000</v>
      </c>
      <c r="F1133" s="955" t="n">
        <f aca="false">C1133+D1133+E1133</f>
        <v>75000</v>
      </c>
      <c r="G1133" s="955" t="n">
        <f aca="false">F1133/149.4</f>
        <v>502.008032128514</v>
      </c>
      <c r="H1133" s="661" t="n">
        <f aca="false">G1133/60</f>
        <v>8.36680053547523</v>
      </c>
      <c r="I1133" s="660" t="n">
        <f aca="false">'норма времени'!D1137</f>
        <v>40</v>
      </c>
      <c r="J1133" s="661" t="n">
        <f aca="false">H1133*I1133</f>
        <v>334.672021419009</v>
      </c>
    </row>
    <row r="1134" customFormat="false" ht="30" hidden="false" customHeight="false" outlineLevel="0" collapsed="false">
      <c r="A1134" s="327" t="s">
        <v>1860</v>
      </c>
      <c r="B1134" s="522" t="s">
        <v>3666</v>
      </c>
      <c r="C1134" s="954" t="n">
        <v>30000</v>
      </c>
      <c r="D1134" s="954" t="n">
        <v>25000</v>
      </c>
      <c r="E1134" s="954" t="n">
        <v>20000</v>
      </c>
      <c r="F1134" s="955" t="n">
        <f aca="false">C1134+D1134+E1134</f>
        <v>75000</v>
      </c>
      <c r="G1134" s="955" t="n">
        <f aca="false">F1134/149.4</f>
        <v>502.008032128514</v>
      </c>
      <c r="H1134" s="661" t="n">
        <f aca="false">G1134/60</f>
        <v>8.36680053547523</v>
      </c>
      <c r="I1134" s="660" t="n">
        <f aca="false">'норма времени'!D1138</f>
        <v>60</v>
      </c>
      <c r="J1134" s="661" t="n">
        <f aca="false">H1134*I1134</f>
        <v>502.008032128514</v>
      </c>
    </row>
    <row r="1135" customFormat="false" ht="30" hidden="false" customHeight="false" outlineLevel="0" collapsed="false">
      <c r="A1135" s="327" t="s">
        <v>1862</v>
      </c>
      <c r="B1135" s="522" t="s">
        <v>3667</v>
      </c>
      <c r="C1135" s="954" t="n">
        <v>30000</v>
      </c>
      <c r="D1135" s="954" t="n">
        <v>25000</v>
      </c>
      <c r="E1135" s="954" t="n">
        <v>20000</v>
      </c>
      <c r="F1135" s="955" t="n">
        <f aca="false">C1135+D1135+E1135</f>
        <v>75000</v>
      </c>
      <c r="G1135" s="955" t="n">
        <f aca="false">F1135/149.4</f>
        <v>502.008032128514</v>
      </c>
      <c r="H1135" s="661" t="n">
        <f aca="false">G1135/60</f>
        <v>8.36680053547523</v>
      </c>
      <c r="I1135" s="660" t="n">
        <f aca="false">'норма времени'!D1139</f>
        <v>40</v>
      </c>
      <c r="J1135" s="661" t="n">
        <f aca="false">H1135*I1135</f>
        <v>334.672021419009</v>
      </c>
    </row>
    <row r="1136" customFormat="false" ht="30" hidden="false" customHeight="false" outlineLevel="0" collapsed="false">
      <c r="A1136" s="327" t="s">
        <v>1864</v>
      </c>
      <c r="B1136" s="522" t="s">
        <v>3668</v>
      </c>
      <c r="C1136" s="954" t="n">
        <v>30000</v>
      </c>
      <c r="D1136" s="954" t="n">
        <v>25000</v>
      </c>
      <c r="E1136" s="954" t="n">
        <v>20000</v>
      </c>
      <c r="F1136" s="955" t="n">
        <f aca="false">C1136+D1136+E1136</f>
        <v>75000</v>
      </c>
      <c r="G1136" s="955" t="n">
        <f aca="false">F1136/149.4</f>
        <v>502.008032128514</v>
      </c>
      <c r="H1136" s="661" t="n">
        <f aca="false">G1136/60</f>
        <v>8.36680053547523</v>
      </c>
      <c r="I1136" s="660" t="n">
        <f aca="false">'норма времени'!D1140</f>
        <v>40</v>
      </c>
      <c r="J1136" s="661" t="n">
        <f aca="false">H1136*I1136</f>
        <v>334.672021419009</v>
      </c>
    </row>
    <row r="1137" customFormat="false" ht="15" hidden="false" customHeight="false" outlineLevel="0" collapsed="false">
      <c r="A1137" s="327" t="s">
        <v>1866</v>
      </c>
      <c r="B1137" s="522" t="s">
        <v>3669</v>
      </c>
      <c r="C1137" s="954" t="n">
        <v>30000</v>
      </c>
      <c r="D1137" s="954" t="n">
        <v>25000</v>
      </c>
      <c r="E1137" s="954" t="n">
        <v>20000</v>
      </c>
      <c r="F1137" s="955" t="n">
        <f aca="false">C1137+D1137+E1137</f>
        <v>75000</v>
      </c>
      <c r="G1137" s="955" t="n">
        <f aca="false">F1137/149.4</f>
        <v>502.008032128514</v>
      </c>
      <c r="H1137" s="661" t="n">
        <f aca="false">G1137/60</f>
        <v>8.36680053547523</v>
      </c>
      <c r="I1137" s="660" t="n">
        <f aca="false">'норма времени'!D1141</f>
        <v>55</v>
      </c>
      <c r="J1137" s="661" t="n">
        <f aca="false">H1137*I1137</f>
        <v>460.174029451138</v>
      </c>
    </row>
    <row r="1138" customFormat="false" ht="45" hidden="false" customHeight="false" outlineLevel="0" collapsed="false">
      <c r="A1138" s="327" t="s">
        <v>1868</v>
      </c>
      <c r="B1138" s="522" t="s">
        <v>3670</v>
      </c>
      <c r="C1138" s="954" t="n">
        <v>30000</v>
      </c>
      <c r="D1138" s="954" t="n">
        <v>25000</v>
      </c>
      <c r="E1138" s="954" t="n">
        <v>20000</v>
      </c>
      <c r="F1138" s="955" t="n">
        <f aca="false">C1138+D1138+E1138</f>
        <v>75000</v>
      </c>
      <c r="G1138" s="955" t="n">
        <f aca="false">F1138/149.4</f>
        <v>502.008032128514</v>
      </c>
      <c r="H1138" s="661" t="n">
        <f aca="false">G1138/60</f>
        <v>8.36680053547523</v>
      </c>
      <c r="I1138" s="660" t="n">
        <f aca="false">'норма времени'!D1142</f>
        <v>20</v>
      </c>
      <c r="J1138" s="661" t="n">
        <f aca="false">H1138*I1138</f>
        <v>167.336010709505</v>
      </c>
    </row>
    <row r="1139" customFormat="false" ht="30" hidden="false" customHeight="false" outlineLevel="0" collapsed="false">
      <c r="A1139" s="327" t="s">
        <v>1870</v>
      </c>
      <c r="B1139" s="522" t="s">
        <v>3671</v>
      </c>
      <c r="C1139" s="954" t="n">
        <v>30000</v>
      </c>
      <c r="D1139" s="954" t="n">
        <v>25000</v>
      </c>
      <c r="E1139" s="954" t="n">
        <v>20000</v>
      </c>
      <c r="F1139" s="955" t="n">
        <f aca="false">C1139+D1139+E1139</f>
        <v>75000</v>
      </c>
      <c r="G1139" s="955" t="n">
        <f aca="false">F1139/149.4</f>
        <v>502.008032128514</v>
      </c>
      <c r="H1139" s="661" t="n">
        <f aca="false">G1139/60</f>
        <v>8.36680053547523</v>
      </c>
      <c r="I1139" s="660" t="n">
        <f aca="false">'норма времени'!D1143</f>
        <v>36</v>
      </c>
      <c r="J1139" s="661" t="n">
        <f aca="false">H1139*I1139</f>
        <v>301.204819277108</v>
      </c>
    </row>
    <row r="1140" customFormat="false" ht="30" hidden="false" customHeight="false" outlineLevel="0" collapsed="false">
      <c r="A1140" s="327" t="s">
        <v>1872</v>
      </c>
      <c r="B1140" s="522" t="s">
        <v>3672</v>
      </c>
      <c r="C1140" s="954" t="n">
        <v>30000</v>
      </c>
      <c r="D1140" s="954" t="n">
        <v>25000</v>
      </c>
      <c r="E1140" s="954" t="n">
        <v>20000</v>
      </c>
      <c r="F1140" s="955" t="n">
        <f aca="false">C1140+D1140+E1140</f>
        <v>75000</v>
      </c>
      <c r="G1140" s="955" t="n">
        <f aca="false">F1140/149.4</f>
        <v>502.008032128514</v>
      </c>
      <c r="H1140" s="661" t="n">
        <f aca="false">G1140/60</f>
        <v>8.36680053547523</v>
      </c>
      <c r="I1140" s="660" t="n">
        <f aca="false">'норма времени'!D1144</f>
        <v>40</v>
      </c>
      <c r="J1140" s="661" t="n">
        <f aca="false">H1140*I1140</f>
        <v>334.672021419009</v>
      </c>
    </row>
    <row r="1141" customFormat="false" ht="30" hidden="false" customHeight="false" outlineLevel="0" collapsed="false">
      <c r="A1141" s="327" t="s">
        <v>1874</v>
      </c>
      <c r="B1141" s="522" t="s">
        <v>3673</v>
      </c>
      <c r="C1141" s="954" t="n">
        <v>30000</v>
      </c>
      <c r="D1141" s="954" t="n">
        <v>25000</v>
      </c>
      <c r="E1141" s="954" t="n">
        <v>20000</v>
      </c>
      <c r="F1141" s="955" t="n">
        <f aca="false">C1141+D1141+E1141</f>
        <v>75000</v>
      </c>
      <c r="G1141" s="955" t="n">
        <f aca="false">F1141/149.4</f>
        <v>502.008032128514</v>
      </c>
      <c r="H1141" s="661" t="n">
        <f aca="false">G1141/60</f>
        <v>8.36680053547523</v>
      </c>
      <c r="I1141" s="660" t="n">
        <f aca="false">'норма времени'!D1145</f>
        <v>45</v>
      </c>
      <c r="J1141" s="661" t="n">
        <f aca="false">H1141*I1141</f>
        <v>376.506024096386</v>
      </c>
    </row>
    <row r="1142" customFormat="false" ht="30" hidden="false" customHeight="false" outlineLevel="0" collapsed="false">
      <c r="A1142" s="327" t="s">
        <v>1876</v>
      </c>
      <c r="B1142" s="522" t="s">
        <v>3674</v>
      </c>
      <c r="C1142" s="954" t="n">
        <v>30000</v>
      </c>
      <c r="D1142" s="954" t="n">
        <v>25000</v>
      </c>
      <c r="E1142" s="954" t="n">
        <v>20000</v>
      </c>
      <c r="F1142" s="955" t="n">
        <f aca="false">C1142+D1142+E1142</f>
        <v>75000</v>
      </c>
      <c r="G1142" s="955" t="n">
        <f aca="false">F1142/149.4</f>
        <v>502.008032128514</v>
      </c>
      <c r="H1142" s="661" t="n">
        <f aca="false">G1142/60</f>
        <v>8.36680053547523</v>
      </c>
      <c r="I1142" s="660" t="n">
        <f aca="false">'норма времени'!D1146</f>
        <v>50</v>
      </c>
      <c r="J1142" s="661" t="n">
        <f aca="false">H1142*I1142</f>
        <v>418.340026773762</v>
      </c>
    </row>
    <row r="1143" customFormat="false" ht="45" hidden="false" customHeight="false" outlineLevel="0" collapsed="false">
      <c r="A1143" s="327" t="s">
        <v>1878</v>
      </c>
      <c r="B1143" s="522" t="s">
        <v>3675</v>
      </c>
      <c r="C1143" s="954" t="n">
        <v>30000</v>
      </c>
      <c r="D1143" s="954" t="n">
        <v>25000</v>
      </c>
      <c r="E1143" s="954" t="n">
        <v>20000</v>
      </c>
      <c r="F1143" s="955" t="n">
        <f aca="false">C1143+D1143+E1143</f>
        <v>75000</v>
      </c>
      <c r="G1143" s="955" t="n">
        <f aca="false">F1143/149.4</f>
        <v>502.008032128514</v>
      </c>
      <c r="H1143" s="661" t="n">
        <f aca="false">G1143/60</f>
        <v>8.36680053547523</v>
      </c>
      <c r="I1143" s="660" t="n">
        <f aca="false">'норма времени'!D1147</f>
        <v>90</v>
      </c>
      <c r="J1143" s="661" t="n">
        <f aca="false">H1143*I1143</f>
        <v>753.012048192771</v>
      </c>
    </row>
    <row r="1144" customFormat="false" ht="45" hidden="false" customHeight="false" outlineLevel="0" collapsed="false">
      <c r="A1144" s="327" t="s">
        <v>1880</v>
      </c>
      <c r="B1144" s="522" t="s">
        <v>3676</v>
      </c>
      <c r="C1144" s="954" t="n">
        <v>30000</v>
      </c>
      <c r="D1144" s="954" t="n">
        <v>25000</v>
      </c>
      <c r="E1144" s="954" t="n">
        <v>20000</v>
      </c>
      <c r="F1144" s="955" t="n">
        <f aca="false">C1144+D1144+E1144</f>
        <v>75000</v>
      </c>
      <c r="G1144" s="955" t="n">
        <f aca="false">F1144/149.4</f>
        <v>502.008032128514</v>
      </c>
      <c r="H1144" s="661" t="n">
        <f aca="false">G1144/60</f>
        <v>8.36680053547523</v>
      </c>
      <c r="I1144" s="660" t="n">
        <f aca="false">'норма времени'!D1148</f>
        <v>280</v>
      </c>
      <c r="J1144" s="661" t="n">
        <f aca="false">H1144*I1144</f>
        <v>2342.70414993307</v>
      </c>
    </row>
    <row r="1145" customFormat="false" ht="30" hidden="false" customHeight="false" outlineLevel="0" collapsed="false">
      <c r="A1145" s="327" t="s">
        <v>1882</v>
      </c>
      <c r="B1145" s="500" t="s">
        <v>3677</v>
      </c>
      <c r="C1145" s="954" t="n">
        <v>30000</v>
      </c>
      <c r="D1145" s="954" t="n">
        <v>25000</v>
      </c>
      <c r="E1145" s="954" t="n">
        <v>20000</v>
      </c>
      <c r="F1145" s="955" t="n">
        <f aca="false">C1145+D1145+E1145</f>
        <v>75000</v>
      </c>
      <c r="G1145" s="955" t="n">
        <f aca="false">F1145/149.4</f>
        <v>502.008032128514</v>
      </c>
      <c r="H1145" s="661" t="n">
        <f aca="false">G1145/60</f>
        <v>8.36680053547523</v>
      </c>
      <c r="I1145" s="660" t="n">
        <f aca="false">'норма времени'!D1149</f>
        <v>280</v>
      </c>
      <c r="J1145" s="661" t="n">
        <f aca="false">H1145*I1145</f>
        <v>2342.70414993307</v>
      </c>
    </row>
    <row r="1146" s="311" customFormat="true" ht="30" hidden="false" customHeight="false" outlineLevel="0" collapsed="false">
      <c r="A1146" s="28" t="s">
        <v>1884</v>
      </c>
      <c r="B1146" s="99" t="s">
        <v>3678</v>
      </c>
      <c r="C1146" s="891" t="n">
        <v>30000</v>
      </c>
      <c r="D1146" s="891" t="n">
        <v>25000</v>
      </c>
      <c r="E1146" s="891" t="n">
        <v>20000</v>
      </c>
      <c r="F1146" s="1272" t="n">
        <f aca="false">C1146+D1146+E1146</f>
        <v>75000</v>
      </c>
      <c r="G1146" s="1272" t="n">
        <f aca="false">F1146/149.4</f>
        <v>502.008032128514</v>
      </c>
      <c r="H1146" s="1273" t="n">
        <f aca="false">G1146/60</f>
        <v>8.36680053547523</v>
      </c>
      <c r="I1146" s="660" t="n">
        <f aca="false">'норма времени'!D1150</f>
        <v>40</v>
      </c>
      <c r="J1146" s="1273" t="n">
        <f aca="false">H1146*I1146</f>
        <v>334.672021419009</v>
      </c>
      <c r="K1146" s="1274"/>
      <c r="L1146" s="1274"/>
      <c r="M1146" s="1274"/>
      <c r="N1146" s="1274"/>
      <c r="O1146" s="1274"/>
      <c r="P1146" s="1274"/>
      <c r="Q1146" s="1274"/>
      <c r="R1146" s="1274"/>
      <c r="S1146" s="1274"/>
      <c r="T1146" s="1274"/>
    </row>
    <row r="1147" s="451" customFormat="true" ht="15.75" hidden="false" customHeight="true" outlineLevel="0" collapsed="false">
      <c r="A1147" s="350" t="s">
        <v>1886</v>
      </c>
      <c r="B1147" s="509" t="s">
        <v>3580</v>
      </c>
      <c r="C1147" s="1248"/>
      <c r="D1147" s="1248"/>
      <c r="E1147" s="1248"/>
      <c r="F1147" s="1249"/>
      <c r="G1147" s="1249"/>
      <c r="H1147" s="1259"/>
      <c r="I1147" s="1255"/>
      <c r="J1147" s="1259"/>
      <c r="K1147" s="1257"/>
      <c r="L1147" s="1257"/>
      <c r="M1147" s="1257"/>
      <c r="N1147" s="1257"/>
      <c r="O1147" s="1257"/>
      <c r="P1147" s="1257"/>
      <c r="Q1147" s="1257"/>
      <c r="R1147" s="1257"/>
      <c r="S1147" s="1257"/>
    </row>
    <row r="1148" customFormat="false" ht="30" hidden="false" customHeight="false" outlineLevel="0" collapsed="false">
      <c r="A1148" s="327" t="s">
        <v>1887</v>
      </c>
      <c r="B1148" s="500" t="s">
        <v>3679</v>
      </c>
      <c r="C1148" s="954" t="n">
        <v>30000</v>
      </c>
      <c r="D1148" s="954" t="n">
        <v>25000</v>
      </c>
      <c r="E1148" s="954" t="n">
        <v>20000</v>
      </c>
      <c r="F1148" s="955" t="n">
        <f aca="false">C1148+D1148+E1148</f>
        <v>75000</v>
      </c>
      <c r="G1148" s="955" t="n">
        <f aca="false">F1148/149.4</f>
        <v>502.008032128514</v>
      </c>
      <c r="H1148" s="661" t="n">
        <f aca="false">G1148/60</f>
        <v>8.36680053547523</v>
      </c>
      <c r="I1148" s="660" t="n">
        <f aca="false">'норма времени'!D1152</f>
        <v>47</v>
      </c>
      <c r="J1148" s="661" t="n">
        <f aca="false">H1148*I1148</f>
        <v>393.239625167336</v>
      </c>
    </row>
    <row r="1149" customFormat="false" ht="30" hidden="false" customHeight="false" outlineLevel="0" collapsed="false">
      <c r="A1149" s="327" t="s">
        <v>1889</v>
      </c>
      <c r="B1149" s="500" t="s">
        <v>3680</v>
      </c>
      <c r="C1149" s="954" t="n">
        <v>30000</v>
      </c>
      <c r="D1149" s="954" t="n">
        <v>25000</v>
      </c>
      <c r="E1149" s="954" t="n">
        <v>20000</v>
      </c>
      <c r="F1149" s="955" t="n">
        <f aca="false">C1149+D1149+E1149</f>
        <v>75000</v>
      </c>
      <c r="G1149" s="955" t="n">
        <f aca="false">F1149/149.4</f>
        <v>502.008032128514</v>
      </c>
      <c r="H1149" s="661" t="n">
        <f aca="false">G1149/60</f>
        <v>8.36680053547523</v>
      </c>
      <c r="I1149" s="660" t="n">
        <f aca="false">'норма времени'!D1153</f>
        <v>60</v>
      </c>
      <c r="J1149" s="661" t="n">
        <f aca="false">H1149*I1149</f>
        <v>502.008032128514</v>
      </c>
    </row>
    <row r="1150" customFormat="false" ht="30" hidden="false" customHeight="false" outlineLevel="0" collapsed="false">
      <c r="A1150" s="327" t="s">
        <v>1891</v>
      </c>
      <c r="B1150" s="500" t="s">
        <v>3681</v>
      </c>
      <c r="C1150" s="954" t="n">
        <v>30000</v>
      </c>
      <c r="D1150" s="954" t="n">
        <v>25000</v>
      </c>
      <c r="E1150" s="954" t="n">
        <v>20000</v>
      </c>
      <c r="F1150" s="955" t="n">
        <f aca="false">C1150+D1150+E1150</f>
        <v>75000</v>
      </c>
      <c r="G1150" s="955" t="n">
        <f aca="false">F1150/149.4</f>
        <v>502.008032128514</v>
      </c>
      <c r="H1150" s="661" t="n">
        <f aca="false">G1150/60</f>
        <v>8.36680053547523</v>
      </c>
      <c r="I1150" s="660" t="n">
        <f aca="false">'норма времени'!D1154</f>
        <v>47</v>
      </c>
      <c r="J1150" s="661" t="n">
        <f aca="false">H1150*I1150</f>
        <v>393.239625167336</v>
      </c>
    </row>
    <row r="1151" customFormat="false" ht="20.25" hidden="false" customHeight="true" outlineLevel="0" collapsed="false">
      <c r="A1151" s="327" t="s">
        <v>1893</v>
      </c>
      <c r="B1151" s="500" t="s">
        <v>3682</v>
      </c>
      <c r="C1151" s="954" t="n">
        <v>30000</v>
      </c>
      <c r="D1151" s="954" t="n">
        <v>25000</v>
      </c>
      <c r="E1151" s="954" t="n">
        <v>20000</v>
      </c>
      <c r="F1151" s="955" t="n">
        <f aca="false">C1151+D1151+E1151</f>
        <v>75000</v>
      </c>
      <c r="G1151" s="955" t="n">
        <f aca="false">F1151/149.4</f>
        <v>502.008032128514</v>
      </c>
      <c r="H1151" s="661" t="n">
        <f aca="false">G1151/60</f>
        <v>8.36680053547523</v>
      </c>
      <c r="I1151" s="660" t="n">
        <f aca="false">'норма времени'!D1155</f>
        <v>60</v>
      </c>
      <c r="J1151" s="661" t="n">
        <f aca="false">H1151*I1151</f>
        <v>502.008032128514</v>
      </c>
    </row>
    <row r="1152" customFormat="false" ht="45" hidden="false" customHeight="false" outlineLevel="0" collapsed="false">
      <c r="A1152" s="327" t="s">
        <v>1895</v>
      </c>
      <c r="B1152" s="500" t="s">
        <v>3683</v>
      </c>
      <c r="C1152" s="954" t="n">
        <v>30000</v>
      </c>
      <c r="D1152" s="954" t="n">
        <v>25000</v>
      </c>
      <c r="E1152" s="954" t="n">
        <v>20000</v>
      </c>
      <c r="F1152" s="955" t="n">
        <f aca="false">C1152+D1152+E1152</f>
        <v>75000</v>
      </c>
      <c r="G1152" s="955" t="n">
        <f aca="false">F1152/149.4</f>
        <v>502.008032128514</v>
      </c>
      <c r="H1152" s="661" t="n">
        <f aca="false">G1152/60</f>
        <v>8.36680053547523</v>
      </c>
      <c r="I1152" s="660" t="n">
        <f aca="false">'норма времени'!D1156</f>
        <v>40</v>
      </c>
      <c r="J1152" s="661" t="n">
        <f aca="false">H1152*I1152</f>
        <v>334.672021419009</v>
      </c>
    </row>
    <row r="1153" customFormat="false" ht="45" hidden="false" customHeight="false" outlineLevel="0" collapsed="false">
      <c r="A1153" s="327" t="s">
        <v>1897</v>
      </c>
      <c r="B1153" s="500" t="s">
        <v>3684</v>
      </c>
      <c r="C1153" s="954" t="n">
        <v>30000</v>
      </c>
      <c r="D1153" s="954" t="n">
        <v>25000</v>
      </c>
      <c r="E1153" s="954" t="n">
        <v>20000</v>
      </c>
      <c r="F1153" s="955" t="n">
        <f aca="false">C1153+D1153+E1153</f>
        <v>75000</v>
      </c>
      <c r="G1153" s="955" t="n">
        <f aca="false">F1153/149.4</f>
        <v>502.008032128514</v>
      </c>
      <c r="H1153" s="661" t="n">
        <f aca="false">G1153/60</f>
        <v>8.36680053547523</v>
      </c>
      <c r="I1153" s="660" t="n">
        <f aca="false">'норма времени'!D1157</f>
        <v>60</v>
      </c>
      <c r="J1153" s="661" t="n">
        <f aca="false">H1153*I1153</f>
        <v>502.008032128514</v>
      </c>
    </row>
    <row r="1154" customFormat="false" ht="30" hidden="false" customHeight="false" outlineLevel="0" collapsed="false">
      <c r="A1154" s="327" t="s">
        <v>1899</v>
      </c>
      <c r="B1154" s="500" t="s">
        <v>3685</v>
      </c>
      <c r="C1154" s="954" t="n">
        <v>30000</v>
      </c>
      <c r="D1154" s="954" t="n">
        <v>25000</v>
      </c>
      <c r="E1154" s="954" t="n">
        <v>20000</v>
      </c>
      <c r="F1154" s="955" t="n">
        <f aca="false">C1154+D1154+E1154</f>
        <v>75000</v>
      </c>
      <c r="G1154" s="955" t="n">
        <f aca="false">F1154/149.4</f>
        <v>502.008032128514</v>
      </c>
      <c r="H1154" s="661" t="n">
        <f aca="false">G1154/60</f>
        <v>8.36680053547523</v>
      </c>
      <c r="I1154" s="660" t="n">
        <f aca="false">'норма времени'!D1158</f>
        <v>40</v>
      </c>
      <c r="J1154" s="661" t="n">
        <f aca="false">H1154*I1154</f>
        <v>334.672021419009</v>
      </c>
    </row>
    <row r="1155" customFormat="false" ht="30" hidden="false" customHeight="false" outlineLevel="0" collapsed="false">
      <c r="A1155" s="327" t="s">
        <v>1901</v>
      </c>
      <c r="B1155" s="500" t="s">
        <v>3686</v>
      </c>
      <c r="C1155" s="954" t="n">
        <v>30000</v>
      </c>
      <c r="D1155" s="954" t="n">
        <v>25000</v>
      </c>
      <c r="E1155" s="954" t="n">
        <v>20000</v>
      </c>
      <c r="F1155" s="955" t="n">
        <f aca="false">C1155+D1155+E1155</f>
        <v>75000</v>
      </c>
      <c r="G1155" s="955" t="n">
        <f aca="false">F1155/149.4</f>
        <v>502.008032128514</v>
      </c>
      <c r="H1155" s="661" t="n">
        <f aca="false">G1155/60</f>
        <v>8.36680053547523</v>
      </c>
      <c r="I1155" s="660" t="n">
        <f aca="false">'норма времени'!D1159</f>
        <v>60</v>
      </c>
      <c r="J1155" s="661" t="n">
        <f aca="false">H1155*I1155</f>
        <v>502.008032128514</v>
      </c>
    </row>
    <row r="1156" customFormat="false" ht="30" hidden="false" customHeight="false" outlineLevel="0" collapsed="false">
      <c r="A1156" s="327" t="s">
        <v>1903</v>
      </c>
      <c r="B1156" s="500" t="s">
        <v>3687</v>
      </c>
      <c r="C1156" s="954" t="n">
        <v>30000</v>
      </c>
      <c r="D1156" s="954" t="n">
        <v>25000</v>
      </c>
      <c r="E1156" s="954" t="n">
        <v>20000</v>
      </c>
      <c r="F1156" s="955" t="n">
        <f aca="false">C1156+D1156+E1156</f>
        <v>75000</v>
      </c>
      <c r="G1156" s="955" t="n">
        <f aca="false">F1156/149.4</f>
        <v>502.008032128514</v>
      </c>
      <c r="H1156" s="661" t="n">
        <f aca="false">G1156/60</f>
        <v>8.36680053547523</v>
      </c>
      <c r="I1156" s="660" t="n">
        <f aca="false">'норма времени'!D1160</f>
        <v>40</v>
      </c>
      <c r="J1156" s="661" t="n">
        <f aca="false">H1156*I1156</f>
        <v>334.672021419009</v>
      </c>
    </row>
    <row r="1157" customFormat="false" ht="15" hidden="false" customHeight="false" outlineLevel="0" collapsed="false">
      <c r="A1157" s="327" t="s">
        <v>1905</v>
      </c>
      <c r="B1157" s="500" t="s">
        <v>3688</v>
      </c>
      <c r="C1157" s="954" t="n">
        <v>30000</v>
      </c>
      <c r="D1157" s="954" t="n">
        <v>25000</v>
      </c>
      <c r="E1157" s="954" t="n">
        <v>20000</v>
      </c>
      <c r="F1157" s="955" t="n">
        <f aca="false">C1157+D1157+E1157</f>
        <v>75000</v>
      </c>
      <c r="G1157" s="955" t="n">
        <f aca="false">F1157/149.4</f>
        <v>502.008032128514</v>
      </c>
      <c r="H1157" s="661" t="n">
        <f aca="false">G1157/60</f>
        <v>8.36680053547523</v>
      </c>
      <c r="I1157" s="660" t="n">
        <f aca="false">'норма времени'!D1161</f>
        <v>70</v>
      </c>
      <c r="J1157" s="661" t="n">
        <f aca="false">H1157*I1157</f>
        <v>585.676037483266</v>
      </c>
    </row>
    <row r="1158" customFormat="false" ht="30" hidden="false" customHeight="false" outlineLevel="0" collapsed="false">
      <c r="A1158" s="327" t="s">
        <v>1907</v>
      </c>
      <c r="B1158" s="500" t="s">
        <v>3689</v>
      </c>
      <c r="C1158" s="954" t="n">
        <v>30000</v>
      </c>
      <c r="D1158" s="954" t="n">
        <v>25000</v>
      </c>
      <c r="E1158" s="954" t="n">
        <v>20000</v>
      </c>
      <c r="F1158" s="955" t="n">
        <f aca="false">C1158+D1158+E1158</f>
        <v>75000</v>
      </c>
      <c r="G1158" s="955" t="n">
        <f aca="false">F1158/149.4</f>
        <v>502.008032128514</v>
      </c>
      <c r="H1158" s="661" t="n">
        <f aca="false">G1158/60</f>
        <v>8.36680053547523</v>
      </c>
      <c r="I1158" s="660" t="n">
        <f aca="false">'норма времени'!D1162</f>
        <v>55</v>
      </c>
      <c r="J1158" s="661" t="n">
        <f aca="false">H1158*I1158</f>
        <v>460.174029451138</v>
      </c>
    </row>
    <row r="1159" customFormat="false" ht="15" hidden="false" customHeight="false" outlineLevel="0" collapsed="false">
      <c r="A1159" s="327" t="s">
        <v>1909</v>
      </c>
      <c r="B1159" s="500" t="s">
        <v>3690</v>
      </c>
      <c r="C1159" s="954" t="n">
        <v>30000</v>
      </c>
      <c r="D1159" s="954" t="n">
        <v>25000</v>
      </c>
      <c r="E1159" s="954" t="n">
        <v>20000</v>
      </c>
      <c r="F1159" s="955" t="n">
        <f aca="false">C1159+D1159+E1159</f>
        <v>75000</v>
      </c>
      <c r="G1159" s="955" t="n">
        <f aca="false">F1159/149.4</f>
        <v>502.008032128514</v>
      </c>
      <c r="H1159" s="661" t="n">
        <f aca="false">G1159/60</f>
        <v>8.36680053547523</v>
      </c>
      <c r="I1159" s="660" t="n">
        <f aca="false">'норма времени'!D1163</f>
        <v>60</v>
      </c>
      <c r="J1159" s="661" t="n">
        <f aca="false">H1159*I1159</f>
        <v>502.008032128514</v>
      </c>
    </row>
    <row r="1160" customFormat="false" ht="30" hidden="false" customHeight="false" outlineLevel="0" collapsed="false">
      <c r="A1160" s="327" t="s">
        <v>1911</v>
      </c>
      <c r="B1160" s="500" t="s">
        <v>3691</v>
      </c>
      <c r="C1160" s="954" t="n">
        <v>30000</v>
      </c>
      <c r="D1160" s="954" t="n">
        <v>25000</v>
      </c>
      <c r="E1160" s="954" t="n">
        <v>20000</v>
      </c>
      <c r="F1160" s="955" t="n">
        <f aca="false">C1160+D1160+E1160</f>
        <v>75000</v>
      </c>
      <c r="G1160" s="955" t="n">
        <f aca="false">F1160/149.4</f>
        <v>502.008032128514</v>
      </c>
      <c r="H1160" s="661" t="n">
        <f aca="false">G1160/60</f>
        <v>8.36680053547523</v>
      </c>
      <c r="I1160" s="660" t="n">
        <f aca="false">'норма времени'!D1164</f>
        <v>40</v>
      </c>
      <c r="J1160" s="661" t="n">
        <f aca="false">H1160*I1160</f>
        <v>334.672021419009</v>
      </c>
    </row>
    <row r="1161" customFormat="false" ht="30" hidden="false" customHeight="false" outlineLevel="0" collapsed="false">
      <c r="A1161" s="327" t="s">
        <v>1913</v>
      </c>
      <c r="B1161" s="500" t="s">
        <v>3692</v>
      </c>
      <c r="C1161" s="954" t="n">
        <v>30000</v>
      </c>
      <c r="D1161" s="954" t="n">
        <v>25000</v>
      </c>
      <c r="E1161" s="954" t="n">
        <v>20000</v>
      </c>
      <c r="F1161" s="955" t="n">
        <f aca="false">C1161+D1161+E1161</f>
        <v>75000</v>
      </c>
      <c r="G1161" s="955" t="n">
        <f aca="false">F1161/149.4</f>
        <v>502.008032128514</v>
      </c>
      <c r="H1161" s="661" t="n">
        <f aca="false">G1161/60</f>
        <v>8.36680053547523</v>
      </c>
      <c r="I1161" s="660" t="n">
        <f aca="false">'норма времени'!D1165</f>
        <v>60</v>
      </c>
      <c r="J1161" s="661" t="n">
        <f aca="false">H1161*I1161</f>
        <v>502.008032128514</v>
      </c>
    </row>
    <row r="1162" customFormat="false" ht="30" hidden="false" customHeight="false" outlineLevel="0" collapsed="false">
      <c r="A1162" s="327" t="s">
        <v>1915</v>
      </c>
      <c r="B1162" s="500" t="s">
        <v>3693</v>
      </c>
      <c r="C1162" s="954" t="n">
        <v>30000</v>
      </c>
      <c r="D1162" s="954" t="n">
        <v>25000</v>
      </c>
      <c r="E1162" s="954" t="n">
        <v>20000</v>
      </c>
      <c r="F1162" s="955" t="n">
        <f aca="false">C1162+D1162+E1162</f>
        <v>75000</v>
      </c>
      <c r="G1162" s="955" t="n">
        <f aca="false">F1162/149.4</f>
        <v>502.008032128514</v>
      </c>
      <c r="H1162" s="661" t="n">
        <f aca="false">G1162/60</f>
        <v>8.36680053547523</v>
      </c>
      <c r="I1162" s="660" t="n">
        <f aca="false">'норма времени'!D1166</f>
        <v>40</v>
      </c>
      <c r="J1162" s="661" t="n">
        <f aca="false">H1162*I1162</f>
        <v>334.672021419009</v>
      </c>
    </row>
    <row r="1163" customFormat="false" ht="15" hidden="false" customHeight="false" outlineLevel="0" collapsed="false">
      <c r="A1163" s="327" t="s">
        <v>1917</v>
      </c>
      <c r="B1163" s="500" t="s">
        <v>3694</v>
      </c>
      <c r="C1163" s="954" t="n">
        <v>30000</v>
      </c>
      <c r="D1163" s="954" t="n">
        <v>25000</v>
      </c>
      <c r="E1163" s="954" t="n">
        <v>20000</v>
      </c>
      <c r="F1163" s="955" t="n">
        <f aca="false">C1163+D1163+E1163</f>
        <v>75000</v>
      </c>
      <c r="G1163" s="955" t="n">
        <f aca="false">F1163/149.4</f>
        <v>502.008032128514</v>
      </c>
      <c r="H1163" s="661" t="n">
        <f aca="false">G1163/60</f>
        <v>8.36680053547523</v>
      </c>
      <c r="I1163" s="660" t="n">
        <f aca="false">'норма времени'!D1167</f>
        <v>60</v>
      </c>
      <c r="J1163" s="661" t="n">
        <f aca="false">H1163*I1163</f>
        <v>502.008032128514</v>
      </c>
    </row>
    <row r="1164" customFormat="false" ht="15.75" hidden="false" customHeight="true" outlineLevel="0" collapsed="false">
      <c r="A1164" s="327" t="s">
        <v>1919</v>
      </c>
      <c r="B1164" s="500" t="s">
        <v>3695</v>
      </c>
      <c r="C1164" s="954" t="n">
        <v>30000</v>
      </c>
      <c r="D1164" s="954" t="n">
        <v>25000</v>
      </c>
      <c r="E1164" s="954" t="n">
        <v>20000</v>
      </c>
      <c r="F1164" s="955" t="n">
        <f aca="false">C1164+D1164+E1164</f>
        <v>75000</v>
      </c>
      <c r="G1164" s="955" t="n">
        <f aca="false">F1164/149.4</f>
        <v>502.008032128514</v>
      </c>
      <c r="H1164" s="661" t="n">
        <f aca="false">G1164/60</f>
        <v>8.36680053547523</v>
      </c>
      <c r="I1164" s="660" t="n">
        <f aca="false">'норма времени'!D1168</f>
        <v>40</v>
      </c>
      <c r="J1164" s="661" t="n">
        <f aca="false">H1164*I1164</f>
        <v>334.672021419009</v>
      </c>
    </row>
    <row r="1165" customFormat="false" ht="30" hidden="false" customHeight="false" outlineLevel="0" collapsed="false">
      <c r="A1165" s="327" t="s">
        <v>1921</v>
      </c>
      <c r="B1165" s="500" t="s">
        <v>3696</v>
      </c>
      <c r="C1165" s="954" t="n">
        <v>30000</v>
      </c>
      <c r="D1165" s="954" t="n">
        <v>25000</v>
      </c>
      <c r="E1165" s="954" t="n">
        <v>20000</v>
      </c>
      <c r="F1165" s="955" t="n">
        <f aca="false">C1165+D1165+E1165</f>
        <v>75000</v>
      </c>
      <c r="G1165" s="955" t="n">
        <f aca="false">F1165/149.4</f>
        <v>502.008032128514</v>
      </c>
      <c r="H1165" s="661" t="n">
        <f aca="false">G1165/60</f>
        <v>8.36680053547523</v>
      </c>
      <c r="I1165" s="660" t="n">
        <f aca="false">'норма времени'!D1169</f>
        <v>60</v>
      </c>
      <c r="J1165" s="661" t="n">
        <f aca="false">H1165*I1165</f>
        <v>502.008032128514</v>
      </c>
    </row>
    <row r="1166" customFormat="false" ht="15" hidden="false" customHeight="false" outlineLevel="0" collapsed="false">
      <c r="A1166" s="350" t="s">
        <v>1922</v>
      </c>
      <c r="B1166" s="509" t="s">
        <v>3697</v>
      </c>
      <c r="C1166" s="1248"/>
      <c r="D1166" s="1248"/>
      <c r="E1166" s="1248"/>
      <c r="F1166" s="1249"/>
      <c r="G1166" s="1249"/>
      <c r="H1166" s="1259"/>
      <c r="I1166" s="1255"/>
      <c r="J1166" s="1259"/>
    </row>
    <row r="1167" customFormat="false" ht="30" hidden="false" customHeight="false" outlineLevel="0" collapsed="false">
      <c r="A1167" s="327" t="s">
        <v>1924</v>
      </c>
      <c r="B1167" s="500" t="s">
        <v>3698</v>
      </c>
      <c r="C1167" s="954" t="n">
        <v>30000</v>
      </c>
      <c r="D1167" s="954" t="n">
        <v>25000</v>
      </c>
      <c r="E1167" s="954" t="n">
        <v>20000</v>
      </c>
      <c r="F1167" s="955" t="n">
        <f aca="false">C1167+D1167+E1167</f>
        <v>75000</v>
      </c>
      <c r="G1167" s="955" t="n">
        <f aca="false">F1167/149.4</f>
        <v>502.008032128514</v>
      </c>
      <c r="H1167" s="661" t="n">
        <f aca="false">G1167/60</f>
        <v>8.36680053547523</v>
      </c>
      <c r="I1167" s="660" t="n">
        <f aca="false">'норма времени'!D1171</f>
        <v>10</v>
      </c>
      <c r="J1167" s="661" t="n">
        <f aca="false">H1167*I1167</f>
        <v>83.6680053547523</v>
      </c>
    </row>
    <row r="1168" customFormat="false" ht="30" hidden="false" customHeight="false" outlineLevel="0" collapsed="false">
      <c r="A1168" s="327" t="s">
        <v>1926</v>
      </c>
      <c r="B1168" s="500" t="s">
        <v>3699</v>
      </c>
      <c r="C1168" s="954" t="n">
        <v>30000</v>
      </c>
      <c r="D1168" s="954" t="n">
        <v>25000</v>
      </c>
      <c r="E1168" s="954" t="n">
        <v>20000</v>
      </c>
      <c r="F1168" s="955" t="n">
        <f aca="false">C1168+D1168+E1168</f>
        <v>75000</v>
      </c>
      <c r="G1168" s="955" t="n">
        <f aca="false">F1168/149.4</f>
        <v>502.008032128514</v>
      </c>
      <c r="H1168" s="661" t="n">
        <f aca="false">G1168/60</f>
        <v>8.36680053547523</v>
      </c>
      <c r="I1168" s="660" t="n">
        <f aca="false">'норма времени'!D1172</f>
        <v>20</v>
      </c>
      <c r="J1168" s="661" t="n">
        <f aca="false">H1168*I1168</f>
        <v>167.336010709505</v>
      </c>
    </row>
    <row r="1169" customFormat="false" ht="30" hidden="false" customHeight="false" outlineLevel="0" collapsed="false">
      <c r="A1169" s="327" t="s">
        <v>1927</v>
      </c>
      <c r="B1169" s="500" t="s">
        <v>3700</v>
      </c>
      <c r="C1169" s="954" t="n">
        <v>30000</v>
      </c>
      <c r="D1169" s="954" t="n">
        <v>25000</v>
      </c>
      <c r="E1169" s="954" t="n">
        <v>20000</v>
      </c>
      <c r="F1169" s="955" t="n">
        <f aca="false">C1169+D1169+E1169</f>
        <v>75000</v>
      </c>
      <c r="G1169" s="955" t="n">
        <f aca="false">F1169/149.4</f>
        <v>502.008032128514</v>
      </c>
      <c r="H1169" s="661" t="n">
        <f aca="false">G1169/60</f>
        <v>8.36680053547523</v>
      </c>
      <c r="I1169" s="660" t="n">
        <f aca="false">'норма времени'!D1173</f>
        <v>20</v>
      </c>
      <c r="J1169" s="661" t="n">
        <f aca="false">H1169*I1169</f>
        <v>167.336010709505</v>
      </c>
    </row>
    <row r="1170" customFormat="false" ht="18" hidden="false" customHeight="true" outlineLevel="0" collapsed="false">
      <c r="A1170" s="327" t="s">
        <v>1929</v>
      </c>
      <c r="B1170" s="500" t="s">
        <v>3701</v>
      </c>
      <c r="C1170" s="954" t="n">
        <v>30000</v>
      </c>
      <c r="D1170" s="954" t="n">
        <v>25000</v>
      </c>
      <c r="E1170" s="954" t="n">
        <v>20000</v>
      </c>
      <c r="F1170" s="955" t="n">
        <f aca="false">C1170+D1170+E1170</f>
        <v>75000</v>
      </c>
      <c r="G1170" s="955" t="n">
        <f aca="false">F1170/149.4</f>
        <v>502.008032128514</v>
      </c>
      <c r="H1170" s="661" t="n">
        <f aca="false">G1170/60</f>
        <v>8.36680053547523</v>
      </c>
      <c r="I1170" s="660" t="n">
        <f aca="false">'норма времени'!D1174</f>
        <v>20</v>
      </c>
      <c r="J1170" s="661" t="n">
        <f aca="false">H1170*I1170</f>
        <v>167.336010709505</v>
      </c>
    </row>
    <row r="1171" customFormat="false" ht="30" hidden="false" customHeight="true" outlineLevel="0" collapsed="false">
      <c r="A1171" s="350" t="s">
        <v>1931</v>
      </c>
      <c r="B1171" s="509" t="s">
        <v>3702</v>
      </c>
      <c r="C1171" s="1248"/>
      <c r="D1171" s="1248"/>
      <c r="E1171" s="1248"/>
      <c r="F1171" s="1249"/>
      <c r="G1171" s="1249"/>
      <c r="H1171" s="1259"/>
      <c r="I1171" s="1255"/>
      <c r="J1171" s="1259"/>
    </row>
    <row r="1172" customFormat="false" ht="29.25" hidden="false" customHeight="true" outlineLevel="0" collapsed="false">
      <c r="A1172" s="327" t="s">
        <v>1933</v>
      </c>
      <c r="B1172" s="500" t="s">
        <v>3703</v>
      </c>
      <c r="C1172" s="954" t="n">
        <v>30000</v>
      </c>
      <c r="D1172" s="954" t="n">
        <v>25000</v>
      </c>
      <c r="E1172" s="954" t="n">
        <v>20000</v>
      </c>
      <c r="F1172" s="955" t="n">
        <f aca="false">C1172+D1172+E1172</f>
        <v>75000</v>
      </c>
      <c r="G1172" s="955" t="n">
        <f aca="false">F1172/149.4</f>
        <v>502.008032128514</v>
      </c>
      <c r="H1172" s="661" t="n">
        <f aca="false">G1172/60</f>
        <v>8.36680053547523</v>
      </c>
      <c r="I1172" s="660" t="n">
        <f aca="false">'норма времени'!D1176</f>
        <v>30</v>
      </c>
      <c r="J1172" s="661" t="n">
        <f aca="false">H1172*I1172</f>
        <v>251.004016064257</v>
      </c>
    </row>
    <row r="1173" customFormat="false" ht="32.25" hidden="false" customHeight="true" outlineLevel="0" collapsed="false">
      <c r="A1173" s="327" t="s">
        <v>1935</v>
      </c>
      <c r="B1173" s="500" t="s">
        <v>3704</v>
      </c>
      <c r="C1173" s="954" t="n">
        <v>30000</v>
      </c>
      <c r="D1173" s="954" t="n">
        <v>25000</v>
      </c>
      <c r="E1173" s="954" t="n">
        <v>20000</v>
      </c>
      <c r="F1173" s="955" t="n">
        <f aca="false">C1173+D1173+E1173</f>
        <v>75000</v>
      </c>
      <c r="G1173" s="955" t="n">
        <f aca="false">F1173/149.4</f>
        <v>502.008032128514</v>
      </c>
      <c r="H1173" s="661" t="n">
        <f aca="false">G1173/60</f>
        <v>8.36680053547523</v>
      </c>
      <c r="I1173" s="660" t="n">
        <f aca="false">'норма времени'!D1177</f>
        <v>45</v>
      </c>
      <c r="J1173" s="661" t="n">
        <f aca="false">H1173*I1173</f>
        <v>376.506024096386</v>
      </c>
    </row>
    <row r="1174" customFormat="false" ht="15" hidden="false" customHeight="false" outlineLevel="0" collapsed="false">
      <c r="A1174" s="327" t="s">
        <v>1937</v>
      </c>
      <c r="B1174" s="500" t="s">
        <v>3705</v>
      </c>
      <c r="C1174" s="954" t="n">
        <v>30000</v>
      </c>
      <c r="D1174" s="954" t="n">
        <v>25000</v>
      </c>
      <c r="E1174" s="954" t="n">
        <v>20000</v>
      </c>
      <c r="F1174" s="955" t="n">
        <f aca="false">C1174+D1174+E1174</f>
        <v>75000</v>
      </c>
      <c r="G1174" s="955" t="n">
        <f aca="false">F1174/149.4</f>
        <v>502.008032128514</v>
      </c>
      <c r="H1174" s="661" t="n">
        <f aca="false">G1174/60</f>
        <v>8.36680053547523</v>
      </c>
      <c r="I1174" s="660" t="n">
        <f aca="false">'норма времени'!D1178</f>
        <v>40</v>
      </c>
      <c r="J1174" s="661" t="n">
        <f aca="false">H1174*I1174</f>
        <v>334.672021419009</v>
      </c>
    </row>
    <row r="1175" customFormat="false" ht="15" hidden="false" customHeight="false" outlineLevel="0" collapsed="false">
      <c r="A1175" s="327" t="s">
        <v>1939</v>
      </c>
      <c r="B1175" s="500" t="s">
        <v>3706</v>
      </c>
      <c r="C1175" s="954" t="n">
        <v>30000</v>
      </c>
      <c r="D1175" s="954" t="n">
        <v>25000</v>
      </c>
      <c r="E1175" s="954" t="n">
        <v>20000</v>
      </c>
      <c r="F1175" s="955" t="n">
        <f aca="false">C1175+D1175+E1175</f>
        <v>75000</v>
      </c>
      <c r="G1175" s="955" t="n">
        <f aca="false">F1175/149.4</f>
        <v>502.008032128514</v>
      </c>
      <c r="H1175" s="661" t="n">
        <f aca="false">G1175/60</f>
        <v>8.36680053547523</v>
      </c>
      <c r="I1175" s="660" t="n">
        <f aca="false">'норма времени'!D1179</f>
        <v>45</v>
      </c>
      <c r="J1175" s="661" t="n">
        <f aca="false">H1175*I1175</f>
        <v>376.506024096386</v>
      </c>
    </row>
    <row r="1176" customFormat="false" ht="30" hidden="false" customHeight="false" outlineLevel="0" collapsed="false">
      <c r="A1176" s="327" t="s">
        <v>1941</v>
      </c>
      <c r="B1176" s="500" t="s">
        <v>3707</v>
      </c>
      <c r="C1176" s="954" t="n">
        <v>30000</v>
      </c>
      <c r="D1176" s="954" t="n">
        <v>25000</v>
      </c>
      <c r="E1176" s="954" t="n">
        <v>20000</v>
      </c>
      <c r="F1176" s="955" t="n">
        <f aca="false">C1176+D1176+E1176</f>
        <v>75000</v>
      </c>
      <c r="G1176" s="955" t="n">
        <f aca="false">F1176/149.4</f>
        <v>502.008032128514</v>
      </c>
      <c r="H1176" s="661" t="n">
        <f aca="false">G1176/60</f>
        <v>8.36680053547523</v>
      </c>
      <c r="I1176" s="660" t="n">
        <f aca="false">'норма времени'!D1180</f>
        <v>40</v>
      </c>
      <c r="J1176" s="661" t="n">
        <f aca="false">H1176*I1176</f>
        <v>334.672021419009</v>
      </c>
    </row>
    <row r="1177" customFormat="false" ht="30" hidden="false" customHeight="false" outlineLevel="0" collapsed="false">
      <c r="A1177" s="327" t="s">
        <v>1943</v>
      </c>
      <c r="B1177" s="500" t="s">
        <v>3708</v>
      </c>
      <c r="C1177" s="954" t="n">
        <v>30000</v>
      </c>
      <c r="D1177" s="954" t="n">
        <v>25000</v>
      </c>
      <c r="E1177" s="954" t="n">
        <v>20000</v>
      </c>
      <c r="F1177" s="955" t="n">
        <f aca="false">C1177+D1177+E1177</f>
        <v>75000</v>
      </c>
      <c r="G1177" s="955" t="n">
        <f aca="false">F1177/149.4</f>
        <v>502.008032128514</v>
      </c>
      <c r="H1177" s="661" t="n">
        <f aca="false">G1177/60</f>
        <v>8.36680053547523</v>
      </c>
      <c r="I1177" s="660" t="n">
        <f aca="false">'норма времени'!D1181</f>
        <v>45</v>
      </c>
      <c r="J1177" s="661" t="n">
        <f aca="false">H1177*I1177</f>
        <v>376.506024096386</v>
      </c>
    </row>
    <row r="1178" customFormat="false" ht="15" hidden="false" customHeight="false" outlineLevel="0" collapsed="false">
      <c r="A1178" s="350" t="s">
        <v>1945</v>
      </c>
      <c r="B1178" s="509" t="s">
        <v>3709</v>
      </c>
      <c r="C1178" s="1248"/>
      <c r="D1178" s="1248"/>
      <c r="E1178" s="1248"/>
      <c r="F1178" s="1249"/>
      <c r="G1178" s="1249"/>
      <c r="H1178" s="1259"/>
      <c r="I1178" s="1255"/>
      <c r="J1178" s="1259"/>
    </row>
    <row r="1179" customFormat="false" ht="45" hidden="false" customHeight="false" outlineLevel="0" collapsed="false">
      <c r="A1179" s="327" t="s">
        <v>1947</v>
      </c>
      <c r="B1179" s="500" t="s">
        <v>3710</v>
      </c>
      <c r="C1179" s="954" t="n">
        <v>30000</v>
      </c>
      <c r="D1179" s="954" t="n">
        <v>25000</v>
      </c>
      <c r="E1179" s="954" t="n">
        <v>20000</v>
      </c>
      <c r="F1179" s="955" t="n">
        <f aca="false">C1179+D1179+E1179</f>
        <v>75000</v>
      </c>
      <c r="G1179" s="955" t="n">
        <f aca="false">F1179/149.4</f>
        <v>502.008032128514</v>
      </c>
      <c r="H1179" s="661" t="n">
        <f aca="false">G1179/60</f>
        <v>8.36680053547523</v>
      </c>
      <c r="I1179" s="660" t="n">
        <f aca="false">'норма времени'!D1183</f>
        <v>30</v>
      </c>
      <c r="J1179" s="661" t="n">
        <f aca="false">H1179*I1179</f>
        <v>251.004016064257</v>
      </c>
    </row>
    <row r="1180" customFormat="false" ht="20.25" hidden="false" customHeight="true" outlineLevel="0" collapsed="false">
      <c r="A1180" s="327" t="s">
        <v>1949</v>
      </c>
      <c r="B1180" s="522" t="s">
        <v>3711</v>
      </c>
      <c r="C1180" s="954" t="n">
        <v>30000</v>
      </c>
      <c r="D1180" s="954" t="n">
        <v>25000</v>
      </c>
      <c r="E1180" s="954" t="n">
        <v>20000</v>
      </c>
      <c r="F1180" s="955" t="n">
        <f aca="false">C1180+D1180+E1180</f>
        <v>75000</v>
      </c>
      <c r="G1180" s="955" t="n">
        <f aca="false">F1180/149.4</f>
        <v>502.008032128514</v>
      </c>
      <c r="H1180" s="661" t="n">
        <f aca="false">G1180/60</f>
        <v>8.36680053547523</v>
      </c>
      <c r="I1180" s="660" t="n">
        <f aca="false">'норма времени'!D1184</f>
        <v>50</v>
      </c>
      <c r="J1180" s="661" t="n">
        <f aca="false">H1180*I1180</f>
        <v>418.340026773762</v>
      </c>
    </row>
    <row r="1181" customFormat="false" ht="41.25" hidden="false" customHeight="true" outlineLevel="0" collapsed="false">
      <c r="A1181" s="327" t="s">
        <v>1950</v>
      </c>
      <c r="B1181" s="522" t="s">
        <v>3693</v>
      </c>
      <c r="C1181" s="954" t="n">
        <v>30000</v>
      </c>
      <c r="D1181" s="954" t="n">
        <v>25000</v>
      </c>
      <c r="E1181" s="954" t="n">
        <v>20000</v>
      </c>
      <c r="F1181" s="955" t="n">
        <f aca="false">C1181+D1181+E1181</f>
        <v>75000</v>
      </c>
      <c r="G1181" s="955" t="n">
        <f aca="false">F1181/149.4</f>
        <v>502.008032128514</v>
      </c>
      <c r="H1181" s="661" t="n">
        <f aca="false">G1181/60</f>
        <v>8.36680053547523</v>
      </c>
      <c r="I1181" s="660" t="n">
        <f aca="false">'норма времени'!D1185</f>
        <v>40</v>
      </c>
      <c r="J1181" s="661" t="n">
        <f aca="false">H1181*I1181</f>
        <v>334.672021419009</v>
      </c>
    </row>
    <row r="1182" customFormat="false" ht="30" hidden="false" customHeight="false" outlineLevel="0" collapsed="false">
      <c r="A1182" s="327" t="s">
        <v>1951</v>
      </c>
      <c r="B1182" s="522" t="s">
        <v>3691</v>
      </c>
      <c r="C1182" s="954" t="n">
        <v>30000</v>
      </c>
      <c r="D1182" s="954" t="n">
        <v>25000</v>
      </c>
      <c r="E1182" s="954" t="n">
        <v>20000</v>
      </c>
      <c r="F1182" s="955" t="n">
        <f aca="false">C1182+D1182+E1182</f>
        <v>75000</v>
      </c>
      <c r="G1182" s="955" t="n">
        <f aca="false">F1182/149.4</f>
        <v>502.008032128514</v>
      </c>
      <c r="H1182" s="661" t="n">
        <f aca="false">G1182/60</f>
        <v>8.36680053547523</v>
      </c>
      <c r="I1182" s="660" t="n">
        <f aca="false">'норма времени'!D1186</f>
        <v>40</v>
      </c>
      <c r="J1182" s="661" t="n">
        <f aca="false">H1182*I1182</f>
        <v>334.672021419009</v>
      </c>
    </row>
    <row r="1183" customFormat="false" ht="45" hidden="false" customHeight="false" outlineLevel="0" collapsed="false">
      <c r="A1183" s="327" t="s">
        <v>1952</v>
      </c>
      <c r="B1183" s="522" t="s">
        <v>3712</v>
      </c>
      <c r="C1183" s="954" t="n">
        <v>30000</v>
      </c>
      <c r="D1183" s="954" t="n">
        <v>25000</v>
      </c>
      <c r="E1183" s="954" t="n">
        <v>20000</v>
      </c>
      <c r="F1183" s="955" t="n">
        <f aca="false">C1183+D1183+E1183</f>
        <v>75000</v>
      </c>
      <c r="G1183" s="955" t="n">
        <f aca="false">F1183/149.4</f>
        <v>502.008032128514</v>
      </c>
      <c r="H1183" s="661" t="n">
        <f aca="false">G1183/60</f>
        <v>8.36680053547523</v>
      </c>
      <c r="I1183" s="660" t="n">
        <f aca="false">'норма времени'!D1187</f>
        <v>40</v>
      </c>
      <c r="J1183" s="661" t="n">
        <f aca="false">H1183*I1183</f>
        <v>334.672021419009</v>
      </c>
    </row>
    <row r="1184" customFormat="false" ht="15" hidden="false" customHeight="false" outlineLevel="0" collapsed="false">
      <c r="A1184" s="350" t="s">
        <v>1954</v>
      </c>
      <c r="B1184" s="1275" t="s">
        <v>3713</v>
      </c>
      <c r="C1184" s="1248"/>
      <c r="D1184" s="1248"/>
      <c r="E1184" s="1248"/>
      <c r="F1184" s="1249"/>
      <c r="G1184" s="1249"/>
      <c r="H1184" s="1259"/>
      <c r="I1184" s="1255"/>
      <c r="J1184" s="1259"/>
    </row>
    <row r="1185" customFormat="false" ht="30" hidden="false" customHeight="false" outlineLevel="0" collapsed="false">
      <c r="A1185" s="327" t="s">
        <v>1956</v>
      </c>
      <c r="B1185" s="500" t="s">
        <v>3714</v>
      </c>
      <c r="C1185" s="954" t="n">
        <v>30000</v>
      </c>
      <c r="D1185" s="954" t="n">
        <v>25000</v>
      </c>
      <c r="E1185" s="954" t="n">
        <v>20000</v>
      </c>
      <c r="F1185" s="955" t="n">
        <f aca="false">C1185+D1185+E1185</f>
        <v>75000</v>
      </c>
      <c r="G1185" s="955" t="n">
        <f aca="false">F1185/149.4</f>
        <v>502.008032128514</v>
      </c>
      <c r="H1185" s="661" t="n">
        <f aca="false">G1185/60</f>
        <v>8.36680053547523</v>
      </c>
      <c r="I1185" s="660" t="n">
        <f aca="false">'норма времени'!D1189</f>
        <v>40</v>
      </c>
      <c r="J1185" s="661" t="n">
        <f aca="false">H1185*I1185</f>
        <v>334.672021419009</v>
      </c>
    </row>
    <row r="1186" customFormat="false" ht="30" hidden="false" customHeight="false" outlineLevel="0" collapsed="false">
      <c r="A1186" s="327" t="s">
        <v>1958</v>
      </c>
      <c r="B1186" s="500" t="s">
        <v>3715</v>
      </c>
      <c r="C1186" s="954" t="n">
        <v>30000</v>
      </c>
      <c r="D1186" s="954" t="n">
        <v>25000</v>
      </c>
      <c r="E1186" s="954" t="n">
        <v>20000</v>
      </c>
      <c r="F1186" s="955" t="n">
        <f aca="false">C1186+D1186+E1186</f>
        <v>75000</v>
      </c>
      <c r="G1186" s="955" t="n">
        <f aca="false">F1186/149.4</f>
        <v>502.008032128514</v>
      </c>
      <c r="H1186" s="661" t="n">
        <f aca="false">G1186/60</f>
        <v>8.36680053547523</v>
      </c>
      <c r="I1186" s="660" t="n">
        <f aca="false">'норма времени'!D1190</f>
        <v>40</v>
      </c>
      <c r="J1186" s="661" t="n">
        <f aca="false">H1186*I1186</f>
        <v>334.672021419009</v>
      </c>
    </row>
    <row r="1187" customFormat="false" ht="30" hidden="false" customHeight="false" outlineLevel="0" collapsed="false">
      <c r="A1187" s="327" t="s">
        <v>1960</v>
      </c>
      <c r="B1187" s="500" t="s">
        <v>3716</v>
      </c>
      <c r="C1187" s="954" t="n">
        <v>30000</v>
      </c>
      <c r="D1187" s="954" t="n">
        <v>25000</v>
      </c>
      <c r="E1187" s="954" t="n">
        <v>20000</v>
      </c>
      <c r="F1187" s="955" t="n">
        <f aca="false">C1187+D1187+E1187</f>
        <v>75000</v>
      </c>
      <c r="G1187" s="955" t="n">
        <f aca="false">F1187/149.4</f>
        <v>502.008032128514</v>
      </c>
      <c r="H1187" s="661" t="n">
        <f aca="false">G1187/60</f>
        <v>8.36680053547523</v>
      </c>
      <c r="I1187" s="660" t="n">
        <f aca="false">'норма времени'!D1191</f>
        <v>40</v>
      </c>
      <c r="J1187" s="661" t="n">
        <f aca="false">H1187*I1187</f>
        <v>334.672021419009</v>
      </c>
    </row>
    <row r="1188" customFormat="false" ht="30" hidden="false" customHeight="false" outlineLevel="0" collapsed="false">
      <c r="A1188" s="327" t="s">
        <v>1962</v>
      </c>
      <c r="B1188" s="500" t="s">
        <v>3717</v>
      </c>
      <c r="C1188" s="954" t="n">
        <v>30000</v>
      </c>
      <c r="D1188" s="954" t="n">
        <v>25000</v>
      </c>
      <c r="E1188" s="954" t="n">
        <v>20000</v>
      </c>
      <c r="F1188" s="955" t="n">
        <f aca="false">C1188+D1188+E1188</f>
        <v>75000</v>
      </c>
      <c r="G1188" s="955" t="n">
        <f aca="false">F1188/149.4</f>
        <v>502.008032128514</v>
      </c>
      <c r="H1188" s="661" t="n">
        <f aca="false">G1188/60</f>
        <v>8.36680053547523</v>
      </c>
      <c r="I1188" s="660" t="n">
        <f aca="false">'норма времени'!D1192</f>
        <v>40</v>
      </c>
      <c r="J1188" s="661" t="n">
        <f aca="false">H1188*I1188</f>
        <v>334.672021419009</v>
      </c>
    </row>
    <row r="1189" customFormat="false" ht="16.5" hidden="false" customHeight="true" outlineLevel="0" collapsed="false">
      <c r="A1189" s="327" t="s">
        <v>1964</v>
      </c>
      <c r="B1189" s="500" t="s">
        <v>3693</v>
      </c>
      <c r="C1189" s="954" t="n">
        <v>30000</v>
      </c>
      <c r="D1189" s="954" t="n">
        <v>25000</v>
      </c>
      <c r="E1189" s="954" t="n">
        <v>20000</v>
      </c>
      <c r="F1189" s="955" t="n">
        <f aca="false">C1189+D1189+E1189</f>
        <v>75000</v>
      </c>
      <c r="G1189" s="955" t="n">
        <f aca="false">F1189/149.4</f>
        <v>502.008032128514</v>
      </c>
      <c r="H1189" s="661" t="n">
        <f aca="false">G1189/60</f>
        <v>8.36680053547523</v>
      </c>
      <c r="I1189" s="660" t="n">
        <f aca="false">'норма времени'!D1193</f>
        <v>40</v>
      </c>
      <c r="J1189" s="661" t="n">
        <f aca="false">H1189*I1189</f>
        <v>334.672021419009</v>
      </c>
    </row>
    <row r="1190" customFormat="false" ht="30" hidden="false" customHeight="false" outlineLevel="0" collapsed="false">
      <c r="A1190" s="327" t="s">
        <v>1965</v>
      </c>
      <c r="B1190" s="500" t="s">
        <v>3691</v>
      </c>
      <c r="C1190" s="954" t="n">
        <v>30000</v>
      </c>
      <c r="D1190" s="954" t="n">
        <v>25000</v>
      </c>
      <c r="E1190" s="954" t="n">
        <v>20000</v>
      </c>
      <c r="F1190" s="955" t="n">
        <f aca="false">C1190+D1190+E1190</f>
        <v>75000</v>
      </c>
      <c r="G1190" s="955" t="n">
        <f aca="false">F1190/149.4</f>
        <v>502.008032128514</v>
      </c>
      <c r="H1190" s="661" t="n">
        <f aca="false">G1190/60</f>
        <v>8.36680053547523</v>
      </c>
      <c r="I1190" s="660" t="n">
        <f aca="false">'норма времени'!D1194</f>
        <v>40</v>
      </c>
      <c r="J1190" s="661" t="n">
        <f aca="false">H1190*I1190</f>
        <v>334.672021419009</v>
      </c>
    </row>
    <row r="1191" customFormat="false" ht="30" hidden="false" customHeight="false" outlineLevel="0" collapsed="false">
      <c r="A1191" s="327" t="s">
        <v>1966</v>
      </c>
      <c r="B1191" s="500" t="s">
        <v>3718</v>
      </c>
      <c r="C1191" s="954" t="n">
        <v>30000</v>
      </c>
      <c r="D1191" s="954" t="n">
        <v>25000</v>
      </c>
      <c r="E1191" s="954" t="n">
        <v>20000</v>
      </c>
      <c r="F1191" s="955" t="n">
        <f aca="false">C1191+D1191+E1191</f>
        <v>75000</v>
      </c>
      <c r="G1191" s="955" t="n">
        <f aca="false">F1191/149.4</f>
        <v>502.008032128514</v>
      </c>
      <c r="H1191" s="661" t="n">
        <f aca="false">G1191/60</f>
        <v>8.36680053547523</v>
      </c>
      <c r="I1191" s="660" t="n">
        <f aca="false">'норма времени'!D1195</f>
        <v>46</v>
      </c>
      <c r="J1191" s="661" t="n">
        <f aca="false">H1191*I1191</f>
        <v>384.872824631861</v>
      </c>
    </row>
    <row r="1192" customFormat="false" ht="30" hidden="false" customHeight="false" outlineLevel="0" collapsed="false">
      <c r="A1192" s="327" t="s">
        <v>1968</v>
      </c>
      <c r="B1192" s="500" t="s">
        <v>3719</v>
      </c>
      <c r="C1192" s="954" t="n">
        <v>30000</v>
      </c>
      <c r="D1192" s="954" t="n">
        <v>25000</v>
      </c>
      <c r="E1192" s="954" t="n">
        <v>20000</v>
      </c>
      <c r="F1192" s="955" t="n">
        <f aca="false">C1192+D1192+E1192</f>
        <v>75000</v>
      </c>
      <c r="G1192" s="955" t="n">
        <f aca="false">F1192/149.4</f>
        <v>502.008032128514</v>
      </c>
      <c r="H1192" s="661" t="n">
        <f aca="false">G1192/60</f>
        <v>8.36680053547523</v>
      </c>
      <c r="I1192" s="660" t="n">
        <f aca="false">'норма времени'!D1196</f>
        <v>40</v>
      </c>
      <c r="J1192" s="661" t="n">
        <f aca="false">H1192*I1192</f>
        <v>334.672021419009</v>
      </c>
    </row>
    <row r="1193" customFormat="false" ht="15" hidden="false" customHeight="false" outlineLevel="0" collapsed="false">
      <c r="A1193" s="350" t="s">
        <v>1969</v>
      </c>
      <c r="B1193" s="509" t="s">
        <v>3720</v>
      </c>
      <c r="C1193" s="1248"/>
      <c r="D1193" s="1248"/>
      <c r="E1193" s="1248"/>
      <c r="F1193" s="1249"/>
      <c r="G1193" s="1249"/>
      <c r="H1193" s="1259"/>
      <c r="I1193" s="1255"/>
      <c r="J1193" s="1259"/>
    </row>
    <row r="1194" customFormat="false" ht="30.75" hidden="false" customHeight="true" outlineLevel="0" collapsed="false">
      <c r="A1194" s="327" t="s">
        <v>1971</v>
      </c>
      <c r="B1194" s="500" t="s">
        <v>3721</v>
      </c>
      <c r="C1194" s="954" t="n">
        <v>30000</v>
      </c>
      <c r="D1194" s="954" t="n">
        <v>25000</v>
      </c>
      <c r="E1194" s="954" t="n">
        <v>20000</v>
      </c>
      <c r="F1194" s="955" t="n">
        <f aca="false">C1194+D1194+E1194</f>
        <v>75000</v>
      </c>
      <c r="G1194" s="955" t="n">
        <f aca="false">F1194/149.4</f>
        <v>502.008032128514</v>
      </c>
      <c r="H1194" s="661" t="n">
        <f aca="false">G1194/60</f>
        <v>8.36680053547523</v>
      </c>
      <c r="I1194" s="660" t="n">
        <f aca="false">'норма времени'!D1198</f>
        <v>100</v>
      </c>
      <c r="J1194" s="661" t="n">
        <f aca="false">H1194*I1194</f>
        <v>836.680053547523</v>
      </c>
    </row>
    <row r="1195" customFormat="false" ht="30" hidden="false" customHeight="false" outlineLevel="0" collapsed="false">
      <c r="A1195" s="327" t="s">
        <v>1973</v>
      </c>
      <c r="B1195" s="500" t="s">
        <v>3722</v>
      </c>
      <c r="C1195" s="954" t="n">
        <v>30000</v>
      </c>
      <c r="D1195" s="954" t="n">
        <v>25000</v>
      </c>
      <c r="E1195" s="954" t="n">
        <v>20000</v>
      </c>
      <c r="F1195" s="955" t="n">
        <f aca="false">C1195+D1195+E1195</f>
        <v>75000</v>
      </c>
      <c r="G1195" s="955" t="n">
        <f aca="false">F1195/149.4</f>
        <v>502.008032128514</v>
      </c>
      <c r="H1195" s="661" t="n">
        <f aca="false">G1195/60</f>
        <v>8.36680053547523</v>
      </c>
      <c r="I1195" s="660" t="n">
        <f aca="false">'норма времени'!D1199</f>
        <v>100</v>
      </c>
      <c r="J1195" s="661" t="n">
        <f aca="false">H1195*I1195</f>
        <v>836.680053547523</v>
      </c>
    </row>
    <row r="1196" customFormat="false" ht="30" hidden="false" customHeight="false" outlineLevel="0" collapsed="false">
      <c r="A1196" s="327" t="s">
        <v>1974</v>
      </c>
      <c r="B1196" s="500" t="s">
        <v>3693</v>
      </c>
      <c r="C1196" s="954" t="n">
        <v>30000</v>
      </c>
      <c r="D1196" s="954" t="n">
        <v>25000</v>
      </c>
      <c r="E1196" s="954" t="n">
        <v>20000</v>
      </c>
      <c r="F1196" s="955" t="n">
        <f aca="false">C1196+D1196+E1196</f>
        <v>75000</v>
      </c>
      <c r="G1196" s="955" t="n">
        <f aca="false">F1196/149.4</f>
        <v>502.008032128514</v>
      </c>
      <c r="H1196" s="661" t="n">
        <f aca="false">G1196/60</f>
        <v>8.36680053547523</v>
      </c>
      <c r="I1196" s="660" t="n">
        <f aca="false">'норма времени'!D1200</f>
        <v>100</v>
      </c>
      <c r="J1196" s="661" t="n">
        <f aca="false">H1196*I1196</f>
        <v>836.680053547523</v>
      </c>
    </row>
    <row r="1197" customFormat="false" ht="15" hidden="false" customHeight="false" outlineLevel="0" collapsed="false">
      <c r="A1197" s="327" t="s">
        <v>1975</v>
      </c>
      <c r="B1197" s="500" t="s">
        <v>3723</v>
      </c>
      <c r="C1197" s="954" t="n">
        <v>30000</v>
      </c>
      <c r="D1197" s="954" t="n">
        <v>25000</v>
      </c>
      <c r="E1197" s="954" t="n">
        <v>20000</v>
      </c>
      <c r="F1197" s="955" t="n">
        <f aca="false">C1197+D1197+E1197</f>
        <v>75000</v>
      </c>
      <c r="G1197" s="955" t="n">
        <f aca="false">F1197/149.4</f>
        <v>502.008032128514</v>
      </c>
      <c r="H1197" s="661" t="n">
        <f aca="false">G1197/60</f>
        <v>8.36680053547523</v>
      </c>
      <c r="I1197" s="660" t="n">
        <f aca="false">'норма времени'!D1201</f>
        <v>100</v>
      </c>
      <c r="J1197" s="661" t="n">
        <f aca="false">H1197*I1197</f>
        <v>836.680053547523</v>
      </c>
    </row>
    <row r="1198" customFormat="false" ht="30" hidden="false" customHeight="false" outlineLevel="0" collapsed="false">
      <c r="A1198" s="327" t="s">
        <v>1976</v>
      </c>
      <c r="B1198" s="500" t="s">
        <v>3724</v>
      </c>
      <c r="C1198" s="954" t="n">
        <v>30000</v>
      </c>
      <c r="D1198" s="954" t="n">
        <v>25000</v>
      </c>
      <c r="E1198" s="954" t="n">
        <v>20000</v>
      </c>
      <c r="F1198" s="955" t="n">
        <f aca="false">C1198+D1198+E1198</f>
        <v>75000</v>
      </c>
      <c r="G1198" s="955" t="n">
        <f aca="false">F1198/149.4</f>
        <v>502.008032128514</v>
      </c>
      <c r="H1198" s="661" t="n">
        <f aca="false">G1198/60</f>
        <v>8.36680053547523</v>
      </c>
      <c r="I1198" s="660" t="n">
        <f aca="false">'норма времени'!D1202</f>
        <v>100</v>
      </c>
      <c r="J1198" s="661" t="n">
        <f aca="false">H1198*I1198</f>
        <v>836.680053547523</v>
      </c>
    </row>
    <row r="1199" customFormat="false" ht="39.75" hidden="false" customHeight="true" outlineLevel="0" collapsed="false">
      <c r="A1199" s="327" t="s">
        <v>1978</v>
      </c>
      <c r="B1199" s="500" t="s">
        <v>3725</v>
      </c>
      <c r="C1199" s="954" t="n">
        <v>30000</v>
      </c>
      <c r="D1199" s="954" t="n">
        <v>25000</v>
      </c>
      <c r="E1199" s="954" t="n">
        <v>20000</v>
      </c>
      <c r="F1199" s="955" t="n">
        <f aca="false">C1199+D1199+E1199</f>
        <v>75000</v>
      </c>
      <c r="G1199" s="955" t="n">
        <f aca="false">F1199/149.4</f>
        <v>502.008032128514</v>
      </c>
      <c r="H1199" s="661" t="n">
        <f aca="false">G1199/60</f>
        <v>8.36680053547523</v>
      </c>
      <c r="I1199" s="660" t="n">
        <f aca="false">'норма времени'!D1203</f>
        <v>100</v>
      </c>
      <c r="J1199" s="661" t="n">
        <f aca="false">H1199*I1199</f>
        <v>836.680053547523</v>
      </c>
    </row>
    <row r="1200" customFormat="false" ht="15.75" hidden="false" customHeight="true" outlineLevel="0" collapsed="false">
      <c r="A1200" s="327" t="s">
        <v>1980</v>
      </c>
      <c r="B1200" s="500" t="s">
        <v>3667</v>
      </c>
      <c r="C1200" s="954" t="n">
        <v>30000</v>
      </c>
      <c r="D1200" s="954" t="n">
        <v>25000</v>
      </c>
      <c r="E1200" s="954" t="n">
        <v>20000</v>
      </c>
      <c r="F1200" s="955" t="n">
        <f aca="false">C1200+D1200+E1200</f>
        <v>75000</v>
      </c>
      <c r="G1200" s="955" t="n">
        <f aca="false">F1200/149.4</f>
        <v>502.008032128514</v>
      </c>
      <c r="H1200" s="661" t="n">
        <f aca="false">G1200/60</f>
        <v>8.36680053547523</v>
      </c>
      <c r="I1200" s="660" t="n">
        <f aca="false">'норма времени'!D1204</f>
        <v>100</v>
      </c>
      <c r="J1200" s="661" t="n">
        <f aca="false">H1200*I1200</f>
        <v>836.680053547523</v>
      </c>
    </row>
    <row r="1201" customFormat="false" ht="30" hidden="false" customHeight="false" outlineLevel="0" collapsed="false">
      <c r="A1201" s="327" t="s">
        <v>1982</v>
      </c>
      <c r="B1201" s="500" t="s">
        <v>3668</v>
      </c>
      <c r="C1201" s="954" t="n">
        <v>30000</v>
      </c>
      <c r="D1201" s="954" t="n">
        <v>25000</v>
      </c>
      <c r="E1201" s="954" t="n">
        <v>20000</v>
      </c>
      <c r="F1201" s="955" t="n">
        <f aca="false">C1201+D1201+E1201</f>
        <v>75000</v>
      </c>
      <c r="G1201" s="955" t="n">
        <f aca="false">F1201/149.4</f>
        <v>502.008032128514</v>
      </c>
      <c r="H1201" s="661" t="n">
        <f aca="false">G1201/60</f>
        <v>8.36680053547523</v>
      </c>
      <c r="I1201" s="660" t="n">
        <f aca="false">'норма времени'!D1205</f>
        <v>100</v>
      </c>
      <c r="J1201" s="661" t="n">
        <f aca="false">H1201*I1201</f>
        <v>836.680053547523</v>
      </c>
    </row>
    <row r="1202" customFormat="false" ht="22.5" hidden="false" customHeight="true" outlineLevel="0" collapsed="false">
      <c r="A1202" s="327" t="s">
        <v>1984</v>
      </c>
      <c r="B1202" s="500" t="s">
        <v>3726</v>
      </c>
      <c r="C1202" s="954" t="n">
        <v>30000</v>
      </c>
      <c r="D1202" s="954" t="n">
        <v>25000</v>
      </c>
      <c r="E1202" s="954" t="n">
        <v>20000</v>
      </c>
      <c r="F1202" s="955" t="n">
        <f aca="false">C1202+D1202+E1202</f>
        <v>75000</v>
      </c>
      <c r="G1202" s="955" t="n">
        <f aca="false">F1202/149.4</f>
        <v>502.008032128514</v>
      </c>
      <c r="H1202" s="661" t="n">
        <f aca="false">G1202/60</f>
        <v>8.36680053547523</v>
      </c>
      <c r="I1202" s="660" t="n">
        <f aca="false">'норма времени'!D1206</f>
        <v>100</v>
      </c>
      <c r="J1202" s="661" t="n">
        <f aca="false">H1202*I1202</f>
        <v>836.680053547523</v>
      </c>
    </row>
    <row r="1203" customFormat="false" ht="85.5" hidden="false" customHeight="false" outlineLevel="0" collapsed="false">
      <c r="A1203" s="350" t="s">
        <v>1986</v>
      </c>
      <c r="B1203" s="346" t="s">
        <v>3727</v>
      </c>
      <c r="C1203" s="1248"/>
      <c r="D1203" s="1248"/>
      <c r="E1203" s="1248"/>
      <c r="F1203" s="1249"/>
      <c r="G1203" s="1249"/>
      <c r="H1203" s="1259"/>
      <c r="I1203" s="1255"/>
      <c r="J1203" s="1259"/>
    </row>
    <row r="1204" customFormat="false" ht="30" hidden="false" customHeight="false" outlineLevel="0" collapsed="false">
      <c r="A1204" s="327" t="s">
        <v>1988</v>
      </c>
      <c r="B1204" s="500" t="s">
        <v>3728</v>
      </c>
      <c r="C1204" s="954" t="n">
        <v>30000</v>
      </c>
      <c r="D1204" s="954" t="n">
        <v>25000</v>
      </c>
      <c r="E1204" s="954" t="n">
        <v>20000</v>
      </c>
      <c r="F1204" s="955" t="n">
        <f aca="false">C1204+D1204+E1204</f>
        <v>75000</v>
      </c>
      <c r="G1204" s="955" t="n">
        <f aca="false">F1204/149.4</f>
        <v>502.008032128514</v>
      </c>
      <c r="H1204" s="661" t="n">
        <f aca="false">G1204/60</f>
        <v>8.36680053547523</v>
      </c>
      <c r="I1204" s="660" t="n">
        <f aca="false">'норма времени'!D1208</f>
        <v>32</v>
      </c>
      <c r="J1204" s="661" t="n">
        <f aca="false">H1204*I1204</f>
        <v>267.737617135208</v>
      </c>
    </row>
    <row r="1205" customFormat="false" ht="45" hidden="false" customHeight="false" outlineLevel="0" collapsed="false">
      <c r="A1205" s="327" t="s">
        <v>1989</v>
      </c>
      <c r="B1205" s="500" t="s">
        <v>3729</v>
      </c>
      <c r="C1205" s="954" t="n">
        <v>30000</v>
      </c>
      <c r="D1205" s="954" t="n">
        <v>25000</v>
      </c>
      <c r="E1205" s="954" t="n">
        <v>20000</v>
      </c>
      <c r="F1205" s="955" t="n">
        <f aca="false">C1205+D1205+E1205</f>
        <v>75000</v>
      </c>
      <c r="G1205" s="955" t="n">
        <f aca="false">F1205/149.4</f>
        <v>502.008032128514</v>
      </c>
      <c r="H1205" s="661" t="n">
        <f aca="false">G1205/60</f>
        <v>8.36680053547523</v>
      </c>
      <c r="I1205" s="660" t="n">
        <f aca="false">'норма времени'!D1209</f>
        <v>120</v>
      </c>
      <c r="J1205" s="661" t="n">
        <f aca="false">H1205*I1205</f>
        <v>1004.01606425703</v>
      </c>
    </row>
    <row r="1206" customFormat="false" ht="45" hidden="false" customHeight="false" outlineLevel="0" collapsed="false">
      <c r="A1206" s="327" t="s">
        <v>1991</v>
      </c>
      <c r="B1206" s="500" t="s">
        <v>3730</v>
      </c>
      <c r="C1206" s="954" t="n">
        <v>30000</v>
      </c>
      <c r="D1206" s="954" t="n">
        <v>25000</v>
      </c>
      <c r="E1206" s="954" t="n">
        <v>20000</v>
      </c>
      <c r="F1206" s="955" t="n">
        <f aca="false">C1206+D1206+E1206</f>
        <v>75000</v>
      </c>
      <c r="G1206" s="955" t="n">
        <f aca="false">F1206/149.4</f>
        <v>502.008032128514</v>
      </c>
      <c r="H1206" s="661" t="n">
        <f aca="false">G1206/60</f>
        <v>8.36680053547523</v>
      </c>
      <c r="I1206" s="660" t="n">
        <f aca="false">'норма времени'!D1210</f>
        <v>101</v>
      </c>
      <c r="J1206" s="661" t="n">
        <f aca="false">H1206*I1206</f>
        <v>845.046854082999</v>
      </c>
    </row>
    <row r="1207" customFormat="false" ht="45" hidden="false" customHeight="false" outlineLevel="0" collapsed="false">
      <c r="A1207" s="327" t="s">
        <v>1993</v>
      </c>
      <c r="B1207" s="500" t="s">
        <v>3731</v>
      </c>
      <c r="C1207" s="954" t="n">
        <v>30000</v>
      </c>
      <c r="D1207" s="954" t="n">
        <v>25000</v>
      </c>
      <c r="E1207" s="954" t="n">
        <v>20000</v>
      </c>
      <c r="F1207" s="955" t="n">
        <f aca="false">C1207+D1207+E1207</f>
        <v>75000</v>
      </c>
      <c r="G1207" s="955" t="n">
        <f aca="false">F1207/149.4</f>
        <v>502.008032128514</v>
      </c>
      <c r="H1207" s="661" t="n">
        <f aca="false">G1207/60</f>
        <v>8.36680053547523</v>
      </c>
      <c r="I1207" s="660" t="n">
        <f aca="false">'норма времени'!D1211</f>
        <v>30</v>
      </c>
      <c r="J1207" s="661" t="n">
        <f aca="false">H1207*I1207</f>
        <v>251.004016064257</v>
      </c>
    </row>
    <row r="1208" customFormat="false" ht="45" hidden="false" customHeight="false" outlineLevel="0" collapsed="false">
      <c r="A1208" s="327" t="s">
        <v>1995</v>
      </c>
      <c r="B1208" s="500" t="s">
        <v>3732</v>
      </c>
      <c r="C1208" s="954" t="n">
        <v>30000</v>
      </c>
      <c r="D1208" s="954" t="n">
        <v>25000</v>
      </c>
      <c r="E1208" s="954" t="n">
        <v>20000</v>
      </c>
      <c r="F1208" s="955" t="n">
        <f aca="false">C1208+D1208+E1208</f>
        <v>75000</v>
      </c>
      <c r="G1208" s="955" t="n">
        <f aca="false">F1208/149.4</f>
        <v>502.008032128514</v>
      </c>
      <c r="H1208" s="661" t="n">
        <f aca="false">G1208/60</f>
        <v>8.36680053547523</v>
      </c>
      <c r="I1208" s="660" t="n">
        <f aca="false">'норма времени'!D1212</f>
        <v>30</v>
      </c>
      <c r="J1208" s="661" t="n">
        <f aca="false">H1208*I1208</f>
        <v>251.004016064257</v>
      </c>
    </row>
    <row r="1209" customFormat="false" ht="45" hidden="false" customHeight="false" outlineLevel="0" collapsed="false">
      <c r="A1209" s="327" t="s">
        <v>1997</v>
      </c>
      <c r="B1209" s="500" t="s">
        <v>3733</v>
      </c>
      <c r="C1209" s="954" t="n">
        <v>30000</v>
      </c>
      <c r="D1209" s="954" t="n">
        <v>25000</v>
      </c>
      <c r="E1209" s="954" t="n">
        <v>20000</v>
      </c>
      <c r="F1209" s="955" t="n">
        <f aca="false">C1209+D1209+E1209</f>
        <v>75000</v>
      </c>
      <c r="G1209" s="955" t="n">
        <f aca="false">F1209/149.4</f>
        <v>502.008032128514</v>
      </c>
      <c r="H1209" s="661" t="n">
        <f aca="false">G1209/60</f>
        <v>8.36680053547523</v>
      </c>
      <c r="I1209" s="660" t="n">
        <f aca="false">'норма времени'!D1213</f>
        <v>30</v>
      </c>
      <c r="J1209" s="661" t="n">
        <f aca="false">H1209*I1209</f>
        <v>251.004016064257</v>
      </c>
    </row>
    <row r="1210" customFormat="false" ht="45" hidden="false" customHeight="false" outlineLevel="0" collapsed="false">
      <c r="A1210" s="327" t="s">
        <v>1999</v>
      </c>
      <c r="B1210" s="500" t="s">
        <v>3734</v>
      </c>
      <c r="C1210" s="954" t="n">
        <v>30000</v>
      </c>
      <c r="D1210" s="954" t="n">
        <v>25000</v>
      </c>
      <c r="E1210" s="954" t="n">
        <v>20000</v>
      </c>
      <c r="F1210" s="955" t="n">
        <f aca="false">C1210+D1210+E1210</f>
        <v>75000</v>
      </c>
      <c r="G1210" s="955" t="n">
        <f aca="false">F1210/149.4</f>
        <v>502.008032128514</v>
      </c>
      <c r="H1210" s="661" t="n">
        <f aca="false">G1210/60</f>
        <v>8.36680053547523</v>
      </c>
      <c r="I1210" s="660" t="n">
        <f aca="false">'норма времени'!D1214</f>
        <v>30</v>
      </c>
      <c r="J1210" s="661" t="n">
        <f aca="false">H1210*I1210</f>
        <v>251.004016064257</v>
      </c>
    </row>
    <row r="1211" customFormat="false" ht="45" hidden="false" customHeight="false" outlineLevel="0" collapsed="false">
      <c r="A1211" s="327" t="s">
        <v>2001</v>
      </c>
      <c r="B1211" s="500" t="s">
        <v>3735</v>
      </c>
      <c r="C1211" s="954" t="n">
        <v>30000</v>
      </c>
      <c r="D1211" s="954" t="n">
        <v>25000</v>
      </c>
      <c r="E1211" s="954" t="n">
        <v>20000</v>
      </c>
      <c r="F1211" s="955" t="n">
        <f aca="false">C1211+D1211+E1211</f>
        <v>75000</v>
      </c>
      <c r="G1211" s="955" t="n">
        <f aca="false">F1211/149.4</f>
        <v>502.008032128514</v>
      </c>
      <c r="H1211" s="661" t="n">
        <f aca="false">G1211/60</f>
        <v>8.36680053547523</v>
      </c>
      <c r="I1211" s="660" t="n">
        <f aca="false">'норма времени'!D1215</f>
        <v>35</v>
      </c>
      <c r="J1211" s="661" t="n">
        <f aca="false">H1211*I1211</f>
        <v>292.838018741633</v>
      </c>
    </row>
    <row r="1212" customFormat="false" ht="45" hidden="false" customHeight="false" outlineLevel="0" collapsed="false">
      <c r="A1212" s="327" t="s">
        <v>2003</v>
      </c>
      <c r="B1212" s="500" t="s">
        <v>3736</v>
      </c>
      <c r="C1212" s="954" t="n">
        <v>30000</v>
      </c>
      <c r="D1212" s="954" t="n">
        <v>25000</v>
      </c>
      <c r="E1212" s="954" t="n">
        <v>20000</v>
      </c>
      <c r="F1212" s="955" t="n">
        <f aca="false">C1212+D1212+E1212</f>
        <v>75000</v>
      </c>
      <c r="G1212" s="955" t="n">
        <f aca="false">F1212/149.4</f>
        <v>502.008032128514</v>
      </c>
      <c r="H1212" s="661" t="n">
        <f aca="false">G1212/60</f>
        <v>8.36680053547523</v>
      </c>
      <c r="I1212" s="660" t="n">
        <f aca="false">'норма времени'!D1216</f>
        <v>24</v>
      </c>
      <c r="J1212" s="661" t="n">
        <f aca="false">H1212*I1212</f>
        <v>200.803212851406</v>
      </c>
    </row>
    <row r="1213" customFormat="false" ht="30" hidden="false" customHeight="false" outlineLevel="0" collapsed="false">
      <c r="A1213" s="327" t="s">
        <v>2005</v>
      </c>
      <c r="B1213" s="500" t="s">
        <v>3737</v>
      </c>
      <c r="C1213" s="954" t="n">
        <v>30000</v>
      </c>
      <c r="D1213" s="954" t="n">
        <v>25000</v>
      </c>
      <c r="E1213" s="954" t="n">
        <v>20000</v>
      </c>
      <c r="F1213" s="955" t="n">
        <f aca="false">C1213+D1213+E1213</f>
        <v>75000</v>
      </c>
      <c r="G1213" s="955" t="n">
        <f aca="false">F1213/149.4</f>
        <v>502.008032128514</v>
      </c>
      <c r="H1213" s="661" t="n">
        <f aca="false">G1213/60</f>
        <v>8.36680053547523</v>
      </c>
      <c r="I1213" s="660" t="n">
        <f aca="false">'норма времени'!D1217</f>
        <v>40</v>
      </c>
      <c r="J1213" s="661" t="n">
        <f aca="false">H1213*I1213</f>
        <v>334.672021419009</v>
      </c>
    </row>
    <row r="1214" customFormat="false" ht="30" hidden="false" customHeight="false" outlineLevel="0" collapsed="false">
      <c r="A1214" s="327" t="s">
        <v>2007</v>
      </c>
      <c r="B1214" s="500" t="s">
        <v>3738</v>
      </c>
      <c r="C1214" s="954" t="n">
        <v>30000</v>
      </c>
      <c r="D1214" s="954" t="n">
        <v>25000</v>
      </c>
      <c r="E1214" s="954" t="n">
        <v>20000</v>
      </c>
      <c r="F1214" s="955" t="n">
        <f aca="false">C1214+D1214+E1214</f>
        <v>75000</v>
      </c>
      <c r="G1214" s="955" t="n">
        <f aca="false">F1214/149.4</f>
        <v>502.008032128514</v>
      </c>
      <c r="H1214" s="661" t="n">
        <f aca="false">G1214/60</f>
        <v>8.36680053547523</v>
      </c>
      <c r="I1214" s="660" t="n">
        <f aca="false">'норма времени'!D1218</f>
        <v>17</v>
      </c>
      <c r="J1214" s="661" t="n">
        <f aca="false">H1214*I1214</f>
        <v>142.235609103079</v>
      </c>
    </row>
    <row r="1215" customFormat="false" ht="30" hidden="false" customHeight="false" outlineLevel="0" collapsed="false">
      <c r="A1215" s="327" t="s">
        <v>2009</v>
      </c>
      <c r="B1215" s="500" t="s">
        <v>3739</v>
      </c>
      <c r="C1215" s="954" t="n">
        <v>30000</v>
      </c>
      <c r="D1215" s="954" t="n">
        <v>25000</v>
      </c>
      <c r="E1215" s="954" t="n">
        <v>20000</v>
      </c>
      <c r="F1215" s="955" t="n">
        <f aca="false">C1215+D1215+E1215</f>
        <v>75000</v>
      </c>
      <c r="G1215" s="955" t="n">
        <f aca="false">F1215/149.4</f>
        <v>502.008032128514</v>
      </c>
      <c r="H1215" s="661" t="n">
        <f aca="false">G1215/60</f>
        <v>8.36680053547523</v>
      </c>
      <c r="I1215" s="660" t="n">
        <f aca="false">'норма времени'!D1219</f>
        <v>246</v>
      </c>
      <c r="J1215" s="661" t="n">
        <f aca="false">H1215*I1215</f>
        <v>2058.23293172691</v>
      </c>
    </row>
    <row r="1216" customFormat="false" ht="45" hidden="false" customHeight="false" outlineLevel="0" collapsed="false">
      <c r="A1216" s="327" t="s">
        <v>2011</v>
      </c>
      <c r="B1216" s="500" t="s">
        <v>3740</v>
      </c>
      <c r="C1216" s="954" t="n">
        <v>30000</v>
      </c>
      <c r="D1216" s="954" t="n">
        <v>25000</v>
      </c>
      <c r="E1216" s="954" t="n">
        <v>20000</v>
      </c>
      <c r="F1216" s="955" t="n">
        <f aca="false">C1216+D1216+E1216</f>
        <v>75000</v>
      </c>
      <c r="G1216" s="955" t="n">
        <f aca="false">F1216/149.4</f>
        <v>502.008032128514</v>
      </c>
      <c r="H1216" s="661" t="n">
        <f aca="false">G1216/60</f>
        <v>8.36680053547523</v>
      </c>
      <c r="I1216" s="660" t="n">
        <f aca="false">'норма времени'!D1220</f>
        <v>22</v>
      </c>
      <c r="J1216" s="661" t="n">
        <f aca="false">H1216*I1216</f>
        <v>184.069611780455</v>
      </c>
    </row>
    <row r="1217" customFormat="false" ht="30" hidden="false" customHeight="false" outlineLevel="0" collapsed="false">
      <c r="A1217" s="327" t="s">
        <v>2013</v>
      </c>
      <c r="B1217" s="500" t="s">
        <v>3741</v>
      </c>
      <c r="C1217" s="954" t="n">
        <v>30000</v>
      </c>
      <c r="D1217" s="954" t="n">
        <v>25000</v>
      </c>
      <c r="E1217" s="954" t="n">
        <v>20000</v>
      </c>
      <c r="F1217" s="955" t="n">
        <f aca="false">C1217+D1217+E1217</f>
        <v>75000</v>
      </c>
      <c r="G1217" s="955" t="n">
        <f aca="false">F1217/149.4</f>
        <v>502.008032128514</v>
      </c>
      <c r="H1217" s="661" t="n">
        <f aca="false">G1217/60</f>
        <v>8.36680053547523</v>
      </c>
      <c r="I1217" s="660" t="n">
        <f aca="false">'норма времени'!D1221</f>
        <v>65</v>
      </c>
      <c r="J1217" s="661" t="n">
        <f aca="false">H1217*I1217</f>
        <v>543.84203480589</v>
      </c>
    </row>
    <row r="1218" customFormat="false" ht="60" hidden="false" customHeight="false" outlineLevel="0" collapsed="false">
      <c r="A1218" s="327" t="s">
        <v>2015</v>
      </c>
      <c r="B1218" s="500" t="s">
        <v>3742</v>
      </c>
      <c r="C1218" s="954" t="n">
        <v>30000</v>
      </c>
      <c r="D1218" s="954" t="n">
        <v>25000</v>
      </c>
      <c r="E1218" s="954" t="n">
        <v>20000</v>
      </c>
      <c r="F1218" s="955" t="n">
        <f aca="false">C1218+D1218+E1218</f>
        <v>75000</v>
      </c>
      <c r="G1218" s="955" t="n">
        <f aca="false">F1218/149.4</f>
        <v>502.008032128514</v>
      </c>
      <c r="H1218" s="661" t="n">
        <f aca="false">G1218/60</f>
        <v>8.36680053547523</v>
      </c>
      <c r="I1218" s="660" t="n">
        <f aca="false">'норма времени'!D1222</f>
        <v>115</v>
      </c>
      <c r="J1218" s="661" t="n">
        <f aca="false">H1218*I1218</f>
        <v>962.182061579652</v>
      </c>
    </row>
    <row r="1219" customFormat="false" ht="15" hidden="false" customHeight="false" outlineLevel="0" collapsed="false">
      <c r="A1219" s="350" t="s">
        <v>2017</v>
      </c>
      <c r="B1219" s="509" t="s">
        <v>3743</v>
      </c>
      <c r="C1219" s="1248"/>
      <c r="D1219" s="1248"/>
      <c r="E1219" s="1248"/>
      <c r="F1219" s="1249"/>
      <c r="G1219" s="1249"/>
      <c r="H1219" s="1259"/>
      <c r="I1219" s="1255"/>
      <c r="J1219" s="1259"/>
    </row>
    <row r="1220" customFormat="false" ht="30" hidden="false" customHeight="false" outlineLevel="0" collapsed="false">
      <c r="A1220" s="327" t="s">
        <v>2019</v>
      </c>
      <c r="B1220" s="500" t="s">
        <v>3744</v>
      </c>
      <c r="C1220" s="954" t="n">
        <v>30000</v>
      </c>
      <c r="D1220" s="954" t="n">
        <v>25000</v>
      </c>
      <c r="E1220" s="954" t="n">
        <v>20000</v>
      </c>
      <c r="F1220" s="955" t="n">
        <f aca="false">C1220+D1220+E1220</f>
        <v>75000</v>
      </c>
      <c r="G1220" s="955" t="n">
        <f aca="false">F1220/149.4</f>
        <v>502.008032128514</v>
      </c>
      <c r="H1220" s="661" t="n">
        <f aca="false">G1220/60</f>
        <v>8.36680053547523</v>
      </c>
      <c r="I1220" s="660" t="n">
        <f aca="false">'норма времени'!D1224</f>
        <v>55</v>
      </c>
      <c r="J1220" s="661" t="n">
        <f aca="false">H1220*I1220</f>
        <v>460.174029451138</v>
      </c>
    </row>
    <row r="1221" customFormat="false" ht="15" hidden="false" customHeight="false" outlineLevel="0" collapsed="false">
      <c r="A1221" s="327" t="s">
        <v>2021</v>
      </c>
      <c r="B1221" s="500" t="s">
        <v>3745</v>
      </c>
      <c r="C1221" s="954" t="n">
        <v>30000</v>
      </c>
      <c r="D1221" s="954" t="n">
        <v>25000</v>
      </c>
      <c r="E1221" s="954" t="n">
        <v>20000</v>
      </c>
      <c r="F1221" s="955" t="n">
        <f aca="false">C1221+D1221+E1221</f>
        <v>75000</v>
      </c>
      <c r="G1221" s="955" t="n">
        <f aca="false">F1221/149.4</f>
        <v>502.008032128514</v>
      </c>
      <c r="H1221" s="661" t="n">
        <f aca="false">G1221/60</f>
        <v>8.36680053547523</v>
      </c>
      <c r="I1221" s="660" t="n">
        <f aca="false">'норма времени'!D1225</f>
        <v>32</v>
      </c>
      <c r="J1221" s="661" t="n">
        <f aca="false">H1221*I1221</f>
        <v>267.737617135208</v>
      </c>
    </row>
    <row r="1222" customFormat="false" ht="30" hidden="false" customHeight="false" outlineLevel="0" collapsed="false">
      <c r="A1222" s="327" t="s">
        <v>2023</v>
      </c>
      <c r="B1222" s="500" t="s">
        <v>3746</v>
      </c>
      <c r="C1222" s="954" t="n">
        <v>30000</v>
      </c>
      <c r="D1222" s="954" t="n">
        <v>25000</v>
      </c>
      <c r="E1222" s="954" t="n">
        <v>20000</v>
      </c>
      <c r="F1222" s="955" t="n">
        <f aca="false">C1222+D1222+E1222</f>
        <v>75000</v>
      </c>
      <c r="G1222" s="955" t="n">
        <f aca="false">F1222/149.4</f>
        <v>502.008032128514</v>
      </c>
      <c r="H1222" s="661" t="n">
        <f aca="false">G1222/60</f>
        <v>8.36680053547523</v>
      </c>
      <c r="I1222" s="660" t="n">
        <f aca="false">'норма времени'!D1226</f>
        <v>30</v>
      </c>
      <c r="J1222" s="661" t="n">
        <f aca="false">H1222*I1222</f>
        <v>251.004016064257</v>
      </c>
    </row>
    <row r="1223" customFormat="false" ht="30" hidden="false" customHeight="false" outlineLevel="0" collapsed="false">
      <c r="A1223" s="327" t="s">
        <v>2025</v>
      </c>
      <c r="B1223" s="500" t="s">
        <v>3747</v>
      </c>
      <c r="C1223" s="954" t="n">
        <v>30000</v>
      </c>
      <c r="D1223" s="954" t="n">
        <v>25000</v>
      </c>
      <c r="E1223" s="954" t="n">
        <v>20000</v>
      </c>
      <c r="F1223" s="955" t="n">
        <f aca="false">C1223+D1223+E1223</f>
        <v>75000</v>
      </c>
      <c r="G1223" s="955" t="n">
        <f aca="false">F1223/149.4</f>
        <v>502.008032128514</v>
      </c>
      <c r="H1223" s="661" t="n">
        <f aca="false">G1223/60</f>
        <v>8.36680053547523</v>
      </c>
      <c r="I1223" s="660" t="n">
        <f aca="false">'норма времени'!D1227</f>
        <v>139</v>
      </c>
      <c r="J1223" s="661" t="n">
        <f aca="false">H1223*I1223</f>
        <v>1162.98527443106</v>
      </c>
    </row>
    <row r="1224" customFormat="false" ht="15" hidden="false" customHeight="false" outlineLevel="0" collapsed="false">
      <c r="A1224" s="350" t="s">
        <v>2027</v>
      </c>
      <c r="B1224" s="509" t="s">
        <v>3748</v>
      </c>
      <c r="C1224" s="1248"/>
      <c r="D1224" s="1248"/>
      <c r="E1224" s="1248"/>
      <c r="F1224" s="1249"/>
      <c r="G1224" s="1249"/>
      <c r="H1224" s="1259"/>
      <c r="I1224" s="1255"/>
      <c r="J1224" s="1259"/>
    </row>
    <row r="1225" customFormat="false" ht="60" hidden="false" customHeight="false" outlineLevel="0" collapsed="false">
      <c r="A1225" s="327" t="s">
        <v>2029</v>
      </c>
      <c r="B1225" s="500" t="s">
        <v>3749</v>
      </c>
      <c r="C1225" s="954" t="n">
        <v>30000</v>
      </c>
      <c r="D1225" s="954" t="n">
        <v>25000</v>
      </c>
      <c r="E1225" s="954" t="n">
        <v>20000</v>
      </c>
      <c r="F1225" s="955" t="n">
        <f aca="false">C1225+D1225+E1225</f>
        <v>75000</v>
      </c>
      <c r="G1225" s="955" t="n">
        <f aca="false">F1225/149.4</f>
        <v>502.008032128514</v>
      </c>
      <c r="H1225" s="661" t="n">
        <f aca="false">G1225/60</f>
        <v>8.36680053547523</v>
      </c>
      <c r="I1225" s="660" t="n">
        <f aca="false">'норма времени'!D1229</f>
        <v>63</v>
      </c>
      <c r="J1225" s="661" t="n">
        <f aca="false">H1225*I1225</f>
        <v>527.10843373494</v>
      </c>
    </row>
    <row r="1226" customFormat="false" ht="15" hidden="false" customHeight="false" outlineLevel="0" collapsed="false">
      <c r="A1226" s="327" t="s">
        <v>2031</v>
      </c>
      <c r="B1226" s="500" t="s">
        <v>3750</v>
      </c>
      <c r="C1226" s="954" t="n">
        <v>30000</v>
      </c>
      <c r="D1226" s="954" t="n">
        <v>25000</v>
      </c>
      <c r="E1226" s="954" t="n">
        <v>20000</v>
      </c>
      <c r="F1226" s="955" t="n">
        <f aca="false">C1226+D1226+E1226</f>
        <v>75000</v>
      </c>
      <c r="G1226" s="955" t="n">
        <f aca="false">F1226/149.4</f>
        <v>502.008032128514</v>
      </c>
      <c r="H1226" s="661" t="n">
        <f aca="false">G1226/60</f>
        <v>8.36680053547523</v>
      </c>
      <c r="I1226" s="660" t="n">
        <f aca="false">'норма времени'!D1230</f>
        <v>325</v>
      </c>
      <c r="J1226" s="661" t="n">
        <f aca="false">H1226*I1226</f>
        <v>2719.21017402945</v>
      </c>
    </row>
    <row r="1227" customFormat="false" ht="15" hidden="false" customHeight="false" outlineLevel="0" collapsed="false">
      <c r="A1227" s="350" t="s">
        <v>2033</v>
      </c>
      <c r="B1227" s="509" t="s">
        <v>3751</v>
      </c>
      <c r="C1227" s="1248"/>
      <c r="D1227" s="1248"/>
      <c r="E1227" s="1248"/>
      <c r="F1227" s="1249"/>
      <c r="G1227" s="1249"/>
      <c r="H1227" s="1259"/>
      <c r="I1227" s="1255"/>
      <c r="J1227" s="1259"/>
    </row>
    <row r="1228" customFormat="false" ht="45" hidden="false" customHeight="false" outlineLevel="0" collapsed="false">
      <c r="A1228" s="327" t="s">
        <v>2035</v>
      </c>
      <c r="B1228" s="500" t="s">
        <v>3752</v>
      </c>
      <c r="C1228" s="954" t="n">
        <v>30000</v>
      </c>
      <c r="D1228" s="954" t="n">
        <v>25000</v>
      </c>
      <c r="E1228" s="954" t="n">
        <v>20000</v>
      </c>
      <c r="F1228" s="955" t="n">
        <f aca="false">C1228+D1228+E1228</f>
        <v>75000</v>
      </c>
      <c r="G1228" s="955" t="n">
        <f aca="false">F1228/149.4</f>
        <v>502.008032128514</v>
      </c>
      <c r="H1228" s="661" t="n">
        <f aca="false">G1228/60</f>
        <v>8.36680053547523</v>
      </c>
      <c r="I1228" s="660" t="n">
        <f aca="false">'норма времени'!D1232</f>
        <v>120</v>
      </c>
      <c r="J1228" s="661" t="n">
        <f aca="false">H1228*I1228</f>
        <v>1004.01606425703</v>
      </c>
    </row>
    <row r="1229" customFormat="false" ht="15" hidden="false" customHeight="false" outlineLevel="0" collapsed="false">
      <c r="A1229" s="350" t="s">
        <v>2037</v>
      </c>
      <c r="B1229" s="524" t="s">
        <v>3753</v>
      </c>
      <c r="C1229" s="1248"/>
      <c r="D1229" s="1248"/>
      <c r="E1229" s="1248"/>
      <c r="F1229" s="1249"/>
      <c r="G1229" s="1249"/>
      <c r="H1229" s="1259"/>
      <c r="I1229" s="1255"/>
      <c r="J1229" s="1259"/>
    </row>
    <row r="1230" customFormat="false" ht="30" hidden="false" customHeight="false" outlineLevel="0" collapsed="false">
      <c r="A1230" s="327" t="s">
        <v>2039</v>
      </c>
      <c r="B1230" s="525" t="s">
        <v>3754</v>
      </c>
      <c r="C1230" s="954" t="n">
        <v>30000</v>
      </c>
      <c r="D1230" s="954" t="n">
        <v>25000</v>
      </c>
      <c r="E1230" s="954" t="n">
        <v>20000</v>
      </c>
      <c r="F1230" s="955" t="n">
        <f aca="false">C1230+D1230+E1230</f>
        <v>75000</v>
      </c>
      <c r="G1230" s="955" t="n">
        <f aca="false">F1230/149.4</f>
        <v>502.008032128514</v>
      </c>
      <c r="H1230" s="661" t="n">
        <f aca="false">G1230/60</f>
        <v>8.36680053547523</v>
      </c>
      <c r="I1230" s="660" t="n">
        <f aca="false">'норма времени'!D1234</f>
        <v>22</v>
      </c>
      <c r="J1230" s="661" t="n">
        <f aca="false">H1230*I1230</f>
        <v>184.069611780455</v>
      </c>
    </row>
    <row r="1231" customFormat="false" ht="45" hidden="false" customHeight="false" outlineLevel="0" collapsed="false">
      <c r="A1231" s="327" t="s">
        <v>2041</v>
      </c>
      <c r="B1231" s="525" t="s">
        <v>3755</v>
      </c>
      <c r="C1231" s="954" t="n">
        <v>30000</v>
      </c>
      <c r="D1231" s="954" t="n">
        <v>25000</v>
      </c>
      <c r="E1231" s="954" t="n">
        <v>20000</v>
      </c>
      <c r="F1231" s="955" t="n">
        <f aca="false">C1231+D1231+E1231</f>
        <v>75000</v>
      </c>
      <c r="G1231" s="955" t="n">
        <f aca="false">F1231/149.4</f>
        <v>502.008032128514</v>
      </c>
      <c r="H1231" s="661" t="n">
        <f aca="false">G1231/60</f>
        <v>8.36680053547523</v>
      </c>
      <c r="I1231" s="660" t="n">
        <f aca="false">'норма времени'!D1235</f>
        <v>22</v>
      </c>
      <c r="J1231" s="661" t="n">
        <f aca="false">H1231*I1231</f>
        <v>184.069611780455</v>
      </c>
    </row>
    <row r="1232" customFormat="false" ht="30" hidden="false" customHeight="false" outlineLevel="0" collapsed="false">
      <c r="A1232" s="327" t="s">
        <v>2043</v>
      </c>
      <c r="B1232" s="526" t="s">
        <v>3756</v>
      </c>
      <c r="C1232" s="954" t="n">
        <v>30000</v>
      </c>
      <c r="D1232" s="954" t="n">
        <v>25000</v>
      </c>
      <c r="E1232" s="954" t="n">
        <v>20000</v>
      </c>
      <c r="F1232" s="955" t="n">
        <f aca="false">C1232+D1232+E1232</f>
        <v>75000</v>
      </c>
      <c r="G1232" s="955" t="n">
        <f aca="false">F1232/149.4</f>
        <v>502.008032128514</v>
      </c>
      <c r="H1232" s="661" t="n">
        <f aca="false">G1232/60</f>
        <v>8.36680053547523</v>
      </c>
      <c r="I1232" s="660" t="n">
        <f aca="false">'норма времени'!D1236</f>
        <v>139</v>
      </c>
      <c r="J1232" s="661" t="n">
        <f aca="false">H1232*I1232</f>
        <v>1162.98527443106</v>
      </c>
    </row>
    <row r="1233" customFormat="false" ht="45" hidden="false" customHeight="false" outlineLevel="0" collapsed="false">
      <c r="A1233" s="327" t="s">
        <v>2045</v>
      </c>
      <c r="B1233" s="527" t="s">
        <v>3757</v>
      </c>
      <c r="C1233" s="954" t="n">
        <v>30000</v>
      </c>
      <c r="D1233" s="954" t="n">
        <v>25000</v>
      </c>
      <c r="E1233" s="954" t="n">
        <v>20000</v>
      </c>
      <c r="F1233" s="955" t="n">
        <f aca="false">C1233+D1233+E1233</f>
        <v>75000</v>
      </c>
      <c r="G1233" s="955" t="n">
        <f aca="false">F1233/149.4</f>
        <v>502.008032128514</v>
      </c>
      <c r="H1233" s="661" t="n">
        <f aca="false">G1233/60</f>
        <v>8.36680053547523</v>
      </c>
      <c r="I1233" s="660" t="n">
        <f aca="false">'норма времени'!D1237</f>
        <v>139</v>
      </c>
      <c r="J1233" s="661" t="n">
        <f aca="false">H1233*I1233</f>
        <v>1162.98527443106</v>
      </c>
    </row>
    <row r="1234" customFormat="false" ht="30" hidden="false" customHeight="false" outlineLevel="0" collapsed="false">
      <c r="A1234" s="327" t="s">
        <v>2047</v>
      </c>
      <c r="B1234" s="527" t="s">
        <v>3758</v>
      </c>
      <c r="C1234" s="954" t="n">
        <v>30000</v>
      </c>
      <c r="D1234" s="954" t="n">
        <v>25000</v>
      </c>
      <c r="E1234" s="954" t="n">
        <v>20000</v>
      </c>
      <c r="F1234" s="955" t="n">
        <f aca="false">C1234+D1234+E1234</f>
        <v>75000</v>
      </c>
      <c r="G1234" s="955" t="n">
        <f aca="false">F1234/149.4</f>
        <v>502.008032128514</v>
      </c>
      <c r="H1234" s="661" t="n">
        <f aca="false">G1234/60</f>
        <v>8.36680053547523</v>
      </c>
      <c r="I1234" s="660" t="n">
        <f aca="false">'норма времени'!D1238</f>
        <v>139</v>
      </c>
      <c r="J1234" s="661" t="n">
        <f aca="false">H1234*I1234</f>
        <v>1162.98527443106</v>
      </c>
    </row>
    <row r="1235" customFormat="false" ht="75" hidden="false" customHeight="false" outlineLevel="0" collapsed="false">
      <c r="A1235" s="327" t="s">
        <v>2049</v>
      </c>
      <c r="B1235" s="528" t="s">
        <v>3759</v>
      </c>
      <c r="C1235" s="954" t="n">
        <v>30000</v>
      </c>
      <c r="D1235" s="954" t="n">
        <v>25000</v>
      </c>
      <c r="E1235" s="954" t="n">
        <v>20000</v>
      </c>
      <c r="F1235" s="955" t="n">
        <f aca="false">C1235+D1235+E1235</f>
        <v>75000</v>
      </c>
      <c r="G1235" s="955" t="n">
        <f aca="false">F1235/149.4</f>
        <v>502.008032128514</v>
      </c>
      <c r="H1235" s="661" t="n">
        <f aca="false">G1235/60</f>
        <v>8.36680053547523</v>
      </c>
      <c r="I1235" s="660" t="n">
        <f aca="false">'норма времени'!D1239</f>
        <v>280</v>
      </c>
      <c r="J1235" s="661" t="n">
        <f aca="false">H1235*I1235</f>
        <v>2342.70414993307</v>
      </c>
    </row>
    <row r="1236" customFormat="false" ht="60" hidden="false" customHeight="false" outlineLevel="0" collapsed="false">
      <c r="A1236" s="327" t="s">
        <v>2051</v>
      </c>
      <c r="B1236" s="528" t="s">
        <v>3760</v>
      </c>
      <c r="C1236" s="954" t="n">
        <v>30000</v>
      </c>
      <c r="D1236" s="954" t="n">
        <v>25000</v>
      </c>
      <c r="E1236" s="954" t="n">
        <v>20000</v>
      </c>
      <c r="F1236" s="955" t="n">
        <f aca="false">C1236+D1236+E1236</f>
        <v>75000</v>
      </c>
      <c r="G1236" s="955" t="n">
        <f aca="false">F1236/149.4</f>
        <v>502.008032128514</v>
      </c>
      <c r="H1236" s="661" t="n">
        <f aca="false">G1236/60</f>
        <v>8.36680053547523</v>
      </c>
      <c r="I1236" s="660" t="n">
        <f aca="false">'норма времени'!D1240</f>
        <v>280</v>
      </c>
      <c r="J1236" s="661" t="n">
        <f aca="false">H1236*I1236</f>
        <v>2342.70414993307</v>
      </c>
    </row>
    <row r="1237" customFormat="false" ht="30" hidden="false" customHeight="false" outlineLevel="0" collapsed="false">
      <c r="A1237" s="327" t="s">
        <v>2053</v>
      </c>
      <c r="B1237" s="374" t="s">
        <v>3761</v>
      </c>
      <c r="C1237" s="954" t="n">
        <v>30000</v>
      </c>
      <c r="D1237" s="954" t="n">
        <v>25000</v>
      </c>
      <c r="E1237" s="954" t="n">
        <v>20000</v>
      </c>
      <c r="F1237" s="955" t="n">
        <f aca="false">C1237+D1237+E1237</f>
        <v>75000</v>
      </c>
      <c r="G1237" s="955" t="n">
        <f aca="false">F1237/149.4</f>
        <v>502.008032128514</v>
      </c>
      <c r="H1237" s="661" t="n">
        <f aca="false">G1237/60</f>
        <v>8.36680053547523</v>
      </c>
      <c r="I1237" s="660" t="n">
        <f aca="false">'норма времени'!D1241</f>
        <v>50</v>
      </c>
      <c r="J1237" s="661" t="n">
        <f aca="false">H1237*I1237</f>
        <v>418.340026773762</v>
      </c>
    </row>
    <row r="1238" customFormat="false" ht="15" hidden="false" customHeight="false" outlineLevel="0" collapsed="false">
      <c r="A1238" s="327" t="s">
        <v>2055</v>
      </c>
      <c r="B1238" s="500" t="s">
        <v>3762</v>
      </c>
      <c r="C1238" s="954" t="n">
        <v>30000</v>
      </c>
      <c r="D1238" s="954" t="n">
        <v>25000</v>
      </c>
      <c r="E1238" s="954" t="n">
        <v>20000</v>
      </c>
      <c r="F1238" s="955" t="n">
        <f aca="false">C1238+D1238+E1238</f>
        <v>75000</v>
      </c>
      <c r="G1238" s="955" t="n">
        <f aca="false">F1238/149.4</f>
        <v>502.008032128514</v>
      </c>
      <c r="H1238" s="661" t="n">
        <f aca="false">G1238/60</f>
        <v>8.36680053547523</v>
      </c>
      <c r="I1238" s="660" t="n">
        <f aca="false">'норма времени'!D1242</f>
        <v>50</v>
      </c>
      <c r="J1238" s="661" t="n">
        <f aca="false">H1238*I1238</f>
        <v>418.340026773762</v>
      </c>
    </row>
    <row r="1239" customFormat="false" ht="30" hidden="false" customHeight="false" outlineLevel="0" collapsed="false">
      <c r="A1239" s="327" t="s">
        <v>2057</v>
      </c>
      <c r="B1239" s="374" t="s">
        <v>3763</v>
      </c>
      <c r="C1239" s="954" t="n">
        <v>30000</v>
      </c>
      <c r="D1239" s="954" t="n">
        <v>25000</v>
      </c>
      <c r="E1239" s="954" t="n">
        <v>20000</v>
      </c>
      <c r="F1239" s="955" t="n">
        <f aca="false">C1239+D1239+E1239</f>
        <v>75000</v>
      </c>
      <c r="G1239" s="955" t="n">
        <f aca="false">F1239/149.4</f>
        <v>502.008032128514</v>
      </c>
      <c r="H1239" s="661" t="n">
        <f aca="false">G1239/60</f>
        <v>8.36680053547523</v>
      </c>
      <c r="I1239" s="660" t="n">
        <f aca="false">'норма времени'!D1243</f>
        <v>100</v>
      </c>
      <c r="J1239" s="661" t="n">
        <f aca="false">H1239*I1239</f>
        <v>836.680053547523</v>
      </c>
    </row>
    <row r="1240" customFormat="false" ht="30" hidden="false" customHeight="false" outlineLevel="0" collapsed="false">
      <c r="A1240" s="327" t="s">
        <v>2059</v>
      </c>
      <c r="B1240" s="528" t="s">
        <v>3764</v>
      </c>
      <c r="C1240" s="954" t="n">
        <v>30000</v>
      </c>
      <c r="D1240" s="954" t="n">
        <v>25000</v>
      </c>
      <c r="E1240" s="954" t="n">
        <v>20000</v>
      </c>
      <c r="F1240" s="955" t="n">
        <f aca="false">C1240+D1240+E1240</f>
        <v>75000</v>
      </c>
      <c r="G1240" s="955" t="n">
        <f aca="false">F1240/149.4</f>
        <v>502.008032128514</v>
      </c>
      <c r="H1240" s="661" t="n">
        <f aca="false">G1240/60</f>
        <v>8.36680053547523</v>
      </c>
      <c r="I1240" s="660" t="n">
        <f aca="false">'норма времени'!D1244</f>
        <v>280</v>
      </c>
      <c r="J1240" s="661" t="n">
        <f aca="false">H1240*I1240</f>
        <v>2342.70414993307</v>
      </c>
    </row>
    <row r="1241" customFormat="false" ht="28.5" hidden="false" customHeight="false" outlineLevel="0" collapsed="false">
      <c r="A1241" s="375" t="s">
        <v>2061</v>
      </c>
      <c r="B1241" s="318" t="s">
        <v>3765</v>
      </c>
      <c r="C1241" s="1261"/>
      <c r="D1241" s="1261"/>
      <c r="E1241" s="1261"/>
      <c r="F1241" s="1262"/>
      <c r="G1241" s="1262"/>
      <c r="H1241" s="1263"/>
      <c r="I1241" s="1264"/>
      <c r="J1241" s="1263"/>
    </row>
    <row r="1242" customFormat="false" ht="15" hidden="false" customHeight="false" outlineLevel="0" collapsed="false">
      <c r="A1242" s="327" t="s">
        <v>2063</v>
      </c>
      <c r="B1242" s="500" t="s">
        <v>3766</v>
      </c>
      <c r="C1242" s="954" t="n">
        <v>100000</v>
      </c>
      <c r="D1242" s="954" t="n">
        <v>80000</v>
      </c>
      <c r="E1242" s="954" t="n">
        <v>60000</v>
      </c>
      <c r="F1242" s="955" t="n">
        <f aca="false">C1242+D1242+E1242</f>
        <v>240000</v>
      </c>
      <c r="G1242" s="955" t="n">
        <f aca="false">F1242/149.4</f>
        <v>1606.42570281125</v>
      </c>
      <c r="H1242" s="661" t="n">
        <f aca="false">G1242/60</f>
        <v>26.7737617135208</v>
      </c>
      <c r="I1242" s="660" t="n">
        <f aca="false">'норма времени'!D1246</f>
        <v>20</v>
      </c>
      <c r="J1242" s="661" t="n">
        <f aca="false">H1242*I1242</f>
        <v>535.475234270415</v>
      </c>
    </row>
    <row r="1243" customFormat="false" ht="15" hidden="false" customHeight="false" outlineLevel="0" collapsed="false">
      <c r="A1243" s="327" t="s">
        <v>2065</v>
      </c>
      <c r="B1243" s="500" t="s">
        <v>3767</v>
      </c>
      <c r="C1243" s="954" t="n">
        <v>90000</v>
      </c>
      <c r="D1243" s="954" t="n">
        <v>70000</v>
      </c>
      <c r="E1243" s="954" t="n">
        <v>60000</v>
      </c>
      <c r="F1243" s="955" t="n">
        <f aca="false">C1243+D1243+E1243</f>
        <v>220000</v>
      </c>
      <c r="G1243" s="955" t="n">
        <f aca="false">F1243/149.4</f>
        <v>1472.55689424364</v>
      </c>
      <c r="H1243" s="661" t="n">
        <f aca="false">G1243/60</f>
        <v>24.5426149040607</v>
      </c>
      <c r="I1243" s="660" t="n">
        <f aca="false">'норма времени'!D1247</f>
        <v>20</v>
      </c>
      <c r="J1243" s="661" t="n">
        <f aca="false">H1243*I1243</f>
        <v>490.852298081214</v>
      </c>
    </row>
    <row r="1244" customFormat="false" ht="15" hidden="false" customHeight="false" outlineLevel="0" collapsed="false">
      <c r="A1244" s="327" t="s">
        <v>2067</v>
      </c>
      <c r="B1244" s="500" t="s">
        <v>3768</v>
      </c>
      <c r="C1244" s="954" t="n">
        <v>150000</v>
      </c>
      <c r="D1244" s="954" t="n">
        <v>100000</v>
      </c>
      <c r="E1244" s="954" t="n">
        <v>80000</v>
      </c>
      <c r="F1244" s="955" t="n">
        <f aca="false">C1244+D1244+E1244</f>
        <v>330000</v>
      </c>
      <c r="G1244" s="955" t="n">
        <f aca="false">F1244/149.4</f>
        <v>2208.83534136546</v>
      </c>
      <c r="H1244" s="661" t="n">
        <f aca="false">G1244/60</f>
        <v>36.813922356091</v>
      </c>
      <c r="I1244" s="660" t="n">
        <f aca="false">'норма времени'!D1248</f>
        <v>23</v>
      </c>
      <c r="J1244" s="661" t="n">
        <f aca="false">H1244*I1244</f>
        <v>846.720214190094</v>
      </c>
    </row>
    <row r="1245" customFormat="false" ht="15" hidden="false" customHeight="false" outlineLevel="0" collapsed="false">
      <c r="A1245" s="327" t="s">
        <v>2069</v>
      </c>
      <c r="B1245" s="500" t="s">
        <v>3769</v>
      </c>
      <c r="C1245" s="954" t="n">
        <v>150000</v>
      </c>
      <c r="D1245" s="954" t="n">
        <v>130000</v>
      </c>
      <c r="E1245" s="954" t="n">
        <v>80000</v>
      </c>
      <c r="F1245" s="955" t="n">
        <f aca="false">C1245+D1245+E1245</f>
        <v>360000</v>
      </c>
      <c r="G1245" s="955" t="n">
        <f aca="false">F1245/149.4</f>
        <v>2409.63855421687</v>
      </c>
      <c r="H1245" s="661" t="n">
        <f aca="false">G1245/60</f>
        <v>40.1606425702811</v>
      </c>
      <c r="I1245" s="660" t="n">
        <f aca="false">'норма времени'!D1249</f>
        <v>23</v>
      </c>
      <c r="J1245" s="661" t="n">
        <f aca="false">H1245*I1245</f>
        <v>923.694779116466</v>
      </c>
    </row>
    <row r="1246" customFormat="false" ht="30" hidden="false" customHeight="false" outlineLevel="0" collapsed="false">
      <c r="A1246" s="327" t="s">
        <v>2071</v>
      </c>
      <c r="B1246" s="433" t="s">
        <v>3770</v>
      </c>
      <c r="C1246" s="954" t="n">
        <v>50000</v>
      </c>
      <c r="D1246" s="954" t="n">
        <v>40000</v>
      </c>
      <c r="E1246" s="954" t="n">
        <v>30000</v>
      </c>
      <c r="F1246" s="955" t="n">
        <f aca="false">C1246+D1246+E1246</f>
        <v>120000</v>
      </c>
      <c r="G1246" s="955" t="n">
        <f aca="false">F1246/149.4</f>
        <v>803.212851405623</v>
      </c>
      <c r="H1246" s="661" t="n">
        <f aca="false">G1246/60</f>
        <v>13.3868808567604</v>
      </c>
      <c r="I1246" s="660" t="n">
        <f aca="false">'норма времени'!D1250</f>
        <v>33</v>
      </c>
      <c r="J1246" s="661" t="n">
        <f aca="false">H1246*I1246</f>
        <v>441.767068273092</v>
      </c>
    </row>
    <row r="1247" customFormat="false" ht="15.75" hidden="false" customHeight="true" outlineLevel="0" collapsed="false">
      <c r="A1247" s="327" t="s">
        <v>2073</v>
      </c>
      <c r="B1247" s="500" t="s">
        <v>3771</v>
      </c>
      <c r="C1247" s="954" t="n">
        <v>50000</v>
      </c>
      <c r="D1247" s="954" t="n">
        <v>40000</v>
      </c>
      <c r="E1247" s="954" t="n">
        <v>30000</v>
      </c>
      <c r="F1247" s="955" t="n">
        <f aca="false">C1247+D1247+E1247</f>
        <v>120000</v>
      </c>
      <c r="G1247" s="955" t="n">
        <f aca="false">F1247/149.4</f>
        <v>803.212851405623</v>
      </c>
      <c r="H1247" s="661" t="n">
        <f aca="false">G1247/60</f>
        <v>13.3868808567604</v>
      </c>
      <c r="I1247" s="660" t="n">
        <f aca="false">'норма времени'!D1251</f>
        <v>38</v>
      </c>
      <c r="J1247" s="661" t="n">
        <f aca="false">H1247*I1247</f>
        <v>508.701472556894</v>
      </c>
    </row>
    <row r="1248" customFormat="false" ht="15" hidden="false" customHeight="false" outlineLevel="0" collapsed="false">
      <c r="A1248" s="327" t="s">
        <v>2075</v>
      </c>
      <c r="B1248" s="500" t="s">
        <v>3772</v>
      </c>
      <c r="C1248" s="954" t="n">
        <v>80000</v>
      </c>
      <c r="D1248" s="954" t="n">
        <v>70000</v>
      </c>
      <c r="E1248" s="954" t="n">
        <v>60000</v>
      </c>
      <c r="F1248" s="955" t="n">
        <f aca="false">C1248+D1248+E1248</f>
        <v>210000</v>
      </c>
      <c r="G1248" s="955" t="n">
        <f aca="false">F1248/149.4</f>
        <v>1405.62248995984</v>
      </c>
      <c r="H1248" s="661" t="n">
        <f aca="false">G1248/60</f>
        <v>23.4270414993307</v>
      </c>
      <c r="I1248" s="660" t="n">
        <f aca="false">'норма времени'!D1252</f>
        <v>33</v>
      </c>
      <c r="J1248" s="661" t="n">
        <f aca="false">H1248*I1248</f>
        <v>773.092369477912</v>
      </c>
    </row>
    <row r="1249" customFormat="false" ht="45" hidden="false" customHeight="false" outlineLevel="0" collapsed="false">
      <c r="A1249" s="327" t="s">
        <v>2077</v>
      </c>
      <c r="B1249" s="500" t="s">
        <v>3773</v>
      </c>
      <c r="C1249" s="954" t="n">
        <v>80000</v>
      </c>
      <c r="D1249" s="954" t="n">
        <v>70000</v>
      </c>
      <c r="E1249" s="954" t="n">
        <v>60000</v>
      </c>
      <c r="F1249" s="955" t="n">
        <f aca="false">C1249+D1249+E1249</f>
        <v>210000</v>
      </c>
      <c r="G1249" s="955" t="n">
        <f aca="false">F1249/149.4</f>
        <v>1405.62248995984</v>
      </c>
      <c r="H1249" s="661" t="n">
        <f aca="false">G1249/60</f>
        <v>23.4270414993307</v>
      </c>
      <c r="I1249" s="660" t="n">
        <f aca="false">'норма времени'!D1253</f>
        <v>40</v>
      </c>
      <c r="J1249" s="661" t="n">
        <f aca="false">H1249*I1249</f>
        <v>937.081659973226</v>
      </c>
    </row>
    <row r="1250" customFormat="false" ht="25.5" hidden="false" customHeight="true" outlineLevel="0" collapsed="false">
      <c r="A1250" s="327" t="s">
        <v>2079</v>
      </c>
      <c r="B1250" s="379" t="s">
        <v>3774</v>
      </c>
      <c r="C1250" s="954" t="n">
        <v>180000</v>
      </c>
      <c r="D1250" s="954" t="n">
        <v>150000</v>
      </c>
      <c r="E1250" s="954" t="n">
        <v>80000</v>
      </c>
      <c r="F1250" s="955" t="n">
        <f aca="false">C1250+D1250+E1250</f>
        <v>410000</v>
      </c>
      <c r="G1250" s="955" t="n">
        <f aca="false">F1250/149.4</f>
        <v>2744.31057563588</v>
      </c>
      <c r="H1250" s="661" t="n">
        <f aca="false">G1250/60</f>
        <v>45.7385095939313</v>
      </c>
      <c r="I1250" s="660" t="n">
        <f aca="false">'норма времени'!D1254</f>
        <v>40</v>
      </c>
      <c r="J1250" s="661" t="n">
        <f aca="false">H1250*I1250</f>
        <v>1829.54038375725</v>
      </c>
    </row>
    <row r="1251" customFormat="false" ht="25.5" hidden="false" customHeight="true" outlineLevel="0" collapsed="false">
      <c r="A1251" s="327" t="s">
        <v>2081</v>
      </c>
      <c r="B1251" s="379" t="s">
        <v>3775</v>
      </c>
      <c r="C1251" s="954" t="n">
        <v>180000</v>
      </c>
      <c r="D1251" s="954" t="n">
        <v>150000</v>
      </c>
      <c r="E1251" s="954" t="n">
        <v>80000</v>
      </c>
      <c r="F1251" s="955" t="n">
        <f aca="false">C1251+D1251+E1251</f>
        <v>410000</v>
      </c>
      <c r="G1251" s="955" t="n">
        <f aca="false">F1251/149.4</f>
        <v>2744.31057563588</v>
      </c>
      <c r="H1251" s="661" t="n">
        <f aca="false">G1251/60</f>
        <v>45.7385095939313</v>
      </c>
      <c r="I1251" s="660" t="n">
        <f aca="false">'норма времени'!D1255</f>
        <v>40</v>
      </c>
      <c r="J1251" s="661" t="n">
        <f aca="false">H1251*I1251</f>
        <v>1829.54038375725</v>
      </c>
    </row>
    <row r="1252" customFormat="false" ht="15" hidden="false" customHeight="false" outlineLevel="0" collapsed="false">
      <c r="A1252" s="327" t="s">
        <v>2083</v>
      </c>
      <c r="B1252" s="500" t="s">
        <v>3776</v>
      </c>
      <c r="C1252" s="954" t="n">
        <v>180000</v>
      </c>
      <c r="D1252" s="954" t="n">
        <v>150000</v>
      </c>
      <c r="E1252" s="954" t="n">
        <v>80000</v>
      </c>
      <c r="F1252" s="955" t="n">
        <f aca="false">C1252+D1252+E1252</f>
        <v>410000</v>
      </c>
      <c r="G1252" s="955" t="n">
        <f aca="false">F1252/149.4</f>
        <v>2744.31057563588</v>
      </c>
      <c r="H1252" s="661" t="n">
        <f aca="false">G1252/60</f>
        <v>45.7385095939313</v>
      </c>
      <c r="I1252" s="660" t="n">
        <f aca="false">'норма времени'!D1256</f>
        <v>15</v>
      </c>
      <c r="J1252" s="661" t="n">
        <f aca="false">H1252*I1252</f>
        <v>686.077643908969</v>
      </c>
    </row>
    <row r="1253" customFormat="false" ht="15" hidden="false" customHeight="false" outlineLevel="0" collapsed="false">
      <c r="A1253" s="327" t="s">
        <v>2085</v>
      </c>
      <c r="B1253" s="500" t="s">
        <v>3777</v>
      </c>
      <c r="C1253" s="954" t="n">
        <v>15000</v>
      </c>
      <c r="D1253" s="954" t="n">
        <v>10000</v>
      </c>
      <c r="E1253" s="954" t="n">
        <v>10000</v>
      </c>
      <c r="F1253" s="955" t="n">
        <f aca="false">C1253+D1253+E1253</f>
        <v>35000</v>
      </c>
      <c r="G1253" s="955" t="n">
        <f aca="false">F1253/149.4</f>
        <v>234.270414993307</v>
      </c>
      <c r="H1253" s="661" t="n">
        <f aca="false">G1253/60</f>
        <v>3.90450691655511</v>
      </c>
      <c r="I1253" s="660" t="n">
        <f aca="false">'норма времени'!D1257</f>
        <v>65</v>
      </c>
      <c r="J1253" s="661" t="n">
        <f aca="false">H1253*I1253</f>
        <v>253.792949576082</v>
      </c>
    </row>
    <row r="1254" customFormat="false" ht="15" hidden="false" customHeight="false" outlineLevel="0" collapsed="false">
      <c r="A1254" s="327" t="s">
        <v>2087</v>
      </c>
      <c r="B1254" s="500" t="s">
        <v>3778</v>
      </c>
      <c r="C1254" s="954" t="n">
        <v>15000</v>
      </c>
      <c r="D1254" s="954" t="n">
        <v>10000</v>
      </c>
      <c r="E1254" s="954" t="n">
        <v>10000</v>
      </c>
      <c r="F1254" s="955" t="n">
        <f aca="false">C1254+D1254+E1254</f>
        <v>35000</v>
      </c>
      <c r="G1254" s="955" t="n">
        <f aca="false">F1254/149.4</f>
        <v>234.270414993307</v>
      </c>
      <c r="H1254" s="661" t="n">
        <f aca="false">G1254/60</f>
        <v>3.90450691655511</v>
      </c>
      <c r="I1254" s="660" t="n">
        <f aca="false">'норма времени'!D1258</f>
        <v>65</v>
      </c>
      <c r="J1254" s="661" t="n">
        <f aca="false">H1254*I1254</f>
        <v>253.792949576082</v>
      </c>
    </row>
    <row r="1255" customFormat="false" ht="15.75" hidden="false" customHeight="true" outlineLevel="0" collapsed="false">
      <c r="A1255" s="327" t="s">
        <v>2089</v>
      </c>
      <c r="B1255" s="500" t="s">
        <v>3779</v>
      </c>
      <c r="C1255" s="954" t="n">
        <v>30000</v>
      </c>
      <c r="D1255" s="954" t="n">
        <v>20000</v>
      </c>
      <c r="E1255" s="954" t="n">
        <v>15000</v>
      </c>
      <c r="F1255" s="955" t="n">
        <f aca="false">C1255+D1255+E1255</f>
        <v>65000</v>
      </c>
      <c r="G1255" s="955" t="n">
        <f aca="false">F1255/149.4</f>
        <v>435.073627844712</v>
      </c>
      <c r="H1255" s="661" t="n">
        <f aca="false">G1255/60</f>
        <v>7.2512271307452</v>
      </c>
      <c r="I1255" s="660" t="n">
        <f aca="false">'норма времени'!D1259</f>
        <v>65</v>
      </c>
      <c r="J1255" s="661" t="n">
        <f aca="false">H1255*I1255</f>
        <v>471.329763498438</v>
      </c>
    </row>
    <row r="1256" customFormat="false" ht="15" hidden="false" customHeight="false" outlineLevel="0" collapsed="false">
      <c r="A1256" s="327" t="s">
        <v>2091</v>
      </c>
      <c r="B1256" s="500" t="s">
        <v>3780</v>
      </c>
      <c r="C1256" s="954" t="n">
        <v>15000</v>
      </c>
      <c r="D1256" s="954" t="n">
        <v>10000</v>
      </c>
      <c r="E1256" s="954" t="n">
        <v>10000</v>
      </c>
      <c r="F1256" s="955" t="n">
        <f aca="false">C1256+D1256+E1256</f>
        <v>35000</v>
      </c>
      <c r="G1256" s="955" t="n">
        <f aca="false">F1256/149.4</f>
        <v>234.270414993307</v>
      </c>
      <c r="H1256" s="661" t="n">
        <f aca="false">G1256/60</f>
        <v>3.90450691655511</v>
      </c>
      <c r="I1256" s="660" t="n">
        <f aca="false">'норма времени'!D1260</f>
        <v>65</v>
      </c>
      <c r="J1256" s="661" t="n">
        <f aca="false">H1256*I1256</f>
        <v>253.792949576082</v>
      </c>
    </row>
    <row r="1257" customFormat="false" ht="15" hidden="false" customHeight="false" outlineLevel="0" collapsed="false">
      <c r="A1257" s="327" t="s">
        <v>2093</v>
      </c>
      <c r="B1257" s="500" t="s">
        <v>3781</v>
      </c>
      <c r="C1257" s="954" t="n">
        <v>15000</v>
      </c>
      <c r="D1257" s="954" t="n">
        <v>10000</v>
      </c>
      <c r="E1257" s="954" t="n">
        <v>10000</v>
      </c>
      <c r="F1257" s="955" t="n">
        <f aca="false">C1257+D1257+E1257</f>
        <v>35000</v>
      </c>
      <c r="G1257" s="955" t="n">
        <f aca="false">F1257/149.4</f>
        <v>234.270414993307</v>
      </c>
      <c r="H1257" s="661" t="n">
        <f aca="false">G1257/60</f>
        <v>3.90450691655511</v>
      </c>
      <c r="I1257" s="660" t="n">
        <f aca="false">'норма времени'!D1261</f>
        <v>65</v>
      </c>
      <c r="J1257" s="661" t="n">
        <f aca="false">H1257*I1257</f>
        <v>253.792949576082</v>
      </c>
    </row>
    <row r="1258" customFormat="false" ht="15" hidden="false" customHeight="false" outlineLevel="0" collapsed="false">
      <c r="A1258" s="327" t="s">
        <v>2095</v>
      </c>
      <c r="B1258" s="500" t="s">
        <v>3782</v>
      </c>
      <c r="C1258" s="954" t="n">
        <v>15000</v>
      </c>
      <c r="D1258" s="954" t="n">
        <v>10000</v>
      </c>
      <c r="E1258" s="954" t="n">
        <v>10000</v>
      </c>
      <c r="F1258" s="955" t="n">
        <f aca="false">C1258+D1258+E1258</f>
        <v>35000</v>
      </c>
      <c r="G1258" s="955" t="n">
        <f aca="false">F1258/149.4</f>
        <v>234.270414993307</v>
      </c>
      <c r="H1258" s="661" t="n">
        <f aca="false">G1258/60</f>
        <v>3.90450691655511</v>
      </c>
      <c r="I1258" s="660" t="n">
        <f aca="false">'норма времени'!D1262</f>
        <v>65</v>
      </c>
      <c r="J1258" s="661" t="n">
        <f aca="false">H1258*I1258</f>
        <v>253.792949576082</v>
      </c>
    </row>
    <row r="1259" customFormat="false" ht="15" hidden="false" customHeight="false" outlineLevel="0" collapsed="false">
      <c r="A1259" s="327" t="s">
        <v>2097</v>
      </c>
      <c r="B1259" s="500" t="s">
        <v>3783</v>
      </c>
      <c r="C1259" s="954" t="n">
        <v>15000</v>
      </c>
      <c r="D1259" s="954" t="n">
        <v>10000</v>
      </c>
      <c r="E1259" s="954" t="n">
        <v>10000</v>
      </c>
      <c r="F1259" s="955" t="n">
        <f aca="false">C1259+D1259+E1259</f>
        <v>35000</v>
      </c>
      <c r="G1259" s="955" t="n">
        <f aca="false">F1259/149.4</f>
        <v>234.270414993307</v>
      </c>
      <c r="H1259" s="661" t="n">
        <f aca="false">G1259/60</f>
        <v>3.90450691655511</v>
      </c>
      <c r="I1259" s="660" t="n">
        <f aca="false">'норма времени'!D1263</f>
        <v>65</v>
      </c>
      <c r="J1259" s="661" t="n">
        <f aca="false">H1259*I1259</f>
        <v>253.792949576082</v>
      </c>
    </row>
    <row r="1260" customFormat="false" ht="15" hidden="false" customHeight="false" outlineLevel="0" collapsed="false">
      <c r="A1260" s="327" t="s">
        <v>2099</v>
      </c>
      <c r="B1260" s="500" t="s">
        <v>3784</v>
      </c>
      <c r="C1260" s="954" t="n">
        <v>15000</v>
      </c>
      <c r="D1260" s="954" t="n">
        <v>10000</v>
      </c>
      <c r="E1260" s="954" t="n">
        <v>10000</v>
      </c>
      <c r="F1260" s="955" t="n">
        <f aca="false">C1260+D1260+E1260</f>
        <v>35000</v>
      </c>
      <c r="G1260" s="955" t="n">
        <f aca="false">F1260/149.4</f>
        <v>234.270414993307</v>
      </c>
      <c r="H1260" s="661" t="n">
        <f aca="false">G1260/60</f>
        <v>3.90450691655511</v>
      </c>
      <c r="I1260" s="660" t="n">
        <f aca="false">'норма времени'!D1264</f>
        <v>65</v>
      </c>
      <c r="J1260" s="661" t="n">
        <f aca="false">H1260*I1260</f>
        <v>253.792949576082</v>
      </c>
    </row>
    <row r="1261" customFormat="false" ht="15" hidden="false" customHeight="false" outlineLevel="0" collapsed="false">
      <c r="A1261" s="327" t="s">
        <v>2101</v>
      </c>
      <c r="B1261" s="500" t="s">
        <v>3785</v>
      </c>
      <c r="C1261" s="954" t="n">
        <v>15000</v>
      </c>
      <c r="D1261" s="954" t="n">
        <v>10000</v>
      </c>
      <c r="E1261" s="954" t="n">
        <v>10000</v>
      </c>
      <c r="F1261" s="955" t="n">
        <f aca="false">C1261+D1261+E1261</f>
        <v>35000</v>
      </c>
      <c r="G1261" s="955" t="n">
        <f aca="false">F1261/149.4</f>
        <v>234.270414993307</v>
      </c>
      <c r="H1261" s="661" t="n">
        <f aca="false">G1261/60</f>
        <v>3.90450691655511</v>
      </c>
      <c r="I1261" s="660" t="n">
        <f aca="false">'норма времени'!D1265</f>
        <v>65</v>
      </c>
      <c r="J1261" s="661" t="n">
        <f aca="false">H1261*I1261</f>
        <v>253.792949576082</v>
      </c>
    </row>
    <row r="1262" customFormat="false" ht="15" hidden="false" customHeight="false" outlineLevel="0" collapsed="false">
      <c r="A1262" s="327" t="s">
        <v>2103</v>
      </c>
      <c r="B1262" s="500" t="s">
        <v>3786</v>
      </c>
      <c r="C1262" s="954" t="n">
        <v>15000</v>
      </c>
      <c r="D1262" s="954" t="n">
        <v>10000</v>
      </c>
      <c r="E1262" s="954" t="n">
        <v>10000</v>
      </c>
      <c r="F1262" s="955" t="n">
        <f aca="false">C1262+D1262+E1262</f>
        <v>35000</v>
      </c>
      <c r="G1262" s="955" t="n">
        <f aca="false">F1262/149.4</f>
        <v>234.270414993307</v>
      </c>
      <c r="H1262" s="661" t="n">
        <f aca="false">G1262/60</f>
        <v>3.90450691655511</v>
      </c>
      <c r="I1262" s="660" t="n">
        <f aca="false">'норма времени'!D1266</f>
        <v>65</v>
      </c>
      <c r="J1262" s="661" t="n">
        <f aca="false">H1262*I1262</f>
        <v>253.792949576082</v>
      </c>
    </row>
    <row r="1263" customFormat="false" ht="15" hidden="false" customHeight="false" outlineLevel="0" collapsed="false">
      <c r="A1263" s="327" t="s">
        <v>2105</v>
      </c>
      <c r="B1263" s="500" t="s">
        <v>3787</v>
      </c>
      <c r="C1263" s="954" t="n">
        <v>15000</v>
      </c>
      <c r="D1263" s="954" t="n">
        <v>10000</v>
      </c>
      <c r="E1263" s="954" t="n">
        <v>10000</v>
      </c>
      <c r="F1263" s="955" t="n">
        <f aca="false">C1263+D1263+E1263</f>
        <v>35000</v>
      </c>
      <c r="G1263" s="955" t="n">
        <f aca="false">F1263/149.4</f>
        <v>234.270414993307</v>
      </c>
      <c r="H1263" s="661" t="n">
        <f aca="false">G1263/60</f>
        <v>3.90450691655511</v>
      </c>
      <c r="I1263" s="660" t="n">
        <f aca="false">'норма времени'!D1267</f>
        <v>65</v>
      </c>
      <c r="J1263" s="661" t="n">
        <f aca="false">H1263*I1263</f>
        <v>253.792949576082</v>
      </c>
    </row>
    <row r="1264" customFormat="false" ht="15" hidden="false" customHeight="false" outlineLevel="0" collapsed="false">
      <c r="A1264" s="327" t="s">
        <v>2107</v>
      </c>
      <c r="B1264" s="500" t="s">
        <v>3788</v>
      </c>
      <c r="C1264" s="954" t="n">
        <v>50000</v>
      </c>
      <c r="D1264" s="954" t="n">
        <v>40000</v>
      </c>
      <c r="E1264" s="954" t="n">
        <v>30000</v>
      </c>
      <c r="F1264" s="955" t="n">
        <f aca="false">C1264+D1264+E1264</f>
        <v>120000</v>
      </c>
      <c r="G1264" s="955" t="n">
        <f aca="false">F1264/149.4</f>
        <v>803.212851405623</v>
      </c>
      <c r="H1264" s="661" t="n">
        <f aca="false">G1264/60</f>
        <v>13.3868808567604</v>
      </c>
      <c r="I1264" s="660" t="n">
        <f aca="false">'норма времени'!D1268</f>
        <v>65</v>
      </c>
      <c r="J1264" s="661" t="n">
        <f aca="false">H1264*I1264</f>
        <v>870.147255689424</v>
      </c>
    </row>
    <row r="1265" customFormat="false" ht="30" hidden="false" customHeight="false" outlineLevel="0" collapsed="false">
      <c r="A1265" s="327" t="s">
        <v>2109</v>
      </c>
      <c r="B1265" s="500" t="s">
        <v>3789</v>
      </c>
      <c r="C1265" s="954" t="n">
        <v>180000</v>
      </c>
      <c r="D1265" s="954" t="n">
        <v>150000</v>
      </c>
      <c r="E1265" s="954" t="n">
        <v>80000</v>
      </c>
      <c r="F1265" s="955" t="n">
        <f aca="false">C1265+D1265+E1265</f>
        <v>410000</v>
      </c>
      <c r="G1265" s="955" t="n">
        <f aca="false">F1265/149.4</f>
        <v>2744.31057563588</v>
      </c>
      <c r="H1265" s="661" t="n">
        <f aca="false">G1265/60</f>
        <v>45.7385095939313</v>
      </c>
      <c r="I1265" s="660" t="n">
        <f aca="false">'норма времени'!D1269</f>
        <v>23</v>
      </c>
      <c r="J1265" s="661" t="n">
        <f aca="false">H1265*I1265</f>
        <v>1051.98572066042</v>
      </c>
    </row>
    <row r="1266" customFormat="false" ht="15" hidden="false" customHeight="false" outlineLevel="0" collapsed="false">
      <c r="A1266" s="327" t="s">
        <v>2111</v>
      </c>
      <c r="B1266" s="500" t="s">
        <v>3790</v>
      </c>
      <c r="C1266" s="954" t="n">
        <v>180000</v>
      </c>
      <c r="D1266" s="954" t="n">
        <v>150000</v>
      </c>
      <c r="E1266" s="954" t="n">
        <v>80000</v>
      </c>
      <c r="F1266" s="955" t="n">
        <f aca="false">C1266+D1266+E1266</f>
        <v>410000</v>
      </c>
      <c r="G1266" s="955" t="n">
        <f aca="false">F1266/149.4</f>
        <v>2744.31057563588</v>
      </c>
      <c r="H1266" s="661" t="n">
        <f aca="false">G1266/60</f>
        <v>45.7385095939313</v>
      </c>
      <c r="I1266" s="660" t="n">
        <f aca="false">'норма времени'!D1270</f>
        <v>18</v>
      </c>
      <c r="J1266" s="661" t="n">
        <f aca="false">H1266*I1266</f>
        <v>823.293172690763</v>
      </c>
    </row>
    <row r="1267" customFormat="false" ht="30" hidden="false" customHeight="false" outlineLevel="0" collapsed="false">
      <c r="A1267" s="327" t="s">
        <v>2113</v>
      </c>
      <c r="B1267" s="500" t="s">
        <v>3791</v>
      </c>
      <c r="C1267" s="954" t="n">
        <v>180000</v>
      </c>
      <c r="D1267" s="954" t="n">
        <v>150000</v>
      </c>
      <c r="E1267" s="954" t="n">
        <v>80000</v>
      </c>
      <c r="F1267" s="955" t="n">
        <f aca="false">C1267+D1267+E1267</f>
        <v>410000</v>
      </c>
      <c r="G1267" s="955" t="n">
        <f aca="false">F1267/149.4</f>
        <v>2744.31057563588</v>
      </c>
      <c r="H1267" s="661" t="n">
        <f aca="false">G1267/60</f>
        <v>45.7385095939313</v>
      </c>
      <c r="I1267" s="660" t="n">
        <f aca="false">'норма времени'!D1271</f>
        <v>28</v>
      </c>
      <c r="J1267" s="661" t="n">
        <f aca="false">H1267*I1267</f>
        <v>1280.67826863008</v>
      </c>
    </row>
    <row r="1268" customFormat="false" ht="18.75" hidden="false" customHeight="true" outlineLevel="0" collapsed="false">
      <c r="A1268" s="327" t="s">
        <v>2115</v>
      </c>
      <c r="B1268" s="500" t="s">
        <v>3792</v>
      </c>
      <c r="C1268" s="954" t="n">
        <v>180000</v>
      </c>
      <c r="D1268" s="954" t="n">
        <v>150000</v>
      </c>
      <c r="E1268" s="954" t="n">
        <v>80000</v>
      </c>
      <c r="F1268" s="955" t="n">
        <f aca="false">C1268+D1268+E1268</f>
        <v>410000</v>
      </c>
      <c r="G1268" s="955" t="n">
        <f aca="false">F1268/149.4</f>
        <v>2744.31057563588</v>
      </c>
      <c r="H1268" s="661" t="n">
        <f aca="false">G1268/60</f>
        <v>45.7385095939313</v>
      </c>
      <c r="I1268" s="660" t="n">
        <f aca="false">'норма времени'!D1272</f>
        <v>28</v>
      </c>
      <c r="J1268" s="661" t="n">
        <f aca="false">H1268*I1268</f>
        <v>1280.67826863008</v>
      </c>
    </row>
    <row r="1269" customFormat="false" ht="15" hidden="false" customHeight="false" outlineLevel="0" collapsed="false">
      <c r="A1269" s="327" t="s">
        <v>2117</v>
      </c>
      <c r="B1269" s="500" t="s">
        <v>3793</v>
      </c>
      <c r="C1269" s="954" t="n">
        <v>180000</v>
      </c>
      <c r="D1269" s="954" t="n">
        <v>150000</v>
      </c>
      <c r="E1269" s="954" t="n">
        <v>80000</v>
      </c>
      <c r="F1269" s="955" t="n">
        <f aca="false">C1269+D1269+E1269</f>
        <v>410000</v>
      </c>
      <c r="G1269" s="955" t="n">
        <f aca="false">F1269/149.4</f>
        <v>2744.31057563588</v>
      </c>
      <c r="H1269" s="661" t="n">
        <f aca="false">G1269/60</f>
        <v>45.7385095939313</v>
      </c>
      <c r="I1269" s="660" t="n">
        <f aca="false">'норма времени'!D1273</f>
        <v>28</v>
      </c>
      <c r="J1269" s="661" t="n">
        <f aca="false">H1269*I1269</f>
        <v>1280.67826863008</v>
      </c>
    </row>
    <row r="1270" customFormat="false" ht="30" hidden="false" customHeight="false" outlineLevel="0" collapsed="false">
      <c r="A1270" s="327" t="s">
        <v>2119</v>
      </c>
      <c r="B1270" s="500" t="s">
        <v>3794</v>
      </c>
      <c r="C1270" s="954" t="n">
        <v>180000</v>
      </c>
      <c r="D1270" s="954" t="n">
        <v>150000</v>
      </c>
      <c r="E1270" s="954" t="n">
        <v>80000</v>
      </c>
      <c r="F1270" s="955" t="n">
        <f aca="false">C1270+D1270+E1270</f>
        <v>410000</v>
      </c>
      <c r="G1270" s="955" t="n">
        <f aca="false">F1270/149.4</f>
        <v>2744.31057563588</v>
      </c>
      <c r="H1270" s="661" t="n">
        <f aca="false">G1270/60</f>
        <v>45.7385095939313</v>
      </c>
      <c r="I1270" s="660" t="n">
        <f aca="false">'норма времени'!D1274</f>
        <v>28</v>
      </c>
      <c r="J1270" s="661" t="n">
        <f aca="false">H1270*I1270</f>
        <v>1280.67826863008</v>
      </c>
    </row>
    <row r="1271" customFormat="false" ht="15" hidden="false" customHeight="false" outlineLevel="0" collapsed="false">
      <c r="A1271" s="327" t="s">
        <v>2121</v>
      </c>
      <c r="B1271" s="500" t="s">
        <v>3795</v>
      </c>
      <c r="C1271" s="954" t="n">
        <v>50000</v>
      </c>
      <c r="D1271" s="954" t="n">
        <v>30000</v>
      </c>
      <c r="E1271" s="954" t="n">
        <v>20000</v>
      </c>
      <c r="F1271" s="955" t="n">
        <f aca="false">C1271+D1271+E1271</f>
        <v>100000</v>
      </c>
      <c r="G1271" s="955" t="n">
        <f aca="false">F1271/149.4</f>
        <v>669.344042838019</v>
      </c>
      <c r="H1271" s="661" t="n">
        <f aca="false">G1271/60</f>
        <v>11.1557340473003</v>
      </c>
      <c r="I1271" s="660" t="n">
        <f aca="false">'норма времени'!D1275</f>
        <v>130</v>
      </c>
      <c r="J1271" s="661" t="n">
        <f aca="false">H1271*I1271</f>
        <v>1450.24542614904</v>
      </c>
    </row>
    <row r="1272" customFormat="false" ht="15" hidden="false" customHeight="false" outlineLevel="0" collapsed="false">
      <c r="A1272" s="327" t="s">
        <v>2123</v>
      </c>
      <c r="B1272" s="500" t="s">
        <v>3796</v>
      </c>
      <c r="C1272" s="954" t="n">
        <v>50000</v>
      </c>
      <c r="D1272" s="954" t="n">
        <v>30000</v>
      </c>
      <c r="E1272" s="954" t="n">
        <v>20000</v>
      </c>
      <c r="F1272" s="955" t="n">
        <f aca="false">C1272+D1272+E1272</f>
        <v>100000</v>
      </c>
      <c r="G1272" s="955" t="n">
        <f aca="false">F1272/149.4</f>
        <v>669.344042838019</v>
      </c>
      <c r="H1272" s="661" t="n">
        <f aca="false">G1272/60</f>
        <v>11.1557340473003</v>
      </c>
      <c r="I1272" s="660" t="n">
        <f aca="false">'норма времени'!D1276</f>
        <v>100</v>
      </c>
      <c r="J1272" s="661" t="n">
        <f aca="false">H1272*I1272</f>
        <v>1115.57340473003</v>
      </c>
    </row>
    <row r="1273" customFormat="false" ht="30" hidden="false" customHeight="false" outlineLevel="0" collapsed="false">
      <c r="A1273" s="327" t="s">
        <v>2125</v>
      </c>
      <c r="B1273" s="500" t="s">
        <v>3797</v>
      </c>
      <c r="C1273" s="954" t="n">
        <v>50000</v>
      </c>
      <c r="D1273" s="954" t="n">
        <v>30000</v>
      </c>
      <c r="E1273" s="954" t="n">
        <v>20000</v>
      </c>
      <c r="F1273" s="955" t="n">
        <f aca="false">C1273+D1273+E1273</f>
        <v>100000</v>
      </c>
      <c r="G1273" s="955" t="n">
        <f aca="false">F1273/149.4</f>
        <v>669.344042838019</v>
      </c>
      <c r="H1273" s="661" t="n">
        <f aca="false">G1273/60</f>
        <v>11.1557340473003</v>
      </c>
      <c r="I1273" s="660" t="n">
        <f aca="false">'норма времени'!D1277</f>
        <v>100</v>
      </c>
      <c r="J1273" s="661" t="n">
        <f aca="false">H1273*I1273</f>
        <v>1115.57340473003</v>
      </c>
    </row>
    <row r="1274" customFormat="false" ht="18.75" hidden="false" customHeight="true" outlineLevel="0" collapsed="false">
      <c r="A1274" s="327" t="s">
        <v>2127</v>
      </c>
      <c r="B1274" s="500" t="s">
        <v>3798</v>
      </c>
      <c r="C1274" s="954" t="n">
        <v>180000</v>
      </c>
      <c r="D1274" s="954" t="n">
        <v>150000</v>
      </c>
      <c r="E1274" s="954" t="n">
        <v>80000</v>
      </c>
      <c r="F1274" s="955" t="n">
        <f aca="false">C1274+D1274+E1274</f>
        <v>410000</v>
      </c>
      <c r="G1274" s="955" t="n">
        <f aca="false">F1274/149.4</f>
        <v>2744.31057563588</v>
      </c>
      <c r="H1274" s="661" t="n">
        <f aca="false">G1274/60</f>
        <v>45.7385095939313</v>
      </c>
      <c r="I1274" s="660" t="n">
        <f aca="false">'норма времени'!D1278</f>
        <v>105</v>
      </c>
      <c r="J1274" s="661" t="n">
        <f aca="false">H1274*I1274</f>
        <v>4802.54350736279</v>
      </c>
    </row>
    <row r="1275" customFormat="false" ht="30" hidden="false" customHeight="false" outlineLevel="0" collapsed="false">
      <c r="A1275" s="327" t="s">
        <v>2129</v>
      </c>
      <c r="B1275" s="500" t="s">
        <v>3799</v>
      </c>
      <c r="C1275" s="954" t="n">
        <v>180000</v>
      </c>
      <c r="D1275" s="954" t="n">
        <v>150000</v>
      </c>
      <c r="E1275" s="954" t="n">
        <v>80000</v>
      </c>
      <c r="F1275" s="955" t="n">
        <f aca="false">C1275+D1275+E1275</f>
        <v>410000</v>
      </c>
      <c r="G1275" s="955" t="n">
        <f aca="false">F1275/149.4</f>
        <v>2744.31057563588</v>
      </c>
      <c r="H1275" s="661" t="n">
        <f aca="false">G1275/60</f>
        <v>45.7385095939313</v>
      </c>
      <c r="I1275" s="660" t="n">
        <f aca="false">'норма времени'!D1279</f>
        <v>105</v>
      </c>
      <c r="J1275" s="661" t="n">
        <f aca="false">H1275*I1275</f>
        <v>4802.54350736279</v>
      </c>
    </row>
    <row r="1276" customFormat="false" ht="30" hidden="false" customHeight="false" outlineLevel="0" collapsed="false">
      <c r="A1276" s="327" t="s">
        <v>2131</v>
      </c>
      <c r="B1276" s="500" t="s">
        <v>3800</v>
      </c>
      <c r="C1276" s="954" t="n">
        <v>50000</v>
      </c>
      <c r="D1276" s="954" t="n">
        <v>30000</v>
      </c>
      <c r="E1276" s="954" t="n">
        <v>20000</v>
      </c>
      <c r="F1276" s="955" t="n">
        <f aca="false">C1276+D1276+E1276</f>
        <v>100000</v>
      </c>
      <c r="G1276" s="955" t="n">
        <f aca="false">F1276/149.4</f>
        <v>669.344042838019</v>
      </c>
      <c r="H1276" s="661" t="n">
        <f aca="false">G1276/60</f>
        <v>11.1557340473003</v>
      </c>
      <c r="I1276" s="660" t="n">
        <f aca="false">'норма времени'!D1280</f>
        <v>130</v>
      </c>
      <c r="J1276" s="661" t="n">
        <f aca="false">H1276*I1276</f>
        <v>1450.24542614904</v>
      </c>
    </row>
    <row r="1277" customFormat="false" ht="15" hidden="false" customHeight="false" outlineLevel="0" collapsed="false">
      <c r="A1277" s="327" t="s">
        <v>2133</v>
      </c>
      <c r="B1277" s="500" t="s">
        <v>3801</v>
      </c>
      <c r="C1277" s="954" t="n">
        <v>180000</v>
      </c>
      <c r="D1277" s="954" t="n">
        <v>150000</v>
      </c>
      <c r="E1277" s="954" t="n">
        <v>80000</v>
      </c>
      <c r="F1277" s="955" t="n">
        <f aca="false">C1277+D1277+E1277</f>
        <v>410000</v>
      </c>
      <c r="G1277" s="955" t="n">
        <f aca="false">F1277/149.4</f>
        <v>2744.31057563588</v>
      </c>
      <c r="H1277" s="661" t="n">
        <f aca="false">G1277/60</f>
        <v>45.7385095939313</v>
      </c>
      <c r="I1277" s="660" t="n">
        <f aca="false">'норма времени'!D1281</f>
        <v>28</v>
      </c>
      <c r="J1277" s="661" t="n">
        <f aca="false">H1277*I1277</f>
        <v>1280.67826863008</v>
      </c>
    </row>
    <row r="1278" customFormat="false" ht="15" hidden="false" customHeight="false" outlineLevel="0" collapsed="false">
      <c r="A1278" s="327" t="s">
        <v>2135</v>
      </c>
      <c r="B1278" s="500" t="s">
        <v>3802</v>
      </c>
      <c r="C1278" s="954" t="n">
        <v>50000</v>
      </c>
      <c r="D1278" s="954" t="n">
        <v>30000</v>
      </c>
      <c r="E1278" s="954" t="n">
        <v>20000</v>
      </c>
      <c r="F1278" s="955" t="n">
        <f aca="false">C1278+D1278+E1278</f>
        <v>100000</v>
      </c>
      <c r="G1278" s="955" t="n">
        <f aca="false">F1278/149.4</f>
        <v>669.344042838019</v>
      </c>
      <c r="H1278" s="661" t="n">
        <f aca="false">G1278/60</f>
        <v>11.1557340473003</v>
      </c>
      <c r="I1278" s="660" t="n">
        <f aca="false">'норма времени'!D1282</f>
        <v>130</v>
      </c>
      <c r="J1278" s="661" t="n">
        <f aca="false">H1278*I1278</f>
        <v>1450.24542614904</v>
      </c>
    </row>
    <row r="1279" customFormat="false" ht="15" hidden="false" customHeight="false" outlineLevel="0" collapsed="false">
      <c r="A1279" s="327" t="s">
        <v>2137</v>
      </c>
      <c r="B1279" s="500" t="s">
        <v>3803</v>
      </c>
      <c r="C1279" s="954" t="n">
        <v>50000</v>
      </c>
      <c r="D1279" s="954" t="n">
        <v>30000</v>
      </c>
      <c r="E1279" s="954" t="n">
        <v>20000</v>
      </c>
      <c r="F1279" s="955" t="n">
        <f aca="false">C1279+D1279+E1279</f>
        <v>100000</v>
      </c>
      <c r="G1279" s="955" t="n">
        <f aca="false">F1279/149.4</f>
        <v>669.344042838019</v>
      </c>
      <c r="H1279" s="661" t="n">
        <f aca="false">G1279/60</f>
        <v>11.1557340473003</v>
      </c>
      <c r="I1279" s="660" t="n">
        <f aca="false">'норма времени'!D1283</f>
        <v>100</v>
      </c>
      <c r="J1279" s="661" t="n">
        <f aca="false">H1279*I1279</f>
        <v>1115.57340473003</v>
      </c>
    </row>
    <row r="1280" customFormat="false" ht="15" hidden="false" customHeight="false" outlineLevel="0" collapsed="false">
      <c r="A1280" s="327" t="s">
        <v>2139</v>
      </c>
      <c r="B1280" s="500" t="s">
        <v>3804</v>
      </c>
      <c r="C1280" s="954" t="n">
        <v>180000</v>
      </c>
      <c r="D1280" s="954" t="n">
        <v>150000</v>
      </c>
      <c r="E1280" s="954" t="n">
        <v>80000</v>
      </c>
      <c r="F1280" s="955" t="n">
        <f aca="false">C1280+D1280+E1280</f>
        <v>410000</v>
      </c>
      <c r="G1280" s="955" t="n">
        <f aca="false">F1280/149.4</f>
        <v>2744.31057563588</v>
      </c>
      <c r="H1280" s="661" t="n">
        <f aca="false">G1280/60</f>
        <v>45.7385095939313</v>
      </c>
      <c r="I1280" s="660" t="n">
        <f aca="false">'норма времени'!D1284</f>
        <v>40</v>
      </c>
      <c r="J1280" s="661" t="n">
        <f aca="false">H1280*I1280</f>
        <v>1829.54038375725</v>
      </c>
    </row>
    <row r="1281" customFormat="false" ht="15" hidden="false" customHeight="false" outlineLevel="0" collapsed="false">
      <c r="A1281" s="327" t="s">
        <v>2141</v>
      </c>
      <c r="B1281" s="500" t="s">
        <v>3805</v>
      </c>
      <c r="C1281" s="954" t="n">
        <v>180000</v>
      </c>
      <c r="D1281" s="954" t="n">
        <v>150000</v>
      </c>
      <c r="E1281" s="954" t="n">
        <v>80000</v>
      </c>
      <c r="F1281" s="955" t="n">
        <f aca="false">C1281+D1281+E1281</f>
        <v>410000</v>
      </c>
      <c r="G1281" s="955" t="n">
        <f aca="false">F1281/149.4</f>
        <v>2744.31057563588</v>
      </c>
      <c r="H1281" s="661" t="n">
        <f aca="false">G1281/60</f>
        <v>45.7385095939313</v>
      </c>
      <c r="I1281" s="660" t="n">
        <f aca="false">'норма времени'!D1285</f>
        <v>60</v>
      </c>
      <c r="J1281" s="661" t="n">
        <f aca="false">H1281*I1281</f>
        <v>2744.31057563588</v>
      </c>
    </row>
    <row r="1282" customFormat="false" ht="15" hidden="false" customHeight="false" outlineLevel="0" collapsed="false">
      <c r="A1282" s="327" t="s">
        <v>2143</v>
      </c>
      <c r="B1282" s="500" t="s">
        <v>3806</v>
      </c>
      <c r="C1282" s="954" t="n">
        <v>180000</v>
      </c>
      <c r="D1282" s="954" t="n">
        <v>150000</v>
      </c>
      <c r="E1282" s="954" t="n">
        <v>80000</v>
      </c>
      <c r="F1282" s="955" t="n">
        <f aca="false">C1282+D1282+E1282</f>
        <v>410000</v>
      </c>
      <c r="G1282" s="955" t="n">
        <f aca="false">F1282/149.4</f>
        <v>2744.31057563588</v>
      </c>
      <c r="H1282" s="661" t="n">
        <f aca="false">G1282/60</f>
        <v>45.7385095939313</v>
      </c>
      <c r="I1282" s="660" t="n">
        <f aca="false">'норма времени'!D1286</f>
        <v>40</v>
      </c>
      <c r="J1282" s="661" t="n">
        <f aca="false">H1282*I1282</f>
        <v>1829.54038375725</v>
      </c>
    </row>
    <row r="1283" customFormat="false" ht="15" hidden="false" customHeight="false" outlineLevel="0" collapsed="false">
      <c r="A1283" s="327" t="s">
        <v>2145</v>
      </c>
      <c r="B1283" s="500" t="s">
        <v>3807</v>
      </c>
      <c r="C1283" s="954" t="n">
        <v>130000</v>
      </c>
      <c r="D1283" s="954" t="n">
        <v>100000</v>
      </c>
      <c r="E1283" s="954" t="n">
        <v>80000</v>
      </c>
      <c r="F1283" s="955" t="n">
        <f aca="false">C1283+D1283+E1283</f>
        <v>310000</v>
      </c>
      <c r="G1283" s="955" t="n">
        <f aca="false">F1283/149.4</f>
        <v>2074.96653279786</v>
      </c>
      <c r="H1283" s="661" t="n">
        <f aca="false">G1283/60</f>
        <v>34.582775546631</v>
      </c>
      <c r="I1283" s="660" t="n">
        <f aca="false">'норма времени'!D1287</f>
        <v>115</v>
      </c>
      <c r="J1283" s="661" t="n">
        <f aca="false">H1283*I1283</f>
        <v>3977.01918786256</v>
      </c>
    </row>
    <row r="1284" customFormat="false" ht="17.25" hidden="false" customHeight="true" outlineLevel="0" collapsed="false">
      <c r="A1284" s="327" t="s">
        <v>2147</v>
      </c>
      <c r="B1284" s="500" t="s">
        <v>3808</v>
      </c>
      <c r="C1284" s="954" t="n">
        <v>200000</v>
      </c>
      <c r="D1284" s="954" t="n">
        <v>180000</v>
      </c>
      <c r="E1284" s="954" t="n">
        <v>100000</v>
      </c>
      <c r="F1284" s="955" t="n">
        <f aca="false">C1284+D1284+E1284</f>
        <v>480000</v>
      </c>
      <c r="G1284" s="955" t="n">
        <f aca="false">F1284/149.4</f>
        <v>3212.85140562249</v>
      </c>
      <c r="H1284" s="661" t="n">
        <f aca="false">G1284/60</f>
        <v>53.5475234270415</v>
      </c>
      <c r="I1284" s="660" t="n">
        <f aca="false">'норма времени'!D1288</f>
        <v>35</v>
      </c>
      <c r="J1284" s="661" t="n">
        <f aca="false">H1284*I1284</f>
        <v>1874.16331994645</v>
      </c>
    </row>
    <row r="1285" customFormat="false" ht="30" hidden="false" customHeight="false" outlineLevel="0" collapsed="false">
      <c r="A1285" s="327" t="s">
        <v>2149</v>
      </c>
      <c r="B1285" s="500" t="s">
        <v>3809</v>
      </c>
      <c r="C1285" s="954" t="n">
        <v>200000</v>
      </c>
      <c r="D1285" s="954" t="n">
        <v>180000</v>
      </c>
      <c r="E1285" s="954" t="n">
        <v>100000</v>
      </c>
      <c r="F1285" s="955" t="n">
        <f aca="false">C1285+D1285+E1285</f>
        <v>480000</v>
      </c>
      <c r="G1285" s="955" t="n">
        <f aca="false">F1285/149.4</f>
        <v>3212.85140562249</v>
      </c>
      <c r="H1285" s="661" t="n">
        <f aca="false">G1285/60</f>
        <v>53.5475234270415</v>
      </c>
      <c r="I1285" s="660" t="n">
        <f aca="false">'норма времени'!D1289</f>
        <v>25</v>
      </c>
      <c r="J1285" s="661" t="n">
        <f aca="false">H1285*I1285</f>
        <v>1338.68808567604</v>
      </c>
    </row>
    <row r="1286" customFormat="false" ht="30" hidden="false" customHeight="false" outlineLevel="0" collapsed="false">
      <c r="A1286" s="327" t="s">
        <v>2151</v>
      </c>
      <c r="B1286" s="500" t="s">
        <v>3810</v>
      </c>
      <c r="C1286" s="954" t="n">
        <v>200000</v>
      </c>
      <c r="D1286" s="954" t="n">
        <v>180000</v>
      </c>
      <c r="E1286" s="954" t="n">
        <v>100000</v>
      </c>
      <c r="F1286" s="955" t="n">
        <f aca="false">C1286+D1286+E1286</f>
        <v>480000</v>
      </c>
      <c r="G1286" s="955" t="n">
        <f aca="false">F1286/149.4</f>
        <v>3212.85140562249</v>
      </c>
      <c r="H1286" s="661" t="n">
        <f aca="false">G1286/60</f>
        <v>53.5475234270415</v>
      </c>
      <c r="I1286" s="660" t="n">
        <f aca="false">'норма времени'!D1290</f>
        <v>25</v>
      </c>
      <c r="J1286" s="661" t="n">
        <f aca="false">H1286*I1286</f>
        <v>1338.68808567604</v>
      </c>
    </row>
    <row r="1287" customFormat="false" ht="30" hidden="false" customHeight="false" outlineLevel="0" collapsed="false">
      <c r="A1287" s="327" t="s">
        <v>2153</v>
      </c>
      <c r="B1287" s="500" t="s">
        <v>3811</v>
      </c>
      <c r="C1287" s="954" t="n">
        <v>200000</v>
      </c>
      <c r="D1287" s="954" t="n">
        <v>180000</v>
      </c>
      <c r="E1287" s="954" t="n">
        <v>100000</v>
      </c>
      <c r="F1287" s="955" t="n">
        <f aca="false">C1287+D1287+E1287</f>
        <v>480000</v>
      </c>
      <c r="G1287" s="955" t="n">
        <f aca="false">F1287/149.4</f>
        <v>3212.85140562249</v>
      </c>
      <c r="H1287" s="661" t="n">
        <f aca="false">G1287/60</f>
        <v>53.5475234270415</v>
      </c>
      <c r="I1287" s="660" t="n">
        <f aca="false">'норма времени'!D1291</f>
        <v>25</v>
      </c>
      <c r="J1287" s="661" t="n">
        <f aca="false">H1287*I1287</f>
        <v>1338.68808567604</v>
      </c>
    </row>
    <row r="1288" customFormat="false" ht="15" hidden="false" customHeight="false" outlineLevel="0" collapsed="false">
      <c r="A1288" s="327" t="s">
        <v>2155</v>
      </c>
      <c r="B1288" s="500" t="s">
        <v>3812</v>
      </c>
      <c r="C1288" s="954" t="n">
        <v>200000</v>
      </c>
      <c r="D1288" s="954" t="n">
        <v>180000</v>
      </c>
      <c r="E1288" s="954" t="n">
        <v>100000</v>
      </c>
      <c r="F1288" s="955" t="n">
        <f aca="false">C1288+D1288+E1288</f>
        <v>480000</v>
      </c>
      <c r="G1288" s="955" t="n">
        <f aca="false">F1288/149.4</f>
        <v>3212.85140562249</v>
      </c>
      <c r="H1288" s="661" t="n">
        <f aca="false">G1288/60</f>
        <v>53.5475234270415</v>
      </c>
      <c r="I1288" s="660" t="n">
        <f aca="false">'норма времени'!D1292</f>
        <v>40</v>
      </c>
      <c r="J1288" s="661" t="n">
        <f aca="false">H1288*I1288</f>
        <v>2141.90093708166</v>
      </c>
    </row>
    <row r="1289" customFormat="false" ht="30" hidden="false" customHeight="false" outlineLevel="0" collapsed="false">
      <c r="A1289" s="327" t="s">
        <v>2157</v>
      </c>
      <c r="B1289" s="500" t="s">
        <v>3813</v>
      </c>
      <c r="C1289" s="954" t="n">
        <v>200000</v>
      </c>
      <c r="D1289" s="954" t="n">
        <v>180000</v>
      </c>
      <c r="E1289" s="954" t="n">
        <v>100000</v>
      </c>
      <c r="F1289" s="955" t="n">
        <f aca="false">C1289+D1289+E1289</f>
        <v>480000</v>
      </c>
      <c r="G1289" s="955" t="n">
        <f aca="false">F1289/149.4</f>
        <v>3212.85140562249</v>
      </c>
      <c r="H1289" s="661" t="n">
        <f aca="false">G1289/60</f>
        <v>53.5475234270415</v>
      </c>
      <c r="I1289" s="660" t="n">
        <f aca="false">'норма времени'!D1293</f>
        <v>25</v>
      </c>
      <c r="J1289" s="661" t="n">
        <f aca="false">H1289*I1289</f>
        <v>1338.68808567604</v>
      </c>
    </row>
    <row r="1290" customFormat="false" ht="28.5" hidden="false" customHeight="true" outlineLevel="0" collapsed="false">
      <c r="A1290" s="343" t="s">
        <v>2159</v>
      </c>
      <c r="B1290" s="318" t="s">
        <v>3814</v>
      </c>
      <c r="C1290" s="1261"/>
      <c r="D1290" s="1261"/>
      <c r="E1290" s="1261"/>
      <c r="F1290" s="1262"/>
      <c r="G1290" s="955" t="n">
        <f aca="false">F1290/149.4</f>
        <v>0</v>
      </c>
      <c r="H1290" s="1263"/>
      <c r="I1290" s="1264"/>
      <c r="J1290" s="1263"/>
    </row>
    <row r="1291" customFormat="false" ht="15" hidden="false" customHeight="false" outlineLevel="0" collapsed="false">
      <c r="A1291" s="380" t="s">
        <v>2161</v>
      </c>
      <c r="B1291" s="487" t="str">
        <f aca="false">'норма времени'!B1295</f>
        <v>Исследования на грипп А/В  методом ПЦР </v>
      </c>
      <c r="C1291" s="1092" t="n">
        <v>10000</v>
      </c>
      <c r="D1291" s="1092" t="n">
        <v>10000</v>
      </c>
      <c r="E1291" s="1092" t="n">
        <v>10000</v>
      </c>
      <c r="F1291" s="1276" t="n">
        <f aca="false">C1291+D1291+E1291</f>
        <v>30000</v>
      </c>
      <c r="G1291" s="955" t="n">
        <f aca="false">F1291/149.4</f>
        <v>200.803212851406</v>
      </c>
      <c r="H1291" s="976" t="n">
        <f aca="false">G1291/60</f>
        <v>3.34672021419009</v>
      </c>
      <c r="I1291" s="1277" t="n">
        <f aca="false">'норма времени'!D1295</f>
        <v>482.5</v>
      </c>
      <c r="J1291" s="976" t="n">
        <f aca="false">H1291*I1291</f>
        <v>1614.79250334672</v>
      </c>
    </row>
    <row r="1292" customFormat="false" ht="30" hidden="false" customHeight="false" outlineLevel="0" collapsed="false">
      <c r="A1292" s="380" t="s">
        <v>2163</v>
      </c>
      <c r="B1292" s="487" t="str">
        <f aca="false">'норма времени'!B1296</f>
        <v>Исследования на грипп. Обнаружения противогриппозных антител </v>
      </c>
      <c r="C1292" s="1092" t="n">
        <v>65000</v>
      </c>
      <c r="D1292" s="1092" t="n">
        <v>65000</v>
      </c>
      <c r="E1292" s="1092" t="n">
        <v>65000</v>
      </c>
      <c r="F1292" s="1276" t="n">
        <f aca="false">C1292+D1292+E1292</f>
        <v>195000</v>
      </c>
      <c r="G1292" s="955" t="n">
        <f aca="false">F1292/149.4</f>
        <v>1305.22088353414</v>
      </c>
      <c r="H1292" s="976" t="n">
        <f aca="false">G1292/60</f>
        <v>21.7536813922356</v>
      </c>
      <c r="I1292" s="1277" t="n">
        <f aca="false">'норма времени'!D1296</f>
        <v>110</v>
      </c>
      <c r="J1292" s="976" t="n">
        <f aca="false">H1292*I1292</f>
        <v>2392.90495314592</v>
      </c>
    </row>
    <row r="1293" customFormat="false" ht="30" hidden="false" customHeight="false" outlineLevel="0" collapsed="false">
      <c r="A1293" s="380" t="s">
        <v>2165</v>
      </c>
      <c r="B1293" s="487" t="str">
        <f aca="false">'норма времени'!B1297</f>
        <v>Грипп и другие ОРВИ. Изоляция вируса гриппа в мазках из зева и носа, секционном материале</v>
      </c>
      <c r="C1293" s="1092" t="n">
        <v>45000</v>
      </c>
      <c r="D1293" s="1092" t="n">
        <v>35000</v>
      </c>
      <c r="E1293" s="1092" t="n">
        <v>35000</v>
      </c>
      <c r="F1293" s="1276" t="n">
        <f aca="false">C1293+D1293+E1293</f>
        <v>115000</v>
      </c>
      <c r="G1293" s="955" t="n">
        <f aca="false">F1293/149.4</f>
        <v>769.745649263722</v>
      </c>
      <c r="H1293" s="976" t="n">
        <f aca="false">G1293/60</f>
        <v>12.8290941543954</v>
      </c>
      <c r="I1293" s="1277" t="n">
        <f aca="false">'норма времени'!D1297</f>
        <v>433</v>
      </c>
      <c r="J1293" s="976" t="n">
        <f aca="false">H1293*I1293</f>
        <v>5554.99776885319</v>
      </c>
    </row>
    <row r="1294" customFormat="false" ht="30" hidden="false" customHeight="false" outlineLevel="0" collapsed="false">
      <c r="A1294" s="380" t="s">
        <v>2167</v>
      </c>
      <c r="B1294" s="487" t="str">
        <f aca="false">'норма времени'!B1298</f>
        <v>ОРВИ- Скрин. Обнаружение РНК вируса в мазках из зева и носа, секционном материале</v>
      </c>
      <c r="C1294" s="1092" t="n">
        <v>50000</v>
      </c>
      <c r="D1294" s="1092" t="n">
        <v>40000</v>
      </c>
      <c r="E1294" s="1092" t="n">
        <v>35000</v>
      </c>
      <c r="F1294" s="1276" t="n">
        <f aca="false">C1294+D1294+E1294</f>
        <v>125000</v>
      </c>
      <c r="G1294" s="955" t="n">
        <f aca="false">F1294/149.4</f>
        <v>836.680053547523</v>
      </c>
      <c r="H1294" s="976" t="n">
        <f aca="false">G1294/60</f>
        <v>13.9446675591254</v>
      </c>
      <c r="I1294" s="1277" t="n">
        <f aca="false">'норма времени'!D1298</f>
        <v>482.5</v>
      </c>
      <c r="J1294" s="976" t="n">
        <f aca="false">H1294*I1294</f>
        <v>6728.302097278</v>
      </c>
    </row>
    <row r="1295" customFormat="false" ht="30" hidden="false" customHeight="false" outlineLevel="0" collapsed="false">
      <c r="A1295" s="380" t="s">
        <v>2169</v>
      </c>
      <c r="B1295" s="487" t="str">
        <f aca="false">'норма времени'!B1299</f>
        <v>Исследования на  энтеровирусные инфекции. Определение возбудителя вирусологическим методом  </v>
      </c>
      <c r="C1295" s="1092" t="n">
        <v>10000</v>
      </c>
      <c r="D1295" s="1092" t="n">
        <v>10000</v>
      </c>
      <c r="E1295" s="1092" t="n">
        <v>10000</v>
      </c>
      <c r="F1295" s="1276" t="n">
        <f aca="false">C1295+D1295+E1295</f>
        <v>30000</v>
      </c>
      <c r="G1295" s="955" t="n">
        <f aca="false">F1295/149.4</f>
        <v>200.803212851406</v>
      </c>
      <c r="H1295" s="976" t="n">
        <f aca="false">G1295/60</f>
        <v>3.34672021419009</v>
      </c>
      <c r="I1295" s="1277" t="n">
        <f aca="false">'норма времени'!D1299</f>
        <v>617</v>
      </c>
      <c r="J1295" s="976" t="n">
        <f aca="false">H1295*I1295</f>
        <v>2064.92637215529</v>
      </c>
    </row>
    <row r="1296" customFormat="false" ht="15" hidden="false" customHeight="false" outlineLevel="0" collapsed="false">
      <c r="A1296" s="380" t="s">
        <v>2171</v>
      </c>
      <c r="B1296" s="487" t="str">
        <f aca="false">'норма времени'!B1300</f>
        <v>Исследования на энтеровирусы  методом ПЦР </v>
      </c>
      <c r="C1296" s="1092" t="n">
        <v>15000</v>
      </c>
      <c r="D1296" s="1092" t="n">
        <v>10000</v>
      </c>
      <c r="E1296" s="1092" t="n">
        <v>10000</v>
      </c>
      <c r="F1296" s="1276" t="n">
        <f aca="false">C1296+D1296+E1296</f>
        <v>35000</v>
      </c>
      <c r="G1296" s="955" t="n">
        <f aca="false">F1296/149.4</f>
        <v>234.270414993307</v>
      </c>
      <c r="H1296" s="976" t="n">
        <f aca="false">G1296/60</f>
        <v>3.90450691655511</v>
      </c>
      <c r="I1296" s="1277" t="n">
        <f aca="false">'норма времени'!D1300</f>
        <v>446</v>
      </c>
      <c r="J1296" s="976" t="n">
        <f aca="false">H1296*I1296</f>
        <v>1741.41008478358</v>
      </c>
    </row>
    <row r="1297" customFormat="false" ht="45" hidden="false" customHeight="false" outlineLevel="0" collapsed="false">
      <c r="A1297" s="380" t="s">
        <v>2173</v>
      </c>
      <c r="B1297" s="487" t="str">
        <f aca="false">'норма времени'!B1301</f>
        <v>Энтеровирусные инфекции. изоляция вируса в пробах окружающей среды (вода сточная, питьевая, открытых водоемов, плавательных бассейнов)</v>
      </c>
      <c r="C1297" s="1092" t="n">
        <v>45000</v>
      </c>
      <c r="D1297" s="1092" t="n">
        <v>40000</v>
      </c>
      <c r="E1297" s="1092" t="n">
        <v>40000</v>
      </c>
      <c r="F1297" s="1276" t="n">
        <f aca="false">C1297+D1297+E1297</f>
        <v>125000</v>
      </c>
      <c r="G1297" s="955" t="n">
        <f aca="false">F1297/149.4</f>
        <v>836.680053547523</v>
      </c>
      <c r="H1297" s="976" t="n">
        <f aca="false">G1297/60</f>
        <v>13.9446675591254</v>
      </c>
      <c r="I1297" s="1277" t="n">
        <f aca="false">'норма времени'!D1301</f>
        <v>617</v>
      </c>
      <c r="J1297" s="976" t="n">
        <f aca="false">H1297*I1297</f>
        <v>8603.85988398037</v>
      </c>
    </row>
    <row r="1298" customFormat="false" ht="30" hidden="false" customHeight="false" outlineLevel="0" collapsed="false">
      <c r="A1298" s="380" t="s">
        <v>2175</v>
      </c>
      <c r="B1298" s="487" t="str">
        <f aca="false">'норма времени'!B1302</f>
        <v>Полиомиелит. Изоляция вируса в фекалиях, ликворе, секционном материале</v>
      </c>
      <c r="C1298" s="1092" t="n">
        <v>40000</v>
      </c>
      <c r="D1298" s="1092" t="n">
        <v>40000</v>
      </c>
      <c r="E1298" s="1092" t="n">
        <v>40000</v>
      </c>
      <c r="F1298" s="1276" t="n">
        <f aca="false">C1298+D1298+E1298</f>
        <v>120000</v>
      </c>
      <c r="G1298" s="955" t="n">
        <f aca="false">F1298/149.4</f>
        <v>803.212851405623</v>
      </c>
      <c r="H1298" s="976" t="n">
        <f aca="false">G1298/60</f>
        <v>13.3868808567604</v>
      </c>
      <c r="I1298" s="1277" t="n">
        <f aca="false">'норма времени'!D1302</f>
        <v>617</v>
      </c>
      <c r="J1298" s="976" t="n">
        <f aca="false">H1298*I1298</f>
        <v>8259.70548862115</v>
      </c>
    </row>
    <row r="1299" customFormat="false" ht="30" hidden="false" customHeight="false" outlineLevel="0" collapsed="false">
      <c r="A1299" s="380" t="s">
        <v>2177</v>
      </c>
      <c r="B1299" s="487" t="str">
        <f aca="false">'норма времени'!B1303</f>
        <v>Выявления иммуноглобулинов класса М к вирусу гепатита А методом  ИФА</v>
      </c>
      <c r="C1299" s="1092" t="n">
        <v>30000</v>
      </c>
      <c r="D1299" s="1092" t="n">
        <v>20000</v>
      </c>
      <c r="E1299" s="1092" t="n">
        <v>20000</v>
      </c>
      <c r="F1299" s="1276" t="n">
        <f aca="false">C1299+D1299+E1299</f>
        <v>70000</v>
      </c>
      <c r="G1299" s="955" t="n">
        <f aca="false">F1299/149.4</f>
        <v>468.540829986613</v>
      </c>
      <c r="H1299" s="976" t="n">
        <f aca="false">G1299/60</f>
        <v>7.80901383311022</v>
      </c>
      <c r="I1299" s="1277" t="n">
        <f aca="false">'норма времени'!D1303</f>
        <v>107</v>
      </c>
      <c r="J1299" s="976" t="n">
        <f aca="false">H1299*I1299</f>
        <v>835.564480142793</v>
      </c>
    </row>
    <row r="1300" customFormat="false" ht="30" hidden="false" customHeight="false" outlineLevel="0" collapsed="false">
      <c r="A1300" s="380" t="s">
        <v>2179</v>
      </c>
      <c r="B1300" s="487" t="str">
        <f aca="false">'норма времени'!B1304</f>
        <v>обнаружение антигена вируса гепатита А в фекалиях, пробах окружающей среды (вода сточная, питьевая, </v>
      </c>
      <c r="C1300" s="1092" t="n">
        <v>30000</v>
      </c>
      <c r="D1300" s="1092" t="n">
        <v>20000</v>
      </c>
      <c r="E1300" s="1092" t="n">
        <v>20000</v>
      </c>
      <c r="F1300" s="1276" t="n">
        <f aca="false">C1300+D1300+E1300</f>
        <v>70000</v>
      </c>
      <c r="G1300" s="955" t="n">
        <f aca="false">F1300/149.4</f>
        <v>468.540829986613</v>
      </c>
      <c r="H1300" s="976" t="n">
        <f aca="false">G1300/60</f>
        <v>7.80901383311022</v>
      </c>
      <c r="I1300" s="1277" t="n">
        <f aca="false">'норма времени'!D1304</f>
        <v>107</v>
      </c>
      <c r="J1300" s="976" t="n">
        <f aca="false">H1300*I1300</f>
        <v>835.564480142793</v>
      </c>
    </row>
    <row r="1301" customFormat="false" ht="30" hidden="false" customHeight="false" outlineLevel="0" collapsed="false">
      <c r="A1301" s="380" t="s">
        <v>2181</v>
      </c>
      <c r="B1301" s="487" t="str">
        <f aca="false">'норма времени'!B1305</f>
        <v>Выявления антител и антигенов к вирусу гепатита В. Методом ИФА</v>
      </c>
      <c r="C1301" s="1092" t="n">
        <v>10000</v>
      </c>
      <c r="D1301" s="1092" t="n">
        <v>10000</v>
      </c>
      <c r="E1301" s="1092" t="n">
        <v>10000</v>
      </c>
      <c r="F1301" s="1276" t="n">
        <f aca="false">C1301+D1301+E1301</f>
        <v>30000</v>
      </c>
      <c r="G1301" s="955" t="n">
        <f aca="false">F1301/149.4</f>
        <v>200.803212851406</v>
      </c>
      <c r="H1301" s="976" t="n">
        <f aca="false">G1301/60</f>
        <v>3.34672021419009</v>
      </c>
      <c r="I1301" s="1277" t="n">
        <f aca="false">'норма времени'!D1305</f>
        <v>148</v>
      </c>
      <c r="J1301" s="976" t="n">
        <f aca="false">H1301*I1301</f>
        <v>495.314591700134</v>
      </c>
    </row>
    <row r="1302" customFormat="false" ht="15" hidden="false" customHeight="false" outlineLevel="0" collapsed="false">
      <c r="A1302" s="380" t="s">
        <v>2183</v>
      </c>
      <c r="B1302" s="487" t="str">
        <f aca="false">'норма времени'!B1306</f>
        <v>Определение HBsAg</v>
      </c>
      <c r="C1302" s="1092" t="n">
        <v>10000</v>
      </c>
      <c r="D1302" s="1092" t="n">
        <v>10000</v>
      </c>
      <c r="E1302" s="1092" t="n">
        <v>10000</v>
      </c>
      <c r="F1302" s="1276" t="n">
        <f aca="false">C1302+D1302+E1302</f>
        <v>30000</v>
      </c>
      <c r="G1302" s="955" t="n">
        <f aca="false">F1302/149.4</f>
        <v>200.803212851406</v>
      </c>
      <c r="H1302" s="976" t="n">
        <f aca="false">G1302/60</f>
        <v>3.34672021419009</v>
      </c>
      <c r="I1302" s="1277" t="n">
        <f aca="false">'норма времени'!D1306</f>
        <v>103</v>
      </c>
      <c r="J1302" s="976" t="n">
        <f aca="false">H1302*I1302</f>
        <v>344.71218206158</v>
      </c>
    </row>
    <row r="1303" customFormat="false" ht="15" hidden="false" customHeight="false" outlineLevel="0" collapsed="false">
      <c r="A1303" s="380" t="s">
        <v>2185</v>
      </c>
      <c r="B1303" s="487" t="str">
        <f aca="false">'норма времени'!B1307</f>
        <v>Определение HBsAg с подтверждающим;</v>
      </c>
      <c r="C1303" s="1092" t="n">
        <v>10000</v>
      </c>
      <c r="D1303" s="1092" t="n">
        <v>10000</v>
      </c>
      <c r="E1303" s="1092" t="n">
        <v>10000</v>
      </c>
      <c r="F1303" s="1276" t="n">
        <f aca="false">C1303+D1303+E1303</f>
        <v>30000</v>
      </c>
      <c r="G1303" s="955" t="n">
        <f aca="false">F1303/149.4</f>
        <v>200.803212851406</v>
      </c>
      <c r="H1303" s="976" t="n">
        <f aca="false">G1303/60</f>
        <v>3.34672021419009</v>
      </c>
      <c r="I1303" s="1277" t="n">
        <f aca="false">'норма времени'!D1307</f>
        <v>103</v>
      </c>
      <c r="J1303" s="976" t="n">
        <f aca="false">H1303*I1303</f>
        <v>344.71218206158</v>
      </c>
    </row>
    <row r="1304" customFormat="false" ht="15" hidden="false" customHeight="false" outlineLevel="0" collapsed="false">
      <c r="A1304" s="380" t="s">
        <v>2187</v>
      </c>
      <c r="B1304" s="487" t="str">
        <f aca="false">'норма времени'!B1308</f>
        <v>Определение HBeAg, </v>
      </c>
      <c r="C1304" s="1092" t="n">
        <v>10000</v>
      </c>
      <c r="D1304" s="1092" t="n">
        <v>10000</v>
      </c>
      <c r="E1304" s="1092" t="n">
        <v>10000</v>
      </c>
      <c r="F1304" s="1276" t="n">
        <f aca="false">C1304+D1304+E1304</f>
        <v>30000</v>
      </c>
      <c r="G1304" s="955" t="n">
        <f aca="false">F1304/149.4</f>
        <v>200.803212851406</v>
      </c>
      <c r="H1304" s="976" t="n">
        <f aca="false">G1304/60</f>
        <v>3.34672021419009</v>
      </c>
      <c r="I1304" s="1277" t="n">
        <f aca="false">'норма времени'!D1308</f>
        <v>103</v>
      </c>
      <c r="J1304" s="976" t="n">
        <f aca="false">H1304*I1304</f>
        <v>344.71218206158</v>
      </c>
    </row>
    <row r="1305" customFormat="false" ht="15" hidden="false" customHeight="false" outlineLevel="0" collapsed="false">
      <c r="A1305" s="380" t="s">
        <v>2189</v>
      </c>
      <c r="B1305" s="487" t="str">
        <f aca="false">'норма времени'!B1309</f>
        <v> Определениеa HBcor total,</v>
      </c>
      <c r="C1305" s="1092" t="n">
        <v>10000</v>
      </c>
      <c r="D1305" s="1092" t="n">
        <v>10000</v>
      </c>
      <c r="E1305" s="1092" t="n">
        <v>10000</v>
      </c>
      <c r="F1305" s="1276" t="n">
        <f aca="false">C1305+D1305+E1305</f>
        <v>30000</v>
      </c>
      <c r="G1305" s="955" t="n">
        <f aca="false">F1305/149.4</f>
        <v>200.803212851406</v>
      </c>
      <c r="H1305" s="976" t="n">
        <f aca="false">G1305/60</f>
        <v>3.34672021419009</v>
      </c>
      <c r="I1305" s="1277" t="n">
        <f aca="false">'норма времени'!D1309</f>
        <v>103</v>
      </c>
      <c r="J1305" s="976" t="n">
        <f aca="false">H1305*I1305</f>
        <v>344.71218206158</v>
      </c>
    </row>
    <row r="1306" customFormat="false" ht="15" hidden="false" customHeight="false" outlineLevel="0" collapsed="false">
      <c r="A1306" s="380" t="s">
        <v>2191</v>
      </c>
      <c r="B1306" s="487" t="str">
        <f aca="false">'норма времени'!B1310</f>
        <v>Определениеa HBcor IgM,  </v>
      </c>
      <c r="C1306" s="1092" t="n">
        <v>10000</v>
      </c>
      <c r="D1306" s="1092" t="n">
        <v>10000</v>
      </c>
      <c r="E1306" s="1092" t="n">
        <v>10000</v>
      </c>
      <c r="F1306" s="1276" t="n">
        <f aca="false">C1306+D1306+E1306</f>
        <v>30000</v>
      </c>
      <c r="G1306" s="955" t="n">
        <f aca="false">F1306/149.4</f>
        <v>200.803212851406</v>
      </c>
      <c r="H1306" s="976" t="n">
        <f aca="false">G1306/60</f>
        <v>3.34672021419009</v>
      </c>
      <c r="I1306" s="1277" t="n">
        <f aca="false">'норма времени'!D1310</f>
        <v>103</v>
      </c>
      <c r="J1306" s="976" t="n">
        <f aca="false">H1306*I1306</f>
        <v>344.71218206158</v>
      </c>
    </row>
    <row r="1307" customFormat="false" ht="15" hidden="false" customHeight="false" outlineLevel="0" collapsed="false">
      <c r="A1307" s="380" t="s">
        <v>2193</v>
      </c>
      <c r="B1307" s="487" t="str">
        <f aca="false">'норма времени'!B1311</f>
        <v>Определениеa HBs-total, </v>
      </c>
      <c r="C1307" s="1092" t="n">
        <v>10000</v>
      </c>
      <c r="D1307" s="1092" t="n">
        <v>10000</v>
      </c>
      <c r="E1307" s="1092" t="n">
        <v>10000</v>
      </c>
      <c r="F1307" s="1276" t="n">
        <f aca="false">C1307+D1307+E1307</f>
        <v>30000</v>
      </c>
      <c r="G1307" s="955" t="n">
        <f aca="false">F1307/149.4</f>
        <v>200.803212851406</v>
      </c>
      <c r="H1307" s="976" t="n">
        <f aca="false">G1307/60</f>
        <v>3.34672021419009</v>
      </c>
      <c r="I1307" s="1277" t="n">
        <f aca="false">'норма времени'!D1311</f>
        <v>103</v>
      </c>
      <c r="J1307" s="976" t="n">
        <f aca="false">H1307*I1307</f>
        <v>344.71218206158</v>
      </c>
    </row>
    <row r="1308" customFormat="false" ht="15" hidden="false" customHeight="false" outlineLevel="0" collapsed="false">
      <c r="A1308" s="380" t="s">
        <v>2195</v>
      </c>
      <c r="B1308" s="487" t="str">
        <f aca="false">'норма времени'!B1312</f>
        <v>Определение aHBeIgG</v>
      </c>
      <c r="C1308" s="1092" t="n">
        <v>10000</v>
      </c>
      <c r="D1308" s="1092" t="n">
        <v>10000</v>
      </c>
      <c r="E1308" s="1092" t="n">
        <v>10000</v>
      </c>
      <c r="F1308" s="1276" t="n">
        <f aca="false">C1308+D1308+E1308</f>
        <v>30000</v>
      </c>
      <c r="G1308" s="955" t="n">
        <f aca="false">F1308/149.4</f>
        <v>200.803212851406</v>
      </c>
      <c r="H1308" s="976" t="n">
        <f aca="false">G1308/60</f>
        <v>3.34672021419009</v>
      </c>
      <c r="I1308" s="1277" t="n">
        <f aca="false">'норма времени'!D1312</f>
        <v>103</v>
      </c>
      <c r="J1308" s="976" t="n">
        <f aca="false">H1308*I1308</f>
        <v>344.71218206158</v>
      </c>
    </row>
    <row r="1309" customFormat="false" ht="45" hidden="false" customHeight="false" outlineLevel="0" collapsed="false">
      <c r="A1309" s="380" t="s">
        <v>2197</v>
      </c>
      <c r="B1309" s="487" t="str">
        <f aca="false">'норма времени'!B1313</f>
        <v>Исследования на вирусные гепатиты определение возбудителя гепатита В методом ПЦР (качественный анализ)</v>
      </c>
      <c r="C1309" s="1092" t="n">
        <v>10000</v>
      </c>
      <c r="D1309" s="1092" t="n">
        <v>10000</v>
      </c>
      <c r="E1309" s="1092" t="n">
        <v>10000</v>
      </c>
      <c r="F1309" s="1276" t="n">
        <f aca="false">C1309+D1309+E1309</f>
        <v>30000</v>
      </c>
      <c r="G1309" s="955" t="n">
        <f aca="false">F1309/149.4</f>
        <v>200.803212851406</v>
      </c>
      <c r="H1309" s="976" t="n">
        <f aca="false">G1309/60</f>
        <v>3.34672021419009</v>
      </c>
      <c r="I1309" s="1277" t="n">
        <f aca="false">'норма времени'!D1313</f>
        <v>433</v>
      </c>
      <c r="J1309" s="976" t="n">
        <f aca="false">H1309*I1309</f>
        <v>1449.12985274431</v>
      </c>
    </row>
    <row r="1310" customFormat="false" ht="45" hidden="false" customHeight="false" outlineLevel="0" collapsed="false">
      <c r="A1310" s="380" t="s">
        <v>2199</v>
      </c>
      <c r="B1310" s="487" t="str">
        <f aca="false">'норма времени'!B1314</f>
        <v>Исследования на вирусные гепатиты определение возбудителя гепатита В методом ПЦР (количественный  анализ)</v>
      </c>
      <c r="C1310" s="1092" t="n">
        <v>10000</v>
      </c>
      <c r="D1310" s="1092" t="n">
        <v>10000</v>
      </c>
      <c r="E1310" s="1092" t="n">
        <v>10000</v>
      </c>
      <c r="F1310" s="1276" t="n">
        <f aca="false">C1310+D1310+E1310</f>
        <v>30000</v>
      </c>
      <c r="G1310" s="955" t="n">
        <f aca="false">F1310/149.4</f>
        <v>200.803212851406</v>
      </c>
      <c r="H1310" s="976" t="n">
        <f aca="false">G1310/60</f>
        <v>3.34672021419009</v>
      </c>
      <c r="I1310" s="1277" t="n">
        <f aca="false">'норма времени'!D1314</f>
        <v>461</v>
      </c>
      <c r="J1310" s="976" t="n">
        <f aca="false">H1310*I1310</f>
        <v>1542.83801874163</v>
      </c>
    </row>
    <row r="1311" customFormat="false" ht="30" hidden="false" customHeight="false" outlineLevel="0" collapsed="false">
      <c r="A1311" s="380" t="s">
        <v>2201</v>
      </c>
      <c r="B1311" s="487" t="str">
        <f aca="false">'норма времени'!B1315</f>
        <v>определение генотипов A, B, C и D вируса гепатита B. Методом ПЦР</v>
      </c>
      <c r="C1311" s="1092" t="n">
        <v>50000</v>
      </c>
      <c r="D1311" s="1092" t="n">
        <v>50000</v>
      </c>
      <c r="E1311" s="1092" t="n">
        <v>50000</v>
      </c>
      <c r="F1311" s="1276" t="n">
        <f aca="false">C1311+D1311+E1311</f>
        <v>150000</v>
      </c>
      <c r="G1311" s="955" t="n">
        <f aca="false">F1311/149.4</f>
        <v>1004.01606425703</v>
      </c>
      <c r="H1311" s="976" t="n">
        <f aca="false">G1311/60</f>
        <v>16.7336010709505</v>
      </c>
      <c r="I1311" s="1277" t="n">
        <f aca="false">'норма времени'!D1315</f>
        <v>436</v>
      </c>
      <c r="J1311" s="976" t="n">
        <f aca="false">H1311*I1311</f>
        <v>7295.8500669344</v>
      </c>
    </row>
    <row r="1312" customFormat="false" ht="30" hidden="false" customHeight="false" outlineLevel="0" collapsed="false">
      <c r="A1312" s="380" t="s">
        <v>2203</v>
      </c>
      <c r="B1312" s="487" t="str">
        <f aca="false">'норма времени'!B1316</f>
        <v>Выявление лекарственной устойчивости к лекарственным средствам ВГВ. Методом ПЦР</v>
      </c>
      <c r="C1312" s="1092" t="n">
        <v>65000</v>
      </c>
      <c r="D1312" s="1092" t="n">
        <v>65000</v>
      </c>
      <c r="E1312" s="1092" t="n">
        <v>60000</v>
      </c>
      <c r="F1312" s="1276" t="n">
        <f aca="false">C1312+D1312+E1312</f>
        <v>190000</v>
      </c>
      <c r="G1312" s="955" t="n">
        <f aca="false">F1312/149.4</f>
        <v>1271.75368139224</v>
      </c>
      <c r="H1312" s="976" t="n">
        <f aca="false">G1312/60</f>
        <v>21.1958946898706</v>
      </c>
      <c r="I1312" s="1277" t="n">
        <f aca="false">'норма времени'!D1316</f>
        <v>342</v>
      </c>
      <c r="J1312" s="976" t="n">
        <f aca="false">H1312*I1312</f>
        <v>7248.99598393574</v>
      </c>
    </row>
    <row r="1313" customFormat="false" ht="15" hidden="false" customHeight="false" outlineLevel="0" collapsed="false">
      <c r="A1313" s="380" t="s">
        <v>2205</v>
      </c>
      <c r="B1313" s="487" t="str">
        <f aca="false">'норма времени'!B1317</f>
        <v>Выявления антител к вирусу гепатита Дельта</v>
      </c>
      <c r="C1313" s="1092" t="n">
        <v>40000</v>
      </c>
      <c r="D1313" s="1092" t="n">
        <v>40000</v>
      </c>
      <c r="E1313" s="1092" t="n">
        <v>40000</v>
      </c>
      <c r="F1313" s="1276" t="n">
        <f aca="false">C1313+D1313+E1313</f>
        <v>120000</v>
      </c>
      <c r="G1313" s="955" t="n">
        <f aca="false">F1313/149.4</f>
        <v>803.212851405623</v>
      </c>
      <c r="H1313" s="976" t="n">
        <f aca="false">G1313/60</f>
        <v>13.3868808567604</v>
      </c>
      <c r="I1313" s="1277" t="n">
        <f aca="false">'норма времени'!D1317</f>
        <v>109</v>
      </c>
      <c r="J1313" s="976" t="n">
        <f aca="false">H1313*I1313</f>
        <v>1459.17001338688</v>
      </c>
    </row>
    <row r="1314" customFormat="false" ht="30" hidden="false" customHeight="false" outlineLevel="0" collapsed="false">
      <c r="A1314" s="380" t="s">
        <v>2207</v>
      </c>
      <c r="B1314" s="487" t="str">
        <f aca="false">'норма времени'!B1318</f>
        <v>обнаружение РНК вируса гепатита Д методом ПЦР (качественный анализ) </v>
      </c>
      <c r="C1314" s="1092" t="n">
        <v>30000</v>
      </c>
      <c r="D1314" s="1092" t="n">
        <v>30000</v>
      </c>
      <c r="E1314" s="1092" t="n">
        <v>25000</v>
      </c>
      <c r="F1314" s="1276" t="n">
        <f aca="false">C1314+D1314+E1314</f>
        <v>85000</v>
      </c>
      <c r="G1314" s="955" t="n">
        <f aca="false">F1314/149.4</f>
        <v>568.942436412316</v>
      </c>
      <c r="H1314" s="976" t="n">
        <f aca="false">G1314/60</f>
        <v>9.48237394020527</v>
      </c>
      <c r="I1314" s="1277" t="n">
        <f aca="false">'норма времени'!D1318</f>
        <v>468</v>
      </c>
      <c r="J1314" s="976" t="n">
        <f aca="false">H1314*I1314</f>
        <v>4437.75100401606</v>
      </c>
    </row>
    <row r="1315" customFormat="false" ht="30" hidden="false" customHeight="false" outlineLevel="0" collapsed="false">
      <c r="A1315" s="380" t="s">
        <v>2209</v>
      </c>
      <c r="B1315" s="487" t="str">
        <f aca="false">'норма времени'!B1319</f>
        <v>обнаружение РНК вируса гепатита Д методом ПЦР (количественный анализ) </v>
      </c>
      <c r="C1315" s="1092" t="n">
        <v>20000</v>
      </c>
      <c r="D1315" s="1092" t="n">
        <v>15000</v>
      </c>
      <c r="E1315" s="1092" t="n">
        <v>15000</v>
      </c>
      <c r="F1315" s="1276" t="n">
        <f aca="false">C1315+D1315+E1315</f>
        <v>50000</v>
      </c>
      <c r="G1315" s="955" t="n">
        <f aca="false">F1315/149.4</f>
        <v>334.672021419009</v>
      </c>
      <c r="H1315" s="976" t="n">
        <f aca="false">G1315/60</f>
        <v>5.57786702365016</v>
      </c>
      <c r="I1315" s="1277" t="n">
        <f aca="false">'норма времени'!D1319</f>
        <v>468</v>
      </c>
      <c r="J1315" s="976" t="n">
        <f aca="false">H1315*I1315</f>
        <v>2610.44176706827</v>
      </c>
    </row>
    <row r="1316" customFormat="false" ht="30" hidden="false" customHeight="false" outlineLevel="0" collapsed="false">
      <c r="A1316" s="380" t="s">
        <v>2211</v>
      </c>
      <c r="B1316" s="487" t="str">
        <f aca="false">'норма времени'!B1320</f>
        <v>Выявления  антител к вирусу гепатита С. Методом ИФА</v>
      </c>
      <c r="C1316" s="1092" t="n">
        <v>10000</v>
      </c>
      <c r="D1316" s="1092" t="n">
        <v>10000</v>
      </c>
      <c r="E1316" s="1092" t="n">
        <v>10000</v>
      </c>
      <c r="F1316" s="1276" t="n">
        <f aca="false">C1316+D1316+E1316</f>
        <v>30000</v>
      </c>
      <c r="G1316" s="955" t="n">
        <f aca="false">F1316/149.4</f>
        <v>200.803212851406</v>
      </c>
      <c r="H1316" s="976" t="n">
        <f aca="false">G1316/60</f>
        <v>3.34672021419009</v>
      </c>
      <c r="I1316" s="1277" t="n">
        <f aca="false">'норма времени'!D1320</f>
        <v>153</v>
      </c>
      <c r="J1316" s="976" t="n">
        <f aca="false">H1316*I1316</f>
        <v>512.048192771084</v>
      </c>
    </row>
    <row r="1317" customFormat="false" ht="15" hidden="false" customHeight="false" outlineLevel="0" collapsed="false">
      <c r="A1317" s="380" t="s">
        <v>2213</v>
      </c>
      <c r="B1317" s="487" t="str">
        <f aca="false">'норма времени'!B1321</f>
        <v>Подтверждения  антител к вирусу гепатита С</v>
      </c>
      <c r="C1317" s="1092" t="n">
        <v>10000</v>
      </c>
      <c r="D1317" s="1092" t="n">
        <v>10000</v>
      </c>
      <c r="E1317" s="1092" t="n">
        <v>10000</v>
      </c>
      <c r="F1317" s="1276" t="n">
        <f aca="false">C1317+D1317+E1317</f>
        <v>30000</v>
      </c>
      <c r="G1317" s="955" t="n">
        <f aca="false">F1317/149.4</f>
        <v>200.803212851406</v>
      </c>
      <c r="H1317" s="976" t="n">
        <f aca="false">G1317/60</f>
        <v>3.34672021419009</v>
      </c>
      <c r="I1317" s="1277" t="n">
        <f aca="false">'норма времени'!D1321</f>
        <v>131</v>
      </c>
      <c r="J1317" s="976" t="n">
        <f aca="false">H1317*I1317</f>
        <v>438.420348058902</v>
      </c>
    </row>
    <row r="1318" customFormat="false" ht="45" hidden="false" customHeight="false" outlineLevel="0" collapsed="false">
      <c r="A1318" s="380" t="s">
        <v>2215</v>
      </c>
      <c r="B1318" s="487" t="str">
        <f aca="false">'норма времени'!B1322</f>
        <v>Исследования на вирусные гепатиты определение возбудителя гепатита С методом ПЦР (качественный  анализ)</v>
      </c>
      <c r="C1318" s="1092" t="n">
        <v>20000</v>
      </c>
      <c r="D1318" s="1092" t="n">
        <v>20000</v>
      </c>
      <c r="E1318" s="1092" t="n">
        <v>15000</v>
      </c>
      <c r="F1318" s="1276" t="n">
        <f aca="false">C1318+D1318+E1318</f>
        <v>55000</v>
      </c>
      <c r="G1318" s="955" t="n">
        <f aca="false">F1318/149.4</f>
        <v>368.13922356091</v>
      </c>
      <c r="H1318" s="976" t="n">
        <f aca="false">G1318/60</f>
        <v>6.13565372601517</v>
      </c>
      <c r="I1318" s="1277" t="n">
        <f aca="false">'норма времени'!D1322</f>
        <v>432</v>
      </c>
      <c r="J1318" s="976" t="n">
        <f aca="false">H1318*I1318</f>
        <v>2650.60240963855</v>
      </c>
    </row>
    <row r="1319" customFormat="false" ht="45" hidden="false" customHeight="false" outlineLevel="0" collapsed="false">
      <c r="A1319" s="380" t="s">
        <v>2217</v>
      </c>
      <c r="B1319" s="487" t="str">
        <f aca="false">'норма времени'!B1323</f>
        <v>Исследования на вирусные гепатиты Определение возбудителя гепатита С методом ПЦР (количественный  анализ)</v>
      </c>
      <c r="C1319" s="1092" t="n">
        <v>10000</v>
      </c>
      <c r="D1319" s="1092" t="n">
        <v>5000</v>
      </c>
      <c r="E1319" s="1092" t="n">
        <v>5000</v>
      </c>
      <c r="F1319" s="1276" t="n">
        <f aca="false">C1319+D1319+E1319</f>
        <v>20000</v>
      </c>
      <c r="G1319" s="955" t="n">
        <f aca="false">F1319/149.4</f>
        <v>133.868808567604</v>
      </c>
      <c r="H1319" s="976" t="n">
        <f aca="false">G1319/60</f>
        <v>2.23114680946006</v>
      </c>
      <c r="I1319" s="1277" t="n">
        <f aca="false">'норма времени'!D1323</f>
        <v>468</v>
      </c>
      <c r="J1319" s="976" t="n">
        <f aca="false">H1319*I1319</f>
        <v>1044.17670682731</v>
      </c>
    </row>
    <row r="1320" customFormat="false" ht="15" hidden="false" customHeight="false" outlineLevel="0" collapsed="false">
      <c r="A1320" s="380" t="s">
        <v>2219</v>
      </c>
      <c r="B1320" s="487" t="str">
        <f aca="false">'норма времени'!B1324</f>
        <v>определение генотипа вируса гепатита C (1a, 1b, 2, 3a,4)</v>
      </c>
      <c r="C1320" s="1092" t="n">
        <v>30000</v>
      </c>
      <c r="D1320" s="1092" t="n">
        <v>30000</v>
      </c>
      <c r="E1320" s="1092" t="n">
        <v>20000</v>
      </c>
      <c r="F1320" s="1276" t="n">
        <f aca="false">C1320+D1320+E1320</f>
        <v>80000</v>
      </c>
      <c r="G1320" s="955" t="n">
        <f aca="false">F1320/149.4</f>
        <v>535.475234270415</v>
      </c>
      <c r="H1320" s="976" t="n">
        <f aca="false">G1320/60</f>
        <v>8.92458723784025</v>
      </c>
      <c r="I1320" s="1277" t="n">
        <f aca="false">'норма времени'!D1324</f>
        <v>468</v>
      </c>
      <c r="J1320" s="976" t="n">
        <f aca="false">H1320*I1320</f>
        <v>4176.70682730924</v>
      </c>
    </row>
    <row r="1321" customFormat="false" ht="15" hidden="false" customHeight="false" outlineLevel="0" collapsed="false">
      <c r="A1321" s="380" t="s">
        <v>2221</v>
      </c>
      <c r="B1321" s="487" t="str">
        <f aca="false">'норма времени'!B1325</f>
        <v>Выявления антигена ротовирусов    методом ИФА</v>
      </c>
      <c r="C1321" s="1092" t="n">
        <v>25000</v>
      </c>
      <c r="D1321" s="1092" t="n">
        <v>20000</v>
      </c>
      <c r="E1321" s="1092" t="n">
        <v>20000</v>
      </c>
      <c r="F1321" s="1276" t="n">
        <f aca="false">C1321+D1321+E1321</f>
        <v>65000</v>
      </c>
      <c r="G1321" s="955" t="n">
        <f aca="false">F1321/149.4</f>
        <v>435.073627844712</v>
      </c>
      <c r="H1321" s="976" t="n">
        <f aca="false">G1321/60</f>
        <v>7.2512271307452</v>
      </c>
      <c r="I1321" s="1277" t="n">
        <f aca="false">'норма времени'!D1325</f>
        <v>117</v>
      </c>
      <c r="J1321" s="976" t="n">
        <f aca="false">H1321*I1321</f>
        <v>848.393574297189</v>
      </c>
    </row>
    <row r="1322" customFormat="false" ht="30" hidden="false" customHeight="false" outlineLevel="0" collapsed="false">
      <c r="A1322" s="380" t="s">
        <v>2223</v>
      </c>
      <c r="B1322" s="487" t="str">
        <f aca="false">'норма времени'!B1326</f>
        <v>Ротавирусные, астро/нора вирусные  инфекции. Методом ПЦР</v>
      </c>
      <c r="C1322" s="1092" t="n">
        <v>35000</v>
      </c>
      <c r="D1322" s="1092" t="n">
        <v>30000</v>
      </c>
      <c r="E1322" s="1092" t="n">
        <v>25000</v>
      </c>
      <c r="F1322" s="1276" t="n">
        <f aca="false">C1322+D1322+E1322</f>
        <v>90000</v>
      </c>
      <c r="G1322" s="955" t="n">
        <f aca="false">F1322/149.4</f>
        <v>602.409638554217</v>
      </c>
      <c r="H1322" s="976" t="n">
        <f aca="false">G1322/60</f>
        <v>10.0401606425703</v>
      </c>
      <c r="I1322" s="1277" t="n">
        <f aca="false">'норма времени'!D1326</f>
        <v>432</v>
      </c>
      <c r="J1322" s="976" t="n">
        <f aca="false">H1322*I1322</f>
        <v>4337.34939759036</v>
      </c>
    </row>
    <row r="1323" customFormat="false" ht="30" hidden="false" customHeight="false" outlineLevel="0" collapsed="false">
      <c r="A1323" s="380" t="s">
        <v>2225</v>
      </c>
      <c r="B1323" s="487" t="str">
        <f aca="false">'норма времени'!B1327</f>
        <v>Выявления иммуноглобулинов класса М к вирусу кори методом ИФА</v>
      </c>
      <c r="C1323" s="1092" t="n">
        <v>25000</v>
      </c>
      <c r="D1323" s="1092" t="n">
        <v>20000</v>
      </c>
      <c r="E1323" s="1092" t="n">
        <v>15000</v>
      </c>
      <c r="F1323" s="1276" t="n">
        <f aca="false">C1323+D1323+E1323</f>
        <v>60000</v>
      </c>
      <c r="G1323" s="955" t="n">
        <f aca="false">F1323/149.4</f>
        <v>401.606425702811</v>
      </c>
      <c r="H1323" s="976" t="n">
        <f aca="false">G1323/60</f>
        <v>6.69344042838019</v>
      </c>
      <c r="I1323" s="1277" t="n">
        <f aca="false">'норма времени'!D1327</f>
        <v>158</v>
      </c>
      <c r="J1323" s="976" t="n">
        <f aca="false">H1323*I1323</f>
        <v>1057.56358768407</v>
      </c>
    </row>
    <row r="1324" customFormat="false" ht="30" hidden="false" customHeight="false" outlineLevel="0" collapsed="false">
      <c r="A1324" s="380" t="s">
        <v>2227</v>
      </c>
      <c r="B1324" s="487" t="str">
        <f aca="false">'норма времени'!B1328</f>
        <v>Выявления иммуноглобулинов класса G к вирусу кори методом ИФА</v>
      </c>
      <c r="C1324" s="1092" t="n">
        <v>35000</v>
      </c>
      <c r="D1324" s="1092" t="n">
        <v>25000</v>
      </c>
      <c r="E1324" s="1092" t="n">
        <v>20000</v>
      </c>
      <c r="F1324" s="1276" t="n">
        <f aca="false">C1324+D1324+E1324</f>
        <v>80000</v>
      </c>
      <c r="G1324" s="955" t="n">
        <f aca="false">F1324/149.4</f>
        <v>535.475234270415</v>
      </c>
      <c r="H1324" s="976" t="n">
        <f aca="false">G1324/60</f>
        <v>8.92458723784025</v>
      </c>
      <c r="I1324" s="1277" t="n">
        <f aca="false">'норма времени'!D1328</f>
        <v>130</v>
      </c>
      <c r="J1324" s="976" t="n">
        <f aca="false">H1324*I1324</f>
        <v>1160.19634091923</v>
      </c>
    </row>
    <row r="1325" customFormat="false" ht="30" hidden="false" customHeight="false" outlineLevel="0" collapsed="false">
      <c r="A1325" s="380" t="s">
        <v>2229</v>
      </c>
      <c r="B1325" s="487" t="str">
        <f aca="false">'норма времени'!B1329</f>
        <v>Выявления иммуноглобулинов класса М к вирусу краснухи  методом ИФА</v>
      </c>
      <c r="C1325" s="1092" t="n">
        <v>45000</v>
      </c>
      <c r="D1325" s="1092" t="n">
        <v>45000</v>
      </c>
      <c r="E1325" s="1092" t="n">
        <v>40000</v>
      </c>
      <c r="F1325" s="1276" t="n">
        <f aca="false">C1325+D1325+E1325</f>
        <v>130000</v>
      </c>
      <c r="G1325" s="955" t="n">
        <f aca="false">F1325/149.4</f>
        <v>870.147255689424</v>
      </c>
      <c r="H1325" s="976" t="n">
        <f aca="false">G1325/60</f>
        <v>14.5024542614904</v>
      </c>
      <c r="I1325" s="1277" t="n">
        <f aca="false">'норма времени'!D1329</f>
        <v>118</v>
      </c>
      <c r="J1325" s="976" t="n">
        <f aca="false">H1325*I1325</f>
        <v>1711.28960285587</v>
      </c>
    </row>
    <row r="1326" customFormat="false" ht="30" hidden="false" customHeight="false" outlineLevel="0" collapsed="false">
      <c r="A1326" s="380" t="s">
        <v>2231</v>
      </c>
      <c r="B1326" s="487" t="str">
        <f aca="false">'норма времени'!B1330</f>
        <v>Выявления иммуноглобулинов класса G к вирусу краснухи  методом ИФА</v>
      </c>
      <c r="C1326" s="1092" t="n">
        <v>45000</v>
      </c>
      <c r="D1326" s="1092" t="n">
        <v>45000</v>
      </c>
      <c r="E1326" s="1092" t="n">
        <v>40000</v>
      </c>
      <c r="F1326" s="1276" t="n">
        <f aca="false">C1326+D1326+E1326</f>
        <v>130000</v>
      </c>
      <c r="G1326" s="955" t="n">
        <f aca="false">F1326/149.4</f>
        <v>870.147255689424</v>
      </c>
      <c r="H1326" s="976" t="n">
        <f aca="false">G1326/60</f>
        <v>14.5024542614904</v>
      </c>
      <c r="I1326" s="1277" t="n">
        <f aca="false">'норма времени'!D1330</f>
        <v>117</v>
      </c>
      <c r="J1326" s="976" t="n">
        <f aca="false">H1326*I1326</f>
        <v>1696.78714859438</v>
      </c>
    </row>
    <row r="1327" customFormat="false" ht="30" hidden="false" customHeight="false" outlineLevel="0" collapsed="false">
      <c r="A1327" s="380" t="s">
        <v>2233</v>
      </c>
      <c r="B1327" s="487" t="str">
        <f aca="false">'норма времени'!B1331</f>
        <v>Определения индекса авидности иммуноглобулинов класса G к вирусу краснухи методом ИФА</v>
      </c>
      <c r="C1327" s="1092" t="n">
        <v>45000</v>
      </c>
      <c r="D1327" s="1092" t="n">
        <v>45000</v>
      </c>
      <c r="E1327" s="1092" t="n">
        <v>40000</v>
      </c>
      <c r="F1327" s="1276" t="n">
        <f aca="false">C1327+D1327+E1327</f>
        <v>130000</v>
      </c>
      <c r="G1327" s="955" t="n">
        <f aca="false">F1327/149.4</f>
        <v>870.147255689424</v>
      </c>
      <c r="H1327" s="976" t="n">
        <f aca="false">G1327/60</f>
        <v>14.5024542614904</v>
      </c>
      <c r="I1327" s="1277" t="n">
        <f aca="false">'норма времени'!D1331</f>
        <v>118</v>
      </c>
      <c r="J1327" s="976" t="n">
        <f aca="false">H1327*I1327</f>
        <v>1711.28960285587</v>
      </c>
    </row>
    <row r="1328" customFormat="false" ht="30" hidden="false" customHeight="false" outlineLevel="0" collapsed="false">
      <c r="A1328" s="380" t="s">
        <v>2235</v>
      </c>
      <c r="B1328" s="487" t="s">
        <v>3852</v>
      </c>
      <c r="C1328" s="1092" t="n">
        <v>45000</v>
      </c>
      <c r="D1328" s="1092" t="n">
        <v>25000</v>
      </c>
      <c r="E1328" s="1092" t="n">
        <v>20000</v>
      </c>
      <c r="F1328" s="1276" t="n">
        <f aca="false">C1328+D1328+E1328</f>
        <v>90000</v>
      </c>
      <c r="G1328" s="955" t="n">
        <f aca="false">F1328/149.4</f>
        <v>602.409638554217</v>
      </c>
      <c r="H1328" s="976" t="n">
        <f aca="false">G1328/60</f>
        <v>10.0401606425703</v>
      </c>
      <c r="I1328" s="1277" t="n">
        <f aca="false">'норма времени'!D1332</f>
        <v>432</v>
      </c>
      <c r="J1328" s="976" t="n">
        <f aca="false">H1328*I1328</f>
        <v>4337.34939759036</v>
      </c>
    </row>
    <row r="1329" customFormat="false" ht="30" hidden="false" customHeight="false" outlineLevel="0" collapsed="false">
      <c r="A1329" s="380" t="s">
        <v>2237</v>
      </c>
      <c r="B1329" s="487" t="str">
        <f aca="false">'норма времени'!B1333</f>
        <v>Выращивание  1-го матраца маточной тканевой культуры</v>
      </c>
      <c r="C1329" s="1092" t="n">
        <v>10000</v>
      </c>
      <c r="D1329" s="1092" t="n">
        <v>10000</v>
      </c>
      <c r="E1329" s="1092" t="n">
        <v>10000</v>
      </c>
      <c r="F1329" s="1276" t="n">
        <f aca="false">C1329+D1329+E1329</f>
        <v>30000</v>
      </c>
      <c r="G1329" s="955" t="n">
        <f aca="false">F1329/149.4</f>
        <v>200.803212851406</v>
      </c>
      <c r="H1329" s="976" t="n">
        <f aca="false">G1329/60</f>
        <v>3.34672021419009</v>
      </c>
      <c r="I1329" s="1277" t="n">
        <f aca="false">'норма времени'!D1333</f>
        <v>344</v>
      </c>
      <c r="J1329" s="976" t="n">
        <f aca="false">H1329*I1329</f>
        <v>1151.27175368139</v>
      </c>
    </row>
    <row r="1330" customFormat="false" ht="30" hidden="false" customHeight="false" outlineLevel="0" collapsed="false">
      <c r="A1330" s="380" t="s">
        <v>2239</v>
      </c>
      <c r="B1330" s="487" t="str">
        <f aca="false">'норма времени'!B1334</f>
        <v>Исследование дезинфицирующих средств на вирусологическую активность (протирание/орошение)</v>
      </c>
      <c r="C1330" s="1092" t="n">
        <v>85000</v>
      </c>
      <c r="D1330" s="1092" t="n">
        <v>80000</v>
      </c>
      <c r="E1330" s="1092" t="n">
        <v>80000</v>
      </c>
      <c r="F1330" s="1276" t="n">
        <f aca="false">C1330+D1330+E1330</f>
        <v>245000</v>
      </c>
      <c r="G1330" s="955" t="n">
        <f aca="false">F1330/149.4</f>
        <v>1639.89290495315</v>
      </c>
      <c r="H1330" s="976" t="n">
        <f aca="false">G1330/60</f>
        <v>27.3315484158858</v>
      </c>
      <c r="I1330" s="1277" t="n">
        <f aca="false">'норма времени'!D1334</f>
        <v>632</v>
      </c>
      <c r="J1330" s="976" t="n">
        <f aca="false">H1330*I1330</f>
        <v>17273.5385988398</v>
      </c>
    </row>
    <row r="1331" customFormat="false" ht="45" hidden="false" customHeight="false" outlineLevel="0" collapsed="false">
      <c r="A1331" s="380" t="s">
        <v>2241</v>
      </c>
      <c r="B1331" s="487" t="str">
        <f aca="false">'норма времени'!B1335</f>
        <v>Исследование дезинфицирующих средств на вирусологическую активность (погружение с белковой безбелковой нагрузки))</v>
      </c>
      <c r="C1331" s="1092" t="n">
        <v>85000</v>
      </c>
      <c r="D1331" s="1092" t="n">
        <v>80000</v>
      </c>
      <c r="E1331" s="1092" t="n">
        <v>80000</v>
      </c>
      <c r="F1331" s="1276" t="n">
        <f aca="false">C1331+D1331+E1331</f>
        <v>245000</v>
      </c>
      <c r="G1331" s="955" t="n">
        <f aca="false">F1331/149.4</f>
        <v>1639.89290495315</v>
      </c>
      <c r="H1331" s="976" t="n">
        <f aca="false">G1331/60</f>
        <v>27.3315484158858</v>
      </c>
      <c r="I1331" s="1277" t="n">
        <f aca="false">'норма времени'!D1335</f>
        <v>632</v>
      </c>
      <c r="J1331" s="976" t="n">
        <f aca="false">H1331*I1331</f>
        <v>17273.5385988398</v>
      </c>
    </row>
    <row r="1332" s="531" customFormat="true" ht="30" hidden="false" customHeight="false" outlineLevel="0" collapsed="false">
      <c r="A1332" s="380" t="s">
        <v>2243</v>
      </c>
      <c r="B1332" s="1278" t="s">
        <v>3856</v>
      </c>
      <c r="C1332" s="1092" t="n">
        <v>10000</v>
      </c>
      <c r="D1332" s="1092" t="n">
        <v>10000</v>
      </c>
      <c r="E1332" s="1092" t="n">
        <v>10000</v>
      </c>
      <c r="F1332" s="1276" t="n">
        <f aca="false">C1332+D1332+E1332</f>
        <v>30000</v>
      </c>
      <c r="G1332" s="955" t="n">
        <f aca="false">F1332/149.4</f>
        <v>200.803212851406</v>
      </c>
      <c r="H1332" s="976" t="n">
        <f aca="false">G1332/60</f>
        <v>3.34672021419009</v>
      </c>
      <c r="I1332" s="1277" t="n">
        <f aca="false">'норма времени'!D1336</f>
        <v>482.5</v>
      </c>
      <c r="J1332" s="976" t="n">
        <f aca="false">H1332*I1332</f>
        <v>1614.79250334672</v>
      </c>
    </row>
    <row r="1333" customFormat="false" ht="45" hidden="false" customHeight="false" outlineLevel="0" collapsed="false">
      <c r="A1333" s="380" t="s">
        <v>2245</v>
      </c>
      <c r="B1333" s="383" t="s">
        <v>3857</v>
      </c>
      <c r="C1333" s="1279" t="n">
        <v>25000</v>
      </c>
      <c r="D1333" s="1279" t="n">
        <v>20000</v>
      </c>
      <c r="E1333" s="1279" t="n">
        <v>20000</v>
      </c>
      <c r="F1333" s="1279" t="n">
        <v>65000</v>
      </c>
      <c r="G1333" s="1279" t="n">
        <v>435.073627844712</v>
      </c>
      <c r="H1333" s="661" t="n">
        <v>7.2512271307452</v>
      </c>
      <c r="I1333" s="1277" t="n">
        <f aca="false">'норма времени'!D1337</f>
        <v>144</v>
      </c>
      <c r="J1333" s="661" t="n">
        <v>848.393574297189</v>
      </c>
    </row>
    <row r="1334" customFormat="false" ht="45" hidden="false" customHeight="false" outlineLevel="0" collapsed="false">
      <c r="A1334" s="380" t="s">
        <v>2247</v>
      </c>
      <c r="B1334" s="384" t="s">
        <v>3858</v>
      </c>
      <c r="C1334" s="1279" t="n">
        <v>25000</v>
      </c>
      <c r="D1334" s="1279" t="n">
        <v>20000</v>
      </c>
      <c r="E1334" s="1279" t="n">
        <v>20000</v>
      </c>
      <c r="F1334" s="1279" t="n">
        <v>65000</v>
      </c>
      <c r="G1334" s="1279" t="n">
        <v>435.073627844712</v>
      </c>
      <c r="H1334" s="661" t="n">
        <v>7.2512271307452</v>
      </c>
      <c r="I1334" s="1277" t="n">
        <f aca="false">'норма времени'!D1338</f>
        <v>144</v>
      </c>
      <c r="J1334" s="661" t="n">
        <v>848.393574297189</v>
      </c>
    </row>
    <row r="1335" customFormat="false" ht="15" hidden="false" customHeight="false" outlineLevel="0" collapsed="false">
      <c r="A1335" s="380" t="s">
        <v>2249</v>
      </c>
      <c r="B1335" s="328" t="s">
        <v>3859</v>
      </c>
      <c r="C1335" s="1092" t="n">
        <v>10000</v>
      </c>
      <c r="D1335" s="1092" t="n">
        <v>10000</v>
      </c>
      <c r="E1335" s="1092" t="n">
        <v>10000</v>
      </c>
      <c r="F1335" s="1276" t="n">
        <v>30000</v>
      </c>
      <c r="G1335" s="955" t="n">
        <v>200.803212851406</v>
      </c>
      <c r="H1335" s="976" t="n">
        <v>3.34672021419009</v>
      </c>
      <c r="I1335" s="1277" t="n">
        <f aca="false">'норма времени'!D1339</f>
        <v>617</v>
      </c>
      <c r="J1335" s="976" t="n">
        <v>2064.92637215529</v>
      </c>
    </row>
    <row r="1336" customFormat="false" ht="15" hidden="false" customHeight="false" outlineLevel="0" collapsed="false">
      <c r="A1336" s="380" t="s">
        <v>2251</v>
      </c>
      <c r="B1336" s="532" t="s">
        <v>3860</v>
      </c>
      <c r="C1336" s="1092"/>
      <c r="D1336" s="1092"/>
      <c r="E1336" s="1092"/>
      <c r="F1336" s="1276"/>
      <c r="G1336" s="955"/>
      <c r="H1336" s="976"/>
      <c r="I1336" s="1277"/>
      <c r="J1336" s="976"/>
    </row>
    <row r="1337" customFormat="false" ht="15" hidden="false" customHeight="false" outlineLevel="0" collapsed="false">
      <c r="A1337" s="380" t="s">
        <v>2253</v>
      </c>
      <c r="B1337" s="532" t="s">
        <v>3861</v>
      </c>
      <c r="C1337" s="1092"/>
      <c r="D1337" s="1092"/>
      <c r="E1337" s="1092"/>
      <c r="F1337" s="1276"/>
      <c r="G1337" s="955"/>
      <c r="H1337" s="976"/>
      <c r="I1337" s="1277"/>
      <c r="J1337" s="976"/>
    </row>
    <row r="1338" customFormat="false" ht="15" hidden="false" customHeight="false" outlineLevel="0" collapsed="false">
      <c r="A1338" s="380" t="s">
        <v>2255</v>
      </c>
      <c r="B1338" s="532" t="s">
        <v>3862</v>
      </c>
      <c r="C1338" s="1092"/>
      <c r="D1338" s="1092"/>
      <c r="E1338" s="1092"/>
      <c r="F1338" s="1276"/>
      <c r="G1338" s="955"/>
      <c r="H1338" s="976"/>
      <c r="I1338" s="1277"/>
      <c r="J1338" s="976"/>
    </row>
    <row r="1339" customFormat="false" ht="15" hidden="false" customHeight="false" outlineLevel="0" collapsed="false">
      <c r="A1339" s="380" t="s">
        <v>2257</v>
      </c>
      <c r="B1339" s="532" t="s">
        <v>3863</v>
      </c>
      <c r="C1339" s="1092"/>
      <c r="D1339" s="1092"/>
      <c r="E1339" s="1092"/>
      <c r="F1339" s="1276"/>
      <c r="G1339" s="955"/>
      <c r="H1339" s="976"/>
      <c r="I1339" s="1277"/>
      <c r="J1339" s="976"/>
    </row>
    <row r="1340" customFormat="false" ht="21.75" hidden="false" customHeight="true" outlineLevel="0" collapsed="false">
      <c r="A1340" s="375" t="s">
        <v>2259</v>
      </c>
      <c r="B1340" s="385" t="s">
        <v>3864</v>
      </c>
      <c r="C1340" s="1261"/>
      <c r="D1340" s="1261"/>
      <c r="E1340" s="1261"/>
      <c r="F1340" s="1262"/>
      <c r="G1340" s="1262"/>
      <c r="H1340" s="1263"/>
      <c r="I1340" s="1264"/>
      <c r="J1340" s="1263"/>
    </row>
    <row r="1341" customFormat="false" ht="15" hidden="false" customHeight="false" outlineLevel="0" collapsed="false">
      <c r="A1341" s="350" t="s">
        <v>2261</v>
      </c>
      <c r="B1341" s="467" t="s">
        <v>3865</v>
      </c>
      <c r="C1341" s="1253"/>
      <c r="D1341" s="1253"/>
      <c r="E1341" s="1253"/>
      <c r="F1341" s="1254"/>
      <c r="G1341" s="1254"/>
      <c r="H1341" s="1250"/>
      <c r="I1341" s="1246"/>
      <c r="J1341" s="1250"/>
      <c r="T1341" s="581"/>
    </row>
    <row r="1342" customFormat="false" ht="30" hidden="false" customHeight="false" outlineLevel="0" collapsed="false">
      <c r="A1342" s="327" t="s">
        <v>2263</v>
      </c>
      <c r="B1342" s="433" t="s">
        <v>3866</v>
      </c>
      <c r="C1342" s="954" t="n">
        <v>25000</v>
      </c>
      <c r="D1342" s="954" t="n">
        <v>20000</v>
      </c>
      <c r="E1342" s="954" t="n">
        <v>20000</v>
      </c>
      <c r="F1342" s="955" t="n">
        <f aca="false">C1342+D1342+E1342</f>
        <v>65000</v>
      </c>
      <c r="G1342" s="955" t="n">
        <f aca="false">F1342/149.4</f>
        <v>435.073627844712</v>
      </c>
      <c r="H1342" s="661" t="n">
        <f aca="false">G1342/60</f>
        <v>7.2512271307452</v>
      </c>
      <c r="I1342" s="660" t="n">
        <f aca="false">'норма времени'!D1346</f>
        <v>74</v>
      </c>
      <c r="J1342" s="661" t="n">
        <f aca="false">H1342*I1342</f>
        <v>536.590807675145</v>
      </c>
      <c r="T1342" s="581"/>
    </row>
    <row r="1343" customFormat="false" ht="15" hidden="false" customHeight="false" outlineLevel="0" collapsed="false">
      <c r="A1343" s="327" t="s">
        <v>2265</v>
      </c>
      <c r="B1343" s="433" t="s">
        <v>3867</v>
      </c>
      <c r="C1343" s="954" t="n">
        <v>45000</v>
      </c>
      <c r="D1343" s="954" t="n">
        <v>35000</v>
      </c>
      <c r="E1343" s="954" t="n">
        <v>30000</v>
      </c>
      <c r="F1343" s="955" t="n">
        <f aca="false">C1343+D1343+E1343</f>
        <v>110000</v>
      </c>
      <c r="G1343" s="955" t="n">
        <f aca="false">F1343/149.4</f>
        <v>736.278447121821</v>
      </c>
      <c r="H1343" s="661" t="n">
        <f aca="false">G1343/60</f>
        <v>12.2713074520303</v>
      </c>
      <c r="I1343" s="660" t="n">
        <f aca="false">'норма времени'!D1347</f>
        <v>344</v>
      </c>
      <c r="J1343" s="661" t="n">
        <f aca="false">H1343*I1343</f>
        <v>4221.32976349844</v>
      </c>
      <c r="T1343" s="581"/>
    </row>
    <row r="1344" customFormat="false" ht="20.25" hidden="false" customHeight="true" outlineLevel="0" collapsed="false">
      <c r="A1344" s="327" t="s">
        <v>2267</v>
      </c>
      <c r="B1344" s="433" t="s">
        <v>3868</v>
      </c>
      <c r="C1344" s="954" t="n">
        <v>10000</v>
      </c>
      <c r="D1344" s="954" t="n">
        <v>10000</v>
      </c>
      <c r="E1344" s="954" t="n">
        <v>10000</v>
      </c>
      <c r="F1344" s="955" t="n">
        <f aca="false">C1344+D1344+E1344</f>
        <v>30000</v>
      </c>
      <c r="G1344" s="955" t="n">
        <f aca="false">F1344/149.4</f>
        <v>200.803212851406</v>
      </c>
      <c r="H1344" s="661" t="n">
        <f aca="false">G1344/60</f>
        <v>3.34672021419009</v>
      </c>
      <c r="I1344" s="660" t="n">
        <f aca="false">'норма времени'!D1348</f>
        <v>74</v>
      </c>
      <c r="J1344" s="661" t="n">
        <f aca="false">H1344*I1344</f>
        <v>247.657295850067</v>
      </c>
      <c r="T1344" s="581"/>
    </row>
    <row r="1345" customFormat="false" ht="30" hidden="false" customHeight="false" outlineLevel="0" collapsed="false">
      <c r="A1345" s="327" t="s">
        <v>2269</v>
      </c>
      <c r="B1345" s="433" t="s">
        <v>3869</v>
      </c>
      <c r="C1345" s="954" t="n">
        <v>10000</v>
      </c>
      <c r="D1345" s="954" t="n">
        <v>10000</v>
      </c>
      <c r="E1345" s="954" t="n">
        <v>10000</v>
      </c>
      <c r="F1345" s="955" t="n">
        <f aca="false">C1345+D1345+E1345</f>
        <v>30000</v>
      </c>
      <c r="G1345" s="955" t="n">
        <f aca="false">F1345/149.4</f>
        <v>200.803212851406</v>
      </c>
      <c r="H1345" s="661" t="n">
        <f aca="false">G1345/60</f>
        <v>3.34672021419009</v>
      </c>
      <c r="I1345" s="660" t="n">
        <f aca="false">'норма времени'!D1349</f>
        <v>61</v>
      </c>
      <c r="J1345" s="661" t="n">
        <f aca="false">H1345*I1345</f>
        <v>204.149933065596</v>
      </c>
      <c r="T1345" s="581"/>
    </row>
    <row r="1346" customFormat="false" ht="30" hidden="false" customHeight="false" outlineLevel="0" collapsed="false">
      <c r="A1346" s="327" t="s">
        <v>2271</v>
      </c>
      <c r="B1346" s="433" t="s">
        <v>3870</v>
      </c>
      <c r="C1346" s="954" t="n">
        <v>10000</v>
      </c>
      <c r="D1346" s="954" t="n">
        <v>10000</v>
      </c>
      <c r="E1346" s="954" t="n">
        <v>10000</v>
      </c>
      <c r="F1346" s="955" t="n">
        <f aca="false">C1346+D1346+E1346</f>
        <v>30000</v>
      </c>
      <c r="G1346" s="955" t="n">
        <f aca="false">F1346/149.4</f>
        <v>200.803212851406</v>
      </c>
      <c r="H1346" s="661" t="n">
        <f aca="false">G1346/60</f>
        <v>3.34672021419009</v>
      </c>
      <c r="I1346" s="660" t="n">
        <f aca="false">'норма времени'!D1350</f>
        <v>149</v>
      </c>
      <c r="J1346" s="661" t="n">
        <f aca="false">H1346*I1346</f>
        <v>498.661311914324</v>
      </c>
      <c r="T1346" s="581"/>
    </row>
    <row r="1347" customFormat="false" ht="26.25" hidden="false" customHeight="true" outlineLevel="0" collapsed="false">
      <c r="A1347" s="388" t="s">
        <v>2273</v>
      </c>
      <c r="B1347" s="543" t="s">
        <v>3871</v>
      </c>
      <c r="C1347" s="1253"/>
      <c r="D1347" s="1253"/>
      <c r="E1347" s="1253"/>
      <c r="F1347" s="1254"/>
      <c r="G1347" s="1254"/>
      <c r="H1347" s="1250"/>
      <c r="I1347" s="1255"/>
      <c r="J1347" s="1250"/>
      <c r="T1347" s="581"/>
    </row>
    <row r="1348" customFormat="false" ht="30" hidden="false" customHeight="false" outlineLevel="0" collapsed="false">
      <c r="A1348" s="327" t="s">
        <v>2275</v>
      </c>
      <c r="B1348" s="433" t="s">
        <v>3872</v>
      </c>
      <c r="C1348" s="954" t="n">
        <v>10000</v>
      </c>
      <c r="D1348" s="954" t="n">
        <v>10000</v>
      </c>
      <c r="E1348" s="954" t="n">
        <v>10000</v>
      </c>
      <c r="F1348" s="955" t="n">
        <f aca="false">C1348+D1348+E1348</f>
        <v>30000</v>
      </c>
      <c r="G1348" s="955" t="n">
        <f aca="false">F1348/149.4</f>
        <v>200.803212851406</v>
      </c>
      <c r="H1348" s="661" t="n">
        <f aca="false">G1348/60</f>
        <v>3.34672021419009</v>
      </c>
      <c r="I1348" s="660" t="n">
        <f aca="false">'норма времени'!D1352</f>
        <v>87</v>
      </c>
      <c r="J1348" s="661" t="n">
        <f aca="false">H1348*I1348</f>
        <v>291.164658634538</v>
      </c>
      <c r="T1348" s="581"/>
    </row>
    <row r="1349" customFormat="false" ht="30" hidden="false" customHeight="false" outlineLevel="0" collapsed="false">
      <c r="A1349" s="327" t="s">
        <v>2277</v>
      </c>
      <c r="B1349" s="433" t="s">
        <v>3873</v>
      </c>
      <c r="C1349" s="954" t="n">
        <v>10000</v>
      </c>
      <c r="D1349" s="954" t="n">
        <v>10000</v>
      </c>
      <c r="E1349" s="954" t="n">
        <v>10000</v>
      </c>
      <c r="F1349" s="955" t="n">
        <f aca="false">C1349+D1349+E1349</f>
        <v>30000</v>
      </c>
      <c r="G1349" s="955" t="n">
        <f aca="false">F1349/149.4</f>
        <v>200.803212851406</v>
      </c>
      <c r="H1349" s="661" t="n">
        <f aca="false">G1349/60</f>
        <v>3.34672021419009</v>
      </c>
      <c r="I1349" s="660" t="n">
        <f aca="false">'норма времени'!D1353</f>
        <v>81</v>
      </c>
      <c r="J1349" s="661" t="n">
        <f aca="false">H1349*I1349</f>
        <v>271.084337349398</v>
      </c>
      <c r="T1349" s="581"/>
    </row>
    <row r="1350" customFormat="false" ht="30" hidden="false" customHeight="false" outlineLevel="0" collapsed="false">
      <c r="A1350" s="327" t="s">
        <v>2279</v>
      </c>
      <c r="B1350" s="433" t="s">
        <v>3874</v>
      </c>
      <c r="C1350" s="954" t="n">
        <v>10000</v>
      </c>
      <c r="D1350" s="954" t="n">
        <v>10000</v>
      </c>
      <c r="E1350" s="954" t="n">
        <v>10000</v>
      </c>
      <c r="F1350" s="955" t="n">
        <f aca="false">C1350+D1350+E1350</f>
        <v>30000</v>
      </c>
      <c r="G1350" s="955" t="n">
        <f aca="false">F1350/149.4</f>
        <v>200.803212851406</v>
      </c>
      <c r="H1350" s="661" t="n">
        <f aca="false">G1350/60</f>
        <v>3.34672021419009</v>
      </c>
      <c r="I1350" s="660" t="n">
        <f aca="false">'норма времени'!D1354</f>
        <v>245</v>
      </c>
      <c r="J1350" s="661" t="n">
        <f aca="false">H1350*I1350</f>
        <v>819.946452476573</v>
      </c>
      <c r="T1350" s="581"/>
    </row>
    <row r="1351" customFormat="false" ht="30" hidden="false" customHeight="false" outlineLevel="0" collapsed="false">
      <c r="A1351" s="327" t="s">
        <v>2281</v>
      </c>
      <c r="B1351" s="433" t="s">
        <v>3875</v>
      </c>
      <c r="C1351" s="954" t="n">
        <v>10000</v>
      </c>
      <c r="D1351" s="954" t="n">
        <v>10000</v>
      </c>
      <c r="E1351" s="954" t="n">
        <v>10000</v>
      </c>
      <c r="F1351" s="955" t="n">
        <f aca="false">C1351+D1351+E1351</f>
        <v>30000</v>
      </c>
      <c r="G1351" s="955" t="n">
        <f aca="false">F1351/149.4</f>
        <v>200.803212851406</v>
      </c>
      <c r="H1351" s="661" t="n">
        <f aca="false">G1351/60</f>
        <v>3.34672021419009</v>
      </c>
      <c r="I1351" s="660" t="n">
        <f aca="false">'норма времени'!D1355</f>
        <v>150</v>
      </c>
      <c r="J1351" s="661" t="n">
        <f aca="false">H1351*I1351</f>
        <v>502.008032128514</v>
      </c>
      <c r="T1351" s="581"/>
    </row>
    <row r="1352" customFormat="false" ht="27.75" hidden="false" customHeight="true" outlineLevel="0" collapsed="false">
      <c r="A1352" s="388" t="s">
        <v>2283</v>
      </c>
      <c r="B1352" s="543" t="s">
        <v>2284</v>
      </c>
      <c r="C1352" s="1253"/>
      <c r="D1352" s="1253"/>
      <c r="E1352" s="1253"/>
      <c r="F1352" s="1254"/>
      <c r="G1352" s="1254"/>
      <c r="H1352" s="1250"/>
      <c r="I1352" s="1255"/>
      <c r="J1352" s="1250"/>
      <c r="T1352" s="581"/>
    </row>
    <row r="1353" customFormat="false" ht="19.5" hidden="false" customHeight="true" outlineLevel="0" collapsed="false">
      <c r="A1353" s="327" t="s">
        <v>2285</v>
      </c>
      <c r="B1353" s="433" t="s">
        <v>3876</v>
      </c>
      <c r="C1353" s="954" t="n">
        <v>10000</v>
      </c>
      <c r="D1353" s="954" t="n">
        <v>10000</v>
      </c>
      <c r="E1353" s="954" t="n">
        <v>10000</v>
      </c>
      <c r="F1353" s="955" t="n">
        <f aca="false">C1353+D1353+E1353</f>
        <v>30000</v>
      </c>
      <c r="G1353" s="955" t="n">
        <f aca="false">F1353/149.4</f>
        <v>200.803212851406</v>
      </c>
      <c r="H1353" s="661" t="n">
        <f aca="false">G1353/60</f>
        <v>3.34672021419009</v>
      </c>
      <c r="I1353" s="660" t="n">
        <f aca="false">'норма времени'!D1357</f>
        <v>192</v>
      </c>
      <c r="J1353" s="661" t="n">
        <f aca="false">H1353*I1353</f>
        <v>642.570281124498</v>
      </c>
      <c r="T1353" s="581"/>
    </row>
    <row r="1354" customFormat="false" ht="30" hidden="false" customHeight="false" outlineLevel="0" collapsed="false">
      <c r="A1354" s="327" t="s">
        <v>2287</v>
      </c>
      <c r="B1354" s="433" t="s">
        <v>3877</v>
      </c>
      <c r="C1354" s="954" t="n">
        <v>45000</v>
      </c>
      <c r="D1354" s="954" t="n">
        <v>35000</v>
      </c>
      <c r="E1354" s="954" t="n">
        <v>35000</v>
      </c>
      <c r="F1354" s="955" t="n">
        <f aca="false">C1354+D1354+E1354</f>
        <v>115000</v>
      </c>
      <c r="G1354" s="955" t="n">
        <f aca="false">F1354/149.4</f>
        <v>769.745649263722</v>
      </c>
      <c r="H1354" s="661" t="n">
        <f aca="false">G1354/60</f>
        <v>12.8290941543954</v>
      </c>
      <c r="I1354" s="660" t="n">
        <f aca="false">'норма времени'!D1358</f>
        <v>100</v>
      </c>
      <c r="J1354" s="661" t="n">
        <f aca="false">H1354*I1354</f>
        <v>1282.90941543954</v>
      </c>
      <c r="T1354" s="581"/>
    </row>
    <row r="1355" customFormat="false" ht="30" hidden="false" customHeight="false" outlineLevel="0" collapsed="false">
      <c r="A1355" s="327" t="s">
        <v>2289</v>
      </c>
      <c r="B1355" s="500" t="s">
        <v>3878</v>
      </c>
      <c r="C1355" s="954" t="n">
        <v>10000</v>
      </c>
      <c r="D1355" s="954" t="n">
        <v>10000</v>
      </c>
      <c r="E1355" s="954" t="n">
        <v>10000</v>
      </c>
      <c r="F1355" s="955" t="n">
        <f aca="false">C1355+D1355+E1355</f>
        <v>30000</v>
      </c>
      <c r="G1355" s="955" t="n">
        <f aca="false">F1355/149.4</f>
        <v>200.803212851406</v>
      </c>
      <c r="H1355" s="661" t="n">
        <f aca="false">G1355/60</f>
        <v>3.34672021419009</v>
      </c>
      <c r="I1355" s="660" t="n">
        <f aca="false">'норма времени'!D1359</f>
        <v>136</v>
      </c>
      <c r="J1355" s="661" t="n">
        <f aca="false">H1355*I1355</f>
        <v>455.153949129853</v>
      </c>
      <c r="T1355" s="581"/>
    </row>
    <row r="1356" customFormat="false" ht="30" hidden="false" customHeight="false" outlineLevel="0" collapsed="false">
      <c r="A1356" s="327" t="s">
        <v>2291</v>
      </c>
      <c r="B1356" s="500" t="s">
        <v>3879</v>
      </c>
      <c r="C1356" s="954" t="n">
        <v>10000</v>
      </c>
      <c r="D1356" s="954" t="n">
        <v>10000</v>
      </c>
      <c r="E1356" s="954" t="n">
        <v>10000</v>
      </c>
      <c r="F1356" s="955" t="n">
        <f aca="false">C1356+D1356+E1356</f>
        <v>30000</v>
      </c>
      <c r="G1356" s="955" t="n">
        <f aca="false">F1356/149.4</f>
        <v>200.803212851406</v>
      </c>
      <c r="H1356" s="661" t="n">
        <f aca="false">G1356/60</f>
        <v>3.34672021419009</v>
      </c>
      <c r="I1356" s="660" t="n">
        <f aca="false">'норма времени'!D1360</f>
        <v>74</v>
      </c>
      <c r="J1356" s="661" t="n">
        <f aca="false">H1356*I1356</f>
        <v>247.657295850067</v>
      </c>
      <c r="T1356" s="581"/>
    </row>
    <row r="1357" customFormat="false" ht="30" hidden="false" customHeight="false" outlineLevel="0" collapsed="false">
      <c r="A1357" s="327" t="s">
        <v>2293</v>
      </c>
      <c r="B1357" s="433" t="s">
        <v>3880</v>
      </c>
      <c r="C1357" s="954" t="n">
        <v>65000</v>
      </c>
      <c r="D1357" s="954" t="n">
        <v>60000</v>
      </c>
      <c r="E1357" s="954" t="n">
        <v>55000</v>
      </c>
      <c r="F1357" s="955" t="n">
        <f aca="false">C1357+D1357+E1357</f>
        <v>180000</v>
      </c>
      <c r="G1357" s="955" t="n">
        <f aca="false">F1357/149.4</f>
        <v>1204.81927710843</v>
      </c>
      <c r="H1357" s="661" t="n">
        <f aca="false">G1357/60</f>
        <v>20.0803212851406</v>
      </c>
      <c r="I1357" s="660" t="n">
        <f aca="false">'норма времени'!D1361</f>
        <v>140</v>
      </c>
      <c r="J1357" s="661" t="n">
        <f aca="false">H1357*I1357</f>
        <v>2811.24497991968</v>
      </c>
      <c r="T1357" s="581"/>
    </row>
    <row r="1358" customFormat="false" ht="30" hidden="false" customHeight="false" outlineLevel="0" collapsed="false">
      <c r="A1358" s="327" t="s">
        <v>2295</v>
      </c>
      <c r="B1358" s="433" t="s">
        <v>3881</v>
      </c>
      <c r="C1358" s="954" t="n">
        <v>10000</v>
      </c>
      <c r="D1358" s="954" t="n">
        <v>10000</v>
      </c>
      <c r="E1358" s="954" t="n">
        <v>10000</v>
      </c>
      <c r="F1358" s="955" t="n">
        <f aca="false">C1358+D1358+E1358</f>
        <v>30000</v>
      </c>
      <c r="G1358" s="955" t="n">
        <f aca="false">F1358/149.4</f>
        <v>200.803212851406</v>
      </c>
      <c r="H1358" s="661" t="n">
        <f aca="false">G1358/60</f>
        <v>3.34672021419009</v>
      </c>
      <c r="I1358" s="660" t="n">
        <f aca="false">'норма времени'!D1362</f>
        <v>74</v>
      </c>
      <c r="J1358" s="661" t="n">
        <f aca="false">H1358*I1358</f>
        <v>247.657295850067</v>
      </c>
      <c r="T1358" s="581"/>
    </row>
    <row r="1359" customFormat="false" ht="30" hidden="false" customHeight="false" outlineLevel="0" collapsed="false">
      <c r="A1359" s="327" t="s">
        <v>2297</v>
      </c>
      <c r="B1359" s="433" t="s">
        <v>3882</v>
      </c>
      <c r="C1359" s="954" t="n">
        <v>10000</v>
      </c>
      <c r="D1359" s="954" t="n">
        <v>10000</v>
      </c>
      <c r="E1359" s="954" t="n">
        <v>10000</v>
      </c>
      <c r="F1359" s="955" t="n">
        <f aca="false">C1359+D1359+E1359</f>
        <v>30000</v>
      </c>
      <c r="G1359" s="955" t="n">
        <f aca="false">F1359/149.4</f>
        <v>200.803212851406</v>
      </c>
      <c r="H1359" s="661" t="n">
        <f aca="false">G1359/60</f>
        <v>3.34672021419009</v>
      </c>
      <c r="I1359" s="660" t="n">
        <f aca="false">'норма времени'!D1363</f>
        <v>136</v>
      </c>
      <c r="J1359" s="661" t="n">
        <f aca="false">H1359*I1359</f>
        <v>455.153949129853</v>
      </c>
      <c r="T1359" s="581"/>
    </row>
    <row r="1360" customFormat="false" ht="15" hidden="false" customHeight="false" outlineLevel="0" collapsed="false">
      <c r="A1360" s="327" t="s">
        <v>2299</v>
      </c>
      <c r="B1360" s="433" t="s">
        <v>3883</v>
      </c>
      <c r="C1360" s="954" t="n">
        <v>25000</v>
      </c>
      <c r="D1360" s="954" t="n">
        <v>20000</v>
      </c>
      <c r="E1360" s="954" t="n">
        <v>20000</v>
      </c>
      <c r="F1360" s="955" t="n">
        <f aca="false">C1360+D1360+E1360</f>
        <v>65000</v>
      </c>
      <c r="G1360" s="955" t="n">
        <f aca="false">F1360/149.4</f>
        <v>435.073627844712</v>
      </c>
      <c r="H1360" s="661" t="n">
        <f aca="false">G1360/60</f>
        <v>7.2512271307452</v>
      </c>
      <c r="I1360" s="660" t="n">
        <f aca="false">'норма времени'!D1364</f>
        <v>27</v>
      </c>
      <c r="J1360" s="661" t="n">
        <f aca="false">H1360*I1360</f>
        <v>195.783132530121</v>
      </c>
      <c r="T1360" s="581"/>
    </row>
    <row r="1361" customFormat="false" ht="15" hidden="false" customHeight="false" outlineLevel="0" collapsed="false">
      <c r="A1361" s="327" t="s">
        <v>2301</v>
      </c>
      <c r="B1361" s="328" t="s">
        <v>3884</v>
      </c>
      <c r="C1361" s="954" t="n">
        <v>25000</v>
      </c>
      <c r="D1361" s="954" t="n">
        <v>25000</v>
      </c>
      <c r="E1361" s="954" t="n">
        <v>25000</v>
      </c>
      <c r="F1361" s="955" t="n">
        <f aca="false">C1361+D1361+E1361</f>
        <v>75000</v>
      </c>
      <c r="G1361" s="955" t="n">
        <f aca="false">F1361/149.4</f>
        <v>502.008032128514</v>
      </c>
      <c r="H1361" s="661" t="n">
        <f aca="false">G1361/60</f>
        <v>8.36680053547523</v>
      </c>
      <c r="I1361" s="660" t="n">
        <f aca="false">'норма времени'!D1365</f>
        <v>75</v>
      </c>
      <c r="J1361" s="661" t="n">
        <f aca="false">H1361*I1361</f>
        <v>627.510040160643</v>
      </c>
      <c r="T1361" s="581"/>
    </row>
    <row r="1362" customFormat="false" ht="15" hidden="false" customHeight="false" outlineLevel="0" collapsed="false">
      <c r="A1362" s="327" t="s">
        <v>2303</v>
      </c>
      <c r="B1362" s="328" t="s">
        <v>3885</v>
      </c>
      <c r="C1362" s="954" t="n">
        <v>10000</v>
      </c>
      <c r="D1362" s="954" t="n">
        <v>10000</v>
      </c>
      <c r="E1362" s="954" t="n">
        <v>10000</v>
      </c>
      <c r="F1362" s="955" t="n">
        <f aca="false">C1362+D1362+E1362</f>
        <v>30000</v>
      </c>
      <c r="G1362" s="955" t="n">
        <f aca="false">F1362/149.4</f>
        <v>200.803212851406</v>
      </c>
      <c r="H1362" s="661" t="n">
        <f aca="false">G1362/60</f>
        <v>3.34672021419009</v>
      </c>
      <c r="I1362" s="660" t="n">
        <f aca="false">'норма времени'!D1366</f>
        <v>146</v>
      </c>
      <c r="J1362" s="661" t="n">
        <f aca="false">H1362*I1362</f>
        <v>488.621151271754</v>
      </c>
      <c r="T1362" s="581"/>
    </row>
    <row r="1363" customFormat="false" ht="45" hidden="false" customHeight="false" outlineLevel="0" collapsed="false">
      <c r="A1363" s="327" t="s">
        <v>2305</v>
      </c>
      <c r="B1363" s="328" t="s">
        <v>3886</v>
      </c>
      <c r="C1363" s="954" t="n">
        <v>25000</v>
      </c>
      <c r="D1363" s="954" t="n">
        <v>25000</v>
      </c>
      <c r="E1363" s="954" t="n">
        <v>25000</v>
      </c>
      <c r="F1363" s="955" t="n">
        <f aca="false">C1363+D1363+E1363</f>
        <v>75000</v>
      </c>
      <c r="G1363" s="955" t="n">
        <f aca="false">F1363/149.4</f>
        <v>502.008032128514</v>
      </c>
      <c r="H1363" s="661" t="n">
        <f aca="false">G1363/60</f>
        <v>8.36680053547523</v>
      </c>
      <c r="I1363" s="660" t="n">
        <f aca="false">'норма времени'!D1367</f>
        <v>140</v>
      </c>
      <c r="J1363" s="661" t="n">
        <f aca="false">H1363*I1363</f>
        <v>1171.35207496653</v>
      </c>
      <c r="T1363" s="581"/>
    </row>
    <row r="1364" customFormat="false" ht="15" hidden="false" customHeight="false" outlineLevel="0" collapsed="false">
      <c r="A1364" s="389" t="s">
        <v>2307</v>
      </c>
      <c r="B1364" s="544" t="s">
        <v>2308</v>
      </c>
      <c r="C1364" s="1253"/>
      <c r="D1364" s="1253"/>
      <c r="E1364" s="1253"/>
      <c r="F1364" s="1254"/>
      <c r="G1364" s="1254"/>
      <c r="H1364" s="1250"/>
      <c r="I1364" s="1255"/>
      <c r="J1364" s="1250"/>
      <c r="T1364" s="581"/>
    </row>
    <row r="1365" customFormat="false" ht="30" hidden="false" customHeight="false" outlineLevel="0" collapsed="false">
      <c r="A1365" s="327" t="s">
        <v>2309</v>
      </c>
      <c r="B1365" s="433" t="s">
        <v>3887</v>
      </c>
      <c r="C1365" s="954" t="n">
        <v>15000</v>
      </c>
      <c r="D1365" s="954" t="n">
        <v>15000</v>
      </c>
      <c r="E1365" s="954" t="n">
        <v>15000</v>
      </c>
      <c r="F1365" s="955" t="n">
        <f aca="false">C1365+D1365+E1365</f>
        <v>45000</v>
      </c>
      <c r="G1365" s="955" t="n">
        <f aca="false">F1365/149.4</f>
        <v>301.204819277108</v>
      </c>
      <c r="H1365" s="661" t="n">
        <f aca="false">G1365/60</f>
        <v>5.02008032128514</v>
      </c>
      <c r="I1365" s="660" t="n">
        <f aca="false">'норма времени'!D1369</f>
        <v>164</v>
      </c>
      <c r="J1365" s="661" t="n">
        <f aca="false">H1365*I1365</f>
        <v>823.293172690763</v>
      </c>
      <c r="T1365" s="581"/>
    </row>
    <row r="1366" customFormat="false" ht="30" hidden="false" customHeight="false" outlineLevel="0" collapsed="false">
      <c r="A1366" s="327" t="s">
        <v>2311</v>
      </c>
      <c r="B1366" s="433" t="s">
        <v>3888</v>
      </c>
      <c r="C1366" s="954" t="n">
        <v>15000</v>
      </c>
      <c r="D1366" s="954" t="n">
        <v>15000</v>
      </c>
      <c r="E1366" s="954" t="n">
        <v>15000</v>
      </c>
      <c r="F1366" s="955" t="n">
        <f aca="false">C1366+D1366+E1366</f>
        <v>45000</v>
      </c>
      <c r="G1366" s="955" t="n">
        <f aca="false">F1366/149.4</f>
        <v>301.204819277108</v>
      </c>
      <c r="H1366" s="661" t="n">
        <f aca="false">G1366/60</f>
        <v>5.02008032128514</v>
      </c>
      <c r="I1366" s="660" t="n">
        <f aca="false">'норма времени'!D1370</f>
        <v>106</v>
      </c>
      <c r="J1366" s="661" t="n">
        <f aca="false">H1366*I1366</f>
        <v>532.128514056225</v>
      </c>
      <c r="T1366" s="581"/>
    </row>
    <row r="1367" customFormat="false" ht="30" hidden="false" customHeight="false" outlineLevel="0" collapsed="false">
      <c r="A1367" s="327" t="s">
        <v>2313</v>
      </c>
      <c r="B1367" s="433" t="s">
        <v>3889</v>
      </c>
      <c r="C1367" s="954" t="n">
        <v>10000</v>
      </c>
      <c r="D1367" s="954" t="n">
        <v>10000</v>
      </c>
      <c r="E1367" s="954" t="n">
        <v>10000</v>
      </c>
      <c r="F1367" s="955" t="n">
        <f aca="false">C1367+D1367+E1367</f>
        <v>30000</v>
      </c>
      <c r="G1367" s="955" t="n">
        <f aca="false">F1367/149.4</f>
        <v>200.803212851406</v>
      </c>
      <c r="H1367" s="661" t="n">
        <f aca="false">G1367/60</f>
        <v>3.34672021419009</v>
      </c>
      <c r="I1367" s="660" t="n">
        <f aca="false">'норма времени'!D1371</f>
        <v>50</v>
      </c>
      <c r="J1367" s="661" t="n">
        <f aca="false">H1367*I1367</f>
        <v>167.336010709505</v>
      </c>
      <c r="T1367" s="581"/>
    </row>
    <row r="1368" customFormat="false" ht="19.5" hidden="false" customHeight="true" outlineLevel="0" collapsed="false">
      <c r="A1368" s="388" t="s">
        <v>2315</v>
      </c>
      <c r="B1368" s="543" t="s">
        <v>2316</v>
      </c>
      <c r="C1368" s="1253"/>
      <c r="D1368" s="1253"/>
      <c r="E1368" s="1253"/>
      <c r="F1368" s="1254"/>
      <c r="G1368" s="1254"/>
      <c r="H1368" s="1250"/>
      <c r="I1368" s="1255"/>
      <c r="J1368" s="1250"/>
      <c r="T1368" s="581"/>
    </row>
    <row r="1369" customFormat="false" ht="30" hidden="false" customHeight="false" outlineLevel="0" collapsed="false">
      <c r="A1369" s="327" t="s">
        <v>2317</v>
      </c>
      <c r="B1369" s="433" t="s">
        <v>3890</v>
      </c>
      <c r="C1369" s="954" t="n">
        <v>10000</v>
      </c>
      <c r="D1369" s="954" t="n">
        <v>10000</v>
      </c>
      <c r="E1369" s="954" t="n">
        <v>10000</v>
      </c>
      <c r="F1369" s="955" t="n">
        <f aca="false">C1369+D1369+E1369</f>
        <v>30000</v>
      </c>
      <c r="G1369" s="955" t="n">
        <f aca="false">F1369/149.4</f>
        <v>200.803212851406</v>
      </c>
      <c r="H1369" s="661" t="n">
        <f aca="false">G1369/60</f>
        <v>3.34672021419009</v>
      </c>
      <c r="I1369" s="660" t="n">
        <f aca="false">'норма времени'!D1373</f>
        <v>135</v>
      </c>
      <c r="J1369" s="661" t="n">
        <f aca="false">H1369*I1369</f>
        <v>451.807228915663</v>
      </c>
      <c r="T1369" s="581"/>
    </row>
    <row r="1370" customFormat="false" ht="30" hidden="false" customHeight="false" outlineLevel="0" collapsed="false">
      <c r="A1370" s="327" t="s">
        <v>2319</v>
      </c>
      <c r="B1370" s="433" t="s">
        <v>3891</v>
      </c>
      <c r="C1370" s="954" t="n">
        <v>10000</v>
      </c>
      <c r="D1370" s="954" t="n">
        <v>10000</v>
      </c>
      <c r="E1370" s="954" t="n">
        <v>10000</v>
      </c>
      <c r="F1370" s="955" t="n">
        <f aca="false">C1370+D1370+E1370</f>
        <v>30000</v>
      </c>
      <c r="G1370" s="955" t="n">
        <f aca="false">F1370/149.4</f>
        <v>200.803212851406</v>
      </c>
      <c r="H1370" s="661" t="n">
        <f aca="false">G1370/60</f>
        <v>3.34672021419009</v>
      </c>
      <c r="I1370" s="660" t="n">
        <f aca="false">'норма времени'!D1374</f>
        <v>140</v>
      </c>
      <c r="J1370" s="661" t="n">
        <f aca="false">H1370*I1370</f>
        <v>468.540829986613</v>
      </c>
      <c r="T1370" s="581"/>
    </row>
    <row r="1371" customFormat="false" ht="30" hidden="false" customHeight="false" outlineLevel="0" collapsed="false">
      <c r="A1371" s="327" t="s">
        <v>2321</v>
      </c>
      <c r="B1371" s="433" t="s">
        <v>3892</v>
      </c>
      <c r="C1371" s="954" t="n">
        <v>10000</v>
      </c>
      <c r="D1371" s="954" t="n">
        <v>10000</v>
      </c>
      <c r="E1371" s="954" t="n">
        <v>10000</v>
      </c>
      <c r="F1371" s="955" t="n">
        <f aca="false">C1371+D1371+E1371</f>
        <v>30000</v>
      </c>
      <c r="G1371" s="955" t="n">
        <f aca="false">F1371/149.4</f>
        <v>200.803212851406</v>
      </c>
      <c r="H1371" s="661" t="n">
        <f aca="false">G1371/60</f>
        <v>3.34672021419009</v>
      </c>
      <c r="I1371" s="660" t="n">
        <f aca="false">'норма времени'!D1375</f>
        <v>81</v>
      </c>
      <c r="J1371" s="661" t="n">
        <f aca="false">H1371*I1371</f>
        <v>271.084337349398</v>
      </c>
      <c r="T1371" s="581"/>
    </row>
    <row r="1372" customFormat="false" ht="30" hidden="false" customHeight="false" outlineLevel="0" collapsed="false">
      <c r="A1372" s="327" t="s">
        <v>2323</v>
      </c>
      <c r="B1372" s="433" t="s">
        <v>3893</v>
      </c>
      <c r="C1372" s="954" t="n">
        <v>10000</v>
      </c>
      <c r="D1372" s="954" t="n">
        <v>10000</v>
      </c>
      <c r="E1372" s="954" t="n">
        <v>10000</v>
      </c>
      <c r="F1372" s="955" t="n">
        <f aca="false">C1372+D1372+E1372</f>
        <v>30000</v>
      </c>
      <c r="G1372" s="955" t="n">
        <f aca="false">F1372/149.4</f>
        <v>200.803212851406</v>
      </c>
      <c r="H1372" s="661" t="n">
        <f aca="false">G1372/60</f>
        <v>3.34672021419009</v>
      </c>
      <c r="I1372" s="660" t="n">
        <f aca="false">'норма времени'!D1376</f>
        <v>81</v>
      </c>
      <c r="J1372" s="661" t="n">
        <f aca="false">H1372*I1372</f>
        <v>271.084337349398</v>
      </c>
      <c r="T1372" s="581"/>
    </row>
    <row r="1373" customFormat="false" ht="15" hidden="false" customHeight="false" outlineLevel="0" collapsed="false">
      <c r="A1373" s="327" t="s">
        <v>2325</v>
      </c>
      <c r="B1373" s="433" t="s">
        <v>3894</v>
      </c>
      <c r="C1373" s="954" t="n">
        <v>10000</v>
      </c>
      <c r="D1373" s="954" t="n">
        <v>10000</v>
      </c>
      <c r="E1373" s="954" t="n">
        <v>10000</v>
      </c>
      <c r="F1373" s="955" t="n">
        <f aca="false">C1373+D1373+E1373</f>
        <v>30000</v>
      </c>
      <c r="G1373" s="955" t="n">
        <f aca="false">F1373/149.4</f>
        <v>200.803212851406</v>
      </c>
      <c r="H1373" s="661" t="n">
        <f aca="false">G1373/60</f>
        <v>3.34672021419009</v>
      </c>
      <c r="I1373" s="660" t="n">
        <f aca="false">'норма времени'!D1377</f>
        <v>90</v>
      </c>
      <c r="J1373" s="661" t="n">
        <f aca="false">H1373*I1373</f>
        <v>301.204819277108</v>
      </c>
      <c r="T1373" s="581"/>
    </row>
    <row r="1374" customFormat="false" ht="30" hidden="false" customHeight="false" outlineLevel="0" collapsed="false">
      <c r="A1374" s="327" t="s">
        <v>2327</v>
      </c>
      <c r="B1374" s="433" t="s">
        <v>3895</v>
      </c>
      <c r="C1374" s="954" t="n">
        <v>10000</v>
      </c>
      <c r="D1374" s="954" t="n">
        <v>10000</v>
      </c>
      <c r="E1374" s="954" t="n">
        <v>10000</v>
      </c>
      <c r="F1374" s="955" t="n">
        <f aca="false">C1374+D1374+E1374</f>
        <v>30000</v>
      </c>
      <c r="G1374" s="955" t="n">
        <f aca="false">F1374/149.4</f>
        <v>200.803212851406</v>
      </c>
      <c r="H1374" s="661" t="n">
        <f aca="false">G1374/60</f>
        <v>3.34672021419009</v>
      </c>
      <c r="I1374" s="660" t="n">
        <f aca="false">'норма времени'!D1378</f>
        <v>150</v>
      </c>
      <c r="J1374" s="661" t="n">
        <f aca="false">H1374*I1374</f>
        <v>502.008032128514</v>
      </c>
      <c r="T1374" s="581"/>
    </row>
    <row r="1375" customFormat="false" ht="30" hidden="false" customHeight="false" outlineLevel="0" collapsed="false">
      <c r="A1375" s="327" t="s">
        <v>2329</v>
      </c>
      <c r="B1375" s="433" t="s">
        <v>3896</v>
      </c>
      <c r="C1375" s="954" t="n">
        <v>10000</v>
      </c>
      <c r="D1375" s="954" t="n">
        <v>10000</v>
      </c>
      <c r="E1375" s="954" t="n">
        <v>10000</v>
      </c>
      <c r="F1375" s="955" t="n">
        <f aca="false">C1375+D1375+E1375</f>
        <v>30000</v>
      </c>
      <c r="G1375" s="955" t="n">
        <f aca="false">F1375/149.4</f>
        <v>200.803212851406</v>
      </c>
      <c r="H1375" s="661" t="n">
        <f aca="false">G1375/60</f>
        <v>3.34672021419009</v>
      </c>
      <c r="I1375" s="660" t="n">
        <f aca="false">'норма времени'!D1379</f>
        <v>99</v>
      </c>
      <c r="J1375" s="661" t="n">
        <f aca="false">H1375*I1375</f>
        <v>331.325301204819</v>
      </c>
      <c r="T1375" s="581"/>
    </row>
    <row r="1376" customFormat="false" ht="32.25" hidden="false" customHeight="true" outlineLevel="0" collapsed="false">
      <c r="A1376" s="327" t="s">
        <v>2331</v>
      </c>
      <c r="B1376" s="328" t="s">
        <v>3897</v>
      </c>
      <c r="C1376" s="954" t="n">
        <v>20000</v>
      </c>
      <c r="D1376" s="954" t="n">
        <v>16800</v>
      </c>
      <c r="E1376" s="954" t="n">
        <v>15000</v>
      </c>
      <c r="F1376" s="955" t="n">
        <f aca="false">C1376+D1376+E1376</f>
        <v>51800</v>
      </c>
      <c r="G1376" s="955" t="n">
        <f aca="false">F1376/149.4</f>
        <v>346.720214190094</v>
      </c>
      <c r="H1376" s="661" t="n">
        <f aca="false">G1376/60</f>
        <v>5.77867023650156</v>
      </c>
      <c r="I1376" s="660" t="n">
        <f aca="false">'норма времени'!D1380</f>
        <v>180</v>
      </c>
      <c r="J1376" s="661" t="n">
        <f aca="false">H1376*I1376</f>
        <v>1040.16064257028</v>
      </c>
      <c r="T1376" s="581"/>
    </row>
    <row r="1377" s="367" customFormat="true" ht="21" hidden="false" customHeight="true" outlineLevel="0" collapsed="false">
      <c r="A1377" s="388" t="s">
        <v>2333</v>
      </c>
      <c r="B1377" s="543" t="s">
        <v>2334</v>
      </c>
      <c r="C1377" s="1253"/>
      <c r="D1377" s="1253"/>
      <c r="E1377" s="1253"/>
      <c r="F1377" s="1254"/>
      <c r="G1377" s="1254"/>
      <c r="H1377" s="1250"/>
      <c r="I1377" s="1255"/>
      <c r="J1377" s="1250"/>
      <c r="K1377" s="580"/>
      <c r="L1377" s="580"/>
      <c r="M1377" s="580"/>
      <c r="N1377" s="580"/>
      <c r="O1377" s="580"/>
      <c r="P1377" s="580"/>
      <c r="Q1377" s="580"/>
      <c r="R1377" s="580"/>
      <c r="S1377" s="580"/>
      <c r="T1377" s="580"/>
    </row>
    <row r="1378" customFormat="false" ht="30" hidden="false" customHeight="false" outlineLevel="0" collapsed="false">
      <c r="A1378" s="327" t="s">
        <v>2335</v>
      </c>
      <c r="B1378" s="433" t="s">
        <v>3898</v>
      </c>
      <c r="C1378" s="954" t="n">
        <v>10000</v>
      </c>
      <c r="D1378" s="954" t="n">
        <v>10000</v>
      </c>
      <c r="E1378" s="954" t="n">
        <v>10000</v>
      </c>
      <c r="F1378" s="955" t="n">
        <f aca="false">C1378+D1378+E1378</f>
        <v>30000</v>
      </c>
      <c r="G1378" s="955" t="n">
        <f aca="false">F1378/149.4</f>
        <v>200.803212851406</v>
      </c>
      <c r="H1378" s="661" t="n">
        <f aca="false">G1378/60</f>
        <v>3.34672021419009</v>
      </c>
      <c r="I1378" s="660" t="n">
        <f aca="false">'норма времени'!D1382</f>
        <v>162</v>
      </c>
      <c r="J1378" s="661" t="n">
        <f aca="false">H1378*I1378</f>
        <v>542.168674698795</v>
      </c>
      <c r="T1378" s="581"/>
    </row>
    <row r="1379" customFormat="false" ht="30" hidden="false" customHeight="false" outlineLevel="0" collapsed="false">
      <c r="A1379" s="327" t="s">
        <v>2337</v>
      </c>
      <c r="B1379" s="487" t="s">
        <v>3899</v>
      </c>
      <c r="C1379" s="954" t="n">
        <v>35000</v>
      </c>
      <c r="D1379" s="954" t="n">
        <v>30000</v>
      </c>
      <c r="E1379" s="954" t="n">
        <v>25000</v>
      </c>
      <c r="F1379" s="955" t="n">
        <f aca="false">C1379+D1379+E1379</f>
        <v>90000</v>
      </c>
      <c r="G1379" s="955" t="n">
        <f aca="false">F1379/149.4</f>
        <v>602.409638554217</v>
      </c>
      <c r="H1379" s="661" t="n">
        <f aca="false">G1379/60</f>
        <v>10.0401606425703</v>
      </c>
      <c r="I1379" s="660" t="n">
        <f aca="false">'норма времени'!D1383</f>
        <v>63</v>
      </c>
      <c r="J1379" s="661" t="n">
        <f aca="false">H1379*I1379</f>
        <v>632.530120481928</v>
      </c>
      <c r="T1379" s="581"/>
    </row>
    <row r="1380" customFormat="false" ht="45" hidden="false" customHeight="false" outlineLevel="0" collapsed="false">
      <c r="A1380" s="327" t="s">
        <v>2339</v>
      </c>
      <c r="B1380" s="487" t="s">
        <v>3900</v>
      </c>
      <c r="C1380" s="954" t="n">
        <v>30000</v>
      </c>
      <c r="D1380" s="954" t="n">
        <v>25000</v>
      </c>
      <c r="E1380" s="954" t="n">
        <v>25000</v>
      </c>
      <c r="F1380" s="955" t="n">
        <f aca="false">C1380+D1380+E1380</f>
        <v>80000</v>
      </c>
      <c r="G1380" s="955" t="n">
        <f aca="false">F1380/149.4</f>
        <v>535.475234270415</v>
      </c>
      <c r="H1380" s="661" t="n">
        <f aca="false">G1380/60</f>
        <v>8.92458723784025</v>
      </c>
      <c r="I1380" s="660" t="n">
        <f aca="false">'норма времени'!D1384</f>
        <v>150</v>
      </c>
      <c r="J1380" s="661" t="n">
        <f aca="false">H1380*I1380</f>
        <v>1338.68808567604</v>
      </c>
      <c r="T1380" s="581"/>
    </row>
    <row r="1381" customFormat="false" ht="15" hidden="false" customHeight="false" outlineLevel="0" collapsed="false">
      <c r="A1381" s="327" t="s">
        <v>2341</v>
      </c>
      <c r="B1381" s="433" t="s">
        <v>3901</v>
      </c>
      <c r="C1381" s="954" t="n">
        <v>10000</v>
      </c>
      <c r="D1381" s="954" t="n">
        <v>10000</v>
      </c>
      <c r="E1381" s="954" t="n">
        <v>10000</v>
      </c>
      <c r="F1381" s="955" t="n">
        <f aca="false">C1381+D1381+E1381</f>
        <v>30000</v>
      </c>
      <c r="G1381" s="955" t="n">
        <f aca="false">F1381/149.4</f>
        <v>200.803212851406</v>
      </c>
      <c r="H1381" s="661" t="n">
        <f aca="false">G1381/60</f>
        <v>3.34672021419009</v>
      </c>
      <c r="I1381" s="660" t="n">
        <f aca="false">'норма времени'!D1385</f>
        <v>88</v>
      </c>
      <c r="J1381" s="661" t="n">
        <f aca="false">H1381*I1381</f>
        <v>294.511378848728</v>
      </c>
      <c r="T1381" s="581"/>
    </row>
    <row r="1382" customFormat="false" ht="15" hidden="false" customHeight="false" outlineLevel="0" collapsed="false">
      <c r="A1382" s="388" t="s">
        <v>2343</v>
      </c>
      <c r="B1382" s="543" t="s">
        <v>2344</v>
      </c>
      <c r="C1382" s="1253"/>
      <c r="D1382" s="1253"/>
      <c r="E1382" s="1253"/>
      <c r="F1382" s="1254"/>
      <c r="G1382" s="1254"/>
      <c r="H1382" s="1250"/>
      <c r="I1382" s="1255"/>
      <c r="J1382" s="1250"/>
      <c r="T1382" s="581"/>
    </row>
    <row r="1383" customFormat="false" ht="30" hidden="false" customHeight="false" outlineLevel="0" collapsed="false">
      <c r="A1383" s="327" t="s">
        <v>2345</v>
      </c>
      <c r="B1383" s="433" t="s">
        <v>3902</v>
      </c>
      <c r="C1383" s="954" t="n">
        <v>10000</v>
      </c>
      <c r="D1383" s="954" t="n">
        <v>10000</v>
      </c>
      <c r="E1383" s="954" t="n">
        <v>10000</v>
      </c>
      <c r="F1383" s="955" t="n">
        <f aca="false">C1383+D1383+E1383</f>
        <v>30000</v>
      </c>
      <c r="G1383" s="955" t="n">
        <f aca="false">F1383/149.4</f>
        <v>200.803212851406</v>
      </c>
      <c r="H1383" s="661" t="n">
        <f aca="false">G1383/60</f>
        <v>3.34672021419009</v>
      </c>
      <c r="I1383" s="660" t="n">
        <f aca="false">'норма времени'!D1387</f>
        <v>164</v>
      </c>
      <c r="J1383" s="661" t="n">
        <f aca="false">H1383*I1383</f>
        <v>548.862115127175</v>
      </c>
      <c r="T1383" s="581"/>
    </row>
    <row r="1384" customFormat="false" ht="30" hidden="false" customHeight="false" outlineLevel="0" collapsed="false">
      <c r="A1384" s="327" t="s">
        <v>2347</v>
      </c>
      <c r="B1384" s="433" t="s">
        <v>3903</v>
      </c>
      <c r="C1384" s="954" t="n">
        <v>10000</v>
      </c>
      <c r="D1384" s="954" t="n">
        <v>10000</v>
      </c>
      <c r="E1384" s="954" t="n">
        <v>10000</v>
      </c>
      <c r="F1384" s="955" t="n">
        <f aca="false">C1384+D1384+E1384</f>
        <v>30000</v>
      </c>
      <c r="G1384" s="955" t="n">
        <f aca="false">F1384/149.4</f>
        <v>200.803212851406</v>
      </c>
      <c r="H1384" s="661" t="n">
        <f aca="false">G1384/60</f>
        <v>3.34672021419009</v>
      </c>
      <c r="I1384" s="660" t="n">
        <f aca="false">'норма времени'!D1388</f>
        <v>55</v>
      </c>
      <c r="J1384" s="661" t="n">
        <f aca="false">H1384*I1384</f>
        <v>184.069611780455</v>
      </c>
      <c r="T1384" s="581"/>
    </row>
    <row r="1385" customFormat="false" ht="30" hidden="false" customHeight="false" outlineLevel="0" collapsed="false">
      <c r="A1385" s="327" t="s">
        <v>2349</v>
      </c>
      <c r="B1385" s="433" t="s">
        <v>3904</v>
      </c>
      <c r="C1385" s="954" t="n">
        <v>25000</v>
      </c>
      <c r="D1385" s="954" t="n">
        <v>15000</v>
      </c>
      <c r="E1385" s="954" t="n">
        <v>15000</v>
      </c>
      <c r="F1385" s="955" t="n">
        <f aca="false">C1385+D1385+E1385</f>
        <v>55000</v>
      </c>
      <c r="G1385" s="955" t="n">
        <f aca="false">F1385/149.4</f>
        <v>368.13922356091</v>
      </c>
      <c r="H1385" s="661" t="n">
        <f aca="false">G1385/60</f>
        <v>6.13565372601517</v>
      </c>
      <c r="I1385" s="660" t="n">
        <f aca="false">'норма времени'!D1389</f>
        <v>145</v>
      </c>
      <c r="J1385" s="661" t="n">
        <f aca="false">H1385*I1385</f>
        <v>889.6697902722</v>
      </c>
      <c r="T1385" s="581"/>
    </row>
    <row r="1386" customFormat="false" ht="15" hidden="false" customHeight="false" outlineLevel="0" collapsed="false">
      <c r="A1386" s="327" t="s">
        <v>2351</v>
      </c>
      <c r="B1386" s="433" t="s">
        <v>3905</v>
      </c>
      <c r="C1386" s="954" t="n">
        <v>10000</v>
      </c>
      <c r="D1386" s="954" t="n">
        <v>10000</v>
      </c>
      <c r="E1386" s="954" t="n">
        <v>10000</v>
      </c>
      <c r="F1386" s="955" t="n">
        <f aca="false">C1386+D1386+E1386</f>
        <v>30000</v>
      </c>
      <c r="G1386" s="955" t="n">
        <f aca="false">F1386/149.4</f>
        <v>200.803212851406</v>
      </c>
      <c r="H1386" s="661" t="n">
        <f aca="false">G1386/60</f>
        <v>3.34672021419009</v>
      </c>
      <c r="I1386" s="660" t="n">
        <f aca="false">'норма времени'!D1390</f>
        <v>83</v>
      </c>
      <c r="J1386" s="661" t="n">
        <f aca="false">H1386*I1386</f>
        <v>277.777777777778</v>
      </c>
      <c r="T1386" s="581"/>
    </row>
    <row r="1387" customFormat="false" ht="21" hidden="false" customHeight="true" outlineLevel="0" collapsed="false">
      <c r="A1387" s="389" t="s">
        <v>2353</v>
      </c>
      <c r="B1387" s="545" t="s">
        <v>2354</v>
      </c>
      <c r="C1387" s="1248"/>
      <c r="D1387" s="1248"/>
      <c r="E1387" s="1248"/>
      <c r="F1387" s="1249"/>
      <c r="G1387" s="1254"/>
      <c r="H1387" s="1259"/>
      <c r="I1387" s="1255"/>
      <c r="J1387" s="1259"/>
      <c r="T1387" s="581"/>
    </row>
    <row r="1388" customFormat="false" ht="30" hidden="false" customHeight="false" outlineLevel="0" collapsed="false">
      <c r="A1388" s="327" t="s">
        <v>2355</v>
      </c>
      <c r="B1388" s="433" t="s">
        <v>3906</v>
      </c>
      <c r="C1388" s="954" t="n">
        <v>10000</v>
      </c>
      <c r="D1388" s="954" t="n">
        <v>10000</v>
      </c>
      <c r="E1388" s="954" t="n">
        <v>10000</v>
      </c>
      <c r="F1388" s="955" t="n">
        <f aca="false">C1388+D1388+E1388</f>
        <v>30000</v>
      </c>
      <c r="G1388" s="955" t="n">
        <f aca="false">F1388/149.4</f>
        <v>200.803212851406</v>
      </c>
      <c r="H1388" s="661" t="n">
        <f aca="false">G1388/60</f>
        <v>3.34672021419009</v>
      </c>
      <c r="I1388" s="660" t="n">
        <f aca="false">'норма времени'!D1392</f>
        <v>165</v>
      </c>
      <c r="J1388" s="661" t="n">
        <f aca="false">H1388*I1388</f>
        <v>552.208835341365</v>
      </c>
      <c r="T1388" s="581"/>
    </row>
    <row r="1389" customFormat="false" ht="30" hidden="false" customHeight="false" outlineLevel="0" collapsed="false">
      <c r="A1389" s="327" t="s">
        <v>2357</v>
      </c>
      <c r="B1389" s="433" t="s">
        <v>3907</v>
      </c>
      <c r="C1389" s="954" t="n">
        <v>15000</v>
      </c>
      <c r="D1389" s="954" t="n">
        <v>15000</v>
      </c>
      <c r="E1389" s="954" t="n">
        <v>10000</v>
      </c>
      <c r="F1389" s="955" t="n">
        <f aca="false">C1389+D1389+E1389</f>
        <v>40000</v>
      </c>
      <c r="G1389" s="955" t="n">
        <f aca="false">F1389/149.4</f>
        <v>267.737617135208</v>
      </c>
      <c r="H1389" s="661" t="n">
        <f aca="false">G1389/60</f>
        <v>4.46229361892013</v>
      </c>
      <c r="I1389" s="660" t="n">
        <f aca="false">'норма времени'!D1393</f>
        <v>55</v>
      </c>
      <c r="J1389" s="661" t="n">
        <f aca="false">H1389*I1389</f>
        <v>245.426149040607</v>
      </c>
      <c r="T1389" s="581"/>
    </row>
    <row r="1390" customFormat="false" ht="15" hidden="false" customHeight="false" outlineLevel="0" collapsed="false">
      <c r="A1390" s="327" t="s">
        <v>2359</v>
      </c>
      <c r="B1390" s="433" t="s">
        <v>3908</v>
      </c>
      <c r="C1390" s="954" t="n">
        <v>25000</v>
      </c>
      <c r="D1390" s="954" t="n">
        <v>20000</v>
      </c>
      <c r="E1390" s="954" t="n">
        <v>15000</v>
      </c>
      <c r="F1390" s="955" t="n">
        <f aca="false">C1390+D1390+E1390</f>
        <v>60000</v>
      </c>
      <c r="G1390" s="955" t="n">
        <f aca="false">F1390/149.4</f>
        <v>401.606425702811</v>
      </c>
      <c r="H1390" s="661" t="n">
        <f aca="false">G1390/60</f>
        <v>6.69344042838019</v>
      </c>
      <c r="I1390" s="660" t="n">
        <f aca="false">'норма времени'!D1394</f>
        <v>83</v>
      </c>
      <c r="J1390" s="661" t="n">
        <f aca="false">H1390*I1390</f>
        <v>555.555555555556</v>
      </c>
      <c r="T1390" s="581"/>
    </row>
    <row r="1391" customFormat="false" ht="30" hidden="false" customHeight="false" outlineLevel="0" collapsed="false">
      <c r="A1391" s="327" t="s">
        <v>2361</v>
      </c>
      <c r="B1391" s="433" t="s">
        <v>3909</v>
      </c>
      <c r="C1391" s="954" t="n">
        <v>10000</v>
      </c>
      <c r="D1391" s="954" t="n">
        <v>10000</v>
      </c>
      <c r="E1391" s="954" t="n">
        <v>10000</v>
      </c>
      <c r="F1391" s="955" t="n">
        <f aca="false">C1391+D1391+E1391</f>
        <v>30000</v>
      </c>
      <c r="G1391" s="955" t="n">
        <f aca="false">F1391/149.4</f>
        <v>200.803212851406</v>
      </c>
      <c r="H1391" s="661" t="n">
        <f aca="false">G1391/60</f>
        <v>3.34672021419009</v>
      </c>
      <c r="I1391" s="660" t="n">
        <f aca="false">'норма времени'!D1395</f>
        <v>152</v>
      </c>
      <c r="J1391" s="661" t="n">
        <f aca="false">H1391*I1391</f>
        <v>508.701472556894</v>
      </c>
      <c r="T1391" s="581"/>
    </row>
    <row r="1392" customFormat="false" ht="23.25" hidden="false" customHeight="true" outlineLevel="0" collapsed="false">
      <c r="A1392" s="389" t="s">
        <v>2363</v>
      </c>
      <c r="B1392" s="544" t="s">
        <v>3910</v>
      </c>
      <c r="C1392" s="1253"/>
      <c r="D1392" s="1253"/>
      <c r="E1392" s="1253"/>
      <c r="F1392" s="1254"/>
      <c r="G1392" s="1254"/>
      <c r="H1392" s="1250"/>
      <c r="I1392" s="1255"/>
      <c r="J1392" s="1250"/>
      <c r="T1392" s="581"/>
    </row>
    <row r="1393" customFormat="false" ht="30" hidden="false" customHeight="false" outlineLevel="0" collapsed="false">
      <c r="A1393" s="327" t="s">
        <v>2365</v>
      </c>
      <c r="B1393" s="433" t="s">
        <v>3911</v>
      </c>
      <c r="C1393" s="954" t="n">
        <v>10000</v>
      </c>
      <c r="D1393" s="954" t="n">
        <v>10000</v>
      </c>
      <c r="E1393" s="954" t="n">
        <v>10000</v>
      </c>
      <c r="F1393" s="955" t="n">
        <f aca="false">C1393+D1393+E1393</f>
        <v>30000</v>
      </c>
      <c r="G1393" s="955" t="n">
        <f aca="false">F1393/149.4</f>
        <v>200.803212851406</v>
      </c>
      <c r="H1393" s="661" t="n">
        <f aca="false">G1393/60</f>
        <v>3.34672021419009</v>
      </c>
      <c r="I1393" s="660" t="n">
        <f aca="false">'норма времени'!D1397</f>
        <v>81</v>
      </c>
      <c r="J1393" s="661" t="n">
        <f aca="false">H1393*I1393</f>
        <v>271.084337349398</v>
      </c>
      <c r="T1393" s="581"/>
    </row>
    <row r="1394" customFormat="false" ht="30" hidden="false" customHeight="false" outlineLevel="0" collapsed="false">
      <c r="A1394" s="327" t="s">
        <v>2367</v>
      </c>
      <c r="B1394" s="433" t="s">
        <v>3912</v>
      </c>
      <c r="C1394" s="954" t="n">
        <v>10000</v>
      </c>
      <c r="D1394" s="954" t="n">
        <v>10000</v>
      </c>
      <c r="E1394" s="954" t="n">
        <v>10000</v>
      </c>
      <c r="F1394" s="955" t="n">
        <f aca="false">C1394+D1394+E1394</f>
        <v>30000</v>
      </c>
      <c r="G1394" s="955" t="n">
        <f aca="false">F1394/149.4</f>
        <v>200.803212851406</v>
      </c>
      <c r="H1394" s="661" t="n">
        <f aca="false">G1394/60</f>
        <v>3.34672021419009</v>
      </c>
      <c r="I1394" s="660" t="n">
        <f aca="false">'норма времени'!D1398</f>
        <v>88</v>
      </c>
      <c r="J1394" s="661" t="n">
        <f aca="false">H1394*I1394</f>
        <v>294.511378848728</v>
      </c>
      <c r="T1394" s="581"/>
    </row>
    <row r="1395" customFormat="false" ht="30" hidden="false" customHeight="false" outlineLevel="0" collapsed="false">
      <c r="A1395" s="327" t="s">
        <v>2369</v>
      </c>
      <c r="B1395" s="433" t="s">
        <v>3913</v>
      </c>
      <c r="C1395" s="954" t="n">
        <v>10000</v>
      </c>
      <c r="D1395" s="954" t="n">
        <v>10000</v>
      </c>
      <c r="E1395" s="954" t="n">
        <v>10000</v>
      </c>
      <c r="F1395" s="955" t="n">
        <f aca="false">C1395+D1395+E1395</f>
        <v>30000</v>
      </c>
      <c r="G1395" s="955" t="n">
        <f aca="false">F1395/149.4</f>
        <v>200.803212851406</v>
      </c>
      <c r="H1395" s="661" t="n">
        <f aca="false">G1395/60</f>
        <v>3.34672021419009</v>
      </c>
      <c r="I1395" s="660" t="n">
        <f aca="false">'норма времени'!D1399</f>
        <v>150</v>
      </c>
      <c r="J1395" s="661" t="n">
        <f aca="false">H1395*I1395</f>
        <v>502.008032128514</v>
      </c>
      <c r="T1395" s="581"/>
    </row>
    <row r="1396" customFormat="false" ht="21.75" hidden="false" customHeight="true" outlineLevel="0" collapsed="false">
      <c r="A1396" s="388" t="s">
        <v>2371</v>
      </c>
      <c r="B1396" s="543" t="s">
        <v>3914</v>
      </c>
      <c r="C1396" s="1253"/>
      <c r="D1396" s="1253"/>
      <c r="E1396" s="1253"/>
      <c r="F1396" s="1254"/>
      <c r="G1396" s="1254"/>
      <c r="H1396" s="1250"/>
      <c r="I1396" s="1255"/>
      <c r="J1396" s="1250"/>
      <c r="T1396" s="581"/>
    </row>
    <row r="1397" customFormat="false" ht="30" hidden="false" customHeight="false" outlineLevel="0" collapsed="false">
      <c r="A1397" s="327" t="s">
        <v>2373</v>
      </c>
      <c r="B1397" s="433" t="s">
        <v>3915</v>
      </c>
      <c r="C1397" s="954" t="n">
        <v>10000</v>
      </c>
      <c r="D1397" s="954" t="n">
        <v>10000</v>
      </c>
      <c r="E1397" s="954" t="n">
        <v>10000</v>
      </c>
      <c r="F1397" s="955" t="n">
        <f aca="false">C1397+D1397+E1397</f>
        <v>30000</v>
      </c>
      <c r="G1397" s="955" t="n">
        <f aca="false">F1397/149.4</f>
        <v>200.803212851406</v>
      </c>
      <c r="H1397" s="661" t="n">
        <f aca="false">G1397/60</f>
        <v>3.34672021419009</v>
      </c>
      <c r="I1397" s="660" t="n">
        <f aca="false">'норма времени'!D1401</f>
        <v>76</v>
      </c>
      <c r="J1397" s="661" t="n">
        <f aca="false">H1397*I1397</f>
        <v>254.350736278447</v>
      </c>
      <c r="T1397" s="581"/>
    </row>
    <row r="1398" customFormat="false" ht="20.25" hidden="false" customHeight="true" outlineLevel="0" collapsed="false">
      <c r="A1398" s="327" t="s">
        <v>2375</v>
      </c>
      <c r="B1398" s="433" t="s">
        <v>3916</v>
      </c>
      <c r="C1398" s="954" t="n">
        <v>10000</v>
      </c>
      <c r="D1398" s="954" t="n">
        <v>10000</v>
      </c>
      <c r="E1398" s="954" t="n">
        <v>10000</v>
      </c>
      <c r="F1398" s="955" t="n">
        <f aca="false">C1398+D1398+E1398</f>
        <v>30000</v>
      </c>
      <c r="G1398" s="955" t="n">
        <f aca="false">F1398/149.4</f>
        <v>200.803212851406</v>
      </c>
      <c r="H1398" s="661" t="n">
        <f aca="false">G1398/60</f>
        <v>3.34672021419009</v>
      </c>
      <c r="I1398" s="660" t="n">
        <f aca="false">'норма времени'!D1402</f>
        <v>83</v>
      </c>
      <c r="J1398" s="661" t="n">
        <f aca="false">H1398*I1398</f>
        <v>277.777777777778</v>
      </c>
      <c r="T1398" s="581"/>
    </row>
    <row r="1399" customFormat="false" ht="30" hidden="false" customHeight="false" outlineLevel="0" collapsed="false">
      <c r="A1399" s="327" t="s">
        <v>2377</v>
      </c>
      <c r="B1399" s="433" t="s">
        <v>3917</v>
      </c>
      <c r="C1399" s="954" t="n">
        <v>10000</v>
      </c>
      <c r="D1399" s="954" t="n">
        <v>10000</v>
      </c>
      <c r="E1399" s="954" t="n">
        <v>10000</v>
      </c>
      <c r="F1399" s="955" t="n">
        <f aca="false">C1399+D1399+E1399</f>
        <v>30000</v>
      </c>
      <c r="G1399" s="955" t="n">
        <f aca="false">F1399/149.4</f>
        <v>200.803212851406</v>
      </c>
      <c r="H1399" s="661" t="n">
        <f aca="false">G1399/60</f>
        <v>3.34672021419009</v>
      </c>
      <c r="I1399" s="660" t="n">
        <f aca="false">'норма времени'!D1403</f>
        <v>145</v>
      </c>
      <c r="J1399" s="661" t="n">
        <f aca="false">H1399*I1399</f>
        <v>485.274431057564</v>
      </c>
      <c r="T1399" s="581"/>
    </row>
    <row r="1400" customFormat="false" ht="15" hidden="false" customHeight="false" outlineLevel="0" collapsed="false">
      <c r="A1400" s="388" t="s">
        <v>2379</v>
      </c>
      <c r="B1400" s="543" t="s">
        <v>3918</v>
      </c>
      <c r="C1400" s="1253"/>
      <c r="D1400" s="1253"/>
      <c r="E1400" s="1253"/>
      <c r="F1400" s="1254"/>
      <c r="G1400" s="1254"/>
      <c r="H1400" s="1250"/>
      <c r="I1400" s="1255"/>
      <c r="J1400" s="1250"/>
      <c r="T1400" s="581"/>
    </row>
    <row r="1401" customFormat="false" ht="30" hidden="false" customHeight="false" outlineLevel="0" collapsed="false">
      <c r="A1401" s="327" t="s">
        <v>2381</v>
      </c>
      <c r="B1401" s="433" t="s">
        <v>3919</v>
      </c>
      <c r="C1401" s="954" t="n">
        <v>10000</v>
      </c>
      <c r="D1401" s="954" t="n">
        <v>10000</v>
      </c>
      <c r="E1401" s="954" t="n">
        <v>10000</v>
      </c>
      <c r="F1401" s="955" t="n">
        <f aca="false">C1401+D1401+E1401</f>
        <v>30000</v>
      </c>
      <c r="G1401" s="955" t="n">
        <f aca="false">F1401/149.4</f>
        <v>200.803212851406</v>
      </c>
      <c r="H1401" s="661" t="n">
        <f aca="false">G1401/60</f>
        <v>3.34672021419009</v>
      </c>
      <c r="I1401" s="660" t="n">
        <f aca="false">'норма времени'!D1405</f>
        <v>76</v>
      </c>
      <c r="J1401" s="661" t="n">
        <f aca="false">H1401*I1401</f>
        <v>254.350736278447</v>
      </c>
      <c r="T1401" s="581"/>
    </row>
    <row r="1402" customFormat="false" ht="30" hidden="false" customHeight="false" outlineLevel="0" collapsed="false">
      <c r="A1402" s="327" t="s">
        <v>2383</v>
      </c>
      <c r="B1402" s="433" t="s">
        <v>3920</v>
      </c>
      <c r="C1402" s="954" t="n">
        <v>35000</v>
      </c>
      <c r="D1402" s="954" t="n">
        <v>25000</v>
      </c>
      <c r="E1402" s="954" t="n">
        <v>20000</v>
      </c>
      <c r="F1402" s="955" t="n">
        <f aca="false">C1402+D1402+E1402</f>
        <v>80000</v>
      </c>
      <c r="G1402" s="955" t="n">
        <f aca="false">F1402/149.4</f>
        <v>535.475234270415</v>
      </c>
      <c r="H1402" s="661" t="n">
        <f aca="false">G1402/60</f>
        <v>8.92458723784025</v>
      </c>
      <c r="I1402" s="660" t="n">
        <f aca="false">'норма времени'!D1406</f>
        <v>83</v>
      </c>
      <c r="J1402" s="661" t="n">
        <f aca="false">H1402*I1402</f>
        <v>740.740740740741</v>
      </c>
      <c r="T1402" s="581"/>
    </row>
    <row r="1403" customFormat="false" ht="30" hidden="false" customHeight="false" outlineLevel="0" collapsed="false">
      <c r="A1403" s="327" t="s">
        <v>2385</v>
      </c>
      <c r="B1403" s="433" t="s">
        <v>3921</v>
      </c>
      <c r="C1403" s="954" t="n">
        <v>10000</v>
      </c>
      <c r="D1403" s="954" t="n">
        <v>10000</v>
      </c>
      <c r="E1403" s="954" t="n">
        <v>10000</v>
      </c>
      <c r="F1403" s="955" t="n">
        <f aca="false">C1403+D1403+E1403</f>
        <v>30000</v>
      </c>
      <c r="G1403" s="955" t="n">
        <f aca="false">F1403/149.4</f>
        <v>200.803212851406</v>
      </c>
      <c r="H1403" s="661" t="n">
        <f aca="false">G1403/60</f>
        <v>3.34672021419009</v>
      </c>
      <c r="I1403" s="660" t="n">
        <f aca="false">'норма времени'!D1407</f>
        <v>145</v>
      </c>
      <c r="J1403" s="661" t="n">
        <f aca="false">H1403*I1403</f>
        <v>485.274431057564</v>
      </c>
      <c r="T1403" s="581"/>
    </row>
    <row r="1404" customFormat="false" ht="18.75" hidden="false" customHeight="true" outlineLevel="0" collapsed="false">
      <c r="A1404" s="388" t="s">
        <v>2387</v>
      </c>
      <c r="B1404" s="543" t="s">
        <v>3922</v>
      </c>
      <c r="C1404" s="1253"/>
      <c r="D1404" s="1253"/>
      <c r="E1404" s="1253"/>
      <c r="F1404" s="1254"/>
      <c r="G1404" s="1254"/>
      <c r="H1404" s="1250"/>
      <c r="I1404" s="1255"/>
      <c r="J1404" s="1250"/>
      <c r="T1404" s="581"/>
    </row>
    <row r="1405" customFormat="false" ht="30" hidden="false" customHeight="false" outlineLevel="0" collapsed="false">
      <c r="A1405" s="327" t="s">
        <v>2389</v>
      </c>
      <c r="B1405" s="433" t="s">
        <v>3923</v>
      </c>
      <c r="C1405" s="954" t="n">
        <v>10000</v>
      </c>
      <c r="D1405" s="954" t="n">
        <v>10000</v>
      </c>
      <c r="E1405" s="954" t="n">
        <v>10000</v>
      </c>
      <c r="F1405" s="955" t="n">
        <f aca="false">C1405+D1405+E1405</f>
        <v>30000</v>
      </c>
      <c r="G1405" s="955" t="n">
        <f aca="false">F1405/149.4</f>
        <v>200.803212851406</v>
      </c>
      <c r="H1405" s="661" t="n">
        <f aca="false">G1405/60</f>
        <v>3.34672021419009</v>
      </c>
      <c r="I1405" s="660" t="n">
        <f aca="false">'норма времени'!D1409</f>
        <v>76</v>
      </c>
      <c r="J1405" s="661" t="n">
        <f aca="false">H1405*I1405</f>
        <v>254.350736278447</v>
      </c>
      <c r="T1405" s="581"/>
    </row>
    <row r="1406" customFormat="false" ht="30" hidden="false" customHeight="false" outlineLevel="0" collapsed="false">
      <c r="A1406" s="327" t="s">
        <v>2391</v>
      </c>
      <c r="B1406" s="433" t="s">
        <v>3924</v>
      </c>
      <c r="C1406" s="954" t="n">
        <v>10000</v>
      </c>
      <c r="D1406" s="954" t="n">
        <v>10000</v>
      </c>
      <c r="E1406" s="954" t="n">
        <v>10000</v>
      </c>
      <c r="F1406" s="955" t="n">
        <f aca="false">C1406+D1406+E1406</f>
        <v>30000</v>
      </c>
      <c r="G1406" s="955" t="n">
        <f aca="false">F1406/149.4</f>
        <v>200.803212851406</v>
      </c>
      <c r="H1406" s="661" t="n">
        <f aca="false">G1406/60</f>
        <v>3.34672021419009</v>
      </c>
      <c r="I1406" s="660" t="n">
        <f aca="false">'норма времени'!D1410</f>
        <v>145</v>
      </c>
      <c r="J1406" s="661" t="n">
        <f aca="false">H1406*I1406</f>
        <v>485.274431057564</v>
      </c>
      <c r="T1406" s="581"/>
    </row>
    <row r="1407" customFormat="false" ht="27.75" hidden="false" customHeight="true" outlineLevel="0" collapsed="false">
      <c r="A1407" s="388" t="s">
        <v>2393</v>
      </c>
      <c r="B1407" s="543" t="s">
        <v>2394</v>
      </c>
      <c r="C1407" s="1253"/>
      <c r="D1407" s="1253"/>
      <c r="E1407" s="1253"/>
      <c r="F1407" s="1254"/>
      <c r="G1407" s="1254"/>
      <c r="H1407" s="1250"/>
      <c r="I1407" s="1255"/>
      <c r="J1407" s="1250"/>
      <c r="T1407" s="581"/>
    </row>
    <row r="1408" customFormat="false" ht="30" hidden="false" customHeight="false" outlineLevel="0" collapsed="false">
      <c r="A1408" s="327" t="s">
        <v>2395</v>
      </c>
      <c r="B1408" s="433" t="s">
        <v>3925</v>
      </c>
      <c r="C1408" s="954" t="n">
        <v>15000</v>
      </c>
      <c r="D1408" s="954" t="n">
        <v>15000</v>
      </c>
      <c r="E1408" s="954" t="n">
        <v>10000</v>
      </c>
      <c r="F1408" s="955" t="n">
        <f aca="false">C1408+D1408+E1408</f>
        <v>40000</v>
      </c>
      <c r="G1408" s="955" t="n">
        <f aca="false">F1408/149.4</f>
        <v>267.737617135208</v>
      </c>
      <c r="H1408" s="661" t="n">
        <f aca="false">G1408/60</f>
        <v>4.46229361892013</v>
      </c>
      <c r="I1408" s="660" t="n">
        <f aca="false">'норма времени'!D1412</f>
        <v>145</v>
      </c>
      <c r="J1408" s="661" t="n">
        <f aca="false">H1408*I1408</f>
        <v>647.032574743418</v>
      </c>
      <c r="T1408" s="581"/>
    </row>
    <row r="1409" customFormat="false" ht="15" hidden="false" customHeight="false" outlineLevel="0" collapsed="false">
      <c r="A1409" s="327" t="s">
        <v>2397</v>
      </c>
      <c r="B1409" s="433" t="s">
        <v>3926</v>
      </c>
      <c r="C1409" s="954" t="n">
        <v>15000</v>
      </c>
      <c r="D1409" s="954" t="n">
        <v>15000</v>
      </c>
      <c r="E1409" s="954" t="n">
        <v>10000</v>
      </c>
      <c r="F1409" s="955" t="n">
        <f aca="false">C1409+D1409+E1409</f>
        <v>40000</v>
      </c>
      <c r="G1409" s="955" t="n">
        <f aca="false">F1409/149.4</f>
        <v>267.737617135208</v>
      </c>
      <c r="H1409" s="661" t="n">
        <f aca="false">G1409/60</f>
        <v>4.46229361892013</v>
      </c>
      <c r="I1409" s="660" t="n">
        <f aca="false">'норма времени'!D1413</f>
        <v>83</v>
      </c>
      <c r="J1409" s="661" t="n">
        <f aca="false">H1409*I1409</f>
        <v>370.37037037037</v>
      </c>
      <c r="T1409" s="581"/>
    </row>
    <row r="1410" customFormat="false" ht="15" hidden="false" customHeight="false" outlineLevel="0" collapsed="false">
      <c r="A1410" s="388" t="s">
        <v>2399</v>
      </c>
      <c r="B1410" s="546" t="s">
        <v>3927</v>
      </c>
      <c r="C1410" s="1253"/>
      <c r="D1410" s="1253"/>
      <c r="E1410" s="1253"/>
      <c r="F1410" s="1254"/>
      <c r="G1410" s="1254"/>
      <c r="H1410" s="1250"/>
      <c r="I1410" s="1255"/>
      <c r="J1410" s="1250"/>
      <c r="T1410" s="581"/>
    </row>
    <row r="1411" customFormat="false" ht="30" hidden="false" customHeight="false" outlineLevel="0" collapsed="false">
      <c r="A1411" s="390" t="s">
        <v>2401</v>
      </c>
      <c r="B1411" s="328" t="s">
        <v>3928</v>
      </c>
      <c r="C1411" s="954" t="n">
        <v>10000</v>
      </c>
      <c r="D1411" s="954" t="n">
        <v>10000</v>
      </c>
      <c r="E1411" s="954" t="n">
        <v>10000</v>
      </c>
      <c r="F1411" s="955" t="n">
        <f aca="false">C1411+D1411+E1411</f>
        <v>30000</v>
      </c>
      <c r="G1411" s="955" t="n">
        <f aca="false">F1411/149.4</f>
        <v>200.803212851406</v>
      </c>
      <c r="H1411" s="661" t="n">
        <f aca="false">G1411/60</f>
        <v>3.34672021419009</v>
      </c>
      <c r="I1411" s="660" t="n">
        <f aca="false">'норма времени'!D1415</f>
        <v>76</v>
      </c>
      <c r="J1411" s="661" t="n">
        <f aca="false">H1411*I1411</f>
        <v>254.350736278447</v>
      </c>
      <c r="T1411" s="581"/>
    </row>
    <row r="1412" customFormat="false" ht="30" hidden="false" customHeight="false" outlineLevel="0" collapsed="false">
      <c r="A1412" s="390" t="s">
        <v>2403</v>
      </c>
      <c r="B1412" s="328" t="s">
        <v>3929</v>
      </c>
      <c r="C1412" s="954" t="n">
        <v>45000</v>
      </c>
      <c r="D1412" s="954" t="n">
        <v>45000</v>
      </c>
      <c r="E1412" s="954" t="n">
        <v>45000</v>
      </c>
      <c r="F1412" s="955" t="n">
        <f aca="false">C1412+D1412+E1412</f>
        <v>135000</v>
      </c>
      <c r="G1412" s="955" t="n">
        <f aca="false">F1412/149.4</f>
        <v>903.614457831325</v>
      </c>
      <c r="H1412" s="661" t="n">
        <f aca="false">G1412/60</f>
        <v>15.0602409638554</v>
      </c>
      <c r="I1412" s="660" t="n">
        <f aca="false">'норма времени'!D1416</f>
        <v>145</v>
      </c>
      <c r="J1412" s="661" t="n">
        <f aca="false">H1412*I1412</f>
        <v>2183.73493975904</v>
      </c>
      <c r="T1412" s="581"/>
    </row>
    <row r="1413" customFormat="false" ht="30" hidden="false" customHeight="false" outlineLevel="0" collapsed="false">
      <c r="A1413" s="390" t="s">
        <v>2405</v>
      </c>
      <c r="B1413" s="328" t="s">
        <v>3930</v>
      </c>
      <c r="C1413" s="954" t="n">
        <v>15000</v>
      </c>
      <c r="D1413" s="954" t="n">
        <v>10000</v>
      </c>
      <c r="E1413" s="954" t="n">
        <v>10000</v>
      </c>
      <c r="F1413" s="955" t="n">
        <f aca="false">C1413+D1413+E1413</f>
        <v>35000</v>
      </c>
      <c r="G1413" s="955" t="n">
        <f aca="false">F1413/149.4</f>
        <v>234.270414993307</v>
      </c>
      <c r="H1413" s="661" t="n">
        <f aca="false">G1413/60</f>
        <v>3.90450691655511</v>
      </c>
      <c r="I1413" s="660" t="n">
        <f aca="false">'норма времени'!D1417</f>
        <v>83</v>
      </c>
      <c r="J1413" s="661" t="n">
        <f aca="false">H1413*I1413</f>
        <v>324.074074074074</v>
      </c>
      <c r="T1413" s="581"/>
    </row>
    <row r="1414" customFormat="false" ht="15" hidden="false" customHeight="false" outlineLevel="0" collapsed="false">
      <c r="A1414" s="388" t="s">
        <v>2407</v>
      </c>
      <c r="B1414" s="543" t="s">
        <v>2408</v>
      </c>
      <c r="C1414" s="1253"/>
      <c r="D1414" s="1253"/>
      <c r="E1414" s="1253"/>
      <c r="F1414" s="1254"/>
      <c r="G1414" s="1254"/>
      <c r="H1414" s="1250"/>
      <c r="I1414" s="1255"/>
      <c r="J1414" s="1250"/>
      <c r="T1414" s="581"/>
    </row>
    <row r="1415" customFormat="false" ht="15" hidden="false" customHeight="true" outlineLevel="0" collapsed="false">
      <c r="A1415" s="327" t="s">
        <v>2409</v>
      </c>
      <c r="B1415" s="433" t="s">
        <v>3931</v>
      </c>
      <c r="C1415" s="954" t="n">
        <v>10000</v>
      </c>
      <c r="D1415" s="954" t="n">
        <v>10000</v>
      </c>
      <c r="E1415" s="954" t="n">
        <v>10000</v>
      </c>
      <c r="F1415" s="955" t="n">
        <f aca="false">C1415+D1415+E1415</f>
        <v>30000</v>
      </c>
      <c r="G1415" s="955" t="n">
        <f aca="false">F1415/149.4</f>
        <v>200.803212851406</v>
      </c>
      <c r="H1415" s="661" t="n">
        <f aca="false">G1415/60</f>
        <v>3.34672021419009</v>
      </c>
      <c r="I1415" s="660" t="n">
        <f aca="false">'норма времени'!D1419</f>
        <v>128</v>
      </c>
      <c r="J1415" s="661" t="n">
        <f aca="false">H1415*I1415</f>
        <v>428.380187416332</v>
      </c>
      <c r="T1415" s="581"/>
    </row>
    <row r="1416" customFormat="false" ht="15" hidden="false" customHeight="true" outlineLevel="0" collapsed="false">
      <c r="A1416" s="327" t="s">
        <v>2411</v>
      </c>
      <c r="B1416" s="433" t="s">
        <v>3932</v>
      </c>
      <c r="C1416" s="954" t="n">
        <v>10000</v>
      </c>
      <c r="D1416" s="954" t="n">
        <v>10000</v>
      </c>
      <c r="E1416" s="954" t="n">
        <v>10000</v>
      </c>
      <c r="F1416" s="955" t="n">
        <f aca="false">C1416+D1416+E1416</f>
        <v>30000</v>
      </c>
      <c r="G1416" s="955" t="n">
        <f aca="false">F1416/149.4</f>
        <v>200.803212851406</v>
      </c>
      <c r="H1416" s="661" t="n">
        <f aca="false">G1416/60</f>
        <v>3.34672021419009</v>
      </c>
      <c r="I1416" s="660" t="n">
        <f aca="false">'норма времени'!D1420</f>
        <v>128</v>
      </c>
      <c r="J1416" s="661" t="n">
        <f aca="false">H1416*I1416</f>
        <v>428.380187416332</v>
      </c>
      <c r="T1416" s="581"/>
    </row>
    <row r="1417" customFormat="false" ht="28.5" hidden="false" customHeight="true" outlineLevel="0" collapsed="false">
      <c r="A1417" s="388" t="s">
        <v>2413</v>
      </c>
      <c r="B1417" s="543" t="s">
        <v>3933</v>
      </c>
      <c r="C1417" s="1253"/>
      <c r="D1417" s="1253"/>
      <c r="E1417" s="1253"/>
      <c r="F1417" s="1254"/>
      <c r="G1417" s="1254"/>
      <c r="H1417" s="1250"/>
      <c r="I1417" s="1255"/>
      <c r="J1417" s="1250"/>
      <c r="T1417" s="581"/>
    </row>
    <row r="1418" customFormat="false" ht="16.5" hidden="false" customHeight="true" outlineLevel="0" collapsed="false">
      <c r="A1418" s="327" t="s">
        <v>2415</v>
      </c>
      <c r="B1418" s="433" t="s">
        <v>3934</v>
      </c>
      <c r="C1418" s="954" t="n">
        <v>10000</v>
      </c>
      <c r="D1418" s="954" t="n">
        <v>10000</v>
      </c>
      <c r="E1418" s="954" t="n">
        <v>10000</v>
      </c>
      <c r="F1418" s="955" t="n">
        <f aca="false">C1418+D1418+E1418</f>
        <v>30000</v>
      </c>
      <c r="G1418" s="955" t="n">
        <f aca="false">F1418/149.4</f>
        <v>200.803212851406</v>
      </c>
      <c r="H1418" s="661" t="n">
        <f aca="false">G1418/60</f>
        <v>3.34672021419009</v>
      </c>
      <c r="I1418" s="660" t="n">
        <f aca="false">'норма времени'!D1422</f>
        <v>145</v>
      </c>
      <c r="J1418" s="661" t="n">
        <f aca="false">H1418*I1418</f>
        <v>485.274431057564</v>
      </c>
      <c r="T1418" s="581"/>
    </row>
    <row r="1419" customFormat="false" ht="15" hidden="false" customHeight="false" outlineLevel="0" collapsed="false">
      <c r="A1419" s="327" t="s">
        <v>2417</v>
      </c>
      <c r="B1419" s="547" t="s">
        <v>3935</v>
      </c>
      <c r="C1419" s="954" t="n">
        <v>10000</v>
      </c>
      <c r="D1419" s="954" t="n">
        <v>10000</v>
      </c>
      <c r="E1419" s="954" t="n">
        <v>10000</v>
      </c>
      <c r="F1419" s="955" t="n">
        <f aca="false">C1419+D1419+E1419</f>
        <v>30000</v>
      </c>
      <c r="G1419" s="955" t="n">
        <f aca="false">F1419/149.4</f>
        <v>200.803212851406</v>
      </c>
      <c r="H1419" s="661" t="n">
        <f aca="false">G1419/60</f>
        <v>3.34672021419009</v>
      </c>
      <c r="I1419" s="660" t="n">
        <f aca="false">'норма времени'!D1423</f>
        <v>151</v>
      </c>
      <c r="J1419" s="661" t="n">
        <f aca="false">H1419*I1419</f>
        <v>505.354752342704</v>
      </c>
      <c r="T1419" s="581"/>
    </row>
    <row r="1420" customFormat="false" ht="24" hidden="false" customHeight="true" outlineLevel="0" collapsed="false">
      <c r="A1420" s="388" t="s">
        <v>2419</v>
      </c>
      <c r="B1420" s="543" t="s">
        <v>3936</v>
      </c>
      <c r="C1420" s="1253"/>
      <c r="D1420" s="1253"/>
      <c r="E1420" s="1253"/>
      <c r="F1420" s="1254"/>
      <c r="G1420" s="1254"/>
      <c r="H1420" s="1250"/>
      <c r="I1420" s="1255"/>
      <c r="J1420" s="1250"/>
      <c r="T1420" s="581"/>
    </row>
    <row r="1421" customFormat="false" ht="30" hidden="false" customHeight="false" outlineLevel="0" collapsed="false">
      <c r="A1421" s="327" t="s">
        <v>2421</v>
      </c>
      <c r="B1421" s="433" t="s">
        <v>3937</v>
      </c>
      <c r="C1421" s="954" t="n">
        <v>10000</v>
      </c>
      <c r="D1421" s="954" t="n">
        <v>10000</v>
      </c>
      <c r="E1421" s="954" t="n">
        <v>10000</v>
      </c>
      <c r="F1421" s="955" t="n">
        <f aca="false">C1421+D1421+E1421</f>
        <v>30000</v>
      </c>
      <c r="G1421" s="955" t="n">
        <f aca="false">F1421/149.4</f>
        <v>200.803212851406</v>
      </c>
      <c r="H1421" s="661" t="n">
        <f aca="false">G1421/60</f>
        <v>3.34672021419009</v>
      </c>
      <c r="I1421" s="660" t="n">
        <f aca="false">'норма времени'!D1425</f>
        <v>145</v>
      </c>
      <c r="J1421" s="661" t="n">
        <f aca="false">H1421*I1421</f>
        <v>485.274431057564</v>
      </c>
      <c r="T1421" s="581"/>
    </row>
    <row r="1422" customFormat="false" ht="15" hidden="false" customHeight="false" outlineLevel="0" collapsed="false">
      <c r="A1422" s="327" t="s">
        <v>2423</v>
      </c>
      <c r="B1422" s="433" t="s">
        <v>3938</v>
      </c>
      <c r="C1422" s="954" t="n">
        <v>10000</v>
      </c>
      <c r="D1422" s="954" t="n">
        <v>10000</v>
      </c>
      <c r="E1422" s="954" t="n">
        <v>10000</v>
      </c>
      <c r="F1422" s="955" t="n">
        <f aca="false">C1422+D1422+E1422</f>
        <v>30000</v>
      </c>
      <c r="G1422" s="955" t="n">
        <f aca="false">F1422/149.4</f>
        <v>200.803212851406</v>
      </c>
      <c r="H1422" s="661" t="n">
        <f aca="false">G1422/60</f>
        <v>3.34672021419009</v>
      </c>
      <c r="I1422" s="660" t="n">
        <f aca="false">'норма времени'!D1426</f>
        <v>83</v>
      </c>
      <c r="J1422" s="661" t="n">
        <f aca="false">H1422*I1422</f>
        <v>277.777777777778</v>
      </c>
      <c r="T1422" s="581"/>
    </row>
    <row r="1423" customFormat="false" ht="15" hidden="false" customHeight="false" outlineLevel="0" collapsed="false">
      <c r="A1423" s="327" t="s">
        <v>2425</v>
      </c>
      <c r="B1423" s="433" t="s">
        <v>3939</v>
      </c>
      <c r="C1423" s="954" t="n">
        <v>10000</v>
      </c>
      <c r="D1423" s="954" t="n">
        <v>10000</v>
      </c>
      <c r="E1423" s="954" t="n">
        <v>10000</v>
      </c>
      <c r="F1423" s="955" t="n">
        <f aca="false">C1423+D1423+E1423</f>
        <v>30000</v>
      </c>
      <c r="G1423" s="955" t="n">
        <f aca="false">F1423/149.4</f>
        <v>200.803212851406</v>
      </c>
      <c r="H1423" s="661" t="n">
        <f aca="false">G1423/60</f>
        <v>3.34672021419009</v>
      </c>
      <c r="I1423" s="660" t="n">
        <f aca="false">'норма времени'!D1427</f>
        <v>93</v>
      </c>
      <c r="J1423" s="661" t="n">
        <f aca="false">H1423*I1423</f>
        <v>311.244979919679</v>
      </c>
      <c r="T1423" s="581"/>
    </row>
    <row r="1424" customFormat="false" ht="24" hidden="false" customHeight="true" outlineLevel="0" collapsed="false">
      <c r="A1424" s="388" t="s">
        <v>2427</v>
      </c>
      <c r="B1424" s="543" t="s">
        <v>3940</v>
      </c>
      <c r="C1424" s="1253"/>
      <c r="D1424" s="1253"/>
      <c r="E1424" s="1253"/>
      <c r="F1424" s="1254"/>
      <c r="G1424" s="1254"/>
      <c r="H1424" s="1250"/>
      <c r="I1424" s="1255"/>
      <c r="J1424" s="1250"/>
      <c r="T1424" s="581"/>
    </row>
    <row r="1425" customFormat="false" ht="30" hidden="false" customHeight="false" outlineLevel="0" collapsed="false">
      <c r="A1425" s="327" t="s">
        <v>2429</v>
      </c>
      <c r="B1425" s="433" t="s">
        <v>3941</v>
      </c>
      <c r="C1425" s="954" t="n">
        <v>10000</v>
      </c>
      <c r="D1425" s="954" t="n">
        <v>10000</v>
      </c>
      <c r="E1425" s="954" t="n">
        <v>10000</v>
      </c>
      <c r="F1425" s="955" t="n">
        <f aca="false">C1425+D1425+E1425</f>
        <v>30000</v>
      </c>
      <c r="G1425" s="955" t="n">
        <f aca="false">F1425/149.4</f>
        <v>200.803212851406</v>
      </c>
      <c r="H1425" s="661" t="n">
        <f aca="false">G1425/60</f>
        <v>3.34672021419009</v>
      </c>
      <c r="I1425" s="660" t="n">
        <f aca="false">'норма времени'!D1429</f>
        <v>140</v>
      </c>
      <c r="J1425" s="661" t="n">
        <f aca="false">H1425*I1425</f>
        <v>468.540829986613</v>
      </c>
      <c r="T1425" s="581"/>
    </row>
    <row r="1426" customFormat="false" ht="15" hidden="false" customHeight="false" outlineLevel="0" collapsed="false">
      <c r="A1426" s="327" t="s">
        <v>2431</v>
      </c>
      <c r="B1426" s="433" t="s">
        <v>3942</v>
      </c>
      <c r="C1426" s="954" t="n">
        <v>10000</v>
      </c>
      <c r="D1426" s="954" t="n">
        <v>10000</v>
      </c>
      <c r="E1426" s="954" t="n">
        <v>10000</v>
      </c>
      <c r="F1426" s="955" t="n">
        <f aca="false">C1426+D1426+E1426</f>
        <v>30000</v>
      </c>
      <c r="G1426" s="955" t="n">
        <f aca="false">F1426/149.4</f>
        <v>200.803212851406</v>
      </c>
      <c r="H1426" s="661" t="n">
        <f aca="false">G1426/60</f>
        <v>3.34672021419009</v>
      </c>
      <c r="I1426" s="660" t="n">
        <f aca="false">'норма времени'!D1430</f>
        <v>78</v>
      </c>
      <c r="J1426" s="661" t="n">
        <f aca="false">H1426*I1426</f>
        <v>261.044176706827</v>
      </c>
      <c r="T1426" s="581"/>
    </row>
    <row r="1427" customFormat="false" ht="18" hidden="false" customHeight="true" outlineLevel="0" collapsed="false">
      <c r="A1427" s="350" t="s">
        <v>2433</v>
      </c>
      <c r="B1427" s="467" t="s">
        <v>3943</v>
      </c>
      <c r="C1427" s="1253"/>
      <c r="D1427" s="1253"/>
      <c r="E1427" s="1253"/>
      <c r="F1427" s="1254"/>
      <c r="G1427" s="955" t="n">
        <f aca="false">F1427/149.4</f>
        <v>0</v>
      </c>
      <c r="H1427" s="1250"/>
      <c r="I1427" s="1255"/>
      <c r="J1427" s="1250"/>
      <c r="T1427" s="581"/>
    </row>
    <row r="1428" customFormat="false" ht="30" hidden="false" customHeight="false" outlineLevel="0" collapsed="false">
      <c r="A1428" s="327" t="s">
        <v>2435</v>
      </c>
      <c r="B1428" s="328" t="s">
        <v>3944</v>
      </c>
      <c r="C1428" s="954" t="n">
        <v>12000</v>
      </c>
      <c r="D1428" s="954" t="n">
        <v>10000</v>
      </c>
      <c r="E1428" s="954" t="n">
        <v>10000</v>
      </c>
      <c r="F1428" s="955" t="n">
        <f aca="false">C1428+D1428+E1428</f>
        <v>32000</v>
      </c>
      <c r="G1428" s="955" t="n">
        <f aca="false">F1428/149.4</f>
        <v>214.190093708166</v>
      </c>
      <c r="H1428" s="661" t="n">
        <f aca="false">G1428/60</f>
        <v>3.5698348951361</v>
      </c>
      <c r="I1428" s="660" t="n">
        <f aca="false">'норма времени'!D1432</f>
        <v>140</v>
      </c>
      <c r="J1428" s="661" t="n">
        <f aca="false">H1428*I1428</f>
        <v>499.776885319054</v>
      </c>
      <c r="T1428" s="581"/>
    </row>
    <row r="1429" customFormat="false" ht="15" hidden="false" customHeight="false" outlineLevel="0" collapsed="false">
      <c r="A1429" s="327" t="s">
        <v>2437</v>
      </c>
      <c r="B1429" s="328" t="s">
        <v>3945</v>
      </c>
      <c r="C1429" s="954" t="n">
        <v>10000</v>
      </c>
      <c r="D1429" s="954" t="n">
        <v>10000</v>
      </c>
      <c r="E1429" s="954" t="n">
        <v>5000</v>
      </c>
      <c r="F1429" s="955" t="n">
        <f aca="false">C1429+D1429+E1429</f>
        <v>25000</v>
      </c>
      <c r="G1429" s="955" t="n">
        <f aca="false">F1429/149.4</f>
        <v>167.336010709505</v>
      </c>
      <c r="H1429" s="661" t="n">
        <f aca="false">G1429/60</f>
        <v>2.78893351182508</v>
      </c>
      <c r="I1429" s="660" t="n">
        <f aca="false">'норма времени'!D1433</f>
        <v>78</v>
      </c>
      <c r="J1429" s="661" t="n">
        <f aca="false">H1429*I1429</f>
        <v>217.536813922356</v>
      </c>
      <c r="T1429" s="581"/>
    </row>
    <row r="1430" customFormat="false" ht="15" hidden="false" customHeight="false" outlineLevel="0" collapsed="false">
      <c r="A1430" s="350" t="s">
        <v>2439</v>
      </c>
      <c r="B1430" s="467" t="s">
        <v>3946</v>
      </c>
      <c r="C1430" s="1253"/>
      <c r="D1430" s="1253"/>
      <c r="E1430" s="1253"/>
      <c r="F1430" s="1254"/>
      <c r="G1430" s="955" t="n">
        <f aca="false">F1430/149.4</f>
        <v>0</v>
      </c>
      <c r="H1430" s="1250"/>
      <c r="I1430" s="1255"/>
      <c r="J1430" s="1250"/>
      <c r="T1430" s="581"/>
    </row>
    <row r="1431" customFormat="false" ht="30" hidden="false" customHeight="false" outlineLevel="0" collapsed="false">
      <c r="A1431" s="327" t="s">
        <v>2441</v>
      </c>
      <c r="B1431" s="328" t="s">
        <v>3947</v>
      </c>
      <c r="C1431" s="954" t="n">
        <v>30000</v>
      </c>
      <c r="D1431" s="954" t="n">
        <v>25000</v>
      </c>
      <c r="E1431" s="954" t="n">
        <v>25000</v>
      </c>
      <c r="F1431" s="955" t="n">
        <f aca="false">C1431+D1431+E1431</f>
        <v>80000</v>
      </c>
      <c r="G1431" s="955" t="n">
        <f aca="false">F1431/149.4</f>
        <v>535.475234270415</v>
      </c>
      <c r="H1431" s="661" t="n">
        <f aca="false">G1431/60</f>
        <v>8.92458723784025</v>
      </c>
      <c r="I1431" s="660" t="n">
        <f aca="false">'норма времени'!D1435</f>
        <v>140</v>
      </c>
      <c r="J1431" s="661" t="n">
        <f aca="false">H1431*I1431</f>
        <v>1249.44221329764</v>
      </c>
      <c r="T1431" s="581"/>
    </row>
    <row r="1432" customFormat="false" ht="15" hidden="false" customHeight="false" outlineLevel="0" collapsed="false">
      <c r="A1432" s="327" t="s">
        <v>2443</v>
      </c>
      <c r="B1432" s="328" t="s">
        <v>3948</v>
      </c>
      <c r="C1432" s="954" t="n">
        <v>10000</v>
      </c>
      <c r="D1432" s="954" t="n">
        <v>10000</v>
      </c>
      <c r="E1432" s="954" t="n">
        <v>5000</v>
      </c>
      <c r="F1432" s="955" t="n">
        <f aca="false">C1432+D1432+E1432</f>
        <v>25000</v>
      </c>
      <c r="G1432" s="955" t="n">
        <f aca="false">F1432/149.4</f>
        <v>167.336010709505</v>
      </c>
      <c r="H1432" s="661" t="n">
        <f aca="false">G1432/60</f>
        <v>2.78893351182508</v>
      </c>
      <c r="I1432" s="660" t="n">
        <f aca="false">'норма времени'!D1436</f>
        <v>78</v>
      </c>
      <c r="J1432" s="661" t="n">
        <f aca="false">H1432*I1432</f>
        <v>217.536813922356</v>
      </c>
      <c r="T1432" s="581"/>
    </row>
    <row r="1433" customFormat="false" ht="15" hidden="false" customHeight="false" outlineLevel="0" collapsed="false">
      <c r="A1433" s="350" t="s">
        <v>2445</v>
      </c>
      <c r="B1433" s="467" t="s">
        <v>3949</v>
      </c>
      <c r="C1433" s="1253"/>
      <c r="D1433" s="1253"/>
      <c r="E1433" s="1253"/>
      <c r="F1433" s="1254"/>
      <c r="G1433" s="955" t="n">
        <f aca="false">F1433/149.4</f>
        <v>0</v>
      </c>
      <c r="H1433" s="1250"/>
      <c r="I1433" s="1255"/>
      <c r="J1433" s="1250"/>
      <c r="T1433" s="581"/>
    </row>
    <row r="1434" customFormat="false" ht="30" hidden="false" customHeight="false" outlineLevel="0" collapsed="false">
      <c r="A1434" s="327" t="s">
        <v>2447</v>
      </c>
      <c r="B1434" s="328" t="s">
        <v>3950</v>
      </c>
      <c r="C1434" s="954" t="n">
        <v>30000</v>
      </c>
      <c r="D1434" s="954" t="n">
        <v>25000</v>
      </c>
      <c r="E1434" s="954" t="n">
        <v>25000</v>
      </c>
      <c r="F1434" s="955" t="n">
        <f aca="false">C1434+D1434+E1434</f>
        <v>80000</v>
      </c>
      <c r="G1434" s="955" t="n">
        <f aca="false">F1434/149.4</f>
        <v>535.475234270415</v>
      </c>
      <c r="H1434" s="661" t="n">
        <f aca="false">G1434/60</f>
        <v>8.92458723784025</v>
      </c>
      <c r="I1434" s="660" t="n">
        <f aca="false">'норма времени'!D1438</f>
        <v>140</v>
      </c>
      <c r="J1434" s="661" t="n">
        <f aca="false">H1434*I1434</f>
        <v>1249.44221329764</v>
      </c>
      <c r="T1434" s="581"/>
    </row>
    <row r="1435" customFormat="false" ht="15" hidden="false" customHeight="false" outlineLevel="0" collapsed="false">
      <c r="A1435" s="327" t="s">
        <v>2449</v>
      </c>
      <c r="B1435" s="328" t="s">
        <v>3951</v>
      </c>
      <c r="C1435" s="954" t="n">
        <v>15000</v>
      </c>
      <c r="D1435" s="954" t="n">
        <v>10000</v>
      </c>
      <c r="E1435" s="954" t="n">
        <v>10000</v>
      </c>
      <c r="F1435" s="955" t="n">
        <f aca="false">C1435+D1435+E1435</f>
        <v>35000</v>
      </c>
      <c r="G1435" s="955" t="n">
        <f aca="false">F1435/149.4</f>
        <v>234.270414993307</v>
      </c>
      <c r="H1435" s="661" t="n">
        <f aca="false">G1435/60</f>
        <v>3.90450691655511</v>
      </c>
      <c r="I1435" s="660" t="n">
        <f aca="false">'норма времени'!D1439</f>
        <v>78</v>
      </c>
      <c r="J1435" s="661" t="n">
        <f aca="false">H1435*I1435</f>
        <v>304.551539491299</v>
      </c>
      <c r="T1435" s="581"/>
    </row>
    <row r="1436" customFormat="false" ht="15" hidden="false" customHeight="false" outlineLevel="0" collapsed="false">
      <c r="A1436" s="350" t="s">
        <v>2451</v>
      </c>
      <c r="B1436" s="467" t="s">
        <v>3952</v>
      </c>
      <c r="C1436" s="1253"/>
      <c r="D1436" s="1253"/>
      <c r="E1436" s="1253"/>
      <c r="F1436" s="1254"/>
      <c r="G1436" s="955" t="n">
        <f aca="false">F1436/149.4</f>
        <v>0</v>
      </c>
      <c r="H1436" s="1250"/>
      <c r="I1436" s="1255"/>
      <c r="J1436" s="1250"/>
      <c r="T1436" s="581"/>
    </row>
    <row r="1437" customFormat="false" ht="30" hidden="false" customHeight="false" outlineLevel="0" collapsed="false">
      <c r="A1437" s="327" t="s">
        <v>2453</v>
      </c>
      <c r="B1437" s="328" t="s">
        <v>3953</v>
      </c>
      <c r="C1437" s="954" t="n">
        <v>30000</v>
      </c>
      <c r="D1437" s="954" t="n">
        <v>30000</v>
      </c>
      <c r="E1437" s="954" t="n">
        <v>25000</v>
      </c>
      <c r="F1437" s="955" t="n">
        <f aca="false">C1437+D1437+E1437</f>
        <v>85000</v>
      </c>
      <c r="G1437" s="955" t="n">
        <f aca="false">F1437/149.4</f>
        <v>568.942436412316</v>
      </c>
      <c r="H1437" s="661" t="n">
        <f aca="false">G1437/60</f>
        <v>9.48237394020527</v>
      </c>
      <c r="I1437" s="660" t="n">
        <f aca="false">'норма времени'!D1441</f>
        <v>140</v>
      </c>
      <c r="J1437" s="661" t="n">
        <f aca="false">H1437*I1437</f>
        <v>1327.53235162874</v>
      </c>
      <c r="T1437" s="581"/>
    </row>
    <row r="1438" customFormat="false" ht="15" hidden="false" customHeight="false" outlineLevel="0" collapsed="false">
      <c r="A1438" s="327" t="s">
        <v>2455</v>
      </c>
      <c r="B1438" s="328" t="s">
        <v>3954</v>
      </c>
      <c r="C1438" s="954" t="n">
        <v>15000</v>
      </c>
      <c r="D1438" s="954" t="n">
        <v>10000</v>
      </c>
      <c r="E1438" s="954" t="n">
        <v>10000</v>
      </c>
      <c r="F1438" s="955" t="n">
        <f aca="false">C1438+D1438+E1438</f>
        <v>35000</v>
      </c>
      <c r="G1438" s="955" t="n">
        <f aca="false">F1438/149.4</f>
        <v>234.270414993307</v>
      </c>
      <c r="H1438" s="661" t="n">
        <f aca="false">G1438/60</f>
        <v>3.90450691655511</v>
      </c>
      <c r="I1438" s="660" t="n">
        <f aca="false">'норма времени'!D1442</f>
        <v>68</v>
      </c>
      <c r="J1438" s="661" t="n">
        <f aca="false">H1438*I1438</f>
        <v>265.506470325747</v>
      </c>
      <c r="T1438" s="581"/>
    </row>
    <row r="1439" customFormat="false" ht="24" hidden="false" customHeight="true" outlineLevel="0" collapsed="false">
      <c r="A1439" s="388" t="s">
        <v>2457</v>
      </c>
      <c r="B1439" s="543" t="s">
        <v>2458</v>
      </c>
      <c r="C1439" s="1253"/>
      <c r="D1439" s="1253"/>
      <c r="E1439" s="1253"/>
      <c r="F1439" s="1254"/>
      <c r="G1439" s="955" t="n">
        <f aca="false">F1439/149.4</f>
        <v>0</v>
      </c>
      <c r="H1439" s="1250"/>
      <c r="I1439" s="1255"/>
      <c r="J1439" s="1250"/>
      <c r="T1439" s="581"/>
    </row>
    <row r="1440" customFormat="false" ht="30" hidden="false" customHeight="false" outlineLevel="0" collapsed="false">
      <c r="A1440" s="327" t="s">
        <v>2459</v>
      </c>
      <c r="B1440" s="433" t="s">
        <v>3955</v>
      </c>
      <c r="C1440" s="954" t="n">
        <v>10000</v>
      </c>
      <c r="D1440" s="954" t="n">
        <v>10000</v>
      </c>
      <c r="E1440" s="954" t="n">
        <v>10000</v>
      </c>
      <c r="F1440" s="955" t="n">
        <f aca="false">C1440+D1440+E1440</f>
        <v>30000</v>
      </c>
      <c r="G1440" s="955" t="n">
        <f aca="false">F1440/149.4</f>
        <v>200.803212851406</v>
      </c>
      <c r="H1440" s="661" t="n">
        <f aca="false">G1440/60</f>
        <v>3.34672021419009</v>
      </c>
      <c r="I1440" s="660" t="n">
        <f aca="false">'норма времени'!D1444</f>
        <v>140</v>
      </c>
      <c r="J1440" s="661" t="n">
        <f aca="false">H1440*I1440</f>
        <v>468.540829986613</v>
      </c>
      <c r="T1440" s="581"/>
    </row>
    <row r="1441" customFormat="false" ht="16.5" hidden="false" customHeight="true" outlineLevel="0" collapsed="false">
      <c r="A1441" s="327" t="s">
        <v>2461</v>
      </c>
      <c r="B1441" s="433" t="s">
        <v>3956</v>
      </c>
      <c r="C1441" s="954" t="n">
        <v>15000</v>
      </c>
      <c r="D1441" s="954" t="n">
        <v>15000</v>
      </c>
      <c r="E1441" s="954" t="n">
        <v>15000</v>
      </c>
      <c r="F1441" s="955" t="n">
        <f aca="false">C1441+D1441+E1441</f>
        <v>45000</v>
      </c>
      <c r="G1441" s="955" t="n">
        <f aca="false">F1441/149.4</f>
        <v>301.204819277108</v>
      </c>
      <c r="H1441" s="661" t="n">
        <f aca="false">G1441/60</f>
        <v>5.02008032128514</v>
      </c>
      <c r="I1441" s="660" t="n">
        <f aca="false">'норма времени'!D1445</f>
        <v>134</v>
      </c>
      <c r="J1441" s="661" t="n">
        <f aca="false">H1441*I1441</f>
        <v>672.690763052209</v>
      </c>
      <c r="T1441" s="581"/>
    </row>
    <row r="1442" customFormat="false" ht="18" hidden="false" customHeight="true" outlineLevel="0" collapsed="false">
      <c r="A1442" s="388" t="s">
        <v>2463</v>
      </c>
      <c r="B1442" s="543" t="s">
        <v>3957</v>
      </c>
      <c r="C1442" s="1253"/>
      <c r="D1442" s="1253"/>
      <c r="E1442" s="1253"/>
      <c r="F1442" s="1254"/>
      <c r="G1442" s="955" t="n">
        <f aca="false">F1442/149.4</f>
        <v>0</v>
      </c>
      <c r="H1442" s="1250"/>
      <c r="I1442" s="1255"/>
      <c r="J1442" s="1250"/>
      <c r="T1442" s="581"/>
    </row>
    <row r="1443" customFormat="false" ht="30" hidden="false" customHeight="false" outlineLevel="0" collapsed="false">
      <c r="A1443" s="327" t="s">
        <v>2465</v>
      </c>
      <c r="B1443" s="433" t="s">
        <v>3958</v>
      </c>
      <c r="C1443" s="954" t="n">
        <v>10000</v>
      </c>
      <c r="D1443" s="954" t="n">
        <v>5000</v>
      </c>
      <c r="E1443" s="954" t="n">
        <v>5000</v>
      </c>
      <c r="F1443" s="955" t="n">
        <f aca="false">C1443+D1443+E1443</f>
        <v>20000</v>
      </c>
      <c r="G1443" s="955" t="n">
        <f aca="false">F1443/149.4</f>
        <v>133.868808567604</v>
      </c>
      <c r="H1443" s="661" t="n">
        <f aca="false">G1443/60</f>
        <v>2.23114680946006</v>
      </c>
      <c r="I1443" s="660" t="n">
        <f aca="false">'норма времени'!D1447</f>
        <v>140</v>
      </c>
      <c r="J1443" s="661" t="n">
        <f aca="false">H1443*I1443</f>
        <v>312.360553324409</v>
      </c>
      <c r="T1443" s="581"/>
    </row>
    <row r="1444" customFormat="false" ht="15" hidden="false" customHeight="false" outlineLevel="0" collapsed="false">
      <c r="A1444" s="327" t="s">
        <v>2467</v>
      </c>
      <c r="B1444" s="433" t="s">
        <v>3959</v>
      </c>
      <c r="C1444" s="954" t="n">
        <v>10000</v>
      </c>
      <c r="D1444" s="954" t="n">
        <v>10000</v>
      </c>
      <c r="E1444" s="954" t="n">
        <v>10000</v>
      </c>
      <c r="F1444" s="955" t="n">
        <f aca="false">C1444+D1444+E1444</f>
        <v>30000</v>
      </c>
      <c r="G1444" s="955" t="n">
        <f aca="false">F1444/149.4</f>
        <v>200.803212851406</v>
      </c>
      <c r="H1444" s="661" t="n">
        <f aca="false">G1444/60</f>
        <v>3.34672021419009</v>
      </c>
      <c r="I1444" s="660" t="n">
        <f aca="false">'норма времени'!D1448</f>
        <v>134</v>
      </c>
      <c r="J1444" s="661" t="n">
        <f aca="false">H1444*I1444</f>
        <v>448.460508701473</v>
      </c>
      <c r="T1444" s="581"/>
    </row>
    <row r="1445" customFormat="false" ht="15" hidden="false" customHeight="false" outlineLevel="0" collapsed="false">
      <c r="A1445" s="388" t="s">
        <v>2469</v>
      </c>
      <c r="B1445" s="467" t="s">
        <v>3960</v>
      </c>
      <c r="C1445" s="1253"/>
      <c r="D1445" s="1253"/>
      <c r="E1445" s="1253"/>
      <c r="F1445" s="1254"/>
      <c r="G1445" s="955" t="n">
        <f aca="false">F1445/149.4</f>
        <v>0</v>
      </c>
      <c r="H1445" s="1250"/>
      <c r="I1445" s="1255"/>
      <c r="J1445" s="1250"/>
      <c r="T1445" s="581"/>
    </row>
    <row r="1446" customFormat="false" ht="30" hidden="false" customHeight="false" outlineLevel="0" collapsed="false">
      <c r="A1446" s="390" t="s">
        <v>2471</v>
      </c>
      <c r="B1446" s="328" t="s">
        <v>3961</v>
      </c>
      <c r="C1446" s="954" t="n">
        <v>10000</v>
      </c>
      <c r="D1446" s="954" t="n">
        <v>10000</v>
      </c>
      <c r="E1446" s="954" t="n">
        <v>10000</v>
      </c>
      <c r="F1446" s="955" t="n">
        <f aca="false">C1446+D1446+E1446</f>
        <v>30000</v>
      </c>
      <c r="G1446" s="955" t="n">
        <f aca="false">F1446/149.4</f>
        <v>200.803212851406</v>
      </c>
      <c r="H1446" s="661" t="n">
        <f aca="false">G1446/60</f>
        <v>3.34672021419009</v>
      </c>
      <c r="I1446" s="660" t="n">
        <f aca="false">'норма времени'!D1450</f>
        <v>140</v>
      </c>
      <c r="J1446" s="661" t="n">
        <f aca="false">H1446*I1446</f>
        <v>468.540829986613</v>
      </c>
      <c r="T1446" s="581"/>
    </row>
    <row r="1447" customFormat="false" ht="30" hidden="false" customHeight="false" outlineLevel="0" collapsed="false">
      <c r="A1447" s="390" t="s">
        <v>2473</v>
      </c>
      <c r="B1447" s="328" t="s">
        <v>3962</v>
      </c>
      <c r="C1447" s="954" t="n">
        <v>10000</v>
      </c>
      <c r="D1447" s="954" t="n">
        <v>10000</v>
      </c>
      <c r="E1447" s="954" t="n">
        <v>10000</v>
      </c>
      <c r="F1447" s="955" t="n">
        <f aca="false">C1447+D1447+E1447</f>
        <v>30000</v>
      </c>
      <c r="G1447" s="955" t="n">
        <f aca="false">F1447/149.4</f>
        <v>200.803212851406</v>
      </c>
      <c r="H1447" s="661" t="n">
        <f aca="false">G1447/60</f>
        <v>3.34672021419009</v>
      </c>
      <c r="I1447" s="660" t="n">
        <f aca="false">'норма времени'!D1451</f>
        <v>134</v>
      </c>
      <c r="J1447" s="661" t="n">
        <f aca="false">H1447*I1447</f>
        <v>448.460508701473</v>
      </c>
      <c r="T1447" s="581"/>
    </row>
    <row r="1448" customFormat="false" ht="26.25" hidden="false" customHeight="true" outlineLevel="0" collapsed="false">
      <c r="A1448" s="388" t="s">
        <v>2475</v>
      </c>
      <c r="B1448" s="543" t="s">
        <v>3963</v>
      </c>
      <c r="C1448" s="1253"/>
      <c r="D1448" s="1253"/>
      <c r="E1448" s="1253"/>
      <c r="F1448" s="1254"/>
      <c r="G1448" s="955" t="n">
        <f aca="false">F1448/149.4</f>
        <v>0</v>
      </c>
      <c r="H1448" s="1250"/>
      <c r="I1448" s="1255"/>
      <c r="J1448" s="1250"/>
      <c r="T1448" s="581"/>
    </row>
    <row r="1449" customFormat="false" ht="30" hidden="false" customHeight="false" outlineLevel="0" collapsed="false">
      <c r="A1449" s="391" t="s">
        <v>2477</v>
      </c>
      <c r="B1449" s="328" t="s">
        <v>3964</v>
      </c>
      <c r="C1449" s="954" t="n">
        <v>85000</v>
      </c>
      <c r="D1449" s="954" t="n">
        <v>80000</v>
      </c>
      <c r="E1449" s="954" t="n">
        <v>75000</v>
      </c>
      <c r="F1449" s="955" t="n">
        <f aca="false">C1449+D1449+E1449</f>
        <v>240000</v>
      </c>
      <c r="G1449" s="955" t="n">
        <f aca="false">F1449/149.4</f>
        <v>1606.42570281125</v>
      </c>
      <c r="H1449" s="661" t="n">
        <f aca="false">G1449/60</f>
        <v>26.7737617135208</v>
      </c>
      <c r="I1449" s="660" t="n">
        <f aca="false">'норма времени'!D1453</f>
        <v>360</v>
      </c>
      <c r="J1449" s="661" t="n">
        <f aca="false">H1449*I1449</f>
        <v>9638.55421686747</v>
      </c>
      <c r="T1449" s="581"/>
    </row>
    <row r="1450" customFormat="false" ht="21" hidden="false" customHeight="true" outlineLevel="0" collapsed="false">
      <c r="A1450" s="391" t="s">
        <v>2479</v>
      </c>
      <c r="B1450" s="328" t="s">
        <v>3965</v>
      </c>
      <c r="C1450" s="954" t="n">
        <v>85000</v>
      </c>
      <c r="D1450" s="954" t="n">
        <v>80000</v>
      </c>
      <c r="E1450" s="954" t="n">
        <v>75000</v>
      </c>
      <c r="F1450" s="955" t="n">
        <f aca="false">C1450+D1450+E1450</f>
        <v>240000</v>
      </c>
      <c r="G1450" s="955" t="n">
        <f aca="false">F1450/149.4</f>
        <v>1606.42570281125</v>
      </c>
      <c r="H1450" s="661" t="n">
        <f aca="false">G1450/60</f>
        <v>26.7737617135208</v>
      </c>
      <c r="I1450" s="660" t="n">
        <f aca="false">'норма времени'!D1454</f>
        <v>360</v>
      </c>
      <c r="J1450" s="661" t="n">
        <f aca="false">H1450*I1450</f>
        <v>9638.55421686747</v>
      </c>
      <c r="T1450" s="581"/>
    </row>
    <row r="1451" customFormat="false" ht="41.25" hidden="false" customHeight="true" outlineLevel="0" collapsed="false">
      <c r="A1451" s="391" t="s">
        <v>2481</v>
      </c>
      <c r="B1451" s="328" t="s">
        <v>3966</v>
      </c>
      <c r="C1451" s="954" t="n">
        <v>85000</v>
      </c>
      <c r="D1451" s="954" t="n">
        <v>80000</v>
      </c>
      <c r="E1451" s="954" t="n">
        <v>75000</v>
      </c>
      <c r="F1451" s="955" t="n">
        <f aca="false">C1451+D1451+E1451</f>
        <v>240000</v>
      </c>
      <c r="G1451" s="955" t="n">
        <f aca="false">F1451/149.4</f>
        <v>1606.42570281125</v>
      </c>
      <c r="H1451" s="661" t="n">
        <f aca="false">G1451/60</f>
        <v>26.7737617135208</v>
      </c>
      <c r="I1451" s="660" t="n">
        <f aca="false">'норма времени'!D1455</f>
        <v>360</v>
      </c>
      <c r="J1451" s="661" t="n">
        <f aca="false">H1451*I1451</f>
        <v>9638.55421686747</v>
      </c>
      <c r="T1451" s="581"/>
    </row>
    <row r="1452" customFormat="false" ht="30" hidden="false" customHeight="false" outlineLevel="0" collapsed="false">
      <c r="A1452" s="392" t="s">
        <v>2483</v>
      </c>
      <c r="B1452" s="487" t="s">
        <v>3967</v>
      </c>
      <c r="C1452" s="954" t="n">
        <v>85000</v>
      </c>
      <c r="D1452" s="954" t="n">
        <v>85000</v>
      </c>
      <c r="E1452" s="954" t="n">
        <v>75000</v>
      </c>
      <c r="F1452" s="955" t="n">
        <f aca="false">C1452+D1452+E1452</f>
        <v>245000</v>
      </c>
      <c r="G1452" s="955" t="n">
        <f aca="false">F1452/149.4</f>
        <v>1639.89290495315</v>
      </c>
      <c r="H1452" s="661" t="n">
        <f aca="false">G1452/60</f>
        <v>27.3315484158858</v>
      </c>
      <c r="I1452" s="660" t="n">
        <f aca="false">'норма времени'!D1456</f>
        <v>360</v>
      </c>
      <c r="J1452" s="661" t="n">
        <f aca="false">H1452*I1452</f>
        <v>9839.35742971888</v>
      </c>
      <c r="T1452" s="581"/>
    </row>
    <row r="1453" customFormat="false" ht="44.25" hidden="false" customHeight="true" outlineLevel="0" collapsed="false">
      <c r="A1453" s="392" t="s">
        <v>2485</v>
      </c>
      <c r="B1453" s="487" t="s">
        <v>3968</v>
      </c>
      <c r="C1453" s="954" t="n">
        <v>85000</v>
      </c>
      <c r="D1453" s="954" t="n">
        <v>85000</v>
      </c>
      <c r="E1453" s="954" t="n">
        <v>75000</v>
      </c>
      <c r="F1453" s="955" t="n">
        <f aca="false">C1453+D1453+E1453</f>
        <v>245000</v>
      </c>
      <c r="G1453" s="955" t="n">
        <f aca="false">F1453/149.4</f>
        <v>1639.89290495315</v>
      </c>
      <c r="H1453" s="661" t="n">
        <f aca="false">G1453/60</f>
        <v>27.3315484158858</v>
      </c>
      <c r="I1453" s="660" t="n">
        <f aca="false">'норма времени'!D1457</f>
        <v>360</v>
      </c>
      <c r="J1453" s="661" t="n">
        <f aca="false">H1453*I1453</f>
        <v>9839.35742971888</v>
      </c>
      <c r="T1453" s="581"/>
    </row>
    <row r="1454" customFormat="false" ht="32.25" hidden="false" customHeight="true" outlineLevel="0" collapsed="false">
      <c r="A1454" s="392" t="s">
        <v>2487</v>
      </c>
      <c r="B1454" s="487" t="s">
        <v>3969</v>
      </c>
      <c r="C1454" s="954" t="n">
        <v>85000</v>
      </c>
      <c r="D1454" s="954" t="n">
        <v>85000</v>
      </c>
      <c r="E1454" s="954" t="n">
        <v>75000</v>
      </c>
      <c r="F1454" s="955" t="n">
        <f aca="false">C1454+D1454+E1454</f>
        <v>245000</v>
      </c>
      <c r="G1454" s="955" t="n">
        <f aca="false">F1454/149.4</f>
        <v>1639.89290495315</v>
      </c>
      <c r="H1454" s="661" t="n">
        <f aca="false">G1454/60</f>
        <v>27.3315484158858</v>
      </c>
      <c r="I1454" s="660" t="n">
        <f aca="false">'норма времени'!D1458</f>
        <v>360</v>
      </c>
      <c r="J1454" s="661" t="n">
        <f aca="false">H1454*I1454</f>
        <v>9839.35742971888</v>
      </c>
      <c r="T1454" s="581"/>
    </row>
    <row r="1455" customFormat="false" ht="23.25" hidden="false" customHeight="true" outlineLevel="0" collapsed="false">
      <c r="A1455" s="392" t="s">
        <v>2489</v>
      </c>
      <c r="B1455" s="487" t="s">
        <v>3970</v>
      </c>
      <c r="C1455" s="954" t="n">
        <v>82000</v>
      </c>
      <c r="D1455" s="954" t="n">
        <v>80000</v>
      </c>
      <c r="E1455" s="954" t="n">
        <v>70000</v>
      </c>
      <c r="F1455" s="955" t="n">
        <f aca="false">C1455+D1455+E1455</f>
        <v>232000</v>
      </c>
      <c r="G1455" s="955" t="n">
        <f aca="false">F1455/149.4</f>
        <v>1552.8781793842</v>
      </c>
      <c r="H1455" s="661" t="n">
        <f aca="false">G1455/60</f>
        <v>25.8813029897367</v>
      </c>
      <c r="I1455" s="660" t="n">
        <f aca="false">'норма времени'!D1459</f>
        <v>360</v>
      </c>
      <c r="J1455" s="661" t="n">
        <f aca="false">H1455*I1455</f>
        <v>9317.26907630522</v>
      </c>
      <c r="T1455" s="581"/>
    </row>
    <row r="1456" customFormat="false" ht="24" hidden="false" customHeight="true" outlineLevel="0" collapsed="false">
      <c r="A1456" s="392" t="s">
        <v>2491</v>
      </c>
      <c r="B1456" s="487" t="s">
        <v>3971</v>
      </c>
      <c r="C1456" s="954" t="n">
        <v>82000</v>
      </c>
      <c r="D1456" s="954" t="n">
        <v>80000</v>
      </c>
      <c r="E1456" s="954" t="n">
        <v>70000</v>
      </c>
      <c r="F1456" s="955" t="n">
        <f aca="false">C1456+D1456+E1456</f>
        <v>232000</v>
      </c>
      <c r="G1456" s="955" t="n">
        <f aca="false">F1456/149.4</f>
        <v>1552.8781793842</v>
      </c>
      <c r="H1456" s="661" t="n">
        <f aca="false">G1456/60</f>
        <v>25.8813029897367</v>
      </c>
      <c r="I1456" s="660" t="n">
        <f aca="false">'норма времени'!D1460</f>
        <v>360</v>
      </c>
      <c r="J1456" s="661" t="n">
        <f aca="false">H1456*I1456</f>
        <v>9317.26907630522</v>
      </c>
      <c r="T1456" s="581"/>
    </row>
    <row r="1457" customFormat="false" ht="32.25" hidden="false" customHeight="true" outlineLevel="0" collapsed="false">
      <c r="A1457" s="392" t="s">
        <v>2493</v>
      </c>
      <c r="B1457" s="487" t="s">
        <v>3972</v>
      </c>
      <c r="C1457" s="954" t="n">
        <v>82000</v>
      </c>
      <c r="D1457" s="954" t="n">
        <v>80000</v>
      </c>
      <c r="E1457" s="954" t="n">
        <v>70000</v>
      </c>
      <c r="F1457" s="955" t="n">
        <f aca="false">C1457+D1457+E1457</f>
        <v>232000</v>
      </c>
      <c r="G1457" s="955" t="n">
        <f aca="false">F1457/149.4</f>
        <v>1552.8781793842</v>
      </c>
      <c r="H1457" s="661" t="n">
        <f aca="false">G1457/60</f>
        <v>25.8813029897367</v>
      </c>
      <c r="I1457" s="660" t="n">
        <f aca="false">'норма времени'!D1461</f>
        <v>360</v>
      </c>
      <c r="J1457" s="661" t="n">
        <f aca="false">H1457*I1457</f>
        <v>9317.26907630522</v>
      </c>
      <c r="T1457" s="581"/>
    </row>
    <row r="1458" customFormat="false" ht="30" hidden="false" customHeight="false" outlineLevel="0" collapsed="false">
      <c r="A1458" s="392" t="s">
        <v>2495</v>
      </c>
      <c r="B1458" s="487" t="s">
        <v>3973</v>
      </c>
      <c r="C1458" s="954" t="n">
        <v>85000</v>
      </c>
      <c r="D1458" s="954" t="n">
        <v>80000</v>
      </c>
      <c r="E1458" s="954" t="n">
        <v>80000</v>
      </c>
      <c r="F1458" s="955" t="n">
        <f aca="false">C1458+D1458+E1458</f>
        <v>245000</v>
      </c>
      <c r="G1458" s="955" t="n">
        <f aca="false">F1458/149.4</f>
        <v>1639.89290495315</v>
      </c>
      <c r="H1458" s="661" t="n">
        <f aca="false">G1458/60</f>
        <v>27.3315484158858</v>
      </c>
      <c r="I1458" s="660" t="n">
        <f aca="false">'норма времени'!D1462</f>
        <v>360</v>
      </c>
      <c r="J1458" s="661" t="n">
        <f aca="false">H1458*I1458</f>
        <v>9839.35742971888</v>
      </c>
      <c r="T1458" s="581"/>
    </row>
    <row r="1459" customFormat="false" ht="40.5" hidden="false" customHeight="true" outlineLevel="0" collapsed="false">
      <c r="A1459" s="392" t="s">
        <v>2497</v>
      </c>
      <c r="B1459" s="487" t="s">
        <v>3974</v>
      </c>
      <c r="C1459" s="954" t="n">
        <v>85000</v>
      </c>
      <c r="D1459" s="954" t="n">
        <v>80000</v>
      </c>
      <c r="E1459" s="954" t="n">
        <v>80000</v>
      </c>
      <c r="F1459" s="955" t="n">
        <f aca="false">C1459+D1459+E1459</f>
        <v>245000</v>
      </c>
      <c r="G1459" s="955" t="n">
        <f aca="false">F1459/149.4</f>
        <v>1639.89290495315</v>
      </c>
      <c r="H1459" s="661" t="n">
        <f aca="false">G1459/60</f>
        <v>27.3315484158858</v>
      </c>
      <c r="I1459" s="660" t="n">
        <f aca="false">'норма времени'!D1463</f>
        <v>360</v>
      </c>
      <c r="J1459" s="661" t="n">
        <f aca="false">H1459*I1459</f>
        <v>9839.35742971888</v>
      </c>
      <c r="T1459" s="581"/>
    </row>
    <row r="1460" customFormat="false" ht="30" hidden="false" customHeight="false" outlineLevel="0" collapsed="false">
      <c r="A1460" s="392" t="s">
        <v>2499</v>
      </c>
      <c r="B1460" s="487" t="s">
        <v>3975</v>
      </c>
      <c r="C1460" s="954" t="n">
        <v>130000</v>
      </c>
      <c r="D1460" s="954" t="n">
        <v>130000</v>
      </c>
      <c r="E1460" s="954" t="n">
        <v>125000</v>
      </c>
      <c r="F1460" s="955" t="n">
        <f aca="false">C1460+D1460+E1460</f>
        <v>385000</v>
      </c>
      <c r="G1460" s="955" t="n">
        <f aca="false">F1460/149.4</f>
        <v>2576.97456492637</v>
      </c>
      <c r="H1460" s="661" t="n">
        <f aca="false">G1460/60</f>
        <v>42.9495760821062</v>
      </c>
      <c r="I1460" s="660" t="n">
        <f aca="false">'норма времени'!D1464</f>
        <v>360</v>
      </c>
      <c r="J1460" s="661" t="n">
        <f aca="false">H1460*I1460</f>
        <v>15461.8473895582</v>
      </c>
      <c r="T1460" s="581"/>
    </row>
    <row r="1461" customFormat="false" ht="30" hidden="false" customHeight="false" outlineLevel="0" collapsed="false">
      <c r="A1461" s="392" t="s">
        <v>2501</v>
      </c>
      <c r="B1461" s="487" t="s">
        <v>3976</v>
      </c>
      <c r="C1461" s="954" t="n">
        <v>130000</v>
      </c>
      <c r="D1461" s="954" t="n">
        <v>130000</v>
      </c>
      <c r="E1461" s="954" t="n">
        <v>125000</v>
      </c>
      <c r="F1461" s="955" t="n">
        <f aca="false">C1461+D1461+E1461</f>
        <v>385000</v>
      </c>
      <c r="G1461" s="955" t="n">
        <f aca="false">F1461/149.4</f>
        <v>2576.97456492637</v>
      </c>
      <c r="H1461" s="661" t="n">
        <f aca="false">G1461/60</f>
        <v>42.9495760821062</v>
      </c>
      <c r="I1461" s="660" t="n">
        <f aca="false">'норма времени'!D1465</f>
        <v>360</v>
      </c>
      <c r="J1461" s="661" t="n">
        <f aca="false">H1461*I1461</f>
        <v>15461.8473895582</v>
      </c>
      <c r="T1461" s="581"/>
    </row>
    <row r="1462" customFormat="false" ht="45" hidden="false" customHeight="false" outlineLevel="0" collapsed="false">
      <c r="A1462" s="392" t="s">
        <v>2503</v>
      </c>
      <c r="B1462" s="487" t="s">
        <v>3977</v>
      </c>
      <c r="C1462" s="954" t="n">
        <v>130000</v>
      </c>
      <c r="D1462" s="954" t="n">
        <v>130000</v>
      </c>
      <c r="E1462" s="954" t="n">
        <v>125000</v>
      </c>
      <c r="F1462" s="955" t="n">
        <f aca="false">C1462+D1462+E1462</f>
        <v>385000</v>
      </c>
      <c r="G1462" s="955" t="n">
        <f aca="false">F1462/149.4</f>
        <v>2576.97456492637</v>
      </c>
      <c r="H1462" s="661" t="n">
        <f aca="false">G1462/60</f>
        <v>42.9495760821062</v>
      </c>
      <c r="I1462" s="660" t="n">
        <f aca="false">'норма времени'!D1466</f>
        <v>360</v>
      </c>
      <c r="J1462" s="661" t="n">
        <f aca="false">H1462*I1462</f>
        <v>15461.8473895582</v>
      </c>
      <c r="T1462" s="581"/>
    </row>
    <row r="1463" customFormat="false" ht="30" hidden="false" customHeight="false" outlineLevel="0" collapsed="false">
      <c r="A1463" s="392" t="s">
        <v>2505</v>
      </c>
      <c r="B1463" s="487" t="s">
        <v>3978</v>
      </c>
      <c r="C1463" s="954" t="n">
        <v>85000</v>
      </c>
      <c r="D1463" s="954" t="n">
        <v>82000</v>
      </c>
      <c r="E1463" s="954" t="n">
        <v>80000</v>
      </c>
      <c r="F1463" s="955" t="n">
        <f aca="false">C1463+D1463+E1463</f>
        <v>247000</v>
      </c>
      <c r="G1463" s="955" t="n">
        <f aca="false">F1463/149.4</f>
        <v>1653.27978580991</v>
      </c>
      <c r="H1463" s="661" t="n">
        <f aca="false">G1463/60</f>
        <v>27.5546630968318</v>
      </c>
      <c r="I1463" s="660" t="n">
        <f aca="false">'норма времени'!D1467</f>
        <v>360</v>
      </c>
      <c r="J1463" s="661" t="n">
        <f aca="false">H1463*I1463</f>
        <v>9919.67871485944</v>
      </c>
      <c r="T1463" s="581"/>
    </row>
    <row r="1464" customFormat="false" ht="39" hidden="false" customHeight="true" outlineLevel="0" collapsed="false">
      <c r="A1464" s="392" t="s">
        <v>2507</v>
      </c>
      <c r="B1464" s="487" t="s">
        <v>3979</v>
      </c>
      <c r="C1464" s="954" t="n">
        <v>130000</v>
      </c>
      <c r="D1464" s="954" t="n">
        <v>130000</v>
      </c>
      <c r="E1464" s="954" t="n">
        <v>125000</v>
      </c>
      <c r="F1464" s="955" t="n">
        <f aca="false">C1464+D1464+E1464</f>
        <v>385000</v>
      </c>
      <c r="G1464" s="955" t="n">
        <f aca="false">F1464/149.4</f>
        <v>2576.97456492637</v>
      </c>
      <c r="H1464" s="661" t="n">
        <f aca="false">G1464/60</f>
        <v>42.9495760821062</v>
      </c>
      <c r="I1464" s="660" t="n">
        <f aca="false">'норма времени'!D1468</f>
        <v>360</v>
      </c>
      <c r="J1464" s="661" t="n">
        <f aca="false">H1464*I1464</f>
        <v>15461.8473895582</v>
      </c>
      <c r="T1464" s="581"/>
    </row>
    <row r="1465" customFormat="false" ht="35.25" hidden="false" customHeight="true" outlineLevel="0" collapsed="false">
      <c r="A1465" s="392" t="s">
        <v>2509</v>
      </c>
      <c r="B1465" s="487" t="s">
        <v>3980</v>
      </c>
      <c r="C1465" s="954" t="n">
        <v>85000</v>
      </c>
      <c r="D1465" s="954" t="n">
        <v>82000</v>
      </c>
      <c r="E1465" s="954" t="n">
        <v>70000</v>
      </c>
      <c r="F1465" s="955" t="n">
        <f aca="false">C1465+D1465+E1465</f>
        <v>237000</v>
      </c>
      <c r="G1465" s="955" t="n">
        <f aca="false">F1465/149.4</f>
        <v>1586.3453815261</v>
      </c>
      <c r="H1465" s="661" t="n">
        <f aca="false">G1465/60</f>
        <v>26.4390896921017</v>
      </c>
      <c r="I1465" s="660" t="n">
        <f aca="false">'норма времени'!D1469</f>
        <v>360</v>
      </c>
      <c r="J1465" s="661" t="n">
        <f aca="false">H1465*I1465</f>
        <v>9518.07228915663</v>
      </c>
      <c r="T1465" s="581"/>
    </row>
    <row r="1466" customFormat="false" ht="35.25" hidden="false" customHeight="true" outlineLevel="0" collapsed="false">
      <c r="A1466" s="392" t="s">
        <v>2511</v>
      </c>
      <c r="B1466" s="487" t="s">
        <v>3981</v>
      </c>
      <c r="C1466" s="954" t="n">
        <v>85000</v>
      </c>
      <c r="D1466" s="954" t="n">
        <v>82000</v>
      </c>
      <c r="E1466" s="954" t="n">
        <v>70000</v>
      </c>
      <c r="F1466" s="955" t="n">
        <f aca="false">C1466+D1466+E1466</f>
        <v>237000</v>
      </c>
      <c r="G1466" s="955" t="n">
        <f aca="false">F1466/149.4</f>
        <v>1586.3453815261</v>
      </c>
      <c r="H1466" s="661" t="n">
        <f aca="false">G1466/60</f>
        <v>26.4390896921017</v>
      </c>
      <c r="I1466" s="660" t="n">
        <f aca="false">'норма времени'!D1470</f>
        <v>360</v>
      </c>
      <c r="J1466" s="661" t="n">
        <f aca="false">H1466*I1466</f>
        <v>9518.07228915663</v>
      </c>
      <c r="T1466" s="581"/>
    </row>
    <row r="1467" customFormat="false" ht="30" hidden="false" customHeight="false" outlineLevel="0" collapsed="false">
      <c r="A1467" s="391" t="s">
        <v>2513</v>
      </c>
      <c r="B1467" s="328" t="s">
        <v>3982</v>
      </c>
      <c r="C1467" s="954" t="n">
        <v>83500</v>
      </c>
      <c r="D1467" s="954" t="n">
        <v>80000</v>
      </c>
      <c r="E1467" s="954" t="n">
        <v>80000</v>
      </c>
      <c r="F1467" s="955" t="n">
        <f aca="false">C1467+D1467+E1467</f>
        <v>243500</v>
      </c>
      <c r="G1467" s="955" t="n">
        <f aca="false">F1467/149.4</f>
        <v>1629.85274431058</v>
      </c>
      <c r="H1467" s="661" t="n">
        <f aca="false">G1467/60</f>
        <v>27.1642124051763</v>
      </c>
      <c r="I1467" s="660" t="n">
        <f aca="false">'норма времени'!D1471</f>
        <v>360</v>
      </c>
      <c r="J1467" s="661" t="n">
        <f aca="false">H1467*I1467</f>
        <v>9779.11646586345</v>
      </c>
      <c r="T1467" s="581"/>
    </row>
    <row r="1468" customFormat="false" ht="36" hidden="false" customHeight="true" outlineLevel="0" collapsed="false">
      <c r="A1468" s="391" t="s">
        <v>2515</v>
      </c>
      <c r="B1468" s="328" t="s">
        <v>3983</v>
      </c>
      <c r="C1468" s="954" t="n">
        <v>83500</v>
      </c>
      <c r="D1468" s="954" t="n">
        <v>80000</v>
      </c>
      <c r="E1468" s="954" t="n">
        <v>80000</v>
      </c>
      <c r="F1468" s="955" t="n">
        <f aca="false">C1468+D1468+E1468</f>
        <v>243500</v>
      </c>
      <c r="G1468" s="955" t="n">
        <f aca="false">F1468/149.4</f>
        <v>1629.85274431058</v>
      </c>
      <c r="H1468" s="661" t="n">
        <f aca="false">G1468/60</f>
        <v>27.1642124051763</v>
      </c>
      <c r="I1468" s="660" t="n">
        <f aca="false">'норма времени'!D1472</f>
        <v>360</v>
      </c>
      <c r="J1468" s="661" t="n">
        <f aca="false">H1468*I1468</f>
        <v>9779.11646586345</v>
      </c>
      <c r="T1468" s="581"/>
    </row>
    <row r="1469" customFormat="false" ht="30" hidden="false" customHeight="false" outlineLevel="0" collapsed="false">
      <c r="A1469" s="391" t="s">
        <v>2517</v>
      </c>
      <c r="B1469" s="328" t="s">
        <v>3984</v>
      </c>
      <c r="C1469" s="954" t="n">
        <v>90000</v>
      </c>
      <c r="D1469" s="954" t="n">
        <v>85000</v>
      </c>
      <c r="E1469" s="954" t="n">
        <v>85000</v>
      </c>
      <c r="F1469" s="955" t="n">
        <f aca="false">C1469+D1469+E1469</f>
        <v>260000</v>
      </c>
      <c r="G1469" s="955" t="n">
        <f aca="false">F1469/149.4</f>
        <v>1740.29451137885</v>
      </c>
      <c r="H1469" s="661" t="n">
        <f aca="false">G1469/60</f>
        <v>29.0049085229808</v>
      </c>
      <c r="I1469" s="660" t="n">
        <f aca="false">'норма времени'!D1473</f>
        <v>360</v>
      </c>
      <c r="J1469" s="661" t="n">
        <f aca="false">H1469*I1469</f>
        <v>10441.7670682731</v>
      </c>
      <c r="T1469" s="581"/>
    </row>
    <row r="1470" customFormat="false" ht="30" hidden="false" customHeight="true" outlineLevel="0" collapsed="false">
      <c r="A1470" s="391" t="s">
        <v>2519</v>
      </c>
      <c r="B1470" s="328" t="s">
        <v>3985</v>
      </c>
      <c r="C1470" s="954" t="n">
        <v>90000</v>
      </c>
      <c r="D1470" s="954" t="n">
        <v>85000</v>
      </c>
      <c r="E1470" s="954" t="n">
        <v>85000</v>
      </c>
      <c r="F1470" s="955" t="n">
        <f aca="false">C1470+D1470+E1470</f>
        <v>260000</v>
      </c>
      <c r="G1470" s="955" t="n">
        <f aca="false">F1470/149.4</f>
        <v>1740.29451137885</v>
      </c>
      <c r="H1470" s="661" t="n">
        <f aca="false">G1470/60</f>
        <v>29.0049085229808</v>
      </c>
      <c r="I1470" s="660" t="n">
        <f aca="false">'норма времени'!D1474</f>
        <v>360</v>
      </c>
      <c r="J1470" s="661" t="n">
        <f aca="false">H1470*I1470</f>
        <v>10441.7670682731</v>
      </c>
      <c r="T1470" s="581"/>
    </row>
    <row r="1471" customFormat="false" ht="21.75" hidden="false" customHeight="true" outlineLevel="0" collapsed="false">
      <c r="A1471" s="388" t="s">
        <v>2521</v>
      </c>
      <c r="B1471" s="543" t="s">
        <v>3751</v>
      </c>
      <c r="C1471" s="1253"/>
      <c r="D1471" s="1253"/>
      <c r="E1471" s="1253"/>
      <c r="F1471" s="1254"/>
      <c r="G1471" s="1254"/>
      <c r="H1471" s="1250"/>
      <c r="I1471" s="1255"/>
      <c r="J1471" s="1250"/>
      <c r="T1471" s="581"/>
    </row>
    <row r="1472" customFormat="false" ht="30" hidden="false" customHeight="false" outlineLevel="0" collapsed="false">
      <c r="A1472" s="327" t="s">
        <v>2522</v>
      </c>
      <c r="B1472" s="548" t="s">
        <v>3986</v>
      </c>
      <c r="C1472" s="954" t="n">
        <v>10000</v>
      </c>
      <c r="D1472" s="954" t="n">
        <v>10000</v>
      </c>
      <c r="E1472" s="954" t="n">
        <v>10000</v>
      </c>
      <c r="F1472" s="955" t="n">
        <f aca="false">C1472+D1472+E1472</f>
        <v>30000</v>
      </c>
      <c r="G1472" s="955" t="n">
        <f aca="false">F1472/149.4</f>
        <v>200.803212851406</v>
      </c>
      <c r="H1472" s="661" t="n">
        <f aca="false">G1472/60</f>
        <v>3.34672021419009</v>
      </c>
      <c r="I1472" s="660" t="n">
        <f aca="false">'норма времени'!D1476</f>
        <v>135</v>
      </c>
      <c r="J1472" s="661" t="n">
        <f aca="false">H1472*I1472</f>
        <v>451.807228915663</v>
      </c>
      <c r="T1472" s="581"/>
    </row>
    <row r="1473" customFormat="false" ht="30" hidden="false" customHeight="false" outlineLevel="0" collapsed="false">
      <c r="A1473" s="350" t="s">
        <v>2524</v>
      </c>
      <c r="B1473" s="1280" t="s">
        <v>3987</v>
      </c>
      <c r="C1473" s="954" t="n">
        <v>10000</v>
      </c>
      <c r="D1473" s="954" t="n">
        <v>5000</v>
      </c>
      <c r="E1473" s="954" t="n">
        <v>5000</v>
      </c>
      <c r="F1473" s="955" t="n">
        <f aca="false">C1473+D1473+E1473</f>
        <v>20000</v>
      </c>
      <c r="G1473" s="955" t="n">
        <f aca="false">F1473/149.4</f>
        <v>133.868808567604</v>
      </c>
      <c r="H1473" s="661" t="n">
        <f aca="false">G1473/60</f>
        <v>2.23114680946006</v>
      </c>
      <c r="I1473" s="660" t="n">
        <f aca="false">'норма времени'!D1477</f>
        <v>37</v>
      </c>
      <c r="J1473" s="661" t="n">
        <f aca="false">H1473*I1473</f>
        <v>82.5524319500223</v>
      </c>
      <c r="T1473" s="581"/>
    </row>
    <row r="1474" customFormat="false" ht="15" hidden="false" customHeight="false" outlineLevel="0" collapsed="false">
      <c r="A1474" s="350" t="s">
        <v>2526</v>
      </c>
      <c r="B1474" s="467" t="s">
        <v>3988</v>
      </c>
      <c r="C1474" s="1253" t="n">
        <v>10000</v>
      </c>
      <c r="D1474" s="1253" t="n">
        <v>10000</v>
      </c>
      <c r="E1474" s="1253" t="n">
        <v>10000</v>
      </c>
      <c r="F1474" s="1254" t="n">
        <f aca="false">C1474+D1474+E1474</f>
        <v>30000</v>
      </c>
      <c r="G1474" s="1254" t="n">
        <f aca="false">F1474/149.4</f>
        <v>200.803212851406</v>
      </c>
      <c r="H1474" s="1250" t="n">
        <f aca="false">G1474/60</f>
        <v>3.34672021419009</v>
      </c>
      <c r="I1474" s="1255" t="n">
        <f aca="false">'норма времени'!D1478</f>
        <v>45</v>
      </c>
      <c r="J1474" s="1250" t="n">
        <f aca="false">H1474*I1474</f>
        <v>150.602409638554</v>
      </c>
      <c r="T1474" s="581"/>
    </row>
    <row r="1475" customFormat="false" ht="42.75" hidden="false" customHeight="false" outlineLevel="0" collapsed="false">
      <c r="A1475" s="350" t="s">
        <v>2528</v>
      </c>
      <c r="B1475" s="467" t="s">
        <v>3989</v>
      </c>
      <c r="C1475" s="1253" t="n">
        <v>35000</v>
      </c>
      <c r="D1475" s="1253" t="n">
        <v>35000</v>
      </c>
      <c r="E1475" s="1253" t="n">
        <v>35000</v>
      </c>
      <c r="F1475" s="1254" t="n">
        <f aca="false">C1475+D1475+E1475</f>
        <v>105000</v>
      </c>
      <c r="G1475" s="1254" t="n">
        <f aca="false">F1475/149.4</f>
        <v>702.81124497992</v>
      </c>
      <c r="H1475" s="1250" t="n">
        <f aca="false">G1475/60</f>
        <v>11.7135207496653</v>
      </c>
      <c r="I1475" s="1255" t="n">
        <f aca="false">'норма времени'!D1479</f>
        <v>1450</v>
      </c>
      <c r="J1475" s="1250" t="n">
        <f aca="false">H1475*I1475</f>
        <v>16984.6050870147</v>
      </c>
      <c r="T1475" s="581"/>
    </row>
    <row r="1476" customFormat="false" ht="28.5" hidden="false" customHeight="false" outlineLevel="0" collapsed="false">
      <c r="A1476" s="350" t="s">
        <v>2530</v>
      </c>
      <c r="B1476" s="467" t="s">
        <v>3990</v>
      </c>
      <c r="C1476" s="1253" t="n">
        <v>80000</v>
      </c>
      <c r="D1476" s="1253" t="n">
        <v>80000</v>
      </c>
      <c r="E1476" s="1253" t="n">
        <v>80000</v>
      </c>
      <c r="F1476" s="1254" t="n">
        <f aca="false">C1476+D1476+E1476</f>
        <v>240000</v>
      </c>
      <c r="G1476" s="1254" t="n">
        <f aca="false">F1476/149.4</f>
        <v>1606.42570281125</v>
      </c>
      <c r="H1476" s="1250" t="n">
        <f aca="false">G1476/60</f>
        <v>26.7737617135208</v>
      </c>
      <c r="I1476" s="1255" t="n">
        <f aca="false">'норма времени'!D1480</f>
        <v>3730</v>
      </c>
      <c r="J1476" s="1250" t="n">
        <f aca="false">H1476*I1476</f>
        <v>99866.1311914324</v>
      </c>
      <c r="T1476" s="581"/>
    </row>
    <row r="1477" customFormat="false" ht="57" hidden="false" customHeight="false" outlineLevel="0" collapsed="false">
      <c r="A1477" s="350" t="s">
        <v>2532</v>
      </c>
      <c r="B1477" s="467" t="s">
        <v>3991</v>
      </c>
      <c r="C1477" s="1253" t="n">
        <v>25000</v>
      </c>
      <c r="D1477" s="1253" t="n">
        <v>20000</v>
      </c>
      <c r="E1477" s="1253" t="n">
        <v>20000</v>
      </c>
      <c r="F1477" s="1254" t="n">
        <f aca="false">C1477+D1477+E1477</f>
        <v>65000</v>
      </c>
      <c r="G1477" s="1254" t="n">
        <f aca="false">F1477/149.4</f>
        <v>435.073627844712</v>
      </c>
      <c r="H1477" s="1250" t="n">
        <f aca="false">G1477/60</f>
        <v>7.2512271307452</v>
      </c>
      <c r="I1477" s="1255" t="n">
        <f aca="false">'норма времени'!D1481</f>
        <v>45</v>
      </c>
      <c r="J1477" s="1250" t="n">
        <f aca="false">H1477*I1477</f>
        <v>326.305220883534</v>
      </c>
      <c r="T1477" s="581"/>
    </row>
    <row r="1478" customFormat="false" ht="57" hidden="false" customHeight="false" outlineLevel="0" collapsed="false">
      <c r="A1478" s="350" t="s">
        <v>2534</v>
      </c>
      <c r="B1478" s="467" t="s">
        <v>3992</v>
      </c>
      <c r="C1478" s="1253" t="n">
        <v>25000</v>
      </c>
      <c r="D1478" s="1253" t="n">
        <v>20000</v>
      </c>
      <c r="E1478" s="1253" t="n">
        <v>20000</v>
      </c>
      <c r="F1478" s="1254" t="n">
        <f aca="false">C1478+D1478+E1478</f>
        <v>65000</v>
      </c>
      <c r="G1478" s="1254" t="n">
        <f aca="false">F1478/149.4</f>
        <v>435.073627844712</v>
      </c>
      <c r="H1478" s="1250" t="n">
        <f aca="false">G1478/60</f>
        <v>7.2512271307452</v>
      </c>
      <c r="I1478" s="1255" t="n">
        <f aca="false">'норма времени'!D1482</f>
        <v>45</v>
      </c>
      <c r="J1478" s="1250" t="n">
        <f aca="false">H1478*I1478</f>
        <v>326.305220883534</v>
      </c>
      <c r="T1478" s="581"/>
    </row>
    <row r="1479" customFormat="false" ht="57" hidden="false" customHeight="false" outlineLevel="0" collapsed="false">
      <c r="A1479" s="350" t="s">
        <v>2536</v>
      </c>
      <c r="B1479" s="467" t="s">
        <v>3993</v>
      </c>
      <c r="C1479" s="1253" t="n">
        <v>80000</v>
      </c>
      <c r="D1479" s="1253" t="n">
        <v>80000</v>
      </c>
      <c r="E1479" s="1253" t="n">
        <v>80000</v>
      </c>
      <c r="F1479" s="1254" t="n">
        <f aca="false">C1479+D1479+E1479</f>
        <v>240000</v>
      </c>
      <c r="G1479" s="1254" t="n">
        <f aca="false">F1479/149.4</f>
        <v>1606.42570281125</v>
      </c>
      <c r="H1479" s="1250" t="n">
        <f aca="false">G1479/60</f>
        <v>26.7737617135208</v>
      </c>
      <c r="I1479" s="1255" t="n">
        <f aca="false">'норма времени'!D1483</f>
        <v>1250</v>
      </c>
      <c r="J1479" s="1250" t="n">
        <f aca="false">H1479*I1479</f>
        <v>33467.2021419009</v>
      </c>
      <c r="T1479" s="581"/>
    </row>
    <row r="1480" customFormat="false" ht="57" hidden="false" customHeight="false" outlineLevel="0" collapsed="false">
      <c r="A1480" s="350" t="s">
        <v>2538</v>
      </c>
      <c r="B1480" s="467" t="s">
        <v>3994</v>
      </c>
      <c r="C1480" s="1253" t="n">
        <v>80000</v>
      </c>
      <c r="D1480" s="1253" t="n">
        <v>80000</v>
      </c>
      <c r="E1480" s="1253" t="n">
        <v>80000</v>
      </c>
      <c r="F1480" s="1254" t="n">
        <f aca="false">C1480+D1480+E1480</f>
        <v>240000</v>
      </c>
      <c r="G1480" s="1254" t="n">
        <f aca="false">F1480/149.4</f>
        <v>1606.42570281125</v>
      </c>
      <c r="H1480" s="1250" t="n">
        <f aca="false">G1480/60</f>
        <v>26.7737617135208</v>
      </c>
      <c r="I1480" s="1255" t="n">
        <f aca="false">'норма времени'!D1484</f>
        <v>970</v>
      </c>
      <c r="J1480" s="1250" t="n">
        <f aca="false">H1480*I1480</f>
        <v>25970.5488621151</v>
      </c>
      <c r="T1480" s="581"/>
    </row>
    <row r="1481" customFormat="false" ht="15" hidden="false" customHeight="false" outlineLevel="0" collapsed="false">
      <c r="A1481" s="515" t="s">
        <v>2540</v>
      </c>
      <c r="B1481" s="357" t="s">
        <v>3995</v>
      </c>
      <c r="C1481" s="1281"/>
      <c r="D1481" s="1281"/>
      <c r="E1481" s="1281"/>
      <c r="F1481" s="1281"/>
      <c r="G1481" s="1281"/>
      <c r="H1481" s="1281"/>
      <c r="I1481" s="1282"/>
      <c r="J1481" s="1281"/>
      <c r="T1481" s="581"/>
    </row>
    <row r="1482" customFormat="false" ht="30" hidden="false" customHeight="false" outlineLevel="0" collapsed="false">
      <c r="A1482" s="1283" t="s">
        <v>2542</v>
      </c>
      <c r="B1482" s="488" t="s">
        <v>3996</v>
      </c>
      <c r="C1482" s="1284" t="n">
        <v>16000</v>
      </c>
      <c r="D1482" s="1284"/>
      <c r="E1482" s="1284" t="n">
        <v>46190</v>
      </c>
      <c r="F1482" s="1285" t="n">
        <f aca="false">C1482+D1482+E1482</f>
        <v>62190</v>
      </c>
      <c r="G1482" s="1285" t="n">
        <f aca="false">F1482/149.4</f>
        <v>416.265060240964</v>
      </c>
      <c r="H1482" s="1286" t="n">
        <f aca="false">G1482/60</f>
        <v>6.93775100401606</v>
      </c>
      <c r="I1482" s="660" t="n">
        <f aca="false">'норма времени'!D1486</f>
        <v>960</v>
      </c>
      <c r="J1482" s="1286" t="n">
        <f aca="false">H1482*I1482</f>
        <v>6660.24096385542</v>
      </c>
      <c r="T1482" s="581"/>
    </row>
    <row r="1483" customFormat="false" ht="30" hidden="false" customHeight="false" outlineLevel="0" collapsed="false">
      <c r="A1483" s="1283" t="s">
        <v>2545</v>
      </c>
      <c r="B1483" s="488" t="s">
        <v>3997</v>
      </c>
      <c r="C1483" s="1284" t="n">
        <v>45000</v>
      </c>
      <c r="D1483" s="1284"/>
      <c r="E1483" s="1284" t="n">
        <v>36958</v>
      </c>
      <c r="F1483" s="1285" t="n">
        <f aca="false">C1483+D1483+E1483</f>
        <v>81958</v>
      </c>
      <c r="G1483" s="1285" t="n">
        <f aca="false">F1483/149.4</f>
        <v>548.580990629183</v>
      </c>
      <c r="H1483" s="1286" t="n">
        <f aca="false">G1483/60</f>
        <v>9.14301651048639</v>
      </c>
      <c r="I1483" s="660" t="n">
        <f aca="false">'норма времени'!D1487</f>
        <v>2400</v>
      </c>
      <c r="J1483" s="1286" t="n">
        <f aca="false">H1483*I1483</f>
        <v>21943.2396251673</v>
      </c>
      <c r="T1483" s="581"/>
    </row>
    <row r="1484" customFormat="false" ht="18" hidden="false" customHeight="true" outlineLevel="0" collapsed="false">
      <c r="A1484" s="515" t="s">
        <v>2548</v>
      </c>
      <c r="B1484" s="357" t="s">
        <v>3998</v>
      </c>
      <c r="C1484" s="1281"/>
      <c r="D1484" s="1281"/>
      <c r="E1484" s="1281"/>
      <c r="F1484" s="1281"/>
      <c r="G1484" s="1281"/>
      <c r="H1484" s="1281"/>
      <c r="I1484" s="1282"/>
      <c r="J1484" s="1281"/>
      <c r="T1484" s="581"/>
    </row>
    <row r="1485" customFormat="false" ht="45" hidden="false" customHeight="false" outlineLevel="0" collapsed="false">
      <c r="A1485" s="1283" t="s">
        <v>2550</v>
      </c>
      <c r="B1485" s="488" t="s">
        <v>3999</v>
      </c>
      <c r="C1485" s="1284" t="n">
        <v>58320</v>
      </c>
      <c r="D1485" s="1284"/>
      <c r="E1485" s="1284"/>
      <c r="F1485" s="1285" t="n">
        <f aca="false">C1485+D1485+E1485</f>
        <v>58320</v>
      </c>
      <c r="G1485" s="1285" t="n">
        <f aca="false">F1485/149.4</f>
        <v>390.361445783133</v>
      </c>
      <c r="H1485" s="1286" t="n">
        <f aca="false">G1485/60</f>
        <v>6.50602409638554</v>
      </c>
      <c r="I1485" s="660" t="n">
        <f aca="false">'норма времени'!D1489</f>
        <v>480</v>
      </c>
      <c r="J1485" s="1286" t="n">
        <f aca="false">H1485*I1485</f>
        <v>3122.89156626506</v>
      </c>
      <c r="T1485" s="581"/>
    </row>
    <row r="1486" customFormat="false" ht="30" hidden="false" customHeight="false" outlineLevel="0" collapsed="false">
      <c r="A1486" s="1283" t="s">
        <v>2553</v>
      </c>
      <c r="B1486" s="488" t="s">
        <v>4000</v>
      </c>
      <c r="C1486" s="1284" t="n">
        <v>58320</v>
      </c>
      <c r="D1486" s="1284"/>
      <c r="E1486" s="1284"/>
      <c r="F1486" s="1285" t="n">
        <f aca="false">C1486+D1486+E1486</f>
        <v>58320</v>
      </c>
      <c r="G1486" s="1285" t="n">
        <f aca="false">F1486/149.4</f>
        <v>390.361445783133</v>
      </c>
      <c r="H1486" s="1286" t="n">
        <f aca="false">G1486/60</f>
        <v>6.50602409638554</v>
      </c>
      <c r="I1486" s="660" t="n">
        <f aca="false">'норма времени'!D1490</f>
        <v>480</v>
      </c>
      <c r="J1486" s="1286" t="n">
        <f aca="false">H1486*I1486</f>
        <v>3122.89156626506</v>
      </c>
      <c r="T1486" s="581"/>
    </row>
    <row r="1487" customFormat="false" ht="28.5" hidden="false" customHeight="false" outlineLevel="0" collapsed="false">
      <c r="A1487" s="515" t="s">
        <v>2555</v>
      </c>
      <c r="B1487" s="357" t="s">
        <v>4001</v>
      </c>
      <c r="C1487" s="1281"/>
      <c r="D1487" s="1281"/>
      <c r="E1487" s="1281"/>
      <c r="F1487" s="1281"/>
      <c r="G1487" s="1281"/>
      <c r="H1487" s="1281"/>
      <c r="I1487" s="1282"/>
      <c r="J1487" s="1281"/>
      <c r="T1487" s="581"/>
    </row>
    <row r="1488" customFormat="false" ht="15" hidden="false" customHeight="false" outlineLevel="0" collapsed="false">
      <c r="A1488" s="1283" t="s">
        <v>2557</v>
      </c>
      <c r="B1488" s="488" t="s">
        <v>4002</v>
      </c>
      <c r="C1488" s="954" t="n">
        <v>10000</v>
      </c>
      <c r="D1488" s="954" t="n">
        <v>8000</v>
      </c>
      <c r="E1488" s="954" t="n">
        <v>5300</v>
      </c>
      <c r="F1488" s="955" t="n">
        <f aca="false">C1488+D1488+E1488</f>
        <v>23300</v>
      </c>
      <c r="G1488" s="955" t="n">
        <f aca="false">F1488/149.4</f>
        <v>155.957161981258</v>
      </c>
      <c r="H1488" s="661" t="n">
        <f aca="false">G1488/60</f>
        <v>2.59928603302097</v>
      </c>
      <c r="I1488" s="660" t="n">
        <f aca="false">'норма времени'!D1492</f>
        <v>20</v>
      </c>
      <c r="J1488" s="661" t="n">
        <f aca="false">H1488*I1488</f>
        <v>51.9857206604195</v>
      </c>
      <c r="T1488" s="581"/>
    </row>
    <row r="1489" customFormat="false" ht="15" hidden="false" customHeight="false" outlineLevel="0" collapsed="false">
      <c r="A1489" s="1283" t="s">
        <v>2560</v>
      </c>
      <c r="B1489" s="488" t="s">
        <v>4003</v>
      </c>
      <c r="C1489" s="954" t="n">
        <v>10000</v>
      </c>
      <c r="D1489" s="954" t="n">
        <v>8000</v>
      </c>
      <c r="E1489" s="954" t="n">
        <v>5300</v>
      </c>
      <c r="F1489" s="955" t="n">
        <f aca="false">C1489+D1489+E1489</f>
        <v>23300</v>
      </c>
      <c r="G1489" s="955" t="n">
        <f aca="false">F1489/149.4</f>
        <v>155.957161981258</v>
      </c>
      <c r="H1489" s="661" t="n">
        <f aca="false">G1489/60</f>
        <v>2.59928603302097</v>
      </c>
      <c r="I1489" s="660" t="n">
        <f aca="false">'норма времени'!D1493</f>
        <v>20</v>
      </c>
      <c r="J1489" s="661" t="n">
        <f aca="false">H1489*I1489</f>
        <v>51.9857206604195</v>
      </c>
      <c r="T1489" s="581"/>
    </row>
    <row r="1490" customFormat="false" ht="15" hidden="false" customHeight="false" outlineLevel="0" collapsed="false">
      <c r="A1490" s="1283" t="s">
        <v>2562</v>
      </c>
      <c r="B1490" s="488" t="s">
        <v>4004</v>
      </c>
      <c r="C1490" s="954" t="n">
        <v>10000</v>
      </c>
      <c r="D1490" s="954" t="n">
        <v>8000</v>
      </c>
      <c r="E1490" s="954" t="n">
        <v>5400</v>
      </c>
      <c r="F1490" s="955" t="n">
        <f aca="false">C1490+D1490+E1490</f>
        <v>23400</v>
      </c>
      <c r="G1490" s="955" t="n">
        <f aca="false">F1490/149.4</f>
        <v>156.626506024096</v>
      </c>
      <c r="H1490" s="661" t="n">
        <f aca="false">G1490/60</f>
        <v>2.61044176706827</v>
      </c>
      <c r="I1490" s="660" t="n">
        <f aca="false">'норма времени'!D1494</f>
        <v>20</v>
      </c>
      <c r="J1490" s="661" t="n">
        <f aca="false">H1490*I1490</f>
        <v>52.2088353413655</v>
      </c>
      <c r="T1490" s="581"/>
    </row>
    <row r="1491" customFormat="false" ht="15" hidden="false" customHeight="false" outlineLevel="0" collapsed="false">
      <c r="A1491" s="1283" t="s">
        <v>2564</v>
      </c>
      <c r="B1491" s="488" t="s">
        <v>4005</v>
      </c>
      <c r="C1491" s="954" t="n">
        <v>10000</v>
      </c>
      <c r="D1491" s="954" t="n">
        <v>8000</v>
      </c>
      <c r="E1491" s="954" t="n">
        <v>5400</v>
      </c>
      <c r="F1491" s="955" t="n">
        <f aca="false">C1491+D1491+E1491</f>
        <v>23400</v>
      </c>
      <c r="G1491" s="955" t="n">
        <f aca="false">F1491/149.4</f>
        <v>156.626506024096</v>
      </c>
      <c r="H1491" s="661" t="n">
        <f aca="false">G1491/60</f>
        <v>2.61044176706827</v>
      </c>
      <c r="I1491" s="660" t="n">
        <f aca="false">'норма времени'!D1495</f>
        <v>20</v>
      </c>
      <c r="J1491" s="661" t="n">
        <f aca="false">H1491*I1491</f>
        <v>52.2088353413655</v>
      </c>
      <c r="T1491" s="581"/>
    </row>
    <row r="1492" customFormat="false" ht="57" hidden="false" customHeight="false" outlineLevel="0" collapsed="false">
      <c r="A1492" s="1287" t="n">
        <v>11</v>
      </c>
      <c r="B1492" s="1288" t="s">
        <v>4006</v>
      </c>
      <c r="C1492" s="1289" t="n">
        <v>320000</v>
      </c>
      <c r="D1492" s="1289"/>
      <c r="E1492" s="1289"/>
      <c r="F1492" s="1289" t="n">
        <f aca="false">C1492+D1492+E1492</f>
        <v>320000</v>
      </c>
      <c r="G1492" s="1289" t="n">
        <f aca="false">F1492/149.4</f>
        <v>2141.90093708166</v>
      </c>
      <c r="H1492" s="1289" t="n">
        <f aca="false">G1492/60</f>
        <v>35.698348951361</v>
      </c>
      <c r="I1492" s="1290" t="n">
        <f aca="false">'норма времени'!D1496</f>
        <v>300</v>
      </c>
      <c r="J1492" s="1289" t="n">
        <f aca="false">H1492*I1492</f>
        <v>10709.5046854083</v>
      </c>
      <c r="T1492" s="581"/>
    </row>
    <row r="1493" customFormat="false" ht="28.5" hidden="false" customHeight="false" outlineLevel="0" collapsed="false">
      <c r="A1493" s="1287" t="n">
        <v>12</v>
      </c>
      <c r="B1493" s="1288" t="s">
        <v>4007</v>
      </c>
      <c r="C1493" s="1289" t="n">
        <v>40000</v>
      </c>
      <c r="D1493" s="1289" t="n">
        <v>40000</v>
      </c>
      <c r="E1493" s="1289" t="n">
        <v>31800</v>
      </c>
      <c r="F1493" s="1289" t="n">
        <f aca="false">C1493+D1493+E1493</f>
        <v>111800</v>
      </c>
      <c r="G1493" s="1289" t="n">
        <f aca="false">F1493/149.4</f>
        <v>748.326639892905</v>
      </c>
      <c r="H1493" s="1289" t="n">
        <f aca="false">G1493/60</f>
        <v>12.4721106648817</v>
      </c>
      <c r="I1493" s="1290" t="n">
        <f aca="false">'норма времени'!D1497</f>
        <v>130</v>
      </c>
      <c r="J1493" s="1289" t="n">
        <f aca="false">H1493*I1493</f>
        <v>1621.37438643463</v>
      </c>
      <c r="T1493" s="581"/>
    </row>
    <row r="1494" customFormat="false" ht="15" hidden="false" customHeight="false" outlineLevel="0" collapsed="false">
      <c r="A1494" s="1287" t="n">
        <v>13</v>
      </c>
      <c r="B1494" s="1288" t="s">
        <v>4008</v>
      </c>
      <c r="C1494" s="1289" t="n">
        <v>68880</v>
      </c>
      <c r="D1494" s="1289"/>
      <c r="E1494" s="1289"/>
      <c r="F1494" s="1289" t="n">
        <f aca="false">C1494+D1494+E1494</f>
        <v>68880</v>
      </c>
      <c r="G1494" s="1289" t="n">
        <f aca="false">F1494/149.4</f>
        <v>461.044176706827</v>
      </c>
      <c r="H1494" s="1289" t="n">
        <f aca="false">G1494/60</f>
        <v>7.68406961178046</v>
      </c>
      <c r="I1494" s="1290" t="n">
        <f aca="false">'норма времени'!D1498</f>
        <v>120</v>
      </c>
      <c r="J1494" s="1289" t="n">
        <f aca="false">H1494*I1494</f>
        <v>922.088353413655</v>
      </c>
      <c r="T1494" s="581"/>
    </row>
    <row r="1495" customFormat="false" ht="15" hidden="false" customHeight="false" outlineLevel="0" collapsed="false">
      <c r="A1495" s="1287" t="n">
        <v>14</v>
      </c>
      <c r="B1495" s="1288" t="s">
        <v>4009</v>
      </c>
      <c r="C1495" s="1289" t="n">
        <v>55100</v>
      </c>
      <c r="D1495" s="1289"/>
      <c r="E1495" s="1289"/>
      <c r="F1495" s="1289" t="n">
        <f aca="false">C1495+D1495+E1495</f>
        <v>55100</v>
      </c>
      <c r="G1495" s="1289" t="n">
        <f aca="false">F1495/149.4</f>
        <v>368.808567603748</v>
      </c>
      <c r="H1495" s="1289" t="n">
        <f aca="false">G1495/60</f>
        <v>6.14680946006247</v>
      </c>
      <c r="I1495" s="1290" t="n">
        <f aca="false">'норма времени'!D1499</f>
        <v>30</v>
      </c>
      <c r="J1495" s="1289" t="n">
        <f aca="false">H1495*I1495</f>
        <v>184.404283801874</v>
      </c>
      <c r="T1495" s="581"/>
    </row>
    <row r="1496" customFormat="false" ht="28.5" hidden="false" customHeight="false" outlineLevel="0" collapsed="false">
      <c r="A1496" s="1287" t="s">
        <v>2573</v>
      </c>
      <c r="B1496" s="1288" t="s">
        <v>4010</v>
      </c>
      <c r="C1496" s="1289"/>
      <c r="D1496" s="1289"/>
      <c r="E1496" s="1289"/>
      <c r="F1496" s="1289"/>
      <c r="G1496" s="1289"/>
      <c r="H1496" s="1289"/>
      <c r="I1496" s="1289"/>
      <c r="J1496" s="1289"/>
      <c r="T1496" s="581"/>
    </row>
    <row r="1497" customFormat="false" ht="45" hidden="false" customHeight="false" outlineLevel="0" collapsed="false">
      <c r="A1497" s="1291" t="s">
        <v>2577</v>
      </c>
      <c r="B1497" s="410" t="s">
        <v>4011</v>
      </c>
      <c r="C1497" s="660" t="n">
        <v>71551.3</v>
      </c>
      <c r="D1497" s="954"/>
      <c r="E1497" s="954" t="n">
        <v>60000</v>
      </c>
      <c r="F1497" s="955" t="n">
        <f aca="false">C1497+D1497+E1497</f>
        <v>131551.3</v>
      </c>
      <c r="G1497" s="955" t="n">
        <f aca="false">F1497/149.4</f>
        <v>880.530789825971</v>
      </c>
      <c r="H1497" s="661" t="n">
        <f aca="false">G1497/60</f>
        <v>14.6755131637662</v>
      </c>
      <c r="I1497" s="660" t="n">
        <f aca="false">'норма времени'!D1501</f>
        <v>9940</v>
      </c>
      <c r="J1497" s="661" t="n">
        <f aca="false">H1497*I1497</f>
        <v>145874.600847836</v>
      </c>
      <c r="L1497" s="583"/>
      <c r="T1497" s="581"/>
    </row>
    <row r="1498" customFormat="false" ht="30" hidden="false" customHeight="false" outlineLevel="0" collapsed="false">
      <c r="A1498" s="1291" t="s">
        <v>2579</v>
      </c>
      <c r="B1498" s="410" t="s">
        <v>4012</v>
      </c>
      <c r="C1498" s="966" t="n">
        <v>460000</v>
      </c>
      <c r="D1498" s="966"/>
      <c r="E1498" s="966"/>
      <c r="F1498" s="1285" t="n">
        <f aca="false">C1498+D1498+E1498</f>
        <v>460000</v>
      </c>
      <c r="G1498" s="1285" t="n">
        <f aca="false">F1498/149.4</f>
        <v>3078.98259705489</v>
      </c>
      <c r="H1498" s="1286" t="n">
        <f aca="false">G1498/60</f>
        <v>51.3163766175814</v>
      </c>
      <c r="I1498" s="660" t="n">
        <f aca="false">'норма времени'!D1502</f>
        <v>3000</v>
      </c>
      <c r="J1498" s="1286" t="n">
        <f aca="false">H1498*I1498</f>
        <v>153949.129852744</v>
      </c>
      <c r="T1498" s="581"/>
    </row>
    <row r="1499" customFormat="false" ht="30" hidden="false" customHeight="false" outlineLevel="0" collapsed="false">
      <c r="A1499" s="1291" t="s">
        <v>2581</v>
      </c>
      <c r="B1499" s="410" t="s">
        <v>4013</v>
      </c>
      <c r="C1499" s="966" t="n">
        <v>350000</v>
      </c>
      <c r="D1499" s="966"/>
      <c r="E1499" s="966"/>
      <c r="F1499" s="1285" t="n">
        <f aca="false">C1499+D1499+E1499</f>
        <v>350000</v>
      </c>
      <c r="G1499" s="1285" t="n">
        <f aca="false">F1499/149.4</f>
        <v>2342.70414993307</v>
      </c>
      <c r="H1499" s="1286" t="n">
        <f aca="false">G1499/60</f>
        <v>39.0450691655511</v>
      </c>
      <c r="I1499" s="660" t="n">
        <f aca="false">'норма времени'!D1503</f>
        <v>1500</v>
      </c>
      <c r="J1499" s="1286" t="n">
        <f aca="false">H1499*I1499</f>
        <v>58567.6037483266</v>
      </c>
      <c r="T1499" s="581"/>
    </row>
    <row r="1500" customFormat="false" ht="75" hidden="false" customHeight="false" outlineLevel="0" collapsed="false">
      <c r="A1500" s="1291" t="s">
        <v>2583</v>
      </c>
      <c r="B1500" s="410" t="s">
        <v>4014</v>
      </c>
      <c r="C1500" s="966" t="n">
        <v>350000</v>
      </c>
      <c r="D1500" s="966"/>
      <c r="E1500" s="966"/>
      <c r="F1500" s="1285" t="n">
        <f aca="false">C1500+D1500+E1500</f>
        <v>350000</v>
      </c>
      <c r="G1500" s="1285" t="n">
        <f aca="false">F1500/149.4</f>
        <v>2342.70414993307</v>
      </c>
      <c r="H1500" s="1286" t="n">
        <f aca="false">G1500/60</f>
        <v>39.0450691655511</v>
      </c>
      <c r="I1500" s="660" t="n">
        <f aca="false">'норма времени'!D1504</f>
        <v>60</v>
      </c>
      <c r="J1500" s="1286" t="n">
        <f aca="false">H1500*I1500</f>
        <v>2342.70414993307</v>
      </c>
      <c r="T1500" s="581"/>
    </row>
    <row r="1501" customFormat="false" ht="42.75" hidden="false" customHeight="false" outlineLevel="0" collapsed="false">
      <c r="A1501" s="1292" t="s">
        <v>2586</v>
      </c>
      <c r="B1501" s="557" t="s">
        <v>4015</v>
      </c>
      <c r="C1501" s="1293"/>
      <c r="D1501" s="1293"/>
      <c r="E1501" s="1293"/>
      <c r="F1501" s="1293"/>
      <c r="G1501" s="1293"/>
      <c r="H1501" s="1293"/>
      <c r="I1501" s="1293"/>
      <c r="J1501" s="1293"/>
      <c r="T1501" s="581"/>
    </row>
    <row r="1502" s="311" customFormat="true" ht="25.5" hidden="false" customHeight="true" outlineLevel="0" collapsed="false">
      <c r="A1502" s="28" t="s">
        <v>2629</v>
      </c>
      <c r="B1502" s="555" t="s">
        <v>4099</v>
      </c>
      <c r="C1502" s="666"/>
      <c r="D1502" s="666" t="n">
        <v>95100</v>
      </c>
      <c r="E1502" s="1294"/>
      <c r="F1502" s="1294" t="n">
        <f aca="false">C1502+D1502+E1502</f>
        <v>95100</v>
      </c>
      <c r="G1502" s="1294" t="n">
        <f aca="false">F1502/163.33</f>
        <v>582.256780750628</v>
      </c>
      <c r="H1502" s="1295" t="n">
        <f aca="false">G1502/60</f>
        <v>9.70427967917713</v>
      </c>
      <c r="I1502" s="1296" t="n">
        <f aca="false">'норма времени'!D1506</f>
        <v>2160</v>
      </c>
      <c r="J1502" s="1296" t="n">
        <f aca="false">H1502*I1502</f>
        <v>20961.2441070226</v>
      </c>
    </row>
    <row r="1503" customFormat="false" ht="28.5" hidden="false" customHeight="false" outlineLevel="0" collapsed="false">
      <c r="A1503" s="1297" t="s">
        <v>4100</v>
      </c>
      <c r="B1503" s="1298" t="s">
        <v>4040</v>
      </c>
      <c r="C1503" s="1261"/>
      <c r="D1503" s="1299"/>
      <c r="E1503" s="1293"/>
      <c r="F1503" s="1299"/>
      <c r="G1503" s="1293"/>
      <c r="H1503" s="1299"/>
      <c r="I1503" s="1300"/>
      <c r="J1503" s="1299"/>
      <c r="T1503" s="581"/>
    </row>
    <row r="1504" customFormat="false" ht="30" hidden="false" customHeight="false" outlineLevel="0" collapsed="false">
      <c r="A1504" s="1301"/>
      <c r="B1504" s="410" t="s">
        <v>4041</v>
      </c>
      <c r="C1504" s="617" t="n">
        <v>30000</v>
      </c>
      <c r="D1504" s="617" t="n">
        <v>25000</v>
      </c>
      <c r="E1504" s="617" t="n">
        <v>18000</v>
      </c>
      <c r="F1504" s="955" t="n">
        <f aca="false">C1504+D1504+E1504</f>
        <v>73000</v>
      </c>
      <c r="G1504" s="955" t="n">
        <f aca="false">F1504/149.4</f>
        <v>488.621151271754</v>
      </c>
      <c r="H1504" s="661" t="n">
        <f aca="false">G1504/60</f>
        <v>8.14368585452923</v>
      </c>
      <c r="I1504" s="660" t="n">
        <f aca="false">'норма времени'!D1508</f>
        <v>480</v>
      </c>
      <c r="J1504" s="661" t="n">
        <f aca="false">H1504*I1504</f>
        <v>3908.96921017403</v>
      </c>
      <c r="T1504" s="581"/>
    </row>
    <row r="1505" customFormat="false" ht="15" hidden="false" customHeight="false" outlineLevel="0" collapsed="false">
      <c r="A1505" s="1283" t="s">
        <v>2638</v>
      </c>
      <c r="B1505" s="1302" t="s">
        <v>6719</v>
      </c>
      <c r="C1505" s="617" t="n">
        <v>30000</v>
      </c>
      <c r="D1505" s="617" t="n">
        <v>25000</v>
      </c>
      <c r="E1505" s="617" t="n">
        <v>18000</v>
      </c>
      <c r="F1505" s="955" t="n">
        <f aca="false">C1505+D1505+E1505</f>
        <v>73000</v>
      </c>
      <c r="G1505" s="955" t="n">
        <f aca="false">F1505/149.4</f>
        <v>488.621151271754</v>
      </c>
      <c r="H1505" s="661" t="n">
        <f aca="false">G1505/60</f>
        <v>8.14368585452923</v>
      </c>
      <c r="I1505" s="660" t="n">
        <f aca="false">'норма времени'!D1512</f>
        <v>3240</v>
      </c>
      <c r="J1505" s="661" t="n">
        <f aca="false">H1505*I1505</f>
        <v>26385.5421686747</v>
      </c>
      <c r="T1505" s="581"/>
    </row>
    <row r="1506" customFormat="false" ht="15" hidden="false" customHeight="false" outlineLevel="0" collapsed="false">
      <c r="A1506" s="1283" t="s">
        <v>6723</v>
      </c>
      <c r="B1506" s="1302" t="s">
        <v>6724</v>
      </c>
      <c r="C1506" s="617" t="n">
        <v>25000</v>
      </c>
      <c r="D1506" s="617" t="n">
        <v>20000</v>
      </c>
      <c r="E1506" s="617" t="n">
        <v>15000</v>
      </c>
      <c r="F1506" s="955" t="n">
        <f aca="false">C1506+D1506+E1506</f>
        <v>60000</v>
      </c>
      <c r="G1506" s="955" t="n">
        <f aca="false">F1506/149.4</f>
        <v>401.606425702811</v>
      </c>
      <c r="H1506" s="661" t="n">
        <f aca="false">G1506/60</f>
        <v>6.69344042838019</v>
      </c>
      <c r="I1506" s="660" t="n">
        <f aca="false">'норма времени'!D1513</f>
        <v>3240</v>
      </c>
      <c r="J1506" s="661" t="n">
        <f aca="false">H1506*I1506</f>
        <v>21686.7469879518</v>
      </c>
      <c r="T1506" s="581"/>
    </row>
    <row r="1507" customFormat="false" ht="30" hidden="false" customHeight="false" outlineLevel="0" collapsed="false">
      <c r="A1507" s="1283" t="s">
        <v>6733</v>
      </c>
      <c r="B1507" s="1302" t="s">
        <v>6734</v>
      </c>
      <c r="C1507" s="617" t="n">
        <v>25000</v>
      </c>
      <c r="D1507" s="617" t="n">
        <v>15000</v>
      </c>
      <c r="E1507" s="617" t="n">
        <v>5000</v>
      </c>
      <c r="F1507" s="955" t="n">
        <f aca="false">C1507+D1507+E1507</f>
        <v>45000</v>
      </c>
      <c r="G1507" s="955" t="n">
        <f aca="false">F1507/149.4</f>
        <v>301.204819277108</v>
      </c>
      <c r="H1507" s="661" t="n">
        <f aca="false">G1507/60</f>
        <v>5.02008032128514</v>
      </c>
      <c r="I1507" s="660" t="n">
        <f aca="false">'норма времени'!D1514</f>
        <v>3240</v>
      </c>
      <c r="J1507" s="661" t="n">
        <f aca="false">H1507*I1507</f>
        <v>16265.0602409639</v>
      </c>
      <c r="T1507" s="581"/>
    </row>
    <row r="1508" customFormat="false" ht="15" hidden="false" customHeight="false" outlineLevel="0" collapsed="false">
      <c r="A1508" s="1283" t="s">
        <v>6749</v>
      </c>
      <c r="B1508" s="1302" t="s">
        <v>6750</v>
      </c>
      <c r="C1508" s="617" t="n">
        <v>25000</v>
      </c>
      <c r="D1508" s="617" t="n">
        <v>20000</v>
      </c>
      <c r="E1508" s="617" t="n">
        <v>10000</v>
      </c>
      <c r="F1508" s="955" t="n">
        <f aca="false">C1508+D1508+E1508</f>
        <v>55000</v>
      </c>
      <c r="G1508" s="955" t="n">
        <f aca="false">F1508/149.4</f>
        <v>368.13922356091</v>
      </c>
      <c r="H1508" s="661" t="n">
        <f aca="false">G1508/60</f>
        <v>6.13565372601517</v>
      </c>
      <c r="I1508" s="660" t="n">
        <f aca="false">'норма времени'!D1515</f>
        <v>3240</v>
      </c>
      <c r="J1508" s="661" t="n">
        <f aca="false">H1508*I1508</f>
        <v>19879.5180722892</v>
      </c>
      <c r="T1508" s="581"/>
    </row>
    <row r="1509" customFormat="false" ht="30" hidden="false" customHeight="false" outlineLevel="0" collapsed="false">
      <c r="A1509" s="1283" t="s">
        <v>6753</v>
      </c>
      <c r="B1509" s="1302" t="s">
        <v>6754</v>
      </c>
      <c r="C1509" s="617" t="n">
        <v>25000</v>
      </c>
      <c r="D1509" s="617" t="n">
        <v>20000</v>
      </c>
      <c r="E1509" s="617" t="n">
        <v>10000</v>
      </c>
      <c r="F1509" s="955" t="n">
        <f aca="false">C1509+D1509+E1509</f>
        <v>55000</v>
      </c>
      <c r="G1509" s="955" t="n">
        <f aca="false">F1509/149.4</f>
        <v>368.13922356091</v>
      </c>
      <c r="H1509" s="661" t="n">
        <f aca="false">G1509/60</f>
        <v>6.13565372601517</v>
      </c>
      <c r="I1509" s="660" t="n">
        <f aca="false">'норма времени'!D1516</f>
        <v>3240</v>
      </c>
      <c r="J1509" s="661" t="n">
        <f aca="false">H1509*I1509</f>
        <v>19879.5180722892</v>
      </c>
      <c r="T1509" s="581"/>
    </row>
    <row r="1510" customFormat="false" ht="15" hidden="false" customHeight="false" outlineLevel="0" collapsed="false">
      <c r="A1510" s="1283" t="s">
        <v>6756</v>
      </c>
      <c r="B1510" s="1302" t="s">
        <v>6757</v>
      </c>
      <c r="C1510" s="617" t="n">
        <v>20000</v>
      </c>
      <c r="D1510" s="617" t="n">
        <v>15000</v>
      </c>
      <c r="E1510" s="617" t="n">
        <v>5000</v>
      </c>
      <c r="F1510" s="955" t="n">
        <f aca="false">C1510+D1510+E1510</f>
        <v>40000</v>
      </c>
      <c r="G1510" s="955" t="n">
        <f aca="false">F1510/149.4</f>
        <v>267.737617135208</v>
      </c>
      <c r="H1510" s="661" t="n">
        <f aca="false">G1510/60</f>
        <v>4.46229361892013</v>
      </c>
      <c r="I1510" s="660" t="n">
        <f aca="false">'норма времени'!D1525</f>
        <v>3240</v>
      </c>
      <c r="J1510" s="661" t="n">
        <f aca="false">H1510*I1510</f>
        <v>14457.8313253012</v>
      </c>
      <c r="T1510" s="581"/>
    </row>
    <row r="1511" customFormat="false" ht="15" hidden="false" customHeight="false" outlineLevel="0" collapsed="false">
      <c r="A1511" s="1283" t="s">
        <v>6764</v>
      </c>
      <c r="B1511" s="1302" t="s">
        <v>6765</v>
      </c>
      <c r="C1511" s="617" t="n">
        <v>20000</v>
      </c>
      <c r="D1511" s="617" t="n">
        <v>15000</v>
      </c>
      <c r="E1511" s="617" t="n">
        <v>10000</v>
      </c>
      <c r="F1511" s="955" t="n">
        <f aca="false">C1511+D1511+E1511</f>
        <v>45000</v>
      </c>
      <c r="G1511" s="955" t="n">
        <f aca="false">F1511/149.4</f>
        <v>301.204819277108</v>
      </c>
      <c r="H1511" s="661" t="n">
        <f aca="false">G1511/60</f>
        <v>5.02008032128514</v>
      </c>
      <c r="I1511" s="660" t="n">
        <f aca="false">'норма времени'!D1532</f>
        <v>3240</v>
      </c>
      <c r="J1511" s="661" t="n">
        <f aca="false">H1511*I1511</f>
        <v>16265.0602409639</v>
      </c>
      <c r="T1511" s="581"/>
    </row>
    <row r="1512" customFormat="false" ht="30" hidden="false" customHeight="false" outlineLevel="0" collapsed="false">
      <c r="A1512" s="1283" t="s">
        <v>6772</v>
      </c>
      <c r="B1512" s="1302" t="s">
        <v>6773</v>
      </c>
      <c r="C1512" s="617" t="n">
        <v>15000</v>
      </c>
      <c r="D1512" s="617" t="n">
        <v>10000</v>
      </c>
      <c r="E1512" s="617" t="n">
        <v>6000</v>
      </c>
      <c r="F1512" s="955" t="n">
        <f aca="false">C1512+D1512+E1512</f>
        <v>31000</v>
      </c>
      <c r="G1512" s="955" t="n">
        <f aca="false">F1512/149.4</f>
        <v>207.496653279786</v>
      </c>
      <c r="H1512" s="661" t="n">
        <f aca="false">G1512/60</f>
        <v>3.4582775546631</v>
      </c>
      <c r="I1512" s="660" t="n">
        <f aca="false">'норма времени'!D1539</f>
        <v>3240</v>
      </c>
      <c r="J1512" s="661" t="n">
        <f aca="false">H1512*I1512</f>
        <v>11204.8192771084</v>
      </c>
      <c r="T1512" s="581"/>
    </row>
    <row r="1513" customFormat="false" ht="30" hidden="false" customHeight="false" outlineLevel="0" collapsed="false">
      <c r="A1513" s="1283" t="s">
        <v>6775</v>
      </c>
      <c r="B1513" s="1302" t="s">
        <v>6776</v>
      </c>
      <c r="C1513" s="617" t="n">
        <v>15000</v>
      </c>
      <c r="D1513" s="617" t="n">
        <v>5000</v>
      </c>
      <c r="E1513" s="617"/>
      <c r="F1513" s="955" t="n">
        <f aca="false">C1513+D1513+E1513</f>
        <v>20000</v>
      </c>
      <c r="G1513" s="955" t="n">
        <f aca="false">F1513/149.4</f>
        <v>133.868808567604</v>
      </c>
      <c r="H1513" s="661" t="n">
        <f aca="false">G1513/60</f>
        <v>2.23114680946006</v>
      </c>
      <c r="I1513" s="660" t="n">
        <f aca="false">'норма времени'!D1543</f>
        <v>3240</v>
      </c>
      <c r="J1513" s="661" t="n">
        <f aca="false">H1513*I1513</f>
        <v>7228.9156626506</v>
      </c>
      <c r="T1513" s="581"/>
    </row>
    <row r="1514" customFormat="false" ht="30" hidden="false" customHeight="false" outlineLevel="0" collapsed="false">
      <c r="A1514" s="1283" t="s">
        <v>6809</v>
      </c>
      <c r="B1514" s="1302" t="s">
        <v>6810</v>
      </c>
      <c r="C1514" s="617" t="n">
        <v>20000</v>
      </c>
      <c r="D1514" s="617" t="n">
        <v>15000</v>
      </c>
      <c r="E1514" s="617" t="n">
        <v>10000</v>
      </c>
      <c r="F1514" s="955" t="n">
        <f aca="false">C1514+D1514+E1514</f>
        <v>45000</v>
      </c>
      <c r="G1514" s="955" t="n">
        <f aca="false">F1514/149.4</f>
        <v>301.204819277108</v>
      </c>
      <c r="H1514" s="661" t="n">
        <f aca="false">G1514/60</f>
        <v>5.02008032128514</v>
      </c>
      <c r="I1514" s="660" t="n">
        <f aca="false">'норма времени'!D1521</f>
        <v>3240</v>
      </c>
      <c r="J1514" s="661" t="n">
        <f aca="false">H1514*I1514</f>
        <v>16265.0602409639</v>
      </c>
      <c r="T1514" s="581"/>
    </row>
    <row r="1515" customFormat="false" ht="30" hidden="false" customHeight="false" outlineLevel="0" collapsed="false">
      <c r="A1515" s="1283" t="s">
        <v>6813</v>
      </c>
      <c r="B1515" s="1302" t="s">
        <v>6814</v>
      </c>
      <c r="C1515" s="617" t="n">
        <v>20000</v>
      </c>
      <c r="D1515" s="617" t="n">
        <v>15000</v>
      </c>
      <c r="E1515" s="617" t="n">
        <v>10000</v>
      </c>
      <c r="F1515" s="955" t="n">
        <f aca="false">C1515+D1515+E1515</f>
        <v>45000</v>
      </c>
      <c r="G1515" s="955" t="n">
        <f aca="false">F1515/149.4</f>
        <v>301.204819277108</v>
      </c>
      <c r="H1515" s="661" t="n">
        <f aca="false">G1515/60</f>
        <v>5.02008032128514</v>
      </c>
      <c r="I1515" s="660" t="n">
        <f aca="false">'норма времени'!D1522</f>
        <v>3240</v>
      </c>
      <c r="J1515" s="661" t="n">
        <f aca="false">H1515*I1515</f>
        <v>16265.0602409639</v>
      </c>
      <c r="T1515" s="581"/>
    </row>
    <row r="1516" customFormat="false" ht="15" hidden="false" customHeight="false" outlineLevel="0" collapsed="false">
      <c r="A1516" s="1283" t="s">
        <v>6828</v>
      </c>
      <c r="B1516" s="1302" t="s">
        <v>6829</v>
      </c>
      <c r="C1516" s="617" t="n">
        <v>25000</v>
      </c>
      <c r="D1516" s="617" t="n">
        <v>20000</v>
      </c>
      <c r="E1516" s="617" t="n">
        <v>10000</v>
      </c>
      <c r="F1516" s="955" t="n">
        <f aca="false">C1516+D1516+E1516</f>
        <v>55000</v>
      </c>
      <c r="G1516" s="955" t="n">
        <f aca="false">F1516/149.4</f>
        <v>368.13922356091</v>
      </c>
      <c r="H1516" s="661" t="n">
        <f aca="false">G1516/60</f>
        <v>6.13565372601517</v>
      </c>
      <c r="I1516" s="660" t="n">
        <f aca="false">'норма времени'!D1523</f>
        <v>3240</v>
      </c>
      <c r="J1516" s="661" t="n">
        <f aca="false">H1516*I1516</f>
        <v>19879.5180722892</v>
      </c>
      <c r="T1516" s="581"/>
    </row>
    <row r="1517" customFormat="false" ht="15" hidden="false" customHeight="false" outlineLevel="0" collapsed="false">
      <c r="A1517" s="1283" t="s">
        <v>6841</v>
      </c>
      <c r="B1517" s="1302" t="s">
        <v>6842</v>
      </c>
      <c r="C1517" s="617" t="n">
        <v>20000</v>
      </c>
      <c r="D1517" s="617" t="n">
        <v>15000</v>
      </c>
      <c r="E1517" s="617" t="n">
        <v>10000</v>
      </c>
      <c r="F1517" s="955" t="n">
        <f aca="false">C1517+D1517+E1517</f>
        <v>45000</v>
      </c>
      <c r="G1517" s="955" t="n">
        <f aca="false">F1517/149.4</f>
        <v>301.204819277108</v>
      </c>
      <c r="H1517" s="661" t="n">
        <f aca="false">G1517/60</f>
        <v>5.02008032128514</v>
      </c>
      <c r="I1517" s="660" t="n">
        <f aca="false">'норма времени'!D1524</f>
        <v>3240</v>
      </c>
      <c r="J1517" s="661" t="n">
        <f aca="false">H1517*I1517</f>
        <v>16265.0602409639</v>
      </c>
      <c r="T1517" s="581"/>
    </row>
    <row r="1518" customFormat="false" ht="30" hidden="false" customHeight="false" outlineLevel="0" collapsed="false">
      <c r="A1518" s="1283" t="s">
        <v>6850</v>
      </c>
      <c r="B1518" s="1302" t="s">
        <v>6851</v>
      </c>
      <c r="C1518" s="617" t="n">
        <v>20000</v>
      </c>
      <c r="D1518" s="617" t="n">
        <v>15000</v>
      </c>
      <c r="E1518" s="617" t="n">
        <v>10000</v>
      </c>
      <c r="F1518" s="955" t="n">
        <f aca="false">C1518+D1518+E1518</f>
        <v>45000</v>
      </c>
      <c r="G1518" s="955" t="n">
        <f aca="false">F1518/149.4</f>
        <v>301.204819277108</v>
      </c>
      <c r="H1518" s="661" t="n">
        <f aca="false">G1518/60</f>
        <v>5.02008032128514</v>
      </c>
      <c r="I1518" s="660" t="n">
        <f aca="false">'норма времени'!D1525</f>
        <v>3240</v>
      </c>
      <c r="J1518" s="661" t="n">
        <f aca="false">H1518*I1518</f>
        <v>16265.0602409639</v>
      </c>
      <c r="T1518" s="581"/>
    </row>
    <row r="1519" customFormat="false" ht="30" hidden="false" customHeight="false" outlineLevel="0" collapsed="false">
      <c r="A1519" s="1283" t="s">
        <v>6852</v>
      </c>
      <c r="B1519" s="1302" t="s">
        <v>6853</v>
      </c>
      <c r="C1519" s="617" t="n">
        <v>25000</v>
      </c>
      <c r="D1519" s="617" t="n">
        <v>20000</v>
      </c>
      <c r="E1519" s="617" t="n">
        <v>10000</v>
      </c>
      <c r="F1519" s="955" t="n">
        <f aca="false">C1519+D1519+E1519</f>
        <v>55000</v>
      </c>
      <c r="G1519" s="955" t="n">
        <f aca="false">F1519/149.4</f>
        <v>368.13922356091</v>
      </c>
      <c r="H1519" s="661" t="n">
        <f aca="false">G1519/60</f>
        <v>6.13565372601517</v>
      </c>
      <c r="I1519" s="660" t="n">
        <f aca="false">'норма времени'!D1564</f>
        <v>3240</v>
      </c>
      <c r="J1519" s="661" t="n">
        <f aca="false">H1519*I1519</f>
        <v>19879.5180722892</v>
      </c>
      <c r="T1519" s="581"/>
    </row>
    <row r="1520" customFormat="false" ht="30" hidden="false" customHeight="false" outlineLevel="0" collapsed="false">
      <c r="A1520" s="1283" t="s">
        <v>6854</v>
      </c>
      <c r="B1520" s="1302" t="s">
        <v>6855</v>
      </c>
      <c r="C1520" s="617" t="n">
        <v>20000</v>
      </c>
      <c r="D1520" s="617" t="n">
        <v>15000</v>
      </c>
      <c r="E1520" s="617" t="n">
        <v>10000</v>
      </c>
      <c r="F1520" s="955" t="n">
        <f aca="false">C1520+D1520+E1520</f>
        <v>45000</v>
      </c>
      <c r="G1520" s="955" t="n">
        <f aca="false">F1520/149.4</f>
        <v>301.204819277108</v>
      </c>
      <c r="H1520" s="661" t="n">
        <f aca="false">G1520/60</f>
        <v>5.02008032128514</v>
      </c>
      <c r="I1520" s="660" t="n">
        <f aca="false">'норма времени'!D1566</f>
        <v>3240</v>
      </c>
      <c r="J1520" s="661" t="n">
        <f aca="false">H1520*I1520</f>
        <v>16265.0602409639</v>
      </c>
      <c r="T1520" s="581"/>
    </row>
    <row r="1521" customFormat="false" ht="30" hidden="false" customHeight="false" outlineLevel="0" collapsed="false">
      <c r="A1521" s="1283" t="s">
        <v>6859</v>
      </c>
      <c r="B1521" s="1302" t="s">
        <v>6860</v>
      </c>
      <c r="C1521" s="617" t="n">
        <v>20000</v>
      </c>
      <c r="D1521" s="617" t="n">
        <v>15000</v>
      </c>
      <c r="E1521" s="617" t="n">
        <v>5000</v>
      </c>
      <c r="F1521" s="955" t="n">
        <f aca="false">C1521+D1521+E1521</f>
        <v>40000</v>
      </c>
      <c r="G1521" s="955" t="n">
        <f aca="false">F1521/149.4</f>
        <v>267.737617135208</v>
      </c>
      <c r="H1521" s="661" t="n">
        <f aca="false">G1521/60</f>
        <v>4.46229361892013</v>
      </c>
      <c r="I1521" s="660" t="n">
        <f aca="false">'норма времени'!D1568</f>
        <v>3240</v>
      </c>
      <c r="J1521" s="661" t="n">
        <f aca="false">H1521*I1521</f>
        <v>14457.8313253012</v>
      </c>
      <c r="T1521" s="581"/>
    </row>
    <row r="1522" customFormat="false" ht="30" hidden="false" customHeight="false" outlineLevel="0" collapsed="false">
      <c r="A1522" s="1283" t="s">
        <v>6861</v>
      </c>
      <c r="B1522" s="1302" t="s">
        <v>6862</v>
      </c>
      <c r="C1522" s="617" t="n">
        <v>20000</v>
      </c>
      <c r="D1522" s="617" t="n">
        <v>10000</v>
      </c>
      <c r="E1522" s="617" t="n">
        <v>5000</v>
      </c>
      <c r="F1522" s="955" t="n">
        <f aca="false">C1522+D1522+E1522</f>
        <v>35000</v>
      </c>
      <c r="G1522" s="955" t="n">
        <f aca="false">F1522/149.4</f>
        <v>234.270414993307</v>
      </c>
      <c r="H1522" s="661" t="n">
        <f aca="false">G1522/60</f>
        <v>3.90450691655511</v>
      </c>
      <c r="I1522" s="660" t="n">
        <f aca="false">'норма времени'!D1569</f>
        <v>3240</v>
      </c>
      <c r="J1522" s="661" t="n">
        <f aca="false">H1522*I1522</f>
        <v>12650.6024096386</v>
      </c>
      <c r="T1522" s="581"/>
    </row>
    <row r="1523" customFormat="false" ht="30" hidden="false" customHeight="false" outlineLevel="0" collapsed="false">
      <c r="A1523" s="1283" t="s">
        <v>6881</v>
      </c>
      <c r="B1523" s="328" t="s">
        <v>6882</v>
      </c>
      <c r="C1523" s="617" t="n">
        <v>35000</v>
      </c>
      <c r="D1523" s="617" t="n">
        <v>28000</v>
      </c>
      <c r="E1523" s="617" t="n">
        <v>20000</v>
      </c>
      <c r="F1523" s="955" t="n">
        <f aca="false">C1523+D1523+E1523</f>
        <v>83000</v>
      </c>
      <c r="G1523" s="955" t="n">
        <f aca="false">F1523/149.4</f>
        <v>555.555555555556</v>
      </c>
      <c r="H1523" s="661" t="n">
        <f aca="false">G1523/60</f>
        <v>9.25925925925926</v>
      </c>
      <c r="I1523" s="660" t="n">
        <f aca="false">'норма времени'!D1574</f>
        <v>3240</v>
      </c>
      <c r="J1523" s="661" t="n">
        <f aca="false">H1523*I1523</f>
        <v>30000</v>
      </c>
      <c r="T1523" s="581"/>
    </row>
    <row r="1524" customFormat="false" ht="15" hidden="false" customHeight="false" outlineLevel="0" collapsed="false">
      <c r="A1524" s="559" t="n">
        <v>18</v>
      </c>
      <c r="B1524" s="92" t="s">
        <v>4042</v>
      </c>
      <c r="C1524" s="1303"/>
      <c r="D1524" s="1281"/>
      <c r="E1524" s="1303"/>
      <c r="F1524" s="1281"/>
      <c r="G1524" s="1303"/>
      <c r="H1524" s="1281"/>
      <c r="I1524" s="1304"/>
      <c r="J1524" s="1281"/>
      <c r="T1524" s="581"/>
    </row>
    <row r="1525" customFormat="false" ht="15" hidden="false" customHeight="false" outlineLevel="0" collapsed="false">
      <c r="A1525" s="142" t="s">
        <v>2644</v>
      </c>
      <c r="B1525" s="203" t="s">
        <v>4043</v>
      </c>
      <c r="C1525" s="1305" t="n">
        <v>105000</v>
      </c>
      <c r="D1525" s="1306"/>
      <c r="E1525" s="1305"/>
      <c r="F1525" s="955" t="n">
        <f aca="false">C1525+D1525+E1525</f>
        <v>105000</v>
      </c>
      <c r="G1525" s="955" t="n">
        <f aca="false">F1525/149.4</f>
        <v>702.81124497992</v>
      </c>
      <c r="H1525" s="661" t="n">
        <f aca="false">G1525/60</f>
        <v>11.7135207496653</v>
      </c>
      <c r="I1525" s="660" t="n">
        <f aca="false">'норма времени'!D1576</f>
        <v>480</v>
      </c>
      <c r="J1525" s="661" t="n">
        <f aca="false">H1525*I1525</f>
        <v>5622.48995983936</v>
      </c>
      <c r="T1525" s="581"/>
    </row>
    <row r="1526" customFormat="false" ht="15" hidden="false" customHeight="false" outlineLevel="0" collapsed="false">
      <c r="A1526" s="142" t="s">
        <v>2646</v>
      </c>
      <c r="B1526" s="203" t="s">
        <v>4044</v>
      </c>
      <c r="C1526" s="1305" t="n">
        <v>105000</v>
      </c>
      <c r="D1526" s="1306"/>
      <c r="E1526" s="1305"/>
      <c r="F1526" s="955" t="n">
        <f aca="false">C1526+D1526+E1526</f>
        <v>105000</v>
      </c>
      <c r="G1526" s="955" t="n">
        <f aca="false">F1526/149.4</f>
        <v>702.81124497992</v>
      </c>
      <c r="H1526" s="661" t="n">
        <f aca="false">G1526/60</f>
        <v>11.7135207496653</v>
      </c>
      <c r="I1526" s="660" t="n">
        <f aca="false">'норма времени'!D1577</f>
        <v>480</v>
      </c>
      <c r="J1526" s="661" t="n">
        <f aca="false">H1526*I1526</f>
        <v>5622.48995983936</v>
      </c>
      <c r="T1526" s="581"/>
    </row>
    <row r="1527" customFormat="false" ht="78" hidden="false" customHeight="true" outlineLevel="0" collapsed="false">
      <c r="A1527" s="142" t="s">
        <v>2648</v>
      </c>
      <c r="B1527" s="29" t="s">
        <v>4045</v>
      </c>
      <c r="C1527" s="617" t="n">
        <v>25000</v>
      </c>
      <c r="D1527" s="617" t="n">
        <v>20000</v>
      </c>
      <c r="E1527" s="617" t="n">
        <v>15000</v>
      </c>
      <c r="F1527" s="955" t="n">
        <f aca="false">C1527+D1527+E1527</f>
        <v>60000</v>
      </c>
      <c r="G1527" s="955" t="n">
        <f aca="false">F1527/149.4</f>
        <v>401.606425702811</v>
      </c>
      <c r="H1527" s="661" t="n">
        <f aca="false">G1527/60</f>
        <v>6.69344042838019</v>
      </c>
      <c r="I1527" s="660" t="n">
        <f aca="false">'норма времени'!D1578</f>
        <v>480</v>
      </c>
      <c r="J1527" s="661" t="n">
        <f aca="false">H1527*I1527</f>
        <v>3212.85140562249</v>
      </c>
      <c r="T1527" s="581"/>
    </row>
    <row r="1528" customFormat="false" ht="48" hidden="false" customHeight="true" outlineLevel="0" collapsed="false">
      <c r="A1528" s="142" t="s">
        <v>2650</v>
      </c>
      <c r="B1528" s="29" t="s">
        <v>4046</v>
      </c>
      <c r="C1528" s="617" t="n">
        <v>15000</v>
      </c>
      <c r="D1528" s="617" t="n">
        <v>5000</v>
      </c>
      <c r="E1528" s="617" t="n">
        <v>6000</v>
      </c>
      <c r="F1528" s="955" t="n">
        <f aca="false">C1528+D1528+E1528</f>
        <v>26000</v>
      </c>
      <c r="G1528" s="955" t="n">
        <f aca="false">F1528/149.4</f>
        <v>174.029451137885</v>
      </c>
      <c r="H1528" s="661" t="n">
        <f aca="false">G1528/60</f>
        <v>2.90049085229808</v>
      </c>
      <c r="I1528" s="660" t="n">
        <f aca="false">'норма времени'!D1579</f>
        <v>480</v>
      </c>
      <c r="J1528" s="661" t="n">
        <f aca="false">H1528*I1528</f>
        <v>1392.23560910308</v>
      </c>
      <c r="T1528" s="581"/>
    </row>
    <row r="1529" customFormat="false" ht="28.5" hidden="false" customHeight="false" outlineLevel="0" collapsed="false">
      <c r="A1529" s="1307" t="n">
        <v>19</v>
      </c>
      <c r="B1529" s="357" t="s">
        <v>4047</v>
      </c>
      <c r="C1529" s="1281"/>
      <c r="D1529" s="1281"/>
      <c r="E1529" s="1281"/>
      <c r="F1529" s="1281"/>
      <c r="G1529" s="1281"/>
      <c r="H1529" s="1281"/>
      <c r="I1529" s="1281"/>
      <c r="J1529" s="1281"/>
      <c r="T1529" s="581"/>
    </row>
    <row r="1530" customFormat="false" ht="30" hidden="false" customHeight="false" outlineLevel="0" collapsed="false">
      <c r="A1530" s="1283" t="s">
        <v>2656</v>
      </c>
      <c r="B1530" s="488" t="s">
        <v>4048</v>
      </c>
      <c r="C1530" s="617" t="n">
        <v>70000</v>
      </c>
      <c r="D1530" s="617"/>
      <c r="E1530" s="617"/>
      <c r="F1530" s="955" t="n">
        <f aca="false">C1530+D1530+E1530</f>
        <v>70000</v>
      </c>
      <c r="G1530" s="955" t="n">
        <f aca="false">F1530/149.4</f>
        <v>468.540829986613</v>
      </c>
      <c r="H1530" s="661" t="n">
        <f aca="false">G1530/60</f>
        <v>7.80901383311022</v>
      </c>
      <c r="I1530" s="660" t="n">
        <f aca="false">'норма времени'!D1581</f>
        <v>120</v>
      </c>
      <c r="J1530" s="661" t="n">
        <f aca="false">H1530*I1530</f>
        <v>937.081659973226</v>
      </c>
      <c r="T1530" s="581"/>
    </row>
    <row r="1531" customFormat="false" ht="15" hidden="false" customHeight="true" outlineLevel="0" collapsed="false">
      <c r="A1531" s="356" t="s">
        <v>2658</v>
      </c>
      <c r="B1531" s="1308" t="s">
        <v>4049</v>
      </c>
      <c r="C1531" s="1308"/>
      <c r="D1531" s="1308"/>
      <c r="E1531" s="1308"/>
      <c r="F1531" s="1309"/>
      <c r="G1531" s="1281"/>
      <c r="H1531" s="1281"/>
      <c r="I1531" s="1281"/>
      <c r="J1531" s="1281"/>
      <c r="T1531" s="581"/>
    </row>
    <row r="1532" customFormat="false" ht="28.5" hidden="false" customHeight="false" outlineLevel="0" collapsed="false">
      <c r="A1532" s="1310"/>
      <c r="B1532" s="213" t="s">
        <v>4050</v>
      </c>
      <c r="C1532" s="1311"/>
      <c r="D1532" s="1311"/>
      <c r="E1532" s="1311"/>
      <c r="F1532" s="1312"/>
      <c r="G1532" s="1313"/>
      <c r="H1532" s="1313"/>
      <c r="I1532" s="1313"/>
      <c r="J1532" s="1313"/>
      <c r="T1532" s="581"/>
    </row>
    <row r="1533" s="1317" customFormat="true" ht="31.5" hidden="false" customHeight="false" outlineLevel="0" collapsed="false">
      <c r="A1533" s="427" t="s">
        <v>2662</v>
      </c>
      <c r="B1533" s="430" t="s">
        <v>4101</v>
      </c>
      <c r="C1533" s="617"/>
      <c r="D1533" s="838"/>
      <c r="E1533" s="838"/>
      <c r="F1533" s="883"/>
      <c r="G1533" s="956"/>
      <c r="H1533" s="1314"/>
      <c r="I1533" s="1315"/>
      <c r="J1533" s="1314"/>
      <c r="K1533" s="1316"/>
      <c r="L1533" s="1316"/>
      <c r="M1533" s="1316"/>
      <c r="N1533" s="1316"/>
      <c r="O1533" s="1316"/>
      <c r="P1533" s="1316"/>
      <c r="Q1533" s="1316"/>
      <c r="R1533" s="1316"/>
    </row>
    <row r="1534" s="1317" customFormat="true" ht="18.75" hidden="false" customHeight="false" outlineLevel="0" collapsed="false">
      <c r="A1534" s="428"/>
      <c r="B1534" s="1318" t="s">
        <v>4052</v>
      </c>
      <c r="C1534" s="617" t="n">
        <v>58600</v>
      </c>
      <c r="D1534" s="617"/>
      <c r="E1534" s="617"/>
      <c r="F1534" s="617" t="n">
        <f aca="false">C1534+D1534+E1534</f>
        <v>58600</v>
      </c>
      <c r="G1534" s="955" t="n">
        <f aca="false">F1534/149.4</f>
        <v>392.235609103079</v>
      </c>
      <c r="H1534" s="661" t="n">
        <f aca="false">G1534/60</f>
        <v>6.53726015171798</v>
      </c>
      <c r="I1534" s="660" t="n">
        <f aca="false">'норма времени'!D1586</f>
        <v>60</v>
      </c>
      <c r="J1534" s="661" t="n">
        <f aca="false">H1534*I1534</f>
        <v>392.235609103079</v>
      </c>
      <c r="K1534" s="1316"/>
      <c r="L1534" s="1316"/>
      <c r="M1534" s="1316"/>
      <c r="N1534" s="1316"/>
      <c r="O1534" s="1316"/>
      <c r="P1534" s="1316"/>
      <c r="Q1534" s="1316"/>
      <c r="R1534" s="1316"/>
    </row>
    <row r="1535" s="1317" customFormat="true" ht="18.75" hidden="false" customHeight="false" outlineLevel="0" collapsed="false">
      <c r="A1535" s="428"/>
      <c r="B1535" s="1318" t="s">
        <v>4053</v>
      </c>
      <c r="C1535" s="617" t="n">
        <v>53000</v>
      </c>
      <c r="D1535" s="617"/>
      <c r="E1535" s="617"/>
      <c r="F1535" s="617" t="n">
        <f aca="false">C1535+D1535+E1535</f>
        <v>53000</v>
      </c>
      <c r="G1535" s="955" t="n">
        <f aca="false">F1535/149.4</f>
        <v>354.75234270415</v>
      </c>
      <c r="H1535" s="661" t="n">
        <f aca="false">G1535/60</f>
        <v>5.91253904506917</v>
      </c>
      <c r="I1535" s="660" t="n">
        <f aca="false">'норма времени'!D1587</f>
        <v>60</v>
      </c>
      <c r="J1535" s="661" t="n">
        <f aca="false">H1535*I1535</f>
        <v>354.75234270415</v>
      </c>
      <c r="K1535" s="1316"/>
      <c r="L1535" s="1316"/>
      <c r="M1535" s="1316"/>
      <c r="N1535" s="1316"/>
      <c r="O1535" s="1316"/>
      <c r="P1535" s="1316"/>
      <c r="Q1535" s="1316"/>
      <c r="R1535" s="1316"/>
    </row>
    <row r="1536" s="1317" customFormat="true" ht="18.75" hidden="false" customHeight="false" outlineLevel="0" collapsed="false">
      <c r="A1536" s="428"/>
      <c r="B1536" s="1318" t="s">
        <v>4054</v>
      </c>
      <c r="C1536" s="617" t="n">
        <v>50900</v>
      </c>
      <c r="D1536" s="617"/>
      <c r="E1536" s="617"/>
      <c r="F1536" s="617" t="n">
        <f aca="false">C1536+D1536+E1536</f>
        <v>50900</v>
      </c>
      <c r="G1536" s="955" t="n">
        <f aca="false">F1536/149.4</f>
        <v>340.696117804552</v>
      </c>
      <c r="H1536" s="661" t="n">
        <f aca="false">G1536/60</f>
        <v>5.67826863007586</v>
      </c>
      <c r="I1536" s="660" t="n">
        <f aca="false">'норма времени'!D1588</f>
        <v>60</v>
      </c>
      <c r="J1536" s="661" t="n">
        <f aca="false">H1536*I1536</f>
        <v>340.696117804552</v>
      </c>
      <c r="K1536" s="1316"/>
      <c r="L1536" s="1316"/>
      <c r="M1536" s="1316"/>
      <c r="N1536" s="1316"/>
      <c r="O1536" s="1316"/>
      <c r="P1536" s="1316"/>
      <c r="Q1536" s="1316"/>
      <c r="R1536" s="1316"/>
    </row>
    <row r="1537" s="1317" customFormat="true" ht="18.75" hidden="false" customHeight="false" outlineLevel="0" collapsed="false">
      <c r="A1537" s="428"/>
      <c r="B1537" s="1318" t="s">
        <v>4055</v>
      </c>
      <c r="C1537" s="617" t="n">
        <v>49400</v>
      </c>
      <c r="D1537" s="617"/>
      <c r="E1537" s="617"/>
      <c r="F1537" s="617" t="n">
        <f aca="false">C1537+D1537+E1537</f>
        <v>49400</v>
      </c>
      <c r="G1537" s="955" t="n">
        <f aca="false">F1537/149.4</f>
        <v>330.655957161981</v>
      </c>
      <c r="H1537" s="661" t="n">
        <f aca="false">G1537/60</f>
        <v>5.51093261936635</v>
      </c>
      <c r="I1537" s="660" t="n">
        <f aca="false">'норма времени'!D1589</f>
        <v>60</v>
      </c>
      <c r="J1537" s="661" t="n">
        <f aca="false">H1537*I1537</f>
        <v>330.655957161981</v>
      </c>
      <c r="K1537" s="1316"/>
      <c r="L1537" s="1316"/>
      <c r="M1537" s="1316"/>
      <c r="N1537" s="1316"/>
      <c r="O1537" s="1316"/>
      <c r="P1537" s="1316"/>
      <c r="Q1537" s="1316"/>
      <c r="R1537" s="1316"/>
    </row>
    <row r="1538" s="1317" customFormat="true" ht="30" hidden="false" customHeight="false" outlineLevel="0" collapsed="false">
      <c r="A1538" s="427" t="s">
        <v>2672</v>
      </c>
      <c r="B1538" s="217" t="s">
        <v>4056</v>
      </c>
      <c r="C1538" s="617"/>
      <c r="D1538" s="617"/>
      <c r="E1538" s="617"/>
      <c r="F1538" s="617"/>
      <c r="G1538" s="955"/>
      <c r="H1538" s="661"/>
      <c r="I1538" s="660"/>
      <c r="J1538" s="661"/>
      <c r="K1538" s="1316"/>
      <c r="L1538" s="1316"/>
      <c r="M1538" s="1316"/>
      <c r="N1538" s="1316"/>
      <c r="O1538" s="1316"/>
      <c r="P1538" s="1316"/>
      <c r="Q1538" s="1316"/>
      <c r="R1538" s="1316"/>
    </row>
    <row r="1539" s="1317" customFormat="true" ht="15" hidden="false" customHeight="false" outlineLevel="0" collapsed="false">
      <c r="A1539" s="429"/>
      <c r="B1539" s="1318" t="s">
        <v>4051</v>
      </c>
      <c r="C1539" s="617"/>
      <c r="D1539" s="617"/>
      <c r="E1539" s="617"/>
      <c r="F1539" s="617"/>
      <c r="G1539" s="955"/>
      <c r="H1539" s="661"/>
      <c r="I1539" s="660"/>
      <c r="J1539" s="661"/>
      <c r="K1539" s="1316"/>
      <c r="L1539" s="1316"/>
      <c r="M1539" s="1316"/>
      <c r="N1539" s="1316"/>
      <c r="O1539" s="1316"/>
      <c r="P1539" s="1316"/>
      <c r="Q1539" s="1316"/>
      <c r="R1539" s="1316"/>
    </row>
    <row r="1540" s="1317" customFormat="true" ht="15" hidden="false" customHeight="false" outlineLevel="0" collapsed="false">
      <c r="A1540" s="429"/>
      <c r="B1540" s="1318" t="s">
        <v>4052</v>
      </c>
      <c r="C1540" s="617" t="n">
        <v>58600</v>
      </c>
      <c r="D1540" s="617"/>
      <c r="E1540" s="617"/>
      <c r="F1540" s="617" t="n">
        <f aca="false">C1540+D1540+E1540</f>
        <v>58600</v>
      </c>
      <c r="G1540" s="955" t="n">
        <f aca="false">F1540/149.4</f>
        <v>392.235609103079</v>
      </c>
      <c r="H1540" s="661" t="n">
        <f aca="false">G1540/60</f>
        <v>6.53726015171798</v>
      </c>
      <c r="I1540" s="660" t="n">
        <f aca="false">'норма времени'!D1591</f>
        <v>60</v>
      </c>
      <c r="J1540" s="661" t="n">
        <f aca="false">H1540*I1540</f>
        <v>392.235609103079</v>
      </c>
      <c r="K1540" s="1316"/>
      <c r="L1540" s="1316"/>
      <c r="M1540" s="1316"/>
      <c r="N1540" s="1316"/>
      <c r="O1540" s="1316"/>
      <c r="P1540" s="1316"/>
      <c r="Q1540" s="1316"/>
      <c r="R1540" s="1316"/>
    </row>
    <row r="1541" s="1317" customFormat="true" ht="15" hidden="false" customHeight="false" outlineLevel="0" collapsed="false">
      <c r="A1541" s="429"/>
      <c r="B1541" s="1318" t="s">
        <v>4053</v>
      </c>
      <c r="C1541" s="617" t="n">
        <v>58600</v>
      </c>
      <c r="D1541" s="617"/>
      <c r="E1541" s="617"/>
      <c r="F1541" s="617" t="n">
        <f aca="false">C1541+D1541+E1541</f>
        <v>58600</v>
      </c>
      <c r="G1541" s="955" t="n">
        <f aca="false">F1541/149.4</f>
        <v>392.235609103079</v>
      </c>
      <c r="H1541" s="661" t="n">
        <f aca="false">G1541/60</f>
        <v>6.53726015171798</v>
      </c>
      <c r="I1541" s="660" t="n">
        <f aca="false">'норма времени'!D1592</f>
        <v>60</v>
      </c>
      <c r="J1541" s="661" t="n">
        <f aca="false">H1541*I1541</f>
        <v>392.235609103079</v>
      </c>
      <c r="K1541" s="1316"/>
      <c r="L1541" s="1316"/>
      <c r="M1541" s="1316"/>
      <c r="N1541" s="1316"/>
      <c r="O1541" s="1316"/>
      <c r="P1541" s="1316"/>
      <c r="Q1541" s="1316"/>
      <c r="R1541" s="1316"/>
    </row>
    <row r="1542" s="1317" customFormat="true" ht="15" hidden="false" customHeight="false" outlineLevel="0" collapsed="false">
      <c r="A1542" s="429"/>
      <c r="B1542" s="1318" t="s">
        <v>4054</v>
      </c>
      <c r="C1542" s="617" t="n">
        <v>58600</v>
      </c>
      <c r="D1542" s="617"/>
      <c r="E1542" s="617"/>
      <c r="F1542" s="617" t="n">
        <f aca="false">C1542+D1542+E1542</f>
        <v>58600</v>
      </c>
      <c r="G1542" s="955" t="n">
        <f aca="false">F1542/149.4</f>
        <v>392.235609103079</v>
      </c>
      <c r="H1542" s="661" t="n">
        <f aca="false">G1542/60</f>
        <v>6.53726015171798</v>
      </c>
      <c r="I1542" s="660" t="n">
        <f aca="false">'норма времени'!D1593</f>
        <v>60</v>
      </c>
      <c r="J1542" s="661" t="n">
        <f aca="false">H1542*I1542</f>
        <v>392.235609103079</v>
      </c>
      <c r="K1542" s="1316"/>
      <c r="L1542" s="1316"/>
      <c r="M1542" s="1316"/>
      <c r="N1542" s="1316"/>
      <c r="O1542" s="1316"/>
      <c r="P1542" s="1316"/>
      <c r="Q1542" s="1316"/>
      <c r="R1542" s="1316"/>
    </row>
    <row r="1543" s="1317" customFormat="true" ht="15" hidden="false" customHeight="false" outlineLevel="0" collapsed="false">
      <c r="A1543" s="429"/>
      <c r="B1543" s="1318" t="s">
        <v>4055</v>
      </c>
      <c r="C1543" s="617" t="n">
        <v>58600</v>
      </c>
      <c r="D1543" s="617"/>
      <c r="E1543" s="617"/>
      <c r="F1543" s="617" t="n">
        <f aca="false">C1543+D1543+E1543</f>
        <v>58600</v>
      </c>
      <c r="G1543" s="955" t="n">
        <f aca="false">F1543/149.4</f>
        <v>392.235609103079</v>
      </c>
      <c r="H1543" s="661" t="n">
        <f aca="false">G1543/60</f>
        <v>6.53726015171798</v>
      </c>
      <c r="I1543" s="660" t="n">
        <f aca="false">'норма времени'!D1594</f>
        <v>60</v>
      </c>
      <c r="J1543" s="661" t="n">
        <f aca="false">H1543*I1543</f>
        <v>392.235609103079</v>
      </c>
      <c r="K1543" s="1316"/>
      <c r="L1543" s="1316"/>
      <c r="M1543" s="1316"/>
      <c r="N1543" s="1316"/>
      <c r="O1543" s="1316"/>
      <c r="P1543" s="1316"/>
      <c r="Q1543" s="1316"/>
      <c r="R1543" s="1316"/>
    </row>
    <row r="1544" s="1317" customFormat="true" ht="47.25" hidden="false" customHeight="false" outlineLevel="0" collapsed="false">
      <c r="A1544" s="142" t="s">
        <v>2674</v>
      </c>
      <c r="B1544" s="430" t="s">
        <v>4057</v>
      </c>
      <c r="C1544" s="617"/>
      <c r="D1544" s="617"/>
      <c r="E1544" s="617"/>
      <c r="F1544" s="617"/>
      <c r="G1544" s="955"/>
      <c r="H1544" s="661"/>
      <c r="I1544" s="660"/>
      <c r="J1544" s="661"/>
      <c r="K1544" s="1316"/>
      <c r="L1544" s="1316"/>
      <c r="M1544" s="1316"/>
      <c r="N1544" s="1316"/>
      <c r="O1544" s="1316"/>
      <c r="P1544" s="1316"/>
      <c r="Q1544" s="1316"/>
      <c r="R1544" s="1316"/>
    </row>
    <row r="1545" s="1317" customFormat="true" ht="15" hidden="false" customHeight="false" outlineLevel="0" collapsed="false">
      <c r="A1545" s="142"/>
      <c r="B1545" s="1318" t="s">
        <v>4052</v>
      </c>
      <c r="C1545" s="617" t="n">
        <v>58600</v>
      </c>
      <c r="D1545" s="617"/>
      <c r="E1545" s="617"/>
      <c r="F1545" s="617" t="n">
        <f aca="false">C1545+D1545+E1545</f>
        <v>58600</v>
      </c>
      <c r="G1545" s="955" t="n">
        <f aca="false">F1545/149.4</f>
        <v>392.235609103079</v>
      </c>
      <c r="H1545" s="661" t="n">
        <f aca="false">G1545/60</f>
        <v>6.53726015171798</v>
      </c>
      <c r="I1545" s="660" t="n">
        <f aca="false">'норма времени'!D1596</f>
        <v>60</v>
      </c>
      <c r="J1545" s="661" t="n">
        <f aca="false">H1545*I1545</f>
        <v>392.235609103079</v>
      </c>
      <c r="K1545" s="1316"/>
      <c r="L1545" s="1316"/>
      <c r="M1545" s="1316"/>
      <c r="N1545" s="1316"/>
      <c r="O1545" s="1316"/>
      <c r="P1545" s="1316"/>
      <c r="Q1545" s="1316"/>
      <c r="R1545" s="1316"/>
    </row>
    <row r="1546" s="1317" customFormat="true" ht="15" hidden="false" customHeight="false" outlineLevel="0" collapsed="false">
      <c r="A1546" s="142"/>
      <c r="B1546" s="1318" t="s">
        <v>4053</v>
      </c>
      <c r="C1546" s="617" t="n">
        <v>53000</v>
      </c>
      <c r="D1546" s="617"/>
      <c r="E1546" s="617"/>
      <c r="F1546" s="617" t="n">
        <f aca="false">C1546+D1546+E1546</f>
        <v>53000</v>
      </c>
      <c r="G1546" s="955" t="n">
        <f aca="false">F1546/149.4</f>
        <v>354.75234270415</v>
      </c>
      <c r="H1546" s="661" t="n">
        <f aca="false">G1546/60</f>
        <v>5.91253904506917</v>
      </c>
      <c r="I1546" s="660" t="n">
        <f aca="false">'норма времени'!D1597</f>
        <v>60</v>
      </c>
      <c r="J1546" s="661" t="n">
        <f aca="false">H1546*I1546</f>
        <v>354.75234270415</v>
      </c>
      <c r="K1546" s="1316"/>
      <c r="L1546" s="1316"/>
      <c r="M1546" s="1316"/>
      <c r="N1546" s="1316"/>
      <c r="O1546" s="1316"/>
      <c r="P1546" s="1316"/>
      <c r="Q1546" s="1316"/>
      <c r="R1546" s="1316"/>
    </row>
    <row r="1547" s="1317" customFormat="true" ht="15" hidden="false" customHeight="false" outlineLevel="0" collapsed="false">
      <c r="A1547" s="142"/>
      <c r="B1547" s="1318" t="s">
        <v>4054</v>
      </c>
      <c r="C1547" s="617" t="n">
        <v>50900</v>
      </c>
      <c r="D1547" s="617"/>
      <c r="E1547" s="617"/>
      <c r="F1547" s="617" t="n">
        <f aca="false">C1547+D1547+E1547</f>
        <v>50900</v>
      </c>
      <c r="G1547" s="955" t="n">
        <f aca="false">F1547/149.4</f>
        <v>340.696117804552</v>
      </c>
      <c r="H1547" s="661" t="n">
        <f aca="false">G1547/60</f>
        <v>5.67826863007586</v>
      </c>
      <c r="I1547" s="660" t="n">
        <f aca="false">'норма времени'!D1598</f>
        <v>60</v>
      </c>
      <c r="J1547" s="661" t="n">
        <f aca="false">H1547*I1547</f>
        <v>340.696117804552</v>
      </c>
      <c r="K1547" s="1316"/>
      <c r="L1547" s="1316"/>
      <c r="M1547" s="1316"/>
      <c r="N1547" s="1316"/>
      <c r="O1547" s="1316"/>
      <c r="P1547" s="1316"/>
      <c r="Q1547" s="1316"/>
      <c r="R1547" s="1316"/>
    </row>
    <row r="1548" s="1317" customFormat="true" ht="15" hidden="false" customHeight="false" outlineLevel="0" collapsed="false">
      <c r="A1548" s="142"/>
      <c r="B1548" s="1318" t="s">
        <v>4055</v>
      </c>
      <c r="C1548" s="617" t="n">
        <v>49400</v>
      </c>
      <c r="D1548" s="617"/>
      <c r="E1548" s="617"/>
      <c r="F1548" s="617" t="n">
        <f aca="false">C1548+D1548+E1548</f>
        <v>49400</v>
      </c>
      <c r="G1548" s="955" t="n">
        <f aca="false">F1548/149.4</f>
        <v>330.655957161981</v>
      </c>
      <c r="H1548" s="661" t="n">
        <f aca="false">G1548/60</f>
        <v>5.51093261936635</v>
      </c>
      <c r="I1548" s="660" t="n">
        <f aca="false">'норма времени'!D1599</f>
        <v>60</v>
      </c>
      <c r="J1548" s="661" t="n">
        <f aca="false">H1548*I1548</f>
        <v>330.655957161981</v>
      </c>
      <c r="K1548" s="1316"/>
      <c r="L1548" s="1316"/>
      <c r="M1548" s="1316"/>
      <c r="N1548" s="1316"/>
      <c r="O1548" s="1316"/>
      <c r="P1548" s="1316"/>
      <c r="Q1548" s="1316"/>
      <c r="R1548" s="1316"/>
    </row>
    <row r="1549" s="1317" customFormat="true" ht="28.5" hidden="false" customHeight="false" outlineLevel="0" collapsed="false">
      <c r="A1549" s="142"/>
      <c r="B1549" s="213" t="s">
        <v>4058</v>
      </c>
      <c r="C1549" s="617"/>
      <c r="D1549" s="617"/>
      <c r="E1549" s="617"/>
      <c r="F1549" s="617"/>
      <c r="G1549" s="955"/>
      <c r="H1549" s="661"/>
      <c r="I1549" s="660"/>
      <c r="J1549" s="661"/>
      <c r="K1549" s="1316"/>
      <c r="L1549" s="1316"/>
      <c r="M1549" s="1316"/>
      <c r="N1549" s="1316"/>
      <c r="O1549" s="1316"/>
      <c r="P1549" s="1316"/>
      <c r="Q1549" s="1316"/>
      <c r="R1549" s="1316"/>
    </row>
    <row r="1550" s="1317" customFormat="true" ht="31.5" hidden="false" customHeight="false" outlineLevel="0" collapsed="false">
      <c r="A1550" s="431" t="s">
        <v>2677</v>
      </c>
      <c r="B1550" s="430" t="s">
        <v>4059</v>
      </c>
      <c r="C1550" s="617"/>
      <c r="D1550" s="617"/>
      <c r="E1550" s="617"/>
      <c r="F1550" s="617"/>
      <c r="G1550" s="955"/>
      <c r="H1550" s="661"/>
      <c r="I1550" s="660"/>
      <c r="J1550" s="661"/>
      <c r="K1550" s="1316"/>
      <c r="L1550" s="1316"/>
      <c r="M1550" s="1316"/>
      <c r="N1550" s="1316"/>
      <c r="O1550" s="1316"/>
      <c r="P1550" s="1316"/>
      <c r="Q1550" s="1316"/>
      <c r="R1550" s="1316"/>
    </row>
    <row r="1551" s="1317" customFormat="true" ht="15.75" hidden="false" customHeight="false" outlineLevel="0" collapsed="false">
      <c r="A1551" s="431"/>
      <c r="B1551" s="432" t="s">
        <v>4052</v>
      </c>
      <c r="C1551" s="617"/>
      <c r="D1551" s="617" t="n">
        <v>28000</v>
      </c>
      <c r="E1551" s="617"/>
      <c r="F1551" s="617" t="n">
        <f aca="false">D1551</f>
        <v>28000</v>
      </c>
      <c r="G1551" s="955" t="n">
        <f aca="false">F1551/149.4</f>
        <v>187.416331994645</v>
      </c>
      <c r="H1551" s="661" t="n">
        <f aca="false">G1551/60</f>
        <v>3.12360553324409</v>
      </c>
      <c r="I1551" s="660" t="n">
        <f aca="false">'норма времени'!D1602</f>
        <v>60</v>
      </c>
      <c r="J1551" s="661" t="n">
        <f aca="false">H1551*I1551</f>
        <v>187.416331994645</v>
      </c>
      <c r="K1551" s="1316"/>
      <c r="L1551" s="1316"/>
      <c r="M1551" s="1316"/>
      <c r="N1551" s="1316"/>
      <c r="O1551" s="1316"/>
      <c r="P1551" s="1316"/>
      <c r="Q1551" s="1316"/>
      <c r="R1551" s="1316"/>
    </row>
    <row r="1552" s="1317" customFormat="true" ht="15.75" hidden="false" customHeight="false" outlineLevel="0" collapsed="false">
      <c r="A1552" s="431"/>
      <c r="B1552" s="432" t="s">
        <v>4053</v>
      </c>
      <c r="C1552" s="617"/>
      <c r="D1552" s="617" t="n">
        <v>17000</v>
      </c>
      <c r="E1552" s="617"/>
      <c r="F1552" s="617" t="n">
        <f aca="false">D1552</f>
        <v>17000</v>
      </c>
      <c r="G1552" s="955" t="n">
        <f aca="false">F1552/149.4</f>
        <v>113.788487282463</v>
      </c>
      <c r="H1552" s="661" t="n">
        <f aca="false">G1552/60</f>
        <v>1.89647478804105</v>
      </c>
      <c r="I1552" s="660" t="n">
        <f aca="false">'норма времени'!D1603</f>
        <v>60</v>
      </c>
      <c r="J1552" s="661" t="n">
        <f aca="false">H1552*I1552</f>
        <v>113.788487282463</v>
      </c>
      <c r="K1552" s="1316"/>
      <c r="L1552" s="1316"/>
      <c r="M1552" s="1316"/>
      <c r="N1552" s="1316"/>
      <c r="O1552" s="1316"/>
      <c r="P1552" s="1316"/>
      <c r="Q1552" s="1316"/>
      <c r="R1552" s="1316"/>
    </row>
    <row r="1553" s="1317" customFormat="true" ht="15.75" hidden="false" customHeight="false" outlineLevel="0" collapsed="false">
      <c r="A1553" s="431"/>
      <c r="B1553" s="432" t="s">
        <v>4054</v>
      </c>
      <c r="C1553" s="617"/>
      <c r="D1553" s="617" t="n">
        <v>16500</v>
      </c>
      <c r="E1553" s="617"/>
      <c r="F1553" s="617" t="n">
        <f aca="false">D1553</f>
        <v>16500</v>
      </c>
      <c r="G1553" s="955" t="n">
        <f aca="false">F1553/149.4</f>
        <v>110.441767068273</v>
      </c>
      <c r="H1553" s="661" t="n">
        <f aca="false">G1553/60</f>
        <v>1.84069611780455</v>
      </c>
      <c r="I1553" s="660" t="n">
        <f aca="false">'норма времени'!D1604</f>
        <v>60</v>
      </c>
      <c r="J1553" s="661" t="n">
        <f aca="false">H1553*I1553</f>
        <v>110.441767068273</v>
      </c>
      <c r="K1553" s="1316"/>
      <c r="L1553" s="1316"/>
      <c r="M1553" s="1316"/>
      <c r="N1553" s="1316"/>
      <c r="O1553" s="1316"/>
      <c r="P1553" s="1316"/>
      <c r="Q1553" s="1316"/>
      <c r="R1553" s="1316"/>
    </row>
    <row r="1554" s="1317" customFormat="true" ht="30" hidden="false" customHeight="false" outlineLevel="0" collapsed="false">
      <c r="A1554" s="431" t="s">
        <v>2678</v>
      </c>
      <c r="B1554" s="217" t="s">
        <v>4060</v>
      </c>
      <c r="C1554" s="617"/>
      <c r="D1554" s="617"/>
      <c r="E1554" s="617"/>
      <c r="F1554" s="617"/>
      <c r="G1554" s="955"/>
      <c r="H1554" s="661"/>
      <c r="I1554" s="660"/>
      <c r="J1554" s="661"/>
      <c r="K1554" s="1316"/>
      <c r="L1554" s="1316"/>
      <c r="M1554" s="1316"/>
      <c r="N1554" s="1316"/>
      <c r="O1554" s="1316"/>
      <c r="P1554" s="1316"/>
      <c r="Q1554" s="1316"/>
      <c r="R1554" s="1316"/>
    </row>
    <row r="1555" s="1317" customFormat="true" ht="15.75" hidden="false" customHeight="false" outlineLevel="0" collapsed="false">
      <c r="A1555" s="431"/>
      <c r="B1555" s="217" t="s">
        <v>4052</v>
      </c>
      <c r="C1555" s="617"/>
      <c r="D1555" s="617" t="n">
        <v>38000</v>
      </c>
      <c r="E1555" s="617"/>
      <c r="F1555" s="617" t="n">
        <f aca="false">D1555</f>
        <v>38000</v>
      </c>
      <c r="G1555" s="955" t="n">
        <f aca="false">F1555/149.4</f>
        <v>254.350736278447</v>
      </c>
      <c r="H1555" s="661" t="n">
        <f aca="false">G1555/60</f>
        <v>4.23917893797412</v>
      </c>
      <c r="I1555" s="660" t="n">
        <f aca="false">'норма времени'!D1606</f>
        <v>60</v>
      </c>
      <c r="J1555" s="661" t="n">
        <f aca="false">H1555*I1555</f>
        <v>254.350736278447</v>
      </c>
      <c r="K1555" s="1316"/>
      <c r="L1555" s="1316"/>
      <c r="M1555" s="1316"/>
      <c r="N1555" s="1316"/>
      <c r="O1555" s="1316"/>
      <c r="P1555" s="1316"/>
      <c r="Q1555" s="1316"/>
      <c r="R1555" s="1316"/>
    </row>
    <row r="1556" s="1317" customFormat="true" ht="15.75" hidden="false" customHeight="false" outlineLevel="0" collapsed="false">
      <c r="A1556" s="431"/>
      <c r="B1556" s="217" t="s">
        <v>4053</v>
      </c>
      <c r="C1556" s="617"/>
      <c r="D1556" s="617" t="n">
        <v>38000</v>
      </c>
      <c r="E1556" s="617"/>
      <c r="F1556" s="617" t="n">
        <f aca="false">D1556</f>
        <v>38000</v>
      </c>
      <c r="G1556" s="955" t="n">
        <f aca="false">F1556/149.4</f>
        <v>254.350736278447</v>
      </c>
      <c r="H1556" s="661" t="n">
        <f aca="false">G1556/60</f>
        <v>4.23917893797412</v>
      </c>
      <c r="I1556" s="660" t="n">
        <f aca="false">'норма времени'!D1607</f>
        <v>60</v>
      </c>
      <c r="J1556" s="661" t="n">
        <f aca="false">H1556*I1556</f>
        <v>254.350736278447</v>
      </c>
      <c r="K1556" s="1316"/>
      <c r="L1556" s="1316"/>
      <c r="M1556" s="1316"/>
      <c r="N1556" s="1316"/>
      <c r="O1556" s="1316"/>
      <c r="P1556" s="1316"/>
      <c r="Q1556" s="1316"/>
      <c r="R1556" s="1316"/>
    </row>
    <row r="1557" s="1317" customFormat="true" ht="15.75" hidden="false" customHeight="false" outlineLevel="0" collapsed="false">
      <c r="A1557" s="431"/>
      <c r="B1557" s="217" t="s">
        <v>4054</v>
      </c>
      <c r="C1557" s="617"/>
      <c r="D1557" s="617" t="n">
        <v>38000</v>
      </c>
      <c r="E1557" s="617"/>
      <c r="F1557" s="617" t="n">
        <f aca="false">D1557</f>
        <v>38000</v>
      </c>
      <c r="G1557" s="955" t="n">
        <f aca="false">F1557/149.4</f>
        <v>254.350736278447</v>
      </c>
      <c r="H1557" s="661" t="n">
        <f aca="false">G1557/60</f>
        <v>4.23917893797412</v>
      </c>
      <c r="I1557" s="660" t="n">
        <f aca="false">'норма времени'!D1608</f>
        <v>60</v>
      </c>
      <c r="J1557" s="661" t="n">
        <f aca="false">H1557*I1557</f>
        <v>254.350736278447</v>
      </c>
      <c r="K1557" s="1316"/>
      <c r="L1557" s="1316"/>
      <c r="M1557" s="1316"/>
      <c r="N1557" s="1316"/>
      <c r="O1557" s="1316"/>
      <c r="P1557" s="1316"/>
      <c r="Q1557" s="1316"/>
      <c r="R1557" s="1316"/>
    </row>
    <row r="1558" s="1317" customFormat="true" ht="31.5" hidden="false" customHeight="false" outlineLevel="0" collapsed="false">
      <c r="A1558" s="431" t="s">
        <v>2679</v>
      </c>
      <c r="B1558" s="430" t="s">
        <v>4061</v>
      </c>
      <c r="C1558" s="617"/>
      <c r="D1558" s="617"/>
      <c r="E1558" s="617"/>
      <c r="F1558" s="617"/>
      <c r="G1558" s="955"/>
      <c r="H1558" s="661"/>
      <c r="I1558" s="660"/>
      <c r="J1558" s="661"/>
      <c r="K1558" s="1316"/>
      <c r="L1558" s="1316"/>
      <c r="M1558" s="1316"/>
      <c r="N1558" s="1316"/>
      <c r="O1558" s="1316"/>
      <c r="P1558" s="1316"/>
      <c r="Q1558" s="1316"/>
      <c r="R1558" s="1316"/>
    </row>
    <row r="1559" s="1317" customFormat="true" ht="15.75" hidden="false" customHeight="false" outlineLevel="0" collapsed="false">
      <c r="A1559" s="431"/>
      <c r="B1559" s="217" t="s">
        <v>4052</v>
      </c>
      <c r="C1559" s="617"/>
      <c r="D1559" s="617" t="n">
        <v>28000</v>
      </c>
      <c r="E1559" s="617"/>
      <c r="F1559" s="617" t="n">
        <f aca="false">D1559</f>
        <v>28000</v>
      </c>
      <c r="G1559" s="955" t="n">
        <f aca="false">F1559/149.4</f>
        <v>187.416331994645</v>
      </c>
      <c r="H1559" s="661" t="n">
        <f aca="false">G1559/60</f>
        <v>3.12360553324409</v>
      </c>
      <c r="I1559" s="660" t="n">
        <f aca="false">'норма времени'!D1610</f>
        <v>60</v>
      </c>
      <c r="J1559" s="661" t="n">
        <f aca="false">H1559*I1559</f>
        <v>187.416331994645</v>
      </c>
      <c r="K1559" s="1316"/>
      <c r="L1559" s="1316"/>
      <c r="M1559" s="1316"/>
      <c r="N1559" s="1316"/>
      <c r="O1559" s="1316"/>
      <c r="P1559" s="1316"/>
      <c r="Q1559" s="1316"/>
      <c r="R1559" s="1316"/>
    </row>
    <row r="1560" s="1317" customFormat="true" ht="15.75" hidden="false" customHeight="false" outlineLevel="0" collapsed="false">
      <c r="A1560" s="431"/>
      <c r="B1560" s="217" t="s">
        <v>4053</v>
      </c>
      <c r="C1560" s="617"/>
      <c r="D1560" s="617" t="n">
        <v>17000</v>
      </c>
      <c r="E1560" s="617"/>
      <c r="F1560" s="617" t="n">
        <f aca="false">D1560</f>
        <v>17000</v>
      </c>
      <c r="G1560" s="955" t="n">
        <f aca="false">F1560/149.4</f>
        <v>113.788487282463</v>
      </c>
      <c r="H1560" s="661" t="n">
        <f aca="false">G1560/60</f>
        <v>1.89647478804105</v>
      </c>
      <c r="I1560" s="660" t="n">
        <f aca="false">'норма времени'!D1611</f>
        <v>60</v>
      </c>
      <c r="J1560" s="661" t="n">
        <f aca="false">H1560*I1560</f>
        <v>113.788487282463</v>
      </c>
      <c r="K1560" s="1316"/>
      <c r="L1560" s="1316"/>
      <c r="M1560" s="1316"/>
      <c r="N1560" s="1316"/>
      <c r="O1560" s="1316"/>
      <c r="P1560" s="1316"/>
      <c r="Q1560" s="1316"/>
      <c r="R1560" s="1316"/>
    </row>
    <row r="1561" s="1317" customFormat="true" ht="15.75" hidden="false" customHeight="false" outlineLevel="0" collapsed="false">
      <c r="A1561" s="431"/>
      <c r="B1561" s="217" t="s">
        <v>4054</v>
      </c>
      <c r="C1561" s="617"/>
      <c r="D1561" s="617" t="n">
        <v>16500</v>
      </c>
      <c r="E1561" s="617"/>
      <c r="F1561" s="617" t="n">
        <f aca="false">D1561</f>
        <v>16500</v>
      </c>
      <c r="G1561" s="955" t="n">
        <f aca="false">F1561/149.4</f>
        <v>110.441767068273</v>
      </c>
      <c r="H1561" s="661" t="n">
        <f aca="false">G1561/60</f>
        <v>1.84069611780455</v>
      </c>
      <c r="I1561" s="660" t="n">
        <f aca="false">'норма времени'!D1612</f>
        <v>60</v>
      </c>
      <c r="J1561" s="661" t="n">
        <f aca="false">H1561*I1561</f>
        <v>110.441767068273</v>
      </c>
      <c r="K1561" s="1316"/>
      <c r="L1561" s="1316"/>
      <c r="M1561" s="1316"/>
      <c r="N1561" s="1316"/>
      <c r="O1561" s="1316"/>
      <c r="P1561" s="1316"/>
      <c r="Q1561" s="1316"/>
      <c r="R1561" s="1316"/>
    </row>
    <row r="1562" s="1317" customFormat="true" ht="30" hidden="false" customHeight="false" outlineLevel="0" collapsed="false">
      <c r="A1562" s="431" t="s">
        <v>2680</v>
      </c>
      <c r="B1562" s="217" t="s">
        <v>4062</v>
      </c>
      <c r="C1562" s="617" t="n">
        <v>58600</v>
      </c>
      <c r="D1562" s="617"/>
      <c r="E1562" s="617"/>
      <c r="F1562" s="617" t="n">
        <f aca="false">C1562+D1562+E1562</f>
        <v>58600</v>
      </c>
      <c r="G1562" s="955" t="n">
        <f aca="false">F1562/149.4</f>
        <v>392.235609103079</v>
      </c>
      <c r="H1562" s="661" t="n">
        <f aca="false">G1562/60</f>
        <v>6.53726015171798</v>
      </c>
      <c r="I1562" s="660" t="n">
        <f aca="false">'норма времени'!D1613</f>
        <v>60</v>
      </c>
      <c r="J1562" s="661" t="n">
        <f aca="false">H1562*I1562</f>
        <v>392.235609103079</v>
      </c>
      <c r="K1562" s="1316"/>
      <c r="L1562" s="1316"/>
      <c r="M1562" s="1316"/>
      <c r="N1562" s="1316"/>
      <c r="O1562" s="1316"/>
      <c r="P1562" s="1316"/>
      <c r="Q1562" s="1316"/>
      <c r="R1562" s="1316"/>
    </row>
    <row r="1563" s="1317" customFormat="true" ht="30" hidden="false" customHeight="false" outlineLevel="0" collapsed="false">
      <c r="A1563" s="431" t="s">
        <v>2682</v>
      </c>
      <c r="B1563" s="217" t="s">
        <v>4063</v>
      </c>
      <c r="C1563" s="617" t="n">
        <v>58600</v>
      </c>
      <c r="D1563" s="617"/>
      <c r="E1563" s="617"/>
      <c r="F1563" s="617" t="n">
        <f aca="false">C1563+D1563+E1563</f>
        <v>58600</v>
      </c>
      <c r="G1563" s="955" t="n">
        <f aca="false">F1563/149.4</f>
        <v>392.235609103079</v>
      </c>
      <c r="H1563" s="661" t="n">
        <f aca="false">G1563/60</f>
        <v>6.53726015171798</v>
      </c>
      <c r="I1563" s="660" t="n">
        <f aca="false">'норма времени'!D1614</f>
        <v>60</v>
      </c>
      <c r="J1563" s="661" t="n">
        <f aca="false">H1563*I1563</f>
        <v>392.235609103079</v>
      </c>
      <c r="K1563" s="1316"/>
      <c r="L1563" s="1316"/>
      <c r="M1563" s="1316"/>
      <c r="N1563" s="1316"/>
      <c r="O1563" s="1316"/>
      <c r="P1563" s="1316"/>
      <c r="Q1563" s="1316"/>
      <c r="R1563" s="1316"/>
    </row>
    <row r="1564" s="531" customFormat="true" ht="15" hidden="false" customHeight="false" outlineLevel="0" collapsed="false">
      <c r="A1564" s="142" t="s">
        <v>2684</v>
      </c>
      <c r="B1564" s="433" t="s">
        <v>4064</v>
      </c>
      <c r="C1564" s="954" t="n">
        <v>51982</v>
      </c>
      <c r="D1564" s="954"/>
      <c r="E1564" s="954"/>
      <c r="F1564" s="1276" t="n">
        <f aca="false">C1564+D1564+E1564</f>
        <v>51982</v>
      </c>
      <c r="G1564" s="955" t="n">
        <f aca="false">F1564/149.4</f>
        <v>347.938420348059</v>
      </c>
      <c r="H1564" s="976" t="n">
        <f aca="false">G1564/60</f>
        <v>5.79897367246765</v>
      </c>
      <c r="I1564" s="1277" t="n">
        <f aca="false">'норма времени'!D1615</f>
        <v>1800</v>
      </c>
      <c r="J1564" s="976" t="n">
        <f aca="false">H1564*I1564</f>
        <v>10438.1526104418</v>
      </c>
    </row>
    <row r="1565" s="531" customFormat="true" ht="20.25" hidden="false" customHeight="true" outlineLevel="0" collapsed="false">
      <c r="A1565" s="343" t="s">
        <v>6887</v>
      </c>
      <c r="B1565" s="1265" t="s">
        <v>4066</v>
      </c>
      <c r="C1565" s="1261"/>
      <c r="D1565" s="1261"/>
      <c r="E1565" s="1261"/>
      <c r="F1565" s="1262"/>
      <c r="G1565" s="1262"/>
      <c r="H1565" s="1263"/>
      <c r="I1565" s="1263"/>
      <c r="J1565" s="1263"/>
    </row>
    <row r="1566" s="531" customFormat="true" ht="15" hidden="false" customHeight="false" outlineLevel="0" collapsed="false">
      <c r="A1566" s="571" t="s">
        <v>2689</v>
      </c>
      <c r="B1566" s="328" t="s">
        <v>4067</v>
      </c>
      <c r="C1566" s="954" t="n">
        <v>65000</v>
      </c>
      <c r="D1566" s="954" t="n">
        <v>45000</v>
      </c>
      <c r="E1566" s="954" t="n">
        <v>25000</v>
      </c>
      <c r="F1566" s="1276" t="n">
        <f aca="false">C1566+D1566+E1566</f>
        <v>135000</v>
      </c>
      <c r="G1566" s="955" t="n">
        <f aca="false">F1566/149.4</f>
        <v>903.614457831325</v>
      </c>
      <c r="H1566" s="976" t="n">
        <f aca="false">G1566/60</f>
        <v>15.0602409638554</v>
      </c>
      <c r="I1566" s="1277" t="n">
        <f aca="false">'норма времени'!D1617</f>
        <v>70</v>
      </c>
      <c r="J1566" s="976" t="n">
        <f aca="false">H1566*I1566</f>
        <v>1054.21686746988</v>
      </c>
    </row>
    <row r="1567" s="531" customFormat="true" ht="15" hidden="false" customHeight="false" outlineLevel="0" collapsed="false">
      <c r="A1567" s="571" t="s">
        <v>2692</v>
      </c>
      <c r="B1567" s="328" t="s">
        <v>4068</v>
      </c>
      <c r="C1567" s="954" t="n">
        <v>65000</v>
      </c>
      <c r="D1567" s="954" t="n">
        <v>45000</v>
      </c>
      <c r="E1567" s="954" t="n">
        <v>25000</v>
      </c>
      <c r="F1567" s="1276" t="n">
        <f aca="false">C1567+D1567+E1567</f>
        <v>135000</v>
      </c>
      <c r="G1567" s="955" t="n">
        <f aca="false">F1567/149.4</f>
        <v>903.614457831325</v>
      </c>
      <c r="H1567" s="976" t="n">
        <f aca="false">G1567/60</f>
        <v>15.0602409638554</v>
      </c>
      <c r="I1567" s="1277" t="n">
        <f aca="false">'норма времени'!D1618</f>
        <v>70</v>
      </c>
      <c r="J1567" s="976" t="n">
        <f aca="false">H1567*I1567</f>
        <v>1054.21686746988</v>
      </c>
    </row>
    <row r="1568" s="531" customFormat="true" ht="15" hidden="false" customHeight="false" outlineLevel="0" collapsed="false">
      <c r="A1568" s="571" t="s">
        <v>2694</v>
      </c>
      <c r="B1568" s="328" t="s">
        <v>4069</v>
      </c>
      <c r="C1568" s="954" t="n">
        <v>65000</v>
      </c>
      <c r="D1568" s="954" t="n">
        <v>45000</v>
      </c>
      <c r="E1568" s="954" t="n">
        <v>25000</v>
      </c>
      <c r="F1568" s="1276" t="n">
        <f aca="false">C1568+D1568+E1568</f>
        <v>135000</v>
      </c>
      <c r="G1568" s="955" t="n">
        <f aca="false">F1568/149.4</f>
        <v>903.614457831325</v>
      </c>
      <c r="H1568" s="976" t="n">
        <f aca="false">G1568/60</f>
        <v>15.0602409638554</v>
      </c>
      <c r="I1568" s="1277" t="n">
        <f aca="false">'норма времени'!D1619</f>
        <v>141.2</v>
      </c>
      <c r="J1568" s="976" t="n">
        <f aca="false">H1568*I1568</f>
        <v>2126.50602409639</v>
      </c>
    </row>
    <row r="1569" s="531" customFormat="true" ht="15" hidden="false" customHeight="false" outlineLevel="0" collapsed="false">
      <c r="A1569" s="571" t="s">
        <v>2696</v>
      </c>
      <c r="B1569" s="328" t="s">
        <v>4070</v>
      </c>
      <c r="C1569" s="954" t="n">
        <v>65000</v>
      </c>
      <c r="D1569" s="954" t="n">
        <v>45000</v>
      </c>
      <c r="E1569" s="954" t="n">
        <v>25000</v>
      </c>
      <c r="F1569" s="1276" t="n">
        <f aca="false">C1569+D1569+E1569</f>
        <v>135000</v>
      </c>
      <c r="G1569" s="955" t="n">
        <f aca="false">F1569/149.4</f>
        <v>903.614457831325</v>
      </c>
      <c r="H1569" s="976" t="n">
        <f aca="false">G1569/60</f>
        <v>15.0602409638554</v>
      </c>
      <c r="I1569" s="1277" t="n">
        <f aca="false">'норма времени'!D1620</f>
        <v>70</v>
      </c>
      <c r="J1569" s="976" t="n">
        <f aca="false">H1569*I1569</f>
        <v>1054.21686746988</v>
      </c>
    </row>
    <row r="1570" s="531" customFormat="true" ht="15.75" hidden="false" customHeight="false" outlineLevel="0" collapsed="false">
      <c r="A1570" s="399" t="s">
        <v>2698</v>
      </c>
      <c r="B1570" s="401" t="s">
        <v>4071</v>
      </c>
      <c r="C1570" s="1261"/>
      <c r="D1570" s="1261"/>
      <c r="E1570" s="1261"/>
      <c r="F1570" s="1262"/>
      <c r="G1570" s="1262"/>
      <c r="H1570" s="1263"/>
      <c r="I1570" s="1263"/>
      <c r="J1570" s="1263"/>
    </row>
    <row r="1571" s="531" customFormat="true" ht="45" hidden="false" customHeight="false" outlineLevel="0" collapsed="false">
      <c r="A1571" s="435" t="s">
        <v>2700</v>
      </c>
      <c r="B1571" s="40" t="s">
        <v>4072</v>
      </c>
      <c r="C1571" s="1279" t="n">
        <v>150000</v>
      </c>
      <c r="D1571" s="1279"/>
      <c r="E1571" s="1279" t="n">
        <v>150000</v>
      </c>
      <c r="F1571" s="1279" t="n">
        <f aca="false">C1571+D1571+E1571</f>
        <v>300000</v>
      </c>
      <c r="G1571" s="1319" t="n">
        <f aca="false">F1571/149.4</f>
        <v>2008.03212851406</v>
      </c>
      <c r="H1571" s="661" t="n">
        <f aca="false">G1571/60</f>
        <v>33.4672021419009</v>
      </c>
      <c r="I1571" s="661" t="n">
        <f aca="false">'норма времени'!D1622</f>
        <v>21600</v>
      </c>
      <c r="J1571" s="686" t="n">
        <f aca="false">H1571*I1571</f>
        <v>722891.56626506</v>
      </c>
    </row>
    <row r="1572" s="531" customFormat="true" ht="30" hidden="false" customHeight="false" outlineLevel="0" collapsed="false">
      <c r="A1572" s="435" t="s">
        <v>2702</v>
      </c>
      <c r="B1572" s="40" t="s">
        <v>4073</v>
      </c>
      <c r="C1572" s="1279" t="n">
        <v>150000</v>
      </c>
      <c r="D1572" s="1279"/>
      <c r="E1572" s="1279" t="n">
        <v>150000</v>
      </c>
      <c r="F1572" s="1279" t="n">
        <f aca="false">C1572+D1572+E1572</f>
        <v>300000</v>
      </c>
      <c r="G1572" s="1319" t="n">
        <f aca="false">F1572/149.4</f>
        <v>2008.03212851406</v>
      </c>
      <c r="H1572" s="661" t="n">
        <f aca="false">G1572/60</f>
        <v>33.4672021419009</v>
      </c>
      <c r="I1572" s="661" t="n">
        <f aca="false">'норма времени'!D1623</f>
        <v>23040</v>
      </c>
      <c r="J1572" s="686" t="n">
        <f aca="false">H1572*I1572</f>
        <v>771084.337349398</v>
      </c>
    </row>
    <row r="1573" s="531" customFormat="true" ht="30" hidden="false" customHeight="false" outlineLevel="0" collapsed="false">
      <c r="A1573" s="435" t="s">
        <v>2704</v>
      </c>
      <c r="B1573" s="40" t="s">
        <v>4074</v>
      </c>
      <c r="C1573" s="1279" t="n">
        <v>150000</v>
      </c>
      <c r="D1573" s="1279"/>
      <c r="E1573" s="1279" t="n">
        <v>150000</v>
      </c>
      <c r="F1573" s="1279" t="n">
        <f aca="false">C1573+D1573+E1573</f>
        <v>300000</v>
      </c>
      <c r="G1573" s="1319" t="n">
        <f aca="false">F1573/149.4</f>
        <v>2008.03212851406</v>
      </c>
      <c r="H1573" s="661" t="n">
        <f aca="false">G1573/60</f>
        <v>33.4672021419009</v>
      </c>
      <c r="I1573" s="661" t="n">
        <f aca="false">'норма времени'!D1624</f>
        <v>21600</v>
      </c>
      <c r="J1573" s="686" t="n">
        <f aca="false">H1573*I1573</f>
        <v>722891.56626506</v>
      </c>
    </row>
    <row r="1574" s="1323" customFormat="true" ht="87.75" hidden="false" customHeight="true" outlineLevel="0" collapsed="false">
      <c r="A1574" s="1320" t="s">
        <v>2706</v>
      </c>
      <c r="B1574" s="1321" t="s">
        <v>4075</v>
      </c>
      <c r="C1574" s="1322" t="n">
        <v>75150</v>
      </c>
      <c r="D1574" s="1322" t="n">
        <v>70000</v>
      </c>
      <c r="E1574" s="1322" t="n">
        <v>75000</v>
      </c>
      <c r="F1574" s="1276" t="n">
        <f aca="false">C1574+D1574+E1574</f>
        <v>220150</v>
      </c>
      <c r="G1574" s="955" t="n">
        <f aca="false">F1574/149.4</f>
        <v>1473.5609103079</v>
      </c>
      <c r="H1574" s="976" t="n">
        <f aca="false">G1574/60</f>
        <v>24.5593485051316</v>
      </c>
      <c r="I1574" s="1277" t="n">
        <f aca="false">'норма времени'!D1625</f>
        <v>60</v>
      </c>
      <c r="J1574" s="976" t="n">
        <f aca="false">H1574*I1574</f>
        <v>1473.5609103079</v>
      </c>
    </row>
    <row r="1575" s="1323" customFormat="true" ht="26.25" hidden="false" customHeight="true" outlineLevel="0" collapsed="false">
      <c r="A1575" s="442" t="s">
        <v>2708</v>
      </c>
      <c r="B1575" s="401" t="s">
        <v>4076</v>
      </c>
      <c r="C1575" s="169"/>
      <c r="D1575" s="155"/>
      <c r="E1575" s="155"/>
      <c r="F1575" s="227"/>
      <c r="G1575" s="227"/>
      <c r="H1575" s="443"/>
      <c r="I1575" s="1324"/>
      <c r="J1575" s="1325"/>
    </row>
    <row r="1576" s="1323" customFormat="true" ht="31.5" hidden="false" customHeight="false" outlineLevel="0" collapsed="false">
      <c r="A1576" s="399"/>
      <c r="B1576" s="401" t="s">
        <v>4077</v>
      </c>
      <c r="C1576" s="1326" t="n">
        <v>85000</v>
      </c>
      <c r="D1576" s="1327" t="n">
        <v>75000</v>
      </c>
      <c r="E1576" s="1326" t="n">
        <v>71700</v>
      </c>
      <c r="F1576" s="1327" t="n">
        <f aca="false">C1576+D1576+E1576</f>
        <v>231700</v>
      </c>
      <c r="G1576" s="1326" t="n">
        <f aca="false">F1576/149.4</f>
        <v>1550.87014725569</v>
      </c>
      <c r="H1576" s="1327" t="n">
        <f aca="false">G1576/60</f>
        <v>25.8478357875948</v>
      </c>
      <c r="I1576" s="1326" t="n">
        <f aca="false">'норма времени'!D1627</f>
        <v>60</v>
      </c>
      <c r="J1576" s="1327" t="n">
        <f aca="false">H1576*I1576</f>
        <v>1550.87014725569</v>
      </c>
    </row>
    <row r="1577" s="531" customFormat="true" ht="15" hidden="false" customHeight="false" outlineLevel="0" collapsed="false">
      <c r="A1577" s="327"/>
      <c r="B1577" s="577"/>
      <c r="C1577" s="954"/>
      <c r="D1577" s="954"/>
      <c r="E1577" s="954"/>
      <c r="F1577" s="1276"/>
      <c r="G1577" s="955"/>
      <c r="H1577" s="976"/>
      <c r="I1577" s="976"/>
      <c r="J1577" s="976"/>
    </row>
    <row r="1578" s="531" customFormat="true" ht="15" hidden="false" customHeight="false" outlineLevel="0" collapsed="false">
      <c r="A1578" s="578"/>
      <c r="B1578" s="1328"/>
      <c r="C1578" s="1329"/>
      <c r="D1578" s="1329"/>
      <c r="E1578" s="1329"/>
      <c r="F1578" s="1330"/>
      <c r="G1578" s="1330"/>
      <c r="H1578" s="1331"/>
      <c r="I1578" s="1331"/>
      <c r="J1578" s="1331"/>
    </row>
  </sheetData>
  <autoFilter ref="A9:S1569"/>
  <mergeCells count="16">
    <mergeCell ref="A1:J1"/>
    <mergeCell ref="A2:J2"/>
    <mergeCell ref="A3:J3"/>
    <mergeCell ref="A6:A8"/>
    <mergeCell ref="B6:B8"/>
    <mergeCell ref="C6:E6"/>
    <mergeCell ref="F6:F8"/>
    <mergeCell ref="G6:G8"/>
    <mergeCell ref="H6:H8"/>
    <mergeCell ref="I6:I8"/>
    <mergeCell ref="J6:J8"/>
    <mergeCell ref="C7:C8"/>
    <mergeCell ref="D7:D8"/>
    <mergeCell ref="E7:E8"/>
    <mergeCell ref="B1531:E1531"/>
    <mergeCell ref="G1531:J1531"/>
  </mergeCells>
  <printOptions headings="false" gridLines="false" gridLinesSet="true" horizontalCentered="false" verticalCentered="false"/>
  <pageMargins left="0" right="0" top="1.37777777777778" bottom="0" header="0.511811023622047" footer="0.511811023622047"/>
  <pageSetup paperSize="9" scale="8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V6043"/>
  <sheetViews>
    <sheetView showFormulas="false" showGridLines="true" showRowColHeaders="true" showZeros="true" rightToLeft="false" tabSelected="false" showOutlineSymbols="true" defaultGridColor="true" view="pageBreakPreview" topLeftCell="A1" colorId="64" zoomScale="100" zoomScaleNormal="98" zoomScalePageLayoutView="100" workbookViewId="0">
      <pane xSplit="0" ySplit="10" topLeftCell="A6006" activePane="bottomLeft" state="frozen"/>
      <selection pane="topLeft" activeCell="A1" activeCellId="0" sqref="A1"/>
      <selection pane="bottomLeft" activeCell="A6009" activeCellId="0" sqref="A6009"/>
    </sheetView>
  </sheetViews>
  <sheetFormatPr defaultColWidth="9.1484375" defaultRowHeight="15" zeroHeight="false" outlineLevelRow="0" outlineLevelCol="0"/>
  <cols>
    <col collapsed="false" customWidth="true" hidden="false" outlineLevel="0" max="1" min="1" style="1332" width="9"/>
    <col collapsed="false" customWidth="true" hidden="false" outlineLevel="0" max="2" min="2" style="1333" width="40.43"/>
    <col collapsed="false" customWidth="true" hidden="false" outlineLevel="0" max="3" min="3" style="1334" width="36.57"/>
    <col collapsed="false" customWidth="true" hidden="false" outlineLevel="0" max="4" min="4" style="1335" width="10.85"/>
    <col collapsed="false" customWidth="true" hidden="false" outlineLevel="0" max="5" min="5" style="1336" width="12"/>
    <col collapsed="false" customWidth="true" hidden="false" outlineLevel="0" max="6" min="6" style="1336" width="16.85"/>
    <col collapsed="false" customWidth="true" hidden="false" outlineLevel="0" max="7" min="7" style="1337" width="10.42"/>
    <col collapsed="false" customWidth="true" hidden="false" outlineLevel="0" max="8" min="8" style="1336" width="15"/>
    <col collapsed="false" customWidth="true" hidden="false" outlineLevel="0" max="9" min="9" style="1336" width="16.14"/>
    <col collapsed="false" customWidth="true" hidden="false" outlineLevel="0" max="10" min="10" style="1336" width="16"/>
    <col collapsed="false" customWidth="true" hidden="false" outlineLevel="0" max="11" min="11" style="1336" width="14.57"/>
    <col collapsed="false" customWidth="true" hidden="false" outlineLevel="0" max="12" min="12" style="1336" width="11.14"/>
    <col collapsed="false" customWidth="true" hidden="false" outlineLevel="0" max="13" min="13" style="1338" width="14.71"/>
    <col collapsed="false" customWidth="false" hidden="false" outlineLevel="0" max="16384" min="14" style="311" width="9.14"/>
  </cols>
  <sheetData>
    <row r="1" s="1346" customFormat="true" ht="15" hidden="false" customHeight="true" outlineLevel="0" collapsed="false">
      <c r="A1" s="1339"/>
      <c r="B1" s="1340"/>
      <c r="C1" s="1341"/>
      <c r="D1" s="1342"/>
      <c r="E1" s="1343"/>
      <c r="F1" s="1343"/>
      <c r="G1" s="1344"/>
      <c r="H1" s="1343"/>
      <c r="I1" s="1343"/>
      <c r="J1" s="1343"/>
      <c r="K1" s="1345" t="s">
        <v>6908</v>
      </c>
      <c r="L1" s="1345"/>
      <c r="M1" s="1345"/>
    </row>
    <row r="2" s="1346" customFormat="true" ht="15" hidden="false" customHeight="false" outlineLevel="0" collapsed="false">
      <c r="A2" s="1347"/>
      <c r="B2" s="1347"/>
      <c r="C2" s="1347"/>
      <c r="D2" s="1347"/>
      <c r="E2" s="1347"/>
      <c r="F2" s="1347"/>
      <c r="G2" s="1347"/>
      <c r="H2" s="1343"/>
      <c r="I2" s="1343"/>
      <c r="J2" s="1343"/>
      <c r="K2" s="1345"/>
      <c r="L2" s="1345"/>
      <c r="M2" s="1345"/>
    </row>
    <row r="3" s="1346" customFormat="true" ht="15" hidden="false" customHeight="false" outlineLevel="0" collapsed="false">
      <c r="A3" s="1339"/>
      <c r="B3" s="1340"/>
      <c r="C3" s="1341"/>
      <c r="D3" s="1342"/>
      <c r="E3" s="1343"/>
      <c r="F3" s="1343"/>
      <c r="G3" s="1344"/>
      <c r="H3" s="1343"/>
      <c r="I3" s="1343"/>
      <c r="J3" s="1343"/>
      <c r="K3" s="1345"/>
      <c r="L3" s="1345"/>
      <c r="M3" s="1345"/>
    </row>
    <row r="4" s="1346" customFormat="true" ht="15" hidden="false" customHeight="false" outlineLevel="0" collapsed="false">
      <c r="A4" s="1339"/>
      <c r="B4" s="1340"/>
      <c r="C4" s="1341"/>
      <c r="D4" s="1342"/>
      <c r="E4" s="1343"/>
      <c r="F4" s="1343"/>
      <c r="G4" s="1344"/>
      <c r="H4" s="1343"/>
      <c r="I4" s="1343"/>
      <c r="J4" s="1343"/>
      <c r="K4" s="1345"/>
      <c r="L4" s="1345"/>
      <c r="M4" s="1345"/>
    </row>
    <row r="5" s="1346" customFormat="true" ht="15" hidden="false" customHeight="true" outlineLevel="0" collapsed="false">
      <c r="A5" s="1339"/>
      <c r="B5" s="1340"/>
      <c r="C5" s="1341"/>
      <c r="D5" s="1342"/>
      <c r="E5" s="1343"/>
      <c r="F5" s="1343"/>
      <c r="G5" s="1344"/>
      <c r="H5" s="1343"/>
      <c r="I5" s="1343"/>
      <c r="J5" s="1343"/>
      <c r="K5" s="1341" t="s">
        <v>6909</v>
      </c>
      <c r="L5" s="1341"/>
      <c r="M5" s="1341"/>
    </row>
    <row r="6" s="1346" customFormat="true" ht="19.5" hidden="false" customHeight="true" outlineLevel="0" collapsed="false">
      <c r="A6" s="1348" t="s">
        <v>6910</v>
      </c>
      <c r="B6" s="1348"/>
      <c r="C6" s="1348"/>
      <c r="D6" s="1348"/>
      <c r="E6" s="1348"/>
      <c r="F6" s="1348"/>
      <c r="G6" s="1348"/>
      <c r="H6" s="1348"/>
      <c r="I6" s="1348"/>
      <c r="J6" s="1348"/>
      <c r="K6" s="1348"/>
      <c r="L6" s="1348"/>
      <c r="M6" s="1348"/>
    </row>
    <row r="7" s="1346" customFormat="true" ht="22.5" hidden="false" customHeight="true" outlineLevel="0" collapsed="false">
      <c r="A7" s="1226" t="s">
        <v>6911</v>
      </c>
      <c r="B7" s="1226"/>
      <c r="C7" s="1226"/>
      <c r="D7" s="1226"/>
      <c r="E7" s="1226"/>
      <c r="F7" s="1226"/>
      <c r="G7" s="1226"/>
      <c r="H7" s="1226"/>
      <c r="I7" s="1226"/>
      <c r="J7" s="1226"/>
      <c r="K7" s="1226"/>
      <c r="L7" s="1226"/>
      <c r="M7" s="1226"/>
      <c r="N7" s="1349"/>
      <c r="O7" s="1349"/>
      <c r="P7" s="1349"/>
      <c r="Q7" s="1349"/>
      <c r="R7" s="1349"/>
      <c r="S7" s="1349"/>
      <c r="T7" s="1349"/>
      <c r="U7" s="1349"/>
      <c r="V7" s="1349"/>
    </row>
    <row r="8" s="1346" customFormat="true" ht="52.5" hidden="false" customHeight="true" outlineLevel="0" collapsed="false">
      <c r="A8" s="1350" t="s">
        <v>6912</v>
      </c>
      <c r="B8" s="1350"/>
      <c r="C8" s="1350"/>
      <c r="D8" s="1350"/>
      <c r="E8" s="1350"/>
      <c r="F8" s="1350"/>
      <c r="G8" s="1350"/>
      <c r="H8" s="1350"/>
      <c r="I8" s="1350"/>
      <c r="J8" s="1350"/>
      <c r="K8" s="1350"/>
      <c r="L8" s="1350"/>
      <c r="M8" s="1350"/>
      <c r="N8" s="1349"/>
      <c r="O8" s="1349"/>
      <c r="P8" s="1349"/>
      <c r="Q8" s="1349"/>
      <c r="R8" s="1349"/>
      <c r="S8" s="1349"/>
      <c r="T8" s="1349"/>
      <c r="U8" s="1349"/>
      <c r="V8" s="1349"/>
    </row>
    <row r="9" s="1346" customFormat="true" ht="15" hidden="false" customHeight="false" outlineLevel="0" collapsed="false">
      <c r="A9" s="1339"/>
      <c r="B9" s="1340"/>
      <c r="C9" s="1341"/>
      <c r="D9" s="1342"/>
      <c r="E9" s="1343"/>
      <c r="F9" s="1343"/>
      <c r="G9" s="1344"/>
      <c r="H9" s="1343"/>
      <c r="I9" s="1343"/>
      <c r="J9" s="1343"/>
      <c r="K9" s="1343"/>
      <c r="L9" s="1343"/>
      <c r="M9" s="1351"/>
    </row>
    <row r="10" s="1346" customFormat="true" ht="46.5" hidden="false" customHeight="true" outlineLevel="0" collapsed="false">
      <c r="A10" s="1352" t="s">
        <v>6913</v>
      </c>
      <c r="B10" s="1353" t="s">
        <v>6914</v>
      </c>
      <c r="C10" s="1161" t="s">
        <v>6915</v>
      </c>
      <c r="D10" s="317" t="s">
        <v>6916</v>
      </c>
      <c r="E10" s="317" t="s">
        <v>6917</v>
      </c>
      <c r="F10" s="317" t="s">
        <v>6918</v>
      </c>
      <c r="G10" s="1354" t="s">
        <v>6919</v>
      </c>
      <c r="H10" s="317" t="s">
        <v>6920</v>
      </c>
      <c r="I10" s="317" t="s">
        <v>6921</v>
      </c>
      <c r="J10" s="317" t="s">
        <v>6922</v>
      </c>
      <c r="K10" s="317" t="s">
        <v>6923</v>
      </c>
      <c r="L10" s="317" t="s">
        <v>6924</v>
      </c>
      <c r="M10" s="1162" t="s">
        <v>6925</v>
      </c>
    </row>
    <row r="11" s="1346" customFormat="true" ht="15" hidden="false" customHeight="false" outlineLevel="0" collapsed="false">
      <c r="A11" s="1352" t="n">
        <v>1</v>
      </c>
      <c r="B11" s="1352" t="s">
        <v>1320</v>
      </c>
      <c r="C11" s="317" t="n">
        <v>3</v>
      </c>
      <c r="D11" s="317" t="n">
        <v>4</v>
      </c>
      <c r="E11" s="317" t="n">
        <v>5</v>
      </c>
      <c r="F11" s="317" t="n">
        <v>6</v>
      </c>
      <c r="G11" s="317" t="n">
        <v>7</v>
      </c>
      <c r="H11" s="317" t="n">
        <v>8</v>
      </c>
      <c r="I11" s="317" t="n">
        <v>9</v>
      </c>
      <c r="J11" s="317" t="n">
        <v>10</v>
      </c>
      <c r="K11" s="317" t="n">
        <v>11</v>
      </c>
      <c r="L11" s="317" t="n">
        <v>12</v>
      </c>
      <c r="M11" s="317" t="n">
        <v>13</v>
      </c>
    </row>
    <row r="12" s="1346" customFormat="true" ht="60.75" hidden="false" customHeight="true" outlineLevel="0" collapsed="false">
      <c r="A12" s="10" t="n">
        <v>1</v>
      </c>
      <c r="B12" s="1355" t="s">
        <v>2879</v>
      </c>
      <c r="C12" s="1356"/>
      <c r="D12" s="1357"/>
      <c r="E12" s="1358"/>
      <c r="F12" s="1358"/>
      <c r="G12" s="1358"/>
      <c r="H12" s="1358"/>
      <c r="I12" s="1358"/>
      <c r="J12" s="1358"/>
      <c r="K12" s="1358"/>
      <c r="L12" s="1358"/>
      <c r="M12" s="1358"/>
    </row>
    <row r="13" s="1346" customFormat="true" ht="160.5" hidden="false" customHeight="true" outlineLevel="0" collapsed="false">
      <c r="A13" s="1359" t="s">
        <v>11</v>
      </c>
      <c r="B13" s="16" t="s">
        <v>4118</v>
      </c>
      <c r="C13" s="1360"/>
      <c r="D13" s="1361"/>
      <c r="E13" s="1362"/>
      <c r="F13" s="1362"/>
      <c r="G13" s="1362"/>
      <c r="H13" s="1362"/>
      <c r="I13" s="1362"/>
      <c r="J13" s="1362"/>
      <c r="K13" s="1362"/>
      <c r="L13" s="1362"/>
      <c r="M13" s="1362"/>
    </row>
    <row r="14" customFormat="false" ht="30" hidden="false" customHeight="false" outlineLevel="0" collapsed="false">
      <c r="A14" s="216" t="s">
        <v>4119</v>
      </c>
      <c r="B14" s="29" t="s">
        <v>6926</v>
      </c>
      <c r="C14" s="1161" t="s">
        <v>6927</v>
      </c>
      <c r="D14" s="317" t="n">
        <v>2014</v>
      </c>
      <c r="E14" s="317" t="n">
        <f aca="false">2021-D14</f>
        <v>7</v>
      </c>
      <c r="F14" s="1363" t="n">
        <v>375200</v>
      </c>
      <c r="G14" s="1364" t="n">
        <v>0.1</v>
      </c>
      <c r="H14" s="1365" t="n">
        <f aca="false">E14*F14*G14</f>
        <v>262640</v>
      </c>
      <c r="I14" s="1365" t="n">
        <f aca="false">F14-H14</f>
        <v>112560</v>
      </c>
      <c r="J14" s="1365" t="n">
        <f aca="false">F14*G14</f>
        <v>37520</v>
      </c>
      <c r="K14" s="1365" t="n">
        <f aca="false">J14/1792.8</f>
        <v>20.9281570727354</v>
      </c>
      <c r="L14" s="1365" t="n">
        <v>2</v>
      </c>
      <c r="M14" s="1366" t="n">
        <f aca="false">K14*L14/60</f>
        <v>0.697605235757846</v>
      </c>
    </row>
    <row r="15" customFormat="false" ht="15" hidden="false" customHeight="false" outlineLevel="0" collapsed="false">
      <c r="A15" s="216" t="s">
        <v>4129</v>
      </c>
      <c r="B15" s="29" t="s">
        <v>6928</v>
      </c>
      <c r="C15" s="1161" t="s">
        <v>6927</v>
      </c>
      <c r="D15" s="317" t="n">
        <v>2014</v>
      </c>
      <c r="E15" s="317" t="n">
        <f aca="false">2021-D15</f>
        <v>7</v>
      </c>
      <c r="F15" s="1363" t="n">
        <v>375200</v>
      </c>
      <c r="G15" s="1364" t="n">
        <v>0.1</v>
      </c>
      <c r="H15" s="1365" t="n">
        <f aca="false">E15*F15*G15</f>
        <v>262640</v>
      </c>
      <c r="I15" s="1365" t="n">
        <f aca="false">F15-H15</f>
        <v>112560</v>
      </c>
      <c r="J15" s="1365" t="n">
        <f aca="false">F15*G15</f>
        <v>37520</v>
      </c>
      <c r="K15" s="1365" t="n">
        <f aca="false">J15/1792.8</f>
        <v>20.9281570727354</v>
      </c>
      <c r="L15" s="1365" t="n">
        <v>10</v>
      </c>
      <c r="M15" s="1366" t="n">
        <f aca="false">K15*L15/60</f>
        <v>3.48802617878923</v>
      </c>
    </row>
    <row r="16" customFormat="false" ht="36" hidden="false" customHeight="true" outlineLevel="0" collapsed="false">
      <c r="A16" s="216" t="s">
        <v>4134</v>
      </c>
      <c r="B16" s="29" t="s">
        <v>6929</v>
      </c>
      <c r="C16" s="1161" t="s">
        <v>6927</v>
      </c>
      <c r="D16" s="317" t="n">
        <v>2014</v>
      </c>
      <c r="E16" s="317" t="n">
        <f aca="false">2021-D16</f>
        <v>7</v>
      </c>
      <c r="F16" s="1363" t="n">
        <v>375200</v>
      </c>
      <c r="G16" s="1364" t="n">
        <v>0.1</v>
      </c>
      <c r="H16" s="1365" t="n">
        <f aca="false">E16*F16*G16</f>
        <v>262640</v>
      </c>
      <c r="I16" s="1365" t="n">
        <f aca="false">F16-H16</f>
        <v>112560</v>
      </c>
      <c r="J16" s="1365" t="n">
        <f aca="false">F16*G16</f>
        <v>37520</v>
      </c>
      <c r="K16" s="1365" t="n">
        <f aca="false">J16/1792.8</f>
        <v>20.9281570727354</v>
      </c>
      <c r="L16" s="1365" t="n">
        <v>10</v>
      </c>
      <c r="M16" s="1366" t="n">
        <f aca="false">K16*L16/60</f>
        <v>3.48802617878923</v>
      </c>
    </row>
    <row r="17" customFormat="false" ht="15" hidden="false" customHeight="false" outlineLevel="0" collapsed="false">
      <c r="A17" s="216" t="s">
        <v>4135</v>
      </c>
      <c r="B17" s="29" t="s">
        <v>6930</v>
      </c>
      <c r="C17" s="1161" t="s">
        <v>6927</v>
      </c>
      <c r="D17" s="317" t="n">
        <v>2014</v>
      </c>
      <c r="E17" s="317" t="n">
        <f aca="false">2021-D17</f>
        <v>7</v>
      </c>
      <c r="F17" s="1363" t="n">
        <v>375200</v>
      </c>
      <c r="G17" s="1364" t="n">
        <v>0.1</v>
      </c>
      <c r="H17" s="1365" t="n">
        <f aca="false">E17*F17*G17</f>
        <v>262640</v>
      </c>
      <c r="I17" s="1365" t="n">
        <f aca="false">F17-H17</f>
        <v>112560</v>
      </c>
      <c r="J17" s="1365" t="n">
        <f aca="false">F17*G17</f>
        <v>37520</v>
      </c>
      <c r="K17" s="1365" t="n">
        <f aca="false">J17/1792.8</f>
        <v>20.9281570727354</v>
      </c>
      <c r="L17" s="1365" t="n">
        <v>20</v>
      </c>
      <c r="M17" s="1366" t="n">
        <f aca="false">K17*L17/60</f>
        <v>6.97605235757846</v>
      </c>
    </row>
    <row r="18" customFormat="false" ht="15" hidden="false" customHeight="false" outlineLevel="0" collapsed="false">
      <c r="A18" s="216" t="s">
        <v>22</v>
      </c>
      <c r="B18" s="41" t="s">
        <v>2885</v>
      </c>
      <c r="C18" s="1161" t="s">
        <v>6931</v>
      </c>
      <c r="D18" s="317" t="n">
        <v>2009</v>
      </c>
      <c r="E18" s="317" t="n">
        <f aca="false">2021-D18</f>
        <v>12</v>
      </c>
      <c r="F18" s="1367" t="n">
        <v>143000</v>
      </c>
      <c r="G18" s="1364" t="n">
        <v>0.1</v>
      </c>
      <c r="H18" s="1365" t="n">
        <f aca="false">E18*F18*G18</f>
        <v>171600</v>
      </c>
      <c r="I18" s="1365" t="n">
        <f aca="false">F18-H18</f>
        <v>-28600</v>
      </c>
      <c r="J18" s="1365" t="n">
        <f aca="false">F18*G18</f>
        <v>14300</v>
      </c>
      <c r="K18" s="1365" t="n">
        <f aca="false">J18/1792.8</f>
        <v>7.97634984381972</v>
      </c>
      <c r="L18" s="1365" t="n">
        <v>20</v>
      </c>
      <c r="M18" s="1366" t="n">
        <f aca="false">K18*L18/60</f>
        <v>2.65878328127324</v>
      </c>
    </row>
    <row r="19" customFormat="false" ht="15" hidden="false" customHeight="false" outlineLevel="0" collapsed="false">
      <c r="A19" s="216" t="s">
        <v>24</v>
      </c>
      <c r="B19" s="41" t="s">
        <v>6932</v>
      </c>
      <c r="C19" s="1161" t="s">
        <v>6933</v>
      </c>
      <c r="D19" s="317" t="n">
        <v>2014</v>
      </c>
      <c r="E19" s="317" t="n">
        <f aca="false">2021-D19</f>
        <v>7</v>
      </c>
      <c r="F19" s="1367" t="n">
        <v>209328</v>
      </c>
      <c r="G19" s="1364" t="n">
        <v>0.1</v>
      </c>
      <c r="H19" s="1365" t="n">
        <f aca="false">E19*F19*G19</f>
        <v>146529.6</v>
      </c>
      <c r="I19" s="1365" t="n">
        <f aca="false">F19-H19</f>
        <v>62798.4</v>
      </c>
      <c r="J19" s="1365" t="n">
        <f aca="false">F19*G19</f>
        <v>20932.8</v>
      </c>
      <c r="K19" s="1365" t="n">
        <f aca="false">J19/1792.8</f>
        <v>11.6760374832664</v>
      </c>
      <c r="L19" s="1365" t="n">
        <v>20</v>
      </c>
      <c r="M19" s="1366" t="n">
        <f aca="false">K19*L19/60</f>
        <v>3.89201249442213</v>
      </c>
    </row>
    <row r="20" customFormat="false" ht="30" hidden="false" customHeight="false" outlineLevel="0" collapsed="false">
      <c r="A20" s="216" t="s">
        <v>26</v>
      </c>
      <c r="B20" s="337" t="s">
        <v>2887</v>
      </c>
      <c r="C20" s="1161" t="s">
        <v>6934</v>
      </c>
      <c r="D20" s="317" t="n">
        <v>2007</v>
      </c>
      <c r="E20" s="317" t="n">
        <f aca="false">2021-D20</f>
        <v>14</v>
      </c>
      <c r="F20" s="1363" t="n">
        <v>350000</v>
      </c>
      <c r="G20" s="1364" t="n">
        <v>0.1</v>
      </c>
      <c r="H20" s="1365" t="n">
        <f aca="false">E20*F20*G20</f>
        <v>490000</v>
      </c>
      <c r="I20" s="1365" t="n">
        <f aca="false">F20-H20</f>
        <v>-140000</v>
      </c>
      <c r="J20" s="1365" t="n">
        <f aca="false">F20*G20</f>
        <v>35000</v>
      </c>
      <c r="K20" s="1365" t="n">
        <f aca="false">J20/1792.8</f>
        <v>19.5225345827755</v>
      </c>
      <c r="L20" s="1365" t="n">
        <v>10</v>
      </c>
      <c r="M20" s="1366" t="n">
        <f aca="false">K20*L20/60</f>
        <v>3.25375576379592</v>
      </c>
      <c r="N20" s="1368" t="n">
        <v>3.30687830687831</v>
      </c>
    </row>
    <row r="21" customFormat="false" ht="15" hidden="false" customHeight="false" outlineLevel="0" collapsed="false">
      <c r="A21" s="216" t="s">
        <v>28</v>
      </c>
      <c r="B21" s="337" t="s">
        <v>2888</v>
      </c>
      <c r="C21" s="1161" t="s">
        <v>6934</v>
      </c>
      <c r="D21" s="317" t="n">
        <v>2007</v>
      </c>
      <c r="E21" s="317" t="n">
        <f aca="false">2021-D21</f>
        <v>14</v>
      </c>
      <c r="F21" s="1363" t="n">
        <v>350000</v>
      </c>
      <c r="G21" s="1364" t="n">
        <v>0.1</v>
      </c>
      <c r="H21" s="1365" t="n">
        <f aca="false">E21*F21*G21</f>
        <v>490000</v>
      </c>
      <c r="I21" s="1365" t="n">
        <f aca="false">F21-H21</f>
        <v>-140000</v>
      </c>
      <c r="J21" s="1365" t="n">
        <f aca="false">F21*G21</f>
        <v>35000</v>
      </c>
      <c r="K21" s="1365" t="n">
        <f aca="false">J21/1792.8</f>
        <v>19.5225345827755</v>
      </c>
      <c r="L21" s="1365" t="n">
        <v>10</v>
      </c>
      <c r="M21" s="1273" t="n">
        <f aca="false">K21*L21/60</f>
        <v>3.25375576379592</v>
      </c>
      <c r="N21" s="1368" t="n">
        <v>3.30687830687831</v>
      </c>
    </row>
    <row r="22" customFormat="false" ht="15" hidden="false" customHeight="false" outlineLevel="0" collapsed="false">
      <c r="A22" s="1369"/>
      <c r="B22" s="337"/>
      <c r="C22" s="1161" t="s">
        <v>6935</v>
      </c>
      <c r="D22" s="317" t="n">
        <v>2014</v>
      </c>
      <c r="E22" s="317" t="n">
        <f aca="false">2021-D22</f>
        <v>7</v>
      </c>
      <c r="F22" s="1367" t="n">
        <v>209328</v>
      </c>
      <c r="G22" s="1364" t="n">
        <v>0.1</v>
      </c>
      <c r="H22" s="1365" t="n">
        <f aca="false">E22*F22*G22</f>
        <v>146529.6</v>
      </c>
      <c r="I22" s="1365" t="n">
        <f aca="false">F22-H22</f>
        <v>62798.4</v>
      </c>
      <c r="J22" s="1365" t="n">
        <f aca="false">F22*G22</f>
        <v>20932.8</v>
      </c>
      <c r="K22" s="1365" t="n">
        <f aca="false">J22/1792.8</f>
        <v>11.6760374832664</v>
      </c>
      <c r="L22" s="1365" t="n">
        <v>10</v>
      </c>
      <c r="M22" s="1273" t="n">
        <f aca="false">K22*L22/60</f>
        <v>1.94600624721107</v>
      </c>
      <c r="N22" s="1368" t="n">
        <v>1.97777777777778</v>
      </c>
    </row>
    <row r="23" customFormat="false" ht="15" hidden="false" customHeight="false" outlineLevel="0" collapsed="false">
      <c r="A23" s="216"/>
      <c r="B23" s="1053" t="s">
        <v>4128</v>
      </c>
      <c r="C23" s="316"/>
      <c r="D23" s="316"/>
      <c r="E23" s="317"/>
      <c r="F23" s="316"/>
      <c r="G23" s="316"/>
      <c r="H23" s="316"/>
      <c r="I23" s="316"/>
      <c r="J23" s="1370"/>
      <c r="K23" s="1365" t="n">
        <f aca="false">J23/1792.8</f>
        <v>0</v>
      </c>
      <c r="L23" s="1370"/>
      <c r="M23" s="1366" t="n">
        <f aca="false">SUM(M21:M22)</f>
        <v>5.19976201100699</v>
      </c>
      <c r="N23" s="1368" t="n">
        <v>5.28465608465609</v>
      </c>
    </row>
    <row r="24" customFormat="false" ht="15" hidden="false" customHeight="false" outlineLevel="0" collapsed="false">
      <c r="A24" s="216" t="s">
        <v>30</v>
      </c>
      <c r="B24" s="337" t="s">
        <v>2889</v>
      </c>
      <c r="C24" s="1161" t="s">
        <v>6934</v>
      </c>
      <c r="D24" s="317" t="n">
        <v>2007</v>
      </c>
      <c r="E24" s="317" t="n">
        <f aca="false">2021-D24</f>
        <v>14</v>
      </c>
      <c r="F24" s="1363" t="n">
        <v>350000</v>
      </c>
      <c r="G24" s="1364" t="n">
        <v>0.1</v>
      </c>
      <c r="H24" s="1365" t="n">
        <f aca="false">E24*F24*G24</f>
        <v>490000</v>
      </c>
      <c r="I24" s="1365" t="n">
        <f aca="false">F24-H24</f>
        <v>-140000</v>
      </c>
      <c r="J24" s="1365" t="n">
        <f aca="false">F24*G24</f>
        <v>35000</v>
      </c>
      <c r="K24" s="1365" t="n">
        <f aca="false">J24/1792.8</f>
        <v>19.5225345827755</v>
      </c>
      <c r="L24" s="1365" t="n">
        <v>10</v>
      </c>
      <c r="M24" s="1273" t="n">
        <f aca="false">K24*L24/60</f>
        <v>3.25375576379592</v>
      </c>
      <c r="N24" s="1368" t="n">
        <v>3.30687830687831</v>
      </c>
    </row>
    <row r="25" customFormat="false" ht="15" hidden="false" customHeight="false" outlineLevel="0" collapsed="false">
      <c r="A25" s="216"/>
      <c r="B25" s="41"/>
      <c r="C25" s="1161" t="s">
        <v>6935</v>
      </c>
      <c r="D25" s="317" t="n">
        <v>2014</v>
      </c>
      <c r="E25" s="317" t="n">
        <f aca="false">2021-D25</f>
        <v>7</v>
      </c>
      <c r="F25" s="1367" t="n">
        <v>209328</v>
      </c>
      <c r="G25" s="1364" t="n">
        <v>0.1</v>
      </c>
      <c r="H25" s="1365" t="n">
        <f aca="false">E25*F25*G25</f>
        <v>146529.6</v>
      </c>
      <c r="I25" s="1365" t="n">
        <f aca="false">F25-H25</f>
        <v>62798.4</v>
      </c>
      <c r="J25" s="1365" t="n">
        <f aca="false">F25*G25</f>
        <v>20932.8</v>
      </c>
      <c r="K25" s="1365" t="n">
        <f aca="false">J25/1792.8</f>
        <v>11.6760374832664</v>
      </c>
      <c r="L25" s="1365" t="n">
        <v>10</v>
      </c>
      <c r="M25" s="1273" t="n">
        <f aca="false">K25*L25/60</f>
        <v>1.94600624721107</v>
      </c>
      <c r="N25" s="1368" t="n">
        <v>1.97777777777778</v>
      </c>
    </row>
    <row r="26" customFormat="false" ht="15" hidden="false" customHeight="false" outlineLevel="0" collapsed="false">
      <c r="A26" s="216"/>
      <c r="B26" s="1053" t="s">
        <v>4128</v>
      </c>
      <c r="C26" s="316"/>
      <c r="D26" s="316"/>
      <c r="E26" s="317"/>
      <c r="F26" s="316"/>
      <c r="G26" s="316"/>
      <c r="H26" s="316"/>
      <c r="I26" s="316"/>
      <c r="J26" s="1370"/>
      <c r="K26" s="1365" t="n">
        <f aca="false">J26/1792.8</f>
        <v>0</v>
      </c>
      <c r="L26" s="1370"/>
      <c r="M26" s="1366" t="n">
        <f aca="false">SUM(M24:M25)</f>
        <v>5.19976201100699</v>
      </c>
      <c r="N26" s="1368" t="n">
        <v>5.28465608465609</v>
      </c>
    </row>
    <row r="27" customFormat="false" ht="15" hidden="false" customHeight="false" outlineLevel="0" collapsed="false">
      <c r="A27" s="216" t="s">
        <v>32</v>
      </c>
      <c r="B27" s="337" t="s">
        <v>2890</v>
      </c>
      <c r="C27" s="1161" t="s">
        <v>6934</v>
      </c>
      <c r="D27" s="317" t="n">
        <v>2007</v>
      </c>
      <c r="E27" s="317" t="n">
        <f aca="false">2021-D27</f>
        <v>14</v>
      </c>
      <c r="F27" s="1363" t="n">
        <v>350000</v>
      </c>
      <c r="G27" s="1364" t="n">
        <v>0.1</v>
      </c>
      <c r="H27" s="1365" t="n">
        <f aca="false">E27*F27*G27</f>
        <v>490000</v>
      </c>
      <c r="I27" s="1365" t="n">
        <f aca="false">F27-H27</f>
        <v>-140000</v>
      </c>
      <c r="J27" s="1365" t="n">
        <f aca="false">F27*G27</f>
        <v>35000</v>
      </c>
      <c r="K27" s="1365" t="n">
        <f aca="false">J27/1792.8</f>
        <v>19.5225345827755</v>
      </c>
      <c r="L27" s="1365" t="n">
        <v>10</v>
      </c>
      <c r="M27" s="1366" t="n">
        <f aca="false">K27*L27/60</f>
        <v>3.25375576379592</v>
      </c>
      <c r="N27" s="1368" t="n">
        <v>3.30687830687831</v>
      </c>
    </row>
    <row r="28" customFormat="false" ht="15" hidden="false" customHeight="false" outlineLevel="0" collapsed="false">
      <c r="A28" s="216" t="s">
        <v>34</v>
      </c>
      <c r="B28" s="1371" t="s">
        <v>2891</v>
      </c>
      <c r="C28" s="1161" t="s">
        <v>6934</v>
      </c>
      <c r="D28" s="317" t="n">
        <v>2007</v>
      </c>
      <c r="E28" s="317" t="n">
        <f aca="false">2021-D28</f>
        <v>14</v>
      </c>
      <c r="F28" s="1363" t="n">
        <v>350000</v>
      </c>
      <c r="G28" s="1364" t="n">
        <v>0.1</v>
      </c>
      <c r="H28" s="1365" t="n">
        <f aca="false">E28*F28*G28</f>
        <v>490000</v>
      </c>
      <c r="I28" s="1365" t="n">
        <f aca="false">F28-H28</f>
        <v>-140000</v>
      </c>
      <c r="J28" s="1365" t="n">
        <f aca="false">F28*G28</f>
        <v>35000</v>
      </c>
      <c r="K28" s="1365" t="n">
        <f aca="false">J28/1792.8</f>
        <v>19.5225345827755</v>
      </c>
      <c r="L28" s="1365" t="n">
        <v>10</v>
      </c>
      <c r="M28" s="1366" t="n">
        <f aca="false">K28*L28/60</f>
        <v>3.25375576379592</v>
      </c>
      <c r="N28" s="1368" t="n">
        <v>3.30687830687831</v>
      </c>
    </row>
    <row r="29" customFormat="false" ht="15" hidden="false" customHeight="false" outlineLevel="0" collapsed="false">
      <c r="A29" s="216" t="s">
        <v>36</v>
      </c>
      <c r="B29" s="337" t="s">
        <v>2892</v>
      </c>
      <c r="C29" s="1161" t="s">
        <v>6934</v>
      </c>
      <c r="D29" s="317" t="n">
        <v>2007</v>
      </c>
      <c r="E29" s="317" t="n">
        <f aca="false">2021-D29</f>
        <v>14</v>
      </c>
      <c r="F29" s="1363" t="n">
        <v>350000</v>
      </c>
      <c r="G29" s="1364" t="n">
        <v>0.1</v>
      </c>
      <c r="H29" s="1365" t="n">
        <f aca="false">E29*F29*G29</f>
        <v>490000</v>
      </c>
      <c r="I29" s="1365" t="n">
        <f aca="false">F29-H29</f>
        <v>-140000</v>
      </c>
      <c r="J29" s="1365" t="n">
        <f aca="false">F29*G29</f>
        <v>35000</v>
      </c>
      <c r="K29" s="1365" t="n">
        <f aca="false">J29/1792.8</f>
        <v>19.5225345827755</v>
      </c>
      <c r="L29" s="1365" t="n">
        <v>10</v>
      </c>
      <c r="M29" s="1366" t="n">
        <f aca="false">K29*L29/60</f>
        <v>3.25375576379592</v>
      </c>
      <c r="N29" s="1368" t="n">
        <v>3.30687830687831</v>
      </c>
    </row>
    <row r="30" customFormat="false" ht="23.25" hidden="false" customHeight="true" outlineLevel="0" collapsed="false">
      <c r="A30" s="216" t="s">
        <v>38</v>
      </c>
      <c r="B30" s="29" t="s">
        <v>6936</v>
      </c>
      <c r="C30" s="1161" t="s">
        <v>6927</v>
      </c>
      <c r="D30" s="317" t="n">
        <v>2014</v>
      </c>
      <c r="E30" s="317" t="n">
        <f aca="false">2021-D30</f>
        <v>7</v>
      </c>
      <c r="F30" s="1363" t="n">
        <v>375200</v>
      </c>
      <c r="G30" s="1364" t="n">
        <v>0.1</v>
      </c>
      <c r="H30" s="1365" t="n">
        <f aca="false">E30*F30*G30</f>
        <v>262640</v>
      </c>
      <c r="I30" s="1365" t="n">
        <f aca="false">F30-H30</f>
        <v>112560</v>
      </c>
      <c r="J30" s="1365" t="n">
        <f aca="false">F30*G30</f>
        <v>37520</v>
      </c>
      <c r="K30" s="1365" t="n">
        <f aca="false">J30/1792.8</f>
        <v>20.9281570727354</v>
      </c>
      <c r="L30" s="1365" t="n">
        <v>10</v>
      </c>
      <c r="M30" s="1273" t="n">
        <f aca="false">K30*L30/60</f>
        <v>3.48802617878923</v>
      </c>
      <c r="N30" s="1368" t="n">
        <v>3.54497354497354</v>
      </c>
    </row>
    <row r="31" customFormat="false" ht="15" hidden="false" customHeight="false" outlineLevel="0" collapsed="false">
      <c r="A31" s="216"/>
      <c r="B31" s="78"/>
      <c r="C31" s="1161" t="s">
        <v>6934</v>
      </c>
      <c r="D31" s="317" t="n">
        <v>2007</v>
      </c>
      <c r="E31" s="317" t="n">
        <f aca="false">2021-D31</f>
        <v>14</v>
      </c>
      <c r="F31" s="1363" t="n">
        <v>350000</v>
      </c>
      <c r="G31" s="1364" t="n">
        <v>0.1</v>
      </c>
      <c r="H31" s="1365" t="n">
        <f aca="false">E31*F31*G31</f>
        <v>490000</v>
      </c>
      <c r="I31" s="1365" t="n">
        <f aca="false">F31-H31</f>
        <v>-140000</v>
      </c>
      <c r="J31" s="1365" t="n">
        <f aca="false">F31*G31</f>
        <v>35000</v>
      </c>
      <c r="K31" s="1365" t="n">
        <f aca="false">J31/1792.8</f>
        <v>19.5225345827755</v>
      </c>
      <c r="L31" s="1365" t="n">
        <v>10</v>
      </c>
      <c r="M31" s="1273" t="n">
        <f aca="false">K31*L31/60</f>
        <v>3.25375576379592</v>
      </c>
      <c r="N31" s="1368" t="n">
        <v>3.30687830687831</v>
      </c>
    </row>
    <row r="32" customFormat="false" ht="15" hidden="false" customHeight="false" outlineLevel="0" collapsed="false">
      <c r="A32" s="216"/>
      <c r="B32" s="972" t="s">
        <v>4128</v>
      </c>
      <c r="C32" s="1160"/>
      <c r="D32" s="135"/>
      <c r="E32" s="317"/>
      <c r="F32" s="135"/>
      <c r="G32" s="1372"/>
      <c r="H32" s="1370"/>
      <c r="I32" s="1370"/>
      <c r="J32" s="1370"/>
      <c r="K32" s="1365" t="n">
        <f aca="false">J32/1792.8</f>
        <v>0</v>
      </c>
      <c r="L32" s="1370"/>
      <c r="M32" s="1366" t="n">
        <f aca="false">SUM(M30:M31)</f>
        <v>6.74178194258516</v>
      </c>
      <c r="N32" s="1368" t="n">
        <v>6.85185185185185</v>
      </c>
    </row>
    <row r="33" customFormat="false" ht="15" hidden="false" customHeight="false" outlineLevel="0" collapsed="false">
      <c r="A33" s="216" t="s">
        <v>40</v>
      </c>
      <c r="B33" s="29" t="s">
        <v>6937</v>
      </c>
      <c r="C33" s="1161" t="s">
        <v>6927</v>
      </c>
      <c r="D33" s="317" t="n">
        <v>2014</v>
      </c>
      <c r="E33" s="317" t="n">
        <f aca="false">2021-D33</f>
        <v>7</v>
      </c>
      <c r="F33" s="1363" t="n">
        <v>375200</v>
      </c>
      <c r="G33" s="1364" t="n">
        <v>0.1</v>
      </c>
      <c r="H33" s="1365" t="n">
        <f aca="false">E33*F33*G33</f>
        <v>262640</v>
      </c>
      <c r="I33" s="1365" t="n">
        <f aca="false">F33-H33</f>
        <v>112560</v>
      </c>
      <c r="J33" s="1365" t="n">
        <f aca="false">F33*G33</f>
        <v>37520</v>
      </c>
      <c r="K33" s="1365" t="n">
        <f aca="false">J33/1792.8</f>
        <v>20.9281570727354</v>
      </c>
      <c r="L33" s="1365" t="n">
        <v>10</v>
      </c>
      <c r="M33" s="1366" t="n">
        <f aca="false">K33*L33/60</f>
        <v>3.48802617878923</v>
      </c>
      <c r="N33" s="1368" t="n">
        <v>3.54497354497354</v>
      </c>
    </row>
    <row r="34" customFormat="false" ht="15" hidden="false" customHeight="false" outlineLevel="0" collapsed="false">
      <c r="A34" s="216" t="s">
        <v>42</v>
      </c>
      <c r="B34" s="337" t="s">
        <v>6938</v>
      </c>
      <c r="C34" s="1161" t="s">
        <v>6927</v>
      </c>
      <c r="D34" s="317" t="n">
        <v>2014</v>
      </c>
      <c r="E34" s="317" t="n">
        <f aca="false">2021-D34</f>
        <v>7</v>
      </c>
      <c r="F34" s="1363" t="n">
        <v>375200</v>
      </c>
      <c r="G34" s="1364" t="n">
        <v>0.1</v>
      </c>
      <c r="H34" s="1365" t="n">
        <f aca="false">E34*F34*G34</f>
        <v>262640</v>
      </c>
      <c r="I34" s="1365" t="n">
        <f aca="false">F34-H34</f>
        <v>112560</v>
      </c>
      <c r="J34" s="1365" t="n">
        <f aca="false">F34*G34</f>
        <v>37520</v>
      </c>
      <c r="K34" s="1365" t="n">
        <f aca="false">J34/1792.8</f>
        <v>20.9281570727354</v>
      </c>
      <c r="L34" s="1365" t="n">
        <v>10</v>
      </c>
      <c r="M34" s="1273" t="n">
        <f aca="false">K34*L34/60</f>
        <v>3.48802617878923</v>
      </c>
      <c r="N34" s="1368" t="n">
        <v>3.54497354497354</v>
      </c>
    </row>
    <row r="35" customFormat="false" ht="15" hidden="false" customHeight="false" outlineLevel="0" collapsed="false">
      <c r="A35" s="216"/>
      <c r="B35" s="29"/>
      <c r="C35" s="1161" t="s">
        <v>6934</v>
      </c>
      <c r="D35" s="317" t="n">
        <v>2007</v>
      </c>
      <c r="E35" s="317" t="n">
        <f aca="false">2021-D35</f>
        <v>14</v>
      </c>
      <c r="F35" s="1363" t="n">
        <v>350000</v>
      </c>
      <c r="G35" s="1364" t="n">
        <v>0.1</v>
      </c>
      <c r="H35" s="1365" t="n">
        <f aca="false">E35*F35*G35</f>
        <v>490000</v>
      </c>
      <c r="I35" s="1365" t="n">
        <f aca="false">F35-H35</f>
        <v>-140000</v>
      </c>
      <c r="J35" s="1365" t="n">
        <f aca="false">F35*G35</f>
        <v>35000</v>
      </c>
      <c r="K35" s="1365" t="n">
        <f aca="false">J35/1792.8</f>
        <v>19.5225345827755</v>
      </c>
      <c r="L35" s="1365" t="n">
        <v>10</v>
      </c>
      <c r="M35" s="1273" t="n">
        <f aca="false">K35*L35/60</f>
        <v>3.25375576379592</v>
      </c>
      <c r="N35" s="1368" t="n">
        <v>3.30687830687831</v>
      </c>
    </row>
    <row r="36" customFormat="false" ht="15" hidden="false" customHeight="false" outlineLevel="0" collapsed="false">
      <c r="A36" s="216"/>
      <c r="B36" s="972" t="s">
        <v>4128</v>
      </c>
      <c r="C36" s="1160"/>
      <c r="D36" s="135"/>
      <c r="E36" s="317"/>
      <c r="F36" s="135"/>
      <c r="G36" s="1372"/>
      <c r="H36" s="1370"/>
      <c r="I36" s="1370"/>
      <c r="J36" s="1370"/>
      <c r="K36" s="1365" t="n">
        <f aca="false">J36/1792.8</f>
        <v>0</v>
      </c>
      <c r="L36" s="1370"/>
      <c r="M36" s="1366" t="n">
        <f aca="false">M34+M35</f>
        <v>6.74178194258516</v>
      </c>
      <c r="N36" s="1368" t="n">
        <v>6.85185185185185</v>
      </c>
    </row>
    <row r="37" customFormat="false" ht="15" hidden="false" customHeight="false" outlineLevel="0" collapsed="false">
      <c r="A37" s="216" t="s">
        <v>44</v>
      </c>
      <c r="B37" s="29" t="s">
        <v>6939</v>
      </c>
      <c r="C37" s="1161" t="s">
        <v>6927</v>
      </c>
      <c r="D37" s="317" t="n">
        <v>2014</v>
      </c>
      <c r="E37" s="317" t="n">
        <f aca="false">2021-D37</f>
        <v>7</v>
      </c>
      <c r="F37" s="1363" t="n">
        <v>375200</v>
      </c>
      <c r="G37" s="1364" t="n">
        <v>0.1</v>
      </c>
      <c r="H37" s="1365" t="n">
        <f aca="false">E37*F37*G37</f>
        <v>262640</v>
      </c>
      <c r="I37" s="1365" t="n">
        <f aca="false">F37-H37</f>
        <v>112560</v>
      </c>
      <c r="J37" s="1365" t="n">
        <f aca="false">F37*G37</f>
        <v>37520</v>
      </c>
      <c r="K37" s="1365" t="n">
        <f aca="false">J37/1792.8</f>
        <v>20.9281570727354</v>
      </c>
      <c r="L37" s="1365" t="n">
        <v>10</v>
      </c>
      <c r="M37" s="1273" t="n">
        <f aca="false">K37*L37/60</f>
        <v>3.48802617878923</v>
      </c>
      <c r="N37" s="1368" t="n">
        <v>3.54497354497354</v>
      </c>
    </row>
    <row r="38" customFormat="false" ht="15" hidden="false" customHeight="false" outlineLevel="0" collapsed="false">
      <c r="A38" s="1369"/>
      <c r="B38" s="78"/>
      <c r="C38" s="1161" t="s">
        <v>6934</v>
      </c>
      <c r="D38" s="317" t="n">
        <v>2007</v>
      </c>
      <c r="E38" s="317" t="n">
        <f aca="false">2021-D38</f>
        <v>14</v>
      </c>
      <c r="F38" s="1363" t="n">
        <v>350000</v>
      </c>
      <c r="G38" s="1364" t="n">
        <v>0.1</v>
      </c>
      <c r="H38" s="1365" t="n">
        <f aca="false">E38*F38*G38</f>
        <v>490000</v>
      </c>
      <c r="I38" s="1365" t="n">
        <f aca="false">F38-H38</f>
        <v>-140000</v>
      </c>
      <c r="J38" s="1365" t="n">
        <f aca="false">F38*G38</f>
        <v>35000</v>
      </c>
      <c r="K38" s="1365" t="n">
        <f aca="false">J38/1792.8</f>
        <v>19.5225345827755</v>
      </c>
      <c r="L38" s="1365" t="n">
        <v>10</v>
      </c>
      <c r="M38" s="1273" t="n">
        <f aca="false">K38*L38/60</f>
        <v>3.25375576379592</v>
      </c>
      <c r="N38" s="1368" t="n">
        <v>3.30687830687831</v>
      </c>
    </row>
    <row r="39" customFormat="false" ht="15" hidden="false" customHeight="false" outlineLevel="0" collapsed="false">
      <c r="A39" s="1369"/>
      <c r="B39" s="972" t="s">
        <v>4128</v>
      </c>
      <c r="C39" s="1160"/>
      <c r="D39" s="135"/>
      <c r="E39" s="317"/>
      <c r="F39" s="135"/>
      <c r="G39" s="1372"/>
      <c r="H39" s="1370"/>
      <c r="I39" s="1370"/>
      <c r="J39" s="1370"/>
      <c r="K39" s="1365" t="n">
        <f aca="false">J39/1792.8</f>
        <v>0</v>
      </c>
      <c r="L39" s="1370"/>
      <c r="M39" s="1366" t="n">
        <f aca="false">M37+M38</f>
        <v>6.74178194258516</v>
      </c>
    </row>
    <row r="40" customFormat="false" ht="15" hidden="false" customHeight="false" outlineLevel="0" collapsed="false">
      <c r="A40" s="216" t="s">
        <v>46</v>
      </c>
      <c r="B40" s="29" t="s">
        <v>2897</v>
      </c>
      <c r="C40" s="1161" t="s">
        <v>6927</v>
      </c>
      <c r="D40" s="317" t="n">
        <v>2014</v>
      </c>
      <c r="E40" s="317" t="n">
        <f aca="false">2021-D40</f>
        <v>7</v>
      </c>
      <c r="F40" s="1363" t="n">
        <v>375200</v>
      </c>
      <c r="G40" s="1364" t="n">
        <v>0.1</v>
      </c>
      <c r="H40" s="1365" t="n">
        <f aca="false">E40*F40*G40</f>
        <v>262640</v>
      </c>
      <c r="I40" s="1365" t="n">
        <f aca="false">F40-H40</f>
        <v>112560</v>
      </c>
      <c r="J40" s="1365" t="n">
        <f aca="false">F40*G40</f>
        <v>37520</v>
      </c>
      <c r="K40" s="1365" t="n">
        <f aca="false">J40/1792.8</f>
        <v>20.9281570727354</v>
      </c>
      <c r="L40" s="1365" t="n">
        <v>10</v>
      </c>
      <c r="M40" s="1366" t="n">
        <f aca="false">K40*L40/60</f>
        <v>3.48802617878923</v>
      </c>
    </row>
    <row r="41" customFormat="false" ht="15" hidden="false" customHeight="false" outlineLevel="0" collapsed="false">
      <c r="A41" s="216" t="s">
        <v>48</v>
      </c>
      <c r="B41" s="337" t="s">
        <v>2898</v>
      </c>
      <c r="C41" s="1161" t="s">
        <v>6934</v>
      </c>
      <c r="D41" s="317" t="n">
        <v>2007</v>
      </c>
      <c r="E41" s="317" t="n">
        <f aca="false">2021-D41</f>
        <v>14</v>
      </c>
      <c r="F41" s="1363" t="n">
        <v>350000</v>
      </c>
      <c r="G41" s="1364" t="n">
        <v>0.1</v>
      </c>
      <c r="H41" s="1365" t="n">
        <f aca="false">E41*F41*G41</f>
        <v>490000</v>
      </c>
      <c r="I41" s="1365" t="n">
        <f aca="false">F41-H41</f>
        <v>-140000</v>
      </c>
      <c r="J41" s="1365" t="n">
        <f aca="false">F41*G41</f>
        <v>35000</v>
      </c>
      <c r="K41" s="1365" t="n">
        <f aca="false">J41/1792.8</f>
        <v>19.5225345827755</v>
      </c>
      <c r="L41" s="1365" t="n">
        <v>10</v>
      </c>
      <c r="M41" s="1273" t="n">
        <f aca="false">K41*L41/60</f>
        <v>3.25375576379592</v>
      </c>
    </row>
    <row r="42" customFormat="false" ht="15" hidden="false" customHeight="false" outlineLevel="0" collapsed="false">
      <c r="A42" s="1369"/>
      <c r="B42" s="972"/>
      <c r="C42" s="1161" t="s">
        <v>6934</v>
      </c>
      <c r="D42" s="317" t="n">
        <v>2007</v>
      </c>
      <c r="E42" s="317" t="n">
        <f aca="false">2021-D42</f>
        <v>14</v>
      </c>
      <c r="F42" s="1363" t="n">
        <v>350000</v>
      </c>
      <c r="G42" s="1364" t="n">
        <v>0.1</v>
      </c>
      <c r="H42" s="1365" t="n">
        <f aca="false">E42*F42*G42</f>
        <v>490000</v>
      </c>
      <c r="I42" s="1365" t="n">
        <f aca="false">F42-H42</f>
        <v>-140000</v>
      </c>
      <c r="J42" s="1365" t="n">
        <f aca="false">F42*G42</f>
        <v>35000</v>
      </c>
      <c r="K42" s="1365" t="n">
        <f aca="false">J42/1792.8</f>
        <v>19.5225345827755</v>
      </c>
      <c r="L42" s="1365" t="n">
        <v>10</v>
      </c>
      <c r="M42" s="1273" t="n">
        <f aca="false">K42*L42/60</f>
        <v>3.25375576379592</v>
      </c>
    </row>
    <row r="43" customFormat="false" ht="15" hidden="false" customHeight="false" outlineLevel="0" collapsed="false">
      <c r="A43" s="1369"/>
      <c r="B43" s="972" t="s">
        <v>4128</v>
      </c>
      <c r="C43" s="1160"/>
      <c r="D43" s="135"/>
      <c r="E43" s="317"/>
      <c r="F43" s="135"/>
      <c r="G43" s="1372"/>
      <c r="H43" s="1370"/>
      <c r="I43" s="1370"/>
      <c r="J43" s="1370"/>
      <c r="K43" s="1365" t="n">
        <f aca="false">J43/1792.8</f>
        <v>0</v>
      </c>
      <c r="L43" s="1370"/>
      <c r="M43" s="1366" t="n">
        <f aca="false">M41+M42</f>
        <v>6.50751152759185</v>
      </c>
    </row>
    <row r="44" customFormat="false" ht="15" hidden="false" customHeight="false" outlineLevel="0" collapsed="false">
      <c r="A44" s="216" t="s">
        <v>50</v>
      </c>
      <c r="B44" s="337" t="s">
        <v>2899</v>
      </c>
      <c r="C44" s="1161" t="s">
        <v>6934</v>
      </c>
      <c r="D44" s="317" t="n">
        <v>2007</v>
      </c>
      <c r="E44" s="317" t="n">
        <f aca="false">2021-D44</f>
        <v>14</v>
      </c>
      <c r="F44" s="1363" t="n">
        <v>350000</v>
      </c>
      <c r="G44" s="1364" t="n">
        <v>0.1</v>
      </c>
      <c r="H44" s="1365" t="n">
        <f aca="false">E44*F44*G44</f>
        <v>490000</v>
      </c>
      <c r="I44" s="1365" t="n">
        <f aca="false">F44-H44</f>
        <v>-140000</v>
      </c>
      <c r="J44" s="1365" t="n">
        <f aca="false">F44*G44</f>
        <v>35000</v>
      </c>
      <c r="K44" s="1365" t="n">
        <f aca="false">J44/1792.8</f>
        <v>19.5225345827755</v>
      </c>
      <c r="L44" s="1365" t="n">
        <v>10</v>
      </c>
      <c r="M44" s="1366" t="n">
        <f aca="false">K44*L44/60</f>
        <v>3.25375576379592</v>
      </c>
    </row>
    <row r="45" customFormat="false" ht="15" hidden="false" customHeight="false" outlineLevel="0" collapsed="false">
      <c r="A45" s="216" t="s">
        <v>52</v>
      </c>
      <c r="B45" s="337" t="s">
        <v>2900</v>
      </c>
      <c r="C45" s="1161" t="s">
        <v>6934</v>
      </c>
      <c r="D45" s="317" t="n">
        <v>2007</v>
      </c>
      <c r="E45" s="317" t="n">
        <f aca="false">2021-D45</f>
        <v>14</v>
      </c>
      <c r="F45" s="1363" t="n">
        <v>350000</v>
      </c>
      <c r="G45" s="1364" t="n">
        <v>0.1</v>
      </c>
      <c r="H45" s="1365" t="n">
        <f aca="false">E45*F45*G45</f>
        <v>490000</v>
      </c>
      <c r="I45" s="1365" t="n">
        <f aca="false">F45-H45</f>
        <v>-140000</v>
      </c>
      <c r="J45" s="1365" t="n">
        <f aca="false">F45*G45</f>
        <v>35000</v>
      </c>
      <c r="K45" s="1365" t="n">
        <f aca="false">J45/1792.8</f>
        <v>19.5225345827755</v>
      </c>
      <c r="L45" s="1365" t="n">
        <v>10</v>
      </c>
      <c r="M45" s="1366" t="n">
        <f aca="false">K45*L45/60</f>
        <v>3.25375576379592</v>
      </c>
    </row>
    <row r="46" customFormat="false" ht="15" hidden="false" customHeight="false" outlineLevel="0" collapsed="false">
      <c r="A46" s="216" t="s">
        <v>54</v>
      </c>
      <c r="B46" s="337" t="s">
        <v>2901</v>
      </c>
      <c r="C46" s="1161" t="s">
        <v>6934</v>
      </c>
      <c r="D46" s="317" t="n">
        <v>2007</v>
      </c>
      <c r="E46" s="317" t="n">
        <f aca="false">2021-D46</f>
        <v>14</v>
      </c>
      <c r="F46" s="1363" t="n">
        <v>350000</v>
      </c>
      <c r="G46" s="1364" t="n">
        <v>0.1</v>
      </c>
      <c r="H46" s="1365" t="n">
        <f aca="false">E46*F46*G46</f>
        <v>490000</v>
      </c>
      <c r="I46" s="1365" t="n">
        <f aca="false">F46-H46</f>
        <v>-140000</v>
      </c>
      <c r="J46" s="1365" t="n">
        <f aca="false">F46*G46</f>
        <v>35000</v>
      </c>
      <c r="K46" s="1365" t="n">
        <f aca="false">J46/1792.8</f>
        <v>19.5225345827755</v>
      </c>
      <c r="L46" s="1365" t="n">
        <v>10</v>
      </c>
      <c r="M46" s="1366" t="n">
        <f aca="false">K46*L46/60</f>
        <v>3.25375576379592</v>
      </c>
    </row>
    <row r="47" customFormat="false" ht="15" hidden="false" customHeight="false" outlineLevel="0" collapsed="false">
      <c r="A47" s="216" t="s">
        <v>56</v>
      </c>
      <c r="B47" s="337" t="s">
        <v>2902</v>
      </c>
      <c r="C47" s="1161" t="s">
        <v>6934</v>
      </c>
      <c r="D47" s="317" t="n">
        <v>2007</v>
      </c>
      <c r="E47" s="317" t="n">
        <f aca="false">2021-D47</f>
        <v>14</v>
      </c>
      <c r="F47" s="1363" t="n">
        <v>350000</v>
      </c>
      <c r="G47" s="1364" t="n">
        <v>0.1</v>
      </c>
      <c r="H47" s="1365" t="n">
        <f aca="false">E47*F47*G47</f>
        <v>490000</v>
      </c>
      <c r="I47" s="1365" t="n">
        <f aca="false">F47-H47</f>
        <v>-140000</v>
      </c>
      <c r="J47" s="1365" t="n">
        <f aca="false">F47*G47</f>
        <v>35000</v>
      </c>
      <c r="K47" s="1365" t="n">
        <f aca="false">J47/1792.8</f>
        <v>19.5225345827755</v>
      </c>
      <c r="L47" s="1365" t="n">
        <v>10</v>
      </c>
      <c r="M47" s="1366" t="n">
        <f aca="false">K47*L47/60</f>
        <v>3.25375576379592</v>
      </c>
    </row>
    <row r="48" customFormat="false" ht="30" hidden="false" customHeight="false" outlineLevel="0" collapsed="false">
      <c r="A48" s="216" t="s">
        <v>58</v>
      </c>
      <c r="B48" s="337" t="s">
        <v>2903</v>
      </c>
      <c r="C48" s="1161" t="s">
        <v>6934</v>
      </c>
      <c r="D48" s="317" t="n">
        <v>2007</v>
      </c>
      <c r="E48" s="317" t="n">
        <f aca="false">2021-D48</f>
        <v>14</v>
      </c>
      <c r="F48" s="1363" t="n">
        <v>350000</v>
      </c>
      <c r="G48" s="1364" t="n">
        <v>0.1</v>
      </c>
      <c r="H48" s="1365" t="n">
        <f aca="false">E48*F48*G48</f>
        <v>490000</v>
      </c>
      <c r="I48" s="1365" t="n">
        <f aca="false">F48-H48</f>
        <v>-140000</v>
      </c>
      <c r="J48" s="1365" t="n">
        <f aca="false">F48*G48</f>
        <v>35000</v>
      </c>
      <c r="K48" s="1365" t="n">
        <f aca="false">J48/1792.8</f>
        <v>19.5225345827755</v>
      </c>
      <c r="L48" s="1365" t="n">
        <v>10</v>
      </c>
      <c r="M48" s="1366" t="n">
        <f aca="false">K48*L48/60</f>
        <v>3.25375576379592</v>
      </c>
    </row>
    <row r="49" customFormat="false" ht="30" hidden="false" customHeight="false" outlineLevel="0" collapsed="false">
      <c r="A49" s="216" t="s">
        <v>60</v>
      </c>
      <c r="B49" s="337" t="s">
        <v>2904</v>
      </c>
      <c r="C49" s="1161" t="s">
        <v>6934</v>
      </c>
      <c r="D49" s="317" t="n">
        <v>2007</v>
      </c>
      <c r="E49" s="317" t="n">
        <f aca="false">2021-D49</f>
        <v>14</v>
      </c>
      <c r="F49" s="1363" t="n">
        <v>350000</v>
      </c>
      <c r="G49" s="1364" t="n">
        <v>0.1</v>
      </c>
      <c r="H49" s="1365" t="n">
        <f aca="false">E49*F49*G49</f>
        <v>490000</v>
      </c>
      <c r="I49" s="1365" t="n">
        <f aca="false">F49-H49</f>
        <v>-140000</v>
      </c>
      <c r="J49" s="1365" t="n">
        <f aca="false">F49*G49</f>
        <v>35000</v>
      </c>
      <c r="K49" s="1365" t="n">
        <f aca="false">J49/1792.8</f>
        <v>19.5225345827755</v>
      </c>
      <c r="L49" s="1365" t="n">
        <v>10</v>
      </c>
      <c r="M49" s="1366" t="n">
        <f aca="false">K49*L49/60</f>
        <v>3.25375576379592</v>
      </c>
    </row>
    <row r="50" customFormat="false" ht="30" hidden="false" customHeight="false" outlineLevel="0" collapsed="false">
      <c r="A50" s="216" t="s">
        <v>62</v>
      </c>
      <c r="B50" s="337" t="s">
        <v>2905</v>
      </c>
      <c r="C50" s="1161" t="s">
        <v>6934</v>
      </c>
      <c r="D50" s="317" t="n">
        <v>2007</v>
      </c>
      <c r="E50" s="317" t="n">
        <f aca="false">2021-D50</f>
        <v>14</v>
      </c>
      <c r="F50" s="1363" t="n">
        <v>350000</v>
      </c>
      <c r="G50" s="1364" t="n">
        <v>0.1</v>
      </c>
      <c r="H50" s="1365" t="n">
        <f aca="false">E50*F50*G50</f>
        <v>490000</v>
      </c>
      <c r="I50" s="1365" t="n">
        <f aca="false">F50-H50</f>
        <v>-140000</v>
      </c>
      <c r="J50" s="1365" t="n">
        <f aca="false">F50*G50</f>
        <v>35000</v>
      </c>
      <c r="K50" s="1365" t="n">
        <f aca="false">J50/1792.8</f>
        <v>19.5225345827755</v>
      </c>
      <c r="L50" s="1365" t="n">
        <v>10</v>
      </c>
      <c r="M50" s="1366" t="n">
        <f aca="false">K50*L50/60</f>
        <v>3.25375576379592</v>
      </c>
    </row>
    <row r="51" customFormat="false" ht="30" hidden="false" customHeight="false" outlineLevel="0" collapsed="false">
      <c r="A51" s="216" t="s">
        <v>64</v>
      </c>
      <c r="B51" s="337" t="s">
        <v>2906</v>
      </c>
      <c r="C51" s="1161" t="s">
        <v>6934</v>
      </c>
      <c r="D51" s="317" t="n">
        <v>2007</v>
      </c>
      <c r="E51" s="317" t="n">
        <f aca="false">2021-D51</f>
        <v>14</v>
      </c>
      <c r="F51" s="1363" t="n">
        <v>350000</v>
      </c>
      <c r="G51" s="1364" t="n">
        <v>0.1</v>
      </c>
      <c r="H51" s="1365" t="n">
        <f aca="false">E51*F51*G51</f>
        <v>490000</v>
      </c>
      <c r="I51" s="1365" t="n">
        <f aca="false">F51-H51</f>
        <v>-140000</v>
      </c>
      <c r="J51" s="1365" t="n">
        <f aca="false">F51*G51</f>
        <v>35000</v>
      </c>
      <c r="K51" s="1365" t="n">
        <f aca="false">J51/1792.8</f>
        <v>19.5225345827755</v>
      </c>
      <c r="L51" s="1365" t="n">
        <v>10</v>
      </c>
      <c r="M51" s="1366" t="n">
        <f aca="false">K51*L51/60</f>
        <v>3.25375576379592</v>
      </c>
    </row>
    <row r="52" customFormat="false" ht="15" hidden="false" customHeight="false" outlineLevel="0" collapsed="false">
      <c r="A52" s="216" t="s">
        <v>66</v>
      </c>
      <c r="B52" s="337" t="s">
        <v>2907</v>
      </c>
      <c r="C52" s="1161" t="s">
        <v>6934</v>
      </c>
      <c r="D52" s="317" t="n">
        <v>2007</v>
      </c>
      <c r="E52" s="317" t="n">
        <f aca="false">2021-D52</f>
        <v>14</v>
      </c>
      <c r="F52" s="1363" t="n">
        <v>350000</v>
      </c>
      <c r="G52" s="1364" t="n">
        <v>0.1</v>
      </c>
      <c r="H52" s="1365" t="n">
        <f aca="false">E52*F52*G52</f>
        <v>490000</v>
      </c>
      <c r="I52" s="1365" t="n">
        <f aca="false">F52-H52</f>
        <v>-140000</v>
      </c>
      <c r="J52" s="1365" t="n">
        <f aca="false">F52*G52</f>
        <v>35000</v>
      </c>
      <c r="K52" s="1365" t="n">
        <f aca="false">J52/1792.8</f>
        <v>19.5225345827755</v>
      </c>
      <c r="L52" s="1365" t="n">
        <v>10</v>
      </c>
      <c r="M52" s="1366" t="n">
        <f aca="false">K52*L52/60</f>
        <v>3.25375576379592</v>
      </c>
    </row>
    <row r="53" customFormat="false" ht="30" hidden="false" customHeight="false" outlineLevel="0" collapsed="false">
      <c r="A53" s="216" t="s">
        <v>68</v>
      </c>
      <c r="B53" s="337" t="s">
        <v>2908</v>
      </c>
      <c r="C53" s="1161" t="s">
        <v>6934</v>
      </c>
      <c r="D53" s="317" t="n">
        <v>2007</v>
      </c>
      <c r="E53" s="317" t="n">
        <f aca="false">2021-D53</f>
        <v>14</v>
      </c>
      <c r="F53" s="1363" t="n">
        <v>350000</v>
      </c>
      <c r="G53" s="1364" t="n">
        <v>0.1</v>
      </c>
      <c r="H53" s="1365" t="n">
        <f aca="false">E53*F53*G53</f>
        <v>490000</v>
      </c>
      <c r="I53" s="1365" t="n">
        <f aca="false">F53-H53</f>
        <v>-140000</v>
      </c>
      <c r="J53" s="1365" t="n">
        <f aca="false">F53*G53</f>
        <v>35000</v>
      </c>
      <c r="K53" s="1365" t="n">
        <f aca="false">J53/1792.8</f>
        <v>19.5225345827755</v>
      </c>
      <c r="L53" s="1365" t="n">
        <v>10</v>
      </c>
      <c r="M53" s="1366" t="n">
        <f aca="false">K53*L53/60</f>
        <v>3.25375576379592</v>
      </c>
    </row>
    <row r="54" customFormat="false" ht="30" hidden="false" customHeight="false" outlineLevel="0" collapsed="false">
      <c r="A54" s="216" t="s">
        <v>70</v>
      </c>
      <c r="B54" s="337" t="s">
        <v>2909</v>
      </c>
      <c r="C54" s="1161" t="s">
        <v>6934</v>
      </c>
      <c r="D54" s="317" t="n">
        <v>2007</v>
      </c>
      <c r="E54" s="317" t="n">
        <f aca="false">2021-D54</f>
        <v>14</v>
      </c>
      <c r="F54" s="1363" t="n">
        <v>350000</v>
      </c>
      <c r="G54" s="1364" t="n">
        <v>0.1</v>
      </c>
      <c r="H54" s="1365" t="n">
        <f aca="false">E54*F54*G54</f>
        <v>490000</v>
      </c>
      <c r="I54" s="1365" t="n">
        <f aca="false">F54-H54</f>
        <v>-140000</v>
      </c>
      <c r="J54" s="1365" t="n">
        <f aca="false">F54*G54</f>
        <v>35000</v>
      </c>
      <c r="K54" s="1365" t="n">
        <f aca="false">J54/1792.8</f>
        <v>19.5225345827755</v>
      </c>
      <c r="L54" s="1365" t="n">
        <v>10</v>
      </c>
      <c r="M54" s="1366" t="n">
        <f aca="false">K54*L54/60</f>
        <v>3.25375576379592</v>
      </c>
    </row>
    <row r="55" customFormat="false" ht="30" hidden="false" customHeight="false" outlineLevel="0" collapsed="false">
      <c r="A55" s="216" t="s">
        <v>72</v>
      </c>
      <c r="B55" s="337" t="s">
        <v>2910</v>
      </c>
      <c r="C55" s="1161" t="s">
        <v>6934</v>
      </c>
      <c r="D55" s="317" t="n">
        <v>2007</v>
      </c>
      <c r="E55" s="317" t="n">
        <f aca="false">2021-D55</f>
        <v>14</v>
      </c>
      <c r="F55" s="1363" t="n">
        <v>350000</v>
      </c>
      <c r="G55" s="1364" t="n">
        <v>0.1</v>
      </c>
      <c r="H55" s="1365" t="n">
        <f aca="false">E55*F55*G55</f>
        <v>490000</v>
      </c>
      <c r="I55" s="1365" t="n">
        <f aca="false">F55-H55</f>
        <v>-140000</v>
      </c>
      <c r="J55" s="1365" t="n">
        <f aca="false">F55*G55</f>
        <v>35000</v>
      </c>
      <c r="K55" s="1365" t="n">
        <f aca="false">J55/1792.8</f>
        <v>19.5225345827755</v>
      </c>
      <c r="L55" s="1365" t="n">
        <v>10</v>
      </c>
      <c r="M55" s="1366" t="n">
        <f aca="false">K55*L55/60</f>
        <v>3.25375576379592</v>
      </c>
    </row>
    <row r="56" customFormat="false" ht="45" hidden="false" customHeight="false" outlineLevel="0" collapsed="false">
      <c r="A56" s="216" t="s">
        <v>74</v>
      </c>
      <c r="B56" s="337" t="s">
        <v>2911</v>
      </c>
      <c r="C56" s="1161" t="s">
        <v>6927</v>
      </c>
      <c r="D56" s="317" t="n">
        <v>2014</v>
      </c>
      <c r="E56" s="317" t="n">
        <f aca="false">2021-D56</f>
        <v>7</v>
      </c>
      <c r="F56" s="1363" t="n">
        <v>375200</v>
      </c>
      <c r="G56" s="1364" t="n">
        <v>0.1</v>
      </c>
      <c r="H56" s="1365" t="n">
        <f aca="false">E56*F56*G56</f>
        <v>262640</v>
      </c>
      <c r="I56" s="1365" t="n">
        <f aca="false">F56-H56</f>
        <v>112560</v>
      </c>
      <c r="J56" s="1365" t="n">
        <f aca="false">F56*G56</f>
        <v>37520</v>
      </c>
      <c r="K56" s="1365" t="n">
        <f aca="false">J56/1792.8</f>
        <v>20.9281570727354</v>
      </c>
      <c r="L56" s="1365" t="n">
        <v>10</v>
      </c>
      <c r="M56" s="1273" t="n">
        <f aca="false">K56*L56/60</f>
        <v>3.48802617878923</v>
      </c>
    </row>
    <row r="57" customFormat="false" ht="15" hidden="false" customHeight="false" outlineLevel="0" collapsed="false">
      <c r="A57" s="1369"/>
      <c r="B57" s="29"/>
      <c r="C57" s="1161" t="s">
        <v>6934</v>
      </c>
      <c r="D57" s="317" t="n">
        <v>2007</v>
      </c>
      <c r="E57" s="317" t="n">
        <f aca="false">2021-D57</f>
        <v>14</v>
      </c>
      <c r="F57" s="1363" t="n">
        <v>350000</v>
      </c>
      <c r="G57" s="1364" t="n">
        <v>0.1</v>
      </c>
      <c r="H57" s="1365" t="n">
        <f aca="false">E57*F57*G57</f>
        <v>490000</v>
      </c>
      <c r="I57" s="1365" t="n">
        <f aca="false">F57-H57</f>
        <v>-140000</v>
      </c>
      <c r="J57" s="1365" t="n">
        <f aca="false">F57*G57</f>
        <v>35000</v>
      </c>
      <c r="K57" s="1365" t="n">
        <f aca="false">J57/1792.8</f>
        <v>19.5225345827755</v>
      </c>
      <c r="L57" s="1365" t="n">
        <v>10</v>
      </c>
      <c r="M57" s="1273" t="n">
        <f aca="false">K57*L57/60</f>
        <v>3.25375576379592</v>
      </c>
    </row>
    <row r="58" customFormat="false" ht="15" hidden="false" customHeight="false" outlineLevel="0" collapsed="false">
      <c r="A58" s="1369"/>
      <c r="B58" s="972" t="s">
        <v>4128</v>
      </c>
      <c r="C58" s="1160"/>
      <c r="D58" s="135"/>
      <c r="E58" s="317"/>
      <c r="F58" s="135"/>
      <c r="G58" s="1372"/>
      <c r="H58" s="1370"/>
      <c r="I58" s="1370"/>
      <c r="J58" s="1370"/>
      <c r="K58" s="1365" t="n">
        <f aca="false">J58/1792.8</f>
        <v>0</v>
      </c>
      <c r="L58" s="1370"/>
      <c r="M58" s="1366" t="n">
        <f aca="false">M56+M57</f>
        <v>6.74178194258516</v>
      </c>
    </row>
    <row r="59" customFormat="false" ht="15" hidden="false" customHeight="false" outlineLevel="0" collapsed="false">
      <c r="A59" s="216" t="s">
        <v>76</v>
      </c>
      <c r="B59" s="337" t="s">
        <v>2912</v>
      </c>
      <c r="C59" s="1161" t="s">
        <v>6927</v>
      </c>
      <c r="D59" s="317" t="n">
        <v>2014</v>
      </c>
      <c r="E59" s="317" t="n">
        <f aca="false">2021-D59</f>
        <v>7</v>
      </c>
      <c r="F59" s="1363" t="n">
        <v>375200</v>
      </c>
      <c r="G59" s="1364" t="n">
        <v>0.1</v>
      </c>
      <c r="H59" s="1365" t="n">
        <f aca="false">E59*F59*G59</f>
        <v>262640</v>
      </c>
      <c r="I59" s="1365" t="n">
        <f aca="false">F59-H59</f>
        <v>112560</v>
      </c>
      <c r="J59" s="1365" t="n">
        <f aca="false">F59*G59</f>
        <v>37520</v>
      </c>
      <c r="K59" s="1365" t="n">
        <f aca="false">J59/1792.8</f>
        <v>20.9281570727354</v>
      </c>
      <c r="L59" s="1365" t="n">
        <v>10</v>
      </c>
      <c r="M59" s="1273" t="n">
        <f aca="false">K59*L59/60</f>
        <v>3.48802617878923</v>
      </c>
    </row>
    <row r="60" customFormat="false" ht="15" hidden="false" customHeight="false" outlineLevel="0" collapsed="false">
      <c r="A60" s="1369"/>
      <c r="B60" s="29"/>
      <c r="C60" s="1161" t="s">
        <v>6934</v>
      </c>
      <c r="D60" s="317" t="n">
        <v>2007</v>
      </c>
      <c r="E60" s="317" t="n">
        <f aca="false">2021-D60</f>
        <v>14</v>
      </c>
      <c r="F60" s="1363" t="n">
        <v>350000</v>
      </c>
      <c r="G60" s="1364" t="n">
        <v>0.1</v>
      </c>
      <c r="H60" s="1365" t="n">
        <f aca="false">E60*F60*G60</f>
        <v>490000</v>
      </c>
      <c r="I60" s="1365" t="n">
        <f aca="false">F60-H60</f>
        <v>-140000</v>
      </c>
      <c r="J60" s="1365" t="n">
        <f aca="false">F60*G60</f>
        <v>35000</v>
      </c>
      <c r="K60" s="1365" t="n">
        <f aca="false">J60/1792.8</f>
        <v>19.5225345827755</v>
      </c>
      <c r="L60" s="1365" t="n">
        <v>10</v>
      </c>
      <c r="M60" s="1273" t="n">
        <f aca="false">K60*L60/60</f>
        <v>3.25375576379592</v>
      </c>
    </row>
    <row r="61" customFormat="false" ht="15" hidden="false" customHeight="false" outlineLevel="0" collapsed="false">
      <c r="A61" s="1369"/>
      <c r="B61" s="972" t="s">
        <v>4128</v>
      </c>
      <c r="C61" s="1160"/>
      <c r="D61" s="135"/>
      <c r="E61" s="317"/>
      <c r="F61" s="135"/>
      <c r="G61" s="1372"/>
      <c r="H61" s="1370"/>
      <c r="I61" s="1370"/>
      <c r="J61" s="1370"/>
      <c r="K61" s="1365" t="n">
        <f aca="false">J61/1792.8</f>
        <v>0</v>
      </c>
      <c r="L61" s="1370"/>
      <c r="M61" s="1366" t="n">
        <f aca="false">M59+M60</f>
        <v>6.74178194258516</v>
      </c>
    </row>
    <row r="62" customFormat="false" ht="15" hidden="false" customHeight="false" outlineLevel="0" collapsed="false">
      <c r="A62" s="216" t="s">
        <v>78</v>
      </c>
      <c r="B62" s="337" t="s">
        <v>2913</v>
      </c>
      <c r="C62" s="1161" t="s">
        <v>6940</v>
      </c>
      <c r="D62" s="317" t="n">
        <v>2005</v>
      </c>
      <c r="E62" s="317" t="n">
        <f aca="false">2021-D62</f>
        <v>16</v>
      </c>
      <c r="F62" s="317" t="n">
        <v>560000</v>
      </c>
      <c r="G62" s="1364" t="n">
        <v>0.1</v>
      </c>
      <c r="H62" s="1365" t="n">
        <f aca="false">E62*F62*G62</f>
        <v>896000</v>
      </c>
      <c r="I62" s="1365" t="n">
        <f aca="false">F62-H62</f>
        <v>-336000</v>
      </c>
      <c r="J62" s="1365" t="n">
        <f aca="false">F62*G62</f>
        <v>56000</v>
      </c>
      <c r="K62" s="1365" t="n">
        <f aca="false">J62/1792.8</f>
        <v>31.2360553324409</v>
      </c>
      <c r="L62" s="1365" t="n">
        <v>60</v>
      </c>
      <c r="M62" s="1273" t="n">
        <f aca="false">K62*L62/60</f>
        <v>31.2360553324409</v>
      </c>
    </row>
    <row r="63" customFormat="false" ht="15" hidden="false" customHeight="false" outlineLevel="0" collapsed="false">
      <c r="A63" s="1369"/>
      <c r="B63" s="78"/>
      <c r="C63" s="1161" t="s">
        <v>6934</v>
      </c>
      <c r="D63" s="317" t="n">
        <v>2007</v>
      </c>
      <c r="E63" s="317" t="n">
        <f aca="false">2021-D63</f>
        <v>14</v>
      </c>
      <c r="F63" s="1363" t="n">
        <v>350000</v>
      </c>
      <c r="G63" s="1364" t="n">
        <v>0.1</v>
      </c>
      <c r="H63" s="1365" t="n">
        <f aca="false">E63*F63*G63</f>
        <v>490000</v>
      </c>
      <c r="I63" s="1365" t="n">
        <f aca="false">F63-H63</f>
        <v>-140000</v>
      </c>
      <c r="J63" s="1365" t="n">
        <f aca="false">F63*G63</f>
        <v>35000</v>
      </c>
      <c r="K63" s="1365" t="n">
        <f aca="false">J63/1792.8</f>
        <v>19.5225345827755</v>
      </c>
      <c r="L63" s="1365" t="n">
        <v>10</v>
      </c>
      <c r="M63" s="1273" t="n">
        <f aca="false">K63*L63/60</f>
        <v>3.25375576379592</v>
      </c>
    </row>
    <row r="64" customFormat="false" ht="15" hidden="false" customHeight="false" outlineLevel="0" collapsed="false">
      <c r="A64" s="216"/>
      <c r="B64" s="972" t="s">
        <v>4128</v>
      </c>
      <c r="C64" s="1160"/>
      <c r="D64" s="135"/>
      <c r="E64" s="317"/>
      <c r="F64" s="135"/>
      <c r="G64" s="1372"/>
      <c r="H64" s="1370"/>
      <c r="I64" s="1370"/>
      <c r="J64" s="1370"/>
      <c r="K64" s="1365" t="n">
        <f aca="false">J64/1792.8</f>
        <v>0</v>
      </c>
      <c r="L64" s="1370"/>
      <c r="M64" s="1366" t="n">
        <f aca="false">M62+M63</f>
        <v>34.4898110962368</v>
      </c>
    </row>
    <row r="65" customFormat="false" ht="45" hidden="false" customHeight="false" outlineLevel="0" collapsed="false">
      <c r="A65" s="216" t="s">
        <v>80</v>
      </c>
      <c r="B65" s="337" t="s">
        <v>2914</v>
      </c>
      <c r="C65" s="1161" t="s">
        <v>6941</v>
      </c>
      <c r="D65" s="317" t="n">
        <v>2012</v>
      </c>
      <c r="E65" s="317" t="n">
        <f aca="false">2021-D65</f>
        <v>9</v>
      </c>
      <c r="F65" s="317" t="n">
        <v>44483193</v>
      </c>
      <c r="G65" s="1364" t="n">
        <v>0.1</v>
      </c>
      <c r="H65" s="1365" t="n">
        <f aca="false">E65*F65*G65</f>
        <v>40034873.7</v>
      </c>
      <c r="I65" s="1365" t="n">
        <f aca="false">F65-H65</f>
        <v>4448319.3</v>
      </c>
      <c r="J65" s="1365" t="n">
        <f aca="false">F65*G65</f>
        <v>4448319.3</v>
      </c>
      <c r="K65" s="1365" t="n">
        <f aca="false">J65/1792.8</f>
        <v>2481.21335341365</v>
      </c>
      <c r="L65" s="1365" t="n">
        <v>10</v>
      </c>
      <c r="M65" s="1273" t="n">
        <f aca="false">K65*L65/60</f>
        <v>413.535558902276</v>
      </c>
    </row>
    <row r="66" customFormat="false" ht="15" hidden="false" customHeight="false" outlineLevel="0" collapsed="false">
      <c r="A66" s="1369"/>
      <c r="B66" s="972"/>
      <c r="C66" s="1161" t="s">
        <v>6934</v>
      </c>
      <c r="D66" s="317" t="n">
        <v>2007</v>
      </c>
      <c r="E66" s="317" t="n">
        <f aca="false">2021-D66</f>
        <v>14</v>
      </c>
      <c r="F66" s="1363" t="n">
        <v>350000</v>
      </c>
      <c r="G66" s="1364" t="n">
        <v>0.1</v>
      </c>
      <c r="H66" s="1365" t="n">
        <f aca="false">E66*F66*G66</f>
        <v>490000</v>
      </c>
      <c r="I66" s="1365" t="n">
        <f aca="false">F66-H66</f>
        <v>-140000</v>
      </c>
      <c r="J66" s="1365" t="n">
        <f aca="false">F66*G66</f>
        <v>35000</v>
      </c>
      <c r="K66" s="1365" t="n">
        <f aca="false">J66/1792.8</f>
        <v>19.5225345827755</v>
      </c>
      <c r="L66" s="1365" t="n">
        <v>10</v>
      </c>
      <c r="M66" s="1273" t="n">
        <f aca="false">K66*L66/60</f>
        <v>3.25375576379592</v>
      </c>
    </row>
    <row r="67" customFormat="false" ht="15" hidden="false" customHeight="false" outlineLevel="0" collapsed="false">
      <c r="A67" s="216"/>
      <c r="B67" s="972" t="s">
        <v>4128</v>
      </c>
      <c r="C67" s="1160"/>
      <c r="D67" s="135"/>
      <c r="E67" s="317"/>
      <c r="F67" s="135"/>
      <c r="G67" s="1372"/>
      <c r="H67" s="1370"/>
      <c r="I67" s="1370"/>
      <c r="J67" s="1370"/>
      <c r="K67" s="1365" t="n">
        <f aca="false">J67/1792.8</f>
        <v>0</v>
      </c>
      <c r="L67" s="1370"/>
      <c r="M67" s="1366" t="n">
        <f aca="false">M65+M66</f>
        <v>416.789314666072</v>
      </c>
    </row>
    <row r="68" customFormat="false" ht="15" hidden="false" customHeight="false" outlineLevel="0" collapsed="false">
      <c r="A68" s="216" t="s">
        <v>82</v>
      </c>
      <c r="B68" s="337" t="s">
        <v>2915</v>
      </c>
      <c r="C68" s="1161" t="s">
        <v>6927</v>
      </c>
      <c r="D68" s="317" t="n">
        <v>2014</v>
      </c>
      <c r="E68" s="317" t="n">
        <f aca="false">2021-D68</f>
        <v>7</v>
      </c>
      <c r="F68" s="1363" t="n">
        <v>375200</v>
      </c>
      <c r="G68" s="1364" t="n">
        <v>0.1</v>
      </c>
      <c r="H68" s="1365" t="n">
        <f aca="false">E68*F68*G68</f>
        <v>262640</v>
      </c>
      <c r="I68" s="1365" t="n">
        <f aca="false">F68-H68</f>
        <v>112560</v>
      </c>
      <c r="J68" s="1365" t="n">
        <f aca="false">F68*G68</f>
        <v>37520</v>
      </c>
      <c r="K68" s="1365" t="n">
        <f aca="false">J68/1792.8</f>
        <v>20.9281570727354</v>
      </c>
      <c r="L68" s="1365" t="n">
        <v>10</v>
      </c>
      <c r="M68" s="1273" t="n">
        <f aca="false">K68*L68/60</f>
        <v>3.48802617878923</v>
      </c>
    </row>
    <row r="69" customFormat="false" ht="15" hidden="false" customHeight="false" outlineLevel="0" collapsed="false">
      <c r="A69" s="1369"/>
      <c r="B69" s="29"/>
      <c r="C69" s="1161" t="s">
        <v>6934</v>
      </c>
      <c r="D69" s="317" t="n">
        <v>2007</v>
      </c>
      <c r="E69" s="317" t="n">
        <f aca="false">2021-D69</f>
        <v>14</v>
      </c>
      <c r="F69" s="1363" t="n">
        <v>350000</v>
      </c>
      <c r="G69" s="1364" t="n">
        <v>0.1</v>
      </c>
      <c r="H69" s="1365" t="n">
        <f aca="false">E69*F69*G69</f>
        <v>490000</v>
      </c>
      <c r="I69" s="1365" t="n">
        <f aca="false">F69-H69</f>
        <v>-140000</v>
      </c>
      <c r="J69" s="1365" t="n">
        <f aca="false">F69*G69</f>
        <v>35000</v>
      </c>
      <c r="K69" s="1365" t="n">
        <f aca="false">J69/1792.8</f>
        <v>19.5225345827755</v>
      </c>
      <c r="L69" s="1365" t="n">
        <v>10</v>
      </c>
      <c r="M69" s="1273" t="n">
        <f aca="false">K69*L69/60</f>
        <v>3.25375576379592</v>
      </c>
    </row>
    <row r="70" customFormat="false" ht="15" hidden="false" customHeight="false" outlineLevel="0" collapsed="false">
      <c r="A70" s="1369"/>
      <c r="B70" s="972" t="s">
        <v>4128</v>
      </c>
      <c r="C70" s="1160"/>
      <c r="D70" s="135"/>
      <c r="E70" s="317"/>
      <c r="F70" s="135"/>
      <c r="G70" s="1372"/>
      <c r="H70" s="1370"/>
      <c r="I70" s="1370"/>
      <c r="J70" s="1370"/>
      <c r="K70" s="1365" t="n">
        <f aca="false">J70/1792.8</f>
        <v>0</v>
      </c>
      <c r="L70" s="1370"/>
      <c r="M70" s="1366" t="n">
        <f aca="false">M68+M69</f>
        <v>6.74178194258516</v>
      </c>
    </row>
    <row r="71" customFormat="false" ht="15" hidden="false" customHeight="false" outlineLevel="0" collapsed="false">
      <c r="A71" s="216" t="s">
        <v>84</v>
      </c>
      <c r="B71" s="337" t="s">
        <v>2916</v>
      </c>
      <c r="C71" s="1161" t="s">
        <v>6927</v>
      </c>
      <c r="D71" s="317" t="n">
        <v>2014</v>
      </c>
      <c r="E71" s="317" t="n">
        <f aca="false">2021-D71</f>
        <v>7</v>
      </c>
      <c r="F71" s="1363" t="n">
        <v>375200</v>
      </c>
      <c r="G71" s="1364" t="n">
        <v>0.1</v>
      </c>
      <c r="H71" s="1365" t="n">
        <f aca="false">E71*F71*G71</f>
        <v>262640</v>
      </c>
      <c r="I71" s="1365" t="n">
        <f aca="false">F71-H71</f>
        <v>112560</v>
      </c>
      <c r="J71" s="1365" t="n">
        <f aca="false">F71*G71</f>
        <v>37520</v>
      </c>
      <c r="K71" s="1365" t="n">
        <f aca="false">J71/1792.8</f>
        <v>20.9281570727354</v>
      </c>
      <c r="L71" s="1365" t="n">
        <v>10</v>
      </c>
      <c r="M71" s="1273" t="n">
        <f aca="false">K71*L71/60</f>
        <v>3.48802617878923</v>
      </c>
    </row>
    <row r="72" customFormat="false" ht="15" hidden="false" customHeight="false" outlineLevel="0" collapsed="false">
      <c r="A72" s="1369"/>
      <c r="B72" s="29"/>
      <c r="C72" s="1161" t="s">
        <v>6934</v>
      </c>
      <c r="D72" s="317" t="n">
        <v>2007</v>
      </c>
      <c r="E72" s="317" t="n">
        <f aca="false">2021-D72</f>
        <v>14</v>
      </c>
      <c r="F72" s="1363" t="n">
        <v>350000</v>
      </c>
      <c r="G72" s="1364" t="n">
        <v>0.1</v>
      </c>
      <c r="H72" s="1365" t="n">
        <f aca="false">E72*F72*G72</f>
        <v>490000</v>
      </c>
      <c r="I72" s="1365" t="n">
        <f aca="false">F72-H72</f>
        <v>-140000</v>
      </c>
      <c r="J72" s="1365" t="n">
        <f aca="false">F72*G72</f>
        <v>35000</v>
      </c>
      <c r="K72" s="1365" t="n">
        <f aca="false">J72/1792.8</f>
        <v>19.5225345827755</v>
      </c>
      <c r="L72" s="1365" t="n">
        <v>10</v>
      </c>
      <c r="M72" s="1273" t="n">
        <f aca="false">K72*L72/60</f>
        <v>3.25375576379592</v>
      </c>
    </row>
    <row r="73" customFormat="false" ht="15" hidden="false" customHeight="false" outlineLevel="0" collapsed="false">
      <c r="A73" s="216"/>
      <c r="B73" s="972" t="s">
        <v>4128</v>
      </c>
      <c r="C73" s="1160"/>
      <c r="D73" s="135"/>
      <c r="E73" s="317"/>
      <c r="F73" s="135"/>
      <c r="G73" s="1372"/>
      <c r="H73" s="1370"/>
      <c r="I73" s="1370"/>
      <c r="J73" s="1370"/>
      <c r="K73" s="1365" t="n">
        <f aca="false">J73/1792.8</f>
        <v>0</v>
      </c>
      <c r="L73" s="1370"/>
      <c r="M73" s="1366" t="n">
        <f aca="false">M71+M72</f>
        <v>6.74178194258516</v>
      </c>
    </row>
    <row r="74" customFormat="false" ht="15" hidden="false" customHeight="false" outlineLevel="0" collapsed="false">
      <c r="A74" s="216" t="s">
        <v>86</v>
      </c>
      <c r="B74" s="29" t="s">
        <v>6942</v>
      </c>
      <c r="C74" s="1161" t="s">
        <v>6943</v>
      </c>
      <c r="D74" s="317" t="n">
        <v>2013</v>
      </c>
      <c r="E74" s="317" t="n">
        <f aca="false">2021-D74</f>
        <v>8</v>
      </c>
      <c r="F74" s="317" t="n">
        <v>1503927</v>
      </c>
      <c r="G74" s="1364" t="n">
        <v>0.1</v>
      </c>
      <c r="H74" s="1365" t="n">
        <f aca="false">E74*F74*G74</f>
        <v>1203141.6</v>
      </c>
      <c r="I74" s="1365" t="n">
        <f aca="false">F74-H74</f>
        <v>300785.4</v>
      </c>
      <c r="J74" s="1365" t="n">
        <f aca="false">F74*G74</f>
        <v>150392.7</v>
      </c>
      <c r="K74" s="1365" t="n">
        <f aca="false">J74/1792.8</f>
        <v>83.8870481927711</v>
      </c>
      <c r="L74" s="1365" t="n">
        <v>60</v>
      </c>
      <c r="M74" s="1273" t="n">
        <f aca="false">K74*L74/60</f>
        <v>83.8870481927711</v>
      </c>
    </row>
    <row r="75" customFormat="false" ht="15" hidden="false" customHeight="false" outlineLevel="0" collapsed="false">
      <c r="A75" s="216"/>
      <c r="B75" s="29"/>
      <c r="C75" s="1161" t="s">
        <v>6934</v>
      </c>
      <c r="D75" s="317" t="n">
        <v>2007</v>
      </c>
      <c r="E75" s="317" t="n">
        <f aca="false">2021-D75</f>
        <v>14</v>
      </c>
      <c r="F75" s="1363" t="n">
        <v>350000</v>
      </c>
      <c r="G75" s="1364" t="n">
        <v>0.1</v>
      </c>
      <c r="H75" s="1365" t="n">
        <f aca="false">E75*F75*G75</f>
        <v>490000</v>
      </c>
      <c r="I75" s="1365" t="n">
        <f aca="false">F75-H75</f>
        <v>-140000</v>
      </c>
      <c r="J75" s="1365" t="n">
        <f aca="false">F75*G75</f>
        <v>35000</v>
      </c>
      <c r="K75" s="1365" t="n">
        <f aca="false">J75/1792.8</f>
        <v>19.5225345827755</v>
      </c>
      <c r="L75" s="1365" t="n">
        <v>10</v>
      </c>
      <c r="M75" s="1273" t="n">
        <f aca="false">K75*L75/60</f>
        <v>3.25375576379592</v>
      </c>
    </row>
    <row r="76" customFormat="false" ht="15" hidden="false" customHeight="false" outlineLevel="0" collapsed="false">
      <c r="A76" s="216"/>
      <c r="B76" s="972" t="s">
        <v>4128</v>
      </c>
      <c r="C76" s="1160"/>
      <c r="D76" s="135"/>
      <c r="E76" s="317"/>
      <c r="F76" s="135"/>
      <c r="G76" s="1372"/>
      <c r="H76" s="1370"/>
      <c r="I76" s="1370"/>
      <c r="J76" s="1370"/>
      <c r="K76" s="1365" t="n">
        <f aca="false">J76/1792.8</f>
        <v>0</v>
      </c>
      <c r="L76" s="1370"/>
      <c r="M76" s="1366" t="n">
        <f aca="false">M74+M75</f>
        <v>87.140803956567</v>
      </c>
    </row>
    <row r="77" customFormat="false" ht="15" hidden="false" customHeight="false" outlineLevel="0" collapsed="false">
      <c r="A77" s="216" t="s">
        <v>6944</v>
      </c>
      <c r="B77" s="29" t="s">
        <v>6942</v>
      </c>
      <c r="C77" s="1161" t="s">
        <v>4568</v>
      </c>
      <c r="D77" s="317" t="n">
        <v>2003</v>
      </c>
      <c r="E77" s="317" t="n">
        <f aca="false">2021-D77</f>
        <v>18</v>
      </c>
      <c r="F77" s="317" t="n">
        <v>12704749</v>
      </c>
      <c r="G77" s="1364" t="n">
        <v>0.1</v>
      </c>
      <c r="H77" s="1365" t="n">
        <f aca="false">F77</f>
        <v>12704749</v>
      </c>
      <c r="I77" s="1365" t="n">
        <f aca="false">F77-H77</f>
        <v>0</v>
      </c>
      <c r="J77" s="1365" t="n">
        <f aca="false">F77*G77</f>
        <v>1270474.9</v>
      </c>
      <c r="K77" s="1365" t="n">
        <f aca="false">J77/1792.8</f>
        <v>708.654004908523</v>
      </c>
      <c r="L77" s="1365" t="n">
        <v>60</v>
      </c>
      <c r="M77" s="1273" t="n">
        <f aca="false">K77*L77/60</f>
        <v>708.654004908523</v>
      </c>
    </row>
    <row r="78" customFormat="false" ht="15" hidden="false" customHeight="false" outlineLevel="0" collapsed="false">
      <c r="A78" s="216"/>
      <c r="B78" s="972"/>
      <c r="C78" s="1161" t="s">
        <v>6934</v>
      </c>
      <c r="D78" s="317" t="n">
        <v>2007</v>
      </c>
      <c r="E78" s="317" t="n">
        <f aca="false">2021-D78</f>
        <v>14</v>
      </c>
      <c r="F78" s="1363" t="n">
        <v>350000</v>
      </c>
      <c r="G78" s="1364" t="n">
        <v>0.1</v>
      </c>
      <c r="H78" s="1365" t="n">
        <f aca="false">E78*F78*G78</f>
        <v>490000</v>
      </c>
      <c r="I78" s="1365" t="n">
        <f aca="false">F78-H78</f>
        <v>-140000</v>
      </c>
      <c r="J78" s="1365" t="n">
        <f aca="false">F78*G78</f>
        <v>35000</v>
      </c>
      <c r="K78" s="1365" t="n">
        <f aca="false">J78/1792.8</f>
        <v>19.5225345827755</v>
      </c>
      <c r="L78" s="1365" t="n">
        <v>10</v>
      </c>
      <c r="M78" s="1273" t="n">
        <f aca="false">K78*L78/60</f>
        <v>3.25375576379592</v>
      </c>
    </row>
    <row r="79" customFormat="false" ht="15" hidden="false" customHeight="false" outlineLevel="0" collapsed="false">
      <c r="A79" s="216"/>
      <c r="B79" s="972" t="s">
        <v>4128</v>
      </c>
      <c r="C79" s="1160"/>
      <c r="D79" s="135"/>
      <c r="E79" s="317"/>
      <c r="F79" s="135"/>
      <c r="G79" s="1372"/>
      <c r="H79" s="1370"/>
      <c r="I79" s="1370"/>
      <c r="J79" s="1370"/>
      <c r="K79" s="1365" t="n">
        <f aca="false">J79/1792.8</f>
        <v>0</v>
      </c>
      <c r="L79" s="1370"/>
      <c r="M79" s="1366" t="n">
        <f aca="false">M77+M78</f>
        <v>711.907760672319</v>
      </c>
    </row>
    <row r="80" customFormat="false" ht="15" hidden="false" customHeight="false" outlineLevel="0" collapsed="false">
      <c r="A80" s="216" t="s">
        <v>90</v>
      </c>
      <c r="B80" s="29" t="s">
        <v>6945</v>
      </c>
      <c r="C80" s="1161" t="s">
        <v>6943</v>
      </c>
      <c r="D80" s="317" t="n">
        <v>2013</v>
      </c>
      <c r="E80" s="317" t="n">
        <f aca="false">2021-D80</f>
        <v>8</v>
      </c>
      <c r="F80" s="317" t="n">
        <v>1503927</v>
      </c>
      <c r="G80" s="1364" t="n">
        <v>0.1</v>
      </c>
      <c r="H80" s="1365" t="n">
        <f aca="false">E80*F80*G80</f>
        <v>1203141.6</v>
      </c>
      <c r="I80" s="1365" t="n">
        <f aca="false">F80-H80</f>
        <v>300785.4</v>
      </c>
      <c r="J80" s="1365" t="n">
        <f aca="false">F80*G80</f>
        <v>150392.7</v>
      </c>
      <c r="K80" s="1365" t="n">
        <f aca="false">J80/1792.8</f>
        <v>83.8870481927711</v>
      </c>
      <c r="L80" s="1365" t="n">
        <v>100</v>
      </c>
      <c r="M80" s="1273" t="n">
        <f aca="false">K80*L80/60</f>
        <v>139.811746987952</v>
      </c>
    </row>
    <row r="81" customFormat="false" ht="15" hidden="false" customHeight="false" outlineLevel="0" collapsed="false">
      <c r="A81" s="1369"/>
      <c r="B81" s="29"/>
      <c r="C81" s="1161" t="s">
        <v>6934</v>
      </c>
      <c r="D81" s="317" t="n">
        <v>2007</v>
      </c>
      <c r="E81" s="317" t="n">
        <f aca="false">2021-D81</f>
        <v>14</v>
      </c>
      <c r="F81" s="1363" t="n">
        <v>350000</v>
      </c>
      <c r="G81" s="1364" t="n">
        <v>0.1</v>
      </c>
      <c r="H81" s="1365" t="n">
        <f aca="false">E81*F81*G81</f>
        <v>490000</v>
      </c>
      <c r="I81" s="1365" t="n">
        <f aca="false">F81-H81</f>
        <v>-140000</v>
      </c>
      <c r="J81" s="1365" t="n">
        <f aca="false">F81*G81</f>
        <v>35000</v>
      </c>
      <c r="K81" s="1365" t="n">
        <f aca="false">J81/1792.8</f>
        <v>19.5225345827755</v>
      </c>
      <c r="L81" s="1365" t="n">
        <v>10</v>
      </c>
      <c r="M81" s="1273" t="n">
        <f aca="false">K81*L81/60</f>
        <v>3.25375576379592</v>
      </c>
    </row>
    <row r="82" customFormat="false" ht="29.25" hidden="false" customHeight="true" outlineLevel="0" collapsed="false">
      <c r="A82" s="1369"/>
      <c r="B82" s="972" t="s">
        <v>4128</v>
      </c>
      <c r="C82" s="1160"/>
      <c r="D82" s="135"/>
      <c r="E82" s="317"/>
      <c r="F82" s="135"/>
      <c r="G82" s="1372"/>
      <c r="H82" s="1370"/>
      <c r="I82" s="1370"/>
      <c r="J82" s="1370"/>
      <c r="K82" s="1365" t="n">
        <f aca="false">J82/1792.8</f>
        <v>0</v>
      </c>
      <c r="L82" s="1370"/>
      <c r="M82" s="1366" t="n">
        <f aca="false">M80+M81</f>
        <v>143.065502751748</v>
      </c>
    </row>
    <row r="83" customFormat="false" ht="15" hidden="false" customHeight="false" outlineLevel="0" collapsed="false">
      <c r="A83" s="216" t="s">
        <v>92</v>
      </c>
      <c r="B83" s="29" t="s">
        <v>6945</v>
      </c>
      <c r="C83" s="1161" t="s">
        <v>4568</v>
      </c>
      <c r="D83" s="317" t="n">
        <v>2003</v>
      </c>
      <c r="E83" s="317" t="n">
        <f aca="false">2021-D83</f>
        <v>18</v>
      </c>
      <c r="F83" s="317" t="n">
        <v>12704749</v>
      </c>
      <c r="G83" s="1364" t="n">
        <v>0.1</v>
      </c>
      <c r="H83" s="1365" t="n">
        <f aca="false">E83*F83*G83</f>
        <v>22868548.2</v>
      </c>
      <c r="I83" s="1365" t="n">
        <f aca="false">F83-H83</f>
        <v>-10163799.2</v>
      </c>
      <c r="J83" s="1365" t="n">
        <f aca="false">F83*G83</f>
        <v>1270474.9</v>
      </c>
      <c r="K83" s="1365" t="n">
        <f aca="false">J83/1792.8</f>
        <v>708.654004908523</v>
      </c>
      <c r="L83" s="1365" t="n">
        <v>140</v>
      </c>
      <c r="M83" s="1273" t="n">
        <f aca="false">K83*L83/60</f>
        <v>1653.52601145322</v>
      </c>
    </row>
    <row r="84" customFormat="false" ht="15" hidden="false" customHeight="false" outlineLevel="0" collapsed="false">
      <c r="A84" s="1369"/>
      <c r="B84" s="29"/>
      <c r="C84" s="1161" t="s">
        <v>6934</v>
      </c>
      <c r="D84" s="317" t="n">
        <v>2007</v>
      </c>
      <c r="E84" s="317" t="n">
        <f aca="false">2021-D84</f>
        <v>14</v>
      </c>
      <c r="F84" s="1363" t="n">
        <v>350000</v>
      </c>
      <c r="G84" s="1364" t="n">
        <v>0.1</v>
      </c>
      <c r="H84" s="1365" t="n">
        <f aca="false">E84*F84*G84</f>
        <v>490000</v>
      </c>
      <c r="I84" s="1365" t="n">
        <f aca="false">F84-H84</f>
        <v>-140000</v>
      </c>
      <c r="J84" s="1365" t="n">
        <f aca="false">F84*G84</f>
        <v>35000</v>
      </c>
      <c r="K84" s="1365" t="n">
        <f aca="false">J84/1792.8</f>
        <v>19.5225345827755</v>
      </c>
      <c r="L84" s="1365" t="n">
        <v>10</v>
      </c>
      <c r="M84" s="1273" t="n">
        <f aca="false">K84*L84/60</f>
        <v>3.25375576379592</v>
      </c>
    </row>
    <row r="85" customFormat="false" ht="15" hidden="false" customHeight="false" outlineLevel="0" collapsed="false">
      <c r="A85" s="1369"/>
      <c r="B85" s="972" t="s">
        <v>4128</v>
      </c>
      <c r="C85" s="1160"/>
      <c r="D85" s="135"/>
      <c r="E85" s="317"/>
      <c r="F85" s="135"/>
      <c r="G85" s="1372"/>
      <c r="H85" s="1370"/>
      <c r="I85" s="1370"/>
      <c r="J85" s="1370"/>
      <c r="K85" s="1365" t="n">
        <f aca="false">J85/1792.8</f>
        <v>0</v>
      </c>
      <c r="L85" s="1370"/>
      <c r="M85" s="1366" t="n">
        <f aca="false">M83+M84</f>
        <v>1656.77976721702</v>
      </c>
    </row>
    <row r="86" customFormat="false" ht="15" hidden="false" customHeight="false" outlineLevel="0" collapsed="false">
      <c r="A86" s="216" t="s">
        <v>94</v>
      </c>
      <c r="B86" s="337" t="s">
        <v>4275</v>
      </c>
      <c r="C86" s="1161" t="s">
        <v>6943</v>
      </c>
      <c r="D86" s="317" t="n">
        <v>2013</v>
      </c>
      <c r="E86" s="317" t="n">
        <f aca="false">2021-D86</f>
        <v>8</v>
      </c>
      <c r="F86" s="317" t="n">
        <v>1503927</v>
      </c>
      <c r="G86" s="1364" t="n">
        <v>0.1</v>
      </c>
      <c r="H86" s="1365" t="n">
        <f aca="false">E86*F86*G86</f>
        <v>1203141.6</v>
      </c>
      <c r="I86" s="1365" t="n">
        <f aca="false">F86-H86</f>
        <v>300785.4</v>
      </c>
      <c r="J86" s="1365" t="n">
        <f aca="false">F86*G86</f>
        <v>150392.7</v>
      </c>
      <c r="K86" s="1365" t="n">
        <f aca="false">J86/1792.8</f>
        <v>83.8870481927711</v>
      </c>
      <c r="L86" s="1365" t="n">
        <v>80</v>
      </c>
      <c r="M86" s="1273" t="n">
        <f aca="false">K86*L86/60</f>
        <v>111.849397590361</v>
      </c>
    </row>
    <row r="87" customFormat="false" ht="15" hidden="false" customHeight="false" outlineLevel="0" collapsed="false">
      <c r="A87" s="216"/>
      <c r="B87" s="29"/>
      <c r="C87" s="1161" t="s">
        <v>6934</v>
      </c>
      <c r="D87" s="317" t="n">
        <v>2007</v>
      </c>
      <c r="E87" s="317" t="n">
        <f aca="false">2021-D87</f>
        <v>14</v>
      </c>
      <c r="F87" s="1363" t="n">
        <v>350000</v>
      </c>
      <c r="G87" s="1364" t="n">
        <v>0.1</v>
      </c>
      <c r="H87" s="1365" t="n">
        <f aca="false">E87*F87*G87</f>
        <v>490000</v>
      </c>
      <c r="I87" s="1365" t="n">
        <f aca="false">F87-H87</f>
        <v>-140000</v>
      </c>
      <c r="J87" s="1365" t="n">
        <f aca="false">F87*G87</f>
        <v>35000</v>
      </c>
      <c r="K87" s="1365" t="n">
        <f aca="false">J87/1792.8</f>
        <v>19.5225345827755</v>
      </c>
      <c r="L87" s="1365" t="n">
        <v>10</v>
      </c>
      <c r="M87" s="1273" t="n">
        <f aca="false">K87*L87/60</f>
        <v>3.25375576379592</v>
      </c>
    </row>
    <row r="88" customFormat="false" ht="15" hidden="false" customHeight="false" outlineLevel="0" collapsed="false">
      <c r="A88" s="216"/>
      <c r="B88" s="972" t="s">
        <v>4128</v>
      </c>
      <c r="C88" s="1160"/>
      <c r="D88" s="135"/>
      <c r="E88" s="317"/>
      <c r="F88" s="135"/>
      <c r="G88" s="1372"/>
      <c r="H88" s="1370"/>
      <c r="I88" s="1370"/>
      <c r="J88" s="1370"/>
      <c r="K88" s="1365" t="n">
        <f aca="false">J88/1792.8</f>
        <v>0</v>
      </c>
      <c r="L88" s="1370"/>
      <c r="M88" s="1366" t="n">
        <f aca="false">M86+M87</f>
        <v>115.103153354157</v>
      </c>
    </row>
    <row r="89" customFormat="false" ht="15" hidden="false" customHeight="false" outlineLevel="0" collapsed="false">
      <c r="A89" s="216" t="s">
        <v>96</v>
      </c>
      <c r="B89" s="337" t="s">
        <v>4275</v>
      </c>
      <c r="C89" s="1161" t="s">
        <v>4568</v>
      </c>
      <c r="D89" s="317" t="n">
        <v>2003</v>
      </c>
      <c r="E89" s="317" t="n">
        <f aca="false">2021-D89</f>
        <v>18</v>
      </c>
      <c r="F89" s="317" t="n">
        <v>12704749</v>
      </c>
      <c r="G89" s="1364" t="n">
        <v>0.1</v>
      </c>
      <c r="H89" s="1365" t="n">
        <f aca="false">E89*F89*G89</f>
        <v>22868548.2</v>
      </c>
      <c r="I89" s="1365" t="n">
        <f aca="false">F89-H89</f>
        <v>-10163799.2</v>
      </c>
      <c r="J89" s="1365" t="n">
        <f aca="false">F89*G89</f>
        <v>1270474.9</v>
      </c>
      <c r="K89" s="1365" t="n">
        <f aca="false">J89/1792.8</f>
        <v>708.654004908523</v>
      </c>
      <c r="L89" s="1365" t="n">
        <v>140</v>
      </c>
      <c r="M89" s="1273" t="n">
        <f aca="false">K89*L89/60</f>
        <v>1653.52601145322</v>
      </c>
    </row>
    <row r="90" customFormat="false" ht="15" hidden="false" customHeight="false" outlineLevel="0" collapsed="false">
      <c r="A90" s="216"/>
      <c r="B90" s="337"/>
      <c r="C90" s="1161" t="s">
        <v>6943</v>
      </c>
      <c r="D90" s="317" t="n">
        <v>2013</v>
      </c>
      <c r="E90" s="317" t="n">
        <f aca="false">2021-D90</f>
        <v>8</v>
      </c>
      <c r="F90" s="317" t="n">
        <v>1503927</v>
      </c>
      <c r="G90" s="1364" t="n">
        <v>0.1</v>
      </c>
      <c r="H90" s="1365" t="n">
        <f aca="false">E90*F90*G90</f>
        <v>1203141.6</v>
      </c>
      <c r="I90" s="1365" t="n">
        <f aca="false">F90-H90</f>
        <v>300785.4</v>
      </c>
      <c r="J90" s="1365" t="n">
        <f aca="false">F90*G90</f>
        <v>150392.7</v>
      </c>
      <c r="K90" s="1365" t="n">
        <f aca="false">J90/1792.8</f>
        <v>83.8870481927711</v>
      </c>
      <c r="L90" s="1365" t="n">
        <v>100</v>
      </c>
      <c r="M90" s="1273" t="n">
        <f aca="false">K90*L90/60</f>
        <v>139.811746987952</v>
      </c>
    </row>
    <row r="91" customFormat="false" ht="15" hidden="false" customHeight="false" outlineLevel="0" collapsed="false">
      <c r="A91" s="216"/>
      <c r="B91" s="29"/>
      <c r="C91" s="1161" t="s">
        <v>6934</v>
      </c>
      <c r="D91" s="317" t="n">
        <v>2007</v>
      </c>
      <c r="E91" s="317" t="n">
        <f aca="false">2021-D91</f>
        <v>14</v>
      </c>
      <c r="F91" s="1363" t="n">
        <v>350000</v>
      </c>
      <c r="G91" s="1364" t="n">
        <v>0.1</v>
      </c>
      <c r="H91" s="1365" t="n">
        <f aca="false">E91*F91*G91</f>
        <v>490000</v>
      </c>
      <c r="I91" s="1365" t="n">
        <f aca="false">F91-H91</f>
        <v>-140000</v>
      </c>
      <c r="J91" s="1365" t="n">
        <f aca="false">F91*G91</f>
        <v>35000</v>
      </c>
      <c r="K91" s="1365" t="n">
        <f aca="false">J91/1792.8</f>
        <v>19.5225345827755</v>
      </c>
      <c r="L91" s="1365" t="n">
        <v>10</v>
      </c>
      <c r="M91" s="1273" t="n">
        <f aca="false">K91*L91/60</f>
        <v>3.25375576379592</v>
      </c>
    </row>
    <row r="92" customFormat="false" ht="15" hidden="false" customHeight="false" outlineLevel="0" collapsed="false">
      <c r="A92" s="216"/>
      <c r="B92" s="972" t="s">
        <v>4128</v>
      </c>
      <c r="C92" s="1160"/>
      <c r="D92" s="135"/>
      <c r="E92" s="317"/>
      <c r="F92" s="135"/>
      <c r="G92" s="1372"/>
      <c r="H92" s="1370"/>
      <c r="I92" s="1370"/>
      <c r="J92" s="1370"/>
      <c r="K92" s="1365" t="n">
        <f aca="false">J92/1792.8</f>
        <v>0</v>
      </c>
      <c r="L92" s="1370"/>
      <c r="M92" s="1366" t="n">
        <f aca="false">M89+M91</f>
        <v>1656.77976721702</v>
      </c>
    </row>
    <row r="93" customFormat="false" ht="15" hidden="false" customHeight="false" outlineLevel="0" collapsed="false">
      <c r="A93" s="216" t="s">
        <v>98</v>
      </c>
      <c r="B93" s="337" t="s">
        <v>3254</v>
      </c>
      <c r="C93" s="1161" t="s">
        <v>6943</v>
      </c>
      <c r="D93" s="317" t="n">
        <v>2013</v>
      </c>
      <c r="E93" s="317" t="n">
        <f aca="false">2021-D93</f>
        <v>8</v>
      </c>
      <c r="F93" s="317" t="n">
        <v>1503927</v>
      </c>
      <c r="G93" s="1364" t="n">
        <v>0.1</v>
      </c>
      <c r="H93" s="1365" t="n">
        <f aca="false">E93*F93*G93</f>
        <v>1203141.6</v>
      </c>
      <c r="I93" s="1365" t="n">
        <f aca="false">F93-H93</f>
        <v>300785.4</v>
      </c>
      <c r="J93" s="1365" t="n">
        <f aca="false">F93*G93</f>
        <v>150392.7</v>
      </c>
      <c r="K93" s="1365" t="n">
        <f aca="false">J93/1792.8</f>
        <v>83.8870481927711</v>
      </c>
      <c r="L93" s="1365" t="n">
        <v>60</v>
      </c>
      <c r="M93" s="1273" t="n">
        <f aca="false">K93*L93/60</f>
        <v>83.8870481927711</v>
      </c>
    </row>
    <row r="94" customFormat="false" ht="15" hidden="false" customHeight="false" outlineLevel="0" collapsed="false">
      <c r="A94" s="216"/>
      <c r="B94" s="29"/>
      <c r="C94" s="1161" t="s">
        <v>6934</v>
      </c>
      <c r="D94" s="317" t="n">
        <v>2007</v>
      </c>
      <c r="E94" s="317" t="n">
        <f aca="false">2021-D94</f>
        <v>14</v>
      </c>
      <c r="F94" s="1363" t="n">
        <v>350000</v>
      </c>
      <c r="G94" s="1364" t="n">
        <v>0.1</v>
      </c>
      <c r="H94" s="1365" t="n">
        <f aca="false">E94*F94*G94</f>
        <v>490000</v>
      </c>
      <c r="I94" s="1365" t="n">
        <f aca="false">F94-H94</f>
        <v>-140000</v>
      </c>
      <c r="J94" s="1365" t="n">
        <f aca="false">F94*G94</f>
        <v>35000</v>
      </c>
      <c r="K94" s="1365" t="n">
        <f aca="false">J94/1792.8</f>
        <v>19.5225345827755</v>
      </c>
      <c r="L94" s="1365" t="n">
        <v>10</v>
      </c>
      <c r="M94" s="1273" t="n">
        <f aca="false">K94*L94/60</f>
        <v>3.25375576379592</v>
      </c>
    </row>
    <row r="95" customFormat="false" ht="15" hidden="false" customHeight="false" outlineLevel="0" collapsed="false">
      <c r="A95" s="216"/>
      <c r="B95" s="972" t="s">
        <v>4128</v>
      </c>
      <c r="C95" s="1160"/>
      <c r="D95" s="135"/>
      <c r="E95" s="317"/>
      <c r="F95" s="135"/>
      <c r="G95" s="1372"/>
      <c r="H95" s="1370"/>
      <c r="I95" s="1370"/>
      <c r="J95" s="1370"/>
      <c r="K95" s="1365" t="n">
        <f aca="false">J95/1792.8</f>
        <v>0</v>
      </c>
      <c r="L95" s="1370"/>
      <c r="M95" s="1366" t="n">
        <f aca="false">M93+M94</f>
        <v>87.140803956567</v>
      </c>
    </row>
    <row r="96" customFormat="false" ht="15" hidden="false" customHeight="false" outlineLevel="0" collapsed="false">
      <c r="A96" s="216" t="s">
        <v>100</v>
      </c>
      <c r="B96" s="337" t="s">
        <v>3254</v>
      </c>
      <c r="C96" s="1161" t="s">
        <v>4568</v>
      </c>
      <c r="D96" s="317" t="n">
        <v>2003</v>
      </c>
      <c r="E96" s="317" t="n">
        <f aca="false">2021-D96</f>
        <v>18</v>
      </c>
      <c r="F96" s="317" t="n">
        <v>12704749</v>
      </c>
      <c r="G96" s="1364" t="n">
        <v>0.1</v>
      </c>
      <c r="H96" s="1365" t="n">
        <f aca="false">E96*F96*G96</f>
        <v>22868548.2</v>
      </c>
      <c r="I96" s="1365" t="n">
        <f aca="false">F96-H96</f>
        <v>-10163799.2</v>
      </c>
      <c r="J96" s="1365" t="n">
        <f aca="false">F96*G96</f>
        <v>1270474.9</v>
      </c>
      <c r="K96" s="1365" t="n">
        <f aca="false">J96/1792.8</f>
        <v>708.654004908523</v>
      </c>
      <c r="L96" s="1365" t="n">
        <v>40</v>
      </c>
      <c r="M96" s="1273" t="n">
        <f aca="false">K96*L96/60</f>
        <v>472.436003272349</v>
      </c>
    </row>
    <row r="97" customFormat="false" ht="15" hidden="false" customHeight="false" outlineLevel="0" collapsed="false">
      <c r="A97" s="1369"/>
      <c r="B97" s="29"/>
      <c r="C97" s="1161" t="s">
        <v>6934</v>
      </c>
      <c r="D97" s="317" t="n">
        <v>2007</v>
      </c>
      <c r="E97" s="317" t="n">
        <f aca="false">2021-D97</f>
        <v>14</v>
      </c>
      <c r="F97" s="1363" t="n">
        <v>350000</v>
      </c>
      <c r="G97" s="1364" t="n">
        <v>0.1</v>
      </c>
      <c r="H97" s="1365" t="n">
        <f aca="false">E97*F97*G97</f>
        <v>490000</v>
      </c>
      <c r="I97" s="1365" t="n">
        <f aca="false">F97-H97</f>
        <v>-140000</v>
      </c>
      <c r="J97" s="1365" t="n">
        <f aca="false">F97*G97</f>
        <v>35000</v>
      </c>
      <c r="K97" s="1365" t="n">
        <f aca="false">J97/1792.8</f>
        <v>19.5225345827755</v>
      </c>
      <c r="L97" s="1365" t="n">
        <v>10</v>
      </c>
      <c r="M97" s="1273" t="n">
        <f aca="false">K97*L97/60</f>
        <v>3.25375576379592</v>
      </c>
    </row>
    <row r="98" customFormat="false" ht="15" hidden="false" customHeight="false" outlineLevel="0" collapsed="false">
      <c r="A98" s="1369"/>
      <c r="B98" s="972" t="s">
        <v>4128</v>
      </c>
      <c r="C98" s="1160"/>
      <c r="D98" s="135"/>
      <c r="E98" s="317"/>
      <c r="F98" s="135"/>
      <c r="G98" s="1372"/>
      <c r="H98" s="1370"/>
      <c r="I98" s="1370"/>
      <c r="J98" s="1370"/>
      <c r="K98" s="1365" t="n">
        <f aca="false">J98/1792.8</f>
        <v>0</v>
      </c>
      <c r="L98" s="1370"/>
      <c r="M98" s="1366" t="n">
        <f aca="false">M96+M97</f>
        <v>475.689759036145</v>
      </c>
    </row>
    <row r="99" customFormat="false" ht="15" hidden="false" customHeight="false" outlineLevel="0" collapsed="false">
      <c r="A99" s="216" t="s">
        <v>6946</v>
      </c>
      <c r="B99" s="29" t="s">
        <v>3129</v>
      </c>
      <c r="C99" s="1161" t="s">
        <v>6943</v>
      </c>
      <c r="D99" s="317" t="n">
        <v>2013</v>
      </c>
      <c r="E99" s="317" t="n">
        <f aca="false">2021-D99</f>
        <v>8</v>
      </c>
      <c r="F99" s="317" t="n">
        <v>1503927</v>
      </c>
      <c r="G99" s="1364" t="n">
        <v>0.1</v>
      </c>
      <c r="H99" s="1365" t="n">
        <f aca="false">E99*F99*G99</f>
        <v>1203141.6</v>
      </c>
      <c r="I99" s="1365" t="n">
        <f aca="false">F99-H99</f>
        <v>300785.4</v>
      </c>
      <c r="J99" s="1365" t="n">
        <f aca="false">F99*G99</f>
        <v>150392.7</v>
      </c>
      <c r="K99" s="1365" t="n">
        <f aca="false">J99/1792.8</f>
        <v>83.8870481927711</v>
      </c>
      <c r="L99" s="1365" t="n">
        <v>80</v>
      </c>
      <c r="M99" s="1273" t="n">
        <f aca="false">K99*L99/60</f>
        <v>111.849397590361</v>
      </c>
    </row>
    <row r="100" customFormat="false" ht="15" hidden="false" customHeight="false" outlineLevel="0" collapsed="false">
      <c r="A100" s="1369"/>
      <c r="B100" s="29"/>
      <c r="C100" s="1161" t="s">
        <v>6934</v>
      </c>
      <c r="D100" s="317" t="n">
        <v>2007</v>
      </c>
      <c r="E100" s="317" t="n">
        <f aca="false">2021-D100</f>
        <v>14</v>
      </c>
      <c r="F100" s="1363" t="n">
        <v>350000</v>
      </c>
      <c r="G100" s="1364" t="n">
        <v>0.1</v>
      </c>
      <c r="H100" s="1365" t="n">
        <f aca="false">E100*F100*G100</f>
        <v>490000</v>
      </c>
      <c r="I100" s="1365" t="n">
        <f aca="false">F100-H100</f>
        <v>-140000</v>
      </c>
      <c r="J100" s="1365" t="n">
        <f aca="false">F100*G100</f>
        <v>35000</v>
      </c>
      <c r="K100" s="1365" t="n">
        <f aca="false">J100/1792.8</f>
        <v>19.5225345827755</v>
      </c>
      <c r="L100" s="1365" t="n">
        <v>10</v>
      </c>
      <c r="M100" s="1273" t="n">
        <f aca="false">K100*L100/60</f>
        <v>3.25375576379592</v>
      </c>
    </row>
    <row r="101" customFormat="false" ht="15" hidden="false" customHeight="false" outlineLevel="0" collapsed="false">
      <c r="A101" s="1369"/>
      <c r="B101" s="972" t="s">
        <v>4128</v>
      </c>
      <c r="C101" s="1160"/>
      <c r="D101" s="135"/>
      <c r="E101" s="317"/>
      <c r="F101" s="135"/>
      <c r="G101" s="1372"/>
      <c r="H101" s="1370"/>
      <c r="I101" s="1370"/>
      <c r="J101" s="1370"/>
      <c r="K101" s="1365" t="n">
        <f aca="false">J101/1792.8</f>
        <v>0</v>
      </c>
      <c r="L101" s="1370"/>
      <c r="M101" s="1366" t="n">
        <f aca="false">M99+M100</f>
        <v>115.103153354157</v>
      </c>
    </row>
    <row r="102" customFormat="false" ht="15" hidden="false" customHeight="false" outlineLevel="0" collapsed="false">
      <c r="A102" s="216" t="s">
        <v>104</v>
      </c>
      <c r="B102" s="29" t="s">
        <v>3129</v>
      </c>
      <c r="C102" s="1161" t="s">
        <v>4568</v>
      </c>
      <c r="D102" s="317" t="n">
        <v>2003</v>
      </c>
      <c r="E102" s="317" t="n">
        <f aca="false">2021-D102</f>
        <v>18</v>
      </c>
      <c r="F102" s="317" t="n">
        <v>12704749</v>
      </c>
      <c r="G102" s="1364" t="n">
        <v>0.1</v>
      </c>
      <c r="H102" s="1365" t="n">
        <f aca="false">E102*F102*G102</f>
        <v>22868548.2</v>
      </c>
      <c r="I102" s="1365" t="n">
        <f aca="false">F102-H102</f>
        <v>-10163799.2</v>
      </c>
      <c r="J102" s="1365" t="n">
        <f aca="false">F102*G102</f>
        <v>1270474.9</v>
      </c>
      <c r="K102" s="1365" t="n">
        <f aca="false">J102/1792.8</f>
        <v>708.654004908523</v>
      </c>
      <c r="L102" s="1365" t="n">
        <v>140</v>
      </c>
      <c r="M102" s="1273" t="n">
        <f aca="false">K102*L102/60</f>
        <v>1653.52601145322</v>
      </c>
    </row>
    <row r="103" customFormat="false" ht="15" hidden="false" customHeight="false" outlineLevel="0" collapsed="false">
      <c r="A103" s="1369"/>
      <c r="B103" s="29"/>
      <c r="C103" s="1161" t="s">
        <v>6934</v>
      </c>
      <c r="D103" s="317" t="n">
        <v>2007</v>
      </c>
      <c r="E103" s="317" t="n">
        <f aca="false">2021-D103</f>
        <v>14</v>
      </c>
      <c r="F103" s="1363" t="n">
        <v>350000</v>
      </c>
      <c r="G103" s="1364" t="n">
        <v>0.1</v>
      </c>
      <c r="H103" s="1365" t="n">
        <f aca="false">E103*F103*G103</f>
        <v>490000</v>
      </c>
      <c r="I103" s="1365" t="n">
        <f aca="false">F103-H103</f>
        <v>-140000</v>
      </c>
      <c r="J103" s="1365" t="n">
        <f aca="false">F103*G103</f>
        <v>35000</v>
      </c>
      <c r="K103" s="1365" t="n">
        <f aca="false">J103/1792.8</f>
        <v>19.5225345827755</v>
      </c>
      <c r="L103" s="1365" t="n">
        <v>10</v>
      </c>
      <c r="M103" s="1273" t="n">
        <f aca="false">K103*L103/60</f>
        <v>3.25375576379592</v>
      </c>
    </row>
    <row r="104" customFormat="false" ht="15" hidden="false" customHeight="false" outlineLevel="0" collapsed="false">
      <c r="A104" s="1369"/>
      <c r="B104" s="972" t="s">
        <v>4128</v>
      </c>
      <c r="C104" s="1160"/>
      <c r="D104" s="135"/>
      <c r="E104" s="317"/>
      <c r="F104" s="135"/>
      <c r="G104" s="1372"/>
      <c r="H104" s="1370"/>
      <c r="I104" s="1370"/>
      <c r="J104" s="1370"/>
      <c r="K104" s="1365" t="n">
        <f aca="false">J104/1792.8</f>
        <v>0</v>
      </c>
      <c r="L104" s="1370"/>
      <c r="M104" s="1366" t="n">
        <f aca="false">M102+M103</f>
        <v>1656.77976721702</v>
      </c>
    </row>
    <row r="105" customFormat="false" ht="15" hidden="false" customHeight="false" outlineLevel="0" collapsed="false">
      <c r="A105" s="216" t="s">
        <v>106</v>
      </c>
      <c r="B105" s="337" t="s">
        <v>3105</v>
      </c>
      <c r="C105" s="1161" t="s">
        <v>6943</v>
      </c>
      <c r="D105" s="317" t="n">
        <v>2013</v>
      </c>
      <c r="E105" s="317" t="n">
        <f aca="false">2021-D105</f>
        <v>8</v>
      </c>
      <c r="F105" s="317" t="n">
        <v>1503927</v>
      </c>
      <c r="G105" s="1364" t="n">
        <v>0.1</v>
      </c>
      <c r="H105" s="1365" t="n">
        <f aca="false">E105*F105*G105</f>
        <v>1203141.6</v>
      </c>
      <c r="I105" s="1365" t="n">
        <f aca="false">F105-H105</f>
        <v>300785.4</v>
      </c>
      <c r="J105" s="1365" t="n">
        <f aca="false">F105*G105</f>
        <v>150392.7</v>
      </c>
      <c r="K105" s="1365" t="n">
        <f aca="false">J105/1792.8</f>
        <v>83.8870481927711</v>
      </c>
      <c r="L105" s="1365" t="n">
        <v>60</v>
      </c>
      <c r="M105" s="1273" t="n">
        <f aca="false">K105*L105/60</f>
        <v>83.8870481927711</v>
      </c>
    </row>
    <row r="106" customFormat="false" ht="15" hidden="false" customHeight="false" outlineLevel="0" collapsed="false">
      <c r="A106" s="216"/>
      <c r="B106" s="29"/>
      <c r="C106" s="1161" t="s">
        <v>6934</v>
      </c>
      <c r="D106" s="317" t="n">
        <v>2007</v>
      </c>
      <c r="E106" s="317" t="n">
        <f aca="false">2021-D106</f>
        <v>14</v>
      </c>
      <c r="F106" s="1363" t="n">
        <v>350000</v>
      </c>
      <c r="G106" s="1364" t="n">
        <v>0.1</v>
      </c>
      <c r="H106" s="1365" t="n">
        <f aca="false">E106*F106*G106</f>
        <v>490000</v>
      </c>
      <c r="I106" s="1365" t="n">
        <f aca="false">F106-H106</f>
        <v>-140000</v>
      </c>
      <c r="J106" s="1365" t="n">
        <f aca="false">F106*G106</f>
        <v>35000</v>
      </c>
      <c r="K106" s="1365" t="n">
        <f aca="false">J106/1792.8</f>
        <v>19.5225345827755</v>
      </c>
      <c r="L106" s="1365" t="n">
        <v>10</v>
      </c>
      <c r="M106" s="1273" t="n">
        <f aca="false">K106*L106/60</f>
        <v>3.25375576379592</v>
      </c>
    </row>
    <row r="107" customFormat="false" ht="15" hidden="false" customHeight="false" outlineLevel="0" collapsed="false">
      <c r="A107" s="216"/>
      <c r="B107" s="972" t="s">
        <v>4128</v>
      </c>
      <c r="C107" s="1160"/>
      <c r="D107" s="135"/>
      <c r="E107" s="317"/>
      <c r="F107" s="135"/>
      <c r="G107" s="1372"/>
      <c r="H107" s="1370"/>
      <c r="I107" s="1370"/>
      <c r="J107" s="1370"/>
      <c r="K107" s="1365" t="n">
        <f aca="false">J107/1792.8</f>
        <v>0</v>
      </c>
      <c r="L107" s="1370"/>
      <c r="M107" s="1366" t="n">
        <f aca="false">M105+M106</f>
        <v>87.140803956567</v>
      </c>
    </row>
    <row r="108" customFormat="false" ht="15" hidden="false" customHeight="false" outlineLevel="0" collapsed="false">
      <c r="A108" s="216" t="s">
        <v>108</v>
      </c>
      <c r="B108" s="337" t="s">
        <v>3105</v>
      </c>
      <c r="C108" s="1161" t="s">
        <v>4568</v>
      </c>
      <c r="D108" s="317" t="n">
        <v>2003</v>
      </c>
      <c r="E108" s="317" t="n">
        <f aca="false">2021-D108</f>
        <v>18</v>
      </c>
      <c r="F108" s="317" t="n">
        <v>12704749</v>
      </c>
      <c r="G108" s="1364" t="n">
        <v>0.1</v>
      </c>
      <c r="H108" s="1365" t="n">
        <f aca="false">E108*F108*G108</f>
        <v>22868548.2</v>
      </c>
      <c r="I108" s="1365" t="n">
        <f aca="false">F108-H108</f>
        <v>-10163799.2</v>
      </c>
      <c r="J108" s="1365" t="n">
        <f aca="false">F108*G108</f>
        <v>1270474.9</v>
      </c>
      <c r="K108" s="1365" t="n">
        <f aca="false">J108/1792.8</f>
        <v>708.654004908523</v>
      </c>
      <c r="L108" s="1365" t="n">
        <v>140</v>
      </c>
      <c r="M108" s="1273" t="n">
        <f aca="false">K108*L108/60</f>
        <v>1653.52601145322</v>
      </c>
    </row>
    <row r="109" customFormat="false" ht="15" hidden="false" customHeight="false" outlineLevel="0" collapsed="false">
      <c r="A109" s="216"/>
      <c r="B109" s="29"/>
      <c r="C109" s="1161" t="s">
        <v>6934</v>
      </c>
      <c r="D109" s="317" t="n">
        <v>2007</v>
      </c>
      <c r="E109" s="317" t="n">
        <f aca="false">2021-D109</f>
        <v>14</v>
      </c>
      <c r="F109" s="1363" t="n">
        <v>350000</v>
      </c>
      <c r="G109" s="1364" t="n">
        <v>0.1</v>
      </c>
      <c r="H109" s="1365" t="n">
        <f aca="false">E109*F109*G109</f>
        <v>490000</v>
      </c>
      <c r="I109" s="1365" t="n">
        <f aca="false">F109-H109</f>
        <v>-140000</v>
      </c>
      <c r="J109" s="1365" t="n">
        <f aca="false">F109*G109</f>
        <v>35000</v>
      </c>
      <c r="K109" s="1365" t="n">
        <f aca="false">J109/1792.8</f>
        <v>19.5225345827755</v>
      </c>
      <c r="L109" s="1365" t="n">
        <v>10</v>
      </c>
      <c r="M109" s="1273" t="n">
        <f aca="false">K109*L109/60</f>
        <v>3.25375576379592</v>
      </c>
    </row>
    <row r="110" customFormat="false" ht="15" hidden="false" customHeight="false" outlineLevel="0" collapsed="false">
      <c r="A110" s="216"/>
      <c r="B110" s="972" t="s">
        <v>4128</v>
      </c>
      <c r="C110" s="1160"/>
      <c r="D110" s="135"/>
      <c r="E110" s="317"/>
      <c r="F110" s="135"/>
      <c r="G110" s="1372"/>
      <c r="H110" s="1370"/>
      <c r="I110" s="1370"/>
      <c r="J110" s="1370"/>
      <c r="K110" s="1365" t="n">
        <f aca="false">J110/1792.8</f>
        <v>0</v>
      </c>
      <c r="L110" s="1370"/>
      <c r="M110" s="1366" t="n">
        <f aca="false">M108+M109</f>
        <v>1656.77976721702</v>
      </c>
    </row>
    <row r="111" customFormat="false" ht="15" hidden="false" customHeight="false" outlineLevel="0" collapsed="false">
      <c r="A111" s="216" t="s">
        <v>110</v>
      </c>
      <c r="B111" s="41" t="s">
        <v>4290</v>
      </c>
      <c r="C111" s="1161" t="s">
        <v>6927</v>
      </c>
      <c r="D111" s="317" t="n">
        <v>2014</v>
      </c>
      <c r="E111" s="317" t="n">
        <f aca="false">2021-D111</f>
        <v>7</v>
      </c>
      <c r="F111" s="1363" t="n">
        <v>375200</v>
      </c>
      <c r="G111" s="1364" t="n">
        <v>0.1</v>
      </c>
      <c r="H111" s="1365" t="n">
        <f aca="false">E111*F111*G111</f>
        <v>262640</v>
      </c>
      <c r="I111" s="1365" t="n">
        <f aca="false">F111-H111</f>
        <v>112560</v>
      </c>
      <c r="J111" s="1365" t="n">
        <f aca="false">F111*G111</f>
        <v>37520</v>
      </c>
      <c r="K111" s="1365" t="n">
        <f aca="false">J111/1792.8</f>
        <v>20.9281570727354</v>
      </c>
      <c r="L111" s="1365" t="n">
        <v>10</v>
      </c>
      <c r="M111" s="1273" t="n">
        <f aca="false">K111*L111/60</f>
        <v>3.48802617878923</v>
      </c>
    </row>
    <row r="112" customFormat="false" ht="15" hidden="false" customHeight="false" outlineLevel="0" collapsed="false">
      <c r="A112" s="216"/>
      <c r="B112" s="29"/>
      <c r="C112" s="1161" t="s">
        <v>6934</v>
      </c>
      <c r="D112" s="317" t="n">
        <v>2007</v>
      </c>
      <c r="E112" s="317" t="n">
        <f aca="false">2021-D112</f>
        <v>14</v>
      </c>
      <c r="F112" s="1363" t="n">
        <v>350000</v>
      </c>
      <c r="G112" s="1364" t="n">
        <v>0.1</v>
      </c>
      <c r="H112" s="1365" t="n">
        <f aca="false">E112*F112*G112</f>
        <v>490000</v>
      </c>
      <c r="I112" s="1365" t="n">
        <f aca="false">F112-H112</f>
        <v>-140000</v>
      </c>
      <c r="J112" s="1365" t="n">
        <f aca="false">F112*G112</f>
        <v>35000</v>
      </c>
      <c r="K112" s="1365" t="n">
        <f aca="false">J112/1792.8</f>
        <v>19.5225345827755</v>
      </c>
      <c r="L112" s="1365" t="n">
        <v>10</v>
      </c>
      <c r="M112" s="1273" t="n">
        <f aca="false">K112*L112/60</f>
        <v>3.25375576379592</v>
      </c>
    </row>
    <row r="113" customFormat="false" ht="15" hidden="false" customHeight="false" outlineLevel="0" collapsed="false">
      <c r="A113" s="216"/>
      <c r="B113" s="972" t="s">
        <v>4128</v>
      </c>
      <c r="C113" s="1160"/>
      <c r="D113" s="135"/>
      <c r="E113" s="317"/>
      <c r="F113" s="135"/>
      <c r="G113" s="1372"/>
      <c r="H113" s="1370"/>
      <c r="I113" s="1370"/>
      <c r="J113" s="1370"/>
      <c r="K113" s="1365" t="n">
        <f aca="false">J113/1792.8</f>
        <v>0</v>
      </c>
      <c r="L113" s="1370"/>
      <c r="M113" s="1366" t="n">
        <f aca="false">M111+M112</f>
        <v>6.74178194258516</v>
      </c>
    </row>
    <row r="114" customFormat="false" ht="15" hidden="false" customHeight="false" outlineLevel="0" collapsed="false">
      <c r="A114" s="216" t="s">
        <v>112</v>
      </c>
      <c r="B114" s="41" t="s">
        <v>4290</v>
      </c>
      <c r="C114" s="1161" t="s">
        <v>4568</v>
      </c>
      <c r="D114" s="317" t="n">
        <v>2003</v>
      </c>
      <c r="E114" s="317" t="n">
        <f aca="false">2021-D114</f>
        <v>18</v>
      </c>
      <c r="F114" s="317" t="n">
        <v>12704749</v>
      </c>
      <c r="G114" s="1364" t="n">
        <v>0.1</v>
      </c>
      <c r="H114" s="1365" t="n">
        <f aca="false">E114*F114*G114</f>
        <v>22868548.2</v>
      </c>
      <c r="I114" s="1365" t="n">
        <f aca="false">F114-H114</f>
        <v>-10163799.2</v>
      </c>
      <c r="J114" s="1365" t="n">
        <f aca="false">F114*G114</f>
        <v>1270474.9</v>
      </c>
      <c r="K114" s="1365" t="n">
        <f aca="false">J114/1792.8</f>
        <v>708.654004908523</v>
      </c>
      <c r="L114" s="1365" t="n">
        <v>140</v>
      </c>
      <c r="M114" s="1273" t="n">
        <f aca="false">K114*L114/60</f>
        <v>1653.52601145322</v>
      </c>
    </row>
    <row r="115" customFormat="false" ht="15" hidden="false" customHeight="false" outlineLevel="0" collapsed="false">
      <c r="A115" s="1369"/>
      <c r="B115" s="29"/>
      <c r="C115" s="1161" t="s">
        <v>6934</v>
      </c>
      <c r="D115" s="317" t="n">
        <v>2007</v>
      </c>
      <c r="E115" s="317" t="n">
        <f aca="false">2021-D115</f>
        <v>14</v>
      </c>
      <c r="F115" s="1363" t="n">
        <v>350000</v>
      </c>
      <c r="G115" s="1364" t="n">
        <v>0.1</v>
      </c>
      <c r="H115" s="1365" t="n">
        <f aca="false">E115*F115*G115</f>
        <v>490000</v>
      </c>
      <c r="I115" s="1365" t="n">
        <f aca="false">F115-H115</f>
        <v>-140000</v>
      </c>
      <c r="J115" s="1365" t="n">
        <f aca="false">F115*G115</f>
        <v>35000</v>
      </c>
      <c r="K115" s="1365" t="n">
        <f aca="false">J115/1792.8</f>
        <v>19.5225345827755</v>
      </c>
      <c r="L115" s="1365" t="n">
        <v>10</v>
      </c>
      <c r="M115" s="1273" t="n">
        <f aca="false">K115*L115/60</f>
        <v>3.25375576379592</v>
      </c>
    </row>
    <row r="116" customFormat="false" ht="25.5" hidden="false" customHeight="true" outlineLevel="0" collapsed="false">
      <c r="A116" s="1369"/>
      <c r="B116" s="972" t="s">
        <v>4128</v>
      </c>
      <c r="C116" s="1160"/>
      <c r="D116" s="135"/>
      <c r="E116" s="317"/>
      <c r="F116" s="135"/>
      <c r="G116" s="1372"/>
      <c r="H116" s="1370"/>
      <c r="I116" s="1370"/>
      <c r="J116" s="1370"/>
      <c r="K116" s="1365" t="n">
        <f aca="false">J116/1792.8</f>
        <v>0</v>
      </c>
      <c r="L116" s="1370"/>
      <c r="M116" s="1366" t="n">
        <f aca="false">M114+M115</f>
        <v>1656.77976721702</v>
      </c>
    </row>
    <row r="117" customFormat="false" ht="15" hidden="false" customHeight="false" outlineLevel="0" collapsed="false">
      <c r="A117" s="216" t="s">
        <v>114</v>
      </c>
      <c r="B117" s="41" t="s">
        <v>2931</v>
      </c>
      <c r="C117" s="1161" t="s">
        <v>4568</v>
      </c>
      <c r="D117" s="317" t="n">
        <v>2003</v>
      </c>
      <c r="E117" s="317" t="n">
        <f aca="false">2021-D117</f>
        <v>18</v>
      </c>
      <c r="F117" s="317" t="n">
        <v>12704749</v>
      </c>
      <c r="G117" s="1364" t="n">
        <v>0.1</v>
      </c>
      <c r="H117" s="1365" t="n">
        <f aca="false">E117*F117*G117</f>
        <v>22868548.2</v>
      </c>
      <c r="I117" s="1365" t="n">
        <f aca="false">F117-H117</f>
        <v>-10163799.2</v>
      </c>
      <c r="J117" s="1365" t="n">
        <f aca="false">F117*G117</f>
        <v>1270474.9</v>
      </c>
      <c r="K117" s="1365" t="n">
        <f aca="false">J117/1792.8</f>
        <v>708.654004908523</v>
      </c>
      <c r="L117" s="1365" t="n">
        <v>60</v>
      </c>
      <c r="M117" s="1273" t="n">
        <f aca="false">K117*L117/60</f>
        <v>708.654004908523</v>
      </c>
    </row>
    <row r="118" customFormat="false" ht="15" hidden="false" customHeight="false" outlineLevel="0" collapsed="false">
      <c r="A118" s="1369"/>
      <c r="B118" s="29"/>
      <c r="C118" s="1161" t="s">
        <v>6934</v>
      </c>
      <c r="D118" s="317" t="n">
        <v>2007</v>
      </c>
      <c r="E118" s="317" t="n">
        <f aca="false">2021-D118</f>
        <v>14</v>
      </c>
      <c r="F118" s="1363" t="n">
        <v>350000</v>
      </c>
      <c r="G118" s="1364" t="n">
        <v>0.1</v>
      </c>
      <c r="H118" s="1365" t="n">
        <f aca="false">E118*F118*G118</f>
        <v>490000</v>
      </c>
      <c r="I118" s="1365" t="n">
        <f aca="false">F118-H118</f>
        <v>-140000</v>
      </c>
      <c r="J118" s="1365" t="n">
        <f aca="false">F118*G118</f>
        <v>35000</v>
      </c>
      <c r="K118" s="1365" t="n">
        <f aca="false">J118/1792.8</f>
        <v>19.5225345827755</v>
      </c>
      <c r="L118" s="1365" t="n">
        <v>10</v>
      </c>
      <c r="M118" s="1273" t="n">
        <f aca="false">K118*L118/60</f>
        <v>3.25375576379592</v>
      </c>
    </row>
    <row r="119" customFormat="false" ht="15" hidden="false" customHeight="false" outlineLevel="0" collapsed="false">
      <c r="A119" s="1369"/>
      <c r="B119" s="972" t="s">
        <v>4128</v>
      </c>
      <c r="C119" s="1160"/>
      <c r="D119" s="135"/>
      <c r="E119" s="317"/>
      <c r="F119" s="135"/>
      <c r="G119" s="1372"/>
      <c r="H119" s="1370"/>
      <c r="I119" s="1370"/>
      <c r="J119" s="1370"/>
      <c r="K119" s="1365" t="n">
        <f aca="false">J119/1792.8</f>
        <v>0</v>
      </c>
      <c r="L119" s="1370"/>
      <c r="M119" s="1366" t="n">
        <f aca="false">M117+M118</f>
        <v>711.907760672319</v>
      </c>
    </row>
    <row r="120" customFormat="false" ht="15" hidden="false" customHeight="false" outlineLevel="0" collapsed="false">
      <c r="A120" s="216" t="s">
        <v>116</v>
      </c>
      <c r="B120" s="29" t="s">
        <v>2932</v>
      </c>
      <c r="C120" s="1161" t="s">
        <v>6927</v>
      </c>
      <c r="D120" s="317" t="n">
        <v>2014</v>
      </c>
      <c r="E120" s="317" t="n">
        <f aca="false">2021-D120</f>
        <v>7</v>
      </c>
      <c r="F120" s="1363" t="n">
        <v>375200</v>
      </c>
      <c r="G120" s="1364" t="n">
        <v>0.1</v>
      </c>
      <c r="H120" s="1365" t="n">
        <f aca="false">E120*F120*G120</f>
        <v>262640</v>
      </c>
      <c r="I120" s="1365" t="n">
        <f aca="false">F120-H120</f>
        <v>112560</v>
      </c>
      <c r="J120" s="1365" t="n">
        <f aca="false">F120*G120</f>
        <v>37520</v>
      </c>
      <c r="K120" s="1365" t="n">
        <f aca="false">J120/1792.8</f>
        <v>20.9281570727354</v>
      </c>
      <c r="L120" s="1365" t="n">
        <v>10</v>
      </c>
      <c r="M120" s="1273" t="n">
        <f aca="false">K120*L120/60</f>
        <v>3.48802617878923</v>
      </c>
    </row>
    <row r="121" customFormat="false" ht="15" hidden="false" customHeight="false" outlineLevel="0" collapsed="false">
      <c r="A121" s="216"/>
      <c r="B121" s="29"/>
      <c r="C121" s="1161" t="s">
        <v>6934</v>
      </c>
      <c r="D121" s="317" t="n">
        <v>2007</v>
      </c>
      <c r="E121" s="317" t="n">
        <f aca="false">2021-D121</f>
        <v>14</v>
      </c>
      <c r="F121" s="1363" t="n">
        <v>350000</v>
      </c>
      <c r="G121" s="1364" t="n">
        <v>0.1</v>
      </c>
      <c r="H121" s="1365" t="n">
        <f aca="false">E121*F121*G121</f>
        <v>490000</v>
      </c>
      <c r="I121" s="1365" t="n">
        <f aca="false">F121-H121</f>
        <v>-140000</v>
      </c>
      <c r="J121" s="1365" t="n">
        <f aca="false">F121*G121</f>
        <v>35000</v>
      </c>
      <c r="K121" s="1365" t="n">
        <f aca="false">J121/1792.8</f>
        <v>19.5225345827755</v>
      </c>
      <c r="L121" s="1365" t="n">
        <v>10</v>
      </c>
      <c r="M121" s="1273" t="n">
        <f aca="false">K121*L121/60</f>
        <v>3.25375576379592</v>
      </c>
    </row>
    <row r="122" customFormat="false" ht="15" hidden="false" customHeight="false" outlineLevel="0" collapsed="false">
      <c r="A122" s="216"/>
      <c r="B122" s="972" t="s">
        <v>4128</v>
      </c>
      <c r="C122" s="1160"/>
      <c r="D122" s="135"/>
      <c r="E122" s="317"/>
      <c r="F122" s="1370"/>
      <c r="G122" s="1372"/>
      <c r="H122" s="1370"/>
      <c r="I122" s="1370"/>
      <c r="J122" s="1370"/>
      <c r="K122" s="1365" t="n">
        <f aca="false">J122/1792.8</f>
        <v>0</v>
      </c>
      <c r="L122" s="1370"/>
      <c r="M122" s="1366" t="n">
        <f aca="false">M120+M121</f>
        <v>6.74178194258516</v>
      </c>
    </row>
    <row r="123" customFormat="false" ht="15" hidden="false" customHeight="false" outlineLevel="0" collapsed="false">
      <c r="A123" s="216" t="s">
        <v>118</v>
      </c>
      <c r="B123" s="41" t="s">
        <v>2933</v>
      </c>
      <c r="C123" s="1161" t="s">
        <v>6927</v>
      </c>
      <c r="D123" s="317" t="n">
        <v>2014</v>
      </c>
      <c r="E123" s="317" t="n">
        <f aca="false">2021-D123</f>
        <v>7</v>
      </c>
      <c r="F123" s="1363" t="n">
        <v>375200</v>
      </c>
      <c r="G123" s="1364" t="n">
        <v>0.1</v>
      </c>
      <c r="H123" s="1365" t="n">
        <f aca="false">E123*F123*G123</f>
        <v>262640</v>
      </c>
      <c r="I123" s="1365" t="n">
        <f aca="false">F123-H123</f>
        <v>112560</v>
      </c>
      <c r="J123" s="1365" t="n">
        <f aca="false">F123*G123</f>
        <v>37520</v>
      </c>
      <c r="K123" s="1365" t="n">
        <f aca="false">J123/1792.8</f>
        <v>20.9281570727354</v>
      </c>
      <c r="L123" s="1365" t="n">
        <v>20</v>
      </c>
      <c r="M123" s="1273" t="n">
        <f aca="false">K123*L123/60</f>
        <v>6.97605235757846</v>
      </c>
    </row>
    <row r="124" customFormat="false" ht="15" hidden="false" customHeight="false" outlineLevel="0" collapsed="false">
      <c r="A124" s="216"/>
      <c r="B124" s="29"/>
      <c r="C124" s="1161" t="s">
        <v>6934</v>
      </c>
      <c r="D124" s="317" t="n">
        <v>2007</v>
      </c>
      <c r="E124" s="317" t="n">
        <f aca="false">2021-D124</f>
        <v>14</v>
      </c>
      <c r="F124" s="1363" t="n">
        <v>350000</v>
      </c>
      <c r="G124" s="1364" t="n">
        <v>0.1</v>
      </c>
      <c r="H124" s="1365" t="n">
        <f aca="false">E124*F124*G124</f>
        <v>490000</v>
      </c>
      <c r="I124" s="1365" t="n">
        <f aca="false">F124-H124</f>
        <v>-140000</v>
      </c>
      <c r="J124" s="1365" t="n">
        <f aca="false">F124*G124</f>
        <v>35000</v>
      </c>
      <c r="K124" s="1365" t="n">
        <f aca="false">J124/1792.8</f>
        <v>19.5225345827755</v>
      </c>
      <c r="L124" s="1365" t="n">
        <v>10</v>
      </c>
      <c r="M124" s="1273" t="n">
        <f aca="false">K124*L124/60</f>
        <v>3.25375576379592</v>
      </c>
    </row>
    <row r="125" customFormat="false" ht="15" hidden="false" customHeight="false" outlineLevel="0" collapsed="false">
      <c r="A125" s="216"/>
      <c r="B125" s="972" t="s">
        <v>4128</v>
      </c>
      <c r="C125" s="1160"/>
      <c r="D125" s="135"/>
      <c r="E125" s="317"/>
      <c r="F125" s="135"/>
      <c r="G125" s="1372"/>
      <c r="H125" s="1370"/>
      <c r="I125" s="1370"/>
      <c r="J125" s="1370"/>
      <c r="K125" s="1365" t="n">
        <f aca="false">J125/1792.8</f>
        <v>0</v>
      </c>
      <c r="L125" s="1370"/>
      <c r="M125" s="1366" t="n">
        <f aca="false">M123+M124</f>
        <v>10.2298081213744</v>
      </c>
    </row>
    <row r="126" customFormat="false" ht="15" hidden="false" customHeight="false" outlineLevel="0" collapsed="false">
      <c r="A126" s="216" t="s">
        <v>120</v>
      </c>
      <c r="B126" s="41" t="s">
        <v>4316</v>
      </c>
      <c r="C126" s="1161" t="s">
        <v>6940</v>
      </c>
      <c r="D126" s="317" t="n">
        <v>2005</v>
      </c>
      <c r="E126" s="317" t="n">
        <f aca="false">2021-D126</f>
        <v>16</v>
      </c>
      <c r="F126" s="317" t="n">
        <v>560000</v>
      </c>
      <c r="G126" s="1364" t="n">
        <v>0.1</v>
      </c>
      <c r="H126" s="1365" t="n">
        <f aca="false">E126*F126*G126</f>
        <v>896000</v>
      </c>
      <c r="I126" s="1365" t="n">
        <f aca="false">F126-H126</f>
        <v>-336000</v>
      </c>
      <c r="J126" s="1365" t="n">
        <f aca="false">F126*G126</f>
        <v>56000</v>
      </c>
      <c r="K126" s="1365" t="n">
        <f aca="false">J126/1792.8</f>
        <v>31.2360553324409</v>
      </c>
      <c r="L126" s="1365" t="n">
        <v>60</v>
      </c>
      <c r="M126" s="1273" t="n">
        <f aca="false">K126*L126/60</f>
        <v>31.2360553324409</v>
      </c>
    </row>
    <row r="127" customFormat="false" ht="15" hidden="false" customHeight="false" outlineLevel="0" collapsed="false">
      <c r="A127" s="216"/>
      <c r="B127" s="78"/>
      <c r="C127" s="1161" t="s">
        <v>6934</v>
      </c>
      <c r="D127" s="317" t="n">
        <v>2007</v>
      </c>
      <c r="E127" s="317" t="n">
        <f aca="false">2021-D127</f>
        <v>14</v>
      </c>
      <c r="F127" s="1363" t="n">
        <v>350000</v>
      </c>
      <c r="G127" s="1364" t="n">
        <v>0.1</v>
      </c>
      <c r="H127" s="1365" t="n">
        <f aca="false">E127*F127*G127</f>
        <v>490000</v>
      </c>
      <c r="I127" s="1365" t="n">
        <f aca="false">F127-H127</f>
        <v>-140000</v>
      </c>
      <c r="J127" s="1365" t="n">
        <f aca="false">F127*G127</f>
        <v>35000</v>
      </c>
      <c r="K127" s="1365" t="n">
        <f aca="false">J127/1792.8</f>
        <v>19.5225345827755</v>
      </c>
      <c r="L127" s="1365" t="n">
        <v>10</v>
      </c>
      <c r="M127" s="1273" t="n">
        <f aca="false">K127*L127/60</f>
        <v>3.25375576379592</v>
      </c>
    </row>
    <row r="128" customFormat="false" ht="15" hidden="false" customHeight="false" outlineLevel="0" collapsed="false">
      <c r="A128" s="216"/>
      <c r="B128" s="972" t="s">
        <v>4128</v>
      </c>
      <c r="C128" s="1160"/>
      <c r="D128" s="135"/>
      <c r="E128" s="317"/>
      <c r="F128" s="135"/>
      <c r="G128" s="1372"/>
      <c r="H128" s="1370"/>
      <c r="I128" s="1370"/>
      <c r="J128" s="1370"/>
      <c r="K128" s="1365" t="n">
        <f aca="false">J128/1792.8</f>
        <v>0</v>
      </c>
      <c r="L128" s="1370"/>
      <c r="M128" s="1366" t="n">
        <f aca="false">M126+M127</f>
        <v>34.4898110962368</v>
      </c>
    </row>
    <row r="129" customFormat="false" ht="45" hidden="false" customHeight="false" outlineLevel="0" collapsed="false">
      <c r="A129" s="216" t="s">
        <v>122</v>
      </c>
      <c r="B129" s="41" t="s">
        <v>4316</v>
      </c>
      <c r="C129" s="1161" t="s">
        <v>6941</v>
      </c>
      <c r="D129" s="317" t="n">
        <v>2012</v>
      </c>
      <c r="E129" s="317" t="n">
        <f aca="false">2021-D129</f>
        <v>9</v>
      </c>
      <c r="F129" s="317" t="n">
        <v>44483193</v>
      </c>
      <c r="G129" s="1364" t="n">
        <v>0.1</v>
      </c>
      <c r="H129" s="1365" t="n">
        <f aca="false">E129*F129*G129</f>
        <v>40034873.7</v>
      </c>
      <c r="I129" s="1365" t="n">
        <f aca="false">F129-H129</f>
        <v>4448319.3</v>
      </c>
      <c r="J129" s="1365" t="n">
        <f aca="false">F129*G129</f>
        <v>4448319.3</v>
      </c>
      <c r="K129" s="1365" t="n">
        <f aca="false">J129/1792.8</f>
        <v>2481.21335341365</v>
      </c>
      <c r="L129" s="1365" t="n">
        <v>10</v>
      </c>
      <c r="M129" s="1273" t="n">
        <f aca="false">K129*L129/60</f>
        <v>413.535558902276</v>
      </c>
    </row>
    <row r="130" customFormat="false" ht="15" hidden="false" customHeight="false" outlineLevel="0" collapsed="false">
      <c r="A130" s="1369"/>
      <c r="B130" s="972"/>
      <c r="C130" s="1161" t="s">
        <v>6934</v>
      </c>
      <c r="D130" s="317" t="n">
        <v>2007</v>
      </c>
      <c r="E130" s="317" t="n">
        <f aca="false">2021-D130</f>
        <v>14</v>
      </c>
      <c r="F130" s="1363" t="n">
        <v>350000</v>
      </c>
      <c r="G130" s="1364" t="n">
        <v>0.1</v>
      </c>
      <c r="H130" s="1365" t="n">
        <f aca="false">E130*F130*G130</f>
        <v>490000</v>
      </c>
      <c r="I130" s="1365" t="n">
        <f aca="false">F130-H130</f>
        <v>-140000</v>
      </c>
      <c r="J130" s="1365" t="n">
        <f aca="false">F130*G130</f>
        <v>35000</v>
      </c>
      <c r="K130" s="1365" t="n">
        <f aca="false">J130/1792.8</f>
        <v>19.5225345827755</v>
      </c>
      <c r="L130" s="1365" t="n">
        <v>10</v>
      </c>
      <c r="M130" s="1273" t="n">
        <f aca="false">K130*L130/60</f>
        <v>3.25375576379592</v>
      </c>
    </row>
    <row r="131" customFormat="false" ht="15" hidden="false" customHeight="false" outlineLevel="0" collapsed="false">
      <c r="A131" s="216"/>
      <c r="B131" s="972" t="s">
        <v>4128</v>
      </c>
      <c r="C131" s="1160"/>
      <c r="D131" s="135"/>
      <c r="E131" s="317"/>
      <c r="F131" s="135"/>
      <c r="G131" s="1372"/>
      <c r="H131" s="1370"/>
      <c r="I131" s="1370"/>
      <c r="J131" s="1370"/>
      <c r="K131" s="1365" t="n">
        <f aca="false">J131/1792.8</f>
        <v>0</v>
      </c>
      <c r="L131" s="1370"/>
      <c r="M131" s="1366" t="n">
        <f aca="false">M129+M130</f>
        <v>416.789314666072</v>
      </c>
    </row>
    <row r="132" customFormat="false" ht="15" hidden="false" customHeight="false" outlineLevel="0" collapsed="false">
      <c r="A132" s="216" t="s">
        <v>124</v>
      </c>
      <c r="B132" s="337" t="s">
        <v>2936</v>
      </c>
      <c r="C132" s="1161" t="s">
        <v>6934</v>
      </c>
      <c r="D132" s="317" t="n">
        <v>2007</v>
      </c>
      <c r="E132" s="317" t="n">
        <f aca="false">2021-D132</f>
        <v>14</v>
      </c>
      <c r="F132" s="1363" t="n">
        <v>350000</v>
      </c>
      <c r="G132" s="1364" t="n">
        <v>0.1</v>
      </c>
      <c r="H132" s="1365" t="n">
        <f aca="false">E132*F132*G132</f>
        <v>490000</v>
      </c>
      <c r="I132" s="1365" t="n">
        <f aca="false">F132-H132</f>
        <v>-140000</v>
      </c>
      <c r="J132" s="1365" t="n">
        <f aca="false">F132*G132</f>
        <v>35000</v>
      </c>
      <c r="K132" s="1365" t="n">
        <f aca="false">J132/1792.8</f>
        <v>19.5225345827755</v>
      </c>
      <c r="L132" s="1365" t="n">
        <v>40</v>
      </c>
      <c r="M132" s="1366" t="n">
        <f aca="false">K132*L132/60</f>
        <v>13.0150230551837</v>
      </c>
    </row>
    <row r="133" customFormat="false" ht="15" hidden="false" customHeight="false" outlineLevel="0" collapsed="false">
      <c r="A133" s="216" t="s">
        <v>126</v>
      </c>
      <c r="B133" s="337" t="s">
        <v>2937</v>
      </c>
      <c r="C133" s="1161" t="s">
        <v>6927</v>
      </c>
      <c r="D133" s="317" t="n">
        <v>2014</v>
      </c>
      <c r="E133" s="317" t="n">
        <f aca="false">2021-D133</f>
        <v>7</v>
      </c>
      <c r="F133" s="1363" t="n">
        <v>375200</v>
      </c>
      <c r="G133" s="1364" t="n">
        <v>0.1</v>
      </c>
      <c r="H133" s="1365" t="n">
        <f aca="false">E133*F133*G133</f>
        <v>262640</v>
      </c>
      <c r="I133" s="1365" t="n">
        <f aca="false">F133-H133</f>
        <v>112560</v>
      </c>
      <c r="J133" s="1365" t="n">
        <f aca="false">F133*G133</f>
        <v>37520</v>
      </c>
      <c r="K133" s="1365" t="n">
        <f aca="false">J133/1792.8</f>
        <v>20.9281570727354</v>
      </c>
      <c r="L133" s="1365" t="n">
        <v>10</v>
      </c>
      <c r="M133" s="1273" t="n">
        <f aca="false">K133*L133/60</f>
        <v>3.48802617878923</v>
      </c>
    </row>
    <row r="134" customFormat="false" ht="15" hidden="false" customHeight="false" outlineLevel="0" collapsed="false">
      <c r="A134" s="216"/>
      <c r="B134" s="29"/>
      <c r="C134" s="1161" t="s">
        <v>6934</v>
      </c>
      <c r="D134" s="317" t="n">
        <v>2007</v>
      </c>
      <c r="E134" s="317" t="n">
        <f aca="false">2021-D134</f>
        <v>14</v>
      </c>
      <c r="F134" s="1363" t="n">
        <v>350000</v>
      </c>
      <c r="G134" s="1364" t="n">
        <v>0.1</v>
      </c>
      <c r="H134" s="1365" t="n">
        <f aca="false">E134*F134*G134</f>
        <v>490000</v>
      </c>
      <c r="I134" s="1365" t="n">
        <f aca="false">F134-H134</f>
        <v>-140000</v>
      </c>
      <c r="J134" s="1365" t="n">
        <f aca="false">F134*G134</f>
        <v>35000</v>
      </c>
      <c r="K134" s="1365" t="n">
        <f aca="false">J134/1792.8</f>
        <v>19.5225345827755</v>
      </c>
      <c r="L134" s="1365" t="n">
        <v>10</v>
      </c>
      <c r="M134" s="1273" t="n">
        <f aca="false">K134*L134/60</f>
        <v>3.25375576379592</v>
      </c>
    </row>
    <row r="135" customFormat="false" ht="15" hidden="false" customHeight="false" outlineLevel="0" collapsed="false">
      <c r="A135" s="216"/>
      <c r="B135" s="972" t="s">
        <v>4128</v>
      </c>
      <c r="C135" s="1161"/>
      <c r="D135" s="317"/>
      <c r="E135" s="317"/>
      <c r="F135" s="1363"/>
      <c r="G135" s="1364"/>
      <c r="H135" s="1365"/>
      <c r="I135" s="1365"/>
      <c r="J135" s="1365"/>
      <c r="K135" s="1365" t="n">
        <f aca="false">J135/1792.8</f>
        <v>0</v>
      </c>
      <c r="L135" s="1365"/>
      <c r="M135" s="1366" t="n">
        <f aca="false">SUM(M133:M134)</f>
        <v>6.74178194258516</v>
      </c>
    </row>
    <row r="136" customFormat="false" ht="15" hidden="false" customHeight="false" outlineLevel="0" collapsed="false">
      <c r="A136" s="216" t="s">
        <v>128</v>
      </c>
      <c r="B136" s="29" t="s">
        <v>2938</v>
      </c>
      <c r="C136" s="1161" t="s">
        <v>6943</v>
      </c>
      <c r="D136" s="317" t="n">
        <v>2013</v>
      </c>
      <c r="E136" s="317" t="n">
        <f aca="false">2021-D136</f>
        <v>8</v>
      </c>
      <c r="F136" s="317" t="n">
        <v>1503927</v>
      </c>
      <c r="G136" s="1364" t="n">
        <v>0.1</v>
      </c>
      <c r="H136" s="1365" t="n">
        <f aca="false">E136*F136*G136</f>
        <v>1203141.6</v>
      </c>
      <c r="I136" s="1365" t="n">
        <f aca="false">F136-H136</f>
        <v>300785.4</v>
      </c>
      <c r="J136" s="1365" t="n">
        <f aca="false">F136*G136</f>
        <v>150392.7</v>
      </c>
      <c r="K136" s="1365" t="n">
        <f aca="false">J136/1792.8</f>
        <v>83.8870481927711</v>
      </c>
      <c r="L136" s="1365" t="n">
        <v>20</v>
      </c>
      <c r="M136" s="1273" t="n">
        <f aca="false">K136*L136/60</f>
        <v>27.9623493975904</v>
      </c>
    </row>
    <row r="137" customFormat="false" ht="15" hidden="false" customHeight="false" outlineLevel="0" collapsed="false">
      <c r="A137" s="1369"/>
      <c r="B137" s="29"/>
      <c r="C137" s="1161" t="s">
        <v>6934</v>
      </c>
      <c r="D137" s="317" t="n">
        <v>2007</v>
      </c>
      <c r="E137" s="317" t="n">
        <f aca="false">2021-D137</f>
        <v>14</v>
      </c>
      <c r="F137" s="1363" t="n">
        <v>350000</v>
      </c>
      <c r="G137" s="1364" t="n">
        <v>0.1</v>
      </c>
      <c r="H137" s="1365" t="n">
        <f aca="false">E137*F137*G137</f>
        <v>490000</v>
      </c>
      <c r="I137" s="1365" t="n">
        <f aca="false">F137-H137</f>
        <v>-140000</v>
      </c>
      <c r="J137" s="1365" t="n">
        <f aca="false">F137*G137</f>
        <v>35000</v>
      </c>
      <c r="K137" s="1365" t="n">
        <f aca="false">J137/1792.8</f>
        <v>19.5225345827755</v>
      </c>
      <c r="L137" s="1365" t="n">
        <v>10</v>
      </c>
      <c r="M137" s="1273" t="n">
        <f aca="false">K137*L137/60</f>
        <v>3.25375576379592</v>
      </c>
    </row>
    <row r="138" customFormat="false" ht="15" hidden="false" customHeight="false" outlineLevel="0" collapsed="false">
      <c r="A138" s="1369"/>
      <c r="B138" s="972" t="s">
        <v>4128</v>
      </c>
      <c r="C138" s="1160"/>
      <c r="D138" s="135"/>
      <c r="E138" s="317"/>
      <c r="F138" s="135"/>
      <c r="G138" s="1372"/>
      <c r="H138" s="1370"/>
      <c r="I138" s="1370"/>
      <c r="J138" s="1370"/>
      <c r="K138" s="1365" t="n">
        <f aca="false">J138/1792.8</f>
        <v>0</v>
      </c>
      <c r="L138" s="1370"/>
      <c r="M138" s="1366" t="n">
        <f aca="false">M136+M137</f>
        <v>31.2161051613863</v>
      </c>
    </row>
    <row r="139" customFormat="false" ht="15" hidden="false" customHeight="false" outlineLevel="0" collapsed="false">
      <c r="A139" s="216" t="s">
        <v>130</v>
      </c>
      <c r="B139" s="337" t="s">
        <v>2939</v>
      </c>
      <c r="C139" s="1161" t="s">
        <v>6934</v>
      </c>
      <c r="D139" s="317" t="n">
        <v>2007</v>
      </c>
      <c r="E139" s="317" t="n">
        <f aca="false">2021-D139</f>
        <v>14</v>
      </c>
      <c r="F139" s="1363" t="n">
        <v>350000</v>
      </c>
      <c r="G139" s="1364" t="n">
        <v>0.1</v>
      </c>
      <c r="H139" s="1365" t="n">
        <f aca="false">E139*F139*G139</f>
        <v>490000</v>
      </c>
      <c r="I139" s="1365" t="n">
        <f aca="false">F139-H139</f>
        <v>-140000</v>
      </c>
      <c r="J139" s="1365" t="n">
        <f aca="false">F139*G139</f>
        <v>35000</v>
      </c>
      <c r="K139" s="1365" t="n">
        <f aca="false">J139/1792.8</f>
        <v>19.5225345827755</v>
      </c>
      <c r="L139" s="1365" t="n">
        <v>10</v>
      </c>
      <c r="M139" s="1273" t="n">
        <f aca="false">K139*L139/60</f>
        <v>3.25375576379592</v>
      </c>
    </row>
    <row r="140" customFormat="false" ht="15" hidden="false" customHeight="false" outlineLevel="0" collapsed="false">
      <c r="A140" s="216"/>
      <c r="B140" s="972"/>
      <c r="C140" s="1161" t="s">
        <v>6935</v>
      </c>
      <c r="D140" s="317" t="n">
        <v>2014</v>
      </c>
      <c r="E140" s="317" t="n">
        <f aca="false">2021-D140</f>
        <v>7</v>
      </c>
      <c r="F140" s="1367" t="n">
        <v>209328</v>
      </c>
      <c r="G140" s="1364" t="n">
        <v>0.1</v>
      </c>
      <c r="H140" s="1365" t="n">
        <f aca="false">E140*F140*G140</f>
        <v>146529.6</v>
      </c>
      <c r="I140" s="1365" t="n">
        <f aca="false">F140-H140</f>
        <v>62798.4</v>
      </c>
      <c r="J140" s="1365" t="n">
        <f aca="false">F140*G140</f>
        <v>20932.8</v>
      </c>
      <c r="K140" s="1365" t="n">
        <f aca="false">J140/1792.8</f>
        <v>11.6760374832664</v>
      </c>
      <c r="L140" s="1365" t="n">
        <v>10</v>
      </c>
      <c r="M140" s="1273" t="n">
        <f aca="false">K140*L140/60</f>
        <v>1.94600624721107</v>
      </c>
    </row>
    <row r="141" customFormat="false" ht="15" hidden="false" customHeight="false" outlineLevel="0" collapsed="false">
      <c r="A141" s="216"/>
      <c r="B141" s="972" t="s">
        <v>4128</v>
      </c>
      <c r="C141" s="1160"/>
      <c r="D141" s="135"/>
      <c r="E141" s="317"/>
      <c r="F141" s="135"/>
      <c r="G141" s="1372"/>
      <c r="H141" s="1370"/>
      <c r="I141" s="1370"/>
      <c r="J141" s="1370"/>
      <c r="K141" s="1365" t="n">
        <f aca="false">J141/1792.8</f>
        <v>0</v>
      </c>
      <c r="L141" s="1370"/>
      <c r="M141" s="1366" t="n">
        <f aca="false">M139+M140</f>
        <v>5.19976201100699</v>
      </c>
    </row>
    <row r="142" customFormat="false" ht="45" hidden="false" customHeight="false" outlineLevel="0" collapsed="false">
      <c r="A142" s="216" t="s">
        <v>132</v>
      </c>
      <c r="B142" s="41" t="s">
        <v>2940</v>
      </c>
      <c r="C142" s="1161" t="s">
        <v>6941</v>
      </c>
      <c r="D142" s="317" t="n">
        <v>2012</v>
      </c>
      <c r="E142" s="317" t="n">
        <f aca="false">2021-D142</f>
        <v>9</v>
      </c>
      <c r="F142" s="317" t="n">
        <v>44483193</v>
      </c>
      <c r="G142" s="1364" t="n">
        <v>0.1</v>
      </c>
      <c r="H142" s="1365" t="n">
        <f aca="false">E142*F142*G142</f>
        <v>40034873.7</v>
      </c>
      <c r="I142" s="1365" t="n">
        <f aca="false">F142-H142</f>
        <v>4448319.3</v>
      </c>
      <c r="J142" s="1365" t="n">
        <f aca="false">F142*G142</f>
        <v>4448319.3</v>
      </c>
      <c r="K142" s="1365" t="n">
        <f aca="false">J142/1792.8</f>
        <v>2481.21335341365</v>
      </c>
      <c r="L142" s="1365" t="n">
        <v>10</v>
      </c>
      <c r="M142" s="1273" t="n">
        <f aca="false">K142*L142/60</f>
        <v>413.535558902276</v>
      </c>
    </row>
    <row r="143" customFormat="false" ht="15" hidden="false" customHeight="false" outlineLevel="0" collapsed="false">
      <c r="A143" s="216"/>
      <c r="B143" s="972"/>
      <c r="C143" s="1161" t="s">
        <v>6934</v>
      </c>
      <c r="D143" s="317" t="n">
        <v>2007</v>
      </c>
      <c r="E143" s="317" t="n">
        <f aca="false">2021-D143</f>
        <v>14</v>
      </c>
      <c r="F143" s="1363" t="n">
        <v>350000</v>
      </c>
      <c r="G143" s="1364" t="n">
        <v>0.1</v>
      </c>
      <c r="H143" s="1365" t="n">
        <f aca="false">E143*F143*G143</f>
        <v>490000</v>
      </c>
      <c r="I143" s="1365" t="n">
        <f aca="false">F143-H143</f>
        <v>-140000</v>
      </c>
      <c r="J143" s="1365" t="n">
        <f aca="false">F143*G143</f>
        <v>35000</v>
      </c>
      <c r="K143" s="1365" t="n">
        <f aca="false">J143/1792.8</f>
        <v>19.5225345827755</v>
      </c>
      <c r="L143" s="1365" t="n">
        <v>10</v>
      </c>
      <c r="M143" s="1273" t="n">
        <f aca="false">K143*L143/60</f>
        <v>3.25375576379592</v>
      </c>
    </row>
    <row r="144" customFormat="false" ht="15" hidden="false" customHeight="false" outlineLevel="0" collapsed="false">
      <c r="A144" s="216"/>
      <c r="B144" s="972" t="s">
        <v>4128</v>
      </c>
      <c r="C144" s="1160"/>
      <c r="D144" s="135"/>
      <c r="E144" s="317"/>
      <c r="F144" s="135"/>
      <c r="G144" s="1372"/>
      <c r="H144" s="1370"/>
      <c r="I144" s="1370"/>
      <c r="J144" s="1370"/>
      <c r="K144" s="1365" t="n">
        <f aca="false">J144/1792.8</f>
        <v>0</v>
      </c>
      <c r="L144" s="1370"/>
      <c r="M144" s="1366" t="n">
        <f aca="false">M142+M143</f>
        <v>416.789314666072</v>
      </c>
    </row>
    <row r="145" customFormat="false" ht="15" hidden="false" customHeight="false" outlineLevel="0" collapsed="false">
      <c r="A145" s="216" t="s">
        <v>134</v>
      </c>
      <c r="B145" s="41" t="s">
        <v>2941</v>
      </c>
      <c r="C145" s="1161" t="s">
        <v>4568</v>
      </c>
      <c r="D145" s="317" t="n">
        <v>2003</v>
      </c>
      <c r="E145" s="317" t="n">
        <f aca="false">2021-D145</f>
        <v>18</v>
      </c>
      <c r="F145" s="317" t="n">
        <v>12704749</v>
      </c>
      <c r="G145" s="1364" t="n">
        <v>0.1</v>
      </c>
      <c r="H145" s="1365" t="n">
        <f aca="false">E145*F145*G145</f>
        <v>22868548.2</v>
      </c>
      <c r="I145" s="1365" t="n">
        <f aca="false">F145-H145</f>
        <v>-10163799.2</v>
      </c>
      <c r="J145" s="1365" t="n">
        <f aca="false">F145*G145</f>
        <v>1270474.9</v>
      </c>
      <c r="K145" s="1365" t="n">
        <f aca="false">J145/1792.8</f>
        <v>708.654004908523</v>
      </c>
      <c r="L145" s="1365" t="n">
        <v>60</v>
      </c>
      <c r="M145" s="1273" t="n">
        <f aca="false">K145*L145/60</f>
        <v>708.654004908523</v>
      </c>
    </row>
    <row r="146" customFormat="false" ht="15" hidden="false" customHeight="false" outlineLevel="0" collapsed="false">
      <c r="A146" s="1369"/>
      <c r="B146" s="29"/>
      <c r="C146" s="1161" t="s">
        <v>6934</v>
      </c>
      <c r="D146" s="317" t="n">
        <v>2007</v>
      </c>
      <c r="E146" s="317" t="n">
        <f aca="false">2021-D146</f>
        <v>14</v>
      </c>
      <c r="F146" s="1363" t="n">
        <v>350000</v>
      </c>
      <c r="G146" s="1364" t="n">
        <v>0.1</v>
      </c>
      <c r="H146" s="1365" t="n">
        <f aca="false">E146*F146*G146</f>
        <v>490000</v>
      </c>
      <c r="I146" s="1365" t="n">
        <f aca="false">F146-H146</f>
        <v>-140000</v>
      </c>
      <c r="J146" s="1365" t="n">
        <f aca="false">F146*G146</f>
        <v>35000</v>
      </c>
      <c r="K146" s="1365" t="n">
        <f aca="false">J146/1792.8</f>
        <v>19.5225345827755</v>
      </c>
      <c r="L146" s="1365" t="n">
        <v>10</v>
      </c>
      <c r="M146" s="1273" t="n">
        <f aca="false">K146*L146/60</f>
        <v>3.25375576379592</v>
      </c>
    </row>
    <row r="147" customFormat="false" ht="15" hidden="false" customHeight="false" outlineLevel="0" collapsed="false">
      <c r="A147" s="1369"/>
      <c r="B147" s="972" t="s">
        <v>4128</v>
      </c>
      <c r="C147" s="1160"/>
      <c r="D147" s="135"/>
      <c r="E147" s="317"/>
      <c r="F147" s="135"/>
      <c r="G147" s="1372"/>
      <c r="H147" s="1370"/>
      <c r="I147" s="1370"/>
      <c r="J147" s="1370"/>
      <c r="K147" s="1365" t="n">
        <f aca="false">J147/1792.8</f>
        <v>0</v>
      </c>
      <c r="L147" s="1370"/>
      <c r="M147" s="1366" t="n">
        <f aca="false">M145+M8659</f>
        <v>708.654004908523</v>
      </c>
    </row>
    <row r="148" customFormat="false" ht="15" hidden="false" customHeight="false" outlineLevel="0" collapsed="false">
      <c r="A148" s="216" t="s">
        <v>136</v>
      </c>
      <c r="B148" s="41" t="s">
        <v>2942</v>
      </c>
      <c r="C148" s="1161" t="s">
        <v>4568</v>
      </c>
      <c r="D148" s="317" t="n">
        <v>2003</v>
      </c>
      <c r="E148" s="317" t="n">
        <f aca="false">2021-D148</f>
        <v>18</v>
      </c>
      <c r="F148" s="317" t="n">
        <v>12704749</v>
      </c>
      <c r="G148" s="1364" t="n">
        <v>0.1</v>
      </c>
      <c r="H148" s="1365" t="n">
        <f aca="false">E148*F148*G148</f>
        <v>22868548.2</v>
      </c>
      <c r="I148" s="1365" t="n">
        <f aca="false">F148-H148</f>
        <v>-10163799.2</v>
      </c>
      <c r="J148" s="1365" t="n">
        <f aca="false">F148*G148</f>
        <v>1270474.9</v>
      </c>
      <c r="K148" s="1365" t="n">
        <f aca="false">J148/1792.8</f>
        <v>708.654004908523</v>
      </c>
      <c r="L148" s="1365" t="n">
        <v>60</v>
      </c>
      <c r="M148" s="1273" t="n">
        <f aca="false">K148*L148/60</f>
        <v>708.654004908523</v>
      </c>
    </row>
    <row r="149" customFormat="false" ht="15" hidden="false" customHeight="false" outlineLevel="0" collapsed="false">
      <c r="A149" s="1369"/>
      <c r="B149" s="29"/>
      <c r="C149" s="1161" t="s">
        <v>6934</v>
      </c>
      <c r="D149" s="317" t="n">
        <v>2007</v>
      </c>
      <c r="E149" s="317" t="n">
        <f aca="false">2021-D149</f>
        <v>14</v>
      </c>
      <c r="F149" s="1363" t="n">
        <v>350000</v>
      </c>
      <c r="G149" s="1364" t="n">
        <v>0.1</v>
      </c>
      <c r="H149" s="1365" t="n">
        <f aca="false">E149*F149*G149</f>
        <v>490000</v>
      </c>
      <c r="I149" s="1365" t="n">
        <f aca="false">F149-H149</f>
        <v>-140000</v>
      </c>
      <c r="J149" s="1365" t="n">
        <f aca="false">F149*G149</f>
        <v>35000</v>
      </c>
      <c r="K149" s="1365" t="n">
        <f aca="false">J149/1792.8</f>
        <v>19.5225345827755</v>
      </c>
      <c r="L149" s="1365" t="n">
        <v>10</v>
      </c>
      <c r="M149" s="1273" t="n">
        <f aca="false">K149*L149/60</f>
        <v>3.25375576379592</v>
      </c>
    </row>
    <row r="150" customFormat="false" ht="15" hidden="false" customHeight="false" outlineLevel="0" collapsed="false">
      <c r="A150" s="1369"/>
      <c r="B150" s="972" t="s">
        <v>4128</v>
      </c>
      <c r="C150" s="1160"/>
      <c r="D150" s="135"/>
      <c r="E150" s="317"/>
      <c r="F150" s="135"/>
      <c r="G150" s="1372"/>
      <c r="H150" s="1370"/>
      <c r="I150" s="1370"/>
      <c r="J150" s="1370"/>
      <c r="K150" s="1365" t="n">
        <f aca="false">J150/1792.8</f>
        <v>0</v>
      </c>
      <c r="L150" s="1370"/>
      <c r="M150" s="1366" t="n">
        <f aca="false">M148+M149</f>
        <v>711.907760672319</v>
      </c>
    </row>
    <row r="151" customFormat="false" ht="15" hidden="false" customHeight="false" outlineLevel="0" collapsed="false">
      <c r="A151" s="216" t="s">
        <v>138</v>
      </c>
      <c r="B151" s="41" t="s">
        <v>6947</v>
      </c>
      <c r="C151" s="1161"/>
      <c r="D151" s="317"/>
      <c r="E151" s="317"/>
      <c r="F151" s="1365"/>
      <c r="G151" s="1364"/>
      <c r="H151" s="1365"/>
      <c r="I151" s="1365"/>
      <c r="J151" s="1365"/>
      <c r="K151" s="1365" t="n">
        <f aca="false">J151/1792.8</f>
        <v>0</v>
      </c>
      <c r="L151" s="1365"/>
      <c r="M151" s="1366" t="n">
        <f aca="false">K151*L151/60</f>
        <v>0</v>
      </c>
    </row>
    <row r="152" customFormat="false" ht="30" hidden="false" customHeight="false" outlineLevel="0" collapsed="false">
      <c r="A152" s="571" t="s">
        <v>140</v>
      </c>
      <c r="B152" s="328" t="s">
        <v>2944</v>
      </c>
      <c r="C152" s="1161" t="s">
        <v>6933</v>
      </c>
      <c r="D152" s="317" t="n">
        <v>2014</v>
      </c>
      <c r="E152" s="317" t="n">
        <f aca="false">2021-D152</f>
        <v>7</v>
      </c>
      <c r="F152" s="1367" t="n">
        <v>209328</v>
      </c>
      <c r="G152" s="1364" t="n">
        <v>0.1</v>
      </c>
      <c r="H152" s="1365" t="n">
        <f aca="false">E152*F152*G152</f>
        <v>146529.6</v>
      </c>
      <c r="I152" s="1365" t="n">
        <f aca="false">F152-H152</f>
        <v>62798.4</v>
      </c>
      <c r="J152" s="1365" t="n">
        <f aca="false">F152*G152</f>
        <v>20932.8</v>
      </c>
      <c r="K152" s="1365" t="n">
        <f aca="false">J152/1792.8</f>
        <v>11.6760374832664</v>
      </c>
      <c r="L152" s="1365" t="n">
        <v>20</v>
      </c>
      <c r="M152" s="1366" t="n">
        <f aca="false">K152*L152/60</f>
        <v>3.89201249442213</v>
      </c>
    </row>
    <row r="153" s="1378" customFormat="true" ht="12.75" hidden="false" customHeight="false" outlineLevel="0" collapsed="false">
      <c r="A153" s="1150" t="s">
        <v>142</v>
      </c>
      <c r="B153" s="1373" t="s">
        <v>2945</v>
      </c>
      <c r="C153" s="1374" t="s">
        <v>4568</v>
      </c>
      <c r="D153" s="1375" t="n">
        <v>2003</v>
      </c>
      <c r="E153" s="1375" t="n">
        <f aca="false">2015-D153</f>
        <v>12</v>
      </c>
      <c r="F153" s="1375" t="n">
        <v>12704749</v>
      </c>
      <c r="G153" s="1376" t="n">
        <v>0.1</v>
      </c>
      <c r="H153" s="1139" t="n">
        <f aca="false">F153</f>
        <v>12704749</v>
      </c>
      <c r="I153" s="1139" t="n">
        <f aca="false">F153-H153</f>
        <v>0</v>
      </c>
      <c r="J153" s="1139" t="n">
        <f aca="false">F153*G153</f>
        <v>1270474.9</v>
      </c>
      <c r="K153" s="1139" t="n">
        <f aca="false">J153/1764</f>
        <v>720.223866213152</v>
      </c>
      <c r="L153" s="1139" t="n">
        <v>50</v>
      </c>
      <c r="M153" s="1377" t="n">
        <f aca="false">K153*L153/60</f>
        <v>600.186555177627</v>
      </c>
    </row>
    <row r="154" s="1378" customFormat="true" ht="12.75" hidden="false" customHeight="false" outlineLevel="0" collapsed="false">
      <c r="A154" s="1379"/>
      <c r="B154" s="1149"/>
      <c r="C154" s="1374" t="s">
        <v>6934</v>
      </c>
      <c r="D154" s="1375" t="n">
        <v>2007</v>
      </c>
      <c r="E154" s="1375" t="n">
        <f aca="false">2015-D154</f>
        <v>8</v>
      </c>
      <c r="F154" s="1380" t="n">
        <v>350000</v>
      </c>
      <c r="G154" s="1376" t="n">
        <v>0.1</v>
      </c>
      <c r="H154" s="1139" t="n">
        <f aca="false">E154*F154*G154</f>
        <v>280000</v>
      </c>
      <c r="I154" s="1139" t="n">
        <f aca="false">F154-H154</f>
        <v>70000</v>
      </c>
      <c r="J154" s="1139" t="n">
        <f aca="false">F154*G154</f>
        <v>35000</v>
      </c>
      <c r="K154" s="1139" t="n">
        <f aca="false">J154/1764</f>
        <v>19.8412698412698</v>
      </c>
      <c r="L154" s="1139" t="n">
        <v>10</v>
      </c>
      <c r="M154" s="1377" t="n">
        <f aca="false">K154*L154/60</f>
        <v>3.30687830687831</v>
      </c>
    </row>
    <row r="155" s="1378" customFormat="true" ht="14.25" hidden="false" customHeight="true" outlineLevel="0" collapsed="false">
      <c r="A155" s="1379"/>
      <c r="B155" s="1149" t="s">
        <v>4128</v>
      </c>
      <c r="C155" s="1381"/>
      <c r="D155" s="666"/>
      <c r="E155" s="1375" t="n">
        <f aca="false">2015-D155</f>
        <v>2015</v>
      </c>
      <c r="F155" s="666"/>
      <c r="G155" s="1382"/>
      <c r="H155" s="1383"/>
      <c r="I155" s="1383"/>
      <c r="J155" s="1383" t="n">
        <f aca="false">J153+J154</f>
        <v>1305474.9</v>
      </c>
      <c r="K155" s="1139" t="n">
        <f aca="false">J155/1764</f>
        <v>740.065136054422</v>
      </c>
      <c r="L155" s="1383" t="n">
        <f aca="false">L153+L154</f>
        <v>60</v>
      </c>
      <c r="M155" s="1384" t="n">
        <f aca="false">M153+M154</f>
        <v>603.493433484505</v>
      </c>
    </row>
    <row r="156" s="1378" customFormat="true" ht="12.75" hidden="false" customHeight="false" outlineLevel="0" collapsed="false">
      <c r="A156" s="1150" t="s">
        <v>144</v>
      </c>
      <c r="B156" s="1385" t="s">
        <v>2946</v>
      </c>
      <c r="C156" s="1374" t="s">
        <v>6943</v>
      </c>
      <c r="D156" s="1375" t="n">
        <v>2013</v>
      </c>
      <c r="E156" s="1375" t="n">
        <f aca="false">2015-D156</f>
        <v>2</v>
      </c>
      <c r="F156" s="1375" t="n">
        <v>1503927</v>
      </c>
      <c r="G156" s="1376" t="n">
        <v>0.1</v>
      </c>
      <c r="H156" s="1139" t="n">
        <f aca="false">E156*F156*G156</f>
        <v>300785.4</v>
      </c>
      <c r="I156" s="1139" t="n">
        <f aca="false">F156-H156</f>
        <v>1203141.6</v>
      </c>
      <c r="J156" s="1139" t="n">
        <f aca="false">F156*G156</f>
        <v>150392.7</v>
      </c>
      <c r="K156" s="1139" t="n">
        <f aca="false">J156/1764</f>
        <v>85.2566326530612</v>
      </c>
      <c r="L156" s="1139" t="n">
        <v>60</v>
      </c>
      <c r="M156" s="1377" t="n">
        <f aca="false">K156*L156/60</f>
        <v>85.2566326530612</v>
      </c>
    </row>
    <row r="157" s="1378" customFormat="true" ht="12.75" hidden="false" customHeight="false" outlineLevel="0" collapsed="false">
      <c r="A157" s="1379"/>
      <c r="B157" s="1373"/>
      <c r="C157" s="1374" t="s">
        <v>6934</v>
      </c>
      <c r="D157" s="1375" t="n">
        <v>2007</v>
      </c>
      <c r="E157" s="1375" t="n">
        <f aca="false">2015-D157</f>
        <v>8</v>
      </c>
      <c r="F157" s="1380" t="n">
        <v>350000</v>
      </c>
      <c r="G157" s="1376" t="n">
        <v>0.1</v>
      </c>
      <c r="H157" s="1139" t="n">
        <f aca="false">E157*F157*G157</f>
        <v>280000</v>
      </c>
      <c r="I157" s="1139" t="n">
        <f aca="false">F157-H157</f>
        <v>70000</v>
      </c>
      <c r="J157" s="1139" t="n">
        <f aca="false">F157*G157</f>
        <v>35000</v>
      </c>
      <c r="K157" s="1139" t="n">
        <f aca="false">J157/1764</f>
        <v>19.8412698412698</v>
      </c>
      <c r="L157" s="1139" t="n">
        <v>10</v>
      </c>
      <c r="M157" s="1377" t="n">
        <f aca="false">K157*L157/60</f>
        <v>3.30687830687831</v>
      </c>
    </row>
    <row r="158" s="1378" customFormat="true" ht="12.75" hidden="false" customHeight="false" outlineLevel="0" collapsed="false">
      <c r="A158" s="1379"/>
      <c r="B158" s="1149" t="s">
        <v>4128</v>
      </c>
      <c r="C158" s="1381"/>
      <c r="D158" s="666"/>
      <c r="E158" s="1375" t="n">
        <f aca="false">2015-D158</f>
        <v>2015</v>
      </c>
      <c r="F158" s="666"/>
      <c r="G158" s="1382"/>
      <c r="H158" s="1383"/>
      <c r="I158" s="1383"/>
      <c r="J158" s="1383" t="n">
        <f aca="false">J156+J157</f>
        <v>185392.7</v>
      </c>
      <c r="K158" s="1139" t="n">
        <f aca="false">J158/1764</f>
        <v>105.097902494331</v>
      </c>
      <c r="L158" s="1383" t="n">
        <f aca="false">L156+L157</f>
        <v>70</v>
      </c>
      <c r="M158" s="1384" t="n">
        <f aca="false">M156+M157</f>
        <v>88.5635109599395</v>
      </c>
    </row>
    <row r="159" s="1378" customFormat="true" ht="15" hidden="false" customHeight="false" outlineLevel="0" collapsed="false">
      <c r="A159" s="1150" t="s">
        <v>146</v>
      </c>
      <c r="B159" s="328" t="s">
        <v>2947</v>
      </c>
      <c r="C159" s="1374" t="s">
        <v>6943</v>
      </c>
      <c r="D159" s="1375" t="n">
        <v>2013</v>
      </c>
      <c r="E159" s="1375" t="n">
        <f aca="false">2015-D159</f>
        <v>2</v>
      </c>
      <c r="F159" s="1375" t="n">
        <v>1503927</v>
      </c>
      <c r="G159" s="1376" t="n">
        <v>0.1</v>
      </c>
      <c r="H159" s="1139" t="n">
        <f aca="false">E159*F159*G159</f>
        <v>300785.4</v>
      </c>
      <c r="I159" s="1139" t="n">
        <f aca="false">F159-H159</f>
        <v>1203141.6</v>
      </c>
      <c r="J159" s="1139" t="n">
        <f aca="false">F159*G159</f>
        <v>150392.7</v>
      </c>
      <c r="K159" s="1139" t="n">
        <f aca="false">J159/1764</f>
        <v>85.2566326530612</v>
      </c>
      <c r="L159" s="1139" t="n">
        <v>60</v>
      </c>
      <c r="M159" s="1377" t="n">
        <f aca="false">K159*L159/60</f>
        <v>85.2566326530612</v>
      </c>
    </row>
    <row r="160" s="1378" customFormat="true" ht="12.75" hidden="false" customHeight="false" outlineLevel="0" collapsed="false">
      <c r="A160" s="1379"/>
      <c r="B160" s="1373"/>
      <c r="C160" s="1374" t="s">
        <v>6934</v>
      </c>
      <c r="D160" s="1375" t="n">
        <v>2007</v>
      </c>
      <c r="E160" s="1375" t="n">
        <f aca="false">2015-D160</f>
        <v>8</v>
      </c>
      <c r="F160" s="1380" t="n">
        <v>350000</v>
      </c>
      <c r="G160" s="1376" t="n">
        <v>0.1</v>
      </c>
      <c r="H160" s="1139" t="n">
        <f aca="false">E160*F160*G160</f>
        <v>280000</v>
      </c>
      <c r="I160" s="1139" t="n">
        <f aca="false">F160-H160</f>
        <v>70000</v>
      </c>
      <c r="J160" s="1139" t="n">
        <f aca="false">F160*G160</f>
        <v>35000</v>
      </c>
      <c r="K160" s="1139" t="n">
        <f aca="false">J160/1764</f>
        <v>19.8412698412698</v>
      </c>
      <c r="L160" s="1139" t="n">
        <v>10</v>
      </c>
      <c r="M160" s="1377" t="n">
        <f aca="false">K160*L160/60</f>
        <v>3.30687830687831</v>
      </c>
    </row>
    <row r="161" s="1378" customFormat="true" ht="12.75" hidden="false" customHeight="false" outlineLevel="0" collapsed="false">
      <c r="A161" s="1379"/>
      <c r="B161" s="1149" t="s">
        <v>4128</v>
      </c>
      <c r="C161" s="1381"/>
      <c r="D161" s="666"/>
      <c r="E161" s="1375" t="n">
        <f aca="false">2015-D161</f>
        <v>2015</v>
      </c>
      <c r="F161" s="666"/>
      <c r="G161" s="1382"/>
      <c r="H161" s="1383"/>
      <c r="I161" s="1383"/>
      <c r="J161" s="1383" t="n">
        <f aca="false">J159+J160</f>
        <v>185392.7</v>
      </c>
      <c r="K161" s="1139" t="n">
        <f aca="false">J161/1764</f>
        <v>105.097902494331</v>
      </c>
      <c r="L161" s="1383" t="n">
        <f aca="false">L159+L160</f>
        <v>70</v>
      </c>
      <c r="M161" s="1384" t="n">
        <f aca="false">M159+M160</f>
        <v>88.5635109599395</v>
      </c>
    </row>
    <row r="162" s="1378" customFormat="true" ht="12.75" hidden="false" customHeight="false" outlineLevel="0" collapsed="false">
      <c r="A162" s="1150" t="s">
        <v>148</v>
      </c>
      <c r="B162" s="1386" t="s">
        <v>2948</v>
      </c>
      <c r="C162" s="1374" t="s">
        <v>4568</v>
      </c>
      <c r="D162" s="1375" t="n">
        <v>2003</v>
      </c>
      <c r="E162" s="1375" t="n">
        <f aca="false">2015-D162</f>
        <v>12</v>
      </c>
      <c r="F162" s="1375" t="n">
        <v>12704749</v>
      </c>
      <c r="G162" s="1376" t="n">
        <v>0.1</v>
      </c>
      <c r="H162" s="1139" t="n">
        <f aca="false">F162</f>
        <v>12704749</v>
      </c>
      <c r="I162" s="1139" t="n">
        <f aca="false">F162-H162</f>
        <v>0</v>
      </c>
      <c r="J162" s="1139" t="n">
        <f aca="false">F162*G162</f>
        <v>1270474.9</v>
      </c>
      <c r="K162" s="1139" t="n">
        <f aca="false">J162/1764</f>
        <v>720.223866213152</v>
      </c>
      <c r="L162" s="1139" t="n">
        <v>10</v>
      </c>
      <c r="M162" s="1377" t="n">
        <f aca="false">K162*L162/60</f>
        <v>120.037311035525</v>
      </c>
    </row>
    <row r="163" s="1378" customFormat="true" ht="12.75" hidden="false" customHeight="false" outlineLevel="0" collapsed="false">
      <c r="A163" s="1379"/>
      <c r="B163" s="1149"/>
      <c r="C163" s="1374" t="s">
        <v>6934</v>
      </c>
      <c r="D163" s="1375" t="n">
        <v>2007</v>
      </c>
      <c r="E163" s="1375" t="n">
        <f aca="false">2015-D163</f>
        <v>8</v>
      </c>
      <c r="F163" s="1380" t="n">
        <v>350000</v>
      </c>
      <c r="G163" s="1376" t="n">
        <v>0.1</v>
      </c>
      <c r="H163" s="1139" t="n">
        <f aca="false">E163*F163*G163</f>
        <v>280000</v>
      </c>
      <c r="I163" s="1139" t="n">
        <f aca="false">F163-H163</f>
        <v>70000</v>
      </c>
      <c r="J163" s="1139" t="n">
        <f aca="false">F163*G163</f>
        <v>35000</v>
      </c>
      <c r="K163" s="1139" t="n">
        <f aca="false">J163/1764</f>
        <v>19.8412698412698</v>
      </c>
      <c r="L163" s="1139" t="n">
        <v>10</v>
      </c>
      <c r="M163" s="1377" t="n">
        <f aca="false">K163*L163/60</f>
        <v>3.30687830687831</v>
      </c>
    </row>
    <row r="164" s="1378" customFormat="true" ht="12.75" hidden="false" customHeight="false" outlineLevel="0" collapsed="false">
      <c r="A164" s="1379"/>
      <c r="B164" s="1149" t="s">
        <v>4128</v>
      </c>
      <c r="C164" s="1381"/>
      <c r="D164" s="666"/>
      <c r="E164" s="1375" t="n">
        <f aca="false">2015-D164</f>
        <v>2015</v>
      </c>
      <c r="F164" s="666"/>
      <c r="G164" s="1382"/>
      <c r="H164" s="1383"/>
      <c r="I164" s="1383"/>
      <c r="J164" s="1383" t="n">
        <f aca="false">J162+J163</f>
        <v>1305474.9</v>
      </c>
      <c r="K164" s="1139" t="n">
        <f aca="false">J164/1764</f>
        <v>740.065136054422</v>
      </c>
      <c r="L164" s="1383" t="n">
        <f aca="false">L162+L163</f>
        <v>20</v>
      </c>
      <c r="M164" s="1384" t="n">
        <f aca="false">M162+M163</f>
        <v>123.344189342404</v>
      </c>
    </row>
    <row r="165" s="1378" customFormat="true" ht="12.75" hidden="false" customHeight="false" outlineLevel="0" collapsed="false">
      <c r="A165" s="1150" t="s">
        <v>150</v>
      </c>
      <c r="B165" s="1385" t="s">
        <v>2949</v>
      </c>
      <c r="C165" s="1374" t="s">
        <v>6943</v>
      </c>
      <c r="D165" s="1375" t="n">
        <v>2013</v>
      </c>
      <c r="E165" s="1375" t="n">
        <f aca="false">2015-D165</f>
        <v>2</v>
      </c>
      <c r="F165" s="1375" t="n">
        <v>1503927</v>
      </c>
      <c r="G165" s="1376" t="n">
        <v>0.1</v>
      </c>
      <c r="H165" s="1139" t="n">
        <f aca="false">E165*F165*G165</f>
        <v>300785.4</v>
      </c>
      <c r="I165" s="1139" t="n">
        <f aca="false">F165-H165</f>
        <v>1203141.6</v>
      </c>
      <c r="J165" s="1139" t="n">
        <f aca="false">F165*G165</f>
        <v>150392.7</v>
      </c>
      <c r="K165" s="1139" t="n">
        <f aca="false">J165/1764</f>
        <v>85.2566326530612</v>
      </c>
      <c r="L165" s="1139" t="n">
        <v>60</v>
      </c>
      <c r="M165" s="1377" t="n">
        <f aca="false">K165*L165/60</f>
        <v>85.2566326530612</v>
      </c>
    </row>
    <row r="166" s="1378" customFormat="true" ht="12.75" hidden="false" customHeight="false" outlineLevel="0" collapsed="false">
      <c r="A166" s="1379"/>
      <c r="B166" s="1373"/>
      <c r="C166" s="1374" t="s">
        <v>6934</v>
      </c>
      <c r="D166" s="1375" t="n">
        <v>2007</v>
      </c>
      <c r="E166" s="1375" t="n">
        <f aca="false">2015-D166</f>
        <v>8</v>
      </c>
      <c r="F166" s="1380" t="n">
        <v>350000</v>
      </c>
      <c r="G166" s="1376" t="n">
        <v>0.1</v>
      </c>
      <c r="H166" s="1139" t="n">
        <f aca="false">E166*F166*G166</f>
        <v>280000</v>
      </c>
      <c r="I166" s="1139" t="n">
        <f aca="false">F166-H166</f>
        <v>70000</v>
      </c>
      <c r="J166" s="1139" t="n">
        <f aca="false">F166*G166</f>
        <v>35000</v>
      </c>
      <c r="K166" s="1139" t="n">
        <f aca="false">J166/1764</f>
        <v>19.8412698412698</v>
      </c>
      <c r="L166" s="1139" t="n">
        <v>10</v>
      </c>
      <c r="M166" s="1377" t="n">
        <f aca="false">K166*L166/60</f>
        <v>3.30687830687831</v>
      </c>
    </row>
    <row r="167" s="1378" customFormat="true" ht="12.75" hidden="false" customHeight="false" outlineLevel="0" collapsed="false">
      <c r="A167" s="1379"/>
      <c r="B167" s="1149" t="s">
        <v>4128</v>
      </c>
      <c r="C167" s="1381"/>
      <c r="D167" s="666"/>
      <c r="E167" s="1375" t="n">
        <f aca="false">2015-D167</f>
        <v>2015</v>
      </c>
      <c r="F167" s="666"/>
      <c r="G167" s="1382"/>
      <c r="H167" s="1383"/>
      <c r="I167" s="1383"/>
      <c r="J167" s="1383" t="n">
        <f aca="false">J165+J166</f>
        <v>185392.7</v>
      </c>
      <c r="K167" s="1139" t="n">
        <f aca="false">J167/1764</f>
        <v>105.097902494331</v>
      </c>
      <c r="L167" s="1383" t="n">
        <f aca="false">L165+L166</f>
        <v>70</v>
      </c>
      <c r="M167" s="1384" t="n">
        <f aca="false">M165+M166</f>
        <v>88.5635109599395</v>
      </c>
    </row>
    <row r="168" customFormat="false" ht="54" hidden="false" customHeight="true" outlineLevel="0" collapsed="false">
      <c r="A168" s="15" t="s">
        <v>2730</v>
      </c>
      <c r="B168" s="54" t="s">
        <v>6948</v>
      </c>
      <c r="C168" s="1387"/>
      <c r="D168" s="1388"/>
      <c r="E168" s="1389"/>
      <c r="F168" s="1390"/>
      <c r="G168" s="1391"/>
      <c r="H168" s="1390"/>
      <c r="I168" s="1390"/>
      <c r="J168" s="1390"/>
      <c r="K168" s="1390" t="n">
        <f aca="false">J168/1792.8</f>
        <v>0</v>
      </c>
      <c r="L168" s="1390"/>
      <c r="M168" s="1392"/>
    </row>
    <row r="169" customFormat="false" ht="30" hidden="false" customHeight="false" outlineLevel="0" collapsed="false">
      <c r="A169" s="216" t="s">
        <v>154</v>
      </c>
      <c r="B169" s="29" t="s">
        <v>6926</v>
      </c>
      <c r="C169" s="1161" t="s">
        <v>6927</v>
      </c>
      <c r="D169" s="317" t="n">
        <v>2014</v>
      </c>
      <c r="E169" s="317" t="n">
        <f aca="false">2021-D169</f>
        <v>7</v>
      </c>
      <c r="F169" s="1363" t="n">
        <v>375200</v>
      </c>
      <c r="G169" s="1364" t="n">
        <v>0.1</v>
      </c>
      <c r="H169" s="1365" t="n">
        <f aca="false">E169*F169*G169</f>
        <v>262640</v>
      </c>
      <c r="I169" s="1365" t="n">
        <f aca="false">F169-H169</f>
        <v>112560</v>
      </c>
      <c r="J169" s="1365" t="n">
        <f aca="false">F169*G169</f>
        <v>37520</v>
      </c>
      <c r="K169" s="1365" t="n">
        <f aca="false">J169/1792.8</f>
        <v>20.9281570727354</v>
      </c>
      <c r="L169" s="1365" t="n">
        <v>10</v>
      </c>
      <c r="M169" s="1366" t="n">
        <f aca="false">K169*L169/60</f>
        <v>3.48802617878923</v>
      </c>
    </row>
    <row r="170" customFormat="false" ht="15" hidden="false" customHeight="false" outlineLevel="0" collapsed="false">
      <c r="A170" s="216" t="s">
        <v>155</v>
      </c>
      <c r="B170" s="29" t="s">
        <v>6928</v>
      </c>
      <c r="C170" s="1161" t="s">
        <v>6927</v>
      </c>
      <c r="D170" s="317" t="n">
        <v>2014</v>
      </c>
      <c r="E170" s="317" t="n">
        <f aca="false">2021-D170</f>
        <v>7</v>
      </c>
      <c r="F170" s="1363" t="n">
        <v>375200</v>
      </c>
      <c r="G170" s="1364" t="n">
        <v>0.1</v>
      </c>
      <c r="H170" s="1365" t="n">
        <f aca="false">E170*F170*G170</f>
        <v>262640</v>
      </c>
      <c r="I170" s="1365" t="n">
        <f aca="false">F170-H170</f>
        <v>112560</v>
      </c>
      <c r="J170" s="1365" t="n">
        <f aca="false">F170*G170</f>
        <v>37520</v>
      </c>
      <c r="K170" s="1365" t="n">
        <f aca="false">J170/1792.8</f>
        <v>20.9281570727354</v>
      </c>
      <c r="L170" s="1365" t="n">
        <v>10</v>
      </c>
      <c r="M170" s="1366" t="n">
        <f aca="false">K170*L170/60</f>
        <v>3.48802617878923</v>
      </c>
    </row>
    <row r="171" customFormat="false" ht="15" hidden="false" customHeight="false" outlineLevel="0" collapsed="false">
      <c r="A171" s="216" t="s">
        <v>156</v>
      </c>
      <c r="B171" s="29" t="s">
        <v>6929</v>
      </c>
      <c r="C171" s="1161" t="s">
        <v>6927</v>
      </c>
      <c r="D171" s="317" t="n">
        <v>2014</v>
      </c>
      <c r="E171" s="317" t="n">
        <f aca="false">2021-D171</f>
        <v>7</v>
      </c>
      <c r="F171" s="1363" t="n">
        <v>375200</v>
      </c>
      <c r="G171" s="1364" t="n">
        <v>0.1</v>
      </c>
      <c r="H171" s="1365" t="n">
        <f aca="false">E171*F171*G171</f>
        <v>262640</v>
      </c>
      <c r="I171" s="1365" t="n">
        <f aca="false">F171-H171</f>
        <v>112560</v>
      </c>
      <c r="J171" s="1365" t="n">
        <f aca="false">F171*G171</f>
        <v>37520</v>
      </c>
      <c r="K171" s="1365" t="n">
        <f aca="false">J171/1792.8</f>
        <v>20.9281570727354</v>
      </c>
      <c r="L171" s="1365" t="n">
        <v>10</v>
      </c>
      <c r="M171" s="1366" t="n">
        <f aca="false">K171*L171/60</f>
        <v>3.48802617878923</v>
      </c>
    </row>
    <row r="172" customFormat="false" ht="15" hidden="false" customHeight="false" outlineLevel="0" collapsed="false">
      <c r="A172" s="216" t="s">
        <v>157</v>
      </c>
      <c r="B172" s="29" t="s">
        <v>6930</v>
      </c>
      <c r="C172" s="1161" t="s">
        <v>6927</v>
      </c>
      <c r="D172" s="317" t="n">
        <v>2014</v>
      </c>
      <c r="E172" s="317" t="n">
        <f aca="false">2021-D172</f>
        <v>7</v>
      </c>
      <c r="F172" s="1363" t="n">
        <v>375200</v>
      </c>
      <c r="G172" s="1364" t="n">
        <v>0.1</v>
      </c>
      <c r="H172" s="1365" t="n">
        <f aca="false">E172*F172*G172</f>
        <v>262640</v>
      </c>
      <c r="I172" s="1365" t="n">
        <f aca="false">F172-H172</f>
        <v>112560</v>
      </c>
      <c r="J172" s="1365" t="n">
        <f aca="false">F172*G172</f>
        <v>37520</v>
      </c>
      <c r="K172" s="1365" t="n">
        <f aca="false">J172/1792.8</f>
        <v>20.9281570727354</v>
      </c>
      <c r="L172" s="1365" t="n">
        <v>10</v>
      </c>
      <c r="M172" s="1366" t="n">
        <f aca="false">K172*L172/60</f>
        <v>3.48802617878923</v>
      </c>
    </row>
    <row r="173" customFormat="false" ht="15" hidden="false" customHeight="false" outlineLevel="0" collapsed="false">
      <c r="A173" s="216" t="s">
        <v>158</v>
      </c>
      <c r="B173" s="41" t="s">
        <v>2885</v>
      </c>
      <c r="C173" s="1161" t="s">
        <v>6931</v>
      </c>
      <c r="D173" s="317" t="n">
        <v>2009</v>
      </c>
      <c r="E173" s="317" t="n">
        <f aca="false">2021-D173</f>
        <v>12</v>
      </c>
      <c r="F173" s="1367" t="n">
        <v>143000</v>
      </c>
      <c r="G173" s="1364" t="n">
        <v>0.1</v>
      </c>
      <c r="H173" s="1365" t="n">
        <f aca="false">E173*F173*G173</f>
        <v>171600</v>
      </c>
      <c r="I173" s="1365" t="n">
        <f aca="false">F173-H173</f>
        <v>-28600</v>
      </c>
      <c r="J173" s="1365" t="n">
        <f aca="false">F173*G173</f>
        <v>14300</v>
      </c>
      <c r="K173" s="1365" t="n">
        <f aca="false">J173/1792.8</f>
        <v>7.97634984381972</v>
      </c>
      <c r="L173" s="1365" t="n">
        <v>10</v>
      </c>
      <c r="M173" s="1366" t="n">
        <f aca="false">K173*L173/60</f>
        <v>1.32939164063662</v>
      </c>
    </row>
    <row r="174" customFormat="false" ht="15" hidden="false" customHeight="false" outlineLevel="0" collapsed="false">
      <c r="A174" s="216" t="s">
        <v>159</v>
      </c>
      <c r="B174" s="41" t="s">
        <v>6932</v>
      </c>
      <c r="C174" s="1161" t="s">
        <v>6933</v>
      </c>
      <c r="D174" s="317" t="n">
        <v>2014</v>
      </c>
      <c r="E174" s="317" t="n">
        <f aca="false">2021-D174</f>
        <v>7</v>
      </c>
      <c r="F174" s="1367" t="n">
        <v>209328</v>
      </c>
      <c r="G174" s="1364" t="n">
        <v>0.1</v>
      </c>
      <c r="H174" s="1365" t="n">
        <f aca="false">E174*F174*G174</f>
        <v>146529.6</v>
      </c>
      <c r="I174" s="1365" t="n">
        <f aca="false">F174-H174</f>
        <v>62798.4</v>
      </c>
      <c r="J174" s="1365" t="n">
        <f aca="false">F174*G174</f>
        <v>20932.8</v>
      </c>
      <c r="K174" s="1365" t="n">
        <f aca="false">J174/1792.8</f>
        <v>11.6760374832664</v>
      </c>
      <c r="L174" s="1365" t="n">
        <v>10</v>
      </c>
      <c r="M174" s="1366" t="n">
        <f aca="false">K174*L174/60</f>
        <v>1.94600624721107</v>
      </c>
    </row>
    <row r="175" customFormat="false" ht="30" hidden="false" customHeight="false" outlineLevel="0" collapsed="false">
      <c r="A175" s="216" t="s">
        <v>160</v>
      </c>
      <c r="B175" s="337" t="s">
        <v>2887</v>
      </c>
      <c r="C175" s="1161" t="s">
        <v>6934</v>
      </c>
      <c r="D175" s="317" t="n">
        <v>2007</v>
      </c>
      <c r="E175" s="317" t="n">
        <f aca="false">2021-D175</f>
        <v>14</v>
      </c>
      <c r="F175" s="1363" t="n">
        <v>350000</v>
      </c>
      <c r="G175" s="1364" t="n">
        <v>0.1</v>
      </c>
      <c r="H175" s="1365" t="n">
        <f aca="false">E175*F175*G175</f>
        <v>490000</v>
      </c>
      <c r="I175" s="1365" t="n">
        <f aca="false">F175-H175</f>
        <v>-140000</v>
      </c>
      <c r="J175" s="1365" t="n">
        <f aca="false">F175*G175</f>
        <v>35000</v>
      </c>
      <c r="K175" s="1365" t="n">
        <f aca="false">J175/1792.8</f>
        <v>19.5225345827755</v>
      </c>
      <c r="L175" s="1365" t="n">
        <v>10</v>
      </c>
      <c r="M175" s="1366" t="n">
        <f aca="false">K175*L175/60</f>
        <v>3.25375576379592</v>
      </c>
    </row>
    <row r="176" customFormat="false" ht="15" hidden="false" customHeight="false" outlineLevel="0" collapsed="false">
      <c r="A176" s="216" t="s">
        <v>161</v>
      </c>
      <c r="B176" s="337" t="s">
        <v>2890</v>
      </c>
      <c r="C176" s="1161" t="s">
        <v>6934</v>
      </c>
      <c r="D176" s="317" t="n">
        <v>2007</v>
      </c>
      <c r="E176" s="317" t="n">
        <f aca="false">2021-D176</f>
        <v>14</v>
      </c>
      <c r="F176" s="1363" t="n">
        <v>350000</v>
      </c>
      <c r="G176" s="1364" t="n">
        <v>0.1</v>
      </c>
      <c r="H176" s="1365" t="n">
        <f aca="false">E176*F176*G176</f>
        <v>490000</v>
      </c>
      <c r="I176" s="1365" t="n">
        <f aca="false">F176-H176</f>
        <v>-140000</v>
      </c>
      <c r="J176" s="1365" t="n">
        <f aca="false">F176*G176</f>
        <v>35000</v>
      </c>
      <c r="K176" s="1365" t="n">
        <f aca="false">J176/1792.8</f>
        <v>19.5225345827755</v>
      </c>
      <c r="L176" s="1365" t="n">
        <v>10</v>
      </c>
      <c r="M176" s="1366" t="n">
        <f aca="false">K176*L176/60</f>
        <v>3.25375576379592</v>
      </c>
    </row>
    <row r="177" customFormat="false" ht="15" hidden="false" customHeight="false" outlineLevel="0" collapsed="false">
      <c r="A177" s="216" t="s">
        <v>163</v>
      </c>
      <c r="B177" s="1371" t="s">
        <v>2891</v>
      </c>
      <c r="C177" s="1161" t="s">
        <v>6934</v>
      </c>
      <c r="D177" s="317" t="n">
        <v>2007</v>
      </c>
      <c r="E177" s="317" t="n">
        <f aca="false">2021-D177</f>
        <v>14</v>
      </c>
      <c r="F177" s="1363" t="n">
        <v>350000</v>
      </c>
      <c r="G177" s="1364" t="n">
        <v>0.1</v>
      </c>
      <c r="H177" s="1365" t="n">
        <f aca="false">E177*F177*G177</f>
        <v>490000</v>
      </c>
      <c r="I177" s="1365" t="n">
        <f aca="false">F177-H177</f>
        <v>-140000</v>
      </c>
      <c r="J177" s="1365" t="n">
        <f aca="false">F177*G177</f>
        <v>35000</v>
      </c>
      <c r="K177" s="1365" t="n">
        <f aca="false">J177/1792.8</f>
        <v>19.5225345827755</v>
      </c>
      <c r="L177" s="1365" t="n">
        <v>10</v>
      </c>
      <c r="M177" s="1366" t="n">
        <f aca="false">K177*L177/60</f>
        <v>3.25375576379592</v>
      </c>
    </row>
    <row r="178" customFormat="false" ht="15" hidden="false" customHeight="false" outlineLevel="0" collapsed="false">
      <c r="A178" s="216" t="s">
        <v>165</v>
      </c>
      <c r="B178" s="337" t="s">
        <v>2892</v>
      </c>
      <c r="C178" s="1161" t="s">
        <v>6934</v>
      </c>
      <c r="D178" s="317" t="n">
        <v>2007</v>
      </c>
      <c r="E178" s="317" t="n">
        <f aca="false">2021-D178</f>
        <v>14</v>
      </c>
      <c r="F178" s="1363" t="n">
        <v>350000</v>
      </c>
      <c r="G178" s="1364" t="n">
        <v>0.1</v>
      </c>
      <c r="H178" s="1365" t="n">
        <f aca="false">E178*F178*G178</f>
        <v>490000</v>
      </c>
      <c r="I178" s="1365" t="n">
        <f aca="false">F178-H178</f>
        <v>-140000</v>
      </c>
      <c r="J178" s="1365" t="n">
        <f aca="false">F178*G178</f>
        <v>35000</v>
      </c>
      <c r="K178" s="1365" t="n">
        <f aca="false">J178/1792.8</f>
        <v>19.5225345827755</v>
      </c>
      <c r="L178" s="1365" t="n">
        <v>10</v>
      </c>
      <c r="M178" s="1366" t="n">
        <f aca="false">K178*L178/60</f>
        <v>3.25375576379592</v>
      </c>
    </row>
    <row r="179" customFormat="false" ht="15" hidden="false" customHeight="false" outlineLevel="0" collapsed="false">
      <c r="A179" s="216" t="s">
        <v>166</v>
      </c>
      <c r="B179" s="29" t="s">
        <v>6936</v>
      </c>
      <c r="C179" s="1161" t="s">
        <v>6927</v>
      </c>
      <c r="D179" s="317" t="n">
        <v>2014</v>
      </c>
      <c r="E179" s="317" t="n">
        <f aca="false">2021-D179</f>
        <v>7</v>
      </c>
      <c r="F179" s="1363" t="n">
        <v>375200</v>
      </c>
      <c r="G179" s="1364" t="n">
        <v>0.1</v>
      </c>
      <c r="H179" s="1365" t="n">
        <f aca="false">E179*F179*G179</f>
        <v>262640</v>
      </c>
      <c r="I179" s="1365" t="n">
        <f aca="false">F179-H179</f>
        <v>112560</v>
      </c>
      <c r="J179" s="1365" t="n">
        <f aca="false">F179*G179</f>
        <v>37520</v>
      </c>
      <c r="K179" s="1365" t="n">
        <f aca="false">J179/1792.8</f>
        <v>20.9281570727354</v>
      </c>
      <c r="L179" s="1365" t="n">
        <v>10</v>
      </c>
      <c r="M179" s="1273" t="n">
        <f aca="false">K179*L179/60</f>
        <v>3.48802617878923</v>
      </c>
    </row>
    <row r="180" customFormat="false" ht="15" hidden="false" customHeight="false" outlineLevel="0" collapsed="false">
      <c r="A180" s="216"/>
      <c r="B180" s="78"/>
      <c r="C180" s="1161" t="s">
        <v>6934</v>
      </c>
      <c r="D180" s="317" t="n">
        <v>2007</v>
      </c>
      <c r="E180" s="317" t="n">
        <f aca="false">2021-D180</f>
        <v>14</v>
      </c>
      <c r="F180" s="1363" t="n">
        <v>350000</v>
      </c>
      <c r="G180" s="1364" t="n">
        <v>0.1</v>
      </c>
      <c r="H180" s="1365" t="n">
        <f aca="false">E180*F180*G180</f>
        <v>490000</v>
      </c>
      <c r="I180" s="1365" t="n">
        <f aca="false">F180-H180</f>
        <v>-140000</v>
      </c>
      <c r="J180" s="1365" t="n">
        <f aca="false">F180*G180</f>
        <v>35000</v>
      </c>
      <c r="K180" s="1365" t="n">
        <f aca="false">J180/1792.8</f>
        <v>19.5225345827755</v>
      </c>
      <c r="L180" s="1365" t="n">
        <v>10</v>
      </c>
      <c r="M180" s="1273" t="n">
        <f aca="false">K180*L180/60</f>
        <v>3.25375576379592</v>
      </c>
    </row>
    <row r="181" customFormat="false" ht="15" hidden="false" customHeight="false" outlineLevel="0" collapsed="false">
      <c r="A181" s="216"/>
      <c r="B181" s="972" t="s">
        <v>4128</v>
      </c>
      <c r="C181" s="1160"/>
      <c r="D181" s="135"/>
      <c r="E181" s="317"/>
      <c r="F181" s="135"/>
      <c r="G181" s="1372"/>
      <c r="H181" s="1370"/>
      <c r="I181" s="1370"/>
      <c r="J181" s="1370"/>
      <c r="K181" s="1365" t="n">
        <f aca="false">J181/1792.8</f>
        <v>0</v>
      </c>
      <c r="L181" s="1370"/>
      <c r="M181" s="1366" t="n">
        <f aca="false">M179+M180</f>
        <v>6.74178194258516</v>
      </c>
    </row>
    <row r="182" customFormat="false" ht="15" hidden="false" customHeight="false" outlineLevel="0" collapsed="false">
      <c r="A182" s="216" t="s">
        <v>167</v>
      </c>
      <c r="B182" s="29" t="s">
        <v>6937</v>
      </c>
      <c r="C182" s="1161" t="s">
        <v>6927</v>
      </c>
      <c r="D182" s="317" t="n">
        <v>2014</v>
      </c>
      <c r="E182" s="317" t="n">
        <f aca="false">2021-D182</f>
        <v>7</v>
      </c>
      <c r="F182" s="1363" t="n">
        <v>375200</v>
      </c>
      <c r="G182" s="1364" t="n">
        <v>0.1</v>
      </c>
      <c r="H182" s="1365" t="n">
        <f aca="false">E182*F182*G182</f>
        <v>262640</v>
      </c>
      <c r="I182" s="1365" t="n">
        <f aca="false">F182-H182</f>
        <v>112560</v>
      </c>
      <c r="J182" s="1365" t="n">
        <f aca="false">F182*G182</f>
        <v>37520</v>
      </c>
      <c r="K182" s="1365" t="n">
        <f aca="false">J182/1792.8</f>
        <v>20.9281570727354</v>
      </c>
      <c r="L182" s="1365" t="n">
        <v>10</v>
      </c>
      <c r="M182" s="1366" t="n">
        <f aca="false">K182*L182/60</f>
        <v>3.48802617878923</v>
      </c>
    </row>
    <row r="183" customFormat="false" ht="15" hidden="false" customHeight="false" outlineLevel="0" collapsed="false">
      <c r="A183" s="216" t="s">
        <v>168</v>
      </c>
      <c r="B183" s="337" t="s">
        <v>6938</v>
      </c>
      <c r="C183" s="1161" t="s">
        <v>6927</v>
      </c>
      <c r="D183" s="317" t="n">
        <v>2014</v>
      </c>
      <c r="E183" s="317" t="n">
        <f aca="false">2021-D183</f>
        <v>7</v>
      </c>
      <c r="F183" s="1363" t="n">
        <v>375200</v>
      </c>
      <c r="G183" s="1364" t="n">
        <v>0.1</v>
      </c>
      <c r="H183" s="1365" t="n">
        <f aca="false">E183*F183*G183</f>
        <v>262640</v>
      </c>
      <c r="I183" s="1365" t="n">
        <f aca="false">F183-H183</f>
        <v>112560</v>
      </c>
      <c r="J183" s="1365" t="n">
        <f aca="false">F183*G183</f>
        <v>37520</v>
      </c>
      <c r="K183" s="1365" t="n">
        <f aca="false">J183/1792.8</f>
        <v>20.9281570727354</v>
      </c>
      <c r="L183" s="1365" t="n">
        <v>10</v>
      </c>
      <c r="M183" s="1273" t="n">
        <f aca="false">K183*L183/60</f>
        <v>3.48802617878923</v>
      </c>
    </row>
    <row r="184" customFormat="false" ht="15" hidden="false" customHeight="false" outlineLevel="0" collapsed="false">
      <c r="A184" s="1369"/>
      <c r="B184" s="29"/>
      <c r="C184" s="1161" t="s">
        <v>6934</v>
      </c>
      <c r="D184" s="317" t="n">
        <v>2007</v>
      </c>
      <c r="E184" s="317" t="n">
        <f aca="false">2021-D184</f>
        <v>14</v>
      </c>
      <c r="F184" s="1363" t="n">
        <v>350000</v>
      </c>
      <c r="G184" s="1364" t="n">
        <v>0.1</v>
      </c>
      <c r="H184" s="1365" t="n">
        <f aca="false">E184*F184*G184</f>
        <v>490000</v>
      </c>
      <c r="I184" s="1365" t="n">
        <f aca="false">F184-H184</f>
        <v>-140000</v>
      </c>
      <c r="J184" s="1365" t="n">
        <f aca="false">F184*G184</f>
        <v>35000</v>
      </c>
      <c r="K184" s="1365" t="n">
        <f aca="false">J184/1792.8</f>
        <v>19.5225345827755</v>
      </c>
      <c r="L184" s="1365" t="n">
        <v>10</v>
      </c>
      <c r="M184" s="1273" t="n">
        <f aca="false">K184*L184/60</f>
        <v>3.25375576379592</v>
      </c>
    </row>
    <row r="185" customFormat="false" ht="15" hidden="false" customHeight="false" outlineLevel="0" collapsed="false">
      <c r="A185" s="1369"/>
      <c r="B185" s="972" t="s">
        <v>4128</v>
      </c>
      <c r="C185" s="1160"/>
      <c r="D185" s="135"/>
      <c r="E185" s="317"/>
      <c r="F185" s="135"/>
      <c r="G185" s="1372"/>
      <c r="H185" s="1370"/>
      <c r="I185" s="1370"/>
      <c r="J185" s="1370"/>
      <c r="K185" s="1365" t="n">
        <f aca="false">J185/1792.8</f>
        <v>0</v>
      </c>
      <c r="L185" s="1370"/>
      <c r="M185" s="1366" t="n">
        <f aca="false">M183+M184</f>
        <v>6.74178194258516</v>
      </c>
    </row>
    <row r="186" customFormat="false" ht="15" hidden="false" customHeight="false" outlineLevel="0" collapsed="false">
      <c r="A186" s="216" t="s">
        <v>169</v>
      </c>
      <c r="B186" s="29" t="s">
        <v>6939</v>
      </c>
      <c r="C186" s="1161" t="s">
        <v>6927</v>
      </c>
      <c r="D186" s="317" t="n">
        <v>2014</v>
      </c>
      <c r="E186" s="317" t="n">
        <f aca="false">2021-D186</f>
        <v>7</v>
      </c>
      <c r="F186" s="1363" t="n">
        <v>375200</v>
      </c>
      <c r="G186" s="1364" t="n">
        <v>0.1</v>
      </c>
      <c r="H186" s="1365" t="n">
        <f aca="false">E186*F186*G186</f>
        <v>262640</v>
      </c>
      <c r="I186" s="1365" t="n">
        <f aca="false">F186-H186</f>
        <v>112560</v>
      </c>
      <c r="J186" s="1365" t="n">
        <f aca="false">F186*G186</f>
        <v>37520</v>
      </c>
      <c r="K186" s="1365" t="n">
        <f aca="false">J186/1792.8</f>
        <v>20.9281570727354</v>
      </c>
      <c r="L186" s="1365" t="n">
        <v>10</v>
      </c>
      <c r="M186" s="1273" t="n">
        <f aca="false">K186*L186/60</f>
        <v>3.48802617878923</v>
      </c>
    </row>
    <row r="187" customFormat="false" ht="15" hidden="false" customHeight="false" outlineLevel="0" collapsed="false">
      <c r="A187" s="216"/>
      <c r="B187" s="78"/>
      <c r="C187" s="1161" t="s">
        <v>6934</v>
      </c>
      <c r="D187" s="317" t="n">
        <v>2007</v>
      </c>
      <c r="E187" s="317" t="n">
        <f aca="false">2021-D187</f>
        <v>14</v>
      </c>
      <c r="F187" s="1363" t="n">
        <v>350000</v>
      </c>
      <c r="G187" s="1364" t="n">
        <v>0.1</v>
      </c>
      <c r="H187" s="1365" t="n">
        <f aca="false">E187*F187*G187</f>
        <v>490000</v>
      </c>
      <c r="I187" s="1365" t="n">
        <f aca="false">F187-H187</f>
        <v>-140000</v>
      </c>
      <c r="J187" s="1365" t="n">
        <f aca="false">F187*G187</f>
        <v>35000</v>
      </c>
      <c r="K187" s="1365" t="n">
        <f aca="false">J187/1792.8</f>
        <v>19.5225345827755</v>
      </c>
      <c r="L187" s="1365" t="n">
        <v>10</v>
      </c>
      <c r="M187" s="1273" t="n">
        <f aca="false">K187*L187/60</f>
        <v>3.25375576379592</v>
      </c>
    </row>
    <row r="188" customFormat="false" ht="15" hidden="false" customHeight="false" outlineLevel="0" collapsed="false">
      <c r="A188" s="1369"/>
      <c r="B188" s="972" t="s">
        <v>4128</v>
      </c>
      <c r="C188" s="1160"/>
      <c r="D188" s="135"/>
      <c r="E188" s="317"/>
      <c r="F188" s="135"/>
      <c r="G188" s="1372"/>
      <c r="H188" s="1370"/>
      <c r="I188" s="1370"/>
      <c r="J188" s="1370"/>
      <c r="K188" s="1365" t="n">
        <f aca="false">J188/1792.8</f>
        <v>0</v>
      </c>
      <c r="L188" s="1370"/>
      <c r="M188" s="1366" t="n">
        <f aca="false">M186+M187</f>
        <v>6.74178194258516</v>
      </c>
    </row>
    <row r="189" customFormat="false" ht="15" hidden="false" customHeight="false" outlineLevel="0" collapsed="false">
      <c r="A189" s="216" t="s">
        <v>171</v>
      </c>
      <c r="B189" s="29" t="s">
        <v>2897</v>
      </c>
      <c r="C189" s="1161" t="s">
        <v>6927</v>
      </c>
      <c r="D189" s="317" t="n">
        <v>2014</v>
      </c>
      <c r="E189" s="317" t="n">
        <f aca="false">2021-D189</f>
        <v>7</v>
      </c>
      <c r="F189" s="1363" t="n">
        <v>375200</v>
      </c>
      <c r="G189" s="1364" t="n">
        <v>0.1</v>
      </c>
      <c r="H189" s="1365" t="n">
        <f aca="false">E189*F189*G189</f>
        <v>262640</v>
      </c>
      <c r="I189" s="1365" t="n">
        <f aca="false">F189-H189</f>
        <v>112560</v>
      </c>
      <c r="J189" s="1365" t="n">
        <f aca="false">F189*G189</f>
        <v>37520</v>
      </c>
      <c r="K189" s="1365" t="n">
        <f aca="false">J189/1792.8</f>
        <v>20.9281570727354</v>
      </c>
      <c r="L189" s="1365" t="n">
        <v>10</v>
      </c>
      <c r="M189" s="1273" t="n">
        <f aca="false">K189*L189/60</f>
        <v>3.48802617878923</v>
      </c>
    </row>
    <row r="190" customFormat="false" ht="15" hidden="false" customHeight="false" outlineLevel="0" collapsed="false">
      <c r="A190" s="1369"/>
      <c r="B190" s="29"/>
      <c r="C190" s="1161" t="s">
        <v>6934</v>
      </c>
      <c r="D190" s="317" t="n">
        <v>2007</v>
      </c>
      <c r="E190" s="317" t="n">
        <f aca="false">2021-D190</f>
        <v>14</v>
      </c>
      <c r="F190" s="1363" t="n">
        <v>350000</v>
      </c>
      <c r="G190" s="1364" t="n">
        <v>0.1</v>
      </c>
      <c r="H190" s="1365" t="n">
        <f aca="false">E190*F190*G190</f>
        <v>490000</v>
      </c>
      <c r="I190" s="1365" t="n">
        <f aca="false">F190-H190</f>
        <v>-140000</v>
      </c>
      <c r="J190" s="1365" t="n">
        <f aca="false">F190*G190</f>
        <v>35000</v>
      </c>
      <c r="K190" s="1365" t="n">
        <f aca="false">J190/1792.8</f>
        <v>19.5225345827755</v>
      </c>
      <c r="L190" s="1365" t="n">
        <v>10</v>
      </c>
      <c r="M190" s="1273" t="n">
        <f aca="false">K190*L190/60</f>
        <v>3.25375576379592</v>
      </c>
    </row>
    <row r="191" customFormat="false" ht="15" hidden="false" customHeight="false" outlineLevel="0" collapsed="false">
      <c r="A191" s="216"/>
      <c r="B191" s="972" t="s">
        <v>4128</v>
      </c>
      <c r="C191" s="1160"/>
      <c r="D191" s="135"/>
      <c r="E191" s="317"/>
      <c r="F191" s="135"/>
      <c r="G191" s="1372"/>
      <c r="H191" s="1370"/>
      <c r="I191" s="1370"/>
      <c r="J191" s="1370"/>
      <c r="K191" s="1365" t="n">
        <f aca="false">J191/1792.8</f>
        <v>0</v>
      </c>
      <c r="L191" s="1370"/>
      <c r="M191" s="1366" t="n">
        <f aca="false">M189+M190</f>
        <v>6.74178194258516</v>
      </c>
    </row>
    <row r="192" customFormat="false" ht="15" hidden="false" customHeight="false" outlineLevel="0" collapsed="false">
      <c r="A192" s="216" t="s">
        <v>173</v>
      </c>
      <c r="B192" s="337" t="s">
        <v>2898</v>
      </c>
      <c r="C192" s="1161" t="s">
        <v>6934</v>
      </c>
      <c r="D192" s="317" t="n">
        <v>2007</v>
      </c>
      <c r="E192" s="317" t="n">
        <f aca="false">2021-D192</f>
        <v>14</v>
      </c>
      <c r="F192" s="1363" t="n">
        <v>350000</v>
      </c>
      <c r="G192" s="1364" t="n">
        <v>0.1</v>
      </c>
      <c r="H192" s="1365" t="n">
        <f aca="false">E192*F192*G192</f>
        <v>490000</v>
      </c>
      <c r="I192" s="1365" t="n">
        <f aca="false">F192-H192</f>
        <v>-140000</v>
      </c>
      <c r="J192" s="1365" t="n">
        <f aca="false">F192*G192</f>
        <v>35000</v>
      </c>
      <c r="K192" s="1365" t="n">
        <f aca="false">J192/1792.8</f>
        <v>19.5225345827755</v>
      </c>
      <c r="L192" s="1365" t="n">
        <v>10</v>
      </c>
      <c r="M192" s="1366" t="n">
        <f aca="false">K192*L192/60</f>
        <v>3.25375576379592</v>
      </c>
    </row>
    <row r="193" customFormat="false" ht="15" hidden="false" customHeight="false" outlineLevel="0" collapsed="false">
      <c r="A193" s="216" t="s">
        <v>174</v>
      </c>
      <c r="B193" s="337" t="s">
        <v>2899</v>
      </c>
      <c r="C193" s="1161" t="s">
        <v>6934</v>
      </c>
      <c r="D193" s="317" t="n">
        <v>2007</v>
      </c>
      <c r="E193" s="317" t="n">
        <f aca="false">2021-D193</f>
        <v>14</v>
      </c>
      <c r="F193" s="1363" t="n">
        <v>350000</v>
      </c>
      <c r="G193" s="1364" t="n">
        <v>0.1</v>
      </c>
      <c r="H193" s="1365" t="n">
        <f aca="false">E193*F193*G193</f>
        <v>490000</v>
      </c>
      <c r="I193" s="1365" t="n">
        <f aca="false">F193-H193</f>
        <v>-140000</v>
      </c>
      <c r="J193" s="1365" t="n">
        <f aca="false">F193*G193</f>
        <v>35000</v>
      </c>
      <c r="K193" s="1365" t="n">
        <f aca="false">J193/1792.8</f>
        <v>19.5225345827755</v>
      </c>
      <c r="L193" s="1365" t="n">
        <v>10</v>
      </c>
      <c r="M193" s="1366" t="n">
        <f aca="false">K193*L193/60</f>
        <v>3.25375576379592</v>
      </c>
    </row>
    <row r="194" customFormat="false" ht="15" hidden="false" customHeight="false" outlineLevel="0" collapsed="false">
      <c r="A194" s="216" t="s">
        <v>175</v>
      </c>
      <c r="B194" s="337" t="s">
        <v>2900</v>
      </c>
      <c r="C194" s="1161" t="s">
        <v>6934</v>
      </c>
      <c r="D194" s="317" t="n">
        <v>2007</v>
      </c>
      <c r="E194" s="317" t="n">
        <f aca="false">2021-D194</f>
        <v>14</v>
      </c>
      <c r="F194" s="1363" t="n">
        <v>350000</v>
      </c>
      <c r="G194" s="1364" t="n">
        <v>0.1</v>
      </c>
      <c r="H194" s="1365" t="n">
        <f aca="false">E194*F194*G194</f>
        <v>490000</v>
      </c>
      <c r="I194" s="1365" t="n">
        <f aca="false">F194-H194</f>
        <v>-140000</v>
      </c>
      <c r="J194" s="1365" t="n">
        <f aca="false">F194*G194</f>
        <v>35000</v>
      </c>
      <c r="K194" s="1365" t="n">
        <f aca="false">J194/1792.8</f>
        <v>19.5225345827755</v>
      </c>
      <c r="L194" s="1365" t="n">
        <v>10</v>
      </c>
      <c r="M194" s="1366" t="n">
        <f aca="false">K194*L194/60</f>
        <v>3.25375576379592</v>
      </c>
    </row>
    <row r="195" customFormat="false" ht="15" hidden="false" customHeight="false" outlineLevel="0" collapsed="false">
      <c r="A195" s="216" t="s">
        <v>176</v>
      </c>
      <c r="B195" s="337" t="s">
        <v>2901</v>
      </c>
      <c r="C195" s="1161" t="s">
        <v>6934</v>
      </c>
      <c r="D195" s="317" t="n">
        <v>2007</v>
      </c>
      <c r="E195" s="317" t="n">
        <f aca="false">2021-D195</f>
        <v>14</v>
      </c>
      <c r="F195" s="1363" t="n">
        <v>350000</v>
      </c>
      <c r="G195" s="1364" t="n">
        <v>0.1</v>
      </c>
      <c r="H195" s="1365" t="n">
        <f aca="false">E195*F195*G195</f>
        <v>490000</v>
      </c>
      <c r="I195" s="1365" t="n">
        <f aca="false">F195-H195</f>
        <v>-140000</v>
      </c>
      <c r="J195" s="1365" t="n">
        <f aca="false">F195*G195</f>
        <v>35000</v>
      </c>
      <c r="K195" s="1365" t="n">
        <f aca="false">J195/1792.8</f>
        <v>19.5225345827755</v>
      </c>
      <c r="L195" s="1365" t="n">
        <v>10</v>
      </c>
      <c r="M195" s="1366" t="n">
        <f aca="false">K195*L195/60</f>
        <v>3.25375576379592</v>
      </c>
    </row>
    <row r="196" customFormat="false" ht="30" hidden="false" customHeight="false" outlineLevel="0" collapsed="false">
      <c r="A196" s="216" t="s">
        <v>178</v>
      </c>
      <c r="B196" s="337" t="s">
        <v>2904</v>
      </c>
      <c r="C196" s="1161" t="s">
        <v>6934</v>
      </c>
      <c r="D196" s="317" t="n">
        <v>2007</v>
      </c>
      <c r="E196" s="317" t="n">
        <f aca="false">2021-D196</f>
        <v>14</v>
      </c>
      <c r="F196" s="1363" t="n">
        <v>350000</v>
      </c>
      <c r="G196" s="1364" t="n">
        <v>0.1</v>
      </c>
      <c r="H196" s="1365" t="n">
        <f aca="false">E196*F196*G196</f>
        <v>490000</v>
      </c>
      <c r="I196" s="1365" t="n">
        <f aca="false">F196-H196</f>
        <v>-140000</v>
      </c>
      <c r="J196" s="1365" t="n">
        <f aca="false">F196*G196</f>
        <v>35000</v>
      </c>
      <c r="K196" s="1365" t="n">
        <f aca="false">J196/1792.8</f>
        <v>19.5225345827755</v>
      </c>
      <c r="L196" s="1365" t="n">
        <v>10</v>
      </c>
      <c r="M196" s="1366" t="n">
        <f aca="false">K196*L196/60</f>
        <v>3.25375576379592</v>
      </c>
    </row>
    <row r="197" customFormat="false" ht="30" hidden="false" customHeight="false" outlineLevel="0" collapsed="false">
      <c r="A197" s="216" t="s">
        <v>179</v>
      </c>
      <c r="B197" s="337" t="s">
        <v>2905</v>
      </c>
      <c r="C197" s="1161" t="s">
        <v>6934</v>
      </c>
      <c r="D197" s="317" t="n">
        <v>2007</v>
      </c>
      <c r="E197" s="317" t="n">
        <f aca="false">2021-D197</f>
        <v>14</v>
      </c>
      <c r="F197" s="1363" t="n">
        <v>350000</v>
      </c>
      <c r="G197" s="1364" t="n">
        <v>0.1</v>
      </c>
      <c r="H197" s="1365" t="n">
        <f aca="false">E197*F197*G197</f>
        <v>490000</v>
      </c>
      <c r="I197" s="1365" t="n">
        <f aca="false">F197-H197</f>
        <v>-140000</v>
      </c>
      <c r="J197" s="1365" t="n">
        <f aca="false">F197*G197</f>
        <v>35000</v>
      </c>
      <c r="K197" s="1365" t="n">
        <f aca="false">J197/1792.8</f>
        <v>19.5225345827755</v>
      </c>
      <c r="L197" s="1365" t="n">
        <v>10</v>
      </c>
      <c r="M197" s="1366" t="n">
        <f aca="false">K197*L197/60</f>
        <v>3.25375576379592</v>
      </c>
    </row>
    <row r="198" customFormat="false" ht="30" hidden="false" customHeight="false" outlineLevel="0" collapsed="false">
      <c r="A198" s="216" t="s">
        <v>180</v>
      </c>
      <c r="B198" s="337" t="s">
        <v>2906</v>
      </c>
      <c r="C198" s="1161" t="s">
        <v>6934</v>
      </c>
      <c r="D198" s="317" t="n">
        <v>2007</v>
      </c>
      <c r="E198" s="317" t="n">
        <f aca="false">2021-D198</f>
        <v>14</v>
      </c>
      <c r="F198" s="1363" t="n">
        <v>350000</v>
      </c>
      <c r="G198" s="1364" t="n">
        <v>0.1</v>
      </c>
      <c r="H198" s="1365" t="n">
        <f aca="false">E198*F198*G198</f>
        <v>490000</v>
      </c>
      <c r="I198" s="1365" t="n">
        <f aca="false">F198-H198</f>
        <v>-140000</v>
      </c>
      <c r="J198" s="1365" t="n">
        <f aca="false">F198*G198</f>
        <v>35000</v>
      </c>
      <c r="K198" s="1365" t="n">
        <f aca="false">J198/1792.8</f>
        <v>19.5225345827755</v>
      </c>
      <c r="L198" s="1365" t="n">
        <v>10</v>
      </c>
      <c r="M198" s="1366" t="n">
        <f aca="false">K198*L198/60</f>
        <v>3.25375576379592</v>
      </c>
    </row>
    <row r="199" customFormat="false" ht="15" hidden="false" customHeight="false" outlineLevel="0" collapsed="false">
      <c r="A199" s="216" t="s">
        <v>181</v>
      </c>
      <c r="B199" s="41" t="s">
        <v>2957</v>
      </c>
      <c r="C199" s="1161" t="s">
        <v>6934</v>
      </c>
      <c r="D199" s="317" t="n">
        <v>2007</v>
      </c>
      <c r="E199" s="317" t="n">
        <f aca="false">2021-D199</f>
        <v>14</v>
      </c>
      <c r="F199" s="1363" t="n">
        <v>350000</v>
      </c>
      <c r="G199" s="1364" t="n">
        <v>0.1</v>
      </c>
      <c r="H199" s="1365" t="n">
        <f aca="false">E199*F199*G199</f>
        <v>490000</v>
      </c>
      <c r="I199" s="1365" t="n">
        <f aca="false">F199-H199</f>
        <v>-140000</v>
      </c>
      <c r="J199" s="1365" t="n">
        <f aca="false">F199*G199</f>
        <v>35000</v>
      </c>
      <c r="K199" s="1365" t="n">
        <f aca="false">J199/1792.8</f>
        <v>19.5225345827755</v>
      </c>
      <c r="L199" s="1365" t="n">
        <v>10</v>
      </c>
      <c r="M199" s="1366" t="n">
        <f aca="false">K199*L199/60</f>
        <v>3.25375576379592</v>
      </c>
    </row>
    <row r="200" customFormat="false" ht="45" hidden="false" customHeight="false" outlineLevel="0" collapsed="false">
      <c r="A200" s="216" t="s">
        <v>183</v>
      </c>
      <c r="B200" s="337" t="s">
        <v>2911</v>
      </c>
      <c r="C200" s="1161" t="s">
        <v>6927</v>
      </c>
      <c r="D200" s="317" t="n">
        <v>2014</v>
      </c>
      <c r="E200" s="317" t="n">
        <f aca="false">2021-D200</f>
        <v>7</v>
      </c>
      <c r="F200" s="1363" t="n">
        <v>375200</v>
      </c>
      <c r="G200" s="1364" t="n">
        <v>0.1</v>
      </c>
      <c r="H200" s="1365" t="n">
        <f aca="false">E200*F200*G200</f>
        <v>262640</v>
      </c>
      <c r="I200" s="1365" t="n">
        <f aca="false">F200-H200</f>
        <v>112560</v>
      </c>
      <c r="J200" s="1365" t="n">
        <f aca="false">F200*G200</f>
        <v>37520</v>
      </c>
      <c r="K200" s="1365" t="n">
        <f aca="false">J200/1792.8</f>
        <v>20.9281570727354</v>
      </c>
      <c r="L200" s="1365" t="n">
        <v>10</v>
      </c>
      <c r="M200" s="1273" t="n">
        <f aca="false">K200*L200/60</f>
        <v>3.48802617878923</v>
      </c>
    </row>
    <row r="201" customFormat="false" ht="15" hidden="false" customHeight="false" outlineLevel="0" collapsed="false">
      <c r="A201" s="1369"/>
      <c r="B201" s="29"/>
      <c r="C201" s="1161" t="s">
        <v>6934</v>
      </c>
      <c r="D201" s="317" t="n">
        <v>2007</v>
      </c>
      <c r="E201" s="317" t="n">
        <f aca="false">2021-D201</f>
        <v>14</v>
      </c>
      <c r="F201" s="1363" t="n">
        <v>350000</v>
      </c>
      <c r="G201" s="1364" t="n">
        <v>0.1</v>
      </c>
      <c r="H201" s="1365" t="n">
        <f aca="false">E201*F201*G201</f>
        <v>490000</v>
      </c>
      <c r="I201" s="1365" t="n">
        <f aca="false">F201-H201</f>
        <v>-140000</v>
      </c>
      <c r="J201" s="1365" t="n">
        <f aca="false">F201*G201</f>
        <v>35000</v>
      </c>
      <c r="K201" s="1365" t="n">
        <f aca="false">J201/1792.8</f>
        <v>19.5225345827755</v>
      </c>
      <c r="L201" s="1365" t="n">
        <v>10</v>
      </c>
      <c r="M201" s="1273" t="n">
        <f aca="false">K201*L201/60</f>
        <v>3.25375576379592</v>
      </c>
    </row>
    <row r="202" customFormat="false" ht="15" hidden="false" customHeight="false" outlineLevel="0" collapsed="false">
      <c r="A202" s="1369"/>
      <c r="B202" s="972" t="s">
        <v>4128</v>
      </c>
      <c r="C202" s="1160"/>
      <c r="D202" s="135"/>
      <c r="E202" s="317"/>
      <c r="F202" s="135"/>
      <c r="G202" s="1372"/>
      <c r="H202" s="1370"/>
      <c r="I202" s="1370"/>
      <c r="J202" s="1370"/>
      <c r="K202" s="1365" t="n">
        <f aca="false">J202/1792.8</f>
        <v>0</v>
      </c>
      <c r="L202" s="1370"/>
      <c r="M202" s="1366" t="n">
        <f aca="false">M200+M201</f>
        <v>6.74178194258516</v>
      </c>
    </row>
    <row r="203" customFormat="false" ht="15" hidden="false" customHeight="false" outlineLevel="0" collapsed="false">
      <c r="A203" s="216" t="s">
        <v>185</v>
      </c>
      <c r="B203" s="337" t="s">
        <v>2912</v>
      </c>
      <c r="C203" s="1161" t="s">
        <v>6927</v>
      </c>
      <c r="D203" s="317" t="n">
        <v>2014</v>
      </c>
      <c r="E203" s="317" t="n">
        <f aca="false">2021-D203</f>
        <v>7</v>
      </c>
      <c r="F203" s="1363" t="n">
        <v>375200</v>
      </c>
      <c r="G203" s="1364" t="n">
        <v>0.1</v>
      </c>
      <c r="H203" s="1365" t="n">
        <f aca="false">E203*F203*G203</f>
        <v>262640</v>
      </c>
      <c r="I203" s="1365" t="n">
        <f aca="false">F203-H203</f>
        <v>112560</v>
      </c>
      <c r="J203" s="1365" t="n">
        <f aca="false">F203*G203</f>
        <v>37520</v>
      </c>
      <c r="K203" s="1365" t="n">
        <f aca="false">J203/1792.8</f>
        <v>20.9281570727354</v>
      </c>
      <c r="L203" s="1365" t="n">
        <v>10</v>
      </c>
      <c r="M203" s="1273" t="n">
        <f aca="false">K203*L203/60</f>
        <v>3.48802617878923</v>
      </c>
    </row>
    <row r="204" customFormat="false" ht="15" hidden="false" customHeight="false" outlineLevel="0" collapsed="false">
      <c r="A204" s="1369"/>
      <c r="B204" s="29"/>
      <c r="C204" s="1161" t="s">
        <v>6934</v>
      </c>
      <c r="D204" s="317" t="n">
        <v>2007</v>
      </c>
      <c r="E204" s="317" t="n">
        <f aca="false">2021-D204</f>
        <v>14</v>
      </c>
      <c r="F204" s="1363" t="n">
        <v>350000</v>
      </c>
      <c r="G204" s="1364" t="n">
        <v>0.1</v>
      </c>
      <c r="H204" s="1365" t="n">
        <f aca="false">E204*F204*G204</f>
        <v>490000</v>
      </c>
      <c r="I204" s="1365" t="n">
        <f aca="false">F204-H204</f>
        <v>-140000</v>
      </c>
      <c r="J204" s="1365" t="n">
        <f aca="false">F204*G204</f>
        <v>35000</v>
      </c>
      <c r="K204" s="1365" t="n">
        <f aca="false">J204/1792.8</f>
        <v>19.5225345827755</v>
      </c>
      <c r="L204" s="1365" t="n">
        <v>10</v>
      </c>
      <c r="M204" s="1273" t="n">
        <f aca="false">K204*L204/60</f>
        <v>3.25375576379592</v>
      </c>
    </row>
    <row r="205" customFormat="false" ht="15" hidden="false" customHeight="false" outlineLevel="0" collapsed="false">
      <c r="A205" s="1369"/>
      <c r="B205" s="972" t="s">
        <v>4128</v>
      </c>
      <c r="C205" s="1160"/>
      <c r="D205" s="135"/>
      <c r="E205" s="317"/>
      <c r="F205" s="135"/>
      <c r="G205" s="1372"/>
      <c r="H205" s="1370"/>
      <c r="I205" s="1370"/>
      <c r="J205" s="1370"/>
      <c r="K205" s="1365" t="n">
        <f aca="false">J205/1792.8</f>
        <v>0</v>
      </c>
      <c r="L205" s="1370"/>
      <c r="M205" s="1366" t="n">
        <f aca="false">M203+M204</f>
        <v>6.74178194258516</v>
      </c>
    </row>
    <row r="206" customFormat="false" ht="15" hidden="false" customHeight="false" outlineLevel="0" collapsed="false">
      <c r="A206" s="216" t="s">
        <v>6949</v>
      </c>
      <c r="B206" s="29" t="s">
        <v>6950</v>
      </c>
      <c r="C206" s="1161" t="s">
        <v>6927</v>
      </c>
      <c r="D206" s="317" t="n">
        <v>2014</v>
      </c>
      <c r="E206" s="317" t="n">
        <f aca="false">2021-D206</f>
        <v>7</v>
      </c>
      <c r="F206" s="1363" t="n">
        <v>375200</v>
      </c>
      <c r="G206" s="1364" t="n">
        <v>0.1</v>
      </c>
      <c r="H206" s="1365" t="n">
        <f aca="false">E206*F206*G206</f>
        <v>262640</v>
      </c>
      <c r="I206" s="1365" t="n">
        <f aca="false">F206-H206</f>
        <v>112560</v>
      </c>
      <c r="J206" s="1365" t="n">
        <f aca="false">F206*G206</f>
        <v>37520</v>
      </c>
      <c r="K206" s="1365" t="n">
        <f aca="false">J206/1792.8</f>
        <v>20.9281570727354</v>
      </c>
      <c r="L206" s="1365" t="n">
        <v>10</v>
      </c>
      <c r="M206" s="1273" t="n">
        <f aca="false">K206*L206/60</f>
        <v>3.48802617878923</v>
      </c>
    </row>
    <row r="207" customFormat="false" ht="15" hidden="false" customHeight="false" outlineLevel="0" collapsed="false">
      <c r="A207" s="1369"/>
      <c r="B207" s="972"/>
      <c r="C207" s="1161" t="s">
        <v>6934</v>
      </c>
      <c r="D207" s="317" t="n">
        <v>2007</v>
      </c>
      <c r="E207" s="317" t="n">
        <f aca="false">2021-D207</f>
        <v>14</v>
      </c>
      <c r="F207" s="1363" t="n">
        <v>350000</v>
      </c>
      <c r="G207" s="1364" t="n">
        <v>0.1</v>
      </c>
      <c r="H207" s="1365" t="n">
        <f aca="false">E207*F207*G207</f>
        <v>490000</v>
      </c>
      <c r="I207" s="1365" t="n">
        <f aca="false">F207-H207</f>
        <v>-140000</v>
      </c>
      <c r="J207" s="1365" t="n">
        <f aca="false">F207*G207</f>
        <v>35000</v>
      </c>
      <c r="K207" s="1365" t="n">
        <f aca="false">J207/1792.8</f>
        <v>19.5225345827755</v>
      </c>
      <c r="L207" s="1365" t="n">
        <v>10</v>
      </c>
      <c r="M207" s="1273" t="n">
        <f aca="false">K207*L207/60</f>
        <v>3.25375576379592</v>
      </c>
    </row>
    <row r="208" customFormat="false" ht="15" hidden="false" customHeight="false" outlineLevel="0" collapsed="false">
      <c r="A208" s="1369"/>
      <c r="B208" s="972" t="s">
        <v>4128</v>
      </c>
      <c r="C208" s="1160"/>
      <c r="D208" s="135"/>
      <c r="E208" s="317"/>
      <c r="F208" s="135"/>
      <c r="G208" s="1372"/>
      <c r="H208" s="1370"/>
      <c r="I208" s="1370"/>
      <c r="J208" s="1370"/>
      <c r="K208" s="1365" t="n">
        <f aca="false">J208/1792.8</f>
        <v>0</v>
      </c>
      <c r="L208" s="1370"/>
      <c r="M208" s="1366" t="n">
        <f aca="false">SUM(M206:M207)</f>
        <v>6.74178194258516</v>
      </c>
    </row>
    <row r="209" customFormat="false" ht="45" hidden="false" customHeight="false" outlineLevel="0" collapsed="false">
      <c r="A209" s="216" t="s">
        <v>188</v>
      </c>
      <c r="B209" s="337" t="s">
        <v>2914</v>
      </c>
      <c r="C209" s="1161" t="s">
        <v>6941</v>
      </c>
      <c r="D209" s="317" t="n">
        <v>2012</v>
      </c>
      <c r="E209" s="317" t="n">
        <f aca="false">2021-D209</f>
        <v>9</v>
      </c>
      <c r="F209" s="317" t="n">
        <v>44483193</v>
      </c>
      <c r="G209" s="1364" t="n">
        <v>0.1</v>
      </c>
      <c r="H209" s="1365" t="n">
        <f aca="false">E209*F209*G209</f>
        <v>40034873.7</v>
      </c>
      <c r="I209" s="1365" t="n">
        <f aca="false">F209-H209</f>
        <v>4448319.3</v>
      </c>
      <c r="J209" s="1365" t="n">
        <f aca="false">F209*G209</f>
        <v>4448319.3</v>
      </c>
      <c r="K209" s="1365" t="n">
        <f aca="false">J209/1792.8</f>
        <v>2481.21335341365</v>
      </c>
      <c r="L209" s="1365" t="n">
        <v>10</v>
      </c>
      <c r="M209" s="1273" t="n">
        <f aca="false">K209*L209/60</f>
        <v>413.535558902276</v>
      </c>
    </row>
    <row r="210" customFormat="false" ht="15" hidden="false" customHeight="false" outlineLevel="0" collapsed="false">
      <c r="A210" s="1369"/>
      <c r="B210" s="972"/>
      <c r="C210" s="1161" t="s">
        <v>6934</v>
      </c>
      <c r="D210" s="317" t="n">
        <v>2007</v>
      </c>
      <c r="E210" s="317" t="n">
        <f aca="false">2021-D210</f>
        <v>14</v>
      </c>
      <c r="F210" s="1363" t="n">
        <v>350000</v>
      </c>
      <c r="G210" s="1364" t="n">
        <v>0.1</v>
      </c>
      <c r="H210" s="1365" t="n">
        <f aca="false">E210*F210*G210</f>
        <v>490000</v>
      </c>
      <c r="I210" s="1365" t="n">
        <f aca="false">F210-H210</f>
        <v>-140000</v>
      </c>
      <c r="J210" s="1365" t="n">
        <f aca="false">F210*G210</f>
        <v>35000</v>
      </c>
      <c r="K210" s="1365" t="n">
        <f aca="false">J210/1792.8</f>
        <v>19.5225345827755</v>
      </c>
      <c r="L210" s="1365" t="n">
        <v>10</v>
      </c>
      <c r="M210" s="1273" t="n">
        <f aca="false">K210*L210/60</f>
        <v>3.25375576379592</v>
      </c>
    </row>
    <row r="211" customFormat="false" ht="15" hidden="false" customHeight="false" outlineLevel="0" collapsed="false">
      <c r="A211" s="216"/>
      <c r="B211" s="972" t="s">
        <v>4128</v>
      </c>
      <c r="C211" s="1160"/>
      <c r="D211" s="135"/>
      <c r="E211" s="317"/>
      <c r="F211" s="135"/>
      <c r="G211" s="1372"/>
      <c r="H211" s="1370"/>
      <c r="I211" s="1370"/>
      <c r="J211" s="1370"/>
      <c r="K211" s="1365" t="n">
        <f aca="false">J211/1792.8</f>
        <v>0</v>
      </c>
      <c r="L211" s="1370"/>
      <c r="M211" s="1366" t="n">
        <f aca="false">M209+M210</f>
        <v>416.789314666072</v>
      </c>
    </row>
    <row r="212" customFormat="false" ht="15" hidden="false" customHeight="false" outlineLevel="0" collapsed="false">
      <c r="A212" s="216" t="s">
        <v>189</v>
      </c>
      <c r="B212" s="337" t="s">
        <v>2915</v>
      </c>
      <c r="C212" s="1161" t="s">
        <v>6927</v>
      </c>
      <c r="D212" s="317" t="n">
        <v>2014</v>
      </c>
      <c r="E212" s="317" t="n">
        <f aca="false">2021-D212</f>
        <v>7</v>
      </c>
      <c r="F212" s="1363" t="n">
        <v>375200</v>
      </c>
      <c r="G212" s="1364" t="n">
        <v>0.1</v>
      </c>
      <c r="H212" s="1365" t="n">
        <f aca="false">E212*F212*G212</f>
        <v>262640</v>
      </c>
      <c r="I212" s="1365" t="n">
        <f aca="false">F212-H212</f>
        <v>112560</v>
      </c>
      <c r="J212" s="1365" t="n">
        <f aca="false">F212*G212</f>
        <v>37520</v>
      </c>
      <c r="K212" s="1365" t="n">
        <f aca="false">J212/1792.8</f>
        <v>20.9281570727354</v>
      </c>
      <c r="L212" s="1365" t="n">
        <v>10</v>
      </c>
      <c r="M212" s="1273" t="n">
        <f aca="false">K212*L212/60</f>
        <v>3.48802617878923</v>
      </c>
    </row>
    <row r="213" customFormat="false" ht="15" hidden="false" customHeight="false" outlineLevel="0" collapsed="false">
      <c r="A213" s="1369"/>
      <c r="B213" s="29"/>
      <c r="C213" s="1161" t="s">
        <v>6934</v>
      </c>
      <c r="D213" s="317" t="n">
        <v>2007</v>
      </c>
      <c r="E213" s="317" t="n">
        <f aca="false">2021-D213</f>
        <v>14</v>
      </c>
      <c r="F213" s="1363" t="n">
        <v>350000</v>
      </c>
      <c r="G213" s="1364" t="n">
        <v>0.1</v>
      </c>
      <c r="H213" s="1365" t="n">
        <f aca="false">E213*F213*G213</f>
        <v>490000</v>
      </c>
      <c r="I213" s="1365" t="n">
        <f aca="false">F213-H213</f>
        <v>-140000</v>
      </c>
      <c r="J213" s="1365" t="n">
        <f aca="false">F213*G213</f>
        <v>35000</v>
      </c>
      <c r="K213" s="1365" t="n">
        <f aca="false">J213/1792.8</f>
        <v>19.5225345827755</v>
      </c>
      <c r="L213" s="1365" t="n">
        <v>10</v>
      </c>
      <c r="M213" s="1273" t="n">
        <f aca="false">K213*L213/60</f>
        <v>3.25375576379592</v>
      </c>
    </row>
    <row r="214" customFormat="false" ht="15" hidden="false" customHeight="false" outlineLevel="0" collapsed="false">
      <c r="A214" s="1369"/>
      <c r="B214" s="972" t="s">
        <v>4128</v>
      </c>
      <c r="C214" s="1160"/>
      <c r="D214" s="135"/>
      <c r="E214" s="317"/>
      <c r="F214" s="135"/>
      <c r="G214" s="1372"/>
      <c r="H214" s="1370"/>
      <c r="I214" s="1370"/>
      <c r="J214" s="1370"/>
      <c r="K214" s="1365" t="n">
        <f aca="false">J214/1792.8</f>
        <v>0</v>
      </c>
      <c r="L214" s="1370"/>
      <c r="M214" s="1366" t="n">
        <f aca="false">M212+M213</f>
        <v>6.74178194258516</v>
      </c>
    </row>
    <row r="215" customFormat="false" ht="15" hidden="false" customHeight="false" outlineLevel="0" collapsed="false">
      <c r="A215" s="216" t="s">
        <v>190</v>
      </c>
      <c r="B215" s="337" t="s">
        <v>2916</v>
      </c>
      <c r="C215" s="1161" t="s">
        <v>6927</v>
      </c>
      <c r="D215" s="317" t="n">
        <v>2014</v>
      </c>
      <c r="E215" s="317" t="n">
        <f aca="false">2021-D215</f>
        <v>7</v>
      </c>
      <c r="F215" s="1363" t="n">
        <v>375200</v>
      </c>
      <c r="G215" s="1364" t="n">
        <v>0.1</v>
      </c>
      <c r="H215" s="1365" t="n">
        <f aca="false">E215*F215*G215</f>
        <v>262640</v>
      </c>
      <c r="I215" s="1365" t="n">
        <f aca="false">F215-H215</f>
        <v>112560</v>
      </c>
      <c r="J215" s="1365" t="n">
        <f aca="false">F215*G215</f>
        <v>37520</v>
      </c>
      <c r="K215" s="1365" t="n">
        <f aca="false">J215/1792.8</f>
        <v>20.9281570727354</v>
      </c>
      <c r="L215" s="1365" t="n">
        <v>10</v>
      </c>
      <c r="M215" s="1273" t="n">
        <f aca="false">K215*L215/60</f>
        <v>3.48802617878923</v>
      </c>
    </row>
    <row r="216" customFormat="false" ht="15" hidden="false" customHeight="false" outlineLevel="0" collapsed="false">
      <c r="A216" s="1369"/>
      <c r="B216" s="29"/>
      <c r="C216" s="1161" t="s">
        <v>6934</v>
      </c>
      <c r="D216" s="317" t="n">
        <v>2007</v>
      </c>
      <c r="E216" s="317" t="n">
        <f aca="false">2021-D216</f>
        <v>14</v>
      </c>
      <c r="F216" s="1363" t="n">
        <v>350000</v>
      </c>
      <c r="G216" s="1364" t="n">
        <v>0.1</v>
      </c>
      <c r="H216" s="1365" t="n">
        <f aca="false">E216*F216*G216</f>
        <v>490000</v>
      </c>
      <c r="I216" s="1365" t="n">
        <f aca="false">F216-H216</f>
        <v>-140000</v>
      </c>
      <c r="J216" s="1365" t="n">
        <f aca="false">F216*G216</f>
        <v>35000</v>
      </c>
      <c r="K216" s="1365" t="n">
        <f aca="false">J216/1792.8</f>
        <v>19.5225345827755</v>
      </c>
      <c r="L216" s="1365" t="n">
        <v>10</v>
      </c>
      <c r="M216" s="1273" t="n">
        <f aca="false">K216*L216/60</f>
        <v>3.25375576379592</v>
      </c>
    </row>
    <row r="217" customFormat="false" ht="15" hidden="false" customHeight="false" outlineLevel="0" collapsed="false">
      <c r="A217" s="1369"/>
      <c r="B217" s="972" t="s">
        <v>4128</v>
      </c>
      <c r="C217" s="1160"/>
      <c r="D217" s="135"/>
      <c r="E217" s="317"/>
      <c r="F217" s="135"/>
      <c r="G217" s="1372"/>
      <c r="H217" s="1370"/>
      <c r="I217" s="1370"/>
      <c r="J217" s="1370"/>
      <c r="K217" s="1365" t="n">
        <f aca="false">J217/1792.8</f>
        <v>0</v>
      </c>
      <c r="L217" s="1370"/>
      <c r="M217" s="1366" t="n">
        <f aca="false">M215+M216</f>
        <v>6.74178194258516</v>
      </c>
    </row>
    <row r="218" customFormat="false" ht="15" hidden="false" customHeight="false" outlineLevel="0" collapsed="false">
      <c r="A218" s="216" t="s">
        <v>192</v>
      </c>
      <c r="B218" s="29" t="s">
        <v>6942</v>
      </c>
      <c r="C218" s="1161" t="s">
        <v>6943</v>
      </c>
      <c r="D218" s="317" t="n">
        <v>2013</v>
      </c>
      <c r="E218" s="317" t="n">
        <f aca="false">2021-D218</f>
        <v>8</v>
      </c>
      <c r="F218" s="317" t="n">
        <v>1503927</v>
      </c>
      <c r="G218" s="1364" t="n">
        <v>0.1</v>
      </c>
      <c r="H218" s="1365" t="n">
        <f aca="false">E218*F218*G218</f>
        <v>1203141.6</v>
      </c>
      <c r="I218" s="1365" t="n">
        <f aca="false">F218-H218</f>
        <v>300785.4</v>
      </c>
      <c r="J218" s="1365" t="n">
        <f aca="false">F218*G218</f>
        <v>150392.7</v>
      </c>
      <c r="K218" s="1365" t="n">
        <f aca="false">J218/1792.8</f>
        <v>83.8870481927711</v>
      </c>
      <c r="L218" s="1365" t="n">
        <v>60</v>
      </c>
      <c r="M218" s="1273" t="n">
        <f aca="false">K218*L218/60</f>
        <v>83.8870481927711</v>
      </c>
    </row>
    <row r="219" customFormat="false" ht="15" hidden="false" customHeight="false" outlineLevel="0" collapsed="false">
      <c r="A219" s="1369"/>
      <c r="B219" s="29"/>
      <c r="C219" s="1161" t="s">
        <v>6934</v>
      </c>
      <c r="D219" s="317" t="n">
        <v>2007</v>
      </c>
      <c r="E219" s="317" t="n">
        <f aca="false">2021-D219</f>
        <v>14</v>
      </c>
      <c r="F219" s="1363" t="n">
        <v>350000</v>
      </c>
      <c r="G219" s="1364" t="n">
        <v>0.1</v>
      </c>
      <c r="H219" s="1365" t="n">
        <f aca="false">E219*F219*G219</f>
        <v>490000</v>
      </c>
      <c r="I219" s="1365" t="n">
        <f aca="false">F219-H219</f>
        <v>-140000</v>
      </c>
      <c r="J219" s="1365" t="n">
        <f aca="false">F219*G219</f>
        <v>35000</v>
      </c>
      <c r="K219" s="1365" t="n">
        <f aca="false">J219/1792.8</f>
        <v>19.5225345827755</v>
      </c>
      <c r="L219" s="1365" t="n">
        <v>10</v>
      </c>
      <c r="M219" s="1273" t="n">
        <f aca="false">K219*L219/60</f>
        <v>3.25375576379592</v>
      </c>
    </row>
    <row r="220" customFormat="false" ht="15" hidden="false" customHeight="false" outlineLevel="0" collapsed="false">
      <c r="A220" s="1369"/>
      <c r="B220" s="972" t="s">
        <v>4128</v>
      </c>
      <c r="C220" s="1160"/>
      <c r="D220" s="135"/>
      <c r="E220" s="317"/>
      <c r="F220" s="135"/>
      <c r="G220" s="1372"/>
      <c r="H220" s="1370"/>
      <c r="I220" s="1370"/>
      <c r="J220" s="1370"/>
      <c r="K220" s="1365" t="n">
        <f aca="false">J220/1792.8</f>
        <v>0</v>
      </c>
      <c r="L220" s="1370"/>
      <c r="M220" s="1370" t="n">
        <f aca="false">M218+M219</f>
        <v>87.140803956567</v>
      </c>
    </row>
    <row r="221" customFormat="false" ht="15" hidden="false" customHeight="false" outlineLevel="0" collapsed="false">
      <c r="A221" s="216" t="s">
        <v>193</v>
      </c>
      <c r="B221" s="29" t="s">
        <v>6942</v>
      </c>
      <c r="C221" s="1161" t="s">
        <v>4568</v>
      </c>
      <c r="D221" s="317" t="n">
        <v>2003</v>
      </c>
      <c r="E221" s="317" t="n">
        <f aca="false">2021-D221</f>
        <v>18</v>
      </c>
      <c r="F221" s="317" t="n">
        <v>12704749</v>
      </c>
      <c r="G221" s="1364" t="n">
        <v>0.1</v>
      </c>
      <c r="H221" s="1365" t="n">
        <f aca="false">E221*F221*G221</f>
        <v>22868548.2</v>
      </c>
      <c r="I221" s="1365" t="n">
        <f aca="false">F221-H221</f>
        <v>-10163799.2</v>
      </c>
      <c r="J221" s="1365" t="n">
        <f aca="false">F221*G221</f>
        <v>1270474.9</v>
      </c>
      <c r="K221" s="1365" t="n">
        <f aca="false">J221/1792.8</f>
        <v>708.654004908523</v>
      </c>
      <c r="L221" s="1365" t="n">
        <v>140</v>
      </c>
      <c r="M221" s="1273" t="n">
        <f aca="false">K221*L221/60</f>
        <v>1653.52601145322</v>
      </c>
    </row>
    <row r="222" customFormat="false" ht="15" hidden="false" customHeight="false" outlineLevel="0" collapsed="false">
      <c r="A222" s="1369"/>
      <c r="B222" s="972"/>
      <c r="C222" s="1161" t="s">
        <v>6934</v>
      </c>
      <c r="D222" s="317" t="n">
        <v>2007</v>
      </c>
      <c r="E222" s="317" t="n">
        <f aca="false">2021-D222</f>
        <v>14</v>
      </c>
      <c r="F222" s="1363" t="n">
        <v>350000</v>
      </c>
      <c r="G222" s="1364" t="n">
        <v>0.1</v>
      </c>
      <c r="H222" s="1365" t="n">
        <f aca="false">E222*F222*G222</f>
        <v>490000</v>
      </c>
      <c r="I222" s="1365" t="n">
        <f aca="false">F222-H222</f>
        <v>-140000</v>
      </c>
      <c r="J222" s="1365" t="n">
        <f aca="false">F222*G222</f>
        <v>35000</v>
      </c>
      <c r="K222" s="1365" t="n">
        <f aca="false">J222/1792.8</f>
        <v>19.5225345827755</v>
      </c>
      <c r="L222" s="1365" t="n">
        <v>10</v>
      </c>
      <c r="M222" s="1273" t="n">
        <f aca="false">K222*L222/60</f>
        <v>3.25375576379592</v>
      </c>
    </row>
    <row r="223" customFormat="false" ht="15" hidden="false" customHeight="false" outlineLevel="0" collapsed="false">
      <c r="A223" s="1369"/>
      <c r="B223" s="972" t="s">
        <v>4128</v>
      </c>
      <c r="C223" s="1160"/>
      <c r="D223" s="135"/>
      <c r="E223" s="317"/>
      <c r="F223" s="135"/>
      <c r="G223" s="1372"/>
      <c r="H223" s="1370"/>
      <c r="I223" s="1370"/>
      <c r="J223" s="1370"/>
      <c r="K223" s="1365" t="n">
        <f aca="false">J223/1792.8</f>
        <v>0</v>
      </c>
      <c r="L223" s="1370"/>
      <c r="M223" s="1370" t="n">
        <f aca="false">M221+M222</f>
        <v>1656.77976721702</v>
      </c>
    </row>
    <row r="224" customFormat="false" ht="15" hidden="false" customHeight="false" outlineLevel="0" collapsed="false">
      <c r="A224" s="216" t="s">
        <v>194</v>
      </c>
      <c r="B224" s="29" t="s">
        <v>6945</v>
      </c>
      <c r="C224" s="1161" t="s">
        <v>6943</v>
      </c>
      <c r="D224" s="317" t="n">
        <v>2013</v>
      </c>
      <c r="E224" s="317" t="n">
        <f aca="false">2021-D224</f>
        <v>8</v>
      </c>
      <c r="F224" s="317" t="n">
        <v>1503927</v>
      </c>
      <c r="G224" s="1364" t="n">
        <v>0.1</v>
      </c>
      <c r="H224" s="1365" t="n">
        <f aca="false">E224*F224*G224</f>
        <v>1203141.6</v>
      </c>
      <c r="I224" s="1365" t="n">
        <f aca="false">F224-H224</f>
        <v>300785.4</v>
      </c>
      <c r="J224" s="1365" t="n">
        <f aca="false">F224*G224</f>
        <v>150392.7</v>
      </c>
      <c r="K224" s="1365" t="n">
        <f aca="false">J224/1792.8</f>
        <v>83.8870481927711</v>
      </c>
      <c r="L224" s="1365" t="n">
        <v>60</v>
      </c>
      <c r="M224" s="1273" t="n">
        <f aca="false">K224*L224/60</f>
        <v>83.8870481927711</v>
      </c>
    </row>
    <row r="225" customFormat="false" ht="15" hidden="false" customHeight="false" outlineLevel="0" collapsed="false">
      <c r="A225" s="1369"/>
      <c r="B225" s="29"/>
      <c r="C225" s="1161" t="s">
        <v>6934</v>
      </c>
      <c r="D225" s="317" t="n">
        <v>2007</v>
      </c>
      <c r="E225" s="317" t="n">
        <f aca="false">2021-D225</f>
        <v>14</v>
      </c>
      <c r="F225" s="1363" t="n">
        <v>350000</v>
      </c>
      <c r="G225" s="1364" t="n">
        <v>0.1</v>
      </c>
      <c r="H225" s="1365" t="n">
        <f aca="false">E225*F225*G225</f>
        <v>490000</v>
      </c>
      <c r="I225" s="1365" t="n">
        <f aca="false">F225-H225</f>
        <v>-140000</v>
      </c>
      <c r="J225" s="1365" t="n">
        <f aca="false">F225*G225</f>
        <v>35000</v>
      </c>
      <c r="K225" s="1365" t="n">
        <f aca="false">J225/1792.8</f>
        <v>19.5225345827755</v>
      </c>
      <c r="L225" s="1365" t="n">
        <v>10</v>
      </c>
      <c r="M225" s="1273" t="n">
        <f aca="false">K225*L225/60</f>
        <v>3.25375576379592</v>
      </c>
    </row>
    <row r="226" customFormat="false" ht="15" hidden="false" customHeight="false" outlineLevel="0" collapsed="false">
      <c r="A226" s="216"/>
      <c r="B226" s="972" t="s">
        <v>4128</v>
      </c>
      <c r="C226" s="1160"/>
      <c r="D226" s="135"/>
      <c r="E226" s="317"/>
      <c r="F226" s="135"/>
      <c r="G226" s="1372"/>
      <c r="H226" s="1370"/>
      <c r="I226" s="1370"/>
      <c r="J226" s="1370"/>
      <c r="K226" s="1365" t="n">
        <f aca="false">J226/1792.8</f>
        <v>0</v>
      </c>
      <c r="L226" s="1370"/>
      <c r="M226" s="1370" t="n">
        <f aca="false">M224+M225</f>
        <v>87.140803956567</v>
      </c>
    </row>
    <row r="227" customFormat="false" ht="15" hidden="false" customHeight="false" outlineLevel="0" collapsed="false">
      <c r="A227" s="216" t="s">
        <v>196</v>
      </c>
      <c r="B227" s="29" t="s">
        <v>6945</v>
      </c>
      <c r="C227" s="1161" t="s">
        <v>4568</v>
      </c>
      <c r="D227" s="317" t="n">
        <v>2003</v>
      </c>
      <c r="E227" s="317" t="n">
        <f aca="false">2021-D227</f>
        <v>18</v>
      </c>
      <c r="F227" s="317" t="n">
        <v>12704749</v>
      </c>
      <c r="G227" s="1364" t="n">
        <v>0.1</v>
      </c>
      <c r="H227" s="1365" t="n">
        <f aca="false">E227*F227*G227</f>
        <v>22868548.2</v>
      </c>
      <c r="I227" s="1365" t="n">
        <f aca="false">F227-H227</f>
        <v>-10163799.2</v>
      </c>
      <c r="J227" s="1365" t="n">
        <f aca="false">F227*G227</f>
        <v>1270474.9</v>
      </c>
      <c r="K227" s="1365" t="n">
        <f aca="false">J227/1792.8</f>
        <v>708.654004908523</v>
      </c>
      <c r="L227" s="1365" t="n">
        <v>140</v>
      </c>
      <c r="M227" s="1273" t="n">
        <f aca="false">K227*L227/60</f>
        <v>1653.52601145322</v>
      </c>
    </row>
    <row r="228" customFormat="false" ht="15" hidden="false" customHeight="false" outlineLevel="0" collapsed="false">
      <c r="A228" s="216"/>
      <c r="B228" s="29"/>
      <c r="C228" s="1161" t="s">
        <v>6934</v>
      </c>
      <c r="D228" s="317" t="n">
        <v>2007</v>
      </c>
      <c r="E228" s="317" t="n">
        <f aca="false">2021-D228</f>
        <v>14</v>
      </c>
      <c r="F228" s="1363" t="n">
        <v>350000</v>
      </c>
      <c r="G228" s="1364" t="n">
        <v>0.1</v>
      </c>
      <c r="H228" s="1365" t="n">
        <f aca="false">E228*F228*G228</f>
        <v>490000</v>
      </c>
      <c r="I228" s="1365" t="n">
        <f aca="false">F228-H228</f>
        <v>-140000</v>
      </c>
      <c r="J228" s="1365" t="n">
        <f aca="false">F228*G228</f>
        <v>35000</v>
      </c>
      <c r="K228" s="1365" t="n">
        <f aca="false">J228/1792.8</f>
        <v>19.5225345827755</v>
      </c>
      <c r="L228" s="1365" t="n">
        <v>10</v>
      </c>
      <c r="M228" s="1273" t="n">
        <f aca="false">K228*L228/60</f>
        <v>3.25375576379592</v>
      </c>
    </row>
    <row r="229" customFormat="false" ht="15" hidden="false" customHeight="false" outlineLevel="0" collapsed="false">
      <c r="A229" s="216"/>
      <c r="B229" s="972" t="s">
        <v>4128</v>
      </c>
      <c r="C229" s="1160"/>
      <c r="D229" s="135"/>
      <c r="E229" s="317"/>
      <c r="F229" s="135"/>
      <c r="G229" s="1372"/>
      <c r="H229" s="1370"/>
      <c r="I229" s="1370"/>
      <c r="J229" s="1370"/>
      <c r="K229" s="1365" t="n">
        <f aca="false">J229/1792.8</f>
        <v>0</v>
      </c>
      <c r="L229" s="1370"/>
      <c r="M229" s="1370" t="n">
        <f aca="false">M227+M228</f>
        <v>1656.77976721702</v>
      </c>
    </row>
    <row r="230" customFormat="false" ht="15" hidden="false" customHeight="false" outlineLevel="0" collapsed="false">
      <c r="A230" s="216" t="s">
        <v>198</v>
      </c>
      <c r="B230" s="337" t="s">
        <v>4275</v>
      </c>
      <c r="C230" s="1161" t="s">
        <v>6943</v>
      </c>
      <c r="D230" s="317" t="n">
        <v>2013</v>
      </c>
      <c r="E230" s="317" t="n">
        <f aca="false">2021-D230</f>
        <v>8</v>
      </c>
      <c r="F230" s="317" t="n">
        <v>1503927</v>
      </c>
      <c r="G230" s="1364" t="n">
        <v>0.1</v>
      </c>
      <c r="H230" s="1365" t="n">
        <f aca="false">E230*F230*G230</f>
        <v>1203141.6</v>
      </c>
      <c r="I230" s="1365" t="n">
        <f aca="false">F230-H230</f>
        <v>300785.4</v>
      </c>
      <c r="J230" s="1365" t="n">
        <f aca="false">F230*G230</f>
        <v>150392.7</v>
      </c>
      <c r="K230" s="1365" t="n">
        <f aca="false">J230/1792.8</f>
        <v>83.8870481927711</v>
      </c>
      <c r="L230" s="1365" t="n">
        <v>60</v>
      </c>
      <c r="M230" s="1273" t="n">
        <f aca="false">K230*L230/60</f>
        <v>83.8870481927711</v>
      </c>
    </row>
    <row r="231" customFormat="false" ht="15" hidden="false" customHeight="false" outlineLevel="0" collapsed="false">
      <c r="A231" s="216"/>
      <c r="B231" s="29"/>
      <c r="C231" s="1161" t="s">
        <v>6934</v>
      </c>
      <c r="D231" s="317" t="n">
        <v>2007</v>
      </c>
      <c r="E231" s="317" t="n">
        <f aca="false">2021-D231</f>
        <v>14</v>
      </c>
      <c r="F231" s="1363" t="n">
        <v>350000</v>
      </c>
      <c r="G231" s="1364" t="n">
        <v>0.1</v>
      </c>
      <c r="H231" s="1365" t="n">
        <f aca="false">E231*F231*G231</f>
        <v>490000</v>
      </c>
      <c r="I231" s="1365" t="n">
        <f aca="false">F231-H231</f>
        <v>-140000</v>
      </c>
      <c r="J231" s="1365" t="n">
        <f aca="false">F231*G231</f>
        <v>35000</v>
      </c>
      <c r="K231" s="1365" t="n">
        <f aca="false">J231/1792.8</f>
        <v>19.5225345827755</v>
      </c>
      <c r="L231" s="1365" t="n">
        <v>10</v>
      </c>
      <c r="M231" s="1273" t="n">
        <f aca="false">K231*L231/60</f>
        <v>3.25375576379592</v>
      </c>
    </row>
    <row r="232" customFormat="false" ht="15" hidden="false" customHeight="false" outlineLevel="0" collapsed="false">
      <c r="A232" s="216"/>
      <c r="B232" s="972" t="s">
        <v>4128</v>
      </c>
      <c r="C232" s="1160"/>
      <c r="D232" s="135"/>
      <c r="E232" s="317"/>
      <c r="F232" s="135"/>
      <c r="G232" s="1372"/>
      <c r="H232" s="1370"/>
      <c r="I232" s="1370"/>
      <c r="J232" s="1370"/>
      <c r="K232" s="1365" t="n">
        <f aca="false">J232/1792.8</f>
        <v>0</v>
      </c>
      <c r="L232" s="1370"/>
      <c r="M232" s="1370" t="n">
        <f aca="false">M230+M231</f>
        <v>87.140803956567</v>
      </c>
    </row>
    <row r="233" customFormat="false" ht="15" hidden="false" customHeight="false" outlineLevel="0" collapsed="false">
      <c r="A233" s="216" t="s">
        <v>200</v>
      </c>
      <c r="B233" s="337" t="s">
        <v>4275</v>
      </c>
      <c r="C233" s="1161" t="s">
        <v>4568</v>
      </c>
      <c r="D233" s="317" t="n">
        <v>2003</v>
      </c>
      <c r="E233" s="317" t="n">
        <f aca="false">2021-D233</f>
        <v>18</v>
      </c>
      <c r="F233" s="317" t="n">
        <v>12704749</v>
      </c>
      <c r="G233" s="1364" t="n">
        <v>0.1</v>
      </c>
      <c r="H233" s="1365" t="n">
        <f aca="false">E233*F233*G233</f>
        <v>22868548.2</v>
      </c>
      <c r="I233" s="1365" t="n">
        <f aca="false">F233-H233</f>
        <v>-10163799.2</v>
      </c>
      <c r="J233" s="1365" t="n">
        <f aca="false">F233*G233</f>
        <v>1270474.9</v>
      </c>
      <c r="K233" s="1365" t="n">
        <f aca="false">J233/1792.8</f>
        <v>708.654004908523</v>
      </c>
      <c r="L233" s="1365" t="n">
        <v>140</v>
      </c>
      <c r="M233" s="1273" t="n">
        <f aca="false">K233*L233/60</f>
        <v>1653.52601145322</v>
      </c>
    </row>
    <row r="234" customFormat="false" ht="15" hidden="false" customHeight="false" outlineLevel="0" collapsed="false">
      <c r="A234" s="1369"/>
      <c r="B234" s="29"/>
      <c r="C234" s="1161" t="s">
        <v>6934</v>
      </c>
      <c r="D234" s="317" t="n">
        <v>2007</v>
      </c>
      <c r="E234" s="317" t="n">
        <f aca="false">2021-D234</f>
        <v>14</v>
      </c>
      <c r="F234" s="1363" t="n">
        <v>350000</v>
      </c>
      <c r="G234" s="1364" t="n">
        <v>0.1</v>
      </c>
      <c r="H234" s="1365" t="n">
        <f aca="false">E234*F234*G234</f>
        <v>490000</v>
      </c>
      <c r="I234" s="1365" t="n">
        <f aca="false">F234-H234</f>
        <v>-140000</v>
      </c>
      <c r="J234" s="1365" t="n">
        <f aca="false">F234*G234</f>
        <v>35000</v>
      </c>
      <c r="K234" s="1365" t="n">
        <f aca="false">J234/1792.8</f>
        <v>19.5225345827755</v>
      </c>
      <c r="L234" s="1365" t="n">
        <v>10</v>
      </c>
      <c r="M234" s="1273" t="n">
        <f aca="false">K234*L234/60</f>
        <v>3.25375576379592</v>
      </c>
    </row>
    <row r="235" customFormat="false" ht="15" hidden="false" customHeight="false" outlineLevel="0" collapsed="false">
      <c r="A235" s="1369"/>
      <c r="B235" s="972" t="s">
        <v>4128</v>
      </c>
      <c r="C235" s="1160"/>
      <c r="D235" s="135"/>
      <c r="E235" s="317"/>
      <c r="F235" s="135"/>
      <c r="G235" s="1372"/>
      <c r="H235" s="1370"/>
      <c r="I235" s="1370"/>
      <c r="J235" s="1370"/>
      <c r="K235" s="1365" t="n">
        <f aca="false">J235/1792.8</f>
        <v>0</v>
      </c>
      <c r="L235" s="1370"/>
      <c r="M235" s="1370" t="n">
        <f aca="false">M233+M234</f>
        <v>1656.77976721702</v>
      </c>
    </row>
    <row r="236" customFormat="false" ht="15" hidden="false" customHeight="false" outlineLevel="0" collapsed="false">
      <c r="A236" s="216" t="s">
        <v>202</v>
      </c>
      <c r="B236" s="337" t="s">
        <v>3254</v>
      </c>
      <c r="C236" s="1161" t="s">
        <v>6943</v>
      </c>
      <c r="D236" s="317" t="n">
        <v>2013</v>
      </c>
      <c r="E236" s="317" t="n">
        <f aca="false">2021-D236</f>
        <v>8</v>
      </c>
      <c r="F236" s="317" t="n">
        <v>1503927</v>
      </c>
      <c r="G236" s="1364" t="n">
        <v>0.1</v>
      </c>
      <c r="H236" s="1365" t="n">
        <f aca="false">E236*F236*G236</f>
        <v>1203141.6</v>
      </c>
      <c r="I236" s="1365" t="n">
        <f aca="false">F236-H236</f>
        <v>300785.4</v>
      </c>
      <c r="J236" s="1365" t="n">
        <f aca="false">F236*G236</f>
        <v>150392.7</v>
      </c>
      <c r="K236" s="1365" t="n">
        <f aca="false">J236/1792.8</f>
        <v>83.8870481927711</v>
      </c>
      <c r="L236" s="1365" t="n">
        <v>60</v>
      </c>
      <c r="M236" s="1273" t="n">
        <f aca="false">K236*L236/60</f>
        <v>83.8870481927711</v>
      </c>
    </row>
    <row r="237" customFormat="false" ht="15" hidden="false" customHeight="false" outlineLevel="0" collapsed="false">
      <c r="A237" s="216"/>
      <c r="B237" s="29"/>
      <c r="C237" s="1161" t="s">
        <v>6934</v>
      </c>
      <c r="D237" s="317" t="n">
        <v>2007</v>
      </c>
      <c r="E237" s="317" t="n">
        <f aca="false">2021-D237</f>
        <v>14</v>
      </c>
      <c r="F237" s="1363" t="n">
        <v>350000</v>
      </c>
      <c r="G237" s="1364" t="n">
        <v>0.1</v>
      </c>
      <c r="H237" s="1365" t="n">
        <f aca="false">E237*F237*G237</f>
        <v>490000</v>
      </c>
      <c r="I237" s="1365" t="n">
        <f aca="false">F237-H237</f>
        <v>-140000</v>
      </c>
      <c r="J237" s="1365" t="n">
        <f aca="false">F237*G237</f>
        <v>35000</v>
      </c>
      <c r="K237" s="1365" t="n">
        <f aca="false">J237/1792.8</f>
        <v>19.5225345827755</v>
      </c>
      <c r="L237" s="1365" t="n">
        <v>10</v>
      </c>
      <c r="M237" s="1273" t="n">
        <f aca="false">K237*L237/60</f>
        <v>3.25375576379592</v>
      </c>
    </row>
    <row r="238" customFormat="false" ht="15" hidden="false" customHeight="false" outlineLevel="0" collapsed="false">
      <c r="A238" s="216"/>
      <c r="B238" s="972" t="s">
        <v>4128</v>
      </c>
      <c r="C238" s="1160"/>
      <c r="D238" s="135"/>
      <c r="E238" s="317"/>
      <c r="F238" s="135"/>
      <c r="G238" s="1372"/>
      <c r="H238" s="1370"/>
      <c r="I238" s="1370"/>
      <c r="J238" s="1370"/>
      <c r="K238" s="1365" t="n">
        <f aca="false">J238/1792.8</f>
        <v>0</v>
      </c>
      <c r="L238" s="1370"/>
      <c r="M238" s="1370" t="n">
        <f aca="false">M236+M237</f>
        <v>87.140803956567</v>
      </c>
    </row>
    <row r="239" customFormat="false" ht="15" hidden="false" customHeight="false" outlineLevel="0" collapsed="false">
      <c r="A239" s="216" t="s">
        <v>203</v>
      </c>
      <c r="B239" s="337" t="s">
        <v>3254</v>
      </c>
      <c r="C239" s="1161" t="s">
        <v>4568</v>
      </c>
      <c r="D239" s="317" t="n">
        <v>2003</v>
      </c>
      <c r="E239" s="317" t="n">
        <f aca="false">2021-D239</f>
        <v>18</v>
      </c>
      <c r="F239" s="317" t="n">
        <v>12704749</v>
      </c>
      <c r="G239" s="1364" t="n">
        <v>0.1</v>
      </c>
      <c r="H239" s="1365" t="n">
        <f aca="false">E239*F239*G239</f>
        <v>22868548.2</v>
      </c>
      <c r="I239" s="1365" t="n">
        <f aca="false">F239-H239</f>
        <v>-10163799.2</v>
      </c>
      <c r="J239" s="1365" t="n">
        <f aca="false">F239*G239</f>
        <v>1270474.9</v>
      </c>
      <c r="K239" s="1365" t="n">
        <f aca="false">J239/1792.8</f>
        <v>708.654004908523</v>
      </c>
      <c r="L239" s="1365" t="n">
        <v>140</v>
      </c>
      <c r="M239" s="1273" t="n">
        <f aca="false">K239*L239/60</f>
        <v>1653.52601145322</v>
      </c>
    </row>
    <row r="240" customFormat="false" ht="15" hidden="false" customHeight="false" outlineLevel="0" collapsed="false">
      <c r="A240" s="1369"/>
      <c r="B240" s="29"/>
      <c r="C240" s="1161" t="s">
        <v>6934</v>
      </c>
      <c r="D240" s="317" t="n">
        <v>2007</v>
      </c>
      <c r="E240" s="317" t="n">
        <f aca="false">2021-D240</f>
        <v>14</v>
      </c>
      <c r="F240" s="1363" t="n">
        <v>350000</v>
      </c>
      <c r="G240" s="1364" t="n">
        <v>0.1</v>
      </c>
      <c r="H240" s="1365" t="n">
        <f aca="false">E240*F240*G240</f>
        <v>490000</v>
      </c>
      <c r="I240" s="1365" t="n">
        <f aca="false">F240-H240</f>
        <v>-140000</v>
      </c>
      <c r="J240" s="1365" t="n">
        <f aca="false">F240*G240</f>
        <v>35000</v>
      </c>
      <c r="K240" s="1365" t="n">
        <f aca="false">J240/1792.8</f>
        <v>19.5225345827755</v>
      </c>
      <c r="L240" s="1365" t="n">
        <v>10</v>
      </c>
      <c r="M240" s="1273" t="n">
        <f aca="false">K240*L240/60</f>
        <v>3.25375576379592</v>
      </c>
    </row>
    <row r="241" customFormat="false" ht="15" hidden="false" customHeight="false" outlineLevel="0" collapsed="false">
      <c r="A241" s="216"/>
      <c r="B241" s="972" t="s">
        <v>4128</v>
      </c>
      <c r="C241" s="1160"/>
      <c r="D241" s="135"/>
      <c r="E241" s="317"/>
      <c r="F241" s="135"/>
      <c r="G241" s="1372"/>
      <c r="H241" s="1370"/>
      <c r="I241" s="1370"/>
      <c r="J241" s="1370"/>
      <c r="K241" s="1365" t="n">
        <f aca="false">J241/1792.8</f>
        <v>0</v>
      </c>
      <c r="L241" s="1370"/>
      <c r="M241" s="1370" t="n">
        <f aca="false">M239+M240</f>
        <v>1656.77976721702</v>
      </c>
    </row>
    <row r="242" customFormat="false" ht="15" hidden="false" customHeight="false" outlineLevel="0" collapsed="false">
      <c r="A242" s="216" t="s">
        <v>204</v>
      </c>
      <c r="B242" s="29" t="s">
        <v>3129</v>
      </c>
      <c r="C242" s="1161" t="s">
        <v>6943</v>
      </c>
      <c r="D242" s="317" t="n">
        <v>2013</v>
      </c>
      <c r="E242" s="317" t="n">
        <f aca="false">2021-D242</f>
        <v>8</v>
      </c>
      <c r="F242" s="317" t="n">
        <v>1503927</v>
      </c>
      <c r="G242" s="1364" t="n">
        <v>0.1</v>
      </c>
      <c r="H242" s="1365" t="n">
        <f aca="false">E242*F242*G242</f>
        <v>1203141.6</v>
      </c>
      <c r="I242" s="1365" t="n">
        <f aca="false">F242-H242</f>
        <v>300785.4</v>
      </c>
      <c r="J242" s="1365" t="n">
        <f aca="false">F242*G242</f>
        <v>150392.7</v>
      </c>
      <c r="K242" s="1365" t="n">
        <f aca="false">J242/1792.8</f>
        <v>83.8870481927711</v>
      </c>
      <c r="L242" s="1365" t="n">
        <v>60</v>
      </c>
      <c r="M242" s="1273" t="n">
        <f aca="false">K242*L242/60</f>
        <v>83.8870481927711</v>
      </c>
    </row>
    <row r="243" customFormat="false" ht="15" hidden="false" customHeight="false" outlineLevel="0" collapsed="false">
      <c r="A243" s="216"/>
      <c r="B243" s="29"/>
      <c r="C243" s="1161" t="s">
        <v>6934</v>
      </c>
      <c r="D243" s="317" t="n">
        <v>2007</v>
      </c>
      <c r="E243" s="317" t="n">
        <f aca="false">2021-D243</f>
        <v>14</v>
      </c>
      <c r="F243" s="1363" t="n">
        <v>350000</v>
      </c>
      <c r="G243" s="1364" t="n">
        <v>0.1</v>
      </c>
      <c r="H243" s="1365" t="n">
        <f aca="false">E243*F243*G243</f>
        <v>490000</v>
      </c>
      <c r="I243" s="1365" t="n">
        <f aca="false">F243-H243</f>
        <v>-140000</v>
      </c>
      <c r="J243" s="1365" t="n">
        <f aca="false">F243*G243</f>
        <v>35000</v>
      </c>
      <c r="K243" s="1365" t="n">
        <f aca="false">J243/1792.8</f>
        <v>19.5225345827755</v>
      </c>
      <c r="L243" s="1365" t="n">
        <v>10</v>
      </c>
      <c r="M243" s="1273" t="n">
        <f aca="false">K243*L243/60</f>
        <v>3.25375576379592</v>
      </c>
    </row>
    <row r="244" customFormat="false" ht="15" hidden="false" customHeight="false" outlineLevel="0" collapsed="false">
      <c r="A244" s="216"/>
      <c r="B244" s="972" t="s">
        <v>4128</v>
      </c>
      <c r="C244" s="1160"/>
      <c r="D244" s="135"/>
      <c r="E244" s="317"/>
      <c r="F244" s="135"/>
      <c r="G244" s="1372"/>
      <c r="H244" s="1370"/>
      <c r="I244" s="1370"/>
      <c r="J244" s="1370"/>
      <c r="K244" s="1365" t="n">
        <f aca="false">J244/1792.8</f>
        <v>0</v>
      </c>
      <c r="L244" s="1370"/>
      <c r="M244" s="1370" t="n">
        <f aca="false">M242+M243</f>
        <v>87.140803956567</v>
      </c>
    </row>
    <row r="245" customFormat="false" ht="15" hidden="false" customHeight="false" outlineLevel="0" collapsed="false">
      <c r="A245" s="216" t="s">
        <v>205</v>
      </c>
      <c r="B245" s="29" t="s">
        <v>3129</v>
      </c>
      <c r="C245" s="1161" t="s">
        <v>4568</v>
      </c>
      <c r="D245" s="317" t="n">
        <v>2003</v>
      </c>
      <c r="E245" s="317" t="n">
        <f aca="false">2021-D245</f>
        <v>18</v>
      </c>
      <c r="F245" s="317" t="n">
        <v>12704749</v>
      </c>
      <c r="G245" s="1364" t="n">
        <v>0.1</v>
      </c>
      <c r="H245" s="1365" t="n">
        <f aca="false">E245*F245*G245</f>
        <v>22868548.2</v>
      </c>
      <c r="I245" s="1365" t="n">
        <f aca="false">F245-H245</f>
        <v>-10163799.2</v>
      </c>
      <c r="J245" s="1365" t="n">
        <f aca="false">F245*G245</f>
        <v>1270474.9</v>
      </c>
      <c r="K245" s="1365" t="n">
        <f aca="false">J245/1792.8</f>
        <v>708.654004908523</v>
      </c>
      <c r="L245" s="1365" t="n">
        <v>140</v>
      </c>
      <c r="M245" s="1273" t="n">
        <f aca="false">K245*L245/60</f>
        <v>1653.52601145322</v>
      </c>
    </row>
    <row r="246" customFormat="false" ht="15" hidden="false" customHeight="false" outlineLevel="0" collapsed="false">
      <c r="A246" s="1369"/>
      <c r="B246" s="29"/>
      <c r="C246" s="1161" t="s">
        <v>6934</v>
      </c>
      <c r="D246" s="317" t="n">
        <v>2007</v>
      </c>
      <c r="E246" s="317" t="n">
        <f aca="false">2021-D246</f>
        <v>14</v>
      </c>
      <c r="F246" s="1363" t="n">
        <v>350000</v>
      </c>
      <c r="G246" s="1364" t="n">
        <v>0.1</v>
      </c>
      <c r="H246" s="1365" t="n">
        <f aca="false">E246*F246*G246</f>
        <v>490000</v>
      </c>
      <c r="I246" s="1365" t="n">
        <f aca="false">F246-H246</f>
        <v>-140000</v>
      </c>
      <c r="J246" s="1365" t="n">
        <f aca="false">F246*G246</f>
        <v>35000</v>
      </c>
      <c r="K246" s="1365" t="n">
        <f aca="false">J246/1792.8</f>
        <v>19.5225345827755</v>
      </c>
      <c r="L246" s="1365" t="n">
        <v>10</v>
      </c>
      <c r="M246" s="1273" t="n">
        <f aca="false">K246*L246/60</f>
        <v>3.25375576379592</v>
      </c>
    </row>
    <row r="247" customFormat="false" ht="15" hidden="false" customHeight="false" outlineLevel="0" collapsed="false">
      <c r="A247" s="1369"/>
      <c r="B247" s="972" t="s">
        <v>4128</v>
      </c>
      <c r="C247" s="1160"/>
      <c r="D247" s="135"/>
      <c r="E247" s="317"/>
      <c r="F247" s="135"/>
      <c r="G247" s="1372"/>
      <c r="H247" s="1370"/>
      <c r="I247" s="1370"/>
      <c r="J247" s="1370"/>
      <c r="K247" s="1365" t="n">
        <f aca="false">J247/1792.8</f>
        <v>0</v>
      </c>
      <c r="L247" s="1370"/>
      <c r="M247" s="1370" t="n">
        <f aca="false">M245+M246</f>
        <v>1656.77976721702</v>
      </c>
    </row>
    <row r="248" customFormat="false" ht="15" hidden="false" customHeight="false" outlineLevel="0" collapsed="false">
      <c r="A248" s="216" t="s">
        <v>206</v>
      </c>
      <c r="B248" s="337" t="s">
        <v>3105</v>
      </c>
      <c r="C248" s="1161" t="s">
        <v>6943</v>
      </c>
      <c r="D248" s="317" t="n">
        <v>2013</v>
      </c>
      <c r="E248" s="317" t="n">
        <f aca="false">2021-D248</f>
        <v>8</v>
      </c>
      <c r="F248" s="317" t="n">
        <v>1503927</v>
      </c>
      <c r="G248" s="1364" t="n">
        <v>0.1</v>
      </c>
      <c r="H248" s="1365" t="n">
        <f aca="false">E248*F248*G248</f>
        <v>1203141.6</v>
      </c>
      <c r="I248" s="1365" t="n">
        <f aca="false">F248-H248</f>
        <v>300785.4</v>
      </c>
      <c r="J248" s="1365" t="n">
        <f aca="false">F248*G248</f>
        <v>150392.7</v>
      </c>
      <c r="K248" s="1365" t="n">
        <f aca="false">J248/1792.8</f>
        <v>83.8870481927711</v>
      </c>
      <c r="L248" s="1365" t="n">
        <v>60</v>
      </c>
      <c r="M248" s="1273" t="n">
        <f aca="false">K248*L248/60</f>
        <v>83.8870481927711</v>
      </c>
    </row>
    <row r="249" customFormat="false" ht="15" hidden="false" customHeight="false" outlineLevel="0" collapsed="false">
      <c r="A249" s="1369"/>
      <c r="B249" s="29"/>
      <c r="C249" s="1161" t="s">
        <v>6934</v>
      </c>
      <c r="D249" s="317" t="n">
        <v>2007</v>
      </c>
      <c r="E249" s="317" t="n">
        <f aca="false">2021-D249</f>
        <v>14</v>
      </c>
      <c r="F249" s="1363" t="n">
        <v>350000</v>
      </c>
      <c r="G249" s="1364" t="n">
        <v>0.1</v>
      </c>
      <c r="H249" s="1365" t="n">
        <f aca="false">E249*F249*G249</f>
        <v>490000</v>
      </c>
      <c r="I249" s="1365" t="n">
        <f aca="false">F249-H249</f>
        <v>-140000</v>
      </c>
      <c r="J249" s="1365" t="n">
        <f aca="false">F249*G249</f>
        <v>35000</v>
      </c>
      <c r="K249" s="1365" t="n">
        <f aca="false">J249/1792.8</f>
        <v>19.5225345827755</v>
      </c>
      <c r="L249" s="1365" t="n">
        <v>10</v>
      </c>
      <c r="M249" s="1273" t="n">
        <f aca="false">K249*L249/60</f>
        <v>3.25375576379592</v>
      </c>
    </row>
    <row r="250" customFormat="false" ht="15" hidden="false" customHeight="false" outlineLevel="0" collapsed="false">
      <c r="A250" s="1369"/>
      <c r="B250" s="972" t="s">
        <v>4128</v>
      </c>
      <c r="C250" s="1160"/>
      <c r="D250" s="135"/>
      <c r="E250" s="317"/>
      <c r="F250" s="135"/>
      <c r="G250" s="1372"/>
      <c r="H250" s="1370"/>
      <c r="I250" s="1370"/>
      <c r="J250" s="1370"/>
      <c r="K250" s="1365" t="n">
        <f aca="false">J250/1792.8</f>
        <v>0</v>
      </c>
      <c r="L250" s="1370"/>
      <c r="M250" s="1370" t="n">
        <f aca="false">M248+M249</f>
        <v>87.140803956567</v>
      </c>
    </row>
    <row r="251" customFormat="false" ht="15" hidden="false" customHeight="false" outlineLevel="0" collapsed="false">
      <c r="A251" s="216" t="s">
        <v>207</v>
      </c>
      <c r="B251" s="337" t="s">
        <v>3105</v>
      </c>
      <c r="C251" s="1161" t="s">
        <v>4568</v>
      </c>
      <c r="D251" s="317" t="n">
        <v>2003</v>
      </c>
      <c r="E251" s="317" t="n">
        <f aca="false">2021-D251</f>
        <v>18</v>
      </c>
      <c r="F251" s="317" t="n">
        <v>12704749</v>
      </c>
      <c r="G251" s="1364" t="n">
        <v>0.1</v>
      </c>
      <c r="H251" s="1365" t="n">
        <f aca="false">E251*F251*G251</f>
        <v>22868548.2</v>
      </c>
      <c r="I251" s="1365" t="n">
        <f aca="false">F251-H251</f>
        <v>-10163799.2</v>
      </c>
      <c r="J251" s="1365" t="n">
        <f aca="false">F251*G251</f>
        <v>1270474.9</v>
      </c>
      <c r="K251" s="1365" t="n">
        <f aca="false">J251/1792.8</f>
        <v>708.654004908523</v>
      </c>
      <c r="L251" s="1365" t="n">
        <v>140</v>
      </c>
      <c r="M251" s="1273" t="n">
        <f aca="false">K251*L251/60</f>
        <v>1653.52601145322</v>
      </c>
    </row>
    <row r="252" customFormat="false" ht="15" hidden="false" customHeight="false" outlineLevel="0" collapsed="false">
      <c r="A252" s="1369"/>
      <c r="B252" s="29"/>
      <c r="C252" s="1161" t="s">
        <v>6934</v>
      </c>
      <c r="D252" s="317" t="n">
        <v>2007</v>
      </c>
      <c r="E252" s="317" t="n">
        <f aca="false">2021-D252</f>
        <v>14</v>
      </c>
      <c r="F252" s="1363" t="n">
        <v>350000</v>
      </c>
      <c r="G252" s="1364" t="n">
        <v>0.1</v>
      </c>
      <c r="H252" s="1365" t="n">
        <f aca="false">E252*F252*G252</f>
        <v>490000</v>
      </c>
      <c r="I252" s="1365" t="n">
        <f aca="false">F252-H252</f>
        <v>-140000</v>
      </c>
      <c r="J252" s="1365" t="n">
        <f aca="false">F252*G252</f>
        <v>35000</v>
      </c>
      <c r="K252" s="1365" t="n">
        <f aca="false">J252/1792.8</f>
        <v>19.5225345827755</v>
      </c>
      <c r="L252" s="1365" t="n">
        <v>10</v>
      </c>
      <c r="M252" s="1273" t="n">
        <f aca="false">K252*L252/60</f>
        <v>3.25375576379592</v>
      </c>
    </row>
    <row r="253" customFormat="false" ht="15" hidden="false" customHeight="false" outlineLevel="0" collapsed="false">
      <c r="A253" s="216"/>
      <c r="B253" s="972" t="s">
        <v>4128</v>
      </c>
      <c r="C253" s="1160"/>
      <c r="D253" s="135"/>
      <c r="E253" s="317"/>
      <c r="F253" s="135"/>
      <c r="G253" s="1372"/>
      <c r="H253" s="1370"/>
      <c r="I253" s="1370"/>
      <c r="J253" s="1370"/>
      <c r="K253" s="1365" t="n">
        <f aca="false">J253/1792.8</f>
        <v>0</v>
      </c>
      <c r="L253" s="1370"/>
      <c r="M253" s="1370" t="n">
        <f aca="false">M251+M252</f>
        <v>1656.77976721702</v>
      </c>
    </row>
    <row r="254" customFormat="false" ht="15" hidden="false" customHeight="false" outlineLevel="0" collapsed="false">
      <c r="A254" s="216" t="s">
        <v>208</v>
      </c>
      <c r="B254" s="41" t="s">
        <v>4290</v>
      </c>
      <c r="C254" s="1161" t="s">
        <v>6927</v>
      </c>
      <c r="D254" s="317" t="n">
        <v>2014</v>
      </c>
      <c r="E254" s="317" t="n">
        <f aca="false">2021-D254</f>
        <v>7</v>
      </c>
      <c r="F254" s="1363" t="n">
        <v>375200</v>
      </c>
      <c r="G254" s="1364" t="n">
        <v>0.1</v>
      </c>
      <c r="H254" s="1365" t="n">
        <f aca="false">E254*F254*G254</f>
        <v>262640</v>
      </c>
      <c r="I254" s="1365" t="n">
        <f aca="false">F254-H254</f>
        <v>112560</v>
      </c>
      <c r="J254" s="1365" t="n">
        <f aca="false">F254*G254</f>
        <v>37520</v>
      </c>
      <c r="K254" s="1365" t="n">
        <f aca="false">J254/1792.8</f>
        <v>20.9281570727354</v>
      </c>
      <c r="L254" s="1365" t="n">
        <v>10</v>
      </c>
      <c r="M254" s="1273" t="n">
        <f aca="false">K254*L254/60</f>
        <v>3.48802617878923</v>
      </c>
    </row>
    <row r="255" customFormat="false" ht="15" hidden="false" customHeight="false" outlineLevel="0" collapsed="false">
      <c r="A255" s="216"/>
      <c r="B255" s="29"/>
      <c r="C255" s="1161" t="s">
        <v>6934</v>
      </c>
      <c r="D255" s="317" t="n">
        <v>2007</v>
      </c>
      <c r="E255" s="317" t="n">
        <f aca="false">2021-D255</f>
        <v>14</v>
      </c>
      <c r="F255" s="1363" t="n">
        <v>350000</v>
      </c>
      <c r="G255" s="1364" t="n">
        <v>0.1</v>
      </c>
      <c r="H255" s="1365" t="n">
        <f aca="false">E255*F255*G255</f>
        <v>490000</v>
      </c>
      <c r="I255" s="1365" t="n">
        <f aca="false">F255-H255</f>
        <v>-140000</v>
      </c>
      <c r="J255" s="1365" t="n">
        <f aca="false">F255*G255</f>
        <v>35000</v>
      </c>
      <c r="K255" s="1365" t="n">
        <f aca="false">J255/1792.8</f>
        <v>19.5225345827755</v>
      </c>
      <c r="L255" s="1365" t="n">
        <v>10</v>
      </c>
      <c r="M255" s="1273" t="n">
        <f aca="false">K255*L255/60</f>
        <v>3.25375576379592</v>
      </c>
    </row>
    <row r="256" customFormat="false" ht="15" hidden="false" customHeight="false" outlineLevel="0" collapsed="false">
      <c r="A256" s="216"/>
      <c r="B256" s="972" t="s">
        <v>4128</v>
      </c>
      <c r="C256" s="1160"/>
      <c r="D256" s="135"/>
      <c r="E256" s="317"/>
      <c r="F256" s="135"/>
      <c r="G256" s="1372"/>
      <c r="H256" s="1370"/>
      <c r="I256" s="1370"/>
      <c r="J256" s="1370"/>
      <c r="K256" s="1365" t="n">
        <f aca="false">J256/1792.8</f>
        <v>0</v>
      </c>
      <c r="L256" s="1370"/>
      <c r="M256" s="1370" t="n">
        <f aca="false">M254+M255</f>
        <v>6.74178194258516</v>
      </c>
    </row>
    <row r="257" customFormat="false" ht="15" hidden="false" customHeight="false" outlineLevel="0" collapsed="false">
      <c r="A257" s="216" t="s">
        <v>209</v>
      </c>
      <c r="B257" s="41" t="s">
        <v>4290</v>
      </c>
      <c r="C257" s="1161" t="s">
        <v>4568</v>
      </c>
      <c r="D257" s="317" t="n">
        <v>2003</v>
      </c>
      <c r="E257" s="317" t="n">
        <f aca="false">2021-D257</f>
        <v>18</v>
      </c>
      <c r="F257" s="317" t="n">
        <v>12704749</v>
      </c>
      <c r="G257" s="1364" t="n">
        <v>0.1</v>
      </c>
      <c r="H257" s="1365" t="n">
        <f aca="false">E257*F257*G257</f>
        <v>22868548.2</v>
      </c>
      <c r="I257" s="1365" t="n">
        <f aca="false">F257-H257</f>
        <v>-10163799.2</v>
      </c>
      <c r="J257" s="1365" t="n">
        <f aca="false">F257*G257</f>
        <v>1270474.9</v>
      </c>
      <c r="K257" s="1365" t="n">
        <f aca="false">J257/1792.8</f>
        <v>708.654004908523</v>
      </c>
      <c r="L257" s="1365" t="n">
        <v>140</v>
      </c>
      <c r="M257" s="1273" t="n">
        <f aca="false">K257*L257/60</f>
        <v>1653.52601145322</v>
      </c>
    </row>
    <row r="258" customFormat="false" ht="15" hidden="false" customHeight="false" outlineLevel="0" collapsed="false">
      <c r="A258" s="216"/>
      <c r="B258" s="29"/>
      <c r="C258" s="1161" t="s">
        <v>6934</v>
      </c>
      <c r="D258" s="317" t="n">
        <v>2007</v>
      </c>
      <c r="E258" s="317" t="n">
        <f aca="false">2021-D258</f>
        <v>14</v>
      </c>
      <c r="F258" s="1363" t="n">
        <v>350000</v>
      </c>
      <c r="G258" s="1364" t="n">
        <v>0.1</v>
      </c>
      <c r="H258" s="1365" t="n">
        <f aca="false">E258*F258*G258</f>
        <v>490000</v>
      </c>
      <c r="I258" s="1365" t="n">
        <f aca="false">F258-H258</f>
        <v>-140000</v>
      </c>
      <c r="J258" s="1365" t="n">
        <f aca="false">F258*G258</f>
        <v>35000</v>
      </c>
      <c r="K258" s="1365" t="n">
        <f aca="false">J258/1792.8</f>
        <v>19.5225345827755</v>
      </c>
      <c r="L258" s="1365" t="n">
        <v>10</v>
      </c>
      <c r="M258" s="1273" t="n">
        <f aca="false">K258*L258/60</f>
        <v>3.25375576379592</v>
      </c>
    </row>
    <row r="259" customFormat="false" ht="15" hidden="false" customHeight="false" outlineLevel="0" collapsed="false">
      <c r="A259" s="216"/>
      <c r="B259" s="972" t="s">
        <v>4128</v>
      </c>
      <c r="C259" s="1160"/>
      <c r="D259" s="135"/>
      <c r="E259" s="317"/>
      <c r="F259" s="135"/>
      <c r="G259" s="1372"/>
      <c r="H259" s="1370"/>
      <c r="I259" s="1370"/>
      <c r="J259" s="1370"/>
      <c r="K259" s="1365" t="n">
        <f aca="false">J259/1792.8</f>
        <v>0</v>
      </c>
      <c r="L259" s="1370"/>
      <c r="M259" s="1370" t="n">
        <f aca="false">SUM(M257:M258)</f>
        <v>1656.77976721702</v>
      </c>
    </row>
    <row r="260" customFormat="false" ht="15" hidden="false" customHeight="false" outlineLevel="0" collapsed="false">
      <c r="A260" s="216" t="s">
        <v>210</v>
      </c>
      <c r="B260" s="41" t="s">
        <v>6951</v>
      </c>
      <c r="C260" s="1161" t="s">
        <v>4568</v>
      </c>
      <c r="D260" s="317" t="n">
        <v>2003</v>
      </c>
      <c r="E260" s="317" t="n">
        <f aca="false">2021-D260</f>
        <v>18</v>
      </c>
      <c r="F260" s="317" t="n">
        <v>12704749</v>
      </c>
      <c r="G260" s="1364" t="n">
        <v>0.1</v>
      </c>
      <c r="H260" s="1365" t="n">
        <f aca="false">E260*F260*G260</f>
        <v>22868548.2</v>
      </c>
      <c r="I260" s="1365" t="n">
        <f aca="false">F260-H260</f>
        <v>-10163799.2</v>
      </c>
      <c r="J260" s="1365" t="n">
        <f aca="false">F260*G260</f>
        <v>1270474.9</v>
      </c>
      <c r="K260" s="1365" t="n">
        <f aca="false">J260/1792.8</f>
        <v>708.654004908523</v>
      </c>
      <c r="L260" s="1365" t="n">
        <v>140</v>
      </c>
      <c r="M260" s="1273" t="n">
        <f aca="false">K260*L260/60</f>
        <v>1653.52601145322</v>
      </c>
    </row>
    <row r="261" customFormat="false" ht="15" hidden="false" customHeight="false" outlineLevel="0" collapsed="false">
      <c r="A261" s="216"/>
      <c r="B261" s="29"/>
      <c r="C261" s="1161" t="s">
        <v>6934</v>
      </c>
      <c r="D261" s="317" t="n">
        <v>2007</v>
      </c>
      <c r="E261" s="317" t="n">
        <f aca="false">2021-D261</f>
        <v>14</v>
      </c>
      <c r="F261" s="1363" t="n">
        <v>350000</v>
      </c>
      <c r="G261" s="1364" t="n">
        <v>0.1</v>
      </c>
      <c r="H261" s="1365" t="n">
        <f aca="false">E261*F261*G261</f>
        <v>490000</v>
      </c>
      <c r="I261" s="1365" t="n">
        <f aca="false">F261-H261</f>
        <v>-140000</v>
      </c>
      <c r="J261" s="1365" t="n">
        <f aca="false">F261*G261</f>
        <v>35000</v>
      </c>
      <c r="K261" s="1365" t="n">
        <f aca="false">J261/1792.8</f>
        <v>19.5225345827755</v>
      </c>
      <c r="L261" s="1365" t="n">
        <v>10</v>
      </c>
      <c r="M261" s="1273" t="n">
        <f aca="false">K261*L261/60</f>
        <v>3.25375576379592</v>
      </c>
    </row>
    <row r="262" customFormat="false" ht="15" hidden="false" customHeight="false" outlineLevel="0" collapsed="false">
      <c r="A262" s="216"/>
      <c r="B262" s="972" t="s">
        <v>4128</v>
      </c>
      <c r="C262" s="1160"/>
      <c r="D262" s="135"/>
      <c r="E262" s="317"/>
      <c r="F262" s="135"/>
      <c r="G262" s="1372"/>
      <c r="H262" s="1370"/>
      <c r="I262" s="1370"/>
      <c r="J262" s="1370"/>
      <c r="K262" s="1365" t="n">
        <f aca="false">J262/1792.8</f>
        <v>0</v>
      </c>
      <c r="L262" s="1370"/>
      <c r="M262" s="1370" t="n">
        <f aca="false">M260+M261</f>
        <v>1656.77976721702</v>
      </c>
    </row>
    <row r="263" customFormat="false" ht="15" hidden="false" customHeight="false" outlineLevel="0" collapsed="false">
      <c r="A263" s="216" t="s">
        <v>211</v>
      </c>
      <c r="B263" s="29" t="s">
        <v>2932</v>
      </c>
      <c r="C263" s="1161" t="s">
        <v>6927</v>
      </c>
      <c r="D263" s="317" t="n">
        <v>2014</v>
      </c>
      <c r="E263" s="317" t="n">
        <f aca="false">2021-D263</f>
        <v>7</v>
      </c>
      <c r="F263" s="1363" t="n">
        <v>375200</v>
      </c>
      <c r="G263" s="1364" t="n">
        <v>0.1</v>
      </c>
      <c r="H263" s="1365" t="n">
        <f aca="false">E263*F263*G263</f>
        <v>262640</v>
      </c>
      <c r="I263" s="1365" t="n">
        <f aca="false">F263-H263</f>
        <v>112560</v>
      </c>
      <c r="J263" s="1365" t="n">
        <f aca="false">F263*G263</f>
        <v>37520</v>
      </c>
      <c r="K263" s="1365" t="n">
        <f aca="false">J263/1792.8</f>
        <v>20.9281570727354</v>
      </c>
      <c r="L263" s="1365" t="n">
        <v>10</v>
      </c>
      <c r="M263" s="1273" t="n">
        <f aca="false">K263*L263/60</f>
        <v>3.48802617878923</v>
      </c>
    </row>
    <row r="264" customFormat="false" ht="15" hidden="false" customHeight="false" outlineLevel="0" collapsed="false">
      <c r="A264" s="1369"/>
      <c r="B264" s="29"/>
      <c r="C264" s="1161" t="s">
        <v>6934</v>
      </c>
      <c r="D264" s="317" t="n">
        <v>2007</v>
      </c>
      <c r="E264" s="317" t="n">
        <f aca="false">2021-D264</f>
        <v>14</v>
      </c>
      <c r="F264" s="1363" t="n">
        <v>350000</v>
      </c>
      <c r="G264" s="1364" t="n">
        <v>0.1</v>
      </c>
      <c r="H264" s="1365" t="n">
        <f aca="false">E264*F264*G264</f>
        <v>490000</v>
      </c>
      <c r="I264" s="1365" t="n">
        <f aca="false">F264-H264</f>
        <v>-140000</v>
      </c>
      <c r="J264" s="1365" t="n">
        <f aca="false">F264*G264</f>
        <v>35000</v>
      </c>
      <c r="K264" s="1365" t="n">
        <f aca="false">J264/1792.8</f>
        <v>19.5225345827755</v>
      </c>
      <c r="L264" s="1365" t="n">
        <v>10</v>
      </c>
      <c r="M264" s="1273" t="n">
        <f aca="false">K264*L264/60</f>
        <v>3.25375576379592</v>
      </c>
    </row>
    <row r="265" customFormat="false" ht="15" hidden="false" customHeight="false" outlineLevel="0" collapsed="false">
      <c r="A265" s="1369"/>
      <c r="B265" s="972" t="s">
        <v>4128</v>
      </c>
      <c r="C265" s="1160"/>
      <c r="D265" s="135"/>
      <c r="E265" s="317"/>
      <c r="F265" s="1370"/>
      <c r="G265" s="1372"/>
      <c r="H265" s="1370"/>
      <c r="I265" s="1370"/>
      <c r="J265" s="1370"/>
      <c r="K265" s="1365" t="n">
        <f aca="false">J265/1792.8</f>
        <v>0</v>
      </c>
      <c r="L265" s="1370"/>
      <c r="M265" s="1370" t="n">
        <f aca="false">M263+M264</f>
        <v>6.74178194258516</v>
      </c>
    </row>
    <row r="266" customFormat="false" ht="15" hidden="false" customHeight="false" outlineLevel="0" collapsed="false">
      <c r="A266" s="216" t="s">
        <v>212</v>
      </c>
      <c r="B266" s="41" t="s">
        <v>2933</v>
      </c>
      <c r="C266" s="1161" t="s">
        <v>6927</v>
      </c>
      <c r="D266" s="317" t="n">
        <v>2014</v>
      </c>
      <c r="E266" s="317" t="n">
        <f aca="false">2021-D266</f>
        <v>7</v>
      </c>
      <c r="F266" s="1363" t="n">
        <v>375200</v>
      </c>
      <c r="G266" s="1364" t="n">
        <v>0.1</v>
      </c>
      <c r="H266" s="1365" t="n">
        <f aca="false">E266*F266*G266</f>
        <v>262640</v>
      </c>
      <c r="I266" s="1365" t="n">
        <f aca="false">F266-H266</f>
        <v>112560</v>
      </c>
      <c r="J266" s="1365" t="n">
        <f aca="false">F266*G266</f>
        <v>37520</v>
      </c>
      <c r="K266" s="1365" t="n">
        <f aca="false">J266/1792.8</f>
        <v>20.9281570727354</v>
      </c>
      <c r="L266" s="1365" t="n">
        <v>10</v>
      </c>
      <c r="M266" s="1273" t="n">
        <f aca="false">K266*L266/60</f>
        <v>3.48802617878923</v>
      </c>
    </row>
    <row r="267" customFormat="false" ht="15" hidden="false" customHeight="false" outlineLevel="0" collapsed="false">
      <c r="A267" s="1369"/>
      <c r="B267" s="29"/>
      <c r="C267" s="1161" t="s">
        <v>6934</v>
      </c>
      <c r="D267" s="317" t="n">
        <v>2007</v>
      </c>
      <c r="E267" s="317" t="n">
        <f aca="false">2021-D267</f>
        <v>14</v>
      </c>
      <c r="F267" s="1363" t="n">
        <v>350000</v>
      </c>
      <c r="G267" s="1364" t="n">
        <v>0.1</v>
      </c>
      <c r="H267" s="1365" t="n">
        <f aca="false">E267*F267*G267</f>
        <v>490000</v>
      </c>
      <c r="I267" s="1365" t="n">
        <f aca="false">F267-H267</f>
        <v>-140000</v>
      </c>
      <c r="J267" s="1365" t="n">
        <f aca="false">F267*G267</f>
        <v>35000</v>
      </c>
      <c r="K267" s="1365" t="n">
        <f aca="false">J267/1792.8</f>
        <v>19.5225345827755</v>
      </c>
      <c r="L267" s="1365" t="n">
        <v>10</v>
      </c>
      <c r="M267" s="1273" t="n">
        <f aca="false">K267*L267/60</f>
        <v>3.25375576379592</v>
      </c>
    </row>
    <row r="268" customFormat="false" ht="15" hidden="false" customHeight="false" outlineLevel="0" collapsed="false">
      <c r="A268" s="1369"/>
      <c r="B268" s="972" t="s">
        <v>4128</v>
      </c>
      <c r="C268" s="1160"/>
      <c r="D268" s="135"/>
      <c r="E268" s="317"/>
      <c r="F268" s="135"/>
      <c r="G268" s="1372"/>
      <c r="H268" s="1370"/>
      <c r="I268" s="1370"/>
      <c r="J268" s="1370"/>
      <c r="K268" s="1365" t="n">
        <f aca="false">J268/1792.8</f>
        <v>0</v>
      </c>
      <c r="L268" s="1370"/>
      <c r="M268" s="1370" t="n">
        <f aca="false">M266+M267</f>
        <v>6.74178194258516</v>
      </c>
    </row>
    <row r="269" customFormat="false" ht="15" hidden="false" customHeight="false" outlineLevel="0" collapsed="false">
      <c r="A269" s="216" t="s">
        <v>213</v>
      </c>
      <c r="B269" s="41" t="s">
        <v>4316</v>
      </c>
      <c r="C269" s="1161" t="s">
        <v>6940</v>
      </c>
      <c r="D269" s="317" t="n">
        <v>2005</v>
      </c>
      <c r="E269" s="317" t="n">
        <f aca="false">2021-D269</f>
        <v>16</v>
      </c>
      <c r="F269" s="317" t="n">
        <v>560000</v>
      </c>
      <c r="G269" s="1364" t="n">
        <v>0.1</v>
      </c>
      <c r="H269" s="1365" t="n">
        <f aca="false">E269*F269*G269</f>
        <v>896000</v>
      </c>
      <c r="I269" s="1365" t="n">
        <f aca="false">F269-H269</f>
        <v>-336000</v>
      </c>
      <c r="J269" s="1365" t="n">
        <f aca="false">F269*G269</f>
        <v>56000</v>
      </c>
      <c r="K269" s="1365" t="n">
        <f aca="false">J269/1792.8</f>
        <v>31.2360553324409</v>
      </c>
      <c r="L269" s="1365" t="n">
        <v>60</v>
      </c>
      <c r="M269" s="1273" t="n">
        <f aca="false">K269*L269/60</f>
        <v>31.2360553324409</v>
      </c>
    </row>
    <row r="270" customFormat="false" ht="15" hidden="false" customHeight="false" outlineLevel="0" collapsed="false">
      <c r="A270" s="1369"/>
      <c r="B270" s="78"/>
      <c r="C270" s="1161" t="s">
        <v>6934</v>
      </c>
      <c r="D270" s="317" t="n">
        <v>2007</v>
      </c>
      <c r="E270" s="317" t="n">
        <f aca="false">2021-D270</f>
        <v>14</v>
      </c>
      <c r="F270" s="1363" t="n">
        <v>350000</v>
      </c>
      <c r="G270" s="1364" t="n">
        <v>0.1</v>
      </c>
      <c r="H270" s="1365" t="n">
        <f aca="false">E270*F270*G270</f>
        <v>490000</v>
      </c>
      <c r="I270" s="1365" t="n">
        <f aca="false">F270-H270</f>
        <v>-140000</v>
      </c>
      <c r="J270" s="1365" t="n">
        <f aca="false">F270*G270</f>
        <v>35000</v>
      </c>
      <c r="K270" s="1365" t="n">
        <f aca="false">J270/1792.8</f>
        <v>19.5225345827755</v>
      </c>
      <c r="L270" s="1365" t="n">
        <v>10</v>
      </c>
      <c r="M270" s="1273" t="n">
        <f aca="false">K270*L270/60</f>
        <v>3.25375576379592</v>
      </c>
    </row>
    <row r="271" customFormat="false" ht="15" hidden="false" customHeight="false" outlineLevel="0" collapsed="false">
      <c r="A271" s="216"/>
      <c r="B271" s="972" t="s">
        <v>4128</v>
      </c>
      <c r="C271" s="1160"/>
      <c r="D271" s="135"/>
      <c r="E271" s="317"/>
      <c r="F271" s="135"/>
      <c r="G271" s="1372"/>
      <c r="H271" s="1370"/>
      <c r="I271" s="1370"/>
      <c r="J271" s="1370"/>
      <c r="K271" s="1365" t="n">
        <f aca="false">J271/1792.8</f>
        <v>0</v>
      </c>
      <c r="L271" s="1370"/>
      <c r="M271" s="1370" t="n">
        <f aca="false">M269+M270</f>
        <v>34.4898110962368</v>
      </c>
    </row>
    <row r="272" customFormat="false" ht="45" hidden="false" customHeight="false" outlineLevel="0" collapsed="false">
      <c r="A272" s="216" t="s">
        <v>214</v>
      </c>
      <c r="B272" s="41" t="s">
        <v>4316</v>
      </c>
      <c r="C272" s="1161" t="s">
        <v>6941</v>
      </c>
      <c r="D272" s="317" t="n">
        <v>2012</v>
      </c>
      <c r="E272" s="317" t="n">
        <f aca="false">2021-D272</f>
        <v>9</v>
      </c>
      <c r="F272" s="317" t="n">
        <v>44483193</v>
      </c>
      <c r="G272" s="1364" t="n">
        <v>0.1</v>
      </c>
      <c r="H272" s="1365" t="n">
        <f aca="false">E272*F272*G272</f>
        <v>40034873.7</v>
      </c>
      <c r="I272" s="1365" t="n">
        <f aca="false">F272-H272</f>
        <v>4448319.3</v>
      </c>
      <c r="J272" s="1365" t="n">
        <f aca="false">F272*G272</f>
        <v>4448319.3</v>
      </c>
      <c r="K272" s="1365" t="n">
        <f aca="false">J272/1792.8</f>
        <v>2481.21335341365</v>
      </c>
      <c r="L272" s="1365" t="n">
        <v>10</v>
      </c>
      <c r="M272" s="1273" t="n">
        <f aca="false">K272*L272/60</f>
        <v>413.535558902276</v>
      </c>
    </row>
    <row r="273" customFormat="false" ht="15" hidden="false" customHeight="false" outlineLevel="0" collapsed="false">
      <c r="A273" s="1369"/>
      <c r="B273" s="972"/>
      <c r="C273" s="1161" t="s">
        <v>6934</v>
      </c>
      <c r="D273" s="317" t="n">
        <v>2007</v>
      </c>
      <c r="E273" s="317" t="n">
        <f aca="false">2021-D273</f>
        <v>14</v>
      </c>
      <c r="F273" s="1363" t="n">
        <v>350000</v>
      </c>
      <c r="G273" s="1364" t="n">
        <v>0.1</v>
      </c>
      <c r="H273" s="1365" t="n">
        <f aca="false">E273*F273*G273</f>
        <v>490000</v>
      </c>
      <c r="I273" s="1365" t="n">
        <f aca="false">F273-H273</f>
        <v>-140000</v>
      </c>
      <c r="J273" s="1365" t="n">
        <f aca="false">F273*G273</f>
        <v>35000</v>
      </c>
      <c r="K273" s="1365" t="n">
        <f aca="false">J273/1792.8</f>
        <v>19.5225345827755</v>
      </c>
      <c r="L273" s="1365" t="n">
        <v>10</v>
      </c>
      <c r="M273" s="1273" t="n">
        <f aca="false">K273*L273/60</f>
        <v>3.25375576379592</v>
      </c>
    </row>
    <row r="274" customFormat="false" ht="15" hidden="false" customHeight="false" outlineLevel="0" collapsed="false">
      <c r="A274" s="216"/>
      <c r="B274" s="972" t="s">
        <v>4128</v>
      </c>
      <c r="C274" s="1160"/>
      <c r="D274" s="135"/>
      <c r="E274" s="317"/>
      <c r="F274" s="135"/>
      <c r="G274" s="1372"/>
      <c r="H274" s="1370"/>
      <c r="I274" s="1370"/>
      <c r="J274" s="1370"/>
      <c r="K274" s="1365" t="n">
        <f aca="false">J274/1792.8</f>
        <v>0</v>
      </c>
      <c r="L274" s="1370"/>
      <c r="M274" s="1366" t="n">
        <f aca="false">M272+M273</f>
        <v>416.789314666072</v>
      </c>
    </row>
    <row r="275" customFormat="false" ht="15" hidden="false" customHeight="false" outlineLevel="0" collapsed="false">
      <c r="A275" s="216" t="s">
        <v>215</v>
      </c>
      <c r="B275" s="337" t="s">
        <v>2936</v>
      </c>
      <c r="C275" s="1161" t="s">
        <v>6934</v>
      </c>
      <c r="D275" s="317" t="n">
        <v>2007</v>
      </c>
      <c r="E275" s="317" t="n">
        <f aca="false">2021-D275</f>
        <v>14</v>
      </c>
      <c r="F275" s="1363" t="n">
        <v>350000</v>
      </c>
      <c r="G275" s="1364" t="n">
        <v>0.1</v>
      </c>
      <c r="H275" s="1365" t="n">
        <f aca="false">E275*F275*G275</f>
        <v>490000</v>
      </c>
      <c r="I275" s="1365" t="n">
        <f aca="false">F275-H275</f>
        <v>-140000</v>
      </c>
      <c r="J275" s="1365" t="n">
        <f aca="false">F275*G275</f>
        <v>35000</v>
      </c>
      <c r="K275" s="1365" t="n">
        <f aca="false">J275/1792.8</f>
        <v>19.5225345827755</v>
      </c>
      <c r="L275" s="1365" t="n">
        <v>40</v>
      </c>
      <c r="M275" s="1366" t="n">
        <f aca="false">K275*L275/60</f>
        <v>13.0150230551837</v>
      </c>
    </row>
    <row r="276" customFormat="false" ht="15" hidden="false" customHeight="false" outlineLevel="0" collapsed="false">
      <c r="A276" s="216" t="s">
        <v>216</v>
      </c>
      <c r="B276" s="337" t="s">
        <v>2937</v>
      </c>
      <c r="C276" s="1161" t="s">
        <v>6927</v>
      </c>
      <c r="D276" s="317" t="n">
        <v>2014</v>
      </c>
      <c r="E276" s="317" t="n">
        <f aca="false">2021-D276</f>
        <v>7</v>
      </c>
      <c r="F276" s="1363" t="n">
        <v>375200</v>
      </c>
      <c r="G276" s="1364" t="n">
        <v>0.1</v>
      </c>
      <c r="H276" s="1365" t="n">
        <f aca="false">E276*F276*G276</f>
        <v>262640</v>
      </c>
      <c r="I276" s="1365" t="n">
        <f aca="false">F276-H276</f>
        <v>112560</v>
      </c>
      <c r="J276" s="1365" t="n">
        <f aca="false">F276*G276</f>
        <v>37520</v>
      </c>
      <c r="K276" s="1365" t="n">
        <f aca="false">J276/1792.8</f>
        <v>20.9281570727354</v>
      </c>
      <c r="L276" s="1365" t="n">
        <v>10</v>
      </c>
      <c r="M276" s="1273" t="n">
        <f aca="false">K276*L276/60</f>
        <v>3.48802617878923</v>
      </c>
    </row>
    <row r="277" customFormat="false" ht="15" hidden="false" customHeight="false" outlineLevel="0" collapsed="false">
      <c r="A277" s="1369"/>
      <c r="B277" s="29"/>
      <c r="C277" s="1161" t="s">
        <v>6934</v>
      </c>
      <c r="D277" s="317" t="n">
        <v>2007</v>
      </c>
      <c r="E277" s="317" t="n">
        <f aca="false">2021-D277</f>
        <v>14</v>
      </c>
      <c r="F277" s="1363" t="n">
        <v>350000</v>
      </c>
      <c r="G277" s="1364" t="n">
        <v>0.1</v>
      </c>
      <c r="H277" s="1365" t="n">
        <f aca="false">E277*F277*G277</f>
        <v>490000</v>
      </c>
      <c r="I277" s="1365" t="n">
        <f aca="false">F277-H277</f>
        <v>-140000</v>
      </c>
      <c r="J277" s="1365" t="n">
        <f aca="false">F277*G277</f>
        <v>35000</v>
      </c>
      <c r="K277" s="1365" t="n">
        <f aca="false">J277/1792.8</f>
        <v>19.5225345827755</v>
      </c>
      <c r="L277" s="1365" t="n">
        <v>10</v>
      </c>
      <c r="M277" s="1273" t="n">
        <f aca="false">K277*L277/60</f>
        <v>3.25375576379592</v>
      </c>
    </row>
    <row r="278" customFormat="false" ht="15" hidden="false" customHeight="false" outlineLevel="0" collapsed="false">
      <c r="A278" s="1369"/>
      <c r="B278" s="972" t="s">
        <v>4128</v>
      </c>
      <c r="C278" s="1160"/>
      <c r="D278" s="135"/>
      <c r="E278" s="317"/>
      <c r="F278" s="135"/>
      <c r="G278" s="1372"/>
      <c r="H278" s="1370"/>
      <c r="I278" s="1370"/>
      <c r="J278" s="1370"/>
      <c r="K278" s="1365" t="n">
        <f aca="false">J278/1792.8</f>
        <v>0</v>
      </c>
      <c r="L278" s="1370"/>
      <c r="M278" s="1366" t="n">
        <f aca="false">M276+M277</f>
        <v>6.74178194258516</v>
      </c>
    </row>
    <row r="279" customFormat="false" ht="15" hidden="false" customHeight="false" outlineLevel="0" collapsed="false">
      <c r="A279" s="216" t="s">
        <v>217</v>
      </c>
      <c r="B279" s="29" t="s">
        <v>2938</v>
      </c>
      <c r="C279" s="1161" t="s">
        <v>6943</v>
      </c>
      <c r="D279" s="317" t="n">
        <v>2013</v>
      </c>
      <c r="E279" s="317" t="n">
        <f aca="false">2021-D279</f>
        <v>8</v>
      </c>
      <c r="F279" s="317" t="n">
        <v>1503927</v>
      </c>
      <c r="G279" s="1364" t="n">
        <v>0.1</v>
      </c>
      <c r="H279" s="1365" t="n">
        <f aca="false">E279*F279*G279</f>
        <v>1203141.6</v>
      </c>
      <c r="I279" s="1365" t="n">
        <f aca="false">F279-H279</f>
        <v>300785.4</v>
      </c>
      <c r="J279" s="1365" t="n">
        <f aca="false">F279*G279</f>
        <v>150392.7</v>
      </c>
      <c r="K279" s="1365" t="n">
        <f aca="false">J279/1792.8</f>
        <v>83.8870481927711</v>
      </c>
      <c r="L279" s="1365" t="n">
        <v>20</v>
      </c>
      <c r="M279" s="1273" t="n">
        <f aca="false">K279*L279/60</f>
        <v>27.9623493975904</v>
      </c>
    </row>
    <row r="280" customFormat="false" ht="15" hidden="false" customHeight="false" outlineLevel="0" collapsed="false">
      <c r="A280" s="1369"/>
      <c r="B280" s="29"/>
      <c r="C280" s="1161" t="s">
        <v>6934</v>
      </c>
      <c r="D280" s="317" t="n">
        <v>2007</v>
      </c>
      <c r="E280" s="317" t="n">
        <f aca="false">2021-D280</f>
        <v>14</v>
      </c>
      <c r="F280" s="1363" t="n">
        <v>350000</v>
      </c>
      <c r="G280" s="1364" t="n">
        <v>0.1</v>
      </c>
      <c r="H280" s="1365" t="n">
        <f aca="false">E280*F280*G280</f>
        <v>490000</v>
      </c>
      <c r="I280" s="1365" t="n">
        <f aca="false">F280-H280</f>
        <v>-140000</v>
      </c>
      <c r="J280" s="1365" t="n">
        <f aca="false">F280*G280</f>
        <v>35000</v>
      </c>
      <c r="K280" s="1365" t="n">
        <f aca="false">J280/1792.8</f>
        <v>19.5225345827755</v>
      </c>
      <c r="L280" s="1365" t="n">
        <v>10</v>
      </c>
      <c r="M280" s="1273" t="n">
        <f aca="false">K280*L280/60</f>
        <v>3.25375576379592</v>
      </c>
    </row>
    <row r="281" customFormat="false" ht="15" hidden="false" customHeight="false" outlineLevel="0" collapsed="false">
      <c r="A281" s="216"/>
      <c r="B281" s="972" t="s">
        <v>4128</v>
      </c>
      <c r="C281" s="1160"/>
      <c r="D281" s="135"/>
      <c r="E281" s="317"/>
      <c r="F281" s="135"/>
      <c r="G281" s="1372"/>
      <c r="H281" s="1370"/>
      <c r="I281" s="1370"/>
      <c r="J281" s="1370"/>
      <c r="K281" s="1365" t="n">
        <f aca="false">J281/1792.8</f>
        <v>0</v>
      </c>
      <c r="L281" s="1370"/>
      <c r="M281" s="1366" t="n">
        <f aca="false">M279+M280</f>
        <v>31.2161051613863</v>
      </c>
    </row>
    <row r="282" customFormat="false" ht="15" hidden="false" customHeight="false" outlineLevel="0" collapsed="false">
      <c r="A282" s="216" t="s">
        <v>218</v>
      </c>
      <c r="B282" s="337" t="s">
        <v>2939</v>
      </c>
      <c r="C282" s="1161" t="s">
        <v>6934</v>
      </c>
      <c r="D282" s="317" t="n">
        <v>2007</v>
      </c>
      <c r="E282" s="317" t="n">
        <f aca="false">2021-D282</f>
        <v>14</v>
      </c>
      <c r="F282" s="1363" t="n">
        <v>350000</v>
      </c>
      <c r="G282" s="1364" t="n">
        <v>0.1</v>
      </c>
      <c r="H282" s="1365" t="n">
        <f aca="false">E282*F282*G282</f>
        <v>490000</v>
      </c>
      <c r="I282" s="1365" t="n">
        <f aca="false">F282-H282</f>
        <v>-140000</v>
      </c>
      <c r="J282" s="1365" t="n">
        <f aca="false">F282*G282</f>
        <v>35000</v>
      </c>
      <c r="K282" s="1365" t="n">
        <f aca="false">J282/1792.8</f>
        <v>19.5225345827755</v>
      </c>
      <c r="L282" s="1365" t="n">
        <v>10</v>
      </c>
      <c r="M282" s="1273" t="n">
        <f aca="false">K282*L282/60</f>
        <v>3.25375576379592</v>
      </c>
    </row>
    <row r="283" customFormat="false" ht="15" hidden="false" customHeight="false" outlineLevel="0" collapsed="false">
      <c r="A283" s="1369"/>
      <c r="B283" s="972"/>
      <c r="C283" s="1161" t="s">
        <v>6935</v>
      </c>
      <c r="D283" s="317" t="n">
        <v>2014</v>
      </c>
      <c r="E283" s="317" t="n">
        <f aca="false">2021-D283</f>
        <v>7</v>
      </c>
      <c r="F283" s="1367" t="n">
        <v>209328</v>
      </c>
      <c r="G283" s="1364" t="n">
        <v>0.1</v>
      </c>
      <c r="H283" s="1365" t="n">
        <f aca="false">E283*F283*G283</f>
        <v>146529.6</v>
      </c>
      <c r="I283" s="1365" t="n">
        <f aca="false">F283-H283</f>
        <v>62798.4</v>
      </c>
      <c r="J283" s="1365" t="n">
        <f aca="false">F283*G283</f>
        <v>20932.8</v>
      </c>
      <c r="K283" s="1365" t="n">
        <f aca="false">J283/1792.8</f>
        <v>11.6760374832664</v>
      </c>
      <c r="L283" s="1365" t="n">
        <v>10</v>
      </c>
      <c r="M283" s="1273" t="n">
        <f aca="false">K283*L283/60</f>
        <v>1.94600624721107</v>
      </c>
    </row>
    <row r="284" customFormat="false" ht="15" hidden="false" customHeight="false" outlineLevel="0" collapsed="false">
      <c r="A284" s="1369"/>
      <c r="B284" s="972" t="s">
        <v>4128</v>
      </c>
      <c r="C284" s="1161"/>
      <c r="D284" s="135"/>
      <c r="E284" s="317"/>
      <c r="F284" s="135"/>
      <c r="G284" s="1372"/>
      <c r="H284" s="1370"/>
      <c r="I284" s="1370"/>
      <c r="J284" s="1370"/>
      <c r="K284" s="1365" t="n">
        <f aca="false">J284/1792.8</f>
        <v>0</v>
      </c>
      <c r="L284" s="1370"/>
      <c r="M284" s="1370" t="n">
        <f aca="false">M282+M283</f>
        <v>5.19976201100699</v>
      </c>
    </row>
    <row r="285" customFormat="false" ht="45" hidden="false" customHeight="false" outlineLevel="0" collapsed="false">
      <c r="A285" s="216" t="s">
        <v>219</v>
      </c>
      <c r="B285" s="41" t="s">
        <v>2940</v>
      </c>
      <c r="C285" s="1161" t="s">
        <v>6941</v>
      </c>
      <c r="D285" s="317" t="n">
        <v>2012</v>
      </c>
      <c r="E285" s="317" t="n">
        <f aca="false">2021-D285</f>
        <v>9</v>
      </c>
      <c r="F285" s="317" t="n">
        <v>44483193</v>
      </c>
      <c r="G285" s="1364" t="n">
        <v>0.1</v>
      </c>
      <c r="H285" s="1365" t="n">
        <f aca="false">E285*F285*G285</f>
        <v>40034873.7</v>
      </c>
      <c r="I285" s="1365" t="n">
        <f aca="false">F285-H285</f>
        <v>4448319.3</v>
      </c>
      <c r="J285" s="1365" t="n">
        <f aca="false">F285*G285</f>
        <v>4448319.3</v>
      </c>
      <c r="K285" s="1365" t="n">
        <f aca="false">J285/1792.8</f>
        <v>2481.21335341365</v>
      </c>
      <c r="L285" s="1365" t="n">
        <v>10</v>
      </c>
      <c r="M285" s="1273" t="n">
        <f aca="false">K285*L285/60</f>
        <v>413.535558902276</v>
      </c>
    </row>
    <row r="286" customFormat="false" ht="15" hidden="false" customHeight="false" outlineLevel="0" collapsed="false">
      <c r="A286" s="1369"/>
      <c r="B286" s="972"/>
      <c r="C286" s="1161" t="s">
        <v>6934</v>
      </c>
      <c r="D286" s="317" t="n">
        <v>2007</v>
      </c>
      <c r="E286" s="317" t="n">
        <f aca="false">2021-D286</f>
        <v>14</v>
      </c>
      <c r="F286" s="1363" t="n">
        <v>350000</v>
      </c>
      <c r="G286" s="1364" t="n">
        <v>0.1</v>
      </c>
      <c r="H286" s="1365" t="n">
        <f aca="false">E286*F286*G286</f>
        <v>490000</v>
      </c>
      <c r="I286" s="1365" t="n">
        <f aca="false">F286-H286</f>
        <v>-140000</v>
      </c>
      <c r="J286" s="1365" t="n">
        <f aca="false">F286*G286</f>
        <v>35000</v>
      </c>
      <c r="K286" s="1365" t="n">
        <f aca="false">J286/1792.8</f>
        <v>19.5225345827755</v>
      </c>
      <c r="L286" s="1365" t="n">
        <v>10</v>
      </c>
      <c r="M286" s="1273" t="n">
        <f aca="false">K286*L286/60</f>
        <v>3.25375576379592</v>
      </c>
    </row>
    <row r="287" customFormat="false" ht="15" hidden="false" customHeight="false" outlineLevel="0" collapsed="false">
      <c r="A287" s="1369"/>
      <c r="B287" s="972" t="s">
        <v>4128</v>
      </c>
      <c r="C287" s="1161"/>
      <c r="D287" s="135"/>
      <c r="E287" s="317"/>
      <c r="F287" s="135"/>
      <c r="G287" s="1372"/>
      <c r="H287" s="1370"/>
      <c r="I287" s="1370"/>
      <c r="J287" s="1370"/>
      <c r="K287" s="1365" t="n">
        <f aca="false">J287/1792.8</f>
        <v>0</v>
      </c>
      <c r="L287" s="1370"/>
      <c r="M287" s="1370" t="n">
        <f aca="false">M285+M286</f>
        <v>416.789314666072</v>
      </c>
    </row>
    <row r="288" customFormat="false" ht="15" hidden="false" customHeight="false" outlineLevel="0" collapsed="false">
      <c r="A288" s="216" t="s">
        <v>220</v>
      </c>
      <c r="B288" s="29" t="s">
        <v>2960</v>
      </c>
      <c r="C288" s="1161" t="s">
        <v>6927</v>
      </c>
      <c r="D288" s="317" t="n">
        <v>2014</v>
      </c>
      <c r="E288" s="317" t="n">
        <f aca="false">2021-D288</f>
        <v>7</v>
      </c>
      <c r="F288" s="1363" t="n">
        <v>375200</v>
      </c>
      <c r="G288" s="1364" t="n">
        <v>0.1</v>
      </c>
      <c r="H288" s="1365" t="n">
        <f aca="false">E288*F288*G288</f>
        <v>262640</v>
      </c>
      <c r="I288" s="1365" t="n">
        <f aca="false">F288-H288</f>
        <v>112560</v>
      </c>
      <c r="J288" s="1365" t="n">
        <f aca="false">F288*G288</f>
        <v>37520</v>
      </c>
      <c r="K288" s="1365" t="n">
        <f aca="false">J288/1792.8</f>
        <v>20.9281570727354</v>
      </c>
      <c r="L288" s="1365" t="n">
        <v>10</v>
      </c>
      <c r="M288" s="1273" t="n">
        <f aca="false">K288*L288/60</f>
        <v>3.48802617878923</v>
      </c>
    </row>
    <row r="289" customFormat="false" ht="15" hidden="false" customHeight="false" outlineLevel="0" collapsed="false">
      <c r="A289" s="216"/>
      <c r="B289" s="29"/>
      <c r="C289" s="1161" t="s">
        <v>6934</v>
      </c>
      <c r="D289" s="317" t="n">
        <v>2007</v>
      </c>
      <c r="E289" s="317" t="n">
        <f aca="false">2021-D289</f>
        <v>14</v>
      </c>
      <c r="F289" s="1363" t="n">
        <v>350000</v>
      </c>
      <c r="G289" s="1364" t="n">
        <v>0.1</v>
      </c>
      <c r="H289" s="1365" t="n">
        <f aca="false">E289*F289*G289</f>
        <v>490000</v>
      </c>
      <c r="I289" s="1365" t="n">
        <f aca="false">F289-H289</f>
        <v>-140000</v>
      </c>
      <c r="J289" s="1365" t="n">
        <f aca="false">F289*G289</f>
        <v>35000</v>
      </c>
      <c r="K289" s="1365" t="n">
        <f aca="false">J289/1792.8</f>
        <v>19.5225345827755</v>
      </c>
      <c r="L289" s="1365" t="n">
        <v>10</v>
      </c>
      <c r="M289" s="1273" t="n">
        <f aca="false">K289*L289/60</f>
        <v>3.25375576379592</v>
      </c>
    </row>
    <row r="290" customFormat="false" ht="15" hidden="false" customHeight="false" outlineLevel="0" collapsed="false">
      <c r="A290" s="216"/>
      <c r="B290" s="972" t="s">
        <v>4128</v>
      </c>
      <c r="C290" s="1161"/>
      <c r="D290" s="135"/>
      <c r="E290" s="317"/>
      <c r="F290" s="135"/>
      <c r="G290" s="1372"/>
      <c r="H290" s="1370"/>
      <c r="I290" s="1370"/>
      <c r="J290" s="1370"/>
      <c r="K290" s="1365" t="n">
        <f aca="false">J290/1792.8</f>
        <v>0</v>
      </c>
      <c r="L290" s="1370"/>
      <c r="M290" s="1370" t="n">
        <f aca="false">M288+M289</f>
        <v>6.74178194258516</v>
      </c>
    </row>
    <row r="291" customFormat="false" ht="15" hidden="false" customHeight="false" outlineLevel="0" collapsed="false">
      <c r="A291" s="216" t="s">
        <v>222</v>
      </c>
      <c r="B291" s="41" t="s">
        <v>2941</v>
      </c>
      <c r="C291" s="1161" t="s">
        <v>4568</v>
      </c>
      <c r="D291" s="317" t="n">
        <v>2003</v>
      </c>
      <c r="E291" s="317" t="n">
        <f aca="false">2021-D291</f>
        <v>18</v>
      </c>
      <c r="F291" s="317" t="n">
        <v>12704749</v>
      </c>
      <c r="G291" s="1364" t="n">
        <v>0.1</v>
      </c>
      <c r="H291" s="1365" t="n">
        <f aca="false">E291*F291*G291</f>
        <v>22868548.2</v>
      </c>
      <c r="I291" s="1365" t="n">
        <f aca="false">F291-H291</f>
        <v>-10163799.2</v>
      </c>
      <c r="J291" s="1365" t="n">
        <f aca="false">F291*G291</f>
        <v>1270474.9</v>
      </c>
      <c r="K291" s="1365" t="n">
        <f aca="false">J291/1792.8</f>
        <v>708.654004908523</v>
      </c>
      <c r="L291" s="1365" t="n">
        <v>60</v>
      </c>
      <c r="M291" s="1273" t="n">
        <f aca="false">K291*L291/60</f>
        <v>708.654004908523</v>
      </c>
    </row>
    <row r="292" customFormat="false" ht="15" hidden="false" customHeight="false" outlineLevel="0" collapsed="false">
      <c r="A292" s="216"/>
      <c r="B292" s="29"/>
      <c r="C292" s="1161" t="s">
        <v>6934</v>
      </c>
      <c r="D292" s="317" t="n">
        <v>2007</v>
      </c>
      <c r="E292" s="317" t="n">
        <f aca="false">2021-D292</f>
        <v>14</v>
      </c>
      <c r="F292" s="1363" t="n">
        <v>350000</v>
      </c>
      <c r="G292" s="1364" t="n">
        <v>0.1</v>
      </c>
      <c r="H292" s="1365" t="n">
        <f aca="false">E292*F292*G292</f>
        <v>490000</v>
      </c>
      <c r="I292" s="1365" t="n">
        <f aca="false">F292-H292</f>
        <v>-140000</v>
      </c>
      <c r="J292" s="1365" t="n">
        <f aca="false">F292*G292</f>
        <v>35000</v>
      </c>
      <c r="K292" s="1365" t="n">
        <f aca="false">J292/1792.8</f>
        <v>19.5225345827755</v>
      </c>
      <c r="L292" s="1365" t="n">
        <v>10</v>
      </c>
      <c r="M292" s="1273" t="n">
        <f aca="false">K292*L292/60</f>
        <v>3.25375576379592</v>
      </c>
    </row>
    <row r="293" customFormat="false" ht="15" hidden="false" customHeight="false" outlineLevel="0" collapsed="false">
      <c r="A293" s="216"/>
      <c r="B293" s="972" t="s">
        <v>4128</v>
      </c>
      <c r="C293" s="1161"/>
      <c r="D293" s="135"/>
      <c r="E293" s="317"/>
      <c r="F293" s="135"/>
      <c r="G293" s="1372"/>
      <c r="H293" s="1370"/>
      <c r="I293" s="1370"/>
      <c r="J293" s="1370"/>
      <c r="K293" s="1365" t="n">
        <f aca="false">J293/1792.8</f>
        <v>0</v>
      </c>
      <c r="L293" s="1370"/>
      <c r="M293" s="1366" t="n">
        <f aca="false">M291+M292</f>
        <v>711.907760672319</v>
      </c>
    </row>
    <row r="294" customFormat="false" ht="15" hidden="false" customHeight="false" outlineLevel="0" collapsed="false">
      <c r="A294" s="216" t="s">
        <v>223</v>
      </c>
      <c r="B294" s="41" t="s">
        <v>2942</v>
      </c>
      <c r="C294" s="1161" t="s">
        <v>4568</v>
      </c>
      <c r="D294" s="317" t="n">
        <v>2003</v>
      </c>
      <c r="E294" s="317" t="n">
        <f aca="false">2021-D294</f>
        <v>18</v>
      </c>
      <c r="F294" s="317" t="n">
        <v>12704749</v>
      </c>
      <c r="G294" s="1364" t="n">
        <v>0.1</v>
      </c>
      <c r="H294" s="1365" t="n">
        <f aca="false">E294*F294*G294</f>
        <v>22868548.2</v>
      </c>
      <c r="I294" s="1365" t="n">
        <f aca="false">F294-H294</f>
        <v>-10163799.2</v>
      </c>
      <c r="J294" s="1365" t="n">
        <f aca="false">F294*G294</f>
        <v>1270474.9</v>
      </c>
      <c r="K294" s="1365" t="n">
        <f aca="false">J294/1792.8</f>
        <v>708.654004908523</v>
      </c>
      <c r="L294" s="1365" t="n">
        <v>60</v>
      </c>
      <c r="M294" s="1273" t="n">
        <f aca="false">K294*L294/60</f>
        <v>708.654004908523</v>
      </c>
    </row>
    <row r="295" customFormat="false" ht="15" hidden="false" customHeight="false" outlineLevel="0" collapsed="false">
      <c r="A295" s="1369"/>
      <c r="B295" s="29"/>
      <c r="C295" s="1161" t="s">
        <v>6934</v>
      </c>
      <c r="D295" s="317" t="n">
        <v>2007</v>
      </c>
      <c r="E295" s="317" t="n">
        <f aca="false">2021-D295</f>
        <v>14</v>
      </c>
      <c r="F295" s="1363" t="n">
        <v>350000</v>
      </c>
      <c r="G295" s="1364" t="n">
        <v>0.1</v>
      </c>
      <c r="H295" s="1365" t="n">
        <f aca="false">E295*F295*G295</f>
        <v>490000</v>
      </c>
      <c r="I295" s="1365" t="n">
        <f aca="false">F295-H295</f>
        <v>-140000</v>
      </c>
      <c r="J295" s="1365" t="n">
        <f aca="false">F295*G295</f>
        <v>35000</v>
      </c>
      <c r="K295" s="1365" t="n">
        <f aca="false">J295/1792.8</f>
        <v>19.5225345827755</v>
      </c>
      <c r="L295" s="1365" t="n">
        <v>10</v>
      </c>
      <c r="M295" s="1273" t="n">
        <f aca="false">K295*L295/60</f>
        <v>3.25375576379592</v>
      </c>
    </row>
    <row r="296" customFormat="false" ht="15" hidden="false" customHeight="false" outlineLevel="0" collapsed="false">
      <c r="A296" s="1369"/>
      <c r="B296" s="972" t="s">
        <v>4128</v>
      </c>
      <c r="C296" s="1161"/>
      <c r="D296" s="135"/>
      <c r="E296" s="317"/>
      <c r="F296" s="135"/>
      <c r="G296" s="1372"/>
      <c r="H296" s="1370"/>
      <c r="I296" s="1370"/>
      <c r="J296" s="1370"/>
      <c r="K296" s="1365" t="n">
        <f aca="false">J296/1792.8</f>
        <v>0</v>
      </c>
      <c r="L296" s="1370"/>
      <c r="M296" s="1366" t="n">
        <f aca="false">M294+M295</f>
        <v>711.907760672319</v>
      </c>
    </row>
    <row r="297" customFormat="false" ht="15" hidden="false" customHeight="false" outlineLevel="0" collapsed="false">
      <c r="A297" s="216" t="s">
        <v>224</v>
      </c>
      <c r="B297" s="41" t="s">
        <v>2961</v>
      </c>
      <c r="C297" s="1161" t="s">
        <v>6934</v>
      </c>
      <c r="D297" s="317" t="n">
        <v>2007</v>
      </c>
      <c r="E297" s="317" t="n">
        <f aca="false">2021-D297</f>
        <v>14</v>
      </c>
      <c r="F297" s="1363" t="n">
        <v>350000</v>
      </c>
      <c r="G297" s="1364" t="n">
        <v>0.1</v>
      </c>
      <c r="H297" s="1365" t="n">
        <f aca="false">E297*F297*G297</f>
        <v>490000</v>
      </c>
      <c r="I297" s="1365" t="n">
        <f aca="false">F297-H297</f>
        <v>-140000</v>
      </c>
      <c r="J297" s="1365" t="n">
        <f aca="false">F297*G297</f>
        <v>35000</v>
      </c>
      <c r="K297" s="1365" t="n">
        <f aca="false">J297/1792.8</f>
        <v>19.5225345827755</v>
      </c>
      <c r="L297" s="1365" t="n">
        <v>10</v>
      </c>
      <c r="M297" s="1366" t="n">
        <f aca="false">K297*L297/60</f>
        <v>3.25375576379592</v>
      </c>
    </row>
    <row r="298" customFormat="false" ht="24.75" hidden="false" customHeight="true" outlineLevel="0" collapsed="false">
      <c r="A298" s="15" t="s">
        <v>2753</v>
      </c>
      <c r="B298" s="16" t="s">
        <v>2962</v>
      </c>
      <c r="C298" s="1387"/>
      <c r="D298" s="1388"/>
      <c r="E298" s="1389"/>
      <c r="F298" s="1390"/>
      <c r="G298" s="1391"/>
      <c r="H298" s="1390"/>
      <c r="I298" s="1390"/>
      <c r="J298" s="1390"/>
      <c r="K298" s="1390"/>
      <c r="L298" s="1390"/>
      <c r="M298" s="1392"/>
    </row>
    <row r="299" customFormat="false" ht="15" hidden="false" customHeight="false" outlineLevel="0" collapsed="false">
      <c r="A299" s="216" t="s">
        <v>4383</v>
      </c>
      <c r="B299" s="337" t="s">
        <v>2963</v>
      </c>
      <c r="C299" s="1161" t="s">
        <v>6934</v>
      </c>
      <c r="D299" s="317" t="n">
        <v>2007</v>
      </c>
      <c r="E299" s="317" t="n">
        <f aca="false">2021-D299</f>
        <v>14</v>
      </c>
      <c r="F299" s="1363" t="n">
        <v>350000</v>
      </c>
      <c r="G299" s="1364" t="n">
        <v>0.1</v>
      </c>
      <c r="H299" s="1365" t="n">
        <f aca="false">E299*F299*G299</f>
        <v>490000</v>
      </c>
      <c r="I299" s="1365" t="n">
        <f aca="false">F299-H299</f>
        <v>-140000</v>
      </c>
      <c r="J299" s="1365" t="n">
        <f aca="false">F299*G299</f>
        <v>35000</v>
      </c>
      <c r="K299" s="1365" t="n">
        <f aca="false">J299/1792.8</f>
        <v>19.5225345827755</v>
      </c>
      <c r="L299" s="1365" t="n">
        <v>10</v>
      </c>
      <c r="M299" s="1273" t="n">
        <f aca="false">K299*L299/60</f>
        <v>3.25375576379592</v>
      </c>
    </row>
    <row r="300" customFormat="false" ht="15" hidden="false" customHeight="false" outlineLevel="0" collapsed="false">
      <c r="A300" s="571"/>
      <c r="B300" s="337"/>
      <c r="C300" s="1161" t="s">
        <v>6935</v>
      </c>
      <c r="D300" s="317" t="n">
        <v>2014</v>
      </c>
      <c r="E300" s="317" t="n">
        <f aca="false">2021-D300</f>
        <v>7</v>
      </c>
      <c r="F300" s="1367" t="n">
        <v>209328</v>
      </c>
      <c r="G300" s="1364" t="n">
        <v>0.1</v>
      </c>
      <c r="H300" s="1365" t="n">
        <f aca="false">E300*F300*G300</f>
        <v>146529.6</v>
      </c>
      <c r="I300" s="1365" t="n">
        <f aca="false">F300-H300</f>
        <v>62798.4</v>
      </c>
      <c r="J300" s="1365" t="n">
        <f aca="false">F300*G300</f>
        <v>20932.8</v>
      </c>
      <c r="K300" s="1365" t="n">
        <f aca="false">J300/1792.8</f>
        <v>11.6760374832664</v>
      </c>
      <c r="L300" s="1365" t="n">
        <v>10</v>
      </c>
      <c r="M300" s="1273" t="n">
        <f aca="false">K300*L300/60</f>
        <v>1.94600624721107</v>
      </c>
    </row>
    <row r="301" customFormat="false" ht="15" hidden="false" customHeight="false" outlineLevel="0" collapsed="false">
      <c r="A301" s="571"/>
      <c r="B301" s="972" t="s">
        <v>4128</v>
      </c>
      <c r="C301" s="1161"/>
      <c r="D301" s="317"/>
      <c r="E301" s="317"/>
      <c r="F301" s="1367"/>
      <c r="G301" s="1364"/>
      <c r="H301" s="1365"/>
      <c r="I301" s="1365"/>
      <c r="J301" s="1370"/>
      <c r="K301" s="1365" t="n">
        <f aca="false">J301/1792.8</f>
        <v>0</v>
      </c>
      <c r="L301" s="1370"/>
      <c r="M301" s="1370" t="n">
        <f aca="false">M299+M300</f>
        <v>5.19976201100699</v>
      </c>
    </row>
    <row r="302" customFormat="false" ht="15" hidden="false" customHeight="false" outlineLevel="0" collapsed="false">
      <c r="A302" s="216" t="s">
        <v>4384</v>
      </c>
      <c r="B302" s="337" t="s">
        <v>2964</v>
      </c>
      <c r="C302" s="1161" t="s">
        <v>6931</v>
      </c>
      <c r="D302" s="317" t="n">
        <v>2009</v>
      </c>
      <c r="E302" s="317" t="n">
        <f aca="false">2021-D302</f>
        <v>12</v>
      </c>
      <c r="F302" s="1367" t="n">
        <v>143000</v>
      </c>
      <c r="G302" s="1364" t="n">
        <v>0.1</v>
      </c>
      <c r="H302" s="1365" t="n">
        <f aca="false">E302*F302*G302</f>
        <v>171600</v>
      </c>
      <c r="I302" s="1365" t="n">
        <f aca="false">F302-H302</f>
        <v>-28600</v>
      </c>
      <c r="J302" s="1365" t="n">
        <f aca="false">F302*G302</f>
        <v>14300</v>
      </c>
      <c r="K302" s="1365" t="n">
        <f aca="false">J302/1792.8</f>
        <v>7.97634984381972</v>
      </c>
      <c r="L302" s="1365" t="n">
        <v>10</v>
      </c>
      <c r="M302" s="1366" t="n">
        <f aca="false">K302*L302/60</f>
        <v>1.32939164063662</v>
      </c>
    </row>
    <row r="303" customFormat="false" ht="15" hidden="false" customHeight="false" outlineLevel="0" collapsed="false">
      <c r="A303" s="216" t="s">
        <v>4385</v>
      </c>
      <c r="B303" s="337" t="s">
        <v>2965</v>
      </c>
      <c r="C303" s="1161" t="s">
        <v>6934</v>
      </c>
      <c r="D303" s="317" t="n">
        <v>2007</v>
      </c>
      <c r="E303" s="317" t="n">
        <f aca="false">2021-D303</f>
        <v>14</v>
      </c>
      <c r="F303" s="1363" t="n">
        <v>350000</v>
      </c>
      <c r="G303" s="1364" t="n">
        <v>0.1</v>
      </c>
      <c r="H303" s="1365" t="n">
        <f aca="false">E303*F303*G303</f>
        <v>490000</v>
      </c>
      <c r="I303" s="1365" t="n">
        <f aca="false">F303-H303</f>
        <v>-140000</v>
      </c>
      <c r="J303" s="1365" t="n">
        <f aca="false">F303*G303</f>
        <v>35000</v>
      </c>
      <c r="K303" s="1365" t="n">
        <f aca="false">J303/1792.8</f>
        <v>19.5225345827755</v>
      </c>
      <c r="L303" s="1365" t="n">
        <v>10</v>
      </c>
      <c r="M303" s="1366" t="n">
        <f aca="false">K303*L303/60</f>
        <v>3.25375576379592</v>
      </c>
    </row>
    <row r="304" customFormat="false" ht="15" hidden="false" customHeight="false" outlineLevel="0" collapsed="false">
      <c r="A304" s="216" t="s">
        <v>4386</v>
      </c>
      <c r="B304" s="337" t="s">
        <v>2893</v>
      </c>
      <c r="C304" s="1161" t="s">
        <v>6927</v>
      </c>
      <c r="D304" s="317" t="n">
        <v>2014</v>
      </c>
      <c r="E304" s="317" t="n">
        <f aca="false">2021-D304</f>
        <v>7</v>
      </c>
      <c r="F304" s="1363" t="n">
        <v>375200</v>
      </c>
      <c r="G304" s="1364" t="n">
        <v>0.1</v>
      </c>
      <c r="H304" s="1365" t="n">
        <f aca="false">E304*F304*G304</f>
        <v>262640</v>
      </c>
      <c r="I304" s="1365" t="n">
        <f aca="false">F304-H304</f>
        <v>112560</v>
      </c>
      <c r="J304" s="1365" t="n">
        <f aca="false">F304*G304</f>
        <v>37520</v>
      </c>
      <c r="K304" s="1365" t="n">
        <f aca="false">J304/1792.8</f>
        <v>20.9281570727354</v>
      </c>
      <c r="L304" s="1365" t="n">
        <v>10</v>
      </c>
      <c r="M304" s="1273" t="n">
        <f aca="false">K304*L304/60</f>
        <v>3.48802617878923</v>
      </c>
    </row>
    <row r="305" customFormat="false" ht="15" hidden="false" customHeight="false" outlineLevel="0" collapsed="false">
      <c r="A305" s="216"/>
      <c r="B305" s="29"/>
      <c r="C305" s="1161" t="s">
        <v>6934</v>
      </c>
      <c r="D305" s="317" t="n">
        <v>2007</v>
      </c>
      <c r="E305" s="317" t="n">
        <f aca="false">2021-D305</f>
        <v>14</v>
      </c>
      <c r="F305" s="1363" t="n">
        <v>350000</v>
      </c>
      <c r="G305" s="1364" t="n">
        <v>0.1</v>
      </c>
      <c r="H305" s="1365" t="n">
        <f aca="false">E305*F305*G305</f>
        <v>490000</v>
      </c>
      <c r="I305" s="1365" t="n">
        <f aca="false">F305-H305</f>
        <v>-140000</v>
      </c>
      <c r="J305" s="1365" t="n">
        <f aca="false">F305*G305</f>
        <v>35000</v>
      </c>
      <c r="K305" s="1365" t="n">
        <f aca="false">J305/1792.8</f>
        <v>19.5225345827755</v>
      </c>
      <c r="L305" s="1365" t="n">
        <v>10</v>
      </c>
      <c r="M305" s="1273" t="n">
        <f aca="false">K305*L305/60</f>
        <v>3.25375576379592</v>
      </c>
    </row>
    <row r="306" customFormat="false" ht="15" hidden="false" customHeight="false" outlineLevel="0" collapsed="false">
      <c r="A306" s="216"/>
      <c r="B306" s="972" t="s">
        <v>4128</v>
      </c>
      <c r="C306" s="1161"/>
      <c r="D306" s="135"/>
      <c r="E306" s="317"/>
      <c r="F306" s="135"/>
      <c r="G306" s="1372"/>
      <c r="H306" s="1370"/>
      <c r="I306" s="1370"/>
      <c r="J306" s="1370"/>
      <c r="K306" s="1365" t="n">
        <f aca="false">J306/1792.8</f>
        <v>0</v>
      </c>
      <c r="L306" s="1370"/>
      <c r="M306" s="1370" t="n">
        <f aca="false">M304+M305</f>
        <v>6.74178194258516</v>
      </c>
    </row>
    <row r="307" customFormat="false" ht="15" hidden="false" customHeight="false" outlineLevel="0" collapsed="false">
      <c r="A307" s="216" t="s">
        <v>4397</v>
      </c>
      <c r="B307" s="337" t="s">
        <v>2966</v>
      </c>
      <c r="C307" s="1161" t="s">
        <v>6927</v>
      </c>
      <c r="D307" s="317" t="n">
        <v>2014</v>
      </c>
      <c r="E307" s="317" t="n">
        <f aca="false">2021-D307</f>
        <v>7</v>
      </c>
      <c r="F307" s="1363" t="n">
        <v>375200</v>
      </c>
      <c r="G307" s="1364" t="n">
        <v>0.1</v>
      </c>
      <c r="H307" s="1365" t="n">
        <f aca="false">E307*F307*G307</f>
        <v>262640</v>
      </c>
      <c r="I307" s="1365" t="n">
        <f aca="false">F307-H307</f>
        <v>112560</v>
      </c>
      <c r="J307" s="1365" t="n">
        <f aca="false">F307*G307</f>
        <v>37520</v>
      </c>
      <c r="K307" s="1365" t="n">
        <f aca="false">J307/1792.8</f>
        <v>20.9281570727354</v>
      </c>
      <c r="L307" s="1365" t="n">
        <v>10</v>
      </c>
      <c r="M307" s="1273" t="n">
        <f aca="false">K307*L307/60</f>
        <v>3.48802617878923</v>
      </c>
    </row>
    <row r="308" customFormat="false" ht="15" hidden="false" customHeight="false" outlineLevel="0" collapsed="false">
      <c r="A308" s="216"/>
      <c r="B308" s="29"/>
      <c r="C308" s="1161" t="s">
        <v>6934</v>
      </c>
      <c r="D308" s="317" t="n">
        <v>2007</v>
      </c>
      <c r="E308" s="317" t="n">
        <f aca="false">2021-D308</f>
        <v>14</v>
      </c>
      <c r="F308" s="1363" t="n">
        <v>350000</v>
      </c>
      <c r="G308" s="1364" t="n">
        <v>0.1</v>
      </c>
      <c r="H308" s="1365" t="n">
        <f aca="false">E308*F308*G308</f>
        <v>490000</v>
      </c>
      <c r="I308" s="1365" t="n">
        <f aca="false">F308-H308</f>
        <v>-140000</v>
      </c>
      <c r="J308" s="1365" t="n">
        <f aca="false">F308*G308</f>
        <v>35000</v>
      </c>
      <c r="K308" s="1365" t="n">
        <f aca="false">J308/1792.8</f>
        <v>19.5225345827755</v>
      </c>
      <c r="L308" s="1365" t="n">
        <v>10</v>
      </c>
      <c r="M308" s="1273" t="n">
        <f aca="false">K308*L308/60</f>
        <v>3.25375576379592</v>
      </c>
    </row>
    <row r="309" customFormat="false" ht="15" hidden="false" customHeight="false" outlineLevel="0" collapsed="false">
      <c r="A309" s="216"/>
      <c r="B309" s="972" t="s">
        <v>4128</v>
      </c>
      <c r="C309" s="1160"/>
      <c r="D309" s="135"/>
      <c r="E309" s="317"/>
      <c r="F309" s="135"/>
      <c r="G309" s="1372"/>
      <c r="H309" s="1370"/>
      <c r="I309" s="1370"/>
      <c r="J309" s="1370"/>
      <c r="K309" s="1365" t="n">
        <f aca="false">J309/1792.8</f>
        <v>0</v>
      </c>
      <c r="L309" s="1370"/>
      <c r="M309" s="1370" t="n">
        <f aca="false">M307+M308</f>
        <v>6.74178194258516</v>
      </c>
    </row>
    <row r="310" customFormat="false" ht="15" hidden="false" customHeight="false" outlineLevel="0" collapsed="false">
      <c r="A310" s="216" t="s">
        <v>4405</v>
      </c>
      <c r="B310" s="337" t="s">
        <v>2967</v>
      </c>
      <c r="C310" s="1161" t="s">
        <v>6927</v>
      </c>
      <c r="D310" s="317" t="n">
        <v>2014</v>
      </c>
      <c r="E310" s="317" t="n">
        <f aca="false">2021-D310</f>
        <v>7</v>
      </c>
      <c r="F310" s="1363" t="n">
        <v>375200</v>
      </c>
      <c r="G310" s="1364" t="n">
        <v>0.1</v>
      </c>
      <c r="H310" s="1365" t="n">
        <f aca="false">E310*F310*G310</f>
        <v>262640</v>
      </c>
      <c r="I310" s="1365" t="n">
        <f aca="false">F310-H310</f>
        <v>112560</v>
      </c>
      <c r="J310" s="1365" t="n">
        <f aca="false">F310*G310</f>
        <v>37520</v>
      </c>
      <c r="K310" s="1365" t="n">
        <f aca="false">J310/1792.8</f>
        <v>20.9281570727354</v>
      </c>
      <c r="L310" s="1365" t="n">
        <v>10</v>
      </c>
      <c r="M310" s="1273" t="n">
        <f aca="false">K310*L310/60</f>
        <v>3.48802617878923</v>
      </c>
    </row>
    <row r="311" customFormat="false" ht="15" hidden="false" customHeight="false" outlineLevel="0" collapsed="false">
      <c r="A311" s="216"/>
      <c r="B311" s="29"/>
      <c r="C311" s="1161" t="s">
        <v>6934</v>
      </c>
      <c r="D311" s="317" t="n">
        <v>2007</v>
      </c>
      <c r="E311" s="317" t="n">
        <f aca="false">2021-D311</f>
        <v>14</v>
      </c>
      <c r="F311" s="1363" t="n">
        <v>350000</v>
      </c>
      <c r="G311" s="1364" t="n">
        <v>0.1</v>
      </c>
      <c r="H311" s="1365" t="n">
        <f aca="false">E311*F311*G311</f>
        <v>490000</v>
      </c>
      <c r="I311" s="1365" t="n">
        <f aca="false">F311-H311</f>
        <v>-140000</v>
      </c>
      <c r="J311" s="1365" t="n">
        <f aca="false">F311*G311</f>
        <v>35000</v>
      </c>
      <c r="K311" s="1365" t="n">
        <f aca="false">J311/1792.8</f>
        <v>19.5225345827755</v>
      </c>
      <c r="L311" s="1365" t="n">
        <v>10</v>
      </c>
      <c r="M311" s="1273" t="n">
        <f aca="false">K311*L311/60</f>
        <v>3.25375576379592</v>
      </c>
    </row>
    <row r="312" customFormat="false" ht="15" hidden="false" customHeight="false" outlineLevel="0" collapsed="false">
      <c r="A312" s="216"/>
      <c r="B312" s="972" t="s">
        <v>4128</v>
      </c>
      <c r="C312" s="1160"/>
      <c r="D312" s="135"/>
      <c r="E312" s="317"/>
      <c r="F312" s="135"/>
      <c r="G312" s="1372"/>
      <c r="H312" s="1370"/>
      <c r="I312" s="1370"/>
      <c r="J312" s="1370"/>
      <c r="K312" s="1365" t="n">
        <f aca="false">J312/1792.8</f>
        <v>0</v>
      </c>
      <c r="L312" s="1370"/>
      <c r="M312" s="1370" t="n">
        <f aca="false">M310+M311</f>
        <v>6.74178194258516</v>
      </c>
    </row>
    <row r="313" customFormat="false" ht="15" hidden="false" customHeight="false" outlineLevel="0" collapsed="false">
      <c r="A313" s="216" t="s">
        <v>4411</v>
      </c>
      <c r="B313" s="337" t="s">
        <v>2968</v>
      </c>
      <c r="C313" s="1161" t="s">
        <v>6927</v>
      </c>
      <c r="D313" s="317" t="n">
        <v>2014</v>
      </c>
      <c r="E313" s="317" t="n">
        <f aca="false">2021-D313</f>
        <v>7</v>
      </c>
      <c r="F313" s="1363" t="n">
        <v>375200</v>
      </c>
      <c r="G313" s="1364" t="n">
        <v>0.1</v>
      </c>
      <c r="H313" s="1365" t="n">
        <f aca="false">E313*F313*G313</f>
        <v>262640</v>
      </c>
      <c r="I313" s="1365" t="n">
        <f aca="false">F313-H313</f>
        <v>112560</v>
      </c>
      <c r="J313" s="1365" t="n">
        <f aca="false">F313*G313</f>
        <v>37520</v>
      </c>
      <c r="K313" s="1365" t="n">
        <f aca="false">J313/1792.8</f>
        <v>20.9281570727354</v>
      </c>
      <c r="L313" s="1365" t="n">
        <v>10</v>
      </c>
      <c r="M313" s="1273" t="n">
        <f aca="false">K313*L313/60</f>
        <v>3.48802617878923</v>
      </c>
    </row>
    <row r="314" customFormat="false" ht="15" hidden="false" customHeight="false" outlineLevel="0" collapsed="false">
      <c r="A314" s="216"/>
      <c r="B314" s="29"/>
      <c r="C314" s="1161" t="s">
        <v>6934</v>
      </c>
      <c r="D314" s="317" t="n">
        <v>2007</v>
      </c>
      <c r="E314" s="317" t="n">
        <f aca="false">2021-D314</f>
        <v>14</v>
      </c>
      <c r="F314" s="1363" t="n">
        <v>350000</v>
      </c>
      <c r="G314" s="1364" t="n">
        <v>0.1</v>
      </c>
      <c r="H314" s="1365" t="n">
        <f aca="false">E314*F314*G314</f>
        <v>490000</v>
      </c>
      <c r="I314" s="1365" t="n">
        <f aca="false">F314-H314</f>
        <v>-140000</v>
      </c>
      <c r="J314" s="1365" t="n">
        <f aca="false">F314*G314</f>
        <v>35000</v>
      </c>
      <c r="K314" s="1365" t="n">
        <f aca="false">J314/1792.8</f>
        <v>19.5225345827755</v>
      </c>
      <c r="L314" s="1365" t="n">
        <v>10</v>
      </c>
      <c r="M314" s="1273" t="n">
        <f aca="false">K314*L314/60</f>
        <v>3.25375576379592</v>
      </c>
    </row>
    <row r="315" customFormat="false" ht="15" hidden="false" customHeight="false" outlineLevel="0" collapsed="false">
      <c r="A315" s="216"/>
      <c r="B315" s="972" t="s">
        <v>4128</v>
      </c>
      <c r="C315" s="1161"/>
      <c r="D315" s="135"/>
      <c r="E315" s="317"/>
      <c r="F315" s="135"/>
      <c r="G315" s="1372"/>
      <c r="H315" s="1370"/>
      <c r="I315" s="1370"/>
      <c r="J315" s="1370"/>
      <c r="K315" s="1365" t="n">
        <f aca="false">J315/1792.8</f>
        <v>0</v>
      </c>
      <c r="L315" s="1370"/>
      <c r="M315" s="1370" t="n">
        <f aca="false">M313+M314</f>
        <v>6.74178194258516</v>
      </c>
    </row>
    <row r="316" customFormat="false" ht="15" hidden="false" customHeight="false" outlineLevel="0" collapsed="false">
      <c r="A316" s="216" t="s">
        <v>4416</v>
      </c>
      <c r="B316" s="337" t="s">
        <v>2969</v>
      </c>
      <c r="C316" s="1161" t="s">
        <v>6934</v>
      </c>
      <c r="D316" s="317" t="n">
        <v>2007</v>
      </c>
      <c r="E316" s="317" t="n">
        <f aca="false">2021-D316</f>
        <v>14</v>
      </c>
      <c r="F316" s="1363" t="n">
        <v>350000</v>
      </c>
      <c r="G316" s="1364" t="n">
        <v>0.1</v>
      </c>
      <c r="H316" s="1365" t="n">
        <f aca="false">E316*F316*G316</f>
        <v>490000</v>
      </c>
      <c r="I316" s="1365" t="n">
        <f aca="false">F316-H316</f>
        <v>-140000</v>
      </c>
      <c r="J316" s="1365" t="n">
        <f aca="false">F316*G316</f>
        <v>35000</v>
      </c>
      <c r="K316" s="1365" t="n">
        <f aca="false">J316/1792.8</f>
        <v>19.5225345827755</v>
      </c>
      <c r="L316" s="1365" t="n">
        <v>10</v>
      </c>
      <c r="M316" s="1366" t="n">
        <f aca="false">K316*L316/60</f>
        <v>3.25375576379592</v>
      </c>
    </row>
    <row r="317" customFormat="false" ht="15" hidden="false" customHeight="false" outlineLevel="0" collapsed="false">
      <c r="A317" s="216" t="s">
        <v>4417</v>
      </c>
      <c r="B317" s="337" t="s">
        <v>2970</v>
      </c>
      <c r="C317" s="1161" t="s">
        <v>6934</v>
      </c>
      <c r="D317" s="317" t="n">
        <v>2007</v>
      </c>
      <c r="E317" s="317" t="n">
        <f aca="false">2021-D317</f>
        <v>14</v>
      </c>
      <c r="F317" s="1363" t="n">
        <v>350000</v>
      </c>
      <c r="G317" s="1364" t="n">
        <v>0.1</v>
      </c>
      <c r="H317" s="1365" t="n">
        <f aca="false">E317*F317*G317</f>
        <v>490000</v>
      </c>
      <c r="I317" s="1365" t="n">
        <f aca="false">F317-H317</f>
        <v>-140000</v>
      </c>
      <c r="J317" s="1365" t="n">
        <f aca="false">F317*G317</f>
        <v>35000</v>
      </c>
      <c r="K317" s="1365" t="n">
        <f aca="false">J317/1792.8</f>
        <v>19.5225345827755</v>
      </c>
      <c r="L317" s="1365" t="n">
        <v>10</v>
      </c>
      <c r="M317" s="1366" t="n">
        <f aca="false">K317*L317/60</f>
        <v>3.25375576379592</v>
      </c>
    </row>
    <row r="318" customFormat="false" ht="15" hidden="false" customHeight="false" outlineLevel="0" collapsed="false">
      <c r="A318" s="216" t="s">
        <v>4420</v>
      </c>
      <c r="B318" s="337" t="s">
        <v>2971</v>
      </c>
      <c r="C318" s="1161" t="s">
        <v>6934</v>
      </c>
      <c r="D318" s="317" t="n">
        <v>2007</v>
      </c>
      <c r="E318" s="317" t="n">
        <f aca="false">2021-D318</f>
        <v>14</v>
      </c>
      <c r="F318" s="1363" t="n">
        <v>350000</v>
      </c>
      <c r="G318" s="1364" t="n">
        <v>0.1</v>
      </c>
      <c r="H318" s="1365" t="n">
        <f aca="false">E318*F318*G318</f>
        <v>490000</v>
      </c>
      <c r="I318" s="1365" t="n">
        <f aca="false">F318-H318</f>
        <v>-140000</v>
      </c>
      <c r="J318" s="1365" t="n">
        <f aca="false">F318*G318</f>
        <v>35000</v>
      </c>
      <c r="K318" s="1365" t="n">
        <f aca="false">J318/1792.8</f>
        <v>19.5225345827755</v>
      </c>
      <c r="L318" s="1365" t="n">
        <v>10</v>
      </c>
      <c r="M318" s="1366" t="n">
        <f aca="false">K318*L318/60</f>
        <v>3.25375576379592</v>
      </c>
    </row>
    <row r="319" customFormat="false" ht="15" hidden="false" customHeight="false" outlineLevel="0" collapsed="false">
      <c r="A319" s="216" t="s">
        <v>4423</v>
      </c>
      <c r="B319" s="337" t="s">
        <v>2955</v>
      </c>
      <c r="C319" s="1161" t="s">
        <v>6927</v>
      </c>
      <c r="D319" s="317" t="n">
        <v>2014</v>
      </c>
      <c r="E319" s="317" t="n">
        <f aca="false">2021-D319</f>
        <v>7</v>
      </c>
      <c r="F319" s="1363" t="n">
        <v>375200</v>
      </c>
      <c r="G319" s="1364" t="n">
        <v>0.1</v>
      </c>
      <c r="H319" s="1365" t="n">
        <f aca="false">E319*F319*G319</f>
        <v>262640</v>
      </c>
      <c r="I319" s="1365" t="n">
        <f aca="false">F319-H319</f>
        <v>112560</v>
      </c>
      <c r="J319" s="1365" t="n">
        <f aca="false">F319*G319</f>
        <v>37520</v>
      </c>
      <c r="K319" s="1365" t="n">
        <f aca="false">J319/1792.8</f>
        <v>20.9281570727354</v>
      </c>
      <c r="L319" s="1365" t="n">
        <v>10</v>
      </c>
      <c r="M319" s="1273" t="n">
        <f aca="false">K319*L319/60</f>
        <v>3.48802617878923</v>
      </c>
    </row>
    <row r="320" customFormat="false" ht="15" hidden="false" customHeight="false" outlineLevel="0" collapsed="false">
      <c r="A320" s="1369"/>
      <c r="B320" s="337"/>
      <c r="C320" s="1161" t="s">
        <v>6934</v>
      </c>
      <c r="D320" s="317" t="n">
        <v>2007</v>
      </c>
      <c r="E320" s="317" t="n">
        <f aca="false">2021-D320</f>
        <v>14</v>
      </c>
      <c r="F320" s="1363" t="n">
        <v>350000</v>
      </c>
      <c r="G320" s="1364" t="n">
        <v>0.1</v>
      </c>
      <c r="H320" s="1365" t="n">
        <f aca="false">E320*F320*G320</f>
        <v>490000</v>
      </c>
      <c r="I320" s="1365" t="n">
        <f aca="false">F320-H320</f>
        <v>-140000</v>
      </c>
      <c r="J320" s="1365" t="n">
        <f aca="false">F320*G320</f>
        <v>35000</v>
      </c>
      <c r="K320" s="1365" t="n">
        <f aca="false">J320/1792.8</f>
        <v>19.5225345827755</v>
      </c>
      <c r="L320" s="1365" t="n">
        <v>10</v>
      </c>
      <c r="M320" s="1273" t="n">
        <f aca="false">K320*L320/60</f>
        <v>3.25375576379592</v>
      </c>
    </row>
    <row r="321" s="311" customFormat="true" ht="15" hidden="false" customHeight="false" outlineLevel="0" collapsed="false">
      <c r="A321" s="1369"/>
      <c r="C321" s="1161" t="s">
        <v>6935</v>
      </c>
      <c r="D321" s="317" t="n">
        <v>2014</v>
      </c>
      <c r="E321" s="317" t="n">
        <f aca="false">2021-D321</f>
        <v>7</v>
      </c>
      <c r="F321" s="1367" t="n">
        <v>209328</v>
      </c>
      <c r="G321" s="1364" t="n">
        <v>0.1</v>
      </c>
      <c r="H321" s="1365" t="n">
        <f aca="false">E321*F321*G321</f>
        <v>146529.6</v>
      </c>
      <c r="I321" s="1365" t="n">
        <f aca="false">F321-H321</f>
        <v>62798.4</v>
      </c>
      <c r="J321" s="1365" t="n">
        <f aca="false">F321*G321</f>
        <v>20932.8</v>
      </c>
      <c r="K321" s="1365" t="n">
        <f aca="false">J321/1792.8</f>
        <v>11.6760374832664</v>
      </c>
      <c r="L321" s="1365" t="n">
        <v>10</v>
      </c>
      <c r="M321" s="1273" t="n">
        <f aca="false">K321*L321/60</f>
        <v>1.94600624721107</v>
      </c>
    </row>
    <row r="322" customFormat="false" ht="15" hidden="false" customHeight="false" outlineLevel="0" collapsed="false">
      <c r="A322" s="1369"/>
      <c r="B322" s="972" t="s">
        <v>4128</v>
      </c>
      <c r="C322" s="1161"/>
      <c r="D322" s="317"/>
      <c r="E322" s="317"/>
      <c r="F322" s="1367"/>
      <c r="G322" s="1364"/>
      <c r="H322" s="1365"/>
      <c r="I322" s="1365"/>
      <c r="J322" s="1370"/>
      <c r="K322" s="1365" t="n">
        <f aca="false">J322/1792.8</f>
        <v>0</v>
      </c>
      <c r="L322" s="1370"/>
      <c r="M322" s="1370" t="n">
        <f aca="false">M319+M320+M321</f>
        <v>8.68778818979622</v>
      </c>
    </row>
    <row r="323" customFormat="false" ht="15" hidden="false" customHeight="false" outlineLevel="0" collapsed="false">
      <c r="A323" s="216" t="s">
        <v>4425</v>
      </c>
      <c r="B323" s="337" t="s">
        <v>6952</v>
      </c>
      <c r="C323" s="1161" t="s">
        <v>6927</v>
      </c>
      <c r="D323" s="317" t="n">
        <v>2014</v>
      </c>
      <c r="E323" s="317" t="n">
        <f aca="false">2021-D323</f>
        <v>7</v>
      </c>
      <c r="F323" s="1363" t="n">
        <v>375200</v>
      </c>
      <c r="G323" s="1364" t="n">
        <v>0.1</v>
      </c>
      <c r="H323" s="1365" t="n">
        <f aca="false">E323*F323*G323</f>
        <v>262640</v>
      </c>
      <c r="I323" s="1365" t="n">
        <f aca="false">F323-H323</f>
        <v>112560</v>
      </c>
      <c r="J323" s="1365" t="n">
        <f aca="false">F323*G323</f>
        <v>37520</v>
      </c>
      <c r="K323" s="1365" t="n">
        <f aca="false">J323/1792.8</f>
        <v>20.9281570727354</v>
      </c>
      <c r="L323" s="1365" t="n">
        <v>10</v>
      </c>
      <c r="M323" s="1273" t="n">
        <f aca="false">K323*L323/60</f>
        <v>3.48802617878923</v>
      </c>
    </row>
    <row r="324" customFormat="false" ht="15" hidden="false" customHeight="false" outlineLevel="0" collapsed="false">
      <c r="A324" s="1369"/>
      <c r="B324" s="29"/>
      <c r="C324" s="1161" t="s">
        <v>6934</v>
      </c>
      <c r="D324" s="317" t="n">
        <v>2007</v>
      </c>
      <c r="E324" s="317" t="n">
        <f aca="false">2021-D324</f>
        <v>14</v>
      </c>
      <c r="F324" s="1363" t="n">
        <v>350000</v>
      </c>
      <c r="G324" s="1364" t="n">
        <v>0.1</v>
      </c>
      <c r="H324" s="1365" t="n">
        <f aca="false">E324*F324*G324</f>
        <v>490000</v>
      </c>
      <c r="I324" s="1365" t="n">
        <f aca="false">F324-H324</f>
        <v>-140000</v>
      </c>
      <c r="J324" s="1365" t="n">
        <f aca="false">F324*G324</f>
        <v>35000</v>
      </c>
      <c r="K324" s="1365" t="n">
        <f aca="false">J324/1792.8</f>
        <v>19.5225345827755</v>
      </c>
      <c r="L324" s="1365" t="n">
        <v>10</v>
      </c>
      <c r="M324" s="1273" t="n">
        <f aca="false">K324*L324/60</f>
        <v>3.25375576379592</v>
      </c>
    </row>
    <row r="325" customFormat="false" ht="15" hidden="false" customHeight="false" outlineLevel="0" collapsed="false">
      <c r="A325" s="1369"/>
      <c r="B325" s="972" t="s">
        <v>4128</v>
      </c>
      <c r="C325" s="1160"/>
      <c r="D325" s="135"/>
      <c r="E325" s="317"/>
      <c r="F325" s="135"/>
      <c r="G325" s="1372"/>
      <c r="H325" s="1370"/>
      <c r="I325" s="1370"/>
      <c r="J325" s="1370"/>
      <c r="K325" s="1365" t="n">
        <f aca="false">J325/1792.8</f>
        <v>0</v>
      </c>
      <c r="L325" s="1370"/>
      <c r="M325" s="1370" t="n">
        <f aca="false">M323+M324</f>
        <v>6.74178194258516</v>
      </c>
    </row>
    <row r="326" customFormat="false" ht="15" hidden="false" customHeight="false" outlineLevel="0" collapsed="false">
      <c r="A326" s="216" t="s">
        <v>4435</v>
      </c>
      <c r="B326" s="337" t="s">
        <v>2959</v>
      </c>
      <c r="C326" s="1161" t="s">
        <v>6934</v>
      </c>
      <c r="D326" s="317" t="n">
        <v>2007</v>
      </c>
      <c r="E326" s="317" t="n">
        <f aca="false">2021-D326</f>
        <v>14</v>
      </c>
      <c r="F326" s="1363" t="n">
        <v>350000</v>
      </c>
      <c r="G326" s="1364" t="n">
        <v>0.1</v>
      </c>
      <c r="H326" s="1365" t="n">
        <f aca="false">E326*F326*G326</f>
        <v>490000</v>
      </c>
      <c r="I326" s="1365" t="n">
        <f aca="false">F326-H326</f>
        <v>-140000</v>
      </c>
      <c r="J326" s="1365" t="n">
        <f aca="false">F326*G326</f>
        <v>35000</v>
      </c>
      <c r="K326" s="1365" t="n">
        <f aca="false">J326/1792.8</f>
        <v>19.5225345827755</v>
      </c>
      <c r="L326" s="1365" t="n">
        <v>10</v>
      </c>
      <c r="M326" s="1273" t="n">
        <f aca="false">K326*L326/60</f>
        <v>3.25375576379592</v>
      </c>
    </row>
    <row r="327" customFormat="false" ht="15" hidden="false" customHeight="false" outlineLevel="0" collapsed="false">
      <c r="A327" s="1369"/>
      <c r="B327" s="337"/>
      <c r="C327" s="1161" t="s">
        <v>6935</v>
      </c>
      <c r="D327" s="317" t="n">
        <v>2014</v>
      </c>
      <c r="E327" s="317" t="n">
        <f aca="false">2021-D327</f>
        <v>7</v>
      </c>
      <c r="F327" s="1367" t="n">
        <v>209328</v>
      </c>
      <c r="G327" s="1364" t="n">
        <v>0.1</v>
      </c>
      <c r="H327" s="1365" t="n">
        <f aca="false">E327*F327*G327</f>
        <v>146529.6</v>
      </c>
      <c r="I327" s="1365" t="n">
        <f aca="false">F327-H327</f>
        <v>62798.4</v>
      </c>
      <c r="J327" s="1365" t="n">
        <f aca="false">F327*G327</f>
        <v>20932.8</v>
      </c>
      <c r="K327" s="1365" t="n">
        <f aca="false">J327/1792.8</f>
        <v>11.6760374832664</v>
      </c>
      <c r="L327" s="1365" t="n">
        <v>10</v>
      </c>
      <c r="M327" s="1273" t="n">
        <f aca="false">K327*L327/60</f>
        <v>1.94600624721107</v>
      </c>
    </row>
    <row r="328" customFormat="false" ht="15" hidden="false" customHeight="false" outlineLevel="0" collapsed="false">
      <c r="A328" s="216"/>
      <c r="B328" s="972" t="s">
        <v>4128</v>
      </c>
      <c r="C328" s="1161"/>
      <c r="D328" s="317"/>
      <c r="E328" s="317"/>
      <c r="F328" s="1367"/>
      <c r="G328" s="1364"/>
      <c r="H328" s="1365"/>
      <c r="I328" s="1365"/>
      <c r="J328" s="1370"/>
      <c r="K328" s="1365" t="n">
        <f aca="false">J328/1792.8</f>
        <v>0</v>
      </c>
      <c r="L328" s="1370"/>
      <c r="M328" s="1370" t="n">
        <f aca="false">M326+M327</f>
        <v>5.19976201100699</v>
      </c>
    </row>
    <row r="329" customFormat="false" ht="30" hidden="false" customHeight="false" outlineLevel="0" collapsed="false">
      <c r="A329" s="216" t="s">
        <v>251</v>
      </c>
      <c r="B329" s="337" t="s">
        <v>2973</v>
      </c>
      <c r="C329" s="1161" t="s">
        <v>6943</v>
      </c>
      <c r="D329" s="317" t="n">
        <v>2013</v>
      </c>
      <c r="E329" s="317" t="n">
        <f aca="false">2021-D329</f>
        <v>8</v>
      </c>
      <c r="F329" s="317" t="n">
        <v>1503927</v>
      </c>
      <c r="G329" s="1364" t="n">
        <v>0.1</v>
      </c>
      <c r="H329" s="1365" t="n">
        <f aca="false">E329*F329*G329</f>
        <v>1203141.6</v>
      </c>
      <c r="I329" s="1365" t="n">
        <f aca="false">F329-H329</f>
        <v>300785.4</v>
      </c>
      <c r="J329" s="1365" t="n">
        <f aca="false">F329*G329</f>
        <v>150392.7</v>
      </c>
      <c r="K329" s="1365" t="n">
        <f aca="false">J329/1792.8</f>
        <v>83.8870481927711</v>
      </c>
      <c r="L329" s="1365" t="n">
        <v>100</v>
      </c>
      <c r="M329" s="1273" t="n">
        <f aca="false">K329*L329/60</f>
        <v>139.811746987952</v>
      </c>
    </row>
    <row r="330" customFormat="false" ht="15" hidden="false" customHeight="false" outlineLevel="0" collapsed="false">
      <c r="A330" s="1369"/>
      <c r="B330" s="29"/>
      <c r="C330" s="1161" t="s">
        <v>6934</v>
      </c>
      <c r="D330" s="317" t="n">
        <v>2007</v>
      </c>
      <c r="E330" s="317" t="n">
        <f aca="false">2021-D330</f>
        <v>14</v>
      </c>
      <c r="F330" s="1363" t="n">
        <v>350000</v>
      </c>
      <c r="G330" s="1364" t="n">
        <v>0.1</v>
      </c>
      <c r="H330" s="1365" t="n">
        <f aca="false">E330*F330*G330</f>
        <v>490000</v>
      </c>
      <c r="I330" s="1365" t="n">
        <f aca="false">F330-H330</f>
        <v>-140000</v>
      </c>
      <c r="J330" s="1365" t="n">
        <f aca="false">F330*G330</f>
        <v>35000</v>
      </c>
      <c r="K330" s="1365" t="n">
        <f aca="false">J330/1792.8</f>
        <v>19.5225345827755</v>
      </c>
      <c r="L330" s="1365" t="n">
        <v>10</v>
      </c>
      <c r="M330" s="1273" t="n">
        <f aca="false">K330*L330/60</f>
        <v>3.25375576379592</v>
      </c>
    </row>
    <row r="331" customFormat="false" ht="15" hidden="false" customHeight="false" outlineLevel="0" collapsed="false">
      <c r="A331" s="216"/>
      <c r="B331" s="972" t="s">
        <v>4128</v>
      </c>
      <c r="C331" s="1161"/>
      <c r="D331" s="135"/>
      <c r="E331" s="317"/>
      <c r="F331" s="135"/>
      <c r="G331" s="1372"/>
      <c r="H331" s="1370"/>
      <c r="I331" s="1370"/>
      <c r="J331" s="1370"/>
      <c r="K331" s="1365" t="n">
        <f aca="false">J331/1792.8</f>
        <v>0</v>
      </c>
      <c r="L331" s="1370"/>
      <c r="M331" s="1370" t="n">
        <f aca="false">M329+M330</f>
        <v>143.065502751748</v>
      </c>
    </row>
    <row r="332" customFormat="false" ht="30" hidden="false" customHeight="false" outlineLevel="0" collapsed="false">
      <c r="A332" s="216" t="s">
        <v>6953</v>
      </c>
      <c r="B332" s="337" t="s">
        <v>4447</v>
      </c>
      <c r="C332" s="1161" t="s">
        <v>6943</v>
      </c>
      <c r="D332" s="317" t="n">
        <v>2013</v>
      </c>
      <c r="E332" s="317" t="n">
        <f aca="false">2021-D332</f>
        <v>8</v>
      </c>
      <c r="F332" s="317" t="n">
        <v>1503927</v>
      </c>
      <c r="G332" s="1364" t="n">
        <v>0.1</v>
      </c>
      <c r="H332" s="1365" t="n">
        <f aca="false">E332*F332*G332</f>
        <v>1203141.6</v>
      </c>
      <c r="I332" s="1365" t="n">
        <f aca="false">F332-H332</f>
        <v>300785.4</v>
      </c>
      <c r="J332" s="1365" t="n">
        <f aca="false">F332*G332</f>
        <v>150392.7</v>
      </c>
      <c r="K332" s="1365" t="n">
        <f aca="false">J332/1792.8</f>
        <v>83.8870481927711</v>
      </c>
      <c r="L332" s="1365" t="n">
        <v>60</v>
      </c>
      <c r="M332" s="1273" t="n">
        <f aca="false">K332*L332/60</f>
        <v>83.8870481927711</v>
      </c>
    </row>
    <row r="333" customFormat="false" ht="15" hidden="false" customHeight="false" outlineLevel="0" collapsed="false">
      <c r="A333" s="216"/>
      <c r="B333" s="29"/>
      <c r="C333" s="1161" t="s">
        <v>6934</v>
      </c>
      <c r="D333" s="317" t="n">
        <v>2007</v>
      </c>
      <c r="E333" s="317" t="n">
        <f aca="false">2021-D333</f>
        <v>14</v>
      </c>
      <c r="F333" s="1363" t="n">
        <v>350000</v>
      </c>
      <c r="G333" s="1364" t="n">
        <v>0.1</v>
      </c>
      <c r="H333" s="1365" t="n">
        <f aca="false">E333*F333*G333</f>
        <v>490000</v>
      </c>
      <c r="I333" s="1365" t="n">
        <f aca="false">F333-H333</f>
        <v>-140000</v>
      </c>
      <c r="J333" s="1365" t="n">
        <f aca="false">F333*G333</f>
        <v>35000</v>
      </c>
      <c r="K333" s="1365" t="n">
        <f aca="false">J333/1792.8</f>
        <v>19.5225345827755</v>
      </c>
      <c r="L333" s="1365" t="n">
        <v>10</v>
      </c>
      <c r="M333" s="1273" t="n">
        <f aca="false">K333*L333/60</f>
        <v>3.25375576379592</v>
      </c>
    </row>
    <row r="334" customFormat="false" ht="15" hidden="false" customHeight="false" outlineLevel="0" collapsed="false">
      <c r="A334" s="216"/>
      <c r="B334" s="972" t="s">
        <v>4128</v>
      </c>
      <c r="C334" s="1161"/>
      <c r="D334" s="135"/>
      <c r="E334" s="317"/>
      <c r="F334" s="135"/>
      <c r="G334" s="1372"/>
      <c r="H334" s="1370"/>
      <c r="I334" s="1370"/>
      <c r="J334" s="1370"/>
      <c r="K334" s="1365" t="n">
        <f aca="false">J334/1792.8</f>
        <v>0</v>
      </c>
      <c r="L334" s="1370"/>
      <c r="M334" s="1370" t="n">
        <f aca="false">M332+M333</f>
        <v>87.140803956567</v>
      </c>
    </row>
    <row r="335" customFormat="false" ht="30" hidden="false" customHeight="false" outlineLevel="0" collapsed="false">
      <c r="A335" s="216" t="s">
        <v>255</v>
      </c>
      <c r="B335" s="337" t="s">
        <v>4447</v>
      </c>
      <c r="C335" s="1161" t="s">
        <v>4568</v>
      </c>
      <c r="D335" s="317" t="n">
        <v>2003</v>
      </c>
      <c r="E335" s="317" t="n">
        <f aca="false">2021-D335</f>
        <v>18</v>
      </c>
      <c r="F335" s="317" t="n">
        <v>12704749</v>
      </c>
      <c r="G335" s="1364" t="n">
        <v>0.1</v>
      </c>
      <c r="H335" s="1365" t="n">
        <f aca="false">E335*F335*G335</f>
        <v>22868548.2</v>
      </c>
      <c r="I335" s="1365" t="n">
        <f aca="false">F335-H335</f>
        <v>-10163799.2</v>
      </c>
      <c r="J335" s="1365" t="n">
        <f aca="false">F335*G335</f>
        <v>1270474.9</v>
      </c>
      <c r="K335" s="1365" t="n">
        <f aca="false">J335/1792.8</f>
        <v>708.654004908523</v>
      </c>
      <c r="L335" s="1365" t="n">
        <v>140</v>
      </c>
      <c r="M335" s="1273" t="n">
        <f aca="false">K335*L335/60</f>
        <v>1653.52601145322</v>
      </c>
    </row>
    <row r="336" customFormat="false" ht="15" hidden="false" customHeight="false" outlineLevel="0" collapsed="false">
      <c r="A336" s="1369"/>
      <c r="B336" s="29"/>
      <c r="C336" s="1161" t="s">
        <v>6934</v>
      </c>
      <c r="D336" s="317" t="n">
        <v>2007</v>
      </c>
      <c r="E336" s="317" t="n">
        <f aca="false">2021-D336</f>
        <v>14</v>
      </c>
      <c r="F336" s="1363" t="n">
        <v>350000</v>
      </c>
      <c r="G336" s="1364" t="n">
        <v>0.1</v>
      </c>
      <c r="H336" s="1365" t="n">
        <f aca="false">E336*F336*G336</f>
        <v>490000</v>
      </c>
      <c r="I336" s="1365" t="n">
        <f aca="false">F336-H336</f>
        <v>-140000</v>
      </c>
      <c r="J336" s="1365" t="n">
        <f aca="false">F336*G336</f>
        <v>35000</v>
      </c>
      <c r="K336" s="1365" t="n">
        <f aca="false">J336/1792.8</f>
        <v>19.5225345827755</v>
      </c>
      <c r="L336" s="1365" t="n">
        <v>10</v>
      </c>
      <c r="M336" s="1273" t="n">
        <f aca="false">K336*L336/60</f>
        <v>3.25375576379592</v>
      </c>
    </row>
    <row r="337" customFormat="false" ht="15" hidden="false" customHeight="false" outlineLevel="0" collapsed="false">
      <c r="A337" s="1369"/>
      <c r="B337" s="972" t="s">
        <v>4128</v>
      </c>
      <c r="C337" s="1161"/>
      <c r="D337" s="135"/>
      <c r="E337" s="317"/>
      <c r="F337" s="135"/>
      <c r="G337" s="1372"/>
      <c r="H337" s="1370"/>
      <c r="I337" s="1370"/>
      <c r="J337" s="1370"/>
      <c r="K337" s="1365" t="n">
        <f aca="false">J337/1792.8</f>
        <v>0</v>
      </c>
      <c r="L337" s="1370"/>
      <c r="M337" s="1370" t="n">
        <f aca="false">M335+M336</f>
        <v>1656.77976721702</v>
      </c>
    </row>
    <row r="338" customFormat="false" ht="65.25" hidden="false" customHeight="true" outlineLevel="0" collapsed="false">
      <c r="A338" s="216" t="s">
        <v>257</v>
      </c>
      <c r="B338" s="40" t="s">
        <v>2976</v>
      </c>
      <c r="C338" s="1161" t="s">
        <v>6934</v>
      </c>
      <c r="D338" s="317" t="n">
        <v>2007</v>
      </c>
      <c r="E338" s="317" t="n">
        <f aca="false">2021-D338</f>
        <v>14</v>
      </c>
      <c r="F338" s="1363" t="n">
        <v>350000</v>
      </c>
      <c r="G338" s="1364" t="n">
        <v>0.1</v>
      </c>
      <c r="H338" s="1365" t="n">
        <f aca="false">E338*F338*G338</f>
        <v>490000</v>
      </c>
      <c r="I338" s="1365" t="n">
        <f aca="false">F338-H338</f>
        <v>-140000</v>
      </c>
      <c r="J338" s="1365" t="n">
        <f aca="false">F338*G338</f>
        <v>35000</v>
      </c>
      <c r="K338" s="1365" t="n">
        <f aca="false">J338/1792.8</f>
        <v>19.5225345827755</v>
      </c>
      <c r="L338" s="1365" t="n">
        <v>10</v>
      </c>
      <c r="M338" s="1273" t="n">
        <f aca="false">K338*L338/60</f>
        <v>3.25375576379592</v>
      </c>
    </row>
    <row r="339" customFormat="false" ht="30" hidden="false" customHeight="false" outlineLevel="0" collapsed="false">
      <c r="A339" s="216"/>
      <c r="B339" s="78"/>
      <c r="C339" s="1161" t="s">
        <v>6954</v>
      </c>
      <c r="D339" s="317" t="n">
        <v>2015</v>
      </c>
      <c r="E339" s="317" t="n">
        <f aca="false">2021-D339</f>
        <v>6</v>
      </c>
      <c r="F339" s="1363" t="n">
        <v>540900</v>
      </c>
      <c r="G339" s="1364" t="n">
        <v>0.1</v>
      </c>
      <c r="H339" s="1365" t="n">
        <f aca="false">E339*F339*G339</f>
        <v>324540</v>
      </c>
      <c r="I339" s="1365" t="n">
        <f aca="false">F339-H339</f>
        <v>216360</v>
      </c>
      <c r="J339" s="1365" t="n">
        <f aca="false">F339*G339</f>
        <v>54090</v>
      </c>
      <c r="K339" s="1365" t="n">
        <f aca="false">J339/1792.8</f>
        <v>30.1706827309237</v>
      </c>
      <c r="L339" s="1365" t="n">
        <v>11</v>
      </c>
      <c r="M339" s="1273" t="n">
        <f aca="false">K339*L339/60</f>
        <v>5.53129183400268</v>
      </c>
    </row>
    <row r="340" customFormat="false" ht="15" hidden="false" customHeight="false" outlineLevel="0" collapsed="false">
      <c r="A340" s="216"/>
      <c r="B340" s="972" t="s">
        <v>4128</v>
      </c>
      <c r="C340" s="1161"/>
      <c r="D340" s="135"/>
      <c r="E340" s="317"/>
      <c r="F340" s="135"/>
      <c r="G340" s="1372"/>
      <c r="H340" s="1370"/>
      <c r="I340" s="1370"/>
      <c r="J340" s="1370"/>
      <c r="K340" s="1365" t="n">
        <f aca="false">J340/1792.8</f>
        <v>0</v>
      </c>
      <c r="L340" s="1370"/>
      <c r="M340" s="1370" t="n">
        <f aca="false">M338+M339</f>
        <v>8.7850475977986</v>
      </c>
    </row>
    <row r="341" customFormat="false" ht="15" hidden="false" customHeight="false" outlineLevel="0" collapsed="false">
      <c r="A341" s="216" t="s">
        <v>259</v>
      </c>
      <c r="B341" s="40" t="s">
        <v>2977</v>
      </c>
      <c r="C341" s="1161" t="s">
        <v>6934</v>
      </c>
      <c r="D341" s="317" t="n">
        <v>2007</v>
      </c>
      <c r="E341" s="317" t="n">
        <f aca="false">2021-D341</f>
        <v>14</v>
      </c>
      <c r="F341" s="1363" t="n">
        <v>350000</v>
      </c>
      <c r="G341" s="1364" t="n">
        <v>0.1</v>
      </c>
      <c r="H341" s="1365" t="n">
        <f aca="false">E341*F341*G341</f>
        <v>490000</v>
      </c>
      <c r="I341" s="1365" t="n">
        <f aca="false">F341-H341</f>
        <v>-140000</v>
      </c>
      <c r="J341" s="1365" t="n">
        <f aca="false">F341*G341</f>
        <v>35000</v>
      </c>
      <c r="K341" s="1365" t="n">
        <f aca="false">J341/1792.8</f>
        <v>19.5225345827755</v>
      </c>
      <c r="L341" s="1365" t="n">
        <v>10</v>
      </c>
      <c r="M341" s="1366" t="n">
        <f aca="false">K341*L341/60</f>
        <v>3.25375576379592</v>
      </c>
    </row>
    <row r="342" customFormat="false" ht="15" hidden="false" customHeight="false" outlineLevel="0" collapsed="false">
      <c r="A342" s="216" t="s">
        <v>261</v>
      </c>
      <c r="B342" s="40" t="s">
        <v>2978</v>
      </c>
      <c r="C342" s="1161" t="s">
        <v>6934</v>
      </c>
      <c r="D342" s="317" t="n">
        <v>2007</v>
      </c>
      <c r="E342" s="317" t="n">
        <f aca="false">2021-D342</f>
        <v>14</v>
      </c>
      <c r="F342" s="1363" t="n">
        <v>350000</v>
      </c>
      <c r="G342" s="1364" t="n">
        <v>0.1</v>
      </c>
      <c r="H342" s="1365" t="n">
        <f aca="false">E342*F342*G342</f>
        <v>490000</v>
      </c>
      <c r="I342" s="1365" t="n">
        <f aca="false">F342-H342</f>
        <v>-140000</v>
      </c>
      <c r="J342" s="1365" t="n">
        <f aca="false">F342*G342</f>
        <v>35000</v>
      </c>
      <c r="K342" s="1365" t="n">
        <f aca="false">J342/1792.8</f>
        <v>19.5225345827755</v>
      </c>
      <c r="L342" s="1365" t="n">
        <v>10</v>
      </c>
      <c r="M342" s="1366" t="n">
        <f aca="false">K342*L342/60</f>
        <v>3.25375576379592</v>
      </c>
    </row>
    <row r="343" customFormat="false" ht="156.75" hidden="false" customHeight="false" outlineLevel="0" collapsed="false">
      <c r="A343" s="15" t="s">
        <v>2758</v>
      </c>
      <c r="B343" s="1393" t="s">
        <v>2979</v>
      </c>
      <c r="C343" s="1387"/>
      <c r="D343" s="1388"/>
      <c r="E343" s="1388"/>
      <c r="F343" s="1390"/>
      <c r="G343" s="1391"/>
      <c r="H343" s="1390"/>
      <c r="I343" s="1390"/>
      <c r="J343" s="1390"/>
      <c r="K343" s="1390"/>
      <c r="L343" s="1390"/>
      <c r="M343" s="1392"/>
    </row>
    <row r="344" customFormat="false" ht="15" hidden="false" customHeight="false" outlineLevel="0" collapsed="false">
      <c r="A344" s="216" t="s">
        <v>4455</v>
      </c>
      <c r="B344" s="337" t="s">
        <v>2980</v>
      </c>
      <c r="C344" s="1161" t="s">
        <v>6955</v>
      </c>
      <c r="D344" s="317"/>
      <c r="E344" s="317"/>
      <c r="F344" s="1367"/>
      <c r="G344" s="1364"/>
      <c r="H344" s="1365"/>
      <c r="I344" s="1365"/>
      <c r="J344" s="1365"/>
      <c r="K344" s="1365" t="n">
        <f aca="false">J344/1792.8</f>
        <v>0</v>
      </c>
      <c r="L344" s="1365"/>
      <c r="M344" s="1366"/>
    </row>
    <row r="345" customFormat="false" ht="15" hidden="false" customHeight="false" outlineLevel="0" collapsed="false">
      <c r="A345" s="216" t="s">
        <v>4458</v>
      </c>
      <c r="B345" s="337" t="s">
        <v>2981</v>
      </c>
      <c r="C345" s="1161" t="s">
        <v>6955</v>
      </c>
      <c r="D345" s="317"/>
      <c r="E345" s="317"/>
      <c r="F345" s="1367"/>
      <c r="G345" s="1364"/>
      <c r="H345" s="1365"/>
      <c r="I345" s="1365"/>
      <c r="J345" s="1365"/>
      <c r="K345" s="1365" t="n">
        <f aca="false">J345/1792.8</f>
        <v>0</v>
      </c>
      <c r="L345" s="1365"/>
      <c r="M345" s="1366"/>
    </row>
    <row r="346" customFormat="false" ht="15" hidden="false" customHeight="false" outlineLevel="0" collapsed="false">
      <c r="A346" s="216" t="s">
        <v>4459</v>
      </c>
      <c r="B346" s="337" t="s">
        <v>2881</v>
      </c>
      <c r="C346" s="1161" t="s">
        <v>6956</v>
      </c>
      <c r="D346" s="317"/>
      <c r="E346" s="317"/>
      <c r="F346" s="1367"/>
      <c r="G346" s="1364"/>
      <c r="H346" s="1365"/>
      <c r="I346" s="1365"/>
      <c r="J346" s="1365"/>
      <c r="K346" s="1365" t="n">
        <f aca="false">J346/1792.8</f>
        <v>0</v>
      </c>
      <c r="L346" s="1365"/>
      <c r="M346" s="1366"/>
    </row>
    <row r="347" customFormat="false" ht="45" hidden="false" customHeight="false" outlineLevel="0" collapsed="false">
      <c r="A347" s="216" t="s">
        <v>4460</v>
      </c>
      <c r="B347" s="881" t="s">
        <v>2982</v>
      </c>
      <c r="C347" s="1161" t="s">
        <v>6957</v>
      </c>
      <c r="D347" s="317" t="n">
        <v>2017</v>
      </c>
      <c r="E347" s="912" t="n">
        <f aca="false">2021-D347</f>
        <v>4</v>
      </c>
      <c r="F347" s="1367" t="n">
        <v>302400</v>
      </c>
      <c r="G347" s="1364" t="n">
        <v>0.1</v>
      </c>
      <c r="H347" s="1365" t="n">
        <f aca="false">E347*F347*G347</f>
        <v>120960</v>
      </c>
      <c r="I347" s="1365" t="n">
        <f aca="false">F347-H347</f>
        <v>181440</v>
      </c>
      <c r="J347" s="1365" t="n">
        <f aca="false">F347*G347</f>
        <v>30240</v>
      </c>
      <c r="K347" s="1365" t="n">
        <f aca="false">J347/1792.8</f>
        <v>16.8674698795181</v>
      </c>
      <c r="L347" s="1394" t="n">
        <v>7.5</v>
      </c>
      <c r="M347" s="1273" t="n">
        <f aca="false">K347*L347/60</f>
        <v>2.10843373493976</v>
      </c>
    </row>
    <row r="348" customFormat="false" ht="30" hidden="false" customHeight="false" outlineLevel="0" collapsed="false">
      <c r="A348" s="216"/>
      <c r="C348" s="1161" t="s">
        <v>6958</v>
      </c>
      <c r="D348" s="317" t="n">
        <v>2006</v>
      </c>
      <c r="E348" s="912" t="n">
        <f aca="false">2021-D348</f>
        <v>15</v>
      </c>
      <c r="F348" s="1367" t="n">
        <v>114000</v>
      </c>
      <c r="G348" s="1364" t="n">
        <v>0.1</v>
      </c>
      <c r="H348" s="1365" t="n">
        <f aca="false">E348*F348*G348</f>
        <v>171000</v>
      </c>
      <c r="I348" s="1365" t="n">
        <f aca="false">F348-H348</f>
        <v>-57000</v>
      </c>
      <c r="J348" s="1365" t="n">
        <f aca="false">F348*G348</f>
        <v>11400</v>
      </c>
      <c r="K348" s="1365" t="n">
        <f aca="false">J348/1792.8</f>
        <v>6.35876840696118</v>
      </c>
      <c r="L348" s="1394" t="n">
        <v>7.5</v>
      </c>
      <c r="M348" s="1273" t="n">
        <f aca="false">K348*L348/60</f>
        <v>0.794846050870147</v>
      </c>
    </row>
    <row r="349" customFormat="false" ht="15" hidden="false" customHeight="false" outlineLevel="0" collapsed="false">
      <c r="A349" s="216"/>
      <c r="B349" s="972" t="s">
        <v>4128</v>
      </c>
      <c r="C349" s="1161"/>
      <c r="D349" s="317"/>
      <c r="E349" s="317"/>
      <c r="F349" s="1367"/>
      <c r="G349" s="1364"/>
      <c r="H349" s="1365"/>
      <c r="I349" s="1365"/>
      <c r="J349" s="1365"/>
      <c r="K349" s="1365" t="n">
        <f aca="false">J349/1792.8</f>
        <v>0</v>
      </c>
      <c r="L349" s="1394"/>
      <c r="M349" s="1366" t="n">
        <f aca="false">SUM(M347:M348)</f>
        <v>2.90327978580991</v>
      </c>
    </row>
    <row r="350" customFormat="false" ht="24" hidden="false" customHeight="true" outlineLevel="0" collapsed="false">
      <c r="A350" s="216" t="s">
        <v>4462</v>
      </c>
      <c r="B350" s="337" t="s">
        <v>2983</v>
      </c>
      <c r="C350" s="1161" t="s">
        <v>6959</v>
      </c>
      <c r="D350" s="317" t="n">
        <v>2007</v>
      </c>
      <c r="E350" s="317" t="n">
        <f aca="false">2021-D350</f>
        <v>14</v>
      </c>
      <c r="F350" s="1363" t="n">
        <v>350000</v>
      </c>
      <c r="G350" s="1364" t="n">
        <v>0.1</v>
      </c>
      <c r="H350" s="1365" t="n">
        <f aca="false">E350*F350*G350</f>
        <v>490000</v>
      </c>
      <c r="I350" s="1365" t="n">
        <f aca="false">F350-H350</f>
        <v>-140000</v>
      </c>
      <c r="J350" s="1365" t="n">
        <f aca="false">F350*G350</f>
        <v>35000</v>
      </c>
      <c r="K350" s="1365" t="n">
        <f aca="false">J350/1792.8</f>
        <v>19.5225345827755</v>
      </c>
      <c r="L350" s="1394" t="n">
        <v>5</v>
      </c>
      <c r="M350" s="1273" t="n">
        <f aca="false">K350*L350/60</f>
        <v>1.62687788189796</v>
      </c>
    </row>
    <row r="351" customFormat="false" ht="45" hidden="false" customHeight="false" outlineLevel="0" collapsed="false">
      <c r="A351" s="216"/>
      <c r="B351" s="337"/>
      <c r="C351" s="881" t="s">
        <v>6960</v>
      </c>
      <c r="D351" s="317" t="n">
        <v>2006</v>
      </c>
      <c r="E351" s="317" t="n">
        <f aca="false">2021-D351</f>
        <v>15</v>
      </c>
      <c r="F351" s="1367" t="n">
        <v>92000</v>
      </c>
      <c r="G351" s="1364" t="n">
        <v>0.1</v>
      </c>
      <c r="H351" s="1365" t="n">
        <f aca="false">E351*F351*G351</f>
        <v>138000</v>
      </c>
      <c r="I351" s="1365" t="n">
        <f aca="false">F351-H351</f>
        <v>-46000</v>
      </c>
      <c r="J351" s="1365" t="n">
        <f aca="false">F351*G351</f>
        <v>9200</v>
      </c>
      <c r="K351" s="1365" t="n">
        <f aca="false">J351/1792.8</f>
        <v>5.13163766175814</v>
      </c>
      <c r="L351" s="1394" t="n">
        <v>5</v>
      </c>
      <c r="M351" s="1273" t="n">
        <f aca="false">K351*L351/60</f>
        <v>0.427636471813179</v>
      </c>
    </row>
    <row r="352" customFormat="false" ht="15" hidden="false" customHeight="false" outlineLevel="0" collapsed="false">
      <c r="A352" s="216"/>
      <c r="B352" s="972" t="s">
        <v>4128</v>
      </c>
      <c r="C352" s="881"/>
      <c r="D352" s="317"/>
      <c r="E352" s="317"/>
      <c r="F352" s="1367"/>
      <c r="G352" s="1364"/>
      <c r="H352" s="1365"/>
      <c r="I352" s="1365"/>
      <c r="J352" s="1365"/>
      <c r="K352" s="1365" t="n">
        <f aca="false">J352/1792.8</f>
        <v>0</v>
      </c>
      <c r="L352" s="1394"/>
      <c r="M352" s="1366" t="n">
        <f aca="false">SUM(M350:M351)</f>
        <v>2.05451435371114</v>
      </c>
    </row>
    <row r="353" customFormat="false" ht="15" hidden="false" customHeight="false" outlineLevel="0" collapsed="false">
      <c r="A353" s="216" t="s">
        <v>4464</v>
      </c>
      <c r="B353" s="337" t="s">
        <v>2984</v>
      </c>
      <c r="C353" s="1395" t="s">
        <v>6961</v>
      </c>
      <c r="D353" s="317" t="n">
        <v>2007</v>
      </c>
      <c r="E353" s="317" t="n">
        <f aca="false">2021-D353</f>
        <v>14</v>
      </c>
      <c r="F353" s="1367" t="n">
        <v>143001</v>
      </c>
      <c r="G353" s="1364" t="n">
        <v>0.1</v>
      </c>
      <c r="H353" s="1365" t="n">
        <f aca="false">E353*F353*G353</f>
        <v>200201.4</v>
      </c>
      <c r="I353" s="1365" t="n">
        <f aca="false">F353-H353</f>
        <v>-57200.4</v>
      </c>
      <c r="J353" s="1365" t="n">
        <f aca="false">F353*G353</f>
        <v>14300.1</v>
      </c>
      <c r="K353" s="1365" t="n">
        <f aca="false">J353/1792.8</f>
        <v>7.97640562248996</v>
      </c>
      <c r="L353" s="1394" t="n">
        <v>5</v>
      </c>
      <c r="M353" s="1273" t="n">
        <f aca="false">K353*L353/60</f>
        <v>0.66470046854083</v>
      </c>
    </row>
    <row r="354" customFormat="false" ht="45" hidden="false" customHeight="false" outlineLevel="0" collapsed="false">
      <c r="A354" s="216"/>
      <c r="B354" s="337"/>
      <c r="C354" s="855" t="s">
        <v>6962</v>
      </c>
      <c r="D354" s="317" t="n">
        <v>2007</v>
      </c>
      <c r="E354" s="317" t="n">
        <f aca="false">2021-D354</f>
        <v>14</v>
      </c>
      <c r="F354" s="1367" t="n">
        <v>92000</v>
      </c>
      <c r="G354" s="1364" t="n">
        <v>0.1</v>
      </c>
      <c r="H354" s="1365" t="n">
        <f aca="false">E354*F354*G354</f>
        <v>128800</v>
      </c>
      <c r="I354" s="1365" t="n">
        <f aca="false">F354-H354</f>
        <v>-36800</v>
      </c>
      <c r="J354" s="1365" t="n">
        <f aca="false">F354*G354</f>
        <v>9200</v>
      </c>
      <c r="K354" s="1365" t="n">
        <f aca="false">J354/1792.8</f>
        <v>5.13163766175814</v>
      </c>
      <c r="L354" s="1394" t="n">
        <v>5</v>
      </c>
      <c r="M354" s="1273" t="n">
        <f aca="false">K354*L354/60</f>
        <v>0.427636471813179</v>
      </c>
    </row>
    <row r="355" customFormat="false" ht="15" hidden="false" customHeight="false" outlineLevel="0" collapsed="false">
      <c r="A355" s="216"/>
      <c r="B355" s="972" t="s">
        <v>4128</v>
      </c>
      <c r="C355" s="1395"/>
      <c r="D355" s="317"/>
      <c r="E355" s="317"/>
      <c r="F355" s="1367"/>
      <c r="G355" s="1364"/>
      <c r="H355" s="1365"/>
      <c r="I355" s="1365"/>
      <c r="J355" s="1365"/>
      <c r="K355" s="1365" t="n">
        <f aca="false">J355/1792.8</f>
        <v>0</v>
      </c>
      <c r="L355" s="1394"/>
      <c r="M355" s="1366" t="n">
        <f aca="false">SUM(M353:M354)</f>
        <v>1.09233694035401</v>
      </c>
    </row>
    <row r="356" customFormat="false" ht="33.75" hidden="false" customHeight="true" outlineLevel="0" collapsed="false">
      <c r="A356" s="1396" t="s">
        <v>275</v>
      </c>
      <c r="B356" s="46" t="s">
        <v>2985</v>
      </c>
      <c r="C356" s="1161" t="s">
        <v>6959</v>
      </c>
      <c r="D356" s="317" t="n">
        <v>2007</v>
      </c>
      <c r="E356" s="317" t="n">
        <f aca="false">2021-D356</f>
        <v>14</v>
      </c>
      <c r="F356" s="1363" t="n">
        <v>350000</v>
      </c>
      <c r="G356" s="1364" t="n">
        <v>0.1</v>
      </c>
      <c r="H356" s="1365" t="n">
        <f aca="false">E356*F356*G356</f>
        <v>490000</v>
      </c>
      <c r="I356" s="1365" t="n">
        <f aca="false">F356-H356</f>
        <v>-140000</v>
      </c>
      <c r="J356" s="1365" t="n">
        <f aca="false">F356*G356</f>
        <v>35000</v>
      </c>
      <c r="K356" s="1365" t="n">
        <f aca="false">J356/1792.8</f>
        <v>19.5225345827755</v>
      </c>
      <c r="L356" s="1394" t="n">
        <v>5</v>
      </c>
      <c r="M356" s="1273" t="n">
        <f aca="false">K356*L356/60</f>
        <v>1.62687788189796</v>
      </c>
    </row>
    <row r="357" customFormat="false" ht="30" hidden="false" customHeight="false" outlineLevel="0" collapsed="false">
      <c r="A357" s="1397"/>
      <c r="B357" s="1398"/>
      <c r="C357" s="1161" t="s">
        <v>6963</v>
      </c>
      <c r="D357" s="317"/>
      <c r="E357" s="317"/>
      <c r="F357" s="1363" t="n">
        <v>176358</v>
      </c>
      <c r="G357" s="1364" t="n">
        <v>0.1</v>
      </c>
      <c r="H357" s="1365" t="n">
        <f aca="false">E357*F357*G357</f>
        <v>0</v>
      </c>
      <c r="I357" s="1365" t="n">
        <f aca="false">F357-H357</f>
        <v>176358</v>
      </c>
      <c r="J357" s="1365" t="n">
        <f aca="false">F357*G357</f>
        <v>17635.8</v>
      </c>
      <c r="K357" s="1365" t="n">
        <f aca="false">J357/1792.8</f>
        <v>9.83701472556894</v>
      </c>
      <c r="L357" s="1394" t="n">
        <v>5</v>
      </c>
      <c r="M357" s="1273" t="n">
        <f aca="false">K357*L357/60</f>
        <v>0.819751227130745</v>
      </c>
    </row>
    <row r="358" customFormat="false" ht="15" hidden="false" customHeight="false" outlineLevel="0" collapsed="false">
      <c r="A358" s="1397"/>
      <c r="B358" s="972" t="s">
        <v>4128</v>
      </c>
      <c r="C358" s="1161"/>
      <c r="D358" s="317"/>
      <c r="E358" s="317"/>
      <c r="F358" s="1363"/>
      <c r="G358" s="1364"/>
      <c r="H358" s="1365"/>
      <c r="I358" s="1365"/>
      <c r="J358" s="1365"/>
      <c r="K358" s="1365" t="n">
        <f aca="false">J358/1792.8</f>
        <v>0</v>
      </c>
      <c r="L358" s="1394"/>
      <c r="M358" s="1366" t="n">
        <f aca="false">SUM(M356:M357)</f>
        <v>2.44662910902871</v>
      </c>
    </row>
    <row r="359" customFormat="false" ht="37.5" hidden="false" customHeight="true" outlineLevel="0" collapsed="false">
      <c r="A359" s="1396" t="s">
        <v>277</v>
      </c>
      <c r="B359" s="1399" t="s">
        <v>2986</v>
      </c>
      <c r="C359" s="1161" t="s">
        <v>6959</v>
      </c>
      <c r="D359" s="317" t="n">
        <v>2007</v>
      </c>
      <c r="E359" s="317" t="n">
        <f aca="false">2021-D359</f>
        <v>14</v>
      </c>
      <c r="F359" s="1363" t="n">
        <v>350000</v>
      </c>
      <c r="G359" s="1364" t="n">
        <v>0.1</v>
      </c>
      <c r="H359" s="1365" t="n">
        <f aca="false">E359*F359*G359</f>
        <v>490000</v>
      </c>
      <c r="I359" s="1365" t="n">
        <f aca="false">F359-H359</f>
        <v>-140000</v>
      </c>
      <c r="J359" s="1365" t="n">
        <f aca="false">F359*G359</f>
        <v>35000</v>
      </c>
      <c r="K359" s="1365" t="n">
        <f aca="false">J359/1792.8</f>
        <v>19.5225345827755</v>
      </c>
      <c r="L359" s="1394" t="n">
        <v>10</v>
      </c>
      <c r="M359" s="1273" t="n">
        <f aca="false">K359*L359/60</f>
        <v>3.25375576379592</v>
      </c>
    </row>
    <row r="360" customFormat="false" ht="45" hidden="false" customHeight="false" outlineLevel="0" collapsed="false">
      <c r="A360" s="216"/>
      <c r="B360" s="337"/>
      <c r="C360" s="1161" t="s">
        <v>6964</v>
      </c>
      <c r="D360" s="317" t="n">
        <v>2014</v>
      </c>
      <c r="E360" s="317" t="n">
        <f aca="false">2021-D360</f>
        <v>7</v>
      </c>
      <c r="F360" s="1367" t="n">
        <v>209328</v>
      </c>
      <c r="G360" s="1364" t="n">
        <v>0.1</v>
      </c>
      <c r="H360" s="1365" t="n">
        <f aca="false">E360*F360*G360</f>
        <v>146529.6</v>
      </c>
      <c r="I360" s="1365" t="n">
        <f aca="false">F360-H360</f>
        <v>62798.4</v>
      </c>
      <c r="J360" s="1365" t="n">
        <f aca="false">F360*G360</f>
        <v>20932.8</v>
      </c>
      <c r="K360" s="1365" t="n">
        <f aca="false">J360/1792.8</f>
        <v>11.6760374832664</v>
      </c>
      <c r="L360" s="1394" t="n">
        <v>10</v>
      </c>
      <c r="M360" s="1273" t="n">
        <f aca="false">K360*L360/60</f>
        <v>1.94600624721107</v>
      </c>
    </row>
    <row r="361" customFormat="false" ht="15" hidden="false" customHeight="false" outlineLevel="0" collapsed="false">
      <c r="A361" s="216"/>
      <c r="B361" s="972" t="s">
        <v>4128</v>
      </c>
      <c r="C361" s="1161"/>
      <c r="D361" s="317"/>
      <c r="E361" s="317"/>
      <c r="F361" s="1367"/>
      <c r="G361" s="1364"/>
      <c r="H361" s="1365"/>
      <c r="I361" s="1365"/>
      <c r="J361" s="1365"/>
      <c r="K361" s="1365" t="n">
        <f aca="false">J361/1792.8</f>
        <v>0</v>
      </c>
      <c r="L361" s="1394"/>
      <c r="M361" s="1366" t="n">
        <f aca="false">SUM(M359:M360)</f>
        <v>5.19976201100699</v>
      </c>
    </row>
    <row r="362" s="1401" customFormat="true" ht="50.25" hidden="false" customHeight="true" outlineLevel="0" collapsed="false">
      <c r="A362" s="1400" t="s">
        <v>279</v>
      </c>
      <c r="B362" s="1399" t="s">
        <v>2987</v>
      </c>
      <c r="C362" s="1161" t="s">
        <v>6959</v>
      </c>
      <c r="D362" s="317" t="n">
        <v>2007</v>
      </c>
      <c r="E362" s="317" t="n">
        <f aca="false">2021-D362</f>
        <v>14</v>
      </c>
      <c r="F362" s="1363" t="n">
        <v>350000</v>
      </c>
      <c r="G362" s="1364" t="n">
        <v>0.1</v>
      </c>
      <c r="H362" s="1365" t="n">
        <f aca="false">E362*F362*G362</f>
        <v>490000</v>
      </c>
      <c r="I362" s="1365" t="n">
        <f aca="false">F362-H362</f>
        <v>-140000</v>
      </c>
      <c r="J362" s="1365" t="n">
        <f aca="false">F362*G362</f>
        <v>35000</v>
      </c>
      <c r="K362" s="1365" t="n">
        <f aca="false">J362/1792.8</f>
        <v>19.5225345827755</v>
      </c>
      <c r="L362" s="1394" t="n">
        <v>5</v>
      </c>
      <c r="M362" s="1273" t="n">
        <f aca="false">K362*L362/60</f>
        <v>1.62687788189796</v>
      </c>
    </row>
    <row r="363" customFormat="false" ht="30" hidden="false" customHeight="false" outlineLevel="0" collapsed="false">
      <c r="A363" s="216"/>
      <c r="B363" s="337"/>
      <c r="C363" s="1161" t="s">
        <v>6958</v>
      </c>
      <c r="D363" s="317" t="n">
        <v>2006</v>
      </c>
      <c r="E363" s="317" t="n">
        <f aca="false">2021-D363</f>
        <v>15</v>
      </c>
      <c r="F363" s="1363" t="n">
        <v>114000</v>
      </c>
      <c r="G363" s="1364" t="n">
        <v>0.1</v>
      </c>
      <c r="H363" s="1365" t="n">
        <f aca="false">E363*F363*G363</f>
        <v>171000</v>
      </c>
      <c r="I363" s="1365" t="n">
        <f aca="false">F363-H363</f>
        <v>-57000</v>
      </c>
      <c r="J363" s="1365" t="n">
        <f aca="false">F363*G363</f>
        <v>11400</v>
      </c>
      <c r="K363" s="1365" t="n">
        <f aca="false">J363/1792.8</f>
        <v>6.35876840696118</v>
      </c>
      <c r="L363" s="1394" t="n">
        <v>5</v>
      </c>
      <c r="M363" s="1273" t="n">
        <f aca="false">K363*L363/60</f>
        <v>0.529897367246765</v>
      </c>
    </row>
    <row r="364" customFormat="false" ht="15" hidden="false" customHeight="false" outlineLevel="0" collapsed="false">
      <c r="A364" s="216"/>
      <c r="B364" s="972" t="s">
        <v>4128</v>
      </c>
      <c r="C364" s="1161"/>
      <c r="D364" s="317"/>
      <c r="E364" s="317"/>
      <c r="F364" s="1363"/>
      <c r="G364" s="1364"/>
      <c r="H364" s="1365"/>
      <c r="I364" s="1365"/>
      <c r="J364" s="1365"/>
      <c r="K364" s="1365" t="n">
        <f aca="false">J364/1792.8</f>
        <v>0</v>
      </c>
      <c r="L364" s="1394"/>
      <c r="M364" s="1366" t="n">
        <f aca="false">SUM(M362:M363)</f>
        <v>2.15677524914473</v>
      </c>
    </row>
    <row r="365" customFormat="false" ht="45" hidden="false" customHeight="false" outlineLevel="0" collapsed="false">
      <c r="A365" s="1396" t="s">
        <v>281</v>
      </c>
      <c r="B365" s="1399" t="s">
        <v>2988</v>
      </c>
      <c r="C365" s="1161" t="s">
        <v>6959</v>
      </c>
      <c r="D365" s="317" t="n">
        <v>2007</v>
      </c>
      <c r="E365" s="317" t="n">
        <f aca="false">2021-D365</f>
        <v>14</v>
      </c>
      <c r="F365" s="1363" t="n">
        <v>350000</v>
      </c>
      <c r="G365" s="1364" t="n">
        <v>0.1</v>
      </c>
      <c r="H365" s="1365" t="n">
        <f aca="false">E365*F365*G365</f>
        <v>490000</v>
      </c>
      <c r="I365" s="1365" t="n">
        <f aca="false">F365-H365</f>
        <v>-140000</v>
      </c>
      <c r="J365" s="1365" t="n">
        <f aca="false">F365*G365</f>
        <v>35000</v>
      </c>
      <c r="K365" s="1365" t="n">
        <f aca="false">J365/1792.8</f>
        <v>19.5225345827755</v>
      </c>
      <c r="L365" s="1394" t="n">
        <v>10</v>
      </c>
      <c r="M365" s="1273" t="n">
        <f aca="false">K365*L365/60</f>
        <v>3.25375576379592</v>
      </c>
    </row>
    <row r="366" customFormat="false" ht="30" hidden="false" customHeight="false" outlineLevel="0" collapsed="false">
      <c r="A366" s="216"/>
      <c r="B366" s="337"/>
      <c r="C366" s="1161" t="s">
        <v>6958</v>
      </c>
      <c r="D366" s="317" t="n">
        <v>2006</v>
      </c>
      <c r="E366" s="317" t="n">
        <f aca="false">2021-D366</f>
        <v>15</v>
      </c>
      <c r="F366" s="1363" t="n">
        <v>114000</v>
      </c>
      <c r="G366" s="1364" t="n">
        <v>0.1</v>
      </c>
      <c r="H366" s="1365" t="n">
        <f aca="false">E366*F366*G366</f>
        <v>171000</v>
      </c>
      <c r="I366" s="1365" t="n">
        <f aca="false">F366-H366</f>
        <v>-57000</v>
      </c>
      <c r="J366" s="1365" t="n">
        <f aca="false">F366*G366</f>
        <v>11400</v>
      </c>
      <c r="K366" s="1365" t="n">
        <f aca="false">J366/1792.8</f>
        <v>6.35876840696118</v>
      </c>
      <c r="L366" s="1394" t="n">
        <v>10</v>
      </c>
      <c r="M366" s="1273" t="n">
        <f aca="false">K366*L366/60</f>
        <v>1.05979473449353</v>
      </c>
    </row>
    <row r="367" customFormat="false" ht="15" hidden="false" customHeight="false" outlineLevel="0" collapsed="false">
      <c r="A367" s="216"/>
      <c r="B367" s="972" t="s">
        <v>4128</v>
      </c>
      <c r="C367" s="1161"/>
      <c r="D367" s="317"/>
      <c r="E367" s="317"/>
      <c r="F367" s="1363"/>
      <c r="G367" s="1364"/>
      <c r="H367" s="1365"/>
      <c r="I367" s="1365"/>
      <c r="J367" s="1365"/>
      <c r="K367" s="1365" t="n">
        <f aca="false">J367/1792.8</f>
        <v>0</v>
      </c>
      <c r="L367" s="1394"/>
      <c r="M367" s="1366" t="n">
        <f aca="false">SUM(M365:M366)</f>
        <v>4.31355049828945</v>
      </c>
    </row>
    <row r="368" customFormat="false" ht="45" hidden="false" customHeight="false" outlineLevel="0" collapsed="false">
      <c r="A368" s="216" t="s">
        <v>4470</v>
      </c>
      <c r="B368" s="1399" t="s">
        <v>4097</v>
      </c>
      <c r="C368" s="1161" t="s">
        <v>6959</v>
      </c>
      <c r="D368" s="317" t="n">
        <v>2007</v>
      </c>
      <c r="E368" s="317" t="n">
        <f aca="false">2021-D368</f>
        <v>14</v>
      </c>
      <c r="F368" s="1363" t="n">
        <v>350000</v>
      </c>
      <c r="G368" s="1364" t="n">
        <v>0.1</v>
      </c>
      <c r="H368" s="1365" t="n">
        <f aca="false">E368*F368*G368</f>
        <v>490000</v>
      </c>
      <c r="I368" s="1365" t="n">
        <f aca="false">F368-H368</f>
        <v>-140000</v>
      </c>
      <c r="J368" s="1365" t="n">
        <f aca="false">F368*G368</f>
        <v>35000</v>
      </c>
      <c r="K368" s="1365" t="n">
        <f aca="false">J368/1792.8</f>
        <v>19.5225345827755</v>
      </c>
      <c r="L368" s="1394" t="n">
        <v>10</v>
      </c>
      <c r="M368" s="1273" t="n">
        <f aca="false">K368*L368/60</f>
        <v>3.25375576379592</v>
      </c>
    </row>
    <row r="369" customFormat="false" ht="30" hidden="false" customHeight="false" outlineLevel="0" collapsed="false">
      <c r="A369" s="216"/>
      <c r="B369" s="337"/>
      <c r="C369" s="1161" t="s">
        <v>6958</v>
      </c>
      <c r="D369" s="317" t="n">
        <v>2006</v>
      </c>
      <c r="E369" s="317" t="n">
        <f aca="false">2021-D369</f>
        <v>15</v>
      </c>
      <c r="F369" s="1363" t="n">
        <v>114000</v>
      </c>
      <c r="G369" s="1364" t="n">
        <v>0.1</v>
      </c>
      <c r="H369" s="1365" t="n">
        <f aca="false">E369*F369*G369</f>
        <v>171000</v>
      </c>
      <c r="I369" s="1365" t="n">
        <f aca="false">F369-H369</f>
        <v>-57000</v>
      </c>
      <c r="J369" s="1365" t="n">
        <f aca="false">F369*G369</f>
        <v>11400</v>
      </c>
      <c r="K369" s="1365" t="n">
        <f aca="false">J369/1792.8</f>
        <v>6.35876840696118</v>
      </c>
      <c r="L369" s="1394" t="n">
        <v>10</v>
      </c>
      <c r="M369" s="1273" t="n">
        <f aca="false">K369*L369/60</f>
        <v>1.05979473449353</v>
      </c>
    </row>
    <row r="370" customFormat="false" ht="15" hidden="false" customHeight="false" outlineLevel="0" collapsed="false">
      <c r="A370" s="216"/>
      <c r="B370" s="972" t="s">
        <v>4128</v>
      </c>
      <c r="C370" s="1161"/>
      <c r="D370" s="317"/>
      <c r="E370" s="317"/>
      <c r="F370" s="1363"/>
      <c r="G370" s="1364"/>
      <c r="H370" s="1365"/>
      <c r="I370" s="1365"/>
      <c r="J370" s="1365"/>
      <c r="K370" s="1365" t="n">
        <f aca="false">J370/1792.8</f>
        <v>0</v>
      </c>
      <c r="L370" s="1394"/>
      <c r="M370" s="1366" t="n">
        <f aca="false">SUM(M368:M369)</f>
        <v>4.31355049828945</v>
      </c>
    </row>
    <row r="371" customFormat="false" ht="30" hidden="false" customHeight="false" outlineLevel="0" collapsed="false">
      <c r="A371" s="216" t="s">
        <v>4471</v>
      </c>
      <c r="B371" s="337" t="s">
        <v>2990</v>
      </c>
      <c r="C371" s="1161" t="s">
        <v>6959</v>
      </c>
      <c r="D371" s="317" t="n">
        <v>2007</v>
      </c>
      <c r="E371" s="317" t="n">
        <f aca="false">2021-D371</f>
        <v>14</v>
      </c>
      <c r="F371" s="1363" t="n">
        <v>350000</v>
      </c>
      <c r="G371" s="1364" t="n">
        <v>0.1</v>
      </c>
      <c r="H371" s="1365" t="n">
        <f aca="false">E371*F371*G371</f>
        <v>490000</v>
      </c>
      <c r="I371" s="1365" t="n">
        <f aca="false">F371-H371</f>
        <v>-140000</v>
      </c>
      <c r="J371" s="1365" t="n">
        <f aca="false">F371*G371</f>
        <v>35000</v>
      </c>
      <c r="K371" s="1365" t="n">
        <f aca="false">J371/1792.8</f>
        <v>19.5225345827755</v>
      </c>
      <c r="L371" s="1394" t="n">
        <v>10</v>
      </c>
      <c r="M371" s="1273" t="n">
        <f aca="false">K371*L371/60</f>
        <v>3.25375576379592</v>
      </c>
    </row>
    <row r="372" customFormat="false" ht="30" hidden="false" customHeight="false" outlineLevel="0" collapsed="false">
      <c r="A372" s="216"/>
      <c r="B372" s="337"/>
      <c r="C372" s="1161" t="s">
        <v>6958</v>
      </c>
      <c r="D372" s="317" t="n">
        <v>2006</v>
      </c>
      <c r="E372" s="317" t="n">
        <f aca="false">2021-D372</f>
        <v>15</v>
      </c>
      <c r="F372" s="1363" t="n">
        <v>114000</v>
      </c>
      <c r="G372" s="1364" t="n">
        <v>0.1</v>
      </c>
      <c r="H372" s="1365" t="n">
        <f aca="false">E372*F372*G372</f>
        <v>171000</v>
      </c>
      <c r="I372" s="1365" t="n">
        <f aca="false">F372-H372</f>
        <v>-57000</v>
      </c>
      <c r="J372" s="1365" t="n">
        <f aca="false">F372*G372</f>
        <v>11400</v>
      </c>
      <c r="K372" s="1365" t="n">
        <f aca="false">J372/1792.8</f>
        <v>6.35876840696118</v>
      </c>
      <c r="L372" s="1394" t="n">
        <v>10</v>
      </c>
      <c r="M372" s="1273" t="n">
        <f aca="false">K372*L372/60</f>
        <v>1.05979473449353</v>
      </c>
    </row>
    <row r="373" customFormat="false" ht="15" hidden="false" customHeight="false" outlineLevel="0" collapsed="false">
      <c r="A373" s="216"/>
      <c r="B373" s="972" t="s">
        <v>4128</v>
      </c>
      <c r="C373" s="1161"/>
      <c r="D373" s="317"/>
      <c r="E373" s="317"/>
      <c r="F373" s="1363"/>
      <c r="G373" s="1364"/>
      <c r="H373" s="1365"/>
      <c r="I373" s="1365"/>
      <c r="J373" s="1365"/>
      <c r="K373" s="1365" t="n">
        <f aca="false">J373/1792.8</f>
        <v>0</v>
      </c>
      <c r="L373" s="1394"/>
      <c r="M373" s="1366" t="n">
        <f aca="false">SUM(M371:M372)</f>
        <v>4.31355049828945</v>
      </c>
    </row>
    <row r="374" customFormat="false" ht="36" hidden="false" customHeight="true" outlineLevel="0" collapsed="false">
      <c r="A374" s="216" t="s">
        <v>4473</v>
      </c>
      <c r="B374" s="337" t="s">
        <v>2991</v>
      </c>
      <c r="C374" s="1161" t="s">
        <v>6959</v>
      </c>
      <c r="D374" s="317" t="n">
        <v>2007</v>
      </c>
      <c r="E374" s="317" t="n">
        <f aca="false">2021-D374</f>
        <v>14</v>
      </c>
      <c r="F374" s="1363" t="n">
        <v>350000</v>
      </c>
      <c r="G374" s="1364" t="n">
        <v>0.1</v>
      </c>
      <c r="H374" s="1365" t="n">
        <f aca="false">E374*F374*G374</f>
        <v>490000</v>
      </c>
      <c r="I374" s="1365" t="n">
        <f aca="false">F374-H374</f>
        <v>-140000</v>
      </c>
      <c r="J374" s="1365" t="n">
        <f aca="false">F374*G374</f>
        <v>35000</v>
      </c>
      <c r="K374" s="1365" t="n">
        <f aca="false">J374/1792.8</f>
        <v>19.5225345827755</v>
      </c>
      <c r="L374" s="1394" t="n">
        <v>10</v>
      </c>
      <c r="M374" s="1273" t="n">
        <f aca="false">K374*L374/60</f>
        <v>3.25375576379592</v>
      </c>
    </row>
    <row r="375" customFormat="false" ht="30" hidden="false" customHeight="false" outlineLevel="0" collapsed="false">
      <c r="A375" s="216"/>
      <c r="B375" s="337"/>
      <c r="C375" s="1161" t="s">
        <v>6958</v>
      </c>
      <c r="D375" s="317" t="n">
        <v>2006</v>
      </c>
      <c r="E375" s="317" t="n">
        <f aca="false">2021-D375</f>
        <v>15</v>
      </c>
      <c r="F375" s="1363" t="n">
        <v>114000</v>
      </c>
      <c r="G375" s="1364" t="n">
        <v>0.1</v>
      </c>
      <c r="H375" s="1365" t="n">
        <f aca="false">E375*F375*G375</f>
        <v>171000</v>
      </c>
      <c r="I375" s="1365" t="n">
        <f aca="false">F375-H375</f>
        <v>-57000</v>
      </c>
      <c r="J375" s="1365" t="n">
        <f aca="false">F375*G375</f>
        <v>11400</v>
      </c>
      <c r="K375" s="1365" t="n">
        <f aca="false">J375/1792.8</f>
        <v>6.35876840696118</v>
      </c>
      <c r="L375" s="1394" t="n">
        <v>10</v>
      </c>
      <c r="M375" s="1273" t="n">
        <f aca="false">K375*L375/60</f>
        <v>1.05979473449353</v>
      </c>
    </row>
    <row r="376" customFormat="false" ht="15" hidden="false" customHeight="false" outlineLevel="0" collapsed="false">
      <c r="A376" s="216"/>
      <c r="B376" s="972" t="s">
        <v>4128</v>
      </c>
      <c r="C376" s="1161"/>
      <c r="D376" s="317"/>
      <c r="E376" s="317"/>
      <c r="F376" s="1363"/>
      <c r="G376" s="1364"/>
      <c r="H376" s="1365"/>
      <c r="I376" s="1365"/>
      <c r="J376" s="1365"/>
      <c r="K376" s="1365" t="n">
        <f aca="false">J376/1792.8</f>
        <v>0</v>
      </c>
      <c r="L376" s="1394"/>
      <c r="M376" s="1366" t="n">
        <f aca="false">SUM(M374:M375)</f>
        <v>4.31355049828945</v>
      </c>
    </row>
    <row r="377" customFormat="false" ht="30" hidden="false" customHeight="false" outlineLevel="0" collapsed="false">
      <c r="A377" s="216" t="s">
        <v>4474</v>
      </c>
      <c r="B377" s="337" t="s">
        <v>2992</v>
      </c>
      <c r="C377" s="1161" t="s">
        <v>6959</v>
      </c>
      <c r="D377" s="317" t="n">
        <v>2007</v>
      </c>
      <c r="E377" s="317" t="n">
        <f aca="false">2021-D377</f>
        <v>14</v>
      </c>
      <c r="F377" s="1363" t="n">
        <v>350000</v>
      </c>
      <c r="G377" s="1364" t="n">
        <v>0.1</v>
      </c>
      <c r="H377" s="1365" t="n">
        <f aca="false">E377*F377*G377</f>
        <v>490000</v>
      </c>
      <c r="I377" s="1365" t="n">
        <f aca="false">F377-H377</f>
        <v>-140000</v>
      </c>
      <c r="J377" s="1365" t="n">
        <f aca="false">F377*G377</f>
        <v>35000</v>
      </c>
      <c r="K377" s="1365" t="n">
        <f aca="false">J377/1792.8</f>
        <v>19.5225345827755</v>
      </c>
      <c r="L377" s="1394" t="n">
        <v>10</v>
      </c>
      <c r="M377" s="1273" t="n">
        <f aca="false">K377*L377/60</f>
        <v>3.25375576379592</v>
      </c>
    </row>
    <row r="378" customFormat="false" ht="30" hidden="false" customHeight="false" outlineLevel="0" collapsed="false">
      <c r="A378" s="216"/>
      <c r="B378" s="337"/>
      <c r="C378" s="1161" t="s">
        <v>6958</v>
      </c>
      <c r="D378" s="317" t="n">
        <v>2006</v>
      </c>
      <c r="E378" s="317" t="n">
        <f aca="false">2021-D378</f>
        <v>15</v>
      </c>
      <c r="F378" s="1363" t="n">
        <v>114000</v>
      </c>
      <c r="G378" s="1364" t="n">
        <v>0.1</v>
      </c>
      <c r="H378" s="1365" t="n">
        <f aca="false">E378*F378*G378</f>
        <v>171000</v>
      </c>
      <c r="I378" s="1365" t="n">
        <f aca="false">F378-H378</f>
        <v>-57000</v>
      </c>
      <c r="J378" s="1365" t="n">
        <f aca="false">F378*G378</f>
        <v>11400</v>
      </c>
      <c r="K378" s="1365" t="n">
        <f aca="false">J378/1792.8</f>
        <v>6.35876840696118</v>
      </c>
      <c r="L378" s="1394" t="n">
        <v>10</v>
      </c>
      <c r="M378" s="1273" t="n">
        <f aca="false">K378*L378/60</f>
        <v>1.05979473449353</v>
      </c>
    </row>
    <row r="379" s="1161" customFormat="true" ht="15" hidden="false" customHeight="false" outlineLevel="0" collapsed="false">
      <c r="B379" s="1161" t="s">
        <v>4128</v>
      </c>
      <c r="G379" s="1364"/>
      <c r="H379" s="1365"/>
      <c r="I379" s="1365"/>
      <c r="J379" s="1365"/>
      <c r="K379" s="1365" t="n">
        <f aca="false">J379/1792.8</f>
        <v>0</v>
      </c>
      <c r="L379" s="1394"/>
      <c r="M379" s="1366" t="n">
        <f aca="false">SUM(M377:M378)</f>
        <v>4.31355049828945</v>
      </c>
    </row>
    <row r="380" customFormat="false" ht="30" hidden="false" customHeight="false" outlineLevel="0" collapsed="false">
      <c r="A380" s="216" t="s">
        <v>4477</v>
      </c>
      <c r="B380" s="337" t="s">
        <v>2993</v>
      </c>
      <c r="C380" s="1161" t="s">
        <v>6959</v>
      </c>
      <c r="D380" s="317" t="n">
        <v>2007</v>
      </c>
      <c r="E380" s="317" t="n">
        <f aca="false">2021-D380</f>
        <v>14</v>
      </c>
      <c r="F380" s="1363" t="n">
        <v>350000</v>
      </c>
      <c r="G380" s="1364" t="n">
        <v>0.1</v>
      </c>
      <c r="H380" s="1365" t="n">
        <f aca="false">E380*F380*G380</f>
        <v>490000</v>
      </c>
      <c r="I380" s="1365" t="n">
        <f aca="false">F380-H380</f>
        <v>-140000</v>
      </c>
      <c r="J380" s="1365" t="n">
        <f aca="false">F380*G380</f>
        <v>35000</v>
      </c>
      <c r="K380" s="1365" t="n">
        <f aca="false">J380/1792.8</f>
        <v>19.5225345827755</v>
      </c>
      <c r="L380" s="1394" t="n">
        <v>10</v>
      </c>
      <c r="M380" s="1273" t="n">
        <f aca="false">K380*L380/60</f>
        <v>3.25375576379592</v>
      </c>
    </row>
    <row r="381" customFormat="false" ht="30" hidden="false" customHeight="false" outlineLevel="0" collapsed="false">
      <c r="A381" s="216"/>
      <c r="B381" s="337"/>
      <c r="C381" s="1161" t="s">
        <v>6958</v>
      </c>
      <c r="D381" s="317" t="n">
        <v>2006</v>
      </c>
      <c r="E381" s="317" t="n">
        <f aca="false">2021-D381</f>
        <v>15</v>
      </c>
      <c r="F381" s="1363" t="n">
        <v>114000</v>
      </c>
      <c r="G381" s="1364" t="n">
        <v>0.1</v>
      </c>
      <c r="H381" s="1365" t="n">
        <f aca="false">E381*F381*G381</f>
        <v>171000</v>
      </c>
      <c r="I381" s="1365" t="n">
        <f aca="false">F381-H381</f>
        <v>-57000</v>
      </c>
      <c r="J381" s="1365" t="n">
        <f aca="false">F381*G381</f>
        <v>11400</v>
      </c>
      <c r="K381" s="1365" t="n">
        <f aca="false">J381/1792.8</f>
        <v>6.35876840696118</v>
      </c>
      <c r="L381" s="1394" t="n">
        <v>10</v>
      </c>
      <c r="M381" s="1273" t="n">
        <f aca="false">K381*L381/60</f>
        <v>1.05979473449353</v>
      </c>
    </row>
    <row r="382" customFormat="false" ht="15" hidden="false" customHeight="false" outlineLevel="0" collapsed="false">
      <c r="A382" s="216"/>
      <c r="B382" s="972" t="s">
        <v>4128</v>
      </c>
      <c r="C382" s="1161"/>
      <c r="D382" s="317"/>
      <c r="E382" s="317"/>
      <c r="F382" s="1363"/>
      <c r="G382" s="1364"/>
      <c r="H382" s="1365"/>
      <c r="I382" s="1365"/>
      <c r="J382" s="1365"/>
      <c r="K382" s="1365" t="n">
        <f aca="false">J382/1792.8</f>
        <v>0</v>
      </c>
      <c r="L382" s="1394"/>
      <c r="M382" s="1366" t="n">
        <f aca="false">SUM(M380:M381)</f>
        <v>4.31355049828945</v>
      </c>
    </row>
    <row r="383" customFormat="false" ht="30" hidden="false" customHeight="false" outlineLevel="0" collapsed="false">
      <c r="A383" s="216" t="s">
        <v>4478</v>
      </c>
      <c r="B383" s="337" t="s">
        <v>2994</v>
      </c>
      <c r="C383" s="1161" t="s">
        <v>6959</v>
      </c>
      <c r="D383" s="317" t="n">
        <v>2007</v>
      </c>
      <c r="E383" s="317" t="n">
        <f aca="false">2021-D383</f>
        <v>14</v>
      </c>
      <c r="F383" s="1363" t="n">
        <v>350000</v>
      </c>
      <c r="G383" s="1364" t="n">
        <v>0.1</v>
      </c>
      <c r="H383" s="1365" t="n">
        <f aca="false">E383*F383*G383</f>
        <v>490000</v>
      </c>
      <c r="I383" s="1365" t="n">
        <f aca="false">F383-H383</f>
        <v>-140000</v>
      </c>
      <c r="J383" s="1365" t="n">
        <f aca="false">F383*G383</f>
        <v>35000</v>
      </c>
      <c r="K383" s="1365" t="n">
        <f aca="false">J383/1792.8</f>
        <v>19.5225345827755</v>
      </c>
      <c r="L383" s="1394" t="n">
        <v>10</v>
      </c>
      <c r="M383" s="1273" t="n">
        <f aca="false">K383*L383/60</f>
        <v>3.25375576379592</v>
      </c>
    </row>
    <row r="384" customFormat="false" ht="30" hidden="false" customHeight="false" outlineLevel="0" collapsed="false">
      <c r="A384" s="216"/>
      <c r="B384" s="337"/>
      <c r="C384" s="1161" t="s">
        <v>6958</v>
      </c>
      <c r="D384" s="317" t="n">
        <v>2006</v>
      </c>
      <c r="E384" s="317" t="n">
        <f aca="false">2021-D384</f>
        <v>15</v>
      </c>
      <c r="F384" s="1363" t="n">
        <v>114000</v>
      </c>
      <c r="G384" s="1364" t="n">
        <v>0.1</v>
      </c>
      <c r="H384" s="1365" t="n">
        <f aca="false">E384*F384*G384</f>
        <v>171000</v>
      </c>
      <c r="I384" s="1365" t="n">
        <f aca="false">F384-H384</f>
        <v>-57000</v>
      </c>
      <c r="J384" s="1365" t="n">
        <f aca="false">F384*G384</f>
        <v>11400</v>
      </c>
      <c r="K384" s="1365" t="n">
        <f aca="false">J384/1792.8</f>
        <v>6.35876840696118</v>
      </c>
      <c r="L384" s="1394" t="n">
        <v>10</v>
      </c>
      <c r="M384" s="1273" t="n">
        <f aca="false">K384*L384/60</f>
        <v>1.05979473449353</v>
      </c>
    </row>
    <row r="385" customFormat="false" ht="15" hidden="false" customHeight="false" outlineLevel="0" collapsed="false">
      <c r="A385" s="216"/>
      <c r="B385" s="972" t="s">
        <v>4128</v>
      </c>
      <c r="C385" s="1161"/>
      <c r="D385" s="317"/>
      <c r="E385" s="317"/>
      <c r="F385" s="1363"/>
      <c r="G385" s="1364"/>
      <c r="H385" s="1365"/>
      <c r="I385" s="1365"/>
      <c r="J385" s="1365"/>
      <c r="K385" s="1365" t="n">
        <f aca="false">J385/1792.8</f>
        <v>0</v>
      </c>
      <c r="L385" s="1394"/>
      <c r="M385" s="1366" t="n">
        <f aca="false">SUM(M383:M384)</f>
        <v>4.31355049828945</v>
      </c>
    </row>
    <row r="386" customFormat="false" ht="30" hidden="false" customHeight="false" outlineLevel="0" collapsed="false">
      <c r="A386" s="1396" t="s">
        <v>295</v>
      </c>
      <c r="B386" s="337" t="s">
        <v>2995</v>
      </c>
      <c r="C386" s="1161" t="s">
        <v>6959</v>
      </c>
      <c r="D386" s="317" t="n">
        <v>2007</v>
      </c>
      <c r="E386" s="317" t="n">
        <f aca="false">2021-D386</f>
        <v>14</v>
      </c>
      <c r="F386" s="1363" t="n">
        <v>350000</v>
      </c>
      <c r="G386" s="1364" t="n">
        <v>0.1</v>
      </c>
      <c r="H386" s="1365" t="n">
        <f aca="false">E386*F386*G386</f>
        <v>490000</v>
      </c>
      <c r="I386" s="1365" t="n">
        <f aca="false">F386-H386</f>
        <v>-140000</v>
      </c>
      <c r="J386" s="1365" t="n">
        <f aca="false">F386*G386</f>
        <v>35000</v>
      </c>
      <c r="K386" s="1365" t="n">
        <f aca="false">J386/1792.8</f>
        <v>19.5225345827755</v>
      </c>
      <c r="L386" s="1394" t="n">
        <v>10</v>
      </c>
      <c r="M386" s="1273" t="n">
        <f aca="false">K386*L386/60</f>
        <v>3.25375576379592</v>
      </c>
    </row>
    <row r="387" customFormat="false" ht="30" hidden="false" customHeight="false" outlineLevel="0" collapsed="false">
      <c r="A387" s="216"/>
      <c r="B387" s="337"/>
      <c r="C387" s="1161" t="s">
        <v>6958</v>
      </c>
      <c r="D387" s="317" t="n">
        <v>2006</v>
      </c>
      <c r="E387" s="317" t="n">
        <f aca="false">2021-D387</f>
        <v>15</v>
      </c>
      <c r="F387" s="1363" t="n">
        <v>114000</v>
      </c>
      <c r="G387" s="1364" t="n">
        <v>0.1</v>
      </c>
      <c r="H387" s="1365" t="n">
        <f aca="false">E387*F387*G387</f>
        <v>171000</v>
      </c>
      <c r="I387" s="1365" t="n">
        <f aca="false">F387-H387</f>
        <v>-57000</v>
      </c>
      <c r="J387" s="1365" t="n">
        <f aca="false">F387*G387</f>
        <v>11400</v>
      </c>
      <c r="K387" s="1365" t="n">
        <f aca="false">J387/1792.8</f>
        <v>6.35876840696118</v>
      </c>
      <c r="L387" s="1394" t="n">
        <v>10</v>
      </c>
      <c r="M387" s="1273" t="n">
        <f aca="false">K387*L387/60</f>
        <v>1.05979473449353</v>
      </c>
    </row>
    <row r="388" customFormat="false" ht="15" hidden="false" customHeight="false" outlineLevel="0" collapsed="false">
      <c r="A388" s="216"/>
      <c r="B388" s="972" t="s">
        <v>4128</v>
      </c>
      <c r="C388" s="1161"/>
      <c r="D388" s="317"/>
      <c r="E388" s="317"/>
      <c r="F388" s="1363"/>
      <c r="G388" s="1364"/>
      <c r="H388" s="1365"/>
      <c r="I388" s="1365"/>
      <c r="J388" s="1365"/>
      <c r="K388" s="1365" t="n">
        <f aca="false">J388/1792.8</f>
        <v>0</v>
      </c>
      <c r="L388" s="1394"/>
      <c r="M388" s="1366" t="n">
        <f aca="false">SUM(M386:M387)</f>
        <v>4.31355049828945</v>
      </c>
    </row>
    <row r="389" customFormat="false" ht="45" hidden="false" customHeight="false" outlineLevel="0" collapsed="false">
      <c r="A389" s="216" t="s">
        <v>4481</v>
      </c>
      <c r="B389" s="337" t="s">
        <v>2996</v>
      </c>
      <c r="C389" s="1161" t="s">
        <v>6959</v>
      </c>
      <c r="D389" s="317" t="n">
        <v>2007</v>
      </c>
      <c r="E389" s="317" t="n">
        <f aca="false">2021-D389</f>
        <v>14</v>
      </c>
      <c r="F389" s="1363" t="n">
        <v>350000</v>
      </c>
      <c r="G389" s="1364" t="n">
        <v>0.1</v>
      </c>
      <c r="H389" s="1365" t="n">
        <f aca="false">E389*F389*G389</f>
        <v>490000</v>
      </c>
      <c r="I389" s="1365" t="n">
        <f aca="false">F389-H389</f>
        <v>-140000</v>
      </c>
      <c r="J389" s="1365" t="n">
        <f aca="false">F389*G389</f>
        <v>35000</v>
      </c>
      <c r="K389" s="1365" t="n">
        <f aca="false">J389/1792.8</f>
        <v>19.5225345827755</v>
      </c>
      <c r="L389" s="1394" t="n">
        <v>10</v>
      </c>
      <c r="M389" s="1273" t="n">
        <f aca="false">K389*L389/60</f>
        <v>3.25375576379592</v>
      </c>
    </row>
    <row r="390" customFormat="false" ht="30" hidden="false" customHeight="false" outlineLevel="0" collapsed="false">
      <c r="A390" s="216"/>
      <c r="B390" s="337"/>
      <c r="C390" s="1161" t="s">
        <v>6958</v>
      </c>
      <c r="D390" s="317" t="n">
        <v>2006</v>
      </c>
      <c r="E390" s="317" t="n">
        <f aca="false">2021-D390</f>
        <v>15</v>
      </c>
      <c r="F390" s="1363" t="n">
        <v>114000</v>
      </c>
      <c r="G390" s="1364" t="n">
        <v>0.1</v>
      </c>
      <c r="H390" s="1365" t="n">
        <f aca="false">E390*F390*G390</f>
        <v>171000</v>
      </c>
      <c r="I390" s="1365" t="n">
        <f aca="false">F390-H390</f>
        <v>-57000</v>
      </c>
      <c r="J390" s="1365" t="n">
        <f aca="false">F390*G390</f>
        <v>11400</v>
      </c>
      <c r="K390" s="1365" t="n">
        <f aca="false">J390/1792.8</f>
        <v>6.35876840696118</v>
      </c>
      <c r="L390" s="1394" t="n">
        <v>10</v>
      </c>
      <c r="M390" s="1273" t="n">
        <f aca="false">K390*L390/60</f>
        <v>1.05979473449353</v>
      </c>
    </row>
    <row r="391" customFormat="false" ht="15" hidden="false" customHeight="false" outlineLevel="0" collapsed="false">
      <c r="A391" s="216"/>
      <c r="B391" s="972" t="s">
        <v>4128</v>
      </c>
      <c r="C391" s="1161"/>
      <c r="D391" s="317"/>
      <c r="E391" s="317"/>
      <c r="F391" s="1363"/>
      <c r="G391" s="1364"/>
      <c r="H391" s="1365"/>
      <c r="I391" s="1365"/>
      <c r="J391" s="1365"/>
      <c r="K391" s="1365" t="n">
        <f aca="false">J391/1792.8</f>
        <v>0</v>
      </c>
      <c r="L391" s="1394"/>
      <c r="M391" s="1366" t="n">
        <f aca="false">SUM(M389:M390)</f>
        <v>4.31355049828945</v>
      </c>
    </row>
    <row r="392" customFormat="false" ht="30" hidden="false" customHeight="false" outlineLevel="0" collapsed="false">
      <c r="A392" s="216" t="s">
        <v>4488</v>
      </c>
      <c r="B392" s="337" t="s">
        <v>2997</v>
      </c>
      <c r="C392" s="1161" t="s">
        <v>6959</v>
      </c>
      <c r="D392" s="317" t="n">
        <v>2007</v>
      </c>
      <c r="E392" s="317" t="n">
        <f aca="false">2021-D392</f>
        <v>14</v>
      </c>
      <c r="F392" s="1363" t="n">
        <v>350000</v>
      </c>
      <c r="G392" s="1364" t="n">
        <v>0.1</v>
      </c>
      <c r="H392" s="1365" t="n">
        <f aca="false">E392*F392*G392</f>
        <v>490000</v>
      </c>
      <c r="I392" s="1365" t="n">
        <f aca="false">F392-H392</f>
        <v>-140000</v>
      </c>
      <c r="J392" s="1365" t="n">
        <f aca="false">F392*G392</f>
        <v>35000</v>
      </c>
      <c r="K392" s="1365" t="n">
        <f aca="false">J392/1792.8</f>
        <v>19.5225345827755</v>
      </c>
      <c r="L392" s="1394" t="n">
        <v>10</v>
      </c>
      <c r="M392" s="1273" t="n">
        <f aca="false">K392*L392/60</f>
        <v>3.25375576379592</v>
      </c>
    </row>
    <row r="393" customFormat="false" ht="30" hidden="false" customHeight="false" outlineLevel="0" collapsed="false">
      <c r="A393" s="216"/>
      <c r="B393" s="337"/>
      <c r="C393" s="1161" t="s">
        <v>6958</v>
      </c>
      <c r="D393" s="317" t="n">
        <v>2006</v>
      </c>
      <c r="E393" s="317" t="n">
        <f aca="false">2021-D393</f>
        <v>15</v>
      </c>
      <c r="F393" s="1363" t="n">
        <v>114000</v>
      </c>
      <c r="G393" s="1364" t="n">
        <v>0.1</v>
      </c>
      <c r="H393" s="1365" t="n">
        <f aca="false">E393*F393*G393</f>
        <v>171000</v>
      </c>
      <c r="I393" s="1365" t="n">
        <f aca="false">F393-H393</f>
        <v>-57000</v>
      </c>
      <c r="J393" s="1365" t="n">
        <f aca="false">F393*G393</f>
        <v>11400</v>
      </c>
      <c r="K393" s="1365" t="n">
        <f aca="false">J393/1792.8</f>
        <v>6.35876840696118</v>
      </c>
      <c r="L393" s="1394" t="n">
        <v>10</v>
      </c>
      <c r="M393" s="1273" t="n">
        <f aca="false">K393*L393/60</f>
        <v>1.05979473449353</v>
      </c>
    </row>
    <row r="394" customFormat="false" ht="15" hidden="false" customHeight="false" outlineLevel="0" collapsed="false">
      <c r="A394" s="216"/>
      <c r="B394" s="972" t="s">
        <v>4128</v>
      </c>
      <c r="C394" s="1161"/>
      <c r="D394" s="317"/>
      <c r="E394" s="317"/>
      <c r="F394" s="1363"/>
      <c r="G394" s="1364"/>
      <c r="H394" s="1365"/>
      <c r="I394" s="1365"/>
      <c r="J394" s="1365"/>
      <c r="K394" s="1365" t="n">
        <f aca="false">J394/1792.8</f>
        <v>0</v>
      </c>
      <c r="L394" s="1394"/>
      <c r="M394" s="1366" t="n">
        <f aca="false">SUM(M392:M393)</f>
        <v>4.31355049828945</v>
      </c>
    </row>
    <row r="395" customFormat="false" ht="45" hidden="false" customHeight="false" outlineLevel="0" collapsed="false">
      <c r="A395" s="216" t="s">
        <v>4489</v>
      </c>
      <c r="B395" s="337" t="s">
        <v>2998</v>
      </c>
      <c r="C395" s="310" t="s">
        <v>6965</v>
      </c>
      <c r="D395" s="317" t="n">
        <v>2014</v>
      </c>
      <c r="E395" s="317" t="n">
        <f aca="false">2021-D395</f>
        <v>7</v>
      </c>
      <c r="F395" s="1363" t="n">
        <v>375200</v>
      </c>
      <c r="G395" s="1364" t="n">
        <v>0.1</v>
      </c>
      <c r="H395" s="1365" t="n">
        <f aca="false">E395*F395*G395</f>
        <v>262640</v>
      </c>
      <c r="I395" s="1365" t="n">
        <f aca="false">F395-H395</f>
        <v>112560</v>
      </c>
      <c r="J395" s="1365" t="n">
        <f aca="false">F395*G395</f>
        <v>37520</v>
      </c>
      <c r="K395" s="1365" t="n">
        <f aca="false">J395/1792.8</f>
        <v>20.9281570727354</v>
      </c>
      <c r="L395" s="1394" t="n">
        <v>10</v>
      </c>
      <c r="M395" s="1273" t="n">
        <f aca="false">K395*L395/60</f>
        <v>3.48802617878923</v>
      </c>
    </row>
    <row r="396" customFormat="false" ht="30" hidden="false" customHeight="false" outlineLevel="0" collapsed="false">
      <c r="A396" s="216"/>
      <c r="B396" s="29"/>
      <c r="C396" s="1161" t="s">
        <v>6959</v>
      </c>
      <c r="D396" s="317" t="n">
        <v>2007</v>
      </c>
      <c r="E396" s="317" t="n">
        <f aca="false">2021-D396</f>
        <v>14</v>
      </c>
      <c r="F396" s="1363" t="n">
        <v>350000</v>
      </c>
      <c r="G396" s="1364" t="n">
        <v>0.1</v>
      </c>
      <c r="H396" s="1365" t="n">
        <f aca="false">E396*F396*G396</f>
        <v>490000</v>
      </c>
      <c r="I396" s="1365" t="n">
        <f aca="false">F396-H396</f>
        <v>-140000</v>
      </c>
      <c r="J396" s="1365" t="n">
        <f aca="false">F396*G396</f>
        <v>35000</v>
      </c>
      <c r="K396" s="1365" t="n">
        <f aca="false">J396/1792.8</f>
        <v>19.5225345827755</v>
      </c>
      <c r="L396" s="1394" t="n">
        <v>5</v>
      </c>
      <c r="M396" s="1273" t="n">
        <f aca="false">K396*L396/60</f>
        <v>1.62687788189796</v>
      </c>
    </row>
    <row r="397" customFormat="false" ht="30" hidden="false" customHeight="false" outlineLevel="0" collapsed="false">
      <c r="A397" s="216"/>
      <c r="B397" s="29"/>
      <c r="C397" s="1161" t="s">
        <v>6958</v>
      </c>
      <c r="D397" s="317" t="n">
        <v>2006</v>
      </c>
      <c r="E397" s="317" t="n">
        <f aca="false">2021-D397</f>
        <v>15</v>
      </c>
      <c r="F397" s="1363" t="n">
        <v>114000</v>
      </c>
      <c r="G397" s="1364" t="n">
        <v>0.1</v>
      </c>
      <c r="H397" s="1365" t="n">
        <f aca="false">E397*F397*G397</f>
        <v>171000</v>
      </c>
      <c r="I397" s="1365" t="n">
        <f aca="false">F397-H397</f>
        <v>-57000</v>
      </c>
      <c r="J397" s="1365" t="n">
        <f aca="false">F397*G397</f>
        <v>11400</v>
      </c>
      <c r="K397" s="1365" t="n">
        <f aca="false">J397/1792.8</f>
        <v>6.35876840696118</v>
      </c>
      <c r="L397" s="1394" t="n">
        <v>5</v>
      </c>
      <c r="M397" s="1273" t="n">
        <f aca="false">K397*L397/60</f>
        <v>0.529897367246765</v>
      </c>
    </row>
    <row r="398" customFormat="false" ht="15" hidden="false" customHeight="false" outlineLevel="0" collapsed="false">
      <c r="A398" s="216"/>
      <c r="B398" s="972" t="s">
        <v>4128</v>
      </c>
      <c r="C398" s="1053"/>
      <c r="D398" s="135"/>
      <c r="E398" s="317"/>
      <c r="F398" s="135"/>
      <c r="G398" s="1364"/>
      <c r="H398" s="1365"/>
      <c r="I398" s="1365"/>
      <c r="J398" s="1365"/>
      <c r="K398" s="1365" t="n">
        <f aca="false">J398/1792.8</f>
        <v>0</v>
      </c>
      <c r="L398" s="1394"/>
      <c r="M398" s="1366" t="n">
        <f aca="false">SUM(M396:M397)</f>
        <v>2.15677524914473</v>
      </c>
    </row>
    <row r="399" customFormat="false" ht="30" hidden="false" customHeight="false" outlineLevel="0" collapsed="false">
      <c r="A399" s="216" t="s">
        <v>4492</v>
      </c>
      <c r="B399" s="337" t="s">
        <v>2999</v>
      </c>
      <c r="C399" s="1161" t="s">
        <v>6959</v>
      </c>
      <c r="D399" s="317" t="n">
        <v>2007</v>
      </c>
      <c r="E399" s="317" t="n">
        <f aca="false">2021-D399</f>
        <v>14</v>
      </c>
      <c r="F399" s="1363" t="n">
        <v>350000</v>
      </c>
      <c r="G399" s="1364" t="n">
        <v>0.1</v>
      </c>
      <c r="H399" s="1365" t="n">
        <f aca="false">E399*F399*G399</f>
        <v>490000</v>
      </c>
      <c r="I399" s="1365" t="n">
        <f aca="false">F399-H399</f>
        <v>-140000</v>
      </c>
      <c r="J399" s="1365" t="n">
        <f aca="false">F399*G399</f>
        <v>35000</v>
      </c>
      <c r="K399" s="1365" t="n">
        <f aca="false">J399/1792.8</f>
        <v>19.5225345827755</v>
      </c>
      <c r="L399" s="1394" t="n">
        <v>10</v>
      </c>
      <c r="M399" s="1273" t="n">
        <f aca="false">K399*L399/60</f>
        <v>3.25375576379592</v>
      </c>
    </row>
    <row r="400" customFormat="false" ht="30" hidden="false" customHeight="false" outlineLevel="0" collapsed="false">
      <c r="A400" s="1402"/>
      <c r="B400" s="78"/>
      <c r="C400" s="1161" t="s">
        <v>6958</v>
      </c>
      <c r="D400" s="317" t="n">
        <v>2006</v>
      </c>
      <c r="E400" s="317" t="n">
        <f aca="false">2021-D400</f>
        <v>15</v>
      </c>
      <c r="F400" s="1363" t="n">
        <v>114000</v>
      </c>
      <c r="G400" s="1364" t="n">
        <v>0.1</v>
      </c>
      <c r="H400" s="1365" t="n">
        <f aca="false">E400*F400*G400</f>
        <v>171000</v>
      </c>
      <c r="I400" s="1365" t="n">
        <f aca="false">F400-H400</f>
        <v>-57000</v>
      </c>
      <c r="J400" s="1365" t="n">
        <f aca="false">F400*G400</f>
        <v>11400</v>
      </c>
      <c r="K400" s="1365" t="n">
        <f aca="false">J400/1792.8</f>
        <v>6.35876840696118</v>
      </c>
      <c r="L400" s="1394" t="n">
        <v>10</v>
      </c>
      <c r="M400" s="1273" t="n">
        <f aca="false">K400*L400/60</f>
        <v>1.05979473449353</v>
      </c>
    </row>
    <row r="401" customFormat="false" ht="15" hidden="false" customHeight="false" outlineLevel="0" collapsed="false">
      <c r="A401" s="1369"/>
      <c r="B401" s="972" t="s">
        <v>4128</v>
      </c>
      <c r="C401" s="1160"/>
      <c r="D401" s="135"/>
      <c r="E401" s="317"/>
      <c r="F401" s="135"/>
      <c r="G401" s="1364"/>
      <c r="H401" s="1365"/>
      <c r="I401" s="1365"/>
      <c r="J401" s="1365"/>
      <c r="K401" s="1365" t="n">
        <f aca="false">J401/1792.8</f>
        <v>0</v>
      </c>
      <c r="L401" s="1394"/>
      <c r="M401" s="1366" t="n">
        <f aca="false">SUM(M399:M400)</f>
        <v>4.31355049828945</v>
      </c>
    </row>
    <row r="402" customFormat="false" ht="30" hidden="false" customHeight="false" outlineLevel="0" collapsed="false">
      <c r="A402" s="1396" t="s">
        <v>305</v>
      </c>
      <c r="B402" s="337" t="s">
        <v>3000</v>
      </c>
      <c r="C402" s="1161" t="s">
        <v>6966</v>
      </c>
      <c r="D402" s="317" t="n">
        <v>2005</v>
      </c>
      <c r="E402" s="317" t="n">
        <f aca="false">2021-D402</f>
        <v>16</v>
      </c>
      <c r="F402" s="317" t="n">
        <v>5608600</v>
      </c>
      <c r="G402" s="1364" t="n">
        <v>0.1</v>
      </c>
      <c r="H402" s="1365" t="n">
        <f aca="false">E402*F402*G402</f>
        <v>8973760</v>
      </c>
      <c r="I402" s="1365" t="n">
        <f aca="false">F402-H402</f>
        <v>-3365160</v>
      </c>
      <c r="J402" s="1365" t="n">
        <f aca="false">F402*G402</f>
        <v>560860</v>
      </c>
      <c r="K402" s="1365" t="n">
        <f aca="false">J402/1792.8</f>
        <v>312.840249888443</v>
      </c>
      <c r="L402" s="1394" t="n">
        <v>5</v>
      </c>
      <c r="M402" s="1273" t="n">
        <f aca="false">K402*L402/60</f>
        <v>26.0700208240369</v>
      </c>
    </row>
    <row r="403" customFormat="false" ht="30" hidden="false" customHeight="false" outlineLevel="0" collapsed="false">
      <c r="A403" s="216"/>
      <c r="B403" s="337"/>
      <c r="C403" s="1161" t="s">
        <v>6959</v>
      </c>
      <c r="D403" s="317" t="n">
        <v>2007</v>
      </c>
      <c r="E403" s="317" t="n">
        <f aca="false">2021-D403</f>
        <v>14</v>
      </c>
      <c r="F403" s="1363" t="n">
        <v>350000</v>
      </c>
      <c r="G403" s="1364" t="n">
        <v>0.1</v>
      </c>
      <c r="H403" s="1365" t="n">
        <f aca="false">E403*F403*G403</f>
        <v>490000</v>
      </c>
      <c r="I403" s="1365" t="n">
        <f aca="false">F403-H403</f>
        <v>-140000</v>
      </c>
      <c r="J403" s="1365" t="n">
        <f aca="false">F403*G403</f>
        <v>35000</v>
      </c>
      <c r="K403" s="1365" t="n">
        <f aca="false">J403/1792.8</f>
        <v>19.5225345827755</v>
      </c>
      <c r="L403" s="1394" t="n">
        <v>5</v>
      </c>
      <c r="M403" s="1273" t="n">
        <f aca="false">K403*L403/60</f>
        <v>1.62687788189796</v>
      </c>
    </row>
    <row r="404" customFormat="false" ht="30" hidden="false" customHeight="false" outlineLevel="0" collapsed="false">
      <c r="A404" s="216"/>
      <c r="B404" s="337"/>
      <c r="C404" s="358" t="s">
        <v>6967</v>
      </c>
      <c r="D404" s="317" t="n">
        <v>2016</v>
      </c>
      <c r="E404" s="317" t="n">
        <f aca="false">2021-D404</f>
        <v>5</v>
      </c>
      <c r="F404" s="1363" t="n">
        <v>2302000</v>
      </c>
      <c r="G404" s="1364" t="n">
        <v>0.1</v>
      </c>
      <c r="H404" s="1365" t="n">
        <f aca="false">E404*F404*G404</f>
        <v>1151000</v>
      </c>
      <c r="I404" s="1365" t="n">
        <f aca="false">F404-H404</f>
        <v>1151000</v>
      </c>
      <c r="J404" s="1365" t="n">
        <f aca="false">F404*G404</f>
        <v>230200</v>
      </c>
      <c r="K404" s="1365" t="n">
        <f aca="false">J404/1792.8</f>
        <v>128.402498884427</v>
      </c>
      <c r="L404" s="1394" t="n">
        <v>5</v>
      </c>
      <c r="M404" s="1273" t="n">
        <f aca="false">K404*L404/60</f>
        <v>10.7002082403689</v>
      </c>
    </row>
    <row r="405" customFormat="false" ht="30" hidden="false" customHeight="false" outlineLevel="0" collapsed="false">
      <c r="A405" s="216"/>
      <c r="B405" s="972"/>
      <c r="C405" s="1161" t="s">
        <v>6958</v>
      </c>
      <c r="D405" s="317" t="n">
        <v>2006</v>
      </c>
      <c r="E405" s="317" t="n">
        <f aca="false">2021-D405</f>
        <v>15</v>
      </c>
      <c r="F405" s="1363" t="n">
        <v>114000</v>
      </c>
      <c r="G405" s="1364" t="n">
        <v>0.1</v>
      </c>
      <c r="H405" s="1365" t="n">
        <f aca="false">E405*F405*G405</f>
        <v>171000</v>
      </c>
      <c r="I405" s="1365" t="n">
        <f aca="false">F405-H405</f>
        <v>-57000</v>
      </c>
      <c r="J405" s="1365" t="n">
        <f aca="false">F405*G405</f>
        <v>11400</v>
      </c>
      <c r="K405" s="1365" t="n">
        <f aca="false">J405/1792.8</f>
        <v>6.35876840696118</v>
      </c>
      <c r="L405" s="1394" t="n">
        <v>5</v>
      </c>
      <c r="M405" s="1273" t="n">
        <f aca="false">K405*L405/60</f>
        <v>0.529897367246765</v>
      </c>
    </row>
    <row r="406" customFormat="false" ht="15" hidden="false" customHeight="false" outlineLevel="0" collapsed="false">
      <c r="A406" s="216"/>
      <c r="B406" s="972" t="s">
        <v>4128</v>
      </c>
      <c r="C406" s="1160"/>
      <c r="D406" s="135"/>
      <c r="E406" s="317"/>
      <c r="F406" s="135"/>
      <c r="G406" s="1364"/>
      <c r="H406" s="1365"/>
      <c r="I406" s="1365"/>
      <c r="J406" s="1365"/>
      <c r="K406" s="1365" t="n">
        <f aca="false">J406/1792.8</f>
        <v>0</v>
      </c>
      <c r="L406" s="1394"/>
      <c r="M406" s="1366" t="n">
        <f aca="false">SUM(M402:M405)</f>
        <v>38.9270043135505</v>
      </c>
    </row>
    <row r="407" customFormat="false" ht="32.25" hidden="false" customHeight="true" outlineLevel="0" collapsed="false">
      <c r="A407" s="216" t="s">
        <v>4498</v>
      </c>
      <c r="B407" s="46" t="s">
        <v>3001</v>
      </c>
      <c r="C407" s="1161" t="s">
        <v>6966</v>
      </c>
      <c r="D407" s="317" t="n">
        <v>2005</v>
      </c>
      <c r="E407" s="317" t="n">
        <f aca="false">2021-D407</f>
        <v>16</v>
      </c>
      <c r="F407" s="317" t="n">
        <v>5608600</v>
      </c>
      <c r="G407" s="1364" t="n">
        <v>0.1</v>
      </c>
      <c r="H407" s="1365" t="n">
        <f aca="false">E407*F407*G407</f>
        <v>8973760</v>
      </c>
      <c r="I407" s="1365" t="n">
        <f aca="false">F407-H407</f>
        <v>-3365160</v>
      </c>
      <c r="J407" s="1365" t="n">
        <f aca="false">F407*G407</f>
        <v>560860</v>
      </c>
      <c r="K407" s="1365" t="n">
        <f aca="false">J407/1792.8</f>
        <v>312.840249888443</v>
      </c>
      <c r="L407" s="1394" t="n">
        <v>150</v>
      </c>
      <c r="M407" s="1273" t="n">
        <f aca="false">K407*L407/60</f>
        <v>782.100624721107</v>
      </c>
    </row>
    <row r="408" customFormat="false" ht="30" hidden="false" customHeight="false" outlineLevel="0" collapsed="false">
      <c r="A408" s="216"/>
      <c r="B408" s="337"/>
      <c r="C408" s="1161" t="s">
        <v>6959</v>
      </c>
      <c r="D408" s="317" t="n">
        <v>2007</v>
      </c>
      <c r="E408" s="317" t="n">
        <f aca="false">2021-D408</f>
        <v>14</v>
      </c>
      <c r="F408" s="1363" t="n">
        <v>350000</v>
      </c>
      <c r="G408" s="1364" t="n">
        <v>0.1</v>
      </c>
      <c r="H408" s="1365" t="n">
        <f aca="false">E408*F408*G408</f>
        <v>490000</v>
      </c>
      <c r="I408" s="1365" t="n">
        <f aca="false">F408-H408</f>
        <v>-140000</v>
      </c>
      <c r="J408" s="1365" t="n">
        <f aca="false">F408*G408</f>
        <v>35000</v>
      </c>
      <c r="K408" s="1365" t="n">
        <f aca="false">J408/1792.8</f>
        <v>19.5225345827755</v>
      </c>
      <c r="L408" s="1394" t="n">
        <v>10</v>
      </c>
      <c r="M408" s="1273" t="n">
        <f aca="false">K408*L408/60</f>
        <v>3.25375576379592</v>
      </c>
    </row>
    <row r="409" customFormat="false" ht="30" hidden="false" customHeight="false" outlineLevel="0" collapsed="false">
      <c r="A409" s="216"/>
      <c r="B409" s="337"/>
      <c r="C409" s="358" t="s">
        <v>6967</v>
      </c>
      <c r="D409" s="317" t="n">
        <v>2016</v>
      </c>
      <c r="E409" s="317" t="n">
        <f aca="false">2021-D409</f>
        <v>5</v>
      </c>
      <c r="F409" s="1363" t="n">
        <v>2302000</v>
      </c>
      <c r="G409" s="1364" t="n">
        <v>0.1</v>
      </c>
      <c r="H409" s="1365" t="n">
        <f aca="false">E409*F409*G409</f>
        <v>1151000</v>
      </c>
      <c r="I409" s="1365" t="n">
        <f aca="false">F409-H409</f>
        <v>1151000</v>
      </c>
      <c r="J409" s="1365" t="n">
        <f aca="false">F409*G409</f>
        <v>230200</v>
      </c>
      <c r="K409" s="1365" t="n">
        <f aca="false">J409/1792.8</f>
        <v>128.402498884427</v>
      </c>
      <c r="L409" s="1394" t="n">
        <v>10</v>
      </c>
      <c r="M409" s="1273" t="n">
        <f aca="false">K409*L409/60</f>
        <v>21.4004164807378</v>
      </c>
    </row>
    <row r="410" customFormat="false" ht="30" hidden="false" customHeight="false" outlineLevel="0" collapsed="false">
      <c r="A410" s="216"/>
      <c r="B410" s="972"/>
      <c r="C410" s="1161" t="s">
        <v>6958</v>
      </c>
      <c r="D410" s="317" t="n">
        <v>2006</v>
      </c>
      <c r="E410" s="317" t="n">
        <f aca="false">2021-D410</f>
        <v>15</v>
      </c>
      <c r="F410" s="1363" t="n">
        <v>114000</v>
      </c>
      <c r="G410" s="1364" t="n">
        <v>0.1</v>
      </c>
      <c r="H410" s="1365" t="n">
        <f aca="false">E410*F410*G410</f>
        <v>171000</v>
      </c>
      <c r="I410" s="1365" t="n">
        <f aca="false">F410-H410</f>
        <v>-57000</v>
      </c>
      <c r="J410" s="1365" t="n">
        <f aca="false">F410*G410</f>
        <v>11400</v>
      </c>
      <c r="K410" s="1365" t="n">
        <f aca="false">J410/1792.8</f>
        <v>6.35876840696118</v>
      </c>
      <c r="L410" s="1394" t="n">
        <v>10</v>
      </c>
      <c r="M410" s="1273" t="n">
        <f aca="false">K410*L410/60</f>
        <v>1.05979473449353</v>
      </c>
    </row>
    <row r="411" customFormat="false" ht="15" hidden="false" customHeight="false" outlineLevel="0" collapsed="false">
      <c r="A411" s="216"/>
      <c r="B411" s="972" t="s">
        <v>4128</v>
      </c>
      <c r="C411" s="1160"/>
      <c r="D411" s="135"/>
      <c r="E411" s="317"/>
      <c r="F411" s="135"/>
      <c r="G411" s="1364"/>
      <c r="H411" s="1365"/>
      <c r="I411" s="1365"/>
      <c r="J411" s="1365"/>
      <c r="K411" s="1365" t="n">
        <f aca="false">J411/1792.8</f>
        <v>0</v>
      </c>
      <c r="L411" s="1394"/>
      <c r="M411" s="1366" t="n">
        <f aca="false">SUM(M407:M410)</f>
        <v>807.814591700134</v>
      </c>
    </row>
    <row r="412" customFormat="false" ht="45" hidden="false" customHeight="false" outlineLevel="0" collapsed="false">
      <c r="A412" s="216" t="s">
        <v>4499</v>
      </c>
      <c r="B412" s="337" t="s">
        <v>3002</v>
      </c>
      <c r="C412" s="1161" t="s">
        <v>6966</v>
      </c>
      <c r="D412" s="317" t="n">
        <v>2005</v>
      </c>
      <c r="E412" s="317" t="n">
        <f aca="false">2021-D412</f>
        <v>16</v>
      </c>
      <c r="F412" s="317" t="n">
        <v>5608600</v>
      </c>
      <c r="G412" s="1364" t="n">
        <v>0.1</v>
      </c>
      <c r="H412" s="1365" t="n">
        <f aca="false">E412*F412*G412</f>
        <v>8973760</v>
      </c>
      <c r="I412" s="1365" t="n">
        <f aca="false">F412-H412</f>
        <v>-3365160</v>
      </c>
      <c r="J412" s="1365" t="n">
        <f aca="false">F412*G412</f>
        <v>560860</v>
      </c>
      <c r="K412" s="1365" t="n">
        <f aca="false">J412/1792.8</f>
        <v>312.840249888443</v>
      </c>
      <c r="L412" s="1394" t="n">
        <v>150</v>
      </c>
      <c r="M412" s="1273" t="n">
        <f aca="false">K412*L412/60</f>
        <v>782.100624721107</v>
      </c>
    </row>
    <row r="413" customFormat="false" ht="30" hidden="false" customHeight="false" outlineLevel="0" collapsed="false">
      <c r="A413" s="216"/>
      <c r="B413" s="337"/>
      <c r="C413" s="1161" t="s">
        <v>6959</v>
      </c>
      <c r="D413" s="317" t="n">
        <v>2007</v>
      </c>
      <c r="E413" s="317" t="n">
        <f aca="false">2021-D413</f>
        <v>14</v>
      </c>
      <c r="F413" s="1363" t="n">
        <v>350000</v>
      </c>
      <c r="G413" s="1364" t="n">
        <v>0.1</v>
      </c>
      <c r="H413" s="1365" t="n">
        <f aca="false">E413*F413*G413</f>
        <v>490000</v>
      </c>
      <c r="I413" s="1365" t="n">
        <f aca="false">F413-H413</f>
        <v>-140000</v>
      </c>
      <c r="J413" s="1365" t="n">
        <f aca="false">F413*G413</f>
        <v>35000</v>
      </c>
      <c r="K413" s="1365" t="n">
        <f aca="false">J413/1792.8</f>
        <v>19.5225345827755</v>
      </c>
      <c r="L413" s="1394" t="n">
        <v>10</v>
      </c>
      <c r="M413" s="1273" t="n">
        <f aca="false">K413*L413/60</f>
        <v>3.25375576379592</v>
      </c>
    </row>
    <row r="414" customFormat="false" ht="30" hidden="false" customHeight="false" outlineLevel="0" collapsed="false">
      <c r="A414" s="216"/>
      <c r="B414" s="337"/>
      <c r="C414" s="358" t="s">
        <v>6967</v>
      </c>
      <c r="D414" s="317" t="n">
        <v>2016</v>
      </c>
      <c r="E414" s="317" t="n">
        <f aca="false">2021-D414</f>
        <v>5</v>
      </c>
      <c r="F414" s="1363" t="n">
        <v>2302000</v>
      </c>
      <c r="G414" s="1364" t="n">
        <v>0.1</v>
      </c>
      <c r="H414" s="1365" t="n">
        <f aca="false">E414*F414*G414</f>
        <v>1151000</v>
      </c>
      <c r="I414" s="1365" t="n">
        <f aca="false">F414-H414</f>
        <v>1151000</v>
      </c>
      <c r="J414" s="1365" t="n">
        <f aca="false">F414*G414</f>
        <v>230200</v>
      </c>
      <c r="K414" s="1365" t="n">
        <f aca="false">J414/1792.8</f>
        <v>128.402498884427</v>
      </c>
      <c r="L414" s="1394" t="n">
        <v>10</v>
      </c>
      <c r="M414" s="1273" t="n">
        <f aca="false">K414*L414/60</f>
        <v>21.4004164807378</v>
      </c>
    </row>
    <row r="415" customFormat="false" ht="30" hidden="false" customHeight="false" outlineLevel="0" collapsed="false">
      <c r="A415" s="216"/>
      <c r="B415" s="972"/>
      <c r="C415" s="1161" t="s">
        <v>6958</v>
      </c>
      <c r="D415" s="317" t="n">
        <v>2006</v>
      </c>
      <c r="E415" s="317" t="n">
        <f aca="false">2021-D415</f>
        <v>15</v>
      </c>
      <c r="F415" s="1363" t="n">
        <v>114000</v>
      </c>
      <c r="G415" s="1364" t="n">
        <v>0.1</v>
      </c>
      <c r="H415" s="1365" t="n">
        <f aca="false">E415*F415*G415</f>
        <v>171000</v>
      </c>
      <c r="I415" s="1365" t="n">
        <f aca="false">F415-H415</f>
        <v>-57000</v>
      </c>
      <c r="J415" s="1365" t="n">
        <f aca="false">F415*G415</f>
        <v>11400</v>
      </c>
      <c r="K415" s="1365" t="n">
        <f aca="false">J415/1792.8</f>
        <v>6.35876840696118</v>
      </c>
      <c r="L415" s="1394" t="n">
        <v>10</v>
      </c>
      <c r="M415" s="1273" t="n">
        <f aca="false">K415*L415/60</f>
        <v>1.05979473449353</v>
      </c>
    </row>
    <row r="416" customFormat="false" ht="15" hidden="false" customHeight="false" outlineLevel="0" collapsed="false">
      <c r="A416" s="216"/>
      <c r="B416" s="972" t="s">
        <v>4128</v>
      </c>
      <c r="C416" s="1160"/>
      <c r="D416" s="135"/>
      <c r="E416" s="317"/>
      <c r="F416" s="135"/>
      <c r="G416" s="1364"/>
      <c r="H416" s="1365"/>
      <c r="I416" s="1365"/>
      <c r="J416" s="1365"/>
      <c r="K416" s="1365" t="n">
        <f aca="false">J416/1792.8</f>
        <v>0</v>
      </c>
      <c r="L416" s="1394"/>
      <c r="M416" s="1366" t="n">
        <f aca="false">SUM(M412:M415)</f>
        <v>807.814591700134</v>
      </c>
    </row>
    <row r="417" customFormat="false" ht="45" hidden="false" customHeight="false" outlineLevel="0" collapsed="false">
      <c r="A417" s="216" t="s">
        <v>4500</v>
      </c>
      <c r="B417" s="337" t="s">
        <v>3003</v>
      </c>
      <c r="C417" s="1161" t="s">
        <v>6941</v>
      </c>
      <c r="D417" s="317" t="n">
        <v>2012</v>
      </c>
      <c r="E417" s="317" t="n">
        <f aca="false">2021-D417</f>
        <v>9</v>
      </c>
      <c r="F417" s="317" t="n">
        <v>44483193.14</v>
      </c>
      <c r="G417" s="1364" t="n">
        <v>0.1</v>
      </c>
      <c r="H417" s="1365" t="n">
        <f aca="false">E417*F417*G417</f>
        <v>40034873.826</v>
      </c>
      <c r="I417" s="1365" t="n">
        <f aca="false">F417-H417</f>
        <v>4448319.314</v>
      </c>
      <c r="J417" s="1365" t="n">
        <f aca="false">F417*G417</f>
        <v>4448319.314</v>
      </c>
      <c r="K417" s="1365" t="n">
        <f aca="false">J417/1792.8</f>
        <v>2481.21336122267</v>
      </c>
      <c r="L417" s="1394" t="n">
        <v>150</v>
      </c>
      <c r="M417" s="1273" t="n">
        <f aca="false">K417*L417/60</f>
        <v>6203.03340305667</v>
      </c>
    </row>
    <row r="418" customFormat="false" ht="30" hidden="false" customHeight="false" outlineLevel="0" collapsed="false">
      <c r="A418" s="216"/>
      <c r="B418" s="972"/>
      <c r="C418" s="1161" t="s">
        <v>6959</v>
      </c>
      <c r="D418" s="317" t="n">
        <v>2007</v>
      </c>
      <c r="E418" s="317" t="n">
        <f aca="false">2021-D418</f>
        <v>14</v>
      </c>
      <c r="F418" s="1363" t="n">
        <v>350000</v>
      </c>
      <c r="G418" s="1364" t="n">
        <v>0.1</v>
      </c>
      <c r="H418" s="1365" t="n">
        <f aca="false">E418*F418*G418</f>
        <v>490000</v>
      </c>
      <c r="I418" s="1365" t="n">
        <f aca="false">F418-H418</f>
        <v>-140000</v>
      </c>
      <c r="J418" s="1365" t="n">
        <f aca="false">F418*G418</f>
        <v>35000</v>
      </c>
      <c r="K418" s="1365" t="n">
        <f aca="false">J418/1792.8</f>
        <v>19.5225345827755</v>
      </c>
      <c r="L418" s="1394" t="n">
        <v>10</v>
      </c>
      <c r="M418" s="1273" t="n">
        <f aca="false">K418*L418/60</f>
        <v>3.25375576379592</v>
      </c>
    </row>
    <row r="419" customFormat="false" ht="30" hidden="false" customHeight="false" outlineLevel="0" collapsed="false">
      <c r="A419" s="216"/>
      <c r="B419" s="972"/>
      <c r="C419" s="358" t="s">
        <v>6967</v>
      </c>
      <c r="D419" s="317" t="n">
        <v>2016</v>
      </c>
      <c r="E419" s="317" t="n">
        <f aca="false">2021-D419</f>
        <v>5</v>
      </c>
      <c r="F419" s="1363" t="n">
        <v>2302000</v>
      </c>
      <c r="G419" s="1364" t="n">
        <v>0.1</v>
      </c>
      <c r="H419" s="1365" t="n">
        <f aca="false">E419*F419*G419</f>
        <v>1151000</v>
      </c>
      <c r="I419" s="1365" t="n">
        <f aca="false">F419-H419</f>
        <v>1151000</v>
      </c>
      <c r="J419" s="1365" t="n">
        <f aca="false">F419*G419</f>
        <v>230200</v>
      </c>
      <c r="K419" s="1365" t="n">
        <f aca="false">J419/1792.8</f>
        <v>128.402498884427</v>
      </c>
      <c r="L419" s="1394" t="n">
        <v>10</v>
      </c>
      <c r="M419" s="1273" t="n">
        <f aca="false">K419*L419/60</f>
        <v>21.4004164807378</v>
      </c>
    </row>
    <row r="420" customFormat="false" ht="30" hidden="false" customHeight="false" outlineLevel="0" collapsed="false">
      <c r="A420" s="216"/>
      <c r="B420" s="972"/>
      <c r="C420" s="1161" t="s">
        <v>6968</v>
      </c>
      <c r="D420" s="317" t="n">
        <v>2006</v>
      </c>
      <c r="E420" s="317" t="n">
        <f aca="false">2021-D420</f>
        <v>15</v>
      </c>
      <c r="F420" s="1363" t="n">
        <v>114000</v>
      </c>
      <c r="G420" s="1364" t="n">
        <v>0.1</v>
      </c>
      <c r="H420" s="1365" t="n">
        <f aca="false">E420*F420*G420</f>
        <v>171000</v>
      </c>
      <c r="I420" s="1365" t="n">
        <f aca="false">F420-H420</f>
        <v>-57000</v>
      </c>
      <c r="J420" s="1365" t="n">
        <f aca="false">F420*G420</f>
        <v>11400</v>
      </c>
      <c r="K420" s="1365" t="n">
        <f aca="false">J420/1792.8</f>
        <v>6.35876840696118</v>
      </c>
      <c r="L420" s="1394" t="n">
        <v>10</v>
      </c>
      <c r="M420" s="1273" t="n">
        <f aca="false">K420*L420/60</f>
        <v>1.05979473449353</v>
      </c>
    </row>
    <row r="421" customFormat="false" ht="15" hidden="false" customHeight="false" outlineLevel="0" collapsed="false">
      <c r="A421" s="216"/>
      <c r="B421" s="972" t="s">
        <v>4128</v>
      </c>
      <c r="C421" s="1160"/>
      <c r="D421" s="135"/>
      <c r="E421" s="317"/>
      <c r="F421" s="135"/>
      <c r="G421" s="1364"/>
      <c r="H421" s="1365"/>
      <c r="I421" s="1365"/>
      <c r="J421" s="1365"/>
      <c r="K421" s="1365" t="n">
        <f aca="false">J421/1792.8</f>
        <v>0</v>
      </c>
      <c r="L421" s="1394"/>
      <c r="M421" s="1366" t="n">
        <f aca="false">SUM(M417:M420)</f>
        <v>6228.7473700357</v>
      </c>
    </row>
    <row r="422" customFormat="false" ht="45" hidden="false" customHeight="false" outlineLevel="0" collapsed="false">
      <c r="A422" s="216" t="s">
        <v>4501</v>
      </c>
      <c r="B422" s="337" t="s">
        <v>3004</v>
      </c>
      <c r="C422" s="1161" t="s">
        <v>6941</v>
      </c>
      <c r="D422" s="317" t="n">
        <v>2012</v>
      </c>
      <c r="E422" s="317" t="n">
        <f aca="false">2021-D422</f>
        <v>9</v>
      </c>
      <c r="F422" s="317" t="n">
        <v>44483193</v>
      </c>
      <c r="G422" s="1364" t="n">
        <v>0.1</v>
      </c>
      <c r="H422" s="1365" t="n">
        <f aca="false">E422*F422*G422</f>
        <v>40034873.7</v>
      </c>
      <c r="I422" s="1365" t="n">
        <f aca="false">F422-H422</f>
        <v>4448319.3</v>
      </c>
      <c r="J422" s="1365" t="n">
        <f aca="false">F422*G422</f>
        <v>4448319.3</v>
      </c>
      <c r="K422" s="1365" t="n">
        <f aca="false">J422/1792.8</f>
        <v>2481.21335341365</v>
      </c>
      <c r="L422" s="1394" t="n">
        <v>150</v>
      </c>
      <c r="M422" s="1273" t="n">
        <f aca="false">K422*L422/60</f>
        <v>6203.03338353414</v>
      </c>
    </row>
    <row r="423" customFormat="false" ht="30" hidden="false" customHeight="false" outlineLevel="0" collapsed="false">
      <c r="A423" s="216"/>
      <c r="B423" s="972"/>
      <c r="C423" s="1161" t="s">
        <v>6959</v>
      </c>
      <c r="D423" s="317" t="n">
        <v>2007</v>
      </c>
      <c r="E423" s="317" t="n">
        <f aca="false">2021-D423</f>
        <v>14</v>
      </c>
      <c r="F423" s="1363" t="n">
        <v>350000</v>
      </c>
      <c r="G423" s="1364" t="n">
        <v>0.1</v>
      </c>
      <c r="H423" s="1365" t="n">
        <f aca="false">E423*F423*G423</f>
        <v>490000</v>
      </c>
      <c r="I423" s="1365" t="n">
        <f aca="false">F423-H423</f>
        <v>-140000</v>
      </c>
      <c r="J423" s="1365" t="n">
        <f aca="false">F423*G423</f>
        <v>35000</v>
      </c>
      <c r="K423" s="1365" t="n">
        <f aca="false">J423/1792.8</f>
        <v>19.5225345827755</v>
      </c>
      <c r="L423" s="1394" t="n">
        <v>10</v>
      </c>
      <c r="M423" s="1273" t="n">
        <f aca="false">K423*L423/60</f>
        <v>3.25375576379592</v>
      </c>
    </row>
    <row r="424" customFormat="false" ht="30" hidden="false" customHeight="false" outlineLevel="0" collapsed="false">
      <c r="A424" s="216"/>
      <c r="B424" s="972"/>
      <c r="C424" s="358" t="s">
        <v>6967</v>
      </c>
      <c r="D424" s="317" t="n">
        <v>2016</v>
      </c>
      <c r="E424" s="317" t="n">
        <f aca="false">2021-D424</f>
        <v>5</v>
      </c>
      <c r="F424" s="1363" t="n">
        <v>2302000</v>
      </c>
      <c r="G424" s="1364" t="n">
        <v>0.1</v>
      </c>
      <c r="H424" s="1365" t="n">
        <f aca="false">E424*F424*G424</f>
        <v>1151000</v>
      </c>
      <c r="I424" s="1365" t="n">
        <f aca="false">F424-H424</f>
        <v>1151000</v>
      </c>
      <c r="J424" s="1365" t="n">
        <f aca="false">F424*G424</f>
        <v>230200</v>
      </c>
      <c r="K424" s="1365" t="n">
        <f aca="false">J424/1792.8</f>
        <v>128.402498884427</v>
      </c>
      <c r="L424" s="1394" t="n">
        <v>10</v>
      </c>
      <c r="M424" s="1273" t="n">
        <f aca="false">K424*L424/60</f>
        <v>21.4004164807378</v>
      </c>
    </row>
    <row r="425" customFormat="false" ht="30" hidden="false" customHeight="false" outlineLevel="0" collapsed="false">
      <c r="A425" s="216"/>
      <c r="B425" s="972"/>
      <c r="C425" s="1161" t="s">
        <v>6958</v>
      </c>
      <c r="D425" s="317" t="n">
        <v>2006</v>
      </c>
      <c r="E425" s="317" t="n">
        <f aca="false">2021-D425</f>
        <v>15</v>
      </c>
      <c r="F425" s="1363" t="n">
        <v>114000</v>
      </c>
      <c r="G425" s="1364" t="n">
        <v>0.1</v>
      </c>
      <c r="H425" s="1365" t="n">
        <f aca="false">E425*F425*G425</f>
        <v>171000</v>
      </c>
      <c r="I425" s="1365" t="n">
        <f aca="false">F425-H425</f>
        <v>-57000</v>
      </c>
      <c r="J425" s="1365" t="n">
        <f aca="false">F425*G425</f>
        <v>11400</v>
      </c>
      <c r="K425" s="1365" t="n">
        <f aca="false">J425/1792.8</f>
        <v>6.35876840696118</v>
      </c>
      <c r="L425" s="1394" t="n">
        <v>10</v>
      </c>
      <c r="M425" s="1273" t="n">
        <f aca="false">K425*L425/60</f>
        <v>1.05979473449353</v>
      </c>
    </row>
    <row r="426" customFormat="false" ht="15" hidden="false" customHeight="false" outlineLevel="0" collapsed="false">
      <c r="A426" s="216"/>
      <c r="B426" s="972" t="s">
        <v>4128</v>
      </c>
      <c r="C426" s="1160"/>
      <c r="D426" s="135"/>
      <c r="E426" s="317"/>
      <c r="F426" s="135"/>
      <c r="G426" s="1364"/>
      <c r="H426" s="1365"/>
      <c r="I426" s="1365"/>
      <c r="J426" s="1365"/>
      <c r="K426" s="1365" t="n">
        <f aca="false">J426/1792.8</f>
        <v>0</v>
      </c>
      <c r="L426" s="1394"/>
      <c r="M426" s="1366" t="n">
        <f aca="false">SUM(M422:M425)</f>
        <v>6228.74735051316</v>
      </c>
    </row>
    <row r="427" customFormat="false" ht="60" hidden="false" customHeight="false" outlineLevel="0" collapsed="false">
      <c r="A427" s="216" t="s">
        <v>4502</v>
      </c>
      <c r="B427" s="1399" t="s">
        <v>3005</v>
      </c>
      <c r="C427" s="310" t="s">
        <v>6965</v>
      </c>
      <c r="D427" s="317" t="n">
        <v>2014</v>
      </c>
      <c r="E427" s="317" t="n">
        <f aca="false">2021-D427</f>
        <v>7</v>
      </c>
      <c r="F427" s="1363" t="n">
        <v>375200</v>
      </c>
      <c r="G427" s="1364" t="n">
        <v>0.1</v>
      </c>
      <c r="H427" s="1365" t="n">
        <f aca="false">E427*F427*G427</f>
        <v>262640</v>
      </c>
      <c r="I427" s="1365" t="n">
        <f aca="false">F427-H427</f>
        <v>112560</v>
      </c>
      <c r="J427" s="1365" t="n">
        <f aca="false">F427*G427</f>
        <v>37520</v>
      </c>
      <c r="K427" s="1365" t="n">
        <f aca="false">J427/1792.8</f>
        <v>20.9281570727354</v>
      </c>
      <c r="L427" s="1394" t="n">
        <v>150</v>
      </c>
      <c r="M427" s="1273" t="n">
        <f aca="false">K427*L427/60</f>
        <v>52.3203926818385</v>
      </c>
    </row>
    <row r="428" customFormat="false" ht="30" hidden="false" customHeight="false" outlineLevel="0" collapsed="false">
      <c r="A428" s="216"/>
      <c r="B428" s="1399"/>
      <c r="C428" s="1161" t="s">
        <v>6959</v>
      </c>
      <c r="D428" s="317" t="n">
        <v>2007</v>
      </c>
      <c r="E428" s="317" t="n">
        <f aca="false">2021-D428</f>
        <v>14</v>
      </c>
      <c r="F428" s="1363" t="n">
        <v>350000</v>
      </c>
      <c r="G428" s="1364" t="n">
        <v>0.1</v>
      </c>
      <c r="H428" s="1365" t="n">
        <f aca="false">E428*F428*G428</f>
        <v>490000</v>
      </c>
      <c r="I428" s="1365" t="n">
        <f aca="false">F428-H428</f>
        <v>-140000</v>
      </c>
      <c r="J428" s="1365" t="n">
        <f aca="false">F428*G428</f>
        <v>35000</v>
      </c>
      <c r="K428" s="1365" t="n">
        <f aca="false">J428/1792.8</f>
        <v>19.5225345827755</v>
      </c>
      <c r="L428" s="1394" t="n">
        <v>5</v>
      </c>
      <c r="M428" s="1273" t="n">
        <f aca="false">K428*L428/60</f>
        <v>1.62687788189796</v>
      </c>
    </row>
    <row r="429" customFormat="false" ht="30" hidden="false" customHeight="false" outlineLevel="0" collapsed="false">
      <c r="A429" s="216"/>
      <c r="B429" s="1399"/>
      <c r="C429" s="1161" t="s">
        <v>6963</v>
      </c>
      <c r="D429" s="317" t="n">
        <v>2007</v>
      </c>
      <c r="E429" s="317" t="n">
        <f aca="false">2021-D429</f>
        <v>14</v>
      </c>
      <c r="F429" s="1363" t="n">
        <v>176358</v>
      </c>
      <c r="G429" s="1364" t="n">
        <v>0.1</v>
      </c>
      <c r="H429" s="1365" t="n">
        <f aca="false">E429*F429*G429</f>
        <v>246901.2</v>
      </c>
      <c r="I429" s="1365" t="n">
        <f aca="false">F429-H429</f>
        <v>-70543.2</v>
      </c>
      <c r="J429" s="1365" t="n">
        <f aca="false">F429*G429</f>
        <v>17635.8</v>
      </c>
      <c r="K429" s="1365" t="n">
        <f aca="false">J429/1792.8</f>
        <v>9.83701472556894</v>
      </c>
      <c r="L429" s="1394" t="n">
        <v>5</v>
      </c>
      <c r="M429" s="1273" t="n">
        <f aca="false">K429*L429/60</f>
        <v>0.819751227130745</v>
      </c>
    </row>
    <row r="430" customFormat="false" ht="30" hidden="false" customHeight="false" outlineLevel="0" collapsed="false">
      <c r="A430" s="216"/>
      <c r="B430" s="29"/>
      <c r="C430" s="1161" t="s">
        <v>6958</v>
      </c>
      <c r="D430" s="317" t="n">
        <v>2006</v>
      </c>
      <c r="E430" s="317" t="n">
        <f aca="false">2021-D430</f>
        <v>15</v>
      </c>
      <c r="F430" s="1363" t="n">
        <v>114000</v>
      </c>
      <c r="G430" s="1364" t="n">
        <v>0.1</v>
      </c>
      <c r="H430" s="1365" t="n">
        <f aca="false">E430*F430*G430</f>
        <v>171000</v>
      </c>
      <c r="I430" s="1365" t="n">
        <f aca="false">F430-H430</f>
        <v>-57000</v>
      </c>
      <c r="J430" s="1365" t="n">
        <f aca="false">F430*G430</f>
        <v>11400</v>
      </c>
      <c r="K430" s="1365" t="n">
        <f aca="false">J430/1792.8</f>
        <v>6.35876840696118</v>
      </c>
      <c r="L430" s="1394" t="n">
        <v>5</v>
      </c>
      <c r="M430" s="1273" t="n">
        <f aca="false">K430*L430/60</f>
        <v>0.529897367246765</v>
      </c>
    </row>
    <row r="431" customFormat="false" ht="45" hidden="false" customHeight="false" outlineLevel="0" collapsed="false">
      <c r="A431" s="216"/>
      <c r="B431" s="29"/>
      <c r="C431" s="1161" t="s">
        <v>6964</v>
      </c>
      <c r="D431" s="317" t="n">
        <v>2014</v>
      </c>
      <c r="E431" s="317" t="n">
        <f aca="false">2021-D431</f>
        <v>7</v>
      </c>
      <c r="F431" s="1363" t="n">
        <v>209328</v>
      </c>
      <c r="G431" s="1364" t="n">
        <v>0.1</v>
      </c>
      <c r="H431" s="1365" t="n">
        <f aca="false">E431*F431*G431</f>
        <v>146529.6</v>
      </c>
      <c r="I431" s="1365" t="n">
        <f aca="false">F431-H431</f>
        <v>62798.4</v>
      </c>
      <c r="J431" s="1365" t="n">
        <f aca="false">F431*G431</f>
        <v>20932.8</v>
      </c>
      <c r="K431" s="1365" t="n">
        <f aca="false">J431/1792.8</f>
        <v>11.6760374832664</v>
      </c>
      <c r="L431" s="1394" t="n">
        <v>5</v>
      </c>
      <c r="M431" s="1273" t="n">
        <f aca="false">K431*L431/60</f>
        <v>0.973003123605533</v>
      </c>
    </row>
    <row r="432" customFormat="false" ht="45" hidden="false" customHeight="false" outlineLevel="0" collapsed="false">
      <c r="A432" s="216"/>
      <c r="B432" s="29"/>
      <c r="C432" s="1161" t="s">
        <v>6960</v>
      </c>
      <c r="D432" s="317" t="n">
        <v>2006</v>
      </c>
      <c r="E432" s="317" t="n">
        <f aca="false">2021-D432</f>
        <v>15</v>
      </c>
      <c r="F432" s="1363" t="n">
        <v>92000</v>
      </c>
      <c r="G432" s="1364" t="n">
        <v>0.1</v>
      </c>
      <c r="H432" s="1365" t="n">
        <f aca="false">E432*F432*G432</f>
        <v>138000</v>
      </c>
      <c r="I432" s="1365" t="n">
        <f aca="false">F432-H432</f>
        <v>-46000</v>
      </c>
      <c r="J432" s="1365" t="n">
        <f aca="false">F432*G432</f>
        <v>9200</v>
      </c>
      <c r="K432" s="1365" t="n">
        <f aca="false">J432/1792.8</f>
        <v>5.13163766175814</v>
      </c>
      <c r="L432" s="1394" t="n">
        <v>10</v>
      </c>
      <c r="M432" s="1273" t="n">
        <f aca="false">K432*L432/60</f>
        <v>0.855272943626357</v>
      </c>
    </row>
    <row r="433" customFormat="false" ht="15" hidden="false" customHeight="false" outlineLevel="0" collapsed="false">
      <c r="A433" s="216"/>
      <c r="B433" s="972" t="s">
        <v>4128</v>
      </c>
      <c r="C433" s="1161"/>
      <c r="D433" s="135"/>
      <c r="E433" s="317"/>
      <c r="F433" s="135"/>
      <c r="G433" s="1364"/>
      <c r="H433" s="1365"/>
      <c r="I433" s="1365"/>
      <c r="J433" s="1365"/>
      <c r="K433" s="1365" t="n">
        <f aca="false">J433/1792.8</f>
        <v>0</v>
      </c>
      <c r="L433" s="1394"/>
      <c r="M433" s="1366" t="n">
        <f aca="false">SUM(M427:M432)</f>
        <v>57.1251952253458</v>
      </c>
    </row>
    <row r="434" s="122" customFormat="true" ht="90" hidden="false" customHeight="false" outlineLevel="0" collapsed="false">
      <c r="A434" s="1403" t="s">
        <v>4506</v>
      </c>
      <c r="B434" s="332" t="s">
        <v>3006</v>
      </c>
      <c r="C434" s="1404" t="s">
        <v>6959</v>
      </c>
      <c r="D434" s="1405" t="n">
        <v>2007</v>
      </c>
      <c r="E434" s="1405" t="n">
        <f aca="false">2021-D434</f>
        <v>14</v>
      </c>
      <c r="F434" s="1406" t="n">
        <v>350000</v>
      </c>
      <c r="G434" s="1407" t="n">
        <v>0.1</v>
      </c>
      <c r="H434" s="99" t="n">
        <f aca="false">E434*F434*G434</f>
        <v>490000</v>
      </c>
      <c r="I434" s="99" t="n">
        <f aca="false">F434-H434</f>
        <v>-140000</v>
      </c>
      <c r="J434" s="99" t="n">
        <f aca="false">F434*G434</f>
        <v>35000</v>
      </c>
      <c r="K434" s="1365" t="n">
        <f aca="false">J434/1792.8</f>
        <v>19.5225345827755</v>
      </c>
      <c r="L434" s="99" t="s">
        <v>6969</v>
      </c>
      <c r="M434" s="1408" t="n">
        <f aca="false">K434*L434/60</f>
        <v>48.8063364569389</v>
      </c>
    </row>
    <row r="435" s="122" customFormat="true" ht="30" hidden="false" customHeight="false" outlineLevel="0" collapsed="false">
      <c r="A435" s="1403"/>
      <c r="B435" s="332"/>
      <c r="C435" s="1404" t="s">
        <v>6963</v>
      </c>
      <c r="D435" s="1405" t="n">
        <v>2007</v>
      </c>
      <c r="E435" s="1405" t="n">
        <f aca="false">2021-D435</f>
        <v>14</v>
      </c>
      <c r="F435" s="1406" t="n">
        <v>176358</v>
      </c>
      <c r="G435" s="1407" t="n">
        <v>0.1</v>
      </c>
      <c r="H435" s="99" t="n">
        <f aca="false">E435*F435*G435</f>
        <v>246901.2</v>
      </c>
      <c r="I435" s="99" t="n">
        <f aca="false">F435-H435</f>
        <v>-70543.2</v>
      </c>
      <c r="J435" s="99" t="n">
        <f aca="false">F435*G435</f>
        <v>17635.8</v>
      </c>
      <c r="K435" s="1365" t="n">
        <f aca="false">J435/1792.8</f>
        <v>9.83701472556894</v>
      </c>
      <c r="L435" s="99" t="s">
        <v>2061</v>
      </c>
      <c r="M435" s="1408" t="n">
        <f aca="false">K435*L435/60</f>
        <v>0.819751227130745</v>
      </c>
    </row>
    <row r="436" s="122" customFormat="true" ht="45" hidden="false" customHeight="false" outlineLevel="0" collapsed="false">
      <c r="A436" s="1403"/>
      <c r="B436" s="99"/>
      <c r="C436" s="1404" t="s">
        <v>6941</v>
      </c>
      <c r="D436" s="1405" t="n">
        <v>2012</v>
      </c>
      <c r="E436" s="1405" t="n">
        <f aca="false">2021-D436</f>
        <v>9</v>
      </c>
      <c r="F436" s="1405" t="n">
        <v>44483193</v>
      </c>
      <c r="G436" s="1407" t="n">
        <v>0.1</v>
      </c>
      <c r="H436" s="99" t="n">
        <f aca="false">E436*F436*G436</f>
        <v>40034873.7</v>
      </c>
      <c r="I436" s="99" t="n">
        <f aca="false">F436-H436</f>
        <v>4448319.3</v>
      </c>
      <c r="J436" s="99" t="n">
        <f aca="false">F436*G436</f>
        <v>4448319.3</v>
      </c>
      <c r="K436" s="1365" t="n">
        <f aca="false">J436/1792.8</f>
        <v>2481.21335341365</v>
      </c>
      <c r="L436" s="99" t="s">
        <v>2061</v>
      </c>
      <c r="M436" s="1408" t="n">
        <f aca="false">K436*L436/60</f>
        <v>206.767779451138</v>
      </c>
    </row>
    <row r="437" s="122" customFormat="true" ht="30" hidden="false" customHeight="false" outlineLevel="0" collapsed="false">
      <c r="A437" s="1403"/>
      <c r="B437" s="99"/>
      <c r="C437" s="1409" t="s">
        <v>6967</v>
      </c>
      <c r="D437" s="1405" t="n">
        <v>2016</v>
      </c>
      <c r="E437" s="1405" t="n">
        <f aca="false">2021-D437</f>
        <v>5</v>
      </c>
      <c r="F437" s="1406" t="n">
        <v>2302000</v>
      </c>
      <c r="G437" s="1407" t="n">
        <v>0.1</v>
      </c>
      <c r="H437" s="99" t="n">
        <f aca="false">E437*F437*G437</f>
        <v>1151000</v>
      </c>
      <c r="I437" s="99" t="n">
        <f aca="false">F437-H437</f>
        <v>1151000</v>
      </c>
      <c r="J437" s="99" t="n">
        <f aca="false">F437*G437</f>
        <v>230200</v>
      </c>
      <c r="K437" s="1365" t="n">
        <f aca="false">J437/1792.8</f>
        <v>128.402498884427</v>
      </c>
      <c r="L437" s="99" t="s">
        <v>2061</v>
      </c>
      <c r="M437" s="1408" t="n">
        <f aca="false">K437*L437/60</f>
        <v>10.7002082403689</v>
      </c>
    </row>
    <row r="438" s="122" customFormat="true" ht="30" hidden="false" customHeight="false" outlineLevel="0" collapsed="false">
      <c r="A438" s="1403"/>
      <c r="B438" s="99"/>
      <c r="C438" s="1404" t="s">
        <v>6970</v>
      </c>
      <c r="D438" s="1405" t="n">
        <v>2006</v>
      </c>
      <c r="E438" s="1405" t="n">
        <f aca="false">2021-D438</f>
        <v>15</v>
      </c>
      <c r="F438" s="1406"/>
      <c r="G438" s="1407" t="n">
        <v>0.1</v>
      </c>
      <c r="H438" s="99" t="n">
        <f aca="false">E438*F438*G438</f>
        <v>0</v>
      </c>
      <c r="I438" s="99" t="n">
        <f aca="false">F438-H438</f>
        <v>0</v>
      </c>
      <c r="J438" s="99" t="n">
        <f aca="false">F438*G438</f>
        <v>0</v>
      </c>
      <c r="K438" s="1365" t="n">
        <f aca="false">J438/1792.8</f>
        <v>0</v>
      </c>
      <c r="L438" s="99" t="s">
        <v>2061</v>
      </c>
      <c r="M438" s="1408" t="n">
        <f aca="false">K438*L438/60</f>
        <v>0</v>
      </c>
    </row>
    <row r="439" s="122" customFormat="true" ht="15" hidden="false" customHeight="false" outlineLevel="0" collapsed="false">
      <c r="A439" s="1403"/>
      <c r="B439" s="47" t="s">
        <v>4128</v>
      </c>
      <c r="C439" s="877"/>
      <c r="D439" s="877"/>
      <c r="E439" s="1405"/>
      <c r="F439" s="1406"/>
      <c r="G439" s="1407"/>
      <c r="H439" s="1410"/>
      <c r="I439" s="1410"/>
      <c r="J439" s="1410"/>
      <c r="K439" s="1365" t="n">
        <f aca="false">J439/1792.8</f>
        <v>0</v>
      </c>
      <c r="L439" s="1410"/>
      <c r="M439" s="1411" t="n">
        <f aca="false">SUM(M434:M438)</f>
        <v>267.094075375576</v>
      </c>
    </row>
    <row r="440" s="122" customFormat="true" ht="27.75" hidden="false" customHeight="true" outlineLevel="0" collapsed="false">
      <c r="A440" s="1403" t="s">
        <v>4508</v>
      </c>
      <c r="B440" s="332" t="s">
        <v>3007</v>
      </c>
      <c r="C440" s="877"/>
      <c r="D440" s="877"/>
      <c r="E440" s="1405"/>
      <c r="F440" s="1406"/>
      <c r="G440" s="1407"/>
      <c r="H440" s="1410" t="n">
        <f aca="false">E440*F440*G440</f>
        <v>0</v>
      </c>
      <c r="I440" s="1410" t="n">
        <f aca="false">F440-H440</f>
        <v>0</v>
      </c>
      <c r="J440" s="1410" t="n">
        <f aca="false">F440*G440</f>
        <v>0</v>
      </c>
      <c r="K440" s="1365" t="n">
        <f aca="false">J440/1792.8</f>
        <v>0</v>
      </c>
      <c r="L440" s="1410"/>
      <c r="M440" s="1408" t="n">
        <v>0</v>
      </c>
    </row>
    <row r="441" s="122" customFormat="true" ht="47.25" hidden="false" customHeight="true" outlineLevel="0" collapsed="false">
      <c r="A441" s="331" t="s">
        <v>321</v>
      </c>
      <c r="B441" s="44" t="s">
        <v>3008</v>
      </c>
      <c r="C441" s="877"/>
      <c r="D441" s="877"/>
      <c r="E441" s="1405"/>
      <c r="F441" s="1406"/>
      <c r="G441" s="1407"/>
      <c r="H441" s="1410"/>
      <c r="I441" s="1410"/>
      <c r="J441" s="1410"/>
      <c r="K441" s="1365"/>
      <c r="L441" s="1410"/>
      <c r="M441" s="1408"/>
    </row>
    <row r="442" customFormat="false" ht="43.5" hidden="false" customHeight="true" outlineLevel="0" collapsed="false">
      <c r="A442" s="15" t="s">
        <v>4511</v>
      </c>
      <c r="B442" s="16" t="s">
        <v>3009</v>
      </c>
      <c r="C442" s="1387"/>
      <c r="D442" s="339"/>
      <c r="E442" s="1388"/>
      <c r="F442" s="751"/>
      <c r="G442" s="1412"/>
      <c r="H442" s="751"/>
      <c r="I442" s="751"/>
      <c r="J442" s="751"/>
      <c r="K442" s="1390"/>
      <c r="L442" s="751"/>
      <c r="M442" s="818"/>
    </row>
    <row r="443" customFormat="false" ht="30" hidden="false" customHeight="false" outlineLevel="0" collapsed="false">
      <c r="A443" s="216" t="s">
        <v>4513</v>
      </c>
      <c r="B443" s="29" t="s">
        <v>3010</v>
      </c>
      <c r="C443" s="1161" t="s">
        <v>6971</v>
      </c>
      <c r="D443" s="912" t="n">
        <v>2005</v>
      </c>
      <c r="E443" s="317" t="n">
        <f aca="false">2021-D443</f>
        <v>16</v>
      </c>
      <c r="F443" s="547" t="n">
        <v>2453</v>
      </c>
      <c r="G443" s="1413" t="n">
        <v>0.1</v>
      </c>
      <c r="H443" s="547" t="n">
        <f aca="false">E443*F443*G443</f>
        <v>3924.8</v>
      </c>
      <c r="I443" s="547" t="n">
        <f aca="false">F443-H443</f>
        <v>-1471.8</v>
      </c>
      <c r="J443" s="547" t="n">
        <f aca="false">F443*G443</f>
        <v>245.3</v>
      </c>
      <c r="K443" s="1365" t="n">
        <f aca="false">J443/1792.8</f>
        <v>0.136825078090138</v>
      </c>
      <c r="L443" s="547" t="n">
        <v>25</v>
      </c>
      <c r="M443" s="819" t="n">
        <f aca="false">K443*L443/60</f>
        <v>0.0570104492042243</v>
      </c>
    </row>
    <row r="444" customFormat="false" ht="15" hidden="false" customHeight="false" outlineLevel="0" collapsed="false">
      <c r="A444" s="216"/>
      <c r="B444" s="78"/>
      <c r="C444" s="1161" t="s">
        <v>6972</v>
      </c>
      <c r="D444" s="912" t="n">
        <v>2007</v>
      </c>
      <c r="E444" s="317" t="n">
        <f aca="false">2021-D444</f>
        <v>14</v>
      </c>
      <c r="F444" s="547" t="n">
        <v>810000</v>
      </c>
      <c r="G444" s="1413" t="n">
        <v>0.1</v>
      </c>
      <c r="H444" s="547" t="n">
        <f aca="false">E444*F444*G444</f>
        <v>1134000</v>
      </c>
      <c r="I444" s="547" t="n">
        <f aca="false">F444-H444</f>
        <v>-324000</v>
      </c>
      <c r="J444" s="547" t="n">
        <f aca="false">F444*G444</f>
        <v>81000</v>
      </c>
      <c r="K444" s="1365" t="n">
        <f aca="false">J444/1792.8</f>
        <v>45.1807228915663</v>
      </c>
      <c r="L444" s="547" t="n">
        <v>10</v>
      </c>
      <c r="M444" s="819" t="n">
        <f aca="false">K444*L444/60</f>
        <v>7.53012048192771</v>
      </c>
    </row>
    <row r="445" customFormat="false" ht="15" hidden="false" customHeight="false" outlineLevel="0" collapsed="false">
      <c r="A445" s="216"/>
      <c r="B445" s="972" t="s">
        <v>4128</v>
      </c>
      <c r="C445" s="1160"/>
      <c r="D445" s="391"/>
      <c r="E445" s="317"/>
      <c r="F445" s="714"/>
      <c r="G445" s="1414"/>
      <c r="H445" s="547"/>
      <c r="I445" s="547"/>
      <c r="J445" s="547"/>
      <c r="K445" s="1365" t="n">
        <f aca="false">J445/1792.8</f>
        <v>0</v>
      </c>
      <c r="L445" s="714"/>
      <c r="M445" s="934" t="n">
        <f aca="false">M443+M444</f>
        <v>7.58713093113194</v>
      </c>
    </row>
    <row r="446" customFormat="false" ht="15" hidden="false" customHeight="false" outlineLevel="0" collapsed="false">
      <c r="A446" s="216" t="s">
        <v>4514</v>
      </c>
      <c r="B446" s="29" t="s">
        <v>3011</v>
      </c>
      <c r="C446" s="1161" t="s">
        <v>6934</v>
      </c>
      <c r="D446" s="912" t="n">
        <v>2007</v>
      </c>
      <c r="E446" s="317" t="n">
        <f aca="false">2021-D446</f>
        <v>14</v>
      </c>
      <c r="F446" s="873" t="n">
        <v>491000</v>
      </c>
      <c r="G446" s="1413" t="n">
        <v>0.1</v>
      </c>
      <c r="H446" s="547" t="n">
        <f aca="false">E446*F446*G446</f>
        <v>687400</v>
      </c>
      <c r="I446" s="547" t="n">
        <f aca="false">F446-H446</f>
        <v>-196400</v>
      </c>
      <c r="J446" s="547" t="n">
        <f aca="false">F446*G446</f>
        <v>49100</v>
      </c>
      <c r="K446" s="1365" t="n">
        <f aca="false">J446/1792.8</f>
        <v>27.3873270861223</v>
      </c>
      <c r="L446" s="547" t="n">
        <v>10</v>
      </c>
      <c r="M446" s="934" t="n">
        <f aca="false">K446*L446/60</f>
        <v>4.56455451435371</v>
      </c>
    </row>
    <row r="447" customFormat="false" ht="15" hidden="false" customHeight="false" outlineLevel="0" collapsed="false">
      <c r="A447" s="216" t="s">
        <v>4517</v>
      </c>
      <c r="B447" s="29" t="s">
        <v>3012</v>
      </c>
      <c r="C447" s="1161" t="s">
        <v>6934</v>
      </c>
      <c r="D447" s="912" t="n">
        <v>2007</v>
      </c>
      <c r="E447" s="317" t="n">
        <f aca="false">2021-D447</f>
        <v>14</v>
      </c>
      <c r="F447" s="873" t="n">
        <v>491000</v>
      </c>
      <c r="G447" s="1413" t="n">
        <v>0.1</v>
      </c>
      <c r="H447" s="547" t="n">
        <f aca="false">E447*F447*G447</f>
        <v>687400</v>
      </c>
      <c r="I447" s="547" t="n">
        <f aca="false">F447-H447</f>
        <v>-196400</v>
      </c>
      <c r="J447" s="547" t="n">
        <f aca="false">F447*G447</f>
        <v>49100</v>
      </c>
      <c r="K447" s="1365" t="n">
        <f aca="false">J447/1792.8</f>
        <v>27.3873270861223</v>
      </c>
      <c r="L447" s="547" t="n">
        <v>25</v>
      </c>
      <c r="M447" s="934" t="n">
        <f aca="false">K447*L447/60</f>
        <v>11.4113862858843</v>
      </c>
    </row>
    <row r="448" customFormat="false" ht="30" hidden="false" customHeight="false" outlineLevel="0" collapsed="false">
      <c r="A448" s="216" t="s">
        <v>4518</v>
      </c>
      <c r="B448" s="29" t="s">
        <v>3013</v>
      </c>
      <c r="C448" s="1161" t="s">
        <v>6973</v>
      </c>
      <c r="D448" s="912" t="n">
        <v>2006</v>
      </c>
      <c r="E448" s="317" t="n">
        <f aca="false">2021-D448</f>
        <v>15</v>
      </c>
      <c r="F448" s="547" t="n">
        <v>190000</v>
      </c>
      <c r="G448" s="1413" t="n">
        <v>0.1</v>
      </c>
      <c r="H448" s="547" t="n">
        <f aca="false">E448*F448*G448</f>
        <v>285000</v>
      </c>
      <c r="I448" s="547" t="n">
        <f aca="false">F448-H448</f>
        <v>-95000</v>
      </c>
      <c r="J448" s="547" t="n">
        <f aca="false">F448*G448</f>
        <v>19000</v>
      </c>
      <c r="K448" s="1365" t="n">
        <f aca="false">J448/1792.8</f>
        <v>10.5979473449353</v>
      </c>
      <c r="L448" s="547" t="n">
        <v>30</v>
      </c>
      <c r="M448" s="819" t="n">
        <f aca="false">K448*L448/60</f>
        <v>5.29897367246765</v>
      </c>
    </row>
    <row r="449" customFormat="false" ht="15" hidden="false" customHeight="false" outlineLevel="0" collapsed="false">
      <c r="A449" s="216"/>
      <c r="B449" s="78"/>
      <c r="C449" s="1161" t="s">
        <v>6934</v>
      </c>
      <c r="D449" s="912" t="n">
        <v>2007</v>
      </c>
      <c r="E449" s="317" t="n">
        <f aca="false">2021-D449</f>
        <v>14</v>
      </c>
      <c r="F449" s="873" t="n">
        <v>491000</v>
      </c>
      <c r="G449" s="1413" t="n">
        <v>0.1</v>
      </c>
      <c r="H449" s="547" t="n">
        <f aca="false">E449*F449*G449</f>
        <v>687400</v>
      </c>
      <c r="I449" s="547" t="n">
        <f aca="false">F449-H449</f>
        <v>-196400</v>
      </c>
      <c r="J449" s="547" t="n">
        <f aca="false">F449*G449</f>
        <v>49100</v>
      </c>
      <c r="K449" s="1365" t="n">
        <f aca="false">J449/1792.8</f>
        <v>27.3873270861223</v>
      </c>
      <c r="L449" s="547" t="n">
        <v>10</v>
      </c>
      <c r="M449" s="819" t="n">
        <f aca="false">K449*L449/60</f>
        <v>4.56455451435371</v>
      </c>
    </row>
    <row r="450" customFormat="false" ht="15" hidden="false" customHeight="false" outlineLevel="0" collapsed="false">
      <c r="A450" s="216"/>
      <c r="B450" s="972" t="s">
        <v>4128</v>
      </c>
      <c r="C450" s="1160"/>
      <c r="D450" s="391"/>
      <c r="E450" s="317"/>
      <c r="F450" s="714"/>
      <c r="G450" s="1414"/>
      <c r="H450" s="547"/>
      <c r="I450" s="547"/>
      <c r="J450" s="547"/>
      <c r="K450" s="1365" t="n">
        <f aca="false">J450/1792.8</f>
        <v>0</v>
      </c>
      <c r="L450" s="714"/>
      <c r="M450" s="934" t="n">
        <f aca="false">M448+M449</f>
        <v>9.86352818682136</v>
      </c>
    </row>
    <row r="451" customFormat="false" ht="15" hidden="false" customHeight="false" outlineLevel="0" collapsed="false">
      <c r="A451" s="216" t="s">
        <v>4519</v>
      </c>
      <c r="B451" s="29" t="s">
        <v>3014</v>
      </c>
      <c r="C451" s="1161" t="s">
        <v>6973</v>
      </c>
      <c r="D451" s="912" t="n">
        <v>2006</v>
      </c>
      <c r="E451" s="317" t="n">
        <f aca="false">2021-D451</f>
        <v>15</v>
      </c>
      <c r="F451" s="547" t="n">
        <v>190000</v>
      </c>
      <c r="G451" s="1413" t="n">
        <v>0.1</v>
      </c>
      <c r="H451" s="547" t="n">
        <f aca="false">E451*F451*G451</f>
        <v>285000</v>
      </c>
      <c r="I451" s="547" t="n">
        <f aca="false">F451-H451</f>
        <v>-95000</v>
      </c>
      <c r="J451" s="547" t="n">
        <f aca="false">F451*G451</f>
        <v>19000</v>
      </c>
      <c r="K451" s="1365" t="n">
        <f aca="false">J451/1792.8</f>
        <v>10.5979473449353</v>
      </c>
      <c r="L451" s="547" t="n">
        <v>30</v>
      </c>
      <c r="M451" s="819" t="n">
        <f aca="false">K451*L451/60</f>
        <v>5.29897367246765</v>
      </c>
    </row>
    <row r="452" customFormat="false" ht="15" hidden="false" customHeight="false" outlineLevel="0" collapsed="false">
      <c r="A452" s="216"/>
      <c r="B452" s="78"/>
      <c r="C452" s="1161" t="s">
        <v>6934</v>
      </c>
      <c r="D452" s="912" t="n">
        <v>2007</v>
      </c>
      <c r="E452" s="317" t="n">
        <f aca="false">2021-D452</f>
        <v>14</v>
      </c>
      <c r="F452" s="873" t="n">
        <v>491000</v>
      </c>
      <c r="G452" s="1413" t="n">
        <v>0.1</v>
      </c>
      <c r="H452" s="547" t="n">
        <f aca="false">E452*F452*G452</f>
        <v>687400</v>
      </c>
      <c r="I452" s="547" t="n">
        <f aca="false">F452-H452</f>
        <v>-196400</v>
      </c>
      <c r="J452" s="547" t="n">
        <f aca="false">F452*G452</f>
        <v>49100</v>
      </c>
      <c r="K452" s="1365" t="n">
        <f aca="false">J452/1792.8</f>
        <v>27.3873270861223</v>
      </c>
      <c r="L452" s="547" t="n">
        <v>10</v>
      </c>
      <c r="M452" s="819" t="n">
        <f aca="false">K452*L452/60</f>
        <v>4.56455451435371</v>
      </c>
    </row>
    <row r="453" customFormat="false" ht="15" hidden="false" customHeight="false" outlineLevel="0" collapsed="false">
      <c r="A453" s="216"/>
      <c r="B453" s="972" t="s">
        <v>4128</v>
      </c>
      <c r="C453" s="1160"/>
      <c r="D453" s="391"/>
      <c r="E453" s="317"/>
      <c r="F453" s="714"/>
      <c r="G453" s="1414"/>
      <c r="H453" s="547"/>
      <c r="I453" s="547"/>
      <c r="J453" s="547"/>
      <c r="K453" s="1365" t="n">
        <f aca="false">J453/1792.8</f>
        <v>0</v>
      </c>
      <c r="L453" s="714"/>
      <c r="M453" s="934" t="n">
        <f aca="false">M451+M452</f>
        <v>9.86352818682136</v>
      </c>
    </row>
    <row r="454" customFormat="false" ht="15" hidden="false" customHeight="false" outlineLevel="0" collapsed="false">
      <c r="A454" s="216" t="s">
        <v>4520</v>
      </c>
      <c r="B454" s="29" t="s">
        <v>3015</v>
      </c>
      <c r="C454" s="1161" t="s">
        <v>6974</v>
      </c>
      <c r="D454" s="912" t="n">
        <v>2006</v>
      </c>
      <c r="E454" s="317" t="n">
        <f aca="false">2021-D454</f>
        <v>15</v>
      </c>
      <c r="F454" s="547" t="n">
        <v>526970</v>
      </c>
      <c r="G454" s="1413" t="n">
        <v>0.1</v>
      </c>
      <c r="H454" s="547" t="n">
        <f aca="false">E454*F454*G454</f>
        <v>790455</v>
      </c>
      <c r="I454" s="547" t="n">
        <f aca="false">F454-H454</f>
        <v>-263485</v>
      </c>
      <c r="J454" s="547" t="n">
        <f aca="false">F454*G454</f>
        <v>52697</v>
      </c>
      <c r="K454" s="1365" t="n">
        <f aca="false">J454/1792.8</f>
        <v>29.3936858545292</v>
      </c>
      <c r="L454" s="547" t="n">
        <v>15</v>
      </c>
      <c r="M454" s="819" t="n">
        <f aca="false">K454*L454/60</f>
        <v>7.34842146363231</v>
      </c>
    </row>
    <row r="455" customFormat="false" ht="15" hidden="false" customHeight="false" outlineLevel="0" collapsed="false">
      <c r="A455" s="216"/>
      <c r="B455" s="78"/>
      <c r="C455" s="1161" t="s">
        <v>6934</v>
      </c>
      <c r="D455" s="912" t="n">
        <v>2007</v>
      </c>
      <c r="E455" s="317" t="n">
        <f aca="false">2021-D455</f>
        <v>14</v>
      </c>
      <c r="F455" s="873" t="n">
        <v>491000</v>
      </c>
      <c r="G455" s="1413" t="n">
        <v>0.1</v>
      </c>
      <c r="H455" s="547" t="n">
        <f aca="false">E455*F455*G455</f>
        <v>687400</v>
      </c>
      <c r="I455" s="547" t="n">
        <f aca="false">F455-H455</f>
        <v>-196400</v>
      </c>
      <c r="J455" s="547" t="n">
        <f aca="false">F455*G455</f>
        <v>49100</v>
      </c>
      <c r="K455" s="1365" t="n">
        <f aca="false">J455/1792.8</f>
        <v>27.3873270861223</v>
      </c>
      <c r="L455" s="547" t="n">
        <v>10</v>
      </c>
      <c r="M455" s="819" t="n">
        <f aca="false">K455*L455/60</f>
        <v>4.56455451435371</v>
      </c>
    </row>
    <row r="456" customFormat="false" ht="15" hidden="false" customHeight="false" outlineLevel="0" collapsed="false">
      <c r="A456" s="216"/>
      <c r="B456" s="972" t="s">
        <v>4128</v>
      </c>
      <c r="C456" s="1160"/>
      <c r="D456" s="391"/>
      <c r="E456" s="317"/>
      <c r="F456" s="714"/>
      <c r="G456" s="1414"/>
      <c r="H456" s="547"/>
      <c r="I456" s="547"/>
      <c r="J456" s="547"/>
      <c r="K456" s="1365" t="n">
        <f aca="false">J456/1792.8</f>
        <v>0</v>
      </c>
      <c r="L456" s="714"/>
      <c r="M456" s="934" t="n">
        <f aca="false">M454+M455</f>
        <v>11.912975977986</v>
      </c>
    </row>
    <row r="457" customFormat="false" ht="15" hidden="false" customHeight="false" outlineLevel="0" collapsed="false">
      <c r="A457" s="216" t="s">
        <v>4527</v>
      </c>
      <c r="B457" s="29" t="s">
        <v>3016</v>
      </c>
      <c r="C457" s="1161" t="s">
        <v>6934</v>
      </c>
      <c r="D457" s="912" t="n">
        <v>2007</v>
      </c>
      <c r="E457" s="317" t="n">
        <f aca="false">2021-D457</f>
        <v>14</v>
      </c>
      <c r="F457" s="873" t="n">
        <v>491000</v>
      </c>
      <c r="G457" s="1413" t="n">
        <v>0.1</v>
      </c>
      <c r="H457" s="547" t="n">
        <f aca="false">E457*F457*G457</f>
        <v>687400</v>
      </c>
      <c r="I457" s="547" t="n">
        <f aca="false">F457-H457</f>
        <v>-196400</v>
      </c>
      <c r="J457" s="547" t="n">
        <f aca="false">F457*G457</f>
        <v>49100</v>
      </c>
      <c r="K457" s="1365" t="n">
        <f aca="false">J457/1792.8</f>
        <v>27.3873270861223</v>
      </c>
      <c r="L457" s="547" t="n">
        <v>10</v>
      </c>
      <c r="M457" s="934" t="n">
        <f aca="false">K457*L457/60</f>
        <v>4.56455451435371</v>
      </c>
    </row>
    <row r="458" customFormat="false" ht="15" hidden="false" customHeight="false" outlineLevel="0" collapsed="false">
      <c r="A458" s="216" t="s">
        <v>4531</v>
      </c>
      <c r="B458" s="29" t="str">
        <f aca="false">'[5]норма времени'!B22</f>
        <v>Определение белка в пищевых продуктах </v>
      </c>
      <c r="C458" s="1161" t="s">
        <v>6934</v>
      </c>
      <c r="D458" s="912" t="n">
        <v>2007</v>
      </c>
      <c r="E458" s="317" t="n">
        <f aca="false">2021-D458</f>
        <v>14</v>
      </c>
      <c r="F458" s="873" t="n">
        <v>491000</v>
      </c>
      <c r="G458" s="1413" t="n">
        <v>0.1</v>
      </c>
      <c r="H458" s="547" t="n">
        <f aca="false">E458*F458*G458</f>
        <v>687400</v>
      </c>
      <c r="I458" s="547" t="n">
        <f aca="false">F458-H458</f>
        <v>-196400</v>
      </c>
      <c r="J458" s="547" t="n">
        <f aca="false">F458*G458</f>
        <v>49100</v>
      </c>
      <c r="K458" s="1365" t="n">
        <f aca="false">J458/1792.8</f>
        <v>27.3873270861223</v>
      </c>
      <c r="L458" s="547" t="n">
        <v>10</v>
      </c>
      <c r="M458" s="934" t="n">
        <f aca="false">K458*L458/60</f>
        <v>4.56455451435371</v>
      </c>
    </row>
    <row r="459" customFormat="false" ht="15" hidden="false" customHeight="false" outlineLevel="0" collapsed="false">
      <c r="A459" s="216" t="s">
        <v>4533</v>
      </c>
      <c r="B459" s="29" t="s">
        <v>3018</v>
      </c>
      <c r="C459" s="1161" t="s">
        <v>6975</v>
      </c>
      <c r="D459" s="912" t="n">
        <v>2006</v>
      </c>
      <c r="E459" s="317" t="n">
        <f aca="false">2021-D459</f>
        <v>15</v>
      </c>
      <c r="F459" s="547" t="n">
        <v>147200</v>
      </c>
      <c r="G459" s="1413" t="n">
        <v>0.1</v>
      </c>
      <c r="H459" s="547" t="n">
        <f aca="false">E459*F459*G459</f>
        <v>220800</v>
      </c>
      <c r="I459" s="547" t="n">
        <f aca="false">F459-H459</f>
        <v>-73600</v>
      </c>
      <c r="J459" s="547" t="n">
        <f aca="false">F459*G459</f>
        <v>14720</v>
      </c>
      <c r="K459" s="1365" t="n">
        <f aca="false">J459/1792.8</f>
        <v>8.21062025881303</v>
      </c>
      <c r="L459" s="547" t="n">
        <v>25</v>
      </c>
      <c r="M459" s="819" t="n">
        <f aca="false">K459*L459/60</f>
        <v>3.42109177450543</v>
      </c>
    </row>
    <row r="460" customFormat="false" ht="15" hidden="false" customHeight="false" outlineLevel="0" collapsed="false">
      <c r="A460" s="216"/>
      <c r="B460" s="78"/>
      <c r="C460" s="1161" t="s">
        <v>6934</v>
      </c>
      <c r="D460" s="912" t="n">
        <v>2007</v>
      </c>
      <c r="E460" s="317" t="n">
        <f aca="false">2021-D460</f>
        <v>14</v>
      </c>
      <c r="F460" s="873" t="n">
        <v>491000</v>
      </c>
      <c r="G460" s="1413" t="n">
        <v>0.1</v>
      </c>
      <c r="H460" s="547" t="n">
        <f aca="false">E460*F460*G460</f>
        <v>687400</v>
      </c>
      <c r="I460" s="547" t="n">
        <f aca="false">F460-H460</f>
        <v>-196400</v>
      </c>
      <c r="J460" s="547" t="n">
        <f aca="false">F460*G460</f>
        <v>49100</v>
      </c>
      <c r="K460" s="1365" t="n">
        <f aca="false">J460/1792.8</f>
        <v>27.3873270861223</v>
      </c>
      <c r="L460" s="547" t="n">
        <v>10</v>
      </c>
      <c r="M460" s="819" t="n">
        <f aca="false">K460*L460/60</f>
        <v>4.56455451435371</v>
      </c>
    </row>
    <row r="461" customFormat="false" ht="15" hidden="false" customHeight="false" outlineLevel="0" collapsed="false">
      <c r="A461" s="216"/>
      <c r="B461" s="972" t="s">
        <v>4128</v>
      </c>
      <c r="C461" s="1160"/>
      <c r="D461" s="391"/>
      <c r="E461" s="317"/>
      <c r="F461" s="714"/>
      <c r="G461" s="1414"/>
      <c r="H461" s="547"/>
      <c r="I461" s="547"/>
      <c r="J461" s="547"/>
      <c r="K461" s="1365" t="n">
        <f aca="false">J461/1792.8</f>
        <v>0</v>
      </c>
      <c r="L461" s="714"/>
      <c r="M461" s="934" t="n">
        <f aca="false">M458+M459+M460</f>
        <v>12.5502008032129</v>
      </c>
    </row>
    <row r="462" customFormat="false" ht="30" hidden="false" customHeight="false" outlineLevel="0" collapsed="false">
      <c r="A462" s="216" t="s">
        <v>4534</v>
      </c>
      <c r="B462" s="29" t="s">
        <v>3019</v>
      </c>
      <c r="C462" s="1161" t="s">
        <v>6976</v>
      </c>
      <c r="D462" s="912" t="n">
        <v>2006</v>
      </c>
      <c r="E462" s="317" t="n">
        <f aca="false">2021-D462</f>
        <v>15</v>
      </c>
      <c r="F462" s="547" t="n">
        <v>329973</v>
      </c>
      <c r="G462" s="1413" t="n">
        <v>0.1</v>
      </c>
      <c r="H462" s="547" t="n">
        <f aca="false">E462*F462*G462</f>
        <v>494959.5</v>
      </c>
      <c r="I462" s="547" t="n">
        <f aca="false">F462-H462</f>
        <v>-164986.5</v>
      </c>
      <c r="J462" s="547" t="n">
        <f aca="false">F462*G462</f>
        <v>32997.3</v>
      </c>
      <c r="K462" s="1365" t="n">
        <f aca="false">J462/1792.8</f>
        <v>18.4054551539491</v>
      </c>
      <c r="L462" s="547" t="n">
        <v>30</v>
      </c>
      <c r="M462" s="819" t="n">
        <f aca="false">K462*L462/60</f>
        <v>9.20272757697457</v>
      </c>
    </row>
    <row r="463" customFormat="false" ht="30" hidden="false" customHeight="false" outlineLevel="0" collapsed="false">
      <c r="A463" s="216" t="s">
        <v>6977</v>
      </c>
      <c r="B463" s="29" t="s">
        <v>3020</v>
      </c>
      <c r="C463" s="1161" t="s">
        <v>6976</v>
      </c>
      <c r="D463" s="912" t="n">
        <v>2006</v>
      </c>
      <c r="E463" s="317" t="n">
        <f aca="false">2021-D463</f>
        <v>15</v>
      </c>
      <c r="F463" s="547" t="n">
        <v>329973</v>
      </c>
      <c r="G463" s="1413" t="n">
        <v>0.1</v>
      </c>
      <c r="H463" s="547" t="n">
        <f aca="false">E463*F463*G463</f>
        <v>494959.5</v>
      </c>
      <c r="I463" s="547" t="n">
        <f aca="false">F463-H463</f>
        <v>-164986.5</v>
      </c>
      <c r="J463" s="547" t="n">
        <f aca="false">F463*G463</f>
        <v>32997.3</v>
      </c>
      <c r="K463" s="1365" t="n">
        <f aca="false">J463/1792.8</f>
        <v>18.4054551539491</v>
      </c>
      <c r="L463" s="547" t="n">
        <v>30</v>
      </c>
      <c r="M463" s="819" t="n">
        <f aca="false">K463*L463/60</f>
        <v>9.20272757697457</v>
      </c>
    </row>
    <row r="464" customFormat="false" ht="30" hidden="false" customHeight="false" outlineLevel="0" collapsed="false">
      <c r="A464" s="216" t="s">
        <v>347</v>
      </c>
      <c r="B464" s="29" t="s">
        <v>3021</v>
      </c>
      <c r="C464" s="1161" t="s">
        <v>6934</v>
      </c>
      <c r="D464" s="912" t="n">
        <v>2007</v>
      </c>
      <c r="E464" s="317" t="n">
        <f aca="false">2021-D464</f>
        <v>14</v>
      </c>
      <c r="F464" s="873" t="n">
        <v>491000</v>
      </c>
      <c r="G464" s="1413" t="n">
        <v>0.1</v>
      </c>
      <c r="H464" s="547" t="n">
        <f aca="false">E464*F464*G464</f>
        <v>687400</v>
      </c>
      <c r="I464" s="547" t="n">
        <f aca="false">F464-H464</f>
        <v>-196400</v>
      </c>
      <c r="J464" s="547" t="n">
        <f aca="false">F464*G464</f>
        <v>49100</v>
      </c>
      <c r="K464" s="1365" t="n">
        <f aca="false">J464/1792.8</f>
        <v>27.3873270861223</v>
      </c>
      <c r="L464" s="547" t="n">
        <v>10</v>
      </c>
      <c r="M464" s="934" t="n">
        <f aca="false">K464*L464/60</f>
        <v>4.56455451435371</v>
      </c>
    </row>
    <row r="465" customFormat="false" ht="30" hidden="false" customHeight="false" outlineLevel="0" collapsed="false">
      <c r="A465" s="216" t="s">
        <v>349</v>
      </c>
      <c r="B465" s="29" t="s">
        <v>3022</v>
      </c>
      <c r="C465" s="1161" t="s">
        <v>6974</v>
      </c>
      <c r="D465" s="912" t="n">
        <v>2006</v>
      </c>
      <c r="E465" s="317" t="n">
        <f aca="false">2021-D465</f>
        <v>15</v>
      </c>
      <c r="F465" s="547" t="n">
        <v>526970</v>
      </c>
      <c r="G465" s="1413" t="n">
        <v>0.1</v>
      </c>
      <c r="H465" s="547" t="n">
        <f aca="false">E465*F465*G465</f>
        <v>790455</v>
      </c>
      <c r="I465" s="547" t="n">
        <f aca="false">F465-H465</f>
        <v>-263485</v>
      </c>
      <c r="J465" s="547" t="n">
        <f aca="false">F465*G465</f>
        <v>52697</v>
      </c>
      <c r="K465" s="1365" t="n">
        <f aca="false">J465/1792.8</f>
        <v>29.3936858545292</v>
      </c>
      <c r="L465" s="547" t="n">
        <v>15</v>
      </c>
      <c r="M465" s="819" t="n">
        <f aca="false">K465*L465/60</f>
        <v>7.34842146363231</v>
      </c>
    </row>
    <row r="466" customFormat="false" ht="15" hidden="false" customHeight="false" outlineLevel="0" collapsed="false">
      <c r="A466" s="216"/>
      <c r="B466" s="78"/>
      <c r="C466" s="1161" t="s">
        <v>6934</v>
      </c>
      <c r="D466" s="912" t="n">
        <v>2007</v>
      </c>
      <c r="E466" s="317" t="n">
        <f aca="false">2021-D466</f>
        <v>14</v>
      </c>
      <c r="F466" s="873" t="n">
        <v>491000</v>
      </c>
      <c r="G466" s="1413" t="n">
        <v>0.1</v>
      </c>
      <c r="H466" s="547" t="n">
        <f aca="false">E466*F466*G466</f>
        <v>687400</v>
      </c>
      <c r="I466" s="547" t="n">
        <f aca="false">F466-H466</f>
        <v>-196400</v>
      </c>
      <c r="J466" s="547" t="n">
        <f aca="false">F466*G466</f>
        <v>49100</v>
      </c>
      <c r="K466" s="1365" t="n">
        <f aca="false">J466/1792.8</f>
        <v>27.3873270861223</v>
      </c>
      <c r="L466" s="547" t="n">
        <v>10</v>
      </c>
      <c r="M466" s="819" t="n">
        <f aca="false">K466*L466/60</f>
        <v>4.56455451435371</v>
      </c>
    </row>
    <row r="467" customFormat="false" ht="15" hidden="false" customHeight="false" outlineLevel="0" collapsed="false">
      <c r="A467" s="216"/>
      <c r="B467" s="78"/>
      <c r="C467" s="1161" t="s">
        <v>6978</v>
      </c>
      <c r="D467" s="912" t="n">
        <v>2006</v>
      </c>
      <c r="E467" s="317" t="n">
        <f aca="false">2021-D467</f>
        <v>15</v>
      </c>
      <c r="F467" s="547" t="n">
        <v>98100</v>
      </c>
      <c r="G467" s="1413" t="n">
        <v>0.1</v>
      </c>
      <c r="H467" s="547" t="n">
        <f aca="false">E467*F467*G467</f>
        <v>147150</v>
      </c>
      <c r="I467" s="547" t="n">
        <f aca="false">F467-H467</f>
        <v>-49050</v>
      </c>
      <c r="J467" s="547" t="n">
        <f aca="false">F467*G467</f>
        <v>9810</v>
      </c>
      <c r="K467" s="1365" t="n">
        <f aca="false">J467/1792.8</f>
        <v>5.4718875502008</v>
      </c>
      <c r="L467" s="547" t="n">
        <v>25</v>
      </c>
      <c r="M467" s="819" t="n">
        <f aca="false">K467*L467/60</f>
        <v>2.279953145917</v>
      </c>
    </row>
    <row r="468" customFormat="false" ht="15" hidden="false" customHeight="false" outlineLevel="0" collapsed="false">
      <c r="A468" s="216"/>
      <c r="B468" s="972" t="s">
        <v>4128</v>
      </c>
      <c r="C468" s="1161"/>
      <c r="D468" s="912"/>
      <c r="E468" s="317"/>
      <c r="F468" s="547"/>
      <c r="G468" s="1413"/>
      <c r="H468" s="547"/>
      <c r="I468" s="547"/>
      <c r="J468" s="547"/>
      <c r="K468" s="1365" t="n">
        <f aca="false">J468/1792.8</f>
        <v>0</v>
      </c>
      <c r="L468" s="547"/>
      <c r="M468" s="934" t="n">
        <f aca="false">SUM(M465:M467)</f>
        <v>14.192929123903</v>
      </c>
    </row>
    <row r="469" customFormat="false" ht="30" hidden="false" customHeight="false" outlineLevel="0" collapsed="false">
      <c r="A469" s="216" t="s">
        <v>351</v>
      </c>
      <c r="B469" s="29" t="s">
        <v>3023</v>
      </c>
      <c r="C469" s="1161" t="s">
        <v>6934</v>
      </c>
      <c r="D469" s="912" t="n">
        <v>2007</v>
      </c>
      <c r="E469" s="317" t="n">
        <f aca="false">2021-D469</f>
        <v>14</v>
      </c>
      <c r="F469" s="873" t="n">
        <v>491000</v>
      </c>
      <c r="G469" s="1413" t="n">
        <v>0.1</v>
      </c>
      <c r="H469" s="547" t="n">
        <f aca="false">E469*F469*G469</f>
        <v>687400</v>
      </c>
      <c r="I469" s="547" t="n">
        <f aca="false">F469-H469</f>
        <v>-196400</v>
      </c>
      <c r="J469" s="547" t="n">
        <f aca="false">F469*G469</f>
        <v>49100</v>
      </c>
      <c r="K469" s="1365" t="n">
        <f aca="false">J469/1792.8</f>
        <v>27.3873270861223</v>
      </c>
      <c r="L469" s="547" t="n">
        <v>10</v>
      </c>
      <c r="M469" s="934" t="n">
        <f aca="false">K469*L469/60</f>
        <v>4.56455451435371</v>
      </c>
    </row>
    <row r="470" customFormat="false" ht="30" hidden="false" customHeight="false" outlineLevel="0" collapsed="false">
      <c r="A470" s="216" t="s">
        <v>353</v>
      </c>
      <c r="B470" s="29" t="s">
        <v>3024</v>
      </c>
      <c r="C470" s="1161" t="s">
        <v>6934</v>
      </c>
      <c r="D470" s="912" t="n">
        <v>2007</v>
      </c>
      <c r="E470" s="317" t="n">
        <f aca="false">2021-D470</f>
        <v>14</v>
      </c>
      <c r="F470" s="873" t="n">
        <v>491000</v>
      </c>
      <c r="G470" s="1413" t="n">
        <v>0.1</v>
      </c>
      <c r="H470" s="547" t="n">
        <f aca="false">E470*F470*G470</f>
        <v>687400</v>
      </c>
      <c r="I470" s="547" t="n">
        <f aca="false">F470-H470</f>
        <v>-196400</v>
      </c>
      <c r="J470" s="547" t="n">
        <f aca="false">F470*G470</f>
        <v>49100</v>
      </c>
      <c r="K470" s="1365" t="n">
        <f aca="false">J470/1792.8</f>
        <v>27.3873270861223</v>
      </c>
      <c r="L470" s="547" t="n">
        <v>10</v>
      </c>
      <c r="M470" s="934" t="n">
        <f aca="false">K470*L470/60</f>
        <v>4.56455451435371</v>
      </c>
    </row>
    <row r="471" customFormat="false" ht="15" hidden="false" customHeight="false" outlineLevel="0" collapsed="false">
      <c r="A471" s="216" t="s">
        <v>355</v>
      </c>
      <c r="B471" s="29" t="s">
        <v>3103</v>
      </c>
      <c r="C471" s="1161" t="s">
        <v>4568</v>
      </c>
      <c r="D471" s="912" t="n">
        <v>2007</v>
      </c>
      <c r="E471" s="317" t="n">
        <f aca="false">2021-D471</f>
        <v>14</v>
      </c>
      <c r="F471" s="873" t="n">
        <v>5635700</v>
      </c>
      <c r="G471" s="1413" t="n">
        <v>0.1</v>
      </c>
      <c r="H471" s="547" t="n">
        <f aca="false">E471*F471*G471</f>
        <v>7889980</v>
      </c>
      <c r="I471" s="547" t="n">
        <f aca="false">F471-H471</f>
        <v>-2254280</v>
      </c>
      <c r="J471" s="547" t="n">
        <f aca="false">F471*G471</f>
        <v>563570</v>
      </c>
      <c r="K471" s="1365" t="n">
        <f aca="false">J471/1792.8</f>
        <v>314.351851851852</v>
      </c>
      <c r="L471" s="547" t="n">
        <v>50</v>
      </c>
      <c r="M471" s="819" t="n">
        <f aca="false">K471*L471/60</f>
        <v>261.95987654321</v>
      </c>
    </row>
    <row r="472" customFormat="false" ht="15" hidden="false" customHeight="false" outlineLevel="0" collapsed="false">
      <c r="A472" s="216"/>
      <c r="B472" s="78"/>
      <c r="C472" s="1161" t="s">
        <v>6975</v>
      </c>
      <c r="D472" s="912" t="n">
        <v>2006</v>
      </c>
      <c r="E472" s="317" t="n">
        <f aca="false">2021-D472</f>
        <v>15</v>
      </c>
      <c r="F472" s="547" t="n">
        <v>147200</v>
      </c>
      <c r="G472" s="1413" t="n">
        <v>0.1</v>
      </c>
      <c r="H472" s="547" t="n">
        <f aca="false">E472*F472*G472</f>
        <v>220800</v>
      </c>
      <c r="I472" s="547" t="n">
        <f aca="false">F472-H472</f>
        <v>-73600</v>
      </c>
      <c r="J472" s="547" t="n">
        <f aca="false">F472*G472</f>
        <v>14720</v>
      </c>
      <c r="K472" s="1365" t="n">
        <f aca="false">J472/1792.8</f>
        <v>8.21062025881303</v>
      </c>
      <c r="L472" s="547" t="n">
        <v>30</v>
      </c>
      <c r="M472" s="819" t="n">
        <f aca="false">K472*L472/60</f>
        <v>4.10531012940652</v>
      </c>
    </row>
    <row r="473" customFormat="false" ht="15" hidden="false" customHeight="false" outlineLevel="0" collapsed="false">
      <c r="A473" s="216"/>
      <c r="B473" s="78"/>
      <c r="C473" s="1161" t="s">
        <v>6979</v>
      </c>
      <c r="D473" s="912" t="n">
        <v>2005</v>
      </c>
      <c r="E473" s="317" t="n">
        <f aca="false">2021-D473</f>
        <v>16</v>
      </c>
      <c r="F473" s="547" t="n">
        <v>1400000</v>
      </c>
      <c r="G473" s="1413" t="n">
        <v>0.1</v>
      </c>
      <c r="H473" s="547" t="n">
        <f aca="false">E473*F473*G473</f>
        <v>2240000</v>
      </c>
      <c r="I473" s="547" t="n">
        <f aca="false">F473-H473</f>
        <v>-840000</v>
      </c>
      <c r="J473" s="547" t="n">
        <f aca="false">F473*G473</f>
        <v>140000</v>
      </c>
      <c r="K473" s="1365" t="n">
        <f aca="false">J473/1792.8</f>
        <v>78.0901383311022</v>
      </c>
      <c r="L473" s="547" t="n">
        <v>30</v>
      </c>
      <c r="M473" s="819" t="n">
        <f aca="false">K473*L473/60</f>
        <v>39.0450691655511</v>
      </c>
    </row>
    <row r="474" customFormat="false" ht="15" hidden="false" customHeight="false" outlineLevel="0" collapsed="false">
      <c r="A474" s="216"/>
      <c r="B474" s="78"/>
      <c r="C474" s="1161" t="s">
        <v>6934</v>
      </c>
      <c r="D474" s="912" t="n">
        <v>2007</v>
      </c>
      <c r="E474" s="317" t="n">
        <f aca="false">2021-D474</f>
        <v>14</v>
      </c>
      <c r="F474" s="873" t="n">
        <v>491000</v>
      </c>
      <c r="G474" s="1413" t="n">
        <v>0.1</v>
      </c>
      <c r="H474" s="547" t="n">
        <f aca="false">E474*F474*G474</f>
        <v>687400</v>
      </c>
      <c r="I474" s="547" t="n">
        <f aca="false">F474-H474</f>
        <v>-196400</v>
      </c>
      <c r="J474" s="547" t="n">
        <f aca="false">F474*G474</f>
        <v>49100</v>
      </c>
      <c r="K474" s="1365" t="n">
        <f aca="false">J474/1792.8</f>
        <v>27.3873270861223</v>
      </c>
      <c r="L474" s="547" t="n">
        <v>10</v>
      </c>
      <c r="M474" s="819" t="n">
        <f aca="false">K474*L474/60</f>
        <v>4.56455451435371</v>
      </c>
    </row>
    <row r="475" customFormat="false" ht="15" hidden="false" customHeight="false" outlineLevel="0" collapsed="false">
      <c r="A475" s="216"/>
      <c r="B475" s="972" t="s">
        <v>4128</v>
      </c>
      <c r="C475" s="1161"/>
      <c r="D475" s="912"/>
      <c r="E475" s="317"/>
      <c r="F475" s="873"/>
      <c r="G475" s="1413"/>
      <c r="H475" s="547"/>
      <c r="I475" s="547"/>
      <c r="J475" s="547"/>
      <c r="K475" s="1365" t="n">
        <f aca="false">J475/1792.8</f>
        <v>0</v>
      </c>
      <c r="L475" s="547"/>
      <c r="M475" s="934" t="n">
        <f aca="false">M471+M472+M473+M474</f>
        <v>309.674810352521</v>
      </c>
    </row>
    <row r="476" customFormat="false" ht="15" hidden="false" customHeight="false" outlineLevel="0" collapsed="false">
      <c r="A476" s="216" t="s">
        <v>357</v>
      </c>
      <c r="B476" s="29" t="s">
        <v>3026</v>
      </c>
      <c r="C476" s="1161" t="s">
        <v>6934</v>
      </c>
      <c r="D476" s="912" t="n">
        <v>2007</v>
      </c>
      <c r="E476" s="317" t="n">
        <f aca="false">2021-D476</f>
        <v>14</v>
      </c>
      <c r="F476" s="873" t="n">
        <v>491000</v>
      </c>
      <c r="G476" s="1413" t="n">
        <v>1.1</v>
      </c>
      <c r="H476" s="547" t="n">
        <f aca="false">E476*F476*G476</f>
        <v>7561400</v>
      </c>
      <c r="I476" s="547" t="n">
        <f aca="false">F476-H476</f>
        <v>-7070400</v>
      </c>
      <c r="J476" s="547" t="n">
        <f aca="false">F476*G476</f>
        <v>540100</v>
      </c>
      <c r="K476" s="1365" t="n">
        <f aca="false">J476/1792.8</f>
        <v>301.260597947345</v>
      </c>
      <c r="L476" s="547" t="n">
        <v>11</v>
      </c>
      <c r="M476" s="819" t="n">
        <f aca="false">K476*L476/60</f>
        <v>55.2311096236799</v>
      </c>
    </row>
    <row r="477" customFormat="false" ht="15" hidden="false" customHeight="false" outlineLevel="0" collapsed="false">
      <c r="A477" s="216"/>
      <c r="B477" s="78"/>
      <c r="C477" s="1161" t="s">
        <v>6943</v>
      </c>
      <c r="D477" s="912" t="n">
        <v>2006</v>
      </c>
      <c r="E477" s="317" t="n">
        <f aca="false">2021-D477</f>
        <v>15</v>
      </c>
      <c r="F477" s="547" t="n">
        <v>1503927</v>
      </c>
      <c r="G477" s="1413" t="n">
        <v>0.1</v>
      </c>
      <c r="H477" s="547" t="n">
        <f aca="false">E477*F477*G477</f>
        <v>2255890.5</v>
      </c>
      <c r="I477" s="547" t="n">
        <f aca="false">F477-H477</f>
        <v>-751963.5</v>
      </c>
      <c r="J477" s="547" t="n">
        <f aca="false">F477*G477</f>
        <v>150392.7</v>
      </c>
      <c r="K477" s="1365" t="n">
        <f aca="false">J477/1792.8</f>
        <v>83.8870481927711</v>
      </c>
      <c r="L477" s="547" t="n">
        <v>40</v>
      </c>
      <c r="M477" s="819" t="n">
        <f aca="false">K477*L477/60</f>
        <v>55.9246987951807</v>
      </c>
    </row>
    <row r="478" customFormat="false" ht="15" hidden="false" customHeight="false" outlineLevel="0" collapsed="false">
      <c r="A478" s="216"/>
      <c r="B478" s="972" t="s">
        <v>4128</v>
      </c>
      <c r="C478" s="1160"/>
      <c r="D478" s="391"/>
      <c r="E478" s="317"/>
      <c r="F478" s="714"/>
      <c r="G478" s="1414"/>
      <c r="H478" s="547"/>
      <c r="I478" s="547"/>
      <c r="J478" s="547"/>
      <c r="K478" s="1365" t="n">
        <f aca="false">J478/1792.8</f>
        <v>0</v>
      </c>
      <c r="L478" s="714"/>
      <c r="M478" s="934" t="n">
        <f aca="false">M476+M477</f>
        <v>111.155808418861</v>
      </c>
    </row>
    <row r="479" customFormat="false" ht="15" hidden="false" customHeight="false" outlineLevel="0" collapsed="false">
      <c r="A479" s="216" t="s">
        <v>359</v>
      </c>
      <c r="B479" s="29" t="s">
        <v>3102</v>
      </c>
      <c r="C479" s="1161" t="s">
        <v>4568</v>
      </c>
      <c r="D479" s="912" t="n">
        <v>2007</v>
      </c>
      <c r="E479" s="317" t="n">
        <f aca="false">2021-D479</f>
        <v>14</v>
      </c>
      <c r="F479" s="873" t="n">
        <v>5635700</v>
      </c>
      <c r="G479" s="1413" t="n">
        <v>0.1</v>
      </c>
      <c r="H479" s="547" t="n">
        <f aca="false">E479*F479*G479</f>
        <v>7889980</v>
      </c>
      <c r="I479" s="547" t="n">
        <f aca="false">F479-H479</f>
        <v>-2254280</v>
      </c>
      <c r="J479" s="547" t="n">
        <f aca="false">F479*G479</f>
        <v>563570</v>
      </c>
      <c r="K479" s="1365" t="n">
        <f aca="false">J479/1792.8</f>
        <v>314.351851851852</v>
      </c>
      <c r="L479" s="547" t="n">
        <v>90</v>
      </c>
      <c r="M479" s="819" t="n">
        <f aca="false">K479*L479/60</f>
        <v>471.527777777778</v>
      </c>
    </row>
    <row r="480" customFormat="false" ht="15" hidden="false" customHeight="false" outlineLevel="0" collapsed="false">
      <c r="A480" s="216"/>
      <c r="B480" s="78"/>
      <c r="C480" s="1161" t="s">
        <v>6975</v>
      </c>
      <c r="D480" s="912" t="n">
        <v>2006</v>
      </c>
      <c r="E480" s="317" t="n">
        <f aca="false">2021-D480</f>
        <v>15</v>
      </c>
      <c r="F480" s="547" t="n">
        <v>147200</v>
      </c>
      <c r="G480" s="1413" t="n">
        <v>0.1</v>
      </c>
      <c r="H480" s="547" t="n">
        <f aca="false">E480*F480*G480</f>
        <v>220800</v>
      </c>
      <c r="I480" s="547" t="n">
        <f aca="false">F480-H480</f>
        <v>-73600</v>
      </c>
      <c r="J480" s="547" t="n">
        <f aca="false">F480*G480</f>
        <v>14720</v>
      </c>
      <c r="K480" s="1365" t="n">
        <f aca="false">J480/1792.8</f>
        <v>8.21062025881303</v>
      </c>
      <c r="L480" s="547" t="n">
        <v>30</v>
      </c>
      <c r="M480" s="819" t="n">
        <f aca="false">K480*L480/60</f>
        <v>4.10531012940652</v>
      </c>
    </row>
    <row r="481" customFormat="false" ht="15" hidden="false" customHeight="false" outlineLevel="0" collapsed="false">
      <c r="A481" s="216"/>
      <c r="B481" s="78"/>
      <c r="C481" s="1161" t="s">
        <v>6979</v>
      </c>
      <c r="D481" s="912" t="n">
        <v>2005</v>
      </c>
      <c r="E481" s="317" t="n">
        <f aca="false">2021-D481</f>
        <v>16</v>
      </c>
      <c r="F481" s="547" t="n">
        <v>1400000</v>
      </c>
      <c r="G481" s="1413" t="n">
        <v>0.1</v>
      </c>
      <c r="H481" s="547" t="n">
        <f aca="false">E481*F481*G481</f>
        <v>2240000</v>
      </c>
      <c r="I481" s="547" t="n">
        <f aca="false">F481-H481</f>
        <v>-840000</v>
      </c>
      <c r="J481" s="547" t="n">
        <f aca="false">F481*G481</f>
        <v>140000</v>
      </c>
      <c r="K481" s="1365" t="n">
        <f aca="false">J481/1792.8</f>
        <v>78.0901383311022</v>
      </c>
      <c r="L481" s="547" t="n">
        <v>30</v>
      </c>
      <c r="M481" s="819" t="n">
        <f aca="false">K481*L481/60</f>
        <v>39.0450691655511</v>
      </c>
    </row>
    <row r="482" customFormat="false" ht="15" hidden="false" customHeight="false" outlineLevel="0" collapsed="false">
      <c r="A482" s="216"/>
      <c r="B482" s="78"/>
      <c r="C482" s="1161" t="s">
        <v>6934</v>
      </c>
      <c r="D482" s="912" t="n">
        <v>2007</v>
      </c>
      <c r="E482" s="317" t="n">
        <f aca="false">2021-D482</f>
        <v>14</v>
      </c>
      <c r="F482" s="873" t="n">
        <v>491000</v>
      </c>
      <c r="G482" s="1413" t="n">
        <v>0.1</v>
      </c>
      <c r="H482" s="547" t="n">
        <f aca="false">E482*F482*G482</f>
        <v>687400</v>
      </c>
      <c r="I482" s="547" t="n">
        <f aca="false">F482-H482</f>
        <v>-196400</v>
      </c>
      <c r="J482" s="547" t="n">
        <f aca="false">F482*G482</f>
        <v>49100</v>
      </c>
      <c r="K482" s="1365" t="n">
        <f aca="false">J482/1792.8</f>
        <v>27.3873270861223</v>
      </c>
      <c r="L482" s="547" t="n">
        <v>10</v>
      </c>
      <c r="M482" s="819" t="n">
        <f aca="false">K482*L482/60</f>
        <v>4.56455451435371</v>
      </c>
    </row>
    <row r="483" customFormat="false" ht="15" hidden="false" customHeight="false" outlineLevel="0" collapsed="false">
      <c r="A483" s="216"/>
      <c r="B483" s="972" t="s">
        <v>4128</v>
      </c>
      <c r="C483" s="1161"/>
      <c r="D483" s="912"/>
      <c r="E483" s="317"/>
      <c r="F483" s="873"/>
      <c r="G483" s="1413"/>
      <c r="H483" s="547"/>
      <c r="I483" s="547"/>
      <c r="J483" s="547"/>
      <c r="K483" s="1365" t="n">
        <f aca="false">J483/1792.8</f>
        <v>0</v>
      </c>
      <c r="L483" s="547"/>
      <c r="M483" s="934" t="n">
        <f aca="false">M479+M480+M481+M482</f>
        <v>519.242711587089</v>
      </c>
    </row>
    <row r="484" customFormat="false" ht="15" hidden="false" customHeight="false" outlineLevel="0" collapsed="false">
      <c r="A484" s="216" t="s">
        <v>361</v>
      </c>
      <c r="B484" s="29" t="s">
        <v>3028</v>
      </c>
      <c r="C484" s="1161" t="s">
        <v>6934</v>
      </c>
      <c r="D484" s="912" t="n">
        <v>2007</v>
      </c>
      <c r="E484" s="317" t="n">
        <f aca="false">2021-D484</f>
        <v>14</v>
      </c>
      <c r="F484" s="873" t="n">
        <v>491000</v>
      </c>
      <c r="G484" s="1413" t="n">
        <v>1.1</v>
      </c>
      <c r="H484" s="547" t="n">
        <f aca="false">E484*F484*G484</f>
        <v>7561400</v>
      </c>
      <c r="I484" s="547" t="n">
        <f aca="false">F484-H484</f>
        <v>-7070400</v>
      </c>
      <c r="J484" s="547" t="n">
        <f aca="false">F484*G484</f>
        <v>540100</v>
      </c>
      <c r="K484" s="1365" t="n">
        <f aca="false">J484/1792.8</f>
        <v>301.260597947345</v>
      </c>
      <c r="L484" s="547" t="n">
        <v>11</v>
      </c>
      <c r="M484" s="819" t="n">
        <f aca="false">K484*L484/60</f>
        <v>55.2311096236799</v>
      </c>
    </row>
    <row r="485" customFormat="false" ht="15" hidden="false" customHeight="false" outlineLevel="0" collapsed="false">
      <c r="A485" s="216"/>
      <c r="B485" s="78"/>
      <c r="C485" s="1161" t="s">
        <v>6943</v>
      </c>
      <c r="D485" s="912" t="n">
        <v>2006</v>
      </c>
      <c r="E485" s="317" t="n">
        <f aca="false">2021-D485</f>
        <v>15</v>
      </c>
      <c r="F485" s="547" t="n">
        <v>1503927</v>
      </c>
      <c r="G485" s="1413" t="n">
        <v>0.1</v>
      </c>
      <c r="H485" s="547" t="n">
        <f aca="false">E485*F485*G485</f>
        <v>2255890.5</v>
      </c>
      <c r="I485" s="547" t="n">
        <f aca="false">F485-H485</f>
        <v>-751963.5</v>
      </c>
      <c r="J485" s="547" t="n">
        <f aca="false">F485*G485</f>
        <v>150392.7</v>
      </c>
      <c r="K485" s="1365" t="n">
        <f aca="false">J485/1792.8</f>
        <v>83.8870481927711</v>
      </c>
      <c r="L485" s="547" t="n">
        <v>40</v>
      </c>
      <c r="M485" s="819" t="n">
        <f aca="false">K485*L485/60</f>
        <v>55.9246987951807</v>
      </c>
    </row>
    <row r="486" customFormat="false" ht="15" hidden="false" customHeight="false" outlineLevel="0" collapsed="false">
      <c r="A486" s="216"/>
      <c r="B486" s="972" t="s">
        <v>4128</v>
      </c>
      <c r="C486" s="1160"/>
      <c r="D486" s="391"/>
      <c r="E486" s="317"/>
      <c r="F486" s="714"/>
      <c r="G486" s="1414"/>
      <c r="H486" s="547"/>
      <c r="I486" s="547"/>
      <c r="J486" s="547"/>
      <c r="K486" s="1365" t="n">
        <f aca="false">J486/1792.8</f>
        <v>0</v>
      </c>
      <c r="L486" s="714"/>
      <c r="M486" s="934" t="n">
        <f aca="false">M484+M485</f>
        <v>111.155808418861</v>
      </c>
    </row>
    <row r="487" customFormat="false" ht="15" hidden="false" customHeight="false" outlineLevel="0" collapsed="false">
      <c r="A487" s="216" t="s">
        <v>363</v>
      </c>
      <c r="B487" s="29" t="s">
        <v>4570</v>
      </c>
      <c r="C487" s="1161" t="s">
        <v>4568</v>
      </c>
      <c r="D487" s="912" t="n">
        <v>2007</v>
      </c>
      <c r="E487" s="317" t="n">
        <f aca="false">2021-D487</f>
        <v>14</v>
      </c>
      <c r="F487" s="873" t="n">
        <v>5635700</v>
      </c>
      <c r="G487" s="1413" t="n">
        <v>0.1</v>
      </c>
      <c r="H487" s="547" t="n">
        <f aca="false">E487*F487*G487</f>
        <v>7889980</v>
      </c>
      <c r="I487" s="547" t="n">
        <f aca="false">F487-H487</f>
        <v>-2254280</v>
      </c>
      <c r="J487" s="547" t="n">
        <f aca="false">F487*G487</f>
        <v>563570</v>
      </c>
      <c r="K487" s="1365" t="n">
        <f aca="false">J487/1792.8</f>
        <v>314.351851851852</v>
      </c>
      <c r="L487" s="547" t="n">
        <v>90</v>
      </c>
      <c r="M487" s="819" t="n">
        <f aca="false">K487*L487/60</f>
        <v>471.527777777778</v>
      </c>
    </row>
    <row r="488" customFormat="false" ht="15" hidden="false" customHeight="false" outlineLevel="0" collapsed="false">
      <c r="A488" s="216"/>
      <c r="B488" s="78"/>
      <c r="C488" s="1161" t="s">
        <v>6975</v>
      </c>
      <c r="D488" s="912" t="n">
        <v>2006</v>
      </c>
      <c r="E488" s="317" t="n">
        <f aca="false">2021-D488</f>
        <v>15</v>
      </c>
      <c r="F488" s="547" t="n">
        <v>147200</v>
      </c>
      <c r="G488" s="1413" t="n">
        <v>0.1</v>
      </c>
      <c r="H488" s="547" t="n">
        <f aca="false">E488*F488*G488</f>
        <v>220800</v>
      </c>
      <c r="I488" s="547" t="n">
        <f aca="false">F488-H488</f>
        <v>-73600</v>
      </c>
      <c r="J488" s="547" t="n">
        <f aca="false">F488*G488</f>
        <v>14720</v>
      </c>
      <c r="K488" s="1365" t="n">
        <f aca="false">J488/1792.8</f>
        <v>8.21062025881303</v>
      </c>
      <c r="L488" s="547" t="n">
        <v>30</v>
      </c>
      <c r="M488" s="819" t="n">
        <f aca="false">K488*L488/60</f>
        <v>4.10531012940652</v>
      </c>
    </row>
    <row r="489" customFormat="false" ht="15" hidden="false" customHeight="false" outlineLevel="0" collapsed="false">
      <c r="A489" s="216"/>
      <c r="B489" s="78"/>
      <c r="C489" s="1161" t="s">
        <v>6979</v>
      </c>
      <c r="D489" s="912" t="n">
        <v>2005</v>
      </c>
      <c r="E489" s="317" t="n">
        <f aca="false">2021-D489</f>
        <v>16</v>
      </c>
      <c r="F489" s="547" t="n">
        <v>1400000</v>
      </c>
      <c r="G489" s="1413" t="n">
        <v>0.1</v>
      </c>
      <c r="H489" s="547" t="n">
        <f aca="false">E489*F489*G489</f>
        <v>2240000</v>
      </c>
      <c r="I489" s="547" t="n">
        <f aca="false">F489-H489</f>
        <v>-840000</v>
      </c>
      <c r="J489" s="547" t="n">
        <f aca="false">F489*G489</f>
        <v>140000</v>
      </c>
      <c r="K489" s="1365" t="n">
        <f aca="false">J489/1792.8</f>
        <v>78.0901383311022</v>
      </c>
      <c r="L489" s="547" t="n">
        <v>30</v>
      </c>
      <c r="M489" s="819" t="n">
        <f aca="false">K489*L489/60</f>
        <v>39.0450691655511</v>
      </c>
    </row>
    <row r="490" customFormat="false" ht="15" hidden="false" customHeight="false" outlineLevel="0" collapsed="false">
      <c r="A490" s="216"/>
      <c r="B490" s="78"/>
      <c r="C490" s="1161" t="s">
        <v>6934</v>
      </c>
      <c r="D490" s="912" t="n">
        <v>2007</v>
      </c>
      <c r="E490" s="317" t="n">
        <f aca="false">2021-D490</f>
        <v>14</v>
      </c>
      <c r="F490" s="873" t="n">
        <v>491000</v>
      </c>
      <c r="G490" s="1413" t="n">
        <v>0.1</v>
      </c>
      <c r="H490" s="547" t="n">
        <f aca="false">E490*F490*G490</f>
        <v>687400</v>
      </c>
      <c r="I490" s="547" t="n">
        <f aca="false">F490-H490</f>
        <v>-196400</v>
      </c>
      <c r="J490" s="547" t="n">
        <f aca="false">F490*G490</f>
        <v>49100</v>
      </c>
      <c r="K490" s="1365" t="n">
        <f aca="false">J490/1792.8</f>
        <v>27.3873270861223</v>
      </c>
      <c r="L490" s="547" t="n">
        <v>10</v>
      </c>
      <c r="M490" s="819" t="n">
        <f aca="false">K490*L490/60</f>
        <v>4.56455451435371</v>
      </c>
    </row>
    <row r="491" customFormat="false" ht="15" hidden="false" customHeight="false" outlineLevel="0" collapsed="false">
      <c r="A491" s="216"/>
      <c r="B491" s="972" t="s">
        <v>4128</v>
      </c>
      <c r="C491" s="1160"/>
      <c r="D491" s="391"/>
      <c r="E491" s="317"/>
      <c r="F491" s="714"/>
      <c r="G491" s="1414"/>
      <c r="H491" s="547"/>
      <c r="I491" s="547"/>
      <c r="J491" s="547"/>
      <c r="K491" s="1365" t="n">
        <f aca="false">J491/1792.8</f>
        <v>0</v>
      </c>
      <c r="L491" s="714"/>
      <c r="M491" s="934" t="n">
        <f aca="false">M487+M488+M489+M490</f>
        <v>519.242711587089</v>
      </c>
    </row>
    <row r="492" customFormat="false" ht="30" hidden="false" customHeight="false" outlineLevel="0" collapsed="false">
      <c r="A492" s="216" t="s">
        <v>365</v>
      </c>
      <c r="B492" s="29" t="s">
        <v>3030</v>
      </c>
      <c r="C492" s="1161" t="s">
        <v>6934</v>
      </c>
      <c r="D492" s="912" t="n">
        <v>2007</v>
      </c>
      <c r="E492" s="317" t="n">
        <f aca="false">2021-D492</f>
        <v>14</v>
      </c>
      <c r="F492" s="873" t="n">
        <v>491000</v>
      </c>
      <c r="G492" s="1413" t="n">
        <v>1.1</v>
      </c>
      <c r="H492" s="547" t="n">
        <f aca="false">E492*F492*G492</f>
        <v>7561400</v>
      </c>
      <c r="I492" s="547" t="n">
        <f aca="false">F492-H492</f>
        <v>-7070400</v>
      </c>
      <c r="J492" s="547" t="n">
        <f aca="false">F492*G492</f>
        <v>540100</v>
      </c>
      <c r="K492" s="1365" t="n">
        <f aca="false">J492/1792.8</f>
        <v>301.260597947345</v>
      </c>
      <c r="L492" s="547" t="n">
        <v>11</v>
      </c>
      <c r="M492" s="819" t="n">
        <f aca="false">K492*L492/60</f>
        <v>55.2311096236799</v>
      </c>
    </row>
    <row r="493" customFormat="false" ht="15" hidden="false" customHeight="false" outlineLevel="0" collapsed="false">
      <c r="A493" s="216"/>
      <c r="B493" s="972"/>
      <c r="C493" s="1161" t="s">
        <v>6943</v>
      </c>
      <c r="D493" s="912" t="n">
        <v>2006</v>
      </c>
      <c r="E493" s="317" t="n">
        <f aca="false">2021-D493</f>
        <v>15</v>
      </c>
      <c r="F493" s="547" t="n">
        <v>1503927</v>
      </c>
      <c r="G493" s="1413" t="n">
        <v>0.1</v>
      </c>
      <c r="H493" s="547" t="n">
        <f aca="false">E493*F493*G493</f>
        <v>2255890.5</v>
      </c>
      <c r="I493" s="547" t="n">
        <f aca="false">F493-H493</f>
        <v>-751963.5</v>
      </c>
      <c r="J493" s="547" t="n">
        <f aca="false">F493*G493</f>
        <v>150392.7</v>
      </c>
      <c r="K493" s="1365" t="n">
        <f aca="false">J493/1792.8</f>
        <v>83.8870481927711</v>
      </c>
      <c r="L493" s="547" t="n">
        <v>40</v>
      </c>
      <c r="M493" s="819" t="n">
        <f aca="false">K493*L493/60</f>
        <v>55.9246987951807</v>
      </c>
    </row>
    <row r="494" customFormat="false" ht="15" hidden="false" customHeight="false" outlineLevel="0" collapsed="false">
      <c r="A494" s="216"/>
      <c r="B494" s="972" t="s">
        <v>4128</v>
      </c>
      <c r="C494" s="1160"/>
      <c r="D494" s="391"/>
      <c r="E494" s="317"/>
      <c r="F494" s="714"/>
      <c r="G494" s="1414"/>
      <c r="H494" s="547"/>
      <c r="I494" s="547"/>
      <c r="J494" s="547"/>
      <c r="K494" s="1365" t="n">
        <f aca="false">J494/1792.8</f>
        <v>0</v>
      </c>
      <c r="L494" s="714"/>
      <c r="M494" s="934" t="n">
        <f aca="false">M492+M493</f>
        <v>111.155808418861</v>
      </c>
    </row>
    <row r="495" customFormat="false" ht="15" hidden="false" customHeight="false" outlineLevel="0" collapsed="false">
      <c r="A495" s="216" t="s">
        <v>367</v>
      </c>
      <c r="B495" s="29" t="s">
        <v>4574</v>
      </c>
      <c r="C495" s="1161" t="s">
        <v>4568</v>
      </c>
      <c r="D495" s="912" t="n">
        <v>2007</v>
      </c>
      <c r="E495" s="317" t="n">
        <f aca="false">2021-D495</f>
        <v>14</v>
      </c>
      <c r="F495" s="873" t="n">
        <v>5635700</v>
      </c>
      <c r="G495" s="1413" t="n">
        <v>0.1</v>
      </c>
      <c r="H495" s="547" t="n">
        <f aca="false">E495*F495*G495</f>
        <v>7889980</v>
      </c>
      <c r="I495" s="547" t="n">
        <f aca="false">F495-H495</f>
        <v>-2254280</v>
      </c>
      <c r="J495" s="547" t="n">
        <f aca="false">F495*G495</f>
        <v>563570</v>
      </c>
      <c r="K495" s="1365" t="n">
        <f aca="false">J495/1792.8</f>
        <v>314.351851851852</v>
      </c>
      <c r="L495" s="547" t="n">
        <v>50</v>
      </c>
      <c r="M495" s="819" t="n">
        <f aca="false">K495*L495/60</f>
        <v>261.95987654321</v>
      </c>
    </row>
    <row r="496" customFormat="false" ht="15" hidden="false" customHeight="false" outlineLevel="0" collapsed="false">
      <c r="A496" s="216"/>
      <c r="B496" s="78"/>
      <c r="C496" s="1161" t="s">
        <v>6975</v>
      </c>
      <c r="D496" s="912" t="n">
        <v>2006</v>
      </c>
      <c r="E496" s="317" t="n">
        <f aca="false">2021-D496</f>
        <v>15</v>
      </c>
      <c r="F496" s="547" t="n">
        <v>147200</v>
      </c>
      <c r="G496" s="1413" t="n">
        <v>0.1</v>
      </c>
      <c r="H496" s="547" t="n">
        <f aca="false">E496*F496*G496</f>
        <v>220800</v>
      </c>
      <c r="I496" s="547" t="n">
        <f aca="false">F496-H496</f>
        <v>-73600</v>
      </c>
      <c r="J496" s="547" t="n">
        <f aca="false">F496*G496</f>
        <v>14720</v>
      </c>
      <c r="K496" s="1365" t="n">
        <f aca="false">J496/1792.8</f>
        <v>8.21062025881303</v>
      </c>
      <c r="L496" s="547" t="n">
        <v>40</v>
      </c>
      <c r="M496" s="819" t="n">
        <f aca="false">K496*L496/60</f>
        <v>5.47374683920869</v>
      </c>
    </row>
    <row r="497" customFormat="false" ht="15" hidden="false" customHeight="false" outlineLevel="0" collapsed="false">
      <c r="A497" s="216"/>
      <c r="B497" s="78"/>
      <c r="C497" s="1161" t="s">
        <v>6979</v>
      </c>
      <c r="D497" s="912" t="n">
        <v>2005</v>
      </c>
      <c r="E497" s="317" t="n">
        <f aca="false">2021-D497</f>
        <v>16</v>
      </c>
      <c r="F497" s="547" t="n">
        <v>1400000</v>
      </c>
      <c r="G497" s="1413" t="n">
        <v>0.1</v>
      </c>
      <c r="H497" s="547" t="n">
        <f aca="false">E497*F497*G497</f>
        <v>2240000</v>
      </c>
      <c r="I497" s="547" t="n">
        <f aca="false">F497-H497</f>
        <v>-840000</v>
      </c>
      <c r="J497" s="547" t="n">
        <f aca="false">F497*G497</f>
        <v>140000</v>
      </c>
      <c r="K497" s="1365" t="n">
        <f aca="false">J497/1792.8</f>
        <v>78.0901383311022</v>
      </c>
      <c r="L497" s="547" t="n">
        <v>20</v>
      </c>
      <c r="M497" s="819" t="n">
        <f aca="false">K497*L497/60</f>
        <v>26.0300461103674</v>
      </c>
    </row>
    <row r="498" customFormat="false" ht="15" hidden="false" customHeight="false" outlineLevel="0" collapsed="false">
      <c r="A498" s="216"/>
      <c r="B498" s="78"/>
      <c r="C498" s="1161" t="s">
        <v>6934</v>
      </c>
      <c r="D498" s="912" t="n">
        <v>2007</v>
      </c>
      <c r="E498" s="317" t="n">
        <f aca="false">2021-D498</f>
        <v>14</v>
      </c>
      <c r="F498" s="873" t="n">
        <v>491000</v>
      </c>
      <c r="G498" s="1413" t="n">
        <v>0.1</v>
      </c>
      <c r="H498" s="547" t="n">
        <f aca="false">E498*F498*G498</f>
        <v>687400</v>
      </c>
      <c r="I498" s="547" t="n">
        <f aca="false">F498-H498</f>
        <v>-196400</v>
      </c>
      <c r="J498" s="547" t="n">
        <f aca="false">F498*G498</f>
        <v>49100</v>
      </c>
      <c r="K498" s="1365" t="n">
        <f aca="false">J498/1792.8</f>
        <v>27.3873270861223</v>
      </c>
      <c r="L498" s="547" t="n">
        <v>20</v>
      </c>
      <c r="M498" s="819" t="n">
        <f aca="false">K498*L498/60</f>
        <v>9.12910902870742</v>
      </c>
    </row>
    <row r="499" customFormat="false" ht="15" hidden="false" customHeight="false" outlineLevel="0" collapsed="false">
      <c r="A499" s="216"/>
      <c r="B499" s="972" t="s">
        <v>4128</v>
      </c>
      <c r="C499" s="1160"/>
      <c r="D499" s="391"/>
      <c r="E499" s="317"/>
      <c r="F499" s="714"/>
      <c r="G499" s="1414"/>
      <c r="H499" s="547"/>
      <c r="I499" s="547"/>
      <c r="J499" s="547"/>
      <c r="K499" s="1365" t="n">
        <f aca="false">J499/1792.8</f>
        <v>0</v>
      </c>
      <c r="L499" s="714"/>
      <c r="M499" s="934" t="n">
        <f aca="false">M495+M496+M497+M498</f>
        <v>302.592778521493</v>
      </c>
    </row>
    <row r="500" customFormat="false" ht="30" hidden="false" customHeight="false" outlineLevel="0" collapsed="false">
      <c r="A500" s="216" t="s">
        <v>369</v>
      </c>
      <c r="B500" s="29" t="s">
        <v>3032</v>
      </c>
      <c r="C500" s="1161" t="s">
        <v>6934</v>
      </c>
      <c r="D500" s="912" t="n">
        <v>2007</v>
      </c>
      <c r="E500" s="317" t="n">
        <f aca="false">2021-D500</f>
        <v>14</v>
      </c>
      <c r="F500" s="873" t="n">
        <v>491000</v>
      </c>
      <c r="G500" s="1413" t="n">
        <v>1.1</v>
      </c>
      <c r="H500" s="547" t="n">
        <f aca="false">E500*F500*G500</f>
        <v>7561400</v>
      </c>
      <c r="I500" s="547" t="n">
        <f aca="false">F500-H500</f>
        <v>-7070400</v>
      </c>
      <c r="J500" s="547" t="n">
        <f aca="false">F500*G500</f>
        <v>540100</v>
      </c>
      <c r="K500" s="1365" t="n">
        <f aca="false">J500/1792.8</f>
        <v>301.260597947345</v>
      </c>
      <c r="L500" s="547" t="n">
        <v>10</v>
      </c>
      <c r="M500" s="819" t="n">
        <f aca="false">K500*L500/60</f>
        <v>50.2100996578908</v>
      </c>
    </row>
    <row r="501" customFormat="false" ht="15" hidden="false" customHeight="false" outlineLevel="0" collapsed="false">
      <c r="A501" s="216"/>
      <c r="B501" s="972"/>
      <c r="C501" s="1161" t="s">
        <v>6943</v>
      </c>
      <c r="D501" s="912" t="n">
        <v>2006</v>
      </c>
      <c r="E501" s="317" t="n">
        <f aca="false">2021-D501</f>
        <v>15</v>
      </c>
      <c r="F501" s="547" t="n">
        <v>1503927</v>
      </c>
      <c r="G501" s="1413" t="n">
        <v>0.1</v>
      </c>
      <c r="H501" s="547" t="n">
        <f aca="false">E501*F501*G501</f>
        <v>2255890.5</v>
      </c>
      <c r="I501" s="547" t="n">
        <f aca="false">F501-H501</f>
        <v>-751963.5</v>
      </c>
      <c r="J501" s="547" t="n">
        <f aca="false">F501*G501</f>
        <v>150392.7</v>
      </c>
      <c r="K501" s="1365" t="n">
        <f aca="false">J501/1792.8</f>
        <v>83.8870481927711</v>
      </c>
      <c r="L501" s="547" t="n">
        <v>20</v>
      </c>
      <c r="M501" s="819" t="n">
        <f aca="false">K501*L501/60</f>
        <v>27.9623493975904</v>
      </c>
    </row>
    <row r="502" customFormat="false" ht="15" hidden="false" customHeight="false" outlineLevel="0" collapsed="false">
      <c r="A502" s="216"/>
      <c r="B502" s="972" t="s">
        <v>4128</v>
      </c>
      <c r="C502" s="1160"/>
      <c r="D502" s="391"/>
      <c r="E502" s="317"/>
      <c r="F502" s="714"/>
      <c r="G502" s="1414"/>
      <c r="H502" s="547"/>
      <c r="I502" s="547"/>
      <c r="J502" s="547"/>
      <c r="K502" s="1365" t="n">
        <f aca="false">J502/1792.8</f>
        <v>0</v>
      </c>
      <c r="L502" s="714"/>
      <c r="M502" s="934" t="n">
        <f aca="false">M500+M501</f>
        <v>78.1724490554812</v>
      </c>
    </row>
    <row r="503" customFormat="false" ht="15" hidden="false" customHeight="false" outlineLevel="0" collapsed="false">
      <c r="A503" s="216" t="s">
        <v>371</v>
      </c>
      <c r="B503" s="29" t="s">
        <v>3033</v>
      </c>
      <c r="C503" s="1161" t="s">
        <v>4568</v>
      </c>
      <c r="D503" s="912" t="n">
        <v>2007</v>
      </c>
      <c r="E503" s="317" t="n">
        <f aca="false">2021-D503</f>
        <v>14</v>
      </c>
      <c r="F503" s="873" t="n">
        <v>5635700</v>
      </c>
      <c r="G503" s="1413" t="n">
        <v>0.1</v>
      </c>
      <c r="H503" s="547" t="n">
        <f aca="false">E503*F503*G503</f>
        <v>7889980</v>
      </c>
      <c r="I503" s="547" t="n">
        <f aca="false">F503-H503</f>
        <v>-2254280</v>
      </c>
      <c r="J503" s="547" t="n">
        <f aca="false">F503*G503</f>
        <v>563570</v>
      </c>
      <c r="K503" s="1365" t="n">
        <f aca="false">J503/1792.8</f>
        <v>314.351851851852</v>
      </c>
      <c r="L503" s="547" t="n">
        <v>90</v>
      </c>
      <c r="M503" s="819" t="n">
        <f aca="false">K503*L503/60</f>
        <v>471.527777777778</v>
      </c>
    </row>
    <row r="504" customFormat="false" ht="15" hidden="false" customHeight="false" outlineLevel="0" collapsed="false">
      <c r="A504" s="216"/>
      <c r="B504" s="78"/>
      <c r="C504" s="1161" t="s">
        <v>6975</v>
      </c>
      <c r="D504" s="912" t="n">
        <v>2006</v>
      </c>
      <c r="E504" s="317" t="n">
        <f aca="false">2021-D504</f>
        <v>15</v>
      </c>
      <c r="F504" s="547" t="n">
        <v>147200</v>
      </c>
      <c r="G504" s="1413" t="n">
        <v>0.1</v>
      </c>
      <c r="H504" s="547" t="n">
        <f aca="false">E504*F504*G504</f>
        <v>220800</v>
      </c>
      <c r="I504" s="547" t="n">
        <f aca="false">F504-H504</f>
        <v>-73600</v>
      </c>
      <c r="J504" s="547" t="n">
        <f aca="false">F504*G504</f>
        <v>14720</v>
      </c>
      <c r="K504" s="1365" t="n">
        <f aca="false">J504/1792.8</f>
        <v>8.21062025881303</v>
      </c>
      <c r="L504" s="547" t="n">
        <v>30</v>
      </c>
      <c r="M504" s="819" t="n">
        <f aca="false">K504*L504/60</f>
        <v>4.10531012940652</v>
      </c>
    </row>
    <row r="505" customFormat="false" ht="15" hidden="false" customHeight="false" outlineLevel="0" collapsed="false">
      <c r="A505" s="216"/>
      <c r="B505" s="78"/>
      <c r="C505" s="1161" t="s">
        <v>6979</v>
      </c>
      <c r="D505" s="912" t="n">
        <v>2005</v>
      </c>
      <c r="E505" s="317" t="n">
        <f aca="false">2021-D505</f>
        <v>16</v>
      </c>
      <c r="F505" s="547" t="n">
        <v>1400000</v>
      </c>
      <c r="G505" s="1413" t="n">
        <v>0.1</v>
      </c>
      <c r="H505" s="547" t="n">
        <f aca="false">E505*F505*G505</f>
        <v>2240000</v>
      </c>
      <c r="I505" s="547" t="n">
        <f aca="false">F505-H505</f>
        <v>-840000</v>
      </c>
      <c r="J505" s="547" t="n">
        <f aca="false">F505*G505</f>
        <v>140000</v>
      </c>
      <c r="K505" s="1365" t="n">
        <f aca="false">J505/1792.8</f>
        <v>78.0901383311022</v>
      </c>
      <c r="L505" s="547" t="n">
        <v>30</v>
      </c>
      <c r="M505" s="819" t="n">
        <f aca="false">K505*L505/60</f>
        <v>39.0450691655511</v>
      </c>
    </row>
    <row r="506" customFormat="false" ht="15" hidden="false" customHeight="false" outlineLevel="0" collapsed="false">
      <c r="A506" s="216"/>
      <c r="B506" s="78"/>
      <c r="C506" s="1161" t="s">
        <v>6934</v>
      </c>
      <c r="D506" s="912" t="n">
        <v>2007</v>
      </c>
      <c r="E506" s="317" t="n">
        <f aca="false">2021-D506</f>
        <v>14</v>
      </c>
      <c r="F506" s="873" t="n">
        <v>491000</v>
      </c>
      <c r="G506" s="1413" t="n">
        <v>0.1</v>
      </c>
      <c r="H506" s="547" t="n">
        <f aca="false">E506*F506*G506</f>
        <v>687400</v>
      </c>
      <c r="I506" s="547" t="n">
        <f aca="false">F506-H506</f>
        <v>-196400</v>
      </c>
      <c r="J506" s="547" t="n">
        <f aca="false">F506*G506</f>
        <v>49100</v>
      </c>
      <c r="K506" s="1365" t="n">
        <f aca="false">J506/1792.8</f>
        <v>27.3873270861223</v>
      </c>
      <c r="L506" s="547" t="n">
        <v>10</v>
      </c>
      <c r="M506" s="819" t="n">
        <f aca="false">K506*L506/60</f>
        <v>4.56455451435371</v>
      </c>
    </row>
    <row r="507" customFormat="false" ht="15" hidden="false" customHeight="false" outlineLevel="0" collapsed="false">
      <c r="A507" s="216"/>
      <c r="B507" s="972" t="s">
        <v>4128</v>
      </c>
      <c r="C507" s="1161"/>
      <c r="D507" s="912"/>
      <c r="E507" s="317"/>
      <c r="F507" s="873"/>
      <c r="G507" s="1413"/>
      <c r="H507" s="547"/>
      <c r="I507" s="547"/>
      <c r="J507" s="547"/>
      <c r="K507" s="1365" t="n">
        <f aca="false">J507/1792.8</f>
        <v>0</v>
      </c>
      <c r="L507" s="547"/>
      <c r="M507" s="934" t="n">
        <f aca="false">M503+M504+M505+M506</f>
        <v>519.242711587089</v>
      </c>
    </row>
    <row r="508" customFormat="false" ht="15" hidden="false" customHeight="false" outlineLevel="0" collapsed="false">
      <c r="A508" s="216" t="s">
        <v>373</v>
      </c>
      <c r="B508" s="29" t="s">
        <v>3034</v>
      </c>
      <c r="C508" s="1161" t="s">
        <v>6934</v>
      </c>
      <c r="D508" s="912" t="n">
        <v>2007</v>
      </c>
      <c r="E508" s="317" t="n">
        <f aca="false">2021-D508</f>
        <v>14</v>
      </c>
      <c r="F508" s="873" t="n">
        <v>491000</v>
      </c>
      <c r="G508" s="1413" t="n">
        <v>1.1</v>
      </c>
      <c r="H508" s="547" t="n">
        <f aca="false">E508*F508*G508</f>
        <v>7561400</v>
      </c>
      <c r="I508" s="547" t="n">
        <f aca="false">F508-H508</f>
        <v>-7070400</v>
      </c>
      <c r="J508" s="547" t="n">
        <f aca="false">F508*G508</f>
        <v>540100</v>
      </c>
      <c r="K508" s="1365" t="n">
        <f aca="false">J508/1792.8</f>
        <v>301.260597947345</v>
      </c>
      <c r="L508" s="547" t="n">
        <v>11</v>
      </c>
      <c r="M508" s="819" t="n">
        <f aca="false">K508*L508/60</f>
        <v>55.2311096236799</v>
      </c>
    </row>
    <row r="509" customFormat="false" ht="15" hidden="false" customHeight="false" outlineLevel="0" collapsed="false">
      <c r="A509" s="216"/>
      <c r="B509" s="29"/>
      <c r="C509" s="1161" t="s">
        <v>6943</v>
      </c>
      <c r="D509" s="912" t="n">
        <v>2006</v>
      </c>
      <c r="E509" s="317" t="n">
        <f aca="false">2021-D509</f>
        <v>15</v>
      </c>
      <c r="F509" s="547" t="n">
        <v>1503927</v>
      </c>
      <c r="G509" s="1413" t="n">
        <v>0.1</v>
      </c>
      <c r="H509" s="547" t="n">
        <f aca="false">E509*F509*G509</f>
        <v>2255890.5</v>
      </c>
      <c r="I509" s="547" t="n">
        <f aca="false">F509-H509</f>
        <v>-751963.5</v>
      </c>
      <c r="J509" s="547" t="n">
        <f aca="false">F509*G509</f>
        <v>150392.7</v>
      </c>
      <c r="K509" s="1365" t="n">
        <f aca="false">J509/1792.8</f>
        <v>83.8870481927711</v>
      </c>
      <c r="L509" s="547" t="n">
        <v>40</v>
      </c>
      <c r="M509" s="819" t="n">
        <f aca="false">K509*L509/60</f>
        <v>55.9246987951807</v>
      </c>
    </row>
    <row r="510" customFormat="false" ht="15" hidden="false" customHeight="false" outlineLevel="0" collapsed="false">
      <c r="A510" s="216"/>
      <c r="B510" s="972" t="s">
        <v>4128</v>
      </c>
      <c r="C510" s="1160"/>
      <c r="D510" s="391"/>
      <c r="E510" s="317"/>
      <c r="F510" s="714"/>
      <c r="G510" s="1414"/>
      <c r="H510" s="547"/>
      <c r="I510" s="547"/>
      <c r="J510" s="547"/>
      <c r="K510" s="1365" t="n">
        <f aca="false">J510/1792.8</f>
        <v>0</v>
      </c>
      <c r="L510" s="714"/>
      <c r="M510" s="934" t="n">
        <f aca="false">M508+M509</f>
        <v>111.155808418861</v>
      </c>
    </row>
    <row r="511" customFormat="false" ht="15" hidden="false" customHeight="false" outlineLevel="0" collapsed="false">
      <c r="A511" s="216" t="s">
        <v>375</v>
      </c>
      <c r="B511" s="29" t="s">
        <v>4592</v>
      </c>
      <c r="C511" s="1161" t="s">
        <v>6974</v>
      </c>
      <c r="D511" s="912" t="n">
        <v>2006</v>
      </c>
      <c r="E511" s="317" t="n">
        <f aca="false">2021-D511</f>
        <v>15</v>
      </c>
      <c r="F511" s="547" t="n">
        <v>526970</v>
      </c>
      <c r="G511" s="1413" t="n">
        <v>0.1</v>
      </c>
      <c r="H511" s="547" t="n">
        <f aca="false">E511*F511*G511</f>
        <v>790455</v>
      </c>
      <c r="I511" s="547" t="n">
        <f aca="false">F511-H511</f>
        <v>-263485</v>
      </c>
      <c r="J511" s="547" t="n">
        <f aca="false">F511*G511</f>
        <v>52697</v>
      </c>
      <c r="K511" s="1365" t="n">
        <f aca="false">J511/1792.8</f>
        <v>29.3936858545292</v>
      </c>
      <c r="L511" s="547" t="n">
        <v>15</v>
      </c>
      <c r="M511" s="819" t="n">
        <f aca="false">K511*L511/60</f>
        <v>7.34842146363231</v>
      </c>
    </row>
    <row r="512" customFormat="false" ht="15" hidden="false" customHeight="false" outlineLevel="0" collapsed="false">
      <c r="A512" s="216"/>
      <c r="B512" s="78"/>
      <c r="C512" s="1161" t="s">
        <v>4568</v>
      </c>
      <c r="D512" s="912" t="n">
        <v>2007</v>
      </c>
      <c r="E512" s="317" t="n">
        <f aca="false">2021-D512</f>
        <v>14</v>
      </c>
      <c r="F512" s="873" t="n">
        <v>5635700</v>
      </c>
      <c r="G512" s="1413" t="n">
        <v>0.1</v>
      </c>
      <c r="H512" s="547" t="n">
        <f aca="false">E512*F512*G512</f>
        <v>7889980</v>
      </c>
      <c r="I512" s="547" t="n">
        <f aca="false">F512-H512</f>
        <v>-2254280</v>
      </c>
      <c r="J512" s="547" t="n">
        <f aca="false">F512*G512</f>
        <v>563570</v>
      </c>
      <c r="K512" s="1365" t="n">
        <f aca="false">J512/1792.8</f>
        <v>314.351851851852</v>
      </c>
      <c r="L512" s="547" t="n">
        <v>150</v>
      </c>
      <c r="M512" s="819" t="n">
        <f aca="false">K512*L512/60</f>
        <v>785.87962962963</v>
      </c>
    </row>
    <row r="513" customFormat="false" ht="15" hidden="false" customHeight="false" outlineLevel="0" collapsed="false">
      <c r="A513" s="216"/>
      <c r="B513" s="78"/>
      <c r="C513" s="1161" t="s">
        <v>6934</v>
      </c>
      <c r="D513" s="912" t="n">
        <v>2007</v>
      </c>
      <c r="E513" s="317" t="n">
        <f aca="false">2021-D513</f>
        <v>14</v>
      </c>
      <c r="F513" s="873" t="n">
        <v>491000</v>
      </c>
      <c r="G513" s="1413" t="n">
        <v>0.1</v>
      </c>
      <c r="H513" s="547" t="n">
        <f aca="false">E513*F513*G513</f>
        <v>687400</v>
      </c>
      <c r="I513" s="547" t="n">
        <f aca="false">F513-H513</f>
        <v>-196400</v>
      </c>
      <c r="J513" s="547" t="n">
        <f aca="false">F513*G513</f>
        <v>49100</v>
      </c>
      <c r="K513" s="1365" t="n">
        <f aca="false">J513/1792.8</f>
        <v>27.3873270861223</v>
      </c>
      <c r="L513" s="547" t="n">
        <v>10</v>
      </c>
      <c r="M513" s="819" t="n">
        <f aca="false">K513*L513/60</f>
        <v>4.56455451435371</v>
      </c>
    </row>
    <row r="514" customFormat="false" ht="15" hidden="false" customHeight="false" outlineLevel="0" collapsed="false">
      <c r="A514" s="216"/>
      <c r="B514" s="972" t="s">
        <v>4128</v>
      </c>
      <c r="C514" s="1160"/>
      <c r="D514" s="391"/>
      <c r="E514" s="317"/>
      <c r="F514" s="714"/>
      <c r="G514" s="1414"/>
      <c r="H514" s="547"/>
      <c r="I514" s="547"/>
      <c r="J514" s="547"/>
      <c r="K514" s="1365" t="n">
        <f aca="false">J514/1792.8</f>
        <v>0</v>
      </c>
      <c r="L514" s="714"/>
      <c r="M514" s="934" t="n">
        <f aca="false">M511+M512+M513</f>
        <v>797.792605607616</v>
      </c>
    </row>
    <row r="515" customFormat="false" ht="30" hidden="false" customHeight="false" outlineLevel="0" collapsed="false">
      <c r="A515" s="216" t="s">
        <v>377</v>
      </c>
      <c r="B515" s="29" t="s">
        <v>4595</v>
      </c>
      <c r="C515" s="1161" t="s">
        <v>6934</v>
      </c>
      <c r="D515" s="912" t="n">
        <v>2007</v>
      </c>
      <c r="E515" s="317" t="n">
        <f aca="false">2021-D515</f>
        <v>14</v>
      </c>
      <c r="F515" s="873" t="n">
        <v>491000</v>
      </c>
      <c r="G515" s="1413" t="n">
        <v>1.1</v>
      </c>
      <c r="H515" s="547" t="n">
        <f aca="false">E515*F515*G515</f>
        <v>7561400</v>
      </c>
      <c r="I515" s="547" t="n">
        <f aca="false">F515-H515</f>
        <v>-7070400</v>
      </c>
      <c r="J515" s="547" t="n">
        <f aca="false">F515*G515</f>
        <v>540100</v>
      </c>
      <c r="K515" s="1365" t="n">
        <f aca="false">J515/1792.8</f>
        <v>301.260597947345</v>
      </c>
      <c r="L515" s="547" t="n">
        <v>11</v>
      </c>
      <c r="M515" s="819" t="n">
        <f aca="false">K515*L515/60</f>
        <v>55.2311096236799</v>
      </c>
    </row>
    <row r="516" customFormat="false" ht="15" hidden="false" customHeight="false" outlineLevel="0" collapsed="false">
      <c r="A516" s="216"/>
      <c r="B516" s="972"/>
      <c r="C516" s="1161" t="s">
        <v>6943</v>
      </c>
      <c r="D516" s="912" t="n">
        <v>2006</v>
      </c>
      <c r="E516" s="317" t="n">
        <f aca="false">2021-D516</f>
        <v>15</v>
      </c>
      <c r="F516" s="547" t="n">
        <v>1503927</v>
      </c>
      <c r="G516" s="1413" t="n">
        <v>0.1</v>
      </c>
      <c r="H516" s="547" t="n">
        <f aca="false">E516*F516*G516</f>
        <v>2255890.5</v>
      </c>
      <c r="I516" s="547" t="n">
        <f aca="false">F516-H516</f>
        <v>-751963.5</v>
      </c>
      <c r="J516" s="547" t="n">
        <f aca="false">F516*G516</f>
        <v>150392.7</v>
      </c>
      <c r="K516" s="1365" t="n">
        <f aca="false">J516/1792.8</f>
        <v>83.8870481927711</v>
      </c>
      <c r="L516" s="547" t="n">
        <v>40</v>
      </c>
      <c r="M516" s="819" t="n">
        <f aca="false">K516*L516/60</f>
        <v>55.9246987951807</v>
      </c>
    </row>
    <row r="517" customFormat="false" ht="15" hidden="false" customHeight="false" outlineLevel="0" collapsed="false">
      <c r="A517" s="216"/>
      <c r="B517" s="972" t="s">
        <v>4128</v>
      </c>
      <c r="C517" s="1160"/>
      <c r="D517" s="391"/>
      <c r="E517" s="317"/>
      <c r="F517" s="714"/>
      <c r="G517" s="1414"/>
      <c r="H517" s="547"/>
      <c r="I517" s="547"/>
      <c r="J517" s="547"/>
      <c r="K517" s="1365" t="n">
        <f aca="false">J517/1792.8</f>
        <v>0</v>
      </c>
      <c r="L517" s="714"/>
      <c r="M517" s="934" t="n">
        <f aca="false">M515+M516</f>
        <v>111.155808418861</v>
      </c>
    </row>
    <row r="518" customFormat="false" ht="30" hidden="false" customHeight="false" outlineLevel="0" collapsed="false">
      <c r="A518" s="216" t="s">
        <v>379</v>
      </c>
      <c r="B518" s="29" t="s">
        <v>3037</v>
      </c>
      <c r="C518" s="1161" t="s">
        <v>6974</v>
      </c>
      <c r="D518" s="912" t="n">
        <v>2006</v>
      </c>
      <c r="E518" s="317" t="n">
        <f aca="false">2021-D518</f>
        <v>15</v>
      </c>
      <c r="F518" s="547" t="n">
        <v>526970</v>
      </c>
      <c r="G518" s="1413" t="n">
        <v>0.1</v>
      </c>
      <c r="H518" s="547" t="n">
        <f aca="false">E518*F518*G518</f>
        <v>790455</v>
      </c>
      <c r="I518" s="547" t="n">
        <f aca="false">F518-H518</f>
        <v>-263485</v>
      </c>
      <c r="J518" s="547" t="n">
        <f aca="false">F518*G518</f>
        <v>52697</v>
      </c>
      <c r="K518" s="1365" t="n">
        <f aca="false">J518/1792.8</f>
        <v>29.3936858545292</v>
      </c>
      <c r="L518" s="547" t="n">
        <v>15</v>
      </c>
      <c r="M518" s="819" t="n">
        <f aca="false">K518*L518/60</f>
        <v>7.34842146363231</v>
      </c>
    </row>
    <row r="519" customFormat="false" ht="15" hidden="false" customHeight="false" outlineLevel="0" collapsed="false">
      <c r="A519" s="216"/>
      <c r="B519" s="78"/>
      <c r="C519" s="1161" t="s">
        <v>6975</v>
      </c>
      <c r="D519" s="912" t="n">
        <v>2006</v>
      </c>
      <c r="E519" s="317" t="n">
        <f aca="false">2021-D519</f>
        <v>15</v>
      </c>
      <c r="F519" s="547" t="n">
        <v>147200</v>
      </c>
      <c r="G519" s="1413" t="n">
        <v>0.1</v>
      </c>
      <c r="H519" s="547" t="n">
        <f aca="false">E519*F519*G519</f>
        <v>220800</v>
      </c>
      <c r="I519" s="547" t="n">
        <f aca="false">F519-H519</f>
        <v>-73600</v>
      </c>
      <c r="J519" s="547" t="n">
        <f aca="false">F519*G519</f>
        <v>14720</v>
      </c>
      <c r="K519" s="1365" t="n">
        <f aca="false">J519/1792.8</f>
        <v>8.21062025881303</v>
      </c>
      <c r="L519" s="547" t="n">
        <v>30</v>
      </c>
      <c r="M519" s="819" t="n">
        <f aca="false">K519*L519/60</f>
        <v>4.10531012940652</v>
      </c>
    </row>
    <row r="520" customFormat="false" ht="15" hidden="false" customHeight="false" outlineLevel="0" collapsed="false">
      <c r="A520" s="216"/>
      <c r="B520" s="78"/>
      <c r="C520" s="1161" t="s">
        <v>6979</v>
      </c>
      <c r="D520" s="912" t="n">
        <v>2005</v>
      </c>
      <c r="E520" s="317" t="n">
        <f aca="false">2021-D520</f>
        <v>16</v>
      </c>
      <c r="F520" s="547" t="n">
        <v>1400000</v>
      </c>
      <c r="G520" s="1413" t="n">
        <v>0.1</v>
      </c>
      <c r="H520" s="547" t="n">
        <f aca="false">E520*F520*G520</f>
        <v>2240000</v>
      </c>
      <c r="I520" s="547" t="n">
        <f aca="false">F520-H520</f>
        <v>-840000</v>
      </c>
      <c r="J520" s="547" t="n">
        <f aca="false">F520*G520</f>
        <v>140000</v>
      </c>
      <c r="K520" s="1365" t="n">
        <f aca="false">J520/1792.8</f>
        <v>78.0901383311022</v>
      </c>
      <c r="L520" s="547" t="n">
        <v>30</v>
      </c>
      <c r="M520" s="819" t="n">
        <f aca="false">K520*L520/60</f>
        <v>39.0450691655511</v>
      </c>
    </row>
    <row r="521" customFormat="false" ht="15" hidden="false" customHeight="false" outlineLevel="0" collapsed="false">
      <c r="A521" s="216"/>
      <c r="B521" s="78"/>
      <c r="C521" s="1161" t="s">
        <v>6934</v>
      </c>
      <c r="D521" s="912" t="n">
        <v>2007</v>
      </c>
      <c r="E521" s="317" t="n">
        <f aca="false">2021-D521</f>
        <v>14</v>
      </c>
      <c r="F521" s="873" t="n">
        <v>491000</v>
      </c>
      <c r="G521" s="1413" t="n">
        <v>0.1</v>
      </c>
      <c r="H521" s="547" t="n">
        <f aca="false">E521*F521*G521</f>
        <v>687400</v>
      </c>
      <c r="I521" s="547" t="n">
        <f aca="false">F521-H521</f>
        <v>-196400</v>
      </c>
      <c r="J521" s="547" t="n">
        <f aca="false">F521*G521</f>
        <v>49100</v>
      </c>
      <c r="K521" s="1365" t="n">
        <f aca="false">J521/1792.8</f>
        <v>27.3873270861223</v>
      </c>
      <c r="L521" s="547" t="n">
        <v>10</v>
      </c>
      <c r="M521" s="819" t="n">
        <f aca="false">K521*L521/60</f>
        <v>4.56455451435371</v>
      </c>
    </row>
    <row r="522" customFormat="false" ht="15" hidden="false" customHeight="false" outlineLevel="0" collapsed="false">
      <c r="A522" s="216"/>
      <c r="B522" s="972" t="s">
        <v>4128</v>
      </c>
      <c r="C522" s="1160"/>
      <c r="D522" s="391"/>
      <c r="E522" s="317"/>
      <c r="F522" s="714"/>
      <c r="G522" s="1414"/>
      <c r="H522" s="547"/>
      <c r="I522" s="547"/>
      <c r="J522" s="547"/>
      <c r="K522" s="1365" t="n">
        <f aca="false">J522/1792.8</f>
        <v>0</v>
      </c>
      <c r="L522" s="714"/>
      <c r="M522" s="934" t="n">
        <f aca="false">M518+M519+M520+M521</f>
        <v>55.0633552729436</v>
      </c>
    </row>
    <row r="523" customFormat="false" ht="30" hidden="false" customHeight="false" outlineLevel="0" collapsed="false">
      <c r="A523" s="216" t="s">
        <v>381</v>
      </c>
      <c r="B523" s="29" t="s">
        <v>3038</v>
      </c>
      <c r="C523" s="1161" t="s">
        <v>6927</v>
      </c>
      <c r="D523" s="912" t="n">
        <v>2006</v>
      </c>
      <c r="E523" s="317" t="n">
        <f aca="false">2021-D523</f>
        <v>15</v>
      </c>
      <c r="F523" s="547" t="n">
        <v>526970</v>
      </c>
      <c r="G523" s="1413" t="n">
        <v>0.1</v>
      </c>
      <c r="H523" s="547" t="n">
        <f aca="false">E523*F523*G523</f>
        <v>790455</v>
      </c>
      <c r="I523" s="547" t="n">
        <f aca="false">F523-H523</f>
        <v>-263485</v>
      </c>
      <c r="J523" s="547" t="n">
        <f aca="false">F523*G523</f>
        <v>52697</v>
      </c>
      <c r="K523" s="1365" t="n">
        <f aca="false">J523/1792.8</f>
        <v>29.3936858545292</v>
      </c>
      <c r="L523" s="547" t="n">
        <v>15</v>
      </c>
      <c r="M523" s="819" t="n">
        <f aca="false">K523*L523/60</f>
        <v>7.34842146363231</v>
      </c>
    </row>
    <row r="524" customFormat="false" ht="15" hidden="false" customHeight="false" outlineLevel="0" collapsed="false">
      <c r="A524" s="216"/>
      <c r="B524" s="78"/>
      <c r="C524" s="1161" t="s">
        <v>6934</v>
      </c>
      <c r="D524" s="912" t="n">
        <v>2007</v>
      </c>
      <c r="E524" s="317" t="n">
        <f aca="false">2021-D524</f>
        <v>14</v>
      </c>
      <c r="F524" s="873" t="n">
        <v>491000</v>
      </c>
      <c r="G524" s="1413" t="n">
        <v>0.1</v>
      </c>
      <c r="H524" s="547" t="n">
        <f aca="false">E524*F524*G524</f>
        <v>687400</v>
      </c>
      <c r="I524" s="547" t="n">
        <f aca="false">F524-H524</f>
        <v>-196400</v>
      </c>
      <c r="J524" s="547" t="n">
        <f aca="false">F524*G524</f>
        <v>49100</v>
      </c>
      <c r="K524" s="1365" t="n">
        <f aca="false">J524/1792.8</f>
        <v>27.3873270861223</v>
      </c>
      <c r="L524" s="547" t="n">
        <v>10</v>
      </c>
      <c r="M524" s="819" t="n">
        <f aca="false">K524*L524/60</f>
        <v>4.56455451435371</v>
      </c>
    </row>
    <row r="525" customFormat="false" ht="15" hidden="false" customHeight="false" outlineLevel="0" collapsed="false">
      <c r="A525" s="216"/>
      <c r="B525" s="972" t="s">
        <v>4128</v>
      </c>
      <c r="C525" s="1160"/>
      <c r="D525" s="391"/>
      <c r="E525" s="317"/>
      <c r="F525" s="714"/>
      <c r="G525" s="1414"/>
      <c r="H525" s="547"/>
      <c r="I525" s="547"/>
      <c r="J525" s="547"/>
      <c r="K525" s="1365" t="n">
        <f aca="false">J525/1792.8</f>
        <v>0</v>
      </c>
      <c r="L525" s="714"/>
      <c r="M525" s="934" t="n">
        <f aca="false">M523+M524</f>
        <v>11.912975977986</v>
      </c>
    </row>
    <row r="526" customFormat="false" ht="45" hidden="false" customHeight="false" outlineLevel="0" collapsed="false">
      <c r="A526" s="216" t="s">
        <v>383</v>
      </c>
      <c r="B526" s="29" t="s">
        <v>3039</v>
      </c>
      <c r="C526" s="1161" t="s">
        <v>6940</v>
      </c>
      <c r="D526" s="912" t="n">
        <v>2005</v>
      </c>
      <c r="E526" s="317" t="n">
        <f aca="false">2021-D526</f>
        <v>16</v>
      </c>
      <c r="F526" s="547" t="n">
        <v>560000</v>
      </c>
      <c r="G526" s="1413" t="n">
        <v>0.1</v>
      </c>
      <c r="H526" s="547" t="n">
        <f aca="false">E526*F526*G526</f>
        <v>896000</v>
      </c>
      <c r="I526" s="547" t="n">
        <f aca="false">F526-H526</f>
        <v>-336000</v>
      </c>
      <c r="J526" s="547" t="n">
        <f aca="false">F526*G526</f>
        <v>56000</v>
      </c>
      <c r="K526" s="1365" t="n">
        <f aca="false">J526/1792.8</f>
        <v>31.2360553324409</v>
      </c>
      <c r="L526" s="547" t="n">
        <v>30</v>
      </c>
      <c r="M526" s="819" t="n">
        <f aca="false">K526*L526/60</f>
        <v>15.6180276662204</v>
      </c>
    </row>
    <row r="527" customFormat="false" ht="15" hidden="false" customHeight="false" outlineLevel="0" collapsed="false">
      <c r="A527" s="216"/>
      <c r="B527" s="78"/>
      <c r="C527" s="1161" t="s">
        <v>6934</v>
      </c>
      <c r="D527" s="912" t="n">
        <v>2007</v>
      </c>
      <c r="E527" s="317" t="n">
        <f aca="false">2021-D527</f>
        <v>14</v>
      </c>
      <c r="F527" s="873" t="n">
        <v>491000</v>
      </c>
      <c r="G527" s="1413" t="n">
        <v>0.1</v>
      </c>
      <c r="H527" s="547" t="n">
        <f aca="false">E527*F527*G527</f>
        <v>687400</v>
      </c>
      <c r="I527" s="547" t="n">
        <f aca="false">F527-H527</f>
        <v>-196400</v>
      </c>
      <c r="J527" s="547" t="n">
        <f aca="false">F527*G527</f>
        <v>49100</v>
      </c>
      <c r="K527" s="1365" t="n">
        <f aca="false">J527/1792.8</f>
        <v>27.3873270861223</v>
      </c>
      <c r="L527" s="547" t="n">
        <v>10</v>
      </c>
      <c r="M527" s="819" t="n">
        <f aca="false">K527*L527/60</f>
        <v>4.56455451435371</v>
      </c>
    </row>
    <row r="528" customFormat="false" ht="15" hidden="false" customHeight="false" outlineLevel="0" collapsed="false">
      <c r="A528" s="216"/>
      <c r="B528" s="78"/>
      <c r="C528" s="1161" t="s">
        <v>6980</v>
      </c>
      <c r="D528" s="912" t="n">
        <v>2005</v>
      </c>
      <c r="E528" s="317" t="n">
        <f aca="false">2021-D528</f>
        <v>16</v>
      </c>
      <c r="F528" s="547" t="n">
        <v>98600</v>
      </c>
      <c r="G528" s="1413" t="n">
        <v>0.1</v>
      </c>
      <c r="H528" s="547" t="n">
        <f aca="false">E528*F528*G528</f>
        <v>157760</v>
      </c>
      <c r="I528" s="547" t="n">
        <f aca="false">F528-H528</f>
        <v>-59160</v>
      </c>
      <c r="J528" s="547" t="n">
        <f aca="false">F528*G528</f>
        <v>9860</v>
      </c>
      <c r="K528" s="1365" t="n">
        <f aca="false">J528/1792.8</f>
        <v>5.49977688531905</v>
      </c>
      <c r="L528" s="547" t="n">
        <v>20</v>
      </c>
      <c r="M528" s="819" t="n">
        <f aca="false">K528*L528/60</f>
        <v>1.83325896177302</v>
      </c>
    </row>
    <row r="529" customFormat="false" ht="15" hidden="false" customHeight="false" outlineLevel="0" collapsed="false">
      <c r="A529" s="216"/>
      <c r="B529" s="972" t="s">
        <v>4128</v>
      </c>
      <c r="C529" s="1160"/>
      <c r="D529" s="391"/>
      <c r="E529" s="317"/>
      <c r="F529" s="714"/>
      <c r="G529" s="1414"/>
      <c r="H529" s="547"/>
      <c r="I529" s="547"/>
      <c r="J529" s="547"/>
      <c r="K529" s="1365" t="n">
        <f aca="false">J529/1792.8</f>
        <v>0</v>
      </c>
      <c r="L529" s="714"/>
      <c r="M529" s="934" t="n">
        <f aca="false">M526+M527+M528</f>
        <v>22.0158411423472</v>
      </c>
    </row>
    <row r="530" customFormat="false" ht="30" hidden="false" customHeight="false" outlineLevel="0" collapsed="false">
      <c r="A530" s="216" t="s">
        <v>385</v>
      </c>
      <c r="B530" s="29" t="s">
        <v>3040</v>
      </c>
      <c r="C530" s="1161" t="s">
        <v>6981</v>
      </c>
      <c r="D530" s="912" t="n">
        <v>2009</v>
      </c>
      <c r="E530" s="317" t="n">
        <f aca="false">2021-D530</f>
        <v>12</v>
      </c>
      <c r="F530" s="547" t="n">
        <v>181000</v>
      </c>
      <c r="G530" s="1413" t="n">
        <v>0.1</v>
      </c>
      <c r="H530" s="547" t="n">
        <f aca="false">E530*F530*G530</f>
        <v>217200</v>
      </c>
      <c r="I530" s="547" t="n">
        <f aca="false">F530-H530</f>
        <v>-36200</v>
      </c>
      <c r="J530" s="547" t="n">
        <f aca="false">F530*G530</f>
        <v>18100</v>
      </c>
      <c r="K530" s="1365" t="n">
        <f aca="false">J530/1792.8</f>
        <v>10.0959393128068</v>
      </c>
      <c r="L530" s="547" t="n">
        <v>15</v>
      </c>
      <c r="M530" s="819" t="n">
        <f aca="false">K530*L530/60</f>
        <v>2.5239848282017</v>
      </c>
    </row>
    <row r="531" customFormat="false" ht="15" hidden="false" customHeight="false" outlineLevel="0" collapsed="false">
      <c r="A531" s="216"/>
      <c r="B531" s="78"/>
      <c r="C531" s="1161" t="s">
        <v>6934</v>
      </c>
      <c r="D531" s="912" t="n">
        <v>2007</v>
      </c>
      <c r="E531" s="317" t="n">
        <f aca="false">2021-D531</f>
        <v>14</v>
      </c>
      <c r="F531" s="873" t="n">
        <v>491000</v>
      </c>
      <c r="G531" s="1413" t="n">
        <v>0.1</v>
      </c>
      <c r="H531" s="547" t="n">
        <f aca="false">E531*F531*G531</f>
        <v>687400</v>
      </c>
      <c r="I531" s="547" t="n">
        <f aca="false">F531-H531</f>
        <v>-196400</v>
      </c>
      <c r="J531" s="547" t="n">
        <f aca="false">F531*G531</f>
        <v>49100</v>
      </c>
      <c r="K531" s="1365" t="n">
        <f aca="false">J531/1792.8</f>
        <v>27.3873270861223</v>
      </c>
      <c r="L531" s="547" t="n">
        <v>10</v>
      </c>
      <c r="M531" s="819" t="n">
        <f aca="false">K531*L531/60</f>
        <v>4.56455451435371</v>
      </c>
    </row>
    <row r="532" customFormat="false" ht="15" hidden="false" customHeight="false" outlineLevel="0" collapsed="false">
      <c r="A532" s="216"/>
      <c r="B532" s="972" t="s">
        <v>4128</v>
      </c>
      <c r="C532" s="1161"/>
      <c r="D532" s="912"/>
      <c r="E532" s="317"/>
      <c r="F532" s="873"/>
      <c r="G532" s="1413"/>
      <c r="H532" s="547"/>
      <c r="I532" s="547"/>
      <c r="J532" s="547"/>
      <c r="K532" s="1365" t="n">
        <f aca="false">J532/1792.8</f>
        <v>0</v>
      </c>
      <c r="L532" s="547"/>
      <c r="M532" s="934" t="n">
        <f aca="false">M530+M531</f>
        <v>7.08853934255541</v>
      </c>
    </row>
    <row r="533" customFormat="false" ht="15" hidden="false" customHeight="false" outlineLevel="0" collapsed="false">
      <c r="A533" s="216" t="s">
        <v>387</v>
      </c>
      <c r="B533" s="40" t="s">
        <v>3041</v>
      </c>
      <c r="C533" s="1161" t="s">
        <v>4568</v>
      </c>
      <c r="D533" s="912" t="n">
        <v>2007</v>
      </c>
      <c r="E533" s="317" t="n">
        <f aca="false">2021-D533</f>
        <v>14</v>
      </c>
      <c r="F533" s="873" t="n">
        <v>5635700</v>
      </c>
      <c r="G533" s="1413" t="n">
        <v>0.1</v>
      </c>
      <c r="H533" s="547" t="n">
        <f aca="false">E533*F533*G533</f>
        <v>7889980</v>
      </c>
      <c r="I533" s="547" t="n">
        <f aca="false">F533-H533</f>
        <v>-2254280</v>
      </c>
      <c r="J533" s="547" t="n">
        <f aca="false">F533*G533</f>
        <v>563570</v>
      </c>
      <c r="K533" s="1365" t="n">
        <f aca="false">J533/1792.8</f>
        <v>314.351851851852</v>
      </c>
      <c r="L533" s="547" t="n">
        <v>150</v>
      </c>
      <c r="M533" s="819" t="n">
        <f aca="false">K533*L533/60</f>
        <v>785.87962962963</v>
      </c>
    </row>
    <row r="534" s="311" customFormat="true" ht="15" hidden="false" customHeight="false" outlineLevel="0" collapsed="false">
      <c r="A534" s="216"/>
      <c r="C534" s="1161" t="s">
        <v>6934</v>
      </c>
      <c r="D534" s="912" t="n">
        <v>2007</v>
      </c>
      <c r="E534" s="317" t="n">
        <f aca="false">2021-D534</f>
        <v>14</v>
      </c>
      <c r="F534" s="873" t="n">
        <v>491000</v>
      </c>
      <c r="G534" s="1413" t="n">
        <v>0.1</v>
      </c>
      <c r="H534" s="547" t="n">
        <f aca="false">E534*F534*G534</f>
        <v>687400</v>
      </c>
      <c r="I534" s="547" t="n">
        <f aca="false">F534-H534</f>
        <v>-196400</v>
      </c>
      <c r="J534" s="547" t="n">
        <f aca="false">F534*G534</f>
        <v>49100</v>
      </c>
      <c r="K534" s="1365" t="n">
        <f aca="false">J534/1792.8</f>
        <v>27.3873270861223</v>
      </c>
      <c r="L534" s="547" t="n">
        <v>10</v>
      </c>
      <c r="M534" s="819" t="n">
        <f aca="false">K534*L534/60</f>
        <v>4.56455451435371</v>
      </c>
    </row>
    <row r="535" customFormat="false" ht="15" hidden="false" customHeight="false" outlineLevel="0" collapsed="false">
      <c r="A535" s="216"/>
      <c r="B535" s="1160" t="s">
        <v>4128</v>
      </c>
      <c r="C535" s="1161"/>
      <c r="D535" s="912"/>
      <c r="E535" s="317"/>
      <c r="F535" s="873"/>
      <c r="G535" s="1413"/>
      <c r="H535" s="547"/>
      <c r="I535" s="547"/>
      <c r="J535" s="547"/>
      <c r="K535" s="1365" t="n">
        <f aca="false">J535/1792.8</f>
        <v>0</v>
      </c>
      <c r="L535" s="547"/>
      <c r="M535" s="934" t="n">
        <f aca="false">M533+M534</f>
        <v>790.444184143983</v>
      </c>
    </row>
    <row r="536" customFormat="false" ht="15" hidden="false" customHeight="false" outlineLevel="0" collapsed="false">
      <c r="A536" s="216" t="s">
        <v>6982</v>
      </c>
      <c r="B536" s="1161" t="s">
        <v>3042</v>
      </c>
      <c r="C536" s="1161" t="s">
        <v>4568</v>
      </c>
      <c r="D536" s="912" t="n">
        <v>2007</v>
      </c>
      <c r="E536" s="317" t="n">
        <f aca="false">2021-D536</f>
        <v>14</v>
      </c>
      <c r="F536" s="873" t="n">
        <v>5635700</v>
      </c>
      <c r="G536" s="1413" t="n">
        <v>0.1</v>
      </c>
      <c r="H536" s="547" t="n">
        <f aca="false">E536*F536*G536</f>
        <v>7889980</v>
      </c>
      <c r="I536" s="547" t="n">
        <f aca="false">F536-H536</f>
        <v>-2254280</v>
      </c>
      <c r="J536" s="547" t="n">
        <f aca="false">F536*G536</f>
        <v>563570</v>
      </c>
      <c r="K536" s="1365" t="n">
        <f aca="false">J536/1792.8</f>
        <v>314.351851851852</v>
      </c>
      <c r="L536" s="547" t="n">
        <v>150</v>
      </c>
      <c r="M536" s="819" t="n">
        <f aca="false">K536*L536/60</f>
        <v>785.87962962963</v>
      </c>
    </row>
    <row r="537" customFormat="false" ht="15" hidden="false" customHeight="false" outlineLevel="0" collapsed="false">
      <c r="A537" s="216"/>
      <c r="B537" s="1161"/>
      <c r="C537" s="1161" t="s">
        <v>6934</v>
      </c>
      <c r="D537" s="912" t="n">
        <v>2007</v>
      </c>
      <c r="E537" s="317" t="n">
        <f aca="false">2021-D537</f>
        <v>14</v>
      </c>
      <c r="F537" s="873" t="n">
        <v>491000</v>
      </c>
      <c r="G537" s="1413" t="n">
        <v>0.1</v>
      </c>
      <c r="H537" s="547" t="n">
        <f aca="false">E537*F537*G537</f>
        <v>687400</v>
      </c>
      <c r="I537" s="547" t="n">
        <f aca="false">F537-H537</f>
        <v>-196400</v>
      </c>
      <c r="J537" s="547" t="n">
        <f aca="false">F537*G537</f>
        <v>49100</v>
      </c>
      <c r="K537" s="1365" t="n">
        <f aca="false">J537/1792.8</f>
        <v>27.3873270861223</v>
      </c>
      <c r="L537" s="547" t="n">
        <v>10</v>
      </c>
      <c r="M537" s="819" t="n">
        <f aca="false">K537*L537/60</f>
        <v>4.56455451435371</v>
      </c>
    </row>
    <row r="538" customFormat="false" ht="15" hidden="false" customHeight="false" outlineLevel="0" collapsed="false">
      <c r="A538" s="216"/>
      <c r="B538" s="1160" t="s">
        <v>4128</v>
      </c>
      <c r="C538" s="1161"/>
      <c r="D538" s="912"/>
      <c r="E538" s="317"/>
      <c r="F538" s="873"/>
      <c r="G538" s="1413"/>
      <c r="H538" s="547"/>
      <c r="I538" s="547"/>
      <c r="J538" s="547"/>
      <c r="K538" s="1365" t="n">
        <f aca="false">J538/1792.8</f>
        <v>0</v>
      </c>
      <c r="L538" s="547"/>
      <c r="M538" s="934" t="n">
        <f aca="false">M536+M537</f>
        <v>790.444184143983</v>
      </c>
    </row>
    <row r="539" customFormat="false" ht="15" hidden="false" customHeight="false" outlineLevel="0" collapsed="false">
      <c r="A539" s="216" t="s">
        <v>6983</v>
      </c>
      <c r="B539" s="40" t="s">
        <v>3043</v>
      </c>
      <c r="C539" s="1161" t="s">
        <v>6934</v>
      </c>
      <c r="D539" s="912" t="n">
        <v>2007</v>
      </c>
      <c r="E539" s="317" t="n">
        <f aca="false">2021-D539</f>
        <v>14</v>
      </c>
      <c r="F539" s="873" t="n">
        <v>491000</v>
      </c>
      <c r="G539" s="1413" t="n">
        <v>0.1</v>
      </c>
      <c r="H539" s="547" t="n">
        <f aca="false">E539*F539*G539</f>
        <v>687400</v>
      </c>
      <c r="I539" s="547" t="n">
        <f aca="false">F539-H539</f>
        <v>-196400</v>
      </c>
      <c r="J539" s="547" t="n">
        <f aca="false">F539*G539</f>
        <v>49100</v>
      </c>
      <c r="K539" s="1365" t="n">
        <f aca="false">J539/1792.8</f>
        <v>27.3873270861223</v>
      </c>
      <c r="L539" s="547" t="n">
        <v>10</v>
      </c>
      <c r="M539" s="934" t="n">
        <f aca="false">K539*L539/60</f>
        <v>4.56455451435371</v>
      </c>
    </row>
    <row r="540" customFormat="false" ht="33" hidden="false" customHeight="true" outlineLevel="0" collapsed="false">
      <c r="A540" s="15" t="s">
        <v>4646</v>
      </c>
      <c r="B540" s="16" t="s">
        <v>3044</v>
      </c>
      <c r="C540" s="1360"/>
      <c r="D540" s="1415"/>
      <c r="E540" s="1389"/>
      <c r="F540" s="1416"/>
      <c r="G540" s="1416"/>
      <c r="H540" s="751"/>
      <c r="I540" s="751"/>
      <c r="J540" s="751"/>
      <c r="K540" s="1390"/>
      <c r="L540" s="1416"/>
      <c r="M540" s="818"/>
    </row>
    <row r="541" customFormat="false" ht="30" hidden="false" customHeight="false" outlineLevel="0" collapsed="false">
      <c r="A541" s="216" t="s">
        <v>395</v>
      </c>
      <c r="B541" s="29" t="s">
        <v>3010</v>
      </c>
      <c r="C541" s="1161" t="s">
        <v>6984</v>
      </c>
      <c r="D541" s="912" t="n">
        <v>2007</v>
      </c>
      <c r="E541" s="317" t="n">
        <f aca="false">2021-D541</f>
        <v>14</v>
      </c>
      <c r="F541" s="547" t="n">
        <v>810000</v>
      </c>
      <c r="G541" s="1413" t="n">
        <v>0.1</v>
      </c>
      <c r="H541" s="547" t="n">
        <f aca="false">E541*F541*G541</f>
        <v>1134000</v>
      </c>
      <c r="I541" s="547" t="n">
        <f aca="false">F541-H541</f>
        <v>-324000</v>
      </c>
      <c r="J541" s="547" t="n">
        <f aca="false">F541*G541</f>
        <v>81000</v>
      </c>
      <c r="K541" s="1365" t="n">
        <f aca="false">J541/1792.8</f>
        <v>45.1807228915663</v>
      </c>
      <c r="L541" s="547" t="n">
        <v>15</v>
      </c>
      <c r="M541" s="934" t="n">
        <f aca="false">K541*L541/60</f>
        <v>11.2951807228916</v>
      </c>
    </row>
    <row r="542" customFormat="false" ht="15" hidden="false" customHeight="false" outlineLevel="0" collapsed="false">
      <c r="A542" s="216" t="s">
        <v>396</v>
      </c>
      <c r="B542" s="29" t="s">
        <v>3045</v>
      </c>
      <c r="C542" s="1161" t="s">
        <v>6934</v>
      </c>
      <c r="D542" s="912" t="n">
        <v>2005</v>
      </c>
      <c r="E542" s="317" t="n">
        <f aca="false">2021-D542</f>
        <v>16</v>
      </c>
      <c r="F542" s="547" t="n">
        <v>90680</v>
      </c>
      <c r="G542" s="1413" t="n">
        <v>0.1</v>
      </c>
      <c r="H542" s="547" t="n">
        <f aca="false">E542*F542*G542</f>
        <v>145088</v>
      </c>
      <c r="I542" s="547" t="n">
        <f aca="false">F542-H542</f>
        <v>-54408</v>
      </c>
      <c r="J542" s="547" t="n">
        <f aca="false">F542*G542</f>
        <v>9068</v>
      </c>
      <c r="K542" s="1365" t="n">
        <f aca="false">J542/1792.8</f>
        <v>5.05800981704596</v>
      </c>
      <c r="L542" s="547" t="n">
        <v>10</v>
      </c>
      <c r="M542" s="934" t="n">
        <f aca="false">K542*L542/60</f>
        <v>0.843001636174327</v>
      </c>
    </row>
    <row r="543" customFormat="false" ht="15" hidden="false" customHeight="false" outlineLevel="0" collapsed="false">
      <c r="A543" s="216" t="s">
        <v>398</v>
      </c>
      <c r="B543" s="29" t="s">
        <v>3046</v>
      </c>
      <c r="C543" s="1161" t="s">
        <v>6934</v>
      </c>
      <c r="D543" s="912" t="n">
        <v>2005</v>
      </c>
      <c r="E543" s="317" t="n">
        <f aca="false">2021-D543</f>
        <v>16</v>
      </c>
      <c r="F543" s="547" t="n">
        <v>90680</v>
      </c>
      <c r="G543" s="1413" t="n">
        <v>0.1</v>
      </c>
      <c r="H543" s="547" t="n">
        <f aca="false">E543*F543*G543</f>
        <v>145088</v>
      </c>
      <c r="I543" s="547" t="n">
        <f aca="false">F543-H543</f>
        <v>-54408</v>
      </c>
      <c r="J543" s="547" t="n">
        <f aca="false">F543*G543</f>
        <v>9068</v>
      </c>
      <c r="K543" s="1365" t="n">
        <f aca="false">J543/1792.8</f>
        <v>5.05800981704596</v>
      </c>
      <c r="L543" s="547" t="n">
        <v>10</v>
      </c>
      <c r="M543" s="934" t="n">
        <f aca="false">K543*L543/60</f>
        <v>0.843001636174327</v>
      </c>
    </row>
    <row r="544" customFormat="false" ht="15" hidden="false" customHeight="false" outlineLevel="0" collapsed="false">
      <c r="A544" s="216" t="s">
        <v>400</v>
      </c>
      <c r="B544" s="29" t="s">
        <v>3047</v>
      </c>
      <c r="C544" s="1161" t="s">
        <v>6985</v>
      </c>
      <c r="D544" s="912" t="n">
        <v>2005</v>
      </c>
      <c r="E544" s="317" t="n">
        <f aca="false">2021-D544</f>
        <v>16</v>
      </c>
      <c r="F544" s="547" t="n">
        <v>60000</v>
      </c>
      <c r="G544" s="1413" t="n">
        <v>0.1</v>
      </c>
      <c r="H544" s="547" t="n">
        <f aca="false">E544*F544*G544</f>
        <v>96000</v>
      </c>
      <c r="I544" s="547" t="n">
        <f aca="false">F544-H544</f>
        <v>-36000</v>
      </c>
      <c r="J544" s="547" t="n">
        <f aca="false">F544*G544</f>
        <v>6000</v>
      </c>
      <c r="K544" s="1365" t="n">
        <f aca="false">J544/1792.8</f>
        <v>3.34672021419009</v>
      </c>
      <c r="L544" s="547" t="n">
        <v>15</v>
      </c>
      <c r="M544" s="934" t="n">
        <f aca="false">K544*L544/60</f>
        <v>0.836680053547523</v>
      </c>
    </row>
    <row r="545" customFormat="false" ht="30" hidden="false" customHeight="false" outlineLevel="0" collapsed="false">
      <c r="A545" s="216" t="s">
        <v>402</v>
      </c>
      <c r="B545" s="29" t="s">
        <v>3048</v>
      </c>
      <c r="C545" s="1161"/>
      <c r="D545" s="912"/>
      <c r="E545" s="317"/>
      <c r="F545" s="547"/>
      <c r="G545" s="1413"/>
      <c r="H545" s="547"/>
      <c r="I545" s="547"/>
      <c r="J545" s="547"/>
      <c r="K545" s="1365" t="n">
        <f aca="false">J545/1792.8</f>
        <v>0</v>
      </c>
      <c r="L545" s="547"/>
      <c r="M545" s="934"/>
    </row>
    <row r="546" customFormat="false" ht="15" hidden="false" customHeight="false" outlineLevel="0" collapsed="false">
      <c r="A546" s="216" t="s">
        <v>404</v>
      </c>
      <c r="B546" s="29" t="s">
        <v>3049</v>
      </c>
      <c r="C546" s="1161" t="s">
        <v>6934</v>
      </c>
      <c r="D546" s="912" t="n">
        <v>2005</v>
      </c>
      <c r="E546" s="317" t="n">
        <f aca="false">2021-D546</f>
        <v>16</v>
      </c>
      <c r="F546" s="547" t="n">
        <v>90680</v>
      </c>
      <c r="G546" s="1413" t="n">
        <v>0.1</v>
      </c>
      <c r="H546" s="547" t="n">
        <f aca="false">E546*F546*G546</f>
        <v>145088</v>
      </c>
      <c r="I546" s="547" t="n">
        <f aca="false">F546-H546</f>
        <v>-54408</v>
      </c>
      <c r="J546" s="547" t="n">
        <f aca="false">F546*G546</f>
        <v>9068</v>
      </c>
      <c r="K546" s="1365" t="n">
        <f aca="false">J546/1792.8</f>
        <v>5.05800981704596</v>
      </c>
      <c r="L546" s="547" t="n">
        <v>10</v>
      </c>
      <c r="M546" s="934" t="n">
        <f aca="false">K546*L546/60</f>
        <v>0.843001636174327</v>
      </c>
    </row>
    <row r="547" customFormat="false" ht="15" hidden="false" customHeight="false" outlineLevel="0" collapsed="false">
      <c r="A547" s="216" t="s">
        <v>406</v>
      </c>
      <c r="B547" s="29" t="s">
        <v>3050</v>
      </c>
      <c r="C547" s="1161" t="s">
        <v>6934</v>
      </c>
      <c r="D547" s="912" t="n">
        <v>2005</v>
      </c>
      <c r="E547" s="317" t="n">
        <f aca="false">2021-D547</f>
        <v>16</v>
      </c>
      <c r="F547" s="547" t="n">
        <v>90680</v>
      </c>
      <c r="G547" s="1413" t="n">
        <v>0.1</v>
      </c>
      <c r="H547" s="547" t="n">
        <f aca="false">E547*F547*G547</f>
        <v>145088</v>
      </c>
      <c r="I547" s="547" t="n">
        <f aca="false">F547-H547</f>
        <v>-54408</v>
      </c>
      <c r="J547" s="547" t="n">
        <f aca="false">F547*G547</f>
        <v>9068</v>
      </c>
      <c r="K547" s="1365" t="n">
        <f aca="false">J547/1792.8</f>
        <v>5.05800981704596</v>
      </c>
      <c r="L547" s="547" t="n">
        <v>10</v>
      </c>
      <c r="M547" s="934" t="n">
        <f aca="false">K547*L547/60</f>
        <v>0.843001636174327</v>
      </c>
    </row>
    <row r="548" customFormat="false" ht="15" hidden="false" customHeight="false" outlineLevel="0" collapsed="false">
      <c r="A548" s="216" t="s">
        <v>408</v>
      </c>
      <c r="B548" s="29" t="s">
        <v>3051</v>
      </c>
      <c r="C548" s="1161" t="s">
        <v>6934</v>
      </c>
      <c r="D548" s="912" t="n">
        <v>2005</v>
      </c>
      <c r="E548" s="317" t="n">
        <f aca="false">2021-D548</f>
        <v>16</v>
      </c>
      <c r="F548" s="547" t="n">
        <v>90680</v>
      </c>
      <c r="G548" s="1413" t="n">
        <v>0.1</v>
      </c>
      <c r="H548" s="547" t="n">
        <f aca="false">E548*F548*G548</f>
        <v>145088</v>
      </c>
      <c r="I548" s="547" t="n">
        <f aca="false">F548-H548</f>
        <v>-54408</v>
      </c>
      <c r="J548" s="547" t="n">
        <f aca="false">F548*G548</f>
        <v>9068</v>
      </c>
      <c r="K548" s="1365" t="n">
        <f aca="false">J548/1792.8</f>
        <v>5.05800981704596</v>
      </c>
      <c r="L548" s="547" t="n">
        <v>10</v>
      </c>
      <c r="M548" s="934" t="n">
        <f aca="false">K548*L548/60</f>
        <v>0.843001636174327</v>
      </c>
    </row>
    <row r="549" customFormat="false" ht="15" hidden="false" customHeight="false" outlineLevel="0" collapsed="false">
      <c r="A549" s="216" t="s">
        <v>410</v>
      </c>
      <c r="B549" s="29" t="s">
        <v>3052</v>
      </c>
      <c r="C549" s="1161" t="s">
        <v>6974</v>
      </c>
      <c r="D549" s="912" t="n">
        <v>2006</v>
      </c>
      <c r="E549" s="317" t="n">
        <f aca="false">2021-D549</f>
        <v>15</v>
      </c>
      <c r="F549" s="547" t="n">
        <v>526970</v>
      </c>
      <c r="G549" s="1413" t="n">
        <v>0.1</v>
      </c>
      <c r="H549" s="547" t="n">
        <f aca="false">E549*F549*G549</f>
        <v>790455</v>
      </c>
      <c r="I549" s="547" t="n">
        <f aca="false">F549-H549</f>
        <v>-263485</v>
      </c>
      <c r="J549" s="547" t="n">
        <f aca="false">F549*G549</f>
        <v>52697</v>
      </c>
      <c r="K549" s="1365" t="n">
        <f aca="false">J549/1792.8</f>
        <v>29.3936858545292</v>
      </c>
      <c r="L549" s="547" t="n">
        <v>15</v>
      </c>
      <c r="M549" s="819" t="n">
        <f aca="false">K549*L549/60</f>
        <v>7.34842146363231</v>
      </c>
    </row>
    <row r="550" customFormat="false" ht="15" hidden="false" customHeight="false" outlineLevel="0" collapsed="false">
      <c r="A550" s="216"/>
      <c r="B550" s="78"/>
      <c r="C550" s="1161" t="s">
        <v>6934</v>
      </c>
      <c r="D550" s="912" t="n">
        <v>2005</v>
      </c>
      <c r="E550" s="317" t="n">
        <f aca="false">2021-D550</f>
        <v>16</v>
      </c>
      <c r="F550" s="547" t="n">
        <v>90680</v>
      </c>
      <c r="G550" s="1413" t="n">
        <v>0.1</v>
      </c>
      <c r="H550" s="547" t="n">
        <f aca="false">E550*F550*G550</f>
        <v>145088</v>
      </c>
      <c r="I550" s="547" t="n">
        <f aca="false">F550-H550</f>
        <v>-54408</v>
      </c>
      <c r="J550" s="547" t="n">
        <f aca="false">F550*G550</f>
        <v>9068</v>
      </c>
      <c r="K550" s="1365" t="n">
        <f aca="false">J550/1792.8</f>
        <v>5.05800981704596</v>
      </c>
      <c r="L550" s="547" t="n">
        <v>10</v>
      </c>
      <c r="M550" s="819" t="n">
        <f aca="false">K550*L550/60</f>
        <v>0.843001636174327</v>
      </c>
    </row>
    <row r="551" customFormat="false" ht="15" hidden="false" customHeight="false" outlineLevel="0" collapsed="false">
      <c r="A551" s="216"/>
      <c r="B551" s="972" t="s">
        <v>4128</v>
      </c>
      <c r="C551" s="1160"/>
      <c r="D551" s="391"/>
      <c r="E551" s="317"/>
      <c r="F551" s="714"/>
      <c r="G551" s="1414"/>
      <c r="H551" s="547"/>
      <c r="I551" s="547"/>
      <c r="J551" s="547"/>
      <c r="K551" s="1365" t="n">
        <f aca="false">J551/1792.8</f>
        <v>0</v>
      </c>
      <c r="L551" s="714"/>
      <c r="M551" s="934" t="n">
        <f aca="false">M549+M550</f>
        <v>8.19142309980663</v>
      </c>
    </row>
    <row r="552" customFormat="false" ht="15" hidden="false" customHeight="false" outlineLevel="0" collapsed="false">
      <c r="A552" s="216" t="s">
        <v>412</v>
      </c>
      <c r="B552" s="29" t="s">
        <v>3053</v>
      </c>
      <c r="C552" s="1161" t="s">
        <v>6973</v>
      </c>
      <c r="D552" s="912" t="n">
        <v>2006</v>
      </c>
      <c r="E552" s="317" t="n">
        <f aca="false">2021-D552</f>
        <v>15</v>
      </c>
      <c r="F552" s="547" t="n">
        <v>190000</v>
      </c>
      <c r="G552" s="1413" t="n">
        <v>0.1</v>
      </c>
      <c r="H552" s="547" t="n">
        <f aca="false">E552*F552*G552</f>
        <v>285000</v>
      </c>
      <c r="I552" s="547" t="n">
        <f aca="false">F552-H552</f>
        <v>-95000</v>
      </c>
      <c r="J552" s="547" t="n">
        <f aca="false">F552*G552</f>
        <v>19000</v>
      </c>
      <c r="K552" s="1365" t="n">
        <f aca="false">J552/1792.8</f>
        <v>10.5979473449353</v>
      </c>
      <c r="L552" s="547" t="n">
        <v>30</v>
      </c>
      <c r="M552" s="819" t="n">
        <f aca="false">K552*L552/60</f>
        <v>5.29897367246765</v>
      </c>
    </row>
    <row r="553" customFormat="false" ht="15" hidden="false" customHeight="false" outlineLevel="0" collapsed="false">
      <c r="A553" s="216"/>
      <c r="B553" s="78"/>
      <c r="C553" s="1161" t="s">
        <v>6934</v>
      </c>
      <c r="D553" s="912" t="n">
        <v>2005</v>
      </c>
      <c r="E553" s="317" t="n">
        <f aca="false">2021-D553</f>
        <v>16</v>
      </c>
      <c r="F553" s="547" t="n">
        <v>90680</v>
      </c>
      <c r="G553" s="1413" t="n">
        <v>0.1</v>
      </c>
      <c r="H553" s="547" t="n">
        <f aca="false">E553*F553*G553</f>
        <v>145088</v>
      </c>
      <c r="I553" s="547" t="n">
        <f aca="false">F553-H553</f>
        <v>-54408</v>
      </c>
      <c r="J553" s="547" t="n">
        <f aca="false">F553*G553</f>
        <v>9068</v>
      </c>
      <c r="K553" s="1365" t="n">
        <f aca="false">J553/1792.8</f>
        <v>5.05800981704596</v>
      </c>
      <c r="L553" s="547" t="n">
        <v>10</v>
      </c>
      <c r="M553" s="819" t="n">
        <f aca="false">K553*L553/60</f>
        <v>0.843001636174327</v>
      </c>
    </row>
    <row r="554" customFormat="false" ht="15" hidden="false" customHeight="false" outlineLevel="0" collapsed="false">
      <c r="A554" s="216"/>
      <c r="B554" s="972" t="s">
        <v>4128</v>
      </c>
      <c r="C554" s="1160"/>
      <c r="D554" s="391"/>
      <c r="E554" s="317"/>
      <c r="F554" s="714"/>
      <c r="G554" s="1414"/>
      <c r="H554" s="547"/>
      <c r="I554" s="547"/>
      <c r="J554" s="547"/>
      <c r="K554" s="1365" t="n">
        <f aca="false">J554/1792.8</f>
        <v>0</v>
      </c>
      <c r="L554" s="714"/>
      <c r="M554" s="934" t="n">
        <f aca="false">M552+M553</f>
        <v>6.14197530864198</v>
      </c>
    </row>
    <row r="555" customFormat="false" ht="30" hidden="false" customHeight="false" outlineLevel="0" collapsed="false">
      <c r="A555" s="216" t="s">
        <v>414</v>
      </c>
      <c r="B555" s="29" t="s">
        <v>4657</v>
      </c>
      <c r="C555" s="1161" t="s">
        <v>6973</v>
      </c>
      <c r="D555" s="912" t="n">
        <v>2006</v>
      </c>
      <c r="E555" s="317" t="n">
        <f aca="false">2021-D555</f>
        <v>15</v>
      </c>
      <c r="F555" s="547" t="n">
        <v>190000</v>
      </c>
      <c r="G555" s="1413" t="n">
        <v>0.1</v>
      </c>
      <c r="H555" s="547" t="n">
        <f aca="false">E555*F555*G555</f>
        <v>285000</v>
      </c>
      <c r="I555" s="547" t="n">
        <f aca="false">F555-H555</f>
        <v>-95000</v>
      </c>
      <c r="J555" s="547" t="n">
        <f aca="false">F555*G555</f>
        <v>19000</v>
      </c>
      <c r="K555" s="1365" t="n">
        <f aca="false">J555/1792.8</f>
        <v>10.5979473449353</v>
      </c>
      <c r="L555" s="547" t="n">
        <v>30</v>
      </c>
      <c r="M555" s="819" t="n">
        <f aca="false">K555*L555/60</f>
        <v>5.29897367246765</v>
      </c>
    </row>
    <row r="556" customFormat="false" ht="15" hidden="false" customHeight="false" outlineLevel="0" collapsed="false">
      <c r="A556" s="216"/>
      <c r="B556" s="78"/>
      <c r="C556" s="1161" t="s">
        <v>6934</v>
      </c>
      <c r="D556" s="912" t="n">
        <v>2005</v>
      </c>
      <c r="E556" s="317" t="n">
        <f aca="false">2021-D556</f>
        <v>16</v>
      </c>
      <c r="F556" s="547" t="n">
        <v>90680</v>
      </c>
      <c r="G556" s="1413" t="n">
        <v>0.1</v>
      </c>
      <c r="H556" s="547" t="n">
        <f aca="false">E556*F556*G556</f>
        <v>145088</v>
      </c>
      <c r="I556" s="547" t="n">
        <f aca="false">F556-H556</f>
        <v>-54408</v>
      </c>
      <c r="J556" s="547" t="n">
        <f aca="false">F556*G556</f>
        <v>9068</v>
      </c>
      <c r="K556" s="1365" t="n">
        <f aca="false">J556/1792.8</f>
        <v>5.05800981704596</v>
      </c>
      <c r="L556" s="547" t="n">
        <v>10</v>
      </c>
      <c r="M556" s="819" t="n">
        <f aca="false">K556*L556/60</f>
        <v>0.843001636174327</v>
      </c>
    </row>
    <row r="557" customFormat="false" ht="15" hidden="false" customHeight="false" outlineLevel="0" collapsed="false">
      <c r="A557" s="216"/>
      <c r="B557" s="972" t="s">
        <v>4128</v>
      </c>
      <c r="C557" s="1160"/>
      <c r="D557" s="391"/>
      <c r="E557" s="317"/>
      <c r="F557" s="714"/>
      <c r="G557" s="1414"/>
      <c r="H557" s="547"/>
      <c r="I557" s="547"/>
      <c r="J557" s="547"/>
      <c r="K557" s="1365" t="n">
        <f aca="false">J557/1792.8</f>
        <v>0</v>
      </c>
      <c r="L557" s="714"/>
      <c r="M557" s="934" t="n">
        <f aca="false">M555+M556</f>
        <v>6.14197530864198</v>
      </c>
    </row>
    <row r="558" customFormat="false" ht="30" hidden="false" customHeight="false" outlineLevel="0" collapsed="false">
      <c r="A558" s="216" t="s">
        <v>416</v>
      </c>
      <c r="B558" s="29" t="s">
        <v>3055</v>
      </c>
      <c r="C558" s="1161" t="s">
        <v>6974</v>
      </c>
      <c r="D558" s="912" t="n">
        <v>2006</v>
      </c>
      <c r="E558" s="317" t="n">
        <f aca="false">2021-D558</f>
        <v>15</v>
      </c>
      <c r="F558" s="547" t="n">
        <v>526970</v>
      </c>
      <c r="G558" s="1413" t="n">
        <v>0.1</v>
      </c>
      <c r="H558" s="547" t="n">
        <f aca="false">E558*F558*G558</f>
        <v>790455</v>
      </c>
      <c r="I558" s="547" t="n">
        <f aca="false">F558-H558</f>
        <v>-263485</v>
      </c>
      <c r="J558" s="547" t="n">
        <f aca="false">F558*G558</f>
        <v>52697</v>
      </c>
      <c r="K558" s="1365" t="n">
        <f aca="false">J558/1792.8</f>
        <v>29.3936858545292</v>
      </c>
      <c r="L558" s="547" t="n">
        <v>15</v>
      </c>
      <c r="M558" s="819" t="n">
        <f aca="false">K558*L558/60</f>
        <v>7.34842146363231</v>
      </c>
    </row>
    <row r="559" customFormat="false" ht="15" hidden="false" customHeight="false" outlineLevel="0" collapsed="false">
      <c r="A559" s="216"/>
      <c r="B559" s="78"/>
      <c r="C559" s="1161" t="s">
        <v>6934</v>
      </c>
      <c r="D559" s="912" t="n">
        <v>2005</v>
      </c>
      <c r="E559" s="317" t="n">
        <f aca="false">2021-D559</f>
        <v>16</v>
      </c>
      <c r="F559" s="547" t="n">
        <v>90680</v>
      </c>
      <c r="G559" s="1413" t="n">
        <v>0.1</v>
      </c>
      <c r="H559" s="547" t="n">
        <f aca="false">E559*F559*G559</f>
        <v>145088</v>
      </c>
      <c r="I559" s="547" t="n">
        <f aca="false">F559-H559</f>
        <v>-54408</v>
      </c>
      <c r="J559" s="547" t="n">
        <f aca="false">F559*G559</f>
        <v>9068</v>
      </c>
      <c r="K559" s="1365" t="n">
        <f aca="false">J559/1792.8</f>
        <v>5.05800981704596</v>
      </c>
      <c r="L559" s="547" t="n">
        <v>10</v>
      </c>
      <c r="M559" s="819" t="n">
        <f aca="false">K559*L559/60</f>
        <v>0.843001636174327</v>
      </c>
    </row>
    <row r="560" customFormat="false" ht="15" hidden="false" customHeight="false" outlineLevel="0" collapsed="false">
      <c r="A560" s="216"/>
      <c r="B560" s="972" t="s">
        <v>4128</v>
      </c>
      <c r="C560" s="1160"/>
      <c r="D560" s="391"/>
      <c r="E560" s="317"/>
      <c r="F560" s="714"/>
      <c r="G560" s="1414"/>
      <c r="H560" s="547"/>
      <c r="I560" s="547"/>
      <c r="J560" s="547"/>
      <c r="K560" s="1365" t="n">
        <f aca="false">J560/1792.8</f>
        <v>0</v>
      </c>
      <c r="L560" s="714"/>
      <c r="M560" s="934" t="n">
        <f aca="false">M558+M559</f>
        <v>8.19142309980663</v>
      </c>
    </row>
    <row r="561" customFormat="false" ht="30" hidden="false" customHeight="false" outlineLevel="0" collapsed="false">
      <c r="A561" s="216" t="s">
        <v>418</v>
      </c>
      <c r="B561" s="29" t="s">
        <v>3056</v>
      </c>
      <c r="C561" s="1161" t="s">
        <v>6934</v>
      </c>
      <c r="D561" s="912" t="n">
        <v>2005</v>
      </c>
      <c r="E561" s="317" t="n">
        <f aca="false">2021-D561</f>
        <v>16</v>
      </c>
      <c r="F561" s="547" t="n">
        <v>90680</v>
      </c>
      <c r="G561" s="1413" t="n">
        <v>0.1</v>
      </c>
      <c r="H561" s="547" t="n">
        <f aca="false">E561*F561*G561</f>
        <v>145088</v>
      </c>
      <c r="I561" s="547" t="n">
        <f aca="false">F561-H561</f>
        <v>-54408</v>
      </c>
      <c r="J561" s="547" t="n">
        <f aca="false">F561*G561</f>
        <v>9068</v>
      </c>
      <c r="K561" s="1365" t="n">
        <f aca="false">J561/1792.8</f>
        <v>5.05800981704596</v>
      </c>
      <c r="L561" s="547" t="n">
        <v>10</v>
      </c>
      <c r="M561" s="934" t="n">
        <f aca="false">K561*L561/60</f>
        <v>0.843001636174327</v>
      </c>
    </row>
    <row r="562" customFormat="false" ht="15" hidden="false" customHeight="false" outlineLevel="0" collapsed="false">
      <c r="A562" s="216" t="s">
        <v>420</v>
      </c>
      <c r="B562" s="29" t="s">
        <v>3057</v>
      </c>
      <c r="C562" s="1161" t="s">
        <v>6934</v>
      </c>
      <c r="D562" s="912" t="n">
        <v>2005</v>
      </c>
      <c r="E562" s="317" t="n">
        <f aca="false">2021-D562</f>
        <v>16</v>
      </c>
      <c r="F562" s="547" t="n">
        <v>90680</v>
      </c>
      <c r="G562" s="1413" t="n">
        <v>0.1</v>
      </c>
      <c r="H562" s="547" t="n">
        <f aca="false">E562*F562*G562</f>
        <v>145088</v>
      </c>
      <c r="I562" s="547" t="n">
        <f aca="false">F562-H562</f>
        <v>-54408</v>
      </c>
      <c r="J562" s="547" t="n">
        <f aca="false">F562*G562</f>
        <v>9068</v>
      </c>
      <c r="K562" s="1365" t="n">
        <f aca="false">J562/1792.8</f>
        <v>5.05800981704596</v>
      </c>
      <c r="L562" s="547" t="n">
        <v>10</v>
      </c>
      <c r="M562" s="934" t="n">
        <f aca="false">K562*L562/60</f>
        <v>0.843001636174327</v>
      </c>
    </row>
    <row r="563" customFormat="false" ht="15" hidden="false" customHeight="false" outlineLevel="0" collapsed="false">
      <c r="A563" s="216" t="s">
        <v>422</v>
      </c>
      <c r="B563" s="29" t="s">
        <v>3058</v>
      </c>
      <c r="C563" s="1161" t="s">
        <v>6976</v>
      </c>
      <c r="D563" s="912" t="n">
        <v>2005</v>
      </c>
      <c r="E563" s="317" t="n">
        <f aca="false">2021-D563</f>
        <v>16</v>
      </c>
      <c r="F563" s="547" t="n">
        <v>65500</v>
      </c>
      <c r="G563" s="1413" t="n">
        <v>0.1</v>
      </c>
      <c r="H563" s="547" t="n">
        <f aca="false">E563*F563*G563</f>
        <v>104800</v>
      </c>
      <c r="I563" s="547" t="n">
        <f aca="false">F563-H563</f>
        <v>-39300</v>
      </c>
      <c r="J563" s="547" t="n">
        <f aca="false">F563*G563</f>
        <v>6550</v>
      </c>
      <c r="K563" s="1365" t="n">
        <f aca="false">J563/1792.8</f>
        <v>3.65350290049085</v>
      </c>
      <c r="L563" s="547" t="n">
        <v>30</v>
      </c>
      <c r="M563" s="934" t="n">
        <f aca="false">K563*L563/60</f>
        <v>1.82675145024543</v>
      </c>
    </row>
    <row r="564" customFormat="false" ht="15" hidden="false" customHeight="false" outlineLevel="0" collapsed="false">
      <c r="A564" s="216" t="s">
        <v>424</v>
      </c>
      <c r="B564" s="29" t="s">
        <v>3059</v>
      </c>
      <c r="C564" s="1161" t="s">
        <v>6934</v>
      </c>
      <c r="D564" s="912" t="n">
        <v>2005</v>
      </c>
      <c r="E564" s="317" t="n">
        <f aca="false">2021-D564</f>
        <v>16</v>
      </c>
      <c r="F564" s="547" t="n">
        <v>90680</v>
      </c>
      <c r="G564" s="1413" t="n">
        <v>0.1</v>
      </c>
      <c r="H564" s="547" t="n">
        <f aca="false">E564*F564*G564</f>
        <v>145088</v>
      </c>
      <c r="I564" s="547" t="n">
        <f aca="false">F564-H564</f>
        <v>-54408</v>
      </c>
      <c r="J564" s="547" t="n">
        <f aca="false">F564*G564</f>
        <v>9068</v>
      </c>
      <c r="K564" s="1365" t="n">
        <f aca="false">J564/1792.8</f>
        <v>5.05800981704596</v>
      </c>
      <c r="L564" s="547" t="n">
        <v>10</v>
      </c>
      <c r="M564" s="819" t="n">
        <f aca="false">K564*L564/60</f>
        <v>0.843001636174327</v>
      </c>
    </row>
    <row r="565" customFormat="false" ht="15" hidden="false" customHeight="false" outlineLevel="0" collapsed="false">
      <c r="A565" s="216"/>
      <c r="B565" s="78"/>
      <c r="C565" s="1161" t="s">
        <v>6976</v>
      </c>
      <c r="D565" s="912" t="n">
        <v>2005</v>
      </c>
      <c r="E565" s="317" t="n">
        <f aca="false">2021-D565</f>
        <v>16</v>
      </c>
      <c r="F565" s="547" t="n">
        <v>65500</v>
      </c>
      <c r="G565" s="1413" t="n">
        <v>0.1</v>
      </c>
      <c r="H565" s="547" t="n">
        <f aca="false">E565*F565*G565</f>
        <v>104800</v>
      </c>
      <c r="I565" s="547" t="n">
        <f aca="false">F565-H565</f>
        <v>-39300</v>
      </c>
      <c r="J565" s="547" t="n">
        <f aca="false">F565*G565</f>
        <v>6550</v>
      </c>
      <c r="K565" s="1365" t="n">
        <f aca="false">J565/1792.8</f>
        <v>3.65350290049085</v>
      </c>
      <c r="L565" s="547" t="n">
        <v>30</v>
      </c>
      <c r="M565" s="819" t="n">
        <f aca="false">K565*L565/60</f>
        <v>1.82675145024543</v>
      </c>
    </row>
    <row r="566" customFormat="false" ht="15" hidden="false" customHeight="false" outlineLevel="0" collapsed="false">
      <c r="A566" s="216"/>
      <c r="B566" s="972" t="s">
        <v>4128</v>
      </c>
      <c r="C566" s="1160"/>
      <c r="D566" s="391"/>
      <c r="E566" s="317"/>
      <c r="F566" s="714"/>
      <c r="G566" s="1414"/>
      <c r="H566" s="547"/>
      <c r="I566" s="547"/>
      <c r="J566" s="547"/>
      <c r="K566" s="1365" t="n">
        <f aca="false">J566/1792.8</f>
        <v>0</v>
      </c>
      <c r="L566" s="714"/>
      <c r="M566" s="934" t="n">
        <f aca="false">M564+M565</f>
        <v>2.66975308641975</v>
      </c>
    </row>
    <row r="567" customFormat="false" ht="15" hidden="false" customHeight="false" outlineLevel="0" collapsed="false">
      <c r="A567" s="216" t="s">
        <v>426</v>
      </c>
      <c r="B567" s="29" t="s">
        <v>3060</v>
      </c>
      <c r="C567" s="1161" t="s">
        <v>6934</v>
      </c>
      <c r="D567" s="912" t="n">
        <v>2005</v>
      </c>
      <c r="E567" s="317" t="n">
        <f aca="false">2021-D567</f>
        <v>16</v>
      </c>
      <c r="F567" s="547" t="n">
        <v>90680</v>
      </c>
      <c r="G567" s="1413" t="n">
        <v>0.1</v>
      </c>
      <c r="H567" s="547" t="n">
        <f aca="false">E567*F567*G567</f>
        <v>145088</v>
      </c>
      <c r="I567" s="547" t="n">
        <f aca="false">F567-H567</f>
        <v>-54408</v>
      </c>
      <c r="J567" s="547" t="n">
        <f aca="false">F567*G567</f>
        <v>9068</v>
      </c>
      <c r="K567" s="1365" t="n">
        <f aca="false">J567/1792.8</f>
        <v>5.05800981704596</v>
      </c>
      <c r="L567" s="547" t="n">
        <v>10</v>
      </c>
      <c r="M567" s="934" t="n">
        <f aca="false">K567*L567/60</f>
        <v>0.843001636174327</v>
      </c>
    </row>
    <row r="568" customFormat="false" ht="15" hidden="false" customHeight="false" outlineLevel="0" collapsed="false">
      <c r="A568" s="216" t="s">
        <v>428</v>
      </c>
      <c r="B568" s="29" t="s">
        <v>3061</v>
      </c>
      <c r="C568" s="1161" t="s">
        <v>6974</v>
      </c>
      <c r="D568" s="912" t="n">
        <v>2006</v>
      </c>
      <c r="E568" s="317" t="n">
        <f aca="false">2021-D568</f>
        <v>15</v>
      </c>
      <c r="F568" s="547" t="n">
        <v>526970</v>
      </c>
      <c r="G568" s="1413" t="n">
        <v>0.1</v>
      </c>
      <c r="H568" s="547" t="n">
        <f aca="false">E568*F568*G568</f>
        <v>790455</v>
      </c>
      <c r="I568" s="547" t="n">
        <f aca="false">F568-H568</f>
        <v>-263485</v>
      </c>
      <c r="J568" s="547" t="n">
        <f aca="false">F568*G568</f>
        <v>52697</v>
      </c>
      <c r="K568" s="1365" t="n">
        <f aca="false">J568/1792.8</f>
        <v>29.3936858545292</v>
      </c>
      <c r="L568" s="547" t="n">
        <v>15</v>
      </c>
      <c r="M568" s="819" t="n">
        <f aca="false">K568*L568/60</f>
        <v>7.34842146363231</v>
      </c>
    </row>
    <row r="569" customFormat="false" ht="15" hidden="false" customHeight="false" outlineLevel="0" collapsed="false">
      <c r="A569" s="216"/>
      <c r="B569" s="78"/>
      <c r="C569" s="1161" t="s">
        <v>6934</v>
      </c>
      <c r="D569" s="912" t="n">
        <v>2005</v>
      </c>
      <c r="E569" s="317" t="n">
        <f aca="false">2021-D569</f>
        <v>16</v>
      </c>
      <c r="F569" s="547" t="n">
        <v>90680</v>
      </c>
      <c r="G569" s="1413" t="n">
        <v>0.1</v>
      </c>
      <c r="H569" s="547" t="n">
        <f aca="false">E569*F569*G569</f>
        <v>145088</v>
      </c>
      <c r="I569" s="547" t="n">
        <f aca="false">F569-H569</f>
        <v>-54408</v>
      </c>
      <c r="J569" s="547" t="n">
        <f aca="false">F569*G569</f>
        <v>9068</v>
      </c>
      <c r="K569" s="1365" t="n">
        <f aca="false">J569/1792.8</f>
        <v>5.05800981704596</v>
      </c>
      <c r="L569" s="547" t="n">
        <v>10</v>
      </c>
      <c r="M569" s="819" t="n">
        <f aca="false">K569*L569/60</f>
        <v>0.843001636174327</v>
      </c>
    </row>
    <row r="570" customFormat="false" ht="15" hidden="false" customHeight="false" outlineLevel="0" collapsed="false">
      <c r="A570" s="216"/>
      <c r="B570" s="78"/>
      <c r="C570" s="1161" t="s">
        <v>6978</v>
      </c>
      <c r="D570" s="912" t="n">
        <v>2006</v>
      </c>
      <c r="E570" s="317" t="n">
        <f aca="false">2021-D570</f>
        <v>15</v>
      </c>
      <c r="F570" s="547" t="n">
        <v>98100</v>
      </c>
      <c r="G570" s="1413" t="n">
        <v>0.1</v>
      </c>
      <c r="H570" s="547" t="n">
        <f aca="false">E570*F570*G570</f>
        <v>147150</v>
      </c>
      <c r="I570" s="547" t="n">
        <f aca="false">F570-H570</f>
        <v>-49050</v>
      </c>
      <c r="J570" s="547" t="n">
        <f aca="false">F570*G570</f>
        <v>9810</v>
      </c>
      <c r="K570" s="1365" t="n">
        <f aca="false">J570/1792.8</f>
        <v>5.4718875502008</v>
      </c>
      <c r="L570" s="547" t="n">
        <v>30</v>
      </c>
      <c r="M570" s="819" t="n">
        <f aca="false">K570*L570/60</f>
        <v>2.7359437751004</v>
      </c>
    </row>
    <row r="571" customFormat="false" ht="15" hidden="false" customHeight="false" outlineLevel="0" collapsed="false">
      <c r="A571" s="216"/>
      <c r="B571" s="972" t="s">
        <v>4128</v>
      </c>
      <c r="C571" s="1160"/>
      <c r="D571" s="391"/>
      <c r="E571" s="317"/>
      <c r="F571" s="714"/>
      <c r="G571" s="1414"/>
      <c r="H571" s="547"/>
      <c r="I571" s="547"/>
      <c r="J571" s="547"/>
      <c r="K571" s="1365" t="n">
        <f aca="false">J571/1792.8</f>
        <v>0</v>
      </c>
      <c r="L571" s="714"/>
      <c r="M571" s="934" t="n">
        <f aca="false">M567+M568+M569+M570</f>
        <v>11.7703685110814</v>
      </c>
    </row>
    <row r="572" customFormat="false" ht="15" hidden="false" customHeight="false" outlineLevel="0" collapsed="false">
      <c r="A572" s="216" t="s">
        <v>430</v>
      </c>
      <c r="B572" s="29" t="s">
        <v>3062</v>
      </c>
      <c r="C572" s="1161" t="s">
        <v>6974</v>
      </c>
      <c r="D572" s="912" t="n">
        <v>2006</v>
      </c>
      <c r="E572" s="317" t="n">
        <f aca="false">2021-D572</f>
        <v>15</v>
      </c>
      <c r="F572" s="547" t="n">
        <v>526970</v>
      </c>
      <c r="G572" s="1413" t="n">
        <v>0.1</v>
      </c>
      <c r="H572" s="547" t="n">
        <f aca="false">E572*F572*G572</f>
        <v>790455</v>
      </c>
      <c r="I572" s="547" t="n">
        <f aca="false">F572-H572</f>
        <v>-263485</v>
      </c>
      <c r="J572" s="547" t="n">
        <f aca="false">F572*G572</f>
        <v>52697</v>
      </c>
      <c r="K572" s="1365" t="n">
        <f aca="false">J572/1792.8</f>
        <v>29.3936858545292</v>
      </c>
      <c r="L572" s="547" t="n">
        <v>15</v>
      </c>
      <c r="M572" s="819" t="n">
        <f aca="false">K572*L572/60</f>
        <v>7.34842146363231</v>
      </c>
    </row>
    <row r="573" customFormat="false" ht="15" hidden="false" customHeight="false" outlineLevel="0" collapsed="false">
      <c r="A573" s="216"/>
      <c r="B573" s="78"/>
      <c r="C573" s="1161" t="s">
        <v>6934</v>
      </c>
      <c r="D573" s="912" t="n">
        <v>2005</v>
      </c>
      <c r="E573" s="317" t="n">
        <f aca="false">2021-D573</f>
        <v>16</v>
      </c>
      <c r="F573" s="547" t="n">
        <v>90680</v>
      </c>
      <c r="G573" s="1413" t="n">
        <v>0.1</v>
      </c>
      <c r="H573" s="547" t="n">
        <f aca="false">E573*F573*G573</f>
        <v>145088</v>
      </c>
      <c r="I573" s="547" t="n">
        <f aca="false">F573-H573</f>
        <v>-54408</v>
      </c>
      <c r="J573" s="547" t="n">
        <f aca="false">F573*G573</f>
        <v>9068</v>
      </c>
      <c r="K573" s="1365" t="n">
        <f aca="false">J573/1792.8</f>
        <v>5.05800981704596</v>
      </c>
      <c r="L573" s="547" t="n">
        <v>10</v>
      </c>
      <c r="M573" s="819" t="n">
        <f aca="false">K573*L573/60</f>
        <v>0.843001636174327</v>
      </c>
    </row>
    <row r="574" customFormat="false" ht="15" hidden="false" customHeight="false" outlineLevel="0" collapsed="false">
      <c r="A574" s="216"/>
      <c r="B574" s="78"/>
      <c r="C574" s="1161" t="s">
        <v>6978</v>
      </c>
      <c r="D574" s="912" t="n">
        <v>2006</v>
      </c>
      <c r="E574" s="317" t="n">
        <f aca="false">2021-D574</f>
        <v>15</v>
      </c>
      <c r="F574" s="547" t="n">
        <v>98100</v>
      </c>
      <c r="G574" s="1413" t="n">
        <v>0.1</v>
      </c>
      <c r="H574" s="547" t="n">
        <f aca="false">E574*F574*G574</f>
        <v>147150</v>
      </c>
      <c r="I574" s="547" t="n">
        <f aca="false">F574-H574</f>
        <v>-49050</v>
      </c>
      <c r="J574" s="547" t="n">
        <f aca="false">F574*G574</f>
        <v>9810</v>
      </c>
      <c r="K574" s="1365" t="n">
        <f aca="false">J574/1792.8</f>
        <v>5.4718875502008</v>
      </c>
      <c r="L574" s="547" t="n">
        <v>30</v>
      </c>
      <c r="M574" s="819" t="n">
        <f aca="false">K574*L574/60</f>
        <v>2.7359437751004</v>
      </c>
    </row>
    <row r="575" customFormat="false" ht="15" hidden="false" customHeight="false" outlineLevel="0" collapsed="false">
      <c r="A575" s="216"/>
      <c r="B575" s="972" t="s">
        <v>4128</v>
      </c>
      <c r="C575" s="1160"/>
      <c r="D575" s="391"/>
      <c r="E575" s="317"/>
      <c r="F575" s="714"/>
      <c r="G575" s="1414"/>
      <c r="H575" s="547"/>
      <c r="I575" s="547"/>
      <c r="J575" s="547"/>
      <c r="K575" s="1365" t="n">
        <f aca="false">J575/1792.8</f>
        <v>0</v>
      </c>
      <c r="L575" s="714"/>
      <c r="M575" s="934" t="n">
        <f aca="false">M572+M573+M574</f>
        <v>10.927366874907</v>
      </c>
    </row>
    <row r="576" customFormat="false" ht="15" hidden="false" customHeight="false" outlineLevel="0" collapsed="false">
      <c r="A576" s="216" t="s">
        <v>432</v>
      </c>
      <c r="B576" s="29" t="s">
        <v>3063</v>
      </c>
      <c r="C576" s="1161" t="s">
        <v>6986</v>
      </c>
      <c r="D576" s="912" t="n">
        <v>2005</v>
      </c>
      <c r="E576" s="317" t="n">
        <f aca="false">2021-D576</f>
        <v>16</v>
      </c>
      <c r="F576" s="547" t="n">
        <v>60000</v>
      </c>
      <c r="G576" s="1413" t="n">
        <v>0.1</v>
      </c>
      <c r="H576" s="547" t="n">
        <f aca="false">E576*F576*G576</f>
        <v>96000</v>
      </c>
      <c r="I576" s="547" t="n">
        <f aca="false">F576-H576</f>
        <v>-36000</v>
      </c>
      <c r="J576" s="547" t="n">
        <f aca="false">F576*G576</f>
        <v>6000</v>
      </c>
      <c r="K576" s="1365" t="n">
        <f aca="false">J576/1792.8</f>
        <v>3.34672021419009</v>
      </c>
      <c r="L576" s="547" t="n">
        <v>25</v>
      </c>
      <c r="M576" s="934" t="n">
        <f aca="false">K576*L576/60</f>
        <v>1.39446675591254</v>
      </c>
    </row>
    <row r="577" customFormat="false" ht="15" hidden="false" customHeight="false" outlineLevel="0" collapsed="false">
      <c r="A577" s="216" t="s">
        <v>434</v>
      </c>
      <c r="B577" s="29" t="s">
        <v>6945</v>
      </c>
      <c r="C577" s="1161" t="s">
        <v>6934</v>
      </c>
      <c r="D577" s="912" t="n">
        <v>2007</v>
      </c>
      <c r="E577" s="317" t="n">
        <f aca="false">2021-D577</f>
        <v>14</v>
      </c>
      <c r="F577" s="873" t="n">
        <v>491000</v>
      </c>
      <c r="G577" s="1413" t="n">
        <v>0.1</v>
      </c>
      <c r="H577" s="547" t="n">
        <f aca="false">E577*F577*G577</f>
        <v>687400</v>
      </c>
      <c r="I577" s="547" t="n">
        <f aca="false">F577-H577</f>
        <v>-196400</v>
      </c>
      <c r="J577" s="547" t="n">
        <f aca="false">F577*G577</f>
        <v>49100</v>
      </c>
      <c r="K577" s="1365" t="n">
        <f aca="false">J577/1792.8</f>
        <v>27.3873270861223</v>
      </c>
      <c r="L577" s="547" t="n">
        <v>11</v>
      </c>
      <c r="M577" s="819" t="n">
        <f aca="false">K577*L577/60</f>
        <v>5.02100996578908</v>
      </c>
    </row>
    <row r="578" customFormat="false" ht="15" hidden="false" customHeight="false" outlineLevel="0" collapsed="false">
      <c r="A578" s="216"/>
      <c r="B578" s="78"/>
      <c r="C578" s="1161" t="s">
        <v>6943</v>
      </c>
      <c r="D578" s="912" t="n">
        <v>2006</v>
      </c>
      <c r="E578" s="317" t="n">
        <f aca="false">2021-D578</f>
        <v>15</v>
      </c>
      <c r="F578" s="547" t="n">
        <v>1503927</v>
      </c>
      <c r="G578" s="1413" t="n">
        <v>0.1</v>
      </c>
      <c r="H578" s="547" t="n">
        <f aca="false">E578*F578*G578</f>
        <v>2255890.5</v>
      </c>
      <c r="I578" s="547" t="n">
        <f aca="false">F578-H578</f>
        <v>-751963.5</v>
      </c>
      <c r="J578" s="547" t="n">
        <f aca="false">F578*G578</f>
        <v>150392.7</v>
      </c>
      <c r="K578" s="1365" t="n">
        <f aca="false">J578/1792.8</f>
        <v>83.8870481927711</v>
      </c>
      <c r="L578" s="547" t="n">
        <v>40</v>
      </c>
      <c r="M578" s="819" t="n">
        <f aca="false">K578*L578/60</f>
        <v>55.9246987951807</v>
      </c>
    </row>
    <row r="579" customFormat="false" ht="15" hidden="false" customHeight="false" outlineLevel="0" collapsed="false">
      <c r="A579" s="216"/>
      <c r="B579" s="972" t="s">
        <v>4128</v>
      </c>
      <c r="C579" s="1161"/>
      <c r="D579" s="912"/>
      <c r="E579" s="317"/>
      <c r="F579" s="547"/>
      <c r="G579" s="1413"/>
      <c r="H579" s="547"/>
      <c r="I579" s="547"/>
      <c r="J579" s="547"/>
      <c r="K579" s="1365" t="n">
        <f aca="false">J579/1792.8</f>
        <v>0</v>
      </c>
      <c r="L579" s="547"/>
      <c r="M579" s="934" t="n">
        <f aca="false">M576+M577+M578</f>
        <v>62.3401755168824</v>
      </c>
    </row>
    <row r="580" customFormat="false" ht="15" hidden="false" customHeight="false" outlineLevel="0" collapsed="false">
      <c r="A580" s="216" t="s">
        <v>436</v>
      </c>
      <c r="B580" s="29" t="s">
        <v>6945</v>
      </c>
      <c r="C580" s="1161" t="s">
        <v>4568</v>
      </c>
      <c r="D580" s="912" t="n">
        <v>2003</v>
      </c>
      <c r="E580" s="317" t="n">
        <f aca="false">2021-D580</f>
        <v>18</v>
      </c>
      <c r="F580" s="547" t="n">
        <v>12704749</v>
      </c>
      <c r="G580" s="1413" t="n">
        <v>0.1</v>
      </c>
      <c r="H580" s="547" t="n">
        <f aca="false">E580*F580*G580</f>
        <v>22868548.2</v>
      </c>
      <c r="I580" s="547" t="n">
        <f aca="false">F580-H580</f>
        <v>-10163799.2</v>
      </c>
      <c r="J580" s="547" t="n">
        <f aca="false">F580*G580</f>
        <v>1270474.9</v>
      </c>
      <c r="K580" s="1365" t="n">
        <f aca="false">J580/1792.8</f>
        <v>708.654004908523</v>
      </c>
      <c r="L580" s="547" t="n">
        <v>60</v>
      </c>
      <c r="M580" s="819" t="n">
        <f aca="false">K580*L580/60</f>
        <v>708.654004908523</v>
      </c>
    </row>
    <row r="581" customFormat="false" ht="15" hidden="false" customHeight="false" outlineLevel="0" collapsed="false">
      <c r="A581" s="216"/>
      <c r="B581" s="78"/>
      <c r="C581" s="1161" t="s">
        <v>6975</v>
      </c>
      <c r="D581" s="912" t="n">
        <v>2006</v>
      </c>
      <c r="E581" s="317" t="n">
        <f aca="false">2021-D581</f>
        <v>15</v>
      </c>
      <c r="F581" s="547" t="n">
        <v>147200</v>
      </c>
      <c r="G581" s="1413" t="n">
        <v>0.1</v>
      </c>
      <c r="H581" s="547" t="n">
        <f aca="false">E581*F581*G581</f>
        <v>220800</v>
      </c>
      <c r="I581" s="547" t="n">
        <f aca="false">F581-H581</f>
        <v>-73600</v>
      </c>
      <c r="J581" s="547" t="n">
        <f aca="false">F581*G581</f>
        <v>14720</v>
      </c>
      <c r="K581" s="1365" t="n">
        <f aca="false">J581/1792.8</f>
        <v>8.21062025881303</v>
      </c>
      <c r="L581" s="547" t="n">
        <v>20</v>
      </c>
      <c r="M581" s="819" t="n">
        <f aca="false">K581*L581/60</f>
        <v>2.73687341960434</v>
      </c>
    </row>
    <row r="582" customFormat="false" ht="15" hidden="false" customHeight="false" outlineLevel="0" collapsed="false">
      <c r="A582" s="216"/>
      <c r="B582" s="78"/>
      <c r="C582" s="1161" t="s">
        <v>6979</v>
      </c>
      <c r="D582" s="912" t="n">
        <v>2005</v>
      </c>
      <c r="E582" s="317" t="n">
        <f aca="false">2021-D582</f>
        <v>16</v>
      </c>
      <c r="F582" s="547" t="n">
        <v>1400000</v>
      </c>
      <c r="G582" s="1413" t="n">
        <v>0.1</v>
      </c>
      <c r="H582" s="547" t="n">
        <f aca="false">E582*F582*G582</f>
        <v>2240000</v>
      </c>
      <c r="I582" s="547" t="n">
        <f aca="false">F582-H582</f>
        <v>-840000</v>
      </c>
      <c r="J582" s="547" t="n">
        <f aca="false">F582*G582</f>
        <v>140000</v>
      </c>
      <c r="K582" s="1365" t="n">
        <f aca="false">J582/1792.8</f>
        <v>78.0901383311022</v>
      </c>
      <c r="L582" s="547" t="n">
        <v>30</v>
      </c>
      <c r="M582" s="819" t="n">
        <f aca="false">K582*L582/60</f>
        <v>39.0450691655511</v>
      </c>
    </row>
    <row r="583" customFormat="false" ht="15" hidden="false" customHeight="false" outlineLevel="0" collapsed="false">
      <c r="A583" s="216"/>
      <c r="B583" s="78"/>
      <c r="C583" s="1161" t="s">
        <v>6934</v>
      </c>
      <c r="D583" s="912" t="n">
        <v>2005</v>
      </c>
      <c r="E583" s="317" t="n">
        <f aca="false">2021-D583</f>
        <v>16</v>
      </c>
      <c r="F583" s="547" t="n">
        <v>90680</v>
      </c>
      <c r="G583" s="1413" t="n">
        <v>0.1</v>
      </c>
      <c r="H583" s="547" t="n">
        <f aca="false">E583*F583*G583</f>
        <v>145088</v>
      </c>
      <c r="I583" s="547" t="n">
        <f aca="false">F583-H583</f>
        <v>-54408</v>
      </c>
      <c r="J583" s="547" t="n">
        <f aca="false">F583*G583</f>
        <v>9068</v>
      </c>
      <c r="K583" s="1365" t="n">
        <f aca="false">J583/1792.8</f>
        <v>5.05800981704596</v>
      </c>
      <c r="L583" s="547" t="n">
        <v>10</v>
      </c>
      <c r="M583" s="819" t="n">
        <f aca="false">K583*L583/60</f>
        <v>0.843001636174327</v>
      </c>
    </row>
    <row r="584" customFormat="false" ht="15" hidden="false" customHeight="false" outlineLevel="0" collapsed="false">
      <c r="A584" s="216"/>
      <c r="B584" s="972" t="s">
        <v>4128</v>
      </c>
      <c r="C584" s="1160"/>
      <c r="D584" s="391"/>
      <c r="E584" s="317"/>
      <c r="F584" s="714"/>
      <c r="G584" s="1414"/>
      <c r="H584" s="547"/>
      <c r="I584" s="547"/>
      <c r="J584" s="547"/>
      <c r="K584" s="1365" t="n">
        <f aca="false">J584/1792.8</f>
        <v>0</v>
      </c>
      <c r="L584" s="714"/>
      <c r="M584" s="934" t="n">
        <f aca="false">M580+M581+M582+M583</f>
        <v>751.278949129853</v>
      </c>
    </row>
    <row r="585" customFormat="false" ht="15" hidden="false" customHeight="false" outlineLevel="0" collapsed="false">
      <c r="A585" s="216" t="s">
        <v>6987</v>
      </c>
      <c r="B585" s="29" t="s">
        <v>6988</v>
      </c>
      <c r="C585" s="1161" t="s">
        <v>4568</v>
      </c>
      <c r="D585" s="912" t="n">
        <v>2003</v>
      </c>
      <c r="E585" s="317" t="n">
        <f aca="false">2021-D585</f>
        <v>18</v>
      </c>
      <c r="F585" s="547" t="n">
        <v>12704749</v>
      </c>
      <c r="G585" s="1413" t="n">
        <v>0.1</v>
      </c>
      <c r="H585" s="547" t="n">
        <f aca="false">F585</f>
        <v>12704749</v>
      </c>
      <c r="I585" s="547" t="n">
        <f aca="false">F585-H585</f>
        <v>0</v>
      </c>
      <c r="J585" s="547" t="n">
        <f aca="false">F585*G585</f>
        <v>1270474.9</v>
      </c>
      <c r="K585" s="1365" t="n">
        <f aca="false">J585/1792.8</f>
        <v>708.654004908523</v>
      </c>
      <c r="L585" s="547" t="n">
        <v>10</v>
      </c>
      <c r="M585" s="819" t="n">
        <f aca="false">K585*L585/60</f>
        <v>118.109000818087</v>
      </c>
    </row>
    <row r="586" customFormat="false" ht="15" hidden="false" customHeight="false" outlineLevel="0" collapsed="false">
      <c r="A586" s="216"/>
      <c r="B586" s="78"/>
      <c r="C586" s="1161" t="s">
        <v>6975</v>
      </c>
      <c r="D586" s="912" t="n">
        <v>2006</v>
      </c>
      <c r="E586" s="317" t="n">
        <f aca="false">2021-D586</f>
        <v>15</v>
      </c>
      <c r="F586" s="547" t="n">
        <v>147200</v>
      </c>
      <c r="G586" s="1413" t="n">
        <v>0.1</v>
      </c>
      <c r="H586" s="547" t="n">
        <f aca="false">E586*F586*G586</f>
        <v>220800</v>
      </c>
      <c r="I586" s="547" t="n">
        <f aca="false">F586-H586</f>
        <v>-73600</v>
      </c>
      <c r="J586" s="547" t="n">
        <f aca="false">F586*G586</f>
        <v>14720</v>
      </c>
      <c r="K586" s="1365" t="n">
        <f aca="false">J586/1792.8</f>
        <v>8.21062025881303</v>
      </c>
      <c r="L586" s="547" t="n">
        <v>10</v>
      </c>
      <c r="M586" s="819" t="n">
        <f aca="false">K586*L586/60</f>
        <v>1.36843670980217</v>
      </c>
    </row>
    <row r="587" customFormat="false" ht="15" hidden="false" customHeight="false" outlineLevel="0" collapsed="false">
      <c r="A587" s="216"/>
      <c r="B587" s="78"/>
      <c r="C587" s="1161" t="s">
        <v>6979</v>
      </c>
      <c r="D587" s="912" t="n">
        <v>2005</v>
      </c>
      <c r="E587" s="317" t="n">
        <f aca="false">2021-D587</f>
        <v>16</v>
      </c>
      <c r="F587" s="547" t="n">
        <v>1400000</v>
      </c>
      <c r="G587" s="1413" t="n">
        <v>0.1</v>
      </c>
      <c r="H587" s="547" t="n">
        <f aca="false">E587*F587*G587</f>
        <v>2240000</v>
      </c>
      <c r="I587" s="547" t="n">
        <f aca="false">F587-H587</f>
        <v>-840000</v>
      </c>
      <c r="J587" s="547" t="n">
        <f aca="false">F587*G587</f>
        <v>140000</v>
      </c>
      <c r="K587" s="1365" t="n">
        <f aca="false">J587/1792.8</f>
        <v>78.0901383311022</v>
      </c>
      <c r="L587" s="547" t="n">
        <v>10</v>
      </c>
      <c r="M587" s="819" t="n">
        <f aca="false">K587*L587/60</f>
        <v>13.0150230551837</v>
      </c>
    </row>
    <row r="588" customFormat="false" ht="15" hidden="false" customHeight="false" outlineLevel="0" collapsed="false">
      <c r="A588" s="216"/>
      <c r="B588" s="78"/>
      <c r="C588" s="1161" t="s">
        <v>6934</v>
      </c>
      <c r="D588" s="912" t="n">
        <v>2005</v>
      </c>
      <c r="E588" s="317" t="n">
        <f aca="false">2021-D588</f>
        <v>16</v>
      </c>
      <c r="F588" s="547" t="n">
        <v>90680</v>
      </c>
      <c r="G588" s="1413" t="n">
        <v>0.1</v>
      </c>
      <c r="H588" s="547" t="n">
        <f aca="false">E588*F588*G588</f>
        <v>145088</v>
      </c>
      <c r="I588" s="547" t="n">
        <f aca="false">F588-H588</f>
        <v>-54408</v>
      </c>
      <c r="J588" s="547" t="n">
        <f aca="false">F588*G588</f>
        <v>9068</v>
      </c>
      <c r="K588" s="1365" t="n">
        <f aca="false">J588/1792.8</f>
        <v>5.05800981704596</v>
      </c>
      <c r="L588" s="547" t="n">
        <v>10</v>
      </c>
      <c r="M588" s="819" t="n">
        <f aca="false">K588*L588/60</f>
        <v>0.843001636174327</v>
      </c>
    </row>
    <row r="589" customFormat="false" ht="15" hidden="false" customHeight="false" outlineLevel="0" collapsed="false">
      <c r="A589" s="216"/>
      <c r="B589" s="972" t="s">
        <v>4128</v>
      </c>
      <c r="C589" s="1160"/>
      <c r="D589" s="391"/>
      <c r="E589" s="317"/>
      <c r="F589" s="714"/>
      <c r="G589" s="1414"/>
      <c r="H589" s="547"/>
      <c r="I589" s="547"/>
      <c r="J589" s="547"/>
      <c r="K589" s="1365" t="n">
        <f aca="false">J589/1792.8</f>
        <v>0</v>
      </c>
      <c r="L589" s="714"/>
      <c r="M589" s="934" t="n">
        <f aca="false">M585+M586+M587+M588</f>
        <v>133.335462219247</v>
      </c>
    </row>
    <row r="590" customFormat="false" ht="15" hidden="false" customHeight="false" outlineLevel="0" collapsed="false">
      <c r="A590" s="216" t="s">
        <v>440</v>
      </c>
      <c r="B590" s="29" t="s">
        <v>6988</v>
      </c>
      <c r="C590" s="1161" t="s">
        <v>6934</v>
      </c>
      <c r="D590" s="912" t="n">
        <v>2007</v>
      </c>
      <c r="E590" s="317" t="n">
        <f aca="false">2021-D590</f>
        <v>14</v>
      </c>
      <c r="F590" s="873" t="n">
        <v>491000</v>
      </c>
      <c r="G590" s="1413" t="n">
        <v>1.1</v>
      </c>
      <c r="H590" s="547" t="n">
        <f aca="false">E590*F590*G590</f>
        <v>7561400</v>
      </c>
      <c r="I590" s="547" t="n">
        <f aca="false">F590-H590</f>
        <v>-7070400</v>
      </c>
      <c r="J590" s="547" t="n">
        <f aca="false">F590*G590</f>
        <v>540100</v>
      </c>
      <c r="K590" s="1365" t="n">
        <f aca="false">J590/1792.8</f>
        <v>301.260597947345</v>
      </c>
      <c r="L590" s="547" t="n">
        <v>11</v>
      </c>
      <c r="M590" s="819" t="n">
        <f aca="false">K590*L590/60</f>
        <v>55.2311096236799</v>
      </c>
    </row>
    <row r="591" customFormat="false" ht="15" hidden="false" customHeight="false" outlineLevel="0" collapsed="false">
      <c r="A591" s="216"/>
      <c r="B591" s="972"/>
      <c r="C591" s="1161" t="s">
        <v>6943</v>
      </c>
      <c r="D591" s="912" t="n">
        <v>2006</v>
      </c>
      <c r="E591" s="317" t="n">
        <f aca="false">2021-D591</f>
        <v>15</v>
      </c>
      <c r="F591" s="547" t="n">
        <v>1503927</v>
      </c>
      <c r="G591" s="1413" t="n">
        <v>0.1</v>
      </c>
      <c r="H591" s="547" t="n">
        <f aca="false">E591*F591*G591</f>
        <v>2255890.5</v>
      </c>
      <c r="I591" s="547" t="n">
        <f aca="false">F591-H591</f>
        <v>-751963.5</v>
      </c>
      <c r="J591" s="547" t="n">
        <f aca="false">F591*G591</f>
        <v>150392.7</v>
      </c>
      <c r="K591" s="1365" t="n">
        <f aca="false">J591/1792.8</f>
        <v>83.8870481927711</v>
      </c>
      <c r="L591" s="547" t="n">
        <v>40</v>
      </c>
      <c r="M591" s="819" t="n">
        <f aca="false">K591*L591/60</f>
        <v>55.9246987951807</v>
      </c>
    </row>
    <row r="592" customFormat="false" ht="15" hidden="false" customHeight="false" outlineLevel="0" collapsed="false">
      <c r="A592" s="216"/>
      <c r="B592" s="972" t="s">
        <v>4128</v>
      </c>
      <c r="C592" s="1160"/>
      <c r="D592" s="391"/>
      <c r="E592" s="317"/>
      <c r="F592" s="714"/>
      <c r="G592" s="1414"/>
      <c r="H592" s="547"/>
      <c r="I592" s="547"/>
      <c r="J592" s="547"/>
      <c r="K592" s="1365" t="n">
        <f aca="false">J592/1792.8</f>
        <v>0</v>
      </c>
      <c r="L592" s="714"/>
      <c r="M592" s="934" t="n">
        <f aca="false">M590+M591</f>
        <v>111.155808418861</v>
      </c>
    </row>
    <row r="593" customFormat="false" ht="30" hidden="false" customHeight="false" outlineLevel="0" collapsed="false">
      <c r="A593" s="216" t="s">
        <v>442</v>
      </c>
      <c r="B593" s="29" t="s">
        <v>3068</v>
      </c>
      <c r="C593" s="1161" t="s">
        <v>6974</v>
      </c>
      <c r="D593" s="912" t="n">
        <v>2006</v>
      </c>
      <c r="E593" s="317" t="n">
        <f aca="false">2021-D593</f>
        <v>15</v>
      </c>
      <c r="F593" s="547" t="n">
        <v>526970</v>
      </c>
      <c r="G593" s="1413" t="n">
        <v>0.1</v>
      </c>
      <c r="H593" s="547" t="n">
        <f aca="false">E593*F593*G593</f>
        <v>790455</v>
      </c>
      <c r="I593" s="547" t="n">
        <f aca="false">F593-H593</f>
        <v>-263485</v>
      </c>
      <c r="J593" s="547" t="n">
        <f aca="false">F593*G593</f>
        <v>52697</v>
      </c>
      <c r="K593" s="1365" t="n">
        <f aca="false">J593/1792.8</f>
        <v>29.3936858545292</v>
      </c>
      <c r="L593" s="547" t="n">
        <v>15</v>
      </c>
      <c r="M593" s="819" t="n">
        <f aca="false">K593*L593/60</f>
        <v>7.34842146363231</v>
      </c>
    </row>
    <row r="594" customFormat="false" ht="15" hidden="false" customHeight="false" outlineLevel="0" collapsed="false">
      <c r="A594" s="216"/>
      <c r="B594" s="78"/>
      <c r="C594" s="1161" t="s">
        <v>6975</v>
      </c>
      <c r="D594" s="912" t="n">
        <v>2006</v>
      </c>
      <c r="E594" s="317" t="n">
        <f aca="false">2021-D594</f>
        <v>15</v>
      </c>
      <c r="F594" s="547" t="n">
        <v>147200</v>
      </c>
      <c r="G594" s="1413" t="n">
        <v>0.1</v>
      </c>
      <c r="H594" s="547" t="n">
        <f aca="false">E594*F594*G594</f>
        <v>220800</v>
      </c>
      <c r="I594" s="547" t="n">
        <f aca="false">F594-H594</f>
        <v>-73600</v>
      </c>
      <c r="J594" s="547" t="n">
        <f aca="false">F594*G594</f>
        <v>14720</v>
      </c>
      <c r="K594" s="1365" t="n">
        <f aca="false">J594/1792.8</f>
        <v>8.21062025881303</v>
      </c>
      <c r="L594" s="547" t="n">
        <v>30</v>
      </c>
      <c r="M594" s="819" t="n">
        <f aca="false">K594*L594/60</f>
        <v>4.10531012940652</v>
      </c>
    </row>
    <row r="595" customFormat="false" ht="15" hidden="false" customHeight="false" outlineLevel="0" collapsed="false">
      <c r="A595" s="216"/>
      <c r="B595" s="78"/>
      <c r="C595" s="1161" t="s">
        <v>6979</v>
      </c>
      <c r="D595" s="912" t="n">
        <v>2005</v>
      </c>
      <c r="E595" s="317" t="n">
        <f aca="false">2021-D595</f>
        <v>16</v>
      </c>
      <c r="F595" s="547" t="n">
        <v>1400000</v>
      </c>
      <c r="G595" s="1413" t="n">
        <v>0.1</v>
      </c>
      <c r="H595" s="547" t="n">
        <f aca="false">E595*F595*G595</f>
        <v>2240000</v>
      </c>
      <c r="I595" s="547" t="n">
        <f aca="false">F595-H595</f>
        <v>-840000</v>
      </c>
      <c r="J595" s="547" t="n">
        <f aca="false">F595*G595</f>
        <v>140000</v>
      </c>
      <c r="K595" s="1365" t="n">
        <f aca="false">J595/1792.8</f>
        <v>78.0901383311022</v>
      </c>
      <c r="L595" s="547" t="n">
        <v>30</v>
      </c>
      <c r="M595" s="819" t="n">
        <f aca="false">K595*L595/60</f>
        <v>39.0450691655511</v>
      </c>
    </row>
    <row r="596" customFormat="false" ht="15" hidden="false" customHeight="false" outlineLevel="0" collapsed="false">
      <c r="A596" s="216"/>
      <c r="B596" s="78"/>
      <c r="C596" s="1161" t="s">
        <v>6934</v>
      </c>
      <c r="D596" s="912" t="n">
        <v>2005</v>
      </c>
      <c r="E596" s="317" t="n">
        <f aca="false">2021-D596</f>
        <v>16</v>
      </c>
      <c r="F596" s="547" t="n">
        <v>90680</v>
      </c>
      <c r="G596" s="1413" t="n">
        <v>0.1</v>
      </c>
      <c r="H596" s="547" t="n">
        <f aca="false">E596*F596*G596</f>
        <v>145088</v>
      </c>
      <c r="I596" s="547" t="n">
        <f aca="false">F596-H596</f>
        <v>-54408</v>
      </c>
      <c r="J596" s="547" t="n">
        <f aca="false">F596*G596</f>
        <v>9068</v>
      </c>
      <c r="K596" s="1365" t="n">
        <f aca="false">J596/1792.8</f>
        <v>5.05800981704596</v>
      </c>
      <c r="L596" s="547" t="n">
        <v>10</v>
      </c>
      <c r="M596" s="819" t="n">
        <f aca="false">K596*L596/60</f>
        <v>0.843001636174327</v>
      </c>
    </row>
    <row r="597" customFormat="false" ht="15" hidden="false" customHeight="false" outlineLevel="0" collapsed="false">
      <c r="A597" s="216"/>
      <c r="B597" s="972" t="s">
        <v>4128</v>
      </c>
      <c r="C597" s="1160"/>
      <c r="D597" s="391"/>
      <c r="E597" s="317"/>
      <c r="F597" s="714"/>
      <c r="G597" s="1414"/>
      <c r="H597" s="547"/>
      <c r="I597" s="547"/>
      <c r="J597" s="547"/>
      <c r="K597" s="1365" t="n">
        <f aca="false">J597/1792.8</f>
        <v>0</v>
      </c>
      <c r="L597" s="714"/>
      <c r="M597" s="934" t="n">
        <f aca="false">M593+M594+M595+M596</f>
        <v>51.3418023947642</v>
      </c>
    </row>
    <row r="598" customFormat="false" ht="30" hidden="false" customHeight="false" outlineLevel="0" collapsed="false">
      <c r="A598" s="216" t="s">
        <v>444</v>
      </c>
      <c r="B598" s="29" t="s">
        <v>3069</v>
      </c>
      <c r="C598" s="1161" t="s">
        <v>6927</v>
      </c>
      <c r="D598" s="912" t="n">
        <v>2006</v>
      </c>
      <c r="E598" s="317" t="n">
        <f aca="false">2021-D598</f>
        <v>15</v>
      </c>
      <c r="F598" s="547" t="n">
        <v>526970</v>
      </c>
      <c r="G598" s="1413" t="n">
        <v>0.1</v>
      </c>
      <c r="H598" s="547" t="n">
        <f aca="false">E598*F598*G598</f>
        <v>790455</v>
      </c>
      <c r="I598" s="547" t="n">
        <f aca="false">F598-H598</f>
        <v>-263485</v>
      </c>
      <c r="J598" s="547" t="n">
        <f aca="false">F598*G598</f>
        <v>52697</v>
      </c>
      <c r="K598" s="1365" t="n">
        <f aca="false">J598/1792.8</f>
        <v>29.3936858545292</v>
      </c>
      <c r="L598" s="547" t="n">
        <v>15</v>
      </c>
      <c r="M598" s="819" t="n">
        <f aca="false">K598*L598/60</f>
        <v>7.34842146363231</v>
      </c>
    </row>
    <row r="599" customFormat="false" ht="15" hidden="false" customHeight="false" outlineLevel="0" collapsed="false">
      <c r="A599" s="216"/>
      <c r="B599" s="78"/>
      <c r="C599" s="1161" t="s">
        <v>6934</v>
      </c>
      <c r="D599" s="912" t="n">
        <v>2005</v>
      </c>
      <c r="E599" s="317" t="n">
        <f aca="false">2021-D599</f>
        <v>16</v>
      </c>
      <c r="F599" s="547" t="n">
        <v>90680</v>
      </c>
      <c r="G599" s="1413" t="n">
        <v>0.1</v>
      </c>
      <c r="H599" s="547" t="n">
        <f aca="false">E599*F599*G599</f>
        <v>145088</v>
      </c>
      <c r="I599" s="547" t="n">
        <f aca="false">F599-H599</f>
        <v>-54408</v>
      </c>
      <c r="J599" s="547" t="n">
        <f aca="false">F599*G599</f>
        <v>9068</v>
      </c>
      <c r="K599" s="1365" t="n">
        <f aca="false">J599/1792.8</f>
        <v>5.05800981704596</v>
      </c>
      <c r="L599" s="547" t="n">
        <v>10</v>
      </c>
      <c r="M599" s="819" t="n">
        <f aca="false">K599*L599/60</f>
        <v>0.843001636174327</v>
      </c>
    </row>
    <row r="600" customFormat="false" ht="15" hidden="false" customHeight="false" outlineLevel="0" collapsed="false">
      <c r="A600" s="216"/>
      <c r="B600" s="972" t="s">
        <v>4128</v>
      </c>
      <c r="C600" s="1160"/>
      <c r="D600" s="391"/>
      <c r="E600" s="317"/>
      <c r="F600" s="714"/>
      <c r="G600" s="1414"/>
      <c r="H600" s="547"/>
      <c r="I600" s="547"/>
      <c r="J600" s="547"/>
      <c r="K600" s="1365" t="n">
        <f aca="false">J600/1792.8</f>
        <v>0</v>
      </c>
      <c r="L600" s="714"/>
      <c r="M600" s="934" t="n">
        <f aca="false">M598+M599</f>
        <v>8.19142309980663</v>
      </c>
    </row>
    <row r="601" customFormat="false" ht="15" hidden="false" customHeight="false" outlineLevel="0" collapsed="false">
      <c r="A601" s="216" t="s">
        <v>446</v>
      </c>
      <c r="B601" s="29" t="s">
        <v>3148</v>
      </c>
      <c r="C601" s="1161" t="s">
        <v>6974</v>
      </c>
      <c r="D601" s="912" t="n">
        <v>2006</v>
      </c>
      <c r="E601" s="317" t="n">
        <f aca="false">2021-D601</f>
        <v>15</v>
      </c>
      <c r="F601" s="547" t="n">
        <v>526970</v>
      </c>
      <c r="G601" s="1413" t="n">
        <v>0.1</v>
      </c>
      <c r="H601" s="547" t="n">
        <f aca="false">E601*F601*G601</f>
        <v>790455</v>
      </c>
      <c r="I601" s="547" t="n">
        <f aca="false">F601-H601</f>
        <v>-263485</v>
      </c>
      <c r="J601" s="547" t="n">
        <f aca="false">F601*G601</f>
        <v>52697</v>
      </c>
      <c r="K601" s="1365" t="n">
        <f aca="false">J601/1792.8</f>
        <v>29.3936858545292</v>
      </c>
      <c r="L601" s="547" t="n">
        <v>15</v>
      </c>
      <c r="M601" s="819" t="n">
        <f aca="false">K601*L601/60</f>
        <v>7.34842146363231</v>
      </c>
    </row>
    <row r="602" customFormat="false" ht="15" hidden="false" customHeight="false" outlineLevel="0" collapsed="false">
      <c r="A602" s="216"/>
      <c r="B602" s="78"/>
      <c r="C602" s="1161" t="s">
        <v>4568</v>
      </c>
      <c r="D602" s="912" t="n">
        <v>2003</v>
      </c>
      <c r="E602" s="317" t="n">
        <f aca="false">2021-D602</f>
        <v>18</v>
      </c>
      <c r="F602" s="547" t="n">
        <v>12704749</v>
      </c>
      <c r="G602" s="1413" t="n">
        <v>0.1</v>
      </c>
      <c r="H602" s="547" t="n">
        <f aca="false">E602*F602*G602</f>
        <v>22868548.2</v>
      </c>
      <c r="I602" s="547" t="n">
        <f aca="false">F602-H602</f>
        <v>-10163799.2</v>
      </c>
      <c r="J602" s="547" t="n">
        <f aca="false">F602*G602</f>
        <v>1270474.9</v>
      </c>
      <c r="K602" s="1365" t="n">
        <f aca="false">J602/1792.8</f>
        <v>708.654004908523</v>
      </c>
      <c r="L602" s="547" t="n">
        <v>20</v>
      </c>
      <c r="M602" s="819" t="n">
        <f aca="false">K602*L602/60</f>
        <v>236.218001636174</v>
      </c>
    </row>
    <row r="603" customFormat="false" ht="15" hidden="false" customHeight="false" outlineLevel="0" collapsed="false">
      <c r="A603" s="216"/>
      <c r="B603" s="78"/>
      <c r="C603" s="1161" t="s">
        <v>6975</v>
      </c>
      <c r="D603" s="912" t="n">
        <v>2006</v>
      </c>
      <c r="E603" s="317" t="n">
        <f aca="false">2021-D603</f>
        <v>15</v>
      </c>
      <c r="F603" s="547" t="n">
        <v>147200</v>
      </c>
      <c r="G603" s="1413" t="n">
        <v>0.1</v>
      </c>
      <c r="H603" s="547" t="n">
        <f aca="false">E603*F603*G603</f>
        <v>220800</v>
      </c>
      <c r="I603" s="547" t="n">
        <f aca="false">F603-H603</f>
        <v>-73600</v>
      </c>
      <c r="J603" s="547" t="n">
        <f aca="false">F603*G603</f>
        <v>14720</v>
      </c>
      <c r="K603" s="1365" t="n">
        <f aca="false">J603/1792.8</f>
        <v>8.21062025881303</v>
      </c>
      <c r="L603" s="547" t="n">
        <v>20</v>
      </c>
      <c r="M603" s="819" t="n">
        <f aca="false">K603*L603/60</f>
        <v>2.73687341960434</v>
      </c>
    </row>
    <row r="604" customFormat="false" ht="15" hidden="false" customHeight="false" outlineLevel="0" collapsed="false">
      <c r="A604" s="216"/>
      <c r="B604" s="78"/>
      <c r="C604" s="1161" t="s">
        <v>6979</v>
      </c>
      <c r="D604" s="912" t="n">
        <v>2005</v>
      </c>
      <c r="E604" s="317" t="n">
        <f aca="false">2021-D604</f>
        <v>16</v>
      </c>
      <c r="F604" s="547" t="n">
        <v>1400000</v>
      </c>
      <c r="G604" s="1413" t="n">
        <v>0.1</v>
      </c>
      <c r="H604" s="547" t="n">
        <f aca="false">E604*F604*G604</f>
        <v>2240000</v>
      </c>
      <c r="I604" s="547" t="n">
        <f aca="false">F604-H604</f>
        <v>-840000</v>
      </c>
      <c r="J604" s="547" t="n">
        <f aca="false">F604*G604</f>
        <v>140000</v>
      </c>
      <c r="K604" s="1365" t="n">
        <f aca="false">J604/1792.8</f>
        <v>78.0901383311022</v>
      </c>
      <c r="L604" s="547" t="n">
        <v>20</v>
      </c>
      <c r="M604" s="819" t="n">
        <f aca="false">K604*L604/60</f>
        <v>26.0300461103674</v>
      </c>
    </row>
    <row r="605" customFormat="false" ht="15" hidden="false" customHeight="false" outlineLevel="0" collapsed="false">
      <c r="A605" s="216"/>
      <c r="B605" s="78"/>
      <c r="C605" s="1161" t="s">
        <v>6934</v>
      </c>
      <c r="D605" s="912" t="n">
        <v>2005</v>
      </c>
      <c r="E605" s="317" t="n">
        <f aca="false">2021-D605</f>
        <v>16</v>
      </c>
      <c r="F605" s="547" t="n">
        <v>90680</v>
      </c>
      <c r="G605" s="1413" t="n">
        <v>0.1</v>
      </c>
      <c r="H605" s="547" t="n">
        <f aca="false">E605*F605*G605</f>
        <v>145088</v>
      </c>
      <c r="I605" s="547" t="n">
        <f aca="false">F605-H605</f>
        <v>-54408</v>
      </c>
      <c r="J605" s="547" t="n">
        <f aca="false">F605*G605</f>
        <v>9068</v>
      </c>
      <c r="K605" s="1365" t="n">
        <f aca="false">J605/1792.8</f>
        <v>5.05800981704596</v>
      </c>
      <c r="L605" s="547" t="n">
        <v>10</v>
      </c>
      <c r="M605" s="819" t="n">
        <f aca="false">K605*L605/60</f>
        <v>0.843001636174327</v>
      </c>
    </row>
    <row r="606" customFormat="false" ht="15" hidden="false" customHeight="false" outlineLevel="0" collapsed="false">
      <c r="A606" s="216"/>
      <c r="B606" s="78"/>
      <c r="C606" s="1161" t="s">
        <v>6943</v>
      </c>
      <c r="D606" s="912" t="n">
        <v>2006</v>
      </c>
      <c r="E606" s="317" t="n">
        <f aca="false">2021-D606</f>
        <v>15</v>
      </c>
      <c r="F606" s="547" t="n">
        <v>1503927</v>
      </c>
      <c r="G606" s="1413" t="n">
        <v>0.1</v>
      </c>
      <c r="H606" s="547" t="n">
        <f aca="false">E606*F606*G606</f>
        <v>2255890.5</v>
      </c>
      <c r="I606" s="547" t="n">
        <f aca="false">F606-H606</f>
        <v>-751963.5</v>
      </c>
      <c r="J606" s="547" t="n">
        <f aca="false">F606*G606</f>
        <v>150392.7</v>
      </c>
      <c r="K606" s="1365" t="n">
        <f aca="false">J606/1792.8</f>
        <v>83.8870481927711</v>
      </c>
      <c r="L606" s="547" t="n">
        <v>10</v>
      </c>
      <c r="M606" s="819" t="n">
        <f aca="false">K606*L606/60</f>
        <v>13.9811746987952</v>
      </c>
    </row>
    <row r="607" customFormat="false" ht="15" hidden="false" customHeight="false" outlineLevel="0" collapsed="false">
      <c r="A607" s="216"/>
      <c r="B607" s="972" t="s">
        <v>4128</v>
      </c>
      <c r="C607" s="1160"/>
      <c r="D607" s="391"/>
      <c r="E607" s="317"/>
      <c r="F607" s="714"/>
      <c r="G607" s="1414"/>
      <c r="H607" s="547"/>
      <c r="I607" s="547"/>
      <c r="J607" s="547"/>
      <c r="K607" s="1365" t="n">
        <f aca="false">J607/1792.8</f>
        <v>0</v>
      </c>
      <c r="L607" s="714"/>
      <c r="M607" s="934" t="n">
        <f aca="false">M601+M602+M603+M604+M605+M606</f>
        <v>287.157518964748</v>
      </c>
    </row>
    <row r="608" customFormat="false" ht="15" hidden="false" customHeight="false" outlineLevel="0" collapsed="false">
      <c r="A608" s="216" t="s">
        <v>448</v>
      </c>
      <c r="B608" s="29" t="s">
        <v>3148</v>
      </c>
      <c r="C608" s="1161" t="s">
        <v>6934</v>
      </c>
      <c r="D608" s="912" t="n">
        <v>2007</v>
      </c>
      <c r="E608" s="317" t="n">
        <f aca="false">2021-D608</f>
        <v>14</v>
      </c>
      <c r="F608" s="873" t="n">
        <v>491000</v>
      </c>
      <c r="G608" s="1413" t="n">
        <v>1.1</v>
      </c>
      <c r="H608" s="547" t="n">
        <f aca="false">E608*F608*G608</f>
        <v>7561400</v>
      </c>
      <c r="I608" s="547" t="n">
        <f aca="false">F608-H608</f>
        <v>-7070400</v>
      </c>
      <c r="J608" s="547" t="n">
        <f aca="false">F608*G608</f>
        <v>540100</v>
      </c>
      <c r="K608" s="1365" t="n">
        <f aca="false">J608/1792.8</f>
        <v>301.260597947345</v>
      </c>
      <c r="L608" s="547" t="n">
        <v>11</v>
      </c>
      <c r="M608" s="819" t="n">
        <f aca="false">K608*L608/60</f>
        <v>55.2311096236799</v>
      </c>
    </row>
    <row r="609" customFormat="false" ht="15" hidden="false" customHeight="false" outlineLevel="0" collapsed="false">
      <c r="A609" s="216"/>
      <c r="B609" s="972"/>
      <c r="C609" s="1161" t="s">
        <v>6943</v>
      </c>
      <c r="D609" s="912" t="n">
        <v>2006</v>
      </c>
      <c r="E609" s="317" t="n">
        <f aca="false">2021-D609</f>
        <v>15</v>
      </c>
      <c r="F609" s="547" t="n">
        <v>1503927</v>
      </c>
      <c r="G609" s="1413" t="n">
        <v>0.1</v>
      </c>
      <c r="H609" s="547" t="n">
        <f aca="false">E609*F609*G609</f>
        <v>2255890.5</v>
      </c>
      <c r="I609" s="547" t="n">
        <f aca="false">F609-H609</f>
        <v>-751963.5</v>
      </c>
      <c r="J609" s="547" t="n">
        <f aca="false">F609*G609</f>
        <v>150392.7</v>
      </c>
      <c r="K609" s="1365" t="n">
        <f aca="false">J609/1792.8</f>
        <v>83.8870481927711</v>
      </c>
      <c r="L609" s="547" t="n">
        <v>10</v>
      </c>
      <c r="M609" s="819" t="n">
        <f aca="false">K609*L609/60</f>
        <v>13.9811746987952</v>
      </c>
    </row>
    <row r="610" customFormat="false" ht="15" hidden="false" customHeight="false" outlineLevel="0" collapsed="false">
      <c r="A610" s="216"/>
      <c r="B610" s="972" t="s">
        <v>4128</v>
      </c>
      <c r="C610" s="1160"/>
      <c r="D610" s="391"/>
      <c r="E610" s="317"/>
      <c r="F610" s="714"/>
      <c r="G610" s="1414"/>
      <c r="H610" s="547"/>
      <c r="I610" s="547"/>
      <c r="J610" s="547"/>
      <c r="K610" s="1365" t="n">
        <f aca="false">J610/1792.8</f>
        <v>0</v>
      </c>
      <c r="L610" s="714"/>
      <c r="M610" s="934" t="n">
        <f aca="false">M608+M609</f>
        <v>69.2122843224751</v>
      </c>
    </row>
    <row r="611" customFormat="false" ht="15" hidden="false" customHeight="false" outlineLevel="0" collapsed="false">
      <c r="A611" s="216" t="s">
        <v>450</v>
      </c>
      <c r="B611" s="29" t="s">
        <v>6989</v>
      </c>
      <c r="C611" s="1161" t="s">
        <v>6974</v>
      </c>
      <c r="D611" s="912" t="n">
        <v>2006</v>
      </c>
      <c r="E611" s="317" t="n">
        <f aca="false">2021-D611</f>
        <v>15</v>
      </c>
      <c r="F611" s="547" t="n">
        <v>526970</v>
      </c>
      <c r="G611" s="1413" t="n">
        <v>0.1</v>
      </c>
      <c r="H611" s="547" t="n">
        <f aca="false">E611*F611*G611</f>
        <v>790455</v>
      </c>
      <c r="I611" s="547" t="n">
        <f aca="false">F611-H611</f>
        <v>-263485</v>
      </c>
      <c r="J611" s="547" t="n">
        <f aca="false">F611*G611</f>
        <v>52697</v>
      </c>
      <c r="K611" s="1365" t="n">
        <f aca="false">J611/1792.8</f>
        <v>29.3936858545292</v>
      </c>
      <c r="L611" s="547" t="n">
        <v>15</v>
      </c>
      <c r="M611" s="819" t="n">
        <f aca="false">K611*L611/60</f>
        <v>7.34842146363231</v>
      </c>
    </row>
    <row r="612" customFormat="false" ht="15" hidden="false" customHeight="false" outlineLevel="0" collapsed="false">
      <c r="A612" s="216"/>
      <c r="B612" s="78"/>
      <c r="C612" s="1161" t="s">
        <v>4568</v>
      </c>
      <c r="D612" s="912" t="n">
        <v>2003</v>
      </c>
      <c r="E612" s="317" t="n">
        <f aca="false">2021-D612</f>
        <v>18</v>
      </c>
      <c r="F612" s="547" t="n">
        <v>12704749</v>
      </c>
      <c r="G612" s="1413" t="n">
        <v>0.1</v>
      </c>
      <c r="H612" s="547" t="n">
        <f aca="false">E612*F612*G612</f>
        <v>22868548.2</v>
      </c>
      <c r="I612" s="547" t="n">
        <f aca="false">F612-H612</f>
        <v>-10163799.2</v>
      </c>
      <c r="J612" s="547" t="n">
        <f aca="false">F612*G612</f>
        <v>1270474.9</v>
      </c>
      <c r="K612" s="1365" t="n">
        <f aca="false">J612/1792.8</f>
        <v>708.654004908523</v>
      </c>
      <c r="L612" s="547" t="n">
        <v>80</v>
      </c>
      <c r="M612" s="819" t="n">
        <f aca="false">K612*L612/60</f>
        <v>944.872006544698</v>
      </c>
    </row>
    <row r="613" customFormat="false" ht="15" hidden="false" customHeight="false" outlineLevel="0" collapsed="false">
      <c r="A613" s="216"/>
      <c r="B613" s="78"/>
      <c r="C613" s="1161" t="s">
        <v>6934</v>
      </c>
      <c r="D613" s="912" t="n">
        <v>2005</v>
      </c>
      <c r="E613" s="317" t="n">
        <f aca="false">2021-D613</f>
        <v>16</v>
      </c>
      <c r="F613" s="547" t="n">
        <v>90680</v>
      </c>
      <c r="G613" s="1413" t="n">
        <v>0.1</v>
      </c>
      <c r="H613" s="547" t="n">
        <f aca="false">E613*F613*G613</f>
        <v>145088</v>
      </c>
      <c r="I613" s="547" t="n">
        <f aca="false">F613-H613</f>
        <v>-54408</v>
      </c>
      <c r="J613" s="547" t="n">
        <f aca="false">F613*G613</f>
        <v>9068</v>
      </c>
      <c r="K613" s="1365" t="n">
        <f aca="false">J613/1792.8</f>
        <v>5.05800981704596</v>
      </c>
      <c r="L613" s="547" t="n">
        <v>10</v>
      </c>
      <c r="M613" s="819" t="n">
        <f aca="false">K613*L613/60</f>
        <v>0.843001636174327</v>
      </c>
    </row>
    <row r="614" customFormat="false" ht="15" hidden="false" customHeight="false" outlineLevel="0" collapsed="false">
      <c r="A614" s="216"/>
      <c r="B614" s="972" t="s">
        <v>4128</v>
      </c>
      <c r="C614" s="1160"/>
      <c r="D614" s="391"/>
      <c r="E614" s="317"/>
      <c r="F614" s="714"/>
      <c r="G614" s="1414"/>
      <c r="H614" s="547"/>
      <c r="I614" s="547"/>
      <c r="J614" s="547"/>
      <c r="K614" s="1365" t="n">
        <f aca="false">J614/1792.8</f>
        <v>0</v>
      </c>
      <c r="L614" s="714"/>
      <c r="M614" s="934" t="n">
        <f aca="false">M611+M612+M613</f>
        <v>953.063429644504</v>
      </c>
    </row>
    <row r="615" customFormat="false" ht="15" hidden="false" customHeight="false" outlineLevel="0" collapsed="false">
      <c r="A615" s="216" t="s">
        <v>452</v>
      </c>
      <c r="B615" s="29" t="s">
        <v>6989</v>
      </c>
      <c r="C615" s="1161" t="s">
        <v>6934</v>
      </c>
      <c r="D615" s="912" t="n">
        <v>2007</v>
      </c>
      <c r="E615" s="317" t="n">
        <f aca="false">2021-D615</f>
        <v>14</v>
      </c>
      <c r="F615" s="873" t="n">
        <v>491000</v>
      </c>
      <c r="G615" s="1413" t="n">
        <v>1.1</v>
      </c>
      <c r="H615" s="547" t="n">
        <f aca="false">E615*F615*G615</f>
        <v>7561400</v>
      </c>
      <c r="I615" s="547" t="n">
        <f aca="false">F615-H615</f>
        <v>-7070400</v>
      </c>
      <c r="J615" s="547" t="n">
        <f aca="false">F615*G615</f>
        <v>540100</v>
      </c>
      <c r="K615" s="1365" t="n">
        <f aca="false">J615/1792.8</f>
        <v>301.260597947345</v>
      </c>
      <c r="L615" s="547" t="n">
        <v>11</v>
      </c>
      <c r="M615" s="819" t="n">
        <f aca="false">K615*L615/60</f>
        <v>55.2311096236799</v>
      </c>
    </row>
    <row r="616" customFormat="false" ht="15" hidden="false" customHeight="false" outlineLevel="0" collapsed="false">
      <c r="A616" s="216"/>
      <c r="B616" s="972"/>
      <c r="C616" s="1161" t="s">
        <v>6943</v>
      </c>
      <c r="D616" s="912" t="n">
        <v>2006</v>
      </c>
      <c r="E616" s="317" t="n">
        <f aca="false">2021-D616</f>
        <v>15</v>
      </c>
      <c r="F616" s="547" t="n">
        <v>1503927</v>
      </c>
      <c r="G616" s="1413" t="n">
        <v>0.1</v>
      </c>
      <c r="H616" s="547" t="n">
        <f aca="false">E616*F616*G616</f>
        <v>2255890.5</v>
      </c>
      <c r="I616" s="547" t="n">
        <f aca="false">F616-H616</f>
        <v>-751963.5</v>
      </c>
      <c r="J616" s="547" t="n">
        <f aca="false">F616*G616</f>
        <v>150392.7</v>
      </c>
      <c r="K616" s="1365" t="n">
        <f aca="false">J616/1792.8</f>
        <v>83.8870481927711</v>
      </c>
      <c r="L616" s="547" t="n">
        <v>10</v>
      </c>
      <c r="M616" s="819" t="n">
        <f aca="false">K616*L616/60</f>
        <v>13.9811746987952</v>
      </c>
    </row>
    <row r="617" customFormat="false" ht="15" hidden="false" customHeight="false" outlineLevel="0" collapsed="false">
      <c r="A617" s="216"/>
      <c r="B617" s="972" t="s">
        <v>4128</v>
      </c>
      <c r="C617" s="1160"/>
      <c r="D617" s="391"/>
      <c r="E617" s="317"/>
      <c r="F617" s="714"/>
      <c r="G617" s="1414"/>
      <c r="H617" s="547"/>
      <c r="I617" s="547"/>
      <c r="J617" s="547"/>
      <c r="K617" s="1365" t="n">
        <f aca="false">J617/1792.8</f>
        <v>0</v>
      </c>
      <c r="L617" s="714"/>
      <c r="M617" s="934" t="n">
        <f aca="false">M615+M616</f>
        <v>69.2122843224751</v>
      </c>
    </row>
    <row r="618" customFormat="false" ht="30" hidden="false" customHeight="false" outlineLevel="0" collapsed="false">
      <c r="A618" s="216" t="s">
        <v>454</v>
      </c>
      <c r="B618" s="29" t="s">
        <v>3074</v>
      </c>
      <c r="C618" s="1161" t="s">
        <v>6990</v>
      </c>
      <c r="D618" s="912" t="n">
        <v>2003</v>
      </c>
      <c r="E618" s="317" t="n">
        <f aca="false">2021-D618</f>
        <v>18</v>
      </c>
      <c r="F618" s="547" t="n">
        <v>1000000</v>
      </c>
      <c r="G618" s="1413" t="n">
        <v>0.1</v>
      </c>
      <c r="H618" s="547" t="n">
        <f aca="false">F618</f>
        <v>1000000</v>
      </c>
      <c r="I618" s="547" t="n">
        <f aca="false">F618-H618</f>
        <v>0</v>
      </c>
      <c r="J618" s="547" t="n">
        <f aca="false">F618*G618</f>
        <v>100000</v>
      </c>
      <c r="K618" s="1365" t="n">
        <f aca="false">J618/1792.8</f>
        <v>55.7786702365016</v>
      </c>
      <c r="L618" s="547" t="n">
        <v>180</v>
      </c>
      <c r="M618" s="819" t="n">
        <f aca="false">K618*L618/60</f>
        <v>167.336010709505</v>
      </c>
    </row>
    <row r="619" customFormat="false" ht="15" hidden="false" customHeight="false" outlineLevel="0" collapsed="false">
      <c r="A619" s="216"/>
      <c r="B619" s="78"/>
      <c r="C619" s="1161" t="s">
        <v>6934</v>
      </c>
      <c r="D619" s="912" t="n">
        <v>2005</v>
      </c>
      <c r="E619" s="317" t="n">
        <f aca="false">2021-D619</f>
        <v>16</v>
      </c>
      <c r="F619" s="547" t="n">
        <v>90680</v>
      </c>
      <c r="G619" s="1413" t="n">
        <v>0.1</v>
      </c>
      <c r="H619" s="547" t="n">
        <f aca="false">E619*F619*G619</f>
        <v>145088</v>
      </c>
      <c r="I619" s="547" t="n">
        <f aca="false">F619-H619</f>
        <v>-54408</v>
      </c>
      <c r="J619" s="547" t="n">
        <f aca="false">F619*G619</f>
        <v>9068</v>
      </c>
      <c r="K619" s="1365" t="n">
        <f aca="false">J619/1792.8</f>
        <v>5.05800981704596</v>
      </c>
      <c r="L619" s="547" t="n">
        <v>10</v>
      </c>
      <c r="M619" s="819" t="n">
        <f aca="false">K619*L619/60</f>
        <v>0.843001636174327</v>
      </c>
    </row>
    <row r="620" customFormat="false" ht="15" hidden="false" customHeight="false" outlineLevel="0" collapsed="false">
      <c r="A620" s="216"/>
      <c r="B620" s="78"/>
      <c r="C620" s="1161" t="s">
        <v>6981</v>
      </c>
      <c r="D620" s="912" t="n">
        <v>2009</v>
      </c>
      <c r="E620" s="317" t="n">
        <f aca="false">2021-D620</f>
        <v>12</v>
      </c>
      <c r="F620" s="547" t="n">
        <v>181000</v>
      </c>
      <c r="G620" s="1413" t="n">
        <v>0.1</v>
      </c>
      <c r="H620" s="547" t="n">
        <f aca="false">E620*F620*G620</f>
        <v>217200</v>
      </c>
      <c r="I620" s="547" t="n">
        <f aca="false">F620-H620</f>
        <v>-36200</v>
      </c>
      <c r="J620" s="547" t="n">
        <f aca="false">F620*G620</f>
        <v>18100</v>
      </c>
      <c r="K620" s="1365" t="n">
        <f aca="false">J620/1792.8</f>
        <v>10.0959393128068</v>
      </c>
      <c r="L620" s="547" t="n">
        <v>15</v>
      </c>
      <c r="M620" s="819" t="n">
        <f aca="false">K620*L620/60</f>
        <v>2.5239848282017</v>
      </c>
    </row>
    <row r="621" customFormat="false" ht="15" hidden="false" customHeight="false" outlineLevel="0" collapsed="false">
      <c r="A621" s="216"/>
      <c r="B621" s="972" t="s">
        <v>4128</v>
      </c>
      <c r="C621" s="1160"/>
      <c r="D621" s="391"/>
      <c r="E621" s="317"/>
      <c r="F621" s="714"/>
      <c r="G621" s="1413"/>
      <c r="H621" s="547"/>
      <c r="I621" s="547"/>
      <c r="J621" s="547"/>
      <c r="K621" s="1365" t="n">
        <f aca="false">J621/1792.8</f>
        <v>0</v>
      </c>
      <c r="L621" s="714"/>
      <c r="M621" s="934" t="n">
        <f aca="false">M618+M619+M620</f>
        <v>170.702997173881</v>
      </c>
    </row>
    <row r="622" customFormat="false" ht="30" hidden="false" customHeight="false" outlineLevel="0" collapsed="false">
      <c r="A622" s="216" t="s">
        <v>456</v>
      </c>
      <c r="B622" s="40" t="s">
        <v>3075</v>
      </c>
      <c r="C622" s="1161" t="s">
        <v>6991</v>
      </c>
      <c r="D622" s="912" t="n">
        <v>2014</v>
      </c>
      <c r="E622" s="317" t="n">
        <f aca="false">2021-D622</f>
        <v>7</v>
      </c>
      <c r="F622" s="547" t="n">
        <v>55465060</v>
      </c>
      <c r="G622" s="1413" t="n">
        <v>0.1</v>
      </c>
      <c r="H622" s="547" t="n">
        <f aca="false">E622*F622*G622</f>
        <v>38825542</v>
      </c>
      <c r="I622" s="547" t="n">
        <f aca="false">F622-H622</f>
        <v>16639518</v>
      </c>
      <c r="J622" s="547" t="n">
        <f aca="false">F622*G622</f>
        <v>5546506</v>
      </c>
      <c r="K622" s="1365" t="n">
        <f aca="false">J622/1792.8</f>
        <v>3093.76729138777</v>
      </c>
      <c r="L622" s="714" t="n">
        <v>20</v>
      </c>
      <c r="M622" s="819" t="n">
        <f aca="false">K622*L622/60</f>
        <v>1031.25576379592</v>
      </c>
    </row>
    <row r="623" customFormat="false" ht="15" hidden="false" customHeight="false" outlineLevel="0" collapsed="false">
      <c r="A623" s="216" t="s">
        <v>458</v>
      </c>
      <c r="B623" s="40" t="s">
        <v>459</v>
      </c>
      <c r="C623" s="1161" t="s">
        <v>4568</v>
      </c>
      <c r="D623" s="912" t="n">
        <v>2003</v>
      </c>
      <c r="E623" s="317" t="n">
        <f aca="false">2021-D623</f>
        <v>18</v>
      </c>
      <c r="F623" s="547" t="n">
        <v>12704749</v>
      </c>
      <c r="G623" s="1413" t="n">
        <v>0.1</v>
      </c>
      <c r="H623" s="547" t="n">
        <f aca="false">E623*F623*G623</f>
        <v>22868548.2</v>
      </c>
      <c r="I623" s="547" t="n">
        <f aca="false">F623-H623</f>
        <v>-10163799.2</v>
      </c>
      <c r="J623" s="547" t="n">
        <f aca="false">F623*G623</f>
        <v>1270474.9</v>
      </c>
      <c r="K623" s="1365" t="n">
        <f aca="false">J623/1792.8</f>
        <v>708.654004908523</v>
      </c>
      <c r="L623" s="547" t="n">
        <v>150</v>
      </c>
      <c r="M623" s="934" t="n">
        <f aca="false">K623*L623/60</f>
        <v>1771.63501227131</v>
      </c>
    </row>
    <row r="624" customFormat="false" ht="15" hidden="false" customHeight="false" outlineLevel="0" collapsed="false">
      <c r="A624" s="216" t="s">
        <v>460</v>
      </c>
      <c r="B624" s="40" t="s">
        <v>461</v>
      </c>
      <c r="C624" s="1161" t="s">
        <v>4568</v>
      </c>
      <c r="D624" s="912" t="n">
        <v>2003</v>
      </c>
      <c r="E624" s="317" t="n">
        <f aca="false">2021-D624</f>
        <v>18</v>
      </c>
      <c r="F624" s="547" t="n">
        <v>12704749</v>
      </c>
      <c r="G624" s="1413" t="n">
        <v>0.1</v>
      </c>
      <c r="H624" s="547" t="n">
        <f aca="false">E624*F624*G624</f>
        <v>22868548.2</v>
      </c>
      <c r="I624" s="547" t="n">
        <f aca="false">F624-H624</f>
        <v>-10163799.2</v>
      </c>
      <c r="J624" s="547" t="n">
        <f aca="false">F624*G624</f>
        <v>1270474.9</v>
      </c>
      <c r="K624" s="1365" t="n">
        <f aca="false">J624/1792.8</f>
        <v>708.654004908523</v>
      </c>
      <c r="L624" s="547" t="n">
        <v>50</v>
      </c>
      <c r="M624" s="934" t="n">
        <f aca="false">K624*L624/60</f>
        <v>590.545004090436</v>
      </c>
    </row>
    <row r="625" customFormat="false" ht="15" hidden="false" customHeight="false" outlineLevel="0" collapsed="false">
      <c r="A625" s="216" t="s">
        <v>462</v>
      </c>
      <c r="B625" s="40" t="s">
        <v>463</v>
      </c>
      <c r="C625" s="1161" t="s">
        <v>4568</v>
      </c>
      <c r="D625" s="912" t="n">
        <v>2003</v>
      </c>
      <c r="E625" s="317" t="n">
        <f aca="false">2021-D625</f>
        <v>18</v>
      </c>
      <c r="F625" s="547" t="n">
        <v>12704749</v>
      </c>
      <c r="G625" s="1413" t="n">
        <v>0.1</v>
      </c>
      <c r="H625" s="547" t="n">
        <f aca="false">E625*F625*G625</f>
        <v>22868548.2</v>
      </c>
      <c r="I625" s="547" t="n">
        <f aca="false">F625-H625</f>
        <v>-10163799.2</v>
      </c>
      <c r="J625" s="547" t="n">
        <f aca="false">F625*G625</f>
        <v>1270474.9</v>
      </c>
      <c r="K625" s="1365" t="n">
        <f aca="false">J625/1792.8</f>
        <v>708.654004908523</v>
      </c>
      <c r="L625" s="547" t="n">
        <v>70</v>
      </c>
      <c r="M625" s="934" t="n">
        <f aca="false">K625*L625/60</f>
        <v>826.76300572661</v>
      </c>
    </row>
    <row r="626" customFormat="false" ht="15" hidden="false" customHeight="false" outlineLevel="0" collapsed="false">
      <c r="A626" s="216" t="s">
        <v>464</v>
      </c>
      <c r="B626" s="40" t="s">
        <v>465</v>
      </c>
      <c r="C626" s="1161" t="s">
        <v>6991</v>
      </c>
      <c r="D626" s="912" t="n">
        <v>2014</v>
      </c>
      <c r="E626" s="317" t="n">
        <f aca="false">2021-D626</f>
        <v>7</v>
      </c>
      <c r="F626" s="547" t="n">
        <v>55465060</v>
      </c>
      <c r="G626" s="1413" t="n">
        <v>0.1</v>
      </c>
      <c r="H626" s="547" t="n">
        <f aca="false">E626*F626*G626</f>
        <v>38825542</v>
      </c>
      <c r="I626" s="547" t="n">
        <f aca="false">F626-H626</f>
        <v>16639518</v>
      </c>
      <c r="J626" s="547" t="n">
        <f aca="false">F626*G626</f>
        <v>5546506</v>
      </c>
      <c r="K626" s="1365" t="n">
        <f aca="false">J626/1792.8</f>
        <v>3093.76729138777</v>
      </c>
      <c r="L626" s="714" t="n">
        <v>20</v>
      </c>
      <c r="M626" s="819" t="n">
        <f aca="false">K626*L626/60</f>
        <v>1031.25576379592</v>
      </c>
    </row>
    <row r="627" customFormat="false" ht="30" hidden="false" customHeight="false" outlineLevel="0" collapsed="false">
      <c r="A627" s="216" t="s">
        <v>466</v>
      </c>
      <c r="B627" s="40" t="s">
        <v>3076</v>
      </c>
      <c r="C627" s="1161" t="s">
        <v>6991</v>
      </c>
      <c r="D627" s="912" t="n">
        <v>2014</v>
      </c>
      <c r="E627" s="317" t="n">
        <f aca="false">2021-D627</f>
        <v>7</v>
      </c>
      <c r="F627" s="547" t="n">
        <v>55465060</v>
      </c>
      <c r="G627" s="1413" t="n">
        <v>0.1</v>
      </c>
      <c r="H627" s="547" t="n">
        <f aca="false">E627*F627*G627</f>
        <v>38825542</v>
      </c>
      <c r="I627" s="547" t="n">
        <f aca="false">F627-H627</f>
        <v>16639518</v>
      </c>
      <c r="J627" s="547" t="n">
        <f aca="false">F627*G627</f>
        <v>5546506</v>
      </c>
      <c r="K627" s="1365" t="n">
        <f aca="false">J627/1792.8</f>
        <v>3093.76729138777</v>
      </c>
      <c r="L627" s="714" t="n">
        <v>40</v>
      </c>
      <c r="M627" s="819" t="n">
        <f aca="false">K627*L627/60</f>
        <v>2062.51152759185</v>
      </c>
    </row>
    <row r="628" customFormat="false" ht="30" hidden="false" customHeight="false" outlineLevel="0" collapsed="false">
      <c r="A628" s="216" t="s">
        <v>468</v>
      </c>
      <c r="B628" s="40" t="s">
        <v>3077</v>
      </c>
      <c r="C628" s="1161" t="s">
        <v>6974</v>
      </c>
      <c r="D628" s="912" t="n">
        <v>2006</v>
      </c>
      <c r="E628" s="317" t="n">
        <f aca="false">2021-D628</f>
        <v>15</v>
      </c>
      <c r="F628" s="547" t="n">
        <v>526970</v>
      </c>
      <c r="G628" s="1413" t="n">
        <v>0.1</v>
      </c>
      <c r="H628" s="547" t="n">
        <f aca="false">E628*F628*G628</f>
        <v>790455</v>
      </c>
      <c r="I628" s="547" t="n">
        <f aca="false">F628-H628</f>
        <v>-263485</v>
      </c>
      <c r="J628" s="547" t="n">
        <f aca="false">F628*G628</f>
        <v>52697</v>
      </c>
      <c r="K628" s="1365" t="n">
        <f aca="false">J628/1792.8</f>
        <v>29.3936858545292</v>
      </c>
      <c r="L628" s="547" t="n">
        <v>90</v>
      </c>
      <c r="M628" s="819" t="n">
        <f aca="false">K628*L628/60</f>
        <v>44.0905287817938</v>
      </c>
    </row>
    <row r="629" customFormat="false" ht="15" hidden="false" customHeight="false" outlineLevel="0" collapsed="false">
      <c r="A629" s="216"/>
      <c r="B629" s="40"/>
      <c r="C629" s="1161"/>
      <c r="D629" s="912"/>
      <c r="E629" s="317"/>
      <c r="F629" s="547"/>
      <c r="G629" s="1413" t="n">
        <v>0.1</v>
      </c>
      <c r="H629" s="547"/>
      <c r="I629" s="547"/>
      <c r="J629" s="547"/>
      <c r="K629" s="1365" t="n">
        <f aca="false">J629/1792.8</f>
        <v>0</v>
      </c>
      <c r="L629" s="547"/>
      <c r="M629" s="934" t="n">
        <f aca="false">SUM(M627:M628)</f>
        <v>2106.60205637364</v>
      </c>
    </row>
    <row r="630" customFormat="false" ht="15" hidden="false" customHeight="false" outlineLevel="0" collapsed="false">
      <c r="A630" s="216" t="s">
        <v>470</v>
      </c>
      <c r="B630" s="40" t="s">
        <v>3078</v>
      </c>
      <c r="C630" s="1161" t="s">
        <v>6991</v>
      </c>
      <c r="D630" s="912" t="n">
        <v>2014</v>
      </c>
      <c r="E630" s="317" t="n">
        <f aca="false">2021-D630</f>
        <v>7</v>
      </c>
      <c r="F630" s="547" t="n">
        <v>55465060</v>
      </c>
      <c r="G630" s="1413" t="n">
        <v>0.1</v>
      </c>
      <c r="H630" s="547" t="n">
        <f aca="false">E630*F630*G630</f>
        <v>38825542</v>
      </c>
      <c r="I630" s="547" t="n">
        <f aca="false">F630-H630</f>
        <v>16639518</v>
      </c>
      <c r="J630" s="547" t="n">
        <f aca="false">F630*G630</f>
        <v>5546506</v>
      </c>
      <c r="K630" s="1365" t="n">
        <f aca="false">J630/1792.8</f>
        <v>3093.76729138777</v>
      </c>
      <c r="L630" s="714" t="n">
        <v>50</v>
      </c>
      <c r="M630" s="819" t="n">
        <f aca="false">K630*L630/60</f>
        <v>2578.13940948981</v>
      </c>
    </row>
    <row r="631" customFormat="false" ht="15" hidden="false" customHeight="false" outlineLevel="0" collapsed="false">
      <c r="A631" s="216" t="s">
        <v>472</v>
      </c>
      <c r="B631" s="40" t="s">
        <v>3079</v>
      </c>
      <c r="C631" s="1161" t="n">
        <v>0</v>
      </c>
      <c r="D631" s="912" t="n">
        <v>0</v>
      </c>
      <c r="E631" s="317"/>
      <c r="F631" s="547" t="n">
        <v>0</v>
      </c>
      <c r="G631" s="1413" t="n">
        <v>0.1</v>
      </c>
      <c r="H631" s="547" t="n">
        <f aca="false">E631*F631*G631</f>
        <v>0</v>
      </c>
      <c r="I631" s="547" t="n">
        <f aca="false">F631-H631</f>
        <v>0</v>
      </c>
      <c r="J631" s="547" t="n">
        <f aca="false">F631*G631</f>
        <v>0</v>
      </c>
      <c r="K631" s="1365" t="n">
        <f aca="false">J631/1792.8</f>
        <v>0</v>
      </c>
      <c r="L631" s="714" t="n">
        <v>180</v>
      </c>
      <c r="M631" s="819" t="n">
        <f aca="false">K631*L631/60</f>
        <v>0</v>
      </c>
    </row>
    <row r="632" customFormat="false" ht="15" hidden="false" customHeight="false" outlineLevel="0" collapsed="false">
      <c r="A632" s="216" t="s">
        <v>474</v>
      </c>
      <c r="B632" s="40" t="s">
        <v>3080</v>
      </c>
      <c r="C632" s="1161" t="s">
        <v>6991</v>
      </c>
      <c r="D632" s="912" t="n">
        <v>2014</v>
      </c>
      <c r="E632" s="317" t="n">
        <f aca="false">2021-D632</f>
        <v>7</v>
      </c>
      <c r="F632" s="547" t="n">
        <v>55465060</v>
      </c>
      <c r="G632" s="1413" t="n">
        <v>0.1</v>
      </c>
      <c r="H632" s="547" t="n">
        <f aca="false">E632*F632*G632</f>
        <v>38825542</v>
      </c>
      <c r="I632" s="547" t="n">
        <f aca="false">F632-H632</f>
        <v>16639518</v>
      </c>
      <c r="J632" s="547" t="n">
        <f aca="false">F632*G632</f>
        <v>5546506</v>
      </c>
      <c r="K632" s="1365" t="n">
        <f aca="false">J632/1792.8</f>
        <v>3093.76729138777</v>
      </c>
      <c r="L632" s="714" t="n">
        <v>60</v>
      </c>
      <c r="M632" s="819" t="n">
        <f aca="false">K632*L632/60</f>
        <v>3093.76729138777</v>
      </c>
    </row>
    <row r="633" customFormat="false" ht="15" hidden="false" customHeight="false" outlineLevel="0" collapsed="false">
      <c r="A633" s="216" t="s">
        <v>476</v>
      </c>
      <c r="B633" s="40" t="s">
        <v>3081</v>
      </c>
      <c r="C633" s="1161" t="s">
        <v>6934</v>
      </c>
      <c r="D633" s="912" t="n">
        <v>2005</v>
      </c>
      <c r="E633" s="317" t="n">
        <f aca="false">2021-D633</f>
        <v>16</v>
      </c>
      <c r="F633" s="547" t="n">
        <v>90680</v>
      </c>
      <c r="G633" s="1413" t="n">
        <v>0.1</v>
      </c>
      <c r="H633" s="547" t="n">
        <f aca="false">E633*F633*G633</f>
        <v>145088</v>
      </c>
      <c r="I633" s="547" t="n">
        <f aca="false">F633-H633</f>
        <v>-54408</v>
      </c>
      <c r="J633" s="547" t="n">
        <f aca="false">F633*G633</f>
        <v>9068</v>
      </c>
      <c r="K633" s="1365" t="n">
        <f aca="false">J633/1792.8</f>
        <v>5.05800981704596</v>
      </c>
      <c r="L633" s="547" t="n">
        <v>10</v>
      </c>
      <c r="M633" s="934" t="n">
        <f aca="false">K633*L633/60</f>
        <v>0.843001636174327</v>
      </c>
    </row>
    <row r="634" customFormat="false" ht="15" hidden="false" customHeight="false" outlineLevel="0" collapsed="false">
      <c r="A634" s="216" t="s">
        <v>478</v>
      </c>
      <c r="B634" s="40" t="s">
        <v>3082</v>
      </c>
      <c r="C634" s="1161" t="s">
        <v>6934</v>
      </c>
      <c r="D634" s="912" t="n">
        <v>2005</v>
      </c>
      <c r="E634" s="317" t="n">
        <f aca="false">2021-D634</f>
        <v>16</v>
      </c>
      <c r="F634" s="547" t="n">
        <v>90680</v>
      </c>
      <c r="G634" s="1413" t="n">
        <v>0.1</v>
      </c>
      <c r="H634" s="547" t="n">
        <f aca="false">E634*F634*G634</f>
        <v>145088</v>
      </c>
      <c r="I634" s="547" t="n">
        <f aca="false">F634-H634</f>
        <v>-54408</v>
      </c>
      <c r="J634" s="547" t="n">
        <f aca="false">F634*G634</f>
        <v>9068</v>
      </c>
      <c r="K634" s="1365" t="n">
        <f aca="false">J634/1792.8</f>
        <v>5.05800981704596</v>
      </c>
      <c r="L634" s="547" t="n">
        <v>10</v>
      </c>
      <c r="M634" s="934" t="n">
        <f aca="false">K634*L634/60</f>
        <v>0.843001636174327</v>
      </c>
    </row>
    <row r="635" customFormat="false" ht="42.75" hidden="false" customHeight="false" outlineLevel="0" collapsed="false">
      <c r="A635" s="15" t="s">
        <v>4707</v>
      </c>
      <c r="B635" s="16" t="s">
        <v>4708</v>
      </c>
      <c r="C635" s="16"/>
      <c r="D635" s="339"/>
      <c r="E635" s="1389"/>
      <c r="F635" s="751"/>
      <c r="G635" s="751"/>
      <c r="H635" s="751"/>
      <c r="I635" s="751"/>
      <c r="J635" s="751"/>
      <c r="K635" s="751"/>
      <c r="L635" s="751"/>
      <c r="M635" s="818"/>
    </row>
    <row r="636" customFormat="false" ht="30" hidden="false" customHeight="false" outlineLevel="0" collapsed="false">
      <c r="A636" s="216" t="s">
        <v>4709</v>
      </c>
      <c r="B636" s="29" t="s">
        <v>3010</v>
      </c>
      <c r="C636" s="1161" t="s">
        <v>6984</v>
      </c>
      <c r="D636" s="912" t="n">
        <v>2007</v>
      </c>
      <c r="E636" s="317" t="n">
        <f aca="false">2021-D636</f>
        <v>14</v>
      </c>
      <c r="F636" s="547" t="n">
        <v>810000</v>
      </c>
      <c r="G636" s="1413" t="n">
        <v>0.1</v>
      </c>
      <c r="H636" s="547" t="n">
        <f aca="false">E636*F636*G636</f>
        <v>1134000</v>
      </c>
      <c r="I636" s="547" t="n">
        <f aca="false">F636-H636</f>
        <v>-324000</v>
      </c>
      <c r="J636" s="547" t="n">
        <f aca="false">F636*G636</f>
        <v>81000</v>
      </c>
      <c r="K636" s="1365" t="n">
        <f aca="false">J636/1792.8</f>
        <v>45.1807228915663</v>
      </c>
      <c r="L636" s="547" t="n">
        <v>15</v>
      </c>
      <c r="M636" s="934" t="n">
        <f aca="false">K636*L636/60</f>
        <v>11.2951807228916</v>
      </c>
    </row>
    <row r="637" customFormat="false" ht="15" hidden="false" customHeight="false" outlineLevel="0" collapsed="false">
      <c r="A637" s="216" t="s">
        <v>4711</v>
      </c>
      <c r="B637" s="29" t="s">
        <v>3014</v>
      </c>
      <c r="C637" s="1160"/>
      <c r="D637" s="391"/>
      <c r="E637" s="317"/>
      <c r="F637" s="714"/>
      <c r="G637" s="1414"/>
      <c r="H637" s="547" t="n">
        <f aca="false">E637*F637*G637</f>
        <v>0</v>
      </c>
      <c r="I637" s="547" t="n">
        <f aca="false">F637-H637</f>
        <v>0</v>
      </c>
      <c r="J637" s="547" t="n">
        <f aca="false">F637*G637</f>
        <v>0</v>
      </c>
      <c r="K637" s="1365" t="n">
        <f aca="false">J637/1792.8</f>
        <v>0</v>
      </c>
      <c r="L637" s="714"/>
      <c r="M637" s="819" t="n">
        <f aca="false">K637*L637/60</f>
        <v>0</v>
      </c>
    </row>
    <row r="638" customFormat="false" ht="15" hidden="false" customHeight="false" outlineLevel="0" collapsed="false">
      <c r="A638" s="216" t="s">
        <v>4714</v>
      </c>
      <c r="B638" s="29" t="s">
        <v>3084</v>
      </c>
      <c r="C638" s="1161" t="s">
        <v>6973</v>
      </c>
      <c r="D638" s="912" t="n">
        <v>2006</v>
      </c>
      <c r="E638" s="317" t="n">
        <f aca="false">2021-D638</f>
        <v>15</v>
      </c>
      <c r="F638" s="547" t="n">
        <v>190000</v>
      </c>
      <c r="G638" s="1413" t="n">
        <v>0.1</v>
      </c>
      <c r="H638" s="547" t="n">
        <f aca="false">E638*F638*G638</f>
        <v>285000</v>
      </c>
      <c r="I638" s="547" t="n">
        <f aca="false">F638-H638</f>
        <v>-95000</v>
      </c>
      <c r="J638" s="547" t="n">
        <f aca="false">F638*G638</f>
        <v>19000</v>
      </c>
      <c r="K638" s="1365" t="n">
        <f aca="false">J638/1792.8</f>
        <v>10.5979473449353</v>
      </c>
      <c r="L638" s="547" t="n">
        <v>30</v>
      </c>
      <c r="M638" s="819" t="n">
        <f aca="false">K638*L638/60</f>
        <v>5.29897367246765</v>
      </c>
    </row>
    <row r="639" customFormat="false" ht="15" hidden="false" customHeight="false" outlineLevel="0" collapsed="false">
      <c r="A639" s="216"/>
      <c r="B639" s="78"/>
      <c r="C639" s="1161" t="s">
        <v>6934</v>
      </c>
      <c r="D639" s="912" t="n">
        <v>2005</v>
      </c>
      <c r="E639" s="317" t="n">
        <f aca="false">2021-D639</f>
        <v>16</v>
      </c>
      <c r="F639" s="547" t="n">
        <v>90680</v>
      </c>
      <c r="G639" s="1413" t="n">
        <v>0.1</v>
      </c>
      <c r="H639" s="547" t="n">
        <f aca="false">E639*F639*G639</f>
        <v>145088</v>
      </c>
      <c r="I639" s="547" t="n">
        <f aca="false">F639-H639</f>
        <v>-54408</v>
      </c>
      <c r="J639" s="547" t="n">
        <f aca="false">F639*G639</f>
        <v>9068</v>
      </c>
      <c r="K639" s="1365" t="n">
        <f aca="false">J639/1792.8</f>
        <v>5.05800981704596</v>
      </c>
      <c r="L639" s="547" t="n">
        <v>10</v>
      </c>
      <c r="M639" s="819" t="n">
        <f aca="false">K639*L639/60</f>
        <v>0.843001636174327</v>
      </c>
    </row>
    <row r="640" customFormat="false" ht="15" hidden="false" customHeight="false" outlineLevel="0" collapsed="false">
      <c r="A640" s="216"/>
      <c r="B640" s="972" t="s">
        <v>4128</v>
      </c>
      <c r="C640" s="1160"/>
      <c r="D640" s="391"/>
      <c r="E640" s="317"/>
      <c r="F640" s="714"/>
      <c r="G640" s="1414"/>
      <c r="H640" s="547"/>
      <c r="I640" s="547"/>
      <c r="J640" s="547"/>
      <c r="K640" s="1365" t="n">
        <f aca="false">J640/1792.8</f>
        <v>0</v>
      </c>
      <c r="L640" s="714"/>
      <c r="M640" s="934" t="n">
        <f aca="false">M638+M639</f>
        <v>6.14197530864198</v>
      </c>
    </row>
    <row r="641" customFormat="false" ht="30" hidden="false" customHeight="false" outlineLevel="0" collapsed="false">
      <c r="A641" s="216" t="s">
        <v>486</v>
      </c>
      <c r="B641" s="29" t="s">
        <v>3085</v>
      </c>
      <c r="C641" s="1161" t="s">
        <v>6973</v>
      </c>
      <c r="D641" s="912" t="n">
        <v>2006</v>
      </c>
      <c r="E641" s="317" t="n">
        <f aca="false">2021-D641</f>
        <v>15</v>
      </c>
      <c r="F641" s="547" t="n">
        <v>190000</v>
      </c>
      <c r="G641" s="1413" t="n">
        <v>0.1</v>
      </c>
      <c r="H641" s="547" t="n">
        <f aca="false">E641*F641*G641</f>
        <v>285000</v>
      </c>
      <c r="I641" s="547" t="n">
        <f aca="false">F641-H641</f>
        <v>-95000</v>
      </c>
      <c r="J641" s="547" t="n">
        <f aca="false">F641*G641</f>
        <v>19000</v>
      </c>
      <c r="K641" s="1365" t="n">
        <f aca="false">J641/1792.8</f>
        <v>10.5979473449353</v>
      </c>
      <c r="L641" s="547" t="n">
        <v>30</v>
      </c>
      <c r="M641" s="819" t="n">
        <f aca="false">K641*L641/60</f>
        <v>5.29897367246765</v>
      </c>
    </row>
    <row r="642" customFormat="false" ht="15" hidden="false" customHeight="false" outlineLevel="0" collapsed="false">
      <c r="A642" s="216"/>
      <c r="B642" s="78"/>
      <c r="C642" s="1161" t="s">
        <v>6934</v>
      </c>
      <c r="D642" s="912" t="n">
        <v>2005</v>
      </c>
      <c r="E642" s="317" t="n">
        <f aca="false">2021-D642</f>
        <v>16</v>
      </c>
      <c r="F642" s="547" t="n">
        <v>90680</v>
      </c>
      <c r="G642" s="1413" t="n">
        <v>0.1</v>
      </c>
      <c r="H642" s="547" t="n">
        <f aca="false">E642*F642*G642</f>
        <v>145088</v>
      </c>
      <c r="I642" s="547" t="n">
        <f aca="false">F642-H642</f>
        <v>-54408</v>
      </c>
      <c r="J642" s="547" t="n">
        <f aca="false">F642*G642</f>
        <v>9068</v>
      </c>
      <c r="K642" s="1365" t="n">
        <f aca="false">J642/1792.8</f>
        <v>5.05800981704596</v>
      </c>
      <c r="L642" s="547" t="n">
        <v>10</v>
      </c>
      <c r="M642" s="819" t="n">
        <f aca="false">K642*L642/60</f>
        <v>0.843001636174327</v>
      </c>
    </row>
    <row r="643" customFormat="false" ht="15" hidden="false" customHeight="false" outlineLevel="0" collapsed="false">
      <c r="A643" s="216"/>
      <c r="B643" s="972" t="s">
        <v>4128</v>
      </c>
      <c r="C643" s="1160"/>
      <c r="D643" s="391"/>
      <c r="E643" s="317"/>
      <c r="F643" s="714"/>
      <c r="G643" s="1414"/>
      <c r="H643" s="547"/>
      <c r="I643" s="547"/>
      <c r="J643" s="547"/>
      <c r="K643" s="1365" t="n">
        <f aca="false">J643/1792.8</f>
        <v>0</v>
      </c>
      <c r="L643" s="714"/>
      <c r="M643" s="934" t="n">
        <f aca="false">M641+M642</f>
        <v>6.14197530864198</v>
      </c>
    </row>
    <row r="644" customFormat="false" ht="15" hidden="false" customHeight="false" outlineLevel="0" collapsed="false">
      <c r="A644" s="216" t="s">
        <v>487</v>
      </c>
      <c r="B644" s="29" t="s">
        <v>3058</v>
      </c>
      <c r="C644" s="1161" t="s">
        <v>6976</v>
      </c>
      <c r="D644" s="912" t="n">
        <v>2005</v>
      </c>
      <c r="E644" s="317" t="n">
        <f aca="false">2021-D644</f>
        <v>16</v>
      </c>
      <c r="F644" s="547" t="n">
        <v>65500</v>
      </c>
      <c r="G644" s="1413" t="n">
        <v>0.1</v>
      </c>
      <c r="H644" s="547" t="n">
        <f aca="false">E644*F644*G644</f>
        <v>104800</v>
      </c>
      <c r="I644" s="547" t="n">
        <f aca="false">F644-H644</f>
        <v>-39300</v>
      </c>
      <c r="J644" s="547" t="n">
        <f aca="false">F644*G644</f>
        <v>6550</v>
      </c>
      <c r="K644" s="1365" t="n">
        <f aca="false">J644/1792.8</f>
        <v>3.65350290049085</v>
      </c>
      <c r="L644" s="547" t="n">
        <v>30</v>
      </c>
      <c r="M644" s="819" t="n">
        <f aca="false">K644*L644/60</f>
        <v>1.82675145024543</v>
      </c>
    </row>
    <row r="645" customFormat="false" ht="15" hidden="false" customHeight="false" outlineLevel="0" collapsed="false">
      <c r="A645" s="216" t="s">
        <v>488</v>
      </c>
      <c r="B645" s="29" t="s">
        <v>3059</v>
      </c>
      <c r="C645" s="1161" t="s">
        <v>6934</v>
      </c>
      <c r="D645" s="912" t="n">
        <v>2005</v>
      </c>
      <c r="E645" s="317" t="n">
        <f aca="false">2021-D645</f>
        <v>16</v>
      </c>
      <c r="F645" s="547" t="n">
        <v>90680</v>
      </c>
      <c r="G645" s="1413" t="n">
        <v>0.1</v>
      </c>
      <c r="H645" s="547" t="n">
        <f aca="false">E645*F645*G645</f>
        <v>145088</v>
      </c>
      <c r="I645" s="547" t="n">
        <f aca="false">F645-H645</f>
        <v>-54408</v>
      </c>
      <c r="J645" s="547" t="n">
        <f aca="false">F645*G645</f>
        <v>9068</v>
      </c>
      <c r="K645" s="1365" t="n">
        <f aca="false">J645/1792.8</f>
        <v>5.05800981704596</v>
      </c>
      <c r="L645" s="547" t="n">
        <v>10</v>
      </c>
      <c r="M645" s="819" t="n">
        <f aca="false">K645*L645/60</f>
        <v>0.843001636174327</v>
      </c>
    </row>
    <row r="646" customFormat="false" ht="15" hidden="false" customHeight="false" outlineLevel="0" collapsed="false">
      <c r="A646" s="216"/>
      <c r="B646" s="972" t="s">
        <v>4128</v>
      </c>
      <c r="C646" s="1160"/>
      <c r="D646" s="391"/>
      <c r="E646" s="317"/>
      <c r="F646" s="714"/>
      <c r="G646" s="1414"/>
      <c r="H646" s="547"/>
      <c r="I646" s="547"/>
      <c r="J646" s="547"/>
      <c r="K646" s="1365" t="n">
        <f aca="false">J646/1792.8</f>
        <v>0</v>
      </c>
      <c r="L646" s="714"/>
      <c r="M646" s="934" t="n">
        <f aca="false">M644+M645</f>
        <v>2.66975308641975</v>
      </c>
    </row>
    <row r="647" customFormat="false" ht="30" hidden="false" customHeight="false" outlineLevel="0" collapsed="false">
      <c r="A647" s="216" t="s">
        <v>489</v>
      </c>
      <c r="B647" s="29" t="s">
        <v>3086</v>
      </c>
      <c r="C647" s="1161" t="s">
        <v>6934</v>
      </c>
      <c r="D647" s="912" t="n">
        <v>2005</v>
      </c>
      <c r="E647" s="317" t="n">
        <f aca="false">2021-D647</f>
        <v>16</v>
      </c>
      <c r="F647" s="547" t="n">
        <v>90680</v>
      </c>
      <c r="G647" s="1413" t="n">
        <v>0.1</v>
      </c>
      <c r="H647" s="547" t="n">
        <f aca="false">E647*F647*G647</f>
        <v>145088</v>
      </c>
      <c r="I647" s="547" t="n">
        <f aca="false">F647-H647</f>
        <v>-54408</v>
      </c>
      <c r="J647" s="547" t="n">
        <f aca="false">F647*G647</f>
        <v>9068</v>
      </c>
      <c r="K647" s="1365" t="n">
        <f aca="false">J647/1792.8</f>
        <v>5.05800981704596</v>
      </c>
      <c r="L647" s="547" t="n">
        <v>10</v>
      </c>
      <c r="M647" s="934" t="n">
        <f aca="false">K647*L647/60</f>
        <v>0.843001636174327</v>
      </c>
    </row>
    <row r="648" customFormat="false" ht="15" hidden="false" customHeight="false" outlineLevel="0" collapsed="false">
      <c r="A648" s="216" t="s">
        <v>491</v>
      </c>
      <c r="B648" s="29" t="s">
        <v>6988</v>
      </c>
      <c r="C648" s="1161" t="s">
        <v>4568</v>
      </c>
      <c r="D648" s="912" t="n">
        <v>2003</v>
      </c>
      <c r="E648" s="317" t="n">
        <f aca="false">2021-D648</f>
        <v>18</v>
      </c>
      <c r="F648" s="547" t="n">
        <v>12704749</v>
      </c>
      <c r="G648" s="1413" t="n">
        <v>0.1</v>
      </c>
      <c r="H648" s="547" t="n">
        <f aca="false">F648</f>
        <v>12704749</v>
      </c>
      <c r="I648" s="547" t="n">
        <f aca="false">F648-H648</f>
        <v>0</v>
      </c>
      <c r="J648" s="547" t="n">
        <f aca="false">F648*G648</f>
        <v>1270474.9</v>
      </c>
      <c r="K648" s="1365" t="n">
        <f aca="false">J648/1792.8</f>
        <v>708.654004908523</v>
      </c>
      <c r="L648" s="547" t="n">
        <v>10</v>
      </c>
      <c r="M648" s="819" t="n">
        <f aca="false">K648*L648/60</f>
        <v>118.109000818087</v>
      </c>
    </row>
    <row r="649" customFormat="false" ht="15" hidden="false" customHeight="false" outlineLevel="0" collapsed="false">
      <c r="A649" s="216"/>
      <c r="B649" s="78"/>
      <c r="C649" s="1161" t="s">
        <v>6975</v>
      </c>
      <c r="D649" s="912" t="n">
        <v>2006</v>
      </c>
      <c r="E649" s="317" t="n">
        <f aca="false">2021-D649</f>
        <v>15</v>
      </c>
      <c r="F649" s="547" t="n">
        <v>147200</v>
      </c>
      <c r="G649" s="1413" t="n">
        <v>0.1</v>
      </c>
      <c r="H649" s="547" t="n">
        <f aca="false">E649*F649*G649</f>
        <v>220800</v>
      </c>
      <c r="I649" s="547" t="n">
        <f aca="false">F649-H649</f>
        <v>-73600</v>
      </c>
      <c r="J649" s="547" t="n">
        <f aca="false">F649*G649</f>
        <v>14720</v>
      </c>
      <c r="K649" s="1365" t="n">
        <f aca="false">J649/1792.8</f>
        <v>8.21062025881303</v>
      </c>
      <c r="L649" s="547" t="n">
        <v>10</v>
      </c>
      <c r="M649" s="819" t="n">
        <f aca="false">K649*L649/60</f>
        <v>1.36843670980217</v>
      </c>
    </row>
    <row r="650" customFormat="false" ht="15" hidden="false" customHeight="false" outlineLevel="0" collapsed="false">
      <c r="A650" s="216"/>
      <c r="B650" s="78"/>
      <c r="C650" s="1161" t="s">
        <v>6979</v>
      </c>
      <c r="D650" s="912" t="n">
        <v>2005</v>
      </c>
      <c r="E650" s="317" t="n">
        <f aca="false">2021-D650</f>
        <v>16</v>
      </c>
      <c r="F650" s="547" t="n">
        <v>1400000</v>
      </c>
      <c r="G650" s="1413" t="n">
        <v>0.1</v>
      </c>
      <c r="H650" s="547" t="n">
        <f aca="false">E650*F650*G650</f>
        <v>2240000</v>
      </c>
      <c r="I650" s="547" t="n">
        <f aca="false">F650-H650</f>
        <v>-840000</v>
      </c>
      <c r="J650" s="547" t="n">
        <f aca="false">F650*G650</f>
        <v>140000</v>
      </c>
      <c r="K650" s="1365" t="n">
        <f aca="false">J650/1792.8</f>
        <v>78.0901383311022</v>
      </c>
      <c r="L650" s="547" t="n">
        <v>10</v>
      </c>
      <c r="M650" s="819" t="n">
        <f aca="false">K650*L650/60</f>
        <v>13.0150230551837</v>
      </c>
    </row>
    <row r="651" customFormat="false" ht="15" hidden="false" customHeight="false" outlineLevel="0" collapsed="false">
      <c r="A651" s="216"/>
      <c r="B651" s="78"/>
      <c r="C651" s="1161" t="s">
        <v>6934</v>
      </c>
      <c r="D651" s="912" t="n">
        <v>2005</v>
      </c>
      <c r="E651" s="317" t="n">
        <f aca="false">2021-D651</f>
        <v>16</v>
      </c>
      <c r="F651" s="547" t="n">
        <v>90680</v>
      </c>
      <c r="G651" s="1413" t="n">
        <v>0.1</v>
      </c>
      <c r="H651" s="547" t="n">
        <f aca="false">E651*F651*G651</f>
        <v>145088</v>
      </c>
      <c r="I651" s="547" t="n">
        <f aca="false">F651-H651</f>
        <v>-54408</v>
      </c>
      <c r="J651" s="547" t="n">
        <f aca="false">F651*G651</f>
        <v>9068</v>
      </c>
      <c r="K651" s="1365" t="n">
        <f aca="false">J651/1792.8</f>
        <v>5.05800981704596</v>
      </c>
      <c r="L651" s="547" t="n">
        <v>10</v>
      </c>
      <c r="M651" s="819" t="n">
        <f aca="false">K651*L651/60</f>
        <v>0.843001636174327</v>
      </c>
    </row>
    <row r="652" customFormat="false" ht="15" hidden="false" customHeight="false" outlineLevel="0" collapsed="false">
      <c r="A652" s="216"/>
      <c r="B652" s="972" t="s">
        <v>4128</v>
      </c>
      <c r="C652" s="1160"/>
      <c r="D652" s="391"/>
      <c r="E652" s="317"/>
      <c r="F652" s="714"/>
      <c r="G652" s="1414"/>
      <c r="H652" s="547"/>
      <c r="I652" s="547"/>
      <c r="J652" s="547"/>
      <c r="K652" s="1365" t="n">
        <f aca="false">J652/1792.8</f>
        <v>0</v>
      </c>
      <c r="L652" s="714"/>
      <c r="M652" s="934" t="n">
        <f aca="false">M648+M649+M650+M651</f>
        <v>133.335462219247</v>
      </c>
    </row>
    <row r="653" customFormat="false" ht="15" hidden="false" customHeight="false" outlineLevel="0" collapsed="false">
      <c r="A653" s="216" t="s">
        <v>492</v>
      </c>
      <c r="B653" s="29" t="s">
        <v>3269</v>
      </c>
      <c r="C653" s="1161" t="s">
        <v>6934</v>
      </c>
      <c r="D653" s="912" t="n">
        <v>2007</v>
      </c>
      <c r="E653" s="317" t="n">
        <f aca="false">2021-D653</f>
        <v>14</v>
      </c>
      <c r="F653" s="873" t="n">
        <v>491000</v>
      </c>
      <c r="G653" s="1413" t="n">
        <v>0.1</v>
      </c>
      <c r="H653" s="547" t="n">
        <f aca="false">E653*F653*G653</f>
        <v>687400</v>
      </c>
      <c r="I653" s="547" t="n">
        <f aca="false">F653-H653</f>
        <v>-196400</v>
      </c>
      <c r="J653" s="547" t="n">
        <f aca="false">F653*G653</f>
        <v>49100</v>
      </c>
      <c r="K653" s="1365" t="n">
        <f aca="false">J653/1792.8</f>
        <v>27.3873270861223</v>
      </c>
      <c r="L653" s="547" t="n">
        <v>11</v>
      </c>
      <c r="M653" s="819" t="n">
        <f aca="false">K653*L653/60</f>
        <v>5.02100996578908</v>
      </c>
    </row>
    <row r="654" customFormat="false" ht="15" hidden="false" customHeight="false" outlineLevel="0" collapsed="false">
      <c r="A654" s="216"/>
      <c r="B654" s="29"/>
      <c r="C654" s="1161" t="s">
        <v>6943</v>
      </c>
      <c r="D654" s="912" t="n">
        <v>2006</v>
      </c>
      <c r="E654" s="317" t="n">
        <f aca="false">2021-D654</f>
        <v>15</v>
      </c>
      <c r="F654" s="547" t="n">
        <v>1503927</v>
      </c>
      <c r="G654" s="1413" t="n">
        <v>0.1</v>
      </c>
      <c r="H654" s="547" t="n">
        <f aca="false">E654*F654*G654</f>
        <v>2255890.5</v>
      </c>
      <c r="I654" s="547" t="n">
        <f aca="false">F654-H654</f>
        <v>-751963.5</v>
      </c>
      <c r="J654" s="547" t="n">
        <f aca="false">F654*G654</f>
        <v>150392.7</v>
      </c>
      <c r="K654" s="1365" t="n">
        <f aca="false">J654/1792.8</f>
        <v>83.8870481927711</v>
      </c>
      <c r="L654" s="547" t="n">
        <v>40</v>
      </c>
      <c r="M654" s="819" t="n">
        <f aca="false">K654*L654/60</f>
        <v>55.9246987951807</v>
      </c>
    </row>
    <row r="655" customFormat="false" ht="15" hidden="false" customHeight="false" outlineLevel="0" collapsed="false">
      <c r="A655" s="216"/>
      <c r="B655" s="972" t="s">
        <v>4128</v>
      </c>
      <c r="C655" s="1161"/>
      <c r="D655" s="912"/>
      <c r="E655" s="317"/>
      <c r="F655" s="547"/>
      <c r="G655" s="1413"/>
      <c r="H655" s="547"/>
      <c r="I655" s="547"/>
      <c r="J655" s="547"/>
      <c r="K655" s="1365" t="n">
        <f aca="false">J655/1792.8</f>
        <v>0</v>
      </c>
      <c r="L655" s="547"/>
      <c r="M655" s="934" t="n">
        <f aca="false">M653+M654</f>
        <v>60.9457087609698</v>
      </c>
    </row>
    <row r="656" customFormat="false" ht="15" hidden="false" customHeight="false" outlineLevel="0" collapsed="false">
      <c r="A656" s="216" t="s">
        <v>494</v>
      </c>
      <c r="B656" s="29" t="s">
        <v>6945</v>
      </c>
      <c r="C656" s="1161" t="s">
        <v>4568</v>
      </c>
      <c r="D656" s="912" t="n">
        <v>2003</v>
      </c>
      <c r="E656" s="317" t="n">
        <f aca="false">2021-D656</f>
        <v>18</v>
      </c>
      <c r="F656" s="547" t="n">
        <v>12704749</v>
      </c>
      <c r="G656" s="1413" t="n">
        <v>0.1</v>
      </c>
      <c r="H656" s="547" t="n">
        <f aca="false">E656*F656*G656</f>
        <v>22868548.2</v>
      </c>
      <c r="I656" s="547" t="n">
        <f aca="false">F656-H656</f>
        <v>-10163799.2</v>
      </c>
      <c r="J656" s="547" t="n">
        <f aca="false">F656*G656</f>
        <v>1270474.9</v>
      </c>
      <c r="K656" s="1365" t="n">
        <f aca="false">J656/1792.8</f>
        <v>708.654004908523</v>
      </c>
      <c r="L656" s="547" t="n">
        <v>90</v>
      </c>
      <c r="M656" s="819" t="n">
        <f aca="false">K656*L656/60</f>
        <v>1062.98100736278</v>
      </c>
    </row>
    <row r="657" customFormat="false" ht="15" hidden="false" customHeight="false" outlineLevel="0" collapsed="false">
      <c r="A657" s="216"/>
      <c r="B657" s="78"/>
      <c r="C657" s="1161" t="s">
        <v>6975</v>
      </c>
      <c r="D657" s="912" t="n">
        <v>2006</v>
      </c>
      <c r="E657" s="317" t="n">
        <f aca="false">2021-D657</f>
        <v>15</v>
      </c>
      <c r="F657" s="547" t="n">
        <v>147200</v>
      </c>
      <c r="G657" s="1413" t="n">
        <v>0.1</v>
      </c>
      <c r="H657" s="547" t="n">
        <f aca="false">E657*F657*G657</f>
        <v>220800</v>
      </c>
      <c r="I657" s="547" t="n">
        <f aca="false">F657-H657</f>
        <v>-73600</v>
      </c>
      <c r="J657" s="547" t="n">
        <f aca="false">F657*G657</f>
        <v>14720</v>
      </c>
      <c r="K657" s="1365" t="n">
        <f aca="false">J657/1792.8</f>
        <v>8.21062025881303</v>
      </c>
      <c r="L657" s="547" t="n">
        <v>30</v>
      </c>
      <c r="M657" s="819" t="n">
        <f aca="false">K657*L657/60</f>
        <v>4.10531012940652</v>
      </c>
    </row>
    <row r="658" customFormat="false" ht="15" hidden="false" customHeight="false" outlineLevel="0" collapsed="false">
      <c r="A658" s="216"/>
      <c r="B658" s="78"/>
      <c r="C658" s="1161" t="s">
        <v>6979</v>
      </c>
      <c r="D658" s="912" t="n">
        <v>2005</v>
      </c>
      <c r="E658" s="317" t="n">
        <f aca="false">2021-D658</f>
        <v>16</v>
      </c>
      <c r="F658" s="547" t="n">
        <v>1400000</v>
      </c>
      <c r="G658" s="1413" t="n">
        <v>0.1</v>
      </c>
      <c r="H658" s="547" t="n">
        <f aca="false">E658*F658*G658</f>
        <v>2240000</v>
      </c>
      <c r="I658" s="547" t="n">
        <f aca="false">F658-H658</f>
        <v>-840000</v>
      </c>
      <c r="J658" s="547" t="n">
        <f aca="false">F658*G658</f>
        <v>140000</v>
      </c>
      <c r="K658" s="1365" t="n">
        <f aca="false">J658/1792.8</f>
        <v>78.0901383311022</v>
      </c>
      <c r="L658" s="547" t="n">
        <v>30</v>
      </c>
      <c r="M658" s="819" t="n">
        <f aca="false">K658*L658/60</f>
        <v>39.0450691655511</v>
      </c>
    </row>
    <row r="659" customFormat="false" ht="15" hidden="false" customHeight="false" outlineLevel="0" collapsed="false">
      <c r="A659" s="216"/>
      <c r="B659" s="78"/>
      <c r="C659" s="1161" t="s">
        <v>6934</v>
      </c>
      <c r="D659" s="912" t="n">
        <v>2005</v>
      </c>
      <c r="E659" s="317" t="n">
        <f aca="false">2021-D659</f>
        <v>16</v>
      </c>
      <c r="F659" s="547" t="n">
        <v>90680</v>
      </c>
      <c r="G659" s="1413" t="n">
        <v>0.1</v>
      </c>
      <c r="H659" s="547" t="n">
        <f aca="false">E659*F659*G659</f>
        <v>145088</v>
      </c>
      <c r="I659" s="547" t="n">
        <f aca="false">F659-H659</f>
        <v>-54408</v>
      </c>
      <c r="J659" s="547" t="n">
        <f aca="false">F659*G659</f>
        <v>9068</v>
      </c>
      <c r="K659" s="1365" t="n">
        <f aca="false">J659/1792.8</f>
        <v>5.05800981704596</v>
      </c>
      <c r="L659" s="547" t="n">
        <v>10</v>
      </c>
      <c r="M659" s="819" t="n">
        <f aca="false">K659*L659/60</f>
        <v>0.843001636174327</v>
      </c>
    </row>
    <row r="660" customFormat="false" ht="15" hidden="false" customHeight="false" outlineLevel="0" collapsed="false">
      <c r="A660" s="216"/>
      <c r="B660" s="972" t="s">
        <v>4128</v>
      </c>
      <c r="C660" s="1160"/>
      <c r="D660" s="391"/>
      <c r="E660" s="317"/>
      <c r="F660" s="714"/>
      <c r="G660" s="1414"/>
      <c r="H660" s="547"/>
      <c r="I660" s="547"/>
      <c r="J660" s="547"/>
      <c r="K660" s="1365" t="n">
        <f aca="false">J660/1792.8</f>
        <v>0</v>
      </c>
      <c r="L660" s="714"/>
      <c r="M660" s="934" t="n">
        <f aca="false">M658+M659</f>
        <v>39.8880708017254</v>
      </c>
    </row>
    <row r="661" customFormat="false" ht="15" hidden="false" customHeight="false" outlineLevel="0" collapsed="false">
      <c r="A661" s="216" t="s">
        <v>496</v>
      </c>
      <c r="B661" s="29" t="s">
        <v>6945</v>
      </c>
      <c r="C661" s="1161" t="s">
        <v>6934</v>
      </c>
      <c r="D661" s="912" t="n">
        <v>2007</v>
      </c>
      <c r="E661" s="317" t="n">
        <f aca="false">2021-D661</f>
        <v>14</v>
      </c>
      <c r="F661" s="873" t="n">
        <v>491000</v>
      </c>
      <c r="G661" s="1413" t="n">
        <v>0.1</v>
      </c>
      <c r="H661" s="547" t="n">
        <f aca="false">E661*F661*G661</f>
        <v>687400</v>
      </c>
      <c r="I661" s="547" t="n">
        <f aca="false">F661-H661</f>
        <v>-196400</v>
      </c>
      <c r="J661" s="547" t="n">
        <f aca="false">F661*G661</f>
        <v>49100</v>
      </c>
      <c r="K661" s="1365" t="n">
        <f aca="false">J661/1792.8</f>
        <v>27.3873270861223</v>
      </c>
      <c r="L661" s="547" t="n">
        <v>11</v>
      </c>
      <c r="M661" s="819" t="n">
        <f aca="false">K661*L661/60</f>
        <v>5.02100996578908</v>
      </c>
    </row>
    <row r="662" customFormat="false" ht="15" hidden="false" customHeight="false" outlineLevel="0" collapsed="false">
      <c r="A662" s="216"/>
      <c r="B662" s="972"/>
      <c r="C662" s="1161" t="s">
        <v>6943</v>
      </c>
      <c r="D662" s="912" t="n">
        <v>2006</v>
      </c>
      <c r="E662" s="317" t="n">
        <f aca="false">2021-D662</f>
        <v>15</v>
      </c>
      <c r="F662" s="547" t="n">
        <v>1503927</v>
      </c>
      <c r="G662" s="1413" t="n">
        <v>0.1</v>
      </c>
      <c r="H662" s="547" t="n">
        <f aca="false">E662*F662*G662</f>
        <v>2255890.5</v>
      </c>
      <c r="I662" s="547" t="n">
        <f aca="false">F662-H662</f>
        <v>-751963.5</v>
      </c>
      <c r="J662" s="547" t="n">
        <f aca="false">F662*G662</f>
        <v>150392.7</v>
      </c>
      <c r="K662" s="1365" t="n">
        <f aca="false">J662/1792.8</f>
        <v>83.8870481927711</v>
      </c>
      <c r="L662" s="547" t="n">
        <v>40</v>
      </c>
      <c r="M662" s="819" t="n">
        <f aca="false">K662*L662/60</f>
        <v>55.9246987951807</v>
      </c>
    </row>
    <row r="663" customFormat="false" ht="15" hidden="false" customHeight="false" outlineLevel="0" collapsed="false">
      <c r="A663" s="216"/>
      <c r="B663" s="972" t="s">
        <v>4128</v>
      </c>
      <c r="C663" s="1160"/>
      <c r="D663" s="391"/>
      <c r="E663" s="317"/>
      <c r="F663" s="714"/>
      <c r="G663" s="1414"/>
      <c r="H663" s="547"/>
      <c r="I663" s="547"/>
      <c r="J663" s="547"/>
      <c r="K663" s="1365" t="n">
        <f aca="false">J663/1792.8</f>
        <v>0</v>
      </c>
      <c r="L663" s="714"/>
      <c r="M663" s="934" t="n">
        <f aca="false">M661+M662</f>
        <v>60.9457087609698</v>
      </c>
    </row>
    <row r="664" customFormat="false" ht="15" hidden="false" customHeight="false" outlineLevel="0" collapsed="false">
      <c r="A664" s="216" t="s">
        <v>498</v>
      </c>
      <c r="B664" s="29" t="s">
        <v>3063</v>
      </c>
      <c r="C664" s="1161" t="s">
        <v>6992</v>
      </c>
      <c r="D664" s="912" t="n">
        <v>2005</v>
      </c>
      <c r="E664" s="317" t="n">
        <f aca="false">2021-D664</f>
        <v>16</v>
      </c>
      <c r="F664" s="547" t="n">
        <v>60000</v>
      </c>
      <c r="G664" s="1413" t="n">
        <v>0.1</v>
      </c>
      <c r="H664" s="547" t="n">
        <f aca="false">E664*F664*G664</f>
        <v>96000</v>
      </c>
      <c r="I664" s="547" t="n">
        <f aca="false">F664-H664</f>
        <v>-36000</v>
      </c>
      <c r="J664" s="547" t="n">
        <f aca="false">F664*G664</f>
        <v>6000</v>
      </c>
      <c r="K664" s="1365" t="n">
        <f aca="false">J664/1792.8</f>
        <v>3.34672021419009</v>
      </c>
      <c r="L664" s="547" t="n">
        <v>25</v>
      </c>
      <c r="M664" s="934" t="n">
        <f aca="false">K664*L664/60</f>
        <v>1.39446675591254</v>
      </c>
    </row>
    <row r="665" customFormat="false" ht="30" hidden="false" customHeight="false" outlineLevel="0" collapsed="false">
      <c r="A665" s="216" t="s">
        <v>500</v>
      </c>
      <c r="B665" s="29" t="s">
        <v>3087</v>
      </c>
      <c r="C665" s="1161" t="s">
        <v>6974</v>
      </c>
      <c r="D665" s="912" t="n">
        <v>2006</v>
      </c>
      <c r="E665" s="317" t="n">
        <f aca="false">2021-D665</f>
        <v>15</v>
      </c>
      <c r="F665" s="547" t="n">
        <v>526970</v>
      </c>
      <c r="G665" s="1413" t="n">
        <v>0.1</v>
      </c>
      <c r="H665" s="547" t="n">
        <f aca="false">E665*F665*G665</f>
        <v>790455</v>
      </c>
      <c r="I665" s="547" t="n">
        <f aca="false">F665-H665</f>
        <v>-263485</v>
      </c>
      <c r="J665" s="547" t="n">
        <f aca="false">F665*G665</f>
        <v>52697</v>
      </c>
      <c r="K665" s="1365" t="n">
        <f aca="false">J665/1792.8</f>
        <v>29.3936858545292</v>
      </c>
      <c r="L665" s="547" t="n">
        <v>15</v>
      </c>
      <c r="M665" s="819" t="n">
        <f aca="false">K665*L665/60</f>
        <v>7.34842146363231</v>
      </c>
    </row>
    <row r="666" customFormat="false" ht="15" hidden="false" customHeight="false" outlineLevel="0" collapsed="false">
      <c r="A666" s="216"/>
      <c r="B666" s="78"/>
      <c r="C666" s="1161" t="s">
        <v>6975</v>
      </c>
      <c r="D666" s="912" t="n">
        <v>2006</v>
      </c>
      <c r="E666" s="317" t="n">
        <f aca="false">2021-D666</f>
        <v>15</v>
      </c>
      <c r="F666" s="547" t="n">
        <v>147200</v>
      </c>
      <c r="G666" s="1413" t="n">
        <v>0.1</v>
      </c>
      <c r="H666" s="547" t="n">
        <f aca="false">E666*F666*G666</f>
        <v>220800</v>
      </c>
      <c r="I666" s="547" t="n">
        <f aca="false">F666-H666</f>
        <v>-73600</v>
      </c>
      <c r="J666" s="547" t="n">
        <f aca="false">F666*G666</f>
        <v>14720</v>
      </c>
      <c r="K666" s="1365" t="n">
        <f aca="false">J666/1792.8</f>
        <v>8.21062025881303</v>
      </c>
      <c r="L666" s="547" t="n">
        <v>30</v>
      </c>
      <c r="M666" s="819" t="n">
        <f aca="false">K666*L666/60</f>
        <v>4.10531012940652</v>
      </c>
    </row>
    <row r="667" customFormat="false" ht="15" hidden="false" customHeight="false" outlineLevel="0" collapsed="false">
      <c r="A667" s="216"/>
      <c r="B667" s="78"/>
      <c r="C667" s="1161" t="s">
        <v>6979</v>
      </c>
      <c r="D667" s="912" t="n">
        <v>2005</v>
      </c>
      <c r="E667" s="317" t="n">
        <f aca="false">2021-D667</f>
        <v>16</v>
      </c>
      <c r="F667" s="547" t="n">
        <v>1400000</v>
      </c>
      <c r="G667" s="1413" t="n">
        <v>0.1</v>
      </c>
      <c r="H667" s="547" t="n">
        <f aca="false">E667*F667*G667</f>
        <v>2240000</v>
      </c>
      <c r="I667" s="547" t="n">
        <f aca="false">F667-H667</f>
        <v>-840000</v>
      </c>
      <c r="J667" s="547" t="n">
        <f aca="false">F667*G667</f>
        <v>140000</v>
      </c>
      <c r="K667" s="1365" t="n">
        <f aca="false">J667/1792.8</f>
        <v>78.0901383311022</v>
      </c>
      <c r="L667" s="547" t="n">
        <v>30</v>
      </c>
      <c r="M667" s="819" t="n">
        <f aca="false">K667*L667/60</f>
        <v>39.0450691655511</v>
      </c>
    </row>
    <row r="668" customFormat="false" ht="15" hidden="false" customHeight="false" outlineLevel="0" collapsed="false">
      <c r="A668" s="216"/>
      <c r="B668" s="78"/>
      <c r="C668" s="1161" t="s">
        <v>6934</v>
      </c>
      <c r="D668" s="912" t="n">
        <v>2005</v>
      </c>
      <c r="E668" s="317" t="n">
        <f aca="false">2021-D668</f>
        <v>16</v>
      </c>
      <c r="F668" s="547" t="n">
        <v>90680</v>
      </c>
      <c r="G668" s="1413" t="n">
        <v>0.1</v>
      </c>
      <c r="H668" s="547" t="n">
        <f aca="false">E668*F668*G668</f>
        <v>145088</v>
      </c>
      <c r="I668" s="547" t="n">
        <f aca="false">F668-H668</f>
        <v>-54408</v>
      </c>
      <c r="J668" s="547" t="n">
        <f aca="false">F668*G668</f>
        <v>9068</v>
      </c>
      <c r="K668" s="1365" t="n">
        <f aca="false">J668/1792.8</f>
        <v>5.05800981704596</v>
      </c>
      <c r="L668" s="547" t="n">
        <v>10</v>
      </c>
      <c r="M668" s="819" t="n">
        <f aca="false">K668*L668/60</f>
        <v>0.843001636174327</v>
      </c>
    </row>
    <row r="669" customFormat="false" ht="15" hidden="false" customHeight="false" outlineLevel="0" collapsed="false">
      <c r="A669" s="216"/>
      <c r="B669" s="972" t="s">
        <v>4128</v>
      </c>
      <c r="C669" s="1160"/>
      <c r="D669" s="391"/>
      <c r="E669" s="317"/>
      <c r="F669" s="714"/>
      <c r="G669" s="1414"/>
      <c r="H669" s="547"/>
      <c r="I669" s="547"/>
      <c r="J669" s="547"/>
      <c r="K669" s="1365" t="n">
        <f aca="false">J669/1792.8</f>
        <v>0</v>
      </c>
      <c r="L669" s="714"/>
      <c r="M669" s="934" t="n">
        <f aca="false">M665+M666+M667+M668</f>
        <v>51.3418023947642</v>
      </c>
    </row>
    <row r="670" customFormat="false" ht="30" hidden="false" customHeight="false" outlineLevel="0" collapsed="false">
      <c r="A670" s="216" t="s">
        <v>501</v>
      </c>
      <c r="B670" s="29" t="s">
        <v>3069</v>
      </c>
      <c r="C670" s="1161" t="s">
        <v>6927</v>
      </c>
      <c r="D670" s="912" t="n">
        <v>2006</v>
      </c>
      <c r="E670" s="317" t="n">
        <f aca="false">2021-D670</f>
        <v>15</v>
      </c>
      <c r="F670" s="547" t="n">
        <v>526970</v>
      </c>
      <c r="G670" s="1413" t="n">
        <v>0.1</v>
      </c>
      <c r="H670" s="547" t="n">
        <f aca="false">E670*F670*G670</f>
        <v>790455</v>
      </c>
      <c r="I670" s="547" t="n">
        <f aca="false">F670-H670</f>
        <v>-263485</v>
      </c>
      <c r="J670" s="547" t="n">
        <f aca="false">F670*G670</f>
        <v>52697</v>
      </c>
      <c r="K670" s="1365" t="n">
        <f aca="false">J670/1792.8</f>
        <v>29.3936858545292</v>
      </c>
      <c r="L670" s="547" t="n">
        <v>15</v>
      </c>
      <c r="M670" s="819" t="n">
        <f aca="false">K670*L670/60</f>
        <v>7.34842146363231</v>
      </c>
    </row>
    <row r="671" customFormat="false" ht="15" hidden="false" customHeight="false" outlineLevel="0" collapsed="false">
      <c r="A671" s="216"/>
      <c r="B671" s="78"/>
      <c r="C671" s="1161" t="s">
        <v>6934</v>
      </c>
      <c r="D671" s="912" t="n">
        <v>2005</v>
      </c>
      <c r="E671" s="317" t="n">
        <f aca="false">2021-D671</f>
        <v>16</v>
      </c>
      <c r="F671" s="547" t="n">
        <v>90680</v>
      </c>
      <c r="G671" s="1413" t="n">
        <v>0.1</v>
      </c>
      <c r="H671" s="547" t="n">
        <f aca="false">E671*F671*G671</f>
        <v>145088</v>
      </c>
      <c r="I671" s="547" t="n">
        <f aca="false">F671-H671</f>
        <v>-54408</v>
      </c>
      <c r="J671" s="547" t="n">
        <f aca="false">F671*G671</f>
        <v>9068</v>
      </c>
      <c r="K671" s="1365" t="n">
        <f aca="false">J671/1792.8</f>
        <v>5.05800981704596</v>
      </c>
      <c r="L671" s="547" t="n">
        <v>10</v>
      </c>
      <c r="M671" s="819" t="n">
        <f aca="false">K671*L671/60</f>
        <v>0.843001636174327</v>
      </c>
    </row>
    <row r="672" customFormat="false" ht="15" hidden="false" customHeight="false" outlineLevel="0" collapsed="false">
      <c r="A672" s="216"/>
      <c r="B672" s="972" t="s">
        <v>4128</v>
      </c>
      <c r="C672" s="1160"/>
      <c r="D672" s="391"/>
      <c r="E672" s="317"/>
      <c r="F672" s="714"/>
      <c r="G672" s="1414"/>
      <c r="H672" s="547"/>
      <c r="I672" s="547"/>
      <c r="J672" s="547"/>
      <c r="K672" s="1365" t="n">
        <f aca="false">J672/1792.8</f>
        <v>0</v>
      </c>
      <c r="L672" s="714"/>
      <c r="M672" s="934" t="n">
        <f aca="false">M670+M671</f>
        <v>8.19142309980663</v>
      </c>
    </row>
    <row r="673" customFormat="false" ht="15" hidden="false" customHeight="false" outlineLevel="0" collapsed="false">
      <c r="A673" s="216" t="s">
        <v>502</v>
      </c>
      <c r="B673" s="29" t="s">
        <v>4723</v>
      </c>
      <c r="C673" s="1161" t="s">
        <v>6974</v>
      </c>
      <c r="D673" s="912" t="n">
        <v>2006</v>
      </c>
      <c r="E673" s="317" t="n">
        <f aca="false">2021-D673</f>
        <v>15</v>
      </c>
      <c r="F673" s="547" t="n">
        <v>526970</v>
      </c>
      <c r="G673" s="1413" t="n">
        <v>0.1</v>
      </c>
      <c r="H673" s="547" t="n">
        <f aca="false">E673*F673*G673</f>
        <v>790455</v>
      </c>
      <c r="I673" s="547" t="n">
        <f aca="false">F673-H673</f>
        <v>-263485</v>
      </c>
      <c r="J673" s="547" t="n">
        <f aca="false">F673*G673</f>
        <v>52697</v>
      </c>
      <c r="K673" s="1365" t="n">
        <f aca="false">J673/1792.8</f>
        <v>29.3936858545292</v>
      </c>
      <c r="L673" s="547" t="n">
        <v>10</v>
      </c>
      <c r="M673" s="819" t="n">
        <f aca="false">K673*L673/60</f>
        <v>4.89894764242154</v>
      </c>
    </row>
    <row r="674" customFormat="false" ht="15" hidden="false" customHeight="false" outlineLevel="0" collapsed="false">
      <c r="A674" s="216"/>
      <c r="B674" s="78"/>
      <c r="C674" s="1161" t="s">
        <v>4568</v>
      </c>
      <c r="D674" s="912" t="n">
        <v>2003</v>
      </c>
      <c r="E674" s="317" t="n">
        <f aca="false">2021-D674</f>
        <v>18</v>
      </c>
      <c r="F674" s="547" t="n">
        <v>12704749</v>
      </c>
      <c r="G674" s="1413" t="n">
        <v>0.1</v>
      </c>
      <c r="H674" s="547" t="n">
        <f aca="false">F674</f>
        <v>12704749</v>
      </c>
      <c r="I674" s="547" t="n">
        <f aca="false">F674-H674</f>
        <v>0</v>
      </c>
      <c r="J674" s="547" t="n">
        <f aca="false">F674*G674</f>
        <v>1270474.9</v>
      </c>
      <c r="K674" s="1365" t="n">
        <f aca="false">J674/1792.8</f>
        <v>708.654004908523</v>
      </c>
      <c r="L674" s="547" t="n">
        <v>10</v>
      </c>
      <c r="M674" s="819" t="n">
        <f aca="false">K674*L674/60</f>
        <v>118.109000818087</v>
      </c>
    </row>
    <row r="675" customFormat="false" ht="15" hidden="false" customHeight="false" outlineLevel="0" collapsed="false">
      <c r="A675" s="216"/>
      <c r="B675" s="78"/>
      <c r="C675" s="1161" t="s">
        <v>6975</v>
      </c>
      <c r="D675" s="912" t="n">
        <v>2006</v>
      </c>
      <c r="E675" s="317" t="n">
        <f aca="false">2021-D675</f>
        <v>15</v>
      </c>
      <c r="F675" s="547" t="n">
        <v>147200</v>
      </c>
      <c r="G675" s="1413" t="n">
        <v>0.1</v>
      </c>
      <c r="H675" s="547" t="n">
        <f aca="false">E675*F675*G675</f>
        <v>220800</v>
      </c>
      <c r="I675" s="547" t="n">
        <f aca="false">F675-H675</f>
        <v>-73600</v>
      </c>
      <c r="J675" s="547" t="n">
        <f aca="false">F675*G675</f>
        <v>14720</v>
      </c>
      <c r="K675" s="1365" t="n">
        <f aca="false">J675/1792.8</f>
        <v>8.21062025881303</v>
      </c>
      <c r="L675" s="547" t="n">
        <v>10</v>
      </c>
      <c r="M675" s="819" t="n">
        <f aca="false">K675*L675/60</f>
        <v>1.36843670980217</v>
      </c>
    </row>
    <row r="676" customFormat="false" ht="15" hidden="false" customHeight="false" outlineLevel="0" collapsed="false">
      <c r="A676" s="216"/>
      <c r="B676" s="78"/>
      <c r="C676" s="1161" t="s">
        <v>6979</v>
      </c>
      <c r="D676" s="912" t="n">
        <v>2005</v>
      </c>
      <c r="E676" s="317" t="n">
        <f aca="false">2021-D676</f>
        <v>16</v>
      </c>
      <c r="F676" s="547" t="n">
        <v>1400000</v>
      </c>
      <c r="G676" s="1413" t="n">
        <v>0.1</v>
      </c>
      <c r="H676" s="547" t="n">
        <f aca="false">E676*F676*G676</f>
        <v>2240000</v>
      </c>
      <c r="I676" s="547" t="n">
        <f aca="false">F676-H676</f>
        <v>-840000</v>
      </c>
      <c r="J676" s="547" t="n">
        <f aca="false">F676*G676</f>
        <v>140000</v>
      </c>
      <c r="K676" s="1365" t="n">
        <f aca="false">J676/1792.8</f>
        <v>78.0901383311022</v>
      </c>
      <c r="L676" s="547" t="n">
        <v>10</v>
      </c>
      <c r="M676" s="819" t="n">
        <f aca="false">K676*L676/60</f>
        <v>13.0150230551837</v>
      </c>
    </row>
    <row r="677" customFormat="false" ht="15" hidden="false" customHeight="false" outlineLevel="0" collapsed="false">
      <c r="A677" s="216"/>
      <c r="B677" s="78"/>
      <c r="C677" s="1161" t="s">
        <v>6934</v>
      </c>
      <c r="D677" s="912" t="n">
        <v>2005</v>
      </c>
      <c r="E677" s="317" t="n">
        <f aca="false">2021-D677</f>
        <v>16</v>
      </c>
      <c r="F677" s="547" t="n">
        <v>90680</v>
      </c>
      <c r="G677" s="1413" t="n">
        <v>0.1</v>
      </c>
      <c r="H677" s="547" t="n">
        <f aca="false">E677*F677*G677</f>
        <v>145088</v>
      </c>
      <c r="I677" s="547" t="n">
        <f aca="false">F677-H677</f>
        <v>-54408</v>
      </c>
      <c r="J677" s="547" t="n">
        <f aca="false">F677*G677</f>
        <v>9068</v>
      </c>
      <c r="K677" s="1365" t="n">
        <f aca="false">J677/1792.8</f>
        <v>5.05800981704596</v>
      </c>
      <c r="L677" s="547" t="n">
        <v>10</v>
      </c>
      <c r="M677" s="819" t="n">
        <f aca="false">K677*L677/60</f>
        <v>0.843001636174327</v>
      </c>
    </row>
    <row r="678" customFormat="false" ht="15" hidden="false" customHeight="false" outlineLevel="0" collapsed="false">
      <c r="A678" s="216"/>
      <c r="B678" s="972" t="s">
        <v>4128</v>
      </c>
      <c r="C678" s="1160"/>
      <c r="D678" s="391"/>
      <c r="E678" s="317"/>
      <c r="F678" s="714"/>
      <c r="G678" s="1414"/>
      <c r="H678" s="547"/>
      <c r="I678" s="547"/>
      <c r="J678" s="547"/>
      <c r="K678" s="1365" t="n">
        <f aca="false">J678/1792.8</f>
        <v>0</v>
      </c>
      <c r="L678" s="714"/>
      <c r="M678" s="934" t="n">
        <f aca="false">M673+M674+M675+M676+M677</f>
        <v>138.234409861669</v>
      </c>
    </row>
    <row r="679" customFormat="false" ht="15" hidden="false" customHeight="false" outlineLevel="0" collapsed="false">
      <c r="A679" s="216" t="s">
        <v>503</v>
      </c>
      <c r="B679" s="29" t="s">
        <v>4724</v>
      </c>
      <c r="C679" s="1161" t="s">
        <v>6934</v>
      </c>
      <c r="D679" s="912" t="n">
        <v>2007</v>
      </c>
      <c r="E679" s="317" t="n">
        <f aca="false">2021-D679</f>
        <v>14</v>
      </c>
      <c r="F679" s="873" t="n">
        <v>491000</v>
      </c>
      <c r="G679" s="1413" t="n">
        <v>1.1</v>
      </c>
      <c r="H679" s="547" t="n">
        <f aca="false">E679*F679*G679</f>
        <v>7561400</v>
      </c>
      <c r="I679" s="547" t="n">
        <f aca="false">F679-H679</f>
        <v>-7070400</v>
      </c>
      <c r="J679" s="547" t="n">
        <f aca="false">F679*G679</f>
        <v>540100</v>
      </c>
      <c r="K679" s="1365" t="n">
        <f aca="false">J679/1792.8</f>
        <v>301.260597947345</v>
      </c>
      <c r="L679" s="547" t="n">
        <v>11</v>
      </c>
      <c r="M679" s="819" t="n">
        <f aca="false">K679*L679/60</f>
        <v>55.2311096236799</v>
      </c>
    </row>
    <row r="680" customFormat="false" ht="15" hidden="false" customHeight="false" outlineLevel="0" collapsed="false">
      <c r="A680" s="216"/>
      <c r="B680" s="29"/>
      <c r="C680" s="1161" t="s">
        <v>6943</v>
      </c>
      <c r="D680" s="912" t="n">
        <v>2006</v>
      </c>
      <c r="E680" s="317" t="n">
        <f aca="false">2021-D680</f>
        <v>15</v>
      </c>
      <c r="F680" s="547" t="n">
        <v>1503927</v>
      </c>
      <c r="G680" s="1413" t="n">
        <v>0.1</v>
      </c>
      <c r="H680" s="547" t="n">
        <f aca="false">E680*F680*G680</f>
        <v>2255890.5</v>
      </c>
      <c r="I680" s="547" t="n">
        <f aca="false">F680-H680</f>
        <v>-751963.5</v>
      </c>
      <c r="J680" s="547" t="n">
        <f aca="false">F680*G680</f>
        <v>150392.7</v>
      </c>
      <c r="K680" s="1365" t="n">
        <f aca="false">J680/1792.8</f>
        <v>83.8870481927711</v>
      </c>
      <c r="L680" s="547" t="n">
        <v>40</v>
      </c>
      <c r="M680" s="819" t="n">
        <f aca="false">K680*L680/60</f>
        <v>55.9246987951807</v>
      </c>
    </row>
    <row r="681" customFormat="false" ht="15" hidden="false" customHeight="false" outlineLevel="0" collapsed="false">
      <c r="A681" s="216"/>
      <c r="B681" s="972" t="s">
        <v>4128</v>
      </c>
      <c r="C681" s="1160"/>
      <c r="D681" s="391"/>
      <c r="E681" s="317"/>
      <c r="F681" s="714"/>
      <c r="G681" s="1414"/>
      <c r="H681" s="547"/>
      <c r="I681" s="547"/>
      <c r="J681" s="547"/>
      <c r="K681" s="1365" t="n">
        <f aca="false">J681/1792.8</f>
        <v>0</v>
      </c>
      <c r="L681" s="714"/>
      <c r="M681" s="934" t="n">
        <f aca="false">M679+M680</f>
        <v>111.155808418861</v>
      </c>
    </row>
    <row r="682" customFormat="false" ht="15" hidden="false" customHeight="false" outlineLevel="0" collapsed="false">
      <c r="A682" s="216" t="s">
        <v>505</v>
      </c>
      <c r="B682" s="29" t="s">
        <v>4726</v>
      </c>
      <c r="C682" s="1161" t="s">
        <v>6974</v>
      </c>
      <c r="D682" s="912" t="n">
        <v>2006</v>
      </c>
      <c r="E682" s="317" t="n">
        <f aca="false">2021-D682</f>
        <v>15</v>
      </c>
      <c r="F682" s="547" t="n">
        <v>526970</v>
      </c>
      <c r="G682" s="1413" t="n">
        <v>0.1</v>
      </c>
      <c r="H682" s="547" t="n">
        <f aca="false">E682*F682*G682</f>
        <v>790455</v>
      </c>
      <c r="I682" s="547" t="n">
        <f aca="false">F682-H682</f>
        <v>-263485</v>
      </c>
      <c r="J682" s="547" t="n">
        <f aca="false">F682*G682</f>
        <v>52697</v>
      </c>
      <c r="K682" s="1365" t="n">
        <f aca="false">J682/1792.8</f>
        <v>29.3936858545292</v>
      </c>
      <c r="L682" s="547" t="n">
        <v>15</v>
      </c>
      <c r="M682" s="819" t="n">
        <f aca="false">K682*L682/60</f>
        <v>7.34842146363231</v>
      </c>
    </row>
    <row r="683" customFormat="false" ht="15" hidden="false" customHeight="false" outlineLevel="0" collapsed="false">
      <c r="A683" s="216"/>
      <c r="B683" s="78"/>
      <c r="C683" s="1161" t="s">
        <v>4568</v>
      </c>
      <c r="D683" s="912" t="n">
        <v>2003</v>
      </c>
      <c r="E683" s="317" t="n">
        <f aca="false">2021-D683</f>
        <v>18</v>
      </c>
      <c r="F683" s="547" t="n">
        <v>12704749</v>
      </c>
      <c r="G683" s="1413" t="n">
        <v>0.1</v>
      </c>
      <c r="H683" s="547" t="n">
        <f aca="false">E683*F683*G683</f>
        <v>22868548.2</v>
      </c>
      <c r="I683" s="547" t="n">
        <f aca="false">F683-H683</f>
        <v>-10163799.2</v>
      </c>
      <c r="J683" s="547" t="n">
        <f aca="false">F683*G683</f>
        <v>1270474.9</v>
      </c>
      <c r="K683" s="1365" t="n">
        <f aca="false">J683/1792.8</f>
        <v>708.654004908523</v>
      </c>
      <c r="L683" s="547" t="n">
        <v>150</v>
      </c>
      <c r="M683" s="819" t="n">
        <f aca="false">K683*L683/60</f>
        <v>1771.63501227131</v>
      </c>
    </row>
    <row r="684" customFormat="false" ht="15" hidden="false" customHeight="false" outlineLevel="0" collapsed="false">
      <c r="A684" s="216"/>
      <c r="B684" s="78"/>
      <c r="C684" s="1161" t="s">
        <v>6934</v>
      </c>
      <c r="D684" s="912" t="n">
        <v>2005</v>
      </c>
      <c r="E684" s="317" t="n">
        <f aca="false">2021-D684</f>
        <v>16</v>
      </c>
      <c r="F684" s="547" t="n">
        <v>90680</v>
      </c>
      <c r="G684" s="1413" t="n">
        <v>0.1</v>
      </c>
      <c r="H684" s="547" t="n">
        <f aca="false">E684*F684*G684</f>
        <v>145088</v>
      </c>
      <c r="I684" s="547" t="n">
        <f aca="false">F684-H684</f>
        <v>-54408</v>
      </c>
      <c r="J684" s="547" t="n">
        <f aca="false">F684*G684</f>
        <v>9068</v>
      </c>
      <c r="K684" s="1365" t="n">
        <f aca="false">J684/1792.8</f>
        <v>5.05800981704596</v>
      </c>
      <c r="L684" s="547" t="n">
        <v>10</v>
      </c>
      <c r="M684" s="819" t="n">
        <f aca="false">K684*L684/60</f>
        <v>0.843001636174327</v>
      </c>
    </row>
    <row r="685" customFormat="false" ht="15" hidden="false" customHeight="false" outlineLevel="0" collapsed="false">
      <c r="A685" s="216"/>
      <c r="B685" s="972" t="s">
        <v>4128</v>
      </c>
      <c r="C685" s="1160"/>
      <c r="D685" s="391"/>
      <c r="E685" s="317"/>
      <c r="F685" s="714"/>
      <c r="G685" s="1414"/>
      <c r="H685" s="547"/>
      <c r="I685" s="547"/>
      <c r="J685" s="547"/>
      <c r="K685" s="1365" t="n">
        <f aca="false">J685/1792.8</f>
        <v>0</v>
      </c>
      <c r="L685" s="714"/>
      <c r="M685" s="934" t="n">
        <f aca="false">M682+M683+M684</f>
        <v>1779.82643537111</v>
      </c>
    </row>
    <row r="686" customFormat="false" ht="15" hidden="false" customHeight="false" outlineLevel="0" collapsed="false">
      <c r="A686" s="216" t="s">
        <v>507</v>
      </c>
      <c r="B686" s="29" t="s">
        <v>4727</v>
      </c>
      <c r="C686" s="1161" t="s">
        <v>6934</v>
      </c>
      <c r="D686" s="912" t="n">
        <v>2007</v>
      </c>
      <c r="E686" s="317" t="n">
        <f aca="false">2021-D686</f>
        <v>14</v>
      </c>
      <c r="F686" s="873" t="n">
        <v>491000</v>
      </c>
      <c r="G686" s="1413" t="n">
        <v>1.1</v>
      </c>
      <c r="H686" s="547" t="n">
        <f aca="false">E686*F686*G686</f>
        <v>7561400</v>
      </c>
      <c r="I686" s="547" t="n">
        <f aca="false">F686-H686</f>
        <v>-7070400</v>
      </c>
      <c r="J686" s="547" t="n">
        <f aca="false">F686*G686</f>
        <v>540100</v>
      </c>
      <c r="K686" s="1365" t="n">
        <f aca="false">J686/1792.8</f>
        <v>301.260597947345</v>
      </c>
      <c r="L686" s="547" t="n">
        <v>11</v>
      </c>
      <c r="M686" s="819" t="n">
        <f aca="false">K686*L686/60</f>
        <v>55.2311096236799</v>
      </c>
    </row>
    <row r="687" customFormat="false" ht="15" hidden="false" customHeight="false" outlineLevel="0" collapsed="false">
      <c r="A687" s="216"/>
      <c r="B687" s="972"/>
      <c r="C687" s="1161" t="s">
        <v>6943</v>
      </c>
      <c r="D687" s="912" t="n">
        <v>2006</v>
      </c>
      <c r="E687" s="317" t="n">
        <f aca="false">2021-D687</f>
        <v>15</v>
      </c>
      <c r="F687" s="547" t="n">
        <v>1503927</v>
      </c>
      <c r="G687" s="1413" t="n">
        <v>0.1</v>
      </c>
      <c r="H687" s="547" t="n">
        <f aca="false">E687*F687*G687</f>
        <v>2255890.5</v>
      </c>
      <c r="I687" s="547" t="n">
        <f aca="false">F687-H687</f>
        <v>-751963.5</v>
      </c>
      <c r="J687" s="547" t="n">
        <f aca="false">F687*G687</f>
        <v>150392.7</v>
      </c>
      <c r="K687" s="1365" t="n">
        <f aca="false">J687/1792.8</f>
        <v>83.8870481927711</v>
      </c>
      <c r="L687" s="547" t="n">
        <v>20</v>
      </c>
      <c r="M687" s="819" t="n">
        <f aca="false">K687*L687/60</f>
        <v>27.9623493975904</v>
      </c>
    </row>
    <row r="688" customFormat="false" ht="15" hidden="false" customHeight="false" outlineLevel="0" collapsed="false">
      <c r="A688" s="216"/>
      <c r="B688" s="972" t="s">
        <v>4128</v>
      </c>
      <c r="C688" s="1160"/>
      <c r="D688" s="391"/>
      <c r="E688" s="317"/>
      <c r="F688" s="714"/>
      <c r="G688" s="1414"/>
      <c r="H688" s="547"/>
      <c r="I688" s="547"/>
      <c r="J688" s="547"/>
      <c r="K688" s="1365" t="n">
        <f aca="false">J688/1792.8</f>
        <v>0</v>
      </c>
      <c r="L688" s="714"/>
      <c r="M688" s="934" t="n">
        <f aca="false">M686+M687</f>
        <v>83.1934590212703</v>
      </c>
    </row>
    <row r="689" customFormat="false" ht="30" hidden="false" customHeight="false" outlineLevel="0" collapsed="false">
      <c r="A689" s="216" t="s">
        <v>509</v>
      </c>
      <c r="B689" s="29" t="s">
        <v>3088</v>
      </c>
      <c r="C689" s="1161" t="s">
        <v>6927</v>
      </c>
      <c r="D689" s="912" t="n">
        <v>2006</v>
      </c>
      <c r="E689" s="317" t="n">
        <f aca="false">2021-D689</f>
        <v>15</v>
      </c>
      <c r="F689" s="547" t="n">
        <v>526970</v>
      </c>
      <c r="G689" s="1413" t="n">
        <v>0.1</v>
      </c>
      <c r="H689" s="547" t="n">
        <f aca="false">E689*F689*G689</f>
        <v>790455</v>
      </c>
      <c r="I689" s="547" t="n">
        <f aca="false">F689-H689</f>
        <v>-263485</v>
      </c>
      <c r="J689" s="547" t="n">
        <f aca="false">F689*G689</f>
        <v>52697</v>
      </c>
      <c r="K689" s="1365" t="n">
        <f aca="false">J689/1792.8</f>
        <v>29.3936858545292</v>
      </c>
      <c r="L689" s="547" t="n">
        <v>20</v>
      </c>
      <c r="M689" s="819" t="n">
        <f aca="false">K689*L689/60</f>
        <v>9.79789528484308</v>
      </c>
    </row>
    <row r="690" customFormat="false" ht="15" hidden="false" customHeight="false" outlineLevel="0" collapsed="false">
      <c r="A690" s="216"/>
      <c r="B690" s="78"/>
      <c r="C690" s="1161" t="s">
        <v>6934</v>
      </c>
      <c r="D690" s="912" t="n">
        <v>2005</v>
      </c>
      <c r="E690" s="317" t="n">
        <f aca="false">2021-D690</f>
        <v>16</v>
      </c>
      <c r="F690" s="547" t="n">
        <v>90680</v>
      </c>
      <c r="G690" s="1413" t="n">
        <v>0.1</v>
      </c>
      <c r="H690" s="547" t="n">
        <f aca="false">E690*F690*G690</f>
        <v>145088</v>
      </c>
      <c r="I690" s="547" t="n">
        <f aca="false">F690-H690</f>
        <v>-54408</v>
      </c>
      <c r="J690" s="547" t="n">
        <f aca="false">F690*G690</f>
        <v>9068</v>
      </c>
      <c r="K690" s="1365" t="n">
        <f aca="false">J690/1792.8</f>
        <v>5.05800981704596</v>
      </c>
      <c r="L690" s="547" t="n">
        <v>20</v>
      </c>
      <c r="M690" s="819" t="n">
        <f aca="false">K690*L690/60</f>
        <v>1.68600327234865</v>
      </c>
    </row>
    <row r="691" customFormat="false" ht="15" hidden="false" customHeight="false" outlineLevel="0" collapsed="false">
      <c r="A691" s="216"/>
      <c r="B691" s="78"/>
      <c r="C691" s="1161" t="s">
        <v>6993</v>
      </c>
      <c r="D691" s="912" t="n">
        <v>2005</v>
      </c>
      <c r="E691" s="317" t="n">
        <f aca="false">2021-D691</f>
        <v>16</v>
      </c>
      <c r="F691" s="547" t="n">
        <v>40000</v>
      </c>
      <c r="G691" s="1413" t="n">
        <v>0.1</v>
      </c>
      <c r="H691" s="547" t="n">
        <f aca="false">E691*F691*G691</f>
        <v>64000</v>
      </c>
      <c r="I691" s="547" t="n">
        <f aca="false">F691-H691</f>
        <v>-24000</v>
      </c>
      <c r="J691" s="547" t="n">
        <f aca="false">F691*G691</f>
        <v>4000</v>
      </c>
      <c r="K691" s="1365" t="n">
        <f aca="false">J691/1792.8</f>
        <v>2.23114680946006</v>
      </c>
      <c r="L691" s="547" t="n">
        <v>20</v>
      </c>
      <c r="M691" s="819" t="n">
        <f aca="false">K691*L691/60</f>
        <v>0.743715603153354</v>
      </c>
    </row>
    <row r="692" customFormat="false" ht="15" hidden="false" customHeight="false" outlineLevel="0" collapsed="false">
      <c r="A692" s="216"/>
      <c r="B692" s="78"/>
      <c r="C692" s="1161" t="s">
        <v>6994</v>
      </c>
      <c r="D692" s="912" t="n">
        <v>2003</v>
      </c>
      <c r="E692" s="317" t="n">
        <f aca="false">2021-D692</f>
        <v>18</v>
      </c>
      <c r="F692" s="547" t="n">
        <v>940300</v>
      </c>
      <c r="G692" s="1413" t="n">
        <v>0.1</v>
      </c>
      <c r="H692" s="547" t="n">
        <f aca="false">F692</f>
        <v>940300</v>
      </c>
      <c r="I692" s="547" t="n">
        <f aca="false">F692-H692</f>
        <v>0</v>
      </c>
      <c r="J692" s="547" t="n">
        <f aca="false">F692*G692</f>
        <v>94030</v>
      </c>
      <c r="K692" s="1365" t="n">
        <f aca="false">J692/1792.8</f>
        <v>52.4486836233824</v>
      </c>
      <c r="L692" s="547" t="n">
        <v>30</v>
      </c>
      <c r="M692" s="819" t="n">
        <f aca="false">K692*L692/60</f>
        <v>26.2243418116912</v>
      </c>
    </row>
    <row r="693" customFormat="false" ht="15" hidden="false" customHeight="false" outlineLevel="0" collapsed="false">
      <c r="A693" s="216"/>
      <c r="B693" s="78"/>
      <c r="C693" s="1161" t="s">
        <v>6984</v>
      </c>
      <c r="D693" s="912" t="n">
        <v>2007</v>
      </c>
      <c r="E693" s="317" t="n">
        <f aca="false">2021-D693</f>
        <v>14</v>
      </c>
      <c r="F693" s="547" t="n">
        <v>810000</v>
      </c>
      <c r="G693" s="1413" t="n">
        <v>0.1</v>
      </c>
      <c r="H693" s="547" t="n">
        <f aca="false">E693*F693*G693</f>
        <v>1134000</v>
      </c>
      <c r="I693" s="547" t="n">
        <f aca="false">F693-H693</f>
        <v>-324000</v>
      </c>
      <c r="J693" s="547" t="n">
        <f aca="false">F693*G693</f>
        <v>81000</v>
      </c>
      <c r="K693" s="1365" t="n">
        <f aca="false">J693/1792.8</f>
        <v>45.1807228915663</v>
      </c>
      <c r="L693" s="547" t="n">
        <v>30</v>
      </c>
      <c r="M693" s="819" t="n">
        <f aca="false">K693*L693/60</f>
        <v>22.5903614457831</v>
      </c>
    </row>
    <row r="694" customFormat="false" ht="15" hidden="false" customHeight="false" outlineLevel="0" collapsed="false">
      <c r="A694" s="216"/>
      <c r="B694" s="78"/>
      <c r="C694" s="1161" t="s">
        <v>6995</v>
      </c>
      <c r="D694" s="912" t="n">
        <v>2003</v>
      </c>
      <c r="E694" s="317" t="n">
        <f aca="false">2021-D694</f>
        <v>18</v>
      </c>
      <c r="F694" s="547" t="n">
        <v>1000000</v>
      </c>
      <c r="G694" s="1413" t="n">
        <v>0.1</v>
      </c>
      <c r="H694" s="547" t="n">
        <f aca="false">F694</f>
        <v>1000000</v>
      </c>
      <c r="I694" s="547" t="n">
        <f aca="false">F694-H694</f>
        <v>0</v>
      </c>
      <c r="J694" s="547" t="n">
        <f aca="false">F694*G694</f>
        <v>100000</v>
      </c>
      <c r="K694" s="1365" t="n">
        <f aca="false">J694/1792.8</f>
        <v>55.7786702365016</v>
      </c>
      <c r="L694" s="547" t="n">
        <v>30</v>
      </c>
      <c r="M694" s="819" t="n">
        <f aca="false">K694*L694/60</f>
        <v>27.8893351182508</v>
      </c>
    </row>
    <row r="695" customFormat="false" ht="15" hidden="false" customHeight="false" outlineLevel="0" collapsed="false">
      <c r="A695" s="216"/>
      <c r="B695" s="78"/>
      <c r="C695" s="1161" t="s">
        <v>6996</v>
      </c>
      <c r="D695" s="912" t="n">
        <v>2005</v>
      </c>
      <c r="E695" s="317" t="n">
        <f aca="false">2021-D695</f>
        <v>16</v>
      </c>
      <c r="F695" s="547" t="n">
        <v>67600</v>
      </c>
      <c r="G695" s="1413" t="n">
        <v>0.15</v>
      </c>
      <c r="H695" s="547" t="n">
        <f aca="false">F695</f>
        <v>67600</v>
      </c>
      <c r="I695" s="547" t="n">
        <f aca="false">F695-H695</f>
        <v>0</v>
      </c>
      <c r="J695" s="547" t="n">
        <f aca="false">F695*G695</f>
        <v>10140</v>
      </c>
      <c r="K695" s="1365" t="n">
        <f aca="false">J695/1792.8</f>
        <v>5.65595716198126</v>
      </c>
      <c r="L695" s="547" t="n">
        <v>30</v>
      </c>
      <c r="M695" s="819" t="n">
        <f aca="false">K695*L695/60</f>
        <v>2.82797858099063</v>
      </c>
    </row>
    <row r="696" customFormat="false" ht="15" hidden="false" customHeight="false" outlineLevel="0" collapsed="false">
      <c r="A696" s="216"/>
      <c r="B696" s="78"/>
      <c r="C696" s="1161" t="s">
        <v>6935</v>
      </c>
      <c r="D696" s="912" t="n">
        <v>2005</v>
      </c>
      <c r="E696" s="317" t="n">
        <f aca="false">2021-D696</f>
        <v>16</v>
      </c>
      <c r="F696" s="547" t="n">
        <v>98600</v>
      </c>
      <c r="G696" s="1413" t="n">
        <v>0.1</v>
      </c>
      <c r="H696" s="547" t="n">
        <f aca="false">E696*F696*G696</f>
        <v>157760</v>
      </c>
      <c r="I696" s="547" t="n">
        <f aca="false">F696-H696</f>
        <v>-59160</v>
      </c>
      <c r="J696" s="547" t="n">
        <f aca="false">F696*G696</f>
        <v>9860</v>
      </c>
      <c r="K696" s="1365" t="n">
        <f aca="false">J696/1792.8</f>
        <v>5.49977688531905</v>
      </c>
      <c r="L696" s="547" t="n">
        <v>25</v>
      </c>
      <c r="M696" s="819" t="n">
        <f aca="false">K696*L696/60</f>
        <v>2.29157370221627</v>
      </c>
    </row>
    <row r="697" customFormat="false" ht="15" hidden="false" customHeight="false" outlineLevel="0" collapsed="false">
      <c r="A697" s="216"/>
      <c r="B697" s="972" t="s">
        <v>4128</v>
      </c>
      <c r="C697" s="1160"/>
      <c r="D697" s="391"/>
      <c r="E697" s="317"/>
      <c r="F697" s="714"/>
      <c r="G697" s="1414"/>
      <c r="H697" s="547"/>
      <c r="I697" s="547"/>
      <c r="J697" s="547"/>
      <c r="K697" s="1365" t="n">
        <f aca="false">J697/1792.8</f>
        <v>0</v>
      </c>
      <c r="L697" s="714"/>
      <c r="M697" s="934" t="n">
        <f aca="false">M689+M690+M691+M692+M693+M694+M695+M696</f>
        <v>94.0512048192771</v>
      </c>
    </row>
    <row r="698" customFormat="false" ht="15" hidden="false" customHeight="false" outlineLevel="0" collapsed="false">
      <c r="A698" s="216" t="s">
        <v>511</v>
      </c>
      <c r="B698" s="29" t="s">
        <v>3089</v>
      </c>
      <c r="C698" s="1161" t="s">
        <v>4799</v>
      </c>
      <c r="D698" s="912" t="n">
        <v>2007</v>
      </c>
      <c r="E698" s="317" t="n">
        <f aca="false">2021-D698</f>
        <v>14</v>
      </c>
      <c r="F698" s="547" t="n">
        <v>55465060</v>
      </c>
      <c r="G698" s="1413"/>
      <c r="H698" s="547" t="n">
        <f aca="false">E698*F698*G698</f>
        <v>0</v>
      </c>
      <c r="I698" s="547" t="n">
        <f aca="false">F698-H698</f>
        <v>55465060</v>
      </c>
      <c r="J698" s="547" t="n">
        <f aca="false">F698*G698</f>
        <v>0</v>
      </c>
      <c r="K698" s="1365" t="n">
        <f aca="false">J698/1792.8</f>
        <v>0</v>
      </c>
      <c r="L698" s="547"/>
      <c r="M698" s="819" t="n">
        <f aca="false">K698*L698/60</f>
        <v>0</v>
      </c>
    </row>
    <row r="699" customFormat="false" ht="15" hidden="false" customHeight="false" outlineLevel="0" collapsed="false">
      <c r="A699" s="216"/>
      <c r="B699" s="78"/>
      <c r="C699" s="1161" t="s">
        <v>6934</v>
      </c>
      <c r="D699" s="912" t="n">
        <v>2005</v>
      </c>
      <c r="E699" s="317" t="n">
        <f aca="false">2021-D699</f>
        <v>16</v>
      </c>
      <c r="F699" s="547" t="n">
        <v>90680</v>
      </c>
      <c r="G699" s="1413" t="n">
        <v>0.1</v>
      </c>
      <c r="H699" s="547" t="n">
        <f aca="false">E699*F699*G699</f>
        <v>145088</v>
      </c>
      <c r="I699" s="547" t="n">
        <f aca="false">F699-H699</f>
        <v>-54408</v>
      </c>
      <c r="J699" s="547" t="n">
        <f aca="false">F699*G699</f>
        <v>9068</v>
      </c>
      <c r="K699" s="1365" t="n">
        <f aca="false">J699/1792.8</f>
        <v>5.05800981704596</v>
      </c>
      <c r="L699" s="547" t="n">
        <v>10</v>
      </c>
      <c r="M699" s="819" t="n">
        <f aca="false">K699*L699/60</f>
        <v>0.843001636174327</v>
      </c>
    </row>
    <row r="700" customFormat="false" ht="15" hidden="false" customHeight="false" outlineLevel="0" collapsed="false">
      <c r="A700" s="216"/>
      <c r="B700" s="78"/>
      <c r="C700" s="1161" t="s">
        <v>6980</v>
      </c>
      <c r="D700" s="912" t="n">
        <v>2005</v>
      </c>
      <c r="E700" s="317" t="n">
        <f aca="false">2021-D700</f>
        <v>16</v>
      </c>
      <c r="F700" s="547" t="n">
        <v>98600</v>
      </c>
      <c r="G700" s="1413" t="n">
        <v>0.1</v>
      </c>
      <c r="H700" s="547" t="n">
        <f aca="false">E700*F700*G700</f>
        <v>157760</v>
      </c>
      <c r="I700" s="547" t="n">
        <f aca="false">F700-H700</f>
        <v>-59160</v>
      </c>
      <c r="J700" s="547" t="n">
        <f aca="false">F700*G700</f>
        <v>9860</v>
      </c>
      <c r="K700" s="1365" t="n">
        <f aca="false">J700/1792.8</f>
        <v>5.49977688531905</v>
      </c>
      <c r="L700" s="547" t="n">
        <v>20</v>
      </c>
      <c r="M700" s="819" t="n">
        <f aca="false">K700*L700/60</f>
        <v>1.83325896177302</v>
      </c>
    </row>
    <row r="701" customFormat="false" ht="15" hidden="false" customHeight="false" outlineLevel="0" collapsed="false">
      <c r="A701" s="216"/>
      <c r="B701" s="972" t="s">
        <v>4128</v>
      </c>
      <c r="C701" s="1160"/>
      <c r="D701" s="391"/>
      <c r="E701" s="317"/>
      <c r="F701" s="714"/>
      <c r="G701" s="1414"/>
      <c r="H701" s="547"/>
      <c r="I701" s="547"/>
      <c r="J701" s="547"/>
      <c r="K701" s="1365" t="n">
        <f aca="false">J701/1792.8</f>
        <v>0</v>
      </c>
      <c r="L701" s="714"/>
      <c r="M701" s="934" t="n">
        <f aca="false">M698+M699+M700</f>
        <v>2.67626059794735</v>
      </c>
    </row>
    <row r="702" customFormat="false" ht="30" hidden="false" customHeight="false" outlineLevel="0" collapsed="false">
      <c r="A702" s="216" t="s">
        <v>513</v>
      </c>
      <c r="B702" s="29" t="s">
        <v>3090</v>
      </c>
      <c r="C702" s="1161" t="s">
        <v>6934</v>
      </c>
      <c r="D702" s="912" t="n">
        <v>2005</v>
      </c>
      <c r="E702" s="317" t="n">
        <f aca="false">2021-D702</f>
        <v>16</v>
      </c>
      <c r="F702" s="547" t="n">
        <v>90680</v>
      </c>
      <c r="G702" s="1413" t="n">
        <v>0.1</v>
      </c>
      <c r="H702" s="547" t="n">
        <f aca="false">E702*F702*G702</f>
        <v>145088</v>
      </c>
      <c r="I702" s="547" t="n">
        <f aca="false">F702-H702</f>
        <v>-54408</v>
      </c>
      <c r="J702" s="547" t="n">
        <f aca="false">F702*G702</f>
        <v>9068</v>
      </c>
      <c r="K702" s="1365" t="n">
        <f aca="false">J702/1792.8</f>
        <v>5.05800981704596</v>
      </c>
      <c r="L702" s="547" t="n">
        <v>10</v>
      </c>
      <c r="M702" s="934" t="n">
        <f aca="false">K702*L702/60</f>
        <v>0.843001636174327</v>
      </c>
    </row>
    <row r="703" customFormat="false" ht="30" hidden="false" customHeight="false" outlineLevel="0" collapsed="false">
      <c r="A703" s="216" t="s">
        <v>514</v>
      </c>
      <c r="B703" s="78" t="s">
        <v>4736</v>
      </c>
      <c r="C703" s="1161" t="s">
        <v>6934</v>
      </c>
      <c r="D703" s="912" t="n">
        <v>2005</v>
      </c>
      <c r="E703" s="317" t="n">
        <f aca="false">2021-D703</f>
        <v>16</v>
      </c>
      <c r="F703" s="547" t="n">
        <v>90680</v>
      </c>
      <c r="G703" s="1413" t="n">
        <v>0.1</v>
      </c>
      <c r="H703" s="547" t="n">
        <f aca="false">E703*F703*G703</f>
        <v>145088</v>
      </c>
      <c r="I703" s="547" t="n">
        <f aca="false">F703-H703</f>
        <v>-54408</v>
      </c>
      <c r="J703" s="547" t="n">
        <f aca="false">F703*G703</f>
        <v>9068</v>
      </c>
      <c r="K703" s="1365" t="n">
        <f aca="false">J703/1792.8</f>
        <v>5.05800981704596</v>
      </c>
      <c r="L703" s="547" t="n">
        <v>10</v>
      </c>
      <c r="M703" s="934" t="n">
        <f aca="false">K703*L703/60</f>
        <v>0.843001636174327</v>
      </c>
    </row>
    <row r="704" customFormat="false" ht="15" hidden="false" customHeight="false" outlineLevel="0" collapsed="false">
      <c r="A704" s="216" t="s">
        <v>516</v>
      </c>
      <c r="B704" s="40" t="s">
        <v>3092</v>
      </c>
      <c r="C704" s="1161" t="s">
        <v>4799</v>
      </c>
      <c r="D704" s="912" t="n">
        <v>2007</v>
      </c>
      <c r="E704" s="317" t="n">
        <f aca="false">2021-D704</f>
        <v>14</v>
      </c>
      <c r="F704" s="547" t="n">
        <v>55465060</v>
      </c>
      <c r="G704" s="1413" t="n">
        <v>0.1</v>
      </c>
      <c r="H704" s="547" t="n">
        <f aca="false">E704*F704*G704</f>
        <v>77651084</v>
      </c>
      <c r="I704" s="547" t="n">
        <f aca="false">F704-H704</f>
        <v>-22186024</v>
      </c>
      <c r="J704" s="547" t="n">
        <f aca="false">F704*G704</f>
        <v>5546506</v>
      </c>
      <c r="K704" s="1365" t="n">
        <f aca="false">J704/1792.8</f>
        <v>3093.76729138777</v>
      </c>
      <c r="L704" s="547" t="n">
        <v>10</v>
      </c>
      <c r="M704" s="934" t="n">
        <f aca="false">K704*L704/60</f>
        <v>515.627881897962</v>
      </c>
    </row>
    <row r="705" customFormat="false" ht="15" hidden="false" customHeight="false" outlineLevel="0" collapsed="false">
      <c r="A705" s="216" t="s">
        <v>518</v>
      </c>
      <c r="B705" s="40" t="s">
        <v>3011</v>
      </c>
      <c r="C705" s="1161" t="s">
        <v>6934</v>
      </c>
      <c r="D705" s="912" t="n">
        <v>2005</v>
      </c>
      <c r="E705" s="317" t="n">
        <f aca="false">2021-D705</f>
        <v>16</v>
      </c>
      <c r="F705" s="547" t="n">
        <v>90680</v>
      </c>
      <c r="G705" s="1413" t="n">
        <v>0.1</v>
      </c>
      <c r="H705" s="547" t="n">
        <f aca="false">E705*F705*G705</f>
        <v>145088</v>
      </c>
      <c r="I705" s="547" t="n">
        <f aca="false">F705-H705</f>
        <v>-54408</v>
      </c>
      <c r="J705" s="547" t="n">
        <f aca="false">F705*G705</f>
        <v>9068</v>
      </c>
      <c r="K705" s="1365" t="n">
        <f aca="false">J705/1792.8</f>
        <v>5.05800981704596</v>
      </c>
      <c r="L705" s="547" t="n">
        <v>10</v>
      </c>
      <c r="M705" s="934" t="n">
        <f aca="false">K705*L705/60</f>
        <v>0.843001636174327</v>
      </c>
    </row>
    <row r="706" customFormat="false" ht="15" hidden="false" customHeight="false" outlineLevel="0" collapsed="false">
      <c r="A706" s="216" t="s">
        <v>519</v>
      </c>
      <c r="B706" s="40" t="s">
        <v>3093</v>
      </c>
      <c r="C706" s="1161" t="s">
        <v>6934</v>
      </c>
      <c r="D706" s="912" t="n">
        <v>2005</v>
      </c>
      <c r="E706" s="317" t="n">
        <f aca="false">2021-D706</f>
        <v>16</v>
      </c>
      <c r="F706" s="547" t="n">
        <v>90680</v>
      </c>
      <c r="G706" s="1413" t="n">
        <v>0.1</v>
      </c>
      <c r="H706" s="547" t="n">
        <f aca="false">E706*F706*G706</f>
        <v>145088</v>
      </c>
      <c r="I706" s="547" t="n">
        <f aca="false">F706-H706</f>
        <v>-54408</v>
      </c>
      <c r="J706" s="547" t="n">
        <f aca="false">F706*G706</f>
        <v>9068</v>
      </c>
      <c r="K706" s="1365" t="n">
        <f aca="false">J706/1792.8</f>
        <v>5.05800981704596</v>
      </c>
      <c r="L706" s="547" t="n">
        <v>10</v>
      </c>
      <c r="M706" s="934" t="n">
        <f aca="false">K706*L706/60</f>
        <v>0.843001636174327</v>
      </c>
    </row>
    <row r="707" customFormat="false" ht="15" hidden="false" customHeight="false" outlineLevel="0" collapsed="false">
      <c r="A707" s="216" t="s">
        <v>521</v>
      </c>
      <c r="B707" s="40" t="s">
        <v>3094</v>
      </c>
      <c r="C707" s="1161" t="s">
        <v>6934</v>
      </c>
      <c r="D707" s="912" t="n">
        <v>2005</v>
      </c>
      <c r="E707" s="317" t="n">
        <f aca="false">2021-D707</f>
        <v>16</v>
      </c>
      <c r="F707" s="547" t="n">
        <v>90680</v>
      </c>
      <c r="G707" s="1413" t="n">
        <v>0.1</v>
      </c>
      <c r="H707" s="547" t="n">
        <f aca="false">E707*F707*G707</f>
        <v>145088</v>
      </c>
      <c r="I707" s="547" t="n">
        <f aca="false">F707-H707</f>
        <v>-54408</v>
      </c>
      <c r="J707" s="547" t="n">
        <f aca="false">F707*G707</f>
        <v>9068</v>
      </c>
      <c r="K707" s="1365" t="n">
        <f aca="false">J707/1792.8</f>
        <v>5.05800981704596</v>
      </c>
      <c r="L707" s="547" t="n">
        <v>10</v>
      </c>
      <c r="M707" s="934" t="n">
        <f aca="false">K707*L707/60</f>
        <v>0.843001636174327</v>
      </c>
    </row>
    <row r="708" customFormat="false" ht="30" hidden="false" customHeight="false" outlineLevel="0" collapsed="false">
      <c r="A708" s="216" t="s">
        <v>523</v>
      </c>
      <c r="B708" s="40" t="s">
        <v>3095</v>
      </c>
      <c r="C708" s="1161" t="s">
        <v>6934</v>
      </c>
      <c r="D708" s="912" t="n">
        <v>2005</v>
      </c>
      <c r="E708" s="317" t="n">
        <f aca="false">2021-D708</f>
        <v>16</v>
      </c>
      <c r="F708" s="547" t="n">
        <v>90680</v>
      </c>
      <c r="G708" s="1413" t="n">
        <v>0.1</v>
      </c>
      <c r="H708" s="547" t="n">
        <f aca="false">E708*F708*G708</f>
        <v>145088</v>
      </c>
      <c r="I708" s="547" t="n">
        <f aca="false">F708-H708</f>
        <v>-54408</v>
      </c>
      <c r="J708" s="547" t="n">
        <f aca="false">F708*G708</f>
        <v>9068</v>
      </c>
      <c r="K708" s="1365" t="n">
        <f aca="false">J708/1792.8</f>
        <v>5.05800981704596</v>
      </c>
      <c r="L708" s="547" t="n">
        <v>10</v>
      </c>
      <c r="M708" s="819" t="n">
        <f aca="false">K708*L708/60</f>
        <v>0.843001636174327</v>
      </c>
    </row>
    <row r="709" customFormat="false" ht="15" hidden="false" customHeight="false" outlineLevel="0" collapsed="false">
      <c r="A709" s="216"/>
      <c r="B709" s="78"/>
      <c r="C709" s="1161" t="s">
        <v>6997</v>
      </c>
      <c r="D709" s="912" t="n">
        <v>2009</v>
      </c>
      <c r="E709" s="317" t="n">
        <f aca="false">2021-D709</f>
        <v>12</v>
      </c>
      <c r="F709" s="547" t="n">
        <v>181000</v>
      </c>
      <c r="G709" s="1413" t="n">
        <v>0.1</v>
      </c>
      <c r="H709" s="547" t="n">
        <f aca="false">E709*F709*G709</f>
        <v>217200</v>
      </c>
      <c r="I709" s="547" t="n">
        <f aca="false">F709-H709</f>
        <v>-36200</v>
      </c>
      <c r="J709" s="547" t="n">
        <f aca="false">F709*G709</f>
        <v>18100</v>
      </c>
      <c r="K709" s="1365" t="n">
        <f aca="false">J709/1792.8</f>
        <v>10.0959393128068</v>
      </c>
      <c r="L709" s="547" t="n">
        <v>15</v>
      </c>
      <c r="M709" s="819" t="n">
        <f aca="false">K709*L709/60</f>
        <v>2.5239848282017</v>
      </c>
    </row>
    <row r="710" customFormat="false" ht="15" hidden="false" customHeight="false" outlineLevel="0" collapsed="false">
      <c r="A710" s="216"/>
      <c r="B710" s="78"/>
      <c r="C710" s="1161" t="s">
        <v>4799</v>
      </c>
      <c r="D710" s="912" t="n">
        <v>2007</v>
      </c>
      <c r="E710" s="317" t="n">
        <f aca="false">2021-D710</f>
        <v>14</v>
      </c>
      <c r="F710" s="547" t="n">
        <v>55465060</v>
      </c>
      <c r="G710" s="1413" t="n">
        <v>0.1</v>
      </c>
      <c r="H710" s="547" t="n">
        <f aca="false">E710*F710*G710</f>
        <v>77651084</v>
      </c>
      <c r="I710" s="547" t="n">
        <f aca="false">F710-H710</f>
        <v>-22186024</v>
      </c>
      <c r="J710" s="547" t="n">
        <f aca="false">F710*G710</f>
        <v>5546506</v>
      </c>
      <c r="K710" s="1365" t="n">
        <f aca="false">J710/1792.8</f>
        <v>3093.76729138777</v>
      </c>
      <c r="L710" s="547" t="n">
        <v>65</v>
      </c>
      <c r="M710" s="819" t="n">
        <f aca="false">K710*L710/60</f>
        <v>3351.58123233675</v>
      </c>
    </row>
    <row r="711" customFormat="false" ht="15" hidden="false" customHeight="false" outlineLevel="0" collapsed="false">
      <c r="A711" s="216"/>
      <c r="B711" s="972" t="s">
        <v>4128</v>
      </c>
      <c r="C711" s="1160"/>
      <c r="D711" s="391"/>
      <c r="E711" s="317"/>
      <c r="F711" s="714"/>
      <c r="G711" s="1414"/>
      <c r="H711" s="547"/>
      <c r="I711" s="547"/>
      <c r="J711" s="547"/>
      <c r="K711" s="1365" t="n">
        <f aca="false">J711/1792.8</f>
        <v>0</v>
      </c>
      <c r="L711" s="714"/>
      <c r="M711" s="934" t="n">
        <f aca="false">M708+M709+M710</f>
        <v>3354.94821880113</v>
      </c>
    </row>
    <row r="712" customFormat="false" ht="28.5" hidden="false" customHeight="false" outlineLevel="0" collapsed="false">
      <c r="A712" s="15" t="s">
        <v>4743</v>
      </c>
      <c r="B712" s="54" t="s">
        <v>6998</v>
      </c>
      <c r="C712" s="1387"/>
      <c r="D712" s="339"/>
      <c r="E712" s="1389"/>
      <c r="F712" s="751"/>
      <c r="G712" s="1412"/>
      <c r="H712" s="751"/>
      <c r="I712" s="751"/>
      <c r="J712" s="751"/>
      <c r="K712" s="1390"/>
      <c r="L712" s="751"/>
      <c r="M712" s="818"/>
    </row>
    <row r="713" customFormat="false" ht="30" hidden="false" customHeight="false" outlineLevel="0" collapsed="false">
      <c r="A713" s="216" t="s">
        <v>527</v>
      </c>
      <c r="B713" s="29" t="s">
        <v>3010</v>
      </c>
      <c r="C713" s="1161" t="s">
        <v>6984</v>
      </c>
      <c r="D713" s="912" t="n">
        <v>2007</v>
      </c>
      <c r="E713" s="317" t="n">
        <f aca="false">2021-D713</f>
        <v>14</v>
      </c>
      <c r="F713" s="547" t="n">
        <v>810000</v>
      </c>
      <c r="G713" s="1413" t="n">
        <v>0.1</v>
      </c>
      <c r="H713" s="547" t="n">
        <f aca="false">E713*F713*G713</f>
        <v>1134000</v>
      </c>
      <c r="I713" s="547" t="n">
        <f aca="false">F713-H713</f>
        <v>-324000</v>
      </c>
      <c r="J713" s="547" t="n">
        <f aca="false">F713*G713</f>
        <v>81000</v>
      </c>
      <c r="K713" s="1365" t="n">
        <f aca="false">J713/1792.8</f>
        <v>45.1807228915663</v>
      </c>
      <c r="L713" s="547" t="n">
        <v>10</v>
      </c>
      <c r="M713" s="934" t="n">
        <f aca="false">K713*L713/60</f>
        <v>7.53012048192771</v>
      </c>
    </row>
    <row r="714" customFormat="false" ht="30" hidden="false" customHeight="false" outlineLevel="0" collapsed="false">
      <c r="A714" s="216" t="s">
        <v>4744</v>
      </c>
      <c r="B714" s="29" t="s">
        <v>3097</v>
      </c>
      <c r="C714" s="1161" t="s">
        <v>6934</v>
      </c>
      <c r="D714" s="912" t="n">
        <v>2007</v>
      </c>
      <c r="E714" s="317" t="n">
        <f aca="false">2021-D714</f>
        <v>14</v>
      </c>
      <c r="F714" s="873" t="n">
        <v>491000</v>
      </c>
      <c r="G714" s="1413" t="n">
        <v>0.1</v>
      </c>
      <c r="H714" s="547" t="n">
        <f aca="false">E714*F714*G714</f>
        <v>687400</v>
      </c>
      <c r="I714" s="547" t="n">
        <f aca="false">F714-H714</f>
        <v>-196400</v>
      </c>
      <c r="J714" s="547" t="n">
        <f aca="false">F714*G714</f>
        <v>49100</v>
      </c>
      <c r="K714" s="1365" t="n">
        <f aca="false">J714/1792.8</f>
        <v>27.3873270861223</v>
      </c>
      <c r="L714" s="547" t="n">
        <v>10</v>
      </c>
      <c r="M714" s="934" t="n">
        <f aca="false">K714*L714/60</f>
        <v>4.56455451435371</v>
      </c>
    </row>
    <row r="715" customFormat="false" ht="15" hidden="false" customHeight="false" outlineLevel="0" collapsed="false">
      <c r="A715" s="216" t="s">
        <v>4745</v>
      </c>
      <c r="B715" s="29" t="s">
        <v>3084</v>
      </c>
      <c r="C715" s="1161" t="s">
        <v>6973</v>
      </c>
      <c r="D715" s="912" t="n">
        <v>2006</v>
      </c>
      <c r="E715" s="317" t="n">
        <f aca="false">2021-D715</f>
        <v>15</v>
      </c>
      <c r="F715" s="547" t="n">
        <v>190000</v>
      </c>
      <c r="G715" s="1413" t="n">
        <v>0.1</v>
      </c>
      <c r="H715" s="547" t="n">
        <f aca="false">E715*F715*G715</f>
        <v>285000</v>
      </c>
      <c r="I715" s="547" t="n">
        <f aca="false">F715-H715</f>
        <v>-95000</v>
      </c>
      <c r="J715" s="547" t="n">
        <f aca="false">F715*G715</f>
        <v>19000</v>
      </c>
      <c r="K715" s="1365" t="n">
        <f aca="false">J715/1792.8</f>
        <v>10.5979473449353</v>
      </c>
      <c r="L715" s="547" t="n">
        <v>30</v>
      </c>
      <c r="M715" s="819" t="n">
        <f aca="false">K715*L715/60</f>
        <v>5.29897367246765</v>
      </c>
    </row>
    <row r="716" customFormat="false" ht="15" hidden="false" customHeight="false" outlineLevel="0" collapsed="false">
      <c r="A716" s="216"/>
      <c r="B716" s="78"/>
      <c r="C716" s="1161" t="s">
        <v>6934</v>
      </c>
      <c r="D716" s="912" t="n">
        <v>2007</v>
      </c>
      <c r="E716" s="317" t="n">
        <f aca="false">2021-D716</f>
        <v>14</v>
      </c>
      <c r="F716" s="873" t="n">
        <v>491000</v>
      </c>
      <c r="G716" s="1413" t="n">
        <v>0.1</v>
      </c>
      <c r="H716" s="547" t="n">
        <f aca="false">E716*F716*G716</f>
        <v>687400</v>
      </c>
      <c r="I716" s="547" t="n">
        <f aca="false">F716-H716</f>
        <v>-196400</v>
      </c>
      <c r="J716" s="547" t="n">
        <f aca="false">F716*G716</f>
        <v>49100</v>
      </c>
      <c r="K716" s="1365" t="n">
        <f aca="false">J716/1792.8</f>
        <v>27.3873270861223</v>
      </c>
      <c r="L716" s="547" t="n">
        <v>10</v>
      </c>
      <c r="M716" s="819" t="n">
        <f aca="false">K716*L716/60</f>
        <v>4.56455451435371</v>
      </c>
    </row>
    <row r="717" customFormat="false" ht="15" hidden="false" customHeight="false" outlineLevel="0" collapsed="false">
      <c r="A717" s="216"/>
      <c r="B717" s="78"/>
      <c r="C717" s="1161" t="s">
        <v>6999</v>
      </c>
      <c r="D717" s="912" t="n">
        <v>2007</v>
      </c>
      <c r="E717" s="317" t="n">
        <f aca="false">2021-D717</f>
        <v>14</v>
      </c>
      <c r="F717" s="873" t="n">
        <v>450000</v>
      </c>
      <c r="G717" s="1413" t="n">
        <v>0.1</v>
      </c>
      <c r="H717" s="547" t="n">
        <f aca="false">E717*F717*G717</f>
        <v>630000</v>
      </c>
      <c r="I717" s="547" t="n">
        <f aca="false">F717-H717</f>
        <v>-180000</v>
      </c>
      <c r="J717" s="547" t="n">
        <f aca="false">F717*G717</f>
        <v>45000</v>
      </c>
      <c r="K717" s="1365" t="n">
        <f aca="false">J717/1792.8</f>
        <v>25.1004016064257</v>
      </c>
      <c r="L717" s="547" t="n">
        <v>13</v>
      </c>
      <c r="M717" s="819" t="n">
        <f aca="false">K717*L717/60</f>
        <v>5.4384203480589</v>
      </c>
    </row>
    <row r="718" customFormat="false" ht="15" hidden="false" customHeight="false" outlineLevel="0" collapsed="false">
      <c r="A718" s="216"/>
      <c r="B718" s="972" t="s">
        <v>4128</v>
      </c>
      <c r="C718" s="1160"/>
      <c r="D718" s="391"/>
      <c r="E718" s="317"/>
      <c r="F718" s="714"/>
      <c r="G718" s="1414"/>
      <c r="H718" s="547"/>
      <c r="I718" s="547"/>
      <c r="J718" s="547"/>
      <c r="K718" s="1365" t="n">
        <f aca="false">J718/1792.8</f>
        <v>0</v>
      </c>
      <c r="L718" s="714"/>
      <c r="M718" s="934" t="n">
        <f aca="false">M715+M716+M717</f>
        <v>15.3019485348803</v>
      </c>
    </row>
    <row r="719" customFormat="false" ht="30" hidden="false" customHeight="false" outlineLevel="0" collapsed="false">
      <c r="A719" s="216" t="s">
        <v>531</v>
      </c>
      <c r="B719" s="29" t="s">
        <v>3085</v>
      </c>
      <c r="C719" s="1161" t="s">
        <v>6973</v>
      </c>
      <c r="D719" s="912" t="n">
        <v>2006</v>
      </c>
      <c r="E719" s="317" t="n">
        <f aca="false">2021-D719</f>
        <v>15</v>
      </c>
      <c r="F719" s="547" t="n">
        <v>190000</v>
      </c>
      <c r="G719" s="1413" t="n">
        <v>0.1</v>
      </c>
      <c r="H719" s="547" t="n">
        <f aca="false">E719*F719*G719</f>
        <v>285000</v>
      </c>
      <c r="I719" s="547" t="n">
        <f aca="false">F719-H719</f>
        <v>-95000</v>
      </c>
      <c r="J719" s="547" t="n">
        <f aca="false">F719*G719</f>
        <v>19000</v>
      </c>
      <c r="K719" s="1365" t="n">
        <f aca="false">J719/1792.8</f>
        <v>10.5979473449353</v>
      </c>
      <c r="L719" s="547" t="n">
        <v>30</v>
      </c>
      <c r="M719" s="819" t="n">
        <f aca="false">K719*L719/60</f>
        <v>5.29897367246765</v>
      </c>
    </row>
    <row r="720" customFormat="false" ht="15" hidden="false" customHeight="false" outlineLevel="0" collapsed="false">
      <c r="A720" s="216"/>
      <c r="B720" s="78"/>
      <c r="C720" s="1161" t="s">
        <v>6934</v>
      </c>
      <c r="D720" s="912" t="n">
        <v>2007</v>
      </c>
      <c r="E720" s="317" t="n">
        <f aca="false">2021-D720</f>
        <v>14</v>
      </c>
      <c r="F720" s="873" t="n">
        <v>491000</v>
      </c>
      <c r="G720" s="1413" t="n">
        <v>0.1</v>
      </c>
      <c r="H720" s="547" t="n">
        <f aca="false">E720*F720*G720</f>
        <v>687400</v>
      </c>
      <c r="I720" s="547" t="n">
        <f aca="false">F720-H720</f>
        <v>-196400</v>
      </c>
      <c r="J720" s="547" t="n">
        <f aca="false">F720*G720</f>
        <v>49100</v>
      </c>
      <c r="K720" s="1365" t="n">
        <f aca="false">J720/1792.8</f>
        <v>27.3873270861223</v>
      </c>
      <c r="L720" s="547" t="n">
        <v>10</v>
      </c>
      <c r="M720" s="819" t="n">
        <f aca="false">K720*L720/60</f>
        <v>4.56455451435371</v>
      </c>
    </row>
    <row r="721" customFormat="false" ht="15" hidden="false" customHeight="false" outlineLevel="0" collapsed="false">
      <c r="A721" s="216"/>
      <c r="B721" s="78"/>
      <c r="C721" s="1161" t="s">
        <v>6999</v>
      </c>
      <c r="D721" s="912" t="n">
        <v>2007</v>
      </c>
      <c r="E721" s="317" t="n">
        <f aca="false">2021-D721</f>
        <v>14</v>
      </c>
      <c r="F721" s="873" t="n">
        <v>450000</v>
      </c>
      <c r="G721" s="1413" t="n">
        <v>0.1</v>
      </c>
      <c r="H721" s="547" t="n">
        <f aca="false">E721*F721*G721</f>
        <v>630000</v>
      </c>
      <c r="I721" s="547" t="n">
        <f aca="false">F721-H721</f>
        <v>-180000</v>
      </c>
      <c r="J721" s="547" t="n">
        <f aca="false">F721*G721</f>
        <v>45000</v>
      </c>
      <c r="K721" s="1365" t="n">
        <f aca="false">J721/1792.8</f>
        <v>25.1004016064257</v>
      </c>
      <c r="L721" s="547" t="n">
        <v>13</v>
      </c>
      <c r="M721" s="819" t="n">
        <f aca="false">K721*L721/60</f>
        <v>5.4384203480589</v>
      </c>
    </row>
    <row r="722" customFormat="false" ht="15" hidden="false" customHeight="false" outlineLevel="0" collapsed="false">
      <c r="A722" s="216"/>
      <c r="B722" s="972" t="s">
        <v>4128</v>
      </c>
      <c r="C722" s="1160"/>
      <c r="D722" s="391"/>
      <c r="E722" s="317"/>
      <c r="F722" s="714"/>
      <c r="G722" s="1414"/>
      <c r="H722" s="547"/>
      <c r="I722" s="547"/>
      <c r="J722" s="547"/>
      <c r="K722" s="1365" t="n">
        <f aca="false">J722/1792.8</f>
        <v>0</v>
      </c>
      <c r="L722" s="714"/>
      <c r="M722" s="934" t="n">
        <f aca="false">M719+M720+M721</f>
        <v>15.3019485348803</v>
      </c>
    </row>
    <row r="723" customFormat="false" ht="15" hidden="false" customHeight="false" outlineLevel="0" collapsed="false">
      <c r="A723" s="216" t="s">
        <v>532</v>
      </c>
      <c r="B723" s="29" t="s">
        <v>3098</v>
      </c>
      <c r="C723" s="1161" t="s">
        <v>6934</v>
      </c>
      <c r="D723" s="912" t="n">
        <v>2007</v>
      </c>
      <c r="E723" s="317" t="n">
        <f aca="false">2021-D723</f>
        <v>14</v>
      </c>
      <c r="F723" s="873" t="n">
        <v>491000</v>
      </c>
      <c r="G723" s="1413" t="n">
        <v>0.1</v>
      </c>
      <c r="H723" s="547" t="n">
        <f aca="false">E723*F723*G723</f>
        <v>687400</v>
      </c>
      <c r="I723" s="547" t="n">
        <f aca="false">F723-H723</f>
        <v>-196400</v>
      </c>
      <c r="J723" s="547" t="n">
        <f aca="false">F723*G723</f>
        <v>49100</v>
      </c>
      <c r="K723" s="1365" t="n">
        <f aca="false">J723/1792.8</f>
        <v>27.3873270861223</v>
      </c>
      <c r="L723" s="547" t="n">
        <v>10</v>
      </c>
      <c r="M723" s="934" t="n">
        <f aca="false">K723*L723/60</f>
        <v>4.56455451435371</v>
      </c>
    </row>
    <row r="724" customFormat="false" ht="15" hidden="false" customHeight="false" outlineLevel="0" collapsed="false">
      <c r="A724" s="216" t="s">
        <v>533</v>
      </c>
      <c r="B724" s="29" t="s">
        <v>3099</v>
      </c>
      <c r="C724" s="1161" t="s">
        <v>6934</v>
      </c>
      <c r="D724" s="912" t="n">
        <v>2007</v>
      </c>
      <c r="E724" s="317" t="n">
        <f aca="false">2021-D724</f>
        <v>14</v>
      </c>
      <c r="F724" s="873" t="n">
        <v>491000</v>
      </c>
      <c r="G724" s="1413" t="n">
        <v>0.1</v>
      </c>
      <c r="H724" s="547" t="n">
        <f aca="false">E724*F724*G724</f>
        <v>687400</v>
      </c>
      <c r="I724" s="547" t="n">
        <f aca="false">F724-H724</f>
        <v>-196400</v>
      </c>
      <c r="J724" s="547" t="n">
        <f aca="false">F724*G724</f>
        <v>49100</v>
      </c>
      <c r="K724" s="1365" t="n">
        <f aca="false">J724/1792.8</f>
        <v>27.3873270861223</v>
      </c>
      <c r="L724" s="547" t="n">
        <v>10</v>
      </c>
      <c r="M724" s="934" t="n">
        <f aca="false">K724*L724/60</f>
        <v>4.56455451435371</v>
      </c>
    </row>
    <row r="725" customFormat="false" ht="15" hidden="false" customHeight="false" outlineLevel="0" collapsed="false">
      <c r="A725" s="216" t="s">
        <v>535</v>
      </c>
      <c r="B725" s="29" t="s">
        <v>3058</v>
      </c>
      <c r="C725" s="1161" t="s">
        <v>6976</v>
      </c>
      <c r="D725" s="912" t="n">
        <v>2005</v>
      </c>
      <c r="E725" s="317" t="n">
        <f aca="false">2021-D725</f>
        <v>16</v>
      </c>
      <c r="F725" s="547" t="n">
        <v>65500</v>
      </c>
      <c r="G725" s="1413" t="n">
        <v>0.1</v>
      </c>
      <c r="H725" s="547" t="n">
        <f aca="false">E725*F725*G725</f>
        <v>104800</v>
      </c>
      <c r="I725" s="547" t="n">
        <f aca="false">F725-H725</f>
        <v>-39300</v>
      </c>
      <c r="J725" s="547" t="n">
        <f aca="false">F725*G725</f>
        <v>6550</v>
      </c>
      <c r="K725" s="1365" t="n">
        <f aca="false">J725/1792.8</f>
        <v>3.65350290049085</v>
      </c>
      <c r="L725" s="547" t="n">
        <v>30</v>
      </c>
      <c r="M725" s="819" t="n">
        <f aca="false">K725*L725/60</f>
        <v>1.82675145024543</v>
      </c>
    </row>
    <row r="726" customFormat="false" ht="15" hidden="false" customHeight="false" outlineLevel="0" collapsed="false">
      <c r="A726" s="216"/>
      <c r="B726" s="29"/>
      <c r="C726" s="1161" t="s">
        <v>6999</v>
      </c>
      <c r="D726" s="912" t="n">
        <v>2007</v>
      </c>
      <c r="E726" s="317" t="n">
        <f aca="false">2021-D726</f>
        <v>14</v>
      </c>
      <c r="F726" s="873" t="n">
        <v>450000</v>
      </c>
      <c r="G726" s="1413" t="n">
        <v>0.1</v>
      </c>
      <c r="H726" s="547" t="n">
        <f aca="false">E726*F726*G726</f>
        <v>630000</v>
      </c>
      <c r="I726" s="547" t="n">
        <f aca="false">F726-H726</f>
        <v>-180000</v>
      </c>
      <c r="J726" s="547" t="n">
        <f aca="false">F726*G726</f>
        <v>45000</v>
      </c>
      <c r="K726" s="1365" t="n">
        <f aca="false">J726/1792.8</f>
        <v>25.1004016064257</v>
      </c>
      <c r="L726" s="547" t="n">
        <v>13</v>
      </c>
      <c r="M726" s="819" t="n">
        <f aca="false">K726*L726/60</f>
        <v>5.4384203480589</v>
      </c>
    </row>
    <row r="727" customFormat="false" ht="15" hidden="false" customHeight="false" outlineLevel="0" collapsed="false">
      <c r="A727" s="216"/>
      <c r="B727" s="972" t="s">
        <v>4128</v>
      </c>
      <c r="C727" s="1160"/>
      <c r="D727" s="391"/>
      <c r="E727" s="317"/>
      <c r="F727" s="714"/>
      <c r="G727" s="1414"/>
      <c r="H727" s="547"/>
      <c r="I727" s="547"/>
      <c r="J727" s="547"/>
      <c r="K727" s="1365" t="n">
        <f aca="false">J727/1792.8</f>
        <v>0</v>
      </c>
      <c r="L727" s="714"/>
      <c r="M727" s="934" t="n">
        <f aca="false">M725+M726</f>
        <v>7.26517179830433</v>
      </c>
    </row>
    <row r="728" customFormat="false" ht="15" hidden="false" customHeight="false" outlineLevel="0" collapsed="false">
      <c r="A728" s="216" t="s">
        <v>536</v>
      </c>
      <c r="B728" s="29" t="s">
        <v>3059</v>
      </c>
      <c r="C728" s="1161" t="s">
        <v>6934</v>
      </c>
      <c r="D728" s="912" t="n">
        <v>2007</v>
      </c>
      <c r="E728" s="317" t="n">
        <f aca="false">2021-D728</f>
        <v>14</v>
      </c>
      <c r="F728" s="873" t="n">
        <v>491000</v>
      </c>
      <c r="G728" s="1413" t="n">
        <v>0.1</v>
      </c>
      <c r="H728" s="547" t="n">
        <f aca="false">E728*F728*G728</f>
        <v>687400</v>
      </c>
      <c r="I728" s="547" t="n">
        <f aca="false">F728-H728</f>
        <v>-196400</v>
      </c>
      <c r="J728" s="547" t="n">
        <f aca="false">F728*G728</f>
        <v>49100</v>
      </c>
      <c r="K728" s="1365" t="n">
        <f aca="false">J728/1792.8</f>
        <v>27.3873270861223</v>
      </c>
      <c r="L728" s="547" t="n">
        <v>10</v>
      </c>
      <c r="M728" s="819" t="n">
        <f aca="false">K728*L728/60</f>
        <v>4.56455451435371</v>
      </c>
    </row>
    <row r="729" customFormat="false" ht="15" hidden="false" customHeight="false" outlineLevel="0" collapsed="false">
      <c r="A729" s="216"/>
      <c r="B729" s="78"/>
      <c r="C729" s="1161" t="s">
        <v>6976</v>
      </c>
      <c r="D729" s="912" t="n">
        <v>2005</v>
      </c>
      <c r="E729" s="317" t="n">
        <f aca="false">2021-D729</f>
        <v>16</v>
      </c>
      <c r="F729" s="547" t="n">
        <v>65500</v>
      </c>
      <c r="G729" s="1413" t="n">
        <v>0.1</v>
      </c>
      <c r="H729" s="547" t="n">
        <f aca="false">E729*F729*G729</f>
        <v>104800</v>
      </c>
      <c r="I729" s="547" t="n">
        <f aca="false">F729-H729</f>
        <v>-39300</v>
      </c>
      <c r="J729" s="547" t="n">
        <f aca="false">F729*G729</f>
        <v>6550</v>
      </c>
      <c r="K729" s="1365" t="n">
        <f aca="false">J729/1792.8</f>
        <v>3.65350290049085</v>
      </c>
      <c r="L729" s="547" t="n">
        <v>30</v>
      </c>
      <c r="M729" s="819" t="n">
        <f aca="false">K729*L729/60</f>
        <v>1.82675145024543</v>
      </c>
    </row>
    <row r="730" customFormat="false" ht="15" hidden="false" customHeight="false" outlineLevel="0" collapsed="false">
      <c r="A730" s="216"/>
      <c r="B730" s="78"/>
      <c r="C730" s="1161" t="s">
        <v>6999</v>
      </c>
      <c r="D730" s="912" t="n">
        <v>2007</v>
      </c>
      <c r="E730" s="317" t="n">
        <f aca="false">2021-D730</f>
        <v>14</v>
      </c>
      <c r="F730" s="873" t="n">
        <v>450000</v>
      </c>
      <c r="G730" s="1413" t="n">
        <v>0.1</v>
      </c>
      <c r="H730" s="547" t="n">
        <f aca="false">E730*F730*G730</f>
        <v>630000</v>
      </c>
      <c r="I730" s="547" t="n">
        <f aca="false">F730-H730</f>
        <v>-180000</v>
      </c>
      <c r="J730" s="547" t="n">
        <f aca="false">F730*G730</f>
        <v>45000</v>
      </c>
      <c r="K730" s="1365" t="n">
        <f aca="false">J730/1792.8</f>
        <v>25.1004016064257</v>
      </c>
      <c r="L730" s="547" t="n">
        <v>13</v>
      </c>
      <c r="M730" s="819" t="n">
        <f aca="false">K730*L730/60</f>
        <v>5.4384203480589</v>
      </c>
    </row>
    <row r="731" customFormat="false" ht="15" hidden="false" customHeight="false" outlineLevel="0" collapsed="false">
      <c r="A731" s="216"/>
      <c r="B731" s="972" t="s">
        <v>4128</v>
      </c>
      <c r="C731" s="1160"/>
      <c r="D731" s="391"/>
      <c r="E731" s="317"/>
      <c r="F731" s="714"/>
      <c r="G731" s="1414"/>
      <c r="H731" s="547"/>
      <c r="I731" s="547"/>
      <c r="J731" s="547"/>
      <c r="K731" s="1365" t="n">
        <f aca="false">J731/1792.8</f>
        <v>0</v>
      </c>
      <c r="L731" s="714"/>
      <c r="M731" s="934" t="n">
        <f aca="false">M728+M729+M730</f>
        <v>11.829726312658</v>
      </c>
    </row>
    <row r="732" customFormat="false" ht="30" hidden="false" customHeight="false" outlineLevel="0" collapsed="false">
      <c r="A732" s="216" t="s">
        <v>537</v>
      </c>
      <c r="B732" s="29" t="s">
        <v>3100</v>
      </c>
      <c r="C732" s="1161" t="s">
        <v>6974</v>
      </c>
      <c r="D732" s="912" t="n">
        <v>2006</v>
      </c>
      <c r="E732" s="317" t="n">
        <f aca="false">2021-D732</f>
        <v>15</v>
      </c>
      <c r="F732" s="547" t="n">
        <v>526970</v>
      </c>
      <c r="G732" s="1413" t="n">
        <v>0.1</v>
      </c>
      <c r="H732" s="547" t="n">
        <f aca="false">E732*F732*G732</f>
        <v>790455</v>
      </c>
      <c r="I732" s="547" t="n">
        <f aca="false">F732-H732</f>
        <v>-263485</v>
      </c>
      <c r="J732" s="547" t="n">
        <f aca="false">F732*G732</f>
        <v>52697</v>
      </c>
      <c r="K732" s="1365" t="n">
        <f aca="false">J732/1792.8</f>
        <v>29.3936858545292</v>
      </c>
      <c r="L732" s="547" t="n">
        <v>15</v>
      </c>
      <c r="M732" s="819" t="n">
        <f aca="false">K732*L732/60</f>
        <v>7.34842146363231</v>
      </c>
    </row>
    <row r="733" customFormat="false" ht="15" hidden="false" customHeight="false" outlineLevel="0" collapsed="false">
      <c r="A733" s="216"/>
      <c r="B733" s="78"/>
      <c r="C733" s="1161" t="s">
        <v>6934</v>
      </c>
      <c r="D733" s="912" t="n">
        <v>2007</v>
      </c>
      <c r="E733" s="317" t="n">
        <f aca="false">2021-D733</f>
        <v>14</v>
      </c>
      <c r="F733" s="873" t="n">
        <v>491000</v>
      </c>
      <c r="G733" s="1413" t="n">
        <v>0.1</v>
      </c>
      <c r="H733" s="547" t="n">
        <f aca="false">E733*F733*G733</f>
        <v>687400</v>
      </c>
      <c r="I733" s="547" t="n">
        <f aca="false">F733-H733</f>
        <v>-196400</v>
      </c>
      <c r="J733" s="547" t="n">
        <f aca="false">F733*G733</f>
        <v>49100</v>
      </c>
      <c r="K733" s="1365" t="n">
        <f aca="false">J733/1792.8</f>
        <v>27.3873270861223</v>
      </c>
      <c r="L733" s="547" t="n">
        <v>10</v>
      </c>
      <c r="M733" s="819" t="n">
        <f aca="false">K733*L733/60</f>
        <v>4.56455451435371</v>
      </c>
    </row>
    <row r="734" customFormat="false" ht="15" hidden="false" customHeight="false" outlineLevel="0" collapsed="false">
      <c r="A734" s="216"/>
      <c r="B734" s="78"/>
      <c r="C734" s="1161" t="s">
        <v>6999</v>
      </c>
      <c r="D734" s="912" t="n">
        <v>2007</v>
      </c>
      <c r="E734" s="317" t="n">
        <f aca="false">2021-D734</f>
        <v>14</v>
      </c>
      <c r="F734" s="873" t="n">
        <v>450000</v>
      </c>
      <c r="G734" s="1413" t="n">
        <v>0.1</v>
      </c>
      <c r="H734" s="547" t="n">
        <f aca="false">E734*F734*G734</f>
        <v>630000</v>
      </c>
      <c r="I734" s="547" t="n">
        <f aca="false">F734-H734</f>
        <v>-180000</v>
      </c>
      <c r="J734" s="547" t="n">
        <f aca="false">F734*G734</f>
        <v>45000</v>
      </c>
      <c r="K734" s="1365" t="n">
        <f aca="false">J734/1792.8</f>
        <v>25.1004016064257</v>
      </c>
      <c r="L734" s="547" t="n">
        <v>13</v>
      </c>
      <c r="M734" s="819" t="n">
        <f aca="false">K734*L734/60</f>
        <v>5.4384203480589</v>
      </c>
    </row>
    <row r="735" customFormat="false" ht="15" hidden="false" customHeight="false" outlineLevel="0" collapsed="false">
      <c r="A735" s="216"/>
      <c r="B735" s="972" t="s">
        <v>4128</v>
      </c>
      <c r="C735" s="1160"/>
      <c r="D735" s="391"/>
      <c r="E735" s="317"/>
      <c r="F735" s="714"/>
      <c r="G735" s="1414"/>
      <c r="H735" s="547"/>
      <c r="I735" s="547"/>
      <c r="J735" s="547"/>
      <c r="K735" s="1365" t="n">
        <f aca="false">J735/1792.8</f>
        <v>0</v>
      </c>
      <c r="L735" s="714"/>
      <c r="M735" s="934" t="n">
        <f aca="false">M732+M733+M734</f>
        <v>17.3513963260449</v>
      </c>
    </row>
    <row r="736" customFormat="false" ht="30" hidden="false" customHeight="false" outlineLevel="0" collapsed="false">
      <c r="A736" s="216" t="s">
        <v>539</v>
      </c>
      <c r="B736" s="29" t="s">
        <v>3101</v>
      </c>
      <c r="C736" s="1161" t="s">
        <v>6934</v>
      </c>
      <c r="D736" s="912" t="n">
        <v>2007</v>
      </c>
      <c r="E736" s="317" t="n">
        <f aca="false">2021-D736</f>
        <v>14</v>
      </c>
      <c r="F736" s="873" t="n">
        <v>491000</v>
      </c>
      <c r="G736" s="1413" t="n">
        <v>0.1</v>
      </c>
      <c r="H736" s="547" t="n">
        <f aca="false">E736*F736*G736</f>
        <v>687400</v>
      </c>
      <c r="I736" s="547" t="n">
        <f aca="false">F736-H736</f>
        <v>-196400</v>
      </c>
      <c r="J736" s="547" t="n">
        <f aca="false">F736*G736</f>
        <v>49100</v>
      </c>
      <c r="K736" s="1365" t="n">
        <f aca="false">J736/1792.8</f>
        <v>27.3873270861223</v>
      </c>
      <c r="L736" s="547" t="n">
        <v>10</v>
      </c>
      <c r="M736" s="934" t="n">
        <f aca="false">K736*L736/60</f>
        <v>4.56455451435371</v>
      </c>
    </row>
    <row r="737" customFormat="false" ht="15" hidden="false" customHeight="false" outlineLevel="0" collapsed="false">
      <c r="A737" s="216" t="s">
        <v>4746</v>
      </c>
      <c r="B737" s="29" t="s">
        <v>3014</v>
      </c>
      <c r="C737" s="1161" t="s">
        <v>6934</v>
      </c>
      <c r="D737" s="912" t="n">
        <v>2007</v>
      </c>
      <c r="E737" s="317" t="n">
        <f aca="false">2021-D737</f>
        <v>14</v>
      </c>
      <c r="F737" s="873" t="n">
        <v>491000</v>
      </c>
      <c r="G737" s="1413" t="n">
        <v>0.1</v>
      </c>
      <c r="H737" s="547" t="n">
        <f aca="false">E737*F737*G737</f>
        <v>687400</v>
      </c>
      <c r="I737" s="547" t="n">
        <f aca="false">F737-H737</f>
        <v>-196400</v>
      </c>
      <c r="J737" s="547" t="n">
        <f aca="false">F737*G737</f>
        <v>49100</v>
      </c>
      <c r="K737" s="1365" t="n">
        <f aca="false">J737/1792.8</f>
        <v>27.3873270861223</v>
      </c>
      <c r="L737" s="547" t="n">
        <v>10</v>
      </c>
      <c r="M737" s="934" t="n">
        <f aca="false">K737*L737/60</f>
        <v>4.56455451435371</v>
      </c>
    </row>
    <row r="738" customFormat="false" ht="15" hidden="false" customHeight="false" outlineLevel="0" collapsed="false">
      <c r="A738" s="216" t="s">
        <v>4747</v>
      </c>
      <c r="B738" s="29" t="s">
        <v>3102</v>
      </c>
      <c r="C738" s="1161" t="s">
        <v>4568</v>
      </c>
      <c r="D738" s="912" t="n">
        <v>2007</v>
      </c>
      <c r="E738" s="317" t="n">
        <f aca="false">2021-D738</f>
        <v>14</v>
      </c>
      <c r="F738" s="873" t="n">
        <v>5635700</v>
      </c>
      <c r="G738" s="1413" t="n">
        <v>0.1</v>
      </c>
      <c r="H738" s="547" t="n">
        <f aca="false">E738*F738*G738</f>
        <v>7889980</v>
      </c>
      <c r="I738" s="547" t="n">
        <f aca="false">F738-H738</f>
        <v>-2254280</v>
      </c>
      <c r="J738" s="547" t="n">
        <f aca="false">F738*G738</f>
        <v>563570</v>
      </c>
      <c r="K738" s="1365" t="n">
        <f aca="false">J738/1792.8</f>
        <v>314.351851851852</v>
      </c>
      <c r="L738" s="547" t="n">
        <v>90</v>
      </c>
      <c r="M738" s="819" t="n">
        <f aca="false">K738*L738/60</f>
        <v>471.527777777778</v>
      </c>
    </row>
    <row r="739" customFormat="false" ht="15" hidden="false" customHeight="false" outlineLevel="0" collapsed="false">
      <c r="A739" s="216"/>
      <c r="B739" s="78"/>
      <c r="C739" s="1161" t="s">
        <v>6975</v>
      </c>
      <c r="D739" s="912" t="n">
        <v>2006</v>
      </c>
      <c r="E739" s="317" t="n">
        <f aca="false">2021-D739</f>
        <v>15</v>
      </c>
      <c r="F739" s="547" t="n">
        <v>147200</v>
      </c>
      <c r="G739" s="1413" t="n">
        <v>0.1</v>
      </c>
      <c r="H739" s="547" t="n">
        <f aca="false">E739*F739*G739</f>
        <v>220800</v>
      </c>
      <c r="I739" s="547" t="n">
        <f aca="false">F739-H739</f>
        <v>-73600</v>
      </c>
      <c r="J739" s="547" t="n">
        <f aca="false">F739*G739</f>
        <v>14720</v>
      </c>
      <c r="K739" s="1365" t="n">
        <f aca="false">J739/1792.8</f>
        <v>8.21062025881303</v>
      </c>
      <c r="L739" s="547" t="n">
        <v>30</v>
      </c>
      <c r="M739" s="819" t="n">
        <f aca="false">K739*L739/60</f>
        <v>4.10531012940652</v>
      </c>
    </row>
    <row r="740" customFormat="false" ht="15" hidden="false" customHeight="false" outlineLevel="0" collapsed="false">
      <c r="A740" s="216"/>
      <c r="B740" s="78"/>
      <c r="C740" s="1161" t="s">
        <v>6979</v>
      </c>
      <c r="D740" s="912" t="n">
        <v>2005</v>
      </c>
      <c r="E740" s="317" t="n">
        <f aca="false">2021-D740</f>
        <v>16</v>
      </c>
      <c r="F740" s="547" t="n">
        <v>1400000</v>
      </c>
      <c r="G740" s="1413" t="n">
        <v>0.1</v>
      </c>
      <c r="H740" s="547" t="n">
        <f aca="false">E740*F740*G740</f>
        <v>2240000</v>
      </c>
      <c r="I740" s="547" t="n">
        <f aca="false">F740-H740</f>
        <v>-840000</v>
      </c>
      <c r="J740" s="547" t="n">
        <f aca="false">F740*G740</f>
        <v>140000</v>
      </c>
      <c r="K740" s="1365" t="n">
        <f aca="false">J740/1792.8</f>
        <v>78.0901383311022</v>
      </c>
      <c r="L740" s="547" t="n">
        <v>30</v>
      </c>
      <c r="M740" s="819" t="n">
        <f aca="false">K740*L740/60</f>
        <v>39.0450691655511</v>
      </c>
    </row>
    <row r="741" customFormat="false" ht="15" hidden="false" customHeight="false" outlineLevel="0" collapsed="false">
      <c r="A741" s="216"/>
      <c r="B741" s="78"/>
      <c r="C741" s="1161" t="s">
        <v>6934</v>
      </c>
      <c r="D741" s="912" t="n">
        <v>2007</v>
      </c>
      <c r="E741" s="317" t="n">
        <f aca="false">2021-D741</f>
        <v>14</v>
      </c>
      <c r="F741" s="873" t="n">
        <v>491000</v>
      </c>
      <c r="G741" s="1413" t="n">
        <v>0.1</v>
      </c>
      <c r="H741" s="547" t="n">
        <f aca="false">E741*F741*G741</f>
        <v>687400</v>
      </c>
      <c r="I741" s="547" t="n">
        <f aca="false">F741-H741</f>
        <v>-196400</v>
      </c>
      <c r="J741" s="547" t="n">
        <f aca="false">F741*G741</f>
        <v>49100</v>
      </c>
      <c r="K741" s="1365" t="n">
        <f aca="false">J741/1792.8</f>
        <v>27.3873270861223</v>
      </c>
      <c r="L741" s="547" t="n">
        <v>10</v>
      </c>
      <c r="M741" s="819" t="n">
        <f aca="false">K741*L741/60</f>
        <v>4.56455451435371</v>
      </c>
    </row>
    <row r="742" customFormat="false" ht="15" hidden="false" customHeight="false" outlineLevel="0" collapsed="false">
      <c r="A742" s="216"/>
      <c r="B742" s="78"/>
      <c r="C742" s="1161" t="s">
        <v>6999</v>
      </c>
      <c r="D742" s="912" t="n">
        <v>2007</v>
      </c>
      <c r="E742" s="317" t="n">
        <f aca="false">2021-D742</f>
        <v>14</v>
      </c>
      <c r="F742" s="873" t="n">
        <v>450000</v>
      </c>
      <c r="G742" s="1413" t="n">
        <v>0.1</v>
      </c>
      <c r="H742" s="547" t="n">
        <f aca="false">E742*F742*G742</f>
        <v>630000</v>
      </c>
      <c r="I742" s="547" t="n">
        <f aca="false">F742-H742</f>
        <v>-180000</v>
      </c>
      <c r="J742" s="547" t="n">
        <f aca="false">F742*G742</f>
        <v>45000</v>
      </c>
      <c r="K742" s="1365" t="n">
        <f aca="false">J742/1792.8</f>
        <v>25.1004016064257</v>
      </c>
      <c r="L742" s="547" t="n">
        <v>13</v>
      </c>
      <c r="M742" s="819" t="n">
        <f aca="false">K742*L742/60</f>
        <v>5.4384203480589</v>
      </c>
    </row>
    <row r="743" customFormat="false" ht="15" hidden="false" customHeight="false" outlineLevel="0" collapsed="false">
      <c r="A743" s="216"/>
      <c r="B743" s="972" t="s">
        <v>4128</v>
      </c>
      <c r="C743" s="1160"/>
      <c r="D743" s="391"/>
      <c r="E743" s="317"/>
      <c r="F743" s="714"/>
      <c r="G743" s="1414"/>
      <c r="H743" s="547"/>
      <c r="I743" s="547"/>
      <c r="J743" s="547"/>
      <c r="K743" s="1365" t="n">
        <f aca="false">J743/1792.8</f>
        <v>0</v>
      </c>
      <c r="L743" s="714"/>
      <c r="M743" s="934" t="n">
        <f aca="false">M738+M739+M740+M741+M742</f>
        <v>524.681131935148</v>
      </c>
    </row>
    <row r="744" customFormat="false" ht="15" hidden="false" customHeight="false" outlineLevel="0" collapsed="false">
      <c r="A744" s="216" t="s">
        <v>544</v>
      </c>
      <c r="B744" s="29" t="s">
        <v>3103</v>
      </c>
      <c r="C744" s="1161" t="s">
        <v>4568</v>
      </c>
      <c r="D744" s="912" t="n">
        <v>2007</v>
      </c>
      <c r="E744" s="317" t="n">
        <f aca="false">2021-D744</f>
        <v>14</v>
      </c>
      <c r="F744" s="873" t="n">
        <v>5635700</v>
      </c>
      <c r="G744" s="1413" t="n">
        <v>0.1</v>
      </c>
      <c r="H744" s="547" t="n">
        <f aca="false">E744*F744*G744</f>
        <v>7889980</v>
      </c>
      <c r="I744" s="547" t="n">
        <f aca="false">F744-H744</f>
        <v>-2254280</v>
      </c>
      <c r="J744" s="547" t="n">
        <f aca="false">F744*G744</f>
        <v>563570</v>
      </c>
      <c r="K744" s="1365" t="n">
        <f aca="false">J744/1792.8</f>
        <v>314.351851851852</v>
      </c>
      <c r="L744" s="547" t="n">
        <v>90</v>
      </c>
      <c r="M744" s="819" t="n">
        <f aca="false">K744*L744/60</f>
        <v>471.527777777778</v>
      </c>
    </row>
    <row r="745" customFormat="false" ht="15" hidden="false" customHeight="false" outlineLevel="0" collapsed="false">
      <c r="A745" s="216"/>
      <c r="B745" s="78"/>
      <c r="C745" s="1161" t="s">
        <v>6975</v>
      </c>
      <c r="D745" s="912" t="n">
        <v>2006</v>
      </c>
      <c r="E745" s="317" t="n">
        <f aca="false">2021-D745</f>
        <v>15</v>
      </c>
      <c r="F745" s="547" t="n">
        <v>147200</v>
      </c>
      <c r="G745" s="1413" t="n">
        <v>0.1</v>
      </c>
      <c r="H745" s="547" t="n">
        <f aca="false">E745*F745*G745</f>
        <v>220800</v>
      </c>
      <c r="I745" s="547" t="n">
        <f aca="false">F745-H745</f>
        <v>-73600</v>
      </c>
      <c r="J745" s="547" t="n">
        <f aca="false">F745*G745</f>
        <v>14720</v>
      </c>
      <c r="K745" s="1365" t="n">
        <f aca="false">J745/1792.8</f>
        <v>8.21062025881303</v>
      </c>
      <c r="L745" s="547" t="n">
        <v>30</v>
      </c>
      <c r="M745" s="819" t="n">
        <f aca="false">K745*L745/60</f>
        <v>4.10531012940652</v>
      </c>
    </row>
    <row r="746" customFormat="false" ht="15" hidden="false" customHeight="false" outlineLevel="0" collapsed="false">
      <c r="A746" s="216"/>
      <c r="B746" s="78"/>
      <c r="C746" s="1161" t="s">
        <v>6979</v>
      </c>
      <c r="D746" s="912" t="n">
        <v>2005</v>
      </c>
      <c r="E746" s="317" t="n">
        <f aca="false">2021-D746</f>
        <v>16</v>
      </c>
      <c r="F746" s="547" t="n">
        <v>1400000</v>
      </c>
      <c r="G746" s="1413" t="n">
        <v>0.1</v>
      </c>
      <c r="H746" s="547" t="n">
        <f aca="false">E746*F746*G746</f>
        <v>2240000</v>
      </c>
      <c r="I746" s="547" t="n">
        <f aca="false">F746-H746</f>
        <v>-840000</v>
      </c>
      <c r="J746" s="547" t="n">
        <f aca="false">F746*G746</f>
        <v>140000</v>
      </c>
      <c r="K746" s="1365" t="n">
        <f aca="false">J746/1792.8</f>
        <v>78.0901383311022</v>
      </c>
      <c r="L746" s="547" t="n">
        <v>30</v>
      </c>
      <c r="M746" s="819" t="n">
        <f aca="false">K746*L746/60</f>
        <v>39.0450691655511</v>
      </c>
    </row>
    <row r="747" customFormat="false" ht="15" hidden="false" customHeight="false" outlineLevel="0" collapsed="false">
      <c r="A747" s="216"/>
      <c r="B747" s="78"/>
      <c r="C747" s="1161" t="s">
        <v>6934</v>
      </c>
      <c r="D747" s="912" t="n">
        <v>2007</v>
      </c>
      <c r="E747" s="317" t="n">
        <f aca="false">2021-D747</f>
        <v>14</v>
      </c>
      <c r="F747" s="873" t="n">
        <v>491000</v>
      </c>
      <c r="G747" s="1413" t="n">
        <v>0.1</v>
      </c>
      <c r="H747" s="547" t="n">
        <f aca="false">E747*F747*G747</f>
        <v>687400</v>
      </c>
      <c r="I747" s="547" t="n">
        <f aca="false">F747-H747</f>
        <v>-196400</v>
      </c>
      <c r="J747" s="547" t="n">
        <f aca="false">F747*G747</f>
        <v>49100</v>
      </c>
      <c r="K747" s="1365" t="n">
        <f aca="false">J747/1792.8</f>
        <v>27.3873270861223</v>
      </c>
      <c r="L747" s="547" t="n">
        <v>10</v>
      </c>
      <c r="M747" s="819" t="n">
        <f aca="false">K747*L747/60</f>
        <v>4.56455451435371</v>
      </c>
    </row>
    <row r="748" customFormat="false" ht="15" hidden="false" customHeight="false" outlineLevel="0" collapsed="false">
      <c r="A748" s="216"/>
      <c r="B748" s="78"/>
      <c r="C748" s="1161" t="s">
        <v>6999</v>
      </c>
      <c r="D748" s="912" t="n">
        <v>2007</v>
      </c>
      <c r="E748" s="317" t="n">
        <f aca="false">2021-D748</f>
        <v>14</v>
      </c>
      <c r="F748" s="873" t="n">
        <v>450000</v>
      </c>
      <c r="G748" s="1413" t="n">
        <v>0.1</v>
      </c>
      <c r="H748" s="547" t="n">
        <f aca="false">E748*F748*G748</f>
        <v>630000</v>
      </c>
      <c r="I748" s="547" t="n">
        <f aca="false">F748-H748</f>
        <v>-180000</v>
      </c>
      <c r="J748" s="547" t="n">
        <f aca="false">F748*G748</f>
        <v>45000</v>
      </c>
      <c r="K748" s="1365" t="n">
        <f aca="false">J748/1792.8</f>
        <v>25.1004016064257</v>
      </c>
      <c r="L748" s="547" t="n">
        <v>13</v>
      </c>
      <c r="M748" s="819" t="n">
        <f aca="false">K748*L748/60</f>
        <v>5.4384203480589</v>
      </c>
    </row>
    <row r="749" customFormat="false" ht="15" hidden="false" customHeight="false" outlineLevel="0" collapsed="false">
      <c r="A749" s="216"/>
      <c r="B749" s="972" t="s">
        <v>4128</v>
      </c>
      <c r="C749" s="1160"/>
      <c r="D749" s="391"/>
      <c r="E749" s="317"/>
      <c r="F749" s="714"/>
      <c r="G749" s="1414"/>
      <c r="H749" s="547"/>
      <c r="I749" s="547"/>
      <c r="J749" s="547"/>
      <c r="K749" s="1365" t="n">
        <f aca="false">J749/1792.8</f>
        <v>0</v>
      </c>
      <c r="L749" s="714"/>
      <c r="M749" s="934" t="n">
        <f aca="false">M744+M745+M746+M747+M748</f>
        <v>524.681131935148</v>
      </c>
    </row>
    <row r="750" customFormat="false" ht="15" hidden="false" customHeight="false" outlineLevel="0" collapsed="false">
      <c r="A750" s="216" t="s">
        <v>546</v>
      </c>
      <c r="B750" s="29" t="s">
        <v>3104</v>
      </c>
      <c r="C750" s="1161" t="s">
        <v>6974</v>
      </c>
      <c r="D750" s="912" t="n">
        <v>2006</v>
      </c>
      <c r="E750" s="317" t="n">
        <f aca="false">2021-D750</f>
        <v>15</v>
      </c>
      <c r="F750" s="547" t="n">
        <v>526970</v>
      </c>
      <c r="G750" s="1413" t="n">
        <v>0.1</v>
      </c>
      <c r="H750" s="547" t="n">
        <f aca="false">E750*F750*G750</f>
        <v>790455</v>
      </c>
      <c r="I750" s="547" t="n">
        <f aca="false">F750-H750</f>
        <v>-263485</v>
      </c>
      <c r="J750" s="547" t="n">
        <f aca="false">F750*G750</f>
        <v>52697</v>
      </c>
      <c r="K750" s="1365" t="n">
        <f aca="false">J750/1792.8</f>
        <v>29.3936858545292</v>
      </c>
      <c r="L750" s="547" t="n">
        <v>15</v>
      </c>
      <c r="M750" s="819" t="n">
        <f aca="false">K750*L750/60</f>
        <v>7.34842146363231</v>
      </c>
    </row>
    <row r="751" customFormat="false" ht="15" hidden="false" customHeight="false" outlineLevel="0" collapsed="false">
      <c r="A751" s="216"/>
      <c r="B751" s="78"/>
      <c r="C751" s="1161" t="s">
        <v>4568</v>
      </c>
      <c r="D751" s="912" t="n">
        <v>2007</v>
      </c>
      <c r="E751" s="317" t="n">
        <f aca="false">2021-D751</f>
        <v>14</v>
      </c>
      <c r="F751" s="873" t="n">
        <v>5635700</v>
      </c>
      <c r="G751" s="1413" t="n">
        <v>0.1</v>
      </c>
      <c r="H751" s="547" t="n">
        <f aca="false">E751*F751*G751</f>
        <v>7889980</v>
      </c>
      <c r="I751" s="547" t="n">
        <f aca="false">F751-H751</f>
        <v>-2254280</v>
      </c>
      <c r="J751" s="547" t="n">
        <f aca="false">F751*G751</f>
        <v>563570</v>
      </c>
      <c r="K751" s="1365" t="n">
        <f aca="false">J751/1792.8</f>
        <v>314.351851851852</v>
      </c>
      <c r="L751" s="547" t="n">
        <v>90</v>
      </c>
      <c r="M751" s="819" t="n">
        <f aca="false">K751*L751/60</f>
        <v>471.527777777778</v>
      </c>
    </row>
    <row r="752" customFormat="false" ht="15" hidden="false" customHeight="false" outlineLevel="0" collapsed="false">
      <c r="A752" s="216"/>
      <c r="B752" s="78"/>
      <c r="C752" s="1161" t="s">
        <v>6975</v>
      </c>
      <c r="D752" s="912" t="n">
        <v>2006</v>
      </c>
      <c r="E752" s="317" t="n">
        <f aca="false">2021-D752</f>
        <v>15</v>
      </c>
      <c r="F752" s="547" t="n">
        <v>147200</v>
      </c>
      <c r="G752" s="1413" t="n">
        <v>0.1</v>
      </c>
      <c r="H752" s="547" t="n">
        <f aca="false">E752*F752*G752</f>
        <v>220800</v>
      </c>
      <c r="I752" s="547" t="n">
        <f aca="false">F752-H752</f>
        <v>-73600</v>
      </c>
      <c r="J752" s="547" t="n">
        <f aca="false">F752*G752</f>
        <v>14720</v>
      </c>
      <c r="K752" s="1365" t="n">
        <f aca="false">J752/1792.8</f>
        <v>8.21062025881303</v>
      </c>
      <c r="L752" s="547" t="n">
        <v>30</v>
      </c>
      <c r="M752" s="819" t="n">
        <f aca="false">K752*L752/60</f>
        <v>4.10531012940652</v>
      </c>
    </row>
    <row r="753" customFormat="false" ht="15" hidden="false" customHeight="false" outlineLevel="0" collapsed="false">
      <c r="A753" s="216"/>
      <c r="B753" s="78"/>
      <c r="C753" s="1161" t="s">
        <v>6979</v>
      </c>
      <c r="D753" s="912" t="n">
        <v>2005</v>
      </c>
      <c r="E753" s="317" t="n">
        <f aca="false">2021-D753</f>
        <v>16</v>
      </c>
      <c r="F753" s="547" t="n">
        <v>1400000</v>
      </c>
      <c r="G753" s="1413" t="n">
        <v>0.1</v>
      </c>
      <c r="H753" s="547" t="n">
        <f aca="false">E753*F753*G753</f>
        <v>2240000</v>
      </c>
      <c r="I753" s="547" t="n">
        <f aca="false">F753-H753</f>
        <v>-840000</v>
      </c>
      <c r="J753" s="547" t="n">
        <f aca="false">F753*G753</f>
        <v>140000</v>
      </c>
      <c r="K753" s="1365" t="n">
        <f aca="false">J753/1792.8</f>
        <v>78.0901383311022</v>
      </c>
      <c r="L753" s="547" t="n">
        <v>30</v>
      </c>
      <c r="M753" s="819" t="n">
        <f aca="false">K753*L753/60</f>
        <v>39.0450691655511</v>
      </c>
    </row>
    <row r="754" customFormat="false" ht="15" hidden="false" customHeight="false" outlineLevel="0" collapsed="false">
      <c r="A754" s="216"/>
      <c r="B754" s="78"/>
      <c r="C754" s="1161" t="s">
        <v>6934</v>
      </c>
      <c r="D754" s="912" t="n">
        <v>2007</v>
      </c>
      <c r="E754" s="317" t="n">
        <f aca="false">2021-D754</f>
        <v>14</v>
      </c>
      <c r="F754" s="873" t="n">
        <v>491000</v>
      </c>
      <c r="G754" s="1413" t="n">
        <v>0.1</v>
      </c>
      <c r="H754" s="547" t="n">
        <f aca="false">E754*F754*G754</f>
        <v>687400</v>
      </c>
      <c r="I754" s="547" t="n">
        <f aca="false">F754-H754</f>
        <v>-196400</v>
      </c>
      <c r="J754" s="547" t="n">
        <f aca="false">F754*G754</f>
        <v>49100</v>
      </c>
      <c r="K754" s="1365" t="n">
        <f aca="false">J754/1792.8</f>
        <v>27.3873270861223</v>
      </c>
      <c r="L754" s="547" t="n">
        <v>10</v>
      </c>
      <c r="M754" s="819" t="n">
        <f aca="false">K754*L754/60</f>
        <v>4.56455451435371</v>
      </c>
    </row>
    <row r="755" customFormat="false" ht="15" hidden="false" customHeight="false" outlineLevel="0" collapsed="false">
      <c r="A755" s="216"/>
      <c r="B755" s="78"/>
      <c r="C755" s="1161" t="s">
        <v>6943</v>
      </c>
      <c r="D755" s="912" t="n">
        <v>2006</v>
      </c>
      <c r="E755" s="317" t="n">
        <f aca="false">2021-D755</f>
        <v>15</v>
      </c>
      <c r="F755" s="547" t="n">
        <v>1503927</v>
      </c>
      <c r="G755" s="1413" t="n">
        <v>0.1</v>
      </c>
      <c r="H755" s="547" t="n">
        <f aca="false">E755*F755*G755</f>
        <v>2255890.5</v>
      </c>
      <c r="I755" s="547" t="n">
        <f aca="false">F755-H755</f>
        <v>-751963.5</v>
      </c>
      <c r="J755" s="547" t="n">
        <f aca="false">F755*G755</f>
        <v>150392.7</v>
      </c>
      <c r="K755" s="1365" t="n">
        <f aca="false">J755/1792.8</f>
        <v>83.8870481927711</v>
      </c>
      <c r="L755" s="547" t="n">
        <v>40</v>
      </c>
      <c r="M755" s="819" t="n">
        <f aca="false">K755*L755/60</f>
        <v>55.9246987951807</v>
      </c>
    </row>
    <row r="756" customFormat="false" ht="15" hidden="false" customHeight="false" outlineLevel="0" collapsed="false">
      <c r="A756" s="216"/>
      <c r="B756" s="972" t="s">
        <v>4128</v>
      </c>
      <c r="C756" s="1160"/>
      <c r="D756" s="391"/>
      <c r="E756" s="317"/>
      <c r="F756" s="714"/>
      <c r="G756" s="1414"/>
      <c r="H756" s="547"/>
      <c r="I756" s="547"/>
      <c r="J756" s="547"/>
      <c r="K756" s="1365" t="n">
        <f aca="false">J756/1792.8</f>
        <v>0</v>
      </c>
      <c r="L756" s="714"/>
      <c r="M756" s="934" t="n">
        <f aca="false">M750+M751+M752+M753+M754+M755</f>
        <v>582.515831845902</v>
      </c>
    </row>
    <row r="757" customFormat="false" ht="15" hidden="false" customHeight="false" outlineLevel="0" collapsed="false">
      <c r="A757" s="216" t="s">
        <v>4751</v>
      </c>
      <c r="B757" s="29" t="s">
        <v>3105</v>
      </c>
      <c r="C757" s="1161" t="s">
        <v>6974</v>
      </c>
      <c r="D757" s="912" t="n">
        <v>2006</v>
      </c>
      <c r="E757" s="317" t="n">
        <f aca="false">2021-D757</f>
        <v>15</v>
      </c>
      <c r="F757" s="547" t="n">
        <v>526970</v>
      </c>
      <c r="G757" s="1413" t="n">
        <v>0.1</v>
      </c>
      <c r="H757" s="547" t="n">
        <f aca="false">E757*F757*G757</f>
        <v>790455</v>
      </c>
      <c r="I757" s="547" t="n">
        <f aca="false">F757-H757</f>
        <v>-263485</v>
      </c>
      <c r="J757" s="547" t="n">
        <f aca="false">F757*G757</f>
        <v>52697</v>
      </c>
      <c r="K757" s="1365" t="n">
        <f aca="false">J757/1792.8</f>
        <v>29.3936858545292</v>
      </c>
      <c r="L757" s="547" t="n">
        <v>15</v>
      </c>
      <c r="M757" s="819" t="n">
        <f aca="false">K757*L757/60</f>
        <v>7.34842146363231</v>
      </c>
    </row>
    <row r="758" customFormat="false" ht="15" hidden="false" customHeight="false" outlineLevel="0" collapsed="false">
      <c r="A758" s="216"/>
      <c r="B758" s="78"/>
      <c r="C758" s="1161" t="s">
        <v>4568</v>
      </c>
      <c r="D758" s="912" t="n">
        <v>2007</v>
      </c>
      <c r="E758" s="317" t="n">
        <f aca="false">2021-D758</f>
        <v>14</v>
      </c>
      <c r="F758" s="873" t="n">
        <v>5635700</v>
      </c>
      <c r="G758" s="1413" t="n">
        <v>0.1</v>
      </c>
      <c r="H758" s="547" t="n">
        <f aca="false">E758*F758*G758</f>
        <v>7889980</v>
      </c>
      <c r="I758" s="547" t="n">
        <f aca="false">F758-H758</f>
        <v>-2254280</v>
      </c>
      <c r="J758" s="547" t="n">
        <f aca="false">F758*G758</f>
        <v>563570</v>
      </c>
      <c r="K758" s="1365" t="n">
        <f aca="false">J758/1792.8</f>
        <v>314.351851851852</v>
      </c>
      <c r="L758" s="547" t="n">
        <v>150</v>
      </c>
      <c r="M758" s="819" t="n">
        <f aca="false">K758*L758/60</f>
        <v>785.87962962963</v>
      </c>
    </row>
    <row r="759" customFormat="false" ht="15" hidden="false" customHeight="false" outlineLevel="0" collapsed="false">
      <c r="A759" s="216"/>
      <c r="B759" s="78"/>
      <c r="C759" s="1161" t="s">
        <v>6934</v>
      </c>
      <c r="D759" s="912" t="n">
        <v>2007</v>
      </c>
      <c r="E759" s="317" t="n">
        <f aca="false">2021-D759</f>
        <v>14</v>
      </c>
      <c r="F759" s="873" t="n">
        <v>491000</v>
      </c>
      <c r="G759" s="1413" t="n">
        <v>0.1</v>
      </c>
      <c r="H759" s="547" t="n">
        <f aca="false">E759*F759*G759</f>
        <v>687400</v>
      </c>
      <c r="I759" s="547" t="n">
        <f aca="false">F759-H759</f>
        <v>-196400</v>
      </c>
      <c r="J759" s="547" t="n">
        <f aca="false">F759*G759</f>
        <v>49100</v>
      </c>
      <c r="K759" s="1365" t="n">
        <f aca="false">J759/1792.8</f>
        <v>27.3873270861223</v>
      </c>
      <c r="L759" s="547" t="n">
        <v>10</v>
      </c>
      <c r="M759" s="819" t="n">
        <f aca="false">K759*L759/60</f>
        <v>4.56455451435371</v>
      </c>
    </row>
    <row r="760" customFormat="false" ht="15" hidden="false" customHeight="false" outlineLevel="0" collapsed="false">
      <c r="A760" s="216"/>
      <c r="B760" s="78"/>
      <c r="C760" s="1161" t="s">
        <v>6999</v>
      </c>
      <c r="D760" s="912" t="n">
        <v>2007</v>
      </c>
      <c r="E760" s="317" t="n">
        <f aca="false">2021-D760</f>
        <v>14</v>
      </c>
      <c r="F760" s="873" t="n">
        <v>450000</v>
      </c>
      <c r="G760" s="1413" t="n">
        <v>0.1</v>
      </c>
      <c r="H760" s="547" t="n">
        <f aca="false">E760*F760*G760</f>
        <v>630000</v>
      </c>
      <c r="I760" s="547" t="n">
        <f aca="false">F760-H760</f>
        <v>-180000</v>
      </c>
      <c r="J760" s="547" t="n">
        <f aca="false">F760*G760</f>
        <v>45000</v>
      </c>
      <c r="K760" s="1365" t="n">
        <f aca="false">J760/1792.8</f>
        <v>25.1004016064257</v>
      </c>
      <c r="L760" s="547" t="n">
        <v>13</v>
      </c>
      <c r="M760" s="819" t="n">
        <f aca="false">K760*L760/60</f>
        <v>5.4384203480589</v>
      </c>
    </row>
    <row r="761" customFormat="false" ht="15" hidden="false" customHeight="false" outlineLevel="0" collapsed="false">
      <c r="A761" s="216"/>
      <c r="B761" s="972" t="s">
        <v>4128</v>
      </c>
      <c r="C761" s="1160"/>
      <c r="D761" s="391"/>
      <c r="E761" s="317"/>
      <c r="F761" s="714"/>
      <c r="G761" s="1414"/>
      <c r="H761" s="547"/>
      <c r="I761" s="547"/>
      <c r="J761" s="547"/>
      <c r="K761" s="1365" t="n">
        <f aca="false">J761/1792.8</f>
        <v>0</v>
      </c>
      <c r="L761" s="714"/>
      <c r="M761" s="934" t="n">
        <f aca="false">M757+M758+M759+M760</f>
        <v>803.231025955675</v>
      </c>
    </row>
    <row r="762" customFormat="false" ht="30" hidden="false" customHeight="false" outlineLevel="0" collapsed="false">
      <c r="A762" s="216" t="s">
        <v>550</v>
      </c>
      <c r="B762" s="29" t="s">
        <v>3106</v>
      </c>
      <c r="C762" s="1161" t="s">
        <v>7000</v>
      </c>
      <c r="D762" s="912" t="n">
        <v>2003</v>
      </c>
      <c r="E762" s="317" t="n">
        <f aca="false">2021-D762</f>
        <v>18</v>
      </c>
      <c r="F762" s="547" t="n">
        <v>1000000</v>
      </c>
      <c r="G762" s="1413" t="n">
        <v>0.1</v>
      </c>
      <c r="H762" s="547" t="n">
        <f aca="false">E762*F762*G762</f>
        <v>1800000</v>
      </c>
      <c r="I762" s="547" t="n">
        <f aca="false">F762-H762</f>
        <v>-800000</v>
      </c>
      <c r="J762" s="547" t="n">
        <f aca="false">F762*G762</f>
        <v>100000</v>
      </c>
      <c r="K762" s="1365" t="n">
        <f aca="false">J762/1792.8</f>
        <v>55.7786702365016</v>
      </c>
      <c r="L762" s="547" t="n">
        <v>180</v>
      </c>
      <c r="M762" s="819" t="n">
        <f aca="false">K762*L762/60</f>
        <v>167.336010709505</v>
      </c>
    </row>
    <row r="763" customFormat="false" ht="15" hidden="false" customHeight="false" outlineLevel="0" collapsed="false">
      <c r="A763" s="216"/>
      <c r="B763" s="78"/>
      <c r="C763" s="1161" t="s">
        <v>6934</v>
      </c>
      <c r="D763" s="912" t="n">
        <v>2007</v>
      </c>
      <c r="E763" s="317" t="n">
        <f aca="false">2021-D763</f>
        <v>14</v>
      </c>
      <c r="F763" s="873" t="n">
        <v>491000</v>
      </c>
      <c r="G763" s="1413" t="n">
        <v>0.1</v>
      </c>
      <c r="H763" s="547" t="n">
        <f aca="false">E763*F763*G763</f>
        <v>687400</v>
      </c>
      <c r="I763" s="547" t="n">
        <f aca="false">F763-H763</f>
        <v>-196400</v>
      </c>
      <c r="J763" s="547" t="n">
        <f aca="false">F763*G763</f>
        <v>49100</v>
      </c>
      <c r="K763" s="1365" t="n">
        <f aca="false">J763/1792.8</f>
        <v>27.3873270861223</v>
      </c>
      <c r="L763" s="547" t="n">
        <v>10</v>
      </c>
      <c r="M763" s="819" t="n">
        <f aca="false">K763*L763/60</f>
        <v>4.56455451435371</v>
      </c>
    </row>
    <row r="764" customFormat="false" ht="15" hidden="false" customHeight="false" outlineLevel="0" collapsed="false">
      <c r="A764" s="216"/>
      <c r="B764" s="972" t="s">
        <v>4128</v>
      </c>
      <c r="C764" s="1160"/>
      <c r="D764" s="391"/>
      <c r="E764" s="317"/>
      <c r="F764" s="714"/>
      <c r="G764" s="1414"/>
      <c r="H764" s="547"/>
      <c r="I764" s="547"/>
      <c r="J764" s="547"/>
      <c r="K764" s="1365" t="n">
        <f aca="false">J764/1792.8</f>
        <v>0</v>
      </c>
      <c r="L764" s="714"/>
      <c r="M764" s="934" t="n">
        <f aca="false">M762+M763</f>
        <v>171.900565223858</v>
      </c>
    </row>
    <row r="765" customFormat="false" ht="15" hidden="false" customHeight="false" outlineLevel="0" collapsed="false">
      <c r="A765" s="216" t="s">
        <v>7001</v>
      </c>
      <c r="B765" s="29" t="s">
        <v>3107</v>
      </c>
      <c r="C765" s="1161" t="s">
        <v>6934</v>
      </c>
      <c r="D765" s="912" t="n">
        <v>2007</v>
      </c>
      <c r="E765" s="317" t="n">
        <f aca="false">2021-D765</f>
        <v>14</v>
      </c>
      <c r="F765" s="873" t="n">
        <v>491000</v>
      </c>
      <c r="G765" s="1413" t="n">
        <v>0.1</v>
      </c>
      <c r="H765" s="547" t="n">
        <f aca="false">E765*F765*G765</f>
        <v>687400</v>
      </c>
      <c r="I765" s="547" t="n">
        <f aca="false">F765-H765</f>
        <v>-196400</v>
      </c>
      <c r="J765" s="547" t="n">
        <f aca="false">F765*G765</f>
        <v>49100</v>
      </c>
      <c r="K765" s="1365" t="n">
        <f aca="false">J765/1792.8</f>
        <v>27.3873270861223</v>
      </c>
      <c r="L765" s="547" t="n">
        <v>10</v>
      </c>
      <c r="M765" s="819" t="n">
        <f aca="false">K765*L765/60</f>
        <v>4.56455451435371</v>
      </c>
    </row>
    <row r="766" customFormat="false" ht="15" hidden="false" customHeight="false" outlineLevel="0" collapsed="false">
      <c r="A766" s="216"/>
      <c r="B766" s="78"/>
      <c r="C766" s="1161" t="s">
        <v>6997</v>
      </c>
      <c r="D766" s="912" t="n">
        <v>2009</v>
      </c>
      <c r="E766" s="317" t="n">
        <f aca="false">2021-D766</f>
        <v>12</v>
      </c>
      <c r="F766" s="547" t="n">
        <v>181000</v>
      </c>
      <c r="G766" s="1413" t="n">
        <v>0.1</v>
      </c>
      <c r="H766" s="547" t="n">
        <f aca="false">E766*F766*G766</f>
        <v>217200</v>
      </c>
      <c r="I766" s="547" t="n">
        <f aca="false">F766-H766</f>
        <v>-36200</v>
      </c>
      <c r="J766" s="547" t="n">
        <f aca="false">F766*G766</f>
        <v>18100</v>
      </c>
      <c r="K766" s="1365" t="n">
        <f aca="false">J766/1792.8</f>
        <v>10.0959393128068</v>
      </c>
      <c r="L766" s="547" t="n">
        <v>15</v>
      </c>
      <c r="M766" s="819" t="n">
        <f aca="false">K766*L766/60</f>
        <v>2.5239848282017</v>
      </c>
    </row>
    <row r="767" customFormat="false" ht="15" hidden="false" customHeight="false" outlineLevel="0" collapsed="false">
      <c r="A767" s="216"/>
      <c r="B767" s="78"/>
      <c r="C767" s="1161" t="s">
        <v>6999</v>
      </c>
      <c r="D767" s="912" t="n">
        <v>2007</v>
      </c>
      <c r="E767" s="317" t="n">
        <f aca="false">2021-D767</f>
        <v>14</v>
      </c>
      <c r="F767" s="873" t="n">
        <v>450000</v>
      </c>
      <c r="G767" s="1413" t="n">
        <v>0.1</v>
      </c>
      <c r="H767" s="547" t="n">
        <f aca="false">E767*F767*G767</f>
        <v>630000</v>
      </c>
      <c r="I767" s="547" t="n">
        <f aca="false">F767-H767</f>
        <v>-180000</v>
      </c>
      <c r="J767" s="547" t="n">
        <f aca="false">F767*G767</f>
        <v>45000</v>
      </c>
      <c r="K767" s="1365" t="n">
        <f aca="false">J767/1792.8</f>
        <v>25.1004016064257</v>
      </c>
      <c r="L767" s="547" t="n">
        <v>13</v>
      </c>
      <c r="M767" s="819" t="n">
        <f aca="false">K767*L767/60</f>
        <v>5.4384203480589</v>
      </c>
    </row>
    <row r="768" customFormat="false" ht="15" hidden="false" customHeight="false" outlineLevel="0" collapsed="false">
      <c r="A768" s="216"/>
      <c r="B768" s="972" t="s">
        <v>4128</v>
      </c>
      <c r="C768" s="1160"/>
      <c r="D768" s="391"/>
      <c r="E768" s="317"/>
      <c r="F768" s="714"/>
      <c r="G768" s="1414"/>
      <c r="H768" s="547"/>
      <c r="I768" s="547"/>
      <c r="J768" s="547"/>
      <c r="K768" s="1365" t="n">
        <f aca="false">J768/1792.8</f>
        <v>0</v>
      </c>
      <c r="L768" s="714"/>
      <c r="M768" s="934" t="n">
        <f aca="false">M765+M766+M767</f>
        <v>12.5269596906143</v>
      </c>
    </row>
    <row r="769" customFormat="false" ht="15" hidden="false" customHeight="false" outlineLevel="0" collapsed="false">
      <c r="A769" s="216" t="s">
        <v>554</v>
      </c>
      <c r="B769" s="29" t="s">
        <v>3108</v>
      </c>
      <c r="C769" s="1161" t="s">
        <v>6940</v>
      </c>
      <c r="D769" s="912" t="n">
        <v>2005</v>
      </c>
      <c r="E769" s="317" t="n">
        <f aca="false">2021-D769</f>
        <v>16</v>
      </c>
      <c r="F769" s="547" t="n">
        <v>560000</v>
      </c>
      <c r="G769" s="1413" t="n">
        <v>0.1</v>
      </c>
      <c r="H769" s="547" t="n">
        <f aca="false">E769*F769*G769</f>
        <v>896000</v>
      </c>
      <c r="I769" s="547" t="n">
        <f aca="false">F769-H769</f>
        <v>-336000</v>
      </c>
      <c r="J769" s="547" t="n">
        <f aca="false">F769*G769</f>
        <v>56000</v>
      </c>
      <c r="K769" s="1365" t="n">
        <f aca="false">J769/1792.8</f>
        <v>31.2360553324409</v>
      </c>
      <c r="L769" s="547" t="n">
        <v>40</v>
      </c>
      <c r="M769" s="819" t="n">
        <f aca="false">K769*L769/60</f>
        <v>20.8240368882939</v>
      </c>
    </row>
    <row r="770" customFormat="false" ht="15" hidden="false" customHeight="false" outlineLevel="0" collapsed="false">
      <c r="A770" s="216"/>
      <c r="B770" s="78"/>
      <c r="C770" s="1161" t="s">
        <v>6934</v>
      </c>
      <c r="D770" s="912" t="n">
        <v>2007</v>
      </c>
      <c r="E770" s="317" t="n">
        <f aca="false">2021-D770</f>
        <v>14</v>
      </c>
      <c r="F770" s="873" t="n">
        <v>491000</v>
      </c>
      <c r="G770" s="1413" t="n">
        <v>0.1</v>
      </c>
      <c r="H770" s="547" t="n">
        <f aca="false">E770*F770*G770</f>
        <v>687400</v>
      </c>
      <c r="I770" s="547" t="n">
        <f aca="false">F770-H770</f>
        <v>-196400</v>
      </c>
      <c r="J770" s="547" t="n">
        <f aca="false">F770*G770</f>
        <v>49100</v>
      </c>
      <c r="K770" s="1365" t="n">
        <f aca="false">J770/1792.8</f>
        <v>27.3873270861223</v>
      </c>
      <c r="L770" s="547" t="n">
        <v>10</v>
      </c>
      <c r="M770" s="819" t="n">
        <f aca="false">K770*L770/60</f>
        <v>4.56455451435371</v>
      </c>
    </row>
    <row r="771" customFormat="false" ht="15" hidden="false" customHeight="false" outlineLevel="0" collapsed="false">
      <c r="A771" s="216"/>
      <c r="B771" s="78"/>
      <c r="C771" s="1161" t="s">
        <v>6935</v>
      </c>
      <c r="D771" s="912" t="n">
        <v>2005</v>
      </c>
      <c r="E771" s="317" t="n">
        <f aca="false">2021-D771</f>
        <v>16</v>
      </c>
      <c r="F771" s="547" t="n">
        <v>98600</v>
      </c>
      <c r="G771" s="1413" t="n">
        <v>0.1</v>
      </c>
      <c r="H771" s="547" t="n">
        <f aca="false">E771*F771*G771</f>
        <v>157760</v>
      </c>
      <c r="I771" s="547" t="n">
        <f aca="false">F771-H771</f>
        <v>-59160</v>
      </c>
      <c r="J771" s="547" t="n">
        <f aca="false">F771*G771</f>
        <v>9860</v>
      </c>
      <c r="K771" s="1365" t="n">
        <f aca="false">J771/1792.8</f>
        <v>5.49977688531905</v>
      </c>
      <c r="L771" s="547" t="n">
        <v>30</v>
      </c>
      <c r="M771" s="819" t="n">
        <f aca="false">K771*L771/60</f>
        <v>2.74988844265953</v>
      </c>
    </row>
    <row r="772" customFormat="false" ht="15" hidden="false" customHeight="false" outlineLevel="0" collapsed="false">
      <c r="A772" s="216"/>
      <c r="B772" s="972" t="s">
        <v>4128</v>
      </c>
      <c r="C772" s="1160"/>
      <c r="D772" s="391"/>
      <c r="E772" s="317"/>
      <c r="F772" s="714"/>
      <c r="G772" s="1414"/>
      <c r="H772" s="547"/>
      <c r="I772" s="547"/>
      <c r="J772" s="547"/>
      <c r="K772" s="1365" t="n">
        <f aca="false">J772/1792.8</f>
        <v>0</v>
      </c>
      <c r="L772" s="714"/>
      <c r="M772" s="934" t="n">
        <f aca="false">M769+M770+M771</f>
        <v>28.1384798453072</v>
      </c>
    </row>
    <row r="773" customFormat="false" ht="15" hidden="false" customHeight="false" outlineLevel="0" collapsed="false">
      <c r="A773" s="216" t="s">
        <v>556</v>
      </c>
      <c r="B773" s="29" t="s">
        <v>3109</v>
      </c>
      <c r="C773" s="1161" t="s">
        <v>7002</v>
      </c>
      <c r="D773" s="912" t="n">
        <v>2003</v>
      </c>
      <c r="E773" s="317" t="n">
        <f aca="false">2021-D773</f>
        <v>18</v>
      </c>
      <c r="F773" s="547" t="n">
        <v>1000000</v>
      </c>
      <c r="G773" s="1413" t="n">
        <v>0.1</v>
      </c>
      <c r="H773" s="547" t="n">
        <f aca="false">F773</f>
        <v>1000000</v>
      </c>
      <c r="I773" s="547" t="n">
        <f aca="false">F773-H773</f>
        <v>0</v>
      </c>
      <c r="J773" s="547" t="n">
        <f aca="false">F773*G773</f>
        <v>100000</v>
      </c>
      <c r="K773" s="1365" t="n">
        <f aca="false">J773/1792.8</f>
        <v>55.7786702365016</v>
      </c>
      <c r="L773" s="547" t="n">
        <v>20</v>
      </c>
      <c r="M773" s="819" t="n">
        <f aca="false">K773*L773/60</f>
        <v>18.5928900788339</v>
      </c>
    </row>
    <row r="774" customFormat="false" ht="15" hidden="false" customHeight="false" outlineLevel="0" collapsed="false">
      <c r="A774" s="216"/>
      <c r="B774" s="78"/>
      <c r="C774" s="1161" t="s">
        <v>6934</v>
      </c>
      <c r="D774" s="912" t="n">
        <v>2007</v>
      </c>
      <c r="E774" s="317" t="n">
        <f aca="false">2021-D774</f>
        <v>14</v>
      </c>
      <c r="F774" s="873" t="n">
        <v>491000</v>
      </c>
      <c r="G774" s="1413" t="n">
        <v>0.1</v>
      </c>
      <c r="H774" s="547" t="n">
        <f aca="false">E774*F774*G774</f>
        <v>687400</v>
      </c>
      <c r="I774" s="547" t="n">
        <f aca="false">F774-H774</f>
        <v>-196400</v>
      </c>
      <c r="J774" s="547" t="n">
        <f aca="false">F774*G774</f>
        <v>49100</v>
      </c>
      <c r="K774" s="1365" t="n">
        <f aca="false">J774/1792.8</f>
        <v>27.3873270861223</v>
      </c>
      <c r="L774" s="547" t="n">
        <v>10</v>
      </c>
      <c r="M774" s="819" t="n">
        <f aca="false">K774*L774/60</f>
        <v>4.56455451435371</v>
      </c>
    </row>
    <row r="775" customFormat="false" ht="15" hidden="false" customHeight="false" outlineLevel="0" collapsed="false">
      <c r="A775" s="216"/>
      <c r="B775" s="972" t="s">
        <v>4128</v>
      </c>
      <c r="C775" s="1160"/>
      <c r="D775" s="391"/>
      <c r="E775" s="317"/>
      <c r="F775" s="714"/>
      <c r="G775" s="1414"/>
      <c r="H775" s="547"/>
      <c r="I775" s="547"/>
      <c r="J775" s="547"/>
      <c r="K775" s="1365" t="n">
        <f aca="false">J775/1792.8</f>
        <v>0</v>
      </c>
      <c r="L775" s="714"/>
      <c r="M775" s="934" t="n">
        <f aca="false">M773+M774</f>
        <v>23.1574445931876</v>
      </c>
    </row>
    <row r="776" customFormat="false" ht="15" hidden="false" customHeight="false" outlineLevel="0" collapsed="false">
      <c r="A776" s="216" t="s">
        <v>7003</v>
      </c>
      <c r="B776" s="29" t="s">
        <v>3110</v>
      </c>
      <c r="C776" s="1161" t="s">
        <v>6940</v>
      </c>
      <c r="D776" s="912" t="n">
        <v>2005</v>
      </c>
      <c r="E776" s="317" t="n">
        <f aca="false">2021-D776</f>
        <v>16</v>
      </c>
      <c r="F776" s="547" t="n">
        <v>560000</v>
      </c>
      <c r="G776" s="1413" t="n">
        <v>0.1</v>
      </c>
      <c r="H776" s="547" t="n">
        <f aca="false">E776*F776*G776</f>
        <v>896000</v>
      </c>
      <c r="I776" s="547" t="n">
        <f aca="false">F776-H776</f>
        <v>-336000</v>
      </c>
      <c r="J776" s="547" t="n">
        <f aca="false">F776*G776</f>
        <v>56000</v>
      </c>
      <c r="K776" s="1365" t="n">
        <f aca="false">J776/1792.8</f>
        <v>31.2360553324409</v>
      </c>
      <c r="L776" s="547" t="n">
        <v>30</v>
      </c>
      <c r="M776" s="819" t="n">
        <f aca="false">K776*L776/60</f>
        <v>15.6180276662204</v>
      </c>
    </row>
    <row r="777" customFormat="false" ht="15" hidden="false" customHeight="false" outlineLevel="0" collapsed="false">
      <c r="A777" s="216"/>
      <c r="B777" s="78"/>
      <c r="C777" s="1161" t="s">
        <v>6934</v>
      </c>
      <c r="D777" s="912" t="n">
        <v>2007</v>
      </c>
      <c r="E777" s="317" t="n">
        <f aca="false">2021-D777</f>
        <v>14</v>
      </c>
      <c r="F777" s="873" t="n">
        <v>491000</v>
      </c>
      <c r="G777" s="1413" t="n">
        <v>0.1</v>
      </c>
      <c r="H777" s="547" t="n">
        <f aca="false">E777*F777*G777</f>
        <v>687400</v>
      </c>
      <c r="I777" s="547" t="n">
        <f aca="false">F777-H777</f>
        <v>-196400</v>
      </c>
      <c r="J777" s="547" t="n">
        <f aca="false">F777*G777</f>
        <v>49100</v>
      </c>
      <c r="K777" s="1365" t="n">
        <f aca="false">J777/1792.8</f>
        <v>27.3873270861223</v>
      </c>
      <c r="L777" s="547" t="n">
        <v>10</v>
      </c>
      <c r="M777" s="819" t="n">
        <f aca="false">K777*L777/60</f>
        <v>4.56455451435371</v>
      </c>
    </row>
    <row r="778" customFormat="false" ht="15" hidden="false" customHeight="false" outlineLevel="0" collapsed="false">
      <c r="A778" s="216"/>
      <c r="B778" s="78"/>
      <c r="C778" s="1161" t="s">
        <v>6980</v>
      </c>
      <c r="D778" s="912" t="n">
        <v>2005</v>
      </c>
      <c r="E778" s="317" t="n">
        <f aca="false">2021-D778</f>
        <v>16</v>
      </c>
      <c r="F778" s="547" t="n">
        <v>98600</v>
      </c>
      <c r="G778" s="1413" t="n">
        <v>0.1</v>
      </c>
      <c r="H778" s="547" t="n">
        <f aca="false">E778*F778*G778</f>
        <v>157760</v>
      </c>
      <c r="I778" s="547" t="n">
        <f aca="false">F778-H778</f>
        <v>-59160</v>
      </c>
      <c r="J778" s="547" t="n">
        <f aca="false">F778*G778</f>
        <v>9860</v>
      </c>
      <c r="K778" s="1365" t="n">
        <f aca="false">J778/1792.8</f>
        <v>5.49977688531905</v>
      </c>
      <c r="L778" s="547" t="n">
        <v>20</v>
      </c>
      <c r="M778" s="819" t="n">
        <f aca="false">K778*L778/60</f>
        <v>1.83325896177302</v>
      </c>
    </row>
    <row r="779" customFormat="false" ht="15" hidden="false" customHeight="false" outlineLevel="0" collapsed="false">
      <c r="A779" s="216"/>
      <c r="B779" s="972" t="s">
        <v>4128</v>
      </c>
      <c r="C779" s="1160"/>
      <c r="D779" s="391"/>
      <c r="E779" s="317"/>
      <c r="F779" s="714"/>
      <c r="G779" s="1414"/>
      <c r="H779" s="547"/>
      <c r="I779" s="547"/>
      <c r="J779" s="547"/>
      <c r="K779" s="1365" t="n">
        <f aca="false">J779/1792.8</f>
        <v>0</v>
      </c>
      <c r="L779" s="714"/>
      <c r="M779" s="934" t="n">
        <f aca="false">M776+M777+M778</f>
        <v>22.0158411423472</v>
      </c>
    </row>
    <row r="780" customFormat="false" ht="15" hidden="false" customHeight="false" outlineLevel="0" collapsed="false">
      <c r="A780" s="216" t="s">
        <v>560</v>
      </c>
      <c r="B780" s="40" t="s">
        <v>3111</v>
      </c>
      <c r="C780" s="1161" t="s">
        <v>6934</v>
      </c>
      <c r="D780" s="912" t="n">
        <v>2007</v>
      </c>
      <c r="E780" s="317" t="n">
        <f aca="false">2021-D780</f>
        <v>14</v>
      </c>
      <c r="F780" s="873" t="n">
        <v>491000</v>
      </c>
      <c r="G780" s="1413" t="n">
        <v>0.1</v>
      </c>
      <c r="H780" s="547" t="n">
        <f aca="false">E780*F780*G780</f>
        <v>687400</v>
      </c>
      <c r="I780" s="547" t="n">
        <f aca="false">F780-H780</f>
        <v>-196400</v>
      </c>
      <c r="J780" s="547" t="n">
        <f aca="false">F780*G780</f>
        <v>49100</v>
      </c>
      <c r="K780" s="1365" t="n">
        <f aca="false">J780/1792.8</f>
        <v>27.3873270861223</v>
      </c>
      <c r="L780" s="547" t="n">
        <v>10</v>
      </c>
      <c r="M780" s="934" t="n">
        <f aca="false">K780*L780/60</f>
        <v>4.56455451435371</v>
      </c>
    </row>
    <row r="781" customFormat="false" ht="15" hidden="false" customHeight="false" outlineLevel="0" collapsed="false">
      <c r="A781" s="216" t="s">
        <v>562</v>
      </c>
      <c r="B781" s="40" t="s">
        <v>3112</v>
      </c>
      <c r="C781" s="1161" t="s">
        <v>6975</v>
      </c>
      <c r="D781" s="912" t="n">
        <v>2006</v>
      </c>
      <c r="E781" s="317" t="n">
        <f aca="false">2021-D781</f>
        <v>15</v>
      </c>
      <c r="F781" s="547" t="n">
        <v>147200</v>
      </c>
      <c r="G781" s="1413" t="n">
        <v>0.1</v>
      </c>
      <c r="H781" s="547" t="n">
        <f aca="false">E781*F781*G781</f>
        <v>220800</v>
      </c>
      <c r="I781" s="547" t="n">
        <f aca="false">F781-H781</f>
        <v>-73600</v>
      </c>
      <c r="J781" s="547" t="n">
        <f aca="false">F781*G781</f>
        <v>14720</v>
      </c>
      <c r="K781" s="1365" t="n">
        <f aca="false">J781/1792.8</f>
        <v>8.21062025881303</v>
      </c>
      <c r="L781" s="547" t="n">
        <v>30</v>
      </c>
      <c r="M781" s="819" t="n">
        <f aca="false">K781*L781/60</f>
        <v>4.10531012940652</v>
      </c>
    </row>
    <row r="782" customFormat="false" ht="15" hidden="false" customHeight="false" outlineLevel="0" collapsed="false">
      <c r="A782" s="216"/>
      <c r="B782" s="40"/>
      <c r="C782" s="1161" t="s">
        <v>6934</v>
      </c>
      <c r="D782" s="912" t="n">
        <v>2007</v>
      </c>
      <c r="E782" s="317" t="n">
        <f aca="false">2021-D782</f>
        <v>14</v>
      </c>
      <c r="F782" s="873" t="n">
        <v>491000</v>
      </c>
      <c r="G782" s="1413" t="n">
        <v>0.1</v>
      </c>
      <c r="H782" s="547" t="n">
        <f aca="false">E782*F782*G782</f>
        <v>687400</v>
      </c>
      <c r="I782" s="547" t="n">
        <f aca="false">F782-H782</f>
        <v>-196400</v>
      </c>
      <c r="J782" s="547" t="n">
        <f aca="false">F782*G782</f>
        <v>49100</v>
      </c>
      <c r="K782" s="1365" t="n">
        <f aca="false">J782/1792.8</f>
        <v>27.3873270861223</v>
      </c>
      <c r="L782" s="547" t="n">
        <v>10</v>
      </c>
      <c r="M782" s="819" t="n">
        <f aca="false">K782*L782/60</f>
        <v>4.56455451435371</v>
      </c>
    </row>
    <row r="783" customFormat="false" ht="15" hidden="false" customHeight="false" outlineLevel="0" collapsed="false">
      <c r="A783" s="216"/>
      <c r="B783" s="1160" t="s">
        <v>4128</v>
      </c>
      <c r="C783" s="1161"/>
      <c r="D783" s="912"/>
      <c r="E783" s="317"/>
      <c r="F783" s="873"/>
      <c r="G783" s="1413"/>
      <c r="H783" s="547"/>
      <c r="I783" s="547"/>
      <c r="J783" s="547"/>
      <c r="K783" s="1365" t="n">
        <f aca="false">J783/1792.8</f>
        <v>0</v>
      </c>
      <c r="L783" s="547"/>
      <c r="M783" s="934" t="n">
        <f aca="false">M781+M782</f>
        <v>8.66986464376023</v>
      </c>
    </row>
    <row r="784" customFormat="false" ht="15" hidden="false" customHeight="false" outlineLevel="0" collapsed="false">
      <c r="A784" s="216" t="s">
        <v>7004</v>
      </c>
      <c r="B784" s="40" t="s">
        <v>3113</v>
      </c>
      <c r="C784" s="40" t="s">
        <v>7005</v>
      </c>
      <c r="D784" s="912" t="n">
        <v>2007</v>
      </c>
      <c r="E784" s="317" t="n">
        <f aca="false">2021-D784</f>
        <v>14</v>
      </c>
      <c r="F784" s="873" t="n">
        <v>491000</v>
      </c>
      <c r="G784" s="1413" t="n">
        <v>0.1</v>
      </c>
      <c r="H784" s="547" t="n">
        <f aca="false">E784*F784*G784</f>
        <v>687400</v>
      </c>
      <c r="I784" s="547" t="n">
        <f aca="false">F784-H784</f>
        <v>-196400</v>
      </c>
      <c r="J784" s="547" t="n">
        <f aca="false">F784*G784</f>
        <v>49100</v>
      </c>
      <c r="K784" s="1365" t="n">
        <f aca="false">J784/1792.8</f>
        <v>27.3873270861223</v>
      </c>
      <c r="L784" s="547" t="n">
        <v>10</v>
      </c>
      <c r="M784" s="819" t="n">
        <f aca="false">K784*L784/60</f>
        <v>4.56455451435371</v>
      </c>
    </row>
    <row r="785" customFormat="false" ht="15" hidden="false" customHeight="false" outlineLevel="0" collapsed="false">
      <c r="A785" s="216"/>
      <c r="B785" s="40"/>
      <c r="C785" s="1161" t="s">
        <v>7006</v>
      </c>
      <c r="D785" s="912" t="n">
        <v>2003</v>
      </c>
      <c r="E785" s="317" t="n">
        <f aca="false">2021-D785</f>
        <v>18</v>
      </c>
      <c r="F785" s="547" t="n">
        <v>1000000</v>
      </c>
      <c r="G785" s="1413" t="n">
        <v>0.1</v>
      </c>
      <c r="H785" s="547" t="n">
        <f aca="false">E785*F785*G785</f>
        <v>1800000</v>
      </c>
      <c r="I785" s="547" t="n">
        <f aca="false">F785-H785</f>
        <v>-800000</v>
      </c>
      <c r="J785" s="547" t="n">
        <f aca="false">F785*G785</f>
        <v>100000</v>
      </c>
      <c r="K785" s="1365" t="n">
        <f aca="false">J785/1792.8</f>
        <v>55.7786702365016</v>
      </c>
      <c r="L785" s="547" t="n">
        <v>120</v>
      </c>
      <c r="M785" s="819" t="n">
        <f aca="false">K785*L785/60</f>
        <v>111.557340473003</v>
      </c>
    </row>
    <row r="786" customFormat="false" ht="15" hidden="false" customHeight="false" outlineLevel="0" collapsed="false">
      <c r="A786" s="216"/>
      <c r="B786" s="40"/>
      <c r="C786" s="1161" t="s">
        <v>7006</v>
      </c>
      <c r="D786" s="912" t="n">
        <v>2003</v>
      </c>
      <c r="E786" s="317" t="n">
        <f aca="false">2021-D786</f>
        <v>18</v>
      </c>
      <c r="F786" s="547" t="n">
        <v>1000000</v>
      </c>
      <c r="G786" s="1413" t="n">
        <v>0.1</v>
      </c>
      <c r="H786" s="547" t="n">
        <f aca="false">E786*F786*G786</f>
        <v>1800000</v>
      </c>
      <c r="I786" s="547" t="n">
        <f aca="false">F786-H786</f>
        <v>-800000</v>
      </c>
      <c r="J786" s="547" t="n">
        <f aca="false">F786*G786</f>
        <v>100000</v>
      </c>
      <c r="K786" s="1365" t="n">
        <f aca="false">J786/1792.8</f>
        <v>55.7786702365016</v>
      </c>
      <c r="L786" s="547" t="n">
        <v>120</v>
      </c>
      <c r="M786" s="819" t="n">
        <f aca="false">K786*L786/60</f>
        <v>111.557340473003</v>
      </c>
    </row>
    <row r="787" customFormat="false" ht="15" hidden="false" customHeight="false" outlineLevel="0" collapsed="false">
      <c r="A787" s="216"/>
      <c r="B787" s="1160" t="s">
        <v>4128</v>
      </c>
      <c r="C787" s="1160"/>
      <c r="D787" s="391"/>
      <c r="E787" s="317"/>
      <c r="F787" s="714"/>
      <c r="G787" s="1414"/>
      <c r="H787" s="547"/>
      <c r="I787" s="547"/>
      <c r="J787" s="547"/>
      <c r="K787" s="1365" t="n">
        <f aca="false">J787/1792.8</f>
        <v>0</v>
      </c>
      <c r="L787" s="714"/>
      <c r="M787" s="934" t="n">
        <f aca="false">M784+M785+M786</f>
        <v>227.67923546036</v>
      </c>
    </row>
    <row r="788" customFormat="false" ht="15" hidden="false" customHeight="false" outlineLevel="0" collapsed="false">
      <c r="A788" s="216" t="s">
        <v>566</v>
      </c>
      <c r="B788" s="40" t="s">
        <v>567</v>
      </c>
      <c r="C788" s="40" t="s">
        <v>7005</v>
      </c>
      <c r="D788" s="912" t="n">
        <v>2007</v>
      </c>
      <c r="E788" s="317" t="n">
        <f aca="false">2021-D788</f>
        <v>14</v>
      </c>
      <c r="F788" s="873" t="n">
        <v>491000</v>
      </c>
      <c r="G788" s="1413" t="n">
        <v>0.1</v>
      </c>
      <c r="H788" s="547" t="n">
        <f aca="false">E788*F788*G788</f>
        <v>687400</v>
      </c>
      <c r="I788" s="547" t="n">
        <f aca="false">F788-H788</f>
        <v>-196400</v>
      </c>
      <c r="J788" s="547" t="n">
        <f aca="false">F788*G788</f>
        <v>49100</v>
      </c>
      <c r="K788" s="1365" t="n">
        <f aca="false">J788/1792.8</f>
        <v>27.3873270861223</v>
      </c>
      <c r="L788" s="547" t="n">
        <v>10</v>
      </c>
      <c r="M788" s="819" t="n">
        <f aca="false">K788*L788/60</f>
        <v>4.56455451435371</v>
      </c>
    </row>
    <row r="789" customFormat="false" ht="15" hidden="false" customHeight="false" outlineLevel="0" collapsed="false">
      <c r="A789" s="216"/>
      <c r="B789" s="40"/>
      <c r="C789" s="1161" t="s">
        <v>7006</v>
      </c>
      <c r="D789" s="912" t="n">
        <v>2003</v>
      </c>
      <c r="E789" s="317" t="n">
        <f aca="false">2021-D789</f>
        <v>18</v>
      </c>
      <c r="F789" s="547" t="n">
        <v>1000000</v>
      </c>
      <c r="G789" s="1413" t="n">
        <v>0.1</v>
      </c>
      <c r="H789" s="547" t="n">
        <f aca="false">E789*F789*G789</f>
        <v>1800000</v>
      </c>
      <c r="I789" s="547" t="n">
        <f aca="false">F789-H789</f>
        <v>-800000</v>
      </c>
      <c r="J789" s="547" t="n">
        <f aca="false">F789*G789</f>
        <v>100000</v>
      </c>
      <c r="K789" s="1365" t="n">
        <f aca="false">J789/1792.8</f>
        <v>55.7786702365016</v>
      </c>
      <c r="L789" s="547" t="n">
        <v>30</v>
      </c>
      <c r="M789" s="819" t="n">
        <f aca="false">K789*L789/60</f>
        <v>27.8893351182508</v>
      </c>
    </row>
    <row r="790" customFormat="false" ht="15" hidden="false" customHeight="false" outlineLevel="0" collapsed="false">
      <c r="A790" s="216"/>
      <c r="B790" s="1160" t="s">
        <v>4128</v>
      </c>
      <c r="C790" s="1160"/>
      <c r="D790" s="912"/>
      <c r="E790" s="317"/>
      <c r="F790" s="547"/>
      <c r="G790" s="1413"/>
      <c r="H790" s="547"/>
      <c r="I790" s="547"/>
      <c r="J790" s="547"/>
      <c r="K790" s="1365" t="n">
        <f aca="false">J790/1792.8</f>
        <v>0</v>
      </c>
      <c r="L790" s="547"/>
      <c r="M790" s="934" t="n">
        <f aca="false">M788+M789</f>
        <v>32.4538896326045</v>
      </c>
    </row>
    <row r="791" customFormat="false" ht="15" hidden="false" customHeight="false" outlineLevel="0" collapsed="false">
      <c r="A791" s="216" t="s">
        <v>568</v>
      </c>
      <c r="B791" s="40" t="s">
        <v>7007</v>
      </c>
      <c r="C791" s="40" t="s">
        <v>7005</v>
      </c>
      <c r="D791" s="912" t="n">
        <v>2007</v>
      </c>
      <c r="E791" s="317" t="n">
        <f aca="false">2021-D791</f>
        <v>14</v>
      </c>
      <c r="F791" s="873" t="n">
        <v>491000</v>
      </c>
      <c r="G791" s="1413" t="n">
        <v>0.1</v>
      </c>
      <c r="H791" s="547" t="n">
        <f aca="false">E791*F791*G791</f>
        <v>687400</v>
      </c>
      <c r="I791" s="547" t="n">
        <f aca="false">F791-H791</f>
        <v>-196400</v>
      </c>
      <c r="J791" s="547" t="n">
        <f aca="false">F791*G791</f>
        <v>49100</v>
      </c>
      <c r="K791" s="1365" t="n">
        <f aca="false">J791/1792.8</f>
        <v>27.3873270861223</v>
      </c>
      <c r="L791" s="547" t="n">
        <v>10</v>
      </c>
      <c r="M791" s="934" t="n">
        <f aca="false">K791*L791/60</f>
        <v>4.56455451435371</v>
      </c>
    </row>
    <row r="792" customFormat="false" ht="15" hidden="false" customHeight="false" outlineLevel="0" collapsed="false">
      <c r="A792" s="216" t="s">
        <v>570</v>
      </c>
      <c r="B792" s="40" t="s">
        <v>3115</v>
      </c>
      <c r="C792" s="40" t="s">
        <v>7008</v>
      </c>
      <c r="D792" s="912" t="n">
        <v>2007</v>
      </c>
      <c r="E792" s="317" t="n">
        <f aca="false">2021-D792</f>
        <v>14</v>
      </c>
      <c r="F792" s="873" t="n">
        <v>491000</v>
      </c>
      <c r="G792" s="1413" t="n">
        <v>0.1</v>
      </c>
      <c r="H792" s="547" t="n">
        <f aca="false">E792*F792*G792</f>
        <v>687400</v>
      </c>
      <c r="I792" s="547" t="n">
        <f aca="false">F792-H792</f>
        <v>-196400</v>
      </c>
      <c r="J792" s="547" t="n">
        <f aca="false">F792*G792</f>
        <v>49100</v>
      </c>
      <c r="K792" s="1365" t="n">
        <f aca="false">J792/1792.8</f>
        <v>27.3873270861223</v>
      </c>
      <c r="L792" s="547" t="n">
        <v>10</v>
      </c>
      <c r="M792" s="934" t="n">
        <f aca="false">K792*L792/60</f>
        <v>4.56455451435371</v>
      </c>
    </row>
    <row r="793" customFormat="false" ht="30" hidden="false" customHeight="false" outlineLevel="0" collapsed="false">
      <c r="A793" s="216" t="s">
        <v>572</v>
      </c>
      <c r="B793" s="40" t="s">
        <v>3116</v>
      </c>
      <c r="C793" s="40" t="s">
        <v>7008</v>
      </c>
      <c r="D793" s="912" t="n">
        <v>2007</v>
      </c>
      <c r="E793" s="317" t="n">
        <f aca="false">2021-D793</f>
        <v>14</v>
      </c>
      <c r="F793" s="873" t="n">
        <v>491000</v>
      </c>
      <c r="G793" s="1413" t="n">
        <v>0.1</v>
      </c>
      <c r="H793" s="547" t="n">
        <f aca="false">E793*F793*G793</f>
        <v>687400</v>
      </c>
      <c r="I793" s="547" t="n">
        <f aca="false">F793-H793</f>
        <v>-196400</v>
      </c>
      <c r="J793" s="547" t="n">
        <f aca="false">F793*G793</f>
        <v>49100</v>
      </c>
      <c r="K793" s="1365" t="n">
        <f aca="false">J793/1792.8</f>
        <v>27.3873270861223</v>
      </c>
      <c r="L793" s="547" t="n">
        <v>10</v>
      </c>
      <c r="M793" s="934" t="n">
        <f aca="false">K793*L793/60</f>
        <v>4.56455451435371</v>
      </c>
    </row>
    <row r="794" customFormat="false" ht="15" hidden="false" customHeight="false" outlineLevel="0" collapsed="false">
      <c r="A794" s="216" t="s">
        <v>574</v>
      </c>
      <c r="B794" s="40" t="s">
        <v>3117</v>
      </c>
      <c r="C794" s="40" t="s">
        <v>7005</v>
      </c>
      <c r="D794" s="912" t="n">
        <v>2007</v>
      </c>
      <c r="E794" s="317" t="n">
        <f aca="false">2021-D794</f>
        <v>14</v>
      </c>
      <c r="F794" s="873" t="n">
        <v>491000</v>
      </c>
      <c r="G794" s="1413" t="n">
        <v>0.1</v>
      </c>
      <c r="H794" s="547" t="n">
        <f aca="false">E794*F794*G794</f>
        <v>687400</v>
      </c>
      <c r="I794" s="547" t="n">
        <f aca="false">F794-H794</f>
        <v>-196400</v>
      </c>
      <c r="J794" s="547" t="n">
        <f aca="false">F794*G794</f>
        <v>49100</v>
      </c>
      <c r="K794" s="1365" t="n">
        <f aca="false">J794/1792.8</f>
        <v>27.3873270861223</v>
      </c>
      <c r="L794" s="547" t="n">
        <v>10</v>
      </c>
      <c r="M794" s="819" t="n">
        <f aca="false">K794*L794/60</f>
        <v>4.56455451435371</v>
      </c>
    </row>
    <row r="795" customFormat="false" ht="15" hidden="false" customHeight="false" outlineLevel="0" collapsed="false">
      <c r="A795" s="216"/>
      <c r="B795" s="40"/>
      <c r="C795" s="1161" t="s">
        <v>7006</v>
      </c>
      <c r="D795" s="912" t="n">
        <v>2014</v>
      </c>
      <c r="E795" s="317" t="n">
        <f aca="false">2021-D795</f>
        <v>7</v>
      </c>
      <c r="F795" s="547" t="n">
        <v>55465060</v>
      </c>
      <c r="G795" s="1413" t="n">
        <v>0.1</v>
      </c>
      <c r="H795" s="547" t="n">
        <f aca="false">E795*F795*G795</f>
        <v>38825542</v>
      </c>
      <c r="I795" s="547" t="n">
        <f aca="false">F795-H795</f>
        <v>16639518</v>
      </c>
      <c r="J795" s="547" t="n">
        <f aca="false">F795*G795</f>
        <v>5546506</v>
      </c>
      <c r="K795" s="1365" t="n">
        <f aca="false">J795/1792.8</f>
        <v>3093.76729138777</v>
      </c>
      <c r="L795" s="547" t="n">
        <v>12</v>
      </c>
      <c r="M795" s="819" t="n">
        <f aca="false">K795*L795/60</f>
        <v>618.753458277555</v>
      </c>
    </row>
    <row r="796" customFormat="false" ht="15" hidden="false" customHeight="false" outlineLevel="0" collapsed="false">
      <c r="A796" s="216"/>
      <c r="B796" s="1160" t="s">
        <v>4128</v>
      </c>
      <c r="C796" s="1161"/>
      <c r="D796" s="912"/>
      <c r="E796" s="317"/>
      <c r="F796" s="547"/>
      <c r="G796" s="1413"/>
      <c r="H796" s="547"/>
      <c r="I796" s="547"/>
      <c r="J796" s="547"/>
      <c r="K796" s="1365" t="n">
        <f aca="false">J796/1792.8</f>
        <v>0</v>
      </c>
      <c r="L796" s="714"/>
      <c r="M796" s="934" t="n">
        <f aca="false">M794+M795</f>
        <v>623.318012791909</v>
      </c>
    </row>
    <row r="797" customFormat="false" ht="15" hidden="false" customHeight="false" outlineLevel="0" collapsed="false">
      <c r="A797" s="216" t="s">
        <v>576</v>
      </c>
      <c r="B797" s="40" t="s">
        <v>3118</v>
      </c>
      <c r="C797" s="40" t="s">
        <v>7005</v>
      </c>
      <c r="D797" s="912" t="n">
        <v>2007</v>
      </c>
      <c r="E797" s="317" t="n">
        <f aca="false">2021-D797</f>
        <v>14</v>
      </c>
      <c r="F797" s="873" t="n">
        <v>491000</v>
      </c>
      <c r="G797" s="1413" t="n">
        <v>0.1</v>
      </c>
      <c r="H797" s="547" t="n">
        <f aca="false">E797*F797*G797</f>
        <v>687400</v>
      </c>
      <c r="I797" s="547" t="n">
        <f aca="false">F797-H797</f>
        <v>-196400</v>
      </c>
      <c r="J797" s="547" t="n">
        <f aca="false">F797*G797</f>
        <v>49100</v>
      </c>
      <c r="K797" s="1365" t="n">
        <f aca="false">J797/1792.8</f>
        <v>27.3873270861223</v>
      </c>
      <c r="L797" s="547" t="n">
        <v>10</v>
      </c>
      <c r="M797" s="819" t="n">
        <f aca="false">K797*L797/60</f>
        <v>4.56455451435371</v>
      </c>
    </row>
    <row r="798" customFormat="false" ht="15" hidden="false" customHeight="false" outlineLevel="0" collapsed="false">
      <c r="A798" s="216"/>
      <c r="B798" s="40"/>
      <c r="C798" s="1161" t="s">
        <v>7006</v>
      </c>
      <c r="D798" s="912" t="n">
        <v>2014</v>
      </c>
      <c r="E798" s="317" t="n">
        <f aca="false">2021-D798</f>
        <v>7</v>
      </c>
      <c r="F798" s="547" t="n">
        <v>55465060</v>
      </c>
      <c r="G798" s="1413" t="n">
        <v>0.1</v>
      </c>
      <c r="H798" s="547" t="n">
        <f aca="false">E798*F798*G798</f>
        <v>38825542</v>
      </c>
      <c r="I798" s="547" t="n">
        <f aca="false">F798-H798</f>
        <v>16639518</v>
      </c>
      <c r="J798" s="547" t="n">
        <f aca="false">F798*G798</f>
        <v>5546506</v>
      </c>
      <c r="K798" s="1365" t="n">
        <f aca="false">J798/1792.8</f>
        <v>3093.76729138777</v>
      </c>
      <c r="L798" s="547" t="n">
        <v>10</v>
      </c>
      <c r="M798" s="819" t="n">
        <f aca="false">K798*L798/60</f>
        <v>515.627881897962</v>
      </c>
    </row>
    <row r="799" customFormat="false" ht="15" hidden="false" customHeight="false" outlineLevel="0" collapsed="false">
      <c r="A799" s="216"/>
      <c r="B799" s="1160" t="s">
        <v>4128</v>
      </c>
      <c r="C799" s="1161"/>
      <c r="D799" s="912"/>
      <c r="E799" s="317"/>
      <c r="F799" s="547"/>
      <c r="G799" s="1413"/>
      <c r="H799" s="547"/>
      <c r="I799" s="547"/>
      <c r="J799" s="547"/>
      <c r="K799" s="1365" t="n">
        <f aca="false">J799/1792.8</f>
        <v>0</v>
      </c>
      <c r="L799" s="714"/>
      <c r="M799" s="934" t="n">
        <f aca="false">M797+M798</f>
        <v>520.192436412316</v>
      </c>
    </row>
    <row r="800" customFormat="false" ht="15" hidden="false" customHeight="false" outlineLevel="0" collapsed="false">
      <c r="A800" s="216" t="s">
        <v>578</v>
      </c>
      <c r="B800" s="40" t="s">
        <v>3119</v>
      </c>
      <c r="C800" s="40" t="s">
        <v>7005</v>
      </c>
      <c r="D800" s="912" t="n">
        <v>2007</v>
      </c>
      <c r="E800" s="317" t="n">
        <f aca="false">2021-D800</f>
        <v>14</v>
      </c>
      <c r="F800" s="873" t="n">
        <v>491000</v>
      </c>
      <c r="G800" s="1413" t="n">
        <v>0.1</v>
      </c>
      <c r="H800" s="547" t="n">
        <f aca="false">E800*F800*G800</f>
        <v>687400</v>
      </c>
      <c r="I800" s="547" t="n">
        <f aca="false">F800-H800</f>
        <v>-196400</v>
      </c>
      <c r="J800" s="547" t="n">
        <f aca="false">F800*G800</f>
        <v>49100</v>
      </c>
      <c r="K800" s="1365" t="n">
        <f aca="false">J800/1792.8</f>
        <v>27.3873270861223</v>
      </c>
      <c r="L800" s="547" t="n">
        <v>10</v>
      </c>
      <c r="M800" s="819" t="n">
        <f aca="false">K800*L800/60</f>
        <v>4.56455451435371</v>
      </c>
    </row>
    <row r="801" customFormat="false" ht="15" hidden="false" customHeight="false" outlineLevel="0" collapsed="false">
      <c r="A801" s="216"/>
      <c r="B801" s="40"/>
      <c r="C801" s="1161" t="s">
        <v>7009</v>
      </c>
      <c r="D801" s="391"/>
      <c r="E801" s="317"/>
      <c r="F801" s="714"/>
      <c r="G801" s="1414"/>
      <c r="H801" s="547" t="n">
        <f aca="false">E801*F801*G801</f>
        <v>0</v>
      </c>
      <c r="I801" s="547" t="n">
        <f aca="false">F801-H801</f>
        <v>0</v>
      </c>
      <c r="J801" s="547" t="n">
        <f aca="false">F801*G801</f>
        <v>0</v>
      </c>
      <c r="K801" s="1365" t="n">
        <f aca="false">J801/1792.8</f>
        <v>0</v>
      </c>
      <c r="L801" s="714"/>
      <c r="M801" s="819" t="n">
        <f aca="false">K801*L801/60</f>
        <v>0</v>
      </c>
    </row>
    <row r="802" customFormat="false" ht="15" hidden="false" customHeight="false" outlineLevel="0" collapsed="false">
      <c r="A802" s="216"/>
      <c r="B802" s="1160"/>
      <c r="C802" s="1161"/>
      <c r="D802" s="391"/>
      <c r="E802" s="317"/>
      <c r="F802" s="714"/>
      <c r="G802" s="1414"/>
      <c r="H802" s="547"/>
      <c r="I802" s="547"/>
      <c r="J802" s="547"/>
      <c r="K802" s="1365" t="n">
        <f aca="false">J802/1792.8</f>
        <v>0</v>
      </c>
      <c r="L802" s="714"/>
      <c r="M802" s="934" t="n">
        <f aca="false">M800+M801</f>
        <v>4.56455451435371</v>
      </c>
    </row>
    <row r="803" customFormat="false" ht="34.5" hidden="false" customHeight="true" outlineLevel="0" collapsed="false">
      <c r="A803" s="15" t="s">
        <v>580</v>
      </c>
      <c r="B803" s="16" t="s">
        <v>3120</v>
      </c>
      <c r="C803" s="16"/>
      <c r="D803" s="339"/>
      <c r="E803" s="1389"/>
      <c r="F803" s="751"/>
      <c r="G803" s="751"/>
      <c r="H803" s="751"/>
      <c r="I803" s="751"/>
      <c r="J803" s="751"/>
      <c r="K803" s="1390"/>
      <c r="L803" s="751"/>
      <c r="M803" s="818"/>
    </row>
    <row r="804" customFormat="false" ht="30" hidden="false" customHeight="false" outlineLevel="0" collapsed="false">
      <c r="A804" s="216" t="s">
        <v>7010</v>
      </c>
      <c r="B804" s="29" t="s">
        <v>3010</v>
      </c>
      <c r="C804" s="1161" t="s">
        <v>6984</v>
      </c>
      <c r="D804" s="912" t="n">
        <v>2007</v>
      </c>
      <c r="E804" s="317" t="n">
        <f aca="false">2021-D804</f>
        <v>14</v>
      </c>
      <c r="F804" s="547" t="n">
        <v>810000</v>
      </c>
      <c r="G804" s="1413" t="n">
        <v>0.1</v>
      </c>
      <c r="H804" s="547" t="n">
        <f aca="false">E804*F804*G804</f>
        <v>1134000</v>
      </c>
      <c r="I804" s="547" t="n">
        <f aca="false">F804-H804</f>
        <v>-324000</v>
      </c>
      <c r="J804" s="547" t="n">
        <f aca="false">F804*G804</f>
        <v>81000</v>
      </c>
      <c r="K804" s="1365" t="n">
        <f aca="false">J804/1792.8</f>
        <v>45.1807228915663</v>
      </c>
      <c r="L804" s="547" t="n">
        <v>10</v>
      </c>
      <c r="M804" s="934" t="n">
        <f aca="false">K804*L804/60</f>
        <v>7.53012048192771</v>
      </c>
    </row>
    <row r="805" customFormat="false" ht="15" hidden="false" customHeight="false" outlineLevel="0" collapsed="false">
      <c r="A805" s="216" t="s">
        <v>4805</v>
      </c>
      <c r="B805" s="29" t="s">
        <v>3084</v>
      </c>
      <c r="C805" s="1161" t="s">
        <v>6973</v>
      </c>
      <c r="D805" s="912" t="n">
        <v>2006</v>
      </c>
      <c r="E805" s="317" t="n">
        <f aca="false">2021-D805</f>
        <v>15</v>
      </c>
      <c r="F805" s="547" t="n">
        <v>190000</v>
      </c>
      <c r="G805" s="1413" t="n">
        <v>0.1</v>
      </c>
      <c r="H805" s="547" t="n">
        <f aca="false">E805*F805*G805</f>
        <v>285000</v>
      </c>
      <c r="I805" s="547" t="n">
        <f aca="false">F805-H805</f>
        <v>-95000</v>
      </c>
      <c r="J805" s="547" t="n">
        <f aca="false">F805*G805</f>
        <v>19000</v>
      </c>
      <c r="K805" s="1365" t="n">
        <f aca="false">J805/1792.8</f>
        <v>10.5979473449353</v>
      </c>
      <c r="L805" s="547" t="n">
        <v>30</v>
      </c>
      <c r="M805" s="819" t="n">
        <f aca="false">K805*L805/60</f>
        <v>5.29897367246765</v>
      </c>
    </row>
    <row r="806" customFormat="false" ht="15" hidden="false" customHeight="false" outlineLevel="0" collapsed="false">
      <c r="A806" s="216"/>
      <c r="B806" s="78"/>
      <c r="C806" s="1161" t="s">
        <v>6934</v>
      </c>
      <c r="D806" s="912" t="n">
        <v>2007</v>
      </c>
      <c r="E806" s="317" t="n">
        <f aca="false">2021-D806</f>
        <v>14</v>
      </c>
      <c r="F806" s="873" t="n">
        <v>491000</v>
      </c>
      <c r="G806" s="1413" t="n">
        <v>0.1</v>
      </c>
      <c r="H806" s="547" t="n">
        <f aca="false">E806*F806*G806</f>
        <v>687400</v>
      </c>
      <c r="I806" s="547" t="n">
        <f aca="false">F806-H806</f>
        <v>-196400</v>
      </c>
      <c r="J806" s="547" t="n">
        <f aca="false">F806*G806</f>
        <v>49100</v>
      </c>
      <c r="K806" s="1365" t="n">
        <f aca="false">J806/1792.8</f>
        <v>27.3873270861223</v>
      </c>
      <c r="L806" s="547" t="n">
        <v>10</v>
      </c>
      <c r="M806" s="819" t="n">
        <f aca="false">K806*L806/60</f>
        <v>4.56455451435371</v>
      </c>
    </row>
    <row r="807" customFormat="false" ht="15" hidden="false" customHeight="false" outlineLevel="0" collapsed="false">
      <c r="A807" s="216"/>
      <c r="B807" s="78"/>
      <c r="C807" s="1161" t="s">
        <v>6999</v>
      </c>
      <c r="D807" s="912" t="n">
        <v>2007</v>
      </c>
      <c r="E807" s="317" t="n">
        <f aca="false">2021-D807</f>
        <v>14</v>
      </c>
      <c r="F807" s="873" t="n">
        <v>450000</v>
      </c>
      <c r="G807" s="1413" t="n">
        <v>0.1</v>
      </c>
      <c r="H807" s="547" t="n">
        <f aca="false">E807*F807*G807</f>
        <v>630000</v>
      </c>
      <c r="I807" s="547" t="n">
        <f aca="false">F807-H807</f>
        <v>-180000</v>
      </c>
      <c r="J807" s="547" t="n">
        <f aca="false">F807*G807</f>
        <v>45000</v>
      </c>
      <c r="K807" s="1365" t="n">
        <f aca="false">J807/1792.8</f>
        <v>25.1004016064257</v>
      </c>
      <c r="L807" s="547" t="n">
        <v>13</v>
      </c>
      <c r="M807" s="819" t="n">
        <f aca="false">K807*L807/60</f>
        <v>5.4384203480589</v>
      </c>
    </row>
    <row r="808" customFormat="false" ht="15" hidden="false" customHeight="false" outlineLevel="0" collapsed="false">
      <c r="A808" s="216"/>
      <c r="B808" s="972" t="s">
        <v>4128</v>
      </c>
      <c r="C808" s="1160"/>
      <c r="D808" s="391"/>
      <c r="E808" s="317"/>
      <c r="F808" s="714"/>
      <c r="G808" s="1414"/>
      <c r="H808" s="547"/>
      <c r="I808" s="547"/>
      <c r="J808" s="547"/>
      <c r="K808" s="1365" t="n">
        <f aca="false">J808/1792.8</f>
        <v>0</v>
      </c>
      <c r="L808" s="714"/>
      <c r="M808" s="934" t="n">
        <f aca="false">M805+M806+M807</f>
        <v>15.3019485348803</v>
      </c>
    </row>
    <row r="809" customFormat="false" ht="30" hidden="false" customHeight="false" outlineLevel="0" collapsed="false">
      <c r="A809" s="216" t="s">
        <v>584</v>
      </c>
      <c r="B809" s="29" t="s">
        <v>3085</v>
      </c>
      <c r="C809" s="1161" t="s">
        <v>6973</v>
      </c>
      <c r="D809" s="912" t="n">
        <v>2006</v>
      </c>
      <c r="E809" s="317" t="n">
        <f aca="false">2021-D809</f>
        <v>15</v>
      </c>
      <c r="F809" s="547" t="n">
        <v>190000</v>
      </c>
      <c r="G809" s="1413" t="n">
        <v>0.1</v>
      </c>
      <c r="H809" s="547" t="n">
        <f aca="false">E809*F809*G809</f>
        <v>285000</v>
      </c>
      <c r="I809" s="547" t="n">
        <f aca="false">F809-H809</f>
        <v>-95000</v>
      </c>
      <c r="J809" s="547" t="n">
        <f aca="false">F809*G809</f>
        <v>19000</v>
      </c>
      <c r="K809" s="1365" t="n">
        <f aca="false">J809/1792.8</f>
        <v>10.5979473449353</v>
      </c>
      <c r="L809" s="547" t="n">
        <v>30</v>
      </c>
      <c r="M809" s="819" t="n">
        <f aca="false">K809*L809/60</f>
        <v>5.29897367246765</v>
      </c>
    </row>
    <row r="810" customFormat="false" ht="15" hidden="false" customHeight="false" outlineLevel="0" collapsed="false">
      <c r="A810" s="216"/>
      <c r="B810" s="78"/>
      <c r="C810" s="1161" t="s">
        <v>6934</v>
      </c>
      <c r="D810" s="912" t="n">
        <v>2007</v>
      </c>
      <c r="E810" s="317" t="n">
        <f aca="false">2021-D810</f>
        <v>14</v>
      </c>
      <c r="F810" s="873" t="n">
        <v>491000</v>
      </c>
      <c r="G810" s="1413" t="n">
        <v>0.1</v>
      </c>
      <c r="H810" s="547" t="n">
        <f aca="false">E810*F810*G810</f>
        <v>687400</v>
      </c>
      <c r="I810" s="547" t="n">
        <f aca="false">F810-H810</f>
        <v>-196400</v>
      </c>
      <c r="J810" s="547" t="n">
        <f aca="false">F810*G810</f>
        <v>49100</v>
      </c>
      <c r="K810" s="1365" t="n">
        <f aca="false">J810/1792.8</f>
        <v>27.3873270861223</v>
      </c>
      <c r="L810" s="547" t="n">
        <v>10</v>
      </c>
      <c r="M810" s="819" t="n">
        <f aca="false">K810*L810/60</f>
        <v>4.56455451435371</v>
      </c>
    </row>
    <row r="811" customFormat="false" ht="15" hidden="false" customHeight="false" outlineLevel="0" collapsed="false">
      <c r="A811" s="216"/>
      <c r="B811" s="972" t="s">
        <v>4128</v>
      </c>
      <c r="C811" s="1160"/>
      <c r="D811" s="391"/>
      <c r="E811" s="317"/>
      <c r="F811" s="714"/>
      <c r="G811" s="1414"/>
      <c r="H811" s="547"/>
      <c r="I811" s="547"/>
      <c r="J811" s="547"/>
      <c r="K811" s="1365" t="n">
        <f aca="false">J811/1792.8</f>
        <v>0</v>
      </c>
      <c r="L811" s="714"/>
      <c r="M811" s="934" t="n">
        <f aca="false">M809+M810</f>
        <v>9.86352818682136</v>
      </c>
    </row>
    <row r="812" customFormat="false" ht="30" hidden="false" customHeight="false" outlineLevel="0" collapsed="false">
      <c r="A812" s="216" t="s">
        <v>585</v>
      </c>
      <c r="B812" s="29" t="s">
        <v>3121</v>
      </c>
      <c r="C812" s="1161" t="s">
        <v>6934</v>
      </c>
      <c r="D812" s="912" t="n">
        <v>2007</v>
      </c>
      <c r="E812" s="317" t="n">
        <f aca="false">2021-D812</f>
        <v>14</v>
      </c>
      <c r="F812" s="873" t="n">
        <v>491000</v>
      </c>
      <c r="G812" s="1413" t="n">
        <v>0.1</v>
      </c>
      <c r="H812" s="547" t="n">
        <f aca="false">E812*F812*G812</f>
        <v>687400</v>
      </c>
      <c r="I812" s="547" t="n">
        <f aca="false">F812-H812</f>
        <v>-196400</v>
      </c>
      <c r="J812" s="547" t="n">
        <f aca="false">F812*G812</f>
        <v>49100</v>
      </c>
      <c r="K812" s="1365" t="n">
        <f aca="false">J812/1792.8</f>
        <v>27.3873270861223</v>
      </c>
      <c r="L812" s="547" t="n">
        <v>10</v>
      </c>
      <c r="M812" s="934" t="n">
        <f aca="false">K812*L812/60</f>
        <v>4.56455451435371</v>
      </c>
    </row>
    <row r="813" customFormat="false" ht="15" hidden="false" customHeight="false" outlineLevel="0" collapsed="false">
      <c r="A813" s="216" t="s">
        <v>587</v>
      </c>
      <c r="B813" s="29" t="s">
        <v>3058</v>
      </c>
      <c r="C813" s="1161" t="s">
        <v>6976</v>
      </c>
      <c r="D813" s="912" t="n">
        <v>2005</v>
      </c>
      <c r="E813" s="317" t="n">
        <f aca="false">2021-D813</f>
        <v>16</v>
      </c>
      <c r="F813" s="547" t="n">
        <v>65500</v>
      </c>
      <c r="G813" s="1413" t="n">
        <v>0.1</v>
      </c>
      <c r="H813" s="547" t="n">
        <f aca="false">E813*F813*G813</f>
        <v>104800</v>
      </c>
      <c r="I813" s="547" t="n">
        <f aca="false">F813-H813</f>
        <v>-39300</v>
      </c>
      <c r="J813" s="547" t="n">
        <f aca="false">F813*G813</f>
        <v>6550</v>
      </c>
      <c r="K813" s="1365" t="n">
        <f aca="false">J813/1792.8</f>
        <v>3.65350290049085</v>
      </c>
      <c r="L813" s="547" t="n">
        <v>30</v>
      </c>
      <c r="M813" s="934" t="n">
        <f aca="false">K813*L813/60</f>
        <v>1.82675145024543</v>
      </c>
    </row>
    <row r="814" customFormat="false" ht="15" hidden="false" customHeight="false" outlineLevel="0" collapsed="false">
      <c r="A814" s="216" t="s">
        <v>7011</v>
      </c>
      <c r="B814" s="29" t="s">
        <v>3059</v>
      </c>
      <c r="C814" s="1161" t="s">
        <v>6934</v>
      </c>
      <c r="D814" s="912" t="n">
        <v>2007</v>
      </c>
      <c r="E814" s="317" t="n">
        <f aca="false">2021-D814</f>
        <v>14</v>
      </c>
      <c r="F814" s="873" t="n">
        <v>491000</v>
      </c>
      <c r="G814" s="1413" t="n">
        <v>0.1</v>
      </c>
      <c r="H814" s="547" t="n">
        <f aca="false">E814*F814*G814</f>
        <v>687400</v>
      </c>
      <c r="I814" s="547" t="n">
        <f aca="false">F814-H814</f>
        <v>-196400</v>
      </c>
      <c r="J814" s="547" t="n">
        <f aca="false">F814*G814</f>
        <v>49100</v>
      </c>
      <c r="K814" s="1365" t="n">
        <f aca="false">J814/1792.8</f>
        <v>27.3873270861223</v>
      </c>
      <c r="L814" s="547" t="n">
        <v>10</v>
      </c>
      <c r="M814" s="819" t="n">
        <f aca="false">K814*L814/60</f>
        <v>4.56455451435371</v>
      </c>
    </row>
    <row r="815" customFormat="false" ht="15" hidden="false" customHeight="false" outlineLevel="0" collapsed="false">
      <c r="A815" s="216"/>
      <c r="B815" s="78"/>
      <c r="C815" s="1161" t="s">
        <v>6976</v>
      </c>
      <c r="D815" s="912" t="n">
        <v>2005</v>
      </c>
      <c r="E815" s="317" t="n">
        <f aca="false">2021-D815</f>
        <v>16</v>
      </c>
      <c r="F815" s="547" t="n">
        <v>65500</v>
      </c>
      <c r="G815" s="1413" t="n">
        <v>0.1</v>
      </c>
      <c r="H815" s="547" t="n">
        <f aca="false">E815*F815*G815</f>
        <v>104800</v>
      </c>
      <c r="I815" s="547" t="n">
        <f aca="false">F815-H815</f>
        <v>-39300</v>
      </c>
      <c r="J815" s="547" t="n">
        <f aca="false">F815*G815</f>
        <v>6550</v>
      </c>
      <c r="K815" s="1365" t="n">
        <f aca="false">J815/1792.8</f>
        <v>3.65350290049085</v>
      </c>
      <c r="L815" s="547" t="n">
        <v>30</v>
      </c>
      <c r="M815" s="819" t="n">
        <f aca="false">K815*L815/60</f>
        <v>1.82675145024543</v>
      </c>
    </row>
    <row r="816" customFormat="false" ht="15" hidden="false" customHeight="false" outlineLevel="0" collapsed="false">
      <c r="A816" s="216"/>
      <c r="B816" s="972" t="s">
        <v>4128</v>
      </c>
      <c r="C816" s="1160"/>
      <c r="D816" s="391"/>
      <c r="E816" s="317"/>
      <c r="F816" s="714"/>
      <c r="G816" s="1414"/>
      <c r="H816" s="547"/>
      <c r="I816" s="547"/>
      <c r="J816" s="547"/>
      <c r="K816" s="1365" t="n">
        <f aca="false">J816/1792.8</f>
        <v>0</v>
      </c>
      <c r="L816" s="714"/>
      <c r="M816" s="934" t="n">
        <f aca="false">M814+M815</f>
        <v>6.39130596459914</v>
      </c>
    </row>
    <row r="817" customFormat="false" ht="15" hidden="false" customHeight="false" outlineLevel="0" collapsed="false">
      <c r="A817" s="216" t="s">
        <v>589</v>
      </c>
      <c r="B817" s="29" t="s">
        <v>3122</v>
      </c>
      <c r="C817" s="1161" t="s">
        <v>6986</v>
      </c>
      <c r="D817" s="912" t="n">
        <v>2005</v>
      </c>
      <c r="E817" s="317" t="n">
        <f aca="false">2021-D817</f>
        <v>16</v>
      </c>
      <c r="F817" s="547" t="n">
        <v>60000</v>
      </c>
      <c r="G817" s="1413" t="n">
        <v>0.1</v>
      </c>
      <c r="H817" s="547" t="n">
        <f aca="false">E817*F817*G817</f>
        <v>96000</v>
      </c>
      <c r="I817" s="547" t="n">
        <f aca="false">F817-H817</f>
        <v>-36000</v>
      </c>
      <c r="J817" s="547" t="n">
        <f aca="false">F817*G817</f>
        <v>6000</v>
      </c>
      <c r="K817" s="1365" t="n">
        <f aca="false">J817/1792.8</f>
        <v>3.34672021419009</v>
      </c>
      <c r="L817" s="547" t="n">
        <v>30</v>
      </c>
      <c r="M817" s="934" t="n">
        <f aca="false">K817*L817/60</f>
        <v>1.67336010709505</v>
      </c>
    </row>
    <row r="818" customFormat="false" ht="15" hidden="false" customHeight="false" outlineLevel="0" collapsed="false">
      <c r="A818" s="216" t="s">
        <v>590</v>
      </c>
      <c r="B818" s="29" t="s">
        <v>2883</v>
      </c>
      <c r="C818" s="1161" t="s">
        <v>6984</v>
      </c>
      <c r="D818" s="912" t="n">
        <v>2007</v>
      </c>
      <c r="E818" s="317" t="n">
        <f aca="false">2021-D818</f>
        <v>14</v>
      </c>
      <c r="F818" s="547" t="n">
        <v>810000</v>
      </c>
      <c r="G818" s="1413" t="n">
        <v>0.1</v>
      </c>
      <c r="H818" s="547" t="n">
        <f aca="false">E818*F818*G818</f>
        <v>1134000</v>
      </c>
      <c r="I818" s="547" t="n">
        <f aca="false">F818-H818</f>
        <v>-324000</v>
      </c>
      <c r="J818" s="547" t="n">
        <f aca="false">F818*G818</f>
        <v>81000</v>
      </c>
      <c r="K818" s="1365" t="n">
        <f aca="false">J818/1792.8</f>
        <v>45.1807228915663</v>
      </c>
      <c r="L818" s="547" t="n">
        <v>10</v>
      </c>
      <c r="M818" s="934" t="n">
        <f aca="false">K818*L818/60</f>
        <v>7.53012048192771</v>
      </c>
    </row>
    <row r="819" customFormat="false" ht="15" hidden="false" customHeight="false" outlineLevel="0" collapsed="false">
      <c r="A819" s="216" t="s">
        <v>591</v>
      </c>
      <c r="B819" s="29" t="s">
        <v>3123</v>
      </c>
      <c r="C819" s="1161" t="s">
        <v>6984</v>
      </c>
      <c r="D819" s="912" t="n">
        <v>2007</v>
      </c>
      <c r="E819" s="317" t="n">
        <f aca="false">2021-D819</f>
        <v>14</v>
      </c>
      <c r="F819" s="547" t="n">
        <v>810000</v>
      </c>
      <c r="G819" s="1413" t="n">
        <v>0.1</v>
      </c>
      <c r="H819" s="547" t="n">
        <f aca="false">E819*F819*G819</f>
        <v>1134000</v>
      </c>
      <c r="I819" s="547" t="n">
        <f aca="false">F819-H819</f>
        <v>-324000</v>
      </c>
      <c r="J819" s="547" t="n">
        <f aca="false">F819*G819</f>
        <v>81000</v>
      </c>
      <c r="K819" s="1365" t="n">
        <f aca="false">J819/1792.8</f>
        <v>45.1807228915663</v>
      </c>
      <c r="L819" s="547" t="n">
        <v>10</v>
      </c>
      <c r="M819" s="819" t="n">
        <f aca="false">K819*L819/60</f>
        <v>7.53012048192771</v>
      </c>
    </row>
    <row r="820" customFormat="false" ht="15" hidden="false" customHeight="false" outlineLevel="0" collapsed="false">
      <c r="A820" s="216"/>
      <c r="B820" s="78"/>
      <c r="C820" s="1161" t="s">
        <v>6997</v>
      </c>
      <c r="D820" s="912" t="n">
        <v>2009</v>
      </c>
      <c r="E820" s="317" t="n">
        <f aca="false">2021-D820</f>
        <v>12</v>
      </c>
      <c r="F820" s="547" t="n">
        <v>181000</v>
      </c>
      <c r="G820" s="1413" t="n">
        <v>0.1</v>
      </c>
      <c r="H820" s="547" t="n">
        <f aca="false">E820*F820*G820</f>
        <v>217200</v>
      </c>
      <c r="I820" s="547" t="n">
        <f aca="false">F820-H820</f>
        <v>-36200</v>
      </c>
      <c r="J820" s="547" t="n">
        <f aca="false">F820*G820</f>
        <v>18100</v>
      </c>
      <c r="K820" s="1365" t="n">
        <f aca="false">J820/1792.8</f>
        <v>10.0959393128068</v>
      </c>
      <c r="L820" s="547" t="n">
        <v>15</v>
      </c>
      <c r="M820" s="819" t="n">
        <f aca="false">K820*L820/60</f>
        <v>2.5239848282017</v>
      </c>
    </row>
    <row r="821" customFormat="false" ht="15" hidden="false" customHeight="false" outlineLevel="0" collapsed="false">
      <c r="A821" s="216"/>
      <c r="B821" s="78"/>
      <c r="C821" s="1161" t="s">
        <v>6934</v>
      </c>
      <c r="D821" s="912" t="n">
        <v>2007</v>
      </c>
      <c r="E821" s="317" t="n">
        <f aca="false">2021-D821</f>
        <v>14</v>
      </c>
      <c r="F821" s="873" t="n">
        <v>491000</v>
      </c>
      <c r="G821" s="1413" t="n">
        <v>0.1</v>
      </c>
      <c r="H821" s="547" t="n">
        <f aca="false">E821*F821*G821</f>
        <v>687400</v>
      </c>
      <c r="I821" s="547" t="n">
        <f aca="false">F821-H821</f>
        <v>-196400</v>
      </c>
      <c r="J821" s="547" t="n">
        <f aca="false">F821*G821</f>
        <v>49100</v>
      </c>
      <c r="K821" s="1365" t="n">
        <f aca="false">J821/1792.8</f>
        <v>27.3873270861223</v>
      </c>
      <c r="L821" s="547" t="n">
        <v>10</v>
      </c>
      <c r="M821" s="819" t="n">
        <f aca="false">K821*L821/60</f>
        <v>4.56455451435371</v>
      </c>
    </row>
    <row r="822" customFormat="false" ht="15" hidden="false" customHeight="false" outlineLevel="0" collapsed="false">
      <c r="A822" s="216"/>
      <c r="B822" s="78"/>
      <c r="C822" s="1161" t="s">
        <v>6999</v>
      </c>
      <c r="D822" s="912" t="n">
        <v>2007</v>
      </c>
      <c r="E822" s="317" t="n">
        <f aca="false">2021-D822</f>
        <v>14</v>
      </c>
      <c r="F822" s="873" t="n">
        <v>450000</v>
      </c>
      <c r="G822" s="1413" t="n">
        <v>0.1</v>
      </c>
      <c r="H822" s="547" t="n">
        <f aca="false">E822*F822*G822</f>
        <v>630000</v>
      </c>
      <c r="I822" s="547" t="n">
        <f aca="false">F822-H822</f>
        <v>-180000</v>
      </c>
      <c r="J822" s="547" t="n">
        <f aca="false">F822*G822</f>
        <v>45000</v>
      </c>
      <c r="K822" s="1365" t="n">
        <f aca="false">J822/1792.8</f>
        <v>25.1004016064257</v>
      </c>
      <c r="L822" s="547" t="n">
        <v>13</v>
      </c>
      <c r="M822" s="819" t="n">
        <f aca="false">K822*L822/60</f>
        <v>5.4384203480589</v>
      </c>
    </row>
    <row r="823" customFormat="false" ht="15" hidden="false" customHeight="false" outlineLevel="0" collapsed="false">
      <c r="A823" s="216"/>
      <c r="B823" s="972" t="s">
        <v>4128</v>
      </c>
      <c r="C823" s="1160"/>
      <c r="D823" s="391"/>
      <c r="E823" s="317"/>
      <c r="F823" s="714"/>
      <c r="G823" s="1414"/>
      <c r="H823" s="547"/>
      <c r="I823" s="547"/>
      <c r="J823" s="547"/>
      <c r="K823" s="1365" t="n">
        <f aca="false">J823/1792.8</f>
        <v>0</v>
      </c>
      <c r="L823" s="714"/>
      <c r="M823" s="934" t="n">
        <f aca="false">M819+M820+M821+M822</f>
        <v>20.057080172542</v>
      </c>
    </row>
    <row r="824" customFormat="false" ht="30" hidden="false" customHeight="false" outlineLevel="0" collapsed="false">
      <c r="A824" s="216" t="s">
        <v>593</v>
      </c>
      <c r="B824" s="29" t="s">
        <v>3124</v>
      </c>
      <c r="C824" s="1161" t="s">
        <v>6974</v>
      </c>
      <c r="D824" s="912" t="n">
        <v>2006</v>
      </c>
      <c r="E824" s="317" t="n">
        <f aca="false">2021-D824</f>
        <v>15</v>
      </c>
      <c r="F824" s="547" t="n">
        <v>526970</v>
      </c>
      <c r="G824" s="1413" t="n">
        <v>0.1</v>
      </c>
      <c r="H824" s="547" t="n">
        <f aca="false">E824*F824*G824</f>
        <v>790455</v>
      </c>
      <c r="I824" s="547" t="n">
        <f aca="false">F824-H824</f>
        <v>-263485</v>
      </c>
      <c r="J824" s="547" t="n">
        <f aca="false">F824*G824</f>
        <v>52697</v>
      </c>
      <c r="K824" s="1365" t="n">
        <f aca="false">J824/1792.8</f>
        <v>29.3936858545292</v>
      </c>
      <c r="L824" s="547" t="n">
        <v>10</v>
      </c>
      <c r="M824" s="819" t="n">
        <f aca="false">K824*L824/60</f>
        <v>4.89894764242154</v>
      </c>
    </row>
    <row r="825" customFormat="false" ht="15" hidden="false" customHeight="false" outlineLevel="0" collapsed="false">
      <c r="A825" s="216"/>
      <c r="B825" s="78"/>
      <c r="C825" s="1161" t="s">
        <v>6934</v>
      </c>
      <c r="D825" s="912" t="n">
        <v>2007</v>
      </c>
      <c r="E825" s="317" t="n">
        <f aca="false">2021-D825</f>
        <v>14</v>
      </c>
      <c r="F825" s="873" t="n">
        <v>491000</v>
      </c>
      <c r="G825" s="1413" t="n">
        <v>0.1</v>
      </c>
      <c r="H825" s="547" t="n">
        <f aca="false">E825*F825*G825</f>
        <v>687400</v>
      </c>
      <c r="I825" s="547" t="n">
        <f aca="false">F825-H825</f>
        <v>-196400</v>
      </c>
      <c r="J825" s="547" t="n">
        <f aca="false">F825*G825</f>
        <v>49100</v>
      </c>
      <c r="K825" s="1365" t="n">
        <f aca="false">J825/1792.8</f>
        <v>27.3873270861223</v>
      </c>
      <c r="L825" s="547" t="n">
        <v>10</v>
      </c>
      <c r="M825" s="819" t="n">
        <f aca="false">K825*L825/60</f>
        <v>4.56455451435371</v>
      </c>
    </row>
    <row r="826" customFormat="false" ht="15" hidden="false" customHeight="false" outlineLevel="0" collapsed="false">
      <c r="A826" s="216"/>
      <c r="B826" s="972" t="s">
        <v>4128</v>
      </c>
      <c r="C826" s="1160"/>
      <c r="D826" s="391"/>
      <c r="E826" s="317"/>
      <c r="F826" s="714"/>
      <c r="G826" s="1414"/>
      <c r="H826" s="547"/>
      <c r="I826" s="547"/>
      <c r="J826" s="547"/>
      <c r="K826" s="1365" t="n">
        <f aca="false">J826/1792.8</f>
        <v>0</v>
      </c>
      <c r="L826" s="714"/>
      <c r="M826" s="934" t="n">
        <f aca="false">M824+M825</f>
        <v>9.46350215677525</v>
      </c>
    </row>
    <row r="827" customFormat="false" ht="30" hidden="false" customHeight="false" outlineLevel="0" collapsed="false">
      <c r="A827" s="216" t="s">
        <v>594</v>
      </c>
      <c r="B827" s="29" t="s">
        <v>3125</v>
      </c>
      <c r="C827" s="1161" t="s">
        <v>6934</v>
      </c>
      <c r="D827" s="912" t="n">
        <v>2007</v>
      </c>
      <c r="E827" s="317" t="n">
        <f aca="false">2021-D827</f>
        <v>14</v>
      </c>
      <c r="F827" s="873" t="n">
        <v>491000</v>
      </c>
      <c r="G827" s="1413" t="n">
        <v>0.1</v>
      </c>
      <c r="H827" s="547" t="n">
        <f aca="false">E827*F827*G827</f>
        <v>687400</v>
      </c>
      <c r="I827" s="547" t="n">
        <f aca="false">F827-H827</f>
        <v>-196400</v>
      </c>
      <c r="J827" s="547" t="n">
        <f aca="false">F827*G827</f>
        <v>49100</v>
      </c>
      <c r="K827" s="1365" t="n">
        <f aca="false">J827/1792.8</f>
        <v>27.3873270861223</v>
      </c>
      <c r="L827" s="547" t="n">
        <v>10</v>
      </c>
      <c r="M827" s="934" t="n">
        <f aca="false">K827*L827/60</f>
        <v>4.56455451435371</v>
      </c>
    </row>
    <row r="828" customFormat="false" ht="15" hidden="false" customHeight="false" outlineLevel="0" collapsed="false">
      <c r="A828" s="216" t="s">
        <v>595</v>
      </c>
      <c r="B828" s="29" t="s">
        <v>3126</v>
      </c>
      <c r="C828" s="1161" t="s">
        <v>6934</v>
      </c>
      <c r="D828" s="912" t="n">
        <v>2007</v>
      </c>
      <c r="E828" s="317" t="n">
        <f aca="false">2021-D828</f>
        <v>14</v>
      </c>
      <c r="F828" s="873" t="n">
        <v>491000</v>
      </c>
      <c r="G828" s="1413" t="n">
        <v>0.1</v>
      </c>
      <c r="H828" s="547" t="n">
        <f aca="false">E828*F828*G828</f>
        <v>687400</v>
      </c>
      <c r="I828" s="547" t="n">
        <f aca="false">F828-H828</f>
        <v>-196400</v>
      </c>
      <c r="J828" s="547" t="n">
        <f aca="false">F828*G828</f>
        <v>49100</v>
      </c>
      <c r="K828" s="1365" t="n">
        <f aca="false">J828/1792.8</f>
        <v>27.3873270861223</v>
      </c>
      <c r="L828" s="547" t="n">
        <v>10</v>
      </c>
      <c r="M828" s="819" t="n">
        <f aca="false">K828*L828/60</f>
        <v>4.56455451435371</v>
      </c>
    </row>
    <row r="829" customFormat="false" ht="15" hidden="false" customHeight="false" outlineLevel="0" collapsed="false">
      <c r="A829" s="216"/>
      <c r="B829" s="29"/>
      <c r="C829" s="1161" t="s">
        <v>6999</v>
      </c>
      <c r="D829" s="912" t="n">
        <v>2007</v>
      </c>
      <c r="E829" s="317" t="n">
        <f aca="false">2021-D829</f>
        <v>14</v>
      </c>
      <c r="F829" s="873" t="n">
        <v>450000</v>
      </c>
      <c r="G829" s="1413" t="n">
        <v>0.1</v>
      </c>
      <c r="H829" s="547" t="n">
        <f aca="false">E829*F829*G829</f>
        <v>630000</v>
      </c>
      <c r="I829" s="547" t="n">
        <f aca="false">F829-H829</f>
        <v>-180000</v>
      </c>
      <c r="J829" s="547" t="n">
        <f aca="false">F829*G829</f>
        <v>45000</v>
      </c>
      <c r="K829" s="1365" t="n">
        <f aca="false">J829/1792.8</f>
        <v>25.1004016064257</v>
      </c>
      <c r="L829" s="547" t="n">
        <v>13</v>
      </c>
      <c r="M829" s="819" t="n">
        <f aca="false">K829*L829/60</f>
        <v>5.4384203480589</v>
      </c>
    </row>
    <row r="830" customFormat="false" ht="15" hidden="false" customHeight="false" outlineLevel="0" collapsed="false">
      <c r="A830" s="216"/>
      <c r="B830" s="972" t="s">
        <v>4128</v>
      </c>
      <c r="C830" s="1160"/>
      <c r="D830" s="391"/>
      <c r="E830" s="317"/>
      <c r="F830" s="714"/>
      <c r="G830" s="1414"/>
      <c r="H830" s="547"/>
      <c r="I830" s="547"/>
      <c r="J830" s="547"/>
      <c r="K830" s="1365" t="n">
        <f aca="false">J830/1792.8</f>
        <v>0</v>
      </c>
      <c r="L830" s="714"/>
      <c r="M830" s="934" t="n">
        <f aca="false">M828+M829</f>
        <v>10.0029748624126</v>
      </c>
    </row>
    <row r="831" customFormat="false" ht="15" hidden="false" customHeight="false" outlineLevel="0" collapsed="false">
      <c r="A831" s="216" t="s">
        <v>597</v>
      </c>
      <c r="B831" s="29" t="s">
        <v>3127</v>
      </c>
      <c r="C831" s="1161" t="s">
        <v>6934</v>
      </c>
      <c r="D831" s="912" t="n">
        <v>2007</v>
      </c>
      <c r="E831" s="317" t="n">
        <f aca="false">2021-D831</f>
        <v>14</v>
      </c>
      <c r="F831" s="873" t="n">
        <v>491000</v>
      </c>
      <c r="G831" s="1413" t="n">
        <v>0.1</v>
      </c>
      <c r="H831" s="547" t="n">
        <f aca="false">E831*F831*G831</f>
        <v>687400</v>
      </c>
      <c r="I831" s="547" t="n">
        <f aca="false">F831-H831</f>
        <v>-196400</v>
      </c>
      <c r="J831" s="547" t="n">
        <f aca="false">F831*G831</f>
        <v>49100</v>
      </c>
      <c r="K831" s="1365" t="n">
        <f aca="false">J831/1792.8</f>
        <v>27.3873270861223</v>
      </c>
      <c r="L831" s="547" t="n">
        <v>10</v>
      </c>
      <c r="M831" s="934" t="n">
        <f aca="false">K831*L831/60</f>
        <v>4.56455451435371</v>
      </c>
    </row>
    <row r="832" customFormat="false" ht="30" hidden="false" customHeight="false" outlineLevel="0" collapsed="false">
      <c r="A832" s="216" t="s">
        <v>599</v>
      </c>
      <c r="B832" s="29" t="s">
        <v>3128</v>
      </c>
      <c r="C832" s="1161" t="s">
        <v>6934</v>
      </c>
      <c r="D832" s="912" t="n">
        <v>2007</v>
      </c>
      <c r="E832" s="317" t="n">
        <f aca="false">2021-D832</f>
        <v>14</v>
      </c>
      <c r="F832" s="873" t="n">
        <v>491000</v>
      </c>
      <c r="G832" s="1413" t="n">
        <v>0.1</v>
      </c>
      <c r="H832" s="547" t="n">
        <f aca="false">E832*F832*G832</f>
        <v>687400</v>
      </c>
      <c r="I832" s="547" t="n">
        <f aca="false">F832-H832</f>
        <v>-196400</v>
      </c>
      <c r="J832" s="547" t="n">
        <f aca="false">F832*G832</f>
        <v>49100</v>
      </c>
      <c r="K832" s="1365" t="n">
        <f aca="false">J832/1792.8</f>
        <v>27.3873270861223</v>
      </c>
      <c r="L832" s="547" t="n">
        <v>10</v>
      </c>
      <c r="M832" s="819" t="n">
        <f aca="false">K832*L832/60</f>
        <v>4.56455451435371</v>
      </c>
    </row>
    <row r="833" customFormat="false" ht="15" hidden="false" customHeight="false" outlineLevel="0" collapsed="false">
      <c r="A833" s="216"/>
      <c r="B833" s="78"/>
      <c r="C833" s="1161" t="s">
        <v>6997</v>
      </c>
      <c r="D833" s="912" t="n">
        <v>2009</v>
      </c>
      <c r="E833" s="317" t="n">
        <f aca="false">2021-D833</f>
        <v>12</v>
      </c>
      <c r="F833" s="547" t="n">
        <v>181000</v>
      </c>
      <c r="G833" s="1413" t="n">
        <v>0.1</v>
      </c>
      <c r="H833" s="547" t="n">
        <f aca="false">E833*F833*G833</f>
        <v>217200</v>
      </c>
      <c r="I833" s="547" t="n">
        <f aca="false">F833-H833</f>
        <v>-36200</v>
      </c>
      <c r="J833" s="547" t="n">
        <f aca="false">F833*G833</f>
        <v>18100</v>
      </c>
      <c r="K833" s="1365" t="n">
        <f aca="false">J833/1792.8</f>
        <v>10.0959393128068</v>
      </c>
      <c r="L833" s="547" t="n">
        <v>10</v>
      </c>
      <c r="M833" s="819" t="n">
        <f aca="false">K833*L833/60</f>
        <v>1.68265655213446</v>
      </c>
    </row>
    <row r="834" customFormat="false" ht="15" hidden="false" customHeight="false" outlineLevel="0" collapsed="false">
      <c r="A834" s="216"/>
      <c r="B834" s="78"/>
      <c r="C834" s="1161" t="s">
        <v>6999</v>
      </c>
      <c r="D834" s="912" t="n">
        <v>2007</v>
      </c>
      <c r="E834" s="317" t="n">
        <f aca="false">2021-D834</f>
        <v>14</v>
      </c>
      <c r="F834" s="873" t="n">
        <v>450000</v>
      </c>
      <c r="G834" s="1413" t="n">
        <v>0.1</v>
      </c>
      <c r="H834" s="547" t="n">
        <f aca="false">E834*F834*G834</f>
        <v>630000</v>
      </c>
      <c r="I834" s="547" t="n">
        <f aca="false">F834-H834</f>
        <v>-180000</v>
      </c>
      <c r="J834" s="547" t="n">
        <f aca="false">F834*G834</f>
        <v>45000</v>
      </c>
      <c r="K834" s="1365" t="n">
        <f aca="false">J834/1792.8</f>
        <v>25.1004016064257</v>
      </c>
      <c r="L834" s="547" t="n">
        <v>10</v>
      </c>
      <c r="M834" s="819" t="n">
        <f aca="false">K834*L834/60</f>
        <v>4.18340026773762</v>
      </c>
    </row>
    <row r="835" customFormat="false" ht="15" hidden="false" customHeight="false" outlineLevel="0" collapsed="false">
      <c r="A835" s="216"/>
      <c r="B835" s="972" t="s">
        <v>4128</v>
      </c>
      <c r="C835" s="1160"/>
      <c r="D835" s="391"/>
      <c r="E835" s="317"/>
      <c r="F835" s="714"/>
      <c r="G835" s="1414"/>
      <c r="H835" s="547"/>
      <c r="I835" s="547"/>
      <c r="J835" s="547"/>
      <c r="K835" s="1365" t="n">
        <f aca="false">J835/1792.8</f>
        <v>0</v>
      </c>
      <c r="L835" s="714"/>
      <c r="M835" s="934" t="n">
        <f aca="false">M832+M833+M834</f>
        <v>10.4306113342258</v>
      </c>
    </row>
    <row r="836" customFormat="false" ht="15" hidden="false" customHeight="false" outlineLevel="0" collapsed="false">
      <c r="A836" s="216" t="s">
        <v>601</v>
      </c>
      <c r="B836" s="29" t="s">
        <v>3103</v>
      </c>
      <c r="C836" s="1161" t="s">
        <v>4568</v>
      </c>
      <c r="D836" s="912" t="n">
        <v>2007</v>
      </c>
      <c r="E836" s="317" t="n">
        <f aca="false">2021-D836</f>
        <v>14</v>
      </c>
      <c r="F836" s="873" t="n">
        <v>5635700</v>
      </c>
      <c r="G836" s="1413" t="n">
        <v>0.1</v>
      </c>
      <c r="H836" s="547" t="n">
        <f aca="false">E836*F836*G836</f>
        <v>7889980</v>
      </c>
      <c r="I836" s="547" t="n">
        <f aca="false">F836-H836</f>
        <v>-2254280</v>
      </c>
      <c r="J836" s="547" t="n">
        <f aca="false">F836*G836</f>
        <v>563570</v>
      </c>
      <c r="K836" s="1365" t="n">
        <f aca="false">J836/1792.8</f>
        <v>314.351851851852</v>
      </c>
      <c r="L836" s="547" t="n">
        <v>90</v>
      </c>
      <c r="M836" s="819" t="n">
        <f aca="false">K836*L836/60</f>
        <v>471.527777777778</v>
      </c>
    </row>
    <row r="837" customFormat="false" ht="15" hidden="false" customHeight="false" outlineLevel="0" collapsed="false">
      <c r="A837" s="216"/>
      <c r="B837" s="78"/>
      <c r="C837" s="1161" t="s">
        <v>6975</v>
      </c>
      <c r="D837" s="912" t="n">
        <v>2006</v>
      </c>
      <c r="E837" s="317" t="n">
        <f aca="false">2021-D837</f>
        <v>15</v>
      </c>
      <c r="F837" s="547" t="n">
        <v>147200</v>
      </c>
      <c r="G837" s="1413" t="n">
        <v>0.1</v>
      </c>
      <c r="H837" s="547" t="n">
        <f aca="false">E837*F837*G837</f>
        <v>220800</v>
      </c>
      <c r="I837" s="547" t="n">
        <f aca="false">F837-H837</f>
        <v>-73600</v>
      </c>
      <c r="J837" s="547" t="n">
        <f aca="false">F837*G837</f>
        <v>14720</v>
      </c>
      <c r="K837" s="1365" t="n">
        <f aca="false">J837/1792.8</f>
        <v>8.21062025881303</v>
      </c>
      <c r="L837" s="547" t="n">
        <v>30</v>
      </c>
      <c r="M837" s="819" t="n">
        <f aca="false">K837*L837/60</f>
        <v>4.10531012940652</v>
      </c>
    </row>
    <row r="838" customFormat="false" ht="15" hidden="false" customHeight="false" outlineLevel="0" collapsed="false">
      <c r="A838" s="216"/>
      <c r="B838" s="78"/>
      <c r="C838" s="1161" t="s">
        <v>6979</v>
      </c>
      <c r="D838" s="912" t="n">
        <v>2005</v>
      </c>
      <c r="E838" s="317" t="n">
        <f aca="false">2021-D838</f>
        <v>16</v>
      </c>
      <c r="F838" s="547" t="n">
        <v>1400000</v>
      </c>
      <c r="G838" s="1413" t="n">
        <v>0.1</v>
      </c>
      <c r="H838" s="547" t="n">
        <f aca="false">E838*F838*G838</f>
        <v>2240000</v>
      </c>
      <c r="I838" s="547" t="n">
        <f aca="false">F838-H838</f>
        <v>-840000</v>
      </c>
      <c r="J838" s="547" t="n">
        <f aca="false">F838*G838</f>
        <v>140000</v>
      </c>
      <c r="K838" s="1365" t="n">
        <f aca="false">J838/1792.8</f>
        <v>78.0901383311022</v>
      </c>
      <c r="L838" s="547" t="n">
        <v>30</v>
      </c>
      <c r="M838" s="819" t="n">
        <f aca="false">K838*L838/60</f>
        <v>39.0450691655511</v>
      </c>
    </row>
    <row r="839" customFormat="false" ht="15" hidden="false" customHeight="false" outlineLevel="0" collapsed="false">
      <c r="A839" s="216"/>
      <c r="B839" s="78"/>
      <c r="C839" s="1161" t="s">
        <v>6934</v>
      </c>
      <c r="D839" s="912" t="n">
        <v>2007</v>
      </c>
      <c r="E839" s="317" t="n">
        <f aca="false">2021-D839</f>
        <v>14</v>
      </c>
      <c r="F839" s="873" t="n">
        <v>491000</v>
      </c>
      <c r="G839" s="1413" t="n">
        <v>0.1</v>
      </c>
      <c r="H839" s="547" t="n">
        <f aca="false">E839*F839*G839</f>
        <v>687400</v>
      </c>
      <c r="I839" s="547" t="n">
        <f aca="false">F839-H839</f>
        <v>-196400</v>
      </c>
      <c r="J839" s="547" t="n">
        <f aca="false">F839*G839</f>
        <v>49100</v>
      </c>
      <c r="K839" s="1365" t="n">
        <f aca="false">J839/1792.8</f>
        <v>27.3873270861223</v>
      </c>
      <c r="L839" s="547" t="n">
        <v>10</v>
      </c>
      <c r="M839" s="819" t="n">
        <f aca="false">K839*L839/60</f>
        <v>4.56455451435371</v>
      </c>
    </row>
    <row r="840" customFormat="false" ht="15" hidden="false" customHeight="false" outlineLevel="0" collapsed="false">
      <c r="A840" s="216"/>
      <c r="B840" s="78"/>
      <c r="C840" s="1161" t="s">
        <v>6999</v>
      </c>
      <c r="D840" s="912" t="n">
        <v>2007</v>
      </c>
      <c r="E840" s="317" t="n">
        <f aca="false">2021-D840</f>
        <v>14</v>
      </c>
      <c r="F840" s="873" t="n">
        <v>450000</v>
      </c>
      <c r="G840" s="1413" t="n">
        <v>0.1</v>
      </c>
      <c r="H840" s="547" t="n">
        <f aca="false">E840*F840*G840</f>
        <v>630000</v>
      </c>
      <c r="I840" s="547" t="n">
        <f aca="false">F840-H840</f>
        <v>-180000</v>
      </c>
      <c r="J840" s="547" t="n">
        <f aca="false">F840*G840</f>
        <v>45000</v>
      </c>
      <c r="K840" s="1365" t="n">
        <f aca="false">J840/1792.8</f>
        <v>25.1004016064257</v>
      </c>
      <c r="L840" s="547" t="n">
        <v>13</v>
      </c>
      <c r="M840" s="819" t="n">
        <f aca="false">K840*L840/60</f>
        <v>5.4384203480589</v>
      </c>
    </row>
    <row r="841" customFormat="false" ht="15" hidden="false" customHeight="false" outlineLevel="0" collapsed="false">
      <c r="A841" s="216"/>
      <c r="B841" s="972" t="s">
        <v>4128</v>
      </c>
      <c r="C841" s="1160"/>
      <c r="D841" s="391"/>
      <c r="E841" s="317"/>
      <c r="F841" s="714"/>
      <c r="G841" s="1414"/>
      <c r="H841" s="547"/>
      <c r="I841" s="547"/>
      <c r="J841" s="547"/>
      <c r="K841" s="1365" t="n">
        <f aca="false">J841/1792.8</f>
        <v>0</v>
      </c>
      <c r="L841" s="714"/>
      <c r="M841" s="934" t="n">
        <f aca="false">M836+M837+M838+M839+M840</f>
        <v>524.681131935148</v>
      </c>
    </row>
    <row r="842" customFormat="false" ht="15" hidden="false" customHeight="false" outlineLevel="0" collapsed="false">
      <c r="A842" s="216" t="s">
        <v>602</v>
      </c>
      <c r="B842" s="29" t="s">
        <v>3102</v>
      </c>
      <c r="C842" s="1161" t="s">
        <v>4568</v>
      </c>
      <c r="D842" s="912" t="n">
        <v>2007</v>
      </c>
      <c r="E842" s="317" t="n">
        <f aca="false">2021-D842</f>
        <v>14</v>
      </c>
      <c r="F842" s="873" t="n">
        <v>5635700</v>
      </c>
      <c r="G842" s="1413" t="n">
        <v>0.1</v>
      </c>
      <c r="H842" s="547" t="n">
        <f aca="false">E842*F842*G842</f>
        <v>7889980</v>
      </c>
      <c r="I842" s="547" t="n">
        <f aca="false">F842-H842</f>
        <v>-2254280</v>
      </c>
      <c r="J842" s="547" t="n">
        <f aca="false">F842*G842</f>
        <v>563570</v>
      </c>
      <c r="K842" s="1365" t="n">
        <f aca="false">J842/1792.8</f>
        <v>314.351851851852</v>
      </c>
      <c r="L842" s="547" t="n">
        <v>90</v>
      </c>
      <c r="M842" s="819" t="n">
        <f aca="false">K842*L842/60</f>
        <v>471.527777777778</v>
      </c>
    </row>
    <row r="843" customFormat="false" ht="15" hidden="false" customHeight="false" outlineLevel="0" collapsed="false">
      <c r="A843" s="216"/>
      <c r="B843" s="78"/>
      <c r="C843" s="1161" t="s">
        <v>6975</v>
      </c>
      <c r="D843" s="912" t="n">
        <v>2006</v>
      </c>
      <c r="E843" s="317" t="n">
        <f aca="false">2021-D843</f>
        <v>15</v>
      </c>
      <c r="F843" s="547" t="n">
        <v>147200</v>
      </c>
      <c r="G843" s="1413" t="n">
        <v>0.1</v>
      </c>
      <c r="H843" s="547" t="n">
        <f aca="false">E843*F843*G843</f>
        <v>220800</v>
      </c>
      <c r="I843" s="547" t="n">
        <f aca="false">F843-H843</f>
        <v>-73600</v>
      </c>
      <c r="J843" s="547" t="n">
        <f aca="false">F843*G843</f>
        <v>14720</v>
      </c>
      <c r="K843" s="1365" t="n">
        <f aca="false">J843/1792.8</f>
        <v>8.21062025881303</v>
      </c>
      <c r="L843" s="547" t="n">
        <v>30</v>
      </c>
      <c r="M843" s="819" t="n">
        <f aca="false">K843*L843/60</f>
        <v>4.10531012940652</v>
      </c>
    </row>
    <row r="844" customFormat="false" ht="15" hidden="false" customHeight="false" outlineLevel="0" collapsed="false">
      <c r="A844" s="216"/>
      <c r="B844" s="78"/>
      <c r="C844" s="1161" t="s">
        <v>6979</v>
      </c>
      <c r="D844" s="912" t="n">
        <v>2005</v>
      </c>
      <c r="E844" s="317" t="n">
        <f aca="false">2021-D844</f>
        <v>16</v>
      </c>
      <c r="F844" s="547" t="n">
        <v>1400000</v>
      </c>
      <c r="G844" s="1413" t="n">
        <v>0.1</v>
      </c>
      <c r="H844" s="547" t="n">
        <f aca="false">E844*F844*G844</f>
        <v>2240000</v>
      </c>
      <c r="I844" s="547" t="n">
        <f aca="false">F844-H844</f>
        <v>-840000</v>
      </c>
      <c r="J844" s="547" t="n">
        <f aca="false">F844*G844</f>
        <v>140000</v>
      </c>
      <c r="K844" s="1365" t="n">
        <f aca="false">J844/1792.8</f>
        <v>78.0901383311022</v>
      </c>
      <c r="L844" s="547" t="n">
        <v>30</v>
      </c>
      <c r="M844" s="819" t="n">
        <f aca="false">K844*L844/60</f>
        <v>39.0450691655511</v>
      </c>
    </row>
    <row r="845" customFormat="false" ht="15" hidden="false" customHeight="false" outlineLevel="0" collapsed="false">
      <c r="A845" s="216"/>
      <c r="B845" s="78"/>
      <c r="C845" s="1161" t="s">
        <v>6934</v>
      </c>
      <c r="D845" s="912" t="n">
        <v>2007</v>
      </c>
      <c r="E845" s="317" t="n">
        <f aca="false">2021-D845</f>
        <v>14</v>
      </c>
      <c r="F845" s="873" t="n">
        <v>491000</v>
      </c>
      <c r="G845" s="1413" t="n">
        <v>0.1</v>
      </c>
      <c r="H845" s="547" t="n">
        <f aca="false">E845*F845*G845</f>
        <v>687400</v>
      </c>
      <c r="I845" s="547" t="n">
        <f aca="false">F845-H845</f>
        <v>-196400</v>
      </c>
      <c r="J845" s="547" t="n">
        <f aca="false">F845*G845</f>
        <v>49100</v>
      </c>
      <c r="K845" s="1365" t="n">
        <f aca="false">J845/1792.8</f>
        <v>27.3873270861223</v>
      </c>
      <c r="L845" s="547" t="n">
        <v>10</v>
      </c>
      <c r="M845" s="819" t="n">
        <f aca="false">K845*L845/60</f>
        <v>4.56455451435371</v>
      </c>
    </row>
    <row r="846" customFormat="false" ht="15" hidden="false" customHeight="false" outlineLevel="0" collapsed="false">
      <c r="A846" s="216"/>
      <c r="B846" s="78"/>
      <c r="C846" s="1161" t="s">
        <v>6999</v>
      </c>
      <c r="D846" s="912" t="n">
        <v>2007</v>
      </c>
      <c r="E846" s="317" t="n">
        <f aca="false">2021-D846</f>
        <v>14</v>
      </c>
      <c r="F846" s="873" t="n">
        <v>450000</v>
      </c>
      <c r="G846" s="1413" t="n">
        <v>0.1</v>
      </c>
      <c r="H846" s="547" t="n">
        <f aca="false">E846*F846*G846</f>
        <v>630000</v>
      </c>
      <c r="I846" s="547" t="n">
        <f aca="false">F846-H846</f>
        <v>-180000</v>
      </c>
      <c r="J846" s="547" t="n">
        <f aca="false">F846*G846</f>
        <v>45000</v>
      </c>
      <c r="K846" s="1365" t="n">
        <f aca="false">J846/1792.8</f>
        <v>25.1004016064257</v>
      </c>
      <c r="L846" s="547" t="n">
        <v>13</v>
      </c>
      <c r="M846" s="819" t="n">
        <f aca="false">K846*L846/60</f>
        <v>5.4384203480589</v>
      </c>
    </row>
    <row r="847" customFormat="false" ht="15" hidden="false" customHeight="false" outlineLevel="0" collapsed="false">
      <c r="A847" s="216"/>
      <c r="B847" s="972" t="s">
        <v>4128</v>
      </c>
      <c r="C847" s="1160"/>
      <c r="D847" s="912"/>
      <c r="E847" s="317"/>
      <c r="F847" s="547"/>
      <c r="G847" s="1413"/>
      <c r="H847" s="547"/>
      <c r="I847" s="547"/>
      <c r="J847" s="547"/>
      <c r="K847" s="1365" t="n">
        <f aca="false">J847/1792.8</f>
        <v>0</v>
      </c>
      <c r="L847" s="547"/>
      <c r="M847" s="934" t="n">
        <f aca="false">M842+M843+M844+M845+M846</f>
        <v>524.681131935148</v>
      </c>
    </row>
    <row r="848" customFormat="false" ht="15" hidden="false" customHeight="false" outlineLevel="0" collapsed="false">
      <c r="A848" s="216" t="s">
        <v>603</v>
      </c>
      <c r="B848" s="29" t="s">
        <v>3129</v>
      </c>
      <c r="C848" s="1161" t="s">
        <v>6974</v>
      </c>
      <c r="D848" s="912" t="n">
        <v>2006</v>
      </c>
      <c r="E848" s="317" t="n">
        <f aca="false">2021-D848</f>
        <v>15</v>
      </c>
      <c r="F848" s="547" t="n">
        <v>526970</v>
      </c>
      <c r="G848" s="1413" t="n">
        <v>0.1</v>
      </c>
      <c r="H848" s="547" t="n">
        <f aca="false">E848*F848*G848</f>
        <v>790455</v>
      </c>
      <c r="I848" s="547" t="n">
        <f aca="false">F848-H848</f>
        <v>-263485</v>
      </c>
      <c r="J848" s="547" t="n">
        <f aca="false">F848*G848</f>
        <v>52697</v>
      </c>
      <c r="K848" s="1365" t="n">
        <f aca="false">J848/1792.8</f>
        <v>29.3936858545292</v>
      </c>
      <c r="L848" s="547" t="n">
        <v>15</v>
      </c>
      <c r="M848" s="819" t="n">
        <f aca="false">K848*L848/60</f>
        <v>7.34842146363231</v>
      </c>
    </row>
    <row r="849" customFormat="false" ht="15" hidden="false" customHeight="false" outlineLevel="0" collapsed="false">
      <c r="A849" s="216"/>
      <c r="B849" s="78"/>
      <c r="C849" s="1161" t="s">
        <v>4568</v>
      </c>
      <c r="D849" s="912" t="n">
        <v>2007</v>
      </c>
      <c r="E849" s="317" t="n">
        <f aca="false">2021-D849</f>
        <v>14</v>
      </c>
      <c r="F849" s="873" t="n">
        <v>5635700</v>
      </c>
      <c r="G849" s="1413" t="n">
        <v>0.1</v>
      </c>
      <c r="H849" s="547" t="n">
        <f aca="false">E849*F849*G849</f>
        <v>7889980</v>
      </c>
      <c r="I849" s="547" t="n">
        <f aca="false">F849-H849</f>
        <v>-2254280</v>
      </c>
      <c r="J849" s="547" t="n">
        <f aca="false">F849*G849</f>
        <v>563570</v>
      </c>
      <c r="K849" s="1365" t="n">
        <f aca="false">J849/1792.8</f>
        <v>314.351851851852</v>
      </c>
      <c r="L849" s="547" t="n">
        <v>90</v>
      </c>
      <c r="M849" s="819" t="n">
        <f aca="false">K849*L849/60</f>
        <v>471.527777777778</v>
      </c>
    </row>
    <row r="850" customFormat="false" ht="15" hidden="false" customHeight="false" outlineLevel="0" collapsed="false">
      <c r="A850" s="216"/>
      <c r="B850" s="78"/>
      <c r="C850" s="1161" t="s">
        <v>6975</v>
      </c>
      <c r="D850" s="912" t="n">
        <v>2006</v>
      </c>
      <c r="E850" s="317" t="n">
        <f aca="false">2021-D850</f>
        <v>15</v>
      </c>
      <c r="F850" s="547" t="n">
        <v>147200</v>
      </c>
      <c r="G850" s="1413" t="n">
        <v>0.1</v>
      </c>
      <c r="H850" s="547" t="n">
        <f aca="false">E850*F850*G850</f>
        <v>220800</v>
      </c>
      <c r="I850" s="547" t="n">
        <f aca="false">F850-H850</f>
        <v>-73600</v>
      </c>
      <c r="J850" s="547" t="n">
        <f aca="false">F850*G850</f>
        <v>14720</v>
      </c>
      <c r="K850" s="1365" t="n">
        <f aca="false">J850/1792.8</f>
        <v>8.21062025881303</v>
      </c>
      <c r="L850" s="547" t="n">
        <v>30</v>
      </c>
      <c r="M850" s="819" t="n">
        <f aca="false">K850*L850/60</f>
        <v>4.10531012940652</v>
      </c>
    </row>
    <row r="851" customFormat="false" ht="15" hidden="false" customHeight="false" outlineLevel="0" collapsed="false">
      <c r="A851" s="216"/>
      <c r="B851" s="78"/>
      <c r="C851" s="1161" t="s">
        <v>6979</v>
      </c>
      <c r="D851" s="912" t="n">
        <v>2005</v>
      </c>
      <c r="E851" s="317" t="n">
        <f aca="false">2021-D851</f>
        <v>16</v>
      </c>
      <c r="F851" s="547" t="n">
        <v>1400000</v>
      </c>
      <c r="G851" s="1413" t="n">
        <v>0.1</v>
      </c>
      <c r="H851" s="547" t="n">
        <f aca="false">E851*F851*G851</f>
        <v>2240000</v>
      </c>
      <c r="I851" s="547" t="n">
        <f aca="false">F851-H851</f>
        <v>-840000</v>
      </c>
      <c r="J851" s="547" t="n">
        <f aca="false">F851*G851</f>
        <v>140000</v>
      </c>
      <c r="K851" s="1365" t="n">
        <f aca="false">J851/1792.8</f>
        <v>78.0901383311022</v>
      </c>
      <c r="L851" s="547" t="n">
        <v>30</v>
      </c>
      <c r="M851" s="819" t="n">
        <f aca="false">K851*L851/60</f>
        <v>39.0450691655511</v>
      </c>
    </row>
    <row r="852" customFormat="false" ht="15" hidden="false" customHeight="false" outlineLevel="0" collapsed="false">
      <c r="A852" s="216"/>
      <c r="B852" s="78"/>
      <c r="C852" s="1161" t="s">
        <v>6934</v>
      </c>
      <c r="D852" s="912" t="n">
        <v>2007</v>
      </c>
      <c r="E852" s="317" t="n">
        <f aca="false">2021-D852</f>
        <v>14</v>
      </c>
      <c r="F852" s="873" t="n">
        <v>491000</v>
      </c>
      <c r="G852" s="1413" t="n">
        <v>0.1</v>
      </c>
      <c r="H852" s="547" t="n">
        <f aca="false">E852*F852*G852</f>
        <v>687400</v>
      </c>
      <c r="I852" s="547" t="n">
        <f aca="false">F852-H852</f>
        <v>-196400</v>
      </c>
      <c r="J852" s="547" t="n">
        <f aca="false">F852*G852</f>
        <v>49100</v>
      </c>
      <c r="K852" s="1365" t="n">
        <f aca="false">J852/1792.8</f>
        <v>27.3873270861223</v>
      </c>
      <c r="L852" s="547" t="n">
        <v>10</v>
      </c>
      <c r="M852" s="819" t="n">
        <f aca="false">K852*L852/60</f>
        <v>4.56455451435371</v>
      </c>
    </row>
    <row r="853" customFormat="false" ht="15" hidden="false" customHeight="false" outlineLevel="0" collapsed="false">
      <c r="A853" s="216"/>
      <c r="B853" s="78"/>
      <c r="C853" s="1161" t="s">
        <v>6943</v>
      </c>
      <c r="D853" s="912" t="n">
        <v>2006</v>
      </c>
      <c r="E853" s="317" t="n">
        <f aca="false">2021-D853</f>
        <v>15</v>
      </c>
      <c r="F853" s="547" t="n">
        <v>1503927</v>
      </c>
      <c r="G853" s="1413" t="n">
        <v>0.1</v>
      </c>
      <c r="H853" s="547" t="n">
        <f aca="false">E853*F853*G853</f>
        <v>2255890.5</v>
      </c>
      <c r="I853" s="547" t="n">
        <f aca="false">F853-H853</f>
        <v>-751963.5</v>
      </c>
      <c r="J853" s="547" t="n">
        <f aca="false">F853*G853</f>
        <v>150392.7</v>
      </c>
      <c r="K853" s="1365" t="n">
        <f aca="false">J853/1792.8</f>
        <v>83.8870481927711</v>
      </c>
      <c r="L853" s="547" t="n">
        <v>40</v>
      </c>
      <c r="M853" s="819" t="n">
        <f aca="false">K853*L853/60</f>
        <v>55.9246987951807</v>
      </c>
    </row>
    <row r="854" customFormat="false" ht="15" hidden="false" customHeight="false" outlineLevel="0" collapsed="false">
      <c r="A854" s="216"/>
      <c r="B854" s="78"/>
      <c r="C854" s="1161" t="s">
        <v>6999</v>
      </c>
      <c r="D854" s="912" t="n">
        <v>2007</v>
      </c>
      <c r="E854" s="317" t="n">
        <f aca="false">2021-D854</f>
        <v>14</v>
      </c>
      <c r="F854" s="873" t="n">
        <v>450000</v>
      </c>
      <c r="G854" s="1413" t="n">
        <v>0.1</v>
      </c>
      <c r="H854" s="547" t="n">
        <f aca="false">E854*F854*G854</f>
        <v>630000</v>
      </c>
      <c r="I854" s="547" t="n">
        <f aca="false">F854-H854</f>
        <v>-180000</v>
      </c>
      <c r="J854" s="547" t="n">
        <f aca="false">F854*G854</f>
        <v>45000</v>
      </c>
      <c r="K854" s="1365" t="n">
        <f aca="false">J854/1792.8</f>
        <v>25.1004016064257</v>
      </c>
      <c r="L854" s="547" t="n">
        <v>13</v>
      </c>
      <c r="M854" s="819" t="n">
        <f aca="false">K854*L854/60</f>
        <v>5.4384203480589</v>
      </c>
    </row>
    <row r="855" customFormat="false" ht="15" hidden="false" customHeight="false" outlineLevel="0" collapsed="false">
      <c r="A855" s="216"/>
      <c r="B855" s="972" t="s">
        <v>4128</v>
      </c>
      <c r="C855" s="1160"/>
      <c r="D855" s="391"/>
      <c r="E855" s="317"/>
      <c r="F855" s="714"/>
      <c r="G855" s="1414"/>
      <c r="H855" s="547"/>
      <c r="I855" s="547"/>
      <c r="J855" s="547"/>
      <c r="K855" s="1365" t="n">
        <f aca="false">J855/1792.8</f>
        <v>0</v>
      </c>
      <c r="L855" s="714"/>
      <c r="M855" s="934" t="n">
        <f aca="false">M848+M849+M850+M851+M852+M853+M854</f>
        <v>587.954252193961</v>
      </c>
    </row>
    <row r="856" customFormat="false" ht="15" hidden="false" customHeight="false" outlineLevel="0" collapsed="false">
      <c r="A856" s="216" t="s">
        <v>604</v>
      </c>
      <c r="B856" s="29" t="s">
        <v>3129</v>
      </c>
      <c r="C856" s="1161" t="s">
        <v>6974</v>
      </c>
      <c r="D856" s="912" t="n">
        <v>2006</v>
      </c>
      <c r="E856" s="317" t="n">
        <f aca="false">2021-D856</f>
        <v>15</v>
      </c>
      <c r="F856" s="547" t="n">
        <v>526970</v>
      </c>
      <c r="G856" s="1413" t="n">
        <v>0.1</v>
      </c>
      <c r="H856" s="547" t="n">
        <f aca="false">E856*F856*G856</f>
        <v>790455</v>
      </c>
      <c r="I856" s="547" t="n">
        <f aca="false">F856-H856</f>
        <v>-263485</v>
      </c>
      <c r="J856" s="547" t="n">
        <f aca="false">F856*G856</f>
        <v>52697</v>
      </c>
      <c r="K856" s="1365" t="n">
        <f aca="false">J856/1792.8</f>
        <v>29.3936858545292</v>
      </c>
      <c r="L856" s="547" t="n">
        <v>15</v>
      </c>
      <c r="M856" s="819" t="n">
        <f aca="false">K856*L856/60</f>
        <v>7.34842146363231</v>
      </c>
    </row>
    <row r="857" customFormat="false" ht="15" hidden="false" customHeight="false" outlineLevel="0" collapsed="false">
      <c r="A857" s="216"/>
      <c r="B857" s="78"/>
      <c r="C857" s="1161" t="s">
        <v>4568</v>
      </c>
      <c r="D857" s="912" t="n">
        <v>2007</v>
      </c>
      <c r="E857" s="317" t="n">
        <f aca="false">2021-D857</f>
        <v>14</v>
      </c>
      <c r="F857" s="873" t="n">
        <v>5635700</v>
      </c>
      <c r="G857" s="1413" t="n">
        <v>0.1</v>
      </c>
      <c r="H857" s="547" t="n">
        <f aca="false">E857*F857*G857</f>
        <v>7889980</v>
      </c>
      <c r="I857" s="547" t="n">
        <f aca="false">F857-H857</f>
        <v>-2254280</v>
      </c>
      <c r="J857" s="547" t="n">
        <f aca="false">F857*G857</f>
        <v>563570</v>
      </c>
      <c r="K857" s="1365" t="n">
        <f aca="false">J857/1792.8</f>
        <v>314.351851851852</v>
      </c>
      <c r="L857" s="547" t="n">
        <v>120</v>
      </c>
      <c r="M857" s="819" t="n">
        <f aca="false">K857*L857/60</f>
        <v>628.703703703704</v>
      </c>
    </row>
    <row r="858" customFormat="false" ht="15" hidden="false" customHeight="false" outlineLevel="0" collapsed="false">
      <c r="A858" s="216"/>
      <c r="B858" s="78"/>
      <c r="C858" s="1161" t="s">
        <v>6934</v>
      </c>
      <c r="D858" s="912" t="n">
        <v>2007</v>
      </c>
      <c r="E858" s="317" t="n">
        <f aca="false">2021-D858</f>
        <v>14</v>
      </c>
      <c r="F858" s="873" t="n">
        <v>491000</v>
      </c>
      <c r="G858" s="1413" t="n">
        <v>0.1</v>
      </c>
      <c r="H858" s="547" t="n">
        <f aca="false">E858*F858*G858</f>
        <v>687400</v>
      </c>
      <c r="I858" s="547" t="n">
        <f aca="false">F858-H858</f>
        <v>-196400</v>
      </c>
      <c r="J858" s="547" t="n">
        <f aca="false">F858*G858</f>
        <v>49100</v>
      </c>
      <c r="K858" s="1365" t="n">
        <f aca="false">J858/1792.8</f>
        <v>27.3873270861223</v>
      </c>
      <c r="L858" s="547" t="n">
        <v>10</v>
      </c>
      <c r="M858" s="819" t="n">
        <f aca="false">K858*L858/60</f>
        <v>4.56455451435371</v>
      </c>
    </row>
    <row r="859" customFormat="false" ht="15" hidden="false" customHeight="false" outlineLevel="0" collapsed="false">
      <c r="A859" s="216"/>
      <c r="B859" s="78"/>
      <c r="C859" s="1161" t="s">
        <v>6999</v>
      </c>
      <c r="D859" s="912" t="n">
        <v>2007</v>
      </c>
      <c r="E859" s="317" t="n">
        <f aca="false">2021-D859</f>
        <v>14</v>
      </c>
      <c r="F859" s="873" t="n">
        <v>450000</v>
      </c>
      <c r="G859" s="1413" t="n">
        <v>0.1</v>
      </c>
      <c r="H859" s="547" t="n">
        <f aca="false">E859*F859*G859</f>
        <v>630000</v>
      </c>
      <c r="I859" s="547" t="n">
        <f aca="false">F859-H859</f>
        <v>-180000</v>
      </c>
      <c r="J859" s="547" t="n">
        <f aca="false">F859*G859</f>
        <v>45000</v>
      </c>
      <c r="K859" s="1365" t="n">
        <f aca="false">J859/1792.8</f>
        <v>25.1004016064257</v>
      </c>
      <c r="L859" s="547" t="n">
        <v>13</v>
      </c>
      <c r="M859" s="819" t="n">
        <f aca="false">K859*L859/60</f>
        <v>5.4384203480589</v>
      </c>
    </row>
    <row r="860" customFormat="false" ht="15" hidden="false" customHeight="false" outlineLevel="0" collapsed="false">
      <c r="A860" s="216"/>
      <c r="B860" s="972" t="s">
        <v>4128</v>
      </c>
      <c r="C860" s="1160"/>
      <c r="D860" s="391"/>
      <c r="E860" s="317"/>
      <c r="F860" s="714"/>
      <c r="G860" s="1414"/>
      <c r="H860" s="547"/>
      <c r="I860" s="547"/>
      <c r="J860" s="547"/>
      <c r="K860" s="1365" t="n">
        <f aca="false">J860/1792.8</f>
        <v>0</v>
      </c>
      <c r="L860" s="714"/>
      <c r="M860" s="934" t="n">
        <f aca="false">M856+M857+M858+M859</f>
        <v>646.055100029749</v>
      </c>
    </row>
    <row r="861" customFormat="false" ht="30" hidden="false" customHeight="false" outlineLevel="0" collapsed="false">
      <c r="A861" s="216" t="s">
        <v>605</v>
      </c>
      <c r="B861" s="29" t="s">
        <v>3130</v>
      </c>
      <c r="C861" s="1161" t="s">
        <v>7000</v>
      </c>
      <c r="D861" s="912" t="n">
        <v>2003</v>
      </c>
      <c r="E861" s="317" t="n">
        <f aca="false">2021-D861</f>
        <v>18</v>
      </c>
      <c r="F861" s="547" t="n">
        <v>1000000</v>
      </c>
      <c r="G861" s="1413" t="n">
        <v>0.1</v>
      </c>
      <c r="H861" s="547" t="n">
        <f aca="false">F861</f>
        <v>1000000</v>
      </c>
      <c r="I861" s="547" t="n">
        <f aca="false">F861-H861</f>
        <v>0</v>
      </c>
      <c r="J861" s="547" t="n">
        <f aca="false">F861*G861</f>
        <v>100000</v>
      </c>
      <c r="K861" s="1365" t="n">
        <f aca="false">J861/1792.8</f>
        <v>55.7786702365016</v>
      </c>
      <c r="L861" s="547" t="n">
        <v>10</v>
      </c>
      <c r="M861" s="819" t="n">
        <f aca="false">K861*L861/60</f>
        <v>9.29644503941693</v>
      </c>
    </row>
    <row r="862" customFormat="false" ht="15" hidden="false" customHeight="false" outlineLevel="0" collapsed="false">
      <c r="A862" s="216"/>
      <c r="B862" s="78"/>
      <c r="C862" s="1161" t="s">
        <v>6934</v>
      </c>
      <c r="D862" s="912" t="n">
        <v>2007</v>
      </c>
      <c r="E862" s="317" t="n">
        <f aca="false">2021-D862</f>
        <v>14</v>
      </c>
      <c r="F862" s="873" t="n">
        <v>491000</v>
      </c>
      <c r="G862" s="1413" t="n">
        <v>0.1</v>
      </c>
      <c r="H862" s="547" t="n">
        <f aca="false">E862*F862*G862</f>
        <v>687400</v>
      </c>
      <c r="I862" s="547" t="n">
        <f aca="false">F862-H862</f>
        <v>-196400</v>
      </c>
      <c r="J862" s="547" t="n">
        <f aca="false">F862*G862</f>
        <v>49100</v>
      </c>
      <c r="K862" s="1365" t="n">
        <f aca="false">J862/1792.8</f>
        <v>27.3873270861223</v>
      </c>
      <c r="L862" s="547" t="n">
        <v>10</v>
      </c>
      <c r="M862" s="819" t="n">
        <f aca="false">K862*L862/60</f>
        <v>4.56455451435371</v>
      </c>
    </row>
    <row r="863" customFormat="false" ht="15" hidden="false" customHeight="false" outlineLevel="0" collapsed="false">
      <c r="A863" s="216"/>
      <c r="B863" s="78"/>
      <c r="C863" s="1161" t="s">
        <v>6997</v>
      </c>
      <c r="D863" s="912" t="n">
        <v>2009</v>
      </c>
      <c r="E863" s="317" t="n">
        <f aca="false">2021-D863</f>
        <v>12</v>
      </c>
      <c r="F863" s="547" t="n">
        <v>181000</v>
      </c>
      <c r="G863" s="1413" t="n">
        <v>0.1</v>
      </c>
      <c r="H863" s="547" t="n">
        <f aca="false">E863*F863*G863</f>
        <v>217200</v>
      </c>
      <c r="I863" s="547" t="n">
        <f aca="false">F863-H863</f>
        <v>-36200</v>
      </c>
      <c r="J863" s="547" t="n">
        <f aca="false">F863*G863</f>
        <v>18100</v>
      </c>
      <c r="K863" s="1365" t="n">
        <f aca="false">J863/1792.8</f>
        <v>10.0959393128068</v>
      </c>
      <c r="L863" s="547" t="n">
        <v>10</v>
      </c>
      <c r="M863" s="819" t="n">
        <f aca="false">K863*L863/60</f>
        <v>1.68265655213446</v>
      </c>
    </row>
    <row r="864" customFormat="false" ht="15" hidden="false" customHeight="false" outlineLevel="0" collapsed="false">
      <c r="A864" s="216"/>
      <c r="B864" s="972" t="s">
        <v>4128</v>
      </c>
      <c r="C864" s="1160"/>
      <c r="D864" s="391"/>
      <c r="E864" s="317"/>
      <c r="F864" s="714"/>
      <c r="G864" s="1414"/>
      <c r="H864" s="547"/>
      <c r="I864" s="547"/>
      <c r="J864" s="547"/>
      <c r="K864" s="1365" t="n">
        <f aca="false">J864/1792.8</f>
        <v>0</v>
      </c>
      <c r="L864" s="714"/>
      <c r="M864" s="934" t="n">
        <f aca="false">M861+M862+M863</f>
        <v>15.5436561059051</v>
      </c>
    </row>
    <row r="865" customFormat="false" ht="15" hidden="false" customHeight="false" outlineLevel="0" collapsed="false">
      <c r="A865" s="216" t="s">
        <v>607</v>
      </c>
      <c r="B865" s="29" t="s">
        <v>3107</v>
      </c>
      <c r="C865" s="1161" t="s">
        <v>6934</v>
      </c>
      <c r="D865" s="912" t="n">
        <v>2007</v>
      </c>
      <c r="E865" s="317" t="n">
        <f aca="false">2021-D865</f>
        <v>14</v>
      </c>
      <c r="F865" s="873" t="n">
        <v>491000</v>
      </c>
      <c r="G865" s="1413" t="n">
        <v>0.1</v>
      </c>
      <c r="H865" s="547" t="n">
        <f aca="false">E865*F865*G865</f>
        <v>687400</v>
      </c>
      <c r="I865" s="547" t="n">
        <f aca="false">F865-H865</f>
        <v>-196400</v>
      </c>
      <c r="J865" s="547" t="n">
        <f aca="false">F865*G865</f>
        <v>49100</v>
      </c>
      <c r="K865" s="1365" t="n">
        <f aca="false">J865/1792.8</f>
        <v>27.3873270861223</v>
      </c>
      <c r="L865" s="547" t="n">
        <v>10</v>
      </c>
      <c r="M865" s="819" t="n">
        <f aca="false">K865*L865/60</f>
        <v>4.56455451435371</v>
      </c>
    </row>
    <row r="866" customFormat="false" ht="15" hidden="false" customHeight="false" outlineLevel="0" collapsed="false">
      <c r="A866" s="216"/>
      <c r="B866" s="78"/>
      <c r="C866" s="1161" t="s">
        <v>6997</v>
      </c>
      <c r="D866" s="912" t="n">
        <v>2009</v>
      </c>
      <c r="E866" s="317" t="n">
        <f aca="false">2021-D866</f>
        <v>12</v>
      </c>
      <c r="F866" s="547" t="n">
        <v>181000</v>
      </c>
      <c r="G866" s="1413" t="n">
        <v>0.1</v>
      </c>
      <c r="H866" s="547" t="n">
        <f aca="false">E866*F866*G866</f>
        <v>217200</v>
      </c>
      <c r="I866" s="547" t="n">
        <f aca="false">F866-H866</f>
        <v>-36200</v>
      </c>
      <c r="J866" s="547" t="n">
        <f aca="false">F866*G866</f>
        <v>18100</v>
      </c>
      <c r="K866" s="1365" t="n">
        <f aca="false">J866/1792.8</f>
        <v>10.0959393128068</v>
      </c>
      <c r="L866" s="547" t="n">
        <v>15</v>
      </c>
      <c r="M866" s="819" t="n">
        <f aca="false">K866*L866/60</f>
        <v>2.5239848282017</v>
      </c>
    </row>
    <row r="867" customFormat="false" ht="15" hidden="false" customHeight="false" outlineLevel="0" collapsed="false">
      <c r="A867" s="216"/>
      <c r="B867" s="971" t="s">
        <v>4128</v>
      </c>
      <c r="C867" s="1161"/>
      <c r="D867" s="912"/>
      <c r="E867" s="317"/>
      <c r="F867" s="547"/>
      <c r="G867" s="1413"/>
      <c r="H867" s="547"/>
      <c r="I867" s="547"/>
      <c r="J867" s="547"/>
      <c r="K867" s="1365" t="n">
        <f aca="false">J867/1792.8</f>
        <v>0</v>
      </c>
      <c r="L867" s="547"/>
      <c r="M867" s="934" t="n">
        <f aca="false">M865+M866</f>
        <v>7.08853934255541</v>
      </c>
    </row>
    <row r="868" customFormat="false" ht="15" hidden="false" customHeight="false" outlineLevel="0" collapsed="false">
      <c r="A868" s="216" t="s">
        <v>608</v>
      </c>
      <c r="B868" s="40" t="s">
        <v>3131</v>
      </c>
      <c r="C868" s="1161" t="s">
        <v>4568</v>
      </c>
      <c r="D868" s="912" t="n">
        <v>2007</v>
      </c>
      <c r="E868" s="317" t="n">
        <f aca="false">2021-D868</f>
        <v>14</v>
      </c>
      <c r="F868" s="873" t="n">
        <v>5635700</v>
      </c>
      <c r="G868" s="1413" t="n">
        <v>0.1</v>
      </c>
      <c r="H868" s="547" t="n">
        <f aca="false">E868*F868*G868</f>
        <v>7889980</v>
      </c>
      <c r="I868" s="547" t="n">
        <f aca="false">F868-H868</f>
        <v>-2254280</v>
      </c>
      <c r="J868" s="547" t="n">
        <f aca="false">F868*G868</f>
        <v>563570</v>
      </c>
      <c r="K868" s="1365" t="n">
        <f aca="false">J868/1792.8</f>
        <v>314.351851851852</v>
      </c>
      <c r="L868" s="547" t="n">
        <v>180</v>
      </c>
      <c r="M868" s="819" t="n">
        <f aca="false">K868*L868/60</f>
        <v>943.055555555556</v>
      </c>
    </row>
    <row r="869" customFormat="false" ht="15" hidden="false" customHeight="false" outlineLevel="0" collapsed="false">
      <c r="A869" s="216"/>
      <c r="B869" s="78" t="s">
        <v>4568</v>
      </c>
      <c r="C869" s="1161" t="s">
        <v>6934</v>
      </c>
      <c r="D869" s="912" t="n">
        <v>2007</v>
      </c>
      <c r="E869" s="317" t="n">
        <f aca="false">2021-D869</f>
        <v>14</v>
      </c>
      <c r="F869" s="873" t="n">
        <v>491000</v>
      </c>
      <c r="G869" s="1413" t="n">
        <v>0.1</v>
      </c>
      <c r="H869" s="547" t="n">
        <f aca="false">E869*F869*G869</f>
        <v>687400</v>
      </c>
      <c r="I869" s="547" t="n">
        <f aca="false">F869-H869</f>
        <v>-196400</v>
      </c>
      <c r="J869" s="547" t="n">
        <f aca="false">F869*G869</f>
        <v>49100</v>
      </c>
      <c r="K869" s="1365" t="n">
        <f aca="false">J869/1792.8</f>
        <v>27.3873270861223</v>
      </c>
      <c r="L869" s="547" t="n">
        <v>10</v>
      </c>
      <c r="M869" s="819" t="n">
        <f aca="false">K869*L869/60</f>
        <v>4.56455451435371</v>
      </c>
    </row>
    <row r="870" customFormat="false" ht="15" hidden="false" customHeight="false" outlineLevel="0" collapsed="false">
      <c r="A870" s="216"/>
      <c r="B870" s="78"/>
      <c r="C870" s="1161" t="s">
        <v>6999</v>
      </c>
      <c r="D870" s="912" t="n">
        <v>2007</v>
      </c>
      <c r="E870" s="317" t="n">
        <f aca="false">2021-D870</f>
        <v>14</v>
      </c>
      <c r="F870" s="873" t="n">
        <v>450000</v>
      </c>
      <c r="G870" s="1413" t="n">
        <v>0.1</v>
      </c>
      <c r="H870" s="547" t="n">
        <f aca="false">E870*F870*G870</f>
        <v>630000</v>
      </c>
      <c r="I870" s="547" t="n">
        <f aca="false">F870-H870</f>
        <v>-180000</v>
      </c>
      <c r="J870" s="547" t="n">
        <f aca="false">F870*G870</f>
        <v>45000</v>
      </c>
      <c r="K870" s="1365" t="n">
        <f aca="false">J870/1792.8</f>
        <v>25.1004016064257</v>
      </c>
      <c r="L870" s="547" t="n">
        <v>13</v>
      </c>
      <c r="M870" s="819" t="n">
        <f aca="false">K870*L870/60</f>
        <v>5.4384203480589</v>
      </c>
    </row>
    <row r="871" customFormat="false" ht="15" hidden="false" customHeight="false" outlineLevel="0" collapsed="false">
      <c r="A871" s="216"/>
      <c r="B871" s="972" t="s">
        <v>4128</v>
      </c>
      <c r="C871" s="1160"/>
      <c r="D871" s="391"/>
      <c r="E871" s="317"/>
      <c r="F871" s="714"/>
      <c r="G871" s="1414"/>
      <c r="H871" s="547"/>
      <c r="I871" s="547"/>
      <c r="J871" s="547"/>
      <c r="K871" s="1365" t="n">
        <f aca="false">J871/1792.8</f>
        <v>0</v>
      </c>
      <c r="L871" s="714"/>
      <c r="M871" s="934" t="n">
        <f aca="false">M868+M869+M870</f>
        <v>953.058530417968</v>
      </c>
    </row>
    <row r="872" customFormat="false" ht="15" hidden="false" customHeight="false" outlineLevel="0" collapsed="false">
      <c r="A872" s="216" t="s">
        <v>610</v>
      </c>
      <c r="B872" s="40" t="s">
        <v>3132</v>
      </c>
      <c r="C872" s="1161" t="s">
        <v>6934</v>
      </c>
      <c r="D872" s="912" t="n">
        <v>2007</v>
      </c>
      <c r="E872" s="317" t="n">
        <f aca="false">2021-D872</f>
        <v>14</v>
      </c>
      <c r="F872" s="873" t="n">
        <v>491000</v>
      </c>
      <c r="G872" s="1413" t="n">
        <v>0.1</v>
      </c>
      <c r="H872" s="547" t="n">
        <f aca="false">E872*F872*G872</f>
        <v>687400</v>
      </c>
      <c r="I872" s="547" t="n">
        <f aca="false">F872-H872</f>
        <v>-196400</v>
      </c>
      <c r="J872" s="547" t="n">
        <f aca="false">F872*G872</f>
        <v>49100</v>
      </c>
      <c r="K872" s="1365" t="n">
        <f aca="false">J872/1792.8</f>
        <v>27.3873270861223</v>
      </c>
      <c r="L872" s="547" t="n">
        <v>10</v>
      </c>
      <c r="M872" s="934" t="n">
        <f aca="false">K872*L872/60</f>
        <v>4.56455451435371</v>
      </c>
    </row>
    <row r="873" customFormat="false" ht="27.75" hidden="false" customHeight="true" outlineLevel="0" collapsed="false">
      <c r="A873" s="15" t="s">
        <v>4814</v>
      </c>
      <c r="B873" s="16" t="s">
        <v>7012</v>
      </c>
      <c r="C873" s="1387"/>
      <c r="D873" s="339"/>
      <c r="E873" s="1389"/>
      <c r="F873" s="751"/>
      <c r="G873" s="1412"/>
      <c r="H873" s="751"/>
      <c r="I873" s="751"/>
      <c r="J873" s="751"/>
      <c r="K873" s="1390"/>
      <c r="L873" s="751"/>
      <c r="M873" s="818"/>
    </row>
    <row r="874" customFormat="false" ht="15" hidden="false" customHeight="false" outlineLevel="0" collapsed="false">
      <c r="A874" s="216" t="s">
        <v>4816</v>
      </c>
      <c r="B874" s="29" t="s">
        <v>3084</v>
      </c>
      <c r="C874" s="1161" t="s">
        <v>6973</v>
      </c>
      <c r="D874" s="912" t="n">
        <v>2006</v>
      </c>
      <c r="E874" s="317" t="n">
        <f aca="false">2021-D874</f>
        <v>15</v>
      </c>
      <c r="F874" s="547" t="n">
        <v>190000</v>
      </c>
      <c r="G874" s="1413" t="n">
        <v>0.1</v>
      </c>
      <c r="H874" s="547" t="n">
        <f aca="false">E874*F874*G874</f>
        <v>285000</v>
      </c>
      <c r="I874" s="547" t="n">
        <f aca="false">F874-H874</f>
        <v>-95000</v>
      </c>
      <c r="J874" s="547" t="n">
        <f aca="false">F874*G874</f>
        <v>19000</v>
      </c>
      <c r="K874" s="1365" t="n">
        <f aca="false">J874/1792.8</f>
        <v>10.5979473449353</v>
      </c>
      <c r="L874" s="547" t="n">
        <v>30</v>
      </c>
      <c r="M874" s="819" t="n">
        <f aca="false">K874*L874/60</f>
        <v>5.29897367246765</v>
      </c>
    </row>
    <row r="875" customFormat="false" ht="15" hidden="false" customHeight="false" outlineLevel="0" collapsed="false">
      <c r="A875" s="216"/>
      <c r="B875" s="78"/>
      <c r="C875" s="1161" t="s">
        <v>6934</v>
      </c>
      <c r="D875" s="912" t="n">
        <v>2005</v>
      </c>
      <c r="E875" s="317" t="n">
        <f aca="false">2021-D875</f>
        <v>16</v>
      </c>
      <c r="F875" s="547" t="n">
        <v>90680</v>
      </c>
      <c r="G875" s="1413" t="n">
        <v>0.1</v>
      </c>
      <c r="H875" s="547" t="n">
        <f aca="false">E875*F875*G875</f>
        <v>145088</v>
      </c>
      <c r="I875" s="547" t="n">
        <f aca="false">F875-H875</f>
        <v>-54408</v>
      </c>
      <c r="J875" s="547" t="n">
        <f aca="false">F875*G875</f>
        <v>9068</v>
      </c>
      <c r="K875" s="1365" t="n">
        <f aca="false">J875/1792.8</f>
        <v>5.05800981704596</v>
      </c>
      <c r="L875" s="547" t="n">
        <v>10</v>
      </c>
      <c r="M875" s="819" t="n">
        <f aca="false">K875*L875/60</f>
        <v>0.843001636174327</v>
      </c>
    </row>
    <row r="876" customFormat="false" ht="15" hidden="false" customHeight="false" outlineLevel="0" collapsed="false">
      <c r="A876" s="216"/>
      <c r="B876" s="972" t="s">
        <v>4128</v>
      </c>
      <c r="C876" s="1160"/>
      <c r="D876" s="391"/>
      <c r="E876" s="317"/>
      <c r="F876" s="714"/>
      <c r="G876" s="1414"/>
      <c r="H876" s="547"/>
      <c r="I876" s="547"/>
      <c r="J876" s="547"/>
      <c r="K876" s="1365" t="n">
        <f aca="false">J876/1792.8</f>
        <v>0</v>
      </c>
      <c r="L876" s="714"/>
      <c r="M876" s="934" t="n">
        <f aca="false">M874+M875</f>
        <v>6.14197530864198</v>
      </c>
    </row>
    <row r="877" customFormat="false" ht="30" hidden="false" customHeight="false" outlineLevel="0" collapsed="false">
      <c r="A877" s="216" t="s">
        <v>615</v>
      </c>
      <c r="B877" s="29" t="s">
        <v>3085</v>
      </c>
      <c r="C877" s="1161" t="s">
        <v>6973</v>
      </c>
      <c r="D877" s="912" t="n">
        <v>2006</v>
      </c>
      <c r="E877" s="317" t="n">
        <f aca="false">2021-D877</f>
        <v>15</v>
      </c>
      <c r="F877" s="547" t="n">
        <v>190000</v>
      </c>
      <c r="G877" s="1413" t="n">
        <v>0.1</v>
      </c>
      <c r="H877" s="547" t="n">
        <f aca="false">E877*F877*G877</f>
        <v>285000</v>
      </c>
      <c r="I877" s="547" t="n">
        <f aca="false">F877-H877</f>
        <v>-95000</v>
      </c>
      <c r="J877" s="547" t="n">
        <f aca="false">F877*G877</f>
        <v>19000</v>
      </c>
      <c r="K877" s="1365" t="n">
        <f aca="false">J877/1792.8</f>
        <v>10.5979473449353</v>
      </c>
      <c r="L877" s="547" t="n">
        <v>30</v>
      </c>
      <c r="M877" s="819" t="n">
        <f aca="false">K877*L877/60</f>
        <v>5.29897367246765</v>
      </c>
    </row>
    <row r="878" customFormat="false" ht="15" hidden="false" customHeight="false" outlineLevel="0" collapsed="false">
      <c r="A878" s="216"/>
      <c r="B878" s="78"/>
      <c r="C878" s="1161" t="s">
        <v>6934</v>
      </c>
      <c r="D878" s="912" t="n">
        <v>2005</v>
      </c>
      <c r="E878" s="317" t="n">
        <f aca="false">2021-D878</f>
        <v>16</v>
      </c>
      <c r="F878" s="547" t="n">
        <v>90680</v>
      </c>
      <c r="G878" s="1413" t="n">
        <v>0.1</v>
      </c>
      <c r="H878" s="547" t="n">
        <f aca="false">E878*F878*G878</f>
        <v>145088</v>
      </c>
      <c r="I878" s="547" t="n">
        <f aca="false">F878-H878</f>
        <v>-54408</v>
      </c>
      <c r="J878" s="547" t="n">
        <f aca="false">F878*G878</f>
        <v>9068</v>
      </c>
      <c r="K878" s="1365" t="n">
        <f aca="false">J878/1792.8</f>
        <v>5.05800981704596</v>
      </c>
      <c r="L878" s="547" t="n">
        <v>10</v>
      </c>
      <c r="M878" s="819" t="n">
        <f aca="false">K878*L878/60</f>
        <v>0.843001636174327</v>
      </c>
    </row>
    <row r="879" customFormat="false" ht="15" hidden="false" customHeight="false" outlineLevel="0" collapsed="false">
      <c r="A879" s="216"/>
      <c r="B879" s="972" t="s">
        <v>4128</v>
      </c>
      <c r="C879" s="1160"/>
      <c r="D879" s="391"/>
      <c r="E879" s="317"/>
      <c r="F879" s="714"/>
      <c r="G879" s="1414"/>
      <c r="H879" s="547"/>
      <c r="I879" s="547"/>
      <c r="J879" s="547"/>
      <c r="K879" s="1365" t="n">
        <f aca="false">J879/1792.8</f>
        <v>0</v>
      </c>
      <c r="L879" s="714"/>
      <c r="M879" s="934" t="n">
        <f aca="false">M877+M878</f>
        <v>6.14197530864198</v>
      </c>
    </row>
    <row r="880" customFormat="false" ht="30" hidden="false" customHeight="false" outlineLevel="0" collapsed="false">
      <c r="A880" s="216" t="s">
        <v>616</v>
      </c>
      <c r="B880" s="53" t="s">
        <v>3134</v>
      </c>
      <c r="C880" s="1161" t="s">
        <v>6934</v>
      </c>
      <c r="D880" s="912" t="n">
        <v>2005</v>
      </c>
      <c r="E880" s="317" t="n">
        <f aca="false">2021-D880</f>
        <v>16</v>
      </c>
      <c r="F880" s="547" t="n">
        <v>90680</v>
      </c>
      <c r="G880" s="1413" t="n">
        <v>0.1</v>
      </c>
      <c r="H880" s="547" t="n">
        <f aca="false">E880*F880*G880</f>
        <v>145088</v>
      </c>
      <c r="I880" s="547" t="n">
        <f aca="false">F880-H880</f>
        <v>-54408</v>
      </c>
      <c r="J880" s="547" t="n">
        <f aca="false">F880*G880</f>
        <v>9068</v>
      </c>
      <c r="K880" s="1365" t="n">
        <f aca="false">J880/1792.8</f>
        <v>5.05800981704596</v>
      </c>
      <c r="L880" s="547" t="n">
        <v>10</v>
      </c>
      <c r="M880" s="934" t="n">
        <f aca="false">K880*L880/60</f>
        <v>0.843001636174327</v>
      </c>
    </row>
    <row r="881" customFormat="false" ht="15" hidden="false" customHeight="false" outlineLevel="0" collapsed="false">
      <c r="A881" s="216" t="s">
        <v>7013</v>
      </c>
      <c r="B881" s="53" t="s">
        <v>3135</v>
      </c>
      <c r="C881" s="1161" t="s">
        <v>6974</v>
      </c>
      <c r="D881" s="912" t="n">
        <v>2006</v>
      </c>
      <c r="E881" s="317" t="n">
        <f aca="false">2021-D881</f>
        <v>15</v>
      </c>
      <c r="F881" s="547" t="n">
        <v>526970</v>
      </c>
      <c r="G881" s="1413" t="n">
        <v>0.1</v>
      </c>
      <c r="H881" s="547" t="n">
        <f aca="false">E881*F881*G881</f>
        <v>790455</v>
      </c>
      <c r="I881" s="547" t="n">
        <f aca="false">F881-H881</f>
        <v>-263485</v>
      </c>
      <c r="J881" s="547" t="n">
        <f aca="false">F881*G881</f>
        <v>52697</v>
      </c>
      <c r="K881" s="1365" t="n">
        <f aca="false">J881/1792.8</f>
        <v>29.3936858545292</v>
      </c>
      <c r="L881" s="547" t="n">
        <v>15</v>
      </c>
      <c r="M881" s="819" t="n">
        <f aca="false">K881*L881/60</f>
        <v>7.34842146363231</v>
      </c>
    </row>
    <row r="882" customFormat="false" ht="15" hidden="false" customHeight="false" outlineLevel="0" collapsed="false">
      <c r="A882" s="216"/>
      <c r="B882" s="78"/>
      <c r="C882" s="1161" t="s">
        <v>6934</v>
      </c>
      <c r="D882" s="912" t="n">
        <v>2005</v>
      </c>
      <c r="E882" s="317" t="n">
        <f aca="false">2021-D882</f>
        <v>16</v>
      </c>
      <c r="F882" s="547" t="n">
        <v>90680</v>
      </c>
      <c r="G882" s="1413" t="n">
        <v>0.1</v>
      </c>
      <c r="H882" s="547" t="n">
        <f aca="false">E882*F882*G882</f>
        <v>145088</v>
      </c>
      <c r="I882" s="547" t="n">
        <f aca="false">F882-H882</f>
        <v>-54408</v>
      </c>
      <c r="J882" s="547" t="n">
        <f aca="false">F882*G882</f>
        <v>9068</v>
      </c>
      <c r="K882" s="1365" t="n">
        <f aca="false">J882/1792.8</f>
        <v>5.05800981704596</v>
      </c>
      <c r="L882" s="547" t="n">
        <v>10</v>
      </c>
      <c r="M882" s="819" t="n">
        <f aca="false">K882*L882/60</f>
        <v>0.843001636174327</v>
      </c>
    </row>
    <row r="883" customFormat="false" ht="15" hidden="false" customHeight="false" outlineLevel="0" collapsed="false">
      <c r="A883" s="216"/>
      <c r="B883" s="972" t="s">
        <v>4128</v>
      </c>
      <c r="C883" s="1160"/>
      <c r="D883" s="391"/>
      <c r="E883" s="317"/>
      <c r="F883" s="714"/>
      <c r="G883" s="1414"/>
      <c r="H883" s="547"/>
      <c r="I883" s="547"/>
      <c r="J883" s="547"/>
      <c r="K883" s="1365" t="n">
        <f aca="false">J883/1792.8</f>
        <v>0</v>
      </c>
      <c r="L883" s="714"/>
      <c r="M883" s="934" t="n">
        <f aca="false">M881+M882</f>
        <v>8.19142309980663</v>
      </c>
    </row>
    <row r="884" customFormat="false" ht="15" hidden="false" customHeight="false" outlineLevel="0" collapsed="false">
      <c r="A884" s="216" t="s">
        <v>620</v>
      </c>
      <c r="B884" s="53" t="s">
        <v>3136</v>
      </c>
      <c r="C884" s="1161" t="s">
        <v>6934</v>
      </c>
      <c r="D884" s="912" t="n">
        <v>2005</v>
      </c>
      <c r="E884" s="317" t="n">
        <f aca="false">2021-D884</f>
        <v>16</v>
      </c>
      <c r="F884" s="547" t="n">
        <v>90680</v>
      </c>
      <c r="G884" s="1413" t="n">
        <v>0.1</v>
      </c>
      <c r="H884" s="547" t="n">
        <f aca="false">E884*F884*G884</f>
        <v>145088</v>
      </c>
      <c r="I884" s="547" t="n">
        <f aca="false">F884-H884</f>
        <v>-54408</v>
      </c>
      <c r="J884" s="547" t="n">
        <f aca="false">F884*G884</f>
        <v>9068</v>
      </c>
      <c r="K884" s="1365" t="n">
        <f aca="false">J884/1792.8</f>
        <v>5.05800981704596</v>
      </c>
      <c r="L884" s="547" t="n">
        <v>10</v>
      </c>
      <c r="M884" s="934" t="n">
        <f aca="false">K884*L884/60</f>
        <v>0.843001636174327</v>
      </c>
    </row>
    <row r="885" customFormat="false" ht="15" hidden="false" customHeight="false" outlineLevel="0" collapsed="false">
      <c r="A885" s="216" t="s">
        <v>622</v>
      </c>
      <c r="B885" s="53" t="s">
        <v>3137</v>
      </c>
      <c r="C885" s="1161" t="s">
        <v>6934</v>
      </c>
      <c r="D885" s="912" t="n">
        <v>2005</v>
      </c>
      <c r="E885" s="317" t="n">
        <f aca="false">2021-D885</f>
        <v>16</v>
      </c>
      <c r="F885" s="547" t="n">
        <v>90680</v>
      </c>
      <c r="G885" s="1413" t="n">
        <v>0.1</v>
      </c>
      <c r="H885" s="547" t="n">
        <f aca="false">E885*F885*G885</f>
        <v>145088</v>
      </c>
      <c r="I885" s="547" t="n">
        <f aca="false">F885-H885</f>
        <v>-54408</v>
      </c>
      <c r="J885" s="547" t="n">
        <f aca="false">F885*G885</f>
        <v>9068</v>
      </c>
      <c r="K885" s="1365" t="n">
        <f aca="false">J885/1792.8</f>
        <v>5.05800981704596</v>
      </c>
      <c r="L885" s="547" t="n">
        <v>10</v>
      </c>
      <c r="M885" s="934" t="n">
        <f aca="false">K885*L885/60</f>
        <v>0.843001636174327</v>
      </c>
    </row>
    <row r="886" customFormat="false" ht="15" hidden="false" customHeight="false" outlineLevel="0" collapsed="false">
      <c r="A886" s="216" t="s">
        <v>624</v>
      </c>
      <c r="B886" s="53" t="s">
        <v>3138</v>
      </c>
      <c r="C886" s="1161" t="s">
        <v>6934</v>
      </c>
      <c r="D886" s="912" t="n">
        <v>2005</v>
      </c>
      <c r="E886" s="317" t="n">
        <f aca="false">2021-D886</f>
        <v>16</v>
      </c>
      <c r="F886" s="547" t="n">
        <v>90680</v>
      </c>
      <c r="G886" s="1413" t="n">
        <v>0.1</v>
      </c>
      <c r="H886" s="547" t="n">
        <f aca="false">E886*F886*G886</f>
        <v>145088</v>
      </c>
      <c r="I886" s="547" t="n">
        <f aca="false">F886-H886</f>
        <v>-54408</v>
      </c>
      <c r="J886" s="547" t="n">
        <f aca="false">F886*G886</f>
        <v>9068</v>
      </c>
      <c r="K886" s="1365" t="n">
        <f aca="false">J886/1792.8</f>
        <v>5.05800981704596</v>
      </c>
      <c r="L886" s="547" t="n">
        <v>10</v>
      </c>
      <c r="M886" s="934" t="n">
        <f aca="false">K886*L886/60</f>
        <v>0.843001636174327</v>
      </c>
    </row>
    <row r="887" customFormat="false" ht="15" hidden="false" customHeight="false" outlineLevel="0" collapsed="false">
      <c r="A887" s="216" t="s">
        <v>626</v>
      </c>
      <c r="B887" s="29" t="s">
        <v>3103</v>
      </c>
      <c r="C887" s="1161" t="s">
        <v>4568</v>
      </c>
      <c r="D887" s="912" t="n">
        <v>2003</v>
      </c>
      <c r="E887" s="317" t="n">
        <f aca="false">2021-D887</f>
        <v>18</v>
      </c>
      <c r="F887" s="547" t="n">
        <v>12704749</v>
      </c>
      <c r="G887" s="1413" t="n">
        <v>0.1</v>
      </c>
      <c r="H887" s="547" t="n">
        <f aca="false">E887*F887*G887</f>
        <v>22868548.2</v>
      </c>
      <c r="I887" s="547" t="n">
        <f aca="false">F887-H887</f>
        <v>-10163799.2</v>
      </c>
      <c r="J887" s="547" t="n">
        <f aca="false">F887*G887</f>
        <v>1270474.9</v>
      </c>
      <c r="K887" s="1365" t="n">
        <f aca="false">J887/1792.8</f>
        <v>708.654004908523</v>
      </c>
      <c r="L887" s="547" t="n">
        <v>90</v>
      </c>
      <c r="M887" s="819" t="n">
        <f aca="false">K887*L887/60</f>
        <v>1062.98100736278</v>
      </c>
    </row>
    <row r="888" customFormat="false" ht="15" hidden="false" customHeight="false" outlineLevel="0" collapsed="false">
      <c r="A888" s="216"/>
      <c r="B888" s="78"/>
      <c r="C888" s="1161" t="s">
        <v>6975</v>
      </c>
      <c r="D888" s="912" t="n">
        <v>2006</v>
      </c>
      <c r="E888" s="317" t="n">
        <f aca="false">2021-D888</f>
        <v>15</v>
      </c>
      <c r="F888" s="547" t="n">
        <v>147200</v>
      </c>
      <c r="G888" s="1413" t="n">
        <v>0.1</v>
      </c>
      <c r="H888" s="547" t="n">
        <f aca="false">E888*F888*G888</f>
        <v>220800</v>
      </c>
      <c r="I888" s="547" t="n">
        <f aca="false">F888-H888</f>
        <v>-73600</v>
      </c>
      <c r="J888" s="547" t="n">
        <f aca="false">F888*G888</f>
        <v>14720</v>
      </c>
      <c r="K888" s="1365" t="n">
        <f aca="false">J888/1792.8</f>
        <v>8.21062025881303</v>
      </c>
      <c r="L888" s="547" t="n">
        <v>30</v>
      </c>
      <c r="M888" s="819" t="n">
        <f aca="false">K888*L888/60</f>
        <v>4.10531012940652</v>
      </c>
    </row>
    <row r="889" customFormat="false" ht="15" hidden="false" customHeight="false" outlineLevel="0" collapsed="false">
      <c r="A889" s="216"/>
      <c r="B889" s="78"/>
      <c r="C889" s="1161" t="s">
        <v>6979</v>
      </c>
      <c r="D889" s="912" t="n">
        <v>2005</v>
      </c>
      <c r="E889" s="317" t="n">
        <f aca="false">2021-D889</f>
        <v>16</v>
      </c>
      <c r="F889" s="547" t="n">
        <v>1400000</v>
      </c>
      <c r="G889" s="1413" t="n">
        <v>0.1</v>
      </c>
      <c r="H889" s="547" t="n">
        <f aca="false">E889*F889*G889</f>
        <v>2240000</v>
      </c>
      <c r="I889" s="547" t="n">
        <f aca="false">F889-H889</f>
        <v>-840000</v>
      </c>
      <c r="J889" s="547" t="n">
        <f aca="false">F889*G889</f>
        <v>140000</v>
      </c>
      <c r="K889" s="1365" t="n">
        <f aca="false">J889/1792.8</f>
        <v>78.0901383311022</v>
      </c>
      <c r="L889" s="547" t="n">
        <v>30</v>
      </c>
      <c r="M889" s="819" t="n">
        <f aca="false">K889*L889/60</f>
        <v>39.0450691655511</v>
      </c>
    </row>
    <row r="890" customFormat="false" ht="15" hidden="false" customHeight="false" outlineLevel="0" collapsed="false">
      <c r="A890" s="216"/>
      <c r="B890" s="78"/>
      <c r="C890" s="1161" t="s">
        <v>6934</v>
      </c>
      <c r="D890" s="912" t="n">
        <v>2005</v>
      </c>
      <c r="E890" s="317" t="n">
        <f aca="false">2021-D890</f>
        <v>16</v>
      </c>
      <c r="F890" s="547" t="n">
        <v>90680</v>
      </c>
      <c r="G890" s="1413" t="n">
        <v>0.1</v>
      </c>
      <c r="H890" s="547" t="n">
        <f aca="false">E890*F890*G890</f>
        <v>145088</v>
      </c>
      <c r="I890" s="547" t="n">
        <f aca="false">F890-H890</f>
        <v>-54408</v>
      </c>
      <c r="J890" s="547" t="n">
        <f aca="false">F890*G890</f>
        <v>9068</v>
      </c>
      <c r="K890" s="1365" t="n">
        <f aca="false">J890/1792.8</f>
        <v>5.05800981704596</v>
      </c>
      <c r="L890" s="547" t="n">
        <v>10</v>
      </c>
      <c r="M890" s="819" t="n">
        <f aca="false">K890*L890/60</f>
        <v>0.843001636174327</v>
      </c>
    </row>
    <row r="891" customFormat="false" ht="15" hidden="false" customHeight="false" outlineLevel="0" collapsed="false">
      <c r="A891" s="216"/>
      <c r="B891" s="972" t="s">
        <v>4128</v>
      </c>
      <c r="C891" s="1160"/>
      <c r="D891" s="391"/>
      <c r="E891" s="317"/>
      <c r="F891" s="714"/>
      <c r="G891" s="1414"/>
      <c r="H891" s="547"/>
      <c r="I891" s="547"/>
      <c r="J891" s="547"/>
      <c r="K891" s="1365" t="n">
        <f aca="false">J891/1792.8</f>
        <v>0</v>
      </c>
      <c r="L891" s="714"/>
      <c r="M891" s="934" t="n">
        <f aca="false">M887+M888+M889+M890</f>
        <v>1106.97438829392</v>
      </c>
    </row>
    <row r="892" customFormat="false" ht="15" hidden="false" customHeight="false" outlineLevel="0" collapsed="false">
      <c r="A892" s="216" t="s">
        <v>627</v>
      </c>
      <c r="B892" s="29" t="s">
        <v>3102</v>
      </c>
      <c r="C892" s="1161" t="s">
        <v>4568</v>
      </c>
      <c r="D892" s="912" t="n">
        <v>2003</v>
      </c>
      <c r="E892" s="317" t="n">
        <f aca="false">2021-D892</f>
        <v>18</v>
      </c>
      <c r="F892" s="547" t="n">
        <v>12704749</v>
      </c>
      <c r="G892" s="1413" t="n">
        <v>0.1</v>
      </c>
      <c r="H892" s="547" t="n">
        <f aca="false">E892*F892*G892</f>
        <v>22868548.2</v>
      </c>
      <c r="I892" s="547" t="n">
        <f aca="false">F892-H892</f>
        <v>-10163799.2</v>
      </c>
      <c r="J892" s="547" t="n">
        <f aca="false">F892*G892</f>
        <v>1270474.9</v>
      </c>
      <c r="K892" s="1365" t="n">
        <f aca="false">J892/1792.8</f>
        <v>708.654004908523</v>
      </c>
      <c r="L892" s="547" t="n">
        <v>90</v>
      </c>
      <c r="M892" s="819" t="n">
        <f aca="false">K892*L892/60</f>
        <v>1062.98100736278</v>
      </c>
    </row>
    <row r="893" customFormat="false" ht="15" hidden="false" customHeight="false" outlineLevel="0" collapsed="false">
      <c r="A893" s="216"/>
      <c r="B893" s="78"/>
      <c r="C893" s="1161" t="s">
        <v>6975</v>
      </c>
      <c r="D893" s="912" t="n">
        <v>2006</v>
      </c>
      <c r="E893" s="317" t="n">
        <f aca="false">2021-D893</f>
        <v>15</v>
      </c>
      <c r="F893" s="547" t="n">
        <v>147200</v>
      </c>
      <c r="G893" s="1413" t="n">
        <v>0.1</v>
      </c>
      <c r="H893" s="547" t="n">
        <f aca="false">E893*F893*G893</f>
        <v>220800</v>
      </c>
      <c r="I893" s="547" t="n">
        <f aca="false">F893-H893</f>
        <v>-73600</v>
      </c>
      <c r="J893" s="547" t="n">
        <f aca="false">F893*G893</f>
        <v>14720</v>
      </c>
      <c r="K893" s="1365" t="n">
        <f aca="false">J893/1792.8</f>
        <v>8.21062025881303</v>
      </c>
      <c r="L893" s="547" t="n">
        <v>30</v>
      </c>
      <c r="M893" s="819" t="n">
        <f aca="false">K893*L893/60</f>
        <v>4.10531012940652</v>
      </c>
    </row>
    <row r="894" customFormat="false" ht="15" hidden="false" customHeight="false" outlineLevel="0" collapsed="false">
      <c r="A894" s="216"/>
      <c r="B894" s="78"/>
      <c r="C894" s="1161" t="s">
        <v>6979</v>
      </c>
      <c r="D894" s="912" t="n">
        <v>2005</v>
      </c>
      <c r="E894" s="317" t="n">
        <f aca="false">2021-D894</f>
        <v>16</v>
      </c>
      <c r="F894" s="547" t="n">
        <v>1400000</v>
      </c>
      <c r="G894" s="1413" t="n">
        <v>0.1</v>
      </c>
      <c r="H894" s="547" t="n">
        <f aca="false">E894*F894*G894</f>
        <v>2240000</v>
      </c>
      <c r="I894" s="547" t="n">
        <f aca="false">F894-H894</f>
        <v>-840000</v>
      </c>
      <c r="J894" s="547" t="n">
        <f aca="false">F894*G894</f>
        <v>140000</v>
      </c>
      <c r="K894" s="1365" t="n">
        <f aca="false">J894/1792.8</f>
        <v>78.0901383311022</v>
      </c>
      <c r="L894" s="547" t="n">
        <v>30</v>
      </c>
      <c r="M894" s="819" t="n">
        <f aca="false">K894*L894/60</f>
        <v>39.0450691655511</v>
      </c>
    </row>
    <row r="895" customFormat="false" ht="15" hidden="false" customHeight="false" outlineLevel="0" collapsed="false">
      <c r="A895" s="216"/>
      <c r="B895" s="78"/>
      <c r="C895" s="1161" t="s">
        <v>6934</v>
      </c>
      <c r="D895" s="912" t="n">
        <v>2005</v>
      </c>
      <c r="E895" s="317" t="n">
        <f aca="false">2021-D895</f>
        <v>16</v>
      </c>
      <c r="F895" s="547" t="n">
        <v>90680</v>
      </c>
      <c r="G895" s="1413" t="n">
        <v>0.1</v>
      </c>
      <c r="H895" s="547" t="n">
        <f aca="false">E895*F895*G895</f>
        <v>145088</v>
      </c>
      <c r="I895" s="547" t="n">
        <f aca="false">F895-H895</f>
        <v>-54408</v>
      </c>
      <c r="J895" s="547" t="n">
        <f aca="false">F895*G895</f>
        <v>9068</v>
      </c>
      <c r="K895" s="1365" t="n">
        <f aca="false">J895/1792.8</f>
        <v>5.05800981704596</v>
      </c>
      <c r="L895" s="547" t="n">
        <v>10</v>
      </c>
      <c r="M895" s="819" t="n">
        <f aca="false">K895*L895/60</f>
        <v>0.843001636174327</v>
      </c>
    </row>
    <row r="896" customFormat="false" ht="15" hidden="false" customHeight="false" outlineLevel="0" collapsed="false">
      <c r="A896" s="216"/>
      <c r="B896" s="972" t="s">
        <v>4128</v>
      </c>
      <c r="C896" s="1160"/>
      <c r="D896" s="391"/>
      <c r="E896" s="317"/>
      <c r="F896" s="714"/>
      <c r="G896" s="1414"/>
      <c r="H896" s="547"/>
      <c r="I896" s="547"/>
      <c r="J896" s="547"/>
      <c r="K896" s="1365" t="n">
        <f aca="false">J896/1792.8</f>
        <v>0</v>
      </c>
      <c r="L896" s="714"/>
      <c r="M896" s="934" t="n">
        <f aca="false">M892+M893+M894+M895</f>
        <v>1106.97438829392</v>
      </c>
    </row>
    <row r="897" customFormat="false" ht="15" hidden="false" customHeight="false" outlineLevel="0" collapsed="false">
      <c r="A897" s="216" t="s">
        <v>628</v>
      </c>
      <c r="B897" s="29" t="s">
        <v>3129</v>
      </c>
      <c r="C897" s="1161" t="s">
        <v>6974</v>
      </c>
      <c r="D897" s="912" t="n">
        <v>2006</v>
      </c>
      <c r="E897" s="317" t="n">
        <f aca="false">2021-D897</f>
        <v>15</v>
      </c>
      <c r="F897" s="547" t="n">
        <v>526970</v>
      </c>
      <c r="G897" s="1413" t="n">
        <v>0.1</v>
      </c>
      <c r="H897" s="547" t="n">
        <f aca="false">E897*F897*G897</f>
        <v>790455</v>
      </c>
      <c r="I897" s="547" t="n">
        <f aca="false">F897-H897</f>
        <v>-263485</v>
      </c>
      <c r="J897" s="547" t="n">
        <f aca="false">F897*G897</f>
        <v>52697</v>
      </c>
      <c r="K897" s="1365" t="n">
        <f aca="false">J897/1792.8</f>
        <v>29.3936858545292</v>
      </c>
      <c r="L897" s="547" t="n">
        <v>15</v>
      </c>
      <c r="M897" s="819" t="n">
        <f aca="false">K897*L897/60</f>
        <v>7.34842146363231</v>
      </c>
    </row>
    <row r="898" customFormat="false" ht="15" hidden="false" customHeight="false" outlineLevel="0" collapsed="false">
      <c r="A898" s="216"/>
      <c r="B898" s="78"/>
      <c r="C898" s="1161" t="s">
        <v>4568</v>
      </c>
      <c r="D898" s="912" t="n">
        <v>2003</v>
      </c>
      <c r="E898" s="317" t="n">
        <f aca="false">2021-D898</f>
        <v>18</v>
      </c>
      <c r="F898" s="547" t="n">
        <v>12704749</v>
      </c>
      <c r="G898" s="1413" t="n">
        <v>0.1</v>
      </c>
      <c r="H898" s="547" t="n">
        <f aca="false">E898*F898*G898</f>
        <v>22868548.2</v>
      </c>
      <c r="I898" s="547" t="n">
        <f aca="false">F898-H898</f>
        <v>-10163799.2</v>
      </c>
      <c r="J898" s="547" t="n">
        <f aca="false">F898*G898</f>
        <v>1270474.9</v>
      </c>
      <c r="K898" s="1365" t="n">
        <f aca="false">J898/1792.8</f>
        <v>708.654004908523</v>
      </c>
      <c r="L898" s="547" t="n">
        <v>70</v>
      </c>
      <c r="M898" s="819" t="n">
        <f aca="false">K898*L898/60</f>
        <v>826.76300572661</v>
      </c>
    </row>
    <row r="899" customFormat="false" ht="15" hidden="false" customHeight="false" outlineLevel="0" collapsed="false">
      <c r="A899" s="216"/>
      <c r="B899" s="78"/>
      <c r="C899" s="1161" t="s">
        <v>6975</v>
      </c>
      <c r="D899" s="912" t="n">
        <v>2006</v>
      </c>
      <c r="E899" s="317" t="n">
        <f aca="false">2021-D899</f>
        <v>15</v>
      </c>
      <c r="F899" s="547" t="n">
        <v>147200</v>
      </c>
      <c r="G899" s="1413" t="n">
        <v>0.1</v>
      </c>
      <c r="H899" s="547" t="n">
        <f aca="false">E899*F899*G899</f>
        <v>220800</v>
      </c>
      <c r="I899" s="547" t="n">
        <f aca="false">F899-H899</f>
        <v>-73600</v>
      </c>
      <c r="J899" s="547" t="n">
        <f aca="false">F899*G899</f>
        <v>14720</v>
      </c>
      <c r="K899" s="1365" t="n">
        <f aca="false">J899/1792.8</f>
        <v>8.21062025881303</v>
      </c>
      <c r="L899" s="547" t="n">
        <v>30</v>
      </c>
      <c r="M899" s="819" t="n">
        <f aca="false">K899*L899/60</f>
        <v>4.10531012940652</v>
      </c>
    </row>
    <row r="900" customFormat="false" ht="15" hidden="false" customHeight="false" outlineLevel="0" collapsed="false">
      <c r="A900" s="216"/>
      <c r="B900" s="78"/>
      <c r="C900" s="1161" t="s">
        <v>6979</v>
      </c>
      <c r="D900" s="912" t="n">
        <v>2005</v>
      </c>
      <c r="E900" s="317" t="n">
        <f aca="false">2021-D900</f>
        <v>16</v>
      </c>
      <c r="F900" s="547" t="n">
        <v>1400000</v>
      </c>
      <c r="G900" s="1413" t="n">
        <v>0.1</v>
      </c>
      <c r="H900" s="547" t="n">
        <f aca="false">E900*F900*G900</f>
        <v>2240000</v>
      </c>
      <c r="I900" s="547" t="n">
        <f aca="false">F900-H900</f>
        <v>-840000</v>
      </c>
      <c r="J900" s="547" t="n">
        <f aca="false">F900*G900</f>
        <v>140000</v>
      </c>
      <c r="K900" s="1365" t="n">
        <f aca="false">J900/1792.8</f>
        <v>78.0901383311022</v>
      </c>
      <c r="L900" s="547" t="n">
        <v>30</v>
      </c>
      <c r="M900" s="819" t="n">
        <f aca="false">K900*L900/60</f>
        <v>39.0450691655511</v>
      </c>
    </row>
    <row r="901" customFormat="false" ht="15" hidden="false" customHeight="false" outlineLevel="0" collapsed="false">
      <c r="A901" s="216"/>
      <c r="B901" s="78"/>
      <c r="C901" s="1161" t="s">
        <v>6934</v>
      </c>
      <c r="D901" s="912" t="n">
        <v>2005</v>
      </c>
      <c r="E901" s="317" t="n">
        <f aca="false">2021-D901</f>
        <v>16</v>
      </c>
      <c r="F901" s="547" t="n">
        <v>90680</v>
      </c>
      <c r="G901" s="1413" t="n">
        <v>0.1</v>
      </c>
      <c r="H901" s="547" t="n">
        <f aca="false">E901*F901*G901</f>
        <v>145088</v>
      </c>
      <c r="I901" s="547" t="n">
        <f aca="false">F901-H901</f>
        <v>-54408</v>
      </c>
      <c r="J901" s="547" t="n">
        <f aca="false">F901*G901</f>
        <v>9068</v>
      </c>
      <c r="K901" s="1365" t="n">
        <f aca="false">J901/1792.8</f>
        <v>5.05800981704596</v>
      </c>
      <c r="L901" s="547" t="n">
        <v>10</v>
      </c>
      <c r="M901" s="819" t="n">
        <f aca="false">K901*L901/60</f>
        <v>0.843001636174327</v>
      </c>
    </row>
    <row r="902" customFormat="false" ht="15" hidden="false" customHeight="false" outlineLevel="0" collapsed="false">
      <c r="A902" s="216"/>
      <c r="B902" s="78"/>
      <c r="C902" s="1161" t="s">
        <v>6943</v>
      </c>
      <c r="D902" s="912" t="n">
        <v>2006</v>
      </c>
      <c r="E902" s="317" t="n">
        <f aca="false">2021-D902</f>
        <v>15</v>
      </c>
      <c r="F902" s="547" t="n">
        <v>1503927</v>
      </c>
      <c r="G902" s="1413" t="n">
        <v>0.1</v>
      </c>
      <c r="H902" s="547" t="n">
        <f aca="false">E902*F902*G902</f>
        <v>2255890.5</v>
      </c>
      <c r="I902" s="547" t="n">
        <f aca="false">F902-H902</f>
        <v>-751963.5</v>
      </c>
      <c r="J902" s="547" t="n">
        <f aca="false">F902*G902</f>
        <v>150392.7</v>
      </c>
      <c r="K902" s="1365" t="n">
        <f aca="false">J902/1792.8</f>
        <v>83.8870481927711</v>
      </c>
      <c r="L902" s="547" t="n">
        <v>40</v>
      </c>
      <c r="M902" s="819" t="n">
        <f aca="false">K902*L902/60</f>
        <v>55.9246987951807</v>
      </c>
    </row>
    <row r="903" customFormat="false" ht="15" hidden="false" customHeight="false" outlineLevel="0" collapsed="false">
      <c r="A903" s="216"/>
      <c r="B903" s="972" t="s">
        <v>4128</v>
      </c>
      <c r="C903" s="1160"/>
      <c r="D903" s="391"/>
      <c r="E903" s="317"/>
      <c r="F903" s="714"/>
      <c r="G903" s="1414"/>
      <c r="H903" s="547"/>
      <c r="I903" s="547"/>
      <c r="J903" s="547"/>
      <c r="K903" s="1365" t="n">
        <f aca="false">J903/1792.8</f>
        <v>0</v>
      </c>
      <c r="L903" s="714"/>
      <c r="M903" s="934" t="n">
        <f aca="false">M897+M898+M899+M900+M901+M902</f>
        <v>934.029506916555</v>
      </c>
    </row>
    <row r="904" customFormat="false" ht="15" hidden="false" customHeight="false" outlineLevel="0" collapsed="false">
      <c r="A904" s="216" t="s">
        <v>629</v>
      </c>
      <c r="B904" s="59" t="s">
        <v>3139</v>
      </c>
      <c r="C904" s="1161" t="n">
        <v>0</v>
      </c>
      <c r="D904" s="391"/>
      <c r="E904" s="317"/>
      <c r="F904" s="714"/>
      <c r="G904" s="1414"/>
      <c r="H904" s="547" t="n">
        <f aca="false">E904*F904*G904</f>
        <v>0</v>
      </c>
      <c r="I904" s="547" t="n">
        <f aca="false">F904-H904</f>
        <v>0</v>
      </c>
      <c r="J904" s="547" t="n">
        <f aca="false">F904*G904</f>
        <v>0</v>
      </c>
      <c r="K904" s="1365" t="n">
        <f aca="false">J904/1792.8</f>
        <v>0</v>
      </c>
      <c r="L904" s="714"/>
      <c r="M904" s="819" t="n">
        <f aca="false">K904*L904/60</f>
        <v>0</v>
      </c>
    </row>
    <row r="905" customFormat="false" ht="24" hidden="false" customHeight="true" outlineLevel="0" collapsed="false">
      <c r="A905" s="216" t="s">
        <v>631</v>
      </c>
      <c r="B905" s="59" t="s">
        <v>3140</v>
      </c>
      <c r="C905" s="1161" t="s">
        <v>6934</v>
      </c>
      <c r="D905" s="912" t="n">
        <v>2005</v>
      </c>
      <c r="E905" s="317" t="n">
        <f aca="false">2021-D905</f>
        <v>16</v>
      </c>
      <c r="F905" s="547" t="n">
        <v>90680</v>
      </c>
      <c r="G905" s="1413" t="n">
        <v>0.1</v>
      </c>
      <c r="H905" s="547" t="n">
        <f aca="false">E905*F905*G905</f>
        <v>145088</v>
      </c>
      <c r="I905" s="547" t="n">
        <f aca="false">F905-H905</f>
        <v>-54408</v>
      </c>
      <c r="J905" s="547" t="n">
        <f aca="false">F905*G905</f>
        <v>9068</v>
      </c>
      <c r="K905" s="1365" t="n">
        <f aca="false">J905/1792.8</f>
        <v>5.05800981704596</v>
      </c>
      <c r="L905" s="547" t="n">
        <v>10</v>
      </c>
      <c r="M905" s="934" t="n">
        <f aca="false">K905*L905/60</f>
        <v>0.843001636174327</v>
      </c>
    </row>
    <row r="906" customFormat="false" ht="15" hidden="false" customHeight="false" outlineLevel="0" collapsed="false">
      <c r="A906" s="216" t="s">
        <v>633</v>
      </c>
      <c r="B906" s="59" t="s">
        <v>3141</v>
      </c>
      <c r="C906" s="1161" t="s">
        <v>6934</v>
      </c>
      <c r="D906" s="912" t="n">
        <v>2005</v>
      </c>
      <c r="E906" s="317" t="n">
        <f aca="false">2021-D906</f>
        <v>16</v>
      </c>
      <c r="F906" s="547" t="n">
        <v>90680</v>
      </c>
      <c r="G906" s="1413" t="n">
        <v>0.1</v>
      </c>
      <c r="H906" s="547" t="n">
        <f aca="false">E906*F906*G906</f>
        <v>145088</v>
      </c>
      <c r="I906" s="547" t="n">
        <f aca="false">F906-H906</f>
        <v>-54408</v>
      </c>
      <c r="J906" s="547" t="n">
        <f aca="false">F906*G906</f>
        <v>9068</v>
      </c>
      <c r="K906" s="1365" t="n">
        <f aca="false">J906/1792.8</f>
        <v>5.05800981704596</v>
      </c>
      <c r="L906" s="547" t="n">
        <v>10</v>
      </c>
      <c r="M906" s="934" t="n">
        <f aca="false">K906*L906/60</f>
        <v>0.843001636174327</v>
      </c>
    </row>
    <row r="907" customFormat="false" ht="15" hidden="false" customHeight="false" outlineLevel="0" collapsed="false">
      <c r="A907" s="216" t="s">
        <v>635</v>
      </c>
      <c r="B907" s="59" t="s">
        <v>3142</v>
      </c>
      <c r="C907" s="1161" t="s">
        <v>6992</v>
      </c>
      <c r="D907" s="912" t="n">
        <v>2005</v>
      </c>
      <c r="E907" s="317" t="n">
        <f aca="false">2021-D907</f>
        <v>16</v>
      </c>
      <c r="F907" s="547" t="n">
        <v>60000</v>
      </c>
      <c r="G907" s="1413" t="n">
        <v>0.1</v>
      </c>
      <c r="H907" s="547" t="n">
        <f aca="false">E907*F907*G907</f>
        <v>96000</v>
      </c>
      <c r="I907" s="547" t="n">
        <f aca="false">F907-H907</f>
        <v>-36000</v>
      </c>
      <c r="J907" s="547" t="n">
        <f aca="false">F907*G907</f>
        <v>6000</v>
      </c>
      <c r="K907" s="1365" t="n">
        <f aca="false">J907/1792.8</f>
        <v>3.34672021419009</v>
      </c>
      <c r="L907" s="547" t="n">
        <v>30</v>
      </c>
      <c r="M907" s="819" t="n">
        <f aca="false">K907*L907/60</f>
        <v>1.67336010709505</v>
      </c>
    </row>
    <row r="908" customFormat="false" ht="15" hidden="false" customHeight="false" outlineLevel="0" collapsed="false">
      <c r="A908" s="216"/>
      <c r="B908" s="59"/>
      <c r="C908" s="1161" t="s">
        <v>6984</v>
      </c>
      <c r="D908" s="912" t="n">
        <v>2007</v>
      </c>
      <c r="E908" s="317" t="n">
        <f aca="false">2021-D908</f>
        <v>14</v>
      </c>
      <c r="F908" s="547" t="n">
        <v>810000</v>
      </c>
      <c r="G908" s="1413" t="n">
        <v>0.1</v>
      </c>
      <c r="H908" s="547" t="n">
        <f aca="false">E908*F908*G908</f>
        <v>1134000</v>
      </c>
      <c r="I908" s="547" t="n">
        <f aca="false">F908-H908</f>
        <v>-324000</v>
      </c>
      <c r="J908" s="547" t="n">
        <f aca="false">F908*G908</f>
        <v>81000</v>
      </c>
      <c r="K908" s="1365" t="n">
        <f aca="false">J908/1792.8</f>
        <v>45.1807228915663</v>
      </c>
      <c r="L908" s="547" t="n">
        <v>10</v>
      </c>
      <c r="M908" s="819" t="n">
        <f aca="false">K908*L908/60</f>
        <v>7.53012048192771</v>
      </c>
    </row>
    <row r="909" customFormat="false" ht="15" hidden="false" customHeight="false" outlineLevel="0" collapsed="false">
      <c r="A909" s="216"/>
      <c r="B909" s="1057" t="s">
        <v>4128</v>
      </c>
      <c r="C909" s="1161"/>
      <c r="D909" s="912"/>
      <c r="E909" s="317"/>
      <c r="F909" s="547"/>
      <c r="G909" s="1413"/>
      <c r="H909" s="547"/>
      <c r="I909" s="547"/>
      <c r="J909" s="547"/>
      <c r="K909" s="1365" t="n">
        <f aca="false">J909/1792.8</f>
        <v>0</v>
      </c>
      <c r="L909" s="547"/>
      <c r="M909" s="934" t="n">
        <f aca="false">M907+M908</f>
        <v>9.20348058902276</v>
      </c>
    </row>
    <row r="910" customFormat="false" ht="42.75" hidden="false" customHeight="false" outlineLevel="0" collapsed="false">
      <c r="A910" s="15" t="s">
        <v>4822</v>
      </c>
      <c r="B910" s="16" t="s">
        <v>7014</v>
      </c>
      <c r="C910" s="16"/>
      <c r="D910" s="339"/>
      <c r="E910" s="1389"/>
      <c r="F910" s="751"/>
      <c r="G910" s="751"/>
      <c r="H910" s="751"/>
      <c r="I910" s="751"/>
      <c r="J910" s="751"/>
      <c r="K910" s="751"/>
      <c r="L910" s="751"/>
      <c r="M910" s="818"/>
    </row>
    <row r="911" customFormat="false" ht="30" hidden="false" customHeight="false" outlineLevel="0" collapsed="false">
      <c r="A911" s="216" t="s">
        <v>4823</v>
      </c>
      <c r="B911" s="29" t="s">
        <v>3010</v>
      </c>
      <c r="C911" s="1161" t="s">
        <v>6984</v>
      </c>
      <c r="D911" s="912" t="n">
        <v>2007</v>
      </c>
      <c r="E911" s="317" t="n">
        <f aca="false">2021-D911</f>
        <v>14</v>
      </c>
      <c r="F911" s="547" t="n">
        <v>810000</v>
      </c>
      <c r="G911" s="1413" t="n">
        <v>0.1</v>
      </c>
      <c r="H911" s="547" t="n">
        <f aca="false">E911*F911*G911</f>
        <v>1134000</v>
      </c>
      <c r="I911" s="547" t="n">
        <f aca="false">F911-H911</f>
        <v>-324000</v>
      </c>
      <c r="J911" s="547" t="n">
        <f aca="false">F911*G911</f>
        <v>81000</v>
      </c>
      <c r="K911" s="1365" t="n">
        <f aca="false">J911/1792.8</f>
        <v>45.1807228915663</v>
      </c>
      <c r="L911" s="547" t="n">
        <v>10</v>
      </c>
      <c r="M911" s="934" t="n">
        <f aca="false">K911*L911/60</f>
        <v>7.53012048192771</v>
      </c>
    </row>
    <row r="912" customFormat="false" ht="15" hidden="false" customHeight="false" outlineLevel="0" collapsed="false">
      <c r="A912" s="216" t="s">
        <v>4824</v>
      </c>
      <c r="B912" s="29" t="s">
        <v>3084</v>
      </c>
      <c r="C912" s="1161" t="s">
        <v>6973</v>
      </c>
      <c r="D912" s="912" t="n">
        <v>2006</v>
      </c>
      <c r="E912" s="317" t="n">
        <f aca="false">2021-D912</f>
        <v>15</v>
      </c>
      <c r="F912" s="547" t="n">
        <v>190000</v>
      </c>
      <c r="G912" s="1413" t="n">
        <v>0.1</v>
      </c>
      <c r="H912" s="547" t="n">
        <f aca="false">E912*F912*G912</f>
        <v>285000</v>
      </c>
      <c r="I912" s="547" t="n">
        <f aca="false">F912-H912</f>
        <v>-95000</v>
      </c>
      <c r="J912" s="547" t="n">
        <f aca="false">F912*G912</f>
        <v>19000</v>
      </c>
      <c r="K912" s="1365" t="n">
        <f aca="false">J912/1792.8</f>
        <v>10.5979473449353</v>
      </c>
      <c r="L912" s="547" t="n">
        <v>30</v>
      </c>
      <c r="M912" s="819" t="n">
        <f aca="false">K912*L912/60</f>
        <v>5.29897367246765</v>
      </c>
    </row>
    <row r="913" customFormat="false" ht="15" hidden="false" customHeight="false" outlineLevel="0" collapsed="false">
      <c r="A913" s="216"/>
      <c r="B913" s="78"/>
      <c r="C913" s="1161" t="s">
        <v>6934</v>
      </c>
      <c r="D913" s="912" t="n">
        <v>2007</v>
      </c>
      <c r="E913" s="317" t="n">
        <f aca="false">2021-D913</f>
        <v>14</v>
      </c>
      <c r="F913" s="873" t="n">
        <v>491000</v>
      </c>
      <c r="G913" s="1413" t="n">
        <v>0.1</v>
      </c>
      <c r="H913" s="547" t="n">
        <f aca="false">E913*F913*G913</f>
        <v>687400</v>
      </c>
      <c r="I913" s="547" t="n">
        <f aca="false">F913-H913</f>
        <v>-196400</v>
      </c>
      <c r="J913" s="547" t="n">
        <f aca="false">F913*G913</f>
        <v>49100</v>
      </c>
      <c r="K913" s="1365" t="n">
        <f aca="false">J913/1792.8</f>
        <v>27.3873270861223</v>
      </c>
      <c r="L913" s="547" t="n">
        <v>10</v>
      </c>
      <c r="M913" s="819" t="n">
        <f aca="false">K913*L913/60</f>
        <v>4.56455451435371</v>
      </c>
    </row>
    <row r="914" customFormat="false" ht="15" hidden="false" customHeight="false" outlineLevel="0" collapsed="false">
      <c r="A914" s="216"/>
      <c r="B914" s="78"/>
      <c r="C914" s="1161" t="s">
        <v>6999</v>
      </c>
      <c r="D914" s="912" t="n">
        <v>2007</v>
      </c>
      <c r="E914" s="317" t="n">
        <f aca="false">2021-D914</f>
        <v>14</v>
      </c>
      <c r="F914" s="873" t="n">
        <v>450000</v>
      </c>
      <c r="G914" s="1413" t="n">
        <v>0.1</v>
      </c>
      <c r="H914" s="547" t="n">
        <f aca="false">E914*F914*G914</f>
        <v>630000</v>
      </c>
      <c r="I914" s="547" t="n">
        <f aca="false">F914-H914</f>
        <v>-180000</v>
      </c>
      <c r="J914" s="547" t="n">
        <f aca="false">F914*G914</f>
        <v>45000</v>
      </c>
      <c r="K914" s="1365" t="n">
        <f aca="false">J914/1792.8</f>
        <v>25.1004016064257</v>
      </c>
      <c r="L914" s="547" t="n">
        <v>13</v>
      </c>
      <c r="M914" s="819" t="n">
        <f aca="false">K914*L914/60</f>
        <v>5.4384203480589</v>
      </c>
    </row>
    <row r="915" customFormat="false" ht="15" hidden="false" customHeight="false" outlineLevel="0" collapsed="false">
      <c r="A915" s="216"/>
      <c r="B915" s="972" t="s">
        <v>4128</v>
      </c>
      <c r="C915" s="1160"/>
      <c r="D915" s="391"/>
      <c r="E915" s="317"/>
      <c r="F915" s="714"/>
      <c r="G915" s="1414"/>
      <c r="H915" s="547"/>
      <c r="I915" s="547"/>
      <c r="J915" s="547"/>
      <c r="K915" s="1365" t="n">
        <f aca="false">J915/1792.8</f>
        <v>0</v>
      </c>
      <c r="L915" s="714"/>
      <c r="M915" s="934" t="n">
        <f aca="false">M911+M912+M913</f>
        <v>17.3936486687491</v>
      </c>
    </row>
    <row r="916" customFormat="false" ht="30" hidden="false" customHeight="false" outlineLevel="0" collapsed="false">
      <c r="A916" s="216" t="s">
        <v>641</v>
      </c>
      <c r="B916" s="29" t="s">
        <v>3085</v>
      </c>
      <c r="C916" s="1161" t="s">
        <v>6973</v>
      </c>
      <c r="D916" s="912" t="n">
        <v>2006</v>
      </c>
      <c r="E916" s="317" t="n">
        <f aca="false">2021-D916</f>
        <v>15</v>
      </c>
      <c r="F916" s="547" t="n">
        <v>190000</v>
      </c>
      <c r="G916" s="1413" t="n">
        <v>0.1</v>
      </c>
      <c r="H916" s="547" t="n">
        <f aca="false">E916*F916*G916</f>
        <v>285000</v>
      </c>
      <c r="I916" s="547" t="n">
        <f aca="false">F916-H916</f>
        <v>-95000</v>
      </c>
      <c r="J916" s="547" t="n">
        <f aca="false">F916*G916</f>
        <v>19000</v>
      </c>
      <c r="K916" s="1365" t="n">
        <f aca="false">J916/1792.8</f>
        <v>10.5979473449353</v>
      </c>
      <c r="L916" s="547" t="n">
        <v>30</v>
      </c>
      <c r="M916" s="819" t="n">
        <f aca="false">K916*L916/60</f>
        <v>5.29897367246765</v>
      </c>
    </row>
    <row r="917" customFormat="false" ht="15" hidden="false" customHeight="false" outlineLevel="0" collapsed="false">
      <c r="A917" s="216"/>
      <c r="B917" s="78"/>
      <c r="C917" s="1161" t="s">
        <v>6934</v>
      </c>
      <c r="D917" s="912" t="n">
        <v>2007</v>
      </c>
      <c r="E917" s="317" t="n">
        <f aca="false">2021-D917</f>
        <v>14</v>
      </c>
      <c r="F917" s="873" t="n">
        <v>491000</v>
      </c>
      <c r="G917" s="1413" t="n">
        <v>0.1</v>
      </c>
      <c r="H917" s="547" t="n">
        <f aca="false">E917*F917*G917</f>
        <v>687400</v>
      </c>
      <c r="I917" s="547" t="n">
        <f aca="false">F917-H917</f>
        <v>-196400</v>
      </c>
      <c r="J917" s="547" t="n">
        <f aca="false">F917*G917</f>
        <v>49100</v>
      </c>
      <c r="K917" s="1365" t="n">
        <f aca="false">J917/1792.8</f>
        <v>27.3873270861223</v>
      </c>
      <c r="L917" s="547" t="n">
        <v>10</v>
      </c>
      <c r="M917" s="819" t="n">
        <f aca="false">K917*L917/60</f>
        <v>4.56455451435371</v>
      </c>
    </row>
    <row r="918" customFormat="false" ht="15" hidden="false" customHeight="false" outlineLevel="0" collapsed="false">
      <c r="A918" s="216"/>
      <c r="B918" s="972" t="s">
        <v>4128</v>
      </c>
      <c r="C918" s="1160"/>
      <c r="D918" s="391"/>
      <c r="E918" s="317"/>
      <c r="F918" s="714"/>
      <c r="G918" s="1414"/>
      <c r="H918" s="547"/>
      <c r="I918" s="547"/>
      <c r="J918" s="547"/>
      <c r="K918" s="1365" t="n">
        <f aca="false">J918/1792.8</f>
        <v>0</v>
      </c>
      <c r="L918" s="714"/>
      <c r="M918" s="934" t="n">
        <f aca="false">M916+M917</f>
        <v>9.86352818682136</v>
      </c>
    </row>
    <row r="919" customFormat="false" ht="15" hidden="false" customHeight="false" outlineLevel="0" collapsed="false">
      <c r="A919" s="216" t="s">
        <v>7015</v>
      </c>
      <c r="B919" s="29" t="s">
        <v>3144</v>
      </c>
      <c r="C919" s="1161" t="s">
        <v>6934</v>
      </c>
      <c r="D919" s="912" t="n">
        <v>2007</v>
      </c>
      <c r="E919" s="317" t="n">
        <f aca="false">2021-D919</f>
        <v>14</v>
      </c>
      <c r="F919" s="873" t="n">
        <v>491000</v>
      </c>
      <c r="G919" s="1413" t="n">
        <v>0.1</v>
      </c>
      <c r="H919" s="547" t="n">
        <f aca="false">E919*F919*G919</f>
        <v>687400</v>
      </c>
      <c r="I919" s="547" t="n">
        <f aca="false">F919-H919</f>
        <v>-196400</v>
      </c>
      <c r="J919" s="547" t="n">
        <f aca="false">F919*G919</f>
        <v>49100</v>
      </c>
      <c r="K919" s="1365" t="n">
        <f aca="false">J919/1792.8</f>
        <v>27.3873270861223</v>
      </c>
      <c r="L919" s="547" t="n">
        <v>10</v>
      </c>
      <c r="M919" s="934" t="n">
        <f aca="false">K919*L919/60</f>
        <v>4.56455451435371</v>
      </c>
    </row>
    <row r="920" customFormat="false" ht="15" hidden="false" customHeight="false" outlineLevel="0" collapsed="false">
      <c r="A920" s="216" t="s">
        <v>7016</v>
      </c>
      <c r="B920" s="29" t="s">
        <v>3058</v>
      </c>
      <c r="C920" s="1161" t="s">
        <v>6976</v>
      </c>
      <c r="D920" s="912" t="n">
        <v>2005</v>
      </c>
      <c r="E920" s="317" t="n">
        <f aca="false">2021-D920</f>
        <v>16</v>
      </c>
      <c r="F920" s="547" t="n">
        <v>65500</v>
      </c>
      <c r="G920" s="1413" t="n">
        <v>0.1</v>
      </c>
      <c r="H920" s="547" t="n">
        <f aca="false">E920*F920*G920</f>
        <v>104800</v>
      </c>
      <c r="I920" s="547" t="n">
        <f aca="false">F920-H920</f>
        <v>-39300</v>
      </c>
      <c r="J920" s="547" t="n">
        <f aca="false">F920*G920</f>
        <v>6550</v>
      </c>
      <c r="K920" s="1365" t="n">
        <f aca="false">J920/1792.8</f>
        <v>3.65350290049085</v>
      </c>
      <c r="L920" s="547" t="n">
        <v>30</v>
      </c>
      <c r="M920" s="819" t="n">
        <f aca="false">K920*L920/60</f>
        <v>1.82675145024543</v>
      </c>
    </row>
    <row r="921" customFormat="false" ht="15" hidden="false" customHeight="false" outlineLevel="0" collapsed="false">
      <c r="A921" s="216"/>
      <c r="B921" s="29"/>
      <c r="C921" s="1161" t="s">
        <v>6999</v>
      </c>
      <c r="D921" s="912" t="n">
        <v>2007</v>
      </c>
      <c r="E921" s="317" t="n">
        <f aca="false">2021-D921</f>
        <v>14</v>
      </c>
      <c r="F921" s="873" t="n">
        <v>450000</v>
      </c>
      <c r="G921" s="1413" t="n">
        <v>0.1</v>
      </c>
      <c r="H921" s="547" t="n">
        <f aca="false">E921*F921*G921</f>
        <v>630000</v>
      </c>
      <c r="I921" s="547" t="n">
        <f aca="false">F921-H921</f>
        <v>-180000</v>
      </c>
      <c r="J921" s="547" t="n">
        <f aca="false">F921*G921</f>
        <v>45000</v>
      </c>
      <c r="K921" s="1365" t="n">
        <f aca="false">J921/1792.8</f>
        <v>25.1004016064257</v>
      </c>
      <c r="L921" s="547" t="n">
        <v>13</v>
      </c>
      <c r="M921" s="819" t="n">
        <f aca="false">K921*L921/60</f>
        <v>5.4384203480589</v>
      </c>
    </row>
    <row r="922" customFormat="false" ht="15" hidden="false" customHeight="false" outlineLevel="0" collapsed="false">
      <c r="A922" s="216"/>
      <c r="B922" s="972" t="s">
        <v>4128</v>
      </c>
      <c r="C922" s="1160"/>
      <c r="D922" s="391"/>
      <c r="E922" s="317"/>
      <c r="F922" s="714"/>
      <c r="G922" s="1414"/>
      <c r="H922" s="547"/>
      <c r="I922" s="547"/>
      <c r="J922" s="547"/>
      <c r="K922" s="1365" t="n">
        <f aca="false">J922/1792.8</f>
        <v>0</v>
      </c>
      <c r="L922" s="714"/>
      <c r="M922" s="934" t="n">
        <f aca="false">M920+M921</f>
        <v>7.26517179830433</v>
      </c>
    </row>
    <row r="923" customFormat="false" ht="15" hidden="false" customHeight="false" outlineLevel="0" collapsed="false">
      <c r="A923" s="216" t="s">
        <v>645</v>
      </c>
      <c r="B923" s="29" t="s">
        <v>3059</v>
      </c>
      <c r="C923" s="1161" t="s">
        <v>6934</v>
      </c>
      <c r="D923" s="912" t="n">
        <v>2007</v>
      </c>
      <c r="E923" s="317" t="n">
        <f aca="false">2021-D923</f>
        <v>14</v>
      </c>
      <c r="F923" s="873" t="n">
        <v>491000</v>
      </c>
      <c r="G923" s="1413" t="n">
        <v>0.1</v>
      </c>
      <c r="H923" s="547" t="n">
        <f aca="false">E923*F923*G923</f>
        <v>687400</v>
      </c>
      <c r="I923" s="547" t="n">
        <f aca="false">F923-H923</f>
        <v>-196400</v>
      </c>
      <c r="J923" s="547" t="n">
        <f aca="false">F923*G923</f>
        <v>49100</v>
      </c>
      <c r="K923" s="1365" t="n">
        <f aca="false">J923/1792.8</f>
        <v>27.3873270861223</v>
      </c>
      <c r="L923" s="547" t="n">
        <v>10</v>
      </c>
      <c r="M923" s="819" t="n">
        <f aca="false">K923*L923/60</f>
        <v>4.56455451435371</v>
      </c>
    </row>
    <row r="924" customFormat="false" ht="15" hidden="false" customHeight="false" outlineLevel="0" collapsed="false">
      <c r="A924" s="216"/>
      <c r="B924" s="78"/>
      <c r="C924" s="1161" t="s">
        <v>6976</v>
      </c>
      <c r="D924" s="912" t="n">
        <v>2005</v>
      </c>
      <c r="E924" s="317" t="n">
        <f aca="false">2021-D924</f>
        <v>16</v>
      </c>
      <c r="F924" s="547" t="n">
        <v>65500</v>
      </c>
      <c r="G924" s="1413" t="n">
        <v>0.1</v>
      </c>
      <c r="H924" s="547" t="n">
        <f aca="false">E924*F924*G924</f>
        <v>104800</v>
      </c>
      <c r="I924" s="547" t="n">
        <f aca="false">F924-H924</f>
        <v>-39300</v>
      </c>
      <c r="J924" s="547" t="n">
        <f aca="false">F924*G924</f>
        <v>6550</v>
      </c>
      <c r="K924" s="1365" t="n">
        <f aca="false">J924/1792.8</f>
        <v>3.65350290049085</v>
      </c>
      <c r="L924" s="547" t="n">
        <v>30</v>
      </c>
      <c r="M924" s="819" t="n">
        <f aca="false">K924*L924/60</f>
        <v>1.82675145024543</v>
      </c>
    </row>
    <row r="925" customFormat="false" ht="15" hidden="false" customHeight="false" outlineLevel="0" collapsed="false">
      <c r="A925" s="216"/>
      <c r="B925" s="972" t="s">
        <v>4128</v>
      </c>
      <c r="C925" s="1160"/>
      <c r="D925" s="391"/>
      <c r="E925" s="317"/>
      <c r="F925" s="714"/>
      <c r="G925" s="1414"/>
      <c r="H925" s="547"/>
      <c r="I925" s="547"/>
      <c r="J925" s="547"/>
      <c r="K925" s="1365" t="n">
        <f aca="false">J925/1792.8</f>
        <v>0</v>
      </c>
      <c r="L925" s="714"/>
      <c r="M925" s="934" t="n">
        <f aca="false">M923+M924</f>
        <v>6.39130596459914</v>
      </c>
    </row>
    <row r="926" customFormat="false" ht="15" hidden="false" customHeight="false" outlineLevel="0" collapsed="false">
      <c r="A926" s="216" t="s">
        <v>646</v>
      </c>
      <c r="B926" s="29" t="s">
        <v>3122</v>
      </c>
      <c r="C926" s="1161" t="s">
        <v>6935</v>
      </c>
      <c r="D926" s="912" t="n">
        <v>2005</v>
      </c>
      <c r="E926" s="317" t="n">
        <f aca="false">2021-D926</f>
        <v>16</v>
      </c>
      <c r="F926" s="547" t="n">
        <v>98600</v>
      </c>
      <c r="G926" s="1413" t="n">
        <v>0.1</v>
      </c>
      <c r="H926" s="547" t="n">
        <f aca="false">E926*F926*G926</f>
        <v>157760</v>
      </c>
      <c r="I926" s="547" t="n">
        <f aca="false">F926-H926</f>
        <v>-59160</v>
      </c>
      <c r="J926" s="547" t="n">
        <f aca="false">F926*G926</f>
        <v>9860</v>
      </c>
      <c r="K926" s="1365" t="n">
        <f aca="false">J926/1792.8</f>
        <v>5.49977688531905</v>
      </c>
      <c r="L926" s="547" t="n">
        <v>30</v>
      </c>
      <c r="M926" s="819" t="n">
        <f aca="false">K926*L926/60</f>
        <v>2.74988844265953</v>
      </c>
    </row>
    <row r="927" customFormat="false" ht="15" hidden="false" customHeight="false" outlineLevel="0" collapsed="false">
      <c r="A927" s="216"/>
      <c r="B927" s="78"/>
      <c r="C927" s="1161" t="s">
        <v>6934</v>
      </c>
      <c r="D927" s="912" t="n">
        <v>2007</v>
      </c>
      <c r="E927" s="317" t="n">
        <f aca="false">2021-D927</f>
        <v>14</v>
      </c>
      <c r="F927" s="873" t="n">
        <v>491000</v>
      </c>
      <c r="G927" s="1413" t="n">
        <v>0.1</v>
      </c>
      <c r="H927" s="547" t="n">
        <f aca="false">E927*F927*G927</f>
        <v>687400</v>
      </c>
      <c r="I927" s="547" t="n">
        <f aca="false">F927-H927</f>
        <v>-196400</v>
      </c>
      <c r="J927" s="547" t="n">
        <f aca="false">F927*G927</f>
        <v>49100</v>
      </c>
      <c r="K927" s="1365" t="n">
        <f aca="false">J927/1792.8</f>
        <v>27.3873270861223</v>
      </c>
      <c r="L927" s="547" t="n">
        <v>10</v>
      </c>
      <c r="M927" s="819" t="n">
        <f aca="false">K927*L927/60</f>
        <v>4.56455451435371</v>
      </c>
    </row>
    <row r="928" customFormat="false" ht="15" hidden="false" customHeight="false" outlineLevel="0" collapsed="false">
      <c r="A928" s="216"/>
      <c r="B928" s="972" t="s">
        <v>4128</v>
      </c>
      <c r="C928" s="1160"/>
      <c r="D928" s="391"/>
      <c r="E928" s="317"/>
      <c r="F928" s="714"/>
      <c r="G928" s="1414"/>
      <c r="H928" s="547"/>
      <c r="I928" s="547"/>
      <c r="J928" s="547"/>
      <c r="K928" s="1365" t="n">
        <f aca="false">J928/1792.8</f>
        <v>0</v>
      </c>
      <c r="L928" s="714"/>
      <c r="M928" s="934" t="n">
        <f aca="false">M926+M927</f>
        <v>7.31444295701324</v>
      </c>
    </row>
    <row r="929" customFormat="false" ht="15" hidden="false" customHeight="false" outlineLevel="0" collapsed="false">
      <c r="A929" s="216" t="s">
        <v>647</v>
      </c>
      <c r="B929" s="29" t="s">
        <v>3145</v>
      </c>
      <c r="C929" s="1161" t="s">
        <v>6934</v>
      </c>
      <c r="D929" s="912" t="n">
        <v>2007</v>
      </c>
      <c r="E929" s="317" t="n">
        <f aca="false">2021-D929</f>
        <v>14</v>
      </c>
      <c r="F929" s="873" t="n">
        <v>491000</v>
      </c>
      <c r="G929" s="1413" t="n">
        <v>0.1</v>
      </c>
      <c r="H929" s="547" t="n">
        <f aca="false">E929*F929*G929</f>
        <v>687400</v>
      </c>
      <c r="I929" s="547" t="n">
        <f aca="false">F929-H929</f>
        <v>-196400</v>
      </c>
      <c r="J929" s="547" t="n">
        <f aca="false">F929*G929</f>
        <v>49100</v>
      </c>
      <c r="K929" s="1365" t="n">
        <f aca="false">J929/1792.8</f>
        <v>27.3873270861223</v>
      </c>
      <c r="L929" s="547" t="n">
        <v>10</v>
      </c>
      <c r="M929" s="819" t="n">
        <f aca="false">K929*L929/60</f>
        <v>4.56455451435371</v>
      </c>
    </row>
    <row r="930" customFormat="false" ht="15" hidden="false" customHeight="false" outlineLevel="0" collapsed="false">
      <c r="A930" s="216"/>
      <c r="B930" s="78"/>
      <c r="C930" s="1161" t="s">
        <v>6984</v>
      </c>
      <c r="D930" s="912" t="n">
        <v>2007</v>
      </c>
      <c r="E930" s="317" t="n">
        <f aca="false">2021-D930</f>
        <v>14</v>
      </c>
      <c r="F930" s="547" t="n">
        <v>810000</v>
      </c>
      <c r="G930" s="1413" t="n">
        <v>0.1</v>
      </c>
      <c r="H930" s="547" t="n">
        <f aca="false">E930*F930*G930</f>
        <v>1134000</v>
      </c>
      <c r="I930" s="547" t="n">
        <f aca="false">F930-H930</f>
        <v>-324000</v>
      </c>
      <c r="J930" s="547" t="n">
        <f aca="false">F930*G930</f>
        <v>81000</v>
      </c>
      <c r="K930" s="1365" t="n">
        <f aca="false">J930/1792.8</f>
        <v>45.1807228915663</v>
      </c>
      <c r="L930" s="547" t="n">
        <v>10</v>
      </c>
      <c r="M930" s="819" t="n">
        <f aca="false">K930*L930/60</f>
        <v>7.53012048192771</v>
      </c>
    </row>
    <row r="931" customFormat="false" ht="15" hidden="false" customHeight="false" outlineLevel="0" collapsed="false">
      <c r="A931" s="216"/>
      <c r="B931" s="972" t="s">
        <v>4128</v>
      </c>
      <c r="C931" s="1160"/>
      <c r="D931" s="391"/>
      <c r="E931" s="317"/>
      <c r="F931" s="714"/>
      <c r="G931" s="1414"/>
      <c r="H931" s="547"/>
      <c r="I931" s="547"/>
      <c r="J931" s="547"/>
      <c r="K931" s="1365" t="n">
        <f aca="false">J931/1792.8</f>
        <v>0</v>
      </c>
      <c r="L931" s="714"/>
      <c r="M931" s="934" t="n">
        <f aca="false">M929+M930</f>
        <v>12.0946749962814</v>
      </c>
    </row>
    <row r="932" customFormat="false" ht="30" hidden="false" customHeight="false" outlineLevel="0" collapsed="false">
      <c r="A932" s="216" t="s">
        <v>649</v>
      </c>
      <c r="B932" s="29" t="s">
        <v>3100</v>
      </c>
      <c r="C932" s="1161" t="s">
        <v>6974</v>
      </c>
      <c r="D932" s="912" t="n">
        <v>2006</v>
      </c>
      <c r="E932" s="317" t="n">
        <f aca="false">2021-D932</f>
        <v>15</v>
      </c>
      <c r="F932" s="547" t="n">
        <v>526970</v>
      </c>
      <c r="G932" s="1413" t="n">
        <v>0.1</v>
      </c>
      <c r="H932" s="547" t="n">
        <f aca="false">E932*F932*G932</f>
        <v>790455</v>
      </c>
      <c r="I932" s="547" t="n">
        <f aca="false">F932-H932</f>
        <v>-263485</v>
      </c>
      <c r="J932" s="547" t="n">
        <f aca="false">F932*G932</f>
        <v>52697</v>
      </c>
      <c r="K932" s="1365" t="n">
        <f aca="false">J932/1792.8</f>
        <v>29.3936858545292</v>
      </c>
      <c r="L932" s="547" t="n">
        <v>15</v>
      </c>
      <c r="M932" s="819" t="n">
        <f aca="false">K932*L932/60</f>
        <v>7.34842146363231</v>
      </c>
    </row>
    <row r="933" customFormat="false" ht="15" hidden="false" customHeight="false" outlineLevel="0" collapsed="false">
      <c r="A933" s="216"/>
      <c r="B933" s="78"/>
      <c r="C933" s="1161" t="s">
        <v>6934</v>
      </c>
      <c r="D933" s="912" t="n">
        <v>2007</v>
      </c>
      <c r="E933" s="317" t="n">
        <f aca="false">2021-D933</f>
        <v>14</v>
      </c>
      <c r="F933" s="873" t="n">
        <v>491000</v>
      </c>
      <c r="G933" s="1413" t="n">
        <v>0.1</v>
      </c>
      <c r="H933" s="547" t="n">
        <f aca="false">E933*F933*G933</f>
        <v>687400</v>
      </c>
      <c r="I933" s="547" t="n">
        <f aca="false">F933-H933</f>
        <v>-196400</v>
      </c>
      <c r="J933" s="547" t="n">
        <f aca="false">F933*G933</f>
        <v>49100</v>
      </c>
      <c r="K933" s="1365" t="n">
        <f aca="false">J933/1792.8</f>
        <v>27.3873270861223</v>
      </c>
      <c r="L933" s="547" t="n">
        <v>10</v>
      </c>
      <c r="M933" s="819" t="n">
        <f aca="false">K933*L933/60</f>
        <v>4.56455451435371</v>
      </c>
    </row>
    <row r="934" customFormat="false" ht="15" hidden="false" customHeight="false" outlineLevel="0" collapsed="false">
      <c r="A934" s="216"/>
      <c r="B934" s="972" t="s">
        <v>4128</v>
      </c>
      <c r="C934" s="1160"/>
      <c r="D934" s="391"/>
      <c r="E934" s="317"/>
      <c r="F934" s="714"/>
      <c r="G934" s="1414"/>
      <c r="H934" s="547"/>
      <c r="I934" s="547"/>
      <c r="J934" s="547"/>
      <c r="K934" s="1365" t="n">
        <f aca="false">J934/1792.8</f>
        <v>0</v>
      </c>
      <c r="L934" s="714"/>
      <c r="M934" s="934" t="n">
        <f aca="false">M932+M933</f>
        <v>11.912975977986</v>
      </c>
    </row>
    <row r="935" customFormat="false" ht="30" hidden="false" customHeight="false" outlineLevel="0" collapsed="false">
      <c r="A935" s="216" t="s">
        <v>650</v>
      </c>
      <c r="B935" s="29" t="s">
        <v>3146</v>
      </c>
      <c r="C935" s="1161" t="s">
        <v>6934</v>
      </c>
      <c r="D935" s="912" t="n">
        <v>2007</v>
      </c>
      <c r="E935" s="317" t="n">
        <f aca="false">2021-D935</f>
        <v>14</v>
      </c>
      <c r="F935" s="873" t="n">
        <v>491000</v>
      </c>
      <c r="G935" s="1413" t="n">
        <v>0.1</v>
      </c>
      <c r="H935" s="547" t="n">
        <f aca="false">E935*F935*G935</f>
        <v>687400</v>
      </c>
      <c r="I935" s="547" t="n">
        <f aca="false">F935-H935</f>
        <v>-196400</v>
      </c>
      <c r="J935" s="547" t="n">
        <f aca="false">F935*G935</f>
        <v>49100</v>
      </c>
      <c r="K935" s="1365" t="n">
        <f aca="false">J935/1792.8</f>
        <v>27.3873270861223</v>
      </c>
      <c r="L935" s="547" t="n">
        <v>10</v>
      </c>
      <c r="M935" s="934" t="n">
        <f aca="false">K935*L935/60</f>
        <v>4.56455451435371</v>
      </c>
    </row>
    <row r="936" customFormat="false" ht="15" hidden="false" customHeight="false" outlineLevel="0" collapsed="false">
      <c r="A936" s="216" t="s">
        <v>651</v>
      </c>
      <c r="B936" s="29" t="s">
        <v>3147</v>
      </c>
      <c r="C936" s="1161" t="s">
        <v>4568</v>
      </c>
      <c r="D936" s="912" t="n">
        <v>2007</v>
      </c>
      <c r="E936" s="317" t="n">
        <f aca="false">2021-D936</f>
        <v>14</v>
      </c>
      <c r="F936" s="873" t="n">
        <v>5635700</v>
      </c>
      <c r="G936" s="1413" t="n">
        <v>0.1</v>
      </c>
      <c r="H936" s="547" t="n">
        <f aca="false">E936*F936*G936</f>
        <v>7889980</v>
      </c>
      <c r="I936" s="547" t="n">
        <f aca="false">F936-H936</f>
        <v>-2254280</v>
      </c>
      <c r="J936" s="547" t="n">
        <f aca="false">F936*G936</f>
        <v>563570</v>
      </c>
      <c r="K936" s="1365" t="n">
        <f aca="false">J936/1792.8</f>
        <v>314.351851851852</v>
      </c>
      <c r="L936" s="547" t="n">
        <v>90</v>
      </c>
      <c r="M936" s="819" t="n">
        <f aca="false">K936*L936/60</f>
        <v>471.527777777778</v>
      </c>
    </row>
    <row r="937" customFormat="false" ht="15" hidden="false" customHeight="false" outlineLevel="0" collapsed="false">
      <c r="A937" s="216"/>
      <c r="B937" s="78"/>
      <c r="C937" s="1161" t="s">
        <v>6975</v>
      </c>
      <c r="D937" s="912" t="n">
        <v>2006</v>
      </c>
      <c r="E937" s="317" t="n">
        <f aca="false">2021-D937</f>
        <v>15</v>
      </c>
      <c r="F937" s="547" t="n">
        <v>147200</v>
      </c>
      <c r="G937" s="1413" t="n">
        <v>0.1</v>
      </c>
      <c r="H937" s="547" t="n">
        <f aca="false">E937*F937*G937</f>
        <v>220800</v>
      </c>
      <c r="I937" s="547" t="n">
        <f aca="false">F937-H937</f>
        <v>-73600</v>
      </c>
      <c r="J937" s="547" t="n">
        <f aca="false">F937*G937</f>
        <v>14720</v>
      </c>
      <c r="K937" s="1365" t="n">
        <f aca="false">J937/1792.8</f>
        <v>8.21062025881303</v>
      </c>
      <c r="L937" s="547" t="n">
        <v>30</v>
      </c>
      <c r="M937" s="819" t="n">
        <f aca="false">K937*L937/60</f>
        <v>4.10531012940652</v>
      </c>
    </row>
    <row r="938" customFormat="false" ht="15" hidden="false" customHeight="false" outlineLevel="0" collapsed="false">
      <c r="A938" s="216"/>
      <c r="B938" s="78"/>
      <c r="C938" s="1161" t="s">
        <v>6979</v>
      </c>
      <c r="D938" s="912" t="n">
        <v>2005</v>
      </c>
      <c r="E938" s="317" t="n">
        <f aca="false">2021-D938</f>
        <v>16</v>
      </c>
      <c r="F938" s="547" t="n">
        <v>1400000</v>
      </c>
      <c r="G938" s="1413" t="n">
        <v>0.1</v>
      </c>
      <c r="H938" s="547" t="n">
        <f aca="false">E938*F938*G938</f>
        <v>2240000</v>
      </c>
      <c r="I938" s="547" t="n">
        <f aca="false">F938-H938</f>
        <v>-840000</v>
      </c>
      <c r="J938" s="547" t="n">
        <f aca="false">F938*G938</f>
        <v>140000</v>
      </c>
      <c r="K938" s="1365" t="n">
        <f aca="false">J938/1792.8</f>
        <v>78.0901383311022</v>
      </c>
      <c r="L938" s="547" t="n">
        <v>30</v>
      </c>
      <c r="M938" s="819" t="n">
        <f aca="false">K938*L938/60</f>
        <v>39.0450691655511</v>
      </c>
    </row>
    <row r="939" customFormat="false" ht="15" hidden="false" customHeight="false" outlineLevel="0" collapsed="false">
      <c r="A939" s="216"/>
      <c r="B939" s="78"/>
      <c r="C939" s="1161" t="s">
        <v>6934</v>
      </c>
      <c r="D939" s="912" t="n">
        <v>2007</v>
      </c>
      <c r="E939" s="317" t="n">
        <f aca="false">2021-D939</f>
        <v>14</v>
      </c>
      <c r="F939" s="873" t="n">
        <v>491000</v>
      </c>
      <c r="G939" s="1413" t="n">
        <v>0.1</v>
      </c>
      <c r="H939" s="547" t="n">
        <f aca="false">E939*F939*G939</f>
        <v>687400</v>
      </c>
      <c r="I939" s="547" t="n">
        <f aca="false">F939-H939</f>
        <v>-196400</v>
      </c>
      <c r="J939" s="547" t="n">
        <f aca="false">F939*G939</f>
        <v>49100</v>
      </c>
      <c r="K939" s="1365" t="n">
        <f aca="false">J939/1792.8</f>
        <v>27.3873270861223</v>
      </c>
      <c r="L939" s="547" t="n">
        <v>10</v>
      </c>
      <c r="M939" s="819" t="n">
        <f aca="false">K939*L939/60</f>
        <v>4.56455451435371</v>
      </c>
    </row>
    <row r="940" customFormat="false" ht="15" hidden="false" customHeight="false" outlineLevel="0" collapsed="false">
      <c r="A940" s="216"/>
      <c r="B940" s="78"/>
      <c r="C940" s="1161" t="s">
        <v>6999</v>
      </c>
      <c r="D940" s="912" t="n">
        <v>2007</v>
      </c>
      <c r="E940" s="317" t="n">
        <f aca="false">2021-D940</f>
        <v>14</v>
      </c>
      <c r="F940" s="873" t="n">
        <v>450000</v>
      </c>
      <c r="G940" s="1413" t="n">
        <v>0.1</v>
      </c>
      <c r="H940" s="547" t="n">
        <f aca="false">E940*F940*G940</f>
        <v>630000</v>
      </c>
      <c r="I940" s="547" t="n">
        <f aca="false">F940-H940</f>
        <v>-180000</v>
      </c>
      <c r="J940" s="547" t="n">
        <f aca="false">F940*G940</f>
        <v>45000</v>
      </c>
      <c r="K940" s="1365" t="n">
        <f aca="false">J940/1792.8</f>
        <v>25.1004016064257</v>
      </c>
      <c r="L940" s="547" t="n">
        <v>13</v>
      </c>
      <c r="M940" s="819" t="n">
        <f aca="false">K940*L940/60</f>
        <v>5.4384203480589</v>
      </c>
    </row>
    <row r="941" customFormat="false" ht="15" hidden="false" customHeight="false" outlineLevel="0" collapsed="false">
      <c r="A941" s="216"/>
      <c r="B941" s="972" t="s">
        <v>4128</v>
      </c>
      <c r="C941" s="1160"/>
      <c r="D941" s="391"/>
      <c r="E941" s="317"/>
      <c r="F941" s="714"/>
      <c r="G941" s="1414"/>
      <c r="H941" s="547"/>
      <c r="I941" s="547"/>
      <c r="J941" s="547"/>
      <c r="K941" s="1365" t="n">
        <f aca="false">J941/1792.8</f>
        <v>0</v>
      </c>
      <c r="L941" s="714"/>
      <c r="M941" s="934" t="n">
        <f aca="false">M936+M937+M938+M939+M940</f>
        <v>524.681131935148</v>
      </c>
    </row>
    <row r="942" customFormat="false" ht="15" hidden="false" customHeight="false" outlineLevel="0" collapsed="false">
      <c r="A942" s="216" t="s">
        <v>652</v>
      </c>
      <c r="B942" s="29" t="s">
        <v>3102</v>
      </c>
      <c r="C942" s="1161" t="s">
        <v>4568</v>
      </c>
      <c r="D942" s="912" t="n">
        <v>2007</v>
      </c>
      <c r="E942" s="317" t="n">
        <f aca="false">2021-D942</f>
        <v>14</v>
      </c>
      <c r="F942" s="873" t="n">
        <v>5635700</v>
      </c>
      <c r="G942" s="1413" t="n">
        <v>0.1</v>
      </c>
      <c r="H942" s="547" t="n">
        <f aca="false">E942*F942*G942</f>
        <v>7889980</v>
      </c>
      <c r="I942" s="547" t="n">
        <f aca="false">F942-H942</f>
        <v>-2254280</v>
      </c>
      <c r="J942" s="547" t="n">
        <f aca="false">F942*G942</f>
        <v>563570</v>
      </c>
      <c r="K942" s="1365" t="n">
        <f aca="false">J942/1792.8</f>
        <v>314.351851851852</v>
      </c>
      <c r="L942" s="547" t="n">
        <v>90</v>
      </c>
      <c r="M942" s="819" t="n">
        <f aca="false">K942*L942/60</f>
        <v>471.527777777778</v>
      </c>
    </row>
    <row r="943" customFormat="false" ht="15" hidden="false" customHeight="false" outlineLevel="0" collapsed="false">
      <c r="A943" s="216"/>
      <c r="B943" s="78"/>
      <c r="C943" s="1161" t="s">
        <v>6975</v>
      </c>
      <c r="D943" s="912" t="n">
        <v>2006</v>
      </c>
      <c r="E943" s="317" t="n">
        <f aca="false">2021-D943</f>
        <v>15</v>
      </c>
      <c r="F943" s="547" t="n">
        <v>147200</v>
      </c>
      <c r="G943" s="1413" t="n">
        <v>0.1</v>
      </c>
      <c r="H943" s="547" t="n">
        <f aca="false">E943*F943*G943</f>
        <v>220800</v>
      </c>
      <c r="I943" s="547" t="n">
        <f aca="false">F943-H943</f>
        <v>-73600</v>
      </c>
      <c r="J943" s="547" t="n">
        <f aca="false">F943*G943</f>
        <v>14720</v>
      </c>
      <c r="K943" s="1365" t="n">
        <f aca="false">J943/1792.8</f>
        <v>8.21062025881303</v>
      </c>
      <c r="L943" s="547" t="n">
        <v>30</v>
      </c>
      <c r="M943" s="819" t="n">
        <f aca="false">K943*L943/60</f>
        <v>4.10531012940652</v>
      </c>
    </row>
    <row r="944" customFormat="false" ht="15" hidden="false" customHeight="false" outlineLevel="0" collapsed="false">
      <c r="A944" s="216"/>
      <c r="B944" s="78"/>
      <c r="C944" s="1161" t="s">
        <v>6979</v>
      </c>
      <c r="D944" s="912" t="n">
        <v>2005</v>
      </c>
      <c r="E944" s="317" t="n">
        <f aca="false">2021-D944</f>
        <v>16</v>
      </c>
      <c r="F944" s="547" t="n">
        <v>1400000</v>
      </c>
      <c r="G944" s="1413" t="n">
        <v>0.1</v>
      </c>
      <c r="H944" s="547" t="n">
        <f aca="false">E944*F944*G944</f>
        <v>2240000</v>
      </c>
      <c r="I944" s="547" t="n">
        <f aca="false">F944-H944</f>
        <v>-840000</v>
      </c>
      <c r="J944" s="547" t="n">
        <f aca="false">F944*G944</f>
        <v>140000</v>
      </c>
      <c r="K944" s="1365" t="n">
        <f aca="false">J944/1792.8</f>
        <v>78.0901383311022</v>
      </c>
      <c r="L944" s="547" t="n">
        <v>30</v>
      </c>
      <c r="M944" s="819" t="n">
        <f aca="false">K944*L944/60</f>
        <v>39.0450691655511</v>
      </c>
    </row>
    <row r="945" customFormat="false" ht="15" hidden="false" customHeight="false" outlineLevel="0" collapsed="false">
      <c r="A945" s="216"/>
      <c r="B945" s="78"/>
      <c r="C945" s="1161" t="s">
        <v>6934</v>
      </c>
      <c r="D945" s="912" t="n">
        <v>2007</v>
      </c>
      <c r="E945" s="317" t="n">
        <f aca="false">2021-D945</f>
        <v>14</v>
      </c>
      <c r="F945" s="873" t="n">
        <v>491000</v>
      </c>
      <c r="G945" s="1413" t="n">
        <v>0.1</v>
      </c>
      <c r="H945" s="547" t="n">
        <f aca="false">E945*F945*G945</f>
        <v>687400</v>
      </c>
      <c r="I945" s="547" t="n">
        <f aca="false">F945-H945</f>
        <v>-196400</v>
      </c>
      <c r="J945" s="547" t="n">
        <f aca="false">F945*G945</f>
        <v>49100</v>
      </c>
      <c r="K945" s="1365" t="n">
        <f aca="false">J945/1792.8</f>
        <v>27.3873270861223</v>
      </c>
      <c r="L945" s="547" t="n">
        <v>10</v>
      </c>
      <c r="M945" s="819" t="n">
        <f aca="false">K945*L945/60</f>
        <v>4.56455451435371</v>
      </c>
    </row>
    <row r="946" customFormat="false" ht="15" hidden="false" customHeight="false" outlineLevel="0" collapsed="false">
      <c r="A946" s="216"/>
      <c r="B946" s="78"/>
      <c r="C946" s="1161" t="s">
        <v>6999</v>
      </c>
      <c r="D946" s="912" t="n">
        <v>2007</v>
      </c>
      <c r="E946" s="317" t="n">
        <f aca="false">2021-D946</f>
        <v>14</v>
      </c>
      <c r="F946" s="873" t="n">
        <v>450000</v>
      </c>
      <c r="G946" s="1413" t="n">
        <v>0.1</v>
      </c>
      <c r="H946" s="547" t="n">
        <f aca="false">E946*F946*G946</f>
        <v>630000</v>
      </c>
      <c r="I946" s="547" t="n">
        <f aca="false">F946-H946</f>
        <v>-180000</v>
      </c>
      <c r="J946" s="547" t="n">
        <f aca="false">F946*G946</f>
        <v>45000</v>
      </c>
      <c r="K946" s="1365" t="n">
        <f aca="false">J946/1792.8</f>
        <v>25.1004016064257</v>
      </c>
      <c r="L946" s="547" t="n">
        <v>13</v>
      </c>
      <c r="M946" s="819" t="n">
        <f aca="false">K946*L946/60</f>
        <v>5.4384203480589</v>
      </c>
    </row>
    <row r="947" customFormat="false" ht="15" hidden="false" customHeight="false" outlineLevel="0" collapsed="false">
      <c r="A947" s="216"/>
      <c r="B947" s="972" t="s">
        <v>4128</v>
      </c>
      <c r="C947" s="1160"/>
      <c r="D947" s="391"/>
      <c r="E947" s="317"/>
      <c r="F947" s="714"/>
      <c r="G947" s="1414"/>
      <c r="H947" s="547"/>
      <c r="I947" s="547"/>
      <c r="J947" s="547"/>
      <c r="K947" s="1365" t="n">
        <f aca="false">J947/1792.8</f>
        <v>0</v>
      </c>
      <c r="L947" s="714"/>
      <c r="M947" s="934" t="n">
        <f aca="false">M942+M943+M944+M945+M946</f>
        <v>524.681131935148</v>
      </c>
    </row>
    <row r="948" customFormat="false" ht="15" hidden="false" customHeight="false" outlineLevel="0" collapsed="false">
      <c r="A948" s="216" t="s">
        <v>7017</v>
      </c>
      <c r="B948" s="29" t="s">
        <v>3148</v>
      </c>
      <c r="C948" s="1161" t="s">
        <v>6974</v>
      </c>
      <c r="D948" s="912" t="n">
        <v>2006</v>
      </c>
      <c r="E948" s="317" t="n">
        <f aca="false">2021-D948</f>
        <v>15</v>
      </c>
      <c r="F948" s="547" t="n">
        <v>526970</v>
      </c>
      <c r="G948" s="1413" t="n">
        <v>0.1</v>
      </c>
      <c r="H948" s="547" t="n">
        <f aca="false">E948*F948*G948</f>
        <v>790455</v>
      </c>
      <c r="I948" s="547" t="n">
        <f aca="false">F948-H948</f>
        <v>-263485</v>
      </c>
      <c r="J948" s="547" t="n">
        <f aca="false">F948*G948</f>
        <v>52697</v>
      </c>
      <c r="K948" s="1365" t="n">
        <f aca="false">J948/1792.8</f>
        <v>29.3936858545292</v>
      </c>
      <c r="L948" s="547" t="n">
        <v>15</v>
      </c>
      <c r="M948" s="819" t="n">
        <f aca="false">K948*L948/60</f>
        <v>7.34842146363231</v>
      </c>
    </row>
    <row r="949" customFormat="false" ht="15" hidden="false" customHeight="false" outlineLevel="0" collapsed="false">
      <c r="A949" s="216"/>
      <c r="B949" s="78"/>
      <c r="C949" s="1161" t="s">
        <v>4568</v>
      </c>
      <c r="D949" s="912" t="n">
        <v>2007</v>
      </c>
      <c r="E949" s="317" t="n">
        <f aca="false">2021-D949</f>
        <v>14</v>
      </c>
      <c r="F949" s="873" t="n">
        <v>5635700</v>
      </c>
      <c r="G949" s="1413" t="n">
        <v>0.1</v>
      </c>
      <c r="H949" s="547" t="n">
        <f aca="false">E949*F949*G949</f>
        <v>7889980</v>
      </c>
      <c r="I949" s="547" t="n">
        <f aca="false">F949-H949</f>
        <v>-2254280</v>
      </c>
      <c r="J949" s="547" t="n">
        <f aca="false">F949*G949</f>
        <v>563570</v>
      </c>
      <c r="K949" s="1365" t="n">
        <f aca="false">J949/1792.8</f>
        <v>314.351851851852</v>
      </c>
      <c r="L949" s="547" t="n">
        <v>90</v>
      </c>
      <c r="M949" s="819" t="n">
        <f aca="false">K949*L949/60</f>
        <v>471.527777777778</v>
      </c>
    </row>
    <row r="950" customFormat="false" ht="15" hidden="false" customHeight="false" outlineLevel="0" collapsed="false">
      <c r="A950" s="216"/>
      <c r="B950" s="78"/>
      <c r="C950" s="1161" t="s">
        <v>6975</v>
      </c>
      <c r="D950" s="912" t="n">
        <v>2006</v>
      </c>
      <c r="E950" s="317" t="n">
        <f aca="false">2021-D950</f>
        <v>15</v>
      </c>
      <c r="F950" s="547" t="n">
        <v>147200</v>
      </c>
      <c r="G950" s="1413" t="n">
        <v>0.1</v>
      </c>
      <c r="H950" s="547" t="n">
        <f aca="false">E950*F950*G950</f>
        <v>220800</v>
      </c>
      <c r="I950" s="547" t="n">
        <f aca="false">F950-H950</f>
        <v>-73600</v>
      </c>
      <c r="J950" s="547" t="n">
        <f aca="false">F950*G950</f>
        <v>14720</v>
      </c>
      <c r="K950" s="1365" t="n">
        <f aca="false">J950/1792.8</f>
        <v>8.21062025881303</v>
      </c>
      <c r="L950" s="547" t="n">
        <v>30</v>
      </c>
      <c r="M950" s="819" t="n">
        <f aca="false">K950*L950/60</f>
        <v>4.10531012940652</v>
      </c>
    </row>
    <row r="951" customFormat="false" ht="15" hidden="false" customHeight="false" outlineLevel="0" collapsed="false">
      <c r="A951" s="216"/>
      <c r="B951" s="78"/>
      <c r="C951" s="1161" t="s">
        <v>6979</v>
      </c>
      <c r="D951" s="912" t="n">
        <v>2005</v>
      </c>
      <c r="E951" s="317" t="n">
        <f aca="false">2021-D951</f>
        <v>16</v>
      </c>
      <c r="F951" s="547" t="n">
        <v>1400000</v>
      </c>
      <c r="G951" s="1413" t="n">
        <v>0.1</v>
      </c>
      <c r="H951" s="547" t="n">
        <f aca="false">E951*F951*G951</f>
        <v>2240000</v>
      </c>
      <c r="I951" s="547" t="n">
        <f aca="false">F951-H951</f>
        <v>-840000</v>
      </c>
      <c r="J951" s="547" t="n">
        <f aca="false">F951*G951</f>
        <v>140000</v>
      </c>
      <c r="K951" s="1365" t="n">
        <f aca="false">J951/1792.8</f>
        <v>78.0901383311022</v>
      </c>
      <c r="L951" s="547" t="n">
        <v>30</v>
      </c>
      <c r="M951" s="819" t="n">
        <f aca="false">K951*L951/60</f>
        <v>39.0450691655511</v>
      </c>
    </row>
    <row r="952" customFormat="false" ht="15" hidden="false" customHeight="false" outlineLevel="0" collapsed="false">
      <c r="A952" s="216"/>
      <c r="B952" s="78"/>
      <c r="C952" s="1161" t="s">
        <v>6934</v>
      </c>
      <c r="D952" s="912" t="n">
        <v>2007</v>
      </c>
      <c r="E952" s="317" t="n">
        <f aca="false">2021-D952</f>
        <v>14</v>
      </c>
      <c r="F952" s="873" t="n">
        <v>491000</v>
      </c>
      <c r="G952" s="1413" t="n">
        <v>0.1</v>
      </c>
      <c r="H952" s="547" t="n">
        <f aca="false">E952*F952*G952</f>
        <v>687400</v>
      </c>
      <c r="I952" s="547" t="n">
        <f aca="false">F952-H952</f>
        <v>-196400</v>
      </c>
      <c r="J952" s="547" t="n">
        <f aca="false">F952*G952</f>
        <v>49100</v>
      </c>
      <c r="K952" s="1365" t="n">
        <f aca="false">J952/1792.8</f>
        <v>27.3873270861223</v>
      </c>
      <c r="L952" s="547" t="n">
        <v>10</v>
      </c>
      <c r="M952" s="819" t="n">
        <f aca="false">K952*L952/60</f>
        <v>4.56455451435371</v>
      </c>
    </row>
    <row r="953" customFormat="false" ht="15" hidden="false" customHeight="false" outlineLevel="0" collapsed="false">
      <c r="A953" s="216"/>
      <c r="B953" s="78"/>
      <c r="C953" s="1161" t="s">
        <v>6943</v>
      </c>
      <c r="D953" s="912" t="n">
        <v>2006</v>
      </c>
      <c r="E953" s="317" t="n">
        <f aca="false">2021-D953</f>
        <v>15</v>
      </c>
      <c r="F953" s="547" t="n">
        <v>1503927</v>
      </c>
      <c r="G953" s="1413" t="n">
        <v>0.1</v>
      </c>
      <c r="H953" s="547" t="n">
        <f aca="false">E953*F953*G953</f>
        <v>2255890.5</v>
      </c>
      <c r="I953" s="547" t="n">
        <f aca="false">F953-H953</f>
        <v>-751963.5</v>
      </c>
      <c r="J953" s="547" t="n">
        <f aca="false">F953*G953</f>
        <v>150392.7</v>
      </c>
      <c r="K953" s="1365" t="n">
        <f aca="false">J953/1792.8</f>
        <v>83.8870481927711</v>
      </c>
      <c r="L953" s="547" t="n">
        <v>40</v>
      </c>
      <c r="M953" s="819" t="n">
        <f aca="false">K953*L953/60</f>
        <v>55.9246987951807</v>
      </c>
    </row>
    <row r="954" customFormat="false" ht="15" hidden="false" customHeight="false" outlineLevel="0" collapsed="false">
      <c r="A954" s="216"/>
      <c r="B954" s="78"/>
      <c r="C954" s="1161" t="s">
        <v>6999</v>
      </c>
      <c r="D954" s="912" t="n">
        <v>2007</v>
      </c>
      <c r="E954" s="317" t="n">
        <f aca="false">2021-D954</f>
        <v>14</v>
      </c>
      <c r="F954" s="873" t="n">
        <v>450000</v>
      </c>
      <c r="G954" s="1413" t="n">
        <v>0.1</v>
      </c>
      <c r="H954" s="547" t="n">
        <f aca="false">E954*F954*G954</f>
        <v>630000</v>
      </c>
      <c r="I954" s="547" t="n">
        <f aca="false">F954-H954</f>
        <v>-180000</v>
      </c>
      <c r="J954" s="547" t="n">
        <f aca="false">F954*G954</f>
        <v>45000</v>
      </c>
      <c r="K954" s="1365" t="n">
        <f aca="false">J954/1792.8</f>
        <v>25.1004016064257</v>
      </c>
      <c r="L954" s="547" t="n">
        <v>13</v>
      </c>
      <c r="M954" s="819" t="n">
        <f aca="false">K954*L954/60</f>
        <v>5.4384203480589</v>
      </c>
    </row>
    <row r="955" customFormat="false" ht="15" hidden="false" customHeight="false" outlineLevel="0" collapsed="false">
      <c r="A955" s="216"/>
      <c r="B955" s="972" t="s">
        <v>4128</v>
      </c>
      <c r="C955" s="1160"/>
      <c r="D955" s="391"/>
      <c r="E955" s="317"/>
      <c r="F955" s="714"/>
      <c r="G955" s="1414"/>
      <c r="H955" s="547"/>
      <c r="I955" s="547"/>
      <c r="J955" s="547"/>
      <c r="K955" s="1365" t="n">
        <f aca="false">J955/1792.8</f>
        <v>0</v>
      </c>
      <c r="L955" s="714"/>
      <c r="M955" s="934" t="n">
        <f aca="false">M948+M949+M950+M951+M952+M953+M954</f>
        <v>587.954252193961</v>
      </c>
    </row>
    <row r="956" customFormat="false" ht="15" hidden="false" customHeight="false" outlineLevel="0" collapsed="false">
      <c r="A956" s="216" t="s">
        <v>654</v>
      </c>
      <c r="B956" s="29" t="s">
        <v>3149</v>
      </c>
      <c r="C956" s="1161" t="s">
        <v>6974</v>
      </c>
      <c r="D956" s="912" t="n">
        <v>2006</v>
      </c>
      <c r="E956" s="317" t="n">
        <f aca="false">2021-D956</f>
        <v>15</v>
      </c>
      <c r="F956" s="547" t="n">
        <v>526970</v>
      </c>
      <c r="G956" s="1413" t="n">
        <v>0.1</v>
      </c>
      <c r="H956" s="547" t="n">
        <f aca="false">E956*F956*G956</f>
        <v>790455</v>
      </c>
      <c r="I956" s="547" t="n">
        <f aca="false">F956-H956</f>
        <v>-263485</v>
      </c>
      <c r="J956" s="547" t="n">
        <f aca="false">F956*G956</f>
        <v>52697</v>
      </c>
      <c r="K956" s="1365" t="n">
        <f aca="false">J956/1792.8</f>
        <v>29.3936858545292</v>
      </c>
      <c r="L956" s="547" t="n">
        <v>15</v>
      </c>
      <c r="M956" s="819" t="n">
        <f aca="false">K956*L956/60</f>
        <v>7.34842146363231</v>
      </c>
    </row>
    <row r="957" customFormat="false" ht="15" hidden="false" customHeight="false" outlineLevel="0" collapsed="false">
      <c r="A957" s="216"/>
      <c r="B957" s="78"/>
      <c r="C957" s="1161" t="s">
        <v>4568</v>
      </c>
      <c r="D957" s="912" t="n">
        <v>2007</v>
      </c>
      <c r="E957" s="317" t="n">
        <f aca="false">2021-D957</f>
        <v>14</v>
      </c>
      <c r="F957" s="873" t="n">
        <v>5635700</v>
      </c>
      <c r="G957" s="1413" t="n">
        <v>0.1</v>
      </c>
      <c r="H957" s="547" t="n">
        <f aca="false">E957*F957*G957</f>
        <v>7889980</v>
      </c>
      <c r="I957" s="547" t="n">
        <f aca="false">F957-H957</f>
        <v>-2254280</v>
      </c>
      <c r="J957" s="547" t="n">
        <f aca="false">F957*G957</f>
        <v>563570</v>
      </c>
      <c r="K957" s="1365" t="n">
        <f aca="false">J957/1792.8</f>
        <v>314.351851851852</v>
      </c>
      <c r="L957" s="547" t="n">
        <v>180</v>
      </c>
      <c r="M957" s="819" t="n">
        <f aca="false">K957*L957/60</f>
        <v>943.055555555556</v>
      </c>
    </row>
    <row r="958" customFormat="false" ht="15" hidden="false" customHeight="false" outlineLevel="0" collapsed="false">
      <c r="A958" s="216"/>
      <c r="B958" s="78"/>
      <c r="C958" s="1161" t="s">
        <v>6934</v>
      </c>
      <c r="D958" s="912" t="n">
        <v>2007</v>
      </c>
      <c r="E958" s="317" t="n">
        <f aca="false">2021-D958</f>
        <v>14</v>
      </c>
      <c r="F958" s="873" t="n">
        <v>491000</v>
      </c>
      <c r="G958" s="1413" t="n">
        <v>0.1</v>
      </c>
      <c r="H958" s="547" t="n">
        <f aca="false">E958*F958*G958</f>
        <v>687400</v>
      </c>
      <c r="I958" s="547" t="n">
        <f aca="false">F958-H958</f>
        <v>-196400</v>
      </c>
      <c r="J958" s="547" t="n">
        <f aca="false">F958*G958</f>
        <v>49100</v>
      </c>
      <c r="K958" s="1365" t="n">
        <f aca="false">J958/1792.8</f>
        <v>27.3873270861223</v>
      </c>
      <c r="L958" s="547" t="n">
        <v>10</v>
      </c>
      <c r="M958" s="819" t="n">
        <f aca="false">K958*L958/60</f>
        <v>4.56455451435371</v>
      </c>
    </row>
    <row r="959" customFormat="false" ht="15" hidden="false" customHeight="false" outlineLevel="0" collapsed="false">
      <c r="A959" s="216"/>
      <c r="B959" s="78"/>
      <c r="C959" s="1161" t="s">
        <v>6999</v>
      </c>
      <c r="D959" s="912" t="n">
        <v>2007</v>
      </c>
      <c r="E959" s="317" t="n">
        <f aca="false">2021-D959</f>
        <v>14</v>
      </c>
      <c r="F959" s="873" t="n">
        <v>450000</v>
      </c>
      <c r="G959" s="1413" t="n">
        <v>0.1</v>
      </c>
      <c r="H959" s="547" t="n">
        <f aca="false">E959*F959*G959</f>
        <v>630000</v>
      </c>
      <c r="I959" s="547" t="n">
        <f aca="false">F959-H959</f>
        <v>-180000</v>
      </c>
      <c r="J959" s="547" t="n">
        <f aca="false">F959*G959</f>
        <v>45000</v>
      </c>
      <c r="K959" s="1365" t="n">
        <f aca="false">J959/1792.8</f>
        <v>25.1004016064257</v>
      </c>
      <c r="L959" s="547" t="n">
        <v>13</v>
      </c>
      <c r="M959" s="819" t="n">
        <f aca="false">K959*L959/60</f>
        <v>5.4384203480589</v>
      </c>
    </row>
    <row r="960" customFormat="false" ht="15" hidden="false" customHeight="false" outlineLevel="0" collapsed="false">
      <c r="A960" s="216"/>
      <c r="B960" s="972" t="s">
        <v>4128</v>
      </c>
      <c r="C960" s="1160"/>
      <c r="D960" s="391"/>
      <c r="E960" s="317"/>
      <c r="F960" s="714"/>
      <c r="G960" s="1414"/>
      <c r="H960" s="547"/>
      <c r="I960" s="547"/>
      <c r="J960" s="547"/>
      <c r="K960" s="1365" t="n">
        <f aca="false">J960/1792.8</f>
        <v>0</v>
      </c>
      <c r="L960" s="714"/>
      <c r="M960" s="934" t="n">
        <f aca="false">M956+M957+M958+M959</f>
        <v>960.406951881601</v>
      </c>
    </row>
    <row r="961" customFormat="false" ht="15" hidden="false" customHeight="false" outlineLevel="0" collapsed="false">
      <c r="A961" s="216" t="s">
        <v>655</v>
      </c>
      <c r="B961" s="29" t="s">
        <v>3150</v>
      </c>
      <c r="C961" s="1161" t="s">
        <v>6934</v>
      </c>
      <c r="D961" s="912" t="n">
        <v>2007</v>
      </c>
      <c r="E961" s="317" t="n">
        <f aca="false">2021-D961</f>
        <v>14</v>
      </c>
      <c r="F961" s="873" t="n">
        <v>491000</v>
      </c>
      <c r="G961" s="1413" t="n">
        <v>0.1</v>
      </c>
      <c r="H961" s="547" t="n">
        <f aca="false">E961*F961*G961</f>
        <v>687400</v>
      </c>
      <c r="I961" s="547" t="n">
        <f aca="false">F961-H961</f>
        <v>-196400</v>
      </c>
      <c r="J961" s="547" t="n">
        <f aca="false">F961*G961</f>
        <v>49100</v>
      </c>
      <c r="K961" s="1365" t="n">
        <f aca="false">J961/1792.8</f>
        <v>27.3873270861223</v>
      </c>
      <c r="L961" s="547" t="n">
        <v>10</v>
      </c>
      <c r="M961" s="819" t="n">
        <f aca="false">K961*L961/60</f>
        <v>4.56455451435371</v>
      </c>
    </row>
    <row r="962" customFormat="false" ht="15" hidden="false" customHeight="false" outlineLevel="0" collapsed="false">
      <c r="A962" s="216"/>
      <c r="B962" s="78"/>
      <c r="C962" s="1161" t="s">
        <v>6997</v>
      </c>
      <c r="D962" s="912" t="n">
        <v>2009</v>
      </c>
      <c r="E962" s="317" t="n">
        <f aca="false">2021-D962</f>
        <v>12</v>
      </c>
      <c r="F962" s="547" t="n">
        <v>181000</v>
      </c>
      <c r="G962" s="1413" t="n">
        <v>0.1</v>
      </c>
      <c r="H962" s="547" t="n">
        <f aca="false">E962*F962*G962</f>
        <v>217200</v>
      </c>
      <c r="I962" s="547" t="n">
        <f aca="false">F962-H962</f>
        <v>-36200</v>
      </c>
      <c r="J962" s="547" t="n">
        <f aca="false">F962*G962</f>
        <v>18100</v>
      </c>
      <c r="K962" s="1365" t="n">
        <f aca="false">J962/1792.8</f>
        <v>10.0959393128068</v>
      </c>
      <c r="L962" s="547" t="n">
        <v>15</v>
      </c>
      <c r="M962" s="819" t="n">
        <f aca="false">K962*L962/60</f>
        <v>2.5239848282017</v>
      </c>
    </row>
    <row r="963" customFormat="false" ht="15" hidden="false" customHeight="false" outlineLevel="0" collapsed="false">
      <c r="A963" s="216"/>
      <c r="B963" s="78"/>
      <c r="C963" s="1161" t="s">
        <v>6999</v>
      </c>
      <c r="D963" s="912" t="n">
        <v>2007</v>
      </c>
      <c r="E963" s="317" t="n">
        <f aca="false">2021-D963</f>
        <v>14</v>
      </c>
      <c r="F963" s="873" t="n">
        <v>450000</v>
      </c>
      <c r="G963" s="1413" t="n">
        <v>0.1</v>
      </c>
      <c r="H963" s="547" t="n">
        <f aca="false">E963*F963*G963</f>
        <v>630000</v>
      </c>
      <c r="I963" s="547" t="n">
        <f aca="false">F963-H963</f>
        <v>-180000</v>
      </c>
      <c r="J963" s="547" t="n">
        <f aca="false">F963*G963</f>
        <v>45000</v>
      </c>
      <c r="K963" s="1365" t="n">
        <f aca="false">J963/1792.8</f>
        <v>25.1004016064257</v>
      </c>
      <c r="L963" s="547" t="n">
        <v>13</v>
      </c>
      <c r="M963" s="819" t="n">
        <f aca="false">K963*L963/60</f>
        <v>5.4384203480589</v>
      </c>
    </row>
    <row r="964" customFormat="false" ht="15" hidden="false" customHeight="false" outlineLevel="0" collapsed="false">
      <c r="A964" s="216"/>
      <c r="B964" s="972" t="s">
        <v>4128</v>
      </c>
      <c r="C964" s="1160"/>
      <c r="D964" s="391"/>
      <c r="E964" s="317"/>
      <c r="F964" s="714"/>
      <c r="G964" s="1414"/>
      <c r="H964" s="547"/>
      <c r="I964" s="547"/>
      <c r="J964" s="547"/>
      <c r="K964" s="1365" t="n">
        <f aca="false">J964/1792.8</f>
        <v>0</v>
      </c>
      <c r="L964" s="714"/>
      <c r="M964" s="934" t="n">
        <f aca="false">M961+M962+M963</f>
        <v>12.5269596906143</v>
      </c>
    </row>
    <row r="965" customFormat="false" ht="30" hidden="false" customHeight="false" outlineLevel="0" collapsed="false">
      <c r="A965" s="216" t="s">
        <v>657</v>
      </c>
      <c r="B965" s="29" t="s">
        <v>3151</v>
      </c>
      <c r="C965" s="1161" t="s">
        <v>6974</v>
      </c>
      <c r="D965" s="912" t="n">
        <v>2006</v>
      </c>
      <c r="E965" s="317" t="n">
        <f aca="false">2021-D965</f>
        <v>15</v>
      </c>
      <c r="F965" s="547" t="n">
        <v>526970</v>
      </c>
      <c r="G965" s="1413" t="n">
        <v>0.1</v>
      </c>
      <c r="H965" s="547" t="n">
        <f aca="false">E965*F965*G965</f>
        <v>790455</v>
      </c>
      <c r="I965" s="547" t="n">
        <f aca="false">F965-H965</f>
        <v>-263485</v>
      </c>
      <c r="J965" s="547" t="n">
        <f aca="false">F965*G965</f>
        <v>52697</v>
      </c>
      <c r="K965" s="1365" t="n">
        <f aca="false">J965/1792.8</f>
        <v>29.3936858545292</v>
      </c>
      <c r="L965" s="547" t="n">
        <v>15</v>
      </c>
      <c r="M965" s="819" t="n">
        <f aca="false">K965*L965/60</f>
        <v>7.34842146363231</v>
      </c>
    </row>
    <row r="966" customFormat="false" ht="15" hidden="false" customHeight="false" outlineLevel="0" collapsed="false">
      <c r="A966" s="216"/>
      <c r="B966" s="78"/>
      <c r="C966" s="1161" t="s">
        <v>6975</v>
      </c>
      <c r="D966" s="912" t="n">
        <v>2006</v>
      </c>
      <c r="E966" s="317" t="n">
        <f aca="false">2021-D966</f>
        <v>15</v>
      </c>
      <c r="F966" s="547" t="n">
        <v>147200</v>
      </c>
      <c r="G966" s="1413" t="n">
        <v>0.1</v>
      </c>
      <c r="H966" s="547" t="n">
        <f aca="false">E966*F966*G966</f>
        <v>220800</v>
      </c>
      <c r="I966" s="547" t="n">
        <f aca="false">F966-H966</f>
        <v>-73600</v>
      </c>
      <c r="J966" s="547" t="n">
        <f aca="false">F966*G966</f>
        <v>14720</v>
      </c>
      <c r="K966" s="1365" t="n">
        <f aca="false">J966/1792.8</f>
        <v>8.21062025881303</v>
      </c>
      <c r="L966" s="547" t="n">
        <v>30</v>
      </c>
      <c r="M966" s="819" t="n">
        <f aca="false">K966*L966/60</f>
        <v>4.10531012940652</v>
      </c>
    </row>
    <row r="967" customFormat="false" ht="15" hidden="false" customHeight="false" outlineLevel="0" collapsed="false">
      <c r="A967" s="216"/>
      <c r="B967" s="78"/>
      <c r="C967" s="1161" t="s">
        <v>6979</v>
      </c>
      <c r="D967" s="912" t="n">
        <v>2005</v>
      </c>
      <c r="E967" s="317" t="n">
        <f aca="false">2021-D967</f>
        <v>16</v>
      </c>
      <c r="F967" s="547" t="n">
        <v>1400000</v>
      </c>
      <c r="G967" s="1413" t="n">
        <v>0.1</v>
      </c>
      <c r="H967" s="547" t="n">
        <f aca="false">E967*F967*G967</f>
        <v>2240000</v>
      </c>
      <c r="I967" s="547" t="n">
        <f aca="false">F967-H967</f>
        <v>-840000</v>
      </c>
      <c r="J967" s="547" t="n">
        <f aca="false">F967*G967</f>
        <v>140000</v>
      </c>
      <c r="K967" s="1365" t="n">
        <f aca="false">J967/1792.8</f>
        <v>78.0901383311022</v>
      </c>
      <c r="L967" s="547" t="n">
        <v>30</v>
      </c>
      <c r="M967" s="819" t="n">
        <f aca="false">K967*L967/60</f>
        <v>39.0450691655511</v>
      </c>
    </row>
    <row r="968" customFormat="false" ht="15" hidden="false" customHeight="false" outlineLevel="0" collapsed="false">
      <c r="A968" s="216"/>
      <c r="B968" s="78"/>
      <c r="C968" s="1161" t="s">
        <v>6934</v>
      </c>
      <c r="D968" s="912" t="n">
        <v>2007</v>
      </c>
      <c r="E968" s="317" t="n">
        <f aca="false">2021-D968</f>
        <v>14</v>
      </c>
      <c r="F968" s="873" t="n">
        <v>491000</v>
      </c>
      <c r="G968" s="1413" t="n">
        <v>0.1</v>
      </c>
      <c r="H968" s="547" t="n">
        <f aca="false">E968*F968*G968</f>
        <v>687400</v>
      </c>
      <c r="I968" s="547" t="n">
        <f aca="false">F968-H968</f>
        <v>-196400</v>
      </c>
      <c r="J968" s="547" t="n">
        <f aca="false">F968*G968</f>
        <v>49100</v>
      </c>
      <c r="K968" s="1365" t="n">
        <f aca="false">J968/1792.8</f>
        <v>27.3873270861223</v>
      </c>
      <c r="L968" s="547" t="n">
        <v>10</v>
      </c>
      <c r="M968" s="819" t="n">
        <f aca="false">K968*L968/60</f>
        <v>4.56455451435371</v>
      </c>
    </row>
    <row r="969" customFormat="false" ht="15" hidden="false" customHeight="false" outlineLevel="0" collapsed="false">
      <c r="A969" s="216"/>
      <c r="B969" s="78"/>
      <c r="C969" s="1161" t="s">
        <v>6999</v>
      </c>
      <c r="D969" s="912" t="n">
        <v>2007</v>
      </c>
      <c r="E969" s="317" t="n">
        <f aca="false">2021-D969</f>
        <v>14</v>
      </c>
      <c r="F969" s="873" t="n">
        <v>450000</v>
      </c>
      <c r="G969" s="1413" t="n">
        <v>0.1</v>
      </c>
      <c r="H969" s="547" t="n">
        <f aca="false">E969*F969*G969</f>
        <v>630000</v>
      </c>
      <c r="I969" s="547" t="n">
        <f aca="false">F969-H969</f>
        <v>-180000</v>
      </c>
      <c r="J969" s="547" t="n">
        <f aca="false">F969*G969</f>
        <v>45000</v>
      </c>
      <c r="K969" s="1365" t="n">
        <f aca="false">J969/1792.8</f>
        <v>25.1004016064257</v>
      </c>
      <c r="L969" s="547" t="n">
        <v>13</v>
      </c>
      <c r="M969" s="819" t="n">
        <f aca="false">K969*L969/60</f>
        <v>5.4384203480589</v>
      </c>
    </row>
    <row r="970" customFormat="false" ht="15" hidden="false" customHeight="false" outlineLevel="0" collapsed="false">
      <c r="A970" s="216"/>
      <c r="B970" s="972" t="s">
        <v>4128</v>
      </c>
      <c r="C970" s="1160"/>
      <c r="D970" s="391"/>
      <c r="E970" s="317"/>
      <c r="F970" s="714"/>
      <c r="G970" s="1414"/>
      <c r="H970" s="547"/>
      <c r="I970" s="547"/>
      <c r="J970" s="547"/>
      <c r="K970" s="1365" t="n">
        <f aca="false">J970/1792.8</f>
        <v>0</v>
      </c>
      <c r="L970" s="714"/>
      <c r="M970" s="934" t="n">
        <f aca="false">M965+M966+M967+M968+M969</f>
        <v>60.5017756210025</v>
      </c>
    </row>
    <row r="971" customFormat="false" ht="30" hidden="false" customHeight="false" outlineLevel="0" collapsed="false">
      <c r="A971" s="216" t="s">
        <v>658</v>
      </c>
      <c r="B971" s="29" t="s">
        <v>3152</v>
      </c>
      <c r="C971" s="1161" t="s">
        <v>6934</v>
      </c>
      <c r="D971" s="912" t="n">
        <v>2007</v>
      </c>
      <c r="E971" s="317" t="n">
        <f aca="false">2021-D971</f>
        <v>14</v>
      </c>
      <c r="F971" s="873" t="n">
        <v>491000</v>
      </c>
      <c r="G971" s="1413" t="n">
        <v>0.1</v>
      </c>
      <c r="H971" s="547" t="n">
        <f aca="false">E971*F971*G971</f>
        <v>687400</v>
      </c>
      <c r="I971" s="547" t="n">
        <f aca="false">F971-H971</f>
        <v>-196400</v>
      </c>
      <c r="J971" s="547" t="n">
        <f aca="false">F971*G971</f>
        <v>49100</v>
      </c>
      <c r="K971" s="1365" t="n">
        <f aca="false">J971/1792.8</f>
        <v>27.3873270861223</v>
      </c>
      <c r="L971" s="547" t="n">
        <v>10</v>
      </c>
      <c r="M971" s="819" t="n">
        <f aca="false">K971*L971/60</f>
        <v>4.56455451435371</v>
      </c>
    </row>
    <row r="972" customFormat="false" ht="15" hidden="false" customHeight="false" outlineLevel="0" collapsed="false">
      <c r="A972" s="216"/>
      <c r="B972" s="78"/>
      <c r="C972" s="1161" t="s">
        <v>6927</v>
      </c>
      <c r="D972" s="912" t="n">
        <v>2006</v>
      </c>
      <c r="E972" s="317" t="n">
        <f aca="false">2021-D972</f>
        <v>15</v>
      </c>
      <c r="F972" s="547" t="n">
        <v>526970</v>
      </c>
      <c r="G972" s="1413" t="n">
        <v>0.1</v>
      </c>
      <c r="H972" s="547" t="n">
        <f aca="false">E972*F972*G972</f>
        <v>790455</v>
      </c>
      <c r="I972" s="547" t="n">
        <f aca="false">F972-H972</f>
        <v>-263485</v>
      </c>
      <c r="J972" s="547" t="n">
        <f aca="false">F972*G972</f>
        <v>52697</v>
      </c>
      <c r="K972" s="1365" t="n">
        <f aca="false">J972/1792.8</f>
        <v>29.3936858545292</v>
      </c>
      <c r="L972" s="547" t="n">
        <v>15</v>
      </c>
      <c r="M972" s="819" t="n">
        <f aca="false">K972*L972/60</f>
        <v>7.34842146363231</v>
      </c>
    </row>
    <row r="973" customFormat="false" ht="15" hidden="false" customHeight="false" outlineLevel="0" collapsed="false">
      <c r="A973" s="216"/>
      <c r="B973" s="972" t="s">
        <v>4128</v>
      </c>
      <c r="C973" s="1160"/>
      <c r="D973" s="391"/>
      <c r="E973" s="317"/>
      <c r="F973" s="714"/>
      <c r="G973" s="1414"/>
      <c r="H973" s="547"/>
      <c r="I973" s="547"/>
      <c r="J973" s="547"/>
      <c r="K973" s="1365" t="n">
        <f aca="false">J973/1792.8</f>
        <v>0</v>
      </c>
      <c r="L973" s="714"/>
      <c r="M973" s="934" t="n">
        <f aca="false">M971+M972</f>
        <v>11.912975977986</v>
      </c>
    </row>
    <row r="974" customFormat="false" ht="15" hidden="false" customHeight="false" outlineLevel="0" collapsed="false">
      <c r="A974" s="216" t="s">
        <v>659</v>
      </c>
      <c r="B974" s="40" t="s">
        <v>3153</v>
      </c>
      <c r="C974" s="1161" t="s">
        <v>7006</v>
      </c>
      <c r="D974" s="912" t="n">
        <v>2014</v>
      </c>
      <c r="E974" s="317" t="n">
        <f aca="false">2021-D974</f>
        <v>7</v>
      </c>
      <c r="F974" s="547" t="n">
        <v>55465060</v>
      </c>
      <c r="G974" s="1413" t="n">
        <v>0.1</v>
      </c>
      <c r="H974" s="547" t="n">
        <f aca="false">E974*F974*G974</f>
        <v>38825542</v>
      </c>
      <c r="I974" s="547" t="n">
        <f aca="false">F974-H974</f>
        <v>16639518</v>
      </c>
      <c r="J974" s="547" t="n">
        <f aca="false">F974*G974</f>
        <v>5546506</v>
      </c>
      <c r="K974" s="1365" t="n">
        <f aca="false">J974/1792.8</f>
        <v>3093.76729138777</v>
      </c>
      <c r="L974" s="714" t="n">
        <v>30</v>
      </c>
      <c r="M974" s="819" t="n">
        <f aca="false">K974*L974/60</f>
        <v>1546.88364569389</v>
      </c>
    </row>
    <row r="975" s="311" customFormat="true" ht="15" hidden="false" customHeight="false" outlineLevel="0" collapsed="false">
      <c r="A975" s="309"/>
      <c r="C975" s="1161" t="s">
        <v>6934</v>
      </c>
      <c r="D975" s="912" t="n">
        <v>2007</v>
      </c>
      <c r="E975" s="317" t="n">
        <f aca="false">2021-D975</f>
        <v>14</v>
      </c>
      <c r="F975" s="873" t="n">
        <v>491000</v>
      </c>
      <c r="G975" s="1413" t="n">
        <v>0.1</v>
      </c>
      <c r="H975" s="547" t="n">
        <f aca="false">E975*F975*G975</f>
        <v>687400</v>
      </c>
      <c r="I975" s="547" t="n">
        <f aca="false">F975-H975</f>
        <v>-196400</v>
      </c>
      <c r="J975" s="547" t="n">
        <f aca="false">F975*G975</f>
        <v>49100</v>
      </c>
      <c r="K975" s="1365" t="n">
        <f aca="false">J975/1792.8</f>
        <v>27.3873270861223</v>
      </c>
      <c r="L975" s="547" t="n">
        <v>10</v>
      </c>
      <c r="M975" s="819" t="n">
        <f aca="false">K975*L975/60</f>
        <v>4.56455451435371</v>
      </c>
    </row>
    <row r="976" customFormat="false" ht="15" hidden="false" customHeight="false" outlineLevel="0" collapsed="false">
      <c r="A976" s="216"/>
      <c r="B976" s="972" t="s">
        <v>4128</v>
      </c>
      <c r="C976" s="1160"/>
      <c r="D976" s="391"/>
      <c r="E976" s="317"/>
      <c r="F976" s="714"/>
      <c r="G976" s="1414"/>
      <c r="H976" s="547"/>
      <c r="I976" s="547"/>
      <c r="J976" s="547"/>
      <c r="K976" s="1365" t="n">
        <f aca="false">J976/1792.8</f>
        <v>0</v>
      </c>
      <c r="L976" s="714"/>
      <c r="M976" s="934" t="n">
        <f aca="false">M974+M975</f>
        <v>1551.44820020824</v>
      </c>
    </row>
    <row r="977" customFormat="false" ht="15" hidden="false" customHeight="false" outlineLevel="0" collapsed="false">
      <c r="A977" s="216" t="s">
        <v>661</v>
      </c>
      <c r="B977" s="40" t="s">
        <v>3154</v>
      </c>
      <c r="C977" s="1161" t="s">
        <v>6974</v>
      </c>
      <c r="D977" s="912" t="n">
        <v>2006</v>
      </c>
      <c r="E977" s="317" t="n">
        <f aca="false">2021-D977</f>
        <v>15</v>
      </c>
      <c r="F977" s="547" t="n">
        <v>526970</v>
      </c>
      <c r="G977" s="1413" t="n">
        <v>0.1</v>
      </c>
      <c r="H977" s="547" t="n">
        <f aca="false">E977*F977*G977</f>
        <v>790455</v>
      </c>
      <c r="I977" s="547" t="n">
        <f aca="false">F977-H977</f>
        <v>-263485</v>
      </c>
      <c r="J977" s="547" t="n">
        <f aca="false">F977*G977</f>
        <v>52697</v>
      </c>
      <c r="K977" s="1365" t="n">
        <f aca="false">J977/1792.8</f>
        <v>29.3936858545292</v>
      </c>
      <c r="L977" s="547" t="n">
        <v>15</v>
      </c>
      <c r="M977" s="819" t="n">
        <f aca="false">K977*L977/60</f>
        <v>7.34842146363231</v>
      </c>
    </row>
    <row r="978" customFormat="false" ht="15" hidden="false" customHeight="false" outlineLevel="0" collapsed="false">
      <c r="A978" s="216"/>
      <c r="B978" s="972"/>
      <c r="C978" s="1161" t="s">
        <v>6934</v>
      </c>
      <c r="D978" s="912" t="n">
        <v>2007</v>
      </c>
      <c r="E978" s="317" t="n">
        <f aca="false">2021-D978</f>
        <v>14</v>
      </c>
      <c r="F978" s="873" t="n">
        <v>491000</v>
      </c>
      <c r="G978" s="1413" t="n">
        <v>0.1</v>
      </c>
      <c r="H978" s="547" t="n">
        <f aca="false">E978*F978*G978</f>
        <v>687400</v>
      </c>
      <c r="I978" s="547" t="n">
        <f aca="false">F978-H978</f>
        <v>-196400</v>
      </c>
      <c r="J978" s="547" t="n">
        <f aca="false">F978*G978</f>
        <v>49100</v>
      </c>
      <c r="K978" s="1365" t="n">
        <f aca="false">J978/1792.8</f>
        <v>27.3873270861223</v>
      </c>
      <c r="L978" s="547" t="n">
        <v>10</v>
      </c>
      <c r="M978" s="819" t="n">
        <f aca="false">K978*L978/60</f>
        <v>4.56455451435371</v>
      </c>
    </row>
    <row r="979" customFormat="false" ht="15" hidden="false" customHeight="false" outlineLevel="0" collapsed="false">
      <c r="A979" s="216"/>
      <c r="B979" s="972" t="s">
        <v>4128</v>
      </c>
      <c r="C979" s="1160"/>
      <c r="D979" s="391"/>
      <c r="E979" s="317"/>
      <c r="F979" s="714"/>
      <c r="G979" s="1414"/>
      <c r="H979" s="547"/>
      <c r="I979" s="547"/>
      <c r="J979" s="547"/>
      <c r="K979" s="1365" t="n">
        <f aca="false">J979/1792.8</f>
        <v>0</v>
      </c>
      <c r="L979" s="714"/>
      <c r="M979" s="934" t="n">
        <f aca="false">M977+M978</f>
        <v>11.912975977986</v>
      </c>
    </row>
    <row r="980" customFormat="false" ht="28.5" hidden="false" customHeight="false" outlineLevel="0" collapsed="false">
      <c r="A980" s="15" t="s">
        <v>4836</v>
      </c>
      <c r="B980" s="16" t="s">
        <v>3155</v>
      </c>
      <c r="C980" s="16"/>
      <c r="D980" s="339"/>
      <c r="E980" s="1389"/>
      <c r="F980" s="751"/>
      <c r="G980" s="751"/>
      <c r="H980" s="751"/>
      <c r="I980" s="751"/>
      <c r="J980" s="751"/>
      <c r="K980" s="751"/>
      <c r="L980" s="751"/>
      <c r="M980" s="818"/>
    </row>
    <row r="981" customFormat="false" ht="30" hidden="false" customHeight="false" outlineLevel="0" collapsed="false">
      <c r="A981" s="216" t="s">
        <v>4838</v>
      </c>
      <c r="B981" s="29" t="s">
        <v>3010</v>
      </c>
      <c r="C981" s="1161" t="s">
        <v>6984</v>
      </c>
      <c r="D981" s="912" t="n">
        <v>2007</v>
      </c>
      <c r="E981" s="317" t="n">
        <f aca="false">2021-D981</f>
        <v>14</v>
      </c>
      <c r="F981" s="547" t="n">
        <v>810000</v>
      </c>
      <c r="G981" s="1413" t="n">
        <v>0.1</v>
      </c>
      <c r="H981" s="547" t="n">
        <f aca="false">E981*F981*G981</f>
        <v>1134000</v>
      </c>
      <c r="I981" s="547" t="n">
        <f aca="false">F981-H981</f>
        <v>-324000</v>
      </c>
      <c r="J981" s="547" t="n">
        <f aca="false">F981*G981</f>
        <v>81000</v>
      </c>
      <c r="K981" s="1365" t="n">
        <f aca="false">J981/1792.8</f>
        <v>45.1807228915663</v>
      </c>
      <c r="L981" s="547" t="n">
        <v>10</v>
      </c>
      <c r="M981" s="819" t="n">
        <f aca="false">K981*L981/60</f>
        <v>7.53012048192771</v>
      </c>
    </row>
    <row r="982" customFormat="false" ht="30" hidden="false" customHeight="false" outlineLevel="0" collapsed="false">
      <c r="A982" s="216" t="s">
        <v>4839</v>
      </c>
      <c r="B982" s="29" t="s">
        <v>3156</v>
      </c>
      <c r="C982" s="1161" t="s">
        <v>6934</v>
      </c>
      <c r="D982" s="912" t="n">
        <v>2007</v>
      </c>
      <c r="E982" s="317" t="n">
        <f aca="false">2021-D982</f>
        <v>14</v>
      </c>
      <c r="F982" s="873" t="n">
        <v>491000</v>
      </c>
      <c r="G982" s="1413" t="n">
        <v>0.1</v>
      </c>
      <c r="H982" s="547" t="n">
        <f aca="false">E982*F982*G982</f>
        <v>687400</v>
      </c>
      <c r="I982" s="547" t="n">
        <f aca="false">F982-H982</f>
        <v>-196400</v>
      </c>
      <c r="J982" s="547" t="n">
        <f aca="false">F982*G982</f>
        <v>49100</v>
      </c>
      <c r="K982" s="1365" t="n">
        <f aca="false">J982/1792.8</f>
        <v>27.3873270861223</v>
      </c>
      <c r="L982" s="547" t="n">
        <v>10</v>
      </c>
      <c r="M982" s="819" t="n">
        <f aca="false">K982*L982/60</f>
        <v>4.56455451435371</v>
      </c>
    </row>
    <row r="983" customFormat="false" ht="15" hidden="false" customHeight="false" outlineLevel="0" collapsed="false">
      <c r="A983" s="216"/>
      <c r="B983" s="78"/>
      <c r="C983" s="1161" t="s">
        <v>7018</v>
      </c>
      <c r="D983" s="912" t="n">
        <v>2005</v>
      </c>
      <c r="E983" s="317" t="n">
        <f aca="false">2021-D983</f>
        <v>16</v>
      </c>
      <c r="F983" s="547" t="n">
        <v>98600</v>
      </c>
      <c r="G983" s="1413" t="n">
        <v>0.1</v>
      </c>
      <c r="H983" s="547" t="n">
        <f aca="false">E983*F983*G983</f>
        <v>157760</v>
      </c>
      <c r="I983" s="547" t="n">
        <f aca="false">F983-H983</f>
        <v>-59160</v>
      </c>
      <c r="J983" s="547" t="n">
        <f aca="false">F983*G983</f>
        <v>9860</v>
      </c>
      <c r="K983" s="1365" t="n">
        <f aca="false">J983/1792.8</f>
        <v>5.49977688531905</v>
      </c>
      <c r="L983" s="547" t="n">
        <v>10</v>
      </c>
      <c r="M983" s="819" t="n">
        <f aca="false">K983*L983/60</f>
        <v>0.916629480886509</v>
      </c>
    </row>
    <row r="984" customFormat="false" ht="15" hidden="false" customHeight="false" outlineLevel="0" collapsed="false">
      <c r="A984" s="216"/>
      <c r="B984" s="972" t="s">
        <v>4128</v>
      </c>
      <c r="C984" s="1160"/>
      <c r="D984" s="391"/>
      <c r="E984" s="317"/>
      <c r="F984" s="714"/>
      <c r="G984" s="1414"/>
      <c r="H984" s="547"/>
      <c r="I984" s="547"/>
      <c r="J984" s="547"/>
      <c r="K984" s="1365" t="n">
        <f aca="false">J984/1792.8</f>
        <v>0</v>
      </c>
      <c r="L984" s="714"/>
      <c r="M984" s="934" t="n">
        <f aca="false">M982+M983</f>
        <v>5.48118399524022</v>
      </c>
    </row>
    <row r="985" customFormat="false" ht="15" hidden="false" customHeight="false" outlineLevel="0" collapsed="false">
      <c r="A985" s="216" t="s">
        <v>4843</v>
      </c>
      <c r="B985" s="29" t="s">
        <v>3157</v>
      </c>
      <c r="C985" s="1161" t="s">
        <v>6934</v>
      </c>
      <c r="D985" s="912" t="n">
        <v>2007</v>
      </c>
      <c r="E985" s="317" t="n">
        <f aca="false">2021-D985</f>
        <v>14</v>
      </c>
      <c r="F985" s="873" t="n">
        <v>491000</v>
      </c>
      <c r="G985" s="1413" t="n">
        <v>0.1</v>
      </c>
      <c r="H985" s="547" t="n">
        <f aca="false">E985*F985*G985</f>
        <v>687400</v>
      </c>
      <c r="I985" s="547" t="n">
        <f aca="false">F985-H985</f>
        <v>-196400</v>
      </c>
      <c r="J985" s="547" t="n">
        <f aca="false">F985*G985</f>
        <v>49100</v>
      </c>
      <c r="K985" s="1365" t="n">
        <f aca="false">J985/1792.8</f>
        <v>27.3873270861223</v>
      </c>
      <c r="L985" s="547" t="n">
        <v>10</v>
      </c>
      <c r="M985" s="934" t="n">
        <f aca="false">K985*L985/60</f>
        <v>4.56455451435371</v>
      </c>
    </row>
    <row r="986" customFormat="false" ht="15" hidden="false" customHeight="false" outlineLevel="0" collapsed="false">
      <c r="A986" s="216" t="s">
        <v>4844</v>
      </c>
      <c r="B986" s="29" t="s">
        <v>3158</v>
      </c>
      <c r="C986" s="1161" t="s">
        <v>6934</v>
      </c>
      <c r="D986" s="912" t="n">
        <v>2007</v>
      </c>
      <c r="E986" s="317" t="n">
        <f aca="false">2021-D986</f>
        <v>14</v>
      </c>
      <c r="F986" s="873" t="n">
        <v>491000</v>
      </c>
      <c r="G986" s="1413" t="n">
        <v>0.1</v>
      </c>
      <c r="H986" s="547" t="n">
        <f aca="false">E986*F986*G986</f>
        <v>687400</v>
      </c>
      <c r="I986" s="547" t="n">
        <f aca="false">F986-H986</f>
        <v>-196400</v>
      </c>
      <c r="J986" s="547" t="n">
        <f aca="false">F986*G986</f>
        <v>49100</v>
      </c>
      <c r="K986" s="1365" t="n">
        <f aca="false">J986/1792.8</f>
        <v>27.3873270861223</v>
      </c>
      <c r="L986" s="547" t="n">
        <v>10</v>
      </c>
      <c r="M986" s="934" t="n">
        <f aca="false">K986*L986/60</f>
        <v>4.56455451435371</v>
      </c>
    </row>
    <row r="987" customFormat="false" ht="30" hidden="false" customHeight="false" outlineLevel="0" collapsed="false">
      <c r="A987" s="216" t="s">
        <v>4845</v>
      </c>
      <c r="B987" s="29" t="s">
        <v>3159</v>
      </c>
      <c r="C987" s="1161" t="s">
        <v>6934</v>
      </c>
      <c r="D987" s="912" t="n">
        <v>2007</v>
      </c>
      <c r="E987" s="317" t="n">
        <f aca="false">2021-D987</f>
        <v>14</v>
      </c>
      <c r="F987" s="873" t="n">
        <v>491000</v>
      </c>
      <c r="G987" s="1413" t="n">
        <v>0.1</v>
      </c>
      <c r="H987" s="547" t="n">
        <f aca="false">E987*F987*G987</f>
        <v>687400</v>
      </c>
      <c r="I987" s="547" t="n">
        <f aca="false">F987-H987</f>
        <v>-196400</v>
      </c>
      <c r="J987" s="547" t="n">
        <f aca="false">F987*G987</f>
        <v>49100</v>
      </c>
      <c r="K987" s="1365" t="n">
        <f aca="false">J987/1792.8</f>
        <v>27.3873270861223</v>
      </c>
      <c r="L987" s="547" t="n">
        <v>10</v>
      </c>
      <c r="M987" s="934" t="n">
        <f aca="false">K987*L987/60</f>
        <v>4.56455451435371</v>
      </c>
    </row>
    <row r="988" customFormat="false" ht="15" hidden="false" customHeight="false" outlineLevel="0" collapsed="false">
      <c r="A988" s="216" t="s">
        <v>4848</v>
      </c>
      <c r="B988" s="29" t="s">
        <v>3084</v>
      </c>
      <c r="C988" s="1161" t="s">
        <v>6973</v>
      </c>
      <c r="D988" s="912" t="n">
        <v>2006</v>
      </c>
      <c r="E988" s="317" t="n">
        <f aca="false">2021-D988</f>
        <v>15</v>
      </c>
      <c r="F988" s="547" t="n">
        <v>190000</v>
      </c>
      <c r="G988" s="1413" t="n">
        <v>0.1</v>
      </c>
      <c r="H988" s="547" t="n">
        <f aca="false">E988*F988*G988</f>
        <v>285000</v>
      </c>
      <c r="I988" s="547" t="n">
        <f aca="false">F988-H988</f>
        <v>-95000</v>
      </c>
      <c r="J988" s="547" t="n">
        <f aca="false">F988*G988</f>
        <v>19000</v>
      </c>
      <c r="K988" s="1365" t="n">
        <f aca="false">J988/1792.8</f>
        <v>10.5979473449353</v>
      </c>
      <c r="L988" s="547" t="n">
        <v>30</v>
      </c>
      <c r="M988" s="819" t="n">
        <f aca="false">K988*L988/60</f>
        <v>5.29897367246765</v>
      </c>
    </row>
    <row r="989" customFormat="false" ht="15" hidden="false" customHeight="false" outlineLevel="0" collapsed="false">
      <c r="A989" s="216"/>
      <c r="B989" s="78"/>
      <c r="C989" s="1161" t="s">
        <v>6934</v>
      </c>
      <c r="D989" s="912" t="n">
        <v>2007</v>
      </c>
      <c r="E989" s="317" t="n">
        <f aca="false">2021-D989</f>
        <v>14</v>
      </c>
      <c r="F989" s="873" t="n">
        <v>491000</v>
      </c>
      <c r="G989" s="1413" t="n">
        <v>0.1</v>
      </c>
      <c r="H989" s="547" t="n">
        <f aca="false">E989*F989*G989</f>
        <v>687400</v>
      </c>
      <c r="I989" s="547" t="n">
        <f aca="false">F989-H989</f>
        <v>-196400</v>
      </c>
      <c r="J989" s="547" t="n">
        <f aca="false">F989*G989</f>
        <v>49100</v>
      </c>
      <c r="K989" s="1365" t="n">
        <f aca="false">J989/1792.8</f>
        <v>27.3873270861223</v>
      </c>
      <c r="L989" s="547" t="n">
        <v>10</v>
      </c>
      <c r="M989" s="819" t="n">
        <f aca="false">K989*L989/60</f>
        <v>4.56455451435371</v>
      </c>
    </row>
    <row r="990" customFormat="false" ht="15" hidden="false" customHeight="false" outlineLevel="0" collapsed="false">
      <c r="A990" s="216"/>
      <c r="B990" s="78"/>
      <c r="C990" s="1161" t="s">
        <v>6999</v>
      </c>
      <c r="D990" s="912" t="n">
        <v>2007</v>
      </c>
      <c r="E990" s="317" t="n">
        <f aca="false">2021-D990</f>
        <v>14</v>
      </c>
      <c r="F990" s="873" t="n">
        <v>450000</v>
      </c>
      <c r="G990" s="1413" t="n">
        <v>0.1</v>
      </c>
      <c r="H990" s="547" t="n">
        <f aca="false">E990*F990*G990</f>
        <v>630000</v>
      </c>
      <c r="I990" s="547" t="n">
        <f aca="false">F990-H990</f>
        <v>-180000</v>
      </c>
      <c r="J990" s="547" t="n">
        <f aca="false">F990*G990</f>
        <v>45000</v>
      </c>
      <c r="K990" s="1365" t="n">
        <f aca="false">J990/1792.8</f>
        <v>25.1004016064257</v>
      </c>
      <c r="L990" s="547" t="n">
        <v>13</v>
      </c>
      <c r="M990" s="819" t="n">
        <f aca="false">K990*L990/60</f>
        <v>5.4384203480589</v>
      </c>
    </row>
    <row r="991" customFormat="false" ht="15" hidden="false" customHeight="false" outlineLevel="0" collapsed="false">
      <c r="A991" s="216"/>
      <c r="B991" s="972" t="s">
        <v>4128</v>
      </c>
      <c r="C991" s="1160"/>
      <c r="D991" s="391"/>
      <c r="E991" s="317"/>
      <c r="F991" s="714"/>
      <c r="G991" s="1414"/>
      <c r="H991" s="547"/>
      <c r="I991" s="547"/>
      <c r="J991" s="547"/>
      <c r="K991" s="1365" t="n">
        <f aca="false">J991/1792.8</f>
        <v>0</v>
      </c>
      <c r="L991" s="714"/>
      <c r="M991" s="934" t="n">
        <f aca="false">M988+M989+M990</f>
        <v>15.3019485348803</v>
      </c>
    </row>
    <row r="992" customFormat="false" ht="30" hidden="false" customHeight="false" outlineLevel="0" collapsed="false">
      <c r="A992" s="216" t="s">
        <v>674</v>
      </c>
      <c r="B992" s="29" t="s">
        <v>3085</v>
      </c>
      <c r="C992" s="1161" t="s">
        <v>6973</v>
      </c>
      <c r="D992" s="912" t="n">
        <v>2006</v>
      </c>
      <c r="E992" s="317" t="n">
        <f aca="false">2021-D992</f>
        <v>15</v>
      </c>
      <c r="F992" s="547" t="n">
        <v>190000</v>
      </c>
      <c r="G992" s="1413" t="n">
        <v>0.1</v>
      </c>
      <c r="H992" s="547" t="n">
        <f aca="false">E992*F992*G992</f>
        <v>285000</v>
      </c>
      <c r="I992" s="547" t="n">
        <f aca="false">F992-H992</f>
        <v>-95000</v>
      </c>
      <c r="J992" s="547" t="n">
        <f aca="false">F992*G992</f>
        <v>19000</v>
      </c>
      <c r="K992" s="1365" t="n">
        <f aca="false">J992/1792.8</f>
        <v>10.5979473449353</v>
      </c>
      <c r="L992" s="547" t="n">
        <v>30</v>
      </c>
      <c r="M992" s="819" t="n">
        <f aca="false">K992*L992/60</f>
        <v>5.29897367246765</v>
      </c>
    </row>
    <row r="993" customFormat="false" ht="15" hidden="false" customHeight="false" outlineLevel="0" collapsed="false">
      <c r="A993" s="216"/>
      <c r="B993" s="78"/>
      <c r="C993" s="1161" t="s">
        <v>6934</v>
      </c>
      <c r="D993" s="912" t="n">
        <v>2007</v>
      </c>
      <c r="E993" s="317" t="n">
        <f aca="false">2021-D993</f>
        <v>14</v>
      </c>
      <c r="F993" s="873" t="n">
        <v>491000</v>
      </c>
      <c r="G993" s="1413" t="n">
        <v>0.1</v>
      </c>
      <c r="H993" s="547" t="n">
        <f aca="false">E993*F993*G993</f>
        <v>687400</v>
      </c>
      <c r="I993" s="547" t="n">
        <f aca="false">F993-H993</f>
        <v>-196400</v>
      </c>
      <c r="J993" s="547" t="n">
        <f aca="false">F993*G993</f>
        <v>49100</v>
      </c>
      <c r="K993" s="1365" t="n">
        <f aca="false">J993/1792.8</f>
        <v>27.3873270861223</v>
      </c>
      <c r="L993" s="547" t="n">
        <v>10</v>
      </c>
      <c r="M993" s="819" t="n">
        <f aca="false">K993*L993/60</f>
        <v>4.56455451435371</v>
      </c>
    </row>
    <row r="994" customFormat="false" ht="15" hidden="false" customHeight="false" outlineLevel="0" collapsed="false">
      <c r="A994" s="216"/>
      <c r="B994" s="78"/>
      <c r="C994" s="1161" t="s">
        <v>6999</v>
      </c>
      <c r="D994" s="912" t="n">
        <v>2007</v>
      </c>
      <c r="E994" s="317" t="n">
        <f aca="false">2021-D994</f>
        <v>14</v>
      </c>
      <c r="F994" s="873" t="n">
        <v>450000</v>
      </c>
      <c r="G994" s="1413" t="n">
        <v>0.1</v>
      </c>
      <c r="H994" s="547" t="n">
        <f aca="false">E994*F994*G994</f>
        <v>630000</v>
      </c>
      <c r="I994" s="547" t="n">
        <f aca="false">F994-H994</f>
        <v>-180000</v>
      </c>
      <c r="J994" s="547" t="n">
        <f aca="false">F994*G994</f>
        <v>45000</v>
      </c>
      <c r="K994" s="1365" t="n">
        <f aca="false">J994/1792.8</f>
        <v>25.1004016064257</v>
      </c>
      <c r="L994" s="547" t="n">
        <v>13</v>
      </c>
      <c r="M994" s="819" t="n">
        <f aca="false">K994*L994/60</f>
        <v>5.4384203480589</v>
      </c>
    </row>
    <row r="995" customFormat="false" ht="15" hidden="false" customHeight="false" outlineLevel="0" collapsed="false">
      <c r="A995" s="216"/>
      <c r="B995" s="972" t="s">
        <v>4128</v>
      </c>
      <c r="C995" s="1160"/>
      <c r="D995" s="391"/>
      <c r="E995" s="317"/>
      <c r="F995" s="714"/>
      <c r="G995" s="1414"/>
      <c r="H995" s="547"/>
      <c r="I995" s="547"/>
      <c r="J995" s="547"/>
      <c r="K995" s="1365" t="n">
        <f aca="false">J995/1792.8</f>
        <v>0</v>
      </c>
      <c r="L995" s="714"/>
      <c r="M995" s="934" t="n">
        <f aca="false">M992+M993+M994</f>
        <v>15.3019485348803</v>
      </c>
    </row>
    <row r="996" customFormat="false" ht="30" hidden="false" customHeight="false" outlineLevel="0" collapsed="false">
      <c r="A996" s="216" t="s">
        <v>675</v>
      </c>
      <c r="B996" s="29" t="s">
        <v>3160</v>
      </c>
      <c r="C996" s="1161" t="s">
        <v>6934</v>
      </c>
      <c r="D996" s="912" t="n">
        <v>2007</v>
      </c>
      <c r="E996" s="317" t="n">
        <f aca="false">2021-D996</f>
        <v>14</v>
      </c>
      <c r="F996" s="873" t="n">
        <v>491000</v>
      </c>
      <c r="G996" s="1413" t="n">
        <v>0.1</v>
      </c>
      <c r="H996" s="547" t="n">
        <f aca="false">E996*F996*G996</f>
        <v>687400</v>
      </c>
      <c r="I996" s="547" t="n">
        <f aca="false">F996-H996</f>
        <v>-196400</v>
      </c>
      <c r="J996" s="547" t="n">
        <f aca="false">F996*G996</f>
        <v>49100</v>
      </c>
      <c r="K996" s="1365" t="n">
        <f aca="false">J996/1792.8</f>
        <v>27.3873270861223</v>
      </c>
      <c r="L996" s="547" t="n">
        <v>10</v>
      </c>
      <c r="M996" s="934" t="n">
        <f aca="false">K996*L996/60</f>
        <v>4.56455451435371</v>
      </c>
    </row>
    <row r="997" customFormat="false" ht="30" hidden="false" customHeight="false" outlineLevel="0" collapsed="false">
      <c r="A997" s="216" t="s">
        <v>677</v>
      </c>
      <c r="B997" s="29" t="s">
        <v>3161</v>
      </c>
      <c r="C997" s="1161" t="s">
        <v>6976</v>
      </c>
      <c r="D997" s="912" t="n">
        <v>2005</v>
      </c>
      <c r="E997" s="317" t="n">
        <f aca="false">2021-D997</f>
        <v>16</v>
      </c>
      <c r="F997" s="547" t="n">
        <v>65500</v>
      </c>
      <c r="G997" s="1413" t="n">
        <v>0.1</v>
      </c>
      <c r="H997" s="547" t="n">
        <f aca="false">E997*F997*G997</f>
        <v>104800</v>
      </c>
      <c r="I997" s="547" t="n">
        <f aca="false">F997-H997</f>
        <v>-39300</v>
      </c>
      <c r="J997" s="547" t="n">
        <f aca="false">F997*G997</f>
        <v>6550</v>
      </c>
      <c r="K997" s="1365" t="n">
        <f aca="false">J997/1792.8</f>
        <v>3.65350290049085</v>
      </c>
      <c r="L997" s="547" t="n">
        <v>30</v>
      </c>
      <c r="M997" s="819" t="n">
        <f aca="false">K997*L997/60</f>
        <v>1.82675145024543</v>
      </c>
    </row>
    <row r="998" customFormat="false" ht="15" hidden="false" customHeight="false" outlineLevel="0" collapsed="false">
      <c r="A998" s="216"/>
      <c r="B998" s="29"/>
      <c r="C998" s="1161" t="s">
        <v>6999</v>
      </c>
      <c r="D998" s="912" t="n">
        <v>2007</v>
      </c>
      <c r="E998" s="317" t="n">
        <f aca="false">2021-D998</f>
        <v>14</v>
      </c>
      <c r="F998" s="873" t="n">
        <v>450000</v>
      </c>
      <c r="G998" s="1413" t="n">
        <v>0.1</v>
      </c>
      <c r="H998" s="547" t="n">
        <f aca="false">E998*F998*G998</f>
        <v>630000</v>
      </c>
      <c r="I998" s="547" t="n">
        <f aca="false">F998-H998</f>
        <v>-180000</v>
      </c>
      <c r="J998" s="547" t="n">
        <f aca="false">F998*G998</f>
        <v>45000</v>
      </c>
      <c r="K998" s="1365" t="n">
        <f aca="false">J998/1792.8</f>
        <v>25.1004016064257</v>
      </c>
      <c r="L998" s="547" t="n">
        <v>13</v>
      </c>
      <c r="M998" s="819" t="n">
        <f aca="false">K998*L998/60</f>
        <v>5.4384203480589</v>
      </c>
    </row>
    <row r="999" customFormat="false" ht="15" hidden="false" customHeight="false" outlineLevel="0" collapsed="false">
      <c r="A999" s="216"/>
      <c r="B999" s="972" t="s">
        <v>4128</v>
      </c>
      <c r="C999" s="1160"/>
      <c r="D999" s="391"/>
      <c r="E999" s="317"/>
      <c r="F999" s="714"/>
      <c r="G999" s="1414"/>
      <c r="H999" s="547"/>
      <c r="I999" s="547"/>
      <c r="J999" s="547"/>
      <c r="K999" s="1365" t="n">
        <f aca="false">J999/1792.8</f>
        <v>0</v>
      </c>
      <c r="L999" s="714"/>
      <c r="M999" s="934" t="n">
        <f aca="false">M997+M998</f>
        <v>7.26517179830433</v>
      </c>
    </row>
    <row r="1000" customFormat="false" ht="15" hidden="false" customHeight="false" outlineLevel="0" collapsed="false">
      <c r="A1000" s="216" t="s">
        <v>678</v>
      </c>
      <c r="B1000" s="29" t="s">
        <v>3059</v>
      </c>
      <c r="C1000" s="1161" t="s">
        <v>6934</v>
      </c>
      <c r="D1000" s="912" t="n">
        <v>2007</v>
      </c>
      <c r="E1000" s="317" t="n">
        <f aca="false">2021-D1000</f>
        <v>14</v>
      </c>
      <c r="F1000" s="873" t="n">
        <v>491000</v>
      </c>
      <c r="G1000" s="1413" t="n">
        <v>0.1</v>
      </c>
      <c r="H1000" s="547" t="n">
        <f aca="false">E1000*F1000*G1000</f>
        <v>687400</v>
      </c>
      <c r="I1000" s="547" t="n">
        <f aca="false">F1000-H1000</f>
        <v>-196400</v>
      </c>
      <c r="J1000" s="547" t="n">
        <f aca="false">F1000*G1000</f>
        <v>49100</v>
      </c>
      <c r="K1000" s="1365" t="n">
        <f aca="false">J1000/1792.8</f>
        <v>27.3873270861223</v>
      </c>
      <c r="L1000" s="547" t="n">
        <v>10</v>
      </c>
      <c r="M1000" s="819" t="n">
        <f aca="false">K1000*L1000/60</f>
        <v>4.56455451435371</v>
      </c>
    </row>
    <row r="1001" customFormat="false" ht="15" hidden="false" customHeight="false" outlineLevel="0" collapsed="false">
      <c r="A1001" s="216"/>
      <c r="B1001" s="78"/>
      <c r="C1001" s="1161" t="s">
        <v>6976</v>
      </c>
      <c r="D1001" s="912" t="n">
        <v>2005</v>
      </c>
      <c r="E1001" s="317" t="n">
        <f aca="false">2021-D1001</f>
        <v>16</v>
      </c>
      <c r="F1001" s="547" t="n">
        <v>65500</v>
      </c>
      <c r="G1001" s="1413" t="n">
        <v>0.1</v>
      </c>
      <c r="H1001" s="547" t="n">
        <f aca="false">E1001*F1001*G1001</f>
        <v>104800</v>
      </c>
      <c r="I1001" s="547" t="n">
        <f aca="false">F1001-H1001</f>
        <v>-39300</v>
      </c>
      <c r="J1001" s="547" t="n">
        <f aca="false">F1001*G1001</f>
        <v>6550</v>
      </c>
      <c r="K1001" s="1365" t="n">
        <f aca="false">J1001/1792.8</f>
        <v>3.65350290049085</v>
      </c>
      <c r="L1001" s="547" t="n">
        <v>10</v>
      </c>
      <c r="M1001" s="819" t="n">
        <f aca="false">K1001*L1001/60</f>
        <v>0.608917150081809</v>
      </c>
    </row>
    <row r="1002" customFormat="false" ht="15" hidden="false" customHeight="false" outlineLevel="0" collapsed="false">
      <c r="A1002" s="216"/>
      <c r="B1002" s="78"/>
      <c r="C1002" s="1161" t="s">
        <v>6999</v>
      </c>
      <c r="D1002" s="912" t="n">
        <v>2007</v>
      </c>
      <c r="E1002" s="317" t="n">
        <f aca="false">2021-D1002</f>
        <v>14</v>
      </c>
      <c r="F1002" s="873" t="n">
        <v>450000</v>
      </c>
      <c r="G1002" s="1413" t="n">
        <v>0.1</v>
      </c>
      <c r="H1002" s="547" t="n">
        <f aca="false">E1002*F1002*G1002</f>
        <v>630000</v>
      </c>
      <c r="I1002" s="547" t="n">
        <f aca="false">F1002-H1002</f>
        <v>-180000</v>
      </c>
      <c r="J1002" s="547" t="n">
        <f aca="false">F1002*G1002</f>
        <v>45000</v>
      </c>
      <c r="K1002" s="1365" t="n">
        <f aca="false">J1002/1792.8</f>
        <v>25.1004016064257</v>
      </c>
      <c r="L1002" s="547" t="n">
        <v>13</v>
      </c>
      <c r="M1002" s="819" t="n">
        <f aca="false">K1002*L1002/60</f>
        <v>5.4384203480589</v>
      </c>
    </row>
    <row r="1003" customFormat="false" ht="15" hidden="false" customHeight="false" outlineLevel="0" collapsed="false">
      <c r="A1003" s="216"/>
      <c r="B1003" s="972" t="s">
        <v>4128</v>
      </c>
      <c r="C1003" s="1160"/>
      <c r="D1003" s="391"/>
      <c r="E1003" s="317"/>
      <c r="F1003" s="714"/>
      <c r="G1003" s="1414"/>
      <c r="H1003" s="547"/>
      <c r="I1003" s="547"/>
      <c r="J1003" s="547"/>
      <c r="K1003" s="1365" t="n">
        <f aca="false">J1003/1792.8</f>
        <v>0</v>
      </c>
      <c r="L1003" s="714"/>
      <c r="M1003" s="934" t="n">
        <f aca="false">M1000+M1001+M1002</f>
        <v>10.6118920124944</v>
      </c>
    </row>
    <row r="1004" customFormat="false" ht="30" hidden="false" customHeight="false" outlineLevel="0" collapsed="false">
      <c r="A1004" s="216" t="s">
        <v>679</v>
      </c>
      <c r="B1004" s="29" t="s">
        <v>3162</v>
      </c>
      <c r="C1004" s="1161" t="s">
        <v>6934</v>
      </c>
      <c r="D1004" s="912" t="n">
        <v>2007</v>
      </c>
      <c r="E1004" s="317" t="n">
        <f aca="false">2021-D1004</f>
        <v>14</v>
      </c>
      <c r="F1004" s="873" t="n">
        <v>491000</v>
      </c>
      <c r="G1004" s="1413" t="n">
        <v>0.1</v>
      </c>
      <c r="H1004" s="547" t="n">
        <f aca="false">E1004*F1004*G1004</f>
        <v>687400</v>
      </c>
      <c r="I1004" s="547" t="n">
        <f aca="false">F1004-H1004</f>
        <v>-196400</v>
      </c>
      <c r="J1004" s="547" t="n">
        <f aca="false">F1004*G1004</f>
        <v>49100</v>
      </c>
      <c r="K1004" s="1365" t="n">
        <f aca="false">J1004/1792.8</f>
        <v>27.3873270861223</v>
      </c>
      <c r="L1004" s="547" t="n">
        <v>10</v>
      </c>
      <c r="M1004" s="934" t="n">
        <f aca="false">K1004*L1004/60</f>
        <v>4.56455451435371</v>
      </c>
    </row>
    <row r="1005" customFormat="false" ht="15" hidden="false" customHeight="false" outlineLevel="0" collapsed="false">
      <c r="A1005" s="216" t="s">
        <v>681</v>
      </c>
      <c r="B1005" s="29" t="s">
        <v>3163</v>
      </c>
      <c r="C1005" s="1161" t="s">
        <v>6934</v>
      </c>
      <c r="D1005" s="912" t="n">
        <v>2007</v>
      </c>
      <c r="E1005" s="317" t="n">
        <f aca="false">2021-D1005</f>
        <v>14</v>
      </c>
      <c r="F1005" s="873" t="n">
        <v>491000</v>
      </c>
      <c r="G1005" s="1413" t="n">
        <v>0.1</v>
      </c>
      <c r="H1005" s="547" t="n">
        <f aca="false">E1005*F1005*G1005</f>
        <v>687400</v>
      </c>
      <c r="I1005" s="547" t="n">
        <f aca="false">F1005-H1005</f>
        <v>-196400</v>
      </c>
      <c r="J1005" s="547" t="n">
        <f aca="false">F1005*G1005</f>
        <v>49100</v>
      </c>
      <c r="K1005" s="1365" t="n">
        <f aca="false">J1005/1792.8</f>
        <v>27.3873270861223</v>
      </c>
      <c r="L1005" s="547" t="n">
        <v>10</v>
      </c>
      <c r="M1005" s="819" t="n">
        <f aca="false">K1005*L1005/60</f>
        <v>4.56455451435371</v>
      </c>
    </row>
    <row r="1006" customFormat="false" ht="15" hidden="false" customHeight="false" outlineLevel="0" collapsed="false">
      <c r="A1006" s="216"/>
      <c r="B1006" s="29"/>
      <c r="C1006" s="1161" t="s">
        <v>6999</v>
      </c>
      <c r="D1006" s="912" t="n">
        <v>2007</v>
      </c>
      <c r="E1006" s="317" t="n">
        <f aca="false">2021-D1006</f>
        <v>14</v>
      </c>
      <c r="F1006" s="873" t="n">
        <v>450000</v>
      </c>
      <c r="G1006" s="1413" t="n">
        <v>0.1</v>
      </c>
      <c r="H1006" s="547" t="n">
        <f aca="false">E1006*F1006*G1006</f>
        <v>630000</v>
      </c>
      <c r="I1006" s="547" t="n">
        <f aca="false">F1006-H1006</f>
        <v>-180000</v>
      </c>
      <c r="J1006" s="547" t="n">
        <f aca="false">F1006*G1006</f>
        <v>45000</v>
      </c>
      <c r="K1006" s="1365" t="n">
        <f aca="false">J1006/1792.8</f>
        <v>25.1004016064257</v>
      </c>
      <c r="L1006" s="547" t="n">
        <v>13</v>
      </c>
      <c r="M1006" s="819" t="n">
        <f aca="false">K1006*L1006/60</f>
        <v>5.4384203480589</v>
      </c>
    </row>
    <row r="1007" customFormat="false" ht="15" hidden="false" customHeight="false" outlineLevel="0" collapsed="false">
      <c r="A1007" s="216"/>
      <c r="B1007" s="972" t="s">
        <v>4128</v>
      </c>
      <c r="C1007" s="1160"/>
      <c r="D1007" s="391"/>
      <c r="E1007" s="317"/>
      <c r="F1007" s="714"/>
      <c r="G1007" s="1414"/>
      <c r="H1007" s="547"/>
      <c r="I1007" s="547"/>
      <c r="J1007" s="547"/>
      <c r="K1007" s="1365" t="n">
        <f aca="false">J1007/1792.8</f>
        <v>0</v>
      </c>
      <c r="L1007" s="714"/>
      <c r="M1007" s="934" t="n">
        <f aca="false">M1005+M1006</f>
        <v>10.0029748624126</v>
      </c>
    </row>
    <row r="1008" customFormat="false" ht="15" hidden="false" customHeight="false" outlineLevel="0" collapsed="false">
      <c r="A1008" s="216" t="s">
        <v>683</v>
      </c>
      <c r="B1008" s="29" t="s">
        <v>3147</v>
      </c>
      <c r="C1008" s="1161" t="s">
        <v>4568</v>
      </c>
      <c r="D1008" s="912" t="n">
        <v>2007</v>
      </c>
      <c r="E1008" s="317" t="n">
        <f aca="false">2021-D1008</f>
        <v>14</v>
      </c>
      <c r="F1008" s="873" t="n">
        <v>5635700</v>
      </c>
      <c r="G1008" s="1413" t="n">
        <v>0.1</v>
      </c>
      <c r="H1008" s="547" t="n">
        <f aca="false">E1008*F1008*G1008</f>
        <v>7889980</v>
      </c>
      <c r="I1008" s="547" t="n">
        <f aca="false">F1008-H1008</f>
        <v>-2254280</v>
      </c>
      <c r="J1008" s="547" t="n">
        <f aca="false">F1008*G1008</f>
        <v>563570</v>
      </c>
      <c r="K1008" s="1365" t="n">
        <f aca="false">J1008/1792.8</f>
        <v>314.351851851852</v>
      </c>
      <c r="L1008" s="547" t="n">
        <v>55</v>
      </c>
      <c r="M1008" s="819" t="n">
        <f aca="false">K1008*L1008/60</f>
        <v>288.155864197531</v>
      </c>
    </row>
    <row r="1009" customFormat="false" ht="15" hidden="false" customHeight="false" outlineLevel="0" collapsed="false">
      <c r="A1009" s="216"/>
      <c r="B1009" s="78"/>
      <c r="C1009" s="1161" t="s">
        <v>6975</v>
      </c>
      <c r="D1009" s="912" t="n">
        <v>2006</v>
      </c>
      <c r="E1009" s="317" t="n">
        <f aca="false">2021-D1009</f>
        <v>15</v>
      </c>
      <c r="F1009" s="547" t="n">
        <v>147200</v>
      </c>
      <c r="G1009" s="1413" t="n">
        <v>0.1</v>
      </c>
      <c r="H1009" s="547" t="n">
        <f aca="false">E1009*F1009*G1009</f>
        <v>220800</v>
      </c>
      <c r="I1009" s="547" t="n">
        <f aca="false">F1009-H1009</f>
        <v>-73600</v>
      </c>
      <c r="J1009" s="547" t="n">
        <f aca="false">F1009*G1009</f>
        <v>14720</v>
      </c>
      <c r="K1009" s="1365" t="n">
        <f aca="false">J1009/1792.8</f>
        <v>8.21062025881303</v>
      </c>
      <c r="L1009" s="547" t="n">
        <v>30</v>
      </c>
      <c r="M1009" s="819" t="n">
        <f aca="false">K1009*L1009/60</f>
        <v>4.10531012940652</v>
      </c>
    </row>
    <row r="1010" customFormat="false" ht="15" hidden="false" customHeight="false" outlineLevel="0" collapsed="false">
      <c r="A1010" s="216"/>
      <c r="B1010" s="78"/>
      <c r="C1010" s="1161" t="s">
        <v>6979</v>
      </c>
      <c r="D1010" s="912" t="n">
        <v>2005</v>
      </c>
      <c r="E1010" s="317" t="n">
        <f aca="false">2021-D1010</f>
        <v>16</v>
      </c>
      <c r="F1010" s="547" t="n">
        <v>1400000</v>
      </c>
      <c r="G1010" s="1413" t="n">
        <v>0.1</v>
      </c>
      <c r="H1010" s="547" t="n">
        <f aca="false">E1010*F1010*G1010</f>
        <v>2240000</v>
      </c>
      <c r="I1010" s="547" t="n">
        <f aca="false">F1010-H1010</f>
        <v>-840000</v>
      </c>
      <c r="J1010" s="547" t="n">
        <f aca="false">F1010*G1010</f>
        <v>140000</v>
      </c>
      <c r="K1010" s="1365" t="n">
        <f aca="false">J1010/1792.8</f>
        <v>78.0901383311022</v>
      </c>
      <c r="L1010" s="547" t="n">
        <v>20</v>
      </c>
      <c r="M1010" s="819" t="n">
        <f aca="false">K1010*L1010/60</f>
        <v>26.0300461103674</v>
      </c>
    </row>
    <row r="1011" customFormat="false" ht="15" hidden="false" customHeight="false" outlineLevel="0" collapsed="false">
      <c r="A1011" s="216"/>
      <c r="B1011" s="78"/>
      <c r="C1011" s="1161" t="s">
        <v>6934</v>
      </c>
      <c r="D1011" s="912" t="n">
        <v>2007</v>
      </c>
      <c r="E1011" s="317" t="n">
        <f aca="false">2021-D1011</f>
        <v>14</v>
      </c>
      <c r="F1011" s="873" t="n">
        <v>491000</v>
      </c>
      <c r="G1011" s="1413" t="n">
        <v>0.1</v>
      </c>
      <c r="H1011" s="547" t="n">
        <f aca="false">E1011*F1011*G1011</f>
        <v>687400</v>
      </c>
      <c r="I1011" s="547" t="n">
        <f aca="false">F1011-H1011</f>
        <v>-196400</v>
      </c>
      <c r="J1011" s="547" t="n">
        <f aca="false">F1011*G1011</f>
        <v>49100</v>
      </c>
      <c r="K1011" s="1365" t="n">
        <f aca="false">J1011/1792.8</f>
        <v>27.3873270861223</v>
      </c>
      <c r="L1011" s="547" t="n">
        <v>10</v>
      </c>
      <c r="M1011" s="819" t="n">
        <f aca="false">K1011*L1011/60</f>
        <v>4.56455451435371</v>
      </c>
    </row>
    <row r="1012" customFormat="false" ht="15" hidden="false" customHeight="false" outlineLevel="0" collapsed="false">
      <c r="A1012" s="216"/>
      <c r="B1012" s="78"/>
      <c r="C1012" s="1161" t="s">
        <v>6999</v>
      </c>
      <c r="D1012" s="912" t="n">
        <v>2007</v>
      </c>
      <c r="E1012" s="317" t="n">
        <f aca="false">2021-D1012</f>
        <v>14</v>
      </c>
      <c r="F1012" s="873" t="n">
        <v>450000</v>
      </c>
      <c r="G1012" s="1413" t="n">
        <v>0.1</v>
      </c>
      <c r="H1012" s="547" t="n">
        <f aca="false">E1012*F1012*G1012</f>
        <v>630000</v>
      </c>
      <c r="I1012" s="547" t="n">
        <f aca="false">F1012-H1012</f>
        <v>-180000</v>
      </c>
      <c r="J1012" s="547" t="n">
        <f aca="false">F1012*G1012</f>
        <v>45000</v>
      </c>
      <c r="K1012" s="1365" t="n">
        <f aca="false">J1012/1792.8</f>
        <v>25.1004016064257</v>
      </c>
      <c r="L1012" s="547" t="n">
        <v>13</v>
      </c>
      <c r="M1012" s="819" t="n">
        <f aca="false">K1012*L1012/60</f>
        <v>5.4384203480589</v>
      </c>
    </row>
    <row r="1013" customFormat="false" ht="15" hidden="false" customHeight="false" outlineLevel="0" collapsed="false">
      <c r="A1013" s="216"/>
      <c r="B1013" s="972" t="s">
        <v>4128</v>
      </c>
      <c r="C1013" s="1160"/>
      <c r="D1013" s="391"/>
      <c r="E1013" s="317"/>
      <c r="F1013" s="714"/>
      <c r="G1013" s="1414"/>
      <c r="H1013" s="547"/>
      <c r="I1013" s="547"/>
      <c r="J1013" s="547"/>
      <c r="K1013" s="1365" t="n">
        <f aca="false">J1013/1792.8</f>
        <v>0</v>
      </c>
      <c r="L1013" s="714"/>
      <c r="M1013" s="934" t="n">
        <f aca="false">M1008+M1009+M1010+M1011+M1012</f>
        <v>328.294195299717</v>
      </c>
    </row>
    <row r="1014" customFormat="false" ht="15" hidden="false" customHeight="false" outlineLevel="0" collapsed="false">
      <c r="A1014" s="216" t="s">
        <v>684</v>
      </c>
      <c r="B1014" s="29" t="s">
        <v>3102</v>
      </c>
      <c r="C1014" s="1161" t="s">
        <v>4568</v>
      </c>
      <c r="D1014" s="912" t="n">
        <v>2007</v>
      </c>
      <c r="E1014" s="317" t="n">
        <f aca="false">2021-D1014</f>
        <v>14</v>
      </c>
      <c r="F1014" s="873" t="n">
        <v>5635700</v>
      </c>
      <c r="G1014" s="1413" t="n">
        <v>0.1</v>
      </c>
      <c r="H1014" s="547" t="n">
        <f aca="false">E1014*F1014*G1014</f>
        <v>7889980</v>
      </c>
      <c r="I1014" s="547" t="n">
        <f aca="false">F1014-H1014</f>
        <v>-2254280</v>
      </c>
      <c r="J1014" s="547" t="n">
        <f aca="false">F1014*G1014</f>
        <v>563570</v>
      </c>
      <c r="K1014" s="1365" t="n">
        <f aca="false">J1014/1792.8</f>
        <v>314.351851851852</v>
      </c>
      <c r="L1014" s="547" t="n">
        <v>55</v>
      </c>
      <c r="M1014" s="819" t="n">
        <f aca="false">K1014*L1014/60</f>
        <v>288.155864197531</v>
      </c>
    </row>
    <row r="1015" customFormat="false" ht="15" hidden="false" customHeight="false" outlineLevel="0" collapsed="false">
      <c r="A1015" s="216"/>
      <c r="B1015" s="78"/>
      <c r="C1015" s="1161" t="s">
        <v>6975</v>
      </c>
      <c r="D1015" s="912" t="n">
        <v>2006</v>
      </c>
      <c r="E1015" s="317" t="n">
        <f aca="false">2021-D1015</f>
        <v>15</v>
      </c>
      <c r="F1015" s="547" t="n">
        <v>147200</v>
      </c>
      <c r="G1015" s="1413" t="n">
        <v>0.1</v>
      </c>
      <c r="H1015" s="547" t="n">
        <f aca="false">E1015*F1015*G1015</f>
        <v>220800</v>
      </c>
      <c r="I1015" s="547" t="n">
        <f aca="false">F1015-H1015</f>
        <v>-73600</v>
      </c>
      <c r="J1015" s="547" t="n">
        <f aca="false">F1015*G1015</f>
        <v>14720</v>
      </c>
      <c r="K1015" s="1365" t="n">
        <f aca="false">J1015/1792.8</f>
        <v>8.21062025881303</v>
      </c>
      <c r="L1015" s="547" t="n">
        <v>30</v>
      </c>
      <c r="M1015" s="819" t="n">
        <f aca="false">K1015*L1015/60</f>
        <v>4.10531012940652</v>
      </c>
    </row>
    <row r="1016" customFormat="false" ht="15" hidden="false" customHeight="false" outlineLevel="0" collapsed="false">
      <c r="A1016" s="216"/>
      <c r="B1016" s="78"/>
      <c r="C1016" s="1161" t="s">
        <v>6979</v>
      </c>
      <c r="D1016" s="912" t="n">
        <v>2005</v>
      </c>
      <c r="E1016" s="317" t="n">
        <f aca="false">2021-D1016</f>
        <v>16</v>
      </c>
      <c r="F1016" s="547" t="n">
        <v>1400000</v>
      </c>
      <c r="G1016" s="1413" t="n">
        <v>0.1</v>
      </c>
      <c r="H1016" s="547" t="n">
        <f aca="false">E1016*F1016*G1016</f>
        <v>2240000</v>
      </c>
      <c r="I1016" s="547" t="n">
        <f aca="false">F1016-H1016</f>
        <v>-840000</v>
      </c>
      <c r="J1016" s="547" t="n">
        <f aca="false">F1016*G1016</f>
        <v>140000</v>
      </c>
      <c r="K1016" s="1365" t="n">
        <f aca="false">J1016/1792.8</f>
        <v>78.0901383311022</v>
      </c>
      <c r="L1016" s="547" t="n">
        <v>20</v>
      </c>
      <c r="M1016" s="819" t="n">
        <f aca="false">K1016*L1016/60</f>
        <v>26.0300461103674</v>
      </c>
    </row>
    <row r="1017" customFormat="false" ht="15" hidden="false" customHeight="false" outlineLevel="0" collapsed="false">
      <c r="A1017" s="216"/>
      <c r="B1017" s="78"/>
      <c r="C1017" s="1161" t="s">
        <v>6934</v>
      </c>
      <c r="D1017" s="912" t="n">
        <v>2007</v>
      </c>
      <c r="E1017" s="317" t="n">
        <f aca="false">2021-D1017</f>
        <v>14</v>
      </c>
      <c r="F1017" s="873" t="n">
        <v>491000</v>
      </c>
      <c r="G1017" s="1413" t="n">
        <v>0.1</v>
      </c>
      <c r="H1017" s="547" t="n">
        <f aca="false">E1017*F1017*G1017</f>
        <v>687400</v>
      </c>
      <c r="I1017" s="547" t="n">
        <f aca="false">F1017-H1017</f>
        <v>-196400</v>
      </c>
      <c r="J1017" s="547" t="n">
        <f aca="false">F1017*G1017</f>
        <v>49100</v>
      </c>
      <c r="K1017" s="1365" t="n">
        <f aca="false">J1017/1792.8</f>
        <v>27.3873270861223</v>
      </c>
      <c r="L1017" s="547" t="n">
        <v>10</v>
      </c>
      <c r="M1017" s="819" t="n">
        <f aca="false">K1017*L1017/60</f>
        <v>4.56455451435371</v>
      </c>
    </row>
    <row r="1018" customFormat="false" ht="15" hidden="false" customHeight="false" outlineLevel="0" collapsed="false">
      <c r="A1018" s="216"/>
      <c r="B1018" s="78"/>
      <c r="C1018" s="1161" t="s">
        <v>6999</v>
      </c>
      <c r="D1018" s="912" t="n">
        <v>2007</v>
      </c>
      <c r="E1018" s="317" t="n">
        <f aca="false">2021-D1018</f>
        <v>14</v>
      </c>
      <c r="F1018" s="873" t="n">
        <v>450000</v>
      </c>
      <c r="G1018" s="1413" t="n">
        <v>0.1</v>
      </c>
      <c r="H1018" s="547" t="n">
        <f aca="false">E1018*F1018*G1018</f>
        <v>630000</v>
      </c>
      <c r="I1018" s="547" t="n">
        <f aca="false">F1018-H1018</f>
        <v>-180000</v>
      </c>
      <c r="J1018" s="547" t="n">
        <f aca="false">F1018*G1018</f>
        <v>45000</v>
      </c>
      <c r="K1018" s="1365" t="n">
        <f aca="false">J1018/1792.8</f>
        <v>25.1004016064257</v>
      </c>
      <c r="L1018" s="547" t="n">
        <v>13</v>
      </c>
      <c r="M1018" s="819" t="n">
        <f aca="false">K1018*L1018/60</f>
        <v>5.4384203480589</v>
      </c>
    </row>
    <row r="1019" customFormat="false" ht="15" hidden="false" customHeight="false" outlineLevel="0" collapsed="false">
      <c r="A1019" s="216"/>
      <c r="B1019" s="972" t="s">
        <v>4128</v>
      </c>
      <c r="C1019" s="1160"/>
      <c r="D1019" s="391"/>
      <c r="E1019" s="317"/>
      <c r="F1019" s="714"/>
      <c r="G1019" s="1414"/>
      <c r="H1019" s="547"/>
      <c r="I1019" s="547"/>
      <c r="J1019" s="547"/>
      <c r="K1019" s="1365" t="n">
        <f aca="false">J1019/1792.8</f>
        <v>0</v>
      </c>
      <c r="L1019" s="714"/>
      <c r="M1019" s="934" t="n">
        <f aca="false">M1014+M1015+M1016+M1017+M1018</f>
        <v>328.294195299717</v>
      </c>
    </row>
    <row r="1020" customFormat="false" ht="15" hidden="false" customHeight="false" outlineLevel="0" collapsed="false">
      <c r="A1020" s="216" t="s">
        <v>685</v>
      </c>
      <c r="B1020" s="29" t="s">
        <v>3148</v>
      </c>
      <c r="C1020" s="1161" t="s">
        <v>6974</v>
      </c>
      <c r="D1020" s="912" t="n">
        <v>2006</v>
      </c>
      <c r="E1020" s="317" t="n">
        <f aca="false">2021-D1020</f>
        <v>15</v>
      </c>
      <c r="F1020" s="547" t="n">
        <v>526970</v>
      </c>
      <c r="G1020" s="1413" t="n">
        <v>0.1</v>
      </c>
      <c r="H1020" s="547" t="n">
        <f aca="false">E1020*F1020*G1020</f>
        <v>790455</v>
      </c>
      <c r="I1020" s="547" t="n">
        <f aca="false">F1020-H1020</f>
        <v>-263485</v>
      </c>
      <c r="J1020" s="547" t="n">
        <f aca="false">F1020*G1020</f>
        <v>52697</v>
      </c>
      <c r="K1020" s="1365" t="n">
        <f aca="false">J1020/1792.8</f>
        <v>29.3936858545292</v>
      </c>
      <c r="L1020" s="547" t="n">
        <v>15</v>
      </c>
      <c r="M1020" s="819" t="n">
        <f aca="false">K1020*L1020/60</f>
        <v>7.34842146363231</v>
      </c>
    </row>
    <row r="1021" customFormat="false" ht="15" hidden="false" customHeight="false" outlineLevel="0" collapsed="false">
      <c r="A1021" s="216"/>
      <c r="B1021" s="78"/>
      <c r="C1021" s="1161" t="s">
        <v>4568</v>
      </c>
      <c r="D1021" s="912" t="n">
        <v>2007</v>
      </c>
      <c r="E1021" s="317" t="n">
        <f aca="false">2021-D1021</f>
        <v>14</v>
      </c>
      <c r="F1021" s="873" t="n">
        <v>5635700</v>
      </c>
      <c r="G1021" s="1413" t="n">
        <v>0.1</v>
      </c>
      <c r="H1021" s="547" t="n">
        <f aca="false">E1021*F1021*G1021</f>
        <v>7889980</v>
      </c>
      <c r="I1021" s="547" t="n">
        <f aca="false">F1021-H1021</f>
        <v>-2254280</v>
      </c>
      <c r="J1021" s="547" t="n">
        <f aca="false">F1021*G1021</f>
        <v>563570</v>
      </c>
      <c r="K1021" s="1365" t="n">
        <f aca="false">J1021/1792.8</f>
        <v>314.351851851852</v>
      </c>
      <c r="L1021" s="547" t="n">
        <v>40</v>
      </c>
      <c r="M1021" s="819" t="n">
        <f aca="false">K1021*L1021/60</f>
        <v>209.567901234568</v>
      </c>
    </row>
    <row r="1022" customFormat="false" ht="15" hidden="false" customHeight="false" outlineLevel="0" collapsed="false">
      <c r="A1022" s="216"/>
      <c r="B1022" s="78"/>
      <c r="C1022" s="1161" t="s">
        <v>6975</v>
      </c>
      <c r="D1022" s="912" t="n">
        <v>2006</v>
      </c>
      <c r="E1022" s="317" t="n">
        <f aca="false">2021-D1022</f>
        <v>15</v>
      </c>
      <c r="F1022" s="547" t="n">
        <v>147200</v>
      </c>
      <c r="G1022" s="1413" t="n">
        <v>0.1</v>
      </c>
      <c r="H1022" s="547" t="n">
        <f aca="false">E1022*F1022*G1022</f>
        <v>220800</v>
      </c>
      <c r="I1022" s="547" t="n">
        <f aca="false">F1022-H1022</f>
        <v>-73600</v>
      </c>
      <c r="J1022" s="547" t="n">
        <f aca="false">F1022*G1022</f>
        <v>14720</v>
      </c>
      <c r="K1022" s="1365" t="n">
        <f aca="false">J1022/1792.8</f>
        <v>8.21062025881303</v>
      </c>
      <c r="L1022" s="547" t="n">
        <v>20</v>
      </c>
      <c r="M1022" s="819" t="n">
        <f aca="false">K1022*L1022/60</f>
        <v>2.73687341960434</v>
      </c>
    </row>
    <row r="1023" customFormat="false" ht="15" hidden="false" customHeight="false" outlineLevel="0" collapsed="false">
      <c r="A1023" s="216"/>
      <c r="B1023" s="78"/>
      <c r="C1023" s="1161" t="s">
        <v>6979</v>
      </c>
      <c r="D1023" s="912" t="n">
        <v>2005</v>
      </c>
      <c r="E1023" s="317" t="n">
        <f aca="false">2021-D1023</f>
        <v>16</v>
      </c>
      <c r="F1023" s="547" t="n">
        <v>1400000</v>
      </c>
      <c r="G1023" s="1413" t="n">
        <v>0.1</v>
      </c>
      <c r="H1023" s="547" t="n">
        <f aca="false">E1023*F1023*G1023</f>
        <v>2240000</v>
      </c>
      <c r="I1023" s="547" t="n">
        <f aca="false">F1023-H1023</f>
        <v>-840000</v>
      </c>
      <c r="J1023" s="547" t="n">
        <f aca="false">F1023*G1023</f>
        <v>140000</v>
      </c>
      <c r="K1023" s="1365" t="n">
        <f aca="false">J1023/1792.8</f>
        <v>78.0901383311022</v>
      </c>
      <c r="L1023" s="547" t="n">
        <v>20</v>
      </c>
      <c r="M1023" s="819" t="n">
        <f aca="false">K1023*L1023/60</f>
        <v>26.0300461103674</v>
      </c>
    </row>
    <row r="1024" customFormat="false" ht="15" hidden="false" customHeight="false" outlineLevel="0" collapsed="false">
      <c r="A1024" s="216"/>
      <c r="B1024" s="78"/>
      <c r="C1024" s="1161" t="s">
        <v>6934</v>
      </c>
      <c r="D1024" s="912" t="n">
        <v>2007</v>
      </c>
      <c r="E1024" s="317" t="n">
        <f aca="false">2021-D1024</f>
        <v>14</v>
      </c>
      <c r="F1024" s="873" t="n">
        <v>491000</v>
      </c>
      <c r="G1024" s="1413" t="n">
        <v>0.1</v>
      </c>
      <c r="H1024" s="547" t="n">
        <f aca="false">E1024*F1024*G1024</f>
        <v>687400</v>
      </c>
      <c r="I1024" s="547" t="n">
        <f aca="false">F1024-H1024</f>
        <v>-196400</v>
      </c>
      <c r="J1024" s="547" t="n">
        <f aca="false">F1024*G1024</f>
        <v>49100</v>
      </c>
      <c r="K1024" s="1365" t="n">
        <f aca="false">J1024/1792.8</f>
        <v>27.3873270861223</v>
      </c>
      <c r="L1024" s="547" t="n">
        <v>10</v>
      </c>
      <c r="M1024" s="819" t="n">
        <f aca="false">K1024*L1024/60</f>
        <v>4.56455451435371</v>
      </c>
    </row>
    <row r="1025" customFormat="false" ht="15" hidden="false" customHeight="false" outlineLevel="0" collapsed="false">
      <c r="A1025" s="216"/>
      <c r="B1025" s="78"/>
      <c r="C1025" s="1161" t="s">
        <v>6943</v>
      </c>
      <c r="D1025" s="912" t="n">
        <v>2006</v>
      </c>
      <c r="E1025" s="317" t="n">
        <f aca="false">2021-D1025</f>
        <v>15</v>
      </c>
      <c r="F1025" s="547" t="n">
        <v>1503927</v>
      </c>
      <c r="G1025" s="1413" t="n">
        <v>0.1</v>
      </c>
      <c r="H1025" s="547" t="n">
        <f aca="false">E1025*F1025*G1025</f>
        <v>2255890.5</v>
      </c>
      <c r="I1025" s="547" t="n">
        <f aca="false">F1025-H1025</f>
        <v>-751963.5</v>
      </c>
      <c r="J1025" s="547" t="n">
        <f aca="false">F1025*G1025</f>
        <v>150392.7</v>
      </c>
      <c r="K1025" s="1365" t="n">
        <f aca="false">J1025/1792.8</f>
        <v>83.8870481927711</v>
      </c>
      <c r="L1025" s="547" t="n">
        <v>20</v>
      </c>
      <c r="M1025" s="819" t="n">
        <f aca="false">K1025*L1025/60</f>
        <v>27.9623493975904</v>
      </c>
    </row>
    <row r="1026" customFormat="false" ht="15" hidden="false" customHeight="false" outlineLevel="0" collapsed="false">
      <c r="A1026" s="216"/>
      <c r="B1026" s="78"/>
      <c r="C1026" s="1161" t="s">
        <v>6999</v>
      </c>
      <c r="D1026" s="912" t="n">
        <v>2007</v>
      </c>
      <c r="E1026" s="317" t="n">
        <f aca="false">2021-D1026</f>
        <v>14</v>
      </c>
      <c r="F1026" s="873" t="n">
        <v>450000</v>
      </c>
      <c r="G1026" s="1413" t="n">
        <v>0.1</v>
      </c>
      <c r="H1026" s="547" t="n">
        <f aca="false">E1026*F1026*G1026</f>
        <v>630000</v>
      </c>
      <c r="I1026" s="547" t="n">
        <f aca="false">F1026-H1026</f>
        <v>-180000</v>
      </c>
      <c r="J1026" s="547" t="n">
        <f aca="false">F1026*G1026</f>
        <v>45000</v>
      </c>
      <c r="K1026" s="1365" t="n">
        <f aca="false">J1026/1792.8</f>
        <v>25.1004016064257</v>
      </c>
      <c r="L1026" s="547" t="n">
        <v>13</v>
      </c>
      <c r="M1026" s="819" t="n">
        <f aca="false">K1026*L1026/60</f>
        <v>5.4384203480589</v>
      </c>
    </row>
    <row r="1027" customFormat="false" ht="15" hidden="false" customHeight="false" outlineLevel="0" collapsed="false">
      <c r="A1027" s="216"/>
      <c r="B1027" s="972" t="s">
        <v>4128</v>
      </c>
      <c r="C1027" s="1160"/>
      <c r="D1027" s="391"/>
      <c r="E1027" s="317"/>
      <c r="F1027" s="714"/>
      <c r="G1027" s="1414"/>
      <c r="H1027" s="547"/>
      <c r="I1027" s="547"/>
      <c r="J1027" s="547"/>
      <c r="K1027" s="1365" t="n">
        <f aca="false">J1027/1792.8</f>
        <v>0</v>
      </c>
      <c r="L1027" s="714"/>
      <c r="M1027" s="934" t="n">
        <f aca="false">M1020+M1021+M1022+M1023+M1024+M1025+M1026</f>
        <v>283.648566488175</v>
      </c>
    </row>
    <row r="1028" customFormat="false" ht="15" hidden="false" customHeight="false" outlineLevel="0" collapsed="false">
      <c r="A1028" s="216" t="s">
        <v>686</v>
      </c>
      <c r="B1028" s="29" t="s">
        <v>3149</v>
      </c>
      <c r="C1028" s="1161" t="s">
        <v>6974</v>
      </c>
      <c r="D1028" s="912" t="n">
        <v>2006</v>
      </c>
      <c r="E1028" s="317" t="n">
        <f aca="false">2021-D1028</f>
        <v>15</v>
      </c>
      <c r="F1028" s="547" t="n">
        <v>526970</v>
      </c>
      <c r="G1028" s="1413" t="n">
        <v>0.1</v>
      </c>
      <c r="H1028" s="547" t="n">
        <f aca="false">E1028*F1028*G1028</f>
        <v>790455</v>
      </c>
      <c r="I1028" s="547" t="n">
        <f aca="false">F1028-H1028</f>
        <v>-263485</v>
      </c>
      <c r="J1028" s="547" t="n">
        <f aca="false">F1028*G1028</f>
        <v>52697</v>
      </c>
      <c r="K1028" s="1365" t="n">
        <f aca="false">J1028/1792.8</f>
        <v>29.3936858545292</v>
      </c>
      <c r="L1028" s="547" t="n">
        <v>15</v>
      </c>
      <c r="M1028" s="819" t="n">
        <f aca="false">K1028*L1028/60</f>
        <v>7.34842146363231</v>
      </c>
    </row>
    <row r="1029" customFormat="false" ht="15" hidden="false" customHeight="false" outlineLevel="0" collapsed="false">
      <c r="A1029" s="216"/>
      <c r="B1029" s="78"/>
      <c r="C1029" s="1161" t="s">
        <v>4568</v>
      </c>
      <c r="D1029" s="912" t="n">
        <v>2007</v>
      </c>
      <c r="E1029" s="317" t="n">
        <f aca="false">2021-D1029</f>
        <v>14</v>
      </c>
      <c r="F1029" s="873" t="n">
        <v>5635700</v>
      </c>
      <c r="G1029" s="1413" t="n">
        <v>0.1</v>
      </c>
      <c r="H1029" s="547" t="n">
        <f aca="false">E1029*F1029*G1029</f>
        <v>7889980</v>
      </c>
      <c r="I1029" s="547" t="n">
        <f aca="false">F1029-H1029</f>
        <v>-2254280</v>
      </c>
      <c r="J1029" s="547" t="n">
        <f aca="false">F1029*G1029</f>
        <v>563570</v>
      </c>
      <c r="K1029" s="1365" t="n">
        <f aca="false">J1029/1792.8</f>
        <v>314.351851851852</v>
      </c>
      <c r="L1029" s="547" t="n">
        <v>50</v>
      </c>
      <c r="M1029" s="819" t="n">
        <f aca="false">K1029*L1029/60</f>
        <v>261.95987654321</v>
      </c>
    </row>
    <row r="1030" customFormat="false" ht="15" hidden="false" customHeight="false" outlineLevel="0" collapsed="false">
      <c r="A1030" s="216"/>
      <c r="B1030" s="78"/>
      <c r="C1030" s="1161" t="s">
        <v>6934</v>
      </c>
      <c r="D1030" s="912" t="n">
        <v>2007</v>
      </c>
      <c r="E1030" s="317" t="n">
        <f aca="false">2021-D1030</f>
        <v>14</v>
      </c>
      <c r="F1030" s="873" t="n">
        <v>491000</v>
      </c>
      <c r="G1030" s="1413" t="n">
        <v>0.1</v>
      </c>
      <c r="H1030" s="547" t="n">
        <f aca="false">E1030*F1030*G1030</f>
        <v>687400</v>
      </c>
      <c r="I1030" s="547" t="n">
        <f aca="false">F1030-H1030</f>
        <v>-196400</v>
      </c>
      <c r="J1030" s="547" t="n">
        <f aca="false">F1030*G1030</f>
        <v>49100</v>
      </c>
      <c r="K1030" s="1365" t="n">
        <f aca="false">J1030/1792.8</f>
        <v>27.3873270861223</v>
      </c>
      <c r="L1030" s="547" t="n">
        <v>10</v>
      </c>
      <c r="M1030" s="819" t="n">
        <f aca="false">K1030*L1030/60</f>
        <v>4.56455451435371</v>
      </c>
    </row>
    <row r="1031" customFormat="false" ht="15" hidden="false" customHeight="false" outlineLevel="0" collapsed="false">
      <c r="A1031" s="216"/>
      <c r="B1031" s="78"/>
      <c r="C1031" s="1161" t="s">
        <v>6999</v>
      </c>
      <c r="D1031" s="912" t="n">
        <v>2007</v>
      </c>
      <c r="E1031" s="317" t="n">
        <f aca="false">2021-D1031</f>
        <v>14</v>
      </c>
      <c r="F1031" s="873" t="n">
        <v>450000</v>
      </c>
      <c r="G1031" s="1413" t="n">
        <v>0.1</v>
      </c>
      <c r="H1031" s="547" t="n">
        <f aca="false">E1031*F1031*G1031</f>
        <v>630000</v>
      </c>
      <c r="I1031" s="547" t="n">
        <f aca="false">F1031-H1031</f>
        <v>-180000</v>
      </c>
      <c r="J1031" s="547" t="n">
        <f aca="false">F1031*G1031</f>
        <v>45000</v>
      </c>
      <c r="K1031" s="1365" t="n">
        <f aca="false">J1031/1792.8</f>
        <v>25.1004016064257</v>
      </c>
      <c r="L1031" s="547" t="n">
        <v>13</v>
      </c>
      <c r="M1031" s="819" t="n">
        <f aca="false">K1031*L1031/60</f>
        <v>5.4384203480589</v>
      </c>
    </row>
    <row r="1032" customFormat="false" ht="15" hidden="false" customHeight="false" outlineLevel="0" collapsed="false">
      <c r="A1032" s="216"/>
      <c r="B1032" s="972" t="s">
        <v>4128</v>
      </c>
      <c r="C1032" s="1160"/>
      <c r="D1032" s="391"/>
      <c r="E1032" s="317"/>
      <c r="F1032" s="714"/>
      <c r="G1032" s="1414"/>
      <c r="H1032" s="547"/>
      <c r="I1032" s="547"/>
      <c r="J1032" s="547"/>
      <c r="K1032" s="1365" t="n">
        <f aca="false">J1032/1792.8</f>
        <v>0</v>
      </c>
      <c r="L1032" s="714"/>
      <c r="M1032" s="934" t="n">
        <f aca="false">M1028+M1029+M1030+M1031</f>
        <v>279.311272869255</v>
      </c>
    </row>
    <row r="1033" customFormat="false" ht="30" hidden="false" customHeight="false" outlineLevel="0" collapsed="false">
      <c r="A1033" s="216" t="s">
        <v>4856</v>
      </c>
      <c r="B1033" s="29" t="s">
        <v>3164</v>
      </c>
      <c r="C1033" s="1161" t="s">
        <v>4568</v>
      </c>
      <c r="D1033" s="912" t="n">
        <v>2007</v>
      </c>
      <c r="E1033" s="317" t="n">
        <f aca="false">2021-D1033</f>
        <v>14</v>
      </c>
      <c r="F1033" s="873" t="n">
        <v>5635700</v>
      </c>
      <c r="G1033" s="1413" t="n">
        <v>0.1</v>
      </c>
      <c r="H1033" s="547" t="n">
        <f aca="false">E1033*F1033*G1033</f>
        <v>7889980</v>
      </c>
      <c r="I1033" s="547" t="n">
        <f aca="false">F1033-H1033</f>
        <v>-2254280</v>
      </c>
      <c r="J1033" s="547" t="n">
        <f aca="false">F1033*G1033</f>
        <v>563570</v>
      </c>
      <c r="K1033" s="1365" t="n">
        <f aca="false">J1033/1792.8</f>
        <v>314.351851851852</v>
      </c>
      <c r="L1033" s="547" t="n">
        <v>30</v>
      </c>
      <c r="M1033" s="819" t="n">
        <f aca="false">K1033*L1033/60</f>
        <v>157.175925925926</v>
      </c>
    </row>
    <row r="1034" customFormat="false" ht="15" hidden="false" customHeight="false" outlineLevel="0" collapsed="false">
      <c r="A1034" s="216"/>
      <c r="B1034" s="78"/>
      <c r="C1034" s="1161" t="s">
        <v>6975</v>
      </c>
      <c r="D1034" s="912" t="n">
        <v>2006</v>
      </c>
      <c r="E1034" s="317" t="n">
        <f aca="false">2021-D1034</f>
        <v>15</v>
      </c>
      <c r="F1034" s="547" t="n">
        <v>147200</v>
      </c>
      <c r="G1034" s="1413" t="n">
        <v>0.1</v>
      </c>
      <c r="H1034" s="547" t="n">
        <f aca="false">E1034*F1034*G1034</f>
        <v>220800</v>
      </c>
      <c r="I1034" s="547" t="n">
        <f aca="false">F1034-H1034</f>
        <v>-73600</v>
      </c>
      <c r="J1034" s="547" t="n">
        <f aca="false">F1034*G1034</f>
        <v>14720</v>
      </c>
      <c r="K1034" s="1365" t="n">
        <f aca="false">J1034/1792.8</f>
        <v>8.21062025881303</v>
      </c>
      <c r="L1034" s="547" t="n">
        <v>30</v>
      </c>
      <c r="M1034" s="819" t="n">
        <f aca="false">K1034*L1034/60</f>
        <v>4.10531012940652</v>
      </c>
    </row>
    <row r="1035" customFormat="false" ht="15" hidden="false" customHeight="false" outlineLevel="0" collapsed="false">
      <c r="A1035" s="216"/>
      <c r="B1035" s="78"/>
      <c r="C1035" s="1161" t="s">
        <v>6979</v>
      </c>
      <c r="D1035" s="912" t="n">
        <v>2005</v>
      </c>
      <c r="E1035" s="317" t="n">
        <f aca="false">2021-D1035</f>
        <v>16</v>
      </c>
      <c r="F1035" s="547" t="n">
        <v>1400000</v>
      </c>
      <c r="G1035" s="1413" t="n">
        <v>0.1</v>
      </c>
      <c r="H1035" s="547" t="n">
        <f aca="false">E1035*F1035*G1035</f>
        <v>2240000</v>
      </c>
      <c r="I1035" s="547" t="n">
        <f aca="false">F1035-H1035</f>
        <v>-840000</v>
      </c>
      <c r="J1035" s="547" t="n">
        <f aca="false">F1035*G1035</f>
        <v>140000</v>
      </c>
      <c r="K1035" s="1365" t="n">
        <f aca="false">J1035/1792.8</f>
        <v>78.0901383311022</v>
      </c>
      <c r="L1035" s="547" t="n">
        <v>30</v>
      </c>
      <c r="M1035" s="819" t="n">
        <f aca="false">K1035*L1035/60</f>
        <v>39.0450691655511</v>
      </c>
    </row>
    <row r="1036" customFormat="false" ht="15" hidden="false" customHeight="false" outlineLevel="0" collapsed="false">
      <c r="A1036" s="216"/>
      <c r="B1036" s="78"/>
      <c r="C1036" s="1161" t="s">
        <v>6934</v>
      </c>
      <c r="D1036" s="912" t="n">
        <v>2007</v>
      </c>
      <c r="E1036" s="317" t="n">
        <f aca="false">2021-D1036</f>
        <v>14</v>
      </c>
      <c r="F1036" s="873" t="n">
        <v>491000</v>
      </c>
      <c r="G1036" s="1413" t="n">
        <v>0.1</v>
      </c>
      <c r="H1036" s="547" t="n">
        <f aca="false">E1036*F1036*G1036</f>
        <v>687400</v>
      </c>
      <c r="I1036" s="547" t="n">
        <f aca="false">F1036-H1036</f>
        <v>-196400</v>
      </c>
      <c r="J1036" s="547" t="n">
        <f aca="false">F1036*G1036</f>
        <v>49100</v>
      </c>
      <c r="K1036" s="1365" t="n">
        <f aca="false">J1036/1792.8</f>
        <v>27.3873270861223</v>
      </c>
      <c r="L1036" s="547" t="n">
        <v>10</v>
      </c>
      <c r="M1036" s="819" t="n">
        <f aca="false">K1036*L1036/60</f>
        <v>4.56455451435371</v>
      </c>
    </row>
    <row r="1037" customFormat="false" ht="15" hidden="false" customHeight="false" outlineLevel="0" collapsed="false">
      <c r="A1037" s="216"/>
      <c r="B1037" s="78"/>
      <c r="C1037" s="1161" t="s">
        <v>6999</v>
      </c>
      <c r="D1037" s="912" t="n">
        <v>2007</v>
      </c>
      <c r="E1037" s="317" t="n">
        <f aca="false">2021-D1037</f>
        <v>14</v>
      </c>
      <c r="F1037" s="873" t="n">
        <v>450000</v>
      </c>
      <c r="G1037" s="1413" t="n">
        <v>0.1</v>
      </c>
      <c r="H1037" s="547" t="n">
        <f aca="false">E1037*F1037*G1037</f>
        <v>630000</v>
      </c>
      <c r="I1037" s="547" t="n">
        <f aca="false">F1037-H1037</f>
        <v>-180000</v>
      </c>
      <c r="J1037" s="547" t="n">
        <f aca="false">F1037*G1037</f>
        <v>45000</v>
      </c>
      <c r="K1037" s="1365" t="n">
        <f aca="false">J1037/1792.8</f>
        <v>25.1004016064257</v>
      </c>
      <c r="L1037" s="547" t="n">
        <v>13</v>
      </c>
      <c r="M1037" s="819" t="n">
        <f aca="false">K1037*L1037/60</f>
        <v>5.4384203480589</v>
      </c>
    </row>
    <row r="1038" customFormat="false" ht="15" hidden="false" customHeight="false" outlineLevel="0" collapsed="false">
      <c r="A1038" s="216"/>
      <c r="B1038" s="972" t="s">
        <v>4128</v>
      </c>
      <c r="C1038" s="1160"/>
      <c r="D1038" s="391"/>
      <c r="E1038" s="317"/>
      <c r="F1038" s="714"/>
      <c r="G1038" s="1414"/>
      <c r="H1038" s="547"/>
      <c r="I1038" s="547"/>
      <c r="J1038" s="547"/>
      <c r="K1038" s="1365" t="n">
        <f aca="false">J1038/1792.8</f>
        <v>0</v>
      </c>
      <c r="L1038" s="714"/>
      <c r="M1038" s="934" t="n">
        <f aca="false">M1033+M1034+M1035+M1036+M1037</f>
        <v>210.329280083296</v>
      </c>
    </row>
    <row r="1039" customFormat="false" ht="15" hidden="false" customHeight="false" outlineLevel="0" collapsed="false">
      <c r="A1039" s="216" t="s">
        <v>689</v>
      </c>
      <c r="B1039" s="29" t="s">
        <v>3165</v>
      </c>
      <c r="C1039" s="1161" t="s">
        <v>7002</v>
      </c>
      <c r="D1039" s="912" t="n">
        <v>2003</v>
      </c>
      <c r="E1039" s="317" t="n">
        <f aca="false">2021-D1039</f>
        <v>18</v>
      </c>
      <c r="F1039" s="547" t="n">
        <v>1000000</v>
      </c>
      <c r="G1039" s="1413" t="n">
        <v>0.1</v>
      </c>
      <c r="H1039" s="547" t="n">
        <f aca="false">E1039*F1039*G1039</f>
        <v>1800000</v>
      </c>
      <c r="I1039" s="547" t="n">
        <f aca="false">F1039-H1039</f>
        <v>-800000</v>
      </c>
      <c r="J1039" s="547" t="n">
        <f aca="false">F1039*G1039</f>
        <v>100000</v>
      </c>
      <c r="K1039" s="1365" t="n">
        <f aca="false">J1039/1792.8</f>
        <v>55.7786702365016</v>
      </c>
      <c r="L1039" s="547" t="n">
        <v>20</v>
      </c>
      <c r="M1039" s="819" t="n">
        <f aca="false">K1039*L1039/60</f>
        <v>18.5928900788339</v>
      </c>
    </row>
    <row r="1040" customFormat="false" ht="15" hidden="false" customHeight="false" outlineLevel="0" collapsed="false">
      <c r="A1040" s="216"/>
      <c r="B1040" s="78"/>
      <c r="C1040" s="1161" t="s">
        <v>6934</v>
      </c>
      <c r="D1040" s="912" t="n">
        <v>2007</v>
      </c>
      <c r="E1040" s="317" t="n">
        <f aca="false">2021-D1040</f>
        <v>14</v>
      </c>
      <c r="F1040" s="873" t="n">
        <v>491000</v>
      </c>
      <c r="G1040" s="1413" t="n">
        <v>0.1</v>
      </c>
      <c r="H1040" s="547" t="n">
        <f aca="false">E1040*F1040*G1040</f>
        <v>687400</v>
      </c>
      <c r="I1040" s="547" t="n">
        <f aca="false">F1040-H1040</f>
        <v>-196400</v>
      </c>
      <c r="J1040" s="547" t="n">
        <f aca="false">F1040*G1040</f>
        <v>49100</v>
      </c>
      <c r="K1040" s="1365" t="n">
        <f aca="false">J1040/1792.8</f>
        <v>27.3873270861223</v>
      </c>
      <c r="L1040" s="547" t="n">
        <v>10</v>
      </c>
      <c r="M1040" s="819" t="n">
        <f aca="false">K1040*L1040/60</f>
        <v>4.56455451435371</v>
      </c>
    </row>
    <row r="1041" customFormat="false" ht="15" hidden="false" customHeight="false" outlineLevel="0" collapsed="false">
      <c r="A1041" s="216"/>
      <c r="B1041" s="78"/>
      <c r="C1041" s="1161" t="s">
        <v>6997</v>
      </c>
      <c r="D1041" s="912" t="n">
        <v>2009</v>
      </c>
      <c r="E1041" s="317" t="n">
        <f aca="false">2021-D1041</f>
        <v>12</v>
      </c>
      <c r="F1041" s="547" t="n">
        <v>181000</v>
      </c>
      <c r="G1041" s="1413" t="n">
        <v>0.1</v>
      </c>
      <c r="H1041" s="547" t="n">
        <f aca="false">E1041*F1041*G1041</f>
        <v>217200</v>
      </c>
      <c r="I1041" s="547" t="n">
        <f aca="false">F1041-H1041</f>
        <v>-36200</v>
      </c>
      <c r="J1041" s="547" t="n">
        <f aca="false">F1041*G1041</f>
        <v>18100</v>
      </c>
      <c r="K1041" s="1365" t="n">
        <f aca="false">J1041/1792.8</f>
        <v>10.0959393128068</v>
      </c>
      <c r="L1041" s="547" t="n">
        <v>10</v>
      </c>
      <c r="M1041" s="819" t="n">
        <f aca="false">K1041*L1041/60</f>
        <v>1.68265655213446</v>
      </c>
    </row>
    <row r="1042" customFormat="false" ht="15" hidden="false" customHeight="false" outlineLevel="0" collapsed="false">
      <c r="A1042" s="216"/>
      <c r="B1042" s="972" t="s">
        <v>4128</v>
      </c>
      <c r="C1042" s="1160"/>
      <c r="D1042" s="391"/>
      <c r="E1042" s="317"/>
      <c r="F1042" s="714"/>
      <c r="G1042" s="1414"/>
      <c r="H1042" s="547"/>
      <c r="I1042" s="547"/>
      <c r="J1042" s="547"/>
      <c r="K1042" s="1365" t="n">
        <f aca="false">J1042/1792.8</f>
        <v>0</v>
      </c>
      <c r="L1042" s="714"/>
      <c r="M1042" s="934" t="n">
        <f aca="false">M1039+M1040+M1041</f>
        <v>24.840101145322</v>
      </c>
    </row>
    <row r="1043" customFormat="false" ht="15" hidden="false" customHeight="false" outlineLevel="0" collapsed="false">
      <c r="A1043" s="216" t="s">
        <v>691</v>
      </c>
      <c r="B1043" s="40" t="s">
        <v>3166</v>
      </c>
      <c r="C1043" s="1161" t="s">
        <v>6986</v>
      </c>
      <c r="D1043" s="912" t="n">
        <v>2005</v>
      </c>
      <c r="E1043" s="317" t="n">
        <f aca="false">2021-D1043</f>
        <v>16</v>
      </c>
      <c r="F1043" s="547" t="n">
        <v>60000</v>
      </c>
      <c r="G1043" s="1413" t="n">
        <v>0.1</v>
      </c>
      <c r="H1043" s="547" t="n">
        <f aca="false">E1043*F1043*G1043</f>
        <v>96000</v>
      </c>
      <c r="I1043" s="547" t="n">
        <f aca="false">F1043-H1043</f>
        <v>-36000</v>
      </c>
      <c r="J1043" s="547" t="n">
        <f aca="false">F1043*G1043</f>
        <v>6000</v>
      </c>
      <c r="K1043" s="1365" t="n">
        <f aca="false">J1043/1792.8</f>
        <v>3.34672021419009</v>
      </c>
      <c r="L1043" s="547" t="n">
        <v>30</v>
      </c>
      <c r="M1043" s="934" t="n">
        <f aca="false">K1043*L1043/60</f>
        <v>1.67336010709505</v>
      </c>
    </row>
    <row r="1044" customFormat="false" ht="15" hidden="false" customHeight="false" outlineLevel="0" collapsed="false">
      <c r="A1044" s="216" t="s">
        <v>693</v>
      </c>
      <c r="B1044" s="40" t="s">
        <v>3167</v>
      </c>
      <c r="C1044" s="1161" t="s">
        <v>6934</v>
      </c>
      <c r="D1044" s="912" t="n">
        <v>2005</v>
      </c>
      <c r="E1044" s="317" t="n">
        <f aca="false">2021-D1044</f>
        <v>16</v>
      </c>
      <c r="F1044" s="547" t="n">
        <v>90680</v>
      </c>
      <c r="G1044" s="1413" t="n">
        <v>0.1</v>
      </c>
      <c r="H1044" s="547" t="n">
        <f aca="false">E1044*F1044*G1044</f>
        <v>145088</v>
      </c>
      <c r="I1044" s="547" t="n">
        <f aca="false">F1044-H1044</f>
        <v>-54408</v>
      </c>
      <c r="J1044" s="547" t="n">
        <f aca="false">F1044*G1044</f>
        <v>9068</v>
      </c>
      <c r="K1044" s="1365" t="n">
        <f aca="false">J1044/1792.8</f>
        <v>5.05800981704596</v>
      </c>
      <c r="L1044" s="547" t="n">
        <v>10</v>
      </c>
      <c r="M1044" s="934" t="n">
        <f aca="false">K1044*L1044/60</f>
        <v>0.843001636174327</v>
      </c>
    </row>
    <row r="1045" customFormat="false" ht="15" hidden="false" customHeight="false" outlineLevel="0" collapsed="false">
      <c r="A1045" s="216" t="s">
        <v>695</v>
      </c>
      <c r="B1045" s="40" t="s">
        <v>3168</v>
      </c>
      <c r="C1045" s="1161" t="s">
        <v>6934</v>
      </c>
      <c r="D1045" s="912" t="n">
        <v>2005</v>
      </c>
      <c r="E1045" s="317" t="n">
        <f aca="false">2021-D1045</f>
        <v>16</v>
      </c>
      <c r="F1045" s="547" t="n">
        <v>90680</v>
      </c>
      <c r="G1045" s="1413" t="n">
        <v>0.1</v>
      </c>
      <c r="H1045" s="547" t="n">
        <f aca="false">E1045*F1045*G1045</f>
        <v>145088</v>
      </c>
      <c r="I1045" s="547" t="n">
        <f aca="false">F1045-H1045</f>
        <v>-54408</v>
      </c>
      <c r="J1045" s="547" t="n">
        <f aca="false">F1045*G1045</f>
        <v>9068</v>
      </c>
      <c r="K1045" s="1365" t="n">
        <f aca="false">J1045/1792.8</f>
        <v>5.05800981704596</v>
      </c>
      <c r="L1045" s="547" t="n">
        <v>10</v>
      </c>
      <c r="M1045" s="934" t="n">
        <f aca="false">K1045*L1045/60</f>
        <v>0.843001636174327</v>
      </c>
    </row>
    <row r="1046" customFormat="false" ht="15" hidden="false" customHeight="false" outlineLevel="0" collapsed="false">
      <c r="A1046" s="216" t="s">
        <v>697</v>
      </c>
      <c r="B1046" s="40" t="s">
        <v>3169</v>
      </c>
      <c r="C1046" s="1161" t="s">
        <v>6984</v>
      </c>
      <c r="D1046" s="912" t="n">
        <v>2007</v>
      </c>
      <c r="E1046" s="317" t="n">
        <f aca="false">2021-D1046</f>
        <v>14</v>
      </c>
      <c r="F1046" s="547" t="n">
        <v>810000</v>
      </c>
      <c r="G1046" s="1413" t="n">
        <v>0.1</v>
      </c>
      <c r="H1046" s="547" t="n">
        <f aca="false">E1046*F1046*G1046</f>
        <v>1134000</v>
      </c>
      <c r="I1046" s="547" t="n">
        <f aca="false">F1046-H1046</f>
        <v>-324000</v>
      </c>
      <c r="J1046" s="547" t="n">
        <f aca="false">F1046*G1046</f>
        <v>81000</v>
      </c>
      <c r="K1046" s="1365" t="n">
        <f aca="false">J1046/1792.8</f>
        <v>45.1807228915663</v>
      </c>
      <c r="L1046" s="547" t="n">
        <v>10</v>
      </c>
      <c r="M1046" s="934" t="n">
        <f aca="false">K1046*L1046/60</f>
        <v>7.53012048192771</v>
      </c>
    </row>
    <row r="1047" customFormat="false" ht="28.5" hidden="false" customHeight="false" outlineLevel="0" collapsed="false">
      <c r="A1047" s="15" t="s">
        <v>4864</v>
      </c>
      <c r="B1047" s="16" t="s">
        <v>7019</v>
      </c>
      <c r="C1047" s="16"/>
      <c r="D1047" s="339"/>
      <c r="E1047" s="1389"/>
      <c r="F1047" s="751"/>
      <c r="G1047" s="751"/>
      <c r="H1047" s="751"/>
      <c r="I1047" s="751"/>
      <c r="J1047" s="751"/>
      <c r="K1047" s="751"/>
      <c r="L1047" s="751"/>
      <c r="M1047" s="818"/>
    </row>
    <row r="1048" customFormat="false" ht="30" hidden="false" customHeight="false" outlineLevel="0" collapsed="false">
      <c r="A1048" s="216" t="s">
        <v>4865</v>
      </c>
      <c r="B1048" s="29" t="s">
        <v>3010</v>
      </c>
      <c r="C1048" s="1161" t="s">
        <v>6984</v>
      </c>
      <c r="D1048" s="912" t="n">
        <v>2007</v>
      </c>
      <c r="E1048" s="317" t="n">
        <f aca="false">2021-D1048</f>
        <v>14</v>
      </c>
      <c r="F1048" s="547" t="n">
        <v>810000</v>
      </c>
      <c r="G1048" s="1413" t="n">
        <v>0.1</v>
      </c>
      <c r="H1048" s="547" t="n">
        <f aca="false">E1048*F1048*G1048</f>
        <v>1134000</v>
      </c>
      <c r="I1048" s="547" t="n">
        <f aca="false">F1048-H1048</f>
        <v>-324000</v>
      </c>
      <c r="J1048" s="547" t="n">
        <f aca="false">F1048*G1048</f>
        <v>81000</v>
      </c>
      <c r="K1048" s="1365" t="n">
        <f aca="false">J1048/1792.8</f>
        <v>45.1807228915663</v>
      </c>
      <c r="L1048" s="547" t="n">
        <v>10</v>
      </c>
      <c r="M1048" s="934" t="n">
        <f aca="false">K1048*L1048/60</f>
        <v>7.53012048192771</v>
      </c>
    </row>
    <row r="1049" customFormat="false" ht="15" hidden="false" customHeight="false" outlineLevel="0" collapsed="false">
      <c r="A1049" s="216" t="s">
        <v>4866</v>
      </c>
      <c r="B1049" s="29" t="s">
        <v>3171</v>
      </c>
      <c r="C1049" s="1161" t="s">
        <v>6934</v>
      </c>
      <c r="D1049" s="912" t="n">
        <v>2005</v>
      </c>
      <c r="E1049" s="317" t="n">
        <f aca="false">2021-D1049</f>
        <v>16</v>
      </c>
      <c r="F1049" s="547" t="n">
        <v>90680</v>
      </c>
      <c r="G1049" s="1413" t="n">
        <v>0.1</v>
      </c>
      <c r="H1049" s="547" t="n">
        <f aca="false">E1049*F1049*G1049</f>
        <v>145088</v>
      </c>
      <c r="I1049" s="547" t="n">
        <f aca="false">F1049-H1049</f>
        <v>-54408</v>
      </c>
      <c r="J1049" s="547" t="n">
        <f aca="false">F1049*G1049</f>
        <v>9068</v>
      </c>
      <c r="K1049" s="1365" t="n">
        <f aca="false">J1049/1792.8</f>
        <v>5.05800981704596</v>
      </c>
      <c r="L1049" s="547" t="n">
        <v>10</v>
      </c>
      <c r="M1049" s="934" t="n">
        <f aca="false">K1049*L1049/60</f>
        <v>0.843001636174327</v>
      </c>
    </row>
    <row r="1050" customFormat="false" ht="30" hidden="false" customHeight="false" outlineLevel="0" collapsed="false">
      <c r="A1050" s="216" t="s">
        <v>4867</v>
      </c>
      <c r="B1050" s="29" t="s">
        <v>3172</v>
      </c>
      <c r="C1050" s="1161" t="s">
        <v>6974</v>
      </c>
      <c r="D1050" s="912" t="n">
        <v>2006</v>
      </c>
      <c r="E1050" s="317" t="n">
        <f aca="false">2021-D1050</f>
        <v>15</v>
      </c>
      <c r="F1050" s="547" t="n">
        <v>526970</v>
      </c>
      <c r="G1050" s="1413" t="n">
        <v>0.1</v>
      </c>
      <c r="H1050" s="547" t="n">
        <f aca="false">E1050*F1050*G1050</f>
        <v>790455</v>
      </c>
      <c r="I1050" s="547" t="n">
        <f aca="false">F1050-H1050</f>
        <v>-263485</v>
      </c>
      <c r="J1050" s="547" t="n">
        <f aca="false">F1050*G1050</f>
        <v>52697</v>
      </c>
      <c r="K1050" s="1365" t="n">
        <f aca="false">J1050/1792.8</f>
        <v>29.3936858545292</v>
      </c>
      <c r="L1050" s="547" t="n">
        <v>15</v>
      </c>
      <c r="M1050" s="819" t="n">
        <f aca="false">K1050*L1050/60</f>
        <v>7.34842146363231</v>
      </c>
    </row>
    <row r="1051" customFormat="false" ht="15" hidden="false" customHeight="false" outlineLevel="0" collapsed="false">
      <c r="A1051" s="216"/>
      <c r="B1051" s="78"/>
      <c r="C1051" s="1161" t="s">
        <v>6934</v>
      </c>
      <c r="D1051" s="912" t="n">
        <v>2005</v>
      </c>
      <c r="E1051" s="317" t="n">
        <f aca="false">2021-D1051</f>
        <v>16</v>
      </c>
      <c r="F1051" s="547" t="n">
        <v>90680</v>
      </c>
      <c r="G1051" s="1413" t="n">
        <v>0.1</v>
      </c>
      <c r="H1051" s="547" t="n">
        <f aca="false">E1051*F1051*G1051</f>
        <v>145088</v>
      </c>
      <c r="I1051" s="547" t="n">
        <f aca="false">F1051-H1051</f>
        <v>-54408</v>
      </c>
      <c r="J1051" s="547" t="n">
        <f aca="false">F1051*G1051</f>
        <v>9068</v>
      </c>
      <c r="K1051" s="1365" t="n">
        <f aca="false">J1051/1792.8</f>
        <v>5.05800981704596</v>
      </c>
      <c r="L1051" s="547" t="n">
        <v>10</v>
      </c>
      <c r="M1051" s="819" t="n">
        <f aca="false">K1051*L1051/60</f>
        <v>0.843001636174327</v>
      </c>
    </row>
    <row r="1052" customFormat="false" ht="15" hidden="false" customHeight="false" outlineLevel="0" collapsed="false">
      <c r="A1052" s="216"/>
      <c r="B1052" s="972" t="s">
        <v>4128</v>
      </c>
      <c r="C1052" s="1160"/>
      <c r="D1052" s="391"/>
      <c r="E1052" s="317"/>
      <c r="F1052" s="714"/>
      <c r="G1052" s="1414"/>
      <c r="H1052" s="547"/>
      <c r="I1052" s="547"/>
      <c r="J1052" s="547"/>
      <c r="K1052" s="1365" t="n">
        <f aca="false">J1052/1792.8</f>
        <v>0</v>
      </c>
      <c r="L1052" s="714"/>
      <c r="M1052" s="934" t="n">
        <f aca="false">M1050+M1051</f>
        <v>8.19142309980663</v>
      </c>
    </row>
    <row r="1053" customFormat="false" ht="30" hidden="false" customHeight="false" outlineLevel="0" collapsed="false">
      <c r="A1053" s="216" t="s">
        <v>4868</v>
      </c>
      <c r="B1053" s="29" t="s">
        <v>3173</v>
      </c>
      <c r="C1053" s="1161" t="s">
        <v>6934</v>
      </c>
      <c r="D1053" s="912" t="n">
        <v>2005</v>
      </c>
      <c r="E1053" s="317" t="n">
        <f aca="false">2021-D1053</f>
        <v>16</v>
      </c>
      <c r="F1053" s="547" t="n">
        <v>90680</v>
      </c>
      <c r="G1053" s="1413" t="n">
        <v>0.1</v>
      </c>
      <c r="H1053" s="547" t="n">
        <f aca="false">E1053*F1053*G1053</f>
        <v>145088</v>
      </c>
      <c r="I1053" s="547" t="n">
        <f aca="false">F1053-H1053</f>
        <v>-54408</v>
      </c>
      <c r="J1053" s="547" t="n">
        <f aca="false">F1053*G1053</f>
        <v>9068</v>
      </c>
      <c r="K1053" s="1365" t="n">
        <f aca="false">J1053/1792.8</f>
        <v>5.05800981704596</v>
      </c>
      <c r="L1053" s="547" t="n">
        <v>10</v>
      </c>
      <c r="M1053" s="934" t="n">
        <f aca="false">K1053*L1053/60</f>
        <v>0.843001636174327</v>
      </c>
    </row>
    <row r="1054" customFormat="false" ht="15" hidden="false" customHeight="false" outlineLevel="0" collapsed="false">
      <c r="A1054" s="216" t="s">
        <v>4869</v>
      </c>
      <c r="B1054" s="29" t="s">
        <v>3174</v>
      </c>
      <c r="C1054" s="1161" t="s">
        <v>6974</v>
      </c>
      <c r="D1054" s="912" t="n">
        <v>2006</v>
      </c>
      <c r="E1054" s="317" t="n">
        <f aca="false">2021-D1054</f>
        <v>15</v>
      </c>
      <c r="F1054" s="547" t="n">
        <v>526970</v>
      </c>
      <c r="G1054" s="1413" t="n">
        <v>0.1</v>
      </c>
      <c r="H1054" s="547" t="n">
        <f aca="false">E1054*F1054*G1054</f>
        <v>790455</v>
      </c>
      <c r="I1054" s="547" t="n">
        <f aca="false">F1054-H1054</f>
        <v>-263485</v>
      </c>
      <c r="J1054" s="547" t="n">
        <f aca="false">F1054*G1054</f>
        <v>52697</v>
      </c>
      <c r="K1054" s="1365" t="n">
        <f aca="false">J1054/1792.8</f>
        <v>29.3936858545292</v>
      </c>
      <c r="L1054" s="547" t="n">
        <v>15</v>
      </c>
      <c r="M1054" s="819" t="n">
        <f aca="false">K1054*L1054/60</f>
        <v>7.34842146363231</v>
      </c>
    </row>
    <row r="1055" customFormat="false" ht="15" hidden="false" customHeight="false" outlineLevel="0" collapsed="false">
      <c r="A1055" s="216"/>
      <c r="B1055" s="78"/>
      <c r="C1055" s="1161" t="s">
        <v>6934</v>
      </c>
      <c r="D1055" s="912" t="n">
        <v>2005</v>
      </c>
      <c r="E1055" s="317" t="n">
        <f aca="false">2021-D1055</f>
        <v>16</v>
      </c>
      <c r="F1055" s="547" t="n">
        <v>90680</v>
      </c>
      <c r="G1055" s="1413" t="n">
        <v>0.1</v>
      </c>
      <c r="H1055" s="547" t="n">
        <f aca="false">E1055*F1055*G1055</f>
        <v>145088</v>
      </c>
      <c r="I1055" s="547" t="n">
        <f aca="false">F1055-H1055</f>
        <v>-54408</v>
      </c>
      <c r="J1055" s="547" t="n">
        <f aca="false">F1055*G1055</f>
        <v>9068</v>
      </c>
      <c r="K1055" s="1365" t="n">
        <f aca="false">J1055/1792.8</f>
        <v>5.05800981704596</v>
      </c>
      <c r="L1055" s="547" t="n">
        <v>10</v>
      </c>
      <c r="M1055" s="819" t="n">
        <f aca="false">K1055*L1055/60</f>
        <v>0.843001636174327</v>
      </c>
    </row>
    <row r="1056" customFormat="false" ht="15" hidden="false" customHeight="false" outlineLevel="0" collapsed="false">
      <c r="A1056" s="216"/>
      <c r="B1056" s="972" t="s">
        <v>4128</v>
      </c>
      <c r="C1056" s="1160"/>
      <c r="D1056" s="391"/>
      <c r="E1056" s="317"/>
      <c r="F1056" s="714"/>
      <c r="G1056" s="1414"/>
      <c r="H1056" s="547"/>
      <c r="I1056" s="547"/>
      <c r="J1056" s="547"/>
      <c r="K1056" s="1365" t="n">
        <f aca="false">J1056/1792.8</f>
        <v>0</v>
      </c>
      <c r="L1056" s="714"/>
      <c r="M1056" s="934" t="n">
        <f aca="false">M1054+M1055</f>
        <v>8.19142309980663</v>
      </c>
    </row>
    <row r="1057" customFormat="false" ht="30" hidden="false" customHeight="false" outlineLevel="0" collapsed="false">
      <c r="A1057" s="216" t="s">
        <v>4875</v>
      </c>
      <c r="B1057" s="29" t="s">
        <v>3175</v>
      </c>
      <c r="C1057" s="1161" t="s">
        <v>6934</v>
      </c>
      <c r="D1057" s="912" t="n">
        <v>2005</v>
      </c>
      <c r="E1057" s="317" t="n">
        <f aca="false">2021-D1057</f>
        <v>16</v>
      </c>
      <c r="F1057" s="547" t="n">
        <v>90680</v>
      </c>
      <c r="G1057" s="1413" t="n">
        <v>0.1</v>
      </c>
      <c r="H1057" s="547" t="n">
        <f aca="false">E1057*F1057*G1057</f>
        <v>145088</v>
      </c>
      <c r="I1057" s="547" t="n">
        <f aca="false">F1057-H1057</f>
        <v>-54408</v>
      </c>
      <c r="J1057" s="547" t="n">
        <f aca="false">F1057*G1057</f>
        <v>9068</v>
      </c>
      <c r="K1057" s="1365" t="n">
        <f aca="false">J1057/1792.8</f>
        <v>5.05800981704596</v>
      </c>
      <c r="L1057" s="547" t="n">
        <v>10</v>
      </c>
      <c r="M1057" s="934" t="n">
        <f aca="false">K1057*L1057/60</f>
        <v>0.843001636174327</v>
      </c>
    </row>
    <row r="1058" customFormat="false" ht="15" hidden="false" customHeight="false" outlineLevel="0" collapsed="false">
      <c r="A1058" s="216" t="s">
        <v>4878</v>
      </c>
      <c r="B1058" s="29" t="s">
        <v>3176</v>
      </c>
      <c r="C1058" s="1161" t="s">
        <v>6984</v>
      </c>
      <c r="D1058" s="912" t="n">
        <v>2007</v>
      </c>
      <c r="E1058" s="317" t="n">
        <f aca="false">2021-D1058</f>
        <v>14</v>
      </c>
      <c r="F1058" s="547" t="n">
        <v>810000</v>
      </c>
      <c r="G1058" s="1413" t="n">
        <v>0.1</v>
      </c>
      <c r="H1058" s="547" t="n">
        <f aca="false">E1058*F1058*G1058</f>
        <v>1134000</v>
      </c>
      <c r="I1058" s="547" t="n">
        <f aca="false">F1058-H1058</f>
        <v>-324000</v>
      </c>
      <c r="J1058" s="547" t="n">
        <f aca="false">F1058*G1058</f>
        <v>81000</v>
      </c>
      <c r="K1058" s="1365" t="n">
        <f aca="false">J1058/1792.8</f>
        <v>45.1807228915663</v>
      </c>
      <c r="L1058" s="547" t="n">
        <v>10</v>
      </c>
      <c r="M1058" s="819" t="n">
        <f aca="false">K1058*L1058/60</f>
        <v>7.53012048192771</v>
      </c>
    </row>
    <row r="1059" customFormat="false" ht="15" hidden="false" customHeight="false" outlineLevel="0" collapsed="false">
      <c r="A1059" s="216"/>
      <c r="B1059" s="78"/>
      <c r="C1059" s="1161" t="s">
        <v>6934</v>
      </c>
      <c r="D1059" s="912" t="n">
        <v>2005</v>
      </c>
      <c r="E1059" s="317" t="n">
        <f aca="false">2021-D1059</f>
        <v>16</v>
      </c>
      <c r="F1059" s="547" t="n">
        <v>90680</v>
      </c>
      <c r="G1059" s="1413" t="n">
        <v>0.1</v>
      </c>
      <c r="H1059" s="547" t="n">
        <f aca="false">E1059*F1059*G1059</f>
        <v>145088</v>
      </c>
      <c r="I1059" s="547" t="n">
        <f aca="false">F1059-H1059</f>
        <v>-54408</v>
      </c>
      <c r="J1059" s="547" t="n">
        <f aca="false">F1059*G1059</f>
        <v>9068</v>
      </c>
      <c r="K1059" s="1365" t="n">
        <f aca="false">J1059/1792.8</f>
        <v>5.05800981704596</v>
      </c>
      <c r="L1059" s="547" t="n">
        <v>10</v>
      </c>
      <c r="M1059" s="819" t="n">
        <f aca="false">K1059*L1059/60</f>
        <v>0.843001636174327</v>
      </c>
    </row>
    <row r="1060" customFormat="false" ht="15" hidden="false" customHeight="false" outlineLevel="0" collapsed="false">
      <c r="A1060" s="216"/>
      <c r="B1060" s="972" t="s">
        <v>4128</v>
      </c>
      <c r="C1060" s="1160"/>
      <c r="D1060" s="391"/>
      <c r="E1060" s="317"/>
      <c r="F1060" s="714"/>
      <c r="G1060" s="1414"/>
      <c r="H1060" s="547"/>
      <c r="I1060" s="547"/>
      <c r="J1060" s="547"/>
      <c r="K1060" s="1365" t="n">
        <f aca="false">J1060/1792.8</f>
        <v>0</v>
      </c>
      <c r="L1060" s="714"/>
      <c r="M1060" s="934" t="n">
        <f aca="false">M1058+M1059</f>
        <v>8.37312211810204</v>
      </c>
    </row>
    <row r="1061" customFormat="false" ht="15" hidden="false" customHeight="false" outlineLevel="0" collapsed="false">
      <c r="A1061" s="216" t="s">
        <v>4879</v>
      </c>
      <c r="B1061" s="29" t="s">
        <v>3177</v>
      </c>
      <c r="C1061" s="1161" t="s">
        <v>7020</v>
      </c>
      <c r="D1061" s="912" t="n">
        <v>2003</v>
      </c>
      <c r="E1061" s="317" t="n">
        <f aca="false">2021-D1061</f>
        <v>18</v>
      </c>
      <c r="F1061" s="547" t="n">
        <v>2471090</v>
      </c>
      <c r="G1061" s="1413" t="n">
        <v>0.1</v>
      </c>
      <c r="H1061" s="547" t="n">
        <f aca="false">E1061*F1061*G1061</f>
        <v>4447962</v>
      </c>
      <c r="I1061" s="547" t="n">
        <f aca="false">F1061-H1061</f>
        <v>-1976872</v>
      </c>
      <c r="J1061" s="547" t="n">
        <f aca="false">F1061*G1061</f>
        <v>247109</v>
      </c>
      <c r="K1061" s="1365" t="n">
        <f aca="false">J1061/1792.8</f>
        <v>137.834114234717</v>
      </c>
      <c r="L1061" s="547" t="n">
        <v>20</v>
      </c>
      <c r="M1061" s="819" t="n">
        <f aca="false">K1061*L1061/60</f>
        <v>45.9447047449056</v>
      </c>
    </row>
    <row r="1062" customFormat="false" ht="15" hidden="false" customHeight="false" outlineLevel="0" collapsed="false">
      <c r="A1062" s="216"/>
      <c r="B1062" s="78"/>
      <c r="C1062" s="1161" t="s">
        <v>6934</v>
      </c>
      <c r="D1062" s="912" t="n">
        <v>2005</v>
      </c>
      <c r="E1062" s="317" t="n">
        <f aca="false">2021-D1062</f>
        <v>16</v>
      </c>
      <c r="F1062" s="547" t="n">
        <v>90680</v>
      </c>
      <c r="G1062" s="1413" t="n">
        <v>0.1</v>
      </c>
      <c r="H1062" s="547" t="n">
        <f aca="false">E1062*F1062*G1062</f>
        <v>145088</v>
      </c>
      <c r="I1062" s="547" t="n">
        <f aca="false">F1062-H1062</f>
        <v>-54408</v>
      </c>
      <c r="J1062" s="547" t="n">
        <f aca="false">F1062*G1062</f>
        <v>9068</v>
      </c>
      <c r="K1062" s="1365" t="n">
        <f aca="false">J1062/1792.8</f>
        <v>5.05800981704596</v>
      </c>
      <c r="L1062" s="547" t="n">
        <v>10</v>
      </c>
      <c r="M1062" s="819" t="n">
        <f aca="false">K1062*L1062/60</f>
        <v>0.843001636174327</v>
      </c>
    </row>
    <row r="1063" customFormat="false" ht="15" hidden="false" customHeight="false" outlineLevel="0" collapsed="false">
      <c r="A1063" s="216"/>
      <c r="B1063" s="972" t="s">
        <v>4128</v>
      </c>
      <c r="C1063" s="1160"/>
      <c r="D1063" s="391"/>
      <c r="E1063" s="317"/>
      <c r="F1063" s="714"/>
      <c r="G1063" s="1414"/>
      <c r="H1063" s="547"/>
      <c r="I1063" s="547"/>
      <c r="J1063" s="547"/>
      <c r="K1063" s="1365" t="n">
        <f aca="false">J1063/1792.8</f>
        <v>0</v>
      </c>
      <c r="L1063" s="714"/>
      <c r="M1063" s="934" t="n">
        <f aca="false">M1061+M1062</f>
        <v>46.7877063810799</v>
      </c>
    </row>
    <row r="1064" customFormat="false" ht="15" hidden="false" customHeight="false" outlineLevel="0" collapsed="false">
      <c r="A1064" s="216" t="s">
        <v>4882</v>
      </c>
      <c r="B1064" s="29" t="s">
        <v>3178</v>
      </c>
      <c r="C1064" s="1161" t="s">
        <v>6934</v>
      </c>
      <c r="D1064" s="912" t="n">
        <v>2005</v>
      </c>
      <c r="E1064" s="317" t="n">
        <f aca="false">2021-D1064</f>
        <v>16</v>
      </c>
      <c r="F1064" s="547" t="n">
        <v>90680</v>
      </c>
      <c r="G1064" s="1413" t="n">
        <v>0.1</v>
      </c>
      <c r="H1064" s="547" t="n">
        <f aca="false">E1064*F1064*G1064</f>
        <v>145088</v>
      </c>
      <c r="I1064" s="547" t="n">
        <f aca="false">F1064-H1064</f>
        <v>-54408</v>
      </c>
      <c r="J1064" s="547" t="n">
        <f aca="false">F1064*G1064</f>
        <v>9068</v>
      </c>
      <c r="K1064" s="1365" t="n">
        <f aca="false">J1064/1792.8</f>
        <v>5.05800981704596</v>
      </c>
      <c r="L1064" s="547" t="n">
        <v>10</v>
      </c>
      <c r="M1064" s="934" t="n">
        <f aca="false">K1064*L1064/60</f>
        <v>0.843001636174327</v>
      </c>
    </row>
    <row r="1065" customFormat="false" ht="15" hidden="false" customHeight="false" outlineLevel="0" collapsed="false">
      <c r="A1065" s="216" t="s">
        <v>4883</v>
      </c>
      <c r="B1065" s="29" t="s">
        <v>3179</v>
      </c>
      <c r="C1065" s="1161" t="s">
        <v>6934</v>
      </c>
      <c r="D1065" s="912" t="n">
        <v>2005</v>
      </c>
      <c r="E1065" s="317" t="n">
        <f aca="false">2021-D1065</f>
        <v>16</v>
      </c>
      <c r="F1065" s="547" t="n">
        <v>90680</v>
      </c>
      <c r="G1065" s="1413" t="n">
        <v>0.1</v>
      </c>
      <c r="H1065" s="547" t="n">
        <f aca="false">E1065*F1065*G1065</f>
        <v>145088</v>
      </c>
      <c r="I1065" s="547" t="n">
        <f aca="false">F1065-H1065</f>
        <v>-54408</v>
      </c>
      <c r="J1065" s="547" t="n">
        <f aca="false">F1065*G1065</f>
        <v>9068</v>
      </c>
      <c r="K1065" s="1365" t="n">
        <f aca="false">J1065/1792.8</f>
        <v>5.05800981704596</v>
      </c>
      <c r="L1065" s="547" t="n">
        <v>10</v>
      </c>
      <c r="M1065" s="934" t="n">
        <f aca="false">K1065*L1065/60</f>
        <v>0.843001636174327</v>
      </c>
    </row>
    <row r="1066" customFormat="false" ht="15" hidden="false" customHeight="false" outlineLevel="0" collapsed="false">
      <c r="A1066" s="216" t="s">
        <v>4884</v>
      </c>
      <c r="B1066" s="29" t="s">
        <v>3180</v>
      </c>
      <c r="C1066" s="1161" t="s">
        <v>6934</v>
      </c>
      <c r="D1066" s="912" t="n">
        <v>2005</v>
      </c>
      <c r="E1066" s="317" t="n">
        <f aca="false">2021-D1066</f>
        <v>16</v>
      </c>
      <c r="F1066" s="547" t="n">
        <v>90680</v>
      </c>
      <c r="G1066" s="1413" t="n">
        <v>0.1</v>
      </c>
      <c r="H1066" s="547" t="n">
        <f aca="false">E1066*F1066*G1066</f>
        <v>145088</v>
      </c>
      <c r="I1066" s="547" t="n">
        <f aca="false">F1066-H1066</f>
        <v>-54408</v>
      </c>
      <c r="J1066" s="547" t="n">
        <f aca="false">F1066*G1066</f>
        <v>9068</v>
      </c>
      <c r="K1066" s="1365" t="n">
        <f aca="false">J1066/1792.8</f>
        <v>5.05800981704596</v>
      </c>
      <c r="L1066" s="547" t="n">
        <v>10</v>
      </c>
      <c r="M1066" s="934" t="n">
        <f aca="false">K1066*L1066/60</f>
        <v>0.843001636174327</v>
      </c>
    </row>
    <row r="1067" customFormat="false" ht="15" hidden="false" customHeight="false" outlineLevel="0" collapsed="false">
      <c r="A1067" s="216" t="s">
        <v>4885</v>
      </c>
      <c r="B1067" s="29" t="s">
        <v>3181</v>
      </c>
      <c r="C1067" s="1161" t="s">
        <v>6974</v>
      </c>
      <c r="D1067" s="912" t="n">
        <v>2006</v>
      </c>
      <c r="E1067" s="317" t="n">
        <f aca="false">2021-D1067</f>
        <v>15</v>
      </c>
      <c r="F1067" s="547" t="n">
        <v>526970</v>
      </c>
      <c r="G1067" s="1413" t="n">
        <v>0.1</v>
      </c>
      <c r="H1067" s="547" t="n">
        <f aca="false">E1067*F1067*G1067</f>
        <v>790455</v>
      </c>
      <c r="I1067" s="547" t="n">
        <f aca="false">F1067-H1067</f>
        <v>-263485</v>
      </c>
      <c r="J1067" s="547" t="n">
        <f aca="false">F1067*G1067</f>
        <v>52697</v>
      </c>
      <c r="K1067" s="1365" t="n">
        <f aca="false">J1067/1792.8</f>
        <v>29.3936858545292</v>
      </c>
      <c r="L1067" s="547" t="n">
        <v>15</v>
      </c>
      <c r="M1067" s="819" t="n">
        <f aca="false">K1067*L1067/60</f>
        <v>7.34842146363231</v>
      </c>
    </row>
    <row r="1068" customFormat="false" ht="15" hidden="false" customHeight="false" outlineLevel="0" collapsed="false">
      <c r="A1068" s="216"/>
      <c r="B1068" s="78"/>
      <c r="C1068" s="1161" t="s">
        <v>6934</v>
      </c>
      <c r="D1068" s="912" t="n">
        <v>2005</v>
      </c>
      <c r="E1068" s="317" t="n">
        <f aca="false">2021-D1068</f>
        <v>16</v>
      </c>
      <c r="F1068" s="547" t="n">
        <v>90680</v>
      </c>
      <c r="G1068" s="1413" t="n">
        <v>0.1</v>
      </c>
      <c r="H1068" s="547" t="n">
        <f aca="false">E1068*F1068*G1068</f>
        <v>145088</v>
      </c>
      <c r="I1068" s="547" t="n">
        <f aca="false">F1068-H1068</f>
        <v>-54408</v>
      </c>
      <c r="J1068" s="547" t="n">
        <f aca="false">F1068*G1068</f>
        <v>9068</v>
      </c>
      <c r="K1068" s="1365" t="n">
        <f aca="false">J1068/1792.8</f>
        <v>5.05800981704596</v>
      </c>
      <c r="L1068" s="547" t="n">
        <v>10</v>
      </c>
      <c r="M1068" s="819" t="n">
        <f aca="false">K1068*L1068/60</f>
        <v>0.843001636174327</v>
      </c>
    </row>
    <row r="1069" customFormat="false" ht="15" hidden="false" customHeight="false" outlineLevel="0" collapsed="false">
      <c r="A1069" s="216"/>
      <c r="B1069" s="972" t="s">
        <v>4128</v>
      </c>
      <c r="C1069" s="1160"/>
      <c r="D1069" s="391"/>
      <c r="E1069" s="317"/>
      <c r="F1069" s="714"/>
      <c r="G1069" s="1414"/>
      <c r="H1069" s="547"/>
      <c r="I1069" s="547"/>
      <c r="J1069" s="547"/>
      <c r="K1069" s="1365" t="n">
        <f aca="false">J1069/1792.8</f>
        <v>0</v>
      </c>
      <c r="L1069" s="714"/>
      <c r="M1069" s="934" t="n">
        <f aca="false">M1067+M1068</f>
        <v>8.19142309980663</v>
      </c>
    </row>
    <row r="1070" customFormat="false" ht="15" hidden="false" customHeight="false" outlineLevel="0" collapsed="false">
      <c r="A1070" s="216" t="s">
        <v>4886</v>
      </c>
      <c r="B1070" s="29" t="s">
        <v>3182</v>
      </c>
      <c r="C1070" s="1161" t="s">
        <v>7020</v>
      </c>
      <c r="D1070" s="912" t="n">
        <v>2003</v>
      </c>
      <c r="E1070" s="317" t="n">
        <f aca="false">2021-D1070</f>
        <v>18</v>
      </c>
      <c r="F1070" s="547" t="n">
        <v>2471090</v>
      </c>
      <c r="G1070" s="1413" t="n">
        <v>0.1</v>
      </c>
      <c r="H1070" s="547" t="n">
        <f aca="false">E1070*F1070*G1070</f>
        <v>4447962</v>
      </c>
      <c r="I1070" s="547" t="n">
        <f aca="false">F1070-H1070</f>
        <v>-1976872</v>
      </c>
      <c r="J1070" s="547" t="n">
        <f aca="false">F1070*G1070</f>
        <v>247109</v>
      </c>
      <c r="K1070" s="1365" t="n">
        <f aca="false">J1070/1792.8</f>
        <v>137.834114234717</v>
      </c>
      <c r="L1070" s="547" t="n">
        <v>120</v>
      </c>
      <c r="M1070" s="819" t="n">
        <f aca="false">K1070*L1070/60</f>
        <v>275.668228469433</v>
      </c>
    </row>
    <row r="1071" customFormat="false" ht="15" hidden="false" customHeight="false" outlineLevel="0" collapsed="false">
      <c r="A1071" s="216"/>
      <c r="B1071" s="78"/>
      <c r="C1071" s="1161" t="s">
        <v>6934</v>
      </c>
      <c r="D1071" s="912" t="n">
        <v>2005</v>
      </c>
      <c r="E1071" s="317" t="n">
        <f aca="false">2021-D1071</f>
        <v>16</v>
      </c>
      <c r="F1071" s="547" t="n">
        <v>90680</v>
      </c>
      <c r="G1071" s="1413" t="n">
        <v>0.1</v>
      </c>
      <c r="H1071" s="547" t="n">
        <f aca="false">E1071*F1071*G1071</f>
        <v>145088</v>
      </c>
      <c r="I1071" s="547" t="n">
        <f aca="false">F1071-H1071</f>
        <v>-54408</v>
      </c>
      <c r="J1071" s="547" t="n">
        <f aca="false">F1071*G1071</f>
        <v>9068</v>
      </c>
      <c r="K1071" s="1365" t="n">
        <f aca="false">J1071/1792.8</f>
        <v>5.05800981704596</v>
      </c>
      <c r="L1071" s="547" t="n">
        <v>10</v>
      </c>
      <c r="M1071" s="819" t="n">
        <f aca="false">K1071*L1071/60</f>
        <v>0.843001636174327</v>
      </c>
    </row>
    <row r="1072" customFormat="false" ht="15" hidden="false" customHeight="false" outlineLevel="0" collapsed="false">
      <c r="A1072" s="216"/>
      <c r="B1072" s="972" t="s">
        <v>4128</v>
      </c>
      <c r="C1072" s="1160"/>
      <c r="D1072" s="391"/>
      <c r="E1072" s="317"/>
      <c r="F1072" s="714"/>
      <c r="G1072" s="1414"/>
      <c r="H1072" s="547"/>
      <c r="I1072" s="547"/>
      <c r="J1072" s="547"/>
      <c r="K1072" s="1365" t="n">
        <f aca="false">J1072/1792.8</f>
        <v>0</v>
      </c>
      <c r="L1072" s="714"/>
      <c r="M1072" s="934" t="n">
        <f aca="false">M1070+M1071</f>
        <v>276.511230105608</v>
      </c>
    </row>
    <row r="1073" customFormat="false" ht="30" hidden="false" customHeight="false" outlineLevel="0" collapsed="false">
      <c r="A1073" s="216" t="s">
        <v>4893</v>
      </c>
      <c r="B1073" s="29" t="s">
        <v>3183</v>
      </c>
      <c r="C1073" s="1161" t="s">
        <v>6992</v>
      </c>
      <c r="D1073" s="912" t="n">
        <v>2005</v>
      </c>
      <c r="E1073" s="317" t="n">
        <f aca="false">2021-D1073</f>
        <v>16</v>
      </c>
      <c r="F1073" s="547" t="n">
        <v>60000</v>
      </c>
      <c r="G1073" s="1413" t="n">
        <v>0.1</v>
      </c>
      <c r="H1073" s="547" t="n">
        <f aca="false">E1073*F1073*G1073</f>
        <v>96000</v>
      </c>
      <c r="I1073" s="547" t="n">
        <f aca="false">F1073-H1073</f>
        <v>-36000</v>
      </c>
      <c r="J1073" s="547" t="n">
        <f aca="false">F1073*G1073</f>
        <v>6000</v>
      </c>
      <c r="K1073" s="1365" t="n">
        <f aca="false">J1073/1792.8</f>
        <v>3.34672021419009</v>
      </c>
      <c r="L1073" s="547" t="n">
        <v>25</v>
      </c>
      <c r="M1073" s="819" t="n">
        <f aca="false">K1073*L1073/60</f>
        <v>1.39446675591254</v>
      </c>
    </row>
    <row r="1074" customFormat="false" ht="15" hidden="false" customHeight="false" outlineLevel="0" collapsed="false">
      <c r="A1074" s="216"/>
      <c r="B1074" s="78"/>
      <c r="C1074" s="1161" t="s">
        <v>6934</v>
      </c>
      <c r="D1074" s="912" t="n">
        <v>2005</v>
      </c>
      <c r="E1074" s="317" t="n">
        <f aca="false">2021-D1074</f>
        <v>16</v>
      </c>
      <c r="F1074" s="547" t="n">
        <v>90680</v>
      </c>
      <c r="G1074" s="1413" t="n">
        <v>0.1</v>
      </c>
      <c r="H1074" s="547" t="n">
        <f aca="false">E1074*F1074*G1074</f>
        <v>145088</v>
      </c>
      <c r="I1074" s="547" t="n">
        <f aca="false">F1074-H1074</f>
        <v>-54408</v>
      </c>
      <c r="J1074" s="547" t="n">
        <f aca="false">F1074*G1074</f>
        <v>9068</v>
      </c>
      <c r="K1074" s="1365" t="n">
        <f aca="false">J1074/1792.8</f>
        <v>5.05800981704596</v>
      </c>
      <c r="L1074" s="547" t="n">
        <v>10</v>
      </c>
      <c r="M1074" s="819" t="n">
        <f aca="false">K1074*L1074/60</f>
        <v>0.843001636174327</v>
      </c>
    </row>
    <row r="1075" customFormat="false" ht="15" hidden="false" customHeight="false" outlineLevel="0" collapsed="false">
      <c r="A1075" s="216"/>
      <c r="B1075" s="972" t="s">
        <v>4128</v>
      </c>
      <c r="C1075" s="1160"/>
      <c r="D1075" s="391"/>
      <c r="E1075" s="317"/>
      <c r="F1075" s="714"/>
      <c r="G1075" s="1414"/>
      <c r="H1075" s="547"/>
      <c r="I1075" s="547"/>
      <c r="J1075" s="547"/>
      <c r="K1075" s="1365" t="n">
        <f aca="false">J1075/1792.8</f>
        <v>0</v>
      </c>
      <c r="L1075" s="714"/>
      <c r="M1075" s="934" t="n">
        <f aca="false">M1073+M1074</f>
        <v>2.23746839208687</v>
      </c>
    </row>
    <row r="1076" customFormat="false" ht="15" hidden="false" customHeight="false" outlineLevel="0" collapsed="false">
      <c r="A1076" s="216" t="s">
        <v>4894</v>
      </c>
      <c r="B1076" s="29" t="s">
        <v>3184</v>
      </c>
      <c r="C1076" s="1161" t="s">
        <v>6974</v>
      </c>
      <c r="D1076" s="912" t="n">
        <v>2006</v>
      </c>
      <c r="E1076" s="317" t="n">
        <f aca="false">2021-D1076</f>
        <v>15</v>
      </c>
      <c r="F1076" s="547" t="n">
        <v>526970</v>
      </c>
      <c r="G1076" s="1413" t="n">
        <v>0.1</v>
      </c>
      <c r="H1076" s="547" t="n">
        <f aca="false">E1076*F1076*G1076</f>
        <v>790455</v>
      </c>
      <c r="I1076" s="547" t="n">
        <f aca="false">F1076-H1076</f>
        <v>-263485</v>
      </c>
      <c r="J1076" s="547" t="n">
        <f aca="false">F1076*G1076</f>
        <v>52697</v>
      </c>
      <c r="K1076" s="1365" t="n">
        <f aca="false">J1076/1792.8</f>
        <v>29.3936858545292</v>
      </c>
      <c r="L1076" s="547" t="n">
        <v>15</v>
      </c>
      <c r="M1076" s="819" t="n">
        <f aca="false">K1076*L1076/60</f>
        <v>7.34842146363231</v>
      </c>
    </row>
    <row r="1077" customFormat="false" ht="15" hidden="false" customHeight="false" outlineLevel="0" collapsed="false">
      <c r="A1077" s="216"/>
      <c r="B1077" s="78"/>
      <c r="C1077" s="1161" t="s">
        <v>6934</v>
      </c>
      <c r="D1077" s="912" t="n">
        <v>2005</v>
      </c>
      <c r="E1077" s="317" t="n">
        <f aca="false">2021-D1077</f>
        <v>16</v>
      </c>
      <c r="F1077" s="547" t="n">
        <v>90680</v>
      </c>
      <c r="G1077" s="1413" t="n">
        <v>0.1</v>
      </c>
      <c r="H1077" s="547" t="n">
        <f aca="false">E1077*F1077*G1077</f>
        <v>145088</v>
      </c>
      <c r="I1077" s="547" t="n">
        <f aca="false">F1077-H1077</f>
        <v>-54408</v>
      </c>
      <c r="J1077" s="547" t="n">
        <f aca="false">F1077*G1077</f>
        <v>9068</v>
      </c>
      <c r="K1077" s="1365" t="n">
        <f aca="false">J1077/1792.8</f>
        <v>5.05800981704596</v>
      </c>
      <c r="L1077" s="547" t="n">
        <v>10</v>
      </c>
      <c r="M1077" s="819" t="n">
        <f aca="false">K1077*L1077/60</f>
        <v>0.843001636174327</v>
      </c>
    </row>
    <row r="1078" customFormat="false" ht="15" hidden="false" customHeight="false" outlineLevel="0" collapsed="false">
      <c r="A1078" s="216"/>
      <c r="B1078" s="972" t="s">
        <v>4128</v>
      </c>
      <c r="C1078" s="1160"/>
      <c r="D1078" s="391"/>
      <c r="E1078" s="317"/>
      <c r="F1078" s="714"/>
      <c r="G1078" s="1414"/>
      <c r="H1078" s="547"/>
      <c r="I1078" s="547"/>
      <c r="J1078" s="547"/>
      <c r="K1078" s="1365" t="n">
        <f aca="false">J1078/1792.8</f>
        <v>0</v>
      </c>
      <c r="L1078" s="714"/>
      <c r="M1078" s="934" t="n">
        <f aca="false">M1076+M1077</f>
        <v>8.19142309980663</v>
      </c>
    </row>
    <row r="1079" customFormat="false" ht="15" hidden="false" customHeight="false" outlineLevel="0" collapsed="false">
      <c r="A1079" s="216" t="s">
        <v>728</v>
      </c>
      <c r="B1079" s="29" t="s">
        <v>3185</v>
      </c>
      <c r="C1079" s="1161" t="s">
        <v>6974</v>
      </c>
      <c r="D1079" s="912" t="n">
        <v>2006</v>
      </c>
      <c r="E1079" s="317" t="n">
        <f aca="false">2021-D1079</f>
        <v>15</v>
      </c>
      <c r="F1079" s="547" t="n">
        <v>526970</v>
      </c>
      <c r="G1079" s="1413" t="n">
        <v>0.1</v>
      </c>
      <c r="H1079" s="547" t="n">
        <f aca="false">E1079*F1079*G1079</f>
        <v>790455</v>
      </c>
      <c r="I1079" s="547" t="n">
        <f aca="false">F1079-H1079</f>
        <v>-263485</v>
      </c>
      <c r="J1079" s="547" t="n">
        <f aca="false">F1079*G1079</f>
        <v>52697</v>
      </c>
      <c r="K1079" s="1365" t="n">
        <f aca="false">J1079/1792.8</f>
        <v>29.3936858545292</v>
      </c>
      <c r="L1079" s="547" t="n">
        <v>15</v>
      </c>
      <c r="M1079" s="819" t="n">
        <f aca="false">K1079*L1079/60</f>
        <v>7.34842146363231</v>
      </c>
    </row>
    <row r="1080" customFormat="false" ht="15" hidden="false" customHeight="false" outlineLevel="0" collapsed="false">
      <c r="A1080" s="216"/>
      <c r="B1080" s="78"/>
      <c r="C1080" s="1161" t="s">
        <v>6934</v>
      </c>
      <c r="D1080" s="912" t="n">
        <v>2005</v>
      </c>
      <c r="E1080" s="317" t="n">
        <f aca="false">2021-D1080</f>
        <v>16</v>
      </c>
      <c r="F1080" s="547" t="n">
        <v>90680</v>
      </c>
      <c r="G1080" s="1413" t="n">
        <v>0.1</v>
      </c>
      <c r="H1080" s="547" t="n">
        <f aca="false">E1080*F1080*G1080</f>
        <v>145088</v>
      </c>
      <c r="I1080" s="547" t="n">
        <f aca="false">F1080-H1080</f>
        <v>-54408</v>
      </c>
      <c r="J1080" s="547" t="n">
        <f aca="false">F1080*G1080</f>
        <v>9068</v>
      </c>
      <c r="K1080" s="1365" t="n">
        <f aca="false">J1080/1792.8</f>
        <v>5.05800981704596</v>
      </c>
      <c r="L1080" s="547" t="n">
        <v>10</v>
      </c>
      <c r="M1080" s="819" t="n">
        <f aca="false">K1080*L1080/60</f>
        <v>0.843001636174327</v>
      </c>
    </row>
    <row r="1081" customFormat="false" ht="15" hidden="false" customHeight="false" outlineLevel="0" collapsed="false">
      <c r="A1081" s="216"/>
      <c r="B1081" s="972" t="s">
        <v>4128</v>
      </c>
      <c r="C1081" s="1160"/>
      <c r="D1081" s="391"/>
      <c r="E1081" s="317"/>
      <c r="F1081" s="714"/>
      <c r="G1081" s="1414"/>
      <c r="H1081" s="547"/>
      <c r="I1081" s="547"/>
      <c r="J1081" s="547"/>
      <c r="K1081" s="1365" t="n">
        <f aca="false">J1081/1792.8</f>
        <v>0</v>
      </c>
      <c r="L1081" s="714"/>
      <c r="M1081" s="934" t="n">
        <f aca="false">M1079+M1080</f>
        <v>8.19142309980663</v>
      </c>
    </row>
    <row r="1082" customFormat="false" ht="15" hidden="false" customHeight="false" outlineLevel="0" collapsed="false">
      <c r="A1082" s="216" t="s">
        <v>730</v>
      </c>
      <c r="B1082" s="29" t="s">
        <v>3186</v>
      </c>
      <c r="C1082" s="1161" t="s">
        <v>6984</v>
      </c>
      <c r="D1082" s="912" t="n">
        <v>2007</v>
      </c>
      <c r="E1082" s="317" t="n">
        <f aca="false">2021-D1082</f>
        <v>14</v>
      </c>
      <c r="F1082" s="547" t="n">
        <v>810000</v>
      </c>
      <c r="G1082" s="1413" t="n">
        <v>0.1</v>
      </c>
      <c r="H1082" s="547" t="n">
        <f aca="false">E1082*F1082*G1082</f>
        <v>1134000</v>
      </c>
      <c r="I1082" s="547" t="n">
        <f aca="false">F1082-H1082</f>
        <v>-324000</v>
      </c>
      <c r="J1082" s="547" t="n">
        <f aca="false">F1082*G1082</f>
        <v>81000</v>
      </c>
      <c r="K1082" s="1365" t="n">
        <f aca="false">J1082/1792.8</f>
        <v>45.1807228915663</v>
      </c>
      <c r="L1082" s="547" t="n">
        <v>10</v>
      </c>
      <c r="M1082" s="934" t="n">
        <f aca="false">K1082*L1082/60</f>
        <v>7.53012048192771</v>
      </c>
    </row>
    <row r="1083" customFormat="false" ht="15" hidden="false" customHeight="false" outlineLevel="0" collapsed="false">
      <c r="A1083" s="216" t="s">
        <v>731</v>
      </c>
      <c r="B1083" s="29" t="s">
        <v>3187</v>
      </c>
      <c r="C1083" s="1161" t="s">
        <v>7021</v>
      </c>
      <c r="D1083" s="912" t="n">
        <v>2005</v>
      </c>
      <c r="E1083" s="317" t="n">
        <f aca="false">2021-D1083</f>
        <v>16</v>
      </c>
      <c r="F1083" s="547" t="n">
        <v>98600</v>
      </c>
      <c r="G1083" s="1413" t="n">
        <v>0.1</v>
      </c>
      <c r="H1083" s="547" t="n">
        <f aca="false">E1083*F1083*G1083</f>
        <v>157760</v>
      </c>
      <c r="I1083" s="547" t="n">
        <f aca="false">F1083-H1083</f>
        <v>-59160</v>
      </c>
      <c r="J1083" s="547" t="n">
        <f aca="false">F1083*G1083</f>
        <v>9860</v>
      </c>
      <c r="K1083" s="1365" t="n">
        <f aca="false">J1083/1792.8</f>
        <v>5.49977688531905</v>
      </c>
      <c r="L1083" s="547" t="n">
        <v>30</v>
      </c>
      <c r="M1083" s="819" t="n">
        <f aca="false">K1083*L1083/60</f>
        <v>2.74988844265953</v>
      </c>
    </row>
    <row r="1084" customFormat="false" ht="15" hidden="false" customHeight="false" outlineLevel="0" collapsed="false">
      <c r="A1084" s="216"/>
      <c r="B1084" s="78"/>
      <c r="C1084" s="1161" t="s">
        <v>6934</v>
      </c>
      <c r="D1084" s="912" t="n">
        <v>2005</v>
      </c>
      <c r="E1084" s="317" t="n">
        <f aca="false">2021-D1084</f>
        <v>16</v>
      </c>
      <c r="F1084" s="547" t="n">
        <v>90680</v>
      </c>
      <c r="G1084" s="1413" t="n">
        <v>0.1</v>
      </c>
      <c r="H1084" s="547" t="n">
        <f aca="false">E1084*F1084*G1084</f>
        <v>145088</v>
      </c>
      <c r="I1084" s="547" t="n">
        <f aca="false">F1084-H1084</f>
        <v>-54408</v>
      </c>
      <c r="J1084" s="547" t="n">
        <f aca="false">F1084*G1084</f>
        <v>9068</v>
      </c>
      <c r="K1084" s="1365" t="n">
        <f aca="false">J1084/1792.8</f>
        <v>5.05800981704596</v>
      </c>
      <c r="L1084" s="547" t="n">
        <v>10</v>
      </c>
      <c r="M1084" s="819" t="n">
        <f aca="false">K1084*L1084/60</f>
        <v>0.843001636174327</v>
      </c>
    </row>
    <row r="1085" customFormat="false" ht="15" hidden="false" customHeight="false" outlineLevel="0" collapsed="false">
      <c r="A1085" s="216"/>
      <c r="B1085" s="78"/>
      <c r="C1085" s="1161" t="s">
        <v>6992</v>
      </c>
      <c r="D1085" s="912" t="n">
        <v>2005</v>
      </c>
      <c r="E1085" s="317" t="n">
        <f aca="false">2021-D1085</f>
        <v>16</v>
      </c>
      <c r="F1085" s="547" t="n">
        <v>60000</v>
      </c>
      <c r="G1085" s="1413" t="n">
        <v>0.1</v>
      </c>
      <c r="H1085" s="547" t="n">
        <f aca="false">E1085*F1085*G1085</f>
        <v>96000</v>
      </c>
      <c r="I1085" s="547" t="n">
        <f aca="false">F1085-H1085</f>
        <v>-36000</v>
      </c>
      <c r="J1085" s="547" t="n">
        <f aca="false">F1085*G1085</f>
        <v>6000</v>
      </c>
      <c r="K1085" s="1365" t="n">
        <f aca="false">J1085/1792.8</f>
        <v>3.34672021419009</v>
      </c>
      <c r="L1085" s="547" t="n">
        <v>25</v>
      </c>
      <c r="M1085" s="819" t="n">
        <f aca="false">K1085*L1085/60</f>
        <v>1.39446675591254</v>
      </c>
    </row>
    <row r="1086" customFormat="false" ht="15" hidden="false" customHeight="false" outlineLevel="0" collapsed="false">
      <c r="A1086" s="216"/>
      <c r="B1086" s="972" t="s">
        <v>4128</v>
      </c>
      <c r="C1086" s="1160"/>
      <c r="D1086" s="391"/>
      <c r="E1086" s="317"/>
      <c r="F1086" s="714"/>
      <c r="G1086" s="1414"/>
      <c r="H1086" s="547"/>
      <c r="I1086" s="547"/>
      <c r="J1086" s="547"/>
      <c r="K1086" s="1365" t="n">
        <f aca="false">J1086/1792.8</f>
        <v>0</v>
      </c>
      <c r="L1086" s="714"/>
      <c r="M1086" s="934" t="n">
        <f aca="false">M1083+M1084+M1085</f>
        <v>4.98735683474639</v>
      </c>
    </row>
    <row r="1087" customFormat="false" ht="15" hidden="false" customHeight="false" outlineLevel="0" collapsed="false">
      <c r="A1087" s="216" t="s">
        <v>732</v>
      </c>
      <c r="B1087" s="29" t="s">
        <v>3147</v>
      </c>
      <c r="C1087" s="1161" t="s">
        <v>4568</v>
      </c>
      <c r="D1087" s="912" t="n">
        <v>2003</v>
      </c>
      <c r="E1087" s="317" t="n">
        <f aca="false">2021-D1087</f>
        <v>18</v>
      </c>
      <c r="F1087" s="547" t="n">
        <v>12704749</v>
      </c>
      <c r="G1087" s="1413" t="n">
        <v>0.1</v>
      </c>
      <c r="H1087" s="547" t="n">
        <f aca="false">E1087*F1087*G1087</f>
        <v>22868548.2</v>
      </c>
      <c r="I1087" s="547" t="n">
        <f aca="false">F1087-H1087</f>
        <v>-10163799.2</v>
      </c>
      <c r="J1087" s="547" t="n">
        <f aca="false">F1087*G1087</f>
        <v>1270474.9</v>
      </c>
      <c r="K1087" s="1365" t="n">
        <f aca="false">J1087/1792.8</f>
        <v>708.654004908523</v>
      </c>
      <c r="L1087" s="547" t="n">
        <v>30</v>
      </c>
      <c r="M1087" s="819" t="n">
        <f aca="false">K1087*L1087/60</f>
        <v>354.327002454262</v>
      </c>
    </row>
    <row r="1088" customFormat="false" ht="15" hidden="false" customHeight="false" outlineLevel="0" collapsed="false">
      <c r="A1088" s="216"/>
      <c r="B1088" s="78"/>
      <c r="C1088" s="1161" t="s">
        <v>6975</v>
      </c>
      <c r="D1088" s="912" t="n">
        <v>2006</v>
      </c>
      <c r="E1088" s="317" t="n">
        <f aca="false">2021-D1088</f>
        <v>15</v>
      </c>
      <c r="F1088" s="547" t="n">
        <v>147200</v>
      </c>
      <c r="G1088" s="1413" t="n">
        <v>0.1</v>
      </c>
      <c r="H1088" s="547" t="n">
        <f aca="false">E1088*F1088*G1088</f>
        <v>220800</v>
      </c>
      <c r="I1088" s="547" t="n">
        <f aca="false">F1088-H1088</f>
        <v>-73600</v>
      </c>
      <c r="J1088" s="547" t="n">
        <f aca="false">F1088*G1088</f>
        <v>14720</v>
      </c>
      <c r="K1088" s="1365" t="n">
        <f aca="false">J1088/1792.8</f>
        <v>8.21062025881303</v>
      </c>
      <c r="L1088" s="547" t="n">
        <v>30</v>
      </c>
      <c r="M1088" s="819" t="n">
        <f aca="false">K1088*L1088/60</f>
        <v>4.10531012940652</v>
      </c>
    </row>
    <row r="1089" customFormat="false" ht="15" hidden="false" customHeight="false" outlineLevel="0" collapsed="false">
      <c r="A1089" s="216"/>
      <c r="B1089" s="78"/>
      <c r="C1089" s="1161" t="s">
        <v>6979</v>
      </c>
      <c r="D1089" s="912" t="n">
        <v>2005</v>
      </c>
      <c r="E1089" s="317" t="n">
        <f aca="false">2021-D1089</f>
        <v>16</v>
      </c>
      <c r="F1089" s="547" t="n">
        <v>1400000</v>
      </c>
      <c r="G1089" s="1413" t="n">
        <v>0.1</v>
      </c>
      <c r="H1089" s="547" t="n">
        <f aca="false">E1089*F1089*G1089</f>
        <v>2240000</v>
      </c>
      <c r="I1089" s="547" t="n">
        <f aca="false">F1089-H1089</f>
        <v>-840000</v>
      </c>
      <c r="J1089" s="547" t="n">
        <f aca="false">F1089*G1089</f>
        <v>140000</v>
      </c>
      <c r="K1089" s="1365" t="n">
        <f aca="false">J1089/1792.8</f>
        <v>78.0901383311022</v>
      </c>
      <c r="L1089" s="547" t="n">
        <v>30</v>
      </c>
      <c r="M1089" s="819" t="n">
        <f aca="false">K1089*L1089/60</f>
        <v>39.0450691655511</v>
      </c>
    </row>
    <row r="1090" customFormat="false" ht="15" hidden="false" customHeight="false" outlineLevel="0" collapsed="false">
      <c r="A1090" s="216"/>
      <c r="B1090" s="78"/>
      <c r="C1090" s="1161" t="s">
        <v>6934</v>
      </c>
      <c r="D1090" s="912" t="n">
        <v>2005</v>
      </c>
      <c r="E1090" s="317" t="n">
        <f aca="false">2021-D1090</f>
        <v>16</v>
      </c>
      <c r="F1090" s="547" t="n">
        <v>90680</v>
      </c>
      <c r="G1090" s="1413" t="n">
        <v>0.1</v>
      </c>
      <c r="H1090" s="547" t="n">
        <f aca="false">E1090*F1090*G1090</f>
        <v>145088</v>
      </c>
      <c r="I1090" s="547" t="n">
        <f aca="false">F1090-H1090</f>
        <v>-54408</v>
      </c>
      <c r="J1090" s="547" t="n">
        <f aca="false">F1090*G1090</f>
        <v>9068</v>
      </c>
      <c r="K1090" s="1365" t="n">
        <f aca="false">J1090/1792.8</f>
        <v>5.05800981704596</v>
      </c>
      <c r="L1090" s="547" t="n">
        <v>10</v>
      </c>
      <c r="M1090" s="819" t="n">
        <f aca="false">K1090*L1090/60</f>
        <v>0.843001636174327</v>
      </c>
    </row>
    <row r="1091" customFormat="false" ht="15" hidden="false" customHeight="false" outlineLevel="0" collapsed="false">
      <c r="A1091" s="216"/>
      <c r="B1091" s="972" t="s">
        <v>4128</v>
      </c>
      <c r="C1091" s="1160"/>
      <c r="D1091" s="391"/>
      <c r="E1091" s="317"/>
      <c r="F1091" s="714"/>
      <c r="G1091" s="1414"/>
      <c r="H1091" s="547"/>
      <c r="I1091" s="547"/>
      <c r="J1091" s="547"/>
      <c r="K1091" s="1365" t="n">
        <f aca="false">J1091/1792.8</f>
        <v>0</v>
      </c>
      <c r="L1091" s="714"/>
      <c r="M1091" s="934" t="n">
        <f aca="false">M1087+M1088+M1089+M1090</f>
        <v>398.320383385394</v>
      </c>
    </row>
    <row r="1092" customFormat="false" ht="15" hidden="false" customHeight="false" outlineLevel="0" collapsed="false">
      <c r="A1092" s="216" t="s">
        <v>733</v>
      </c>
      <c r="B1092" s="29" t="s">
        <v>3102</v>
      </c>
      <c r="C1092" s="1161" t="s">
        <v>4568</v>
      </c>
      <c r="D1092" s="912" t="n">
        <v>2003</v>
      </c>
      <c r="E1092" s="317" t="n">
        <f aca="false">2021-D1092</f>
        <v>18</v>
      </c>
      <c r="F1092" s="547" t="n">
        <v>12704749</v>
      </c>
      <c r="G1092" s="1413" t="n">
        <v>0.1</v>
      </c>
      <c r="H1092" s="547" t="n">
        <f aca="false">E1092*F1092*G1092</f>
        <v>22868548.2</v>
      </c>
      <c r="I1092" s="547" t="n">
        <f aca="false">F1092-H1092</f>
        <v>-10163799.2</v>
      </c>
      <c r="J1092" s="547" t="n">
        <f aca="false">F1092*G1092</f>
        <v>1270474.9</v>
      </c>
      <c r="K1092" s="1365" t="n">
        <f aca="false">J1092/1792.8</f>
        <v>708.654004908523</v>
      </c>
      <c r="L1092" s="547" t="n">
        <v>40</v>
      </c>
      <c r="M1092" s="819" t="n">
        <f aca="false">K1092*L1092/60</f>
        <v>472.436003272349</v>
      </c>
    </row>
    <row r="1093" customFormat="false" ht="15" hidden="false" customHeight="false" outlineLevel="0" collapsed="false">
      <c r="A1093" s="216"/>
      <c r="B1093" s="78"/>
      <c r="C1093" s="1161" t="s">
        <v>6975</v>
      </c>
      <c r="D1093" s="912" t="n">
        <v>2006</v>
      </c>
      <c r="E1093" s="317" t="n">
        <f aca="false">2021-D1093</f>
        <v>15</v>
      </c>
      <c r="F1093" s="547" t="n">
        <v>147200</v>
      </c>
      <c r="G1093" s="1413" t="n">
        <v>0.1</v>
      </c>
      <c r="H1093" s="547" t="n">
        <f aca="false">E1093*F1093*G1093</f>
        <v>220800</v>
      </c>
      <c r="I1093" s="547" t="n">
        <f aca="false">F1093-H1093</f>
        <v>-73600</v>
      </c>
      <c r="J1093" s="547" t="n">
        <f aca="false">F1093*G1093</f>
        <v>14720</v>
      </c>
      <c r="K1093" s="1365" t="n">
        <f aca="false">J1093/1792.8</f>
        <v>8.21062025881303</v>
      </c>
      <c r="L1093" s="547" t="n">
        <v>30</v>
      </c>
      <c r="M1093" s="819" t="n">
        <f aca="false">K1093*L1093/60</f>
        <v>4.10531012940652</v>
      </c>
    </row>
    <row r="1094" customFormat="false" ht="15" hidden="false" customHeight="false" outlineLevel="0" collapsed="false">
      <c r="A1094" s="216"/>
      <c r="B1094" s="78"/>
      <c r="C1094" s="1161" t="s">
        <v>6979</v>
      </c>
      <c r="D1094" s="912" t="n">
        <v>2005</v>
      </c>
      <c r="E1094" s="317" t="n">
        <f aca="false">2021-D1094</f>
        <v>16</v>
      </c>
      <c r="F1094" s="547" t="n">
        <v>1400000</v>
      </c>
      <c r="G1094" s="1413" t="n">
        <v>0.1</v>
      </c>
      <c r="H1094" s="547" t="n">
        <f aca="false">E1094*F1094*G1094</f>
        <v>2240000</v>
      </c>
      <c r="I1094" s="547" t="n">
        <f aca="false">F1094-H1094</f>
        <v>-840000</v>
      </c>
      <c r="J1094" s="547" t="n">
        <f aca="false">F1094*G1094</f>
        <v>140000</v>
      </c>
      <c r="K1094" s="1365" t="n">
        <f aca="false">J1094/1792.8</f>
        <v>78.0901383311022</v>
      </c>
      <c r="L1094" s="547" t="n">
        <v>30</v>
      </c>
      <c r="M1094" s="819" t="n">
        <f aca="false">K1094*L1094/60</f>
        <v>39.0450691655511</v>
      </c>
    </row>
    <row r="1095" customFormat="false" ht="15" hidden="false" customHeight="false" outlineLevel="0" collapsed="false">
      <c r="A1095" s="216"/>
      <c r="B1095" s="78"/>
      <c r="C1095" s="1161" t="s">
        <v>6934</v>
      </c>
      <c r="D1095" s="912" t="n">
        <v>2005</v>
      </c>
      <c r="E1095" s="317" t="n">
        <f aca="false">2021-D1095</f>
        <v>16</v>
      </c>
      <c r="F1095" s="547" t="n">
        <v>90680</v>
      </c>
      <c r="G1095" s="1413" t="n">
        <v>0.1</v>
      </c>
      <c r="H1095" s="547" t="n">
        <f aca="false">E1095*F1095*G1095</f>
        <v>145088</v>
      </c>
      <c r="I1095" s="547" t="n">
        <f aca="false">F1095-H1095</f>
        <v>-54408</v>
      </c>
      <c r="J1095" s="547" t="n">
        <f aca="false">F1095*G1095</f>
        <v>9068</v>
      </c>
      <c r="K1095" s="1365" t="n">
        <f aca="false">J1095/1792.8</f>
        <v>5.05800981704596</v>
      </c>
      <c r="L1095" s="547" t="n">
        <v>10</v>
      </c>
      <c r="M1095" s="819" t="n">
        <f aca="false">K1095*L1095/60</f>
        <v>0.843001636174327</v>
      </c>
    </row>
    <row r="1096" customFormat="false" ht="15" hidden="false" customHeight="false" outlineLevel="0" collapsed="false">
      <c r="A1096" s="216"/>
      <c r="B1096" s="972" t="s">
        <v>4128</v>
      </c>
      <c r="C1096" s="1160"/>
      <c r="D1096" s="391"/>
      <c r="E1096" s="317"/>
      <c r="F1096" s="714"/>
      <c r="G1096" s="1414"/>
      <c r="H1096" s="547"/>
      <c r="I1096" s="547"/>
      <c r="J1096" s="547"/>
      <c r="K1096" s="1365" t="n">
        <f aca="false">J1096/1792.8</f>
        <v>0</v>
      </c>
      <c r="L1096" s="714"/>
      <c r="M1096" s="934" t="n">
        <f aca="false">M1092+M1093+M1094+M1095</f>
        <v>516.429384203481</v>
      </c>
    </row>
    <row r="1097" customFormat="false" ht="15" hidden="false" customHeight="false" outlineLevel="0" collapsed="false">
      <c r="A1097" s="216" t="s">
        <v>734</v>
      </c>
      <c r="B1097" s="29" t="s">
        <v>3188</v>
      </c>
      <c r="C1097" s="1161" t="s">
        <v>4568</v>
      </c>
      <c r="D1097" s="912" t="n">
        <v>2003</v>
      </c>
      <c r="E1097" s="317" t="n">
        <f aca="false">2021-D1097</f>
        <v>18</v>
      </c>
      <c r="F1097" s="547" t="n">
        <v>12704749</v>
      </c>
      <c r="G1097" s="1413" t="n">
        <v>0.1</v>
      </c>
      <c r="H1097" s="547" t="n">
        <f aca="false">E1097*F1097*G1097</f>
        <v>22868548.2</v>
      </c>
      <c r="I1097" s="547" t="n">
        <f aca="false">F1097-H1097</f>
        <v>-10163799.2</v>
      </c>
      <c r="J1097" s="547" t="n">
        <f aca="false">F1097*G1097</f>
        <v>1270474.9</v>
      </c>
      <c r="K1097" s="1365" t="n">
        <f aca="false">J1097/1792.8</f>
        <v>708.654004908523</v>
      </c>
      <c r="L1097" s="547" t="n">
        <v>40</v>
      </c>
      <c r="M1097" s="819" t="n">
        <f aca="false">K1097*L1097/60</f>
        <v>472.436003272349</v>
      </c>
    </row>
    <row r="1098" customFormat="false" ht="15" hidden="false" customHeight="false" outlineLevel="0" collapsed="false">
      <c r="A1098" s="216"/>
      <c r="B1098" s="78"/>
      <c r="C1098" s="1161" t="s">
        <v>6975</v>
      </c>
      <c r="D1098" s="912" t="n">
        <v>2006</v>
      </c>
      <c r="E1098" s="317" t="n">
        <f aca="false">2021-D1098</f>
        <v>15</v>
      </c>
      <c r="F1098" s="547" t="n">
        <v>147200</v>
      </c>
      <c r="G1098" s="1413" t="n">
        <v>0.1</v>
      </c>
      <c r="H1098" s="547" t="n">
        <f aca="false">E1098*F1098*G1098</f>
        <v>220800</v>
      </c>
      <c r="I1098" s="547" t="n">
        <f aca="false">F1098-H1098</f>
        <v>-73600</v>
      </c>
      <c r="J1098" s="547" t="n">
        <f aca="false">F1098*G1098</f>
        <v>14720</v>
      </c>
      <c r="K1098" s="1365" t="n">
        <f aca="false">J1098/1792.8</f>
        <v>8.21062025881303</v>
      </c>
      <c r="L1098" s="547" t="n">
        <v>30</v>
      </c>
      <c r="M1098" s="819" t="n">
        <f aca="false">K1098*L1098/60</f>
        <v>4.10531012940652</v>
      </c>
    </row>
    <row r="1099" customFormat="false" ht="15" hidden="false" customHeight="false" outlineLevel="0" collapsed="false">
      <c r="A1099" s="216"/>
      <c r="B1099" s="78"/>
      <c r="C1099" s="1161" t="s">
        <v>6979</v>
      </c>
      <c r="D1099" s="912" t="n">
        <v>2005</v>
      </c>
      <c r="E1099" s="317" t="n">
        <f aca="false">2021-D1099</f>
        <v>16</v>
      </c>
      <c r="F1099" s="547" t="n">
        <v>1400000</v>
      </c>
      <c r="G1099" s="1413" t="n">
        <v>0.1</v>
      </c>
      <c r="H1099" s="547" t="n">
        <f aca="false">E1099*F1099*G1099</f>
        <v>2240000</v>
      </c>
      <c r="I1099" s="547" t="n">
        <f aca="false">F1099-H1099</f>
        <v>-840000</v>
      </c>
      <c r="J1099" s="547" t="n">
        <f aca="false">F1099*G1099</f>
        <v>140000</v>
      </c>
      <c r="K1099" s="1365" t="n">
        <f aca="false">J1099/1792.8</f>
        <v>78.0901383311022</v>
      </c>
      <c r="L1099" s="547" t="n">
        <v>30</v>
      </c>
      <c r="M1099" s="819" t="n">
        <f aca="false">K1099*L1099/60</f>
        <v>39.0450691655511</v>
      </c>
    </row>
    <row r="1100" customFormat="false" ht="15" hidden="false" customHeight="false" outlineLevel="0" collapsed="false">
      <c r="A1100" s="216"/>
      <c r="B1100" s="78"/>
      <c r="C1100" s="1161" t="s">
        <v>6934</v>
      </c>
      <c r="D1100" s="912" t="n">
        <v>2005</v>
      </c>
      <c r="E1100" s="317" t="n">
        <f aca="false">2021-D1100</f>
        <v>16</v>
      </c>
      <c r="F1100" s="547" t="n">
        <v>90680</v>
      </c>
      <c r="G1100" s="1413" t="n">
        <v>0.1</v>
      </c>
      <c r="H1100" s="547" t="n">
        <f aca="false">E1100*F1100*G1100</f>
        <v>145088</v>
      </c>
      <c r="I1100" s="547" t="n">
        <f aca="false">F1100-H1100</f>
        <v>-54408</v>
      </c>
      <c r="J1100" s="547" t="n">
        <f aca="false">F1100*G1100</f>
        <v>9068</v>
      </c>
      <c r="K1100" s="1365" t="n">
        <f aca="false">J1100/1792.8</f>
        <v>5.05800981704596</v>
      </c>
      <c r="L1100" s="547" t="n">
        <v>10</v>
      </c>
      <c r="M1100" s="819" t="n">
        <f aca="false">K1100*L1100/60</f>
        <v>0.843001636174327</v>
      </c>
    </row>
    <row r="1101" customFormat="false" ht="15" hidden="false" customHeight="false" outlineLevel="0" collapsed="false">
      <c r="A1101" s="216"/>
      <c r="B1101" s="972" t="s">
        <v>4128</v>
      </c>
      <c r="C1101" s="1160"/>
      <c r="D1101" s="391"/>
      <c r="E1101" s="317"/>
      <c r="F1101" s="714"/>
      <c r="G1101" s="1414"/>
      <c r="H1101" s="547"/>
      <c r="I1101" s="547"/>
      <c r="J1101" s="547"/>
      <c r="K1101" s="1365" t="n">
        <f aca="false">J1101/1792.8</f>
        <v>0</v>
      </c>
      <c r="L1101" s="714"/>
      <c r="M1101" s="934" t="n">
        <f aca="false">M1097+M1098+M1099+M1100</f>
        <v>516.429384203481</v>
      </c>
    </row>
    <row r="1102" customFormat="false" ht="15" hidden="false" customHeight="false" outlineLevel="0" collapsed="false">
      <c r="A1102" s="216" t="s">
        <v>736</v>
      </c>
      <c r="B1102" s="29" t="s">
        <v>3189</v>
      </c>
      <c r="C1102" s="1161" t="s">
        <v>6974</v>
      </c>
      <c r="D1102" s="912" t="n">
        <v>2006</v>
      </c>
      <c r="E1102" s="317" t="n">
        <f aca="false">2021-D1102</f>
        <v>15</v>
      </c>
      <c r="F1102" s="547" t="n">
        <v>526970</v>
      </c>
      <c r="G1102" s="1413" t="n">
        <v>0.1</v>
      </c>
      <c r="H1102" s="547" t="n">
        <f aca="false">E1102*F1102*G1102</f>
        <v>790455</v>
      </c>
      <c r="I1102" s="547" t="n">
        <f aca="false">F1102-H1102</f>
        <v>-263485</v>
      </c>
      <c r="J1102" s="547" t="n">
        <f aca="false">F1102*G1102</f>
        <v>52697</v>
      </c>
      <c r="K1102" s="1365" t="n">
        <f aca="false">J1102/1792.8</f>
        <v>29.3936858545292</v>
      </c>
      <c r="L1102" s="547" t="n">
        <v>15</v>
      </c>
      <c r="M1102" s="819" t="n">
        <f aca="false">K1102*L1102/60</f>
        <v>7.34842146363231</v>
      </c>
    </row>
    <row r="1103" customFormat="false" ht="15" hidden="false" customHeight="false" outlineLevel="0" collapsed="false">
      <c r="A1103" s="216"/>
      <c r="B1103" s="78"/>
      <c r="C1103" s="1161" t="s">
        <v>6975</v>
      </c>
      <c r="D1103" s="912" t="n">
        <v>2006</v>
      </c>
      <c r="E1103" s="317" t="n">
        <f aca="false">2021-D1103</f>
        <v>15</v>
      </c>
      <c r="F1103" s="547" t="n">
        <v>147200</v>
      </c>
      <c r="G1103" s="1413" t="n">
        <v>0.1</v>
      </c>
      <c r="H1103" s="547" t="n">
        <f aca="false">E1103*F1103*G1103</f>
        <v>220800</v>
      </c>
      <c r="I1103" s="547" t="n">
        <f aca="false">F1103-H1103</f>
        <v>-73600</v>
      </c>
      <c r="J1103" s="547" t="n">
        <f aca="false">F1103*G1103</f>
        <v>14720</v>
      </c>
      <c r="K1103" s="1365" t="n">
        <f aca="false">J1103/1792.8</f>
        <v>8.21062025881303</v>
      </c>
      <c r="L1103" s="547" t="n">
        <v>30</v>
      </c>
      <c r="M1103" s="819" t="n">
        <f aca="false">K1103*L1103/60</f>
        <v>4.10531012940652</v>
      </c>
    </row>
    <row r="1104" customFormat="false" ht="15" hidden="false" customHeight="false" outlineLevel="0" collapsed="false">
      <c r="A1104" s="216"/>
      <c r="B1104" s="78"/>
      <c r="C1104" s="1161" t="s">
        <v>6979</v>
      </c>
      <c r="D1104" s="912" t="n">
        <v>2005</v>
      </c>
      <c r="E1104" s="317" t="n">
        <f aca="false">2021-D1104</f>
        <v>16</v>
      </c>
      <c r="F1104" s="547" t="n">
        <v>1400000</v>
      </c>
      <c r="G1104" s="1413" t="n">
        <v>0.1</v>
      </c>
      <c r="H1104" s="547" t="n">
        <f aca="false">E1104*F1104*G1104</f>
        <v>2240000</v>
      </c>
      <c r="I1104" s="547" t="n">
        <f aca="false">F1104-H1104</f>
        <v>-840000</v>
      </c>
      <c r="J1104" s="547" t="n">
        <f aca="false">F1104*G1104</f>
        <v>140000</v>
      </c>
      <c r="K1104" s="1365" t="n">
        <f aca="false">J1104/1792.8</f>
        <v>78.0901383311022</v>
      </c>
      <c r="L1104" s="547" t="n">
        <v>30</v>
      </c>
      <c r="M1104" s="819" t="n">
        <f aca="false">K1104*L1104/60</f>
        <v>39.0450691655511</v>
      </c>
    </row>
    <row r="1105" customFormat="false" ht="15" hidden="false" customHeight="false" outlineLevel="0" collapsed="false">
      <c r="A1105" s="216"/>
      <c r="B1105" s="78"/>
      <c r="C1105" s="1161" t="s">
        <v>6934</v>
      </c>
      <c r="D1105" s="912" t="n">
        <v>2005</v>
      </c>
      <c r="E1105" s="317" t="n">
        <f aca="false">2021-D1105</f>
        <v>16</v>
      </c>
      <c r="F1105" s="547" t="n">
        <v>90680</v>
      </c>
      <c r="G1105" s="1413" t="n">
        <v>0.1</v>
      </c>
      <c r="H1105" s="547" t="n">
        <f aca="false">E1105*F1105*G1105</f>
        <v>145088</v>
      </c>
      <c r="I1105" s="547" t="n">
        <f aca="false">F1105-H1105</f>
        <v>-54408</v>
      </c>
      <c r="J1105" s="547" t="n">
        <f aca="false">F1105*G1105</f>
        <v>9068</v>
      </c>
      <c r="K1105" s="1365" t="n">
        <f aca="false">J1105/1792.8</f>
        <v>5.05800981704596</v>
      </c>
      <c r="L1105" s="547" t="n">
        <v>10</v>
      </c>
      <c r="M1105" s="819" t="n">
        <f aca="false">K1105*L1105/60</f>
        <v>0.843001636174327</v>
      </c>
    </row>
    <row r="1106" customFormat="false" ht="15" hidden="false" customHeight="false" outlineLevel="0" collapsed="false">
      <c r="A1106" s="216"/>
      <c r="B1106" s="972" t="s">
        <v>4128</v>
      </c>
      <c r="C1106" s="1160"/>
      <c r="D1106" s="391"/>
      <c r="E1106" s="317"/>
      <c r="F1106" s="714"/>
      <c r="G1106" s="1414"/>
      <c r="H1106" s="547"/>
      <c r="I1106" s="547"/>
      <c r="J1106" s="547"/>
      <c r="K1106" s="1365" t="n">
        <f aca="false">J1106/1792.8</f>
        <v>0</v>
      </c>
      <c r="L1106" s="714"/>
      <c r="M1106" s="934" t="n">
        <f aca="false">M1102+M1103+M1104+M1105</f>
        <v>51.3418023947642</v>
      </c>
    </row>
    <row r="1107" customFormat="false" ht="15" hidden="false" customHeight="false" outlineLevel="0" collapsed="false">
      <c r="A1107" s="216" t="s">
        <v>737</v>
      </c>
      <c r="B1107" s="29" t="s">
        <v>3148</v>
      </c>
      <c r="C1107" s="1161" t="s">
        <v>6974</v>
      </c>
      <c r="D1107" s="912" t="n">
        <v>2006</v>
      </c>
      <c r="E1107" s="317" t="n">
        <f aca="false">2021-D1107</f>
        <v>15</v>
      </c>
      <c r="F1107" s="547" t="n">
        <v>526970</v>
      </c>
      <c r="G1107" s="1413" t="n">
        <v>0.1</v>
      </c>
      <c r="H1107" s="547" t="n">
        <f aca="false">E1107*F1107*G1107</f>
        <v>790455</v>
      </c>
      <c r="I1107" s="547" t="n">
        <f aca="false">F1107-H1107</f>
        <v>-263485</v>
      </c>
      <c r="J1107" s="547" t="n">
        <f aca="false">F1107*G1107</f>
        <v>52697</v>
      </c>
      <c r="K1107" s="1365" t="n">
        <f aca="false">J1107/1792.8</f>
        <v>29.3936858545292</v>
      </c>
      <c r="L1107" s="547" t="n">
        <v>15</v>
      </c>
      <c r="M1107" s="819" t="n">
        <f aca="false">K1107*L1107/60</f>
        <v>7.34842146363231</v>
      </c>
    </row>
    <row r="1108" customFormat="false" ht="15" hidden="false" customHeight="false" outlineLevel="0" collapsed="false">
      <c r="A1108" s="216"/>
      <c r="B1108" s="78"/>
      <c r="C1108" s="1161" t="s">
        <v>4568</v>
      </c>
      <c r="D1108" s="912" t="n">
        <v>2003</v>
      </c>
      <c r="E1108" s="317" t="n">
        <f aca="false">2021-D1108</f>
        <v>18</v>
      </c>
      <c r="F1108" s="547" t="n">
        <v>12704749</v>
      </c>
      <c r="G1108" s="1413" t="n">
        <v>0.1</v>
      </c>
      <c r="H1108" s="547" t="n">
        <f aca="false">E1108*F1108*G1108</f>
        <v>22868548.2</v>
      </c>
      <c r="I1108" s="547" t="n">
        <f aca="false">F1108-H1108</f>
        <v>-10163799.2</v>
      </c>
      <c r="J1108" s="547" t="n">
        <f aca="false">F1108*G1108</f>
        <v>1270474.9</v>
      </c>
      <c r="K1108" s="1365" t="n">
        <f aca="false">J1108/1792.8</f>
        <v>708.654004908523</v>
      </c>
      <c r="L1108" s="547" t="n">
        <v>40</v>
      </c>
      <c r="M1108" s="819" t="n">
        <f aca="false">K1108*L1108/60</f>
        <v>472.436003272349</v>
      </c>
    </row>
    <row r="1109" customFormat="false" ht="15" hidden="false" customHeight="false" outlineLevel="0" collapsed="false">
      <c r="A1109" s="216"/>
      <c r="B1109" s="78"/>
      <c r="C1109" s="1161" t="s">
        <v>6975</v>
      </c>
      <c r="D1109" s="912" t="n">
        <v>2006</v>
      </c>
      <c r="E1109" s="317" t="n">
        <f aca="false">2021-D1109</f>
        <v>15</v>
      </c>
      <c r="F1109" s="547" t="n">
        <v>147200</v>
      </c>
      <c r="G1109" s="1413" t="n">
        <v>0.1</v>
      </c>
      <c r="H1109" s="547" t="n">
        <f aca="false">E1109*F1109*G1109</f>
        <v>220800</v>
      </c>
      <c r="I1109" s="547" t="n">
        <f aca="false">F1109-H1109</f>
        <v>-73600</v>
      </c>
      <c r="J1109" s="547" t="n">
        <f aca="false">F1109*G1109</f>
        <v>14720</v>
      </c>
      <c r="K1109" s="1365" t="n">
        <f aca="false">J1109/1792.8</f>
        <v>8.21062025881303</v>
      </c>
      <c r="L1109" s="547" t="n">
        <v>30</v>
      </c>
      <c r="M1109" s="819" t="n">
        <f aca="false">K1109*L1109/60</f>
        <v>4.10531012940652</v>
      </c>
    </row>
    <row r="1110" customFormat="false" ht="15" hidden="false" customHeight="false" outlineLevel="0" collapsed="false">
      <c r="A1110" s="216"/>
      <c r="B1110" s="78"/>
      <c r="C1110" s="1161" t="s">
        <v>6979</v>
      </c>
      <c r="D1110" s="912" t="n">
        <v>2005</v>
      </c>
      <c r="E1110" s="317" t="n">
        <f aca="false">2021-D1110</f>
        <v>16</v>
      </c>
      <c r="F1110" s="547" t="n">
        <v>1400000</v>
      </c>
      <c r="G1110" s="1413" t="n">
        <v>0.1</v>
      </c>
      <c r="H1110" s="547" t="n">
        <f aca="false">E1110*F1110*G1110</f>
        <v>2240000</v>
      </c>
      <c r="I1110" s="547" t="n">
        <f aca="false">F1110-H1110</f>
        <v>-840000</v>
      </c>
      <c r="J1110" s="547" t="n">
        <f aca="false">F1110*G1110</f>
        <v>140000</v>
      </c>
      <c r="K1110" s="1365" t="n">
        <f aca="false">J1110/1792.8</f>
        <v>78.0901383311022</v>
      </c>
      <c r="L1110" s="547" t="n">
        <v>30</v>
      </c>
      <c r="M1110" s="819" t="n">
        <f aca="false">K1110*L1110/60</f>
        <v>39.0450691655511</v>
      </c>
    </row>
    <row r="1111" customFormat="false" ht="15" hidden="false" customHeight="false" outlineLevel="0" collapsed="false">
      <c r="A1111" s="216"/>
      <c r="B1111" s="78"/>
      <c r="C1111" s="1161" t="s">
        <v>6934</v>
      </c>
      <c r="D1111" s="912" t="n">
        <v>2005</v>
      </c>
      <c r="E1111" s="317" t="n">
        <f aca="false">2021-D1111</f>
        <v>16</v>
      </c>
      <c r="F1111" s="547" t="n">
        <v>90680</v>
      </c>
      <c r="G1111" s="1413" t="n">
        <v>0.1</v>
      </c>
      <c r="H1111" s="547" t="n">
        <f aca="false">E1111*F1111*G1111</f>
        <v>145088</v>
      </c>
      <c r="I1111" s="547" t="n">
        <f aca="false">F1111-H1111</f>
        <v>-54408</v>
      </c>
      <c r="J1111" s="547" t="n">
        <f aca="false">F1111*G1111</f>
        <v>9068</v>
      </c>
      <c r="K1111" s="1365" t="n">
        <f aca="false">J1111/1792.8</f>
        <v>5.05800981704596</v>
      </c>
      <c r="L1111" s="547" t="n">
        <v>10</v>
      </c>
      <c r="M1111" s="819" t="n">
        <f aca="false">K1111*L1111/60</f>
        <v>0.843001636174327</v>
      </c>
    </row>
    <row r="1112" customFormat="false" ht="15" hidden="false" customHeight="false" outlineLevel="0" collapsed="false">
      <c r="A1112" s="216"/>
      <c r="B1112" s="78"/>
      <c r="C1112" s="1161" t="s">
        <v>6943</v>
      </c>
      <c r="D1112" s="912" t="n">
        <v>2006</v>
      </c>
      <c r="E1112" s="317" t="n">
        <f aca="false">2021-D1112</f>
        <v>15</v>
      </c>
      <c r="F1112" s="547" t="n">
        <v>1503927</v>
      </c>
      <c r="G1112" s="1413" t="n">
        <v>0.1</v>
      </c>
      <c r="H1112" s="547" t="n">
        <f aca="false">E1112*F1112*G1112</f>
        <v>2255890.5</v>
      </c>
      <c r="I1112" s="547" t="n">
        <f aca="false">F1112-H1112</f>
        <v>-751963.5</v>
      </c>
      <c r="J1112" s="547" t="n">
        <f aca="false">F1112*G1112</f>
        <v>150392.7</v>
      </c>
      <c r="K1112" s="1365" t="n">
        <f aca="false">J1112/1792.8</f>
        <v>83.8870481927711</v>
      </c>
      <c r="L1112" s="547" t="n">
        <v>40</v>
      </c>
      <c r="M1112" s="819" t="n">
        <f aca="false">K1112*L1112/60</f>
        <v>55.9246987951807</v>
      </c>
    </row>
    <row r="1113" customFormat="false" ht="15" hidden="false" customHeight="false" outlineLevel="0" collapsed="false">
      <c r="A1113" s="216"/>
      <c r="B1113" s="972" t="s">
        <v>4128</v>
      </c>
      <c r="C1113" s="1160"/>
      <c r="D1113" s="391"/>
      <c r="E1113" s="317"/>
      <c r="F1113" s="714"/>
      <c r="G1113" s="1414"/>
      <c r="H1113" s="547"/>
      <c r="I1113" s="547"/>
      <c r="J1113" s="547"/>
      <c r="K1113" s="1365" t="n">
        <f aca="false">J1113/1792.8</f>
        <v>0</v>
      </c>
      <c r="L1113" s="714"/>
      <c r="M1113" s="934" t="n">
        <f aca="false">M1107+M1108+M1109+M1110+M1111+M1112</f>
        <v>579.702504462294</v>
      </c>
    </row>
    <row r="1114" customFormat="false" ht="15" hidden="false" customHeight="false" outlineLevel="0" collapsed="false">
      <c r="A1114" s="216" t="s">
        <v>738</v>
      </c>
      <c r="B1114" s="29" t="s">
        <v>3149</v>
      </c>
      <c r="C1114" s="1161" t="s">
        <v>6974</v>
      </c>
      <c r="D1114" s="912" t="n">
        <v>2006</v>
      </c>
      <c r="E1114" s="317" t="n">
        <f aca="false">2021-D1114</f>
        <v>15</v>
      </c>
      <c r="F1114" s="547" t="n">
        <v>526970</v>
      </c>
      <c r="G1114" s="1413" t="n">
        <v>0.1</v>
      </c>
      <c r="H1114" s="547" t="n">
        <f aca="false">E1114*F1114*G1114</f>
        <v>790455</v>
      </c>
      <c r="I1114" s="547" t="n">
        <f aca="false">F1114-H1114</f>
        <v>-263485</v>
      </c>
      <c r="J1114" s="547" t="n">
        <f aca="false">F1114*G1114</f>
        <v>52697</v>
      </c>
      <c r="K1114" s="1365" t="n">
        <f aca="false">J1114/1792.8</f>
        <v>29.3936858545292</v>
      </c>
      <c r="L1114" s="547" t="n">
        <v>15</v>
      </c>
      <c r="M1114" s="819" t="n">
        <f aca="false">K1114*L1114/60</f>
        <v>7.34842146363231</v>
      </c>
    </row>
    <row r="1115" customFormat="false" ht="15" hidden="false" customHeight="false" outlineLevel="0" collapsed="false">
      <c r="A1115" s="216"/>
      <c r="B1115" s="78"/>
      <c r="C1115" s="1161" t="s">
        <v>4568</v>
      </c>
      <c r="D1115" s="912" t="n">
        <v>2003</v>
      </c>
      <c r="E1115" s="317" t="n">
        <f aca="false">2021-D1115</f>
        <v>18</v>
      </c>
      <c r="F1115" s="547" t="n">
        <v>12704749</v>
      </c>
      <c r="G1115" s="1413" t="n">
        <v>0.1</v>
      </c>
      <c r="H1115" s="547" t="n">
        <f aca="false">E1115*F1115*G1115</f>
        <v>22868548.2</v>
      </c>
      <c r="I1115" s="547" t="n">
        <f aca="false">F1115-H1115</f>
        <v>-10163799.2</v>
      </c>
      <c r="J1115" s="547" t="n">
        <f aca="false">F1115*G1115</f>
        <v>1270474.9</v>
      </c>
      <c r="K1115" s="1365" t="n">
        <f aca="false">J1115/1792.8</f>
        <v>708.654004908523</v>
      </c>
      <c r="L1115" s="547" t="n">
        <v>155</v>
      </c>
      <c r="M1115" s="819" t="n">
        <f aca="false">K1115*L1115/60</f>
        <v>1830.68951268035</v>
      </c>
    </row>
    <row r="1116" customFormat="false" ht="15" hidden="false" customHeight="false" outlineLevel="0" collapsed="false">
      <c r="A1116" s="216"/>
      <c r="B1116" s="78"/>
      <c r="C1116" s="1161" t="s">
        <v>6934</v>
      </c>
      <c r="D1116" s="912" t="n">
        <v>2005</v>
      </c>
      <c r="E1116" s="317" t="n">
        <f aca="false">2021-D1116</f>
        <v>16</v>
      </c>
      <c r="F1116" s="547" t="n">
        <v>90680</v>
      </c>
      <c r="G1116" s="1413" t="n">
        <v>0.1</v>
      </c>
      <c r="H1116" s="547" t="n">
        <f aca="false">E1116*F1116*G1116</f>
        <v>145088</v>
      </c>
      <c r="I1116" s="547" t="n">
        <f aca="false">F1116-H1116</f>
        <v>-54408</v>
      </c>
      <c r="J1116" s="547" t="n">
        <f aca="false">F1116*G1116</f>
        <v>9068</v>
      </c>
      <c r="K1116" s="1365" t="n">
        <f aca="false">J1116/1792.8</f>
        <v>5.05800981704596</v>
      </c>
      <c r="L1116" s="547" t="n">
        <v>10</v>
      </c>
      <c r="M1116" s="819" t="n">
        <f aca="false">K1116*L1116/60</f>
        <v>0.843001636174327</v>
      </c>
    </row>
    <row r="1117" customFormat="false" ht="15" hidden="false" customHeight="false" outlineLevel="0" collapsed="false">
      <c r="A1117" s="216"/>
      <c r="B1117" s="972" t="s">
        <v>4128</v>
      </c>
      <c r="C1117" s="1160"/>
      <c r="D1117" s="391"/>
      <c r="E1117" s="317"/>
      <c r="F1117" s="714"/>
      <c r="G1117" s="1414"/>
      <c r="H1117" s="547"/>
      <c r="I1117" s="547"/>
      <c r="J1117" s="547"/>
      <c r="K1117" s="1365" t="n">
        <f aca="false">J1117/1792.8</f>
        <v>0</v>
      </c>
      <c r="L1117" s="714"/>
      <c r="M1117" s="934" t="n">
        <f aca="false">M1114+M1115+M1116</f>
        <v>1838.88093578016</v>
      </c>
    </row>
    <row r="1118" customFormat="false" ht="15" hidden="false" customHeight="false" outlineLevel="0" collapsed="false">
      <c r="A1118" s="216" t="s">
        <v>739</v>
      </c>
      <c r="B1118" s="29" t="s">
        <v>3150</v>
      </c>
      <c r="C1118" s="1161" t="s">
        <v>6934</v>
      </c>
      <c r="D1118" s="912" t="n">
        <v>2005</v>
      </c>
      <c r="E1118" s="317" t="n">
        <f aca="false">2021-D1118</f>
        <v>16</v>
      </c>
      <c r="F1118" s="547" t="n">
        <v>90680</v>
      </c>
      <c r="G1118" s="1413" t="n">
        <v>0.1</v>
      </c>
      <c r="H1118" s="547" t="n">
        <f aca="false">E1118*F1118*G1118</f>
        <v>145088</v>
      </c>
      <c r="I1118" s="547" t="n">
        <f aca="false">F1118-H1118</f>
        <v>-54408</v>
      </c>
      <c r="J1118" s="547" t="n">
        <f aca="false">F1118*G1118</f>
        <v>9068</v>
      </c>
      <c r="K1118" s="1365" t="n">
        <f aca="false">J1118/1792.8</f>
        <v>5.05800981704596</v>
      </c>
      <c r="L1118" s="547" t="n">
        <v>25</v>
      </c>
      <c r="M1118" s="819" t="n">
        <f aca="false">K1118*L1118/60</f>
        <v>2.10750409043582</v>
      </c>
    </row>
    <row r="1119" customFormat="false" ht="15" hidden="false" customHeight="false" outlineLevel="0" collapsed="false">
      <c r="A1119" s="216"/>
      <c r="B1119" s="78"/>
      <c r="C1119" s="1161" t="s">
        <v>6997</v>
      </c>
      <c r="D1119" s="912" t="n">
        <v>2009</v>
      </c>
      <c r="E1119" s="317" t="n">
        <f aca="false">2021-D1119</f>
        <v>12</v>
      </c>
      <c r="F1119" s="547" t="n">
        <v>181000</v>
      </c>
      <c r="G1119" s="1413" t="n">
        <v>0.1</v>
      </c>
      <c r="H1119" s="547" t="n">
        <f aca="false">E1119*F1119*G1119</f>
        <v>217200</v>
      </c>
      <c r="I1119" s="547" t="n">
        <f aca="false">F1119-H1119</f>
        <v>-36200</v>
      </c>
      <c r="J1119" s="547" t="n">
        <f aca="false">F1119*G1119</f>
        <v>18100</v>
      </c>
      <c r="K1119" s="1365" t="n">
        <f aca="false">J1119/1792.8</f>
        <v>10.0959393128068</v>
      </c>
      <c r="L1119" s="547" t="n">
        <v>15</v>
      </c>
      <c r="M1119" s="819" t="n">
        <f aca="false">K1119*L1119/60</f>
        <v>2.5239848282017</v>
      </c>
    </row>
    <row r="1120" customFormat="false" ht="15" hidden="false" customHeight="false" outlineLevel="0" collapsed="false">
      <c r="A1120" s="216"/>
      <c r="B1120" s="972" t="s">
        <v>4128</v>
      </c>
      <c r="C1120" s="1160"/>
      <c r="D1120" s="391"/>
      <c r="E1120" s="317"/>
      <c r="F1120" s="714"/>
      <c r="G1120" s="1414"/>
      <c r="H1120" s="547"/>
      <c r="I1120" s="547"/>
      <c r="J1120" s="547"/>
      <c r="K1120" s="1365" t="n">
        <f aca="false">J1120/1792.8</f>
        <v>0</v>
      </c>
      <c r="L1120" s="714"/>
      <c r="M1120" s="934" t="n">
        <f aca="false">M1118+M1119</f>
        <v>4.63148891863751</v>
      </c>
    </row>
    <row r="1121" customFormat="false" ht="15" hidden="false" customHeight="false" outlineLevel="0" collapsed="false">
      <c r="A1121" s="216" t="s">
        <v>7022</v>
      </c>
      <c r="B1121" s="29" t="s">
        <v>3190</v>
      </c>
      <c r="C1121" s="1161" t="s">
        <v>6940</v>
      </c>
      <c r="D1121" s="912" t="n">
        <v>2005</v>
      </c>
      <c r="E1121" s="317" t="n">
        <f aca="false">2021-D1121</f>
        <v>16</v>
      </c>
      <c r="F1121" s="547" t="n">
        <v>560000</v>
      </c>
      <c r="G1121" s="1413" t="n">
        <v>0.1</v>
      </c>
      <c r="H1121" s="547" t="n">
        <f aca="false">E1121*F1121*G1121</f>
        <v>896000</v>
      </c>
      <c r="I1121" s="547" t="n">
        <f aca="false">F1121-H1121</f>
        <v>-336000</v>
      </c>
      <c r="J1121" s="547" t="n">
        <f aca="false">F1121*G1121</f>
        <v>56000</v>
      </c>
      <c r="K1121" s="1365" t="n">
        <f aca="false">J1121/1792.8</f>
        <v>31.2360553324409</v>
      </c>
      <c r="L1121" s="547" t="n">
        <v>40</v>
      </c>
      <c r="M1121" s="819" t="n">
        <f aca="false">K1121*L1121/60</f>
        <v>20.8240368882939</v>
      </c>
    </row>
    <row r="1122" customFormat="false" ht="15" hidden="false" customHeight="false" outlineLevel="0" collapsed="false">
      <c r="A1122" s="216"/>
      <c r="B1122" s="78"/>
      <c r="C1122" s="1161" t="s">
        <v>6934</v>
      </c>
      <c r="D1122" s="912" t="n">
        <v>2005</v>
      </c>
      <c r="E1122" s="317" t="n">
        <f aca="false">2021-D1122</f>
        <v>16</v>
      </c>
      <c r="F1122" s="547" t="n">
        <v>90680</v>
      </c>
      <c r="G1122" s="1413" t="n">
        <v>0.1</v>
      </c>
      <c r="H1122" s="547" t="n">
        <f aca="false">E1122*F1122*G1122</f>
        <v>145088</v>
      </c>
      <c r="I1122" s="547" t="n">
        <f aca="false">F1122-H1122</f>
        <v>-54408</v>
      </c>
      <c r="J1122" s="547" t="n">
        <f aca="false">F1122*G1122</f>
        <v>9068</v>
      </c>
      <c r="K1122" s="1365" t="n">
        <f aca="false">J1122/1792.8</f>
        <v>5.05800981704596</v>
      </c>
      <c r="L1122" s="547" t="n">
        <v>10</v>
      </c>
      <c r="M1122" s="819" t="n">
        <f aca="false">K1122*L1122/60</f>
        <v>0.843001636174327</v>
      </c>
    </row>
    <row r="1123" customFormat="false" ht="15" hidden="false" customHeight="false" outlineLevel="0" collapsed="false">
      <c r="A1123" s="216"/>
      <c r="B1123" s="78"/>
      <c r="C1123" s="1161" t="s">
        <v>6980</v>
      </c>
      <c r="D1123" s="912" t="n">
        <v>2005</v>
      </c>
      <c r="E1123" s="317" t="n">
        <f aca="false">2021-D1123</f>
        <v>16</v>
      </c>
      <c r="F1123" s="547" t="n">
        <v>98600</v>
      </c>
      <c r="G1123" s="1413" t="n">
        <v>0.1</v>
      </c>
      <c r="H1123" s="547" t="n">
        <f aca="false">E1123*F1123*G1123</f>
        <v>157760</v>
      </c>
      <c r="I1123" s="547" t="n">
        <f aca="false">F1123-H1123</f>
        <v>-59160</v>
      </c>
      <c r="J1123" s="547" t="n">
        <f aca="false">F1123*G1123</f>
        <v>9860</v>
      </c>
      <c r="K1123" s="1365" t="n">
        <f aca="false">J1123/1792.8</f>
        <v>5.49977688531905</v>
      </c>
      <c r="L1123" s="547" t="n">
        <v>20</v>
      </c>
      <c r="M1123" s="819" t="n">
        <f aca="false">K1123*L1123/60</f>
        <v>1.83325896177302</v>
      </c>
    </row>
    <row r="1124" customFormat="false" ht="15" hidden="false" customHeight="false" outlineLevel="0" collapsed="false">
      <c r="A1124" s="216"/>
      <c r="B1124" s="972" t="s">
        <v>4128</v>
      </c>
      <c r="C1124" s="1160"/>
      <c r="D1124" s="391"/>
      <c r="E1124" s="317"/>
      <c r="F1124" s="714"/>
      <c r="G1124" s="1414"/>
      <c r="H1124" s="547"/>
      <c r="I1124" s="547"/>
      <c r="J1124" s="547"/>
      <c r="K1124" s="1365" t="n">
        <f aca="false">J1124/1792.8</f>
        <v>0</v>
      </c>
      <c r="L1124" s="714"/>
      <c r="M1124" s="934" t="n">
        <f aca="false">M1121+M1122+M1123</f>
        <v>23.5002974862413</v>
      </c>
    </row>
    <row r="1125" customFormat="false" ht="15" hidden="false" customHeight="false" outlineLevel="0" collapsed="false">
      <c r="A1125" s="216" t="s">
        <v>742</v>
      </c>
      <c r="B1125" s="29" t="s">
        <v>3191</v>
      </c>
      <c r="C1125" s="40" t="s">
        <v>4799</v>
      </c>
      <c r="D1125" s="912" t="n">
        <v>2007</v>
      </c>
      <c r="E1125" s="317" t="n">
        <f aca="false">2021-D1125</f>
        <v>14</v>
      </c>
      <c r="F1125" s="547" t="n">
        <v>55465060</v>
      </c>
      <c r="G1125" s="1413" t="n">
        <v>0.1</v>
      </c>
      <c r="H1125" s="547" t="n">
        <f aca="false">E1125*F1125*G1125</f>
        <v>77651084</v>
      </c>
      <c r="I1125" s="547" t="n">
        <f aca="false">F1125-H1125</f>
        <v>-22186024</v>
      </c>
      <c r="J1125" s="547" t="n">
        <f aca="false">F1125*G1125</f>
        <v>5546506</v>
      </c>
      <c r="K1125" s="1365" t="n">
        <f aca="false">J1125/1792.8</f>
        <v>3093.76729138777</v>
      </c>
      <c r="L1125" s="547"/>
      <c r="M1125" s="934" t="n">
        <f aca="false">K1125*L1125/60</f>
        <v>0</v>
      </c>
    </row>
    <row r="1126" customFormat="false" ht="15" hidden="false" customHeight="false" outlineLevel="0" collapsed="false">
      <c r="A1126" s="216" t="s">
        <v>744</v>
      </c>
      <c r="B1126" s="336" t="s">
        <v>3192</v>
      </c>
      <c r="C1126" s="1161" t="s">
        <v>4819</v>
      </c>
      <c r="D1126" s="912"/>
      <c r="E1126" s="317"/>
      <c r="F1126" s="547"/>
      <c r="G1126" s="1413"/>
      <c r="H1126" s="547" t="n">
        <f aca="false">E1126*F1126*G1126</f>
        <v>0</v>
      </c>
      <c r="I1126" s="547" t="n">
        <f aca="false">F1126-H1126</f>
        <v>0</v>
      </c>
      <c r="J1126" s="547" t="n">
        <f aca="false">F1126*G1126</f>
        <v>0</v>
      </c>
      <c r="K1126" s="1365" t="n">
        <f aca="false">J1126/1792.8</f>
        <v>0</v>
      </c>
      <c r="L1126" s="547"/>
      <c r="M1126" s="934" t="n">
        <f aca="false">K1126*L1126/60</f>
        <v>0</v>
      </c>
    </row>
    <row r="1127" customFormat="false" ht="15" hidden="false" customHeight="false" outlineLevel="0" collapsed="false">
      <c r="A1127" s="216" t="s">
        <v>746</v>
      </c>
      <c r="B1127" s="40" t="s">
        <v>3193</v>
      </c>
      <c r="C1127" s="1161" t="s">
        <v>4568</v>
      </c>
      <c r="D1127" s="912" t="n">
        <v>2003</v>
      </c>
      <c r="E1127" s="317" t="n">
        <f aca="false">2021-D1127</f>
        <v>18</v>
      </c>
      <c r="F1127" s="547" t="n">
        <v>12704749</v>
      </c>
      <c r="G1127" s="1413" t="n">
        <v>0.1</v>
      </c>
      <c r="H1127" s="547" t="n">
        <f aca="false">F1127</f>
        <v>12704749</v>
      </c>
      <c r="I1127" s="547" t="n">
        <f aca="false">F1127-H1127</f>
        <v>0</v>
      </c>
      <c r="J1127" s="547" t="n">
        <f aca="false">F1127*G1127</f>
        <v>1270474.9</v>
      </c>
      <c r="K1127" s="1365" t="n">
        <f aca="false">J1127/1792.8</f>
        <v>708.654004908523</v>
      </c>
      <c r="L1127" s="547" t="n">
        <v>65</v>
      </c>
      <c r="M1127" s="934" t="n">
        <f aca="false">K1127*L1127/60</f>
        <v>767.708505317567</v>
      </c>
    </row>
    <row r="1128" customFormat="false" ht="15" hidden="false" customHeight="false" outlineLevel="0" collapsed="false">
      <c r="A1128" s="216" t="s">
        <v>748</v>
      </c>
      <c r="B1128" s="337" t="s">
        <v>3194</v>
      </c>
      <c r="C1128" s="40" t="s">
        <v>7023</v>
      </c>
      <c r="D1128" s="912"/>
      <c r="E1128" s="317"/>
      <c r="F1128" s="547"/>
      <c r="G1128" s="1413"/>
      <c r="H1128" s="547" t="n">
        <f aca="false">E1128*F1128*G1128</f>
        <v>0</v>
      </c>
      <c r="I1128" s="547" t="n">
        <f aca="false">F1128-H1128</f>
        <v>0</v>
      </c>
      <c r="J1128" s="547" t="n">
        <f aca="false">F1128*G1128</f>
        <v>0</v>
      </c>
      <c r="K1128" s="1365" t="n">
        <f aca="false">J1128/1792.8</f>
        <v>0</v>
      </c>
      <c r="L1128" s="547"/>
      <c r="M1128" s="819" t="n">
        <f aca="false">K1128*L1128/60</f>
        <v>0</v>
      </c>
    </row>
    <row r="1129" customFormat="false" ht="15" hidden="false" customHeight="false" outlineLevel="0" collapsed="false">
      <c r="A1129" s="216"/>
      <c r="B1129" s="337"/>
      <c r="C1129" s="1161" t="s">
        <v>6934</v>
      </c>
      <c r="D1129" s="912" t="n">
        <v>2005</v>
      </c>
      <c r="E1129" s="317" t="n">
        <f aca="false">2021-D1129</f>
        <v>16</v>
      </c>
      <c r="F1129" s="547" t="n">
        <v>90680</v>
      </c>
      <c r="G1129" s="1413" t="n">
        <v>0.1</v>
      </c>
      <c r="H1129" s="547" t="n">
        <f aca="false">E1129*F1129*G1129</f>
        <v>145088</v>
      </c>
      <c r="I1129" s="547" t="n">
        <f aca="false">F1129-H1129</f>
        <v>-54408</v>
      </c>
      <c r="J1129" s="547" t="n">
        <f aca="false">F1129*G1129</f>
        <v>9068</v>
      </c>
      <c r="K1129" s="1365" t="n">
        <f aca="false">J1129/1792.8</f>
        <v>5.05800981704596</v>
      </c>
      <c r="L1129" s="547" t="n">
        <v>10</v>
      </c>
      <c r="M1129" s="934" t="n">
        <f aca="false">K1129*L1129/60</f>
        <v>0.843001636174327</v>
      </c>
    </row>
    <row r="1130" customFormat="false" ht="15" hidden="false" customHeight="false" outlineLevel="0" collapsed="false">
      <c r="A1130" s="216"/>
      <c r="B1130" s="972" t="s">
        <v>4128</v>
      </c>
      <c r="C1130" s="1161"/>
      <c r="D1130" s="912"/>
      <c r="E1130" s="317"/>
      <c r="F1130" s="547"/>
      <c r="G1130" s="1413"/>
      <c r="H1130" s="547"/>
      <c r="I1130" s="547"/>
      <c r="J1130" s="547"/>
      <c r="K1130" s="1365" t="n">
        <f aca="false">J1130/1792.8</f>
        <v>0</v>
      </c>
      <c r="L1130" s="547"/>
      <c r="M1130" s="934" t="n">
        <f aca="false">M1128+M1129</f>
        <v>0.843001636174327</v>
      </c>
    </row>
    <row r="1131" customFormat="false" ht="15" hidden="false" customHeight="false" outlineLevel="0" collapsed="false">
      <c r="A1131" s="216" t="s">
        <v>750</v>
      </c>
      <c r="B1131" s="337" t="s">
        <v>3195</v>
      </c>
      <c r="C1131" s="1161" t="s">
        <v>6992</v>
      </c>
      <c r="D1131" s="912" t="n">
        <v>2005</v>
      </c>
      <c r="E1131" s="317" t="n">
        <f aca="false">2021-D1131</f>
        <v>16</v>
      </c>
      <c r="F1131" s="547" t="n">
        <v>60000</v>
      </c>
      <c r="G1131" s="1413" t="n">
        <v>0.1</v>
      </c>
      <c r="H1131" s="547" t="n">
        <f aca="false">E1131*F1131*G1131</f>
        <v>96000</v>
      </c>
      <c r="I1131" s="547" t="n">
        <f aca="false">F1131-H1131</f>
        <v>-36000</v>
      </c>
      <c r="J1131" s="547" t="n">
        <f aca="false">F1131*G1131</f>
        <v>6000</v>
      </c>
      <c r="K1131" s="1365" t="n">
        <f aca="false">J1131/1792.8</f>
        <v>3.34672021419009</v>
      </c>
      <c r="L1131" s="547" t="n">
        <v>25</v>
      </c>
      <c r="M1131" s="934" t="n">
        <f aca="false">K1131*L1131/60</f>
        <v>1.39446675591254</v>
      </c>
    </row>
    <row r="1132" customFormat="false" ht="15" hidden="false" customHeight="false" outlineLevel="0" collapsed="false">
      <c r="A1132" s="216" t="s">
        <v>752</v>
      </c>
      <c r="B1132" s="40" t="s">
        <v>3196</v>
      </c>
      <c r="C1132" s="1161" t="s">
        <v>6934</v>
      </c>
      <c r="D1132" s="912" t="n">
        <v>2005</v>
      </c>
      <c r="E1132" s="317" t="n">
        <f aca="false">2021-D1132</f>
        <v>16</v>
      </c>
      <c r="F1132" s="547" t="n">
        <v>90680</v>
      </c>
      <c r="G1132" s="1413" t="n">
        <v>0.1</v>
      </c>
      <c r="H1132" s="547" t="n">
        <f aca="false">E1132*F1132*G1132</f>
        <v>145088</v>
      </c>
      <c r="I1132" s="547" t="n">
        <f aca="false">F1132-H1132</f>
        <v>-54408</v>
      </c>
      <c r="J1132" s="547" t="n">
        <f aca="false">F1132*G1132</f>
        <v>9068</v>
      </c>
      <c r="K1132" s="1365" t="n">
        <f aca="false">J1132/1792.8</f>
        <v>5.05800981704596</v>
      </c>
      <c r="L1132" s="547" t="n">
        <v>10</v>
      </c>
      <c r="M1132" s="934" t="n">
        <f aca="false">K1132*L1132/60</f>
        <v>0.843001636174327</v>
      </c>
    </row>
    <row r="1133" customFormat="false" ht="15" hidden="false" customHeight="false" outlineLevel="0" collapsed="false">
      <c r="A1133" s="216" t="s">
        <v>754</v>
      </c>
      <c r="B1133" s="337" t="s">
        <v>3197</v>
      </c>
      <c r="C1133" s="1161" t="s">
        <v>4941</v>
      </c>
      <c r="D1133" s="912"/>
      <c r="E1133" s="317"/>
      <c r="F1133" s="547"/>
      <c r="G1133" s="1413"/>
      <c r="H1133" s="547" t="n">
        <f aca="false">E1133*F1133*G1133</f>
        <v>0</v>
      </c>
      <c r="I1133" s="547" t="n">
        <f aca="false">F1133-H1133</f>
        <v>0</v>
      </c>
      <c r="J1133" s="547" t="n">
        <f aca="false">F1133*G1133</f>
        <v>0</v>
      </c>
      <c r="K1133" s="1365" t="n">
        <f aca="false">J1133/1792.8</f>
        <v>0</v>
      </c>
      <c r="L1133" s="547"/>
      <c r="M1133" s="819" t="n">
        <f aca="false">K1133*L1133/60</f>
        <v>0</v>
      </c>
    </row>
    <row r="1134" customFormat="false" ht="15" hidden="false" customHeight="false" outlineLevel="0" collapsed="false">
      <c r="A1134" s="216"/>
      <c r="B1134" s="337"/>
      <c r="C1134" s="1161" t="s">
        <v>6934</v>
      </c>
      <c r="D1134" s="912" t="n">
        <v>2005</v>
      </c>
      <c r="E1134" s="317" t="n">
        <f aca="false">2021-D1134</f>
        <v>16</v>
      </c>
      <c r="F1134" s="547" t="n">
        <v>90680</v>
      </c>
      <c r="G1134" s="1413" t="n">
        <v>0.1</v>
      </c>
      <c r="H1134" s="547" t="n">
        <f aca="false">E1134*F1134*G1134</f>
        <v>145088</v>
      </c>
      <c r="I1134" s="547" t="n">
        <f aca="false">F1134-H1134</f>
        <v>-54408</v>
      </c>
      <c r="J1134" s="547" t="n">
        <f aca="false">F1134*G1134</f>
        <v>9068</v>
      </c>
      <c r="K1134" s="1365" t="n">
        <f aca="false">J1134/1792.8</f>
        <v>5.05800981704596</v>
      </c>
      <c r="L1134" s="547" t="n">
        <v>10</v>
      </c>
      <c r="M1134" s="819" t="n">
        <f aca="false">K1134*L1134/60</f>
        <v>0.843001636174327</v>
      </c>
    </row>
    <row r="1135" customFormat="false" ht="15" hidden="false" customHeight="false" outlineLevel="0" collapsed="false">
      <c r="A1135" s="216"/>
      <c r="B1135" s="972" t="s">
        <v>4128</v>
      </c>
      <c r="C1135" s="1161"/>
      <c r="D1135" s="912"/>
      <c r="E1135" s="317"/>
      <c r="F1135" s="547"/>
      <c r="G1135" s="1413"/>
      <c r="H1135" s="547"/>
      <c r="I1135" s="547"/>
      <c r="J1135" s="547"/>
      <c r="K1135" s="1365" t="n">
        <f aca="false">J1135/1792.8</f>
        <v>0</v>
      </c>
      <c r="L1135" s="547"/>
      <c r="M1135" s="934" t="n">
        <f aca="false">M1133+M1134</f>
        <v>0.843001636174327</v>
      </c>
    </row>
    <row r="1136" customFormat="false" ht="30" hidden="false" customHeight="false" outlineLevel="0" collapsed="false">
      <c r="A1136" s="216" t="s">
        <v>7024</v>
      </c>
      <c r="B1136" s="336" t="s">
        <v>3198</v>
      </c>
      <c r="C1136" s="1161" t="s">
        <v>6934</v>
      </c>
      <c r="D1136" s="912" t="n">
        <v>2005</v>
      </c>
      <c r="E1136" s="317" t="n">
        <f aca="false">2021-D1136</f>
        <v>16</v>
      </c>
      <c r="F1136" s="547" t="n">
        <v>90680</v>
      </c>
      <c r="G1136" s="1413" t="n">
        <v>0.1</v>
      </c>
      <c r="H1136" s="547" t="n">
        <f aca="false">E1136*F1136*G1136</f>
        <v>145088</v>
      </c>
      <c r="I1136" s="547" t="n">
        <f aca="false">F1136-H1136</f>
        <v>-54408</v>
      </c>
      <c r="J1136" s="547" t="n">
        <f aca="false">F1136*G1136</f>
        <v>9068</v>
      </c>
      <c r="K1136" s="1365" t="n">
        <f aca="false">J1136/1792.8</f>
        <v>5.05800981704596</v>
      </c>
      <c r="L1136" s="547" t="n">
        <v>10</v>
      </c>
      <c r="M1136" s="819" t="n">
        <f aca="false">K1136*L1136/60</f>
        <v>0.843001636174327</v>
      </c>
    </row>
    <row r="1137" customFormat="false" ht="15" hidden="false" customHeight="false" outlineLevel="0" collapsed="false">
      <c r="A1137" s="216"/>
      <c r="B1137" s="336"/>
      <c r="C1137" s="1161" t="s">
        <v>4568</v>
      </c>
      <c r="D1137" s="912" t="n">
        <v>2003</v>
      </c>
      <c r="E1137" s="317" t="n">
        <f aca="false">2021-D1137</f>
        <v>18</v>
      </c>
      <c r="F1137" s="547" t="n">
        <v>12704749</v>
      </c>
      <c r="G1137" s="1413" t="n">
        <v>0.1</v>
      </c>
      <c r="H1137" s="547" t="n">
        <f aca="false">F1137</f>
        <v>12704749</v>
      </c>
      <c r="I1137" s="547" t="n">
        <f aca="false">F1137-H1137</f>
        <v>0</v>
      </c>
      <c r="J1137" s="547" t="n">
        <f aca="false">F1137*G1137</f>
        <v>1270474.9</v>
      </c>
      <c r="K1137" s="1365" t="n">
        <f aca="false">J1137/1792.8</f>
        <v>708.654004908523</v>
      </c>
      <c r="L1137" s="547" t="n">
        <v>50</v>
      </c>
      <c r="M1137" s="819" t="n">
        <f aca="false">K1137*L1137/60</f>
        <v>590.545004090436</v>
      </c>
    </row>
    <row r="1138" customFormat="false" ht="15" hidden="false" customHeight="false" outlineLevel="0" collapsed="false">
      <c r="A1138" s="216"/>
      <c r="B1138" s="972" t="s">
        <v>4128</v>
      </c>
      <c r="C1138" s="1161"/>
      <c r="D1138" s="912"/>
      <c r="E1138" s="317"/>
      <c r="F1138" s="547"/>
      <c r="G1138" s="1413"/>
      <c r="H1138" s="547"/>
      <c r="I1138" s="547"/>
      <c r="J1138" s="547"/>
      <c r="K1138" s="1365" t="n">
        <f aca="false">J1138/1792.8</f>
        <v>0</v>
      </c>
      <c r="L1138" s="547"/>
      <c r="M1138" s="934" t="n">
        <f aca="false">M1136+M1137</f>
        <v>591.38800572661</v>
      </c>
    </row>
    <row r="1139" customFormat="false" ht="15" hidden="false" customHeight="false" outlineLevel="0" collapsed="false">
      <c r="A1139" s="216" t="s">
        <v>758</v>
      </c>
      <c r="B1139" s="337" t="s">
        <v>3199</v>
      </c>
      <c r="C1139" s="1161" t="s">
        <v>6943</v>
      </c>
      <c r="D1139" s="912" t="n">
        <v>2006</v>
      </c>
      <c r="E1139" s="317" t="n">
        <f aca="false">2021-D1139</f>
        <v>15</v>
      </c>
      <c r="F1139" s="547" t="n">
        <v>1503927</v>
      </c>
      <c r="G1139" s="1413" t="n">
        <v>0.1</v>
      </c>
      <c r="H1139" s="547" t="n">
        <f aca="false">E1139*F1139*G1139</f>
        <v>2255890.5</v>
      </c>
      <c r="I1139" s="547" t="n">
        <f aca="false">F1139-H1139</f>
        <v>-751963.5</v>
      </c>
      <c r="J1139" s="547" t="n">
        <f aca="false">F1139*G1139</f>
        <v>150392.7</v>
      </c>
      <c r="K1139" s="1365" t="n">
        <f aca="false">J1139/1792.8</f>
        <v>83.8870481927711</v>
      </c>
      <c r="L1139" s="547" t="n">
        <v>50</v>
      </c>
      <c r="M1139" s="819" t="n">
        <f aca="false">K1139*L1139/60</f>
        <v>69.9058734939759</v>
      </c>
    </row>
    <row r="1140" customFormat="false" ht="15" hidden="false" customHeight="false" outlineLevel="0" collapsed="false">
      <c r="A1140" s="216"/>
      <c r="B1140" s="337"/>
      <c r="C1140" s="1161" t="s">
        <v>6934</v>
      </c>
      <c r="D1140" s="912" t="n">
        <v>2005</v>
      </c>
      <c r="E1140" s="317" t="n">
        <f aca="false">2021-D1140</f>
        <v>16</v>
      </c>
      <c r="F1140" s="547" t="n">
        <v>90680</v>
      </c>
      <c r="G1140" s="1413" t="n">
        <v>0.1</v>
      </c>
      <c r="H1140" s="547" t="n">
        <f aca="false">E1140*F1140*G1140</f>
        <v>145088</v>
      </c>
      <c r="I1140" s="547" t="n">
        <f aca="false">F1140-H1140</f>
        <v>-54408</v>
      </c>
      <c r="J1140" s="547" t="n">
        <f aca="false">F1140*G1140</f>
        <v>9068</v>
      </c>
      <c r="K1140" s="1365" t="n">
        <f aca="false">J1140/1792.8</f>
        <v>5.05800981704596</v>
      </c>
      <c r="L1140" s="547" t="n">
        <v>10</v>
      </c>
      <c r="M1140" s="819" t="n">
        <f aca="false">K1140*L1140/60</f>
        <v>0.843001636174327</v>
      </c>
    </row>
    <row r="1141" customFormat="false" ht="15" hidden="false" customHeight="false" outlineLevel="0" collapsed="false">
      <c r="A1141" s="216"/>
      <c r="B1141" s="972" t="s">
        <v>4128</v>
      </c>
      <c r="C1141" s="1161"/>
      <c r="D1141" s="912"/>
      <c r="E1141" s="317"/>
      <c r="F1141" s="547"/>
      <c r="G1141" s="1413"/>
      <c r="H1141" s="547"/>
      <c r="I1141" s="547"/>
      <c r="J1141" s="547"/>
      <c r="K1141" s="1365" t="n">
        <f aca="false">J1141/1792.8</f>
        <v>0</v>
      </c>
      <c r="L1141" s="547"/>
      <c r="M1141" s="934" t="n">
        <f aca="false">M1139+M1140</f>
        <v>70.7488751301502</v>
      </c>
    </row>
    <row r="1142" customFormat="false" ht="30" hidden="false" customHeight="false" outlineLevel="0" collapsed="false">
      <c r="A1142" s="216" t="s">
        <v>759</v>
      </c>
      <c r="B1142" s="338" t="s">
        <v>3200</v>
      </c>
      <c r="C1142" s="1161" t="s">
        <v>6934</v>
      </c>
      <c r="D1142" s="912" t="n">
        <v>2005</v>
      </c>
      <c r="E1142" s="317" t="n">
        <f aca="false">2021-D1142</f>
        <v>16</v>
      </c>
      <c r="F1142" s="547" t="n">
        <v>90680</v>
      </c>
      <c r="G1142" s="1413" t="n">
        <v>0.1</v>
      </c>
      <c r="H1142" s="547" t="n">
        <f aca="false">E1142*F1142*G1142</f>
        <v>145088</v>
      </c>
      <c r="I1142" s="547" t="n">
        <f aca="false">F1142-H1142</f>
        <v>-54408</v>
      </c>
      <c r="J1142" s="547" t="n">
        <f aca="false">F1142*G1142</f>
        <v>9068</v>
      </c>
      <c r="K1142" s="1365" t="n">
        <f aca="false">J1142/1792.8</f>
        <v>5.05800981704596</v>
      </c>
      <c r="L1142" s="547" t="n">
        <v>10</v>
      </c>
      <c r="M1142" s="819" t="n">
        <f aca="false">K1142*L1142/60</f>
        <v>0.843001636174327</v>
      </c>
    </row>
    <row r="1143" customFormat="false" ht="15" hidden="false" customHeight="false" outlineLevel="0" collapsed="false">
      <c r="A1143" s="216"/>
      <c r="B1143" s="338"/>
      <c r="C1143" s="1161" t="s">
        <v>4568</v>
      </c>
      <c r="D1143" s="912" t="n">
        <v>2003</v>
      </c>
      <c r="E1143" s="317" t="n">
        <f aca="false">2021-D1143</f>
        <v>18</v>
      </c>
      <c r="F1143" s="547" t="n">
        <v>12704749</v>
      </c>
      <c r="G1143" s="1413" t="n">
        <v>0.1</v>
      </c>
      <c r="H1143" s="547" t="n">
        <f aca="false">E1143*F1143*G1143</f>
        <v>22868548.2</v>
      </c>
      <c r="I1143" s="547" t="n">
        <f aca="false">F1143-H1143</f>
        <v>-10163799.2</v>
      </c>
      <c r="J1143" s="547" t="n">
        <f aca="false">F1143*G1143</f>
        <v>1270474.9</v>
      </c>
      <c r="K1143" s="1365" t="n">
        <f aca="false">J1143/1792.8</f>
        <v>708.654004908523</v>
      </c>
      <c r="L1143" s="547" t="n">
        <v>180</v>
      </c>
      <c r="M1143" s="819" t="n">
        <f aca="false">K1143*L1143/60</f>
        <v>2125.96201472557</v>
      </c>
    </row>
    <row r="1144" customFormat="false" ht="15" hidden="false" customHeight="false" outlineLevel="0" collapsed="false">
      <c r="A1144" s="216"/>
      <c r="B1144" s="972" t="s">
        <v>4128</v>
      </c>
      <c r="C1144" s="1161"/>
      <c r="D1144" s="912"/>
      <c r="E1144" s="317"/>
      <c r="F1144" s="547"/>
      <c r="G1144" s="1413"/>
      <c r="H1144" s="547"/>
      <c r="I1144" s="547"/>
      <c r="J1144" s="547"/>
      <c r="K1144" s="1365" t="n">
        <f aca="false">J1144/1792.8</f>
        <v>0</v>
      </c>
      <c r="L1144" s="547"/>
      <c r="M1144" s="934" t="n">
        <f aca="false">M1142+M1143</f>
        <v>2126.80501636174</v>
      </c>
    </row>
    <row r="1145" customFormat="false" ht="15" hidden="false" customHeight="false" outlineLevel="0" collapsed="false">
      <c r="A1145" s="216" t="s">
        <v>761</v>
      </c>
      <c r="B1145" s="336" t="s">
        <v>3201</v>
      </c>
      <c r="C1145" s="1161" t="s">
        <v>6934</v>
      </c>
      <c r="D1145" s="912" t="n">
        <v>2005</v>
      </c>
      <c r="E1145" s="317" t="n">
        <f aca="false">2021-D1145</f>
        <v>16</v>
      </c>
      <c r="F1145" s="547" t="n">
        <v>90680</v>
      </c>
      <c r="G1145" s="1413" t="n">
        <v>0.1</v>
      </c>
      <c r="H1145" s="547" t="n">
        <f aca="false">E1145*F1145*G1145</f>
        <v>145088</v>
      </c>
      <c r="I1145" s="547" t="n">
        <f aca="false">F1145-H1145</f>
        <v>-54408</v>
      </c>
      <c r="J1145" s="547" t="n">
        <f aca="false">F1145*G1145</f>
        <v>9068</v>
      </c>
      <c r="K1145" s="1365" t="n">
        <f aca="false">J1145/1792.8</f>
        <v>5.05800981704596</v>
      </c>
      <c r="L1145" s="547" t="n">
        <v>10</v>
      </c>
      <c r="M1145" s="819" t="n">
        <f aca="false">K1145*L1145/60</f>
        <v>0.843001636174327</v>
      </c>
    </row>
    <row r="1146" customFormat="false" ht="15" hidden="false" customHeight="false" outlineLevel="0" collapsed="false">
      <c r="A1146" s="216"/>
      <c r="B1146" s="336"/>
      <c r="C1146" s="1161" t="s">
        <v>4568</v>
      </c>
      <c r="D1146" s="912" t="n">
        <v>2003</v>
      </c>
      <c r="E1146" s="317" t="n">
        <f aca="false">2021-D1146</f>
        <v>18</v>
      </c>
      <c r="F1146" s="547" t="n">
        <v>12704749</v>
      </c>
      <c r="G1146" s="1413" t="n">
        <v>0.1</v>
      </c>
      <c r="H1146" s="547" t="n">
        <f aca="false">F1146</f>
        <v>12704749</v>
      </c>
      <c r="I1146" s="547" t="n">
        <f aca="false">F1146-H1146</f>
        <v>0</v>
      </c>
      <c r="J1146" s="547" t="n">
        <f aca="false">F1146*G1146</f>
        <v>1270474.9</v>
      </c>
      <c r="K1146" s="1365" t="n">
        <f aca="false">J1146/1792.8</f>
        <v>708.654004908523</v>
      </c>
      <c r="L1146" s="547" t="n">
        <v>125</v>
      </c>
      <c r="M1146" s="819" t="n">
        <f aca="false">K1146*L1146/60</f>
        <v>1476.36251022609</v>
      </c>
    </row>
    <row r="1147" customFormat="false" ht="15" hidden="false" customHeight="false" outlineLevel="0" collapsed="false">
      <c r="A1147" s="216"/>
      <c r="B1147" s="972" t="s">
        <v>4128</v>
      </c>
      <c r="C1147" s="1161"/>
      <c r="D1147" s="912"/>
      <c r="E1147" s="317"/>
      <c r="F1147" s="547"/>
      <c r="G1147" s="1413"/>
      <c r="H1147" s="547"/>
      <c r="I1147" s="547"/>
      <c r="J1147" s="547"/>
      <c r="K1147" s="1365" t="n">
        <f aca="false">J1147/1792.8</f>
        <v>0</v>
      </c>
      <c r="L1147" s="547"/>
      <c r="M1147" s="934" t="n">
        <f aca="false">M1145+M1146</f>
        <v>1477.20551186226</v>
      </c>
    </row>
    <row r="1148" customFormat="false" ht="15" hidden="false" customHeight="false" outlineLevel="0" collapsed="false">
      <c r="A1148" s="216" t="s">
        <v>763</v>
      </c>
      <c r="B1148" s="336" t="s">
        <v>3202</v>
      </c>
      <c r="C1148" s="1161" t="s">
        <v>6934</v>
      </c>
      <c r="D1148" s="912" t="n">
        <v>2005</v>
      </c>
      <c r="E1148" s="317" t="n">
        <f aca="false">2021-D1148</f>
        <v>16</v>
      </c>
      <c r="F1148" s="547" t="n">
        <v>90680</v>
      </c>
      <c r="G1148" s="1413" t="n">
        <v>0.1</v>
      </c>
      <c r="H1148" s="547" t="n">
        <f aca="false">E1148*F1148*G1148</f>
        <v>145088</v>
      </c>
      <c r="I1148" s="547" t="n">
        <f aca="false">F1148-H1148</f>
        <v>-54408</v>
      </c>
      <c r="J1148" s="547" t="n">
        <f aca="false">F1148*G1148</f>
        <v>9068</v>
      </c>
      <c r="K1148" s="1365" t="n">
        <f aca="false">J1148/1792.8</f>
        <v>5.05800981704596</v>
      </c>
      <c r="L1148" s="547" t="n">
        <v>10</v>
      </c>
      <c r="M1148" s="819" t="n">
        <f aca="false">K1148*L1148/60</f>
        <v>0.843001636174327</v>
      </c>
    </row>
    <row r="1149" customFormat="false" ht="15" hidden="false" customHeight="false" outlineLevel="0" collapsed="false">
      <c r="A1149" s="216"/>
      <c r="B1149" s="336"/>
      <c r="C1149" s="40" t="s">
        <v>4799</v>
      </c>
      <c r="D1149" s="912" t="n">
        <v>2007</v>
      </c>
      <c r="E1149" s="317" t="n">
        <f aca="false">2021-D1149</f>
        <v>14</v>
      </c>
      <c r="F1149" s="547" t="n">
        <v>55465060</v>
      </c>
      <c r="G1149" s="1413" t="n">
        <v>0.1</v>
      </c>
      <c r="H1149" s="547" t="n">
        <f aca="false">E1149*F1149*G1149</f>
        <v>77651084</v>
      </c>
      <c r="I1149" s="547" t="n">
        <f aca="false">F1149-H1149</f>
        <v>-22186024</v>
      </c>
      <c r="J1149" s="547" t="n">
        <f aca="false">F1149*G1149</f>
        <v>5546506</v>
      </c>
      <c r="K1149" s="1365" t="n">
        <f aca="false">J1149/1792.8</f>
        <v>3093.76729138777</v>
      </c>
      <c r="L1149" s="547"/>
      <c r="M1149" s="819" t="n">
        <f aca="false">K1149*L1149/60</f>
        <v>0</v>
      </c>
    </row>
    <row r="1150" customFormat="false" ht="15" hidden="false" customHeight="false" outlineLevel="0" collapsed="false">
      <c r="A1150" s="216"/>
      <c r="B1150" s="972" t="s">
        <v>4128</v>
      </c>
      <c r="C1150" s="1161"/>
      <c r="D1150" s="912"/>
      <c r="E1150" s="317"/>
      <c r="F1150" s="547"/>
      <c r="G1150" s="1413"/>
      <c r="H1150" s="547"/>
      <c r="I1150" s="547"/>
      <c r="J1150" s="547"/>
      <c r="K1150" s="1365" t="n">
        <f aca="false">J1150/1792.8</f>
        <v>0</v>
      </c>
      <c r="L1150" s="547"/>
      <c r="M1150" s="934" t="n">
        <f aca="false">M1148+M1149</f>
        <v>0.843001636174327</v>
      </c>
    </row>
    <row r="1151" customFormat="false" ht="15" hidden="false" customHeight="false" outlineLevel="0" collapsed="false">
      <c r="A1151" s="216" t="s">
        <v>765</v>
      </c>
      <c r="B1151" s="336" t="s">
        <v>2938</v>
      </c>
      <c r="C1151" s="1161" t="s">
        <v>6943</v>
      </c>
      <c r="D1151" s="912" t="n">
        <v>2006</v>
      </c>
      <c r="E1151" s="317" t="n">
        <f aca="false">2021-D1151</f>
        <v>15</v>
      </c>
      <c r="F1151" s="547" t="n">
        <v>1503927</v>
      </c>
      <c r="G1151" s="1413" t="n">
        <v>0.1</v>
      </c>
      <c r="H1151" s="547" t="n">
        <f aca="false">E1151*F1151*G1151</f>
        <v>2255890.5</v>
      </c>
      <c r="I1151" s="547" t="n">
        <f aca="false">F1151-H1151</f>
        <v>-751963.5</v>
      </c>
      <c r="J1151" s="547" t="n">
        <f aca="false">F1151*G1151</f>
        <v>150392.7</v>
      </c>
      <c r="K1151" s="1365" t="n">
        <f aca="false">J1151/1792.8</f>
        <v>83.8870481927711</v>
      </c>
      <c r="L1151" s="547" t="n">
        <v>40</v>
      </c>
      <c r="M1151" s="819" t="n">
        <f aca="false">K1151*L1151/60</f>
        <v>55.9246987951807</v>
      </c>
    </row>
    <row r="1152" customFormat="false" ht="22.5" hidden="false" customHeight="true" outlineLevel="0" collapsed="false">
      <c r="A1152" s="216"/>
      <c r="B1152" s="29"/>
      <c r="C1152" s="1161" t="s">
        <v>6934</v>
      </c>
      <c r="D1152" s="912" t="n">
        <v>2005</v>
      </c>
      <c r="E1152" s="317" t="n">
        <f aca="false">2021-D1152</f>
        <v>16</v>
      </c>
      <c r="F1152" s="547" t="n">
        <v>90680</v>
      </c>
      <c r="G1152" s="1413" t="n">
        <v>0.1</v>
      </c>
      <c r="H1152" s="547" t="n">
        <f aca="false">E1152*F1152*G1152</f>
        <v>145088</v>
      </c>
      <c r="I1152" s="547" t="n">
        <f aca="false">F1152-H1152</f>
        <v>-54408</v>
      </c>
      <c r="J1152" s="547" t="n">
        <f aca="false">F1152*G1152</f>
        <v>9068</v>
      </c>
      <c r="K1152" s="1365" t="n">
        <f aca="false">J1152/1792.8</f>
        <v>5.05800981704596</v>
      </c>
      <c r="L1152" s="547" t="n">
        <v>10</v>
      </c>
      <c r="M1152" s="819" t="n">
        <f aca="false">K1152*L1152/60</f>
        <v>0.843001636174327</v>
      </c>
    </row>
    <row r="1153" customFormat="false" ht="15" hidden="false" customHeight="false" outlineLevel="0" collapsed="false">
      <c r="A1153" s="216"/>
      <c r="B1153" s="972" t="s">
        <v>4128</v>
      </c>
      <c r="C1153" s="1161"/>
      <c r="D1153" s="912"/>
      <c r="E1153" s="317"/>
      <c r="F1153" s="547"/>
      <c r="G1153" s="1413"/>
      <c r="H1153" s="547"/>
      <c r="I1153" s="547"/>
      <c r="J1153" s="547"/>
      <c r="K1153" s="1365" t="n">
        <f aca="false">J1153/1792.8</f>
        <v>0</v>
      </c>
      <c r="L1153" s="547"/>
      <c r="M1153" s="934" t="n">
        <f aca="false">M1151+M1152</f>
        <v>56.7677004313551</v>
      </c>
    </row>
    <row r="1154" customFormat="false" ht="25.5" hidden="false" customHeight="true" outlineLevel="0" collapsed="false">
      <c r="A1154" s="15" t="s">
        <v>4928</v>
      </c>
      <c r="B1154" s="16" t="s">
        <v>7025</v>
      </c>
      <c r="C1154" s="16"/>
      <c r="D1154" s="339"/>
      <c r="E1154" s="1389"/>
      <c r="F1154" s="751"/>
      <c r="G1154" s="751"/>
      <c r="H1154" s="751"/>
      <c r="I1154" s="751"/>
      <c r="J1154" s="751"/>
      <c r="K1154" s="751"/>
      <c r="L1154" s="751"/>
      <c r="M1154" s="818"/>
    </row>
    <row r="1155" customFormat="false" ht="30" hidden="false" customHeight="false" outlineLevel="0" collapsed="false">
      <c r="A1155" s="216" t="s">
        <v>4929</v>
      </c>
      <c r="B1155" s="29" t="s">
        <v>3010</v>
      </c>
      <c r="C1155" s="1161" t="s">
        <v>6984</v>
      </c>
      <c r="D1155" s="912" t="n">
        <v>2007</v>
      </c>
      <c r="E1155" s="317" t="n">
        <f aca="false">2021-D1155</f>
        <v>14</v>
      </c>
      <c r="F1155" s="547" t="n">
        <v>810000</v>
      </c>
      <c r="G1155" s="1413" t="n">
        <v>0.1</v>
      </c>
      <c r="H1155" s="547" t="n">
        <f aca="false">E1155*F1155*G1155</f>
        <v>1134000</v>
      </c>
      <c r="I1155" s="547" t="n">
        <f aca="false">F1155-H1155</f>
        <v>-324000</v>
      </c>
      <c r="J1155" s="547" t="n">
        <f aca="false">F1155*G1155</f>
        <v>81000</v>
      </c>
      <c r="K1155" s="1365" t="n">
        <f aca="false">J1155/1792.8</f>
        <v>45.1807228915663</v>
      </c>
      <c r="L1155" s="547" t="n">
        <v>10</v>
      </c>
      <c r="M1155" s="934" t="n">
        <f aca="false">K1155*L1155/60</f>
        <v>7.53012048192771</v>
      </c>
    </row>
    <row r="1156" customFormat="false" ht="15" hidden="false" customHeight="false" outlineLevel="0" collapsed="false">
      <c r="A1156" s="216" t="s">
        <v>4930</v>
      </c>
      <c r="B1156" s="29" t="s">
        <v>3084</v>
      </c>
      <c r="C1156" s="1161" t="s">
        <v>6973</v>
      </c>
      <c r="D1156" s="912" t="n">
        <v>2006</v>
      </c>
      <c r="E1156" s="317" t="n">
        <f aca="false">2021-D1156</f>
        <v>15</v>
      </c>
      <c r="F1156" s="547" t="n">
        <v>190000</v>
      </c>
      <c r="G1156" s="1413" t="n">
        <v>0.1</v>
      </c>
      <c r="H1156" s="547" t="n">
        <f aca="false">E1156*F1156*G1156</f>
        <v>285000</v>
      </c>
      <c r="I1156" s="547" t="n">
        <f aca="false">F1156-H1156</f>
        <v>-95000</v>
      </c>
      <c r="J1156" s="547" t="n">
        <f aca="false">F1156*G1156</f>
        <v>19000</v>
      </c>
      <c r="K1156" s="1365" t="n">
        <f aca="false">J1156/1792.8</f>
        <v>10.5979473449353</v>
      </c>
      <c r="L1156" s="547" t="n">
        <v>30</v>
      </c>
      <c r="M1156" s="819" t="n">
        <f aca="false">K1156*L1156/60</f>
        <v>5.29897367246765</v>
      </c>
    </row>
    <row r="1157" customFormat="false" ht="15" hidden="false" customHeight="false" outlineLevel="0" collapsed="false">
      <c r="A1157" s="216"/>
      <c r="B1157" s="78"/>
      <c r="C1157" s="1161" t="s">
        <v>6934</v>
      </c>
      <c r="D1157" s="912" t="n">
        <v>2007</v>
      </c>
      <c r="E1157" s="317" t="n">
        <f aca="false">2021-D1157</f>
        <v>14</v>
      </c>
      <c r="F1157" s="873" t="n">
        <v>491000</v>
      </c>
      <c r="G1157" s="1413" t="n">
        <v>0.1</v>
      </c>
      <c r="H1157" s="547" t="n">
        <f aca="false">E1157*F1157*G1157</f>
        <v>687400</v>
      </c>
      <c r="I1157" s="547" t="n">
        <f aca="false">F1157-H1157</f>
        <v>-196400</v>
      </c>
      <c r="J1157" s="547" t="n">
        <f aca="false">F1157*G1157</f>
        <v>49100</v>
      </c>
      <c r="K1157" s="1365" t="n">
        <f aca="false">J1157/1792.8</f>
        <v>27.3873270861223</v>
      </c>
      <c r="L1157" s="547" t="n">
        <v>10</v>
      </c>
      <c r="M1157" s="819" t="n">
        <f aca="false">K1157*L1157/60</f>
        <v>4.56455451435371</v>
      </c>
    </row>
    <row r="1158" customFormat="false" ht="15" hidden="false" customHeight="false" outlineLevel="0" collapsed="false">
      <c r="A1158" s="216"/>
      <c r="B1158" s="972" t="s">
        <v>4128</v>
      </c>
      <c r="C1158" s="1160"/>
      <c r="D1158" s="391"/>
      <c r="E1158" s="317"/>
      <c r="F1158" s="714"/>
      <c r="G1158" s="1414"/>
      <c r="H1158" s="547"/>
      <c r="I1158" s="547"/>
      <c r="J1158" s="547"/>
      <c r="K1158" s="1365" t="n">
        <f aca="false">J1158/1792.8</f>
        <v>0</v>
      </c>
      <c r="L1158" s="714"/>
      <c r="M1158" s="934" t="n">
        <f aca="false">M1156+M1157</f>
        <v>9.86352818682136</v>
      </c>
    </row>
    <row r="1159" customFormat="false" ht="30" hidden="false" customHeight="false" outlineLevel="0" collapsed="false">
      <c r="A1159" s="216" t="s">
        <v>771</v>
      </c>
      <c r="B1159" s="29" t="s">
        <v>3085</v>
      </c>
      <c r="C1159" s="1161" t="s">
        <v>6973</v>
      </c>
      <c r="D1159" s="912" t="n">
        <v>2006</v>
      </c>
      <c r="E1159" s="317" t="n">
        <f aca="false">2021-D1159</f>
        <v>15</v>
      </c>
      <c r="F1159" s="547" t="n">
        <v>190000</v>
      </c>
      <c r="G1159" s="1413" t="n">
        <v>0.1</v>
      </c>
      <c r="H1159" s="547" t="n">
        <f aca="false">E1159*F1159*G1159</f>
        <v>285000</v>
      </c>
      <c r="I1159" s="547" t="n">
        <f aca="false">F1159-H1159</f>
        <v>-95000</v>
      </c>
      <c r="J1159" s="547" t="n">
        <f aca="false">F1159*G1159</f>
        <v>19000</v>
      </c>
      <c r="K1159" s="1365" t="n">
        <f aca="false">J1159/1792.8</f>
        <v>10.5979473449353</v>
      </c>
      <c r="L1159" s="547" t="n">
        <v>30</v>
      </c>
      <c r="M1159" s="819" t="n">
        <f aca="false">K1159*L1159/60</f>
        <v>5.29897367246765</v>
      </c>
    </row>
    <row r="1160" customFormat="false" ht="15" hidden="false" customHeight="false" outlineLevel="0" collapsed="false">
      <c r="A1160" s="216"/>
      <c r="B1160" s="78"/>
      <c r="C1160" s="1161" t="s">
        <v>6934</v>
      </c>
      <c r="D1160" s="912" t="n">
        <v>2007</v>
      </c>
      <c r="E1160" s="317" t="n">
        <f aca="false">2021-D1160</f>
        <v>14</v>
      </c>
      <c r="F1160" s="873" t="n">
        <v>491000</v>
      </c>
      <c r="G1160" s="1413" t="n">
        <v>0.1</v>
      </c>
      <c r="H1160" s="547" t="n">
        <f aca="false">E1160*F1160*G1160</f>
        <v>687400</v>
      </c>
      <c r="I1160" s="547" t="n">
        <f aca="false">F1160-H1160</f>
        <v>-196400</v>
      </c>
      <c r="J1160" s="547" t="n">
        <f aca="false">F1160*G1160</f>
        <v>49100</v>
      </c>
      <c r="K1160" s="1365" t="n">
        <f aca="false">J1160/1792.8</f>
        <v>27.3873270861223</v>
      </c>
      <c r="L1160" s="547" t="n">
        <v>10</v>
      </c>
      <c r="M1160" s="819" t="n">
        <f aca="false">K1160*L1160/60</f>
        <v>4.56455451435371</v>
      </c>
    </row>
    <row r="1161" customFormat="false" ht="15" hidden="false" customHeight="false" outlineLevel="0" collapsed="false">
      <c r="A1161" s="216"/>
      <c r="B1161" s="78"/>
      <c r="C1161" s="1161" t="s">
        <v>6999</v>
      </c>
      <c r="D1161" s="912" t="n">
        <v>2007</v>
      </c>
      <c r="E1161" s="317" t="n">
        <f aca="false">2021-D1161</f>
        <v>14</v>
      </c>
      <c r="F1161" s="873" t="n">
        <v>450000</v>
      </c>
      <c r="G1161" s="1413" t="n">
        <v>0.1</v>
      </c>
      <c r="H1161" s="547" t="n">
        <f aca="false">E1161*F1161*G1161</f>
        <v>630000</v>
      </c>
      <c r="I1161" s="547" t="n">
        <f aca="false">F1161-H1161</f>
        <v>-180000</v>
      </c>
      <c r="J1161" s="547" t="n">
        <f aca="false">F1161*G1161</f>
        <v>45000</v>
      </c>
      <c r="K1161" s="1365" t="n">
        <f aca="false">J1161/1792.8</f>
        <v>25.1004016064257</v>
      </c>
      <c r="L1161" s="547" t="n">
        <v>13</v>
      </c>
      <c r="M1161" s="819" t="n">
        <f aca="false">K1161*L1161/60</f>
        <v>5.4384203480589</v>
      </c>
    </row>
    <row r="1162" customFormat="false" ht="15" hidden="false" customHeight="false" outlineLevel="0" collapsed="false">
      <c r="A1162" s="216"/>
      <c r="B1162" s="972" t="s">
        <v>4128</v>
      </c>
      <c r="C1162" s="1160"/>
      <c r="D1162" s="391"/>
      <c r="E1162" s="317"/>
      <c r="F1162" s="714"/>
      <c r="G1162" s="1414"/>
      <c r="H1162" s="547"/>
      <c r="I1162" s="547"/>
      <c r="J1162" s="547"/>
      <c r="K1162" s="1365" t="n">
        <f aca="false">J1162/1792.8</f>
        <v>0</v>
      </c>
      <c r="L1162" s="714"/>
      <c r="M1162" s="934" t="n">
        <f aca="false">M1159+M1160+M1161</f>
        <v>15.3019485348803</v>
      </c>
    </row>
    <row r="1163" customFormat="false" ht="15" hidden="false" customHeight="false" outlineLevel="0" collapsed="false">
      <c r="A1163" s="216" t="s">
        <v>772</v>
      </c>
      <c r="B1163" s="29" t="s">
        <v>3205</v>
      </c>
      <c r="C1163" s="1161" t="s">
        <v>6934</v>
      </c>
      <c r="D1163" s="912" t="n">
        <v>2007</v>
      </c>
      <c r="E1163" s="317" t="n">
        <f aca="false">2021-D1163</f>
        <v>14</v>
      </c>
      <c r="F1163" s="873" t="n">
        <v>491000</v>
      </c>
      <c r="G1163" s="1413" t="n">
        <v>0.1</v>
      </c>
      <c r="H1163" s="547" t="n">
        <f aca="false">E1163*F1163*G1163</f>
        <v>687400</v>
      </c>
      <c r="I1163" s="547" t="n">
        <f aca="false">F1163-H1163</f>
        <v>-196400</v>
      </c>
      <c r="J1163" s="547" t="n">
        <f aca="false">F1163*G1163</f>
        <v>49100</v>
      </c>
      <c r="K1163" s="1365" t="n">
        <f aca="false">J1163/1792.8</f>
        <v>27.3873270861223</v>
      </c>
      <c r="L1163" s="547" t="n">
        <v>10</v>
      </c>
      <c r="M1163" s="934" t="n">
        <f aca="false">K1163*L1163/60</f>
        <v>4.56455451435371</v>
      </c>
    </row>
    <row r="1164" customFormat="false" ht="30" hidden="false" customHeight="false" outlineLevel="0" collapsed="false">
      <c r="A1164" s="216" t="s">
        <v>774</v>
      </c>
      <c r="B1164" s="29" t="s">
        <v>3206</v>
      </c>
      <c r="C1164" s="1161" t="s">
        <v>6934</v>
      </c>
      <c r="D1164" s="912" t="n">
        <v>2007</v>
      </c>
      <c r="E1164" s="317" t="n">
        <f aca="false">2021-D1164</f>
        <v>14</v>
      </c>
      <c r="F1164" s="873" t="n">
        <v>491000</v>
      </c>
      <c r="G1164" s="1413" t="n">
        <v>0.1</v>
      </c>
      <c r="H1164" s="547" t="n">
        <f aca="false">E1164*F1164*G1164</f>
        <v>687400</v>
      </c>
      <c r="I1164" s="547" t="n">
        <f aca="false">F1164-H1164</f>
        <v>-196400</v>
      </c>
      <c r="J1164" s="547" t="n">
        <f aca="false">F1164*G1164</f>
        <v>49100</v>
      </c>
      <c r="K1164" s="1365" t="n">
        <f aca="false">J1164/1792.8</f>
        <v>27.3873270861223</v>
      </c>
      <c r="L1164" s="547" t="n">
        <v>10</v>
      </c>
      <c r="M1164" s="934" t="n">
        <f aca="false">K1164*L1164/60</f>
        <v>4.56455451435371</v>
      </c>
    </row>
    <row r="1165" customFormat="false" ht="15" hidden="false" customHeight="false" outlineLevel="0" collapsed="false">
      <c r="A1165" s="216" t="s">
        <v>776</v>
      </c>
      <c r="B1165" s="29" t="s">
        <v>3207</v>
      </c>
      <c r="C1165" s="1161" t="s">
        <v>6934</v>
      </c>
      <c r="D1165" s="912" t="n">
        <v>2007</v>
      </c>
      <c r="E1165" s="317" t="n">
        <f aca="false">2021-D1165</f>
        <v>14</v>
      </c>
      <c r="F1165" s="873" t="n">
        <v>491000</v>
      </c>
      <c r="G1165" s="1413" t="n">
        <v>0.1</v>
      </c>
      <c r="H1165" s="547" t="n">
        <f aca="false">E1165*F1165*G1165</f>
        <v>687400</v>
      </c>
      <c r="I1165" s="547" t="n">
        <f aca="false">F1165-H1165</f>
        <v>-196400</v>
      </c>
      <c r="J1165" s="547" t="n">
        <f aca="false">F1165*G1165</f>
        <v>49100</v>
      </c>
      <c r="K1165" s="1365" t="n">
        <f aca="false">J1165/1792.8</f>
        <v>27.3873270861223</v>
      </c>
      <c r="L1165" s="547" t="n">
        <v>10</v>
      </c>
      <c r="M1165" s="934" t="n">
        <f aca="false">K1165*L1165/60</f>
        <v>4.56455451435371</v>
      </c>
    </row>
    <row r="1166" customFormat="false" ht="15" hidden="false" customHeight="false" outlineLevel="0" collapsed="false">
      <c r="A1166" s="216" t="s">
        <v>778</v>
      </c>
      <c r="B1166" s="29" t="s">
        <v>3208</v>
      </c>
      <c r="C1166" s="1161" t="s">
        <v>6934</v>
      </c>
      <c r="D1166" s="912" t="n">
        <v>2007</v>
      </c>
      <c r="E1166" s="317" t="n">
        <f aca="false">2021-D1166</f>
        <v>14</v>
      </c>
      <c r="F1166" s="873" t="n">
        <v>491000</v>
      </c>
      <c r="G1166" s="1413" t="n">
        <v>0.1</v>
      </c>
      <c r="H1166" s="547" t="n">
        <f aca="false">E1166*F1166*G1166</f>
        <v>687400</v>
      </c>
      <c r="I1166" s="547" t="n">
        <f aca="false">F1166-H1166</f>
        <v>-196400</v>
      </c>
      <c r="J1166" s="547" t="n">
        <f aca="false">F1166*G1166</f>
        <v>49100</v>
      </c>
      <c r="K1166" s="1365" t="n">
        <f aca="false">J1166/1792.8</f>
        <v>27.3873270861223</v>
      </c>
      <c r="L1166" s="547" t="n">
        <v>10</v>
      </c>
      <c r="M1166" s="819" t="n">
        <f aca="false">K1166*L1166/60</f>
        <v>4.56455451435371</v>
      </c>
    </row>
    <row r="1167" customFormat="false" ht="15" hidden="false" customHeight="false" outlineLevel="0" collapsed="false">
      <c r="A1167" s="216"/>
      <c r="B1167" s="78"/>
      <c r="C1167" s="1161" t="s">
        <v>6927</v>
      </c>
      <c r="D1167" s="912" t="n">
        <v>2006</v>
      </c>
      <c r="E1167" s="317" t="n">
        <f aca="false">2021-D1167</f>
        <v>15</v>
      </c>
      <c r="F1167" s="547" t="n">
        <v>526970</v>
      </c>
      <c r="G1167" s="1413" t="n">
        <v>0.1</v>
      </c>
      <c r="H1167" s="547" t="n">
        <f aca="false">E1167*F1167*G1167</f>
        <v>790455</v>
      </c>
      <c r="I1167" s="547" t="n">
        <f aca="false">F1167-H1167</f>
        <v>-263485</v>
      </c>
      <c r="J1167" s="547" t="n">
        <f aca="false">F1167*G1167</f>
        <v>52697</v>
      </c>
      <c r="K1167" s="1365" t="n">
        <f aca="false">J1167/1792.8</f>
        <v>29.3936858545292</v>
      </c>
      <c r="L1167" s="547" t="n">
        <v>15</v>
      </c>
      <c r="M1167" s="819" t="n">
        <f aca="false">K1167*L1167/60</f>
        <v>7.34842146363231</v>
      </c>
    </row>
    <row r="1168" customFormat="false" ht="15" hidden="false" customHeight="false" outlineLevel="0" collapsed="false">
      <c r="A1168" s="216"/>
      <c r="B1168" s="972" t="s">
        <v>4128</v>
      </c>
      <c r="C1168" s="1160"/>
      <c r="D1168" s="391"/>
      <c r="E1168" s="317"/>
      <c r="F1168" s="714"/>
      <c r="G1168" s="1414"/>
      <c r="H1168" s="547"/>
      <c r="I1168" s="547"/>
      <c r="J1168" s="547"/>
      <c r="K1168" s="1365" t="n">
        <f aca="false">J1168/1792.8</f>
        <v>0</v>
      </c>
      <c r="L1168" s="714"/>
      <c r="M1168" s="934" t="n">
        <f aca="false">M1166+M1167</f>
        <v>11.912975977986</v>
      </c>
    </row>
    <row r="1169" customFormat="false" ht="15" hidden="false" customHeight="false" outlineLevel="0" collapsed="false">
      <c r="A1169" s="216" t="s">
        <v>780</v>
      </c>
      <c r="B1169" s="29" t="s">
        <v>3209</v>
      </c>
      <c r="C1169" s="1161" t="s">
        <v>6934</v>
      </c>
      <c r="D1169" s="912" t="n">
        <v>2007</v>
      </c>
      <c r="E1169" s="317" t="n">
        <f aca="false">2021-D1169</f>
        <v>14</v>
      </c>
      <c r="F1169" s="873" t="n">
        <v>491000</v>
      </c>
      <c r="G1169" s="1413" t="n">
        <v>0.1</v>
      </c>
      <c r="H1169" s="547" t="n">
        <f aca="false">E1169*F1169*G1169</f>
        <v>687400</v>
      </c>
      <c r="I1169" s="547" t="n">
        <f aca="false">F1169-H1169</f>
        <v>-196400</v>
      </c>
      <c r="J1169" s="547" t="n">
        <f aca="false">F1169*G1169</f>
        <v>49100</v>
      </c>
      <c r="K1169" s="1365" t="n">
        <f aca="false">J1169/1792.8</f>
        <v>27.3873270861223</v>
      </c>
      <c r="L1169" s="547" t="n">
        <v>10</v>
      </c>
      <c r="M1169" s="819" t="n">
        <f aca="false">K1169*L1169/60</f>
        <v>4.56455451435371</v>
      </c>
    </row>
    <row r="1170" customFormat="false" ht="15" hidden="false" customHeight="false" outlineLevel="0" collapsed="false">
      <c r="A1170" s="216"/>
      <c r="B1170" s="78"/>
      <c r="C1170" s="1161" t="s">
        <v>6927</v>
      </c>
      <c r="D1170" s="912" t="n">
        <v>2006</v>
      </c>
      <c r="E1170" s="317" t="n">
        <f aca="false">2021-D1170</f>
        <v>15</v>
      </c>
      <c r="F1170" s="547" t="n">
        <v>526970</v>
      </c>
      <c r="G1170" s="1413" t="n">
        <v>0.1</v>
      </c>
      <c r="H1170" s="547" t="n">
        <f aca="false">E1170*F1170*G1170</f>
        <v>790455</v>
      </c>
      <c r="I1170" s="547" t="n">
        <f aca="false">F1170-H1170</f>
        <v>-263485</v>
      </c>
      <c r="J1170" s="547" t="n">
        <f aca="false">F1170*G1170</f>
        <v>52697</v>
      </c>
      <c r="K1170" s="1365" t="n">
        <f aca="false">J1170/1792.8</f>
        <v>29.3936858545292</v>
      </c>
      <c r="L1170" s="547" t="n">
        <v>15</v>
      </c>
      <c r="M1170" s="819" t="n">
        <f aca="false">K1170*L1170/60</f>
        <v>7.34842146363231</v>
      </c>
    </row>
    <row r="1171" customFormat="false" ht="15" hidden="false" customHeight="false" outlineLevel="0" collapsed="false">
      <c r="A1171" s="216"/>
      <c r="B1171" s="972" t="s">
        <v>4128</v>
      </c>
      <c r="C1171" s="1160"/>
      <c r="D1171" s="391"/>
      <c r="E1171" s="317"/>
      <c r="F1171" s="714"/>
      <c r="G1171" s="1414"/>
      <c r="H1171" s="547"/>
      <c r="I1171" s="547"/>
      <c r="J1171" s="547"/>
      <c r="K1171" s="1365" t="n">
        <f aca="false">J1171/1792.8</f>
        <v>0</v>
      </c>
      <c r="L1171" s="714"/>
      <c r="M1171" s="934" t="n">
        <f aca="false">M1169+M1170</f>
        <v>11.912975977986</v>
      </c>
    </row>
    <row r="1172" customFormat="false" ht="15" hidden="false" customHeight="false" outlineLevel="0" collapsed="false">
      <c r="A1172" s="216" t="s">
        <v>782</v>
      </c>
      <c r="B1172" s="29" t="s">
        <v>3210</v>
      </c>
      <c r="C1172" s="1161" t="s">
        <v>6934</v>
      </c>
      <c r="D1172" s="912" t="n">
        <v>2007</v>
      </c>
      <c r="E1172" s="317" t="n">
        <f aca="false">2021-D1172</f>
        <v>14</v>
      </c>
      <c r="F1172" s="873" t="n">
        <v>491000</v>
      </c>
      <c r="G1172" s="1413" t="n">
        <v>0.1</v>
      </c>
      <c r="H1172" s="547" t="n">
        <f aca="false">E1172*F1172*G1172</f>
        <v>687400</v>
      </c>
      <c r="I1172" s="547" t="n">
        <f aca="false">F1172-H1172</f>
        <v>-196400</v>
      </c>
      <c r="J1172" s="547" t="n">
        <f aca="false">F1172*G1172</f>
        <v>49100</v>
      </c>
      <c r="K1172" s="1365" t="n">
        <f aca="false">J1172/1792.8</f>
        <v>27.3873270861223</v>
      </c>
      <c r="L1172" s="547" t="n">
        <v>10</v>
      </c>
      <c r="M1172" s="819" t="n">
        <f aca="false">K1172*L1172/60</f>
        <v>4.56455451435371</v>
      </c>
    </row>
    <row r="1173" customFormat="false" ht="15" hidden="false" customHeight="false" outlineLevel="0" collapsed="false">
      <c r="A1173" s="216"/>
      <c r="B1173" s="78"/>
      <c r="C1173" s="1161" t="s">
        <v>6927</v>
      </c>
      <c r="D1173" s="912" t="n">
        <v>2006</v>
      </c>
      <c r="E1173" s="317" t="n">
        <f aca="false">2021-D1173</f>
        <v>15</v>
      </c>
      <c r="F1173" s="547" t="n">
        <v>526970</v>
      </c>
      <c r="G1173" s="1413" t="n">
        <v>0.1</v>
      </c>
      <c r="H1173" s="547" t="n">
        <f aca="false">E1173*F1173*G1173</f>
        <v>790455</v>
      </c>
      <c r="I1173" s="547" t="n">
        <f aca="false">F1173-H1173</f>
        <v>-263485</v>
      </c>
      <c r="J1173" s="547" t="n">
        <f aca="false">F1173*G1173</f>
        <v>52697</v>
      </c>
      <c r="K1173" s="1365" t="n">
        <f aca="false">J1173/1792.8</f>
        <v>29.3936858545292</v>
      </c>
      <c r="L1173" s="547" t="n">
        <v>15</v>
      </c>
      <c r="M1173" s="819" t="n">
        <f aca="false">K1173*L1173/60</f>
        <v>7.34842146363231</v>
      </c>
    </row>
    <row r="1174" customFormat="false" ht="15" hidden="false" customHeight="false" outlineLevel="0" collapsed="false">
      <c r="A1174" s="216"/>
      <c r="B1174" s="972" t="s">
        <v>4128</v>
      </c>
      <c r="C1174" s="1160"/>
      <c r="D1174" s="391"/>
      <c r="E1174" s="317"/>
      <c r="F1174" s="714"/>
      <c r="G1174" s="1414"/>
      <c r="H1174" s="547"/>
      <c r="I1174" s="547"/>
      <c r="J1174" s="547"/>
      <c r="K1174" s="1365" t="n">
        <f aca="false">J1174/1792.8</f>
        <v>0</v>
      </c>
      <c r="L1174" s="714"/>
      <c r="M1174" s="934" t="n">
        <f aca="false">M1172+M1173</f>
        <v>11.912975977986</v>
      </c>
    </row>
    <row r="1175" customFormat="false" ht="15" hidden="false" customHeight="false" outlineLevel="0" collapsed="false">
      <c r="A1175" s="216" t="s">
        <v>784</v>
      </c>
      <c r="B1175" s="29" t="s">
        <v>3211</v>
      </c>
      <c r="C1175" s="1161" t="s">
        <v>6934</v>
      </c>
      <c r="D1175" s="912" t="n">
        <v>2007</v>
      </c>
      <c r="E1175" s="317" t="n">
        <f aca="false">2021-D1175</f>
        <v>14</v>
      </c>
      <c r="F1175" s="873" t="n">
        <v>491000</v>
      </c>
      <c r="G1175" s="1413" t="n">
        <v>0.1</v>
      </c>
      <c r="H1175" s="547" t="n">
        <f aca="false">E1175*F1175*G1175</f>
        <v>687400</v>
      </c>
      <c r="I1175" s="547" t="n">
        <f aca="false">F1175-H1175</f>
        <v>-196400</v>
      </c>
      <c r="J1175" s="547" t="n">
        <f aca="false">F1175*G1175</f>
        <v>49100</v>
      </c>
      <c r="K1175" s="1365" t="n">
        <f aca="false">J1175/1792.8</f>
        <v>27.3873270861223</v>
      </c>
      <c r="L1175" s="547" t="n">
        <v>10</v>
      </c>
      <c r="M1175" s="934" t="n">
        <f aca="false">K1175*L1175/60</f>
        <v>4.56455451435371</v>
      </c>
    </row>
    <row r="1176" customFormat="false" ht="47.25" hidden="false" customHeight="true" outlineLevel="0" collapsed="false">
      <c r="A1176" s="216" t="s">
        <v>7026</v>
      </c>
      <c r="B1176" s="29" t="s">
        <v>3103</v>
      </c>
      <c r="C1176" s="1161" t="s">
        <v>4568</v>
      </c>
      <c r="D1176" s="912" t="n">
        <v>2007</v>
      </c>
      <c r="E1176" s="317" t="n">
        <f aca="false">2021-D1176</f>
        <v>14</v>
      </c>
      <c r="F1176" s="873" t="n">
        <v>5635700</v>
      </c>
      <c r="G1176" s="1413" t="n">
        <v>0.1</v>
      </c>
      <c r="H1176" s="547" t="n">
        <f aca="false">E1176*F1176*G1176</f>
        <v>7889980</v>
      </c>
      <c r="I1176" s="547" t="n">
        <f aca="false">F1176-H1176</f>
        <v>-2254280</v>
      </c>
      <c r="J1176" s="547" t="n">
        <f aca="false">F1176*G1176</f>
        <v>563570</v>
      </c>
      <c r="K1176" s="1365" t="n">
        <f aca="false">J1176/1792.8</f>
        <v>314.351851851852</v>
      </c>
      <c r="L1176" s="547" t="n">
        <v>150</v>
      </c>
      <c r="M1176" s="819" t="n">
        <f aca="false">K1176*L1176/60</f>
        <v>785.87962962963</v>
      </c>
    </row>
    <row r="1177" customFormat="false" ht="15" hidden="false" customHeight="false" outlineLevel="0" collapsed="false">
      <c r="A1177" s="216"/>
      <c r="B1177" s="78"/>
      <c r="C1177" s="1161" t="s">
        <v>6975</v>
      </c>
      <c r="D1177" s="912" t="n">
        <v>2006</v>
      </c>
      <c r="E1177" s="317" t="n">
        <f aca="false">2021-D1177</f>
        <v>15</v>
      </c>
      <c r="F1177" s="547" t="n">
        <v>147200</v>
      </c>
      <c r="G1177" s="1413" t="n">
        <v>0.1</v>
      </c>
      <c r="H1177" s="547" t="n">
        <f aca="false">E1177*F1177*G1177</f>
        <v>220800</v>
      </c>
      <c r="I1177" s="547" t="n">
        <f aca="false">F1177-H1177</f>
        <v>-73600</v>
      </c>
      <c r="J1177" s="547" t="n">
        <f aca="false">F1177*G1177</f>
        <v>14720</v>
      </c>
      <c r="K1177" s="1365" t="n">
        <f aca="false">J1177/1792.8</f>
        <v>8.21062025881303</v>
      </c>
      <c r="L1177" s="547" t="n">
        <v>30</v>
      </c>
      <c r="M1177" s="819" t="n">
        <f aca="false">K1177*L1177/60</f>
        <v>4.10531012940652</v>
      </c>
    </row>
    <row r="1178" customFormat="false" ht="15" hidden="false" customHeight="false" outlineLevel="0" collapsed="false">
      <c r="A1178" s="216"/>
      <c r="B1178" s="78"/>
      <c r="C1178" s="1161" t="s">
        <v>6979</v>
      </c>
      <c r="D1178" s="912" t="n">
        <v>2005</v>
      </c>
      <c r="E1178" s="317" t="n">
        <f aca="false">2021-D1178</f>
        <v>16</v>
      </c>
      <c r="F1178" s="547" t="n">
        <v>1400000</v>
      </c>
      <c r="G1178" s="1413" t="n">
        <v>0.1</v>
      </c>
      <c r="H1178" s="547" t="n">
        <f aca="false">E1178*F1178*G1178</f>
        <v>2240000</v>
      </c>
      <c r="I1178" s="547" t="n">
        <f aca="false">F1178-H1178</f>
        <v>-840000</v>
      </c>
      <c r="J1178" s="547" t="n">
        <f aca="false">F1178*G1178</f>
        <v>140000</v>
      </c>
      <c r="K1178" s="1365" t="n">
        <f aca="false">J1178/1792.8</f>
        <v>78.0901383311022</v>
      </c>
      <c r="L1178" s="547" t="n">
        <v>30</v>
      </c>
      <c r="M1178" s="819" t="n">
        <f aca="false">K1178*L1178/60</f>
        <v>39.0450691655511</v>
      </c>
    </row>
    <row r="1179" customFormat="false" ht="15" hidden="false" customHeight="false" outlineLevel="0" collapsed="false">
      <c r="A1179" s="216"/>
      <c r="B1179" s="78"/>
      <c r="C1179" s="1161" t="s">
        <v>6934</v>
      </c>
      <c r="D1179" s="912" t="n">
        <v>2007</v>
      </c>
      <c r="E1179" s="317" t="n">
        <f aca="false">2021-D1179</f>
        <v>14</v>
      </c>
      <c r="F1179" s="873" t="n">
        <v>491000</v>
      </c>
      <c r="G1179" s="1413" t="n">
        <v>0.1</v>
      </c>
      <c r="H1179" s="547" t="n">
        <f aca="false">E1179*F1179*G1179</f>
        <v>687400</v>
      </c>
      <c r="I1179" s="547" t="n">
        <f aca="false">F1179-H1179</f>
        <v>-196400</v>
      </c>
      <c r="J1179" s="547" t="n">
        <f aca="false">F1179*G1179</f>
        <v>49100</v>
      </c>
      <c r="K1179" s="1365" t="n">
        <f aca="false">J1179/1792.8</f>
        <v>27.3873270861223</v>
      </c>
      <c r="L1179" s="547" t="n">
        <v>10</v>
      </c>
      <c r="M1179" s="819" t="n">
        <f aca="false">K1179*L1179/60</f>
        <v>4.56455451435371</v>
      </c>
    </row>
    <row r="1180" customFormat="false" ht="15" hidden="false" customHeight="false" outlineLevel="0" collapsed="false">
      <c r="A1180" s="216"/>
      <c r="B1180" s="78"/>
      <c r="C1180" s="1161" t="s">
        <v>6999</v>
      </c>
      <c r="D1180" s="912" t="n">
        <v>2007</v>
      </c>
      <c r="E1180" s="317" t="n">
        <f aca="false">2021-D1180</f>
        <v>14</v>
      </c>
      <c r="F1180" s="873" t="n">
        <v>450000</v>
      </c>
      <c r="G1180" s="1413" t="n">
        <v>0.1</v>
      </c>
      <c r="H1180" s="547" t="n">
        <f aca="false">E1180*F1180*G1180</f>
        <v>630000</v>
      </c>
      <c r="I1180" s="547" t="n">
        <f aca="false">F1180-H1180</f>
        <v>-180000</v>
      </c>
      <c r="J1180" s="547" t="n">
        <f aca="false">F1180*G1180</f>
        <v>45000</v>
      </c>
      <c r="K1180" s="1365" t="n">
        <f aca="false">J1180/1792.8</f>
        <v>25.1004016064257</v>
      </c>
      <c r="L1180" s="547" t="n">
        <v>13</v>
      </c>
      <c r="M1180" s="819" t="n">
        <f aca="false">K1180*L1180/60</f>
        <v>5.4384203480589</v>
      </c>
    </row>
    <row r="1181" customFormat="false" ht="15" hidden="false" customHeight="false" outlineLevel="0" collapsed="false">
      <c r="A1181" s="216"/>
      <c r="B1181" s="972" t="s">
        <v>4128</v>
      </c>
      <c r="C1181" s="1160"/>
      <c r="D1181" s="391"/>
      <c r="E1181" s="317"/>
      <c r="F1181" s="714"/>
      <c r="G1181" s="1414"/>
      <c r="H1181" s="547"/>
      <c r="I1181" s="547"/>
      <c r="J1181" s="547"/>
      <c r="K1181" s="1365" t="n">
        <f aca="false">J1181/1792.8</f>
        <v>0</v>
      </c>
      <c r="L1181" s="714"/>
      <c r="M1181" s="934" t="n">
        <f aca="false">M1176+M1177+M1178+M1179+M1180</f>
        <v>839.032983787</v>
      </c>
    </row>
    <row r="1182" customFormat="false" ht="15" hidden="false" customHeight="false" outlineLevel="0" collapsed="false">
      <c r="A1182" s="216" t="s">
        <v>787</v>
      </c>
      <c r="B1182" s="29" t="s">
        <v>3148</v>
      </c>
      <c r="C1182" s="1161" t="s">
        <v>6974</v>
      </c>
      <c r="D1182" s="912" t="n">
        <v>2006</v>
      </c>
      <c r="E1182" s="317" t="n">
        <f aca="false">2021-D1182</f>
        <v>15</v>
      </c>
      <c r="F1182" s="547" t="n">
        <v>526970</v>
      </c>
      <c r="G1182" s="1413" t="n">
        <v>0.1</v>
      </c>
      <c r="H1182" s="547" t="n">
        <f aca="false">E1182*F1182*G1182</f>
        <v>790455</v>
      </c>
      <c r="I1182" s="547" t="n">
        <f aca="false">F1182-H1182</f>
        <v>-263485</v>
      </c>
      <c r="J1182" s="547" t="n">
        <f aca="false">F1182*G1182</f>
        <v>52697</v>
      </c>
      <c r="K1182" s="1365" t="n">
        <f aca="false">J1182/1792.8</f>
        <v>29.3936858545292</v>
      </c>
      <c r="L1182" s="547" t="n">
        <v>15</v>
      </c>
      <c r="M1182" s="819" t="n">
        <f aca="false">K1182*L1182/60</f>
        <v>7.34842146363231</v>
      </c>
    </row>
    <row r="1183" customFormat="false" ht="15" hidden="false" customHeight="false" outlineLevel="0" collapsed="false">
      <c r="A1183" s="216"/>
      <c r="B1183" s="78"/>
      <c r="C1183" s="1161" t="s">
        <v>4568</v>
      </c>
      <c r="D1183" s="912" t="n">
        <v>2007</v>
      </c>
      <c r="E1183" s="317" t="n">
        <f aca="false">2021-D1183</f>
        <v>14</v>
      </c>
      <c r="F1183" s="873" t="n">
        <v>5635700</v>
      </c>
      <c r="G1183" s="1413" t="n">
        <v>0.1</v>
      </c>
      <c r="H1183" s="547" t="n">
        <f aca="false">E1183*F1183*G1183</f>
        <v>7889980</v>
      </c>
      <c r="I1183" s="547" t="n">
        <f aca="false">F1183-H1183</f>
        <v>-2254280</v>
      </c>
      <c r="J1183" s="547" t="n">
        <f aca="false">F1183*G1183</f>
        <v>563570</v>
      </c>
      <c r="K1183" s="1365" t="n">
        <f aca="false">J1183/1792.8</f>
        <v>314.351851851852</v>
      </c>
      <c r="L1183" s="547" t="n">
        <v>90</v>
      </c>
      <c r="M1183" s="819" t="n">
        <f aca="false">K1183*L1183/60</f>
        <v>471.527777777778</v>
      </c>
    </row>
    <row r="1184" customFormat="false" ht="15" hidden="false" customHeight="false" outlineLevel="0" collapsed="false">
      <c r="A1184" s="216"/>
      <c r="B1184" s="78"/>
      <c r="C1184" s="1161" t="s">
        <v>6975</v>
      </c>
      <c r="D1184" s="912" t="n">
        <v>2006</v>
      </c>
      <c r="E1184" s="317" t="n">
        <f aca="false">2021-D1184</f>
        <v>15</v>
      </c>
      <c r="F1184" s="547" t="n">
        <v>147200</v>
      </c>
      <c r="G1184" s="1413" t="n">
        <v>0.1</v>
      </c>
      <c r="H1184" s="547" t="n">
        <f aca="false">E1184*F1184*G1184</f>
        <v>220800</v>
      </c>
      <c r="I1184" s="547" t="n">
        <f aca="false">F1184-H1184</f>
        <v>-73600</v>
      </c>
      <c r="J1184" s="547" t="n">
        <f aca="false">F1184*G1184</f>
        <v>14720</v>
      </c>
      <c r="K1184" s="1365" t="n">
        <f aca="false">J1184/1792.8</f>
        <v>8.21062025881303</v>
      </c>
      <c r="L1184" s="547" t="n">
        <v>30</v>
      </c>
      <c r="M1184" s="819" t="n">
        <f aca="false">K1184*L1184/60</f>
        <v>4.10531012940652</v>
      </c>
    </row>
    <row r="1185" customFormat="false" ht="15" hidden="false" customHeight="false" outlineLevel="0" collapsed="false">
      <c r="A1185" s="216"/>
      <c r="B1185" s="78"/>
      <c r="C1185" s="1161" t="s">
        <v>6979</v>
      </c>
      <c r="D1185" s="912" t="n">
        <v>2005</v>
      </c>
      <c r="E1185" s="317" t="n">
        <f aca="false">2021-D1185</f>
        <v>16</v>
      </c>
      <c r="F1185" s="547" t="n">
        <v>1400000</v>
      </c>
      <c r="G1185" s="1413" t="n">
        <v>0.1</v>
      </c>
      <c r="H1185" s="547" t="n">
        <f aca="false">E1185*F1185*G1185</f>
        <v>2240000</v>
      </c>
      <c r="I1185" s="547" t="n">
        <f aca="false">F1185-H1185</f>
        <v>-840000</v>
      </c>
      <c r="J1185" s="547" t="n">
        <f aca="false">F1185*G1185</f>
        <v>140000</v>
      </c>
      <c r="K1185" s="1365" t="n">
        <f aca="false">J1185/1792.8</f>
        <v>78.0901383311022</v>
      </c>
      <c r="L1185" s="547" t="n">
        <v>30</v>
      </c>
      <c r="M1185" s="819" t="n">
        <f aca="false">K1185*L1185/60</f>
        <v>39.0450691655511</v>
      </c>
    </row>
    <row r="1186" customFormat="false" ht="15" hidden="false" customHeight="false" outlineLevel="0" collapsed="false">
      <c r="A1186" s="216"/>
      <c r="B1186" s="78"/>
      <c r="C1186" s="1161" t="s">
        <v>6934</v>
      </c>
      <c r="D1186" s="912" t="n">
        <v>2007</v>
      </c>
      <c r="E1186" s="317" t="n">
        <f aca="false">2021-D1186</f>
        <v>14</v>
      </c>
      <c r="F1186" s="873" t="n">
        <v>491000</v>
      </c>
      <c r="G1186" s="1413" t="n">
        <v>0.1</v>
      </c>
      <c r="H1186" s="547" t="n">
        <f aca="false">E1186*F1186*G1186</f>
        <v>687400</v>
      </c>
      <c r="I1186" s="547" t="n">
        <f aca="false">F1186-H1186</f>
        <v>-196400</v>
      </c>
      <c r="J1186" s="547" t="n">
        <f aca="false">F1186*G1186</f>
        <v>49100</v>
      </c>
      <c r="K1186" s="1365" t="n">
        <f aca="false">J1186/1792.8</f>
        <v>27.3873270861223</v>
      </c>
      <c r="L1186" s="547" t="n">
        <v>10</v>
      </c>
      <c r="M1186" s="819" t="n">
        <f aca="false">K1186*L1186/60</f>
        <v>4.56455451435371</v>
      </c>
    </row>
    <row r="1187" customFormat="false" ht="15" hidden="false" customHeight="false" outlineLevel="0" collapsed="false">
      <c r="A1187" s="216"/>
      <c r="B1187" s="78"/>
      <c r="C1187" s="1161" t="s">
        <v>6943</v>
      </c>
      <c r="D1187" s="912" t="n">
        <v>2006</v>
      </c>
      <c r="E1187" s="317" t="n">
        <f aca="false">2021-D1187</f>
        <v>15</v>
      </c>
      <c r="F1187" s="547" t="n">
        <v>1503927</v>
      </c>
      <c r="G1187" s="1413" t="n">
        <v>0.1</v>
      </c>
      <c r="H1187" s="547" t="n">
        <f aca="false">E1187*F1187*G1187</f>
        <v>2255890.5</v>
      </c>
      <c r="I1187" s="547" t="n">
        <f aca="false">F1187-H1187</f>
        <v>-751963.5</v>
      </c>
      <c r="J1187" s="547" t="n">
        <f aca="false">F1187*G1187</f>
        <v>150392.7</v>
      </c>
      <c r="K1187" s="1365" t="n">
        <f aca="false">J1187/1792.8</f>
        <v>83.8870481927711</v>
      </c>
      <c r="L1187" s="547" t="n">
        <v>40</v>
      </c>
      <c r="M1187" s="819" t="n">
        <f aca="false">K1187*L1187/60</f>
        <v>55.9246987951807</v>
      </c>
    </row>
    <row r="1188" customFormat="false" ht="15" hidden="false" customHeight="false" outlineLevel="0" collapsed="false">
      <c r="A1188" s="216"/>
      <c r="B1188" s="78"/>
      <c r="C1188" s="1161" t="s">
        <v>6999</v>
      </c>
      <c r="D1188" s="912" t="n">
        <v>2007</v>
      </c>
      <c r="E1188" s="317" t="n">
        <f aca="false">2021-D1188</f>
        <v>14</v>
      </c>
      <c r="F1188" s="873" t="n">
        <v>450000</v>
      </c>
      <c r="G1188" s="1413" t="n">
        <v>0.1</v>
      </c>
      <c r="H1188" s="547" t="n">
        <f aca="false">E1188*F1188*G1188</f>
        <v>630000</v>
      </c>
      <c r="I1188" s="547" t="n">
        <f aca="false">F1188-H1188</f>
        <v>-180000</v>
      </c>
      <c r="J1188" s="547" t="n">
        <f aca="false">F1188*G1188</f>
        <v>45000</v>
      </c>
      <c r="K1188" s="1365" t="n">
        <f aca="false">J1188/1792.8</f>
        <v>25.1004016064257</v>
      </c>
      <c r="L1188" s="547" t="n">
        <v>13</v>
      </c>
      <c r="M1188" s="819" t="n">
        <f aca="false">K1188*L1188/60</f>
        <v>5.4384203480589</v>
      </c>
    </row>
    <row r="1189" customFormat="false" ht="17.25" hidden="false" customHeight="true" outlineLevel="0" collapsed="false">
      <c r="A1189" s="216"/>
      <c r="B1189" s="972" t="s">
        <v>4128</v>
      </c>
      <c r="C1189" s="1160"/>
      <c r="D1189" s="391"/>
      <c r="E1189" s="317"/>
      <c r="F1189" s="714"/>
      <c r="G1189" s="1414"/>
      <c r="H1189" s="547"/>
      <c r="I1189" s="547"/>
      <c r="J1189" s="547"/>
      <c r="K1189" s="1365" t="n">
        <f aca="false">J1189/1792.8</f>
        <v>0</v>
      </c>
      <c r="L1189" s="714"/>
      <c r="M1189" s="934" t="n">
        <f aca="false">M1182+M1183+M1184+M1185+M1186+M1187+M1188</f>
        <v>587.954252193961</v>
      </c>
    </row>
    <row r="1190" customFormat="false" ht="15" hidden="false" customHeight="false" outlineLevel="0" collapsed="false">
      <c r="A1190" s="216" t="s">
        <v>788</v>
      </c>
      <c r="B1190" s="29" t="s">
        <v>3102</v>
      </c>
      <c r="C1190" s="1161" t="s">
        <v>4568</v>
      </c>
      <c r="D1190" s="912" t="n">
        <v>2007</v>
      </c>
      <c r="E1190" s="317" t="n">
        <f aca="false">2021-D1190</f>
        <v>14</v>
      </c>
      <c r="F1190" s="873" t="n">
        <v>5635700</v>
      </c>
      <c r="G1190" s="1413" t="n">
        <v>0.1</v>
      </c>
      <c r="H1190" s="547" t="n">
        <f aca="false">E1190*F1190*G1190</f>
        <v>7889980</v>
      </c>
      <c r="I1190" s="547" t="n">
        <f aca="false">F1190-H1190</f>
        <v>-2254280</v>
      </c>
      <c r="J1190" s="547" t="n">
        <f aca="false">F1190*G1190</f>
        <v>563570</v>
      </c>
      <c r="K1190" s="1365" t="n">
        <f aca="false">J1190/1792.8</f>
        <v>314.351851851852</v>
      </c>
      <c r="L1190" s="547" t="n">
        <v>90</v>
      </c>
      <c r="M1190" s="819" t="n">
        <f aca="false">K1190*L1190/60</f>
        <v>471.527777777778</v>
      </c>
    </row>
    <row r="1191" customFormat="false" ht="30.75" hidden="false" customHeight="true" outlineLevel="0" collapsed="false">
      <c r="A1191" s="216"/>
      <c r="B1191" s="78"/>
      <c r="C1191" s="1161" t="s">
        <v>6975</v>
      </c>
      <c r="D1191" s="912" t="n">
        <v>2006</v>
      </c>
      <c r="E1191" s="317" t="n">
        <f aca="false">2021-D1191</f>
        <v>15</v>
      </c>
      <c r="F1191" s="547" t="n">
        <v>147200</v>
      </c>
      <c r="G1191" s="1413" t="n">
        <v>0.1</v>
      </c>
      <c r="H1191" s="547" t="n">
        <f aca="false">E1191*F1191*G1191</f>
        <v>220800</v>
      </c>
      <c r="I1191" s="547" t="n">
        <f aca="false">F1191-H1191</f>
        <v>-73600</v>
      </c>
      <c r="J1191" s="547" t="n">
        <f aca="false">F1191*G1191</f>
        <v>14720</v>
      </c>
      <c r="K1191" s="1365" t="n">
        <f aca="false">J1191/1792.8</f>
        <v>8.21062025881303</v>
      </c>
      <c r="L1191" s="547" t="n">
        <v>30</v>
      </c>
      <c r="M1191" s="819" t="n">
        <f aca="false">K1191*L1191/60</f>
        <v>4.10531012940652</v>
      </c>
    </row>
    <row r="1192" customFormat="false" ht="15" hidden="false" customHeight="false" outlineLevel="0" collapsed="false">
      <c r="A1192" s="216"/>
      <c r="B1192" s="78"/>
      <c r="C1192" s="1161" t="s">
        <v>6979</v>
      </c>
      <c r="D1192" s="912" t="n">
        <v>2005</v>
      </c>
      <c r="E1192" s="317" t="n">
        <f aca="false">2021-D1192</f>
        <v>16</v>
      </c>
      <c r="F1192" s="547" t="n">
        <v>1400000</v>
      </c>
      <c r="G1192" s="1413" t="n">
        <v>0.1</v>
      </c>
      <c r="H1192" s="547" t="n">
        <f aca="false">E1192*F1192*G1192</f>
        <v>2240000</v>
      </c>
      <c r="I1192" s="547" t="n">
        <f aca="false">F1192-H1192</f>
        <v>-840000</v>
      </c>
      <c r="J1192" s="547" t="n">
        <f aca="false">F1192*G1192</f>
        <v>140000</v>
      </c>
      <c r="K1192" s="1365" t="n">
        <f aca="false">J1192/1792.8</f>
        <v>78.0901383311022</v>
      </c>
      <c r="L1192" s="547" t="n">
        <v>30</v>
      </c>
      <c r="M1192" s="819" t="n">
        <f aca="false">K1192*L1192/60</f>
        <v>39.0450691655511</v>
      </c>
    </row>
    <row r="1193" customFormat="false" ht="15" hidden="false" customHeight="false" outlineLevel="0" collapsed="false">
      <c r="A1193" s="216"/>
      <c r="B1193" s="78"/>
      <c r="C1193" s="1161" t="s">
        <v>6934</v>
      </c>
      <c r="D1193" s="912" t="n">
        <v>2007</v>
      </c>
      <c r="E1193" s="317" t="n">
        <f aca="false">2021-D1193</f>
        <v>14</v>
      </c>
      <c r="F1193" s="873" t="n">
        <v>491000</v>
      </c>
      <c r="G1193" s="1413" t="n">
        <v>0.1</v>
      </c>
      <c r="H1193" s="547" t="n">
        <f aca="false">E1193*F1193*G1193</f>
        <v>687400</v>
      </c>
      <c r="I1193" s="547" t="n">
        <f aca="false">F1193-H1193</f>
        <v>-196400</v>
      </c>
      <c r="J1193" s="547" t="n">
        <f aca="false">F1193*G1193</f>
        <v>49100</v>
      </c>
      <c r="K1193" s="1365" t="n">
        <f aca="false">J1193/1792.8</f>
        <v>27.3873270861223</v>
      </c>
      <c r="L1193" s="547" t="n">
        <v>10</v>
      </c>
      <c r="M1193" s="819" t="n">
        <f aca="false">K1193*L1193/60</f>
        <v>4.56455451435371</v>
      </c>
    </row>
    <row r="1194" customFormat="false" ht="15" hidden="false" customHeight="false" outlineLevel="0" collapsed="false">
      <c r="A1194" s="216"/>
      <c r="B1194" s="78"/>
      <c r="C1194" s="1161" t="s">
        <v>6999</v>
      </c>
      <c r="D1194" s="912" t="n">
        <v>2007</v>
      </c>
      <c r="E1194" s="317" t="n">
        <f aca="false">2021-D1194</f>
        <v>14</v>
      </c>
      <c r="F1194" s="873" t="n">
        <v>450000</v>
      </c>
      <c r="G1194" s="1413" t="n">
        <v>0.1</v>
      </c>
      <c r="H1194" s="547" t="n">
        <f aca="false">E1194*F1194*G1194</f>
        <v>630000</v>
      </c>
      <c r="I1194" s="547" t="n">
        <f aca="false">F1194-H1194</f>
        <v>-180000</v>
      </c>
      <c r="J1194" s="547" t="n">
        <f aca="false">F1194*G1194</f>
        <v>45000</v>
      </c>
      <c r="K1194" s="1365" t="n">
        <f aca="false">J1194/1792.8</f>
        <v>25.1004016064257</v>
      </c>
      <c r="L1194" s="547" t="n">
        <v>13</v>
      </c>
      <c r="M1194" s="819" t="n">
        <f aca="false">K1194*L1194/60</f>
        <v>5.4384203480589</v>
      </c>
    </row>
    <row r="1195" customFormat="false" ht="15" hidden="false" customHeight="false" outlineLevel="0" collapsed="false">
      <c r="A1195" s="216"/>
      <c r="B1195" s="972" t="s">
        <v>4128</v>
      </c>
      <c r="C1195" s="1160"/>
      <c r="D1195" s="391"/>
      <c r="E1195" s="317"/>
      <c r="F1195" s="714"/>
      <c r="G1195" s="1414"/>
      <c r="H1195" s="547"/>
      <c r="I1195" s="547"/>
      <c r="J1195" s="547"/>
      <c r="K1195" s="1365" t="n">
        <f aca="false">J1195/1792.8</f>
        <v>0</v>
      </c>
      <c r="L1195" s="714"/>
      <c r="M1195" s="934" t="n">
        <f aca="false">M1190+M1191+M1192+M1193+M1194</f>
        <v>524.681131935148</v>
      </c>
    </row>
    <row r="1196" customFormat="false" ht="15" hidden="false" customHeight="false" outlineLevel="0" collapsed="false">
      <c r="A1196" s="216" t="s">
        <v>789</v>
      </c>
      <c r="B1196" s="29" t="s">
        <v>3149</v>
      </c>
      <c r="C1196" s="1161" t="s">
        <v>6974</v>
      </c>
      <c r="D1196" s="912" t="n">
        <v>2006</v>
      </c>
      <c r="E1196" s="317" t="n">
        <f aca="false">2021-D1196</f>
        <v>15</v>
      </c>
      <c r="F1196" s="547" t="n">
        <v>526970</v>
      </c>
      <c r="G1196" s="1413" t="n">
        <v>0.1</v>
      </c>
      <c r="H1196" s="547" t="n">
        <f aca="false">E1196*F1196*G1196</f>
        <v>790455</v>
      </c>
      <c r="I1196" s="547" t="n">
        <f aca="false">F1196-H1196</f>
        <v>-263485</v>
      </c>
      <c r="J1196" s="547" t="n">
        <f aca="false">F1196*G1196</f>
        <v>52697</v>
      </c>
      <c r="K1196" s="1365" t="n">
        <f aca="false">J1196/1792.8</f>
        <v>29.3936858545292</v>
      </c>
      <c r="L1196" s="547" t="n">
        <v>15</v>
      </c>
      <c r="M1196" s="819" t="n">
        <f aca="false">K1196*L1196/60</f>
        <v>7.34842146363231</v>
      </c>
    </row>
    <row r="1197" customFormat="false" ht="15" hidden="false" customHeight="false" outlineLevel="0" collapsed="false">
      <c r="A1197" s="216"/>
      <c r="B1197" s="78"/>
      <c r="C1197" s="1161" t="s">
        <v>4568</v>
      </c>
      <c r="D1197" s="912" t="n">
        <v>2007</v>
      </c>
      <c r="E1197" s="317" t="n">
        <f aca="false">2021-D1197</f>
        <v>14</v>
      </c>
      <c r="F1197" s="873" t="n">
        <v>5635700</v>
      </c>
      <c r="G1197" s="1413" t="n">
        <v>0.1</v>
      </c>
      <c r="H1197" s="547" t="n">
        <f aca="false">E1197*F1197*G1197</f>
        <v>7889980</v>
      </c>
      <c r="I1197" s="547" t="n">
        <f aca="false">F1197-H1197</f>
        <v>-2254280</v>
      </c>
      <c r="J1197" s="547" t="n">
        <f aca="false">F1197*G1197</f>
        <v>563570</v>
      </c>
      <c r="K1197" s="1365" t="n">
        <f aca="false">J1197/1792.8</f>
        <v>314.351851851852</v>
      </c>
      <c r="L1197" s="547" t="n">
        <v>180</v>
      </c>
      <c r="M1197" s="819" t="n">
        <f aca="false">K1197*L1197/60</f>
        <v>943.055555555556</v>
      </c>
    </row>
    <row r="1198" customFormat="false" ht="15" hidden="false" customHeight="false" outlineLevel="0" collapsed="false">
      <c r="A1198" s="216"/>
      <c r="B1198" s="78"/>
      <c r="C1198" s="1161" t="s">
        <v>6934</v>
      </c>
      <c r="D1198" s="912" t="n">
        <v>2007</v>
      </c>
      <c r="E1198" s="317" t="n">
        <f aca="false">2021-D1198</f>
        <v>14</v>
      </c>
      <c r="F1198" s="873" t="n">
        <v>491000</v>
      </c>
      <c r="G1198" s="1413" t="n">
        <v>0.1</v>
      </c>
      <c r="H1198" s="547" t="n">
        <f aca="false">E1198*F1198*G1198</f>
        <v>687400</v>
      </c>
      <c r="I1198" s="547" t="n">
        <f aca="false">F1198-H1198</f>
        <v>-196400</v>
      </c>
      <c r="J1198" s="547" t="n">
        <f aca="false">F1198*G1198</f>
        <v>49100</v>
      </c>
      <c r="K1198" s="1365" t="n">
        <f aca="false">J1198/1792.8</f>
        <v>27.3873270861223</v>
      </c>
      <c r="L1198" s="547" t="n">
        <v>10</v>
      </c>
      <c r="M1198" s="819" t="n">
        <f aca="false">K1198*L1198/60</f>
        <v>4.56455451435371</v>
      </c>
    </row>
    <row r="1199" customFormat="false" ht="15" hidden="false" customHeight="false" outlineLevel="0" collapsed="false">
      <c r="A1199" s="216"/>
      <c r="B1199" s="972" t="s">
        <v>4128</v>
      </c>
      <c r="C1199" s="1160"/>
      <c r="D1199" s="391"/>
      <c r="E1199" s="317"/>
      <c r="F1199" s="714"/>
      <c r="G1199" s="1414"/>
      <c r="H1199" s="547"/>
      <c r="I1199" s="547"/>
      <c r="J1199" s="547"/>
      <c r="K1199" s="1365" t="n">
        <f aca="false">J1199/1792.8</f>
        <v>0</v>
      </c>
      <c r="L1199" s="714"/>
      <c r="M1199" s="934" t="n">
        <f aca="false">M1196+M1197+M1198</f>
        <v>954.968531533542</v>
      </c>
    </row>
    <row r="1200" customFormat="false" ht="15" hidden="false" customHeight="false" outlineLevel="0" collapsed="false">
      <c r="A1200" s="216" t="s">
        <v>790</v>
      </c>
      <c r="B1200" s="40" t="s">
        <v>791</v>
      </c>
      <c r="C1200" s="1161" t="s">
        <v>6974</v>
      </c>
      <c r="D1200" s="912" t="n">
        <v>2006</v>
      </c>
      <c r="E1200" s="317" t="n">
        <f aca="false">2021-D1200</f>
        <v>15</v>
      </c>
      <c r="F1200" s="547" t="n">
        <v>526970</v>
      </c>
      <c r="G1200" s="1413" t="n">
        <v>0.1</v>
      </c>
      <c r="H1200" s="547" t="n">
        <f aca="false">E1200*F1200*G1200</f>
        <v>790455</v>
      </c>
      <c r="I1200" s="547" t="n">
        <f aca="false">F1200-H1200</f>
        <v>-263485</v>
      </c>
      <c r="J1200" s="547" t="n">
        <f aca="false">F1200*G1200</f>
        <v>52697</v>
      </c>
      <c r="K1200" s="1365" t="n">
        <f aca="false">J1200/1792.8</f>
        <v>29.3936858545292</v>
      </c>
      <c r="L1200" s="547" t="n">
        <v>15</v>
      </c>
      <c r="M1200" s="819" t="n">
        <f aca="false">K1200*L1200/60</f>
        <v>7.34842146363231</v>
      </c>
    </row>
    <row r="1201" customFormat="false" ht="27" hidden="false" customHeight="true" outlineLevel="0" collapsed="false">
      <c r="A1201" s="216"/>
      <c r="B1201" s="972"/>
      <c r="C1201" s="1161" t="s">
        <v>6934</v>
      </c>
      <c r="D1201" s="912" t="n">
        <v>2007</v>
      </c>
      <c r="E1201" s="317" t="n">
        <f aca="false">2021-D1201</f>
        <v>14</v>
      </c>
      <c r="F1201" s="873" t="n">
        <v>491000</v>
      </c>
      <c r="G1201" s="1413" t="n">
        <v>0.1</v>
      </c>
      <c r="H1201" s="547" t="n">
        <f aca="false">E1201*F1201*G1201</f>
        <v>687400</v>
      </c>
      <c r="I1201" s="547" t="n">
        <f aca="false">F1201-H1201</f>
        <v>-196400</v>
      </c>
      <c r="J1201" s="547" t="n">
        <f aca="false">F1201*G1201</f>
        <v>49100</v>
      </c>
      <c r="K1201" s="1365" t="n">
        <f aca="false">J1201/1792.8</f>
        <v>27.3873270861223</v>
      </c>
      <c r="L1201" s="547" t="n">
        <v>10</v>
      </c>
      <c r="M1201" s="819" t="n">
        <f aca="false">K1201*L1201/60</f>
        <v>4.56455451435371</v>
      </c>
    </row>
    <row r="1202" customFormat="false" ht="18.75" hidden="false" customHeight="true" outlineLevel="0" collapsed="false">
      <c r="A1202" s="216"/>
      <c r="B1202" s="972" t="s">
        <v>4128</v>
      </c>
      <c r="C1202" s="1160"/>
      <c r="D1202" s="391"/>
      <c r="E1202" s="317"/>
      <c r="F1202" s="714"/>
      <c r="G1202" s="1414"/>
      <c r="H1202" s="547"/>
      <c r="I1202" s="547"/>
      <c r="J1202" s="547"/>
      <c r="K1202" s="1365" t="n">
        <f aca="false">J1202/1792.8</f>
        <v>0</v>
      </c>
      <c r="L1202" s="714"/>
      <c r="M1202" s="934" t="n">
        <f aca="false">M1200+M1201</f>
        <v>11.912975977986</v>
      </c>
    </row>
    <row r="1203" customFormat="false" ht="15" hidden="false" customHeight="false" outlineLevel="0" collapsed="false">
      <c r="A1203" s="216" t="s">
        <v>7027</v>
      </c>
      <c r="B1203" s="40" t="s">
        <v>3212</v>
      </c>
      <c r="C1203" s="1161" t="s">
        <v>6934</v>
      </c>
      <c r="D1203" s="912" t="n">
        <v>2007</v>
      </c>
      <c r="E1203" s="317" t="n">
        <f aca="false">2021-D1203</f>
        <v>14</v>
      </c>
      <c r="F1203" s="873" t="n">
        <v>491000</v>
      </c>
      <c r="G1203" s="1413" t="n">
        <v>0.1</v>
      </c>
      <c r="H1203" s="547" t="n">
        <f aca="false">E1203*F1203*G1203</f>
        <v>687400</v>
      </c>
      <c r="I1203" s="547" t="n">
        <f aca="false">F1203-H1203</f>
        <v>-196400</v>
      </c>
      <c r="J1203" s="547" t="n">
        <f aca="false">F1203*G1203</f>
        <v>49100</v>
      </c>
      <c r="K1203" s="1365" t="n">
        <f aca="false">J1203/1792.8</f>
        <v>27.3873270861223</v>
      </c>
      <c r="L1203" s="547" t="n">
        <v>10</v>
      </c>
      <c r="M1203" s="934" t="n">
        <f aca="false">K1203*L1203/60</f>
        <v>4.56455451435371</v>
      </c>
    </row>
    <row r="1204" customFormat="false" ht="36" hidden="false" customHeight="true" outlineLevel="0" collapsed="false">
      <c r="A1204" s="15" t="s">
        <v>4942</v>
      </c>
      <c r="B1204" s="16" t="s">
        <v>7028</v>
      </c>
      <c r="C1204" s="16"/>
      <c r="D1204" s="339"/>
      <c r="E1204" s="1389"/>
      <c r="F1204" s="751"/>
      <c r="G1204" s="751"/>
      <c r="H1204" s="751"/>
      <c r="I1204" s="751"/>
      <c r="J1204" s="751"/>
      <c r="K1204" s="1390"/>
      <c r="L1204" s="751"/>
      <c r="M1204" s="818"/>
    </row>
    <row r="1205" customFormat="false" ht="30" hidden="false" customHeight="false" outlineLevel="0" collapsed="false">
      <c r="A1205" s="216" t="s">
        <v>4944</v>
      </c>
      <c r="B1205" s="29" t="s">
        <v>3010</v>
      </c>
      <c r="C1205" s="1161" t="s">
        <v>6984</v>
      </c>
      <c r="D1205" s="912" t="n">
        <v>2007</v>
      </c>
      <c r="E1205" s="317" t="n">
        <f aca="false">2021-D1205</f>
        <v>14</v>
      </c>
      <c r="F1205" s="547" t="n">
        <v>810000</v>
      </c>
      <c r="G1205" s="1413" t="n">
        <v>0.1</v>
      </c>
      <c r="H1205" s="547" t="n">
        <f aca="false">E1205*F1205*G1205</f>
        <v>1134000</v>
      </c>
      <c r="I1205" s="547" t="n">
        <f aca="false">F1205-H1205</f>
        <v>-324000</v>
      </c>
      <c r="J1205" s="547" t="n">
        <f aca="false">F1205*G1205</f>
        <v>81000</v>
      </c>
      <c r="K1205" s="1365" t="n">
        <f aca="false">J1205/1792.8</f>
        <v>45.1807228915663</v>
      </c>
      <c r="L1205" s="547" t="n">
        <v>10</v>
      </c>
      <c r="M1205" s="934" t="n">
        <f aca="false">K1205*L1205/60</f>
        <v>7.53012048192771</v>
      </c>
    </row>
    <row r="1206" customFormat="false" ht="15" hidden="false" customHeight="false" outlineLevel="0" collapsed="false">
      <c r="A1206" s="216" t="s">
        <v>4945</v>
      </c>
      <c r="B1206" s="29" t="s">
        <v>3084</v>
      </c>
      <c r="C1206" s="1161" t="s">
        <v>6973</v>
      </c>
      <c r="D1206" s="912" t="n">
        <v>2006</v>
      </c>
      <c r="E1206" s="317" t="n">
        <f aca="false">2021-D1206</f>
        <v>15</v>
      </c>
      <c r="F1206" s="547" t="n">
        <v>190000</v>
      </c>
      <c r="G1206" s="1413" t="n">
        <v>0.1</v>
      </c>
      <c r="H1206" s="547" t="n">
        <f aca="false">E1206*F1206*G1206</f>
        <v>285000</v>
      </c>
      <c r="I1206" s="547" t="n">
        <f aca="false">F1206-H1206</f>
        <v>-95000</v>
      </c>
      <c r="J1206" s="547" t="n">
        <f aca="false">F1206*G1206</f>
        <v>19000</v>
      </c>
      <c r="K1206" s="1365" t="n">
        <f aca="false">J1206/1792.8</f>
        <v>10.5979473449353</v>
      </c>
      <c r="L1206" s="547" t="n">
        <v>30</v>
      </c>
      <c r="M1206" s="819" t="n">
        <f aca="false">K1206*L1206/60</f>
        <v>5.29897367246765</v>
      </c>
    </row>
    <row r="1207" customFormat="false" ht="15" hidden="false" customHeight="false" outlineLevel="0" collapsed="false">
      <c r="A1207" s="216"/>
      <c r="B1207" s="78"/>
      <c r="C1207" s="1161" t="s">
        <v>6934</v>
      </c>
      <c r="D1207" s="912" t="n">
        <v>2005</v>
      </c>
      <c r="E1207" s="317" t="n">
        <f aca="false">2021-D1207</f>
        <v>16</v>
      </c>
      <c r="F1207" s="547" t="n">
        <v>90680</v>
      </c>
      <c r="G1207" s="1413" t="n">
        <v>0.1</v>
      </c>
      <c r="H1207" s="547" t="n">
        <f aca="false">E1207*F1207*G1207</f>
        <v>145088</v>
      </c>
      <c r="I1207" s="547" t="n">
        <f aca="false">F1207-H1207</f>
        <v>-54408</v>
      </c>
      <c r="J1207" s="547" t="n">
        <f aca="false">F1207*G1207</f>
        <v>9068</v>
      </c>
      <c r="K1207" s="1365" t="n">
        <f aca="false">J1207/1792.8</f>
        <v>5.05800981704596</v>
      </c>
      <c r="L1207" s="547" t="n">
        <v>10</v>
      </c>
      <c r="M1207" s="819" t="n">
        <f aca="false">K1207*L1207/60</f>
        <v>0.843001636174327</v>
      </c>
    </row>
    <row r="1208" customFormat="false" ht="15" hidden="false" customHeight="false" outlineLevel="0" collapsed="false">
      <c r="A1208" s="216"/>
      <c r="B1208" s="972" t="s">
        <v>4128</v>
      </c>
      <c r="C1208" s="1160"/>
      <c r="D1208" s="391"/>
      <c r="E1208" s="317"/>
      <c r="F1208" s="714"/>
      <c r="G1208" s="1414"/>
      <c r="H1208" s="547"/>
      <c r="I1208" s="547"/>
      <c r="J1208" s="547"/>
      <c r="K1208" s="1365" t="n">
        <f aca="false">J1208/1792.8</f>
        <v>0</v>
      </c>
      <c r="L1208" s="714"/>
      <c r="M1208" s="934" t="n">
        <f aca="false">M1206+M1207</f>
        <v>6.14197530864198</v>
      </c>
    </row>
    <row r="1209" customFormat="false" ht="30" hidden="false" customHeight="false" outlineLevel="0" collapsed="false">
      <c r="A1209" s="216" t="s">
        <v>798</v>
      </c>
      <c r="B1209" s="29" t="s">
        <v>3085</v>
      </c>
      <c r="C1209" s="1161" t="s">
        <v>6973</v>
      </c>
      <c r="D1209" s="912" t="n">
        <v>2006</v>
      </c>
      <c r="E1209" s="317" t="n">
        <f aca="false">2021-D1209</f>
        <v>15</v>
      </c>
      <c r="F1209" s="547" t="n">
        <v>190000</v>
      </c>
      <c r="G1209" s="1413" t="n">
        <v>0.1</v>
      </c>
      <c r="H1209" s="547" t="n">
        <f aca="false">E1209*F1209*G1209</f>
        <v>285000</v>
      </c>
      <c r="I1209" s="547" t="n">
        <f aca="false">F1209-H1209</f>
        <v>-95000</v>
      </c>
      <c r="J1209" s="547" t="n">
        <f aca="false">F1209*G1209</f>
        <v>19000</v>
      </c>
      <c r="K1209" s="1365" t="n">
        <f aca="false">J1209/1792.8</f>
        <v>10.5979473449353</v>
      </c>
      <c r="L1209" s="547" t="n">
        <v>30</v>
      </c>
      <c r="M1209" s="819" t="n">
        <f aca="false">K1209*L1209/60</f>
        <v>5.29897367246765</v>
      </c>
    </row>
    <row r="1210" customFormat="false" ht="15" hidden="false" customHeight="false" outlineLevel="0" collapsed="false">
      <c r="A1210" s="216"/>
      <c r="B1210" s="78"/>
      <c r="C1210" s="1161" t="s">
        <v>6934</v>
      </c>
      <c r="D1210" s="912" t="n">
        <v>2005</v>
      </c>
      <c r="E1210" s="317" t="n">
        <f aca="false">2021-D1210</f>
        <v>16</v>
      </c>
      <c r="F1210" s="547" t="n">
        <v>90680</v>
      </c>
      <c r="G1210" s="1413" t="n">
        <v>0.1</v>
      </c>
      <c r="H1210" s="547" t="n">
        <f aca="false">E1210*F1210*G1210</f>
        <v>145088</v>
      </c>
      <c r="I1210" s="547" t="n">
        <f aca="false">F1210-H1210</f>
        <v>-54408</v>
      </c>
      <c r="J1210" s="547" t="n">
        <f aca="false">F1210*G1210</f>
        <v>9068</v>
      </c>
      <c r="K1210" s="1365" t="n">
        <f aca="false">J1210/1792.8</f>
        <v>5.05800981704596</v>
      </c>
      <c r="L1210" s="547" t="n">
        <v>10</v>
      </c>
      <c r="M1210" s="819" t="n">
        <f aca="false">K1210*L1210/60</f>
        <v>0.843001636174327</v>
      </c>
    </row>
    <row r="1211" customFormat="false" ht="15" hidden="false" customHeight="false" outlineLevel="0" collapsed="false">
      <c r="A1211" s="216"/>
      <c r="B1211" s="972" t="s">
        <v>4128</v>
      </c>
      <c r="C1211" s="1160"/>
      <c r="D1211" s="391"/>
      <c r="E1211" s="317"/>
      <c r="F1211" s="714"/>
      <c r="G1211" s="1414"/>
      <c r="H1211" s="547"/>
      <c r="I1211" s="547"/>
      <c r="J1211" s="547"/>
      <c r="K1211" s="1365" t="n">
        <f aca="false">J1211/1792.8</f>
        <v>0</v>
      </c>
      <c r="L1211" s="714"/>
      <c r="M1211" s="934" t="n">
        <f aca="false">M1209+M1210</f>
        <v>6.14197530864198</v>
      </c>
    </row>
    <row r="1212" customFormat="false" ht="15" hidden="false" customHeight="false" outlineLevel="0" collapsed="false">
      <c r="A1212" s="216" t="s">
        <v>799</v>
      </c>
      <c r="B1212" s="29" t="s">
        <v>3126</v>
      </c>
      <c r="C1212" s="1161" t="s">
        <v>6975</v>
      </c>
      <c r="D1212" s="912" t="n">
        <v>2006</v>
      </c>
      <c r="E1212" s="317" t="n">
        <f aca="false">2021-D1212</f>
        <v>15</v>
      </c>
      <c r="F1212" s="547" t="n">
        <v>147200</v>
      </c>
      <c r="G1212" s="1413" t="n">
        <v>0.1</v>
      </c>
      <c r="H1212" s="547" t="n">
        <f aca="false">E1212*F1212*G1212</f>
        <v>220800</v>
      </c>
      <c r="I1212" s="547" t="n">
        <f aca="false">F1212-H1212</f>
        <v>-73600</v>
      </c>
      <c r="J1212" s="547" t="n">
        <f aca="false">F1212*G1212</f>
        <v>14720</v>
      </c>
      <c r="K1212" s="1365" t="n">
        <f aca="false">J1212/1792.8</f>
        <v>8.21062025881303</v>
      </c>
      <c r="L1212" s="547" t="n">
        <v>30</v>
      </c>
      <c r="M1212" s="819" t="n">
        <f aca="false">K1212*L1212/60</f>
        <v>4.10531012940652</v>
      </c>
    </row>
    <row r="1213" customFormat="false" ht="15" hidden="false" customHeight="false" outlineLevel="0" collapsed="false">
      <c r="A1213" s="216"/>
      <c r="B1213" s="78"/>
      <c r="C1213" s="1161" t="s">
        <v>6934</v>
      </c>
      <c r="D1213" s="912" t="n">
        <v>2005</v>
      </c>
      <c r="E1213" s="317" t="n">
        <f aca="false">2021-D1213</f>
        <v>16</v>
      </c>
      <c r="F1213" s="547" t="n">
        <v>90680</v>
      </c>
      <c r="G1213" s="1413" t="n">
        <v>0.1</v>
      </c>
      <c r="H1213" s="547" t="n">
        <f aca="false">E1213*F1213*G1213</f>
        <v>145088</v>
      </c>
      <c r="I1213" s="547" t="n">
        <f aca="false">F1213-H1213</f>
        <v>-54408</v>
      </c>
      <c r="J1213" s="547" t="n">
        <f aca="false">F1213*G1213</f>
        <v>9068</v>
      </c>
      <c r="K1213" s="1365" t="n">
        <f aca="false">J1213/1792.8</f>
        <v>5.05800981704596</v>
      </c>
      <c r="L1213" s="547" t="n">
        <v>10</v>
      </c>
      <c r="M1213" s="819" t="n">
        <f aca="false">K1213*L1213/60</f>
        <v>0.843001636174327</v>
      </c>
    </row>
    <row r="1214" customFormat="false" ht="15" hidden="false" customHeight="false" outlineLevel="0" collapsed="false">
      <c r="A1214" s="216"/>
      <c r="B1214" s="972" t="s">
        <v>4128</v>
      </c>
      <c r="C1214" s="1160"/>
      <c r="D1214" s="391"/>
      <c r="E1214" s="317"/>
      <c r="F1214" s="714"/>
      <c r="G1214" s="1414"/>
      <c r="H1214" s="547"/>
      <c r="I1214" s="547"/>
      <c r="J1214" s="547"/>
      <c r="K1214" s="1365" t="n">
        <f aca="false">J1214/1792.8</f>
        <v>0</v>
      </c>
      <c r="L1214" s="714"/>
      <c r="M1214" s="934" t="n">
        <f aca="false">M1212+M1213</f>
        <v>4.94831176558084</v>
      </c>
    </row>
    <row r="1215" customFormat="false" ht="15" hidden="false" customHeight="false" outlineLevel="0" collapsed="false">
      <c r="A1215" s="216" t="s">
        <v>800</v>
      </c>
      <c r="B1215" s="29" t="s">
        <v>3214</v>
      </c>
      <c r="C1215" s="1161" t="s">
        <v>6984</v>
      </c>
      <c r="D1215" s="912" t="n">
        <v>2007</v>
      </c>
      <c r="E1215" s="317" t="n">
        <f aca="false">2021-D1215</f>
        <v>14</v>
      </c>
      <c r="F1215" s="547" t="n">
        <v>810000</v>
      </c>
      <c r="G1215" s="1413" t="n">
        <v>0.1</v>
      </c>
      <c r="H1215" s="547" t="n">
        <f aca="false">E1215*F1215*G1215</f>
        <v>1134000</v>
      </c>
      <c r="I1215" s="547" t="n">
        <f aca="false">F1215-H1215</f>
        <v>-324000</v>
      </c>
      <c r="J1215" s="547" t="n">
        <f aca="false">F1215*G1215</f>
        <v>81000</v>
      </c>
      <c r="K1215" s="1365" t="n">
        <f aca="false">J1215/1792.8</f>
        <v>45.1807228915663</v>
      </c>
      <c r="L1215" s="547" t="n">
        <v>10</v>
      </c>
      <c r="M1215" s="934" t="n">
        <f aca="false">K1215*L1215/60</f>
        <v>7.53012048192771</v>
      </c>
    </row>
    <row r="1216" customFormat="false" ht="15" hidden="false" customHeight="false" outlineLevel="0" collapsed="false">
      <c r="A1216" s="216" t="s">
        <v>802</v>
      </c>
      <c r="B1216" s="29" t="s">
        <v>3215</v>
      </c>
      <c r="C1216" s="1161" t="s">
        <v>6974</v>
      </c>
      <c r="D1216" s="912" t="n">
        <v>2006</v>
      </c>
      <c r="E1216" s="317" t="n">
        <f aca="false">2021-D1216</f>
        <v>15</v>
      </c>
      <c r="F1216" s="547" t="n">
        <v>526970</v>
      </c>
      <c r="G1216" s="1413" t="n">
        <v>0.1</v>
      </c>
      <c r="H1216" s="547" t="n">
        <f aca="false">E1216*F1216*G1216</f>
        <v>790455</v>
      </c>
      <c r="I1216" s="547" t="n">
        <f aca="false">F1216-H1216</f>
        <v>-263485</v>
      </c>
      <c r="J1216" s="547" t="n">
        <f aca="false">F1216*G1216</f>
        <v>52697</v>
      </c>
      <c r="K1216" s="1365" t="n">
        <f aca="false">J1216/1792.8</f>
        <v>29.3936858545292</v>
      </c>
      <c r="L1216" s="547" t="n">
        <v>15</v>
      </c>
      <c r="M1216" s="819" t="n">
        <f aca="false">K1216*L1216/60</f>
        <v>7.34842146363231</v>
      </c>
    </row>
    <row r="1217" customFormat="false" ht="15" hidden="false" customHeight="false" outlineLevel="0" collapsed="false">
      <c r="A1217" s="216"/>
      <c r="B1217" s="78"/>
      <c r="C1217" s="1161" t="s">
        <v>6934</v>
      </c>
      <c r="D1217" s="912" t="n">
        <v>2005</v>
      </c>
      <c r="E1217" s="317" t="n">
        <f aca="false">2021-D1217</f>
        <v>16</v>
      </c>
      <c r="F1217" s="547" t="n">
        <v>90680</v>
      </c>
      <c r="G1217" s="1413" t="n">
        <v>0.1</v>
      </c>
      <c r="H1217" s="547" t="n">
        <f aca="false">E1217*F1217*G1217</f>
        <v>145088</v>
      </c>
      <c r="I1217" s="547" t="n">
        <f aca="false">F1217-H1217</f>
        <v>-54408</v>
      </c>
      <c r="J1217" s="547" t="n">
        <f aca="false">F1217*G1217</f>
        <v>9068</v>
      </c>
      <c r="K1217" s="1365" t="n">
        <f aca="false">J1217/1792.8</f>
        <v>5.05800981704596</v>
      </c>
      <c r="L1217" s="547" t="n">
        <v>10</v>
      </c>
      <c r="M1217" s="819" t="n">
        <f aca="false">K1217*L1217/60</f>
        <v>0.843001636174327</v>
      </c>
    </row>
    <row r="1218" customFormat="false" ht="15" hidden="false" customHeight="false" outlineLevel="0" collapsed="false">
      <c r="A1218" s="216"/>
      <c r="B1218" s="972" t="s">
        <v>4128</v>
      </c>
      <c r="C1218" s="1160"/>
      <c r="D1218" s="391"/>
      <c r="E1218" s="317"/>
      <c r="F1218" s="714"/>
      <c r="G1218" s="1414"/>
      <c r="H1218" s="547"/>
      <c r="I1218" s="547"/>
      <c r="J1218" s="547"/>
      <c r="K1218" s="1365" t="n">
        <f aca="false">J1218/1792.8</f>
        <v>0</v>
      </c>
      <c r="L1218" s="714"/>
      <c r="M1218" s="934" t="n">
        <f aca="false">M1216+M1217</f>
        <v>8.19142309980663</v>
      </c>
    </row>
    <row r="1219" customFormat="false" ht="30" hidden="false" customHeight="false" outlineLevel="0" collapsed="false">
      <c r="A1219" s="216" t="s">
        <v>4947</v>
      </c>
      <c r="B1219" s="29" t="s">
        <v>3216</v>
      </c>
      <c r="C1219" s="1161" t="s">
        <v>6934</v>
      </c>
      <c r="D1219" s="912" t="n">
        <v>2005</v>
      </c>
      <c r="E1219" s="317" t="n">
        <f aca="false">2021-D1219</f>
        <v>16</v>
      </c>
      <c r="F1219" s="547" t="n">
        <v>90680</v>
      </c>
      <c r="G1219" s="1413" t="n">
        <v>0.1</v>
      </c>
      <c r="H1219" s="547" t="n">
        <f aca="false">E1219*F1219*G1219</f>
        <v>145088</v>
      </c>
      <c r="I1219" s="547" t="n">
        <f aca="false">F1219-H1219</f>
        <v>-54408</v>
      </c>
      <c r="J1219" s="547" t="n">
        <f aca="false">F1219*G1219</f>
        <v>9068</v>
      </c>
      <c r="K1219" s="1365" t="n">
        <f aca="false">J1219/1792.8</f>
        <v>5.05800981704596</v>
      </c>
      <c r="L1219" s="547" t="n">
        <v>10</v>
      </c>
      <c r="M1219" s="819" t="n">
        <f aca="false">K1219*L1219/60</f>
        <v>0.843001636174327</v>
      </c>
    </row>
    <row r="1220" customFormat="false" ht="15" hidden="false" customHeight="false" outlineLevel="0" collapsed="false">
      <c r="A1220" s="216"/>
      <c r="B1220" s="78"/>
      <c r="C1220" s="1161" t="s">
        <v>6980</v>
      </c>
      <c r="D1220" s="912" t="n">
        <v>2005</v>
      </c>
      <c r="E1220" s="317" t="n">
        <f aca="false">2021-D1220</f>
        <v>16</v>
      </c>
      <c r="F1220" s="547" t="n">
        <v>98600</v>
      </c>
      <c r="G1220" s="1413" t="n">
        <v>0.1</v>
      </c>
      <c r="H1220" s="547" t="n">
        <f aca="false">E1220*F1220*G1220</f>
        <v>157760</v>
      </c>
      <c r="I1220" s="547" t="n">
        <f aca="false">F1220-H1220</f>
        <v>-59160</v>
      </c>
      <c r="J1220" s="547" t="n">
        <f aca="false">F1220*G1220</f>
        <v>9860</v>
      </c>
      <c r="K1220" s="1365" t="n">
        <f aca="false">J1220/1792.8</f>
        <v>5.49977688531905</v>
      </c>
      <c r="L1220" s="547" t="n">
        <v>30</v>
      </c>
      <c r="M1220" s="819" t="n">
        <f aca="false">K1220*L1220/60</f>
        <v>2.74988844265953</v>
      </c>
    </row>
    <row r="1221" customFormat="false" ht="15" hidden="false" customHeight="false" outlineLevel="0" collapsed="false">
      <c r="A1221" s="216"/>
      <c r="B1221" s="78"/>
      <c r="C1221" s="1161" t="s">
        <v>6984</v>
      </c>
      <c r="D1221" s="912" t="n">
        <v>2007</v>
      </c>
      <c r="E1221" s="317" t="n">
        <f aca="false">2021-D1221</f>
        <v>14</v>
      </c>
      <c r="F1221" s="547" t="n">
        <v>810000</v>
      </c>
      <c r="G1221" s="1413" t="n">
        <v>0.1</v>
      </c>
      <c r="H1221" s="547" t="n">
        <f aca="false">E1221*F1221*G1221</f>
        <v>1134000</v>
      </c>
      <c r="I1221" s="547" t="n">
        <f aca="false">F1221-H1221</f>
        <v>-324000</v>
      </c>
      <c r="J1221" s="547" t="n">
        <f aca="false">F1221*G1221</f>
        <v>81000</v>
      </c>
      <c r="K1221" s="1365" t="n">
        <f aca="false">J1221/1792.8</f>
        <v>45.1807228915663</v>
      </c>
      <c r="L1221" s="547" t="n">
        <v>10</v>
      </c>
      <c r="M1221" s="819" t="n">
        <f aca="false">K1221*L1221/60</f>
        <v>7.53012048192771</v>
      </c>
    </row>
    <row r="1222" customFormat="false" ht="15" hidden="false" customHeight="false" outlineLevel="0" collapsed="false">
      <c r="A1222" s="216"/>
      <c r="B1222" s="972" t="s">
        <v>4128</v>
      </c>
      <c r="C1222" s="1160"/>
      <c r="D1222" s="391"/>
      <c r="E1222" s="317"/>
      <c r="F1222" s="714"/>
      <c r="G1222" s="1414"/>
      <c r="H1222" s="547"/>
      <c r="I1222" s="547"/>
      <c r="J1222" s="547"/>
      <c r="K1222" s="1365" t="n">
        <f aca="false">J1222/1792.8</f>
        <v>0</v>
      </c>
      <c r="L1222" s="714"/>
      <c r="M1222" s="934" t="n">
        <f aca="false">M1219+M1220+M1221</f>
        <v>11.1230105607616</v>
      </c>
    </row>
    <row r="1223" customFormat="false" ht="30" hidden="false" customHeight="false" outlineLevel="0" collapsed="false">
      <c r="A1223" s="216" t="s">
        <v>7029</v>
      </c>
      <c r="B1223" s="29" t="s">
        <v>3217</v>
      </c>
      <c r="C1223" s="1161" t="s">
        <v>6934</v>
      </c>
      <c r="D1223" s="912" t="n">
        <v>2005</v>
      </c>
      <c r="E1223" s="317" t="n">
        <f aca="false">2021-D1223</f>
        <v>16</v>
      </c>
      <c r="F1223" s="547" t="n">
        <v>90680</v>
      </c>
      <c r="G1223" s="1413" t="n">
        <v>0.1</v>
      </c>
      <c r="H1223" s="547" t="n">
        <f aca="false">E1223*F1223*G1223</f>
        <v>145088</v>
      </c>
      <c r="I1223" s="547" t="n">
        <f aca="false">F1223-H1223</f>
        <v>-54408</v>
      </c>
      <c r="J1223" s="547" t="n">
        <f aca="false">F1223*G1223</f>
        <v>9068</v>
      </c>
      <c r="K1223" s="1365" t="n">
        <f aca="false">J1223/1792.8</f>
        <v>5.05800981704596</v>
      </c>
      <c r="L1223" s="547" t="n">
        <v>10</v>
      </c>
      <c r="M1223" s="819" t="n">
        <f aca="false">K1223*L1223/60</f>
        <v>0.843001636174327</v>
      </c>
    </row>
    <row r="1224" customFormat="false" ht="24.75" hidden="false" customHeight="true" outlineLevel="0" collapsed="false">
      <c r="A1224" s="216"/>
      <c r="B1224" s="78"/>
      <c r="C1224" s="1161" t="s">
        <v>6980</v>
      </c>
      <c r="D1224" s="912" t="n">
        <v>2005</v>
      </c>
      <c r="E1224" s="317" t="n">
        <f aca="false">2021-D1224</f>
        <v>16</v>
      </c>
      <c r="F1224" s="547" t="n">
        <v>98600</v>
      </c>
      <c r="G1224" s="1413" t="n">
        <v>0.1</v>
      </c>
      <c r="H1224" s="547" t="n">
        <f aca="false">E1224*F1224*G1224</f>
        <v>157760</v>
      </c>
      <c r="I1224" s="547" t="n">
        <f aca="false">F1224-H1224</f>
        <v>-59160</v>
      </c>
      <c r="J1224" s="547" t="n">
        <f aca="false">F1224*G1224</f>
        <v>9860</v>
      </c>
      <c r="K1224" s="1365" t="n">
        <f aca="false">J1224/1792.8</f>
        <v>5.49977688531905</v>
      </c>
      <c r="L1224" s="547" t="n">
        <v>30</v>
      </c>
      <c r="M1224" s="819" t="n">
        <f aca="false">K1224*L1224/60</f>
        <v>2.74988844265953</v>
      </c>
    </row>
    <row r="1225" customFormat="false" ht="15" hidden="false" customHeight="false" outlineLevel="0" collapsed="false">
      <c r="A1225" s="216"/>
      <c r="B1225" s="78"/>
      <c r="C1225" s="1161" t="s">
        <v>6984</v>
      </c>
      <c r="D1225" s="912" t="n">
        <v>2007</v>
      </c>
      <c r="E1225" s="317" t="n">
        <f aca="false">2021-D1225</f>
        <v>14</v>
      </c>
      <c r="F1225" s="547" t="n">
        <v>810000</v>
      </c>
      <c r="G1225" s="1413" t="n">
        <v>0.1</v>
      </c>
      <c r="H1225" s="547" t="n">
        <f aca="false">E1225*F1225*G1225</f>
        <v>1134000</v>
      </c>
      <c r="I1225" s="547" t="n">
        <f aca="false">F1225-H1225</f>
        <v>-324000</v>
      </c>
      <c r="J1225" s="547" t="n">
        <f aca="false">F1225*G1225</f>
        <v>81000</v>
      </c>
      <c r="K1225" s="1365" t="n">
        <f aca="false">J1225/1792.8</f>
        <v>45.1807228915663</v>
      </c>
      <c r="L1225" s="547" t="n">
        <v>10</v>
      </c>
      <c r="M1225" s="819" t="n">
        <f aca="false">K1225*L1225/60</f>
        <v>7.53012048192771</v>
      </c>
    </row>
    <row r="1226" customFormat="false" ht="15" hidden="false" customHeight="false" outlineLevel="0" collapsed="false">
      <c r="A1226" s="216"/>
      <c r="B1226" s="972" t="s">
        <v>4128</v>
      </c>
      <c r="C1226" s="1161"/>
      <c r="D1226" s="912"/>
      <c r="E1226" s="317"/>
      <c r="F1226" s="547"/>
      <c r="G1226" s="1413"/>
      <c r="H1226" s="547"/>
      <c r="I1226" s="547"/>
      <c r="J1226" s="547"/>
      <c r="K1226" s="1365" t="n">
        <f aca="false">J1226/1792.8</f>
        <v>0</v>
      </c>
      <c r="L1226" s="547"/>
      <c r="M1226" s="934" t="n">
        <f aca="false">M1223+M1224+M1225</f>
        <v>11.1230105607616</v>
      </c>
    </row>
    <row r="1227" customFormat="false" ht="26.25" hidden="false" customHeight="true" outlineLevel="0" collapsed="false">
      <c r="A1227" s="216" t="s">
        <v>808</v>
      </c>
      <c r="B1227" s="29" t="s">
        <v>3218</v>
      </c>
      <c r="C1227" s="1161" t="s">
        <v>6980</v>
      </c>
      <c r="D1227" s="912" t="n">
        <v>2005</v>
      </c>
      <c r="E1227" s="317" t="n">
        <f aca="false">2021-D1227</f>
        <v>16</v>
      </c>
      <c r="F1227" s="547" t="n">
        <v>98600</v>
      </c>
      <c r="G1227" s="1413" t="n">
        <v>0.1</v>
      </c>
      <c r="H1227" s="547" t="n">
        <f aca="false">E1227*F1227*G1227</f>
        <v>157760</v>
      </c>
      <c r="I1227" s="547" t="n">
        <f aca="false">F1227-H1227</f>
        <v>-59160</v>
      </c>
      <c r="J1227" s="547" t="n">
        <f aca="false">F1227*G1227</f>
        <v>9860</v>
      </c>
      <c r="K1227" s="1365" t="n">
        <f aca="false">J1227/1792.8</f>
        <v>5.49977688531905</v>
      </c>
      <c r="L1227" s="547" t="n">
        <v>10</v>
      </c>
      <c r="M1227" s="819" t="n">
        <f aca="false">K1227*L1227/60</f>
        <v>0.916629480886509</v>
      </c>
    </row>
    <row r="1228" customFormat="false" ht="15" hidden="false" customHeight="false" outlineLevel="0" collapsed="false">
      <c r="A1228" s="216"/>
      <c r="B1228" s="78"/>
      <c r="C1228" s="1161" t="s">
        <v>6934</v>
      </c>
      <c r="D1228" s="912" t="n">
        <v>2005</v>
      </c>
      <c r="E1228" s="317" t="n">
        <f aca="false">2021-D1228</f>
        <v>16</v>
      </c>
      <c r="F1228" s="547" t="n">
        <v>90680</v>
      </c>
      <c r="G1228" s="1413" t="n">
        <v>0.1</v>
      </c>
      <c r="H1228" s="547" t="n">
        <f aca="false">E1228*F1228*G1228</f>
        <v>145088</v>
      </c>
      <c r="I1228" s="547" t="n">
        <f aca="false">F1228-H1228</f>
        <v>-54408</v>
      </c>
      <c r="J1228" s="547" t="n">
        <f aca="false">F1228*G1228</f>
        <v>9068</v>
      </c>
      <c r="K1228" s="1365" t="n">
        <f aca="false">J1228/1792.8</f>
        <v>5.05800981704596</v>
      </c>
      <c r="L1228" s="547" t="n">
        <v>10</v>
      </c>
      <c r="M1228" s="819" t="n">
        <f aca="false">K1228*L1228/60</f>
        <v>0.843001636174327</v>
      </c>
    </row>
    <row r="1229" customFormat="false" ht="15" hidden="false" customHeight="false" outlineLevel="0" collapsed="false">
      <c r="A1229" s="216"/>
      <c r="B1229" s="972" t="s">
        <v>4128</v>
      </c>
      <c r="C1229" s="1160"/>
      <c r="D1229" s="391"/>
      <c r="E1229" s="317"/>
      <c r="F1229" s="714"/>
      <c r="G1229" s="1414"/>
      <c r="H1229" s="547"/>
      <c r="I1229" s="547"/>
      <c r="J1229" s="547"/>
      <c r="K1229" s="1365" t="n">
        <f aca="false">J1229/1792.8</f>
        <v>0</v>
      </c>
      <c r="L1229" s="714"/>
      <c r="M1229" s="934" t="n">
        <f aca="false">M1227+M1228</f>
        <v>1.75963111706084</v>
      </c>
    </row>
    <row r="1230" customFormat="false" ht="27" hidden="false" customHeight="true" outlineLevel="0" collapsed="false">
      <c r="A1230" s="216" t="s">
        <v>810</v>
      </c>
      <c r="B1230" s="29" t="s">
        <v>3219</v>
      </c>
      <c r="C1230" s="1161" t="s">
        <v>6934</v>
      </c>
      <c r="D1230" s="912" t="n">
        <v>2005</v>
      </c>
      <c r="E1230" s="317" t="n">
        <f aca="false">2021-D1230</f>
        <v>16</v>
      </c>
      <c r="F1230" s="547" t="n">
        <v>90680</v>
      </c>
      <c r="G1230" s="1413" t="n">
        <v>0.1</v>
      </c>
      <c r="H1230" s="547" t="n">
        <f aca="false">E1230*F1230*G1230</f>
        <v>145088</v>
      </c>
      <c r="I1230" s="547" t="n">
        <f aca="false">F1230-H1230</f>
        <v>-54408</v>
      </c>
      <c r="J1230" s="547" t="n">
        <f aca="false">F1230*G1230</f>
        <v>9068</v>
      </c>
      <c r="K1230" s="1365" t="n">
        <f aca="false">J1230/1792.8</f>
        <v>5.05800981704596</v>
      </c>
      <c r="L1230" s="547" t="n">
        <v>10</v>
      </c>
      <c r="M1230" s="819" t="n">
        <f aca="false">K1230*L1230/60</f>
        <v>0.843001636174327</v>
      </c>
    </row>
    <row r="1231" customFormat="false" ht="15" hidden="false" customHeight="false" outlineLevel="0" collapsed="false">
      <c r="A1231" s="216"/>
      <c r="B1231" s="78"/>
      <c r="C1231" s="1161" t="s">
        <v>6980</v>
      </c>
      <c r="D1231" s="912" t="n">
        <v>2005</v>
      </c>
      <c r="E1231" s="317" t="n">
        <f aca="false">2021-D1231</f>
        <v>16</v>
      </c>
      <c r="F1231" s="547" t="n">
        <v>98600</v>
      </c>
      <c r="G1231" s="1413" t="n">
        <v>0.1</v>
      </c>
      <c r="H1231" s="547" t="n">
        <f aca="false">E1231*F1231*G1231</f>
        <v>157760</v>
      </c>
      <c r="I1231" s="547" t="n">
        <f aca="false">F1231-H1231</f>
        <v>-59160</v>
      </c>
      <c r="J1231" s="547" t="n">
        <f aca="false">F1231*G1231</f>
        <v>9860</v>
      </c>
      <c r="K1231" s="1365" t="n">
        <f aca="false">J1231/1792.8</f>
        <v>5.49977688531905</v>
      </c>
      <c r="L1231" s="547" t="n">
        <v>30</v>
      </c>
      <c r="M1231" s="819" t="n">
        <f aca="false">K1231*L1231/60</f>
        <v>2.74988844265953</v>
      </c>
    </row>
    <row r="1232" customFormat="false" ht="20.25" hidden="false" customHeight="true" outlineLevel="0" collapsed="false">
      <c r="A1232" s="216"/>
      <c r="B1232" s="78"/>
      <c r="C1232" s="1161" t="s">
        <v>6984</v>
      </c>
      <c r="D1232" s="912" t="n">
        <v>2007</v>
      </c>
      <c r="E1232" s="317" t="n">
        <f aca="false">2021-D1232</f>
        <v>14</v>
      </c>
      <c r="F1232" s="547" t="n">
        <v>810000</v>
      </c>
      <c r="G1232" s="1413" t="n">
        <v>0.1</v>
      </c>
      <c r="H1232" s="547" t="n">
        <f aca="false">E1232*F1232*G1232</f>
        <v>1134000</v>
      </c>
      <c r="I1232" s="547" t="n">
        <f aca="false">F1232-H1232</f>
        <v>-324000</v>
      </c>
      <c r="J1232" s="547" t="n">
        <f aca="false">F1232*G1232</f>
        <v>81000</v>
      </c>
      <c r="K1232" s="1365" t="n">
        <f aca="false">J1232/1792.8</f>
        <v>45.1807228915663</v>
      </c>
      <c r="L1232" s="547" t="n">
        <v>10</v>
      </c>
      <c r="M1232" s="819" t="n">
        <f aca="false">K1232*L1232/60</f>
        <v>7.53012048192771</v>
      </c>
    </row>
    <row r="1233" customFormat="false" ht="15" hidden="false" customHeight="false" outlineLevel="0" collapsed="false">
      <c r="A1233" s="216"/>
      <c r="B1233" s="972" t="s">
        <v>4128</v>
      </c>
      <c r="C1233" s="1160"/>
      <c r="D1233" s="391"/>
      <c r="E1233" s="317"/>
      <c r="F1233" s="714"/>
      <c r="G1233" s="1414"/>
      <c r="H1233" s="547"/>
      <c r="I1233" s="547"/>
      <c r="J1233" s="547"/>
      <c r="K1233" s="1365" t="n">
        <f aca="false">J1233/1792.8</f>
        <v>0</v>
      </c>
      <c r="L1233" s="714"/>
      <c r="M1233" s="934" t="n">
        <f aca="false">M1230+M1231+M1232</f>
        <v>11.1230105607616</v>
      </c>
    </row>
    <row r="1234" customFormat="false" ht="15" hidden="false" customHeight="false" outlineLevel="0" collapsed="false">
      <c r="A1234" s="216" t="s">
        <v>812</v>
      </c>
      <c r="B1234" s="29" t="s">
        <v>3103</v>
      </c>
      <c r="C1234" s="1161" t="s">
        <v>4568</v>
      </c>
      <c r="D1234" s="912" t="n">
        <v>2003</v>
      </c>
      <c r="E1234" s="317" t="n">
        <f aca="false">2021-D1234</f>
        <v>18</v>
      </c>
      <c r="F1234" s="547" t="n">
        <v>12704749</v>
      </c>
      <c r="G1234" s="1413" t="n">
        <v>0.1</v>
      </c>
      <c r="H1234" s="547" t="n">
        <f aca="false">F1234</f>
        <v>12704749</v>
      </c>
      <c r="I1234" s="547" t="n">
        <f aca="false">F1234-H1234</f>
        <v>0</v>
      </c>
      <c r="J1234" s="547" t="n">
        <f aca="false">F1234*G1234</f>
        <v>1270474.9</v>
      </c>
      <c r="K1234" s="1365" t="n">
        <f aca="false">J1234/1792.8</f>
        <v>708.654004908523</v>
      </c>
      <c r="L1234" s="547" t="n">
        <v>90</v>
      </c>
      <c r="M1234" s="819" t="n">
        <f aca="false">K1234*L1234/60</f>
        <v>1062.98100736278</v>
      </c>
    </row>
    <row r="1235" customFormat="false" ht="15" hidden="false" customHeight="false" outlineLevel="0" collapsed="false">
      <c r="A1235" s="216"/>
      <c r="B1235" s="78"/>
      <c r="C1235" s="1161" t="s">
        <v>6975</v>
      </c>
      <c r="D1235" s="912" t="n">
        <v>2006</v>
      </c>
      <c r="E1235" s="317" t="n">
        <f aca="false">2021-D1235</f>
        <v>15</v>
      </c>
      <c r="F1235" s="547" t="n">
        <v>147200</v>
      </c>
      <c r="G1235" s="1413" t="n">
        <v>0.1</v>
      </c>
      <c r="H1235" s="547" t="n">
        <f aca="false">E1235*F1235*G1235</f>
        <v>220800</v>
      </c>
      <c r="I1235" s="547" t="n">
        <f aca="false">F1235-H1235</f>
        <v>-73600</v>
      </c>
      <c r="J1235" s="547" t="n">
        <f aca="false">F1235*G1235</f>
        <v>14720</v>
      </c>
      <c r="K1235" s="1365" t="n">
        <f aca="false">J1235/1792.8</f>
        <v>8.21062025881303</v>
      </c>
      <c r="L1235" s="547" t="n">
        <v>30</v>
      </c>
      <c r="M1235" s="819" t="n">
        <f aca="false">K1235*L1235/60</f>
        <v>4.10531012940652</v>
      </c>
    </row>
    <row r="1236" customFormat="false" ht="15" hidden="false" customHeight="false" outlineLevel="0" collapsed="false">
      <c r="A1236" s="216"/>
      <c r="B1236" s="78"/>
      <c r="C1236" s="1161" t="s">
        <v>6979</v>
      </c>
      <c r="D1236" s="912" t="n">
        <v>2005</v>
      </c>
      <c r="E1236" s="317" t="n">
        <f aca="false">2021-D1236</f>
        <v>16</v>
      </c>
      <c r="F1236" s="547" t="n">
        <v>1400000</v>
      </c>
      <c r="G1236" s="1413" t="n">
        <v>0.1</v>
      </c>
      <c r="H1236" s="547" t="n">
        <f aca="false">E1236*F1236*G1236</f>
        <v>2240000</v>
      </c>
      <c r="I1236" s="547" t="n">
        <f aca="false">F1236-H1236</f>
        <v>-840000</v>
      </c>
      <c r="J1236" s="547" t="n">
        <f aca="false">F1236*G1236</f>
        <v>140000</v>
      </c>
      <c r="K1236" s="1365" t="n">
        <f aca="false">J1236/1792.8</f>
        <v>78.0901383311022</v>
      </c>
      <c r="L1236" s="547" t="n">
        <v>30</v>
      </c>
      <c r="M1236" s="819" t="n">
        <f aca="false">K1236*L1236/60</f>
        <v>39.0450691655511</v>
      </c>
    </row>
    <row r="1237" customFormat="false" ht="15" hidden="false" customHeight="false" outlineLevel="0" collapsed="false">
      <c r="A1237" s="216"/>
      <c r="B1237" s="78"/>
      <c r="C1237" s="1161" t="s">
        <v>6934</v>
      </c>
      <c r="D1237" s="912" t="n">
        <v>2005</v>
      </c>
      <c r="E1237" s="317" t="n">
        <f aca="false">2021-D1237</f>
        <v>16</v>
      </c>
      <c r="F1237" s="547" t="n">
        <v>90680</v>
      </c>
      <c r="G1237" s="1413" t="n">
        <v>0.1</v>
      </c>
      <c r="H1237" s="547" t="n">
        <f aca="false">E1237*F1237*G1237</f>
        <v>145088</v>
      </c>
      <c r="I1237" s="547" t="n">
        <f aca="false">F1237-H1237</f>
        <v>-54408</v>
      </c>
      <c r="J1237" s="547" t="n">
        <f aca="false">F1237*G1237</f>
        <v>9068</v>
      </c>
      <c r="K1237" s="1365" t="n">
        <f aca="false">J1237/1792.8</f>
        <v>5.05800981704596</v>
      </c>
      <c r="L1237" s="547" t="n">
        <v>10</v>
      </c>
      <c r="M1237" s="819" t="n">
        <f aca="false">K1237*L1237/60</f>
        <v>0.843001636174327</v>
      </c>
    </row>
    <row r="1238" customFormat="false" ht="19.5" hidden="false" customHeight="true" outlineLevel="0" collapsed="false">
      <c r="A1238" s="216"/>
      <c r="B1238" s="972" t="s">
        <v>4128</v>
      </c>
      <c r="C1238" s="1160"/>
      <c r="D1238" s="391"/>
      <c r="E1238" s="317"/>
      <c r="F1238" s="714"/>
      <c r="G1238" s="1414"/>
      <c r="H1238" s="547"/>
      <c r="I1238" s="547"/>
      <c r="J1238" s="547"/>
      <c r="K1238" s="1365" t="n">
        <f aca="false">J1238/1792.8</f>
        <v>0</v>
      </c>
      <c r="L1238" s="714"/>
      <c r="M1238" s="934" t="n">
        <f aca="false">M1234+M1235+M1236+M1237</f>
        <v>1106.97438829392</v>
      </c>
    </row>
    <row r="1239" customFormat="false" ht="15" hidden="false" customHeight="false" outlineLevel="0" collapsed="false">
      <c r="A1239" s="216" t="s">
        <v>813</v>
      </c>
      <c r="B1239" s="29" t="s">
        <v>3148</v>
      </c>
      <c r="C1239" s="1161" t="s">
        <v>6974</v>
      </c>
      <c r="D1239" s="912" t="n">
        <v>2006</v>
      </c>
      <c r="E1239" s="317" t="n">
        <f aca="false">2021-D1239</f>
        <v>15</v>
      </c>
      <c r="F1239" s="547" t="n">
        <v>526970</v>
      </c>
      <c r="G1239" s="1413" t="n">
        <v>0.1</v>
      </c>
      <c r="H1239" s="547" t="n">
        <f aca="false">E1239*F1239*G1239</f>
        <v>790455</v>
      </c>
      <c r="I1239" s="547" t="n">
        <f aca="false">F1239-H1239</f>
        <v>-263485</v>
      </c>
      <c r="J1239" s="547" t="n">
        <f aca="false">F1239*G1239</f>
        <v>52697</v>
      </c>
      <c r="K1239" s="1365" t="n">
        <f aca="false">J1239/1792.8</f>
        <v>29.3936858545292</v>
      </c>
      <c r="L1239" s="547" t="n">
        <v>15</v>
      </c>
      <c r="M1239" s="819" t="n">
        <f aca="false">K1239*L1239/60</f>
        <v>7.34842146363231</v>
      </c>
    </row>
    <row r="1240" customFormat="false" ht="24" hidden="false" customHeight="true" outlineLevel="0" collapsed="false">
      <c r="A1240" s="216"/>
      <c r="B1240" s="78"/>
      <c r="C1240" s="1161" t="s">
        <v>4568</v>
      </c>
      <c r="D1240" s="912" t="n">
        <v>2003</v>
      </c>
      <c r="E1240" s="317" t="n">
        <f aca="false">2021-D1240</f>
        <v>18</v>
      </c>
      <c r="F1240" s="547" t="n">
        <v>12704749</v>
      </c>
      <c r="G1240" s="1413" t="n">
        <v>0.1</v>
      </c>
      <c r="H1240" s="547" t="n">
        <f aca="false">F1240</f>
        <v>12704749</v>
      </c>
      <c r="I1240" s="547" t="n">
        <f aca="false">F1240-H1240</f>
        <v>0</v>
      </c>
      <c r="J1240" s="547" t="n">
        <f aca="false">F1240*G1240</f>
        <v>1270474.9</v>
      </c>
      <c r="K1240" s="1365" t="n">
        <f aca="false">J1240/1792.8</f>
        <v>708.654004908523</v>
      </c>
      <c r="L1240" s="547" t="n">
        <v>90</v>
      </c>
      <c r="M1240" s="819" t="n">
        <f aca="false">K1240*L1240/60</f>
        <v>1062.98100736278</v>
      </c>
    </row>
    <row r="1241" customFormat="false" ht="15" hidden="false" customHeight="false" outlineLevel="0" collapsed="false">
      <c r="A1241" s="216"/>
      <c r="B1241" s="78"/>
      <c r="C1241" s="1161" t="s">
        <v>6975</v>
      </c>
      <c r="D1241" s="912" t="n">
        <v>2006</v>
      </c>
      <c r="E1241" s="317" t="n">
        <f aca="false">2021-D1241</f>
        <v>15</v>
      </c>
      <c r="F1241" s="547" t="n">
        <v>147200</v>
      </c>
      <c r="G1241" s="1413" t="n">
        <v>0.1</v>
      </c>
      <c r="H1241" s="547" t="n">
        <f aca="false">E1241*F1241*G1241</f>
        <v>220800</v>
      </c>
      <c r="I1241" s="547" t="n">
        <f aca="false">F1241-H1241</f>
        <v>-73600</v>
      </c>
      <c r="J1241" s="547" t="n">
        <f aca="false">F1241*G1241</f>
        <v>14720</v>
      </c>
      <c r="K1241" s="1365" t="n">
        <f aca="false">J1241/1792.8</f>
        <v>8.21062025881303</v>
      </c>
      <c r="L1241" s="547" t="n">
        <v>30</v>
      </c>
      <c r="M1241" s="819" t="n">
        <f aca="false">K1241*L1241/60</f>
        <v>4.10531012940652</v>
      </c>
    </row>
    <row r="1242" customFormat="false" ht="15" hidden="false" customHeight="false" outlineLevel="0" collapsed="false">
      <c r="A1242" s="216"/>
      <c r="B1242" s="78"/>
      <c r="C1242" s="1161" t="s">
        <v>6979</v>
      </c>
      <c r="D1242" s="912" t="n">
        <v>2005</v>
      </c>
      <c r="E1242" s="317" t="n">
        <f aca="false">2021-D1242</f>
        <v>16</v>
      </c>
      <c r="F1242" s="547" t="n">
        <v>1400000</v>
      </c>
      <c r="G1242" s="1413" t="n">
        <v>0.1</v>
      </c>
      <c r="H1242" s="547" t="n">
        <f aca="false">E1242*F1242*G1242</f>
        <v>2240000</v>
      </c>
      <c r="I1242" s="547" t="n">
        <f aca="false">F1242-H1242</f>
        <v>-840000</v>
      </c>
      <c r="J1242" s="547" t="n">
        <f aca="false">F1242*G1242</f>
        <v>140000</v>
      </c>
      <c r="K1242" s="1365" t="n">
        <f aca="false">J1242/1792.8</f>
        <v>78.0901383311022</v>
      </c>
      <c r="L1242" s="547" t="n">
        <v>30</v>
      </c>
      <c r="M1242" s="819" t="n">
        <f aca="false">K1242*L1242/60</f>
        <v>39.0450691655511</v>
      </c>
    </row>
    <row r="1243" customFormat="false" ht="15" hidden="false" customHeight="false" outlineLevel="0" collapsed="false">
      <c r="A1243" s="216"/>
      <c r="B1243" s="78"/>
      <c r="C1243" s="1161" t="s">
        <v>6934</v>
      </c>
      <c r="D1243" s="912" t="n">
        <v>2005</v>
      </c>
      <c r="E1243" s="317" t="n">
        <f aca="false">2021-D1243</f>
        <v>16</v>
      </c>
      <c r="F1243" s="547" t="n">
        <v>90680</v>
      </c>
      <c r="G1243" s="1413" t="n">
        <v>0.1</v>
      </c>
      <c r="H1243" s="547" t="n">
        <f aca="false">E1243*F1243*G1243</f>
        <v>145088</v>
      </c>
      <c r="I1243" s="547" t="n">
        <f aca="false">F1243-H1243</f>
        <v>-54408</v>
      </c>
      <c r="J1243" s="547" t="n">
        <f aca="false">F1243*G1243</f>
        <v>9068</v>
      </c>
      <c r="K1243" s="1365" t="n">
        <f aca="false">J1243/1792.8</f>
        <v>5.05800981704596</v>
      </c>
      <c r="L1243" s="547" t="n">
        <v>10</v>
      </c>
      <c r="M1243" s="819" t="n">
        <f aca="false">K1243*L1243/60</f>
        <v>0.843001636174327</v>
      </c>
    </row>
    <row r="1244" customFormat="false" ht="15" hidden="false" customHeight="false" outlineLevel="0" collapsed="false">
      <c r="A1244" s="216"/>
      <c r="B1244" s="78"/>
      <c r="C1244" s="1161" t="s">
        <v>6943</v>
      </c>
      <c r="D1244" s="912" t="n">
        <v>2006</v>
      </c>
      <c r="E1244" s="317" t="n">
        <f aca="false">2021-D1244</f>
        <v>15</v>
      </c>
      <c r="F1244" s="547" t="n">
        <v>1503927</v>
      </c>
      <c r="G1244" s="1413" t="n">
        <v>0.1</v>
      </c>
      <c r="H1244" s="547" t="n">
        <f aca="false">E1244*F1244*G1244</f>
        <v>2255890.5</v>
      </c>
      <c r="I1244" s="547" t="n">
        <f aca="false">F1244-H1244</f>
        <v>-751963.5</v>
      </c>
      <c r="J1244" s="547" t="n">
        <f aca="false">F1244*G1244</f>
        <v>150392.7</v>
      </c>
      <c r="K1244" s="1365" t="n">
        <f aca="false">J1244/1792.8</f>
        <v>83.8870481927711</v>
      </c>
      <c r="L1244" s="547" t="n">
        <v>40</v>
      </c>
      <c r="M1244" s="819" t="n">
        <f aca="false">K1244*L1244/60</f>
        <v>55.9246987951807</v>
      </c>
    </row>
    <row r="1245" customFormat="false" ht="15" hidden="false" customHeight="false" outlineLevel="0" collapsed="false">
      <c r="A1245" s="216"/>
      <c r="B1245" s="972" t="s">
        <v>4128</v>
      </c>
      <c r="C1245" s="1160"/>
      <c r="D1245" s="391"/>
      <c r="E1245" s="317"/>
      <c r="F1245" s="714"/>
      <c r="G1245" s="1414"/>
      <c r="H1245" s="547"/>
      <c r="I1245" s="547"/>
      <c r="J1245" s="547"/>
      <c r="K1245" s="1365" t="n">
        <f aca="false">J1245/1792.8</f>
        <v>0</v>
      </c>
      <c r="L1245" s="714"/>
      <c r="M1245" s="934" t="n">
        <f aca="false">M1239+M1240+M1241+M1242+M1243+M1244</f>
        <v>1170.24750855273</v>
      </c>
    </row>
    <row r="1246" customFormat="false" ht="15" hidden="false" customHeight="false" outlineLevel="0" collapsed="false">
      <c r="A1246" s="216" t="s">
        <v>4950</v>
      </c>
      <c r="B1246" s="29" t="s">
        <v>3102</v>
      </c>
      <c r="C1246" s="1161" t="s">
        <v>4568</v>
      </c>
      <c r="D1246" s="912" t="n">
        <v>2003</v>
      </c>
      <c r="E1246" s="317" t="n">
        <f aca="false">2021-D1246</f>
        <v>18</v>
      </c>
      <c r="F1246" s="547" t="n">
        <v>12704749</v>
      </c>
      <c r="G1246" s="1413" t="n">
        <v>0.1</v>
      </c>
      <c r="H1246" s="547" t="n">
        <f aca="false">F1246</f>
        <v>12704749</v>
      </c>
      <c r="I1246" s="547" t="n">
        <f aca="false">F1246-H1246</f>
        <v>0</v>
      </c>
      <c r="J1246" s="547" t="n">
        <f aca="false">F1246*G1246</f>
        <v>1270474.9</v>
      </c>
      <c r="K1246" s="1365" t="n">
        <f aca="false">J1246/1792.8</f>
        <v>708.654004908523</v>
      </c>
      <c r="L1246" s="547" t="n">
        <v>90</v>
      </c>
      <c r="M1246" s="819" t="n">
        <f aca="false">K1246*L1246/60</f>
        <v>1062.98100736278</v>
      </c>
    </row>
    <row r="1247" customFormat="false" ht="15" hidden="false" customHeight="false" outlineLevel="0" collapsed="false">
      <c r="A1247" s="216"/>
      <c r="B1247" s="78"/>
      <c r="C1247" s="1161" t="s">
        <v>6975</v>
      </c>
      <c r="D1247" s="912" t="n">
        <v>2006</v>
      </c>
      <c r="E1247" s="317" t="n">
        <f aca="false">2021-D1247</f>
        <v>15</v>
      </c>
      <c r="F1247" s="547" t="n">
        <v>147200</v>
      </c>
      <c r="G1247" s="1413" t="n">
        <v>0.1</v>
      </c>
      <c r="H1247" s="547" t="n">
        <f aca="false">E1247*F1247*G1247</f>
        <v>220800</v>
      </c>
      <c r="I1247" s="547" t="n">
        <f aca="false">F1247-H1247</f>
        <v>-73600</v>
      </c>
      <c r="J1247" s="547" t="n">
        <f aca="false">F1247*G1247</f>
        <v>14720</v>
      </c>
      <c r="K1247" s="1365" t="n">
        <f aca="false">J1247/1792.8</f>
        <v>8.21062025881303</v>
      </c>
      <c r="L1247" s="547" t="n">
        <v>30</v>
      </c>
      <c r="M1247" s="819" t="n">
        <f aca="false">K1247*L1247/60</f>
        <v>4.10531012940652</v>
      </c>
    </row>
    <row r="1248" customFormat="false" ht="15" hidden="false" customHeight="false" outlineLevel="0" collapsed="false">
      <c r="A1248" s="216"/>
      <c r="B1248" s="78"/>
      <c r="C1248" s="1161" t="s">
        <v>6979</v>
      </c>
      <c r="D1248" s="912" t="n">
        <v>2005</v>
      </c>
      <c r="E1248" s="317" t="n">
        <f aca="false">2021-D1248</f>
        <v>16</v>
      </c>
      <c r="F1248" s="547" t="n">
        <v>1400000</v>
      </c>
      <c r="G1248" s="1413" t="n">
        <v>0.1</v>
      </c>
      <c r="H1248" s="547" t="n">
        <f aca="false">E1248*F1248*G1248</f>
        <v>2240000</v>
      </c>
      <c r="I1248" s="547" t="n">
        <f aca="false">F1248-H1248</f>
        <v>-840000</v>
      </c>
      <c r="J1248" s="547" t="n">
        <f aca="false">F1248*G1248</f>
        <v>140000</v>
      </c>
      <c r="K1248" s="1365" t="n">
        <f aca="false">J1248/1792.8</f>
        <v>78.0901383311022</v>
      </c>
      <c r="L1248" s="547" t="n">
        <v>30</v>
      </c>
      <c r="M1248" s="819" t="n">
        <f aca="false">K1248*L1248/60</f>
        <v>39.0450691655511</v>
      </c>
    </row>
    <row r="1249" customFormat="false" ht="15" hidden="false" customHeight="false" outlineLevel="0" collapsed="false">
      <c r="A1249" s="216"/>
      <c r="B1249" s="78"/>
      <c r="C1249" s="1161" t="s">
        <v>6934</v>
      </c>
      <c r="D1249" s="912" t="n">
        <v>2005</v>
      </c>
      <c r="E1249" s="317" t="n">
        <f aca="false">2021-D1249</f>
        <v>16</v>
      </c>
      <c r="F1249" s="547" t="n">
        <v>90680</v>
      </c>
      <c r="G1249" s="1413" t="n">
        <v>0.1</v>
      </c>
      <c r="H1249" s="547" t="n">
        <f aca="false">E1249*F1249*G1249</f>
        <v>145088</v>
      </c>
      <c r="I1249" s="547" t="n">
        <f aca="false">F1249-H1249</f>
        <v>-54408</v>
      </c>
      <c r="J1249" s="547" t="n">
        <f aca="false">F1249*G1249</f>
        <v>9068</v>
      </c>
      <c r="K1249" s="1365" t="n">
        <f aca="false">J1249/1792.8</f>
        <v>5.05800981704596</v>
      </c>
      <c r="L1249" s="547" t="n">
        <v>10</v>
      </c>
      <c r="M1249" s="819" t="n">
        <f aca="false">K1249*L1249/60</f>
        <v>0.843001636174327</v>
      </c>
    </row>
    <row r="1250" customFormat="false" ht="15" hidden="false" customHeight="false" outlineLevel="0" collapsed="false">
      <c r="A1250" s="216"/>
      <c r="B1250" s="972" t="s">
        <v>4128</v>
      </c>
      <c r="C1250" s="1160"/>
      <c r="D1250" s="391"/>
      <c r="E1250" s="317"/>
      <c r="F1250" s="714"/>
      <c r="G1250" s="1414"/>
      <c r="H1250" s="547"/>
      <c r="I1250" s="547"/>
      <c r="J1250" s="547"/>
      <c r="K1250" s="1365" t="n">
        <f aca="false">J1250/1792.8</f>
        <v>0</v>
      </c>
      <c r="L1250" s="714"/>
      <c r="M1250" s="934" t="n">
        <f aca="false">M1246+M1247+M1248+M1249</f>
        <v>1106.97438829392</v>
      </c>
    </row>
    <row r="1251" customFormat="false" ht="15" hidden="false" customHeight="false" outlineLevel="0" collapsed="false">
      <c r="A1251" s="216" t="s">
        <v>7030</v>
      </c>
      <c r="B1251" s="29" t="s">
        <v>3149</v>
      </c>
      <c r="C1251" s="1161" t="s">
        <v>6974</v>
      </c>
      <c r="D1251" s="912" t="n">
        <v>2006</v>
      </c>
      <c r="E1251" s="317" t="n">
        <f aca="false">2021-D1251</f>
        <v>15</v>
      </c>
      <c r="F1251" s="547" t="n">
        <v>526970</v>
      </c>
      <c r="G1251" s="1413" t="n">
        <v>0.1</v>
      </c>
      <c r="H1251" s="547" t="n">
        <f aca="false">E1251*F1251*G1251</f>
        <v>790455</v>
      </c>
      <c r="I1251" s="547" t="n">
        <f aca="false">F1251-H1251</f>
        <v>-263485</v>
      </c>
      <c r="J1251" s="547" t="n">
        <f aca="false">F1251*G1251</f>
        <v>52697</v>
      </c>
      <c r="K1251" s="1365" t="n">
        <f aca="false">J1251/1792.8</f>
        <v>29.3936858545292</v>
      </c>
      <c r="L1251" s="547" t="n">
        <v>15</v>
      </c>
      <c r="M1251" s="819" t="n">
        <f aca="false">K1251*L1251/60</f>
        <v>7.34842146363231</v>
      </c>
    </row>
    <row r="1252" customFormat="false" ht="15" hidden="false" customHeight="false" outlineLevel="0" collapsed="false">
      <c r="A1252" s="216"/>
      <c r="B1252" s="78"/>
      <c r="C1252" s="1161" t="s">
        <v>4568</v>
      </c>
      <c r="D1252" s="912" t="n">
        <v>2003</v>
      </c>
      <c r="E1252" s="317" t="n">
        <f aca="false">2021-D1252</f>
        <v>18</v>
      </c>
      <c r="F1252" s="547" t="n">
        <v>12704749</v>
      </c>
      <c r="G1252" s="1413" t="n">
        <v>0.1</v>
      </c>
      <c r="H1252" s="547" t="n">
        <f aca="false">F1252</f>
        <v>12704749</v>
      </c>
      <c r="I1252" s="547" t="n">
        <f aca="false">F1252-H1252</f>
        <v>0</v>
      </c>
      <c r="J1252" s="547" t="n">
        <f aca="false">F1252*G1252</f>
        <v>1270474.9</v>
      </c>
      <c r="K1252" s="1365" t="n">
        <f aca="false">J1252/1792.8</f>
        <v>708.654004908523</v>
      </c>
      <c r="L1252" s="547" t="n">
        <v>160</v>
      </c>
      <c r="M1252" s="819" t="n">
        <f aca="false">K1252*L1252/60</f>
        <v>1889.7440130894</v>
      </c>
    </row>
    <row r="1253" customFormat="false" ht="15" hidden="false" customHeight="false" outlineLevel="0" collapsed="false">
      <c r="A1253" s="216"/>
      <c r="B1253" s="78"/>
      <c r="C1253" s="1161" t="s">
        <v>6934</v>
      </c>
      <c r="D1253" s="912" t="n">
        <v>2005</v>
      </c>
      <c r="E1253" s="317" t="n">
        <f aca="false">2021-D1253</f>
        <v>16</v>
      </c>
      <c r="F1253" s="547" t="n">
        <v>90680</v>
      </c>
      <c r="G1253" s="1413" t="n">
        <v>0.1</v>
      </c>
      <c r="H1253" s="547" t="n">
        <f aca="false">E1253*F1253*G1253</f>
        <v>145088</v>
      </c>
      <c r="I1253" s="547" t="n">
        <f aca="false">F1253-H1253</f>
        <v>-54408</v>
      </c>
      <c r="J1253" s="547" t="n">
        <f aca="false">F1253*G1253</f>
        <v>9068</v>
      </c>
      <c r="K1253" s="1365" t="n">
        <f aca="false">J1253/1792.8</f>
        <v>5.05800981704596</v>
      </c>
      <c r="L1253" s="547" t="n">
        <v>10</v>
      </c>
      <c r="M1253" s="819" t="n">
        <f aca="false">K1253*L1253/60</f>
        <v>0.843001636174327</v>
      </c>
    </row>
    <row r="1254" customFormat="false" ht="15" hidden="false" customHeight="false" outlineLevel="0" collapsed="false">
      <c r="A1254" s="216"/>
      <c r="B1254" s="972" t="s">
        <v>4128</v>
      </c>
      <c r="C1254" s="1160"/>
      <c r="D1254" s="391"/>
      <c r="E1254" s="317"/>
      <c r="F1254" s="714"/>
      <c r="G1254" s="1414"/>
      <c r="H1254" s="547"/>
      <c r="I1254" s="547"/>
      <c r="J1254" s="547"/>
      <c r="K1254" s="1365" t="n">
        <f aca="false">J1254/1792.8</f>
        <v>0</v>
      </c>
      <c r="L1254" s="714"/>
      <c r="M1254" s="934" t="n">
        <f aca="false">M1251+M1252+M1253</f>
        <v>1897.9354361892</v>
      </c>
    </row>
    <row r="1255" customFormat="false" ht="15" hidden="false" customHeight="false" outlineLevel="0" collapsed="false">
      <c r="A1255" s="216" t="s">
        <v>4951</v>
      </c>
      <c r="B1255" s="29" t="s">
        <v>3220</v>
      </c>
      <c r="C1255" s="1161" t="s">
        <v>7002</v>
      </c>
      <c r="D1255" s="912" t="n">
        <v>2003</v>
      </c>
      <c r="E1255" s="317" t="n">
        <f aca="false">2021-D1255</f>
        <v>18</v>
      </c>
      <c r="F1255" s="547" t="n">
        <v>1000000</v>
      </c>
      <c r="G1255" s="1413" t="n">
        <v>0.1</v>
      </c>
      <c r="H1255" s="547" t="n">
        <f aca="false">E1255*F1255*G1255</f>
        <v>1800000</v>
      </c>
      <c r="I1255" s="547" t="n">
        <f aca="false">F1255-H1255</f>
        <v>-800000</v>
      </c>
      <c r="J1255" s="547" t="n">
        <f aca="false">F1255*G1255</f>
        <v>100000</v>
      </c>
      <c r="K1255" s="1365" t="n">
        <f aca="false">J1255/1792.8</f>
        <v>55.7786702365016</v>
      </c>
      <c r="L1255" s="547" t="n">
        <v>180</v>
      </c>
      <c r="M1255" s="819" t="n">
        <f aca="false">K1255*L1255/60</f>
        <v>167.336010709505</v>
      </c>
    </row>
    <row r="1256" customFormat="false" ht="15" hidden="false" customHeight="false" outlineLevel="0" collapsed="false">
      <c r="A1256" s="216"/>
      <c r="B1256" s="78"/>
      <c r="C1256" s="1161" t="s">
        <v>6934</v>
      </c>
      <c r="D1256" s="912" t="n">
        <v>2005</v>
      </c>
      <c r="E1256" s="317" t="n">
        <f aca="false">2021-D1256</f>
        <v>16</v>
      </c>
      <c r="F1256" s="547" t="n">
        <v>90680</v>
      </c>
      <c r="G1256" s="1413" t="n">
        <v>0.1</v>
      </c>
      <c r="H1256" s="547" t="n">
        <f aca="false">E1256*F1256*G1256</f>
        <v>145088</v>
      </c>
      <c r="I1256" s="547" t="n">
        <f aca="false">F1256-H1256</f>
        <v>-54408</v>
      </c>
      <c r="J1256" s="547" t="n">
        <f aca="false">F1256*G1256</f>
        <v>9068</v>
      </c>
      <c r="K1256" s="1365" t="n">
        <f aca="false">J1256/1792.8</f>
        <v>5.05800981704596</v>
      </c>
      <c r="L1256" s="547" t="n">
        <v>10</v>
      </c>
      <c r="M1256" s="819" t="n">
        <f aca="false">K1256*L1256/60</f>
        <v>0.843001636174327</v>
      </c>
    </row>
    <row r="1257" customFormat="false" ht="15" hidden="false" customHeight="false" outlineLevel="0" collapsed="false">
      <c r="A1257" s="216"/>
      <c r="B1257" s="78"/>
      <c r="C1257" s="1161" t="s">
        <v>6997</v>
      </c>
      <c r="D1257" s="912" t="n">
        <v>2009</v>
      </c>
      <c r="E1257" s="317" t="n">
        <f aca="false">2021-D1257</f>
        <v>12</v>
      </c>
      <c r="F1257" s="547" t="n">
        <v>181000</v>
      </c>
      <c r="G1257" s="1413" t="n">
        <v>0.1</v>
      </c>
      <c r="H1257" s="547" t="n">
        <f aca="false">E1257*F1257*G1257</f>
        <v>217200</v>
      </c>
      <c r="I1257" s="547" t="n">
        <f aca="false">F1257-H1257</f>
        <v>-36200</v>
      </c>
      <c r="J1257" s="547" t="n">
        <f aca="false">F1257*G1257</f>
        <v>18100</v>
      </c>
      <c r="K1257" s="1365" t="n">
        <f aca="false">J1257/1792.8</f>
        <v>10.0959393128068</v>
      </c>
      <c r="L1257" s="547" t="n">
        <v>15</v>
      </c>
      <c r="M1257" s="819" t="n">
        <f aca="false">K1257*L1257/60</f>
        <v>2.5239848282017</v>
      </c>
    </row>
    <row r="1258" customFormat="false" ht="15" hidden="false" customHeight="false" outlineLevel="0" collapsed="false">
      <c r="A1258" s="216"/>
      <c r="B1258" s="972" t="s">
        <v>4128</v>
      </c>
      <c r="C1258" s="1160"/>
      <c r="D1258" s="391"/>
      <c r="E1258" s="317"/>
      <c r="F1258" s="714"/>
      <c r="G1258" s="1414"/>
      <c r="H1258" s="547"/>
      <c r="I1258" s="547"/>
      <c r="J1258" s="547"/>
      <c r="K1258" s="1365" t="n">
        <f aca="false">J1258/1792.8</f>
        <v>0</v>
      </c>
      <c r="L1258" s="714"/>
      <c r="M1258" s="934" t="n">
        <f aca="false">M1255+M1256+M1257</f>
        <v>170.702997173881</v>
      </c>
    </row>
    <row r="1259" customFormat="false" ht="15" hidden="false" customHeight="false" outlineLevel="0" collapsed="false">
      <c r="A1259" s="216" t="s">
        <v>7031</v>
      </c>
      <c r="B1259" s="40" t="s">
        <v>3221</v>
      </c>
      <c r="C1259" s="855" t="s">
        <v>7032</v>
      </c>
      <c r="D1259" s="391"/>
      <c r="E1259" s="317"/>
      <c r="F1259" s="714"/>
      <c r="G1259" s="1414"/>
      <c r="H1259" s="547" t="n">
        <f aca="false">E1259*F1259*G1259</f>
        <v>0</v>
      </c>
      <c r="I1259" s="547" t="n">
        <f aca="false">F1259-H1259</f>
        <v>0</v>
      </c>
      <c r="J1259" s="547" t="n">
        <f aca="false">F1259*G1259</f>
        <v>0</v>
      </c>
      <c r="K1259" s="1365" t="n">
        <f aca="false">J1259/1792.8</f>
        <v>0</v>
      </c>
      <c r="L1259" s="714"/>
      <c r="M1259" s="819" t="n">
        <f aca="false">K1259*L1259/60</f>
        <v>0</v>
      </c>
    </row>
    <row r="1260" customFormat="false" ht="15" hidden="false" customHeight="false" outlineLevel="0" collapsed="false">
      <c r="A1260" s="216" t="s">
        <v>821</v>
      </c>
      <c r="B1260" s="40" t="s">
        <v>3222</v>
      </c>
      <c r="C1260" s="1161" t="s">
        <v>6934</v>
      </c>
      <c r="D1260" s="912" t="n">
        <v>2005</v>
      </c>
      <c r="E1260" s="317" t="n">
        <f aca="false">2021-D1260</f>
        <v>16</v>
      </c>
      <c r="F1260" s="547" t="n">
        <v>90680</v>
      </c>
      <c r="G1260" s="1413" t="n">
        <v>0.1</v>
      </c>
      <c r="H1260" s="547" t="n">
        <f aca="false">E1260*F1260*G1260</f>
        <v>145088</v>
      </c>
      <c r="I1260" s="547" t="n">
        <f aca="false">F1260-H1260</f>
        <v>-54408</v>
      </c>
      <c r="J1260" s="547" t="n">
        <f aca="false">F1260*G1260</f>
        <v>9068</v>
      </c>
      <c r="K1260" s="1365" t="n">
        <f aca="false">J1260/1792.8</f>
        <v>5.05800981704596</v>
      </c>
      <c r="L1260" s="547" t="n">
        <v>10</v>
      </c>
      <c r="M1260" s="819" t="n">
        <f aca="false">K1260*L1260/60</f>
        <v>0.843001636174327</v>
      </c>
    </row>
    <row r="1261" customFormat="false" ht="15" hidden="false" customHeight="false" outlineLevel="0" collapsed="false">
      <c r="A1261" s="216"/>
      <c r="B1261" s="40"/>
      <c r="C1261" s="40" t="s">
        <v>7033</v>
      </c>
      <c r="D1261" s="912"/>
      <c r="E1261" s="317"/>
      <c r="F1261" s="547"/>
      <c r="G1261" s="1413"/>
      <c r="H1261" s="547" t="n">
        <f aca="false">E1261*F1261*G1261</f>
        <v>0</v>
      </c>
      <c r="I1261" s="547" t="n">
        <f aca="false">F1261-H1261</f>
        <v>0</v>
      </c>
      <c r="J1261" s="547" t="n">
        <f aca="false">F1261*G1261</f>
        <v>0</v>
      </c>
      <c r="K1261" s="1365" t="n">
        <f aca="false">J1261/1792.8</f>
        <v>0</v>
      </c>
      <c r="L1261" s="547"/>
      <c r="M1261" s="819" t="n">
        <f aca="false">K1261*L1261/60</f>
        <v>0</v>
      </c>
    </row>
    <row r="1262" customFormat="false" ht="15" hidden="false" customHeight="false" outlineLevel="0" collapsed="false">
      <c r="A1262" s="216"/>
      <c r="B1262" s="971" t="s">
        <v>4128</v>
      </c>
      <c r="C1262" s="855"/>
      <c r="D1262" s="391"/>
      <c r="E1262" s="317"/>
      <c r="F1262" s="714"/>
      <c r="G1262" s="1414"/>
      <c r="H1262" s="547"/>
      <c r="I1262" s="547"/>
      <c r="J1262" s="547"/>
      <c r="K1262" s="1365" t="n">
        <f aca="false">J1262/1792.8</f>
        <v>0</v>
      </c>
      <c r="L1262" s="714"/>
      <c r="M1262" s="934" t="n">
        <f aca="false">M1259+M1260+M1261</f>
        <v>0.843001636174327</v>
      </c>
    </row>
    <row r="1263" customFormat="false" ht="15" hidden="false" customHeight="false" outlineLevel="0" collapsed="false">
      <c r="A1263" s="216" t="s">
        <v>823</v>
      </c>
      <c r="B1263" s="40" t="s">
        <v>3223</v>
      </c>
      <c r="C1263" s="1161" t="s">
        <v>6934</v>
      </c>
      <c r="D1263" s="912" t="n">
        <v>2005</v>
      </c>
      <c r="E1263" s="317" t="n">
        <f aca="false">2021-D1263</f>
        <v>16</v>
      </c>
      <c r="F1263" s="547" t="n">
        <v>90680</v>
      </c>
      <c r="G1263" s="1413" t="n">
        <v>0.1</v>
      </c>
      <c r="H1263" s="547" t="n">
        <f aca="false">E1263*F1263*G1263</f>
        <v>145088</v>
      </c>
      <c r="I1263" s="547" t="n">
        <f aca="false">F1263-H1263</f>
        <v>-54408</v>
      </c>
      <c r="J1263" s="547" t="n">
        <f aca="false">F1263*G1263</f>
        <v>9068</v>
      </c>
      <c r="K1263" s="1365" t="n">
        <f aca="false">J1263/1792.8</f>
        <v>5.05800981704596</v>
      </c>
      <c r="L1263" s="547" t="n">
        <v>10</v>
      </c>
      <c r="M1263" s="819" t="n">
        <f aca="false">K1263*L1263/60</f>
        <v>0.843001636174327</v>
      </c>
    </row>
    <row r="1264" customFormat="false" ht="15" hidden="false" customHeight="false" outlineLevel="0" collapsed="false">
      <c r="A1264" s="216"/>
      <c r="B1264" s="971"/>
      <c r="C1264" s="1161" t="s">
        <v>6976</v>
      </c>
      <c r="D1264" s="912" t="n">
        <v>2005</v>
      </c>
      <c r="E1264" s="317" t="n">
        <f aca="false">2021-D1264</f>
        <v>16</v>
      </c>
      <c r="F1264" s="547" t="n">
        <v>65500</v>
      </c>
      <c r="G1264" s="1413" t="n">
        <v>0.1</v>
      </c>
      <c r="H1264" s="547" t="n">
        <f aca="false">E1264*F1264*G1264</f>
        <v>104800</v>
      </c>
      <c r="I1264" s="547" t="n">
        <f aca="false">F1264-H1264</f>
        <v>-39300</v>
      </c>
      <c r="J1264" s="547" t="n">
        <f aca="false">F1264*G1264</f>
        <v>6550</v>
      </c>
      <c r="K1264" s="1365" t="n">
        <f aca="false">J1264/1792.8</f>
        <v>3.65350290049085</v>
      </c>
      <c r="L1264" s="547" t="n">
        <v>30</v>
      </c>
      <c r="M1264" s="819" t="n">
        <f aca="false">K1264*L1264/60</f>
        <v>1.82675145024543</v>
      </c>
    </row>
    <row r="1265" customFormat="false" ht="15" hidden="false" customHeight="false" outlineLevel="0" collapsed="false">
      <c r="A1265" s="216"/>
      <c r="B1265" s="971" t="s">
        <v>4128</v>
      </c>
      <c r="C1265" s="1417"/>
      <c r="D1265" s="391"/>
      <c r="E1265" s="317"/>
      <c r="F1265" s="714"/>
      <c r="G1265" s="1414"/>
      <c r="H1265" s="547"/>
      <c r="I1265" s="547"/>
      <c r="J1265" s="547"/>
      <c r="K1265" s="1365" t="n">
        <f aca="false">J1265/1792.8</f>
        <v>0</v>
      </c>
      <c r="L1265" s="714"/>
      <c r="M1265" s="934" t="n">
        <f aca="false">M1263+M1264</f>
        <v>2.66975308641975</v>
      </c>
    </row>
    <row r="1266" customFormat="false" ht="30" hidden="false" customHeight="true" outlineLevel="0" collapsed="false">
      <c r="A1266" s="15" t="s">
        <v>4955</v>
      </c>
      <c r="B1266" s="16" t="s">
        <v>826</v>
      </c>
      <c r="C1266" s="16"/>
      <c r="D1266" s="339"/>
      <c r="E1266" s="1389"/>
      <c r="F1266" s="751"/>
      <c r="G1266" s="1412"/>
      <c r="H1266" s="751"/>
      <c r="I1266" s="751"/>
      <c r="J1266" s="751"/>
      <c r="K1266" s="751"/>
      <c r="L1266" s="751"/>
      <c r="M1266" s="818"/>
    </row>
    <row r="1267" customFormat="false" ht="30" hidden="false" customHeight="false" outlineLevel="0" collapsed="false">
      <c r="A1267" s="216" t="s">
        <v>4956</v>
      </c>
      <c r="B1267" s="29" t="s">
        <v>3010</v>
      </c>
      <c r="C1267" s="1161" t="s">
        <v>6984</v>
      </c>
      <c r="D1267" s="912" t="n">
        <v>2007</v>
      </c>
      <c r="E1267" s="317" t="n">
        <f aca="false">2021-D1267</f>
        <v>14</v>
      </c>
      <c r="F1267" s="547" t="n">
        <v>810000</v>
      </c>
      <c r="G1267" s="1413" t="n">
        <v>0.1</v>
      </c>
      <c r="H1267" s="547" t="n">
        <f aca="false">E1267*F1267*G1267</f>
        <v>1134000</v>
      </c>
      <c r="I1267" s="547" t="n">
        <f aca="false">F1267-H1267</f>
        <v>-324000</v>
      </c>
      <c r="J1267" s="547" t="n">
        <f aca="false">F1267*G1267</f>
        <v>81000</v>
      </c>
      <c r="K1267" s="1365" t="n">
        <f aca="false">J1267/1792.8</f>
        <v>45.1807228915663</v>
      </c>
      <c r="L1267" s="547" t="n">
        <v>10</v>
      </c>
      <c r="M1267" s="934" t="n">
        <f aca="false">K1267*L1267/60</f>
        <v>7.53012048192771</v>
      </c>
    </row>
    <row r="1268" customFormat="false" ht="15" hidden="false" customHeight="false" outlineLevel="0" collapsed="false">
      <c r="A1268" s="216" t="s">
        <v>4957</v>
      </c>
      <c r="B1268" s="29" t="s">
        <v>3084</v>
      </c>
      <c r="C1268" s="1161" t="s">
        <v>6973</v>
      </c>
      <c r="D1268" s="912" t="n">
        <v>2006</v>
      </c>
      <c r="E1268" s="317" t="n">
        <f aca="false">2021-D1268</f>
        <v>15</v>
      </c>
      <c r="F1268" s="547" t="n">
        <v>190000</v>
      </c>
      <c r="G1268" s="1413" t="n">
        <v>0.1</v>
      </c>
      <c r="H1268" s="547" t="n">
        <f aca="false">E1268*F1268*G1268</f>
        <v>285000</v>
      </c>
      <c r="I1268" s="547" t="n">
        <f aca="false">F1268-H1268</f>
        <v>-95000</v>
      </c>
      <c r="J1268" s="547" t="n">
        <f aca="false">F1268*G1268</f>
        <v>19000</v>
      </c>
      <c r="K1268" s="1365" t="n">
        <f aca="false">J1268/1792.8</f>
        <v>10.5979473449353</v>
      </c>
      <c r="L1268" s="547" t="n">
        <v>30</v>
      </c>
      <c r="M1268" s="819" t="n">
        <f aca="false">K1268*L1268/60</f>
        <v>5.29897367246765</v>
      </c>
    </row>
    <row r="1269" customFormat="false" ht="15" hidden="false" customHeight="false" outlineLevel="0" collapsed="false">
      <c r="A1269" s="216"/>
      <c r="B1269" s="78"/>
      <c r="C1269" s="1161" t="s">
        <v>6934</v>
      </c>
      <c r="D1269" s="912" t="n">
        <v>2007</v>
      </c>
      <c r="E1269" s="317" t="n">
        <f aca="false">2021-D1269</f>
        <v>14</v>
      </c>
      <c r="F1269" s="873" t="n">
        <v>491000</v>
      </c>
      <c r="G1269" s="1413" t="n">
        <v>0.1</v>
      </c>
      <c r="H1269" s="547" t="n">
        <f aca="false">E1269*F1269*G1269</f>
        <v>687400</v>
      </c>
      <c r="I1269" s="547" t="n">
        <f aca="false">F1269-H1269</f>
        <v>-196400</v>
      </c>
      <c r="J1269" s="547" t="n">
        <f aca="false">F1269*G1269</f>
        <v>49100</v>
      </c>
      <c r="K1269" s="1365" t="n">
        <f aca="false">J1269/1792.8</f>
        <v>27.3873270861223</v>
      </c>
      <c r="L1269" s="547" t="n">
        <v>10</v>
      </c>
      <c r="M1269" s="819" t="n">
        <f aca="false">K1269*L1269/60</f>
        <v>4.56455451435371</v>
      </c>
    </row>
    <row r="1270" customFormat="false" ht="15" hidden="false" customHeight="false" outlineLevel="0" collapsed="false">
      <c r="A1270" s="216"/>
      <c r="B1270" s="972" t="s">
        <v>4128</v>
      </c>
      <c r="C1270" s="1160"/>
      <c r="D1270" s="391"/>
      <c r="E1270" s="317"/>
      <c r="F1270" s="714"/>
      <c r="G1270" s="1414"/>
      <c r="H1270" s="547"/>
      <c r="I1270" s="547"/>
      <c r="J1270" s="547"/>
      <c r="K1270" s="1365" t="n">
        <f aca="false">J1270/1792.8</f>
        <v>0</v>
      </c>
      <c r="L1270" s="714"/>
      <c r="M1270" s="934" t="n">
        <f aca="false">M1268+M1269</f>
        <v>9.86352818682136</v>
      </c>
    </row>
    <row r="1271" customFormat="false" ht="30" hidden="false" customHeight="false" outlineLevel="0" collapsed="false">
      <c r="A1271" s="216" t="s">
        <v>829</v>
      </c>
      <c r="B1271" s="29" t="s">
        <v>3085</v>
      </c>
      <c r="C1271" s="1161" t="s">
        <v>6973</v>
      </c>
      <c r="D1271" s="912" t="n">
        <v>2006</v>
      </c>
      <c r="E1271" s="317" t="n">
        <f aca="false">2021-D1271</f>
        <v>15</v>
      </c>
      <c r="F1271" s="547" t="n">
        <v>190000</v>
      </c>
      <c r="G1271" s="1413" t="n">
        <v>0.1</v>
      </c>
      <c r="H1271" s="547" t="n">
        <f aca="false">E1271*F1271*G1271</f>
        <v>285000</v>
      </c>
      <c r="I1271" s="547" t="n">
        <f aca="false">F1271-H1271</f>
        <v>-95000</v>
      </c>
      <c r="J1271" s="547" t="n">
        <f aca="false">F1271*G1271</f>
        <v>19000</v>
      </c>
      <c r="K1271" s="1365" t="n">
        <f aca="false">J1271/1792.8</f>
        <v>10.5979473449353</v>
      </c>
      <c r="L1271" s="547" t="n">
        <v>30</v>
      </c>
      <c r="M1271" s="819" t="n">
        <f aca="false">K1271*L1271/60</f>
        <v>5.29897367246765</v>
      </c>
    </row>
    <row r="1272" customFormat="false" ht="15" hidden="false" customHeight="false" outlineLevel="0" collapsed="false">
      <c r="A1272" s="216"/>
      <c r="B1272" s="78"/>
      <c r="C1272" s="1161" t="s">
        <v>6934</v>
      </c>
      <c r="D1272" s="912" t="n">
        <v>2007</v>
      </c>
      <c r="E1272" s="317" t="n">
        <f aca="false">2021-D1272</f>
        <v>14</v>
      </c>
      <c r="F1272" s="873" t="n">
        <v>491000</v>
      </c>
      <c r="G1272" s="1413" t="n">
        <v>0.1</v>
      </c>
      <c r="H1272" s="547" t="n">
        <f aca="false">E1272*F1272*G1272</f>
        <v>687400</v>
      </c>
      <c r="I1272" s="547" t="n">
        <f aca="false">F1272-H1272</f>
        <v>-196400</v>
      </c>
      <c r="J1272" s="547" t="n">
        <f aca="false">F1272*G1272</f>
        <v>49100</v>
      </c>
      <c r="K1272" s="1365" t="n">
        <f aca="false">J1272/1792.8</f>
        <v>27.3873270861223</v>
      </c>
      <c r="L1272" s="547" t="n">
        <v>10</v>
      </c>
      <c r="M1272" s="819" t="n">
        <f aca="false">K1272*L1272/60</f>
        <v>4.56455451435371</v>
      </c>
    </row>
    <row r="1273" customFormat="false" ht="15" hidden="false" customHeight="false" outlineLevel="0" collapsed="false">
      <c r="A1273" s="216"/>
      <c r="B1273" s="972" t="s">
        <v>4128</v>
      </c>
      <c r="C1273" s="1160"/>
      <c r="D1273" s="391"/>
      <c r="E1273" s="317"/>
      <c r="F1273" s="714"/>
      <c r="G1273" s="1414"/>
      <c r="H1273" s="547"/>
      <c r="I1273" s="547"/>
      <c r="J1273" s="547"/>
      <c r="K1273" s="1365" t="n">
        <f aca="false">J1273/1792.8</f>
        <v>0</v>
      </c>
      <c r="L1273" s="714"/>
      <c r="M1273" s="934" t="n">
        <f aca="false">M1271+M1272</f>
        <v>9.86352818682136</v>
      </c>
    </row>
    <row r="1274" customFormat="false" ht="15" hidden="false" customHeight="false" outlineLevel="0" collapsed="false">
      <c r="A1274" s="216" t="s">
        <v>830</v>
      </c>
      <c r="B1274" s="29" t="s">
        <v>3126</v>
      </c>
      <c r="C1274" s="1161" t="s">
        <v>6975</v>
      </c>
      <c r="D1274" s="912" t="n">
        <v>2006</v>
      </c>
      <c r="E1274" s="317" t="n">
        <f aca="false">2021-D1274</f>
        <v>15</v>
      </c>
      <c r="F1274" s="547" t="n">
        <v>147200</v>
      </c>
      <c r="G1274" s="1413" t="n">
        <v>0.1</v>
      </c>
      <c r="H1274" s="547" t="n">
        <f aca="false">E1274*F1274*G1274</f>
        <v>220800</v>
      </c>
      <c r="I1274" s="547" t="n">
        <f aca="false">F1274-H1274</f>
        <v>-73600</v>
      </c>
      <c r="J1274" s="547" t="n">
        <f aca="false">F1274*G1274</f>
        <v>14720</v>
      </c>
      <c r="K1274" s="1365" t="n">
        <f aca="false">J1274/1792.8</f>
        <v>8.21062025881303</v>
      </c>
      <c r="L1274" s="547" t="n">
        <v>30</v>
      </c>
      <c r="M1274" s="819" t="n">
        <f aca="false">K1274*L1274/60</f>
        <v>4.10531012940652</v>
      </c>
    </row>
    <row r="1275" customFormat="false" ht="15" hidden="false" customHeight="false" outlineLevel="0" collapsed="false">
      <c r="A1275" s="216"/>
      <c r="B1275" s="78"/>
      <c r="C1275" s="1161" t="s">
        <v>6934</v>
      </c>
      <c r="D1275" s="912" t="n">
        <v>2007</v>
      </c>
      <c r="E1275" s="317" t="n">
        <f aca="false">2021-D1275</f>
        <v>14</v>
      </c>
      <c r="F1275" s="873" t="n">
        <v>491000</v>
      </c>
      <c r="G1275" s="1413" t="n">
        <v>0.1</v>
      </c>
      <c r="H1275" s="547" t="n">
        <f aca="false">E1275*F1275*G1275</f>
        <v>687400</v>
      </c>
      <c r="I1275" s="547" t="n">
        <f aca="false">F1275-H1275</f>
        <v>-196400</v>
      </c>
      <c r="J1275" s="547" t="n">
        <f aca="false">F1275*G1275</f>
        <v>49100</v>
      </c>
      <c r="K1275" s="1365" t="n">
        <f aca="false">J1275/1792.8</f>
        <v>27.3873270861223</v>
      </c>
      <c r="L1275" s="547" t="n">
        <v>10</v>
      </c>
      <c r="M1275" s="819" t="n">
        <f aca="false">K1275*L1275/60</f>
        <v>4.56455451435371</v>
      </c>
    </row>
    <row r="1276" customFormat="false" ht="15" hidden="false" customHeight="false" outlineLevel="0" collapsed="false">
      <c r="A1276" s="216"/>
      <c r="B1276" s="972" t="s">
        <v>4128</v>
      </c>
      <c r="C1276" s="1160"/>
      <c r="D1276" s="391"/>
      <c r="E1276" s="317"/>
      <c r="F1276" s="714"/>
      <c r="G1276" s="1414"/>
      <c r="H1276" s="547"/>
      <c r="I1276" s="547"/>
      <c r="J1276" s="547"/>
      <c r="K1276" s="1365" t="n">
        <f aca="false">J1276/1792.8</f>
        <v>0</v>
      </c>
      <c r="L1276" s="714"/>
      <c r="M1276" s="934" t="n">
        <f aca="false">M1274+M1275</f>
        <v>8.66986464376023</v>
      </c>
    </row>
    <row r="1277" customFormat="false" ht="15" hidden="false" customHeight="false" outlineLevel="0" collapsed="false">
      <c r="A1277" s="216" t="s">
        <v>7034</v>
      </c>
      <c r="B1277" s="29" t="s">
        <v>2964</v>
      </c>
      <c r="C1277" s="1161" t="s">
        <v>6934</v>
      </c>
      <c r="D1277" s="912" t="n">
        <v>2007</v>
      </c>
      <c r="E1277" s="317" t="n">
        <f aca="false">2021-D1277</f>
        <v>14</v>
      </c>
      <c r="F1277" s="873" t="n">
        <v>491000</v>
      </c>
      <c r="G1277" s="1413" t="n">
        <v>0.1</v>
      </c>
      <c r="H1277" s="547" t="n">
        <f aca="false">E1277*F1277*G1277</f>
        <v>687400</v>
      </c>
      <c r="I1277" s="547" t="n">
        <f aca="false">F1277-H1277</f>
        <v>-196400</v>
      </c>
      <c r="J1277" s="547" t="n">
        <f aca="false">F1277*G1277</f>
        <v>49100</v>
      </c>
      <c r="K1277" s="1365" t="n">
        <f aca="false">J1277/1792.8</f>
        <v>27.3873270861223</v>
      </c>
      <c r="L1277" s="547" t="n">
        <v>10</v>
      </c>
      <c r="M1277" s="819" t="n">
        <f aca="false">K1277*L1277/60</f>
        <v>4.56455451435371</v>
      </c>
    </row>
    <row r="1278" customFormat="false" ht="15" hidden="false" customHeight="false" outlineLevel="0" collapsed="false">
      <c r="A1278" s="216"/>
      <c r="B1278" s="78"/>
      <c r="C1278" s="1161" t="s">
        <v>7035</v>
      </c>
      <c r="D1278" s="912" t="n">
        <v>2007</v>
      </c>
      <c r="E1278" s="317" t="n">
        <f aca="false">2021-D1278</f>
        <v>14</v>
      </c>
      <c r="F1278" s="547" t="n">
        <v>52095</v>
      </c>
      <c r="G1278" s="1413" t="n">
        <v>0.1</v>
      </c>
      <c r="H1278" s="547" t="n">
        <f aca="false">E1278*F1278*G1278</f>
        <v>72933</v>
      </c>
      <c r="I1278" s="547" t="n">
        <f aca="false">F1278-H1278</f>
        <v>-20838</v>
      </c>
      <c r="J1278" s="547" t="n">
        <f aca="false">F1278*G1278</f>
        <v>5209.5</v>
      </c>
      <c r="K1278" s="1365" t="n">
        <f aca="false">J1278/1792.8</f>
        <v>2.90578982597055</v>
      </c>
      <c r="L1278" s="547" t="n">
        <v>25</v>
      </c>
      <c r="M1278" s="819" t="n">
        <f aca="false">K1278*L1278/60</f>
        <v>1.21074576082106</v>
      </c>
    </row>
    <row r="1279" customFormat="false" ht="15" hidden="false" customHeight="false" outlineLevel="0" collapsed="false">
      <c r="A1279" s="216"/>
      <c r="B1279" s="972" t="s">
        <v>4128</v>
      </c>
      <c r="C1279" s="1160"/>
      <c r="D1279" s="391"/>
      <c r="E1279" s="317"/>
      <c r="F1279" s="714"/>
      <c r="G1279" s="1414"/>
      <c r="H1279" s="547"/>
      <c r="I1279" s="547"/>
      <c r="J1279" s="547"/>
      <c r="K1279" s="1365" t="n">
        <f aca="false">J1279/1792.8</f>
        <v>0</v>
      </c>
      <c r="L1279" s="714"/>
      <c r="M1279" s="934" t="n">
        <f aca="false">M1277+M1278</f>
        <v>5.77530027517477</v>
      </c>
    </row>
    <row r="1280" customFormat="false" ht="15" hidden="false" customHeight="false" outlineLevel="0" collapsed="false">
      <c r="A1280" s="216" t="s">
        <v>7036</v>
      </c>
      <c r="B1280" s="29" t="s">
        <v>3215</v>
      </c>
      <c r="C1280" s="1161" t="s">
        <v>6974</v>
      </c>
      <c r="D1280" s="912" t="n">
        <v>2006</v>
      </c>
      <c r="E1280" s="317" t="n">
        <f aca="false">2021-D1280</f>
        <v>15</v>
      </c>
      <c r="F1280" s="547" t="n">
        <v>526970</v>
      </c>
      <c r="G1280" s="1413" t="n">
        <v>0.1</v>
      </c>
      <c r="H1280" s="547" t="n">
        <f aca="false">E1280*F1280*G1280</f>
        <v>790455</v>
      </c>
      <c r="I1280" s="547" t="n">
        <f aca="false">F1280-H1280</f>
        <v>-263485</v>
      </c>
      <c r="J1280" s="547" t="n">
        <f aca="false">F1280*G1280</f>
        <v>52697</v>
      </c>
      <c r="K1280" s="1365" t="n">
        <f aca="false">J1280/1792.8</f>
        <v>29.3936858545292</v>
      </c>
      <c r="L1280" s="547" t="n">
        <v>15</v>
      </c>
      <c r="M1280" s="819" t="n">
        <f aca="false">K1280*L1280/60</f>
        <v>7.34842146363231</v>
      </c>
    </row>
    <row r="1281" customFormat="false" ht="15" hidden="false" customHeight="false" outlineLevel="0" collapsed="false">
      <c r="A1281" s="216"/>
      <c r="B1281" s="78"/>
      <c r="C1281" s="1161" t="s">
        <v>6934</v>
      </c>
      <c r="D1281" s="912" t="n">
        <v>2007</v>
      </c>
      <c r="E1281" s="317" t="n">
        <f aca="false">2021-D1281</f>
        <v>14</v>
      </c>
      <c r="F1281" s="873" t="n">
        <v>491000</v>
      </c>
      <c r="G1281" s="1413" t="n">
        <v>0.1</v>
      </c>
      <c r="H1281" s="547" t="n">
        <f aca="false">E1281*F1281*G1281</f>
        <v>687400</v>
      </c>
      <c r="I1281" s="547" t="n">
        <f aca="false">F1281-H1281</f>
        <v>-196400</v>
      </c>
      <c r="J1281" s="547" t="n">
        <f aca="false">F1281*G1281</f>
        <v>49100</v>
      </c>
      <c r="K1281" s="1365" t="n">
        <f aca="false">J1281/1792.8</f>
        <v>27.3873270861223</v>
      </c>
      <c r="L1281" s="547" t="n">
        <v>10</v>
      </c>
      <c r="M1281" s="819" t="n">
        <f aca="false">K1281*L1281/60</f>
        <v>4.56455451435371</v>
      </c>
    </row>
    <row r="1282" customFormat="false" ht="15" hidden="false" customHeight="false" outlineLevel="0" collapsed="false">
      <c r="A1282" s="216"/>
      <c r="B1282" s="972" t="s">
        <v>4128</v>
      </c>
      <c r="C1282" s="1160"/>
      <c r="D1282" s="391"/>
      <c r="E1282" s="317"/>
      <c r="F1282" s="714"/>
      <c r="G1282" s="1414"/>
      <c r="H1282" s="547"/>
      <c r="I1282" s="547"/>
      <c r="J1282" s="547"/>
      <c r="K1282" s="1365" t="n">
        <f aca="false">J1282/1792.8</f>
        <v>0</v>
      </c>
      <c r="L1282" s="714"/>
      <c r="M1282" s="934" t="n">
        <f aca="false">M1280+M1281</f>
        <v>11.912975977986</v>
      </c>
    </row>
    <row r="1283" customFormat="false" ht="30" hidden="false" customHeight="false" outlineLevel="0" collapsed="false">
      <c r="A1283" s="216" t="s">
        <v>7037</v>
      </c>
      <c r="B1283" s="29" t="s">
        <v>3224</v>
      </c>
      <c r="C1283" s="1161" t="s">
        <v>6934</v>
      </c>
      <c r="D1283" s="912" t="n">
        <v>2007</v>
      </c>
      <c r="E1283" s="317" t="n">
        <f aca="false">2021-D1283</f>
        <v>14</v>
      </c>
      <c r="F1283" s="873" t="n">
        <v>491000</v>
      </c>
      <c r="G1283" s="1413" t="n">
        <v>0.1</v>
      </c>
      <c r="H1283" s="547" t="n">
        <f aca="false">E1283*F1283*G1283</f>
        <v>687400</v>
      </c>
      <c r="I1283" s="547" t="n">
        <f aca="false">F1283-H1283</f>
        <v>-196400</v>
      </c>
      <c r="J1283" s="547" t="n">
        <f aca="false">F1283*G1283</f>
        <v>49100</v>
      </c>
      <c r="K1283" s="1365" t="n">
        <f aca="false">J1283/1792.8</f>
        <v>27.3873270861223</v>
      </c>
      <c r="L1283" s="547" t="n">
        <v>10</v>
      </c>
      <c r="M1283" s="934" t="n">
        <f aca="false">K1283*L1283/60</f>
        <v>4.56455451435371</v>
      </c>
    </row>
    <row r="1284" customFormat="false" ht="15" hidden="false" customHeight="false" outlineLevel="0" collapsed="false">
      <c r="A1284" s="216" t="s">
        <v>835</v>
      </c>
      <c r="B1284" s="29" t="s">
        <v>3225</v>
      </c>
      <c r="C1284" s="1161" t="s">
        <v>6934</v>
      </c>
      <c r="D1284" s="912" t="n">
        <v>2007</v>
      </c>
      <c r="E1284" s="317" t="n">
        <f aca="false">2021-D1284</f>
        <v>14</v>
      </c>
      <c r="F1284" s="873" t="n">
        <v>491000</v>
      </c>
      <c r="G1284" s="1413" t="n">
        <v>0.1</v>
      </c>
      <c r="H1284" s="547" t="n">
        <f aca="false">E1284*F1284*G1284</f>
        <v>687400</v>
      </c>
      <c r="I1284" s="547" t="n">
        <f aca="false">F1284-H1284</f>
        <v>-196400</v>
      </c>
      <c r="J1284" s="547" t="n">
        <f aca="false">F1284*G1284</f>
        <v>49100</v>
      </c>
      <c r="K1284" s="1365" t="n">
        <f aca="false">J1284/1792.8</f>
        <v>27.3873270861223</v>
      </c>
      <c r="L1284" s="547" t="n">
        <v>10</v>
      </c>
      <c r="M1284" s="934" t="n">
        <f aca="false">K1284*L1284/60</f>
        <v>4.56455451435371</v>
      </c>
    </row>
    <row r="1285" customFormat="false" ht="15" hidden="false" customHeight="false" outlineLevel="0" collapsed="false">
      <c r="A1285" s="216" t="s">
        <v>837</v>
      </c>
      <c r="B1285" s="29" t="s">
        <v>3226</v>
      </c>
      <c r="C1285" s="1161" t="s">
        <v>6934</v>
      </c>
      <c r="D1285" s="912" t="n">
        <v>2007</v>
      </c>
      <c r="E1285" s="317" t="n">
        <f aca="false">2021-D1285</f>
        <v>14</v>
      </c>
      <c r="F1285" s="873" t="n">
        <v>491000</v>
      </c>
      <c r="G1285" s="1413" t="n">
        <v>0.1</v>
      </c>
      <c r="H1285" s="547" t="n">
        <f aca="false">E1285*F1285*G1285</f>
        <v>687400</v>
      </c>
      <c r="I1285" s="547" t="n">
        <f aca="false">F1285-H1285</f>
        <v>-196400</v>
      </c>
      <c r="J1285" s="547" t="n">
        <f aca="false">F1285*G1285</f>
        <v>49100</v>
      </c>
      <c r="K1285" s="1365" t="n">
        <f aca="false">J1285/1792.8</f>
        <v>27.3873270861223</v>
      </c>
      <c r="L1285" s="547" t="n">
        <v>10</v>
      </c>
      <c r="M1285" s="819" t="n">
        <f aca="false">K1285*L1285/60</f>
        <v>4.56455451435371</v>
      </c>
    </row>
    <row r="1286" customFormat="false" ht="15" hidden="false" customHeight="false" outlineLevel="0" collapsed="false">
      <c r="A1286" s="216"/>
      <c r="B1286" s="78"/>
      <c r="C1286" s="1161" t="s">
        <v>7038</v>
      </c>
      <c r="D1286" s="912" t="n">
        <v>2005</v>
      </c>
      <c r="E1286" s="317" t="n">
        <f aca="false">2021-D1286</f>
        <v>16</v>
      </c>
      <c r="F1286" s="547" t="n">
        <v>98600</v>
      </c>
      <c r="G1286" s="1413" t="n">
        <v>0.1</v>
      </c>
      <c r="H1286" s="547" t="n">
        <f aca="false">E1286*F1286*G1286</f>
        <v>157760</v>
      </c>
      <c r="I1286" s="547" t="n">
        <f aca="false">F1286-H1286</f>
        <v>-59160</v>
      </c>
      <c r="J1286" s="547" t="n">
        <f aca="false">F1286*G1286</f>
        <v>9860</v>
      </c>
      <c r="K1286" s="1365" t="n">
        <f aca="false">J1286/1792.8</f>
        <v>5.49977688531905</v>
      </c>
      <c r="L1286" s="547" t="n">
        <v>30</v>
      </c>
      <c r="M1286" s="819" t="n">
        <f aca="false">K1286*L1286/60</f>
        <v>2.74988844265953</v>
      </c>
    </row>
    <row r="1287" customFormat="false" ht="15" hidden="false" customHeight="false" outlineLevel="0" collapsed="false">
      <c r="A1287" s="216"/>
      <c r="B1287" s="78"/>
      <c r="C1287" s="1161" t="s">
        <v>6984</v>
      </c>
      <c r="D1287" s="912" t="n">
        <v>2007</v>
      </c>
      <c r="E1287" s="317" t="n">
        <f aca="false">2021-D1287</f>
        <v>14</v>
      </c>
      <c r="F1287" s="547" t="n">
        <v>810000</v>
      </c>
      <c r="G1287" s="1413" t="n">
        <v>0.1</v>
      </c>
      <c r="H1287" s="547" t="n">
        <f aca="false">E1287*F1287*G1287</f>
        <v>1134000</v>
      </c>
      <c r="I1287" s="547" t="n">
        <f aca="false">F1287-H1287</f>
        <v>-324000</v>
      </c>
      <c r="J1287" s="547" t="n">
        <f aca="false">F1287*G1287</f>
        <v>81000</v>
      </c>
      <c r="K1287" s="1365" t="n">
        <f aca="false">J1287/1792.8</f>
        <v>45.1807228915663</v>
      </c>
      <c r="L1287" s="547" t="n">
        <v>10</v>
      </c>
      <c r="M1287" s="819" t="n">
        <f aca="false">K1287*L1287/60</f>
        <v>7.53012048192771</v>
      </c>
    </row>
    <row r="1288" customFormat="false" ht="15" hidden="false" customHeight="false" outlineLevel="0" collapsed="false">
      <c r="A1288" s="216"/>
      <c r="B1288" s="972" t="s">
        <v>4128</v>
      </c>
      <c r="C1288" s="1160"/>
      <c r="D1288" s="391"/>
      <c r="E1288" s="317"/>
      <c r="F1288" s="714"/>
      <c r="G1288" s="1414"/>
      <c r="H1288" s="547"/>
      <c r="I1288" s="547"/>
      <c r="J1288" s="547"/>
      <c r="K1288" s="1365" t="n">
        <f aca="false">J1288/1792.8</f>
        <v>0</v>
      </c>
      <c r="L1288" s="714"/>
      <c r="M1288" s="934" t="n">
        <f aca="false">M1285+M1286+M1287</f>
        <v>14.844563438941</v>
      </c>
    </row>
    <row r="1289" customFormat="false" ht="15" hidden="false" customHeight="false" outlineLevel="0" collapsed="false">
      <c r="A1289" s="216" t="s">
        <v>7039</v>
      </c>
      <c r="B1289" s="29" t="s">
        <v>3103</v>
      </c>
      <c r="C1289" s="1161" t="s">
        <v>4568</v>
      </c>
      <c r="D1289" s="912" t="n">
        <v>2007</v>
      </c>
      <c r="E1289" s="317" t="n">
        <f aca="false">2021-D1289</f>
        <v>14</v>
      </c>
      <c r="F1289" s="873" t="n">
        <v>5635700</v>
      </c>
      <c r="G1289" s="1413" t="n">
        <v>0.1</v>
      </c>
      <c r="H1289" s="547" t="n">
        <f aca="false">E1289*F1289*G1289</f>
        <v>7889980</v>
      </c>
      <c r="I1289" s="547" t="n">
        <f aca="false">F1289-H1289</f>
        <v>-2254280</v>
      </c>
      <c r="J1289" s="547" t="n">
        <f aca="false">F1289*G1289</f>
        <v>563570</v>
      </c>
      <c r="K1289" s="1365" t="n">
        <f aca="false">J1289/1792.8</f>
        <v>314.351851851852</v>
      </c>
      <c r="L1289" s="547" t="n">
        <v>90</v>
      </c>
      <c r="M1289" s="819" t="n">
        <f aca="false">K1289*L1289/60</f>
        <v>471.527777777778</v>
      </c>
    </row>
    <row r="1290" customFormat="false" ht="15" hidden="false" customHeight="false" outlineLevel="0" collapsed="false">
      <c r="A1290" s="216"/>
      <c r="B1290" s="78"/>
      <c r="C1290" s="1161" t="s">
        <v>6975</v>
      </c>
      <c r="D1290" s="912" t="n">
        <v>2006</v>
      </c>
      <c r="E1290" s="317" t="n">
        <f aca="false">2021-D1290</f>
        <v>15</v>
      </c>
      <c r="F1290" s="547" t="n">
        <v>147200</v>
      </c>
      <c r="G1290" s="1413" t="n">
        <v>0.1</v>
      </c>
      <c r="H1290" s="547" t="n">
        <f aca="false">E1290*F1290*G1290</f>
        <v>220800</v>
      </c>
      <c r="I1290" s="547" t="n">
        <f aca="false">F1290-H1290</f>
        <v>-73600</v>
      </c>
      <c r="J1290" s="547" t="n">
        <f aca="false">F1290*G1290</f>
        <v>14720</v>
      </c>
      <c r="K1290" s="1365" t="n">
        <f aca="false">J1290/1792.8</f>
        <v>8.21062025881303</v>
      </c>
      <c r="L1290" s="547" t="n">
        <v>30</v>
      </c>
      <c r="M1290" s="819" t="n">
        <f aca="false">K1290*L1290/60</f>
        <v>4.10531012940652</v>
      </c>
    </row>
    <row r="1291" customFormat="false" ht="15" hidden="false" customHeight="false" outlineLevel="0" collapsed="false">
      <c r="A1291" s="216"/>
      <c r="B1291" s="78"/>
      <c r="C1291" s="1161" t="s">
        <v>6979</v>
      </c>
      <c r="D1291" s="912" t="n">
        <v>2005</v>
      </c>
      <c r="E1291" s="317" t="n">
        <f aca="false">2021-D1291</f>
        <v>16</v>
      </c>
      <c r="F1291" s="547" t="n">
        <v>1400000</v>
      </c>
      <c r="G1291" s="1413" t="n">
        <v>0.1</v>
      </c>
      <c r="H1291" s="547" t="n">
        <f aca="false">E1291*F1291*G1291</f>
        <v>2240000</v>
      </c>
      <c r="I1291" s="547" t="n">
        <f aca="false">F1291-H1291</f>
        <v>-840000</v>
      </c>
      <c r="J1291" s="547" t="n">
        <f aca="false">F1291*G1291</f>
        <v>140000</v>
      </c>
      <c r="K1291" s="1365" t="n">
        <f aca="false">J1291/1792.8</f>
        <v>78.0901383311022</v>
      </c>
      <c r="L1291" s="547" t="n">
        <v>30</v>
      </c>
      <c r="M1291" s="819" t="n">
        <f aca="false">K1291*L1291/60</f>
        <v>39.0450691655511</v>
      </c>
    </row>
    <row r="1292" customFormat="false" ht="15" hidden="false" customHeight="false" outlineLevel="0" collapsed="false">
      <c r="A1292" s="216"/>
      <c r="B1292" s="78"/>
      <c r="C1292" s="1161" t="s">
        <v>6934</v>
      </c>
      <c r="D1292" s="912" t="n">
        <v>2007</v>
      </c>
      <c r="E1292" s="317" t="n">
        <f aca="false">2021-D1292</f>
        <v>14</v>
      </c>
      <c r="F1292" s="873" t="n">
        <v>491000</v>
      </c>
      <c r="G1292" s="1413" t="n">
        <v>0.1</v>
      </c>
      <c r="H1292" s="547" t="n">
        <f aca="false">E1292*F1292*G1292</f>
        <v>687400</v>
      </c>
      <c r="I1292" s="547" t="n">
        <f aca="false">F1292-H1292</f>
        <v>-196400</v>
      </c>
      <c r="J1292" s="547" t="n">
        <f aca="false">F1292*G1292</f>
        <v>49100</v>
      </c>
      <c r="K1292" s="1365" t="n">
        <f aca="false">J1292/1792.8</f>
        <v>27.3873270861223</v>
      </c>
      <c r="L1292" s="547" t="n">
        <v>10</v>
      </c>
      <c r="M1292" s="819" t="n">
        <f aca="false">K1292*L1292/60</f>
        <v>4.56455451435371</v>
      </c>
    </row>
    <row r="1293" customFormat="false" ht="15" hidden="false" customHeight="false" outlineLevel="0" collapsed="false">
      <c r="A1293" s="216"/>
      <c r="B1293" s="972" t="s">
        <v>4128</v>
      </c>
      <c r="C1293" s="1160"/>
      <c r="D1293" s="391"/>
      <c r="E1293" s="317"/>
      <c r="F1293" s="714"/>
      <c r="G1293" s="1414"/>
      <c r="H1293" s="547"/>
      <c r="I1293" s="547"/>
      <c r="J1293" s="547"/>
      <c r="K1293" s="1365" t="n">
        <f aca="false">J1293/1792.8</f>
        <v>0</v>
      </c>
      <c r="L1293" s="714"/>
      <c r="M1293" s="934" t="n">
        <f aca="false">M1289+M1290+M1291+M1292</f>
        <v>519.242711587089</v>
      </c>
    </row>
    <row r="1294" customFormat="false" ht="15" hidden="false" customHeight="false" outlineLevel="0" collapsed="false">
      <c r="A1294" s="216" t="s">
        <v>7040</v>
      </c>
      <c r="B1294" s="29" t="s">
        <v>3148</v>
      </c>
      <c r="C1294" s="1161" t="s">
        <v>6974</v>
      </c>
      <c r="D1294" s="912" t="n">
        <v>2006</v>
      </c>
      <c r="E1294" s="317" t="n">
        <f aca="false">2021-D1294</f>
        <v>15</v>
      </c>
      <c r="F1294" s="547" t="n">
        <v>526970</v>
      </c>
      <c r="G1294" s="1413" t="n">
        <v>0.1</v>
      </c>
      <c r="H1294" s="547" t="n">
        <f aca="false">E1294*F1294*G1294</f>
        <v>790455</v>
      </c>
      <c r="I1294" s="547" t="n">
        <f aca="false">F1294-H1294</f>
        <v>-263485</v>
      </c>
      <c r="J1294" s="547" t="n">
        <f aca="false">F1294*G1294</f>
        <v>52697</v>
      </c>
      <c r="K1294" s="1365" t="n">
        <f aca="false">J1294/1792.8</f>
        <v>29.3936858545292</v>
      </c>
      <c r="L1294" s="547" t="n">
        <v>15</v>
      </c>
      <c r="M1294" s="819" t="n">
        <f aca="false">K1294*L1294/60</f>
        <v>7.34842146363231</v>
      </c>
    </row>
    <row r="1295" customFormat="false" ht="15" hidden="false" customHeight="false" outlineLevel="0" collapsed="false">
      <c r="A1295" s="216"/>
      <c r="B1295" s="78"/>
      <c r="C1295" s="1161" t="s">
        <v>4568</v>
      </c>
      <c r="D1295" s="912" t="n">
        <v>2007</v>
      </c>
      <c r="E1295" s="317" t="n">
        <f aca="false">2021-D1295</f>
        <v>14</v>
      </c>
      <c r="F1295" s="873" t="n">
        <v>5635700</v>
      </c>
      <c r="G1295" s="1413" t="n">
        <v>0.1</v>
      </c>
      <c r="H1295" s="547" t="n">
        <f aca="false">E1295*F1295*G1295</f>
        <v>7889980</v>
      </c>
      <c r="I1295" s="547" t="n">
        <f aca="false">F1295-H1295</f>
        <v>-2254280</v>
      </c>
      <c r="J1295" s="547" t="n">
        <f aca="false">F1295*G1295</f>
        <v>563570</v>
      </c>
      <c r="K1295" s="1365" t="n">
        <f aca="false">J1295/1792.8</f>
        <v>314.351851851852</v>
      </c>
      <c r="L1295" s="547" t="n">
        <v>90</v>
      </c>
      <c r="M1295" s="819" t="n">
        <f aca="false">K1295*L1295/60</f>
        <v>471.527777777778</v>
      </c>
    </row>
    <row r="1296" customFormat="false" ht="15" hidden="false" customHeight="false" outlineLevel="0" collapsed="false">
      <c r="A1296" s="216"/>
      <c r="B1296" s="78"/>
      <c r="C1296" s="1161" t="s">
        <v>6975</v>
      </c>
      <c r="D1296" s="912" t="n">
        <v>2006</v>
      </c>
      <c r="E1296" s="317" t="n">
        <f aca="false">2021-D1296</f>
        <v>15</v>
      </c>
      <c r="F1296" s="547" t="n">
        <v>147200</v>
      </c>
      <c r="G1296" s="1413" t="n">
        <v>0.1</v>
      </c>
      <c r="H1296" s="547" t="n">
        <f aca="false">E1296*F1296*G1296</f>
        <v>220800</v>
      </c>
      <c r="I1296" s="547" t="n">
        <f aca="false">F1296-H1296</f>
        <v>-73600</v>
      </c>
      <c r="J1296" s="547" t="n">
        <f aca="false">F1296*G1296</f>
        <v>14720</v>
      </c>
      <c r="K1296" s="1365" t="n">
        <f aca="false">J1296/1792.8</f>
        <v>8.21062025881303</v>
      </c>
      <c r="L1296" s="547" t="n">
        <v>30</v>
      </c>
      <c r="M1296" s="819" t="n">
        <f aca="false">K1296*L1296/60</f>
        <v>4.10531012940652</v>
      </c>
    </row>
    <row r="1297" customFormat="false" ht="15" hidden="false" customHeight="false" outlineLevel="0" collapsed="false">
      <c r="A1297" s="216"/>
      <c r="B1297" s="78"/>
      <c r="C1297" s="1161" t="s">
        <v>6979</v>
      </c>
      <c r="D1297" s="912" t="n">
        <v>2005</v>
      </c>
      <c r="E1297" s="317" t="n">
        <f aca="false">2021-D1297</f>
        <v>16</v>
      </c>
      <c r="F1297" s="547" t="n">
        <v>1400000</v>
      </c>
      <c r="G1297" s="1413" t="n">
        <v>0.1</v>
      </c>
      <c r="H1297" s="547" t="n">
        <f aca="false">E1297*F1297*G1297</f>
        <v>2240000</v>
      </c>
      <c r="I1297" s="547" t="n">
        <f aca="false">F1297-H1297</f>
        <v>-840000</v>
      </c>
      <c r="J1297" s="547" t="n">
        <f aca="false">F1297*G1297</f>
        <v>140000</v>
      </c>
      <c r="K1297" s="1365" t="n">
        <f aca="false">J1297/1792.8</f>
        <v>78.0901383311022</v>
      </c>
      <c r="L1297" s="547" t="n">
        <v>30</v>
      </c>
      <c r="M1297" s="819" t="n">
        <f aca="false">K1297*L1297/60</f>
        <v>39.0450691655511</v>
      </c>
    </row>
    <row r="1298" customFormat="false" ht="15" hidden="false" customHeight="false" outlineLevel="0" collapsed="false">
      <c r="A1298" s="216"/>
      <c r="B1298" s="78"/>
      <c r="C1298" s="1161" t="s">
        <v>6934</v>
      </c>
      <c r="D1298" s="912" t="n">
        <v>2007</v>
      </c>
      <c r="E1298" s="317" t="n">
        <f aca="false">2021-D1298</f>
        <v>14</v>
      </c>
      <c r="F1298" s="873" t="n">
        <v>491000</v>
      </c>
      <c r="G1298" s="1413" t="n">
        <v>0.1</v>
      </c>
      <c r="H1298" s="547" t="n">
        <f aca="false">E1298*F1298*G1298</f>
        <v>687400</v>
      </c>
      <c r="I1298" s="547" t="n">
        <f aca="false">F1298-H1298</f>
        <v>-196400</v>
      </c>
      <c r="J1298" s="547" t="n">
        <f aca="false">F1298*G1298</f>
        <v>49100</v>
      </c>
      <c r="K1298" s="1365" t="n">
        <f aca="false">J1298/1792.8</f>
        <v>27.3873270861223</v>
      </c>
      <c r="L1298" s="547" t="n">
        <v>10</v>
      </c>
      <c r="M1298" s="819" t="n">
        <f aca="false">K1298*L1298/60</f>
        <v>4.56455451435371</v>
      </c>
    </row>
    <row r="1299" customFormat="false" ht="15" hidden="false" customHeight="false" outlineLevel="0" collapsed="false">
      <c r="A1299" s="216"/>
      <c r="B1299" s="78"/>
      <c r="C1299" s="1161" t="s">
        <v>6943</v>
      </c>
      <c r="D1299" s="912" t="n">
        <v>2006</v>
      </c>
      <c r="E1299" s="317" t="n">
        <f aca="false">2021-D1299</f>
        <v>15</v>
      </c>
      <c r="F1299" s="547" t="n">
        <v>1503927</v>
      </c>
      <c r="G1299" s="1413" t="n">
        <v>0.1</v>
      </c>
      <c r="H1299" s="547" t="n">
        <f aca="false">E1299*F1299*G1299</f>
        <v>2255890.5</v>
      </c>
      <c r="I1299" s="547" t="n">
        <f aca="false">F1299-H1299</f>
        <v>-751963.5</v>
      </c>
      <c r="J1299" s="547" t="n">
        <f aca="false">F1299*G1299</f>
        <v>150392.7</v>
      </c>
      <c r="K1299" s="1365" t="n">
        <f aca="false">J1299/1792.8</f>
        <v>83.8870481927711</v>
      </c>
      <c r="L1299" s="547" t="n">
        <v>40</v>
      </c>
      <c r="M1299" s="819" t="n">
        <f aca="false">K1299*L1299/60</f>
        <v>55.9246987951807</v>
      </c>
    </row>
    <row r="1300" customFormat="false" ht="15" hidden="false" customHeight="false" outlineLevel="0" collapsed="false">
      <c r="A1300" s="216"/>
      <c r="B1300" s="972" t="s">
        <v>4128</v>
      </c>
      <c r="C1300" s="1160"/>
      <c r="D1300" s="391"/>
      <c r="E1300" s="317"/>
      <c r="F1300" s="714"/>
      <c r="G1300" s="1414"/>
      <c r="H1300" s="547"/>
      <c r="I1300" s="547"/>
      <c r="J1300" s="547"/>
      <c r="K1300" s="1365" t="n">
        <f aca="false">J1300/1792.8</f>
        <v>0</v>
      </c>
      <c r="L1300" s="714"/>
      <c r="M1300" s="934" t="n">
        <f aca="false">M1294+M1295+M1296+M1297+M1298+M1299</f>
        <v>582.515831845902</v>
      </c>
    </row>
    <row r="1301" customFormat="false" ht="15" hidden="false" customHeight="false" outlineLevel="0" collapsed="false">
      <c r="A1301" s="216" t="s">
        <v>840</v>
      </c>
      <c r="B1301" s="29" t="s">
        <v>3102</v>
      </c>
      <c r="C1301" s="1161" t="s">
        <v>4568</v>
      </c>
      <c r="D1301" s="912" t="n">
        <v>2007</v>
      </c>
      <c r="E1301" s="317" t="n">
        <f aca="false">2021-D1301</f>
        <v>14</v>
      </c>
      <c r="F1301" s="873" t="n">
        <v>5635700</v>
      </c>
      <c r="G1301" s="1413" t="n">
        <v>0.1</v>
      </c>
      <c r="H1301" s="547" t="n">
        <f aca="false">E1301*F1301*G1301</f>
        <v>7889980</v>
      </c>
      <c r="I1301" s="547" t="n">
        <f aca="false">F1301-H1301</f>
        <v>-2254280</v>
      </c>
      <c r="J1301" s="547" t="n">
        <f aca="false">F1301*G1301</f>
        <v>563570</v>
      </c>
      <c r="K1301" s="1365" t="n">
        <f aca="false">J1301/1792.8</f>
        <v>314.351851851852</v>
      </c>
      <c r="L1301" s="547" t="n">
        <v>90</v>
      </c>
      <c r="M1301" s="819" t="n">
        <f aca="false">K1301*L1301/60</f>
        <v>471.527777777778</v>
      </c>
    </row>
    <row r="1302" customFormat="false" ht="15" hidden="false" customHeight="false" outlineLevel="0" collapsed="false">
      <c r="A1302" s="216"/>
      <c r="B1302" s="78"/>
      <c r="C1302" s="1161" t="s">
        <v>6975</v>
      </c>
      <c r="D1302" s="912" t="n">
        <v>2006</v>
      </c>
      <c r="E1302" s="317" t="n">
        <f aca="false">2021-D1302</f>
        <v>15</v>
      </c>
      <c r="F1302" s="547" t="n">
        <v>147200</v>
      </c>
      <c r="G1302" s="1413" t="n">
        <v>0.1</v>
      </c>
      <c r="H1302" s="547" t="n">
        <f aca="false">E1302*F1302*G1302</f>
        <v>220800</v>
      </c>
      <c r="I1302" s="547" t="n">
        <f aca="false">F1302-H1302</f>
        <v>-73600</v>
      </c>
      <c r="J1302" s="547" t="n">
        <f aca="false">F1302*G1302</f>
        <v>14720</v>
      </c>
      <c r="K1302" s="1365" t="n">
        <f aca="false">J1302/1792.8</f>
        <v>8.21062025881303</v>
      </c>
      <c r="L1302" s="547" t="n">
        <v>30</v>
      </c>
      <c r="M1302" s="819" t="n">
        <f aca="false">K1302*L1302/60</f>
        <v>4.10531012940652</v>
      </c>
    </row>
    <row r="1303" customFormat="false" ht="15" hidden="false" customHeight="false" outlineLevel="0" collapsed="false">
      <c r="A1303" s="216"/>
      <c r="B1303" s="78"/>
      <c r="C1303" s="1161" t="s">
        <v>6979</v>
      </c>
      <c r="D1303" s="912" t="n">
        <v>2005</v>
      </c>
      <c r="E1303" s="317" t="n">
        <f aca="false">2021-D1303</f>
        <v>16</v>
      </c>
      <c r="F1303" s="547" t="n">
        <v>1400000</v>
      </c>
      <c r="G1303" s="1413" t="n">
        <v>0.1</v>
      </c>
      <c r="H1303" s="547" t="n">
        <f aca="false">E1303*F1303*G1303</f>
        <v>2240000</v>
      </c>
      <c r="I1303" s="547" t="n">
        <f aca="false">F1303-H1303</f>
        <v>-840000</v>
      </c>
      <c r="J1303" s="547" t="n">
        <f aca="false">F1303*G1303</f>
        <v>140000</v>
      </c>
      <c r="K1303" s="1365" t="n">
        <f aca="false">J1303/1792.8</f>
        <v>78.0901383311022</v>
      </c>
      <c r="L1303" s="547" t="n">
        <v>30</v>
      </c>
      <c r="M1303" s="819" t="n">
        <f aca="false">K1303*L1303/60</f>
        <v>39.0450691655511</v>
      </c>
    </row>
    <row r="1304" customFormat="false" ht="15" hidden="false" customHeight="false" outlineLevel="0" collapsed="false">
      <c r="A1304" s="216"/>
      <c r="B1304" s="78"/>
      <c r="C1304" s="1161" t="s">
        <v>6934</v>
      </c>
      <c r="D1304" s="912" t="n">
        <v>2007</v>
      </c>
      <c r="E1304" s="317" t="n">
        <f aca="false">2021-D1304</f>
        <v>14</v>
      </c>
      <c r="F1304" s="873" t="n">
        <v>491000</v>
      </c>
      <c r="G1304" s="1413" t="n">
        <v>0.1</v>
      </c>
      <c r="H1304" s="547" t="n">
        <f aca="false">E1304*F1304*G1304</f>
        <v>687400</v>
      </c>
      <c r="I1304" s="547" t="n">
        <f aca="false">F1304-H1304</f>
        <v>-196400</v>
      </c>
      <c r="J1304" s="547" t="n">
        <f aca="false">F1304*G1304</f>
        <v>49100</v>
      </c>
      <c r="K1304" s="1365" t="n">
        <f aca="false">J1304/1792.8</f>
        <v>27.3873270861223</v>
      </c>
      <c r="L1304" s="547" t="n">
        <v>10</v>
      </c>
      <c r="M1304" s="819" t="n">
        <f aca="false">K1304*L1304/60</f>
        <v>4.56455451435371</v>
      </c>
    </row>
    <row r="1305" customFormat="false" ht="15" hidden="false" customHeight="false" outlineLevel="0" collapsed="false">
      <c r="A1305" s="216"/>
      <c r="B1305" s="972" t="s">
        <v>4128</v>
      </c>
      <c r="C1305" s="1160"/>
      <c r="D1305" s="391"/>
      <c r="E1305" s="317"/>
      <c r="F1305" s="714"/>
      <c r="G1305" s="1414"/>
      <c r="H1305" s="547"/>
      <c r="I1305" s="547"/>
      <c r="J1305" s="547"/>
      <c r="K1305" s="1365" t="n">
        <f aca="false">J1305/1792.8</f>
        <v>0</v>
      </c>
      <c r="L1305" s="714"/>
      <c r="M1305" s="934" t="n">
        <f aca="false">M1301+M1302+M1303+M1304</f>
        <v>519.242711587089</v>
      </c>
    </row>
    <row r="1306" customFormat="false" ht="15" hidden="false" customHeight="false" outlineLevel="0" collapsed="false">
      <c r="A1306" s="216" t="s">
        <v>4958</v>
      </c>
      <c r="B1306" s="29" t="s">
        <v>3149</v>
      </c>
      <c r="C1306" s="1161" t="s">
        <v>6974</v>
      </c>
      <c r="D1306" s="912" t="n">
        <v>2006</v>
      </c>
      <c r="E1306" s="317" t="n">
        <f aca="false">2021-D1306</f>
        <v>15</v>
      </c>
      <c r="F1306" s="547" t="n">
        <v>526970</v>
      </c>
      <c r="G1306" s="1413" t="n">
        <v>0.1</v>
      </c>
      <c r="H1306" s="547" t="n">
        <f aca="false">E1306*F1306*G1306</f>
        <v>790455</v>
      </c>
      <c r="I1306" s="547" t="n">
        <f aca="false">F1306-H1306</f>
        <v>-263485</v>
      </c>
      <c r="J1306" s="547" t="n">
        <f aca="false">F1306*G1306</f>
        <v>52697</v>
      </c>
      <c r="K1306" s="1365" t="n">
        <f aca="false">J1306/1792.8</f>
        <v>29.3936858545292</v>
      </c>
      <c r="L1306" s="547" t="n">
        <v>15</v>
      </c>
      <c r="M1306" s="819" t="n">
        <f aca="false">K1306*L1306/60</f>
        <v>7.34842146363231</v>
      </c>
    </row>
    <row r="1307" customFormat="false" ht="15" hidden="false" customHeight="false" outlineLevel="0" collapsed="false">
      <c r="A1307" s="216"/>
      <c r="B1307" s="78"/>
      <c r="C1307" s="1161" t="s">
        <v>4568</v>
      </c>
      <c r="D1307" s="912" t="n">
        <v>2007</v>
      </c>
      <c r="E1307" s="317" t="n">
        <f aca="false">2021-D1307</f>
        <v>14</v>
      </c>
      <c r="F1307" s="873" t="n">
        <v>5635700</v>
      </c>
      <c r="G1307" s="1413" t="n">
        <v>0.1</v>
      </c>
      <c r="H1307" s="547" t="n">
        <f aca="false">E1307*F1307*G1307</f>
        <v>7889980</v>
      </c>
      <c r="I1307" s="547" t="n">
        <f aca="false">F1307-H1307</f>
        <v>-2254280</v>
      </c>
      <c r="J1307" s="547" t="n">
        <f aca="false">F1307*G1307</f>
        <v>563570</v>
      </c>
      <c r="K1307" s="1365" t="n">
        <f aca="false">J1307/1792.8</f>
        <v>314.351851851852</v>
      </c>
      <c r="L1307" s="547" t="n">
        <v>150</v>
      </c>
      <c r="M1307" s="819" t="n">
        <f aca="false">K1307*L1307/60</f>
        <v>785.87962962963</v>
      </c>
    </row>
    <row r="1308" customFormat="false" ht="15" hidden="false" customHeight="false" outlineLevel="0" collapsed="false">
      <c r="A1308" s="216"/>
      <c r="B1308" s="78"/>
      <c r="C1308" s="1161" t="s">
        <v>6934</v>
      </c>
      <c r="D1308" s="912" t="n">
        <v>2007</v>
      </c>
      <c r="E1308" s="317" t="n">
        <f aca="false">2021-D1308</f>
        <v>14</v>
      </c>
      <c r="F1308" s="873" t="n">
        <v>491000</v>
      </c>
      <c r="G1308" s="1413" t="n">
        <v>0.1</v>
      </c>
      <c r="H1308" s="547" t="n">
        <f aca="false">E1308*F1308*G1308</f>
        <v>687400</v>
      </c>
      <c r="I1308" s="547" t="n">
        <f aca="false">F1308-H1308</f>
        <v>-196400</v>
      </c>
      <c r="J1308" s="547" t="n">
        <f aca="false">F1308*G1308</f>
        <v>49100</v>
      </c>
      <c r="K1308" s="1365" t="n">
        <f aca="false">J1308/1792.8</f>
        <v>27.3873270861223</v>
      </c>
      <c r="L1308" s="547" t="n">
        <v>10</v>
      </c>
      <c r="M1308" s="819" t="n">
        <f aca="false">K1308*L1308/60</f>
        <v>4.56455451435371</v>
      </c>
    </row>
    <row r="1309" customFormat="false" ht="15" hidden="false" customHeight="false" outlineLevel="0" collapsed="false">
      <c r="A1309" s="216"/>
      <c r="B1309" s="972" t="s">
        <v>4128</v>
      </c>
      <c r="C1309" s="1160"/>
      <c r="D1309" s="391"/>
      <c r="E1309" s="317"/>
      <c r="F1309" s="714"/>
      <c r="G1309" s="1414"/>
      <c r="H1309" s="547"/>
      <c r="I1309" s="547"/>
      <c r="J1309" s="547"/>
      <c r="K1309" s="1365" t="n">
        <f aca="false">J1309/1792.8</f>
        <v>0</v>
      </c>
      <c r="L1309" s="714"/>
      <c r="M1309" s="934" t="n">
        <f aca="false">M1306+M1307+M1308</f>
        <v>797.792605607616</v>
      </c>
    </row>
    <row r="1310" customFormat="false" ht="15" hidden="false" customHeight="false" outlineLevel="0" collapsed="false">
      <c r="A1310" s="216" t="s">
        <v>7041</v>
      </c>
      <c r="B1310" s="40" t="s">
        <v>3227</v>
      </c>
      <c r="C1310" s="1161" t="s">
        <v>4568</v>
      </c>
      <c r="D1310" s="912" t="n">
        <v>2007</v>
      </c>
      <c r="E1310" s="317" t="n">
        <f aca="false">2021-D1310</f>
        <v>14</v>
      </c>
      <c r="F1310" s="873" t="n">
        <v>5635700</v>
      </c>
      <c r="G1310" s="1413" t="n">
        <v>0.1</v>
      </c>
      <c r="H1310" s="547" t="n">
        <f aca="false">E1310*F1310*G1310</f>
        <v>7889980</v>
      </c>
      <c r="I1310" s="547" t="n">
        <f aca="false">F1310-H1310</f>
        <v>-2254280</v>
      </c>
      <c r="J1310" s="547" t="n">
        <f aca="false">F1310*G1310</f>
        <v>563570</v>
      </c>
      <c r="K1310" s="1365" t="n">
        <f aca="false">J1310/1792.8</f>
        <v>314.351851851852</v>
      </c>
      <c r="L1310" s="547" t="n">
        <v>60</v>
      </c>
      <c r="M1310" s="819" t="n">
        <f aca="false">K1310*L1310/60</f>
        <v>314.351851851852</v>
      </c>
    </row>
    <row r="1311" s="311" customFormat="true" ht="15" hidden="false" customHeight="false" outlineLevel="0" collapsed="false">
      <c r="A1311" s="309"/>
      <c r="C1311" s="1161" t="s">
        <v>6934</v>
      </c>
      <c r="D1311" s="912" t="n">
        <v>2007</v>
      </c>
      <c r="E1311" s="317" t="n">
        <f aca="false">2021-D1311</f>
        <v>14</v>
      </c>
      <c r="F1311" s="873" t="n">
        <v>491000</v>
      </c>
      <c r="G1311" s="1413" t="n">
        <v>0.1</v>
      </c>
      <c r="H1311" s="547" t="n">
        <f aca="false">E1311*F1311*G1311</f>
        <v>687400</v>
      </c>
      <c r="I1311" s="547" t="n">
        <f aca="false">F1311-H1311</f>
        <v>-196400</v>
      </c>
      <c r="J1311" s="547" t="n">
        <f aca="false">F1311*G1311</f>
        <v>49100</v>
      </c>
      <c r="K1311" s="1365" t="n">
        <f aca="false">J1311/1792.8</f>
        <v>27.3873270861223</v>
      </c>
      <c r="L1311" s="547" t="n">
        <v>10</v>
      </c>
      <c r="M1311" s="819" t="n">
        <f aca="false">K1311*L1311/60</f>
        <v>4.56455451435371</v>
      </c>
    </row>
    <row r="1312" customFormat="false" ht="15" hidden="false" customHeight="false" outlineLevel="0" collapsed="false">
      <c r="A1312" s="216"/>
      <c r="B1312" s="972" t="s">
        <v>4128</v>
      </c>
      <c r="C1312" s="1160"/>
      <c r="D1312" s="391"/>
      <c r="E1312" s="317"/>
      <c r="F1312" s="714"/>
      <c r="G1312" s="1414"/>
      <c r="H1312" s="547"/>
      <c r="I1312" s="547"/>
      <c r="J1312" s="547"/>
      <c r="K1312" s="1365" t="n">
        <f aca="false">J1312/1792.8</f>
        <v>0</v>
      </c>
      <c r="L1312" s="714"/>
      <c r="M1312" s="934" t="n">
        <f aca="false">M1310+M1311</f>
        <v>318.916406366206</v>
      </c>
    </row>
    <row r="1313" customFormat="false" ht="15" hidden="false" customHeight="false" outlineLevel="0" collapsed="false">
      <c r="A1313" s="15" t="s">
        <v>4968</v>
      </c>
      <c r="B1313" s="16" t="s">
        <v>7042</v>
      </c>
      <c r="C1313" s="16"/>
      <c r="D1313" s="339"/>
      <c r="E1313" s="1389"/>
      <c r="F1313" s="751"/>
      <c r="G1313" s="751"/>
      <c r="H1313" s="751"/>
      <c r="I1313" s="751"/>
      <c r="J1313" s="751"/>
      <c r="K1313" s="751"/>
      <c r="L1313" s="751"/>
      <c r="M1313" s="818"/>
    </row>
    <row r="1314" customFormat="false" ht="30" hidden="false" customHeight="false" outlineLevel="0" collapsed="false">
      <c r="A1314" s="216" t="s">
        <v>4970</v>
      </c>
      <c r="B1314" s="29" t="s">
        <v>3010</v>
      </c>
      <c r="C1314" s="1161" t="s">
        <v>6984</v>
      </c>
      <c r="D1314" s="912" t="n">
        <v>2007</v>
      </c>
      <c r="E1314" s="317" t="n">
        <f aca="false">2021-D1314</f>
        <v>14</v>
      </c>
      <c r="F1314" s="547" t="n">
        <v>810000</v>
      </c>
      <c r="G1314" s="1413" t="n">
        <v>0.1</v>
      </c>
      <c r="H1314" s="547" t="n">
        <f aca="false">E1314*F1314*G1314</f>
        <v>1134000</v>
      </c>
      <c r="I1314" s="547" t="n">
        <f aca="false">F1314-H1314</f>
        <v>-324000</v>
      </c>
      <c r="J1314" s="547" t="n">
        <f aca="false">F1314*G1314</f>
        <v>81000</v>
      </c>
      <c r="K1314" s="1365" t="n">
        <f aca="false">J1314/1792.8</f>
        <v>45.1807228915663</v>
      </c>
      <c r="L1314" s="547" t="n">
        <v>10</v>
      </c>
      <c r="M1314" s="934" t="n">
        <f aca="false">K1314*L1314/60</f>
        <v>7.53012048192771</v>
      </c>
    </row>
    <row r="1315" customFormat="false" ht="15" hidden="false" customHeight="false" outlineLevel="0" collapsed="false">
      <c r="A1315" s="216" t="s">
        <v>4971</v>
      </c>
      <c r="B1315" s="29" t="s">
        <v>3084</v>
      </c>
      <c r="C1315" s="1161" t="s">
        <v>6973</v>
      </c>
      <c r="D1315" s="912" t="n">
        <v>2006</v>
      </c>
      <c r="E1315" s="317" t="n">
        <f aca="false">2021-D1315</f>
        <v>15</v>
      </c>
      <c r="F1315" s="547" t="n">
        <v>190000</v>
      </c>
      <c r="G1315" s="1413" t="n">
        <v>0.1</v>
      </c>
      <c r="H1315" s="547" t="n">
        <f aca="false">E1315*F1315*G1315</f>
        <v>285000</v>
      </c>
      <c r="I1315" s="547" t="n">
        <f aca="false">F1315-H1315</f>
        <v>-95000</v>
      </c>
      <c r="J1315" s="547" t="n">
        <f aca="false">F1315*G1315</f>
        <v>19000</v>
      </c>
      <c r="K1315" s="1365" t="n">
        <f aca="false">J1315/1792.8</f>
        <v>10.5979473449353</v>
      </c>
      <c r="L1315" s="547" t="n">
        <v>30</v>
      </c>
      <c r="M1315" s="819" t="n">
        <f aca="false">K1315*L1315/60</f>
        <v>5.29897367246765</v>
      </c>
    </row>
    <row r="1316" customFormat="false" ht="15" hidden="false" customHeight="false" outlineLevel="0" collapsed="false">
      <c r="A1316" s="216"/>
      <c r="B1316" s="78"/>
      <c r="C1316" s="1161" t="s">
        <v>6934</v>
      </c>
      <c r="D1316" s="912" t="n">
        <v>2007</v>
      </c>
      <c r="E1316" s="317" t="n">
        <f aca="false">2021-D1316</f>
        <v>14</v>
      </c>
      <c r="F1316" s="873" t="n">
        <v>491000</v>
      </c>
      <c r="G1316" s="1413" t="n">
        <v>0.1</v>
      </c>
      <c r="H1316" s="547" t="n">
        <f aca="false">E1316*F1316*G1316</f>
        <v>687400</v>
      </c>
      <c r="I1316" s="547" t="n">
        <f aca="false">F1316-H1316</f>
        <v>-196400</v>
      </c>
      <c r="J1316" s="547" t="n">
        <f aca="false">F1316*G1316</f>
        <v>49100</v>
      </c>
      <c r="K1316" s="1365" t="n">
        <f aca="false">J1316/1792.8</f>
        <v>27.3873270861223</v>
      </c>
      <c r="L1316" s="547" t="n">
        <v>10</v>
      </c>
      <c r="M1316" s="819" t="n">
        <f aca="false">K1316*L1316/60</f>
        <v>4.56455451435371</v>
      </c>
    </row>
    <row r="1317" customFormat="false" ht="15" hidden="false" customHeight="false" outlineLevel="0" collapsed="false">
      <c r="A1317" s="216"/>
      <c r="B1317" s="972" t="s">
        <v>4128</v>
      </c>
      <c r="C1317" s="1160"/>
      <c r="D1317" s="391"/>
      <c r="E1317" s="317"/>
      <c r="F1317" s="714"/>
      <c r="G1317" s="1414"/>
      <c r="H1317" s="547"/>
      <c r="I1317" s="547"/>
      <c r="J1317" s="547"/>
      <c r="K1317" s="1365" t="n">
        <f aca="false">J1317/1792.8</f>
        <v>0</v>
      </c>
      <c r="L1317" s="714"/>
      <c r="M1317" s="934" t="n">
        <f aca="false">M1315+M1316</f>
        <v>9.86352818682136</v>
      </c>
    </row>
    <row r="1318" customFormat="false" ht="30" hidden="false" customHeight="false" outlineLevel="0" collapsed="false">
      <c r="A1318" s="216" t="s">
        <v>848</v>
      </c>
      <c r="B1318" s="29" t="s">
        <v>3085</v>
      </c>
      <c r="C1318" s="1161" t="s">
        <v>6973</v>
      </c>
      <c r="D1318" s="912" t="n">
        <v>2006</v>
      </c>
      <c r="E1318" s="317" t="n">
        <f aca="false">2021-D1318</f>
        <v>15</v>
      </c>
      <c r="F1318" s="547" t="n">
        <v>190000</v>
      </c>
      <c r="G1318" s="1413" t="n">
        <v>0.1</v>
      </c>
      <c r="H1318" s="547" t="n">
        <f aca="false">E1318*F1318*G1318</f>
        <v>285000</v>
      </c>
      <c r="I1318" s="547" t="n">
        <f aca="false">F1318-H1318</f>
        <v>-95000</v>
      </c>
      <c r="J1318" s="547" t="n">
        <f aca="false">F1318*G1318</f>
        <v>19000</v>
      </c>
      <c r="K1318" s="1365" t="n">
        <f aca="false">J1318/1792.8</f>
        <v>10.5979473449353</v>
      </c>
      <c r="L1318" s="547" t="n">
        <v>30</v>
      </c>
      <c r="M1318" s="819" t="n">
        <f aca="false">K1318*L1318/60</f>
        <v>5.29897367246765</v>
      </c>
    </row>
    <row r="1319" customFormat="false" ht="15" hidden="false" customHeight="false" outlineLevel="0" collapsed="false">
      <c r="A1319" s="216"/>
      <c r="B1319" s="78"/>
      <c r="C1319" s="1161" t="s">
        <v>6934</v>
      </c>
      <c r="D1319" s="912" t="n">
        <v>2007</v>
      </c>
      <c r="E1319" s="317" t="n">
        <f aca="false">2021-D1319</f>
        <v>14</v>
      </c>
      <c r="F1319" s="873" t="n">
        <v>491000</v>
      </c>
      <c r="G1319" s="1413" t="n">
        <v>0.1</v>
      </c>
      <c r="H1319" s="547" t="n">
        <f aca="false">E1319*F1319*G1319</f>
        <v>687400</v>
      </c>
      <c r="I1319" s="547" t="n">
        <f aca="false">F1319-H1319</f>
        <v>-196400</v>
      </c>
      <c r="J1319" s="547" t="n">
        <f aca="false">F1319*G1319</f>
        <v>49100</v>
      </c>
      <c r="K1319" s="1365" t="n">
        <f aca="false">J1319/1792.8</f>
        <v>27.3873270861223</v>
      </c>
      <c r="L1319" s="547" t="n">
        <v>10</v>
      </c>
      <c r="M1319" s="819" t="n">
        <f aca="false">K1319*L1319/60</f>
        <v>4.56455451435371</v>
      </c>
    </row>
    <row r="1320" customFormat="false" ht="15" hidden="false" customHeight="false" outlineLevel="0" collapsed="false">
      <c r="A1320" s="216"/>
      <c r="B1320" s="972" t="s">
        <v>4128</v>
      </c>
      <c r="C1320" s="1160"/>
      <c r="D1320" s="391"/>
      <c r="E1320" s="317"/>
      <c r="F1320" s="714"/>
      <c r="G1320" s="1414"/>
      <c r="H1320" s="547"/>
      <c r="I1320" s="547"/>
      <c r="J1320" s="547"/>
      <c r="K1320" s="1365" t="n">
        <f aca="false">J1320/1792.8</f>
        <v>0</v>
      </c>
      <c r="L1320" s="714"/>
      <c r="M1320" s="934" t="n">
        <f aca="false">M1318+M1319</f>
        <v>9.86352818682136</v>
      </c>
    </row>
    <row r="1321" customFormat="false" ht="30" hidden="false" customHeight="false" outlineLevel="0" collapsed="false">
      <c r="A1321" s="216" t="s">
        <v>7043</v>
      </c>
      <c r="B1321" s="29" t="s">
        <v>3161</v>
      </c>
      <c r="C1321" s="1161" t="s">
        <v>6976</v>
      </c>
      <c r="D1321" s="912" t="n">
        <v>2005</v>
      </c>
      <c r="E1321" s="317" t="n">
        <f aca="false">2021-D1321</f>
        <v>16</v>
      </c>
      <c r="F1321" s="547" t="n">
        <v>65500</v>
      </c>
      <c r="G1321" s="1413" t="n">
        <v>0.1</v>
      </c>
      <c r="H1321" s="547" t="n">
        <f aca="false">E1321*F1321*G1321</f>
        <v>104800</v>
      </c>
      <c r="I1321" s="547" t="n">
        <f aca="false">F1321-H1321</f>
        <v>-39300</v>
      </c>
      <c r="J1321" s="547" t="n">
        <f aca="false">F1321*G1321</f>
        <v>6550</v>
      </c>
      <c r="K1321" s="1365" t="n">
        <f aca="false">J1321/1792.8</f>
        <v>3.65350290049085</v>
      </c>
      <c r="L1321" s="547" t="n">
        <v>30</v>
      </c>
      <c r="M1321" s="934" t="n">
        <f aca="false">K1321*L1321/60</f>
        <v>1.82675145024543</v>
      </c>
    </row>
    <row r="1322" customFormat="false" ht="15" hidden="false" customHeight="false" outlineLevel="0" collapsed="false">
      <c r="A1322" s="216" t="s">
        <v>850</v>
      </c>
      <c r="B1322" s="29" t="s">
        <v>3059</v>
      </c>
      <c r="C1322" s="1161" t="s">
        <v>6934</v>
      </c>
      <c r="D1322" s="912" t="n">
        <v>2007</v>
      </c>
      <c r="E1322" s="317" t="n">
        <f aca="false">2021-D1322</f>
        <v>14</v>
      </c>
      <c r="F1322" s="873" t="n">
        <v>491000</v>
      </c>
      <c r="G1322" s="1413" t="n">
        <v>0.1</v>
      </c>
      <c r="H1322" s="547" t="n">
        <f aca="false">E1322*F1322*G1322</f>
        <v>687400</v>
      </c>
      <c r="I1322" s="547" t="n">
        <f aca="false">F1322-H1322</f>
        <v>-196400</v>
      </c>
      <c r="J1322" s="547" t="n">
        <f aca="false">F1322*G1322</f>
        <v>49100</v>
      </c>
      <c r="K1322" s="1365" t="n">
        <f aca="false">J1322/1792.8</f>
        <v>27.3873270861223</v>
      </c>
      <c r="L1322" s="547" t="n">
        <v>10</v>
      </c>
      <c r="M1322" s="819" t="n">
        <f aca="false">K1322*L1322/60</f>
        <v>4.56455451435371</v>
      </c>
    </row>
    <row r="1323" customFormat="false" ht="15" hidden="false" customHeight="false" outlineLevel="0" collapsed="false">
      <c r="A1323" s="216"/>
      <c r="B1323" s="78"/>
      <c r="C1323" s="1161" t="s">
        <v>6976</v>
      </c>
      <c r="D1323" s="912" t="n">
        <v>2005</v>
      </c>
      <c r="E1323" s="317" t="n">
        <f aca="false">2021-D1323</f>
        <v>16</v>
      </c>
      <c r="F1323" s="547" t="n">
        <v>65500</v>
      </c>
      <c r="G1323" s="1413" t="n">
        <v>0.1</v>
      </c>
      <c r="H1323" s="547" t="n">
        <f aca="false">E1323*F1323*G1323</f>
        <v>104800</v>
      </c>
      <c r="I1323" s="547" t="n">
        <f aca="false">F1323-H1323</f>
        <v>-39300</v>
      </c>
      <c r="J1323" s="547" t="n">
        <f aca="false">F1323*G1323</f>
        <v>6550</v>
      </c>
      <c r="K1323" s="1365" t="n">
        <f aca="false">J1323/1792.8</f>
        <v>3.65350290049085</v>
      </c>
      <c r="L1323" s="547" t="n">
        <v>30</v>
      </c>
      <c r="M1323" s="819" t="n">
        <f aca="false">K1323*L1323/60</f>
        <v>1.82675145024543</v>
      </c>
    </row>
    <row r="1324" customFormat="false" ht="15" hidden="false" customHeight="false" outlineLevel="0" collapsed="false">
      <c r="A1324" s="216"/>
      <c r="B1324" s="972" t="s">
        <v>4128</v>
      </c>
      <c r="C1324" s="1160"/>
      <c r="D1324" s="391"/>
      <c r="E1324" s="317"/>
      <c r="F1324" s="714"/>
      <c r="G1324" s="1414"/>
      <c r="H1324" s="547"/>
      <c r="I1324" s="547"/>
      <c r="J1324" s="547"/>
      <c r="K1324" s="1365" t="n">
        <f aca="false">J1324/1792.8</f>
        <v>0</v>
      </c>
      <c r="L1324" s="714"/>
      <c r="M1324" s="934" t="n">
        <f aca="false">M1322+M1323</f>
        <v>6.39130596459914</v>
      </c>
    </row>
    <row r="1325" customFormat="false" ht="15" hidden="false" customHeight="false" outlineLevel="0" collapsed="false">
      <c r="A1325" s="216" t="s">
        <v>851</v>
      </c>
      <c r="B1325" s="29" t="s">
        <v>2964</v>
      </c>
      <c r="C1325" s="1161" t="s">
        <v>6934</v>
      </c>
      <c r="D1325" s="912" t="n">
        <v>2007</v>
      </c>
      <c r="E1325" s="317" t="n">
        <f aca="false">2021-D1325</f>
        <v>14</v>
      </c>
      <c r="F1325" s="873" t="n">
        <v>491000</v>
      </c>
      <c r="G1325" s="1413" t="n">
        <v>0.1</v>
      </c>
      <c r="H1325" s="547" t="n">
        <f aca="false">E1325*F1325*G1325</f>
        <v>687400</v>
      </c>
      <c r="I1325" s="547" t="n">
        <f aca="false">F1325-H1325</f>
        <v>-196400</v>
      </c>
      <c r="J1325" s="547" t="n">
        <f aca="false">F1325*G1325</f>
        <v>49100</v>
      </c>
      <c r="K1325" s="1365" t="n">
        <f aca="false">J1325/1792.8</f>
        <v>27.3873270861223</v>
      </c>
      <c r="L1325" s="547" t="n">
        <v>10</v>
      </c>
      <c r="M1325" s="819" t="n">
        <f aca="false">K1325*L1325/60</f>
        <v>4.56455451435371</v>
      </c>
    </row>
    <row r="1326" customFormat="false" ht="15" hidden="false" customHeight="false" outlineLevel="0" collapsed="false">
      <c r="A1326" s="216"/>
      <c r="B1326" s="78"/>
      <c r="C1326" s="1161" t="s">
        <v>7035</v>
      </c>
      <c r="D1326" s="912" t="n">
        <v>2007</v>
      </c>
      <c r="E1326" s="317" t="n">
        <f aca="false">2021-D1326</f>
        <v>14</v>
      </c>
      <c r="F1326" s="547" t="n">
        <v>52095</v>
      </c>
      <c r="G1326" s="1413" t="n">
        <v>0.1</v>
      </c>
      <c r="H1326" s="547" t="n">
        <f aca="false">E1326*F1326*G1326</f>
        <v>72933</v>
      </c>
      <c r="I1326" s="547" t="n">
        <f aca="false">F1326-H1326</f>
        <v>-20838</v>
      </c>
      <c r="J1326" s="547" t="n">
        <f aca="false">F1326*G1326</f>
        <v>5209.5</v>
      </c>
      <c r="K1326" s="1365" t="n">
        <f aca="false">J1326/1792.8</f>
        <v>2.90578982597055</v>
      </c>
      <c r="L1326" s="547" t="n">
        <v>25</v>
      </c>
      <c r="M1326" s="819" t="n">
        <f aca="false">K1326*L1326/60</f>
        <v>1.21074576082106</v>
      </c>
    </row>
    <row r="1327" customFormat="false" ht="15" hidden="false" customHeight="false" outlineLevel="0" collapsed="false">
      <c r="A1327" s="216"/>
      <c r="B1327" s="972" t="s">
        <v>4128</v>
      </c>
      <c r="C1327" s="1160"/>
      <c r="D1327" s="391"/>
      <c r="E1327" s="317"/>
      <c r="F1327" s="714"/>
      <c r="G1327" s="1414"/>
      <c r="H1327" s="547"/>
      <c r="I1327" s="547"/>
      <c r="J1327" s="547"/>
      <c r="K1327" s="1365" t="n">
        <f aca="false">J1327/1792.8</f>
        <v>0</v>
      </c>
      <c r="L1327" s="714"/>
      <c r="M1327" s="934" t="n">
        <f aca="false">M1325+M1326</f>
        <v>5.77530027517477</v>
      </c>
    </row>
    <row r="1328" customFormat="false" ht="15" hidden="false" customHeight="false" outlineLevel="0" collapsed="false">
      <c r="A1328" s="216" t="s">
        <v>852</v>
      </c>
      <c r="B1328" s="29" t="s">
        <v>3126</v>
      </c>
      <c r="C1328" s="1161" t="s">
        <v>6975</v>
      </c>
      <c r="D1328" s="912" t="n">
        <v>2006</v>
      </c>
      <c r="E1328" s="317" t="n">
        <f aca="false">2021-D1328</f>
        <v>15</v>
      </c>
      <c r="F1328" s="547" t="n">
        <v>147200</v>
      </c>
      <c r="G1328" s="1413" t="n">
        <v>0.1</v>
      </c>
      <c r="H1328" s="547" t="n">
        <f aca="false">E1328*F1328*G1328</f>
        <v>220800</v>
      </c>
      <c r="I1328" s="547" t="n">
        <f aca="false">F1328-H1328</f>
        <v>-73600</v>
      </c>
      <c r="J1328" s="547" t="n">
        <f aca="false">F1328*G1328</f>
        <v>14720</v>
      </c>
      <c r="K1328" s="1365" t="n">
        <f aca="false">J1328/1792.8</f>
        <v>8.21062025881303</v>
      </c>
      <c r="L1328" s="547" t="n">
        <v>30</v>
      </c>
      <c r="M1328" s="819" t="n">
        <f aca="false">K1328*L1328/60</f>
        <v>4.10531012940652</v>
      </c>
    </row>
    <row r="1329" customFormat="false" ht="15" hidden="false" customHeight="false" outlineLevel="0" collapsed="false">
      <c r="A1329" s="216"/>
      <c r="B1329" s="78"/>
      <c r="C1329" s="1161" t="s">
        <v>6934</v>
      </c>
      <c r="D1329" s="912" t="n">
        <v>2007</v>
      </c>
      <c r="E1329" s="317" t="n">
        <f aca="false">2021-D1329</f>
        <v>14</v>
      </c>
      <c r="F1329" s="873" t="n">
        <v>491000</v>
      </c>
      <c r="G1329" s="1413" t="n">
        <v>0.1</v>
      </c>
      <c r="H1329" s="547" t="n">
        <f aca="false">E1329*F1329*G1329</f>
        <v>687400</v>
      </c>
      <c r="I1329" s="547" t="n">
        <f aca="false">F1329-H1329</f>
        <v>-196400</v>
      </c>
      <c r="J1329" s="547" t="n">
        <f aca="false">F1329*G1329</f>
        <v>49100</v>
      </c>
      <c r="K1329" s="1365" t="n">
        <f aca="false">J1329/1792.8</f>
        <v>27.3873270861223</v>
      </c>
      <c r="L1329" s="547" t="n">
        <v>10</v>
      </c>
      <c r="M1329" s="819" t="n">
        <f aca="false">K1329*L1329/60</f>
        <v>4.56455451435371</v>
      </c>
    </row>
    <row r="1330" customFormat="false" ht="15" hidden="false" customHeight="false" outlineLevel="0" collapsed="false">
      <c r="A1330" s="216"/>
      <c r="B1330" s="972" t="s">
        <v>4128</v>
      </c>
      <c r="C1330" s="1160"/>
      <c r="D1330" s="391"/>
      <c r="E1330" s="317"/>
      <c r="F1330" s="714"/>
      <c r="G1330" s="1414"/>
      <c r="H1330" s="547"/>
      <c r="I1330" s="547"/>
      <c r="J1330" s="547"/>
      <c r="K1330" s="1365" t="n">
        <f aca="false">J1330/1792.8</f>
        <v>0</v>
      </c>
      <c r="L1330" s="714"/>
      <c r="M1330" s="934" t="n">
        <f aca="false">M1328+M1329</f>
        <v>8.66986464376023</v>
      </c>
    </row>
    <row r="1331" customFormat="false" ht="30" hidden="false" customHeight="false" outlineLevel="0" collapsed="false">
      <c r="A1331" s="216" t="s">
        <v>853</v>
      </c>
      <c r="B1331" s="29" t="s">
        <v>3224</v>
      </c>
      <c r="C1331" s="1161" t="s">
        <v>6934</v>
      </c>
      <c r="D1331" s="912" t="n">
        <v>2007</v>
      </c>
      <c r="E1331" s="317" t="n">
        <f aca="false">2021-D1331</f>
        <v>14</v>
      </c>
      <c r="F1331" s="873" t="n">
        <v>491000</v>
      </c>
      <c r="G1331" s="1413" t="n">
        <v>0.1</v>
      </c>
      <c r="H1331" s="547" t="n">
        <f aca="false">E1331*F1331*G1331</f>
        <v>687400</v>
      </c>
      <c r="I1331" s="547" t="n">
        <f aca="false">F1331-H1331</f>
        <v>-196400</v>
      </c>
      <c r="J1331" s="547" t="n">
        <f aca="false">F1331*G1331</f>
        <v>49100</v>
      </c>
      <c r="K1331" s="1365" t="n">
        <f aca="false">J1331/1792.8</f>
        <v>27.3873270861223</v>
      </c>
      <c r="L1331" s="547" t="n">
        <v>10</v>
      </c>
      <c r="M1331" s="934" t="n">
        <f aca="false">K1331*L1331/60</f>
        <v>4.56455451435371</v>
      </c>
    </row>
    <row r="1332" customFormat="false" ht="15" hidden="false" customHeight="false" outlineLevel="0" collapsed="false">
      <c r="A1332" s="216" t="s">
        <v>7044</v>
      </c>
      <c r="B1332" s="29" t="s">
        <v>3103</v>
      </c>
      <c r="C1332" s="1161" t="s">
        <v>4568</v>
      </c>
      <c r="D1332" s="912" t="n">
        <v>2007</v>
      </c>
      <c r="E1332" s="317" t="n">
        <f aca="false">2021-D1332</f>
        <v>14</v>
      </c>
      <c r="F1332" s="873" t="n">
        <v>5635700</v>
      </c>
      <c r="G1332" s="1413" t="n">
        <v>0.1</v>
      </c>
      <c r="H1332" s="547" t="n">
        <f aca="false">E1332*F1332*G1332</f>
        <v>7889980</v>
      </c>
      <c r="I1332" s="547" t="n">
        <f aca="false">F1332-H1332</f>
        <v>-2254280</v>
      </c>
      <c r="J1332" s="547" t="n">
        <f aca="false">F1332*G1332</f>
        <v>563570</v>
      </c>
      <c r="K1332" s="1365" t="n">
        <f aca="false">J1332/1792.8</f>
        <v>314.351851851852</v>
      </c>
      <c r="L1332" s="547" t="n">
        <v>90</v>
      </c>
      <c r="M1332" s="819" t="n">
        <f aca="false">K1332*L1332/60</f>
        <v>471.527777777778</v>
      </c>
    </row>
    <row r="1333" customFormat="false" ht="15" hidden="false" customHeight="false" outlineLevel="0" collapsed="false">
      <c r="A1333" s="216"/>
      <c r="B1333" s="78"/>
      <c r="C1333" s="1161" t="s">
        <v>6975</v>
      </c>
      <c r="D1333" s="912" t="n">
        <v>2006</v>
      </c>
      <c r="E1333" s="317" t="n">
        <f aca="false">2021-D1333</f>
        <v>15</v>
      </c>
      <c r="F1333" s="547" t="n">
        <v>147200</v>
      </c>
      <c r="G1333" s="1413" t="n">
        <v>0.1</v>
      </c>
      <c r="H1333" s="547" t="n">
        <f aca="false">E1333*F1333*G1333</f>
        <v>220800</v>
      </c>
      <c r="I1333" s="547" t="n">
        <f aca="false">F1333-H1333</f>
        <v>-73600</v>
      </c>
      <c r="J1333" s="547" t="n">
        <f aca="false">F1333*G1333</f>
        <v>14720</v>
      </c>
      <c r="K1333" s="1365" t="n">
        <f aca="false">J1333/1792.8</f>
        <v>8.21062025881303</v>
      </c>
      <c r="L1333" s="547" t="n">
        <v>30</v>
      </c>
      <c r="M1333" s="819" t="n">
        <f aca="false">K1333*L1333/60</f>
        <v>4.10531012940652</v>
      </c>
    </row>
    <row r="1334" customFormat="false" ht="15" hidden="false" customHeight="false" outlineLevel="0" collapsed="false">
      <c r="A1334" s="216"/>
      <c r="B1334" s="78"/>
      <c r="C1334" s="1161" t="s">
        <v>6979</v>
      </c>
      <c r="D1334" s="912" t="n">
        <v>2005</v>
      </c>
      <c r="E1334" s="317" t="n">
        <f aca="false">2021-D1334</f>
        <v>16</v>
      </c>
      <c r="F1334" s="547" t="n">
        <v>1400000</v>
      </c>
      <c r="G1334" s="1413" t="n">
        <v>0.1</v>
      </c>
      <c r="H1334" s="547" t="n">
        <f aca="false">E1334*F1334*G1334</f>
        <v>2240000</v>
      </c>
      <c r="I1334" s="547" t="n">
        <f aca="false">F1334-H1334</f>
        <v>-840000</v>
      </c>
      <c r="J1334" s="547" t="n">
        <f aca="false">F1334*G1334</f>
        <v>140000</v>
      </c>
      <c r="K1334" s="1365" t="n">
        <f aca="false">J1334/1792.8</f>
        <v>78.0901383311022</v>
      </c>
      <c r="L1334" s="547" t="n">
        <v>30</v>
      </c>
      <c r="M1334" s="819" t="n">
        <f aca="false">K1334*L1334/60</f>
        <v>39.0450691655511</v>
      </c>
    </row>
    <row r="1335" customFormat="false" ht="15" hidden="false" customHeight="false" outlineLevel="0" collapsed="false">
      <c r="A1335" s="216"/>
      <c r="B1335" s="78"/>
      <c r="C1335" s="1161" t="s">
        <v>6934</v>
      </c>
      <c r="D1335" s="912" t="n">
        <v>2007</v>
      </c>
      <c r="E1335" s="317" t="n">
        <f aca="false">2021-D1335</f>
        <v>14</v>
      </c>
      <c r="F1335" s="873" t="n">
        <v>491000</v>
      </c>
      <c r="G1335" s="1413" t="n">
        <v>0.1</v>
      </c>
      <c r="H1335" s="547" t="n">
        <f aca="false">E1335*F1335*G1335</f>
        <v>687400</v>
      </c>
      <c r="I1335" s="547" t="n">
        <f aca="false">F1335-H1335</f>
        <v>-196400</v>
      </c>
      <c r="J1335" s="547" t="n">
        <f aca="false">F1335*G1335</f>
        <v>49100</v>
      </c>
      <c r="K1335" s="1365" t="n">
        <f aca="false">J1335/1792.8</f>
        <v>27.3873270861223</v>
      </c>
      <c r="L1335" s="547" t="n">
        <v>10</v>
      </c>
      <c r="M1335" s="819" t="n">
        <f aca="false">K1335*L1335/60</f>
        <v>4.56455451435371</v>
      </c>
    </row>
    <row r="1336" customFormat="false" ht="15" hidden="false" customHeight="false" outlineLevel="0" collapsed="false">
      <c r="A1336" s="216"/>
      <c r="B1336" s="972" t="s">
        <v>4128</v>
      </c>
      <c r="C1336" s="1160"/>
      <c r="D1336" s="391"/>
      <c r="E1336" s="317"/>
      <c r="F1336" s="714"/>
      <c r="G1336" s="1414"/>
      <c r="H1336" s="547"/>
      <c r="I1336" s="547"/>
      <c r="J1336" s="547"/>
      <c r="K1336" s="1365" t="n">
        <f aca="false">J1336/1792.8</f>
        <v>0</v>
      </c>
      <c r="L1336" s="714"/>
      <c r="M1336" s="934" t="n">
        <f aca="false">M1332+M1333+M1334+M1335</f>
        <v>519.242711587089</v>
      </c>
    </row>
    <row r="1337" customFormat="false" ht="15" hidden="false" customHeight="false" outlineLevel="0" collapsed="false">
      <c r="A1337" s="216" t="s">
        <v>855</v>
      </c>
      <c r="B1337" s="29" t="s">
        <v>3148</v>
      </c>
      <c r="C1337" s="1161" t="s">
        <v>6974</v>
      </c>
      <c r="D1337" s="912" t="n">
        <v>2006</v>
      </c>
      <c r="E1337" s="317" t="n">
        <f aca="false">2021-D1337</f>
        <v>15</v>
      </c>
      <c r="F1337" s="547" t="n">
        <v>526970</v>
      </c>
      <c r="G1337" s="1413" t="n">
        <v>0.1</v>
      </c>
      <c r="H1337" s="547" t="n">
        <f aca="false">E1337*F1337*G1337</f>
        <v>790455</v>
      </c>
      <c r="I1337" s="547" t="n">
        <f aca="false">F1337-H1337</f>
        <v>-263485</v>
      </c>
      <c r="J1337" s="547" t="n">
        <f aca="false">F1337*G1337</f>
        <v>52697</v>
      </c>
      <c r="K1337" s="1365" t="n">
        <f aca="false">J1337/1792.8</f>
        <v>29.3936858545292</v>
      </c>
      <c r="L1337" s="547" t="n">
        <v>15</v>
      </c>
      <c r="M1337" s="819" t="n">
        <f aca="false">K1337*L1337/60</f>
        <v>7.34842146363231</v>
      </c>
    </row>
    <row r="1338" customFormat="false" ht="15" hidden="false" customHeight="false" outlineLevel="0" collapsed="false">
      <c r="A1338" s="216"/>
      <c r="B1338" s="78"/>
      <c r="C1338" s="1161" t="s">
        <v>4568</v>
      </c>
      <c r="D1338" s="912" t="n">
        <v>2007</v>
      </c>
      <c r="E1338" s="317" t="n">
        <f aca="false">2021-D1338</f>
        <v>14</v>
      </c>
      <c r="F1338" s="873" t="n">
        <v>5635700</v>
      </c>
      <c r="G1338" s="1413" t="n">
        <v>0.1</v>
      </c>
      <c r="H1338" s="547" t="n">
        <f aca="false">E1338*F1338*G1338</f>
        <v>7889980</v>
      </c>
      <c r="I1338" s="547" t="n">
        <f aca="false">F1338-H1338</f>
        <v>-2254280</v>
      </c>
      <c r="J1338" s="547" t="n">
        <f aca="false">F1338*G1338</f>
        <v>563570</v>
      </c>
      <c r="K1338" s="1365" t="n">
        <f aca="false">J1338/1792.8</f>
        <v>314.351851851852</v>
      </c>
      <c r="L1338" s="547" t="n">
        <v>90</v>
      </c>
      <c r="M1338" s="819" t="n">
        <f aca="false">K1338*L1338/60</f>
        <v>471.527777777778</v>
      </c>
    </row>
    <row r="1339" customFormat="false" ht="15" hidden="false" customHeight="false" outlineLevel="0" collapsed="false">
      <c r="A1339" s="216"/>
      <c r="B1339" s="78"/>
      <c r="C1339" s="1161" t="s">
        <v>6975</v>
      </c>
      <c r="D1339" s="912" t="n">
        <v>2006</v>
      </c>
      <c r="E1339" s="317" t="n">
        <f aca="false">2021-D1339</f>
        <v>15</v>
      </c>
      <c r="F1339" s="547" t="n">
        <v>147200</v>
      </c>
      <c r="G1339" s="1413" t="n">
        <v>0.1</v>
      </c>
      <c r="H1339" s="547" t="n">
        <f aca="false">E1339*F1339*G1339</f>
        <v>220800</v>
      </c>
      <c r="I1339" s="547" t="n">
        <f aca="false">F1339-H1339</f>
        <v>-73600</v>
      </c>
      <c r="J1339" s="547" t="n">
        <f aca="false">F1339*G1339</f>
        <v>14720</v>
      </c>
      <c r="K1339" s="1365" t="n">
        <f aca="false">J1339/1792.8</f>
        <v>8.21062025881303</v>
      </c>
      <c r="L1339" s="547" t="n">
        <v>30</v>
      </c>
      <c r="M1339" s="819" t="n">
        <f aca="false">K1339*L1339/60</f>
        <v>4.10531012940652</v>
      </c>
    </row>
    <row r="1340" customFormat="false" ht="15" hidden="false" customHeight="false" outlineLevel="0" collapsed="false">
      <c r="A1340" s="216"/>
      <c r="B1340" s="78"/>
      <c r="C1340" s="1161" t="s">
        <v>6979</v>
      </c>
      <c r="D1340" s="912" t="n">
        <v>2005</v>
      </c>
      <c r="E1340" s="317" t="n">
        <f aca="false">2021-D1340</f>
        <v>16</v>
      </c>
      <c r="F1340" s="547" t="n">
        <v>1400000</v>
      </c>
      <c r="G1340" s="1413" t="n">
        <v>0.1</v>
      </c>
      <c r="H1340" s="547" t="n">
        <f aca="false">E1340*F1340*G1340</f>
        <v>2240000</v>
      </c>
      <c r="I1340" s="547" t="n">
        <f aca="false">F1340-H1340</f>
        <v>-840000</v>
      </c>
      <c r="J1340" s="547" t="n">
        <f aca="false">F1340*G1340</f>
        <v>140000</v>
      </c>
      <c r="K1340" s="1365" t="n">
        <f aca="false">J1340/1792.8</f>
        <v>78.0901383311022</v>
      </c>
      <c r="L1340" s="547" t="n">
        <v>30</v>
      </c>
      <c r="M1340" s="819" t="n">
        <f aca="false">K1340*L1340/60</f>
        <v>39.0450691655511</v>
      </c>
    </row>
    <row r="1341" customFormat="false" ht="15" hidden="false" customHeight="false" outlineLevel="0" collapsed="false">
      <c r="A1341" s="216"/>
      <c r="B1341" s="78"/>
      <c r="C1341" s="1161" t="s">
        <v>6934</v>
      </c>
      <c r="D1341" s="912" t="n">
        <v>2007</v>
      </c>
      <c r="E1341" s="317" t="n">
        <f aca="false">2021-D1341</f>
        <v>14</v>
      </c>
      <c r="F1341" s="873" t="n">
        <v>491000</v>
      </c>
      <c r="G1341" s="1413" t="n">
        <v>0.1</v>
      </c>
      <c r="H1341" s="547" t="n">
        <f aca="false">E1341*F1341*G1341</f>
        <v>687400</v>
      </c>
      <c r="I1341" s="547" t="n">
        <f aca="false">F1341-H1341</f>
        <v>-196400</v>
      </c>
      <c r="J1341" s="547" t="n">
        <f aca="false">F1341*G1341</f>
        <v>49100</v>
      </c>
      <c r="K1341" s="1365" t="n">
        <f aca="false">J1341/1792.8</f>
        <v>27.3873270861223</v>
      </c>
      <c r="L1341" s="547" t="n">
        <v>10</v>
      </c>
      <c r="M1341" s="819" t="n">
        <f aca="false">K1341*L1341/60</f>
        <v>4.56455451435371</v>
      </c>
    </row>
    <row r="1342" customFormat="false" ht="15" hidden="false" customHeight="false" outlineLevel="0" collapsed="false">
      <c r="A1342" s="216"/>
      <c r="B1342" s="78"/>
      <c r="C1342" s="1161" t="s">
        <v>6943</v>
      </c>
      <c r="D1342" s="912" t="n">
        <v>2006</v>
      </c>
      <c r="E1342" s="317" t="n">
        <f aca="false">2021-D1342</f>
        <v>15</v>
      </c>
      <c r="F1342" s="547" t="n">
        <v>1503927</v>
      </c>
      <c r="G1342" s="1413" t="n">
        <v>0.1</v>
      </c>
      <c r="H1342" s="547" t="n">
        <f aca="false">E1342*F1342*G1342</f>
        <v>2255890.5</v>
      </c>
      <c r="I1342" s="547" t="n">
        <f aca="false">F1342-H1342</f>
        <v>-751963.5</v>
      </c>
      <c r="J1342" s="547" t="n">
        <f aca="false">F1342*G1342</f>
        <v>150392.7</v>
      </c>
      <c r="K1342" s="1365" t="n">
        <f aca="false">J1342/1792.8</f>
        <v>83.8870481927711</v>
      </c>
      <c r="L1342" s="547" t="n">
        <v>40</v>
      </c>
      <c r="M1342" s="819" t="n">
        <f aca="false">K1342*L1342/60</f>
        <v>55.9246987951807</v>
      </c>
    </row>
    <row r="1343" customFormat="false" ht="15" hidden="false" customHeight="false" outlineLevel="0" collapsed="false">
      <c r="A1343" s="216"/>
      <c r="B1343" s="972" t="s">
        <v>4128</v>
      </c>
      <c r="C1343" s="1160"/>
      <c r="D1343" s="391"/>
      <c r="E1343" s="317"/>
      <c r="F1343" s="714"/>
      <c r="G1343" s="1414"/>
      <c r="H1343" s="547"/>
      <c r="I1343" s="547"/>
      <c r="J1343" s="547"/>
      <c r="K1343" s="1365" t="n">
        <f aca="false">J1343/1792.8</f>
        <v>0</v>
      </c>
      <c r="L1343" s="714"/>
      <c r="M1343" s="934" t="n">
        <f aca="false">M1337+M1338+M1339+M1340+M1341+M1342</f>
        <v>582.515831845902</v>
      </c>
    </row>
    <row r="1344" customFormat="false" ht="15" hidden="false" customHeight="false" outlineLevel="0" collapsed="false">
      <c r="A1344" s="216" t="s">
        <v>856</v>
      </c>
      <c r="B1344" s="29" t="s">
        <v>3102</v>
      </c>
      <c r="C1344" s="1161" t="s">
        <v>4568</v>
      </c>
      <c r="D1344" s="912" t="n">
        <v>2007</v>
      </c>
      <c r="E1344" s="317" t="n">
        <f aca="false">2021-D1344</f>
        <v>14</v>
      </c>
      <c r="F1344" s="873" t="n">
        <v>5635700</v>
      </c>
      <c r="G1344" s="1413" t="n">
        <v>0.1</v>
      </c>
      <c r="H1344" s="547" t="n">
        <f aca="false">E1344*F1344*G1344</f>
        <v>7889980</v>
      </c>
      <c r="I1344" s="547" t="n">
        <f aca="false">F1344-H1344</f>
        <v>-2254280</v>
      </c>
      <c r="J1344" s="547" t="n">
        <f aca="false">F1344*G1344</f>
        <v>563570</v>
      </c>
      <c r="K1344" s="1365" t="n">
        <f aca="false">J1344/1792.8</f>
        <v>314.351851851852</v>
      </c>
      <c r="L1344" s="547" t="n">
        <v>90</v>
      </c>
      <c r="M1344" s="819" t="n">
        <f aca="false">K1344*L1344/60</f>
        <v>471.527777777778</v>
      </c>
    </row>
    <row r="1345" customFormat="false" ht="15" hidden="false" customHeight="false" outlineLevel="0" collapsed="false">
      <c r="A1345" s="216"/>
      <c r="B1345" s="78"/>
      <c r="C1345" s="1161" t="s">
        <v>6975</v>
      </c>
      <c r="D1345" s="912" t="n">
        <v>2006</v>
      </c>
      <c r="E1345" s="317" t="n">
        <f aca="false">2021-D1345</f>
        <v>15</v>
      </c>
      <c r="F1345" s="547" t="n">
        <v>147200</v>
      </c>
      <c r="G1345" s="1413" t="n">
        <v>0.1</v>
      </c>
      <c r="H1345" s="547" t="n">
        <f aca="false">E1345*F1345*G1345</f>
        <v>220800</v>
      </c>
      <c r="I1345" s="547" t="n">
        <f aca="false">F1345-H1345</f>
        <v>-73600</v>
      </c>
      <c r="J1345" s="547" t="n">
        <f aca="false">F1345*G1345</f>
        <v>14720</v>
      </c>
      <c r="K1345" s="1365" t="n">
        <f aca="false">J1345/1792.8</f>
        <v>8.21062025881303</v>
      </c>
      <c r="L1345" s="547" t="n">
        <v>30</v>
      </c>
      <c r="M1345" s="819" t="n">
        <f aca="false">K1345*L1345/60</f>
        <v>4.10531012940652</v>
      </c>
    </row>
    <row r="1346" customFormat="false" ht="15" hidden="false" customHeight="false" outlineLevel="0" collapsed="false">
      <c r="A1346" s="216"/>
      <c r="B1346" s="78"/>
      <c r="C1346" s="1161" t="s">
        <v>6979</v>
      </c>
      <c r="D1346" s="912" t="n">
        <v>2005</v>
      </c>
      <c r="E1346" s="317" t="n">
        <f aca="false">2021-D1346</f>
        <v>16</v>
      </c>
      <c r="F1346" s="547" t="n">
        <v>1400000</v>
      </c>
      <c r="G1346" s="1413" t="n">
        <v>0.1</v>
      </c>
      <c r="H1346" s="547" t="n">
        <f aca="false">E1346*F1346*G1346</f>
        <v>2240000</v>
      </c>
      <c r="I1346" s="547" t="n">
        <f aca="false">F1346-H1346</f>
        <v>-840000</v>
      </c>
      <c r="J1346" s="547" t="n">
        <f aca="false">F1346*G1346</f>
        <v>140000</v>
      </c>
      <c r="K1346" s="1365" t="n">
        <f aca="false">J1346/1792.8</f>
        <v>78.0901383311022</v>
      </c>
      <c r="L1346" s="547" t="n">
        <v>30</v>
      </c>
      <c r="M1346" s="819" t="n">
        <f aca="false">K1346*L1346/60</f>
        <v>39.0450691655511</v>
      </c>
    </row>
    <row r="1347" customFormat="false" ht="15" hidden="false" customHeight="false" outlineLevel="0" collapsed="false">
      <c r="A1347" s="216"/>
      <c r="B1347" s="78"/>
      <c r="C1347" s="1161" t="s">
        <v>6934</v>
      </c>
      <c r="D1347" s="912" t="n">
        <v>2007</v>
      </c>
      <c r="E1347" s="317" t="n">
        <f aca="false">2021-D1347</f>
        <v>14</v>
      </c>
      <c r="F1347" s="873" t="n">
        <v>491000</v>
      </c>
      <c r="G1347" s="1413" t="n">
        <v>0.1</v>
      </c>
      <c r="H1347" s="547" t="n">
        <f aca="false">E1347*F1347*G1347</f>
        <v>687400</v>
      </c>
      <c r="I1347" s="547" t="n">
        <f aca="false">F1347-H1347</f>
        <v>-196400</v>
      </c>
      <c r="J1347" s="547" t="n">
        <f aca="false">F1347*G1347</f>
        <v>49100</v>
      </c>
      <c r="K1347" s="1365" t="n">
        <f aca="false">J1347/1792.8</f>
        <v>27.3873270861223</v>
      </c>
      <c r="L1347" s="547" t="n">
        <v>10</v>
      </c>
      <c r="M1347" s="819" t="n">
        <f aca="false">K1347*L1347/60</f>
        <v>4.56455451435371</v>
      </c>
    </row>
    <row r="1348" customFormat="false" ht="15" hidden="false" customHeight="false" outlineLevel="0" collapsed="false">
      <c r="A1348" s="216"/>
      <c r="B1348" s="972" t="s">
        <v>4128</v>
      </c>
      <c r="C1348" s="1160"/>
      <c r="D1348" s="391"/>
      <c r="E1348" s="317"/>
      <c r="F1348" s="714"/>
      <c r="G1348" s="1414"/>
      <c r="H1348" s="547"/>
      <c r="I1348" s="547"/>
      <c r="J1348" s="547"/>
      <c r="K1348" s="1365" t="n">
        <f aca="false">J1348/1792.8</f>
        <v>0</v>
      </c>
      <c r="L1348" s="714"/>
      <c r="M1348" s="934" t="n">
        <f aca="false">M1344+M1345+M1346+M1347</f>
        <v>519.242711587089</v>
      </c>
    </row>
    <row r="1349" customFormat="false" ht="15" hidden="false" customHeight="false" outlineLevel="0" collapsed="false">
      <c r="A1349" s="216" t="s">
        <v>857</v>
      </c>
      <c r="B1349" s="29" t="s">
        <v>3149</v>
      </c>
      <c r="C1349" s="1161" t="s">
        <v>6974</v>
      </c>
      <c r="D1349" s="912" t="n">
        <v>2006</v>
      </c>
      <c r="E1349" s="317" t="n">
        <f aca="false">2021-D1349</f>
        <v>15</v>
      </c>
      <c r="F1349" s="547" t="n">
        <v>526970</v>
      </c>
      <c r="G1349" s="1413" t="n">
        <v>0.1</v>
      </c>
      <c r="H1349" s="547" t="n">
        <f aca="false">E1349*F1349*G1349</f>
        <v>790455</v>
      </c>
      <c r="I1349" s="547" t="n">
        <f aca="false">F1349-H1349</f>
        <v>-263485</v>
      </c>
      <c r="J1349" s="547" t="n">
        <f aca="false">F1349*G1349</f>
        <v>52697</v>
      </c>
      <c r="K1349" s="1365" t="n">
        <f aca="false">J1349/1792.8</f>
        <v>29.3936858545292</v>
      </c>
      <c r="L1349" s="547" t="n">
        <v>15</v>
      </c>
      <c r="M1349" s="819" t="n">
        <f aca="false">K1349*L1349/60</f>
        <v>7.34842146363231</v>
      </c>
    </row>
    <row r="1350" customFormat="false" ht="15" hidden="false" customHeight="false" outlineLevel="0" collapsed="false">
      <c r="A1350" s="216"/>
      <c r="B1350" s="78"/>
      <c r="C1350" s="1161" t="s">
        <v>4568</v>
      </c>
      <c r="D1350" s="912" t="n">
        <v>2007</v>
      </c>
      <c r="E1350" s="317" t="n">
        <f aca="false">2021-D1350</f>
        <v>14</v>
      </c>
      <c r="F1350" s="873" t="n">
        <v>5635700</v>
      </c>
      <c r="G1350" s="1413" t="n">
        <v>0.1</v>
      </c>
      <c r="H1350" s="547" t="n">
        <f aca="false">E1350*F1350*G1350</f>
        <v>7889980</v>
      </c>
      <c r="I1350" s="547" t="n">
        <f aca="false">F1350-H1350</f>
        <v>-2254280</v>
      </c>
      <c r="J1350" s="547" t="n">
        <f aca="false">F1350*G1350</f>
        <v>563570</v>
      </c>
      <c r="K1350" s="1365" t="n">
        <f aca="false">J1350/1792.8</f>
        <v>314.351851851852</v>
      </c>
      <c r="L1350" s="547" t="n">
        <v>150</v>
      </c>
      <c r="M1350" s="819" t="n">
        <f aca="false">K1350*L1350/60</f>
        <v>785.87962962963</v>
      </c>
    </row>
    <row r="1351" customFormat="false" ht="15" hidden="false" customHeight="false" outlineLevel="0" collapsed="false">
      <c r="A1351" s="216"/>
      <c r="B1351" s="78"/>
      <c r="C1351" s="1161" t="s">
        <v>6934</v>
      </c>
      <c r="D1351" s="912" t="n">
        <v>2007</v>
      </c>
      <c r="E1351" s="317" t="n">
        <f aca="false">2021-D1351</f>
        <v>14</v>
      </c>
      <c r="F1351" s="873" t="n">
        <v>491000</v>
      </c>
      <c r="G1351" s="1413" t="n">
        <v>0.1</v>
      </c>
      <c r="H1351" s="547" t="n">
        <f aca="false">E1351*F1351*G1351</f>
        <v>687400</v>
      </c>
      <c r="I1351" s="547" t="n">
        <f aca="false">F1351-H1351</f>
        <v>-196400</v>
      </c>
      <c r="J1351" s="547" t="n">
        <f aca="false">F1351*G1351</f>
        <v>49100</v>
      </c>
      <c r="K1351" s="1365" t="n">
        <f aca="false">J1351/1792.8</f>
        <v>27.3873270861223</v>
      </c>
      <c r="L1351" s="547" t="n">
        <v>10</v>
      </c>
      <c r="M1351" s="819" t="n">
        <f aca="false">K1351*L1351/60</f>
        <v>4.56455451435371</v>
      </c>
    </row>
    <row r="1352" customFormat="false" ht="15" hidden="false" customHeight="false" outlineLevel="0" collapsed="false">
      <c r="A1352" s="216"/>
      <c r="B1352" s="972" t="s">
        <v>4128</v>
      </c>
      <c r="C1352" s="1160"/>
      <c r="D1352" s="391"/>
      <c r="E1352" s="317"/>
      <c r="F1352" s="714"/>
      <c r="G1352" s="1414"/>
      <c r="H1352" s="547"/>
      <c r="I1352" s="547"/>
      <c r="J1352" s="547"/>
      <c r="K1352" s="1365" t="n">
        <f aca="false">J1352/1792.8</f>
        <v>0</v>
      </c>
      <c r="L1352" s="714"/>
      <c r="M1352" s="934" t="n">
        <f aca="false">M1349+M1350+M1351</f>
        <v>797.792605607616</v>
      </c>
    </row>
    <row r="1353" customFormat="false" ht="24.75" hidden="false" customHeight="true" outlineLevel="0" collapsed="false">
      <c r="A1353" s="15" t="s">
        <v>4974</v>
      </c>
      <c r="B1353" s="16" t="s">
        <v>7045</v>
      </c>
      <c r="C1353" s="16"/>
      <c r="D1353" s="339"/>
      <c r="E1353" s="1389"/>
      <c r="F1353" s="751"/>
      <c r="G1353" s="751"/>
      <c r="H1353" s="751"/>
      <c r="I1353" s="751"/>
      <c r="J1353" s="751"/>
      <c r="K1353" s="751"/>
      <c r="L1353" s="751"/>
      <c r="M1353" s="818"/>
    </row>
    <row r="1354" customFormat="false" ht="30" hidden="false" customHeight="false" outlineLevel="0" collapsed="false">
      <c r="A1354" s="216" t="s">
        <v>4976</v>
      </c>
      <c r="B1354" s="29" t="s">
        <v>3010</v>
      </c>
      <c r="C1354" s="1161" t="s">
        <v>6984</v>
      </c>
      <c r="D1354" s="912" t="n">
        <v>2007</v>
      </c>
      <c r="E1354" s="317" t="n">
        <f aca="false">2021-D1354</f>
        <v>14</v>
      </c>
      <c r="F1354" s="547" t="n">
        <v>810000</v>
      </c>
      <c r="G1354" s="1413" t="n">
        <v>0.1</v>
      </c>
      <c r="H1354" s="547" t="n">
        <f aca="false">E1354*F1354*G1354</f>
        <v>1134000</v>
      </c>
      <c r="I1354" s="547" t="n">
        <f aca="false">F1354-H1354</f>
        <v>-324000</v>
      </c>
      <c r="J1354" s="547" t="n">
        <f aca="false">F1354*G1354</f>
        <v>81000</v>
      </c>
      <c r="K1354" s="1365" t="n">
        <f aca="false">J1354/1792.8</f>
        <v>45.1807228915663</v>
      </c>
      <c r="L1354" s="547" t="n">
        <v>10</v>
      </c>
      <c r="M1354" s="934" t="n">
        <f aca="false">K1354*L1354/60</f>
        <v>7.53012048192771</v>
      </c>
    </row>
    <row r="1355" customFormat="false" ht="15" hidden="false" customHeight="false" outlineLevel="0" collapsed="false">
      <c r="A1355" s="216" t="s">
        <v>4977</v>
      </c>
      <c r="B1355" s="29" t="s">
        <v>3084</v>
      </c>
      <c r="C1355" s="1161" t="s">
        <v>6973</v>
      </c>
      <c r="D1355" s="912" t="n">
        <v>2006</v>
      </c>
      <c r="E1355" s="317" t="n">
        <f aca="false">2021-D1355</f>
        <v>15</v>
      </c>
      <c r="F1355" s="547" t="n">
        <v>190000</v>
      </c>
      <c r="G1355" s="1413" t="n">
        <v>0.1</v>
      </c>
      <c r="H1355" s="547" t="n">
        <f aca="false">E1355*F1355*G1355</f>
        <v>285000</v>
      </c>
      <c r="I1355" s="547" t="n">
        <f aca="false">F1355-H1355</f>
        <v>-95000</v>
      </c>
      <c r="J1355" s="547" t="n">
        <f aca="false">F1355*G1355</f>
        <v>19000</v>
      </c>
      <c r="K1355" s="1365" t="n">
        <f aca="false">J1355/1792.8</f>
        <v>10.5979473449353</v>
      </c>
      <c r="L1355" s="547" t="n">
        <v>30</v>
      </c>
      <c r="M1355" s="819" t="n">
        <f aca="false">K1355*L1355/60</f>
        <v>5.29897367246765</v>
      </c>
    </row>
    <row r="1356" customFormat="false" ht="15" hidden="false" customHeight="false" outlineLevel="0" collapsed="false">
      <c r="A1356" s="216"/>
      <c r="B1356" s="78"/>
      <c r="C1356" s="1161" t="s">
        <v>6934</v>
      </c>
      <c r="D1356" s="912" t="n">
        <v>2007</v>
      </c>
      <c r="E1356" s="317" t="n">
        <f aca="false">2021-D1356</f>
        <v>14</v>
      </c>
      <c r="F1356" s="873" t="n">
        <v>491000</v>
      </c>
      <c r="G1356" s="1413" t="n">
        <v>0.1</v>
      </c>
      <c r="H1356" s="547" t="n">
        <f aca="false">E1356*F1356*G1356</f>
        <v>687400</v>
      </c>
      <c r="I1356" s="547" t="n">
        <f aca="false">F1356-H1356</f>
        <v>-196400</v>
      </c>
      <c r="J1356" s="547" t="n">
        <f aca="false">F1356*G1356</f>
        <v>49100</v>
      </c>
      <c r="K1356" s="1365" t="n">
        <f aca="false">J1356/1792.8</f>
        <v>27.3873270861223</v>
      </c>
      <c r="L1356" s="547" t="n">
        <v>10</v>
      </c>
      <c r="M1356" s="819" t="n">
        <f aca="false">K1356*L1356/60</f>
        <v>4.56455451435371</v>
      </c>
    </row>
    <row r="1357" customFormat="false" ht="15" hidden="false" customHeight="false" outlineLevel="0" collapsed="false">
      <c r="A1357" s="216"/>
      <c r="B1357" s="972" t="s">
        <v>4128</v>
      </c>
      <c r="C1357" s="1160"/>
      <c r="D1357" s="391"/>
      <c r="E1357" s="317"/>
      <c r="F1357" s="714"/>
      <c r="G1357" s="1414"/>
      <c r="H1357" s="547"/>
      <c r="I1357" s="547"/>
      <c r="J1357" s="547"/>
      <c r="K1357" s="1365" t="n">
        <f aca="false">J1357/1792.8</f>
        <v>0</v>
      </c>
      <c r="L1357" s="714"/>
      <c r="M1357" s="934" t="n">
        <f aca="false">M1355+M1356</f>
        <v>9.86352818682136</v>
      </c>
    </row>
    <row r="1358" customFormat="false" ht="30" hidden="false" customHeight="false" outlineLevel="0" collapsed="false">
      <c r="A1358" s="216" t="s">
        <v>862</v>
      </c>
      <c r="B1358" s="29" t="s">
        <v>3085</v>
      </c>
      <c r="C1358" s="1161" t="s">
        <v>6973</v>
      </c>
      <c r="D1358" s="912" t="n">
        <v>2006</v>
      </c>
      <c r="E1358" s="317" t="n">
        <f aca="false">2021-D1358</f>
        <v>15</v>
      </c>
      <c r="F1358" s="547" t="n">
        <v>190000</v>
      </c>
      <c r="G1358" s="1413" t="n">
        <v>0.1</v>
      </c>
      <c r="H1358" s="547" t="n">
        <f aca="false">E1358*F1358*G1358</f>
        <v>285000</v>
      </c>
      <c r="I1358" s="547" t="n">
        <f aca="false">F1358-H1358</f>
        <v>-95000</v>
      </c>
      <c r="J1358" s="547" t="n">
        <f aca="false">F1358*G1358</f>
        <v>19000</v>
      </c>
      <c r="K1358" s="1365" t="n">
        <f aca="false">J1358/1792.8</f>
        <v>10.5979473449353</v>
      </c>
      <c r="L1358" s="547" t="n">
        <v>30</v>
      </c>
      <c r="M1358" s="819" t="n">
        <f aca="false">K1358*L1358/60</f>
        <v>5.29897367246765</v>
      </c>
    </row>
    <row r="1359" customFormat="false" ht="15" hidden="false" customHeight="false" outlineLevel="0" collapsed="false">
      <c r="A1359" s="216"/>
      <c r="B1359" s="78"/>
      <c r="C1359" s="1161" t="s">
        <v>6934</v>
      </c>
      <c r="D1359" s="912" t="n">
        <v>2007</v>
      </c>
      <c r="E1359" s="317" t="n">
        <f aca="false">2021-D1359</f>
        <v>14</v>
      </c>
      <c r="F1359" s="873" t="n">
        <v>491000</v>
      </c>
      <c r="G1359" s="1413" t="n">
        <v>0.1</v>
      </c>
      <c r="H1359" s="547" t="n">
        <f aca="false">E1359*F1359*G1359</f>
        <v>687400</v>
      </c>
      <c r="I1359" s="547" t="n">
        <f aca="false">F1359-H1359</f>
        <v>-196400</v>
      </c>
      <c r="J1359" s="547" t="n">
        <f aca="false">F1359*G1359</f>
        <v>49100</v>
      </c>
      <c r="K1359" s="1365" t="n">
        <f aca="false">J1359/1792.8</f>
        <v>27.3873270861223</v>
      </c>
      <c r="L1359" s="547" t="n">
        <v>10</v>
      </c>
      <c r="M1359" s="819" t="n">
        <f aca="false">K1359*L1359/60</f>
        <v>4.56455451435371</v>
      </c>
    </row>
    <row r="1360" customFormat="false" ht="15" hidden="false" customHeight="false" outlineLevel="0" collapsed="false">
      <c r="A1360" s="216"/>
      <c r="B1360" s="972" t="s">
        <v>4128</v>
      </c>
      <c r="C1360" s="1160"/>
      <c r="D1360" s="391"/>
      <c r="E1360" s="317"/>
      <c r="F1360" s="714"/>
      <c r="G1360" s="1414"/>
      <c r="H1360" s="547"/>
      <c r="I1360" s="547"/>
      <c r="J1360" s="547"/>
      <c r="K1360" s="1365" t="n">
        <f aca="false">J1360/1792.8</f>
        <v>0</v>
      </c>
      <c r="L1360" s="714"/>
      <c r="M1360" s="934" t="n">
        <f aca="false">M1358+M1359</f>
        <v>9.86352818682136</v>
      </c>
    </row>
    <row r="1361" customFormat="false" ht="15" hidden="false" customHeight="false" outlineLevel="0" collapsed="false">
      <c r="A1361" s="216" t="s">
        <v>863</v>
      </c>
      <c r="B1361" s="29" t="s">
        <v>3126</v>
      </c>
      <c r="C1361" s="1161" t="s">
        <v>6975</v>
      </c>
      <c r="D1361" s="912" t="n">
        <v>2006</v>
      </c>
      <c r="E1361" s="317" t="n">
        <f aca="false">2021-D1361</f>
        <v>15</v>
      </c>
      <c r="F1361" s="547" t="n">
        <v>147200</v>
      </c>
      <c r="G1361" s="1413" t="n">
        <v>0.1</v>
      </c>
      <c r="H1361" s="547" t="n">
        <f aca="false">E1361*F1361*G1361</f>
        <v>220800</v>
      </c>
      <c r="I1361" s="547" t="n">
        <f aca="false">F1361-H1361</f>
        <v>-73600</v>
      </c>
      <c r="J1361" s="547" t="n">
        <f aca="false">F1361*G1361</f>
        <v>14720</v>
      </c>
      <c r="K1361" s="1365" t="n">
        <f aca="false">J1361/1792.8</f>
        <v>8.21062025881303</v>
      </c>
      <c r="L1361" s="547" t="n">
        <v>30</v>
      </c>
      <c r="M1361" s="819" t="n">
        <f aca="false">K1361*L1361/60</f>
        <v>4.10531012940652</v>
      </c>
    </row>
    <row r="1362" customFormat="false" ht="15" hidden="false" customHeight="false" outlineLevel="0" collapsed="false">
      <c r="A1362" s="216"/>
      <c r="B1362" s="78"/>
      <c r="C1362" s="1161" t="s">
        <v>6934</v>
      </c>
      <c r="D1362" s="912" t="n">
        <v>2007</v>
      </c>
      <c r="E1362" s="317" t="n">
        <f aca="false">2021-D1362</f>
        <v>14</v>
      </c>
      <c r="F1362" s="873" t="n">
        <v>491000</v>
      </c>
      <c r="G1362" s="1413" t="n">
        <v>0.1</v>
      </c>
      <c r="H1362" s="547" t="n">
        <f aca="false">E1362*F1362*G1362</f>
        <v>687400</v>
      </c>
      <c r="I1362" s="547" t="n">
        <f aca="false">F1362-H1362</f>
        <v>-196400</v>
      </c>
      <c r="J1362" s="547" t="n">
        <f aca="false">F1362*G1362</f>
        <v>49100</v>
      </c>
      <c r="K1362" s="1365" t="n">
        <f aca="false">J1362/1792.8</f>
        <v>27.3873270861223</v>
      </c>
      <c r="L1362" s="547" t="n">
        <v>10</v>
      </c>
      <c r="M1362" s="819" t="n">
        <f aca="false">K1362*L1362/60</f>
        <v>4.56455451435371</v>
      </c>
    </row>
    <row r="1363" customFormat="false" ht="15" hidden="false" customHeight="false" outlineLevel="0" collapsed="false">
      <c r="A1363" s="216"/>
      <c r="B1363" s="972" t="s">
        <v>4128</v>
      </c>
      <c r="C1363" s="1160"/>
      <c r="D1363" s="391"/>
      <c r="E1363" s="317"/>
      <c r="F1363" s="714"/>
      <c r="G1363" s="1414"/>
      <c r="H1363" s="547"/>
      <c r="I1363" s="547"/>
      <c r="J1363" s="547"/>
      <c r="K1363" s="1365" t="n">
        <f aca="false">J1363/1792.8</f>
        <v>0</v>
      </c>
      <c r="L1363" s="714"/>
      <c r="M1363" s="934" t="n">
        <f aca="false">M1361+M1362</f>
        <v>8.66986464376023</v>
      </c>
    </row>
    <row r="1364" customFormat="false" ht="15" hidden="false" customHeight="false" outlineLevel="0" collapsed="false">
      <c r="A1364" s="216" t="s">
        <v>7046</v>
      </c>
      <c r="B1364" s="29" t="s">
        <v>3103</v>
      </c>
      <c r="C1364" s="1161" t="s">
        <v>4568</v>
      </c>
      <c r="D1364" s="912" t="n">
        <v>2007</v>
      </c>
      <c r="E1364" s="317" t="n">
        <f aca="false">2021-D1364</f>
        <v>14</v>
      </c>
      <c r="F1364" s="873" t="n">
        <v>5635700</v>
      </c>
      <c r="G1364" s="1413" t="n">
        <v>0.1</v>
      </c>
      <c r="H1364" s="547" t="n">
        <f aca="false">E1364*F1364*G1364</f>
        <v>7889980</v>
      </c>
      <c r="I1364" s="547" t="n">
        <f aca="false">F1364-H1364</f>
        <v>-2254280</v>
      </c>
      <c r="J1364" s="547" t="n">
        <f aca="false">F1364*G1364</f>
        <v>563570</v>
      </c>
      <c r="K1364" s="1365" t="n">
        <f aca="false">J1364/1792.8</f>
        <v>314.351851851852</v>
      </c>
      <c r="L1364" s="547" t="n">
        <v>90</v>
      </c>
      <c r="M1364" s="819" t="n">
        <f aca="false">K1364*L1364/60</f>
        <v>471.527777777778</v>
      </c>
    </row>
    <row r="1365" customFormat="false" ht="15" hidden="false" customHeight="false" outlineLevel="0" collapsed="false">
      <c r="A1365" s="216"/>
      <c r="B1365" s="78"/>
      <c r="C1365" s="1161" t="s">
        <v>6975</v>
      </c>
      <c r="D1365" s="912" t="n">
        <v>2006</v>
      </c>
      <c r="E1365" s="317" t="n">
        <f aca="false">2021-D1365</f>
        <v>15</v>
      </c>
      <c r="F1365" s="547" t="n">
        <v>147200</v>
      </c>
      <c r="G1365" s="1413" t="n">
        <v>0.1</v>
      </c>
      <c r="H1365" s="547" t="n">
        <f aca="false">E1365*F1365*G1365</f>
        <v>220800</v>
      </c>
      <c r="I1365" s="547" t="n">
        <f aca="false">F1365-H1365</f>
        <v>-73600</v>
      </c>
      <c r="J1365" s="547" t="n">
        <f aca="false">F1365*G1365</f>
        <v>14720</v>
      </c>
      <c r="K1365" s="1365" t="n">
        <f aca="false">J1365/1792.8</f>
        <v>8.21062025881303</v>
      </c>
      <c r="L1365" s="547" t="n">
        <v>30</v>
      </c>
      <c r="M1365" s="819" t="n">
        <f aca="false">K1365*L1365/60</f>
        <v>4.10531012940652</v>
      </c>
    </row>
    <row r="1366" customFormat="false" ht="15" hidden="false" customHeight="false" outlineLevel="0" collapsed="false">
      <c r="A1366" s="216"/>
      <c r="B1366" s="78"/>
      <c r="C1366" s="1161" t="s">
        <v>6979</v>
      </c>
      <c r="D1366" s="912" t="n">
        <v>2005</v>
      </c>
      <c r="E1366" s="317" t="n">
        <f aca="false">2021-D1366</f>
        <v>16</v>
      </c>
      <c r="F1366" s="547" t="n">
        <v>1400000</v>
      </c>
      <c r="G1366" s="1413" t="n">
        <v>0.1</v>
      </c>
      <c r="H1366" s="547" t="n">
        <f aca="false">E1366*F1366*G1366</f>
        <v>2240000</v>
      </c>
      <c r="I1366" s="547" t="n">
        <f aca="false">F1366-H1366</f>
        <v>-840000</v>
      </c>
      <c r="J1366" s="547" t="n">
        <f aca="false">F1366*G1366</f>
        <v>140000</v>
      </c>
      <c r="K1366" s="1365" t="n">
        <f aca="false">J1366/1792.8</f>
        <v>78.0901383311022</v>
      </c>
      <c r="L1366" s="547" t="n">
        <v>30</v>
      </c>
      <c r="M1366" s="819" t="n">
        <f aca="false">K1366*L1366/60</f>
        <v>39.0450691655511</v>
      </c>
    </row>
    <row r="1367" customFormat="false" ht="15" hidden="false" customHeight="false" outlineLevel="0" collapsed="false">
      <c r="A1367" s="216"/>
      <c r="B1367" s="78"/>
      <c r="C1367" s="1161" t="s">
        <v>6934</v>
      </c>
      <c r="D1367" s="912" t="n">
        <v>2007</v>
      </c>
      <c r="E1367" s="317" t="n">
        <f aca="false">2021-D1367</f>
        <v>14</v>
      </c>
      <c r="F1367" s="873" t="n">
        <v>491000</v>
      </c>
      <c r="G1367" s="1413" t="n">
        <v>0.1</v>
      </c>
      <c r="H1367" s="547" t="n">
        <f aca="false">E1367*F1367*G1367</f>
        <v>687400</v>
      </c>
      <c r="I1367" s="547" t="n">
        <f aca="false">F1367-H1367</f>
        <v>-196400</v>
      </c>
      <c r="J1367" s="547" t="n">
        <f aca="false">F1367*G1367</f>
        <v>49100</v>
      </c>
      <c r="K1367" s="1365" t="n">
        <f aca="false">J1367/1792.8</f>
        <v>27.3873270861223</v>
      </c>
      <c r="L1367" s="547" t="n">
        <v>10</v>
      </c>
      <c r="M1367" s="819" t="n">
        <f aca="false">K1367*L1367/60</f>
        <v>4.56455451435371</v>
      </c>
    </row>
    <row r="1368" customFormat="false" ht="15" hidden="false" customHeight="false" outlineLevel="0" collapsed="false">
      <c r="A1368" s="216"/>
      <c r="B1368" s="972" t="s">
        <v>4128</v>
      </c>
      <c r="C1368" s="1160"/>
      <c r="D1368" s="391"/>
      <c r="E1368" s="317"/>
      <c r="F1368" s="714"/>
      <c r="G1368" s="1414"/>
      <c r="H1368" s="547"/>
      <c r="I1368" s="547"/>
      <c r="J1368" s="547"/>
      <c r="K1368" s="1365" t="n">
        <f aca="false">J1368/1792.8</f>
        <v>0</v>
      </c>
      <c r="L1368" s="714"/>
      <c r="M1368" s="934" t="n">
        <f aca="false">SUM(M1364:M1367)</f>
        <v>519.242711587089</v>
      </c>
    </row>
    <row r="1369" customFormat="false" ht="15" hidden="false" customHeight="false" outlineLevel="0" collapsed="false">
      <c r="A1369" s="216" t="s">
        <v>7047</v>
      </c>
      <c r="B1369" s="29" t="s">
        <v>3148</v>
      </c>
      <c r="C1369" s="1161" t="s">
        <v>6974</v>
      </c>
      <c r="D1369" s="912" t="n">
        <v>2006</v>
      </c>
      <c r="E1369" s="317" t="n">
        <f aca="false">2021-D1369</f>
        <v>15</v>
      </c>
      <c r="F1369" s="547" t="n">
        <v>526970</v>
      </c>
      <c r="G1369" s="1413" t="n">
        <v>0.1</v>
      </c>
      <c r="H1369" s="547" t="n">
        <f aca="false">E1369*F1369*G1369</f>
        <v>790455</v>
      </c>
      <c r="I1369" s="547" t="n">
        <f aca="false">F1369-H1369</f>
        <v>-263485</v>
      </c>
      <c r="J1369" s="547" t="n">
        <f aca="false">F1369*G1369</f>
        <v>52697</v>
      </c>
      <c r="K1369" s="1365" t="n">
        <f aca="false">J1369/1792.8</f>
        <v>29.3936858545292</v>
      </c>
      <c r="L1369" s="547" t="n">
        <v>15</v>
      </c>
      <c r="M1369" s="819" t="n">
        <f aca="false">K1369*L1369/60</f>
        <v>7.34842146363231</v>
      </c>
    </row>
    <row r="1370" customFormat="false" ht="15" hidden="false" customHeight="false" outlineLevel="0" collapsed="false">
      <c r="A1370" s="216"/>
      <c r="B1370" s="78"/>
      <c r="C1370" s="1161" t="s">
        <v>4568</v>
      </c>
      <c r="D1370" s="912" t="n">
        <v>2007</v>
      </c>
      <c r="E1370" s="317" t="n">
        <f aca="false">2021-D1370</f>
        <v>14</v>
      </c>
      <c r="F1370" s="873" t="n">
        <v>5635700</v>
      </c>
      <c r="G1370" s="1413" t="n">
        <v>0.1</v>
      </c>
      <c r="H1370" s="547" t="n">
        <f aca="false">E1370*F1370*G1370</f>
        <v>7889980</v>
      </c>
      <c r="I1370" s="547" t="n">
        <f aca="false">F1370-H1370</f>
        <v>-2254280</v>
      </c>
      <c r="J1370" s="547" t="n">
        <f aca="false">F1370*G1370</f>
        <v>563570</v>
      </c>
      <c r="K1370" s="1365" t="n">
        <f aca="false">J1370/1792.8</f>
        <v>314.351851851852</v>
      </c>
      <c r="L1370" s="547" t="n">
        <v>120</v>
      </c>
      <c r="M1370" s="819" t="n">
        <f aca="false">K1370*L1370/60</f>
        <v>628.703703703704</v>
      </c>
    </row>
    <row r="1371" customFormat="false" ht="15" hidden="false" customHeight="false" outlineLevel="0" collapsed="false">
      <c r="A1371" s="216"/>
      <c r="B1371" s="78"/>
      <c r="C1371" s="1161" t="s">
        <v>6975</v>
      </c>
      <c r="D1371" s="912" t="n">
        <v>2006</v>
      </c>
      <c r="E1371" s="317" t="n">
        <f aca="false">2021-D1371</f>
        <v>15</v>
      </c>
      <c r="F1371" s="547" t="n">
        <v>147200</v>
      </c>
      <c r="G1371" s="1413" t="n">
        <v>0.1</v>
      </c>
      <c r="H1371" s="547" t="n">
        <f aca="false">E1371*F1371*G1371</f>
        <v>220800</v>
      </c>
      <c r="I1371" s="547" t="n">
        <f aca="false">F1371-H1371</f>
        <v>-73600</v>
      </c>
      <c r="J1371" s="547" t="n">
        <f aca="false">F1371*G1371</f>
        <v>14720</v>
      </c>
      <c r="K1371" s="1365" t="n">
        <f aca="false">J1371/1792.8</f>
        <v>8.21062025881303</v>
      </c>
      <c r="L1371" s="547" t="n">
        <v>30</v>
      </c>
      <c r="M1371" s="819" t="n">
        <f aca="false">K1371*L1371/60</f>
        <v>4.10531012940652</v>
      </c>
    </row>
    <row r="1372" customFormat="false" ht="15" hidden="false" customHeight="false" outlineLevel="0" collapsed="false">
      <c r="A1372" s="216"/>
      <c r="B1372" s="78"/>
      <c r="C1372" s="1161" t="s">
        <v>6979</v>
      </c>
      <c r="D1372" s="912" t="n">
        <v>2005</v>
      </c>
      <c r="E1372" s="317" t="n">
        <f aca="false">2021-D1372</f>
        <v>16</v>
      </c>
      <c r="F1372" s="547" t="n">
        <v>1400000</v>
      </c>
      <c r="G1372" s="1413" t="n">
        <v>0.1</v>
      </c>
      <c r="H1372" s="547" t="n">
        <f aca="false">E1372*F1372*G1372</f>
        <v>2240000</v>
      </c>
      <c r="I1372" s="547" t="n">
        <f aca="false">F1372-H1372</f>
        <v>-840000</v>
      </c>
      <c r="J1372" s="547" t="n">
        <f aca="false">F1372*G1372</f>
        <v>140000</v>
      </c>
      <c r="K1372" s="1365" t="n">
        <f aca="false">J1372/1792.8</f>
        <v>78.0901383311022</v>
      </c>
      <c r="L1372" s="547" t="n">
        <v>30</v>
      </c>
      <c r="M1372" s="819" t="n">
        <f aca="false">K1372*L1372/60</f>
        <v>39.0450691655511</v>
      </c>
    </row>
    <row r="1373" customFormat="false" ht="15" hidden="false" customHeight="false" outlineLevel="0" collapsed="false">
      <c r="A1373" s="216"/>
      <c r="B1373" s="78"/>
      <c r="C1373" s="1161" t="s">
        <v>6934</v>
      </c>
      <c r="D1373" s="912" t="n">
        <v>2007</v>
      </c>
      <c r="E1373" s="317" t="n">
        <f aca="false">2021-D1373</f>
        <v>14</v>
      </c>
      <c r="F1373" s="873" t="n">
        <v>491000</v>
      </c>
      <c r="G1373" s="1413" t="n">
        <v>0.1</v>
      </c>
      <c r="H1373" s="547" t="n">
        <f aca="false">E1373*F1373*G1373</f>
        <v>687400</v>
      </c>
      <c r="I1373" s="547" t="n">
        <f aca="false">F1373-H1373</f>
        <v>-196400</v>
      </c>
      <c r="J1373" s="547" t="n">
        <f aca="false">F1373*G1373</f>
        <v>49100</v>
      </c>
      <c r="K1373" s="1365" t="n">
        <f aca="false">J1373/1792.8</f>
        <v>27.3873270861223</v>
      </c>
      <c r="L1373" s="547" t="n">
        <v>10</v>
      </c>
      <c r="M1373" s="819" t="n">
        <f aca="false">K1373*L1373/60</f>
        <v>4.56455451435371</v>
      </c>
    </row>
    <row r="1374" customFormat="false" ht="15" hidden="false" customHeight="false" outlineLevel="0" collapsed="false">
      <c r="A1374" s="216"/>
      <c r="B1374" s="78"/>
      <c r="C1374" s="1161" t="s">
        <v>6943</v>
      </c>
      <c r="D1374" s="912" t="n">
        <v>2006</v>
      </c>
      <c r="E1374" s="317" t="n">
        <f aca="false">2021-D1374</f>
        <v>15</v>
      </c>
      <c r="F1374" s="547" t="n">
        <v>1503927</v>
      </c>
      <c r="G1374" s="1413" t="n">
        <v>0.1</v>
      </c>
      <c r="H1374" s="547" t="n">
        <f aca="false">E1374*F1374*G1374</f>
        <v>2255890.5</v>
      </c>
      <c r="I1374" s="547" t="n">
        <f aca="false">F1374-H1374</f>
        <v>-751963.5</v>
      </c>
      <c r="J1374" s="547" t="n">
        <f aca="false">F1374*G1374</f>
        <v>150392.7</v>
      </c>
      <c r="K1374" s="1365" t="n">
        <f aca="false">J1374/1792.8</f>
        <v>83.8870481927711</v>
      </c>
      <c r="L1374" s="547" t="n">
        <v>40</v>
      </c>
      <c r="M1374" s="819" t="n">
        <f aca="false">K1374*L1374/60</f>
        <v>55.9246987951807</v>
      </c>
    </row>
    <row r="1375" customFormat="false" ht="15" hidden="false" customHeight="false" outlineLevel="0" collapsed="false">
      <c r="A1375" s="216"/>
      <c r="B1375" s="972" t="s">
        <v>4128</v>
      </c>
      <c r="C1375" s="1160"/>
      <c r="D1375" s="391"/>
      <c r="E1375" s="317"/>
      <c r="F1375" s="714"/>
      <c r="G1375" s="1414"/>
      <c r="H1375" s="547"/>
      <c r="I1375" s="547"/>
      <c r="J1375" s="547"/>
      <c r="K1375" s="1365" t="n">
        <f aca="false">J1375/1792.8</f>
        <v>0</v>
      </c>
      <c r="L1375" s="714"/>
      <c r="M1375" s="934" t="n">
        <f aca="false">SUM(M1369:M1374)</f>
        <v>739.691757771828</v>
      </c>
    </row>
    <row r="1376" customFormat="false" ht="15" hidden="false" customHeight="false" outlineLevel="0" collapsed="false">
      <c r="A1376" s="216" t="s">
        <v>866</v>
      </c>
      <c r="B1376" s="29" t="s">
        <v>3102</v>
      </c>
      <c r="C1376" s="1161" t="s">
        <v>4568</v>
      </c>
      <c r="D1376" s="912" t="n">
        <v>2007</v>
      </c>
      <c r="E1376" s="317" t="n">
        <f aca="false">2021-D1376</f>
        <v>14</v>
      </c>
      <c r="F1376" s="873" t="n">
        <v>5635700</v>
      </c>
      <c r="G1376" s="1413" t="n">
        <v>0.1</v>
      </c>
      <c r="H1376" s="547" t="n">
        <f aca="false">E1376*F1376*G1376</f>
        <v>7889980</v>
      </c>
      <c r="I1376" s="547" t="n">
        <f aca="false">F1376-H1376</f>
        <v>-2254280</v>
      </c>
      <c r="J1376" s="547" t="n">
        <f aca="false">F1376*G1376</f>
        <v>563570</v>
      </c>
      <c r="K1376" s="1365" t="n">
        <f aca="false">J1376/1792.8</f>
        <v>314.351851851852</v>
      </c>
      <c r="L1376" s="547" t="n">
        <v>90</v>
      </c>
      <c r="M1376" s="819" t="n">
        <f aca="false">K1376*L1376/60</f>
        <v>471.527777777778</v>
      </c>
    </row>
    <row r="1377" customFormat="false" ht="15" hidden="false" customHeight="false" outlineLevel="0" collapsed="false">
      <c r="A1377" s="216"/>
      <c r="B1377" s="78"/>
      <c r="C1377" s="1161" t="s">
        <v>6975</v>
      </c>
      <c r="D1377" s="912" t="n">
        <v>2006</v>
      </c>
      <c r="E1377" s="317" t="n">
        <f aca="false">2021-D1377</f>
        <v>15</v>
      </c>
      <c r="F1377" s="547" t="n">
        <v>147200</v>
      </c>
      <c r="G1377" s="1413" t="n">
        <v>0.1</v>
      </c>
      <c r="H1377" s="547" t="n">
        <f aca="false">E1377*F1377*G1377</f>
        <v>220800</v>
      </c>
      <c r="I1377" s="547" t="n">
        <f aca="false">F1377-H1377</f>
        <v>-73600</v>
      </c>
      <c r="J1377" s="547" t="n">
        <f aca="false">F1377*G1377</f>
        <v>14720</v>
      </c>
      <c r="K1377" s="1365" t="n">
        <f aca="false">J1377/1792.8</f>
        <v>8.21062025881303</v>
      </c>
      <c r="L1377" s="547" t="n">
        <v>30</v>
      </c>
      <c r="M1377" s="819" t="n">
        <f aca="false">K1377*L1377/60</f>
        <v>4.10531012940652</v>
      </c>
    </row>
    <row r="1378" customFormat="false" ht="15" hidden="false" customHeight="false" outlineLevel="0" collapsed="false">
      <c r="A1378" s="216"/>
      <c r="B1378" s="78"/>
      <c r="C1378" s="1161" t="s">
        <v>6979</v>
      </c>
      <c r="D1378" s="912" t="n">
        <v>2005</v>
      </c>
      <c r="E1378" s="317" t="n">
        <f aca="false">2021-D1378</f>
        <v>16</v>
      </c>
      <c r="F1378" s="547" t="n">
        <v>1400000</v>
      </c>
      <c r="G1378" s="1413" t="n">
        <v>0.1</v>
      </c>
      <c r="H1378" s="547" t="n">
        <f aca="false">E1378*F1378*G1378</f>
        <v>2240000</v>
      </c>
      <c r="I1378" s="547" t="n">
        <f aca="false">F1378-H1378</f>
        <v>-840000</v>
      </c>
      <c r="J1378" s="547" t="n">
        <f aca="false">F1378*G1378</f>
        <v>140000</v>
      </c>
      <c r="K1378" s="1365" t="n">
        <f aca="false">J1378/1792.8</f>
        <v>78.0901383311022</v>
      </c>
      <c r="L1378" s="547" t="n">
        <v>30</v>
      </c>
      <c r="M1378" s="819" t="n">
        <f aca="false">K1378*L1378/60</f>
        <v>39.0450691655511</v>
      </c>
    </row>
    <row r="1379" customFormat="false" ht="15" hidden="false" customHeight="false" outlineLevel="0" collapsed="false">
      <c r="A1379" s="216"/>
      <c r="B1379" s="78"/>
      <c r="C1379" s="1161" t="s">
        <v>6934</v>
      </c>
      <c r="D1379" s="912" t="n">
        <v>2007</v>
      </c>
      <c r="E1379" s="317" t="n">
        <f aca="false">2021-D1379</f>
        <v>14</v>
      </c>
      <c r="F1379" s="873" t="n">
        <v>491000</v>
      </c>
      <c r="G1379" s="1413" t="n">
        <v>0.1</v>
      </c>
      <c r="H1379" s="547" t="n">
        <f aca="false">E1379*F1379*G1379</f>
        <v>687400</v>
      </c>
      <c r="I1379" s="547" t="n">
        <f aca="false">F1379-H1379</f>
        <v>-196400</v>
      </c>
      <c r="J1379" s="547" t="n">
        <f aca="false">F1379*G1379</f>
        <v>49100</v>
      </c>
      <c r="K1379" s="1365" t="n">
        <f aca="false">J1379/1792.8</f>
        <v>27.3873270861223</v>
      </c>
      <c r="L1379" s="547" t="n">
        <v>10</v>
      </c>
      <c r="M1379" s="819" t="n">
        <f aca="false">K1379*L1379/60</f>
        <v>4.56455451435371</v>
      </c>
    </row>
    <row r="1380" customFormat="false" ht="15" hidden="false" customHeight="false" outlineLevel="0" collapsed="false">
      <c r="A1380" s="216"/>
      <c r="B1380" s="972" t="s">
        <v>4128</v>
      </c>
      <c r="C1380" s="1160"/>
      <c r="D1380" s="391"/>
      <c r="E1380" s="317"/>
      <c r="F1380" s="714"/>
      <c r="G1380" s="1414"/>
      <c r="H1380" s="547"/>
      <c r="I1380" s="547"/>
      <c r="J1380" s="547"/>
      <c r="K1380" s="1365" t="n">
        <f aca="false">J1380/1792.8</f>
        <v>0</v>
      </c>
      <c r="L1380" s="714"/>
      <c r="M1380" s="934" t="n">
        <f aca="false">SUM(M1376:M1379)</f>
        <v>519.242711587089</v>
      </c>
    </row>
    <row r="1381" customFormat="false" ht="15" hidden="false" customHeight="false" outlineLevel="0" collapsed="false">
      <c r="A1381" s="216" t="s">
        <v>7048</v>
      </c>
      <c r="B1381" s="29" t="s">
        <v>3149</v>
      </c>
      <c r="C1381" s="1161" t="s">
        <v>6974</v>
      </c>
      <c r="D1381" s="912" t="n">
        <v>2006</v>
      </c>
      <c r="E1381" s="317" t="n">
        <f aca="false">2021-D1381</f>
        <v>15</v>
      </c>
      <c r="F1381" s="547" t="n">
        <v>526970</v>
      </c>
      <c r="G1381" s="1413" t="n">
        <v>0.1</v>
      </c>
      <c r="H1381" s="547" t="n">
        <f aca="false">E1381*F1381*G1381</f>
        <v>790455</v>
      </c>
      <c r="I1381" s="547" t="n">
        <f aca="false">F1381-H1381</f>
        <v>-263485</v>
      </c>
      <c r="J1381" s="547" t="n">
        <f aca="false">F1381*G1381</f>
        <v>52697</v>
      </c>
      <c r="K1381" s="1365" t="n">
        <f aca="false">J1381/1792.8</f>
        <v>29.3936858545292</v>
      </c>
      <c r="L1381" s="547" t="n">
        <v>15</v>
      </c>
      <c r="M1381" s="819" t="n">
        <f aca="false">K1381*L1381/60</f>
        <v>7.34842146363231</v>
      </c>
    </row>
    <row r="1382" customFormat="false" ht="15" hidden="false" customHeight="false" outlineLevel="0" collapsed="false">
      <c r="A1382" s="216"/>
      <c r="B1382" s="78"/>
      <c r="C1382" s="1161" t="s">
        <v>4568</v>
      </c>
      <c r="D1382" s="912" t="n">
        <v>2007</v>
      </c>
      <c r="E1382" s="317" t="n">
        <f aca="false">2021-D1382</f>
        <v>14</v>
      </c>
      <c r="F1382" s="873" t="n">
        <v>5635700</v>
      </c>
      <c r="G1382" s="1413" t="n">
        <v>0.1</v>
      </c>
      <c r="H1382" s="547" t="n">
        <f aca="false">E1382*F1382*G1382</f>
        <v>7889980</v>
      </c>
      <c r="I1382" s="547" t="n">
        <f aca="false">F1382-H1382</f>
        <v>-2254280</v>
      </c>
      <c r="J1382" s="547" t="n">
        <f aca="false">F1382*G1382</f>
        <v>563570</v>
      </c>
      <c r="K1382" s="1365" t="n">
        <f aca="false">J1382/1792.8</f>
        <v>314.351851851852</v>
      </c>
      <c r="L1382" s="547" t="n">
        <v>180</v>
      </c>
      <c r="M1382" s="819" t="n">
        <f aca="false">K1382*L1382/60</f>
        <v>943.055555555556</v>
      </c>
    </row>
    <row r="1383" customFormat="false" ht="15" hidden="false" customHeight="false" outlineLevel="0" collapsed="false">
      <c r="A1383" s="216"/>
      <c r="B1383" s="78"/>
      <c r="C1383" s="1161" t="s">
        <v>6934</v>
      </c>
      <c r="D1383" s="912" t="n">
        <v>2007</v>
      </c>
      <c r="E1383" s="317" t="n">
        <f aca="false">2021-D1383</f>
        <v>14</v>
      </c>
      <c r="F1383" s="873" t="n">
        <v>491000</v>
      </c>
      <c r="G1383" s="1413" t="n">
        <v>0.1</v>
      </c>
      <c r="H1383" s="547" t="n">
        <f aca="false">E1383*F1383*G1383</f>
        <v>687400</v>
      </c>
      <c r="I1383" s="547" t="n">
        <f aca="false">F1383-H1383</f>
        <v>-196400</v>
      </c>
      <c r="J1383" s="547" t="n">
        <f aca="false">F1383*G1383</f>
        <v>49100</v>
      </c>
      <c r="K1383" s="1365" t="n">
        <f aca="false">J1383/1792.8</f>
        <v>27.3873270861223</v>
      </c>
      <c r="L1383" s="547" t="n">
        <v>10</v>
      </c>
      <c r="M1383" s="819" t="n">
        <f aca="false">K1383*L1383/60</f>
        <v>4.56455451435371</v>
      </c>
    </row>
    <row r="1384" customFormat="false" ht="15" hidden="false" customHeight="false" outlineLevel="0" collapsed="false">
      <c r="A1384" s="216"/>
      <c r="B1384" s="972" t="s">
        <v>4128</v>
      </c>
      <c r="C1384" s="1160"/>
      <c r="D1384" s="391"/>
      <c r="E1384" s="317"/>
      <c r="F1384" s="714"/>
      <c r="G1384" s="1414"/>
      <c r="H1384" s="547"/>
      <c r="I1384" s="547"/>
      <c r="J1384" s="547"/>
      <c r="K1384" s="1365" t="n">
        <f aca="false">J1384/1792.8</f>
        <v>0</v>
      </c>
      <c r="L1384" s="714"/>
      <c r="M1384" s="934" t="n">
        <f aca="false">SUM(M1381:M1383)</f>
        <v>954.968531533542</v>
      </c>
    </row>
    <row r="1385" customFormat="false" ht="61.5" hidden="false" customHeight="true" outlineLevel="0" collapsed="false">
      <c r="A1385" s="15" t="s">
        <v>4978</v>
      </c>
      <c r="B1385" s="16" t="s">
        <v>3230</v>
      </c>
      <c r="C1385" s="16"/>
      <c r="D1385" s="339"/>
      <c r="E1385" s="1389"/>
      <c r="F1385" s="751"/>
      <c r="G1385" s="751"/>
      <c r="H1385" s="751"/>
      <c r="I1385" s="751"/>
      <c r="J1385" s="751"/>
      <c r="K1385" s="751"/>
      <c r="L1385" s="751"/>
      <c r="M1385" s="818"/>
    </row>
    <row r="1386" customFormat="false" ht="45" hidden="false" customHeight="false" outlineLevel="0" collapsed="false">
      <c r="A1386" s="216" t="s">
        <v>4979</v>
      </c>
      <c r="B1386" s="59" t="s">
        <v>3231</v>
      </c>
      <c r="C1386" s="1161" t="s">
        <v>6934</v>
      </c>
      <c r="D1386" s="912" t="n">
        <v>2007</v>
      </c>
      <c r="E1386" s="317" t="n">
        <f aca="false">2021-D1386</f>
        <v>14</v>
      </c>
      <c r="F1386" s="873" t="n">
        <v>491000</v>
      </c>
      <c r="G1386" s="1413" t="n">
        <v>0.1</v>
      </c>
      <c r="H1386" s="547" t="n">
        <f aca="false">E1386*F1386*G1386</f>
        <v>687400</v>
      </c>
      <c r="I1386" s="547" t="n">
        <f aca="false">F1386-H1386</f>
        <v>-196400</v>
      </c>
      <c r="J1386" s="547" t="n">
        <f aca="false">F1386*G1386</f>
        <v>49100</v>
      </c>
      <c r="K1386" s="1365" t="n">
        <f aca="false">J1386/1792.8</f>
        <v>27.3873270861223</v>
      </c>
      <c r="L1386" s="547" t="n">
        <v>10</v>
      </c>
      <c r="M1386" s="934" t="n">
        <f aca="false">K1386*L1386/60</f>
        <v>4.56455451435371</v>
      </c>
    </row>
    <row r="1387" customFormat="false" ht="15" hidden="false" customHeight="false" outlineLevel="0" collapsed="false">
      <c r="A1387" s="216" t="s">
        <v>4981</v>
      </c>
      <c r="B1387" s="59" t="s">
        <v>4982</v>
      </c>
      <c r="C1387" s="1161" t="s">
        <v>6934</v>
      </c>
      <c r="D1387" s="912" t="n">
        <v>2007</v>
      </c>
      <c r="E1387" s="317" t="n">
        <f aca="false">2021-D1387</f>
        <v>14</v>
      </c>
      <c r="F1387" s="873" t="n">
        <v>491000</v>
      </c>
      <c r="G1387" s="1413" t="n">
        <v>0.1</v>
      </c>
      <c r="H1387" s="547" t="n">
        <f aca="false">E1387*F1387*G1387</f>
        <v>687400</v>
      </c>
      <c r="I1387" s="547" t="n">
        <f aca="false">F1387-H1387</f>
        <v>-196400</v>
      </c>
      <c r="J1387" s="547" t="n">
        <f aca="false">F1387*G1387</f>
        <v>49100</v>
      </c>
      <c r="K1387" s="1365" t="n">
        <f aca="false">J1387/1792.8</f>
        <v>27.3873270861223</v>
      </c>
      <c r="L1387" s="547" t="n">
        <v>10</v>
      </c>
      <c r="M1387" s="934" t="n">
        <f aca="false">K1387*L1387/60</f>
        <v>4.56455451435371</v>
      </c>
    </row>
    <row r="1388" customFormat="false" ht="15" hidden="false" customHeight="false" outlineLevel="0" collapsed="false">
      <c r="A1388" s="216" t="s">
        <v>4987</v>
      </c>
      <c r="B1388" s="59" t="s">
        <v>3233</v>
      </c>
      <c r="C1388" s="1161" t="s">
        <v>6992</v>
      </c>
      <c r="D1388" s="912" t="n">
        <v>2005</v>
      </c>
      <c r="E1388" s="317" t="n">
        <f aca="false">2021-D1388</f>
        <v>16</v>
      </c>
      <c r="F1388" s="547" t="n">
        <v>60000</v>
      </c>
      <c r="G1388" s="1413" t="n">
        <v>0.1</v>
      </c>
      <c r="H1388" s="547" t="n">
        <f aca="false">E1388*F1388*G1388</f>
        <v>96000</v>
      </c>
      <c r="I1388" s="547" t="n">
        <f aca="false">F1388-H1388</f>
        <v>-36000</v>
      </c>
      <c r="J1388" s="547" t="n">
        <f aca="false">F1388*G1388</f>
        <v>6000</v>
      </c>
      <c r="K1388" s="1365" t="n">
        <f aca="false">J1388/1792.8</f>
        <v>3.34672021419009</v>
      </c>
      <c r="L1388" s="547" t="n">
        <v>30</v>
      </c>
      <c r="M1388" s="934" t="n">
        <f aca="false">K1388*L1388/60</f>
        <v>1.67336010709505</v>
      </c>
    </row>
    <row r="1389" customFormat="false" ht="15" hidden="false" customHeight="false" outlineLevel="0" collapsed="false">
      <c r="A1389" s="216" t="s">
        <v>4988</v>
      </c>
      <c r="B1389" s="59" t="s">
        <v>3234</v>
      </c>
      <c r="C1389" s="1161" t="s">
        <v>6934</v>
      </c>
      <c r="D1389" s="912" t="n">
        <v>2007</v>
      </c>
      <c r="E1389" s="317" t="n">
        <f aca="false">2021-D1389</f>
        <v>14</v>
      </c>
      <c r="F1389" s="873" t="n">
        <v>491000</v>
      </c>
      <c r="G1389" s="1413" t="n">
        <v>0.1</v>
      </c>
      <c r="H1389" s="547" t="n">
        <f aca="false">E1389*F1389*G1389</f>
        <v>687400</v>
      </c>
      <c r="I1389" s="547" t="n">
        <f aca="false">F1389-H1389</f>
        <v>-196400</v>
      </c>
      <c r="J1389" s="547" t="n">
        <f aca="false">F1389*G1389</f>
        <v>49100</v>
      </c>
      <c r="K1389" s="1365" t="n">
        <f aca="false">J1389/1792.8</f>
        <v>27.3873270861223</v>
      </c>
      <c r="L1389" s="547" t="n">
        <v>10</v>
      </c>
      <c r="M1389" s="819" t="n">
        <f aca="false">K1389*L1389/60</f>
        <v>4.56455451435371</v>
      </c>
    </row>
    <row r="1390" customFormat="false" ht="15" hidden="false" customHeight="false" outlineLevel="0" collapsed="false">
      <c r="A1390" s="216"/>
      <c r="B1390" s="78"/>
      <c r="C1390" s="1161" t="s">
        <v>7018</v>
      </c>
      <c r="D1390" s="912" t="n">
        <v>2005</v>
      </c>
      <c r="E1390" s="317" t="n">
        <f aca="false">2021-D1390</f>
        <v>16</v>
      </c>
      <c r="F1390" s="547" t="n">
        <v>98600</v>
      </c>
      <c r="G1390" s="1413" t="n">
        <v>0.1</v>
      </c>
      <c r="H1390" s="547" t="n">
        <f aca="false">E1390*F1390*G1390</f>
        <v>157760</v>
      </c>
      <c r="I1390" s="547" t="n">
        <f aca="false">F1390-H1390</f>
        <v>-59160</v>
      </c>
      <c r="J1390" s="547" t="n">
        <f aca="false">F1390*G1390</f>
        <v>9860</v>
      </c>
      <c r="K1390" s="1365" t="n">
        <f aca="false">J1390/1792.8</f>
        <v>5.49977688531905</v>
      </c>
      <c r="L1390" s="547" t="n">
        <v>30</v>
      </c>
      <c r="M1390" s="819" t="n">
        <f aca="false">K1390*L1390/60</f>
        <v>2.74988844265953</v>
      </c>
    </row>
    <row r="1391" customFormat="false" ht="15" hidden="false" customHeight="false" outlineLevel="0" collapsed="false">
      <c r="A1391" s="216"/>
      <c r="B1391" s="972" t="s">
        <v>4128</v>
      </c>
      <c r="C1391" s="1160"/>
      <c r="D1391" s="391"/>
      <c r="E1391" s="317"/>
      <c r="F1391" s="714"/>
      <c r="G1391" s="1414"/>
      <c r="H1391" s="547"/>
      <c r="I1391" s="547"/>
      <c r="J1391" s="547"/>
      <c r="K1391" s="1365" t="n">
        <f aca="false">J1391/1792.8</f>
        <v>0</v>
      </c>
      <c r="L1391" s="714"/>
      <c r="M1391" s="934" t="n">
        <f aca="false">SUM(M1389:M1390)</f>
        <v>7.31444295701324</v>
      </c>
    </row>
    <row r="1392" customFormat="false" ht="28.5" hidden="false" customHeight="true" outlineLevel="0" collapsed="false">
      <c r="A1392" s="15" t="s">
        <v>4990</v>
      </c>
      <c r="B1392" s="16" t="s">
        <v>3338</v>
      </c>
      <c r="C1392" s="16"/>
      <c r="D1392" s="339"/>
      <c r="E1392" s="1389"/>
      <c r="F1392" s="751"/>
      <c r="G1392" s="751"/>
      <c r="H1392" s="751"/>
      <c r="I1392" s="751"/>
      <c r="J1392" s="751"/>
      <c r="K1392" s="751"/>
      <c r="L1392" s="751"/>
      <c r="M1392" s="818"/>
    </row>
    <row r="1393" customFormat="false" ht="30" hidden="false" customHeight="false" outlineLevel="0" collapsed="false">
      <c r="A1393" s="216" t="s">
        <v>4992</v>
      </c>
      <c r="B1393" s="29" t="s">
        <v>3010</v>
      </c>
      <c r="C1393" s="1161" t="s">
        <v>6934</v>
      </c>
      <c r="D1393" s="912" t="n">
        <v>2007</v>
      </c>
      <c r="E1393" s="317" t="n">
        <f aca="false">2021-D1393</f>
        <v>14</v>
      </c>
      <c r="F1393" s="873" t="n">
        <v>491000</v>
      </c>
      <c r="G1393" s="1413" t="n">
        <v>0.1</v>
      </c>
      <c r="H1393" s="547" t="n">
        <f aca="false">E1393*F1393*G1393</f>
        <v>687400</v>
      </c>
      <c r="I1393" s="547" t="n">
        <f aca="false">F1393-H1393</f>
        <v>-196400</v>
      </c>
      <c r="J1393" s="547" t="n">
        <f aca="false">F1393*G1393</f>
        <v>49100</v>
      </c>
      <c r="K1393" s="1365" t="n">
        <f aca="false">J1393/1792.8</f>
        <v>27.3873270861223</v>
      </c>
      <c r="L1393" s="547" t="n">
        <v>10</v>
      </c>
      <c r="M1393" s="819" t="n">
        <f aca="false">K1393*L1393/60</f>
        <v>4.56455451435371</v>
      </c>
    </row>
    <row r="1394" customFormat="false" ht="15" hidden="false" customHeight="false" outlineLevel="0" collapsed="false">
      <c r="A1394" s="216"/>
      <c r="B1394" s="78"/>
      <c r="C1394" s="1161" t="s">
        <v>7018</v>
      </c>
      <c r="D1394" s="912" t="n">
        <v>2005</v>
      </c>
      <c r="E1394" s="317" t="n">
        <f aca="false">2021-D1394</f>
        <v>16</v>
      </c>
      <c r="F1394" s="547" t="n">
        <v>98600</v>
      </c>
      <c r="G1394" s="1413" t="n">
        <v>0.1</v>
      </c>
      <c r="H1394" s="547" t="n">
        <f aca="false">E1394*F1394*G1394</f>
        <v>157760</v>
      </c>
      <c r="I1394" s="547" t="n">
        <f aca="false">F1394-H1394</f>
        <v>-59160</v>
      </c>
      <c r="J1394" s="547" t="n">
        <f aca="false">F1394*G1394</f>
        <v>9860</v>
      </c>
      <c r="K1394" s="1365" t="n">
        <f aca="false">J1394/1792.8</f>
        <v>5.49977688531905</v>
      </c>
      <c r="L1394" s="547" t="n">
        <v>30</v>
      </c>
      <c r="M1394" s="819" t="n">
        <f aca="false">K1394*L1394/60</f>
        <v>2.74988844265953</v>
      </c>
    </row>
    <row r="1395" customFormat="false" ht="15" hidden="false" customHeight="false" outlineLevel="0" collapsed="false">
      <c r="A1395" s="216"/>
      <c r="B1395" s="972" t="s">
        <v>4128</v>
      </c>
      <c r="C1395" s="1160"/>
      <c r="D1395" s="391"/>
      <c r="E1395" s="317"/>
      <c r="F1395" s="714"/>
      <c r="G1395" s="1414"/>
      <c r="H1395" s="547"/>
      <c r="I1395" s="547"/>
      <c r="J1395" s="547"/>
      <c r="K1395" s="1365" t="n">
        <f aca="false">J1395/1792.8</f>
        <v>0</v>
      </c>
      <c r="L1395" s="714"/>
      <c r="M1395" s="934" t="n">
        <f aca="false">SUM(M1393:M1394)</f>
        <v>7.31444295701324</v>
      </c>
    </row>
    <row r="1396" customFormat="false" ht="15" hidden="false" customHeight="false" outlineLevel="0" collapsed="false">
      <c r="A1396" s="216" t="s">
        <v>4993</v>
      </c>
      <c r="B1396" s="40" t="s">
        <v>3236</v>
      </c>
      <c r="C1396" s="1161" t="s">
        <v>6934</v>
      </c>
      <c r="D1396" s="912" t="n">
        <v>2007</v>
      </c>
      <c r="E1396" s="317" t="n">
        <f aca="false">2021-D1396</f>
        <v>14</v>
      </c>
      <c r="F1396" s="873" t="n">
        <v>491000</v>
      </c>
      <c r="G1396" s="1413" t="n">
        <v>0.1</v>
      </c>
      <c r="H1396" s="547" t="n">
        <f aca="false">E1396*F1396*G1396</f>
        <v>687400</v>
      </c>
      <c r="I1396" s="547" t="n">
        <f aca="false">F1396-H1396</f>
        <v>-196400</v>
      </c>
      <c r="J1396" s="547" t="n">
        <f aca="false">F1396*G1396</f>
        <v>49100</v>
      </c>
      <c r="K1396" s="1365" t="n">
        <f aca="false">J1396/1792.8</f>
        <v>27.3873270861223</v>
      </c>
      <c r="L1396" s="547" t="n">
        <v>10</v>
      </c>
      <c r="M1396" s="819" t="n">
        <f aca="false">K1396*L1396/60</f>
        <v>4.56455451435371</v>
      </c>
    </row>
    <row r="1397" customFormat="false" ht="15" hidden="false" customHeight="false" outlineLevel="0" collapsed="false">
      <c r="A1397" s="216"/>
      <c r="B1397" s="78"/>
      <c r="C1397" s="1161" t="s">
        <v>7018</v>
      </c>
      <c r="D1397" s="912" t="n">
        <v>2005</v>
      </c>
      <c r="E1397" s="317" t="n">
        <f aca="false">2021-D1397</f>
        <v>16</v>
      </c>
      <c r="F1397" s="547" t="n">
        <v>98600</v>
      </c>
      <c r="G1397" s="1413" t="n">
        <v>0.1</v>
      </c>
      <c r="H1397" s="547" t="n">
        <f aca="false">E1397*F1397*G1397</f>
        <v>157760</v>
      </c>
      <c r="I1397" s="547" t="n">
        <f aca="false">F1397-H1397</f>
        <v>-59160</v>
      </c>
      <c r="J1397" s="547" t="n">
        <f aca="false">F1397*G1397</f>
        <v>9860</v>
      </c>
      <c r="K1397" s="1365" t="n">
        <f aca="false">J1397/1792.8</f>
        <v>5.49977688531905</v>
      </c>
      <c r="L1397" s="547" t="n">
        <v>30</v>
      </c>
      <c r="M1397" s="819" t="n">
        <f aca="false">K1397*L1397/60</f>
        <v>2.74988844265953</v>
      </c>
    </row>
    <row r="1398" customFormat="false" ht="15" hidden="false" customHeight="false" outlineLevel="0" collapsed="false">
      <c r="A1398" s="216"/>
      <c r="B1398" s="972" t="s">
        <v>4128</v>
      </c>
      <c r="C1398" s="1160"/>
      <c r="D1398" s="391"/>
      <c r="E1398" s="317"/>
      <c r="F1398" s="714"/>
      <c r="G1398" s="1414"/>
      <c r="H1398" s="547"/>
      <c r="I1398" s="547"/>
      <c r="J1398" s="547"/>
      <c r="K1398" s="1365" t="n">
        <f aca="false">J1398/1792.8</f>
        <v>0</v>
      </c>
      <c r="L1398" s="714"/>
      <c r="M1398" s="934" t="n">
        <f aca="false">SUM(M1396:M1397)</f>
        <v>7.31444295701324</v>
      </c>
    </row>
    <row r="1399" customFormat="false" ht="15" hidden="false" customHeight="false" outlineLevel="0" collapsed="false">
      <c r="A1399" s="216" t="s">
        <v>4994</v>
      </c>
      <c r="B1399" s="40" t="s">
        <v>3237</v>
      </c>
      <c r="C1399" s="1161" t="s">
        <v>6934</v>
      </c>
      <c r="D1399" s="912" t="n">
        <v>2007</v>
      </c>
      <c r="E1399" s="317" t="n">
        <f aca="false">2021-D1399</f>
        <v>14</v>
      </c>
      <c r="F1399" s="873" t="n">
        <v>491000</v>
      </c>
      <c r="G1399" s="1413" t="n">
        <v>0.1</v>
      </c>
      <c r="H1399" s="547" t="n">
        <f aca="false">E1399*F1399*G1399</f>
        <v>687400</v>
      </c>
      <c r="I1399" s="547" t="n">
        <f aca="false">F1399-H1399</f>
        <v>-196400</v>
      </c>
      <c r="J1399" s="547" t="n">
        <f aca="false">F1399*G1399</f>
        <v>49100</v>
      </c>
      <c r="K1399" s="1365" t="n">
        <f aca="false">J1399/1792.8</f>
        <v>27.3873270861223</v>
      </c>
      <c r="L1399" s="547" t="n">
        <v>10</v>
      </c>
      <c r="M1399" s="819" t="n">
        <f aca="false">K1399*L1399/60</f>
        <v>4.56455451435371</v>
      </c>
    </row>
    <row r="1400" customFormat="false" ht="15" hidden="false" customHeight="false" outlineLevel="0" collapsed="false">
      <c r="A1400" s="216"/>
      <c r="B1400" s="78"/>
      <c r="C1400" s="1161" t="s">
        <v>6994</v>
      </c>
      <c r="D1400" s="912" t="n">
        <v>2003</v>
      </c>
      <c r="E1400" s="317" t="n">
        <f aca="false">2021-D1400</f>
        <v>18</v>
      </c>
      <c r="F1400" s="547" t="n">
        <v>940300</v>
      </c>
      <c r="G1400" s="1413" t="n">
        <v>0.1</v>
      </c>
      <c r="H1400" s="547" t="n">
        <f aca="false">F1400</f>
        <v>940300</v>
      </c>
      <c r="I1400" s="547" t="n">
        <f aca="false">F1400-H1400</f>
        <v>0</v>
      </c>
      <c r="J1400" s="547" t="n">
        <f aca="false">F1400*G1400</f>
        <v>94030</v>
      </c>
      <c r="K1400" s="1365" t="n">
        <f aca="false">J1400/1792.8</f>
        <v>52.4486836233824</v>
      </c>
      <c r="L1400" s="547" t="n">
        <v>30</v>
      </c>
      <c r="M1400" s="819" t="n">
        <f aca="false">K1400*L1400/60</f>
        <v>26.2243418116912</v>
      </c>
    </row>
    <row r="1401" customFormat="false" ht="15" hidden="false" customHeight="false" outlineLevel="0" collapsed="false">
      <c r="A1401" s="216"/>
      <c r="B1401" s="972" t="s">
        <v>4128</v>
      </c>
      <c r="C1401" s="1160"/>
      <c r="D1401" s="391"/>
      <c r="E1401" s="317"/>
      <c r="F1401" s="714"/>
      <c r="G1401" s="1414"/>
      <c r="H1401" s="547"/>
      <c r="I1401" s="547"/>
      <c r="J1401" s="547"/>
      <c r="K1401" s="1365" t="n">
        <f aca="false">J1401/1792.8</f>
        <v>0</v>
      </c>
      <c r="L1401" s="714"/>
      <c r="M1401" s="934" t="n">
        <f aca="false">SUM(M1399:M1400)</f>
        <v>30.7888963260449</v>
      </c>
    </row>
    <row r="1402" customFormat="false" ht="15" hidden="false" customHeight="false" outlineLevel="0" collapsed="false">
      <c r="A1402" s="216" t="s">
        <v>4995</v>
      </c>
      <c r="B1402" s="40" t="s">
        <v>3238</v>
      </c>
      <c r="C1402" s="1161" t="s">
        <v>6934</v>
      </c>
      <c r="D1402" s="912" t="n">
        <v>2007</v>
      </c>
      <c r="E1402" s="317" t="n">
        <f aca="false">2021-D1402</f>
        <v>14</v>
      </c>
      <c r="F1402" s="873" t="n">
        <v>491000</v>
      </c>
      <c r="G1402" s="1413" t="n">
        <v>0.1</v>
      </c>
      <c r="H1402" s="547" t="n">
        <f aca="false">E1402*F1402*G1402</f>
        <v>687400</v>
      </c>
      <c r="I1402" s="547" t="n">
        <f aca="false">F1402-H1402</f>
        <v>-196400</v>
      </c>
      <c r="J1402" s="547" t="n">
        <f aca="false">F1402*G1402</f>
        <v>49100</v>
      </c>
      <c r="K1402" s="1365" t="n">
        <f aca="false">J1402/1792.8</f>
        <v>27.3873270861223</v>
      </c>
      <c r="L1402" s="547" t="n">
        <v>10</v>
      </c>
      <c r="M1402" s="934" t="n">
        <f aca="false">K1402*L1402/60</f>
        <v>4.56455451435371</v>
      </c>
    </row>
    <row r="1403" customFormat="false" ht="15" hidden="false" customHeight="false" outlineLevel="0" collapsed="false">
      <c r="A1403" s="216" t="s">
        <v>5000</v>
      </c>
      <c r="B1403" s="40" t="s">
        <v>3239</v>
      </c>
      <c r="C1403" s="1161" t="s">
        <v>6994</v>
      </c>
      <c r="D1403" s="912" t="n">
        <v>2003</v>
      </c>
      <c r="E1403" s="317" t="n">
        <f aca="false">2021-D1403</f>
        <v>18</v>
      </c>
      <c r="F1403" s="547" t="n">
        <v>940300</v>
      </c>
      <c r="G1403" s="1413" t="n">
        <v>0.1</v>
      </c>
      <c r="H1403" s="547" t="n">
        <f aca="false">F1403</f>
        <v>940300</v>
      </c>
      <c r="I1403" s="547" t="n">
        <f aca="false">F1403-H1403</f>
        <v>0</v>
      </c>
      <c r="J1403" s="547" t="n">
        <f aca="false">F1403*G1403</f>
        <v>94030</v>
      </c>
      <c r="K1403" s="1365" t="n">
        <f aca="false">J1403/1792.8</f>
        <v>52.4486836233824</v>
      </c>
      <c r="L1403" s="547" t="n">
        <v>30</v>
      </c>
      <c r="M1403" s="819" t="n">
        <f aca="false">K1403*L1403/60</f>
        <v>26.2243418116912</v>
      </c>
    </row>
    <row r="1404" customFormat="false" ht="15" hidden="false" customHeight="false" outlineLevel="0" collapsed="false">
      <c r="A1404" s="216"/>
      <c r="B1404" s="78"/>
      <c r="C1404" s="1161" t="s">
        <v>6934</v>
      </c>
      <c r="D1404" s="912" t="n">
        <v>2007</v>
      </c>
      <c r="E1404" s="317" t="n">
        <f aca="false">2021-D1404</f>
        <v>14</v>
      </c>
      <c r="F1404" s="873" t="n">
        <v>491000</v>
      </c>
      <c r="G1404" s="1413" t="n">
        <v>0.1</v>
      </c>
      <c r="H1404" s="547" t="n">
        <f aca="false">E1404*F1404*G1404</f>
        <v>687400</v>
      </c>
      <c r="I1404" s="547" t="n">
        <f aca="false">F1404-H1404</f>
        <v>-196400</v>
      </c>
      <c r="J1404" s="547" t="n">
        <f aca="false">F1404*G1404</f>
        <v>49100</v>
      </c>
      <c r="K1404" s="1365" t="n">
        <f aca="false">J1404/1792.8</f>
        <v>27.3873270861223</v>
      </c>
      <c r="L1404" s="547" t="n">
        <v>10</v>
      </c>
      <c r="M1404" s="819" t="n">
        <f aca="false">K1404*L1404/60</f>
        <v>4.56455451435371</v>
      </c>
    </row>
    <row r="1405" customFormat="false" ht="15" hidden="false" customHeight="false" outlineLevel="0" collapsed="false">
      <c r="A1405" s="216"/>
      <c r="B1405" s="78"/>
      <c r="C1405" s="1161" t="s">
        <v>6935</v>
      </c>
      <c r="D1405" s="912" t="n">
        <v>2005</v>
      </c>
      <c r="E1405" s="317" t="n">
        <f aca="false">2021-D1405</f>
        <v>16</v>
      </c>
      <c r="F1405" s="547" t="n">
        <v>98600</v>
      </c>
      <c r="G1405" s="1413" t="n">
        <v>0.1</v>
      </c>
      <c r="H1405" s="547" t="n">
        <f aca="false">E1405*F1405*G1405</f>
        <v>157760</v>
      </c>
      <c r="I1405" s="547" t="n">
        <f aca="false">F1405-H1405</f>
        <v>-59160</v>
      </c>
      <c r="J1405" s="547" t="n">
        <f aca="false">F1405*G1405</f>
        <v>9860</v>
      </c>
      <c r="K1405" s="1365" t="n">
        <f aca="false">J1405/1792.8</f>
        <v>5.49977688531905</v>
      </c>
      <c r="L1405" s="547" t="n">
        <v>30</v>
      </c>
      <c r="M1405" s="819" t="n">
        <f aca="false">K1405*L1405/60</f>
        <v>2.74988844265953</v>
      </c>
    </row>
    <row r="1406" customFormat="false" ht="15" hidden="false" customHeight="false" outlineLevel="0" collapsed="false">
      <c r="A1406" s="216"/>
      <c r="B1406" s="972" t="s">
        <v>4128</v>
      </c>
      <c r="C1406" s="1160"/>
      <c r="D1406" s="391"/>
      <c r="E1406" s="317"/>
      <c r="F1406" s="714"/>
      <c r="G1406" s="1414"/>
      <c r="H1406" s="547"/>
      <c r="I1406" s="547"/>
      <c r="J1406" s="547"/>
      <c r="K1406" s="1365" t="n">
        <f aca="false">J1406/1792.8</f>
        <v>0</v>
      </c>
      <c r="L1406" s="714"/>
      <c r="M1406" s="934" t="n">
        <f aca="false">SUM(M1403:M1405)</f>
        <v>33.5387847687045</v>
      </c>
    </row>
    <row r="1407" customFormat="false" ht="25.5" hidden="false" customHeight="true" outlineLevel="0" collapsed="false">
      <c r="A1407" s="15" t="s">
        <v>5001</v>
      </c>
      <c r="B1407" s="54" t="s">
        <v>3240</v>
      </c>
      <c r="C1407" s="1387"/>
      <c r="D1407" s="339"/>
      <c r="E1407" s="1389"/>
      <c r="F1407" s="751"/>
      <c r="G1407" s="1412"/>
      <c r="H1407" s="751"/>
      <c r="I1407" s="751"/>
      <c r="J1407" s="751"/>
      <c r="K1407" s="751"/>
      <c r="L1407" s="751"/>
      <c r="M1407" s="818"/>
    </row>
    <row r="1408" customFormat="false" ht="15" hidden="false" customHeight="false" outlineLevel="0" collapsed="false">
      <c r="A1408" s="216" t="s">
        <v>5002</v>
      </c>
      <c r="B1408" s="40" t="s">
        <v>3241</v>
      </c>
      <c r="C1408" s="1161" t="s">
        <v>6934</v>
      </c>
      <c r="D1408" s="912" t="n">
        <v>2005</v>
      </c>
      <c r="E1408" s="317" t="n">
        <f aca="false">2021-D1408</f>
        <v>16</v>
      </c>
      <c r="F1408" s="547" t="n">
        <v>90680</v>
      </c>
      <c r="G1408" s="1413" t="n">
        <v>0.1</v>
      </c>
      <c r="H1408" s="547" t="n">
        <f aca="false">E1408*F1408*G1408</f>
        <v>145088</v>
      </c>
      <c r="I1408" s="547" t="n">
        <f aca="false">F1408-H1408</f>
        <v>-54408</v>
      </c>
      <c r="J1408" s="547" t="n">
        <f aca="false">F1408*G1408</f>
        <v>9068</v>
      </c>
      <c r="K1408" s="1365" t="n">
        <f aca="false">J1408/1792.8</f>
        <v>5.05800981704596</v>
      </c>
      <c r="L1408" s="547" t="n">
        <v>10</v>
      </c>
      <c r="M1408" s="819" t="n">
        <f aca="false">K1408*L1408/60</f>
        <v>0.843001636174327</v>
      </c>
    </row>
    <row r="1409" customFormat="false" ht="15" hidden="false" customHeight="false" outlineLevel="0" collapsed="false">
      <c r="A1409" s="1369"/>
      <c r="B1409" s="971"/>
      <c r="C1409" s="1161" t="s">
        <v>6943</v>
      </c>
      <c r="D1409" s="912" t="n">
        <v>2006</v>
      </c>
      <c r="E1409" s="317" t="n">
        <f aca="false">2021-D1409</f>
        <v>15</v>
      </c>
      <c r="F1409" s="547" t="n">
        <v>1503927</v>
      </c>
      <c r="G1409" s="1413" t="n">
        <v>0.1</v>
      </c>
      <c r="H1409" s="547" t="n">
        <f aca="false">E1409*F1409*G1409</f>
        <v>2255890.5</v>
      </c>
      <c r="I1409" s="547" t="n">
        <f aca="false">F1409-H1409</f>
        <v>-751963.5</v>
      </c>
      <c r="J1409" s="547" t="n">
        <f aca="false">F1409*G1409</f>
        <v>150392.7</v>
      </c>
      <c r="K1409" s="1365" t="n">
        <f aca="false">J1409/1792.8</f>
        <v>83.8870481927711</v>
      </c>
      <c r="L1409" s="547" t="n">
        <v>40</v>
      </c>
      <c r="M1409" s="819" t="n">
        <f aca="false">K1409*L1409/60</f>
        <v>55.9246987951807</v>
      </c>
    </row>
    <row r="1410" customFormat="false" ht="15" hidden="false" customHeight="false" outlineLevel="0" collapsed="false">
      <c r="A1410" s="216"/>
      <c r="B1410" s="971" t="s">
        <v>4128</v>
      </c>
      <c r="C1410" s="1160"/>
      <c r="D1410" s="391"/>
      <c r="E1410" s="317"/>
      <c r="F1410" s="714"/>
      <c r="G1410" s="1414"/>
      <c r="H1410" s="547"/>
      <c r="I1410" s="547"/>
      <c r="J1410" s="547"/>
      <c r="K1410" s="1365" t="n">
        <f aca="false">J1410/1792.8</f>
        <v>0</v>
      </c>
      <c r="L1410" s="714"/>
      <c r="M1410" s="934" t="n">
        <f aca="false">SUM(M1408:M1409)</f>
        <v>56.7677004313551</v>
      </c>
    </row>
    <row r="1411" customFormat="false" ht="15" hidden="false" customHeight="false" outlineLevel="0" collapsed="false">
      <c r="A1411" s="216" t="s">
        <v>892</v>
      </c>
      <c r="B1411" s="40" t="s">
        <v>3242</v>
      </c>
      <c r="C1411" s="1161" t="s">
        <v>4568</v>
      </c>
      <c r="D1411" s="912" t="n">
        <v>2003</v>
      </c>
      <c r="E1411" s="317" t="n">
        <f aca="false">2021-D1411</f>
        <v>18</v>
      </c>
      <c r="F1411" s="547" t="n">
        <v>12704749</v>
      </c>
      <c r="G1411" s="1413" t="n">
        <v>0.1</v>
      </c>
      <c r="H1411" s="547" t="n">
        <f aca="false">F1411</f>
        <v>12704749</v>
      </c>
      <c r="I1411" s="547" t="n">
        <f aca="false">F1411-H1411</f>
        <v>0</v>
      </c>
      <c r="J1411" s="547" t="n">
        <f aca="false">F1411*G1411</f>
        <v>1270474.9</v>
      </c>
      <c r="K1411" s="1365" t="n">
        <f aca="false">J1411/1792.8</f>
        <v>708.654004908523</v>
      </c>
      <c r="L1411" s="547" t="n">
        <v>35</v>
      </c>
      <c r="M1411" s="819" t="n">
        <f aca="false">K1411*L1411/60</f>
        <v>413.381502863305</v>
      </c>
    </row>
    <row r="1412" customFormat="false" ht="15" hidden="false" customHeight="false" outlineLevel="0" collapsed="false">
      <c r="A1412" s="216"/>
      <c r="B1412" s="971"/>
      <c r="C1412" s="1161" t="s">
        <v>6934</v>
      </c>
      <c r="D1412" s="912" t="n">
        <v>2005</v>
      </c>
      <c r="E1412" s="317" t="n">
        <f aca="false">2021-D1412</f>
        <v>16</v>
      </c>
      <c r="F1412" s="547" t="n">
        <v>90680</v>
      </c>
      <c r="G1412" s="1413" t="n">
        <v>0.1</v>
      </c>
      <c r="H1412" s="547" t="n">
        <f aca="false">E1412*F1412*G1412</f>
        <v>145088</v>
      </c>
      <c r="I1412" s="547" t="n">
        <f aca="false">F1412-H1412</f>
        <v>-54408</v>
      </c>
      <c r="J1412" s="547" t="n">
        <f aca="false">F1412*G1412</f>
        <v>9068</v>
      </c>
      <c r="K1412" s="1365" t="n">
        <f aca="false">J1412/1792.8</f>
        <v>5.05800981704596</v>
      </c>
      <c r="L1412" s="547" t="n">
        <v>10</v>
      </c>
      <c r="M1412" s="819" t="n">
        <f aca="false">K1412*L1412/60</f>
        <v>0.843001636174327</v>
      </c>
    </row>
    <row r="1413" customFormat="false" ht="15" hidden="false" customHeight="false" outlineLevel="0" collapsed="false">
      <c r="A1413" s="216"/>
      <c r="B1413" s="971" t="s">
        <v>4128</v>
      </c>
      <c r="C1413" s="1160"/>
      <c r="D1413" s="391"/>
      <c r="E1413" s="317"/>
      <c r="F1413" s="714"/>
      <c r="G1413" s="1414"/>
      <c r="H1413" s="547"/>
      <c r="I1413" s="547"/>
      <c r="J1413" s="547"/>
      <c r="K1413" s="1365" t="n">
        <f aca="false">J1413/1792.8</f>
        <v>0</v>
      </c>
      <c r="L1413" s="714"/>
      <c r="M1413" s="934" t="n">
        <f aca="false">SUM(M1411:M1412)</f>
        <v>414.22450449948</v>
      </c>
    </row>
    <row r="1414" customFormat="false" ht="30" hidden="false" customHeight="false" outlineLevel="0" collapsed="false">
      <c r="A1414" s="216" t="s">
        <v>894</v>
      </c>
      <c r="B1414" s="40" t="s">
        <v>3076</v>
      </c>
      <c r="C1414" s="1161" t="s">
        <v>6934</v>
      </c>
      <c r="D1414" s="912" t="n">
        <v>2005</v>
      </c>
      <c r="E1414" s="317" t="n">
        <f aca="false">2021-D1414</f>
        <v>16</v>
      </c>
      <c r="F1414" s="547" t="n">
        <v>90680</v>
      </c>
      <c r="G1414" s="1413" t="n">
        <v>0.1</v>
      </c>
      <c r="H1414" s="547" t="n">
        <f aca="false">E1414*F1414*G1414</f>
        <v>145088</v>
      </c>
      <c r="I1414" s="547" t="n">
        <f aca="false">F1414-H1414</f>
        <v>-54408</v>
      </c>
      <c r="J1414" s="547" t="n">
        <f aca="false">F1414*G1414</f>
        <v>9068</v>
      </c>
      <c r="K1414" s="1365" t="n">
        <f aca="false">J1414/1792.8</f>
        <v>5.05800981704596</v>
      </c>
      <c r="L1414" s="547" t="n">
        <v>10</v>
      </c>
      <c r="M1414" s="819" t="n">
        <f aca="false">K1414*L1414/60</f>
        <v>0.843001636174327</v>
      </c>
    </row>
    <row r="1415" customFormat="false" ht="15" hidden="false" customHeight="false" outlineLevel="0" collapsed="false">
      <c r="A1415" s="216"/>
      <c r="B1415" s="971"/>
      <c r="C1415" s="1161" t="s">
        <v>6984</v>
      </c>
      <c r="D1415" s="912" t="n">
        <v>2007</v>
      </c>
      <c r="E1415" s="317" t="n">
        <f aca="false">2021-D1415</f>
        <v>14</v>
      </c>
      <c r="F1415" s="547" t="n">
        <v>810000</v>
      </c>
      <c r="G1415" s="1413" t="n">
        <v>0.1</v>
      </c>
      <c r="H1415" s="547" t="n">
        <f aca="false">E1415*F1415*G1415</f>
        <v>1134000</v>
      </c>
      <c r="I1415" s="547" t="n">
        <f aca="false">F1415-H1415</f>
        <v>-324000</v>
      </c>
      <c r="J1415" s="547" t="n">
        <f aca="false">F1415*G1415</f>
        <v>81000</v>
      </c>
      <c r="K1415" s="1365" t="n">
        <f aca="false">J1415/1792.8</f>
        <v>45.1807228915663</v>
      </c>
      <c r="L1415" s="547" t="n">
        <v>10</v>
      </c>
      <c r="M1415" s="819" t="n">
        <f aca="false">K1415*L1415/60</f>
        <v>7.53012048192771</v>
      </c>
    </row>
    <row r="1416" customFormat="false" ht="15" hidden="false" customHeight="false" outlineLevel="0" collapsed="false">
      <c r="A1416" s="216"/>
      <c r="B1416" s="971"/>
      <c r="C1416" s="1161" t="s">
        <v>6997</v>
      </c>
      <c r="D1416" s="912" t="n">
        <v>2009</v>
      </c>
      <c r="E1416" s="317" t="n">
        <f aca="false">2021-D1416</f>
        <v>12</v>
      </c>
      <c r="F1416" s="547" t="n">
        <v>181000</v>
      </c>
      <c r="G1416" s="1413" t="n">
        <v>0.1</v>
      </c>
      <c r="H1416" s="547" t="n">
        <f aca="false">E1416*F1416*G1416</f>
        <v>217200</v>
      </c>
      <c r="I1416" s="547" t="n">
        <f aca="false">F1416-H1416</f>
        <v>-36200</v>
      </c>
      <c r="J1416" s="547" t="n">
        <f aca="false">F1416*G1416</f>
        <v>18100</v>
      </c>
      <c r="K1416" s="1365" t="n">
        <f aca="false">J1416/1792.8</f>
        <v>10.0959393128068</v>
      </c>
      <c r="L1416" s="547" t="n">
        <v>15</v>
      </c>
      <c r="M1416" s="819" t="n">
        <f aca="false">K1416*L1416/60</f>
        <v>2.5239848282017</v>
      </c>
    </row>
    <row r="1417" customFormat="false" ht="15" hidden="false" customHeight="false" outlineLevel="0" collapsed="false">
      <c r="A1417" s="216"/>
      <c r="B1417" s="971"/>
      <c r="C1417" s="1161" t="s">
        <v>6991</v>
      </c>
      <c r="D1417" s="912" t="n">
        <v>2014</v>
      </c>
      <c r="E1417" s="317" t="n">
        <f aca="false">2021-D1417</f>
        <v>7</v>
      </c>
      <c r="F1417" s="547" t="n">
        <v>55465060</v>
      </c>
      <c r="G1417" s="1413" t="n">
        <v>0.1</v>
      </c>
      <c r="H1417" s="547" t="n">
        <f aca="false">E1417*F1417*G1417</f>
        <v>38825542</v>
      </c>
      <c r="I1417" s="547" t="n">
        <f aca="false">F1417-H1417</f>
        <v>16639518</v>
      </c>
      <c r="J1417" s="547" t="n">
        <f aca="false">F1417*G1417</f>
        <v>5546506</v>
      </c>
      <c r="K1417" s="1365" t="n">
        <f aca="false">J1417/1792.8</f>
        <v>3093.76729138777</v>
      </c>
      <c r="L1417" s="547" t="n">
        <v>40</v>
      </c>
      <c r="M1417" s="819" t="n">
        <f aca="false">K1417*L1417/60</f>
        <v>2062.51152759185</v>
      </c>
    </row>
    <row r="1418" customFormat="false" ht="15" hidden="false" customHeight="false" outlineLevel="0" collapsed="false">
      <c r="A1418" s="216"/>
      <c r="B1418" s="971" t="s">
        <v>4128</v>
      </c>
      <c r="C1418" s="1161"/>
      <c r="D1418" s="912"/>
      <c r="E1418" s="317"/>
      <c r="F1418" s="547"/>
      <c r="G1418" s="1414"/>
      <c r="H1418" s="547"/>
      <c r="I1418" s="547"/>
      <c r="J1418" s="547"/>
      <c r="K1418" s="1365" t="n">
        <f aca="false">J1418/1792.8</f>
        <v>0</v>
      </c>
      <c r="L1418" s="714"/>
      <c r="M1418" s="934" t="n">
        <f aca="false">SUM(M1414:M1417)</f>
        <v>2073.40863453815</v>
      </c>
    </row>
    <row r="1419" customFormat="false" ht="30" hidden="false" customHeight="false" outlineLevel="0" collapsed="false">
      <c r="A1419" s="216" t="s">
        <v>896</v>
      </c>
      <c r="B1419" s="40" t="s">
        <v>3077</v>
      </c>
      <c r="C1419" s="1161" t="s">
        <v>6974</v>
      </c>
      <c r="D1419" s="912" t="n">
        <v>2006</v>
      </c>
      <c r="E1419" s="317" t="n">
        <f aca="false">2021-D1419</f>
        <v>15</v>
      </c>
      <c r="F1419" s="547" t="n">
        <v>526970</v>
      </c>
      <c r="G1419" s="1413" t="n">
        <v>0.1</v>
      </c>
      <c r="H1419" s="547" t="n">
        <f aca="false">E1419*F1419*G1419</f>
        <v>790455</v>
      </c>
      <c r="I1419" s="547" t="n">
        <f aca="false">F1419-H1419</f>
        <v>-263485</v>
      </c>
      <c r="J1419" s="547" t="n">
        <f aca="false">F1419*G1419</f>
        <v>52697</v>
      </c>
      <c r="K1419" s="1365" t="n">
        <f aca="false">J1419/1792.8</f>
        <v>29.3936858545292</v>
      </c>
      <c r="L1419" s="547" t="n">
        <v>15</v>
      </c>
      <c r="M1419" s="819" t="n">
        <f aca="false">K1419*L1419/60</f>
        <v>7.34842146363231</v>
      </c>
    </row>
    <row r="1420" customFormat="false" ht="15" hidden="false" customHeight="false" outlineLevel="0" collapsed="false">
      <c r="A1420" s="216"/>
      <c r="B1420" s="971"/>
      <c r="C1420" s="1161" t="s">
        <v>6934</v>
      </c>
      <c r="D1420" s="912" t="n">
        <v>2005</v>
      </c>
      <c r="E1420" s="317" t="n">
        <f aca="false">2021-D1420</f>
        <v>16</v>
      </c>
      <c r="F1420" s="547" t="n">
        <v>90680</v>
      </c>
      <c r="G1420" s="1413" t="n">
        <v>0.1</v>
      </c>
      <c r="H1420" s="547" t="n">
        <f aca="false">E1420*F1420*G1420</f>
        <v>145088</v>
      </c>
      <c r="I1420" s="547" t="n">
        <f aca="false">F1420-H1420</f>
        <v>-54408</v>
      </c>
      <c r="J1420" s="547" t="n">
        <f aca="false">F1420*G1420</f>
        <v>9068</v>
      </c>
      <c r="K1420" s="1365" t="n">
        <f aca="false">J1420/1792.8</f>
        <v>5.05800981704596</v>
      </c>
      <c r="L1420" s="547" t="n">
        <v>10</v>
      </c>
      <c r="M1420" s="819" t="n">
        <f aca="false">K1420*L1420/60</f>
        <v>0.843001636174327</v>
      </c>
    </row>
    <row r="1421" customFormat="false" ht="15" hidden="false" customHeight="false" outlineLevel="0" collapsed="false">
      <c r="A1421" s="216"/>
      <c r="B1421" s="971" t="s">
        <v>4128</v>
      </c>
      <c r="C1421" s="1160"/>
      <c r="D1421" s="391"/>
      <c r="E1421" s="317"/>
      <c r="F1421" s="714"/>
      <c r="G1421" s="1414"/>
      <c r="H1421" s="547"/>
      <c r="I1421" s="547"/>
      <c r="J1421" s="547"/>
      <c r="K1421" s="1365" t="n">
        <f aca="false">J1421/1792.8</f>
        <v>0</v>
      </c>
      <c r="L1421" s="714"/>
      <c r="M1421" s="934" t="n">
        <f aca="false">SUM(M1419:M1420)</f>
        <v>8.19142309980663</v>
      </c>
    </row>
    <row r="1422" customFormat="false" ht="15" hidden="false" customHeight="false" outlineLevel="0" collapsed="false">
      <c r="A1422" s="216" t="s">
        <v>897</v>
      </c>
      <c r="B1422" s="40" t="s">
        <v>3243</v>
      </c>
      <c r="C1422" s="1161" t="s">
        <v>6934</v>
      </c>
      <c r="D1422" s="912" t="n">
        <v>2005</v>
      </c>
      <c r="E1422" s="317" t="n">
        <f aca="false">2021-D1422</f>
        <v>16</v>
      </c>
      <c r="F1422" s="547" t="n">
        <v>90680</v>
      </c>
      <c r="G1422" s="1413" t="n">
        <v>0.1</v>
      </c>
      <c r="H1422" s="547" t="n">
        <f aca="false">E1422*F1422*G1422</f>
        <v>145088</v>
      </c>
      <c r="I1422" s="547" t="n">
        <f aca="false">F1422-H1422</f>
        <v>-54408</v>
      </c>
      <c r="J1422" s="547" t="n">
        <f aca="false">F1422*G1422</f>
        <v>9068</v>
      </c>
      <c r="K1422" s="1365" t="n">
        <f aca="false">J1422/1792.8</f>
        <v>5.05800981704596</v>
      </c>
      <c r="L1422" s="547" t="n">
        <v>10</v>
      </c>
      <c r="M1422" s="934" t="n">
        <f aca="false">K1422*L1422/60</f>
        <v>0.843001636174327</v>
      </c>
    </row>
    <row r="1423" customFormat="false" ht="15" hidden="false" customHeight="false" outlineLevel="0" collapsed="false">
      <c r="A1423" s="216" t="s">
        <v>5005</v>
      </c>
      <c r="B1423" s="40" t="s">
        <v>3244</v>
      </c>
      <c r="C1423" s="1161" t="s">
        <v>6934</v>
      </c>
      <c r="D1423" s="912" t="n">
        <v>2005</v>
      </c>
      <c r="E1423" s="317" t="n">
        <f aca="false">2021-D1423</f>
        <v>16</v>
      </c>
      <c r="F1423" s="547" t="n">
        <v>90680</v>
      </c>
      <c r="G1423" s="1413" t="n">
        <v>0.1</v>
      </c>
      <c r="H1423" s="547" t="n">
        <f aca="false">E1423*F1423*G1423</f>
        <v>145088</v>
      </c>
      <c r="I1423" s="547" t="n">
        <f aca="false">F1423-H1423</f>
        <v>-54408</v>
      </c>
      <c r="J1423" s="547" t="n">
        <f aca="false">F1423*G1423</f>
        <v>9068</v>
      </c>
      <c r="K1423" s="1365" t="n">
        <f aca="false">J1423/1792.8</f>
        <v>5.05800981704596</v>
      </c>
      <c r="L1423" s="547" t="n">
        <v>10</v>
      </c>
      <c r="M1423" s="934" t="n">
        <f aca="false">K1423*L1423/60</f>
        <v>0.843001636174327</v>
      </c>
    </row>
    <row r="1424" customFormat="false" ht="15" hidden="false" customHeight="false" outlineLevel="0" collapsed="false">
      <c r="A1424" s="216" t="s">
        <v>901</v>
      </c>
      <c r="B1424" s="40" t="s">
        <v>7049</v>
      </c>
      <c r="C1424" s="1161" t="s">
        <v>6934</v>
      </c>
      <c r="D1424" s="912" t="n">
        <v>2005</v>
      </c>
      <c r="E1424" s="317" t="n">
        <f aca="false">2021-D1424</f>
        <v>16</v>
      </c>
      <c r="F1424" s="547" t="n">
        <v>90680</v>
      </c>
      <c r="G1424" s="1413" t="n">
        <v>0.1</v>
      </c>
      <c r="H1424" s="547" t="n">
        <v>90680</v>
      </c>
      <c r="I1424" s="547" t="n">
        <v>0</v>
      </c>
      <c r="J1424" s="547" t="n">
        <v>9068</v>
      </c>
      <c r="K1424" s="1365" t="n">
        <f aca="false">J1424/1792.8</f>
        <v>5.05800981704596</v>
      </c>
      <c r="L1424" s="547" t="n">
        <v>10</v>
      </c>
      <c r="M1424" s="934" t="n">
        <v>0.8567649281935</v>
      </c>
    </row>
    <row r="1425" customFormat="false" ht="15" hidden="false" customHeight="false" outlineLevel="0" collapsed="false">
      <c r="A1425" s="216" t="s">
        <v>902</v>
      </c>
      <c r="B1425" s="40" t="s">
        <v>903</v>
      </c>
      <c r="C1425" s="1161" t="s">
        <v>6934</v>
      </c>
      <c r="D1425" s="912" t="n">
        <v>2005</v>
      </c>
      <c r="E1425" s="317" t="n">
        <f aca="false">2021-D1425</f>
        <v>16</v>
      </c>
      <c r="F1425" s="547" t="n">
        <v>90680</v>
      </c>
      <c r="G1425" s="1413" t="n">
        <v>0.1</v>
      </c>
      <c r="H1425" s="547" t="n">
        <f aca="false">E1425*F1425*G1425</f>
        <v>145088</v>
      </c>
      <c r="I1425" s="547" t="n">
        <f aca="false">F1425-H1425</f>
        <v>-54408</v>
      </c>
      <c r="J1425" s="547" t="n">
        <f aca="false">F1425*G1425</f>
        <v>9068</v>
      </c>
      <c r="K1425" s="1365" t="n">
        <f aca="false">J1425/1792.8</f>
        <v>5.05800981704596</v>
      </c>
      <c r="L1425" s="547" t="n">
        <v>5</v>
      </c>
      <c r="M1425" s="819" t="n">
        <f aca="false">K1425*L1425/60</f>
        <v>0.421500818087164</v>
      </c>
    </row>
    <row r="1426" customFormat="false" ht="15" hidden="false" customHeight="false" outlineLevel="0" collapsed="false">
      <c r="A1426" s="216"/>
      <c r="B1426" s="971"/>
      <c r="C1426" s="1161" t="s">
        <v>6984</v>
      </c>
      <c r="D1426" s="912" t="n">
        <v>2007</v>
      </c>
      <c r="E1426" s="317" t="n">
        <f aca="false">2021-D1426</f>
        <v>14</v>
      </c>
      <c r="F1426" s="547" t="n">
        <v>810000</v>
      </c>
      <c r="G1426" s="1413" t="n">
        <v>0.1</v>
      </c>
      <c r="H1426" s="547" t="n">
        <f aca="false">E1426*F1426*G1426</f>
        <v>1134000</v>
      </c>
      <c r="I1426" s="547" t="n">
        <f aca="false">F1426-H1426</f>
        <v>-324000</v>
      </c>
      <c r="J1426" s="547" t="n">
        <f aca="false">F1426*G1426</f>
        <v>81000</v>
      </c>
      <c r="K1426" s="1365" t="n">
        <f aca="false">J1426/1792.8</f>
        <v>45.1807228915663</v>
      </c>
      <c r="L1426" s="547" t="n">
        <v>5</v>
      </c>
      <c r="M1426" s="819" t="n">
        <f aca="false">K1426*L1426/60</f>
        <v>3.76506024096386</v>
      </c>
    </row>
    <row r="1427" customFormat="false" ht="15" hidden="false" customHeight="false" outlineLevel="0" collapsed="false">
      <c r="A1427" s="216"/>
      <c r="B1427" s="971"/>
      <c r="C1427" s="1161" t="s">
        <v>6997</v>
      </c>
      <c r="D1427" s="912" t="n">
        <v>2009</v>
      </c>
      <c r="E1427" s="317" t="n">
        <f aca="false">2021-D1427</f>
        <v>12</v>
      </c>
      <c r="F1427" s="547" t="n">
        <v>181000</v>
      </c>
      <c r="G1427" s="1413" t="n">
        <v>0.1</v>
      </c>
      <c r="H1427" s="547" t="n">
        <f aca="false">E1427*F1427*G1427</f>
        <v>217200</v>
      </c>
      <c r="I1427" s="547" t="n">
        <f aca="false">F1427-H1427</f>
        <v>-36200</v>
      </c>
      <c r="J1427" s="547" t="n">
        <f aca="false">F1427*G1427</f>
        <v>18100</v>
      </c>
      <c r="K1427" s="1365" t="n">
        <f aca="false">J1427/1792.8</f>
        <v>10.0959393128068</v>
      </c>
      <c r="L1427" s="547" t="n">
        <v>5</v>
      </c>
      <c r="M1427" s="819" t="n">
        <f aca="false">K1427*L1427/60</f>
        <v>0.841328276067232</v>
      </c>
    </row>
    <row r="1428" customFormat="false" ht="15" hidden="false" customHeight="false" outlineLevel="0" collapsed="false">
      <c r="A1428" s="216"/>
      <c r="B1428" s="971"/>
      <c r="C1428" s="1161" t="s">
        <v>6991</v>
      </c>
      <c r="D1428" s="912" t="n">
        <v>2014</v>
      </c>
      <c r="E1428" s="317" t="n">
        <f aca="false">2021-D1428</f>
        <v>7</v>
      </c>
      <c r="F1428" s="547" t="n">
        <v>55465060</v>
      </c>
      <c r="G1428" s="1413" t="n">
        <v>0.1</v>
      </c>
      <c r="H1428" s="547" t="n">
        <f aca="false">E1428*F1428*G1428</f>
        <v>38825542</v>
      </c>
      <c r="I1428" s="547" t="n">
        <f aca="false">F1428-H1428</f>
        <v>16639518</v>
      </c>
      <c r="J1428" s="547" t="n">
        <f aca="false">F1428*G1428</f>
        <v>5546506</v>
      </c>
      <c r="K1428" s="1365" t="n">
        <f aca="false">J1428/1792.8</f>
        <v>3093.76729138777</v>
      </c>
      <c r="L1428" s="547" t="n">
        <v>15</v>
      </c>
      <c r="M1428" s="819" t="n">
        <f aca="false">K1428*L1428/60</f>
        <v>773.441822846943</v>
      </c>
    </row>
    <row r="1429" customFormat="false" ht="15" hidden="false" customHeight="false" outlineLevel="0" collapsed="false">
      <c r="A1429" s="216"/>
      <c r="B1429" s="971" t="s">
        <v>4128</v>
      </c>
      <c r="C1429" s="1161"/>
      <c r="D1429" s="912"/>
      <c r="E1429" s="317"/>
      <c r="F1429" s="547"/>
      <c r="G1429" s="1413"/>
      <c r="H1429" s="547"/>
      <c r="I1429" s="547"/>
      <c r="J1429" s="547"/>
      <c r="K1429" s="1365" t="n">
        <f aca="false">J1429/1792.8</f>
        <v>0</v>
      </c>
      <c r="L1429" s="547"/>
      <c r="M1429" s="934" t="n">
        <f aca="false">SUM(M1425:M1428)</f>
        <v>778.469712182062</v>
      </c>
    </row>
    <row r="1430" customFormat="false" ht="15" hidden="false" customHeight="false" outlineLevel="0" collapsed="false">
      <c r="A1430" s="216" t="s">
        <v>904</v>
      </c>
      <c r="B1430" s="40" t="s">
        <v>905</v>
      </c>
      <c r="C1430" s="1161" t="s">
        <v>4568</v>
      </c>
      <c r="D1430" s="912" t="n">
        <v>2003</v>
      </c>
      <c r="E1430" s="317" t="n">
        <f aca="false">2021-D1430</f>
        <v>18</v>
      </c>
      <c r="F1430" s="547" t="n">
        <v>12704749</v>
      </c>
      <c r="G1430" s="1413" t="n">
        <v>0.1</v>
      </c>
      <c r="H1430" s="547" t="n">
        <f aca="false">F1430</f>
        <v>12704749</v>
      </c>
      <c r="I1430" s="547" t="n">
        <f aca="false">F1430-H1430</f>
        <v>0</v>
      </c>
      <c r="J1430" s="547" t="n">
        <f aca="false">F1430*G1430</f>
        <v>1270474.9</v>
      </c>
      <c r="K1430" s="1365" t="n">
        <f aca="false">J1430/1792.8</f>
        <v>708.654004908523</v>
      </c>
      <c r="L1430" s="547" t="n">
        <v>65</v>
      </c>
      <c r="M1430" s="819" t="n">
        <f aca="false">K1430*L1430/60</f>
        <v>767.708505317567</v>
      </c>
    </row>
    <row r="1431" customFormat="false" ht="15" hidden="false" customHeight="false" outlineLevel="0" collapsed="false">
      <c r="A1431" s="216"/>
      <c r="B1431" s="971"/>
      <c r="C1431" s="1161" t="s">
        <v>6934</v>
      </c>
      <c r="D1431" s="912" t="n">
        <v>2005</v>
      </c>
      <c r="E1431" s="317" t="n">
        <f aca="false">2021-D1431</f>
        <v>16</v>
      </c>
      <c r="F1431" s="547" t="n">
        <v>90680</v>
      </c>
      <c r="G1431" s="1413" t="n">
        <v>0.1</v>
      </c>
      <c r="H1431" s="547" t="n">
        <f aca="false">E1431*F1431*G1431</f>
        <v>145088</v>
      </c>
      <c r="I1431" s="547" t="n">
        <f aca="false">F1431-H1431</f>
        <v>-54408</v>
      </c>
      <c r="J1431" s="547" t="n">
        <f aca="false">F1431*G1431</f>
        <v>9068</v>
      </c>
      <c r="K1431" s="1365" t="n">
        <f aca="false">J1431/1792.8</f>
        <v>5.05800981704596</v>
      </c>
      <c r="L1431" s="547" t="n">
        <v>10</v>
      </c>
      <c r="M1431" s="819" t="n">
        <f aca="false">K1431*L1431/60</f>
        <v>0.843001636174327</v>
      </c>
    </row>
    <row r="1432" customFormat="false" ht="15" hidden="false" customHeight="false" outlineLevel="0" collapsed="false">
      <c r="A1432" s="216"/>
      <c r="B1432" s="971" t="s">
        <v>4128</v>
      </c>
      <c r="C1432" s="1160"/>
      <c r="D1432" s="391"/>
      <c r="E1432" s="317"/>
      <c r="F1432" s="714"/>
      <c r="G1432" s="1414"/>
      <c r="H1432" s="547"/>
      <c r="I1432" s="547"/>
      <c r="J1432" s="547"/>
      <c r="K1432" s="1365" t="n">
        <f aca="false">J1432/1792.8</f>
        <v>0</v>
      </c>
      <c r="L1432" s="714"/>
      <c r="M1432" s="934" t="n">
        <f aca="false">SUM(M1430:M1431)</f>
        <v>768.551506953741</v>
      </c>
    </row>
    <row r="1433" customFormat="false" ht="15" hidden="false" customHeight="false" outlineLevel="0" collapsed="false">
      <c r="A1433" s="216" t="s">
        <v>906</v>
      </c>
      <c r="B1433" s="40" t="s">
        <v>3246</v>
      </c>
      <c r="C1433" s="1161" t="s">
        <v>6934</v>
      </c>
      <c r="D1433" s="912" t="n">
        <v>2005</v>
      </c>
      <c r="E1433" s="317" t="n">
        <f aca="false">2021-D1433</f>
        <v>16</v>
      </c>
      <c r="F1433" s="547" t="n">
        <v>90680</v>
      </c>
      <c r="G1433" s="1413" t="n">
        <v>0.1</v>
      </c>
      <c r="H1433" s="547" t="n">
        <f aca="false">E1433*F1433*G1433</f>
        <v>145088</v>
      </c>
      <c r="I1433" s="547" t="n">
        <f aca="false">F1433-H1433</f>
        <v>-54408</v>
      </c>
      <c r="J1433" s="547" t="n">
        <f aca="false">F1433*G1433</f>
        <v>9068</v>
      </c>
      <c r="K1433" s="1365" t="n">
        <f aca="false">J1433/1792.8</f>
        <v>5.05800981704596</v>
      </c>
      <c r="L1433" s="547" t="n">
        <v>10</v>
      </c>
      <c r="M1433" s="819" t="n">
        <f aca="false">K1433*L1433/60</f>
        <v>0.843001636174327</v>
      </c>
    </row>
    <row r="1434" customFormat="false" ht="15" hidden="false" customHeight="false" outlineLevel="0" collapsed="false">
      <c r="A1434" s="216"/>
      <c r="B1434" s="40"/>
      <c r="C1434" s="1161" t="s">
        <v>6984</v>
      </c>
      <c r="D1434" s="912" t="n">
        <v>2007</v>
      </c>
      <c r="E1434" s="317" t="n">
        <f aca="false">2021-D1434</f>
        <v>14</v>
      </c>
      <c r="F1434" s="547" t="n">
        <v>810000</v>
      </c>
      <c r="G1434" s="1413" t="n">
        <v>0.1</v>
      </c>
      <c r="H1434" s="547" t="n">
        <f aca="false">E1434*F1434*G1434</f>
        <v>1134000</v>
      </c>
      <c r="I1434" s="547" t="n">
        <f aca="false">F1434-H1434</f>
        <v>-324000</v>
      </c>
      <c r="J1434" s="547" t="n">
        <f aca="false">F1434*G1434</f>
        <v>81000</v>
      </c>
      <c r="K1434" s="1365" t="n">
        <f aca="false">J1434/1792.8</f>
        <v>45.1807228915663</v>
      </c>
      <c r="L1434" s="547" t="n">
        <v>10</v>
      </c>
      <c r="M1434" s="819" t="n">
        <f aca="false">K1434*L1434/60</f>
        <v>7.53012048192771</v>
      </c>
    </row>
    <row r="1435" customFormat="false" ht="15" hidden="false" customHeight="false" outlineLevel="0" collapsed="false">
      <c r="A1435" s="216"/>
      <c r="B1435" s="40"/>
      <c r="C1435" s="1161" t="s">
        <v>6997</v>
      </c>
      <c r="D1435" s="912" t="n">
        <v>2009</v>
      </c>
      <c r="E1435" s="317" t="n">
        <f aca="false">2021-D1435</f>
        <v>12</v>
      </c>
      <c r="F1435" s="547" t="n">
        <v>181000</v>
      </c>
      <c r="G1435" s="1413" t="n">
        <v>0.1</v>
      </c>
      <c r="H1435" s="547" t="n">
        <f aca="false">E1435*F1435*G1435</f>
        <v>217200</v>
      </c>
      <c r="I1435" s="547" t="n">
        <f aca="false">F1435-H1435</f>
        <v>-36200</v>
      </c>
      <c r="J1435" s="547" t="n">
        <f aca="false">F1435*G1435</f>
        <v>18100</v>
      </c>
      <c r="K1435" s="1365" t="n">
        <f aca="false">J1435/1792.8</f>
        <v>10.0959393128068</v>
      </c>
      <c r="L1435" s="547" t="n">
        <v>15</v>
      </c>
      <c r="M1435" s="819" t="n">
        <f aca="false">K1435*L1435/60</f>
        <v>2.5239848282017</v>
      </c>
    </row>
    <row r="1436" customFormat="false" ht="15" hidden="false" customHeight="false" outlineLevel="0" collapsed="false">
      <c r="A1436" s="216"/>
      <c r="B1436" s="971"/>
      <c r="C1436" s="1161" t="s">
        <v>6991</v>
      </c>
      <c r="D1436" s="912" t="n">
        <v>2014</v>
      </c>
      <c r="E1436" s="317" t="n">
        <f aca="false">2021-D1436</f>
        <v>7</v>
      </c>
      <c r="F1436" s="547" t="n">
        <v>55465060</v>
      </c>
      <c r="G1436" s="1413" t="n">
        <v>0.1</v>
      </c>
      <c r="H1436" s="547" t="n">
        <f aca="false">E1436*F1436*G1436</f>
        <v>38825542</v>
      </c>
      <c r="I1436" s="547" t="n">
        <f aca="false">F1436-H1436</f>
        <v>16639518</v>
      </c>
      <c r="J1436" s="547" t="n">
        <f aca="false">F1436*G1436</f>
        <v>5546506</v>
      </c>
      <c r="K1436" s="1365" t="n">
        <f aca="false">J1436/1792.8</f>
        <v>3093.76729138777</v>
      </c>
      <c r="L1436" s="547" t="n">
        <v>30</v>
      </c>
      <c r="M1436" s="819" t="n">
        <f aca="false">K1436*L1436/60</f>
        <v>1546.88364569389</v>
      </c>
    </row>
    <row r="1437" customFormat="false" ht="15" hidden="false" customHeight="false" outlineLevel="0" collapsed="false">
      <c r="A1437" s="216"/>
      <c r="B1437" s="971" t="s">
        <v>4128</v>
      </c>
      <c r="C1437" s="1161"/>
      <c r="D1437" s="912"/>
      <c r="E1437" s="317"/>
      <c r="F1437" s="547"/>
      <c r="G1437" s="1413"/>
      <c r="H1437" s="547"/>
      <c r="I1437" s="547"/>
      <c r="J1437" s="547"/>
      <c r="K1437" s="1365" t="n">
        <f aca="false">J1437/1792.8</f>
        <v>0</v>
      </c>
      <c r="L1437" s="547"/>
      <c r="M1437" s="934" t="n">
        <f aca="false">SUM(M1433:M1436)</f>
        <v>1557.78075264019</v>
      </c>
    </row>
    <row r="1438" customFormat="false" ht="15" hidden="false" customHeight="false" outlineLevel="0" collapsed="false">
      <c r="A1438" s="216" t="s">
        <v>908</v>
      </c>
      <c r="B1438" s="40" t="s">
        <v>909</v>
      </c>
      <c r="C1438" s="1161" t="s">
        <v>6934</v>
      </c>
      <c r="D1438" s="912" t="n">
        <v>2005</v>
      </c>
      <c r="E1438" s="317" t="n">
        <f aca="false">2021-D1438</f>
        <v>16</v>
      </c>
      <c r="F1438" s="547" t="n">
        <v>90680</v>
      </c>
      <c r="G1438" s="1413" t="n">
        <v>0.1</v>
      </c>
      <c r="H1438" s="547" t="n">
        <f aca="false">E1438*F1438*G1438</f>
        <v>145088</v>
      </c>
      <c r="I1438" s="547" t="n">
        <f aca="false">F1438-H1438</f>
        <v>-54408</v>
      </c>
      <c r="J1438" s="547" t="n">
        <f aca="false">F1438*G1438</f>
        <v>9068</v>
      </c>
      <c r="K1438" s="1365" t="n">
        <f aca="false">J1438/1792.8</f>
        <v>5.05800981704596</v>
      </c>
      <c r="L1438" s="547" t="n">
        <v>10</v>
      </c>
      <c r="M1438" s="819" t="n">
        <f aca="false">K1438*L1438/60</f>
        <v>0.843001636174327</v>
      </c>
    </row>
    <row r="1439" customFormat="false" ht="15" hidden="false" customHeight="false" outlineLevel="0" collapsed="false">
      <c r="A1439" s="216"/>
      <c r="B1439" s="971"/>
      <c r="C1439" s="1161" t="s">
        <v>6984</v>
      </c>
      <c r="D1439" s="912" t="n">
        <v>2007</v>
      </c>
      <c r="E1439" s="317" t="n">
        <f aca="false">2021-D1439</f>
        <v>14</v>
      </c>
      <c r="F1439" s="547" t="n">
        <v>810000</v>
      </c>
      <c r="G1439" s="1413" t="n">
        <v>0.1</v>
      </c>
      <c r="H1439" s="547" t="n">
        <f aca="false">E1439*F1439*G1439</f>
        <v>1134000</v>
      </c>
      <c r="I1439" s="547" t="n">
        <f aca="false">F1439-H1439</f>
        <v>-324000</v>
      </c>
      <c r="J1439" s="547" t="n">
        <f aca="false">F1439*G1439</f>
        <v>81000</v>
      </c>
      <c r="K1439" s="1365" t="n">
        <f aca="false">J1439/1792.8</f>
        <v>45.1807228915663</v>
      </c>
      <c r="L1439" s="547" t="n">
        <v>10</v>
      </c>
      <c r="M1439" s="819" t="n">
        <f aca="false">K1439*L1439/60</f>
        <v>7.53012048192771</v>
      </c>
    </row>
    <row r="1440" customFormat="false" ht="15" hidden="false" customHeight="false" outlineLevel="0" collapsed="false">
      <c r="A1440" s="216"/>
      <c r="B1440" s="971"/>
      <c r="C1440" s="1161" t="s">
        <v>6997</v>
      </c>
      <c r="D1440" s="912" t="n">
        <v>2009</v>
      </c>
      <c r="E1440" s="317" t="n">
        <f aca="false">2021-D1440</f>
        <v>12</v>
      </c>
      <c r="F1440" s="547" t="n">
        <v>181000</v>
      </c>
      <c r="G1440" s="1413" t="n">
        <v>0.1</v>
      </c>
      <c r="H1440" s="547" t="n">
        <f aca="false">E1440*F1440*G1440</f>
        <v>217200</v>
      </c>
      <c r="I1440" s="547" t="n">
        <f aca="false">F1440-H1440</f>
        <v>-36200</v>
      </c>
      <c r="J1440" s="547" t="n">
        <f aca="false">F1440*G1440</f>
        <v>18100</v>
      </c>
      <c r="K1440" s="1365" t="n">
        <f aca="false">J1440/1792.8</f>
        <v>10.0959393128068</v>
      </c>
      <c r="L1440" s="547" t="n">
        <v>15</v>
      </c>
      <c r="M1440" s="819" t="n">
        <f aca="false">K1440*L1440/60</f>
        <v>2.5239848282017</v>
      </c>
    </row>
    <row r="1441" customFormat="false" ht="15" hidden="false" customHeight="false" outlineLevel="0" collapsed="false">
      <c r="A1441" s="216"/>
      <c r="B1441" s="971"/>
      <c r="C1441" s="1161" t="s">
        <v>6991</v>
      </c>
      <c r="D1441" s="912" t="n">
        <v>2014</v>
      </c>
      <c r="E1441" s="317" t="n">
        <f aca="false">2021-D1441</f>
        <v>7</v>
      </c>
      <c r="F1441" s="547" t="n">
        <v>55465060</v>
      </c>
      <c r="G1441" s="1413" t="n">
        <v>0.1</v>
      </c>
      <c r="H1441" s="547" t="n">
        <f aca="false">E1441*F1441*G1441</f>
        <v>38825542</v>
      </c>
      <c r="I1441" s="547" t="n">
        <f aca="false">F1441-H1441</f>
        <v>16639518</v>
      </c>
      <c r="J1441" s="547" t="n">
        <f aca="false">F1441*G1441</f>
        <v>5546506</v>
      </c>
      <c r="K1441" s="1365" t="n">
        <f aca="false">J1441/1792.8</f>
        <v>3093.76729138777</v>
      </c>
      <c r="L1441" s="547" t="n">
        <v>40</v>
      </c>
      <c r="M1441" s="819" t="n">
        <f aca="false">K1441*L1441/60</f>
        <v>2062.51152759185</v>
      </c>
    </row>
    <row r="1442" customFormat="false" ht="15" hidden="false" customHeight="false" outlineLevel="0" collapsed="false">
      <c r="A1442" s="216"/>
      <c r="B1442" s="971" t="s">
        <v>4128</v>
      </c>
      <c r="C1442" s="1160"/>
      <c r="D1442" s="391"/>
      <c r="E1442" s="317"/>
      <c r="F1442" s="714"/>
      <c r="G1442" s="1414"/>
      <c r="H1442" s="547"/>
      <c r="I1442" s="547"/>
      <c r="J1442" s="547"/>
      <c r="K1442" s="1365" t="n">
        <f aca="false">J1442/1792.8</f>
        <v>0</v>
      </c>
      <c r="L1442" s="714"/>
      <c r="M1442" s="934" t="n">
        <f aca="false">SUM(M1438:M1441)</f>
        <v>2073.40863453815</v>
      </c>
    </row>
    <row r="1443" customFormat="false" ht="15" hidden="false" customHeight="false" outlineLevel="0" collapsed="false">
      <c r="A1443" s="216" t="s">
        <v>5019</v>
      </c>
      <c r="B1443" s="40" t="s">
        <v>911</v>
      </c>
      <c r="C1443" s="1161" t="s">
        <v>6934</v>
      </c>
      <c r="D1443" s="912" t="n">
        <v>2005</v>
      </c>
      <c r="E1443" s="317" t="n">
        <f aca="false">2021-D1443</f>
        <v>16</v>
      </c>
      <c r="F1443" s="547" t="n">
        <v>90680</v>
      </c>
      <c r="G1443" s="1413" t="n">
        <v>0.1</v>
      </c>
      <c r="H1443" s="547" t="n">
        <f aca="false">E1443*F1443*G1443</f>
        <v>145088</v>
      </c>
      <c r="I1443" s="547" t="n">
        <f aca="false">F1443-H1443</f>
        <v>-54408</v>
      </c>
      <c r="J1443" s="547" t="n">
        <f aca="false">F1443*G1443</f>
        <v>9068</v>
      </c>
      <c r="K1443" s="1365" t="n">
        <f aca="false">J1443/1792.8</f>
        <v>5.05800981704596</v>
      </c>
      <c r="L1443" s="547" t="n">
        <v>10</v>
      </c>
      <c r="M1443" s="819" t="n">
        <f aca="false">K1443*L1443/60</f>
        <v>0.843001636174327</v>
      </c>
    </row>
    <row r="1444" customFormat="false" ht="15" hidden="false" customHeight="false" outlineLevel="0" collapsed="false">
      <c r="A1444" s="216"/>
      <c r="B1444" s="971"/>
      <c r="C1444" s="1161" t="s">
        <v>6984</v>
      </c>
      <c r="D1444" s="912" t="n">
        <v>2007</v>
      </c>
      <c r="E1444" s="317" t="n">
        <f aca="false">2021-D1444</f>
        <v>14</v>
      </c>
      <c r="F1444" s="547" t="n">
        <v>810000</v>
      </c>
      <c r="G1444" s="1413" t="n">
        <v>0.1</v>
      </c>
      <c r="H1444" s="547" t="n">
        <f aca="false">E1444*F1444*G1444</f>
        <v>1134000</v>
      </c>
      <c r="I1444" s="547" t="n">
        <f aca="false">F1444-H1444</f>
        <v>-324000</v>
      </c>
      <c r="J1444" s="547" t="n">
        <f aca="false">F1444*G1444</f>
        <v>81000</v>
      </c>
      <c r="K1444" s="1365" t="n">
        <f aca="false">J1444/1792.8</f>
        <v>45.1807228915663</v>
      </c>
      <c r="L1444" s="547" t="n">
        <v>10</v>
      </c>
      <c r="M1444" s="819" t="n">
        <f aca="false">K1444*L1444/60</f>
        <v>7.53012048192771</v>
      </c>
    </row>
    <row r="1445" customFormat="false" ht="15" hidden="false" customHeight="false" outlineLevel="0" collapsed="false">
      <c r="A1445" s="216"/>
      <c r="B1445" s="971"/>
      <c r="C1445" s="1161" t="s">
        <v>6997</v>
      </c>
      <c r="D1445" s="912" t="n">
        <v>2009</v>
      </c>
      <c r="E1445" s="317" t="n">
        <f aca="false">2021-D1445</f>
        <v>12</v>
      </c>
      <c r="F1445" s="547" t="n">
        <v>181000</v>
      </c>
      <c r="G1445" s="1413" t="n">
        <v>0.1</v>
      </c>
      <c r="H1445" s="547" t="n">
        <f aca="false">E1445*F1445*G1445</f>
        <v>217200</v>
      </c>
      <c r="I1445" s="547" t="n">
        <f aca="false">F1445-H1445</f>
        <v>-36200</v>
      </c>
      <c r="J1445" s="547" t="n">
        <f aca="false">F1445*G1445</f>
        <v>18100</v>
      </c>
      <c r="K1445" s="1365" t="n">
        <f aca="false">J1445/1792.8</f>
        <v>10.0959393128068</v>
      </c>
      <c r="L1445" s="547" t="n">
        <v>30</v>
      </c>
      <c r="M1445" s="819" t="n">
        <f aca="false">K1445*L1445/60</f>
        <v>5.04796965640339</v>
      </c>
    </row>
    <row r="1446" customFormat="false" ht="15" hidden="false" customHeight="false" outlineLevel="0" collapsed="false">
      <c r="A1446" s="216"/>
      <c r="B1446" s="971"/>
      <c r="C1446" s="1161" t="s">
        <v>6991</v>
      </c>
      <c r="D1446" s="912" t="n">
        <v>2014</v>
      </c>
      <c r="E1446" s="317" t="n">
        <f aca="false">2021-D1446</f>
        <v>7</v>
      </c>
      <c r="F1446" s="547" t="n">
        <v>55465060</v>
      </c>
      <c r="G1446" s="1413" t="n">
        <v>0.1</v>
      </c>
      <c r="H1446" s="547" t="n">
        <f aca="false">E1446*F1446*G1446</f>
        <v>38825542</v>
      </c>
      <c r="I1446" s="547" t="n">
        <f aca="false">F1446-H1446</f>
        <v>16639518</v>
      </c>
      <c r="J1446" s="547" t="n">
        <f aca="false">F1446*G1446</f>
        <v>5546506</v>
      </c>
      <c r="K1446" s="1365" t="n">
        <f aca="false">J1446/1792.8</f>
        <v>3093.76729138777</v>
      </c>
      <c r="L1446" s="547" t="n">
        <v>40</v>
      </c>
      <c r="M1446" s="819" t="n">
        <f aca="false">K1446*L1446/60</f>
        <v>2062.51152759185</v>
      </c>
    </row>
    <row r="1447" customFormat="false" ht="15" hidden="false" customHeight="false" outlineLevel="0" collapsed="false">
      <c r="A1447" s="216"/>
      <c r="B1447" s="971" t="s">
        <v>4128</v>
      </c>
      <c r="C1447" s="1160"/>
      <c r="D1447" s="391"/>
      <c r="E1447" s="317"/>
      <c r="F1447" s="714"/>
      <c r="G1447" s="1414"/>
      <c r="H1447" s="547"/>
      <c r="I1447" s="547"/>
      <c r="J1447" s="547"/>
      <c r="K1447" s="1365" t="n">
        <f aca="false">J1447/1792.8</f>
        <v>0</v>
      </c>
      <c r="L1447" s="714"/>
      <c r="M1447" s="934" t="n">
        <f aca="false">SUM(M1443:M1446)</f>
        <v>2075.93261936635</v>
      </c>
    </row>
    <row r="1448" customFormat="false" ht="15" hidden="false" customHeight="false" outlineLevel="0" collapsed="false">
      <c r="A1448" s="216" t="s">
        <v>912</v>
      </c>
      <c r="B1448" s="40" t="s">
        <v>3247</v>
      </c>
      <c r="C1448" s="1161" t="s">
        <v>6934</v>
      </c>
      <c r="D1448" s="912" t="n">
        <v>2005</v>
      </c>
      <c r="E1448" s="317" t="n">
        <f aca="false">2021-D1448</f>
        <v>16</v>
      </c>
      <c r="F1448" s="547" t="n">
        <v>90680</v>
      </c>
      <c r="G1448" s="1413" t="n">
        <v>0.1</v>
      </c>
      <c r="H1448" s="547" t="n">
        <f aca="false">E1448*F1448*G1448</f>
        <v>145088</v>
      </c>
      <c r="I1448" s="547" t="n">
        <f aca="false">F1448-H1448</f>
        <v>-54408</v>
      </c>
      <c r="J1448" s="547" t="n">
        <f aca="false">F1448*G1448</f>
        <v>9068</v>
      </c>
      <c r="K1448" s="1365" t="n">
        <f aca="false">J1448/1792.8</f>
        <v>5.05800981704596</v>
      </c>
      <c r="L1448" s="547" t="n">
        <v>10</v>
      </c>
      <c r="M1448" s="819" t="n">
        <f aca="false">K1448*L1448/60</f>
        <v>0.843001636174327</v>
      </c>
    </row>
    <row r="1449" customFormat="false" ht="15" hidden="false" customHeight="false" outlineLevel="0" collapsed="false">
      <c r="A1449" s="216"/>
      <c r="B1449" s="40"/>
      <c r="C1449" s="1161" t="s">
        <v>6984</v>
      </c>
      <c r="D1449" s="912" t="n">
        <v>2007</v>
      </c>
      <c r="E1449" s="317" t="n">
        <f aca="false">2021-D1449</f>
        <v>14</v>
      </c>
      <c r="F1449" s="547" t="n">
        <v>810000</v>
      </c>
      <c r="G1449" s="1413" t="n">
        <v>0.1</v>
      </c>
      <c r="H1449" s="547" t="n">
        <f aca="false">E1449*F1449*G1449</f>
        <v>1134000</v>
      </c>
      <c r="I1449" s="547" t="n">
        <f aca="false">F1449-H1449</f>
        <v>-324000</v>
      </c>
      <c r="J1449" s="547" t="n">
        <f aca="false">F1449*G1449</f>
        <v>81000</v>
      </c>
      <c r="K1449" s="1365" t="n">
        <f aca="false">J1449/1792.8</f>
        <v>45.1807228915663</v>
      </c>
      <c r="L1449" s="547" t="n">
        <v>10</v>
      </c>
      <c r="M1449" s="819" t="n">
        <f aca="false">K1449*L1449/60</f>
        <v>7.53012048192771</v>
      </c>
    </row>
    <row r="1450" customFormat="false" ht="15" hidden="false" customHeight="false" outlineLevel="0" collapsed="false">
      <c r="A1450" s="216"/>
      <c r="B1450" s="40"/>
      <c r="C1450" s="1161" t="s">
        <v>6997</v>
      </c>
      <c r="D1450" s="912" t="n">
        <v>2009</v>
      </c>
      <c r="E1450" s="317" t="n">
        <f aca="false">2021-D1450</f>
        <v>12</v>
      </c>
      <c r="F1450" s="547" t="n">
        <v>181000</v>
      </c>
      <c r="G1450" s="1413" t="n">
        <v>0.1</v>
      </c>
      <c r="H1450" s="547" t="n">
        <f aca="false">E1450*F1450*G1450</f>
        <v>217200</v>
      </c>
      <c r="I1450" s="547" t="n">
        <f aca="false">F1450-H1450</f>
        <v>-36200</v>
      </c>
      <c r="J1450" s="547" t="n">
        <f aca="false">F1450*G1450</f>
        <v>18100</v>
      </c>
      <c r="K1450" s="1365" t="n">
        <f aca="false">J1450/1792.8</f>
        <v>10.0959393128068</v>
      </c>
      <c r="L1450" s="547" t="n">
        <v>15</v>
      </c>
      <c r="M1450" s="819" t="n">
        <f aca="false">K1450*L1450/60</f>
        <v>2.5239848282017</v>
      </c>
    </row>
    <row r="1451" customFormat="false" ht="15" hidden="false" customHeight="false" outlineLevel="0" collapsed="false">
      <c r="A1451" s="216"/>
      <c r="B1451" s="40"/>
      <c r="C1451" s="1161" t="s">
        <v>6991</v>
      </c>
      <c r="D1451" s="912" t="n">
        <v>2014</v>
      </c>
      <c r="E1451" s="317" t="n">
        <f aca="false">2021-D1451</f>
        <v>7</v>
      </c>
      <c r="F1451" s="547" t="n">
        <v>55465060</v>
      </c>
      <c r="G1451" s="1413" t="n">
        <v>0.1</v>
      </c>
      <c r="H1451" s="547" t="n">
        <f aca="false">E1451*F1451*G1451</f>
        <v>38825542</v>
      </c>
      <c r="I1451" s="547" t="n">
        <f aca="false">F1451-H1451</f>
        <v>16639518</v>
      </c>
      <c r="J1451" s="547" t="n">
        <f aca="false">F1451*G1451</f>
        <v>5546506</v>
      </c>
      <c r="K1451" s="1365" t="n">
        <f aca="false">J1451/1792.8</f>
        <v>3093.76729138777</v>
      </c>
      <c r="L1451" s="547" t="n">
        <v>20</v>
      </c>
      <c r="M1451" s="819" t="n">
        <f aca="false">K1451*L1451/60</f>
        <v>1031.25576379592</v>
      </c>
    </row>
    <row r="1452" customFormat="false" ht="15" hidden="false" customHeight="false" outlineLevel="0" collapsed="false">
      <c r="A1452" s="216"/>
      <c r="B1452" s="971" t="s">
        <v>4128</v>
      </c>
      <c r="C1452" s="1161"/>
      <c r="D1452" s="912"/>
      <c r="E1452" s="912"/>
      <c r="F1452" s="547"/>
      <c r="G1452" s="1413"/>
      <c r="H1452" s="547"/>
      <c r="I1452" s="547"/>
      <c r="J1452" s="547"/>
      <c r="K1452" s="1365" t="n">
        <f aca="false">J1452/1792.8</f>
        <v>0</v>
      </c>
      <c r="L1452" s="547"/>
      <c r="M1452" s="934" t="n">
        <f aca="false">SUM(M1448:M1451)</f>
        <v>1042.15287074223</v>
      </c>
    </row>
    <row r="1453" customFormat="false" ht="18" hidden="false" customHeight="true" outlineLevel="0" collapsed="false">
      <c r="A1453" s="15" t="s">
        <v>5024</v>
      </c>
      <c r="B1453" s="16" t="s">
        <v>3248</v>
      </c>
      <c r="C1453" s="16"/>
      <c r="D1453" s="339"/>
      <c r="E1453" s="339"/>
      <c r="F1453" s="1246"/>
      <c r="G1453" s="339"/>
      <c r="H1453" s="751"/>
      <c r="I1453" s="751"/>
      <c r="J1453" s="751"/>
      <c r="K1453" s="751"/>
      <c r="L1453" s="751"/>
      <c r="M1453" s="818"/>
    </row>
    <row r="1454" customFormat="false" ht="45" hidden="false" customHeight="false" outlineLevel="0" collapsed="false">
      <c r="A1454" s="216" t="s">
        <v>5026</v>
      </c>
      <c r="B1454" s="40" t="s">
        <v>3249</v>
      </c>
      <c r="C1454" s="1161" t="s">
        <v>7050</v>
      </c>
      <c r="D1454" s="361" t="n">
        <v>2011</v>
      </c>
      <c r="E1454" s="361" t="n">
        <f aca="false">2021-D1454</f>
        <v>10</v>
      </c>
      <c r="F1454" s="660" t="n">
        <v>235000</v>
      </c>
      <c r="G1454" s="1418" t="n">
        <v>0.1</v>
      </c>
      <c r="H1454" s="547" t="n">
        <f aca="false">E1454*F1454*G1454</f>
        <v>235000</v>
      </c>
      <c r="I1454" s="547" t="n">
        <f aca="false">F1454-H1454</f>
        <v>0</v>
      </c>
      <c r="J1454" s="547" t="n">
        <f aca="false">F1454*G1454</f>
        <v>23500</v>
      </c>
      <c r="K1454" s="1365" t="n">
        <f aca="false">J1454/1792.8</f>
        <v>13.1079875055779</v>
      </c>
      <c r="L1454" s="547" t="n">
        <v>10</v>
      </c>
      <c r="M1454" s="934" t="n">
        <f aca="false">K1454*L1454/60</f>
        <v>2.18466458426298</v>
      </c>
    </row>
    <row r="1455" customFormat="false" ht="15" hidden="false" customHeight="false" outlineLevel="0" collapsed="false">
      <c r="A1455" s="216"/>
      <c r="B1455" s="971" t="s">
        <v>4128</v>
      </c>
      <c r="C1455" s="1161"/>
      <c r="D1455" s="361"/>
      <c r="E1455" s="361"/>
      <c r="F1455" s="660"/>
      <c r="G1455" s="1418"/>
      <c r="H1455" s="547"/>
      <c r="I1455" s="547"/>
      <c r="J1455" s="547"/>
      <c r="K1455" s="1365" t="n">
        <f aca="false">J1455/1792.8</f>
        <v>0</v>
      </c>
      <c r="L1455" s="547"/>
      <c r="M1455" s="934"/>
    </row>
    <row r="1456" customFormat="false" ht="30" hidden="false" customHeight="false" outlineLevel="0" collapsed="false">
      <c r="A1456" s="216" t="s">
        <v>5028</v>
      </c>
      <c r="B1456" s="59" t="s">
        <v>3250</v>
      </c>
      <c r="C1456" s="1161" t="s">
        <v>7051</v>
      </c>
      <c r="D1456" s="361" t="n">
        <v>2017</v>
      </c>
      <c r="E1456" s="361" t="n">
        <f aca="false">2021-D1456</f>
        <v>4</v>
      </c>
      <c r="F1456" s="660" t="n">
        <v>188160</v>
      </c>
      <c r="G1456" s="1418" t="n">
        <v>0.1</v>
      </c>
      <c r="H1456" s="547" t="n">
        <f aca="false">E1456*F1456*G1456</f>
        <v>75264</v>
      </c>
      <c r="I1456" s="547" t="n">
        <f aca="false">F1456-H1456</f>
        <v>112896</v>
      </c>
      <c r="J1456" s="547" t="n">
        <f aca="false">F1456*G1456</f>
        <v>18816</v>
      </c>
      <c r="K1456" s="1365" t="n">
        <f aca="false">J1456/1792.8</f>
        <v>10.4953145917001</v>
      </c>
      <c r="L1456" s="547" t="n">
        <v>10</v>
      </c>
      <c r="M1456" s="934" t="n">
        <f aca="false">K1456*L1456/60</f>
        <v>1.74921909861669</v>
      </c>
    </row>
    <row r="1457" customFormat="false" ht="15" hidden="false" customHeight="false" outlineLevel="0" collapsed="false">
      <c r="A1457" s="216" t="s">
        <v>5031</v>
      </c>
      <c r="B1457" s="40" t="s">
        <v>3238</v>
      </c>
      <c r="C1457" s="1161" t="s">
        <v>7052</v>
      </c>
      <c r="D1457" s="361" t="n">
        <v>2005</v>
      </c>
      <c r="E1457" s="361" t="n">
        <f aca="false">2021-D1457</f>
        <v>16</v>
      </c>
      <c r="F1457" s="660" t="n">
        <v>260000</v>
      </c>
      <c r="G1457" s="1418" t="n">
        <v>0.1</v>
      </c>
      <c r="H1457" s="547" t="n">
        <f aca="false">E1457*F1457*G1457</f>
        <v>416000</v>
      </c>
      <c r="I1457" s="547" t="n">
        <f aca="false">F1457-H1457</f>
        <v>-156000</v>
      </c>
      <c r="J1457" s="547" t="n">
        <f aca="false">F1457*G1457</f>
        <v>26000</v>
      </c>
      <c r="K1457" s="1365" t="n">
        <f aca="false">J1457/1792.8</f>
        <v>14.5024542614904</v>
      </c>
      <c r="L1457" s="547" t="n">
        <v>5</v>
      </c>
      <c r="M1457" s="819" t="n">
        <f aca="false">K1457*L1457/60</f>
        <v>1.2085378551242</v>
      </c>
    </row>
    <row r="1458" customFormat="false" ht="15" hidden="false" customHeight="false" outlineLevel="0" collapsed="false">
      <c r="A1458" s="309"/>
      <c r="B1458" s="316"/>
      <c r="C1458" s="1161" t="s">
        <v>7053</v>
      </c>
      <c r="D1458" s="361" t="n">
        <v>2005</v>
      </c>
      <c r="E1458" s="361" t="n">
        <f aca="false">2021-D1458</f>
        <v>16</v>
      </c>
      <c r="F1458" s="660" t="n">
        <v>176358</v>
      </c>
      <c r="G1458" s="1418" t="n">
        <v>0.1</v>
      </c>
      <c r="H1458" s="547" t="n">
        <f aca="false">E1458*F1458*G1458</f>
        <v>282172.8</v>
      </c>
      <c r="I1458" s="547" t="n">
        <f aca="false">F1458-H1458</f>
        <v>-105814.8</v>
      </c>
      <c r="J1458" s="547" t="n">
        <v>158723</v>
      </c>
      <c r="K1458" s="1365" t="n">
        <f aca="false">J1458/1792.8</f>
        <v>88.5335787594824</v>
      </c>
      <c r="L1458" s="547" t="n">
        <v>5</v>
      </c>
      <c r="M1458" s="819" t="n">
        <f aca="false">K1458*L1458/60</f>
        <v>7.37779822995687</v>
      </c>
    </row>
    <row r="1459" customFormat="false" ht="15" hidden="false" customHeight="false" outlineLevel="0" collapsed="false">
      <c r="A1459" s="216"/>
      <c r="B1459" s="972" t="s">
        <v>4128</v>
      </c>
      <c r="C1459" s="1160"/>
      <c r="D1459" s="612"/>
      <c r="E1459" s="361"/>
      <c r="F1459" s="667"/>
      <c r="G1459" s="1418"/>
      <c r="H1459" s="547"/>
      <c r="I1459" s="547"/>
      <c r="J1459" s="714"/>
      <c r="K1459" s="1365" t="n">
        <f aca="false">J1459/1792.8</f>
        <v>0</v>
      </c>
      <c r="L1459" s="714"/>
      <c r="M1459" s="934" t="n">
        <f aca="false">M1457+M1458</f>
        <v>8.58633608508107</v>
      </c>
    </row>
    <row r="1460" customFormat="false" ht="45" hidden="false" customHeight="false" outlineLevel="0" collapsed="false">
      <c r="A1460" s="216" t="s">
        <v>5034</v>
      </c>
      <c r="B1460" s="335" t="s">
        <v>7054</v>
      </c>
      <c r="C1460" s="1161" t="s">
        <v>7055</v>
      </c>
      <c r="D1460" s="361" t="n">
        <v>2014</v>
      </c>
      <c r="E1460" s="361" t="n">
        <f aca="false">2021-D1460</f>
        <v>7</v>
      </c>
      <c r="F1460" s="660" t="n">
        <v>24500</v>
      </c>
      <c r="G1460" s="1418" t="n">
        <v>0.1</v>
      </c>
      <c r="H1460" s="547" t="n">
        <f aca="false">E1460*F1460*G1460</f>
        <v>17150</v>
      </c>
      <c r="I1460" s="547" t="n">
        <f aca="false">F1460-H1460</f>
        <v>7350</v>
      </c>
      <c r="J1460" s="547" t="n">
        <f aca="false">F1460*G1460</f>
        <v>2450</v>
      </c>
      <c r="K1460" s="1365" t="n">
        <f aca="false">J1460/1792.8</f>
        <v>1.36657742079429</v>
      </c>
      <c r="L1460" s="547" t="n">
        <v>5</v>
      </c>
      <c r="M1460" s="819" t="n">
        <f aca="false">K1460*L1460/60</f>
        <v>0.113881451732857</v>
      </c>
    </row>
    <row r="1461" customFormat="false" ht="30" hidden="false" customHeight="false" outlineLevel="0" collapsed="false">
      <c r="A1461" s="216"/>
      <c r="B1461" s="972"/>
      <c r="C1461" s="1419" t="s">
        <v>7056</v>
      </c>
      <c r="D1461" s="362" t="n">
        <v>2005</v>
      </c>
      <c r="E1461" s="361" t="n">
        <f aca="false">2021-D1461</f>
        <v>16</v>
      </c>
      <c r="F1461" s="1420" t="n">
        <v>130000</v>
      </c>
      <c r="G1461" s="1418" t="n">
        <v>0.1</v>
      </c>
      <c r="H1461" s="547" t="n">
        <f aca="false">E1461*F1461*G1461</f>
        <v>208000</v>
      </c>
      <c r="I1461" s="547" t="n">
        <f aca="false">F1461-H1461</f>
        <v>-78000</v>
      </c>
      <c r="J1461" s="873" t="n">
        <v>13000</v>
      </c>
      <c r="K1461" s="1365" t="n">
        <f aca="false">J1461/1792.8</f>
        <v>7.2512271307452</v>
      </c>
      <c r="L1461" s="873" t="n">
        <v>5</v>
      </c>
      <c r="M1461" s="819" t="n">
        <f aca="false">K1461*L1461/60</f>
        <v>0.6042689275621</v>
      </c>
    </row>
    <row r="1462" customFormat="false" ht="30" hidden="false" customHeight="false" outlineLevel="0" collapsed="false">
      <c r="A1462" s="216"/>
      <c r="B1462" s="78"/>
      <c r="C1462" s="40" t="s">
        <v>7057</v>
      </c>
      <c r="D1462" s="361" t="n">
        <v>2005</v>
      </c>
      <c r="E1462" s="361" t="n">
        <f aca="false">2021-D1462</f>
        <v>16</v>
      </c>
      <c r="F1462" s="955" t="n">
        <v>1100000</v>
      </c>
      <c r="G1462" s="1418" t="n">
        <v>0.1</v>
      </c>
      <c r="H1462" s="547" t="n">
        <f aca="false">E1462*F1462*G1462</f>
        <v>1760000</v>
      </c>
      <c r="I1462" s="547" t="n">
        <f aca="false">F1462-H1462</f>
        <v>-660000</v>
      </c>
      <c r="J1462" s="873" t="n">
        <f aca="false">F1462*E1462/100</f>
        <v>176000</v>
      </c>
      <c r="K1462" s="1365" t="n">
        <f aca="false">J1462/1792.8</f>
        <v>98.1704596162428</v>
      </c>
      <c r="L1462" s="873" t="n">
        <v>5</v>
      </c>
      <c r="M1462" s="819" t="n">
        <f aca="false">K1462*L1462/60</f>
        <v>8.1808716346869</v>
      </c>
    </row>
    <row r="1463" customFormat="false" ht="15" hidden="false" customHeight="false" outlineLevel="0" collapsed="false">
      <c r="A1463" s="216"/>
      <c r="B1463" s="78"/>
      <c r="C1463" s="40" t="s">
        <v>7058</v>
      </c>
      <c r="D1463" s="361" t="n">
        <v>2005</v>
      </c>
      <c r="E1463" s="361" t="n">
        <f aca="false">2021-D1463</f>
        <v>16</v>
      </c>
      <c r="F1463" s="955" t="n">
        <v>846400</v>
      </c>
      <c r="G1463" s="1418" t="n">
        <v>0.1</v>
      </c>
      <c r="H1463" s="547" t="n">
        <f aca="false">E1463*F1463*G1463</f>
        <v>1354240</v>
      </c>
      <c r="I1463" s="547" t="n">
        <f aca="false">F1463-H1463</f>
        <v>-507840</v>
      </c>
      <c r="J1463" s="873" t="n">
        <f aca="false">F1463*E1463/100</f>
        <v>135424</v>
      </c>
      <c r="K1463" s="1365" t="n">
        <f aca="false">J1463/1792.8</f>
        <v>75.5377063810799</v>
      </c>
      <c r="L1463" s="873" t="n">
        <v>5</v>
      </c>
      <c r="M1463" s="819" t="n">
        <f aca="false">K1463*L1463/60</f>
        <v>6.29480886508999</v>
      </c>
    </row>
    <row r="1464" customFormat="false" ht="15" hidden="false" customHeight="false" outlineLevel="0" collapsed="false">
      <c r="A1464" s="216"/>
      <c r="B1464" s="972" t="s">
        <v>4128</v>
      </c>
      <c r="C1464" s="1160"/>
      <c r="D1464" s="612"/>
      <c r="E1464" s="361"/>
      <c r="F1464" s="667"/>
      <c r="G1464" s="1418"/>
      <c r="H1464" s="547"/>
      <c r="I1464" s="547"/>
      <c r="J1464" s="1421"/>
      <c r="K1464" s="1365" t="n">
        <f aca="false">J1464/1792.8</f>
        <v>0</v>
      </c>
      <c r="L1464" s="1422"/>
      <c r="M1464" s="934" t="n">
        <f aca="false">SUM(M1460:M1463)</f>
        <v>15.1938308790718</v>
      </c>
    </row>
    <row r="1465" customFormat="false" ht="15" hidden="false" customHeight="false" outlineLevel="0" collapsed="false">
      <c r="A1465" s="216" t="s">
        <v>5038</v>
      </c>
      <c r="B1465" s="40" t="s">
        <v>3252</v>
      </c>
      <c r="C1465" s="40" t="s">
        <v>7059</v>
      </c>
      <c r="D1465" s="361" t="n">
        <v>2014</v>
      </c>
      <c r="E1465" s="361" t="n">
        <f aca="false">2021-D1465</f>
        <v>7</v>
      </c>
      <c r="F1465" s="955" t="n">
        <v>375200</v>
      </c>
      <c r="G1465" s="1418" t="n">
        <v>0.1</v>
      </c>
      <c r="H1465" s="547" t="n">
        <f aca="false">E1465*F1465*G1465</f>
        <v>262640</v>
      </c>
      <c r="I1465" s="547" t="n">
        <f aca="false">F1465-H1465</f>
        <v>112560</v>
      </c>
      <c r="J1465" s="873" t="n">
        <f aca="false">F1465*E1465/100</f>
        <v>26264</v>
      </c>
      <c r="K1465" s="1365" t="n">
        <f aca="false">J1465/1792.8</f>
        <v>14.6497099509148</v>
      </c>
      <c r="L1465" s="873" t="n">
        <v>5</v>
      </c>
      <c r="M1465" s="819" t="n">
        <f aca="false">K1465*L1465/60</f>
        <v>1.22080916257623</v>
      </c>
    </row>
    <row r="1466" customFormat="false" ht="15" hidden="false" customHeight="false" outlineLevel="0" collapsed="false">
      <c r="A1466" s="216"/>
      <c r="B1466" s="972"/>
      <c r="C1466" s="1161" t="s">
        <v>7053</v>
      </c>
      <c r="D1466" s="361" t="n">
        <v>2005</v>
      </c>
      <c r="E1466" s="361" t="n">
        <f aca="false">2021-D1466</f>
        <v>16</v>
      </c>
      <c r="F1466" s="660" t="n">
        <v>176358</v>
      </c>
      <c r="G1466" s="1418" t="n">
        <v>0.1</v>
      </c>
      <c r="H1466" s="547" t="n">
        <f aca="false">E1466*F1466*G1466</f>
        <v>282172.8</v>
      </c>
      <c r="I1466" s="547" t="n">
        <f aca="false">F1466-H1466</f>
        <v>-105814.8</v>
      </c>
      <c r="J1466" s="547" t="n">
        <v>158723</v>
      </c>
      <c r="K1466" s="1365" t="n">
        <f aca="false">J1466/1792.8</f>
        <v>88.5335787594824</v>
      </c>
      <c r="L1466" s="547" t="n">
        <v>5</v>
      </c>
      <c r="M1466" s="819" t="n">
        <f aca="false">K1466*L1466/60</f>
        <v>7.37779822995687</v>
      </c>
    </row>
    <row r="1467" s="311" customFormat="true" ht="15" hidden="false" customHeight="false" outlineLevel="0" collapsed="false">
      <c r="A1467" s="216"/>
      <c r="C1467" s="1161" t="s">
        <v>7060</v>
      </c>
      <c r="D1467" s="361" t="n">
        <v>2005</v>
      </c>
      <c r="E1467" s="361" t="n">
        <f aca="false">2021-D1467</f>
        <v>16</v>
      </c>
      <c r="F1467" s="660" t="n">
        <v>260000</v>
      </c>
      <c r="G1467" s="1418" t="n">
        <v>0.1</v>
      </c>
      <c r="H1467" s="547" t="n">
        <f aca="false">E1467*F1467*G1467</f>
        <v>416000</v>
      </c>
      <c r="I1467" s="547" t="n">
        <f aca="false">F1467-H1467</f>
        <v>-156000</v>
      </c>
      <c r="J1467" s="547" t="n">
        <f aca="false">F1467*G1467</f>
        <v>26000</v>
      </c>
      <c r="K1467" s="1365" t="n">
        <f aca="false">J1467/1792.8</f>
        <v>14.5024542614904</v>
      </c>
      <c r="L1467" s="547" t="n">
        <v>5</v>
      </c>
      <c r="M1467" s="819" t="n">
        <f aca="false">K1467*L1467/60</f>
        <v>1.2085378551242</v>
      </c>
    </row>
    <row r="1468" customFormat="false" ht="30" hidden="false" customHeight="false" outlineLevel="0" collapsed="false">
      <c r="A1468" s="216"/>
      <c r="B1468" s="316"/>
      <c r="C1468" s="1161" t="s">
        <v>6970</v>
      </c>
      <c r="D1468" s="361" t="n">
        <v>2005</v>
      </c>
      <c r="E1468" s="361" t="n">
        <f aca="false">2021-D1468</f>
        <v>16</v>
      </c>
      <c r="F1468" s="660" t="n">
        <v>114000</v>
      </c>
      <c r="G1468" s="1418" t="n">
        <v>0.1</v>
      </c>
      <c r="H1468" s="547" t="n">
        <f aca="false">E1468*F1468*G1468</f>
        <v>182400</v>
      </c>
      <c r="I1468" s="547" t="n">
        <f aca="false">F1468-H1468</f>
        <v>-68400</v>
      </c>
      <c r="J1468" s="547" t="n">
        <v>158723</v>
      </c>
      <c r="K1468" s="1365" t="n">
        <f aca="false">J1468/1792.8</f>
        <v>88.5335787594824</v>
      </c>
      <c r="L1468" s="547" t="n">
        <v>5</v>
      </c>
      <c r="M1468" s="819" t="n">
        <f aca="false">K1468*L1468/60</f>
        <v>7.37779822995687</v>
      </c>
    </row>
    <row r="1469" customFormat="false" ht="15" hidden="false" customHeight="false" outlineLevel="0" collapsed="false">
      <c r="A1469" s="216"/>
      <c r="B1469" s="972" t="s">
        <v>4128</v>
      </c>
      <c r="C1469" s="1161"/>
      <c r="D1469" s="361"/>
      <c r="E1469" s="361"/>
      <c r="F1469" s="660"/>
      <c r="G1469" s="1418"/>
      <c r="H1469" s="547"/>
      <c r="I1469" s="547"/>
      <c r="J1469" s="873"/>
      <c r="K1469" s="1365" t="n">
        <f aca="false">J1469/1792.8</f>
        <v>0</v>
      </c>
      <c r="L1469" s="873"/>
      <c r="M1469" s="934" t="n">
        <f aca="false">SUM(M1465:M1468)</f>
        <v>17.1849434776142</v>
      </c>
    </row>
    <row r="1470" customFormat="false" ht="15" hidden="false" customHeight="false" outlineLevel="0" collapsed="false">
      <c r="A1470" s="216" t="s">
        <v>5047</v>
      </c>
      <c r="B1470" s="40" t="s">
        <v>3253</v>
      </c>
      <c r="C1470" s="40" t="s">
        <v>7059</v>
      </c>
      <c r="D1470" s="361" t="n">
        <v>2014</v>
      </c>
      <c r="E1470" s="361" t="n">
        <f aca="false">2021-D1470</f>
        <v>7</v>
      </c>
      <c r="F1470" s="955" t="n">
        <v>375200</v>
      </c>
      <c r="G1470" s="1418" t="n">
        <v>0.1</v>
      </c>
      <c r="H1470" s="547" t="n">
        <f aca="false">E1470*F1470*G1470</f>
        <v>262640</v>
      </c>
      <c r="I1470" s="547" t="n">
        <f aca="false">F1470-H1470</f>
        <v>112560</v>
      </c>
      <c r="J1470" s="873" t="n">
        <f aca="false">F1470*E1470/100</f>
        <v>26264</v>
      </c>
      <c r="K1470" s="1365" t="n">
        <f aca="false">J1470/1792.8</f>
        <v>14.6497099509148</v>
      </c>
      <c r="L1470" s="873" t="n">
        <v>5</v>
      </c>
      <c r="M1470" s="819" t="n">
        <f aca="false">K1470*L1470/60</f>
        <v>1.22080916257623</v>
      </c>
    </row>
    <row r="1471" customFormat="false" ht="15" hidden="false" customHeight="false" outlineLevel="0" collapsed="false">
      <c r="A1471" s="216"/>
      <c r="B1471" s="1423"/>
      <c r="C1471" s="1161" t="s">
        <v>7053</v>
      </c>
      <c r="D1471" s="361" t="n">
        <v>2005</v>
      </c>
      <c r="E1471" s="361" t="n">
        <f aca="false">2021-D1471</f>
        <v>16</v>
      </c>
      <c r="F1471" s="660" t="n">
        <v>176358</v>
      </c>
      <c r="G1471" s="1418" t="n">
        <v>0.1</v>
      </c>
      <c r="H1471" s="547" t="n">
        <f aca="false">E1471*F1471*G1471</f>
        <v>282172.8</v>
      </c>
      <c r="I1471" s="547" t="n">
        <f aca="false">F1471-H1471</f>
        <v>-105814.8</v>
      </c>
      <c r="J1471" s="547" t="n">
        <v>158723</v>
      </c>
      <c r="K1471" s="1365" t="n">
        <f aca="false">J1471/1792.8</f>
        <v>88.5335787594824</v>
      </c>
      <c r="L1471" s="547" t="n">
        <v>5</v>
      </c>
      <c r="M1471" s="819" t="n">
        <f aca="false">K1471*L1471/60</f>
        <v>7.37779822995687</v>
      </c>
    </row>
    <row r="1472" customFormat="false" ht="15" hidden="false" customHeight="false" outlineLevel="0" collapsed="false">
      <c r="A1472" s="216"/>
      <c r="B1472" s="972"/>
      <c r="C1472" s="1161" t="s">
        <v>7060</v>
      </c>
      <c r="D1472" s="361" t="n">
        <v>2005</v>
      </c>
      <c r="E1472" s="361" t="n">
        <f aca="false">2021-D1472</f>
        <v>16</v>
      </c>
      <c r="F1472" s="660" t="n">
        <v>260000</v>
      </c>
      <c r="G1472" s="1418" t="n">
        <v>0.1</v>
      </c>
      <c r="H1472" s="547" t="n">
        <f aca="false">E1472*F1472*G1472</f>
        <v>416000</v>
      </c>
      <c r="I1472" s="547" t="n">
        <f aca="false">F1472-H1472</f>
        <v>-156000</v>
      </c>
      <c r="J1472" s="547" t="n">
        <f aca="false">F1472*G1472</f>
        <v>26000</v>
      </c>
      <c r="K1472" s="1365" t="n">
        <f aca="false">J1472/1792.8</f>
        <v>14.5024542614904</v>
      </c>
      <c r="L1472" s="547" t="n">
        <v>5</v>
      </c>
      <c r="M1472" s="819" t="n">
        <f aca="false">K1472*L1472/60</f>
        <v>1.2085378551242</v>
      </c>
    </row>
    <row r="1473" customFormat="false" ht="15" hidden="false" customHeight="false" outlineLevel="0" collapsed="false">
      <c r="A1473" s="216"/>
      <c r="B1473" s="972" t="s">
        <v>4128</v>
      </c>
      <c r="C1473" s="1161"/>
      <c r="D1473" s="361"/>
      <c r="E1473" s="361"/>
      <c r="F1473" s="660"/>
      <c r="G1473" s="1418"/>
      <c r="H1473" s="547"/>
      <c r="I1473" s="547"/>
      <c r="J1473" s="873"/>
      <c r="K1473" s="1365" t="n">
        <f aca="false">J1473/1792.8</f>
        <v>0</v>
      </c>
      <c r="L1473" s="873"/>
      <c r="M1473" s="934" t="n">
        <f aca="false">SUM(M1470:M1472)</f>
        <v>9.8071452476573</v>
      </c>
    </row>
    <row r="1474" customFormat="false" ht="15" hidden="false" customHeight="false" outlineLevel="0" collapsed="false">
      <c r="A1474" s="216" t="s">
        <v>5056</v>
      </c>
      <c r="B1474" s="40" t="s">
        <v>3254</v>
      </c>
      <c r="C1474" s="40" t="s">
        <v>7059</v>
      </c>
      <c r="D1474" s="361" t="n">
        <v>2014</v>
      </c>
      <c r="E1474" s="361" t="n">
        <f aca="false">2021-D1474</f>
        <v>7</v>
      </c>
      <c r="F1474" s="955" t="n">
        <v>375200</v>
      </c>
      <c r="G1474" s="1418" t="n">
        <v>0.1</v>
      </c>
      <c r="H1474" s="547" t="n">
        <f aca="false">E1474*F1474*G1474</f>
        <v>262640</v>
      </c>
      <c r="I1474" s="547" t="n">
        <f aca="false">F1474-H1474</f>
        <v>112560</v>
      </c>
      <c r="J1474" s="873" t="n">
        <f aca="false">F1474*E1474/100</f>
        <v>26264</v>
      </c>
      <c r="K1474" s="1365" t="n">
        <f aca="false">J1474/1792.8</f>
        <v>14.6497099509148</v>
      </c>
      <c r="L1474" s="873" t="n">
        <v>5</v>
      </c>
      <c r="M1474" s="819" t="n">
        <f aca="false">K1474*L1474/60</f>
        <v>1.22080916257623</v>
      </c>
    </row>
    <row r="1475" customFormat="false" ht="15" hidden="false" customHeight="false" outlineLevel="0" collapsed="false">
      <c r="A1475" s="216"/>
      <c r="B1475" s="1423"/>
      <c r="C1475" s="1161" t="s">
        <v>7053</v>
      </c>
      <c r="D1475" s="361" t="n">
        <v>2005</v>
      </c>
      <c r="E1475" s="361" t="n">
        <f aca="false">2021-D1475</f>
        <v>16</v>
      </c>
      <c r="F1475" s="660" t="n">
        <v>176358</v>
      </c>
      <c r="G1475" s="1418" t="n">
        <v>0.1</v>
      </c>
      <c r="H1475" s="547" t="n">
        <f aca="false">E1475*F1475*G1475</f>
        <v>282172.8</v>
      </c>
      <c r="I1475" s="547" t="n">
        <f aca="false">F1475-H1475</f>
        <v>-105814.8</v>
      </c>
      <c r="J1475" s="547" t="n">
        <v>158723</v>
      </c>
      <c r="K1475" s="1365" t="n">
        <f aca="false">J1475/1792.8</f>
        <v>88.5335787594824</v>
      </c>
      <c r="L1475" s="547" t="n">
        <v>5</v>
      </c>
      <c r="M1475" s="819" t="n">
        <f aca="false">K1475*L1475/60</f>
        <v>7.37779822995687</v>
      </c>
    </row>
    <row r="1476" customFormat="false" ht="15" hidden="false" customHeight="false" outlineLevel="0" collapsed="false">
      <c r="A1476" s="216"/>
      <c r="B1476" s="316"/>
      <c r="C1476" s="1161" t="s">
        <v>7060</v>
      </c>
      <c r="D1476" s="361" t="n">
        <v>2005</v>
      </c>
      <c r="E1476" s="361" t="n">
        <f aca="false">2021-D1476</f>
        <v>16</v>
      </c>
      <c r="F1476" s="660" t="n">
        <v>260000</v>
      </c>
      <c r="G1476" s="1418" t="n">
        <v>0.1</v>
      </c>
      <c r="H1476" s="547" t="n">
        <f aca="false">E1476*F1476*G1476</f>
        <v>416000</v>
      </c>
      <c r="I1476" s="547" t="n">
        <f aca="false">F1476-H1476</f>
        <v>-156000</v>
      </c>
      <c r="J1476" s="547" t="n">
        <f aca="false">F1476*G1476</f>
        <v>26000</v>
      </c>
      <c r="K1476" s="1365" t="n">
        <f aca="false">J1476/1792.8</f>
        <v>14.5024542614904</v>
      </c>
      <c r="L1476" s="547" t="n">
        <v>5</v>
      </c>
      <c r="M1476" s="819" t="n">
        <f aca="false">K1476*L1476/60</f>
        <v>1.2085378551242</v>
      </c>
    </row>
    <row r="1477" customFormat="false" ht="30" hidden="false" customHeight="false" outlineLevel="0" collapsed="false">
      <c r="A1477" s="216"/>
      <c r="B1477" s="316"/>
      <c r="C1477" s="1161" t="s">
        <v>6970</v>
      </c>
      <c r="D1477" s="361" t="n">
        <v>2005</v>
      </c>
      <c r="E1477" s="361" t="n">
        <f aca="false">2021-D1477</f>
        <v>16</v>
      </c>
      <c r="F1477" s="660" t="n">
        <v>114000</v>
      </c>
      <c r="G1477" s="1418" t="n">
        <v>0.1</v>
      </c>
      <c r="H1477" s="547" t="n">
        <f aca="false">E1477*F1477*G1477</f>
        <v>182400</v>
      </c>
      <c r="I1477" s="547" t="n">
        <f aca="false">F1477-H1477</f>
        <v>-68400</v>
      </c>
      <c r="J1477" s="547" t="n">
        <v>158723</v>
      </c>
      <c r="K1477" s="1365" t="n">
        <f aca="false">J1477/1792.8</f>
        <v>88.5335787594824</v>
      </c>
      <c r="L1477" s="547" t="n">
        <v>5</v>
      </c>
      <c r="M1477" s="819" t="n">
        <f aca="false">K1477*L1477/60</f>
        <v>7.37779822995687</v>
      </c>
    </row>
    <row r="1478" customFormat="false" ht="15" hidden="false" customHeight="false" outlineLevel="0" collapsed="false">
      <c r="A1478" s="216"/>
      <c r="B1478" s="972" t="s">
        <v>4128</v>
      </c>
      <c r="C1478" s="1161"/>
      <c r="D1478" s="361"/>
      <c r="E1478" s="361"/>
      <c r="F1478" s="660"/>
      <c r="G1478" s="1418"/>
      <c r="H1478" s="547"/>
      <c r="I1478" s="547"/>
      <c r="J1478" s="873"/>
      <c r="K1478" s="1365" t="n">
        <f aca="false">J1478/1792.8</f>
        <v>0</v>
      </c>
      <c r="L1478" s="873"/>
      <c r="M1478" s="934" t="n">
        <f aca="false">SUM(M1474:M1477)</f>
        <v>17.1849434776142</v>
      </c>
    </row>
    <row r="1479" customFormat="false" ht="15" hidden="false" customHeight="false" outlineLevel="0" collapsed="false">
      <c r="A1479" s="216" t="s">
        <v>5063</v>
      </c>
      <c r="B1479" s="40" t="s">
        <v>7061</v>
      </c>
      <c r="C1479" s="40" t="s">
        <v>7059</v>
      </c>
      <c r="D1479" s="361" t="n">
        <v>2014</v>
      </c>
      <c r="E1479" s="361" t="n">
        <f aca="false">2021-D1479</f>
        <v>7</v>
      </c>
      <c r="F1479" s="955" t="n">
        <v>375200</v>
      </c>
      <c r="G1479" s="1418" t="n">
        <v>0.1</v>
      </c>
      <c r="H1479" s="547" t="n">
        <f aca="false">E1479*F1479*G1479</f>
        <v>262640</v>
      </c>
      <c r="I1479" s="547" t="n">
        <f aca="false">F1479-H1479</f>
        <v>112560</v>
      </c>
      <c r="J1479" s="873" t="n">
        <f aca="false">F1479*E1479/100</f>
        <v>26264</v>
      </c>
      <c r="K1479" s="1365" t="n">
        <f aca="false">J1479/1792.8</f>
        <v>14.6497099509148</v>
      </c>
      <c r="L1479" s="873" t="n">
        <v>5</v>
      </c>
      <c r="M1479" s="819" t="n">
        <f aca="false">K1479*L1479/60</f>
        <v>1.22080916257623</v>
      </c>
    </row>
    <row r="1480" customFormat="false" ht="15" hidden="false" customHeight="false" outlineLevel="0" collapsed="false">
      <c r="A1480" s="216"/>
      <c r="B1480" s="316"/>
      <c r="C1480" s="1161" t="s">
        <v>7005</v>
      </c>
      <c r="D1480" s="361" t="n">
        <v>2005</v>
      </c>
      <c r="E1480" s="361" t="n">
        <f aca="false">2021-D1480</f>
        <v>16</v>
      </c>
      <c r="F1480" s="660" t="n">
        <v>176358</v>
      </c>
      <c r="G1480" s="1418" t="n">
        <v>0.1</v>
      </c>
      <c r="H1480" s="547" t="n">
        <f aca="false">E1480*F1480*G1480</f>
        <v>282172.8</v>
      </c>
      <c r="I1480" s="547" t="n">
        <f aca="false">F1480-H1480</f>
        <v>-105814.8</v>
      </c>
      <c r="J1480" s="547" t="n">
        <v>158723</v>
      </c>
      <c r="K1480" s="1365" t="n">
        <f aca="false">J1480/1792.8</f>
        <v>88.5335787594824</v>
      </c>
      <c r="L1480" s="547" t="n">
        <v>35</v>
      </c>
      <c r="M1480" s="819" t="n">
        <f aca="false">K1480*L1480/60</f>
        <v>51.6445876096981</v>
      </c>
    </row>
    <row r="1481" customFormat="false" ht="15" hidden="false" customHeight="false" outlineLevel="0" collapsed="false">
      <c r="A1481" s="216"/>
      <c r="B1481" s="972"/>
      <c r="C1481" s="1161" t="s">
        <v>7060</v>
      </c>
      <c r="D1481" s="361" t="n">
        <v>2005</v>
      </c>
      <c r="E1481" s="361" t="n">
        <f aca="false">2021-D1481</f>
        <v>16</v>
      </c>
      <c r="F1481" s="660" t="n">
        <v>260000</v>
      </c>
      <c r="G1481" s="1418" t="n">
        <v>0.1</v>
      </c>
      <c r="H1481" s="547" t="n">
        <f aca="false">E1481*F1481*G1481</f>
        <v>416000</v>
      </c>
      <c r="I1481" s="547" t="n">
        <f aca="false">F1481-H1481</f>
        <v>-156000</v>
      </c>
      <c r="J1481" s="547" t="n">
        <f aca="false">F1481*G1481</f>
        <v>26000</v>
      </c>
      <c r="K1481" s="1365" t="n">
        <f aca="false">J1481/1792.8</f>
        <v>14.5024542614904</v>
      </c>
      <c r="L1481" s="547" t="n">
        <v>5</v>
      </c>
      <c r="M1481" s="819" t="n">
        <f aca="false">K1481*L1481/60</f>
        <v>1.2085378551242</v>
      </c>
    </row>
    <row r="1482" customFormat="false" ht="30" hidden="false" customHeight="false" outlineLevel="0" collapsed="false">
      <c r="A1482" s="216"/>
      <c r="B1482" s="972"/>
      <c r="C1482" s="1161" t="s">
        <v>6970</v>
      </c>
      <c r="D1482" s="361" t="n">
        <v>2005</v>
      </c>
      <c r="E1482" s="361" t="n">
        <f aca="false">2021-D1482</f>
        <v>16</v>
      </c>
      <c r="F1482" s="660" t="n">
        <v>114000</v>
      </c>
      <c r="G1482" s="1418" t="n">
        <v>0.1</v>
      </c>
      <c r="H1482" s="547" t="n">
        <f aca="false">E1482*F1482*G1482</f>
        <v>182400</v>
      </c>
      <c r="I1482" s="547" t="n">
        <f aca="false">F1482-H1482</f>
        <v>-68400</v>
      </c>
      <c r="J1482" s="547" t="n">
        <v>158723</v>
      </c>
      <c r="K1482" s="1365" t="n">
        <f aca="false">J1482/1792.8</f>
        <v>88.5335787594824</v>
      </c>
      <c r="L1482" s="547" t="n">
        <v>5</v>
      </c>
      <c r="M1482" s="819" t="n">
        <f aca="false">K1482*L1482/60</f>
        <v>7.37779822995687</v>
      </c>
    </row>
    <row r="1483" customFormat="false" ht="15" hidden="false" customHeight="false" outlineLevel="0" collapsed="false">
      <c r="A1483" s="216"/>
      <c r="B1483" s="972" t="s">
        <v>4128</v>
      </c>
      <c r="C1483" s="1161"/>
      <c r="D1483" s="361"/>
      <c r="E1483" s="361"/>
      <c r="F1483" s="660"/>
      <c r="G1483" s="1418"/>
      <c r="H1483" s="547"/>
      <c r="I1483" s="547"/>
      <c r="J1483" s="873"/>
      <c r="K1483" s="1365" t="n">
        <f aca="false">J1483/1792.8</f>
        <v>0</v>
      </c>
      <c r="L1483" s="873"/>
      <c r="M1483" s="934" t="n">
        <f aca="false">SUM(M1479:M1482)</f>
        <v>61.4517328573554</v>
      </c>
    </row>
    <row r="1484" customFormat="false" ht="15" hidden="false" customHeight="false" outlineLevel="0" collapsed="false">
      <c r="A1484" s="216" t="s">
        <v>5071</v>
      </c>
      <c r="B1484" s="40" t="s">
        <v>3256</v>
      </c>
      <c r="C1484" s="40" t="s">
        <v>7062</v>
      </c>
      <c r="D1484" s="361" t="n">
        <v>2014</v>
      </c>
      <c r="E1484" s="361" t="n">
        <f aca="false">2021-D1484</f>
        <v>7</v>
      </c>
      <c r="F1484" s="955" t="n">
        <v>375200</v>
      </c>
      <c r="G1484" s="1418" t="n">
        <v>0.1</v>
      </c>
      <c r="H1484" s="547" t="n">
        <f aca="false">E1484*F1484*G1484</f>
        <v>262640</v>
      </c>
      <c r="I1484" s="547" t="n">
        <f aca="false">F1484-H1484</f>
        <v>112560</v>
      </c>
      <c r="J1484" s="873" t="n">
        <f aca="false">F1484*E1484/100</f>
        <v>26264</v>
      </c>
      <c r="K1484" s="1365" t="n">
        <f aca="false">J1484/1792.8</f>
        <v>14.6497099509148</v>
      </c>
      <c r="L1484" s="873" t="n">
        <v>5</v>
      </c>
      <c r="M1484" s="819" t="n">
        <f aca="false">K1484*L1484/60</f>
        <v>1.22080916257623</v>
      </c>
    </row>
    <row r="1485" customFormat="false" ht="15" hidden="false" customHeight="false" outlineLevel="0" collapsed="false">
      <c r="A1485" s="216"/>
      <c r="B1485" s="972"/>
      <c r="C1485" s="1161" t="s">
        <v>7053</v>
      </c>
      <c r="D1485" s="361" t="n">
        <v>2005</v>
      </c>
      <c r="E1485" s="361" t="n">
        <f aca="false">2021-D1485</f>
        <v>16</v>
      </c>
      <c r="F1485" s="660" t="n">
        <v>176358</v>
      </c>
      <c r="G1485" s="1418" t="n">
        <v>0.1</v>
      </c>
      <c r="H1485" s="547" t="n">
        <f aca="false">E1485*F1485*G1485</f>
        <v>282172.8</v>
      </c>
      <c r="I1485" s="547" t="n">
        <f aca="false">F1485-H1485</f>
        <v>-105814.8</v>
      </c>
      <c r="J1485" s="547" t="n">
        <v>158723</v>
      </c>
      <c r="K1485" s="1365" t="n">
        <f aca="false">J1485/1792.8</f>
        <v>88.5335787594824</v>
      </c>
      <c r="L1485" s="547" t="n">
        <v>5</v>
      </c>
      <c r="M1485" s="819" t="n">
        <f aca="false">K1485*L1485/60</f>
        <v>7.37779822995687</v>
      </c>
    </row>
    <row r="1486" customFormat="false" ht="15" hidden="false" customHeight="false" outlineLevel="0" collapsed="false">
      <c r="A1486" s="216"/>
      <c r="B1486" s="972"/>
      <c r="C1486" s="1161" t="s">
        <v>7060</v>
      </c>
      <c r="D1486" s="361" t="n">
        <v>2005</v>
      </c>
      <c r="E1486" s="361" t="n">
        <f aca="false">2021-D1486</f>
        <v>16</v>
      </c>
      <c r="F1486" s="660" t="n">
        <v>260000</v>
      </c>
      <c r="G1486" s="1418" t="n">
        <v>0.1</v>
      </c>
      <c r="H1486" s="547" t="n">
        <f aca="false">E1486*F1486*G1486</f>
        <v>416000</v>
      </c>
      <c r="I1486" s="547" t="n">
        <f aca="false">F1486-H1486</f>
        <v>-156000</v>
      </c>
      <c r="J1486" s="547" t="n">
        <f aca="false">F1486*G1486</f>
        <v>26000</v>
      </c>
      <c r="K1486" s="1365" t="n">
        <f aca="false">J1486/1792.8</f>
        <v>14.5024542614904</v>
      </c>
      <c r="L1486" s="547" t="n">
        <v>5</v>
      </c>
      <c r="M1486" s="819" t="n">
        <f aca="false">K1486*L1486/60</f>
        <v>1.2085378551242</v>
      </c>
    </row>
    <row r="1487" customFormat="false" ht="30" hidden="false" customHeight="false" outlineLevel="0" collapsed="false">
      <c r="A1487" s="216"/>
      <c r="B1487" s="972"/>
      <c r="C1487" s="1161" t="s">
        <v>6970</v>
      </c>
      <c r="D1487" s="361" t="n">
        <v>2006</v>
      </c>
      <c r="E1487" s="361" t="n">
        <f aca="false">2021-D1487</f>
        <v>15</v>
      </c>
      <c r="F1487" s="660" t="n">
        <v>114000</v>
      </c>
      <c r="G1487" s="1418" t="n">
        <v>0.1</v>
      </c>
      <c r="H1487" s="547" t="n">
        <f aca="false">E1487*F1487*G1487</f>
        <v>171000</v>
      </c>
      <c r="I1487" s="547" t="n">
        <f aca="false">F1487-H1487</f>
        <v>-57000</v>
      </c>
      <c r="J1487" s="547" t="n">
        <v>158723</v>
      </c>
      <c r="K1487" s="1365" t="n">
        <f aca="false">J1487/1792.8</f>
        <v>88.5335787594824</v>
      </c>
      <c r="L1487" s="547" t="n">
        <v>5</v>
      </c>
      <c r="M1487" s="819" t="n">
        <f aca="false">K1487*L1487/60</f>
        <v>7.37779822995687</v>
      </c>
    </row>
    <row r="1488" customFormat="false" ht="15" hidden="false" customHeight="false" outlineLevel="0" collapsed="false">
      <c r="A1488" s="216"/>
      <c r="B1488" s="972" t="s">
        <v>4128</v>
      </c>
      <c r="C1488" s="1161"/>
      <c r="D1488" s="361"/>
      <c r="E1488" s="361"/>
      <c r="F1488" s="660"/>
      <c r="G1488" s="1418"/>
      <c r="H1488" s="547"/>
      <c r="I1488" s="547"/>
      <c r="J1488" s="873"/>
      <c r="K1488" s="1365" t="n">
        <f aca="false">J1488/1792.8</f>
        <v>0</v>
      </c>
      <c r="L1488" s="873"/>
      <c r="M1488" s="934" t="n">
        <f aca="false">SUM(M1484:M1487)</f>
        <v>17.1849434776142</v>
      </c>
    </row>
    <row r="1489" customFormat="false" ht="15" hidden="false" customHeight="false" outlineLevel="0" collapsed="false">
      <c r="A1489" s="216" t="s">
        <v>5075</v>
      </c>
      <c r="B1489" s="40" t="s">
        <v>3257</v>
      </c>
      <c r="C1489" s="40" t="s">
        <v>7059</v>
      </c>
      <c r="D1489" s="361" t="n">
        <v>2014</v>
      </c>
      <c r="E1489" s="361" t="n">
        <f aca="false">2021-D1489</f>
        <v>7</v>
      </c>
      <c r="F1489" s="955" t="n">
        <v>375200</v>
      </c>
      <c r="G1489" s="1418" t="n">
        <v>0.1</v>
      </c>
      <c r="H1489" s="547" t="n">
        <f aca="false">E1489*F1489*G1489</f>
        <v>262640</v>
      </c>
      <c r="I1489" s="547" t="n">
        <f aca="false">F1489-H1489</f>
        <v>112560</v>
      </c>
      <c r="J1489" s="873" t="n">
        <f aca="false">F1489*E1489/100</f>
        <v>26264</v>
      </c>
      <c r="K1489" s="1365" t="n">
        <f aca="false">J1489/1792.8</f>
        <v>14.6497099509148</v>
      </c>
      <c r="L1489" s="873" t="n">
        <v>5</v>
      </c>
      <c r="M1489" s="819" t="n">
        <f aca="false">K1489*L1489/60</f>
        <v>1.22080916257623</v>
      </c>
    </row>
    <row r="1490" customFormat="false" ht="15" hidden="false" customHeight="false" outlineLevel="0" collapsed="false">
      <c r="A1490" s="216"/>
      <c r="B1490" s="972"/>
      <c r="C1490" s="1161" t="s">
        <v>7053</v>
      </c>
      <c r="D1490" s="361" t="n">
        <v>2005</v>
      </c>
      <c r="E1490" s="361" t="n">
        <f aca="false">2021-D1490</f>
        <v>16</v>
      </c>
      <c r="F1490" s="660" t="n">
        <v>176358</v>
      </c>
      <c r="G1490" s="1418" t="n">
        <v>0.1</v>
      </c>
      <c r="H1490" s="547" t="n">
        <f aca="false">E1490*F1490*G1490</f>
        <v>282172.8</v>
      </c>
      <c r="I1490" s="547" t="n">
        <f aca="false">F1490-H1490</f>
        <v>-105814.8</v>
      </c>
      <c r="J1490" s="547" t="n">
        <v>158723</v>
      </c>
      <c r="K1490" s="1365" t="n">
        <f aca="false">J1490/1792.8</f>
        <v>88.5335787594824</v>
      </c>
      <c r="L1490" s="547" t="n">
        <v>5</v>
      </c>
      <c r="M1490" s="819" t="n">
        <f aca="false">K1490*L1490/60</f>
        <v>7.37779822995687</v>
      </c>
    </row>
    <row r="1491" customFormat="false" ht="15" hidden="false" customHeight="false" outlineLevel="0" collapsed="false">
      <c r="A1491" s="216"/>
      <c r="B1491" s="972"/>
      <c r="C1491" s="1161" t="s">
        <v>7060</v>
      </c>
      <c r="D1491" s="361" t="n">
        <v>2005</v>
      </c>
      <c r="E1491" s="361" t="n">
        <f aca="false">2021-D1491</f>
        <v>16</v>
      </c>
      <c r="F1491" s="660" t="n">
        <v>260000</v>
      </c>
      <c r="G1491" s="1418" t="n">
        <v>0.1</v>
      </c>
      <c r="H1491" s="547" t="n">
        <f aca="false">E1491*F1491*G1491</f>
        <v>416000</v>
      </c>
      <c r="I1491" s="547" t="n">
        <f aca="false">F1491-H1491</f>
        <v>-156000</v>
      </c>
      <c r="J1491" s="547" t="n">
        <f aca="false">F1491*G1491</f>
        <v>26000</v>
      </c>
      <c r="K1491" s="1365" t="n">
        <f aca="false">J1491/1792.8</f>
        <v>14.5024542614904</v>
      </c>
      <c r="L1491" s="547" t="n">
        <v>5</v>
      </c>
      <c r="M1491" s="819" t="n">
        <f aca="false">K1491*L1491/60</f>
        <v>1.2085378551242</v>
      </c>
    </row>
    <row r="1492" customFormat="false" ht="30" hidden="false" customHeight="false" outlineLevel="0" collapsed="false">
      <c r="A1492" s="216"/>
      <c r="B1492" s="972"/>
      <c r="C1492" s="1161" t="s">
        <v>6970</v>
      </c>
      <c r="D1492" s="317" t="n">
        <v>2006</v>
      </c>
      <c r="E1492" s="361" t="n">
        <f aca="false">2021-D1492</f>
        <v>15</v>
      </c>
      <c r="F1492" s="660" t="n">
        <v>114000</v>
      </c>
      <c r="G1492" s="1418" t="n">
        <v>0.1</v>
      </c>
      <c r="H1492" s="547" t="n">
        <f aca="false">E1492*F1492*G1492</f>
        <v>171000</v>
      </c>
      <c r="I1492" s="547" t="n">
        <f aca="false">F1492-H1492</f>
        <v>-57000</v>
      </c>
      <c r="J1492" s="547" t="n">
        <v>158723</v>
      </c>
      <c r="K1492" s="1365" t="n">
        <f aca="false">J1492/1792.8</f>
        <v>88.5335787594824</v>
      </c>
      <c r="L1492" s="547" t="n">
        <v>5</v>
      </c>
      <c r="M1492" s="819" t="n">
        <f aca="false">K1492*L1492/60</f>
        <v>7.37779822995687</v>
      </c>
    </row>
    <row r="1493" customFormat="false" ht="15" hidden="false" customHeight="false" outlineLevel="0" collapsed="false">
      <c r="A1493" s="216"/>
      <c r="B1493" s="972" t="s">
        <v>4128</v>
      </c>
      <c r="C1493" s="1161"/>
      <c r="D1493" s="361"/>
      <c r="E1493" s="361"/>
      <c r="F1493" s="660"/>
      <c r="G1493" s="1418"/>
      <c r="H1493" s="547"/>
      <c r="I1493" s="547"/>
      <c r="J1493" s="873"/>
      <c r="K1493" s="1365" t="n">
        <f aca="false">J1493/1792.8</f>
        <v>0</v>
      </c>
      <c r="L1493" s="873"/>
      <c r="M1493" s="934" t="n">
        <f aca="false">SUM(M1489:M1492)</f>
        <v>17.1849434776142</v>
      </c>
    </row>
    <row r="1494" customFormat="false" ht="19.5" hidden="false" customHeight="true" outlineLevel="0" collapsed="false">
      <c r="A1494" s="216" t="s">
        <v>5084</v>
      </c>
      <c r="B1494" s="40" t="s">
        <v>3258</v>
      </c>
      <c r="C1494" s="40" t="s">
        <v>7059</v>
      </c>
      <c r="D1494" s="361" t="n">
        <v>2014</v>
      </c>
      <c r="E1494" s="361" t="n">
        <f aca="false">2021-D1494</f>
        <v>7</v>
      </c>
      <c r="F1494" s="955" t="n">
        <v>375200</v>
      </c>
      <c r="G1494" s="1418" t="n">
        <v>0.1</v>
      </c>
      <c r="H1494" s="547" t="n">
        <f aca="false">E1494*F1494*G1494</f>
        <v>262640</v>
      </c>
      <c r="I1494" s="547" t="n">
        <f aca="false">F1494-H1494</f>
        <v>112560</v>
      </c>
      <c r="J1494" s="873" t="n">
        <f aca="false">F1494*E1494/100</f>
        <v>26264</v>
      </c>
      <c r="K1494" s="1365" t="n">
        <f aca="false">J1494/1792.8</f>
        <v>14.6497099509148</v>
      </c>
      <c r="L1494" s="873" t="n">
        <v>5</v>
      </c>
      <c r="M1494" s="819" t="n">
        <f aca="false">K1494*L1494/60</f>
        <v>1.22080916257623</v>
      </c>
    </row>
    <row r="1495" customFormat="false" ht="15" hidden="false" customHeight="false" outlineLevel="0" collapsed="false">
      <c r="A1495" s="216"/>
      <c r="B1495" s="972"/>
      <c r="C1495" s="1161" t="s">
        <v>7053</v>
      </c>
      <c r="D1495" s="361" t="n">
        <v>2005</v>
      </c>
      <c r="E1495" s="361" t="n">
        <f aca="false">2021-D1495</f>
        <v>16</v>
      </c>
      <c r="F1495" s="660" t="n">
        <v>176358</v>
      </c>
      <c r="G1495" s="1418" t="n">
        <v>0.1</v>
      </c>
      <c r="H1495" s="547" t="n">
        <f aca="false">E1495*F1495*G1495</f>
        <v>282172.8</v>
      </c>
      <c r="I1495" s="547" t="n">
        <f aca="false">F1495-H1495</f>
        <v>-105814.8</v>
      </c>
      <c r="J1495" s="547" t="n">
        <v>158723</v>
      </c>
      <c r="K1495" s="1365" t="n">
        <f aca="false">J1495/1792.8</f>
        <v>88.5335787594824</v>
      </c>
      <c r="L1495" s="547" t="n">
        <v>20</v>
      </c>
      <c r="M1495" s="819" t="n">
        <f aca="false">K1495*L1495/60</f>
        <v>29.5111929198275</v>
      </c>
    </row>
    <row r="1496" customFormat="false" ht="15" hidden="false" customHeight="false" outlineLevel="0" collapsed="false">
      <c r="A1496" s="216"/>
      <c r="B1496" s="972"/>
      <c r="C1496" s="1161" t="s">
        <v>7060</v>
      </c>
      <c r="D1496" s="361" t="n">
        <v>2005</v>
      </c>
      <c r="E1496" s="361" t="n">
        <f aca="false">2021-D1496</f>
        <v>16</v>
      </c>
      <c r="F1496" s="660" t="n">
        <v>260000</v>
      </c>
      <c r="G1496" s="1418" t="n">
        <v>0.1</v>
      </c>
      <c r="H1496" s="547" t="n">
        <f aca="false">E1496*F1496*G1496</f>
        <v>416000</v>
      </c>
      <c r="I1496" s="547" t="n">
        <f aca="false">F1496-H1496</f>
        <v>-156000</v>
      </c>
      <c r="J1496" s="547" t="n">
        <f aca="false">F1496*G1496</f>
        <v>26000</v>
      </c>
      <c r="K1496" s="1365" t="n">
        <f aca="false">J1496/1792.8</f>
        <v>14.5024542614904</v>
      </c>
      <c r="L1496" s="547" t="n">
        <v>5</v>
      </c>
      <c r="M1496" s="819" t="n">
        <f aca="false">K1496*L1496/60</f>
        <v>1.2085378551242</v>
      </c>
    </row>
    <row r="1497" customFormat="false" ht="30" hidden="false" customHeight="false" outlineLevel="0" collapsed="false">
      <c r="A1497" s="216"/>
      <c r="B1497" s="972"/>
      <c r="C1497" s="1161" t="s">
        <v>6970</v>
      </c>
      <c r="D1497" s="317" t="n">
        <v>2006</v>
      </c>
      <c r="E1497" s="361" t="n">
        <f aca="false">2021-D1497</f>
        <v>15</v>
      </c>
      <c r="F1497" s="660" t="n">
        <v>114000</v>
      </c>
      <c r="G1497" s="1418" t="n">
        <v>0.1</v>
      </c>
      <c r="H1497" s="547" t="n">
        <f aca="false">E1497*F1497*G1497</f>
        <v>171000</v>
      </c>
      <c r="I1497" s="547" t="n">
        <f aca="false">F1497-H1497</f>
        <v>-57000</v>
      </c>
      <c r="J1497" s="547" t="n">
        <v>158723</v>
      </c>
      <c r="K1497" s="1365" t="n">
        <f aca="false">J1497/1792.8</f>
        <v>88.5335787594824</v>
      </c>
      <c r="L1497" s="547" t="n">
        <v>5</v>
      </c>
      <c r="M1497" s="819" t="n">
        <f aca="false">K1497*L1497/60</f>
        <v>7.37779822995687</v>
      </c>
    </row>
    <row r="1498" customFormat="false" ht="15" hidden="false" customHeight="false" outlineLevel="0" collapsed="false">
      <c r="A1498" s="216"/>
      <c r="B1498" s="972" t="s">
        <v>4128</v>
      </c>
      <c r="C1498" s="1161"/>
      <c r="D1498" s="361"/>
      <c r="E1498" s="361"/>
      <c r="F1498" s="660"/>
      <c r="G1498" s="1418"/>
      <c r="H1498" s="547"/>
      <c r="I1498" s="547"/>
      <c r="J1498" s="873"/>
      <c r="K1498" s="1365" t="n">
        <f aca="false">J1498/1792.8</f>
        <v>0</v>
      </c>
      <c r="L1498" s="873"/>
      <c r="M1498" s="934" t="n">
        <f aca="false">SUM(M1494:M1497)</f>
        <v>39.3183381674848</v>
      </c>
    </row>
    <row r="1499" customFormat="false" ht="15" hidden="false" customHeight="false" outlineLevel="0" collapsed="false">
      <c r="A1499" s="216" t="s">
        <v>5089</v>
      </c>
      <c r="B1499" s="40" t="s">
        <v>3259</v>
      </c>
      <c r="C1499" s="40" t="s">
        <v>7059</v>
      </c>
      <c r="D1499" s="361" t="n">
        <v>2014</v>
      </c>
      <c r="E1499" s="361" t="n">
        <f aca="false">2021-D1499</f>
        <v>7</v>
      </c>
      <c r="F1499" s="955" t="n">
        <v>375200</v>
      </c>
      <c r="G1499" s="1418" t="n">
        <v>0.1</v>
      </c>
      <c r="H1499" s="547" t="n">
        <f aca="false">E1499*F1499*G1499</f>
        <v>262640</v>
      </c>
      <c r="I1499" s="547" t="n">
        <f aca="false">F1499-H1499</f>
        <v>112560</v>
      </c>
      <c r="J1499" s="873" t="n">
        <f aca="false">F1499*E1499/100</f>
        <v>26264</v>
      </c>
      <c r="K1499" s="1365" t="n">
        <f aca="false">J1499/1792.8</f>
        <v>14.6497099509148</v>
      </c>
      <c r="L1499" s="873" t="n">
        <v>5</v>
      </c>
      <c r="M1499" s="819" t="n">
        <f aca="false">K1499*L1499/60</f>
        <v>1.22080916257623</v>
      </c>
    </row>
    <row r="1500" customFormat="false" ht="15" hidden="false" customHeight="false" outlineLevel="0" collapsed="false">
      <c r="A1500" s="216"/>
      <c r="B1500" s="972"/>
      <c r="C1500" s="1161" t="s">
        <v>7053</v>
      </c>
      <c r="D1500" s="361" t="n">
        <v>2005</v>
      </c>
      <c r="E1500" s="361" t="n">
        <f aca="false">2021-D1500</f>
        <v>16</v>
      </c>
      <c r="F1500" s="660" t="n">
        <v>176358</v>
      </c>
      <c r="G1500" s="1418" t="n">
        <v>0.1</v>
      </c>
      <c r="H1500" s="547" t="n">
        <f aca="false">E1500*F1500*G1500</f>
        <v>282172.8</v>
      </c>
      <c r="I1500" s="547" t="n">
        <f aca="false">F1500-H1500</f>
        <v>-105814.8</v>
      </c>
      <c r="J1500" s="547" t="n">
        <v>158723</v>
      </c>
      <c r="K1500" s="1365" t="n">
        <f aca="false">J1500/1792.8</f>
        <v>88.5335787594824</v>
      </c>
      <c r="L1500" s="547" t="n">
        <v>20</v>
      </c>
      <c r="M1500" s="819" t="n">
        <f aca="false">K1500*L1500/60</f>
        <v>29.5111929198275</v>
      </c>
    </row>
    <row r="1501" customFormat="false" ht="15" hidden="false" customHeight="false" outlineLevel="0" collapsed="false">
      <c r="A1501" s="216"/>
      <c r="B1501" s="972"/>
      <c r="C1501" s="1161" t="s">
        <v>7060</v>
      </c>
      <c r="D1501" s="361" t="n">
        <v>2005</v>
      </c>
      <c r="E1501" s="361" t="n">
        <f aca="false">2021-D1501</f>
        <v>16</v>
      </c>
      <c r="F1501" s="660" t="n">
        <v>260000</v>
      </c>
      <c r="G1501" s="1418" t="n">
        <v>0.1</v>
      </c>
      <c r="H1501" s="547" t="n">
        <f aca="false">E1501*F1501*G1501</f>
        <v>416000</v>
      </c>
      <c r="I1501" s="547" t="n">
        <f aca="false">F1501-H1501</f>
        <v>-156000</v>
      </c>
      <c r="J1501" s="547" t="n">
        <f aca="false">F1501*G1501</f>
        <v>26000</v>
      </c>
      <c r="K1501" s="1365" t="n">
        <f aca="false">J1501/1792.8</f>
        <v>14.5024542614904</v>
      </c>
      <c r="L1501" s="547" t="n">
        <v>5</v>
      </c>
      <c r="M1501" s="819" t="n">
        <f aca="false">K1501*L1501/60</f>
        <v>1.2085378551242</v>
      </c>
    </row>
    <row r="1502" customFormat="false" ht="30" hidden="false" customHeight="false" outlineLevel="0" collapsed="false">
      <c r="A1502" s="216"/>
      <c r="B1502" s="972"/>
      <c r="C1502" s="1161" t="s">
        <v>6970</v>
      </c>
      <c r="D1502" s="317" t="n">
        <v>2006</v>
      </c>
      <c r="E1502" s="361" t="n">
        <f aca="false">2021-D1502</f>
        <v>15</v>
      </c>
      <c r="F1502" s="660" t="n">
        <v>114000</v>
      </c>
      <c r="G1502" s="1418" t="n">
        <v>0.1</v>
      </c>
      <c r="H1502" s="547" t="n">
        <f aca="false">E1502*F1502*G1502</f>
        <v>171000</v>
      </c>
      <c r="I1502" s="547" t="n">
        <f aca="false">F1502-H1502</f>
        <v>-57000</v>
      </c>
      <c r="J1502" s="547" t="n">
        <v>158723</v>
      </c>
      <c r="K1502" s="1365" t="n">
        <f aca="false">J1502/1792.8</f>
        <v>88.5335787594824</v>
      </c>
      <c r="L1502" s="547" t="n">
        <v>5</v>
      </c>
      <c r="M1502" s="819" t="n">
        <f aca="false">K1502*L1502/60</f>
        <v>7.37779822995687</v>
      </c>
    </row>
    <row r="1503" customFormat="false" ht="15" hidden="false" customHeight="false" outlineLevel="0" collapsed="false">
      <c r="A1503" s="216"/>
      <c r="B1503" s="972" t="s">
        <v>4128</v>
      </c>
      <c r="C1503" s="1161"/>
      <c r="D1503" s="361"/>
      <c r="E1503" s="361"/>
      <c r="F1503" s="660"/>
      <c r="G1503" s="1418"/>
      <c r="H1503" s="547"/>
      <c r="I1503" s="547"/>
      <c r="J1503" s="873"/>
      <c r="K1503" s="1365" t="n">
        <f aca="false">J1503/1792.8</f>
        <v>0</v>
      </c>
      <c r="L1503" s="873"/>
      <c r="M1503" s="934" t="n">
        <f aca="false">SUM(M1499:M1502)</f>
        <v>39.3183381674848</v>
      </c>
    </row>
    <row r="1504" customFormat="false" ht="15" hidden="false" customHeight="false" outlineLevel="0" collapsed="false">
      <c r="A1504" s="216" t="s">
        <v>5092</v>
      </c>
      <c r="B1504" s="40" t="s">
        <v>3260</v>
      </c>
      <c r="C1504" s="40" t="s">
        <v>7059</v>
      </c>
      <c r="D1504" s="361" t="n">
        <v>2014</v>
      </c>
      <c r="E1504" s="361" t="n">
        <f aca="false">2021-D1504</f>
        <v>7</v>
      </c>
      <c r="F1504" s="955" t="n">
        <v>375200</v>
      </c>
      <c r="G1504" s="1418" t="n">
        <v>0.1</v>
      </c>
      <c r="H1504" s="547" t="n">
        <f aca="false">E1504*F1504*G1504</f>
        <v>262640</v>
      </c>
      <c r="I1504" s="547" t="n">
        <f aca="false">F1504-H1504</f>
        <v>112560</v>
      </c>
      <c r="J1504" s="873" t="n">
        <f aca="false">F1504*E1504/100</f>
        <v>26264</v>
      </c>
      <c r="K1504" s="1365" t="n">
        <f aca="false">J1504/1792.8</f>
        <v>14.6497099509148</v>
      </c>
      <c r="L1504" s="873" t="n">
        <v>5</v>
      </c>
      <c r="M1504" s="819" t="n">
        <f aca="false">K1504*L1504/60</f>
        <v>1.22080916257623</v>
      </c>
    </row>
    <row r="1505" customFormat="false" ht="15" hidden="false" customHeight="false" outlineLevel="0" collapsed="false">
      <c r="A1505" s="216"/>
      <c r="B1505" s="972"/>
      <c r="C1505" s="1161" t="s">
        <v>7053</v>
      </c>
      <c r="D1505" s="361" t="n">
        <v>2005</v>
      </c>
      <c r="E1505" s="361" t="n">
        <f aca="false">2021-D1505</f>
        <v>16</v>
      </c>
      <c r="F1505" s="660" t="n">
        <v>176358</v>
      </c>
      <c r="G1505" s="1418" t="n">
        <v>0.1</v>
      </c>
      <c r="H1505" s="547" t="n">
        <f aca="false">E1505*F1505*G1505</f>
        <v>282172.8</v>
      </c>
      <c r="I1505" s="547" t="n">
        <f aca="false">F1505-H1505</f>
        <v>-105814.8</v>
      </c>
      <c r="J1505" s="547" t="n">
        <v>158723</v>
      </c>
      <c r="K1505" s="1365" t="n">
        <f aca="false">J1505/1792.8</f>
        <v>88.5335787594824</v>
      </c>
      <c r="L1505" s="547" t="n">
        <v>5</v>
      </c>
      <c r="M1505" s="819" t="n">
        <f aca="false">K1505*L1505/60</f>
        <v>7.37779822995687</v>
      </c>
    </row>
    <row r="1506" customFormat="false" ht="15" hidden="false" customHeight="false" outlineLevel="0" collapsed="false">
      <c r="A1506" s="216"/>
      <c r="B1506" s="972"/>
      <c r="C1506" s="1161" t="s">
        <v>7060</v>
      </c>
      <c r="D1506" s="361" t="n">
        <v>2005</v>
      </c>
      <c r="E1506" s="361" t="n">
        <f aca="false">2021-D1506</f>
        <v>16</v>
      </c>
      <c r="F1506" s="660" t="n">
        <v>260000</v>
      </c>
      <c r="G1506" s="1418" t="n">
        <v>0.1</v>
      </c>
      <c r="H1506" s="547" t="n">
        <f aca="false">E1506*F1506*G1506</f>
        <v>416000</v>
      </c>
      <c r="I1506" s="547" t="n">
        <f aca="false">F1506-H1506</f>
        <v>-156000</v>
      </c>
      <c r="J1506" s="547" t="n">
        <f aca="false">F1506*G1506</f>
        <v>26000</v>
      </c>
      <c r="K1506" s="1365" t="n">
        <f aca="false">J1506/1792.8</f>
        <v>14.5024542614904</v>
      </c>
      <c r="L1506" s="547" t="n">
        <v>5</v>
      </c>
      <c r="M1506" s="819" t="n">
        <f aca="false">K1506*L1506/60</f>
        <v>1.2085378551242</v>
      </c>
    </row>
    <row r="1507" customFormat="false" ht="30" hidden="false" customHeight="false" outlineLevel="0" collapsed="false">
      <c r="A1507" s="216"/>
      <c r="B1507" s="972"/>
      <c r="C1507" s="1161" t="s">
        <v>6970</v>
      </c>
      <c r="D1507" s="317" t="n">
        <v>2006</v>
      </c>
      <c r="E1507" s="361" t="n">
        <f aca="false">2021-D1507</f>
        <v>15</v>
      </c>
      <c r="F1507" s="660" t="n">
        <v>114000</v>
      </c>
      <c r="G1507" s="1418" t="n">
        <v>0.1</v>
      </c>
      <c r="H1507" s="547" t="n">
        <f aca="false">E1507*F1507*G1507</f>
        <v>171000</v>
      </c>
      <c r="I1507" s="547" t="n">
        <f aca="false">F1507-H1507</f>
        <v>-57000</v>
      </c>
      <c r="J1507" s="547" t="n">
        <v>158723</v>
      </c>
      <c r="K1507" s="1365" t="n">
        <f aca="false">J1507/1792.8</f>
        <v>88.5335787594824</v>
      </c>
      <c r="L1507" s="547" t="n">
        <v>5</v>
      </c>
      <c r="M1507" s="819" t="n">
        <f aca="false">K1507*L1507/60</f>
        <v>7.37779822995687</v>
      </c>
    </row>
    <row r="1508" customFormat="false" ht="15" hidden="false" customHeight="false" outlineLevel="0" collapsed="false">
      <c r="A1508" s="216"/>
      <c r="B1508" s="972" t="s">
        <v>4128</v>
      </c>
      <c r="C1508" s="1161"/>
      <c r="D1508" s="361"/>
      <c r="E1508" s="361"/>
      <c r="F1508" s="660"/>
      <c r="G1508" s="1418"/>
      <c r="H1508" s="547"/>
      <c r="I1508" s="547"/>
      <c r="J1508" s="873"/>
      <c r="K1508" s="1365" t="n">
        <f aca="false">J1508/1792.8</f>
        <v>0</v>
      </c>
      <c r="L1508" s="873"/>
      <c r="M1508" s="934" t="n">
        <f aca="false">SUM(M1504:M1507)</f>
        <v>17.1849434776142</v>
      </c>
    </row>
    <row r="1509" customFormat="false" ht="15" hidden="false" customHeight="false" outlineLevel="0" collapsed="false">
      <c r="A1509" s="216" t="s">
        <v>5095</v>
      </c>
      <c r="B1509" s="40" t="s">
        <v>3261</v>
      </c>
      <c r="C1509" s="40" t="s">
        <v>7059</v>
      </c>
      <c r="D1509" s="361" t="n">
        <v>2014</v>
      </c>
      <c r="E1509" s="361" t="n">
        <f aca="false">2021-D1509</f>
        <v>7</v>
      </c>
      <c r="F1509" s="955" t="n">
        <v>375200</v>
      </c>
      <c r="G1509" s="1418" t="n">
        <v>0.1</v>
      </c>
      <c r="H1509" s="547" t="n">
        <f aca="false">E1509*F1509*G1509</f>
        <v>262640</v>
      </c>
      <c r="I1509" s="547" t="n">
        <f aca="false">F1509-H1509</f>
        <v>112560</v>
      </c>
      <c r="J1509" s="873" t="n">
        <f aca="false">F1509*E1509/100</f>
        <v>26264</v>
      </c>
      <c r="K1509" s="1365" t="n">
        <f aca="false">J1509/1792.8</f>
        <v>14.6497099509148</v>
      </c>
      <c r="L1509" s="873" t="n">
        <v>5</v>
      </c>
      <c r="M1509" s="819" t="n">
        <f aca="false">K1509*L1509/60</f>
        <v>1.22080916257623</v>
      </c>
    </row>
    <row r="1510" customFormat="false" ht="15" hidden="false" customHeight="false" outlineLevel="0" collapsed="false">
      <c r="A1510" s="216"/>
      <c r="B1510" s="972"/>
      <c r="C1510" s="1161" t="s">
        <v>7053</v>
      </c>
      <c r="D1510" s="361" t="n">
        <v>2005</v>
      </c>
      <c r="E1510" s="361" t="n">
        <f aca="false">2021-D1510</f>
        <v>16</v>
      </c>
      <c r="F1510" s="660" t="n">
        <v>176358</v>
      </c>
      <c r="G1510" s="1418" t="n">
        <v>0.1</v>
      </c>
      <c r="H1510" s="547" t="n">
        <f aca="false">E1510*F1510*G1510</f>
        <v>282172.8</v>
      </c>
      <c r="I1510" s="547" t="n">
        <f aca="false">F1510-H1510</f>
        <v>-105814.8</v>
      </c>
      <c r="J1510" s="547" t="n">
        <v>158723</v>
      </c>
      <c r="K1510" s="1365" t="n">
        <f aca="false">J1510/1792.8</f>
        <v>88.5335787594824</v>
      </c>
      <c r="L1510" s="547" t="n">
        <v>5</v>
      </c>
      <c r="M1510" s="819" t="n">
        <f aca="false">K1510*L1510/60</f>
        <v>7.37779822995687</v>
      </c>
    </row>
    <row r="1511" customFormat="false" ht="15" hidden="false" customHeight="false" outlineLevel="0" collapsed="false">
      <c r="A1511" s="216"/>
      <c r="B1511" s="972"/>
      <c r="C1511" s="1161" t="s">
        <v>7060</v>
      </c>
      <c r="D1511" s="361" t="n">
        <v>2005</v>
      </c>
      <c r="E1511" s="361" t="n">
        <f aca="false">2021-D1511</f>
        <v>16</v>
      </c>
      <c r="F1511" s="660" t="n">
        <v>260000</v>
      </c>
      <c r="G1511" s="1418" t="n">
        <v>0.1</v>
      </c>
      <c r="H1511" s="547" t="n">
        <f aca="false">E1511*F1511*G1511</f>
        <v>416000</v>
      </c>
      <c r="I1511" s="547" t="n">
        <f aca="false">F1511-H1511</f>
        <v>-156000</v>
      </c>
      <c r="J1511" s="547" t="n">
        <f aca="false">F1511*G1511</f>
        <v>26000</v>
      </c>
      <c r="K1511" s="1365" t="n">
        <f aca="false">J1511/1792.8</f>
        <v>14.5024542614904</v>
      </c>
      <c r="L1511" s="547" t="n">
        <v>5</v>
      </c>
      <c r="M1511" s="819" t="n">
        <f aca="false">K1511*L1511/60</f>
        <v>1.2085378551242</v>
      </c>
    </row>
    <row r="1512" customFormat="false" ht="30" hidden="false" customHeight="false" outlineLevel="0" collapsed="false">
      <c r="A1512" s="216"/>
      <c r="B1512" s="972"/>
      <c r="C1512" s="1161" t="s">
        <v>6970</v>
      </c>
      <c r="D1512" s="317" t="n">
        <v>2006</v>
      </c>
      <c r="E1512" s="361" t="n">
        <f aca="false">2021-D1512</f>
        <v>15</v>
      </c>
      <c r="F1512" s="660" t="n">
        <v>114000</v>
      </c>
      <c r="G1512" s="1418" t="n">
        <v>0.1</v>
      </c>
      <c r="H1512" s="547" t="n">
        <f aca="false">E1512*F1512*G1512</f>
        <v>171000</v>
      </c>
      <c r="I1512" s="547" t="n">
        <f aca="false">F1512-H1512</f>
        <v>-57000</v>
      </c>
      <c r="J1512" s="547" t="n">
        <v>158723</v>
      </c>
      <c r="K1512" s="1365" t="n">
        <f aca="false">J1512/1792.8</f>
        <v>88.5335787594824</v>
      </c>
      <c r="L1512" s="547" t="n">
        <v>5</v>
      </c>
      <c r="M1512" s="819" t="n">
        <f aca="false">K1512*L1512/60</f>
        <v>7.37779822995687</v>
      </c>
    </row>
    <row r="1513" customFormat="false" ht="15" hidden="false" customHeight="false" outlineLevel="0" collapsed="false">
      <c r="A1513" s="216"/>
      <c r="B1513" s="972" t="s">
        <v>4128</v>
      </c>
      <c r="C1513" s="1161"/>
      <c r="D1513" s="361"/>
      <c r="E1513" s="361"/>
      <c r="F1513" s="660"/>
      <c r="G1513" s="1418"/>
      <c r="H1513" s="547"/>
      <c r="I1513" s="547"/>
      <c r="J1513" s="873"/>
      <c r="K1513" s="1365" t="n">
        <f aca="false">J1513/1792.8</f>
        <v>0</v>
      </c>
      <c r="L1513" s="873"/>
      <c r="M1513" s="934" t="n">
        <f aca="false">SUM(M1509:M1512)</f>
        <v>17.1849434776142</v>
      </c>
    </row>
    <row r="1514" customFormat="false" ht="15" hidden="false" customHeight="false" outlineLevel="0" collapsed="false">
      <c r="A1514" s="216" t="s">
        <v>5101</v>
      </c>
      <c r="B1514" s="40" t="s">
        <v>3262</v>
      </c>
      <c r="C1514" s="40" t="s">
        <v>7059</v>
      </c>
      <c r="D1514" s="361" t="n">
        <v>2014</v>
      </c>
      <c r="E1514" s="361" t="n">
        <f aca="false">2021-D1514</f>
        <v>7</v>
      </c>
      <c r="F1514" s="955" t="n">
        <v>375200</v>
      </c>
      <c r="G1514" s="1418" t="n">
        <v>0.1</v>
      </c>
      <c r="H1514" s="547" t="n">
        <f aca="false">E1514*F1514*G1514</f>
        <v>262640</v>
      </c>
      <c r="I1514" s="547" t="n">
        <f aca="false">F1514-H1514</f>
        <v>112560</v>
      </c>
      <c r="J1514" s="873" t="n">
        <f aca="false">F1514*E1514/100</f>
        <v>26264</v>
      </c>
      <c r="K1514" s="1365" t="n">
        <f aca="false">J1514/1792.8</f>
        <v>14.6497099509148</v>
      </c>
      <c r="L1514" s="873" t="n">
        <v>5</v>
      </c>
      <c r="M1514" s="819" t="n">
        <f aca="false">K1514*L1514/60</f>
        <v>1.22080916257623</v>
      </c>
    </row>
    <row r="1515" customFormat="false" ht="15" hidden="false" customHeight="false" outlineLevel="0" collapsed="false">
      <c r="A1515" s="216"/>
      <c r="B1515" s="972"/>
      <c r="C1515" s="1161" t="s">
        <v>7053</v>
      </c>
      <c r="D1515" s="361" t="n">
        <v>2005</v>
      </c>
      <c r="E1515" s="361" t="n">
        <f aca="false">2021-D1515</f>
        <v>16</v>
      </c>
      <c r="F1515" s="660" t="n">
        <v>176358</v>
      </c>
      <c r="G1515" s="1418" t="n">
        <v>0.1</v>
      </c>
      <c r="H1515" s="547" t="n">
        <f aca="false">E1515*F1515*G1515</f>
        <v>282172.8</v>
      </c>
      <c r="I1515" s="547" t="n">
        <f aca="false">F1515-H1515</f>
        <v>-105814.8</v>
      </c>
      <c r="J1515" s="547" t="n">
        <v>158723</v>
      </c>
      <c r="K1515" s="1365" t="n">
        <f aca="false">J1515/1792.8</f>
        <v>88.5335787594824</v>
      </c>
      <c r="L1515" s="547" t="n">
        <v>20</v>
      </c>
      <c r="M1515" s="819" t="n">
        <f aca="false">K1515*L1515/60</f>
        <v>29.5111929198275</v>
      </c>
    </row>
    <row r="1516" customFormat="false" ht="15" hidden="false" customHeight="false" outlineLevel="0" collapsed="false">
      <c r="A1516" s="216"/>
      <c r="B1516" s="316"/>
      <c r="C1516" s="1161" t="s">
        <v>7060</v>
      </c>
      <c r="D1516" s="361" t="n">
        <v>2005</v>
      </c>
      <c r="E1516" s="361" t="n">
        <f aca="false">2021-D1516</f>
        <v>16</v>
      </c>
      <c r="F1516" s="660" t="n">
        <v>260000</v>
      </c>
      <c r="G1516" s="1418" t="n">
        <v>0.1</v>
      </c>
      <c r="H1516" s="547" t="n">
        <f aca="false">E1516*F1516*G1516</f>
        <v>416000</v>
      </c>
      <c r="I1516" s="547" t="n">
        <f aca="false">F1516-H1516</f>
        <v>-156000</v>
      </c>
      <c r="J1516" s="547" t="n">
        <f aca="false">F1516*G1516</f>
        <v>26000</v>
      </c>
      <c r="K1516" s="1365" t="n">
        <f aca="false">J1516/1792.8</f>
        <v>14.5024542614904</v>
      </c>
      <c r="L1516" s="547" t="n">
        <v>5</v>
      </c>
      <c r="M1516" s="819" t="n">
        <f aca="false">K1516*L1516/60</f>
        <v>1.2085378551242</v>
      </c>
    </row>
    <row r="1517" customFormat="false" ht="30" hidden="false" customHeight="false" outlineLevel="0" collapsed="false">
      <c r="A1517" s="216"/>
      <c r="B1517" s="316"/>
      <c r="C1517" s="1161" t="s">
        <v>6970</v>
      </c>
      <c r="D1517" s="317" t="n">
        <v>2006</v>
      </c>
      <c r="E1517" s="361" t="n">
        <f aca="false">2021-D1517</f>
        <v>15</v>
      </c>
      <c r="F1517" s="660" t="n">
        <v>114000</v>
      </c>
      <c r="G1517" s="1418" t="n">
        <v>0.1</v>
      </c>
      <c r="H1517" s="547" t="n">
        <f aca="false">E1517*F1517*G1517</f>
        <v>171000</v>
      </c>
      <c r="I1517" s="547" t="n">
        <f aca="false">F1517-H1517</f>
        <v>-57000</v>
      </c>
      <c r="J1517" s="547" t="n">
        <v>158723</v>
      </c>
      <c r="K1517" s="1365" t="n">
        <f aca="false">J1517/1792.8</f>
        <v>88.5335787594824</v>
      </c>
      <c r="L1517" s="547" t="n">
        <v>5</v>
      </c>
      <c r="M1517" s="819" t="n">
        <f aca="false">K1517*L1517/60</f>
        <v>7.37779822995687</v>
      </c>
    </row>
    <row r="1518" customFormat="false" ht="15" hidden="false" customHeight="false" outlineLevel="0" collapsed="false">
      <c r="A1518" s="216"/>
      <c r="B1518" s="972" t="s">
        <v>4128</v>
      </c>
      <c r="C1518" s="1161"/>
      <c r="D1518" s="361"/>
      <c r="E1518" s="361"/>
      <c r="F1518" s="660"/>
      <c r="G1518" s="1418"/>
      <c r="H1518" s="547"/>
      <c r="I1518" s="547"/>
      <c r="J1518" s="873"/>
      <c r="K1518" s="1365" t="n">
        <f aca="false">J1518/1792.8</f>
        <v>0</v>
      </c>
      <c r="L1518" s="873"/>
      <c r="M1518" s="934" t="n">
        <f aca="false">SUM(M1514:M1517)</f>
        <v>39.3183381674848</v>
      </c>
    </row>
    <row r="1519" customFormat="false" ht="15" hidden="false" customHeight="false" outlineLevel="0" collapsed="false">
      <c r="A1519" s="216" t="s">
        <v>5106</v>
      </c>
      <c r="B1519" s="40" t="s">
        <v>3263</v>
      </c>
      <c r="C1519" s="40" t="s">
        <v>7059</v>
      </c>
      <c r="D1519" s="361" t="n">
        <v>2014</v>
      </c>
      <c r="E1519" s="361" t="n">
        <f aca="false">2021-D1519</f>
        <v>7</v>
      </c>
      <c r="F1519" s="955" t="n">
        <v>375200</v>
      </c>
      <c r="G1519" s="1418" t="n">
        <v>0.1</v>
      </c>
      <c r="H1519" s="547" t="n">
        <f aca="false">E1519*F1519*G1519</f>
        <v>262640</v>
      </c>
      <c r="I1519" s="547" t="n">
        <f aca="false">F1519-H1519</f>
        <v>112560</v>
      </c>
      <c r="J1519" s="873" t="n">
        <f aca="false">F1519*E1519/100</f>
        <v>26264</v>
      </c>
      <c r="K1519" s="1365" t="n">
        <f aca="false">J1519/1792.8</f>
        <v>14.6497099509148</v>
      </c>
      <c r="L1519" s="873" t="n">
        <v>5</v>
      </c>
      <c r="M1519" s="819" t="n">
        <f aca="false">K1519*L1519/60</f>
        <v>1.22080916257623</v>
      </c>
    </row>
    <row r="1520" customFormat="false" ht="15" hidden="false" customHeight="false" outlineLevel="0" collapsed="false">
      <c r="A1520" s="216"/>
      <c r="B1520" s="972"/>
      <c r="C1520" s="1161" t="s">
        <v>7053</v>
      </c>
      <c r="D1520" s="361" t="n">
        <v>2005</v>
      </c>
      <c r="E1520" s="361" t="n">
        <f aca="false">2021-D1520</f>
        <v>16</v>
      </c>
      <c r="F1520" s="660" t="n">
        <v>176358</v>
      </c>
      <c r="G1520" s="1418" t="n">
        <v>0.1</v>
      </c>
      <c r="H1520" s="547" t="n">
        <f aca="false">E1520*F1520*G1520</f>
        <v>282172.8</v>
      </c>
      <c r="I1520" s="547" t="n">
        <f aca="false">F1520-H1520</f>
        <v>-105814.8</v>
      </c>
      <c r="J1520" s="547" t="n">
        <v>158723</v>
      </c>
      <c r="K1520" s="1365" t="n">
        <f aca="false">J1520/1792.8</f>
        <v>88.5335787594824</v>
      </c>
      <c r="L1520" s="547" t="n">
        <v>5</v>
      </c>
      <c r="M1520" s="819" t="n">
        <f aca="false">K1520*L1520/60</f>
        <v>7.37779822995687</v>
      </c>
    </row>
    <row r="1521" customFormat="false" ht="15" hidden="false" customHeight="false" outlineLevel="0" collapsed="false">
      <c r="A1521" s="216"/>
      <c r="B1521" s="972"/>
      <c r="C1521" s="1161" t="s">
        <v>7060</v>
      </c>
      <c r="D1521" s="361" t="n">
        <v>2005</v>
      </c>
      <c r="E1521" s="361" t="n">
        <f aca="false">2021-D1521</f>
        <v>16</v>
      </c>
      <c r="F1521" s="660" t="n">
        <v>260000</v>
      </c>
      <c r="G1521" s="1418" t="n">
        <v>0.1</v>
      </c>
      <c r="H1521" s="547" t="n">
        <f aca="false">E1521*F1521*G1521</f>
        <v>416000</v>
      </c>
      <c r="I1521" s="547" t="n">
        <f aca="false">F1521-H1521</f>
        <v>-156000</v>
      </c>
      <c r="J1521" s="547" t="n">
        <f aca="false">F1521*G1521</f>
        <v>26000</v>
      </c>
      <c r="K1521" s="1365" t="n">
        <f aca="false">J1521/1792.8</f>
        <v>14.5024542614904</v>
      </c>
      <c r="L1521" s="547" t="n">
        <v>5</v>
      </c>
      <c r="M1521" s="819" t="n">
        <f aca="false">K1521*L1521/60</f>
        <v>1.2085378551242</v>
      </c>
    </row>
    <row r="1522" customFormat="false" ht="15" hidden="false" customHeight="false" outlineLevel="0" collapsed="false">
      <c r="A1522" s="216"/>
      <c r="B1522" s="972" t="s">
        <v>4128</v>
      </c>
      <c r="C1522" s="1161"/>
      <c r="D1522" s="361"/>
      <c r="E1522" s="361"/>
      <c r="F1522" s="660"/>
      <c r="G1522" s="1418"/>
      <c r="H1522" s="547"/>
      <c r="I1522" s="547"/>
      <c r="J1522" s="873"/>
      <c r="K1522" s="1365" t="n">
        <f aca="false">J1522/1792.8</f>
        <v>0</v>
      </c>
      <c r="L1522" s="873"/>
      <c r="M1522" s="934" t="n">
        <f aca="false">SUM(M1519:M1521)</f>
        <v>9.8071452476573</v>
      </c>
    </row>
    <row r="1523" customFormat="false" ht="30" hidden="false" customHeight="false" outlineLevel="0" collapsed="false">
      <c r="A1523" s="216" t="s">
        <v>5109</v>
      </c>
      <c r="B1523" s="40" t="s">
        <v>3264</v>
      </c>
      <c r="C1523" s="40" t="s">
        <v>7059</v>
      </c>
      <c r="D1523" s="361" t="n">
        <v>2014</v>
      </c>
      <c r="E1523" s="361" t="n">
        <f aca="false">2021-D1523</f>
        <v>7</v>
      </c>
      <c r="F1523" s="955" t="n">
        <v>375200</v>
      </c>
      <c r="G1523" s="1418" t="n">
        <v>0.1</v>
      </c>
      <c r="H1523" s="547" t="n">
        <f aca="false">E1523*F1523*G1523</f>
        <v>262640</v>
      </c>
      <c r="I1523" s="547" t="n">
        <f aca="false">F1523-H1523</f>
        <v>112560</v>
      </c>
      <c r="J1523" s="873" t="n">
        <f aca="false">F1523*E1523/100</f>
        <v>26264</v>
      </c>
      <c r="K1523" s="1365" t="n">
        <f aca="false">J1523/1792.8</f>
        <v>14.6497099509148</v>
      </c>
      <c r="L1523" s="873" t="n">
        <v>5</v>
      </c>
      <c r="M1523" s="819" t="n">
        <f aca="false">K1523*L1523/60</f>
        <v>1.22080916257623</v>
      </c>
    </row>
    <row r="1524" customFormat="false" ht="15" hidden="false" customHeight="false" outlineLevel="0" collapsed="false">
      <c r="A1524" s="216"/>
      <c r="B1524" s="972"/>
      <c r="C1524" s="1161" t="s">
        <v>7053</v>
      </c>
      <c r="D1524" s="361" t="n">
        <v>2005</v>
      </c>
      <c r="E1524" s="361" t="n">
        <f aca="false">2021-D1524</f>
        <v>16</v>
      </c>
      <c r="F1524" s="660" t="n">
        <v>176358</v>
      </c>
      <c r="G1524" s="1418" t="n">
        <v>0.1</v>
      </c>
      <c r="H1524" s="547" t="n">
        <f aca="false">E1524*F1524*G1524</f>
        <v>282172.8</v>
      </c>
      <c r="I1524" s="547" t="n">
        <f aca="false">F1524-H1524</f>
        <v>-105814.8</v>
      </c>
      <c r="J1524" s="547" t="n">
        <v>158723</v>
      </c>
      <c r="K1524" s="1365" t="n">
        <f aca="false">J1524/1792.8</f>
        <v>88.5335787594824</v>
      </c>
      <c r="L1524" s="547" t="n">
        <v>5</v>
      </c>
      <c r="M1524" s="819" t="n">
        <f aca="false">K1524*L1524/60</f>
        <v>7.37779822995687</v>
      </c>
    </row>
    <row r="1525" customFormat="false" ht="15" hidden="false" customHeight="false" outlineLevel="0" collapsed="false">
      <c r="A1525" s="216"/>
      <c r="B1525" s="972"/>
      <c r="C1525" s="1161" t="s">
        <v>7060</v>
      </c>
      <c r="D1525" s="361" t="n">
        <v>2005</v>
      </c>
      <c r="E1525" s="361" t="n">
        <f aca="false">2021-D1525</f>
        <v>16</v>
      </c>
      <c r="F1525" s="660" t="n">
        <v>260000</v>
      </c>
      <c r="G1525" s="1418" t="n">
        <v>0.1</v>
      </c>
      <c r="H1525" s="547" t="n">
        <f aca="false">E1525*F1525*G1525</f>
        <v>416000</v>
      </c>
      <c r="I1525" s="547" t="n">
        <f aca="false">F1525-H1525</f>
        <v>-156000</v>
      </c>
      <c r="J1525" s="547" t="n">
        <f aca="false">F1525*G1525</f>
        <v>26000</v>
      </c>
      <c r="K1525" s="1365" t="n">
        <f aca="false">J1525/1792.8</f>
        <v>14.5024542614904</v>
      </c>
      <c r="L1525" s="547" t="n">
        <v>5</v>
      </c>
      <c r="M1525" s="819" t="n">
        <f aca="false">K1525*L1525/60</f>
        <v>1.2085378551242</v>
      </c>
    </row>
    <row r="1526" customFormat="false" ht="30" hidden="false" customHeight="false" outlineLevel="0" collapsed="false">
      <c r="A1526" s="216"/>
      <c r="B1526" s="972"/>
      <c r="C1526" s="1161" t="s">
        <v>6970</v>
      </c>
      <c r="D1526" s="317" t="n">
        <v>2006</v>
      </c>
      <c r="E1526" s="361" t="n">
        <f aca="false">2021-D1526</f>
        <v>15</v>
      </c>
      <c r="F1526" s="660" t="n">
        <v>114000</v>
      </c>
      <c r="G1526" s="1418" t="n">
        <v>0.1</v>
      </c>
      <c r="H1526" s="547" t="n">
        <f aca="false">E1526*F1526*G1526</f>
        <v>171000</v>
      </c>
      <c r="I1526" s="547" t="n">
        <f aca="false">F1526-H1526</f>
        <v>-57000</v>
      </c>
      <c r="J1526" s="547" t="n">
        <v>158723</v>
      </c>
      <c r="K1526" s="1365" t="n">
        <f aca="false">J1526/1792.8</f>
        <v>88.5335787594824</v>
      </c>
      <c r="L1526" s="547" t="n">
        <v>5</v>
      </c>
      <c r="M1526" s="819" t="n">
        <f aca="false">K1526*L1526/60</f>
        <v>7.37779822995687</v>
      </c>
    </row>
    <row r="1527" customFormat="false" ht="15" hidden="false" customHeight="false" outlineLevel="0" collapsed="false">
      <c r="A1527" s="216"/>
      <c r="B1527" s="972" t="s">
        <v>4128</v>
      </c>
      <c r="C1527" s="1161"/>
      <c r="D1527" s="361"/>
      <c r="E1527" s="361"/>
      <c r="F1527" s="660"/>
      <c r="G1527" s="1418"/>
      <c r="H1527" s="547"/>
      <c r="I1527" s="547"/>
      <c r="J1527" s="873"/>
      <c r="K1527" s="1365" t="n">
        <f aca="false">J1527/1792.8</f>
        <v>0</v>
      </c>
      <c r="L1527" s="873"/>
      <c r="M1527" s="934" t="n">
        <f aca="false">SUM(M1523:M1526)</f>
        <v>17.1849434776142</v>
      </c>
    </row>
    <row r="1528" customFormat="false" ht="30" hidden="false" customHeight="false" outlineLevel="0" collapsed="false">
      <c r="A1528" s="216" t="s">
        <v>5112</v>
      </c>
      <c r="B1528" s="40" t="s">
        <v>3265</v>
      </c>
      <c r="C1528" s="40" t="s">
        <v>7059</v>
      </c>
      <c r="D1528" s="361" t="n">
        <v>2014</v>
      </c>
      <c r="E1528" s="361" t="n">
        <f aca="false">2021-D1528</f>
        <v>7</v>
      </c>
      <c r="F1528" s="955" t="n">
        <v>375200</v>
      </c>
      <c r="G1528" s="1418" t="n">
        <v>0.1</v>
      </c>
      <c r="H1528" s="547" t="n">
        <f aca="false">E1528*F1528*G1528</f>
        <v>262640</v>
      </c>
      <c r="I1528" s="547" t="n">
        <f aca="false">F1528-H1528</f>
        <v>112560</v>
      </c>
      <c r="J1528" s="873" t="n">
        <f aca="false">F1528*E1528/100</f>
        <v>26264</v>
      </c>
      <c r="K1528" s="1365" t="n">
        <f aca="false">J1528/1792.8</f>
        <v>14.6497099509148</v>
      </c>
      <c r="L1528" s="873" t="n">
        <v>5</v>
      </c>
      <c r="M1528" s="819" t="n">
        <f aca="false">K1528*L1528/60</f>
        <v>1.22080916257623</v>
      </c>
    </row>
    <row r="1529" customFormat="false" ht="15" hidden="false" customHeight="false" outlineLevel="0" collapsed="false">
      <c r="A1529" s="216"/>
      <c r="B1529" s="40"/>
      <c r="C1529" s="1161" t="s">
        <v>7053</v>
      </c>
      <c r="D1529" s="361" t="n">
        <v>2005</v>
      </c>
      <c r="E1529" s="361" t="n">
        <f aca="false">2021-D1529</f>
        <v>16</v>
      </c>
      <c r="F1529" s="660" t="n">
        <v>176358</v>
      </c>
      <c r="G1529" s="1418" t="n">
        <v>0.1</v>
      </c>
      <c r="H1529" s="547" t="n">
        <f aca="false">E1529*F1529*G1529</f>
        <v>282172.8</v>
      </c>
      <c r="I1529" s="547" t="n">
        <f aca="false">F1529-H1529</f>
        <v>-105814.8</v>
      </c>
      <c r="J1529" s="547" t="n">
        <v>158723</v>
      </c>
      <c r="K1529" s="1365" t="n">
        <f aca="false">J1529/1792.8</f>
        <v>88.5335787594824</v>
      </c>
      <c r="L1529" s="547" t="n">
        <v>5</v>
      </c>
      <c r="M1529" s="819" t="n">
        <f aca="false">K1529*L1529/60</f>
        <v>7.37779822995687</v>
      </c>
    </row>
    <row r="1530" customFormat="false" ht="15" hidden="false" customHeight="false" outlineLevel="0" collapsed="false">
      <c r="A1530" s="216"/>
      <c r="B1530" s="40"/>
      <c r="C1530" s="1161" t="s">
        <v>7060</v>
      </c>
      <c r="D1530" s="361" t="n">
        <v>2005</v>
      </c>
      <c r="E1530" s="361" t="n">
        <f aca="false">2021-D1530</f>
        <v>16</v>
      </c>
      <c r="F1530" s="660" t="n">
        <v>260000</v>
      </c>
      <c r="G1530" s="1418" t="n">
        <v>0.1</v>
      </c>
      <c r="H1530" s="547" t="n">
        <f aca="false">E1530*F1530*G1530</f>
        <v>416000</v>
      </c>
      <c r="I1530" s="547" t="n">
        <f aca="false">F1530-H1530</f>
        <v>-156000</v>
      </c>
      <c r="J1530" s="547" t="n">
        <f aca="false">F1530*G1530</f>
        <v>26000</v>
      </c>
      <c r="K1530" s="1365" t="n">
        <f aca="false">J1530/1792.8</f>
        <v>14.5024542614904</v>
      </c>
      <c r="L1530" s="547" t="n">
        <v>5</v>
      </c>
      <c r="M1530" s="819" t="n">
        <f aca="false">K1530*L1530/60</f>
        <v>1.2085378551242</v>
      </c>
    </row>
    <row r="1531" customFormat="false" ht="30" hidden="false" customHeight="false" outlineLevel="0" collapsed="false">
      <c r="A1531" s="216"/>
      <c r="B1531" s="40"/>
      <c r="C1531" s="1161" t="s">
        <v>6970</v>
      </c>
      <c r="D1531" s="317" t="n">
        <v>2006</v>
      </c>
      <c r="E1531" s="361" t="n">
        <f aca="false">2021-D1531</f>
        <v>15</v>
      </c>
      <c r="F1531" s="660" t="n">
        <v>114000</v>
      </c>
      <c r="G1531" s="1418" t="n">
        <v>0.1</v>
      </c>
      <c r="H1531" s="547" t="n">
        <f aca="false">E1531*F1531*G1531</f>
        <v>171000</v>
      </c>
      <c r="I1531" s="547" t="n">
        <f aca="false">F1531-H1531</f>
        <v>-57000</v>
      </c>
      <c r="J1531" s="547" t="n">
        <v>158723</v>
      </c>
      <c r="K1531" s="1365" t="n">
        <f aca="false">J1531/1792.8</f>
        <v>88.5335787594824</v>
      </c>
      <c r="L1531" s="547" t="n">
        <v>5</v>
      </c>
      <c r="M1531" s="819" t="n">
        <f aca="false">K1531*L1531/60</f>
        <v>7.37779822995687</v>
      </c>
    </row>
    <row r="1532" customFormat="false" ht="15" hidden="false" customHeight="false" outlineLevel="0" collapsed="false">
      <c r="A1532" s="216"/>
      <c r="B1532" s="972" t="s">
        <v>4128</v>
      </c>
      <c r="C1532" s="40"/>
      <c r="D1532" s="361"/>
      <c r="E1532" s="361"/>
      <c r="F1532" s="955"/>
      <c r="G1532" s="1418"/>
      <c r="H1532" s="547"/>
      <c r="I1532" s="547"/>
      <c r="J1532" s="1421"/>
      <c r="K1532" s="1365" t="n">
        <f aca="false">J1532/1792.8</f>
        <v>0</v>
      </c>
      <c r="L1532" s="1421"/>
      <c r="M1532" s="934" t="n">
        <f aca="false">SUM(M1528:M1531)</f>
        <v>17.1849434776142</v>
      </c>
    </row>
    <row r="1533" customFormat="false" ht="15" hidden="false" customHeight="false" outlineLevel="0" collapsed="false">
      <c r="A1533" s="216" t="s">
        <v>5117</v>
      </c>
      <c r="B1533" s="40" t="s">
        <v>3266</v>
      </c>
      <c r="C1533" s="40" t="s">
        <v>7059</v>
      </c>
      <c r="D1533" s="361" t="n">
        <v>2014</v>
      </c>
      <c r="E1533" s="361" t="n">
        <f aca="false">2021-D1533</f>
        <v>7</v>
      </c>
      <c r="F1533" s="955" t="n">
        <v>375200</v>
      </c>
      <c r="G1533" s="1418" t="n">
        <v>0.1</v>
      </c>
      <c r="H1533" s="547" t="n">
        <f aca="false">E1533*F1533*G1533</f>
        <v>262640</v>
      </c>
      <c r="I1533" s="547" t="n">
        <f aca="false">F1533-H1533</f>
        <v>112560</v>
      </c>
      <c r="J1533" s="873" t="n">
        <f aca="false">F1533*E1533/100</f>
        <v>26264</v>
      </c>
      <c r="K1533" s="1365" t="n">
        <f aca="false">J1533/1792.8</f>
        <v>14.6497099509148</v>
      </c>
      <c r="L1533" s="873" t="n">
        <v>5</v>
      </c>
      <c r="M1533" s="819" t="n">
        <f aca="false">K1533*L1533/60</f>
        <v>1.22080916257623</v>
      </c>
    </row>
    <row r="1534" customFormat="false" ht="15" hidden="false" customHeight="false" outlineLevel="0" collapsed="false">
      <c r="A1534" s="216"/>
      <c r="B1534" s="40"/>
      <c r="C1534" s="1161" t="s">
        <v>7053</v>
      </c>
      <c r="D1534" s="361" t="n">
        <v>2005</v>
      </c>
      <c r="E1534" s="361" t="n">
        <f aca="false">2021-D1534</f>
        <v>16</v>
      </c>
      <c r="F1534" s="660" t="n">
        <v>176358</v>
      </c>
      <c r="G1534" s="1418" t="n">
        <v>0.1</v>
      </c>
      <c r="H1534" s="547" t="n">
        <f aca="false">E1534*F1534*G1534</f>
        <v>282172.8</v>
      </c>
      <c r="I1534" s="547" t="n">
        <f aca="false">F1534-H1534</f>
        <v>-105814.8</v>
      </c>
      <c r="J1534" s="547" t="n">
        <v>158723</v>
      </c>
      <c r="K1534" s="1365" t="n">
        <f aca="false">J1534/1792.8</f>
        <v>88.5335787594824</v>
      </c>
      <c r="L1534" s="547" t="n">
        <v>5</v>
      </c>
      <c r="M1534" s="819" t="n">
        <f aca="false">K1534*L1534/60</f>
        <v>7.37779822995687</v>
      </c>
    </row>
    <row r="1535" customFormat="false" ht="15" hidden="false" customHeight="false" outlineLevel="0" collapsed="false">
      <c r="A1535" s="216"/>
      <c r="B1535" s="40"/>
      <c r="C1535" s="1161" t="s">
        <v>7060</v>
      </c>
      <c r="D1535" s="361" t="n">
        <v>2005</v>
      </c>
      <c r="E1535" s="361" t="n">
        <f aca="false">2021-D1535</f>
        <v>16</v>
      </c>
      <c r="F1535" s="660" t="n">
        <v>260000</v>
      </c>
      <c r="G1535" s="1418" t="n">
        <v>0.1</v>
      </c>
      <c r="H1535" s="547" t="n">
        <f aca="false">E1535*F1535*G1535</f>
        <v>416000</v>
      </c>
      <c r="I1535" s="547" t="n">
        <f aca="false">F1535-H1535</f>
        <v>-156000</v>
      </c>
      <c r="J1535" s="547" t="n">
        <f aca="false">F1535*G1535</f>
        <v>26000</v>
      </c>
      <c r="K1535" s="1365" t="n">
        <f aca="false">J1535/1792.8</f>
        <v>14.5024542614904</v>
      </c>
      <c r="L1535" s="547" t="n">
        <v>5</v>
      </c>
      <c r="M1535" s="819" t="n">
        <f aca="false">K1535*L1535/60</f>
        <v>1.2085378551242</v>
      </c>
    </row>
    <row r="1536" customFormat="false" ht="30" hidden="false" customHeight="false" outlineLevel="0" collapsed="false">
      <c r="A1536" s="216"/>
      <c r="B1536" s="40"/>
      <c r="C1536" s="1161" t="s">
        <v>6970</v>
      </c>
      <c r="D1536" s="317" t="n">
        <v>2006</v>
      </c>
      <c r="E1536" s="361" t="n">
        <f aca="false">2021-D1536</f>
        <v>15</v>
      </c>
      <c r="F1536" s="660" t="n">
        <v>114000</v>
      </c>
      <c r="G1536" s="1418" t="n">
        <v>0.1</v>
      </c>
      <c r="H1536" s="547" t="n">
        <f aca="false">E1536*F1536*G1536</f>
        <v>171000</v>
      </c>
      <c r="I1536" s="547" t="n">
        <f aca="false">F1536-H1536</f>
        <v>-57000</v>
      </c>
      <c r="J1536" s="547" t="n">
        <v>158723</v>
      </c>
      <c r="K1536" s="1365" t="n">
        <f aca="false">J1536/1792.8</f>
        <v>88.5335787594824</v>
      </c>
      <c r="L1536" s="547" t="n">
        <v>5</v>
      </c>
      <c r="M1536" s="819" t="n">
        <f aca="false">K1536*L1536/60</f>
        <v>7.37779822995687</v>
      </c>
    </row>
    <row r="1537" customFormat="false" ht="15" hidden="false" customHeight="false" outlineLevel="0" collapsed="false">
      <c r="A1537" s="216"/>
      <c r="B1537" s="972" t="s">
        <v>4128</v>
      </c>
      <c r="C1537" s="40"/>
      <c r="D1537" s="361"/>
      <c r="E1537" s="361"/>
      <c r="F1537" s="955"/>
      <c r="G1537" s="1418"/>
      <c r="H1537" s="547"/>
      <c r="I1537" s="547"/>
      <c r="J1537" s="1421"/>
      <c r="K1537" s="1365" t="n">
        <f aca="false">J1537/1792.8</f>
        <v>0</v>
      </c>
      <c r="L1537" s="1421"/>
      <c r="M1537" s="934" t="n">
        <f aca="false">SUM(M1533:M1536)</f>
        <v>17.1849434776142</v>
      </c>
    </row>
    <row r="1538" customFormat="false" ht="30" hidden="false" customHeight="false" outlineLevel="0" collapsed="false">
      <c r="A1538" s="216" t="s">
        <v>5121</v>
      </c>
      <c r="B1538" s="40" t="s">
        <v>3267</v>
      </c>
      <c r="C1538" s="40" t="s">
        <v>7059</v>
      </c>
      <c r="D1538" s="1424" t="n">
        <v>2014</v>
      </c>
      <c r="E1538" s="361" t="n">
        <f aca="false">2021-D1538</f>
        <v>7</v>
      </c>
      <c r="F1538" s="1425" t="n">
        <v>375200</v>
      </c>
      <c r="G1538" s="1426" t="n">
        <v>0.1</v>
      </c>
      <c r="H1538" s="1427" t="n">
        <f aca="false">E1538*F1538*G1538</f>
        <v>262640</v>
      </c>
      <c r="I1538" s="547" t="n">
        <f aca="false">F1538-H1538</f>
        <v>112560</v>
      </c>
      <c r="J1538" s="873" t="n">
        <f aca="false">F1538*E1538/100</f>
        <v>26264</v>
      </c>
      <c r="K1538" s="1365" t="n">
        <f aca="false">J1538/1792.8</f>
        <v>14.6497099509148</v>
      </c>
      <c r="L1538" s="873" t="n">
        <v>5</v>
      </c>
      <c r="M1538" s="819" t="n">
        <f aca="false">K1538*L1538/60</f>
        <v>1.22080916257623</v>
      </c>
    </row>
    <row r="1539" customFormat="false" ht="15" hidden="false" customHeight="false" outlineLevel="0" collapsed="false">
      <c r="A1539" s="216"/>
      <c r="B1539" s="972"/>
      <c r="C1539" s="1161" t="s">
        <v>7053</v>
      </c>
      <c r="D1539" s="361" t="n">
        <v>2005</v>
      </c>
      <c r="E1539" s="361" t="n">
        <f aca="false">2021-D1539</f>
        <v>16</v>
      </c>
      <c r="F1539" s="660" t="n">
        <v>176358</v>
      </c>
      <c r="G1539" s="1418" t="n">
        <v>0.1</v>
      </c>
      <c r="H1539" s="547" t="n">
        <f aca="false">E1539*F1539*G1539</f>
        <v>282172.8</v>
      </c>
      <c r="I1539" s="547" t="n">
        <f aca="false">F1539-H1539</f>
        <v>-105814.8</v>
      </c>
      <c r="J1539" s="547" t="n">
        <v>158723</v>
      </c>
      <c r="K1539" s="1365" t="n">
        <f aca="false">J1539/1792.8</f>
        <v>88.5335787594824</v>
      </c>
      <c r="L1539" s="547" t="n">
        <v>5</v>
      </c>
      <c r="M1539" s="819" t="n">
        <f aca="false">K1539*L1539/60</f>
        <v>7.37779822995687</v>
      </c>
    </row>
    <row r="1540" customFormat="false" ht="15" hidden="false" customHeight="false" outlineLevel="0" collapsed="false">
      <c r="A1540" s="216"/>
      <c r="B1540" s="972"/>
      <c r="C1540" s="1161" t="s">
        <v>7060</v>
      </c>
      <c r="D1540" s="361" t="n">
        <v>2005</v>
      </c>
      <c r="E1540" s="361" t="n">
        <f aca="false">2021-D1540</f>
        <v>16</v>
      </c>
      <c r="F1540" s="660" t="n">
        <v>260000</v>
      </c>
      <c r="G1540" s="1418" t="n">
        <v>0.1</v>
      </c>
      <c r="H1540" s="547" t="n">
        <f aca="false">E1540*F1540*G1540</f>
        <v>416000</v>
      </c>
      <c r="I1540" s="547" t="n">
        <f aca="false">F1540-H1540</f>
        <v>-156000</v>
      </c>
      <c r="J1540" s="547" t="n">
        <f aca="false">F1540*G1540</f>
        <v>26000</v>
      </c>
      <c r="K1540" s="1365" t="n">
        <f aca="false">J1540/1792.8</f>
        <v>14.5024542614904</v>
      </c>
      <c r="L1540" s="547" t="n">
        <v>5</v>
      </c>
      <c r="M1540" s="819" t="n">
        <f aca="false">K1540*L1540/60</f>
        <v>1.2085378551242</v>
      </c>
    </row>
    <row r="1541" customFormat="false" ht="30" hidden="false" customHeight="false" outlineLevel="0" collapsed="false">
      <c r="A1541" s="216"/>
      <c r="B1541" s="972"/>
      <c r="C1541" s="1161" t="s">
        <v>6970</v>
      </c>
      <c r="D1541" s="317" t="n">
        <v>2006</v>
      </c>
      <c r="E1541" s="361" t="n">
        <f aca="false">2021-D1541</f>
        <v>15</v>
      </c>
      <c r="F1541" s="660" t="n">
        <v>114000</v>
      </c>
      <c r="G1541" s="1418" t="n">
        <v>0.1</v>
      </c>
      <c r="H1541" s="547" t="n">
        <f aca="false">E1541*F1541*G1541</f>
        <v>171000</v>
      </c>
      <c r="I1541" s="547" t="n">
        <f aca="false">F1541-H1541</f>
        <v>-57000</v>
      </c>
      <c r="J1541" s="547" t="n">
        <v>158723</v>
      </c>
      <c r="K1541" s="1365" t="n">
        <f aca="false">J1541/1792.8</f>
        <v>88.5335787594824</v>
      </c>
      <c r="L1541" s="547" t="n">
        <v>5</v>
      </c>
      <c r="M1541" s="819" t="n">
        <f aca="false">K1541*L1541/60</f>
        <v>7.37779822995687</v>
      </c>
    </row>
    <row r="1542" customFormat="false" ht="15" hidden="false" customHeight="false" outlineLevel="0" collapsed="false">
      <c r="A1542" s="216"/>
      <c r="B1542" s="972" t="s">
        <v>4128</v>
      </c>
      <c r="C1542" s="40"/>
      <c r="D1542" s="361"/>
      <c r="E1542" s="361"/>
      <c r="F1542" s="955"/>
      <c r="G1542" s="1418"/>
      <c r="H1542" s="547"/>
      <c r="I1542" s="547"/>
      <c r="J1542" s="1421"/>
      <c r="K1542" s="1365" t="n">
        <f aca="false">J1542/1792.8</f>
        <v>0</v>
      </c>
      <c r="L1542" s="1421"/>
      <c r="M1542" s="934" t="n">
        <f aca="false">SUM(M1538:M1541)</f>
        <v>17.1849434776142</v>
      </c>
    </row>
    <row r="1543" customFormat="false" ht="15" hidden="false" customHeight="false" outlineLevel="0" collapsed="false">
      <c r="A1543" s="216" t="s">
        <v>5125</v>
      </c>
      <c r="B1543" s="40" t="s">
        <v>3268</v>
      </c>
      <c r="C1543" s="40" t="s">
        <v>7059</v>
      </c>
      <c r="D1543" s="1424" t="n">
        <v>2014</v>
      </c>
      <c r="E1543" s="361" t="n">
        <f aca="false">2021-D1543</f>
        <v>7</v>
      </c>
      <c r="F1543" s="1425" t="n">
        <v>375200</v>
      </c>
      <c r="G1543" s="1426" t="n">
        <v>0.1</v>
      </c>
      <c r="H1543" s="1427" t="n">
        <f aca="false">E1543*F1543*G1543</f>
        <v>262640</v>
      </c>
      <c r="I1543" s="1427" t="n">
        <f aca="false">F1543-H1543</f>
        <v>112560</v>
      </c>
      <c r="J1543" s="873" t="n">
        <f aca="false">F1543*E1543/100</f>
        <v>26264</v>
      </c>
      <c r="K1543" s="1365" t="n">
        <f aca="false">J1543/1792.8</f>
        <v>14.6497099509148</v>
      </c>
      <c r="L1543" s="873" t="n">
        <v>5</v>
      </c>
      <c r="M1543" s="819" t="n">
        <f aca="false">K1543*L1543/60</f>
        <v>1.22080916257623</v>
      </c>
    </row>
    <row r="1544" customFormat="false" ht="15" hidden="false" customHeight="false" outlineLevel="0" collapsed="false">
      <c r="A1544" s="216"/>
      <c r="B1544" s="972"/>
      <c r="C1544" s="1161" t="s">
        <v>7053</v>
      </c>
      <c r="D1544" s="361" t="n">
        <v>2005</v>
      </c>
      <c r="E1544" s="361" t="n">
        <f aca="false">2021-D1544</f>
        <v>16</v>
      </c>
      <c r="F1544" s="660" t="n">
        <v>176358</v>
      </c>
      <c r="G1544" s="1418" t="n">
        <v>0.1</v>
      </c>
      <c r="H1544" s="547" t="n">
        <f aca="false">E1544*F1544*G1544</f>
        <v>282172.8</v>
      </c>
      <c r="I1544" s="547" t="n">
        <f aca="false">F1544-H1544</f>
        <v>-105814.8</v>
      </c>
      <c r="J1544" s="547" t="n">
        <v>158723</v>
      </c>
      <c r="K1544" s="1365" t="n">
        <f aca="false">J1544/1792.8</f>
        <v>88.5335787594824</v>
      </c>
      <c r="L1544" s="547" t="n">
        <v>5</v>
      </c>
      <c r="M1544" s="819" t="n">
        <f aca="false">K1544*L1544/60</f>
        <v>7.37779822995687</v>
      </c>
    </row>
    <row r="1545" customFormat="false" ht="15" hidden="false" customHeight="false" outlineLevel="0" collapsed="false">
      <c r="A1545" s="216"/>
      <c r="B1545" s="972"/>
      <c r="C1545" s="1161" t="s">
        <v>7060</v>
      </c>
      <c r="D1545" s="361" t="n">
        <v>2005</v>
      </c>
      <c r="E1545" s="361" t="n">
        <f aca="false">2021-D1545</f>
        <v>16</v>
      </c>
      <c r="F1545" s="660" t="n">
        <v>260000</v>
      </c>
      <c r="G1545" s="1418" t="n">
        <v>0.1</v>
      </c>
      <c r="H1545" s="547" t="n">
        <f aca="false">E1545*F1545*G1545</f>
        <v>416000</v>
      </c>
      <c r="I1545" s="547" t="n">
        <f aca="false">F1545-H1545</f>
        <v>-156000</v>
      </c>
      <c r="J1545" s="547" t="n">
        <f aca="false">F1545*G1545</f>
        <v>26000</v>
      </c>
      <c r="K1545" s="1365" t="n">
        <f aca="false">J1545/1792.8</f>
        <v>14.5024542614904</v>
      </c>
      <c r="L1545" s="547" t="n">
        <v>5</v>
      </c>
      <c r="M1545" s="819" t="n">
        <f aca="false">K1545*L1545/60</f>
        <v>1.2085378551242</v>
      </c>
    </row>
    <row r="1546" customFormat="false" ht="30" hidden="false" customHeight="false" outlineLevel="0" collapsed="false">
      <c r="A1546" s="216"/>
      <c r="B1546" s="972"/>
      <c r="C1546" s="1161" t="s">
        <v>6970</v>
      </c>
      <c r="D1546" s="317" t="n">
        <v>2006</v>
      </c>
      <c r="E1546" s="361" t="n">
        <f aca="false">2021-D1546</f>
        <v>15</v>
      </c>
      <c r="F1546" s="660" t="n">
        <v>114000</v>
      </c>
      <c r="G1546" s="1418" t="n">
        <v>0.1</v>
      </c>
      <c r="H1546" s="547" t="n">
        <f aca="false">E1546*F1546*G1546</f>
        <v>171000</v>
      </c>
      <c r="I1546" s="547" t="n">
        <f aca="false">F1546-H1546</f>
        <v>-57000</v>
      </c>
      <c r="J1546" s="547" t="n">
        <v>158723</v>
      </c>
      <c r="K1546" s="1365" t="n">
        <f aca="false">J1546/1792.8</f>
        <v>88.5335787594824</v>
      </c>
      <c r="L1546" s="547" t="n">
        <v>5</v>
      </c>
      <c r="M1546" s="819" t="n">
        <f aca="false">K1546*L1546/60</f>
        <v>7.37779822995687</v>
      </c>
    </row>
    <row r="1547" customFormat="false" ht="15" hidden="false" customHeight="false" outlineLevel="0" collapsed="false">
      <c r="A1547" s="216"/>
      <c r="B1547" s="972" t="s">
        <v>4128</v>
      </c>
      <c r="C1547" s="40"/>
      <c r="D1547" s="361"/>
      <c r="E1547" s="361"/>
      <c r="F1547" s="955"/>
      <c r="G1547" s="1418"/>
      <c r="H1547" s="547"/>
      <c r="I1547" s="547"/>
      <c r="J1547" s="1421"/>
      <c r="K1547" s="1365" t="n">
        <f aca="false">J1547/1792.8</f>
        <v>0</v>
      </c>
      <c r="L1547" s="1421"/>
      <c r="M1547" s="934" t="n">
        <f aca="false">SUM(M1543:M1546)</f>
        <v>17.1849434776142</v>
      </c>
    </row>
    <row r="1548" customFormat="false" ht="15" hidden="false" customHeight="false" outlineLevel="0" collapsed="false">
      <c r="A1548" s="216" t="s">
        <v>5132</v>
      </c>
      <c r="B1548" s="40" t="s">
        <v>3269</v>
      </c>
      <c r="C1548" s="40" t="s">
        <v>7059</v>
      </c>
      <c r="D1548" s="1424" t="n">
        <v>2014</v>
      </c>
      <c r="E1548" s="361" t="n">
        <f aca="false">2021-D1548</f>
        <v>7</v>
      </c>
      <c r="F1548" s="1425" t="n">
        <v>375200</v>
      </c>
      <c r="G1548" s="1426" t="n">
        <v>0.1</v>
      </c>
      <c r="H1548" s="1427" t="n">
        <f aca="false">E1548*F1548*G1548</f>
        <v>262640</v>
      </c>
      <c r="I1548" s="1427" t="n">
        <f aca="false">F1548-H1548</f>
        <v>112560</v>
      </c>
      <c r="J1548" s="873" t="n">
        <f aca="false">F1548*E1548/100</f>
        <v>26264</v>
      </c>
      <c r="K1548" s="1365" t="n">
        <f aca="false">J1548/1792.8</f>
        <v>14.6497099509148</v>
      </c>
      <c r="L1548" s="873" t="n">
        <v>5</v>
      </c>
      <c r="M1548" s="819" t="n">
        <f aca="false">K1548*L1548/60</f>
        <v>1.22080916257623</v>
      </c>
    </row>
    <row r="1549" customFormat="false" ht="15" hidden="false" customHeight="false" outlineLevel="0" collapsed="false">
      <c r="A1549" s="216"/>
      <c r="B1549" s="972"/>
      <c r="C1549" s="1161" t="s">
        <v>7053</v>
      </c>
      <c r="D1549" s="361" t="n">
        <v>2005</v>
      </c>
      <c r="E1549" s="361" t="n">
        <f aca="false">2021-D1549</f>
        <v>16</v>
      </c>
      <c r="F1549" s="660" t="n">
        <v>176358</v>
      </c>
      <c r="G1549" s="1418" t="n">
        <v>0.1</v>
      </c>
      <c r="H1549" s="547" t="n">
        <f aca="false">E1549*F1549*G1549</f>
        <v>282172.8</v>
      </c>
      <c r="I1549" s="547" t="n">
        <f aca="false">F1549-H1549</f>
        <v>-105814.8</v>
      </c>
      <c r="J1549" s="547" t="n">
        <v>158723</v>
      </c>
      <c r="K1549" s="1365" t="n">
        <f aca="false">J1549/1792.8</f>
        <v>88.5335787594824</v>
      </c>
      <c r="L1549" s="547" t="n">
        <v>5</v>
      </c>
      <c r="M1549" s="819" t="n">
        <f aca="false">K1549*L1549/60</f>
        <v>7.37779822995687</v>
      </c>
    </row>
    <row r="1550" customFormat="false" ht="15" hidden="false" customHeight="false" outlineLevel="0" collapsed="false">
      <c r="A1550" s="216"/>
      <c r="B1550" s="972"/>
      <c r="C1550" s="1161" t="s">
        <v>7060</v>
      </c>
      <c r="D1550" s="361" t="n">
        <v>2005</v>
      </c>
      <c r="E1550" s="361" t="n">
        <f aca="false">2021-D1550</f>
        <v>16</v>
      </c>
      <c r="F1550" s="660" t="n">
        <v>260000</v>
      </c>
      <c r="G1550" s="1418" t="n">
        <v>0.1</v>
      </c>
      <c r="H1550" s="547" t="n">
        <f aca="false">E1550*F1550*G1550</f>
        <v>416000</v>
      </c>
      <c r="I1550" s="547" t="n">
        <f aca="false">F1550-H1550</f>
        <v>-156000</v>
      </c>
      <c r="J1550" s="547" t="n">
        <f aca="false">F1550*G1550</f>
        <v>26000</v>
      </c>
      <c r="K1550" s="1365" t="n">
        <f aca="false">J1550/1792.8</f>
        <v>14.5024542614904</v>
      </c>
      <c r="L1550" s="547" t="n">
        <v>5</v>
      </c>
      <c r="M1550" s="819" t="n">
        <f aca="false">K1550*L1550/60</f>
        <v>1.2085378551242</v>
      </c>
    </row>
    <row r="1551" customFormat="false" ht="30" hidden="false" customHeight="false" outlineLevel="0" collapsed="false">
      <c r="A1551" s="216"/>
      <c r="B1551" s="972"/>
      <c r="C1551" s="1161" t="s">
        <v>6970</v>
      </c>
      <c r="D1551" s="317" t="n">
        <v>2006</v>
      </c>
      <c r="E1551" s="361" t="n">
        <f aca="false">2021-D1551</f>
        <v>15</v>
      </c>
      <c r="F1551" s="660" t="n">
        <v>114000</v>
      </c>
      <c r="G1551" s="1418" t="n">
        <v>0.1</v>
      </c>
      <c r="H1551" s="547" t="n">
        <f aca="false">E1551*F1551*G1551</f>
        <v>171000</v>
      </c>
      <c r="I1551" s="547" t="n">
        <f aca="false">F1551-H1551</f>
        <v>-57000</v>
      </c>
      <c r="J1551" s="547" t="n">
        <v>158723</v>
      </c>
      <c r="K1551" s="1365" t="n">
        <f aca="false">J1551/1792.8</f>
        <v>88.5335787594824</v>
      </c>
      <c r="L1551" s="547" t="n">
        <v>5</v>
      </c>
      <c r="M1551" s="819" t="n">
        <f aca="false">K1551*L1551/60</f>
        <v>7.37779822995687</v>
      </c>
    </row>
    <row r="1552" customFormat="false" ht="15" hidden="false" customHeight="false" outlineLevel="0" collapsed="false">
      <c r="A1552" s="216"/>
      <c r="B1552" s="972" t="s">
        <v>4128</v>
      </c>
      <c r="C1552" s="40"/>
      <c r="D1552" s="361"/>
      <c r="E1552" s="361"/>
      <c r="F1552" s="955"/>
      <c r="G1552" s="1418"/>
      <c r="H1552" s="547"/>
      <c r="I1552" s="547"/>
      <c r="J1552" s="1421"/>
      <c r="K1552" s="1365" t="n">
        <f aca="false">J1552/1792.8</f>
        <v>0</v>
      </c>
      <c r="L1552" s="1421"/>
      <c r="M1552" s="934" t="n">
        <f aca="false">SUM(M1548:M1551)</f>
        <v>17.1849434776142</v>
      </c>
    </row>
    <row r="1553" customFormat="false" ht="15" hidden="false" customHeight="false" outlineLevel="0" collapsed="false">
      <c r="A1553" s="216" t="s">
        <v>5136</v>
      </c>
      <c r="B1553" s="40" t="s">
        <v>3270</v>
      </c>
      <c r="C1553" s="433" t="s">
        <v>7059</v>
      </c>
      <c r="D1553" s="1424" t="n">
        <v>2014</v>
      </c>
      <c r="E1553" s="361" t="n">
        <f aca="false">2021-D1553</f>
        <v>7</v>
      </c>
      <c r="F1553" s="1425" t="n">
        <v>375200</v>
      </c>
      <c r="G1553" s="1426" t="n">
        <v>0.1</v>
      </c>
      <c r="H1553" s="1427" t="n">
        <f aca="false">E1553*F1553*G1553</f>
        <v>262640</v>
      </c>
      <c r="I1553" s="1427" t="n">
        <f aca="false">F1553-H1553</f>
        <v>112560</v>
      </c>
      <c r="J1553" s="873" t="n">
        <f aca="false">F1553*E1553/100</f>
        <v>26264</v>
      </c>
      <c r="K1553" s="660" t="n">
        <f aca="false">J1553/1792.8</f>
        <v>14.6497099509148</v>
      </c>
      <c r="L1553" s="873" t="n">
        <v>5</v>
      </c>
      <c r="M1553" s="819" t="n">
        <f aca="false">K1553*L1553/60</f>
        <v>1.22080916257623</v>
      </c>
    </row>
    <row r="1554" customFormat="false" ht="15" hidden="false" customHeight="false" outlineLevel="0" collapsed="false">
      <c r="A1554" s="216"/>
      <c r="B1554" s="972"/>
      <c r="C1554" s="1161" t="s">
        <v>7053</v>
      </c>
      <c r="D1554" s="361" t="n">
        <v>2005</v>
      </c>
      <c r="E1554" s="361" t="n">
        <f aca="false">2021-D1554</f>
        <v>16</v>
      </c>
      <c r="F1554" s="660" t="n">
        <v>176358</v>
      </c>
      <c r="G1554" s="1418" t="n">
        <v>0.1</v>
      </c>
      <c r="H1554" s="547" t="n">
        <f aca="false">E1554*F1554*G1554</f>
        <v>282172.8</v>
      </c>
      <c r="I1554" s="547" t="n">
        <f aca="false">F1554-H1554</f>
        <v>-105814.8</v>
      </c>
      <c r="J1554" s="547" t="n">
        <v>158723</v>
      </c>
      <c r="K1554" s="1365" t="n">
        <f aca="false">J1554/1792.8</f>
        <v>88.5335787594824</v>
      </c>
      <c r="L1554" s="547" t="n">
        <v>5</v>
      </c>
      <c r="M1554" s="819" t="n">
        <f aca="false">K1554*L1554/60</f>
        <v>7.37779822995687</v>
      </c>
    </row>
    <row r="1555" customFormat="false" ht="15" hidden="false" customHeight="false" outlineLevel="0" collapsed="false">
      <c r="A1555" s="216"/>
      <c r="B1555" s="972"/>
      <c r="C1555" s="1161" t="s">
        <v>7060</v>
      </c>
      <c r="D1555" s="361" t="n">
        <v>2005</v>
      </c>
      <c r="E1555" s="361" t="n">
        <f aca="false">2021-D1555</f>
        <v>16</v>
      </c>
      <c r="F1555" s="660" t="n">
        <v>260000</v>
      </c>
      <c r="G1555" s="1418" t="n">
        <v>0.1</v>
      </c>
      <c r="H1555" s="547" t="n">
        <f aca="false">E1555*F1555*G1555</f>
        <v>416000</v>
      </c>
      <c r="I1555" s="547" t="n">
        <f aca="false">F1555-H1555</f>
        <v>-156000</v>
      </c>
      <c r="J1555" s="547" t="n">
        <f aca="false">F1555*G1555</f>
        <v>26000</v>
      </c>
      <c r="K1555" s="1365" t="n">
        <f aca="false">J1555/1792.8</f>
        <v>14.5024542614904</v>
      </c>
      <c r="L1555" s="547" t="n">
        <v>5</v>
      </c>
      <c r="M1555" s="819" t="n">
        <f aca="false">K1555*L1555/60</f>
        <v>1.2085378551242</v>
      </c>
    </row>
    <row r="1556" customFormat="false" ht="30" hidden="false" customHeight="false" outlineLevel="0" collapsed="false">
      <c r="A1556" s="216"/>
      <c r="B1556" s="972"/>
      <c r="C1556" s="1161" t="s">
        <v>6970</v>
      </c>
      <c r="D1556" s="317" t="n">
        <v>2006</v>
      </c>
      <c r="E1556" s="361" t="n">
        <f aca="false">2021-D1556</f>
        <v>15</v>
      </c>
      <c r="F1556" s="660" t="n">
        <v>114000</v>
      </c>
      <c r="G1556" s="1418" t="n">
        <v>0.1</v>
      </c>
      <c r="H1556" s="547" t="n">
        <f aca="false">E1556*F1556*G1556</f>
        <v>171000</v>
      </c>
      <c r="I1556" s="547" t="n">
        <f aca="false">F1556-H1556</f>
        <v>-57000</v>
      </c>
      <c r="J1556" s="547" t="n">
        <v>158723</v>
      </c>
      <c r="K1556" s="1365" t="n">
        <f aca="false">J1556/1792.8</f>
        <v>88.5335787594824</v>
      </c>
      <c r="L1556" s="547" t="n">
        <v>5</v>
      </c>
      <c r="M1556" s="819" t="n">
        <f aca="false">K1556*L1556/60</f>
        <v>7.37779822995687</v>
      </c>
    </row>
    <row r="1557" customFormat="false" ht="15" hidden="false" customHeight="false" outlineLevel="0" collapsed="false">
      <c r="A1557" s="216"/>
      <c r="B1557" s="972" t="s">
        <v>4128</v>
      </c>
      <c r="C1557" s="40"/>
      <c r="D1557" s="361"/>
      <c r="E1557" s="361"/>
      <c r="F1557" s="955"/>
      <c r="G1557" s="1418"/>
      <c r="H1557" s="547"/>
      <c r="I1557" s="547"/>
      <c r="J1557" s="1421"/>
      <c r="K1557" s="1365" t="n">
        <f aca="false">J1557/1792.8</f>
        <v>0</v>
      </c>
      <c r="L1557" s="1421"/>
      <c r="M1557" s="934" t="n">
        <f aca="false">SUM(M1553:M1556)</f>
        <v>17.1849434776142</v>
      </c>
    </row>
    <row r="1558" customFormat="false" ht="15" hidden="false" customHeight="false" outlineLevel="0" collapsed="false">
      <c r="A1558" s="216" t="s">
        <v>5142</v>
      </c>
      <c r="B1558" s="40" t="s">
        <v>3271</v>
      </c>
      <c r="C1558" s="40" t="s">
        <v>7059</v>
      </c>
      <c r="D1558" s="361" t="n">
        <v>2014</v>
      </c>
      <c r="E1558" s="361" t="n">
        <f aca="false">2021-D1558</f>
        <v>7</v>
      </c>
      <c r="F1558" s="1425" t="n">
        <v>375200</v>
      </c>
      <c r="G1558" s="1426" t="n">
        <v>0.1</v>
      </c>
      <c r="H1558" s="1427" t="n">
        <f aca="false">E1558*F1558*G1558</f>
        <v>262640</v>
      </c>
      <c r="I1558" s="1427" t="n">
        <f aca="false">F1558-H1558</f>
        <v>112560</v>
      </c>
      <c r="J1558" s="873" t="n">
        <f aca="false">F1558*E1558/100</f>
        <v>26264</v>
      </c>
      <c r="K1558" s="1365" t="n">
        <f aca="false">J1558/1792.8</f>
        <v>14.6497099509148</v>
      </c>
      <c r="L1558" s="873" t="n">
        <v>5</v>
      </c>
      <c r="M1558" s="819" t="n">
        <f aca="false">K1558*L1558/60</f>
        <v>1.22080916257623</v>
      </c>
    </row>
    <row r="1559" customFormat="false" ht="15" hidden="false" customHeight="false" outlineLevel="0" collapsed="false">
      <c r="A1559" s="216"/>
      <c r="B1559" s="972"/>
      <c r="C1559" s="1161" t="s">
        <v>7053</v>
      </c>
      <c r="D1559" s="361" t="n">
        <v>2005</v>
      </c>
      <c r="E1559" s="361" t="n">
        <f aca="false">2021-D1559</f>
        <v>16</v>
      </c>
      <c r="F1559" s="660" t="n">
        <v>176358</v>
      </c>
      <c r="G1559" s="1418" t="n">
        <v>0.1</v>
      </c>
      <c r="H1559" s="547" t="n">
        <f aca="false">E1559*F1559*G1559</f>
        <v>282172.8</v>
      </c>
      <c r="I1559" s="547" t="n">
        <f aca="false">F1559-H1559</f>
        <v>-105814.8</v>
      </c>
      <c r="J1559" s="547" t="n">
        <v>158723</v>
      </c>
      <c r="K1559" s="1365" t="n">
        <f aca="false">J1559/1792.8</f>
        <v>88.5335787594824</v>
      </c>
      <c r="L1559" s="547" t="n">
        <v>5</v>
      </c>
      <c r="M1559" s="819" t="n">
        <f aca="false">K1559*L1559/60</f>
        <v>7.37779822995687</v>
      </c>
    </row>
    <row r="1560" customFormat="false" ht="15" hidden="false" customHeight="false" outlineLevel="0" collapsed="false">
      <c r="A1560" s="216"/>
      <c r="B1560" s="972"/>
      <c r="C1560" s="1161" t="s">
        <v>7060</v>
      </c>
      <c r="D1560" s="361" t="n">
        <v>2005</v>
      </c>
      <c r="E1560" s="361" t="n">
        <f aca="false">2021-D1560</f>
        <v>16</v>
      </c>
      <c r="F1560" s="660" t="n">
        <v>260000</v>
      </c>
      <c r="G1560" s="1418" t="n">
        <v>0.1</v>
      </c>
      <c r="H1560" s="547" t="n">
        <f aca="false">E1560*F1560*G1560</f>
        <v>416000</v>
      </c>
      <c r="I1560" s="547" t="n">
        <f aca="false">F1560-H1560</f>
        <v>-156000</v>
      </c>
      <c r="J1560" s="547" t="n">
        <f aca="false">F1560*G1560</f>
        <v>26000</v>
      </c>
      <c r="K1560" s="1365" t="n">
        <f aca="false">J1560/1792.8</f>
        <v>14.5024542614904</v>
      </c>
      <c r="L1560" s="547" t="n">
        <v>5</v>
      </c>
      <c r="M1560" s="819" t="n">
        <f aca="false">K1560*L1560/60</f>
        <v>1.2085378551242</v>
      </c>
    </row>
    <row r="1561" customFormat="false" ht="30" hidden="false" customHeight="false" outlineLevel="0" collapsed="false">
      <c r="A1561" s="216"/>
      <c r="B1561" s="972"/>
      <c r="C1561" s="1161" t="s">
        <v>6970</v>
      </c>
      <c r="D1561" s="317" t="n">
        <v>2006</v>
      </c>
      <c r="E1561" s="361" t="n">
        <f aca="false">2021-D1561</f>
        <v>15</v>
      </c>
      <c r="F1561" s="660" t="n">
        <v>114000</v>
      </c>
      <c r="G1561" s="1418" t="n">
        <v>0.1</v>
      </c>
      <c r="H1561" s="547" t="n">
        <f aca="false">E1561*F1561*G1561</f>
        <v>171000</v>
      </c>
      <c r="I1561" s="547" t="n">
        <f aca="false">F1561-H1561</f>
        <v>-57000</v>
      </c>
      <c r="J1561" s="547" t="n">
        <v>158723</v>
      </c>
      <c r="K1561" s="1365" t="n">
        <f aca="false">J1561/1792.8</f>
        <v>88.5335787594824</v>
      </c>
      <c r="L1561" s="547" t="n">
        <v>5</v>
      </c>
      <c r="M1561" s="819" t="n">
        <f aca="false">K1561*L1561/60</f>
        <v>7.37779822995687</v>
      </c>
    </row>
    <row r="1562" customFormat="false" ht="15" hidden="false" customHeight="false" outlineLevel="0" collapsed="false">
      <c r="A1562" s="216"/>
      <c r="B1562" s="972" t="s">
        <v>4128</v>
      </c>
      <c r="C1562" s="40"/>
      <c r="D1562" s="361"/>
      <c r="E1562" s="361"/>
      <c r="F1562" s="955"/>
      <c r="G1562" s="1418"/>
      <c r="H1562" s="547"/>
      <c r="I1562" s="547"/>
      <c r="J1562" s="1421"/>
      <c r="K1562" s="1365" t="n">
        <f aca="false">J1562/1792.8</f>
        <v>0</v>
      </c>
      <c r="L1562" s="1421"/>
      <c r="M1562" s="934" t="n">
        <f aca="false">SUM(M1558:M1561)</f>
        <v>17.1849434776142</v>
      </c>
    </row>
    <row r="1563" customFormat="false" ht="15" hidden="false" customHeight="false" outlineLevel="0" collapsed="false">
      <c r="A1563" s="216" t="s">
        <v>5146</v>
      </c>
      <c r="B1563" s="40" t="s">
        <v>3272</v>
      </c>
      <c r="C1563" s="40" t="s">
        <v>7059</v>
      </c>
      <c r="D1563" s="1424" t="n">
        <v>2014</v>
      </c>
      <c r="E1563" s="361" t="n">
        <f aca="false">2021-D1563</f>
        <v>7</v>
      </c>
      <c r="F1563" s="1425" t="n">
        <v>375200</v>
      </c>
      <c r="G1563" s="1426" t="n">
        <v>0.1</v>
      </c>
      <c r="H1563" s="1427" t="n">
        <f aca="false">E1563*F1563*G1563</f>
        <v>262640</v>
      </c>
      <c r="I1563" s="1427" t="n">
        <f aca="false">F1563-H1563</f>
        <v>112560</v>
      </c>
      <c r="J1563" s="873" t="n">
        <f aca="false">F1563*E1563/100</f>
        <v>26264</v>
      </c>
      <c r="K1563" s="1365" t="n">
        <f aca="false">J1563/1792.8</f>
        <v>14.6497099509148</v>
      </c>
      <c r="L1563" s="873" t="n">
        <v>5</v>
      </c>
      <c r="M1563" s="819" t="n">
        <f aca="false">K1563*L1563/60</f>
        <v>1.22080916257623</v>
      </c>
    </row>
    <row r="1564" customFormat="false" ht="15" hidden="false" customHeight="false" outlineLevel="0" collapsed="false">
      <c r="A1564" s="216"/>
      <c r="B1564" s="972"/>
      <c r="C1564" s="1161" t="s">
        <v>7053</v>
      </c>
      <c r="D1564" s="361" t="n">
        <v>2005</v>
      </c>
      <c r="E1564" s="361" t="n">
        <f aca="false">2021-D1564</f>
        <v>16</v>
      </c>
      <c r="F1564" s="660" t="n">
        <v>176358</v>
      </c>
      <c r="G1564" s="1418" t="n">
        <v>0.1</v>
      </c>
      <c r="H1564" s="547" t="n">
        <f aca="false">E1564*F1564*G1564</f>
        <v>282172.8</v>
      </c>
      <c r="I1564" s="547" t="n">
        <f aca="false">F1564-H1564</f>
        <v>-105814.8</v>
      </c>
      <c r="J1564" s="547" t="n">
        <v>158723</v>
      </c>
      <c r="K1564" s="1365" t="n">
        <f aca="false">J1564/1792.8</f>
        <v>88.5335787594824</v>
      </c>
      <c r="L1564" s="547" t="n">
        <v>5</v>
      </c>
      <c r="M1564" s="819" t="n">
        <f aca="false">K1564*L1564/60</f>
        <v>7.37779822995687</v>
      </c>
    </row>
    <row r="1565" customFormat="false" ht="15" hidden="false" customHeight="false" outlineLevel="0" collapsed="false">
      <c r="A1565" s="216"/>
      <c r="B1565" s="972"/>
      <c r="C1565" s="1161" t="s">
        <v>7060</v>
      </c>
      <c r="D1565" s="361" t="n">
        <v>2005</v>
      </c>
      <c r="E1565" s="361" t="n">
        <f aca="false">2021-D1565</f>
        <v>16</v>
      </c>
      <c r="F1565" s="660" t="n">
        <v>260000</v>
      </c>
      <c r="G1565" s="1418" t="n">
        <v>0.1</v>
      </c>
      <c r="H1565" s="547" t="n">
        <f aca="false">E1565*F1565*G1565</f>
        <v>416000</v>
      </c>
      <c r="I1565" s="547" t="n">
        <f aca="false">F1565-H1565</f>
        <v>-156000</v>
      </c>
      <c r="J1565" s="547" t="n">
        <f aca="false">F1565*G1565</f>
        <v>26000</v>
      </c>
      <c r="K1565" s="1365" t="n">
        <f aca="false">J1565/1792.8</f>
        <v>14.5024542614904</v>
      </c>
      <c r="L1565" s="547" t="n">
        <v>5</v>
      </c>
      <c r="M1565" s="819" t="n">
        <f aca="false">K1565*L1565/60</f>
        <v>1.2085378551242</v>
      </c>
    </row>
    <row r="1566" customFormat="false" ht="30" hidden="false" customHeight="false" outlineLevel="0" collapsed="false">
      <c r="A1566" s="216"/>
      <c r="B1566" s="972"/>
      <c r="C1566" s="1161" t="s">
        <v>6970</v>
      </c>
      <c r="D1566" s="317" t="n">
        <v>2006</v>
      </c>
      <c r="E1566" s="361" t="n">
        <f aca="false">2021-D1566</f>
        <v>15</v>
      </c>
      <c r="F1566" s="660" t="n">
        <v>114000</v>
      </c>
      <c r="G1566" s="1418" t="n">
        <v>0.1</v>
      </c>
      <c r="H1566" s="547" t="n">
        <f aca="false">E1566*F1566*G1566</f>
        <v>171000</v>
      </c>
      <c r="I1566" s="547" t="n">
        <f aca="false">F1566-H1566</f>
        <v>-57000</v>
      </c>
      <c r="J1566" s="547" t="n">
        <v>158723</v>
      </c>
      <c r="K1566" s="1365" t="n">
        <f aca="false">J1566/1792.8</f>
        <v>88.5335787594824</v>
      </c>
      <c r="L1566" s="547" t="n">
        <v>5</v>
      </c>
      <c r="M1566" s="819" t="n">
        <f aca="false">K1566*L1566/60</f>
        <v>7.37779822995687</v>
      </c>
    </row>
    <row r="1567" customFormat="false" ht="15" hidden="false" customHeight="false" outlineLevel="0" collapsed="false">
      <c r="A1567" s="216"/>
      <c r="B1567" s="972" t="s">
        <v>4128</v>
      </c>
      <c r="C1567" s="40"/>
      <c r="D1567" s="361"/>
      <c r="E1567" s="361"/>
      <c r="F1567" s="955"/>
      <c r="G1567" s="1418"/>
      <c r="H1567" s="547"/>
      <c r="I1567" s="547"/>
      <c r="J1567" s="1421"/>
      <c r="K1567" s="1365" t="n">
        <f aca="false">J1567/1792.8</f>
        <v>0</v>
      </c>
      <c r="L1567" s="1421"/>
      <c r="M1567" s="934" t="n">
        <f aca="false">SUM(M1563:M1566)</f>
        <v>17.1849434776142</v>
      </c>
    </row>
    <row r="1568" customFormat="false" ht="30" hidden="false" customHeight="false" outlineLevel="0" collapsed="false">
      <c r="A1568" s="7" t="s">
        <v>961</v>
      </c>
      <c r="B1568" s="60" t="s">
        <v>3273</v>
      </c>
      <c r="C1568" s="433" t="s">
        <v>7059</v>
      </c>
      <c r="D1568" s="1424" t="n">
        <v>2014</v>
      </c>
      <c r="E1568" s="361" t="n">
        <f aca="false">2021-D1568</f>
        <v>7</v>
      </c>
      <c r="F1568" s="1425" t="n">
        <v>375200</v>
      </c>
      <c r="G1568" s="1426" t="n">
        <v>0.1</v>
      </c>
      <c r="H1568" s="1427" t="n">
        <f aca="false">E1568*F1568*G1568</f>
        <v>262640</v>
      </c>
      <c r="I1568" s="1427" t="n">
        <f aca="false">F1568-H1568</f>
        <v>112560</v>
      </c>
      <c r="J1568" s="873" t="n">
        <f aca="false">F1568*E1568/100</f>
        <v>26264</v>
      </c>
      <c r="K1568" s="660" t="n">
        <f aca="false">J1568/1792.8</f>
        <v>14.6497099509148</v>
      </c>
      <c r="L1568" s="873" t="n">
        <v>5</v>
      </c>
      <c r="M1568" s="819" t="n">
        <f aca="false">K1568*L1568/60</f>
        <v>1.22080916257623</v>
      </c>
    </row>
    <row r="1569" customFormat="false" ht="15" hidden="false" customHeight="false" outlineLevel="0" collapsed="false">
      <c r="A1569" s="216"/>
      <c r="B1569" s="972"/>
      <c r="C1569" s="1161" t="s">
        <v>7053</v>
      </c>
      <c r="D1569" s="361" t="n">
        <v>2005</v>
      </c>
      <c r="E1569" s="361" t="n">
        <f aca="false">2021-D1569</f>
        <v>16</v>
      </c>
      <c r="F1569" s="660" t="n">
        <v>176358</v>
      </c>
      <c r="G1569" s="1418" t="n">
        <v>0.1</v>
      </c>
      <c r="H1569" s="547" t="n">
        <f aca="false">E1569*F1569*G1569</f>
        <v>282172.8</v>
      </c>
      <c r="I1569" s="547" t="n">
        <f aca="false">F1569-H1569</f>
        <v>-105814.8</v>
      </c>
      <c r="J1569" s="547" t="n">
        <v>158723</v>
      </c>
      <c r="K1569" s="1365" t="n">
        <f aca="false">J1569/1792.8</f>
        <v>88.5335787594824</v>
      </c>
      <c r="L1569" s="547" t="n">
        <v>5</v>
      </c>
      <c r="M1569" s="819" t="n">
        <f aca="false">K1569*L1569/60</f>
        <v>7.37779822995687</v>
      </c>
    </row>
    <row r="1570" customFormat="false" ht="15" hidden="false" customHeight="false" outlineLevel="0" collapsed="false">
      <c r="A1570" s="216"/>
      <c r="B1570" s="972"/>
      <c r="C1570" s="1161" t="s">
        <v>7060</v>
      </c>
      <c r="D1570" s="361" t="n">
        <v>2005</v>
      </c>
      <c r="E1570" s="361" t="n">
        <f aca="false">2021-D1570</f>
        <v>16</v>
      </c>
      <c r="F1570" s="660" t="n">
        <v>260000</v>
      </c>
      <c r="G1570" s="1418" t="n">
        <v>0.1</v>
      </c>
      <c r="H1570" s="547" t="n">
        <f aca="false">E1570*F1570*G1570</f>
        <v>416000</v>
      </c>
      <c r="I1570" s="547" t="n">
        <f aca="false">F1570-H1570</f>
        <v>-156000</v>
      </c>
      <c r="J1570" s="547" t="n">
        <f aca="false">F1570*G1570</f>
        <v>26000</v>
      </c>
      <c r="K1570" s="1365" t="n">
        <f aca="false">J1570/1792.8</f>
        <v>14.5024542614904</v>
      </c>
      <c r="L1570" s="547" t="n">
        <v>5</v>
      </c>
      <c r="M1570" s="819" t="n">
        <f aca="false">K1570*L1570/60</f>
        <v>1.2085378551242</v>
      </c>
    </row>
    <row r="1571" customFormat="false" ht="30" hidden="false" customHeight="false" outlineLevel="0" collapsed="false">
      <c r="A1571" s="216"/>
      <c r="B1571" s="972"/>
      <c r="C1571" s="1161" t="s">
        <v>6970</v>
      </c>
      <c r="D1571" s="317" t="n">
        <v>2006</v>
      </c>
      <c r="E1571" s="361" t="n">
        <f aca="false">2021-D1571</f>
        <v>15</v>
      </c>
      <c r="F1571" s="660" t="n">
        <v>114000</v>
      </c>
      <c r="G1571" s="1418" t="n">
        <v>0.1</v>
      </c>
      <c r="H1571" s="547" t="n">
        <f aca="false">E1571*F1571*G1571</f>
        <v>171000</v>
      </c>
      <c r="I1571" s="547" t="n">
        <f aca="false">F1571-H1571</f>
        <v>-57000</v>
      </c>
      <c r="J1571" s="547" t="n">
        <v>158723</v>
      </c>
      <c r="K1571" s="1365" t="n">
        <f aca="false">J1571/1792.8</f>
        <v>88.5335787594824</v>
      </c>
      <c r="L1571" s="547" t="n">
        <v>5</v>
      </c>
      <c r="M1571" s="819" t="n">
        <f aca="false">K1571*L1571/60</f>
        <v>7.37779822995687</v>
      </c>
    </row>
    <row r="1572" customFormat="false" ht="15" hidden="false" customHeight="false" outlineLevel="0" collapsed="false">
      <c r="A1572" s="216"/>
      <c r="B1572" s="972" t="s">
        <v>4128</v>
      </c>
      <c r="C1572" s="1161"/>
      <c r="D1572" s="1428"/>
      <c r="E1572" s="361"/>
      <c r="F1572" s="1429"/>
      <c r="G1572" s="1426"/>
      <c r="H1572" s="1427"/>
      <c r="I1572" s="1427"/>
      <c r="J1572" s="547"/>
      <c r="K1572" s="1365"/>
      <c r="L1572" s="547"/>
      <c r="M1572" s="934" t="n">
        <f aca="false">SUM(M1568:M1571)</f>
        <v>17.1849434776142</v>
      </c>
    </row>
    <row r="1573" customFormat="false" ht="15" hidden="false" customHeight="false" outlineLevel="0" collapsed="false">
      <c r="A1573" s="7" t="s">
        <v>963</v>
      </c>
      <c r="B1573" s="60" t="s">
        <v>3274</v>
      </c>
      <c r="C1573" s="433" t="s">
        <v>7059</v>
      </c>
      <c r="D1573" s="1424" t="n">
        <v>2014</v>
      </c>
      <c r="E1573" s="361" t="n">
        <f aca="false">2021-D1573</f>
        <v>7</v>
      </c>
      <c r="F1573" s="1425" t="n">
        <v>375200</v>
      </c>
      <c r="G1573" s="1426" t="n">
        <v>0.1</v>
      </c>
      <c r="H1573" s="1427" t="n">
        <f aca="false">E1573*F1573*G1573</f>
        <v>262640</v>
      </c>
      <c r="I1573" s="1427" t="n">
        <f aca="false">F1573-H1573</f>
        <v>112560</v>
      </c>
      <c r="J1573" s="873" t="n">
        <f aca="false">F1573*E1573/100</f>
        <v>26264</v>
      </c>
      <c r="K1573" s="660" t="n">
        <f aca="false">J1573/1792.8</f>
        <v>14.6497099509148</v>
      </c>
      <c r="L1573" s="873" t="n">
        <v>5</v>
      </c>
      <c r="M1573" s="819" t="n">
        <f aca="false">K1573*L1573/60</f>
        <v>1.22080916257623</v>
      </c>
    </row>
    <row r="1574" customFormat="false" ht="15" hidden="false" customHeight="false" outlineLevel="0" collapsed="false">
      <c r="A1574" s="216"/>
      <c r="B1574" s="972"/>
      <c r="C1574" s="1161" t="s">
        <v>7053</v>
      </c>
      <c r="D1574" s="361" t="n">
        <v>2005</v>
      </c>
      <c r="E1574" s="361" t="n">
        <f aca="false">2021-D1574</f>
        <v>16</v>
      </c>
      <c r="F1574" s="660" t="n">
        <v>176358</v>
      </c>
      <c r="G1574" s="1418" t="n">
        <v>0.1</v>
      </c>
      <c r="H1574" s="547" t="n">
        <f aca="false">E1574*F1574*G1574</f>
        <v>282172.8</v>
      </c>
      <c r="I1574" s="547" t="n">
        <f aca="false">F1574-H1574</f>
        <v>-105814.8</v>
      </c>
      <c r="J1574" s="547" t="n">
        <v>158723</v>
      </c>
      <c r="K1574" s="1365" t="n">
        <f aca="false">J1574/1792.8</f>
        <v>88.5335787594824</v>
      </c>
      <c r="L1574" s="547" t="n">
        <v>5</v>
      </c>
      <c r="M1574" s="819" t="n">
        <f aca="false">K1574*L1574/60</f>
        <v>7.37779822995687</v>
      </c>
    </row>
    <row r="1575" customFormat="false" ht="15" hidden="false" customHeight="false" outlineLevel="0" collapsed="false">
      <c r="A1575" s="216"/>
      <c r="B1575" s="972"/>
      <c r="C1575" s="1161" t="s">
        <v>7060</v>
      </c>
      <c r="D1575" s="361" t="n">
        <v>2005</v>
      </c>
      <c r="E1575" s="361" t="n">
        <f aca="false">2021-D1575</f>
        <v>16</v>
      </c>
      <c r="F1575" s="660" t="n">
        <v>260000</v>
      </c>
      <c r="G1575" s="1418" t="n">
        <v>0.1</v>
      </c>
      <c r="H1575" s="547" t="n">
        <f aca="false">E1575*F1575*G1575</f>
        <v>416000</v>
      </c>
      <c r="I1575" s="547" t="n">
        <f aca="false">F1575-H1575</f>
        <v>-156000</v>
      </c>
      <c r="J1575" s="547" t="n">
        <f aca="false">F1575*G1575</f>
        <v>26000</v>
      </c>
      <c r="K1575" s="1365" t="n">
        <f aca="false">J1575/1792.8</f>
        <v>14.5024542614904</v>
      </c>
      <c r="L1575" s="547" t="n">
        <v>5</v>
      </c>
      <c r="M1575" s="819" t="n">
        <f aca="false">K1575*L1575/60</f>
        <v>1.2085378551242</v>
      </c>
    </row>
    <row r="1576" customFormat="false" ht="30" hidden="false" customHeight="false" outlineLevel="0" collapsed="false">
      <c r="A1576" s="216"/>
      <c r="B1576" s="972"/>
      <c r="C1576" s="1161" t="s">
        <v>6970</v>
      </c>
      <c r="D1576" s="317" t="n">
        <v>2006</v>
      </c>
      <c r="E1576" s="361" t="n">
        <f aca="false">2021-D1576</f>
        <v>15</v>
      </c>
      <c r="F1576" s="660" t="n">
        <v>114000</v>
      </c>
      <c r="G1576" s="1418" t="n">
        <v>0.1</v>
      </c>
      <c r="H1576" s="547" t="n">
        <f aca="false">E1576*F1576*G1576</f>
        <v>171000</v>
      </c>
      <c r="I1576" s="547" t="n">
        <f aca="false">F1576-H1576</f>
        <v>-57000</v>
      </c>
      <c r="J1576" s="547" t="n">
        <v>158723</v>
      </c>
      <c r="K1576" s="1365" t="n">
        <f aca="false">J1576/1792.8</f>
        <v>88.5335787594824</v>
      </c>
      <c r="L1576" s="547" t="n">
        <v>5</v>
      </c>
      <c r="M1576" s="819" t="n">
        <f aca="false">K1576*L1576/60</f>
        <v>7.37779822995687</v>
      </c>
    </row>
    <row r="1577" customFormat="false" ht="15" hidden="false" customHeight="false" outlineLevel="0" collapsed="false">
      <c r="A1577" s="216"/>
      <c r="B1577" s="972" t="s">
        <v>4128</v>
      </c>
      <c r="C1577" s="1161"/>
      <c r="D1577" s="1428"/>
      <c r="E1577" s="361"/>
      <c r="F1577" s="1429"/>
      <c r="G1577" s="1426"/>
      <c r="H1577" s="1427"/>
      <c r="I1577" s="1427"/>
      <c r="J1577" s="547"/>
      <c r="K1577" s="1365"/>
      <c r="L1577" s="547"/>
      <c r="M1577" s="934" t="n">
        <f aca="false">SUM(M1573:M1576)</f>
        <v>17.1849434776142</v>
      </c>
    </row>
    <row r="1578" customFormat="false" ht="15" hidden="false" customHeight="false" outlineLevel="0" collapsed="false">
      <c r="A1578" s="7" t="s">
        <v>965</v>
      </c>
      <c r="B1578" s="60" t="s">
        <v>3275</v>
      </c>
      <c r="C1578" s="433" t="s">
        <v>7059</v>
      </c>
      <c r="D1578" s="1424" t="n">
        <v>2014</v>
      </c>
      <c r="E1578" s="361" t="n">
        <f aca="false">2021-D1578</f>
        <v>7</v>
      </c>
      <c r="F1578" s="1425" t="n">
        <v>375200</v>
      </c>
      <c r="G1578" s="1426" t="n">
        <v>0.1</v>
      </c>
      <c r="H1578" s="1427" t="n">
        <f aca="false">E1578*F1578*G1578</f>
        <v>262640</v>
      </c>
      <c r="I1578" s="1427" t="n">
        <f aca="false">F1578-H1578</f>
        <v>112560</v>
      </c>
      <c r="J1578" s="873" t="n">
        <f aca="false">F1578*E1578/100</f>
        <v>26264</v>
      </c>
      <c r="K1578" s="660" t="n">
        <f aca="false">J1578/1792.8</f>
        <v>14.6497099509148</v>
      </c>
      <c r="L1578" s="873" t="n">
        <v>5</v>
      </c>
      <c r="M1578" s="819" t="n">
        <f aca="false">K1578*L1578/60</f>
        <v>1.22080916257623</v>
      </c>
    </row>
    <row r="1579" customFormat="false" ht="15" hidden="false" customHeight="false" outlineLevel="0" collapsed="false">
      <c r="A1579" s="216"/>
      <c r="B1579" s="972"/>
      <c r="C1579" s="1161" t="s">
        <v>7053</v>
      </c>
      <c r="D1579" s="361" t="n">
        <v>2005</v>
      </c>
      <c r="E1579" s="361" t="n">
        <f aca="false">2021-D1579</f>
        <v>16</v>
      </c>
      <c r="F1579" s="660" t="n">
        <v>176358</v>
      </c>
      <c r="G1579" s="1418" t="n">
        <v>0.1</v>
      </c>
      <c r="H1579" s="547" t="n">
        <f aca="false">E1579*F1579*G1579</f>
        <v>282172.8</v>
      </c>
      <c r="I1579" s="547" t="n">
        <f aca="false">F1579-H1579</f>
        <v>-105814.8</v>
      </c>
      <c r="J1579" s="547" t="n">
        <v>158723</v>
      </c>
      <c r="K1579" s="1365" t="n">
        <f aca="false">J1579/1792.8</f>
        <v>88.5335787594824</v>
      </c>
      <c r="L1579" s="547" t="n">
        <v>5</v>
      </c>
      <c r="M1579" s="819" t="n">
        <f aca="false">K1579*L1579/60</f>
        <v>7.37779822995687</v>
      </c>
    </row>
    <row r="1580" customFormat="false" ht="15" hidden="false" customHeight="false" outlineLevel="0" collapsed="false">
      <c r="A1580" s="216"/>
      <c r="B1580" s="972"/>
      <c r="C1580" s="1161" t="s">
        <v>7060</v>
      </c>
      <c r="D1580" s="361" t="n">
        <v>2005</v>
      </c>
      <c r="E1580" s="361" t="n">
        <f aca="false">2021-D1580</f>
        <v>16</v>
      </c>
      <c r="F1580" s="660" t="n">
        <v>260000</v>
      </c>
      <c r="G1580" s="1418" t="n">
        <v>0.1</v>
      </c>
      <c r="H1580" s="547" t="n">
        <f aca="false">E1580*F1580*G1580</f>
        <v>416000</v>
      </c>
      <c r="I1580" s="547" t="n">
        <f aca="false">F1580-H1580</f>
        <v>-156000</v>
      </c>
      <c r="J1580" s="547" t="n">
        <f aca="false">F1580*G1580</f>
        <v>26000</v>
      </c>
      <c r="K1580" s="1365" t="n">
        <f aca="false">J1580/1792.8</f>
        <v>14.5024542614904</v>
      </c>
      <c r="L1580" s="547" t="n">
        <v>5</v>
      </c>
      <c r="M1580" s="819" t="n">
        <f aca="false">K1580*L1580/60</f>
        <v>1.2085378551242</v>
      </c>
    </row>
    <row r="1581" customFormat="false" ht="30" hidden="false" customHeight="false" outlineLevel="0" collapsed="false">
      <c r="A1581" s="216"/>
      <c r="B1581" s="972"/>
      <c r="C1581" s="1161" t="s">
        <v>6970</v>
      </c>
      <c r="D1581" s="317" t="n">
        <v>2006</v>
      </c>
      <c r="E1581" s="361" t="n">
        <f aca="false">2021-D1581</f>
        <v>15</v>
      </c>
      <c r="F1581" s="660" t="n">
        <v>114000</v>
      </c>
      <c r="G1581" s="1418" t="n">
        <v>0.1</v>
      </c>
      <c r="H1581" s="547" t="n">
        <f aca="false">E1581*F1581*G1581</f>
        <v>171000</v>
      </c>
      <c r="I1581" s="547" t="n">
        <f aca="false">F1581-H1581</f>
        <v>-57000</v>
      </c>
      <c r="J1581" s="547" t="n">
        <v>158723</v>
      </c>
      <c r="K1581" s="1365" t="n">
        <f aca="false">J1581/1792.8</f>
        <v>88.5335787594824</v>
      </c>
      <c r="L1581" s="547" t="n">
        <v>5</v>
      </c>
      <c r="M1581" s="819" t="n">
        <f aca="false">K1581*L1581/60</f>
        <v>7.37779822995687</v>
      </c>
    </row>
    <row r="1582" customFormat="false" ht="15" hidden="false" customHeight="false" outlineLevel="0" collapsed="false">
      <c r="A1582" s="216"/>
      <c r="B1582" s="972" t="s">
        <v>4128</v>
      </c>
      <c r="C1582" s="1161"/>
      <c r="D1582" s="1428"/>
      <c r="E1582" s="361"/>
      <c r="F1582" s="1429"/>
      <c r="G1582" s="1426"/>
      <c r="H1582" s="1427"/>
      <c r="I1582" s="1427"/>
      <c r="J1582" s="547"/>
      <c r="K1582" s="1365"/>
      <c r="L1582" s="547"/>
      <c r="M1582" s="934" t="n">
        <f aca="false">SUM(M1578:M1581)</f>
        <v>17.1849434776142</v>
      </c>
    </row>
    <row r="1583" customFormat="false" ht="15" hidden="false" customHeight="false" outlineLevel="0" collapsed="false">
      <c r="A1583" s="7" t="s">
        <v>967</v>
      </c>
      <c r="B1583" s="60" t="s">
        <v>3276</v>
      </c>
      <c r="C1583" s="433" t="s">
        <v>7059</v>
      </c>
      <c r="D1583" s="1424" t="n">
        <v>2014</v>
      </c>
      <c r="E1583" s="361" t="n">
        <f aca="false">2021-D1583</f>
        <v>7</v>
      </c>
      <c r="F1583" s="1425" t="n">
        <v>375200</v>
      </c>
      <c r="G1583" s="1426" t="n">
        <v>0.1</v>
      </c>
      <c r="H1583" s="1427" t="n">
        <f aca="false">E1583*F1583*G1583</f>
        <v>262640</v>
      </c>
      <c r="I1583" s="1427" t="n">
        <f aca="false">F1583-H1583</f>
        <v>112560</v>
      </c>
      <c r="J1583" s="873" t="n">
        <f aca="false">F1583*E1583/100</f>
        <v>26264</v>
      </c>
      <c r="K1583" s="660" t="n">
        <f aca="false">J1583/1792.8</f>
        <v>14.6497099509148</v>
      </c>
      <c r="L1583" s="873" t="n">
        <v>5</v>
      </c>
      <c r="M1583" s="819" t="n">
        <f aca="false">K1583*L1583/60</f>
        <v>1.22080916257623</v>
      </c>
    </row>
    <row r="1584" customFormat="false" ht="15" hidden="false" customHeight="false" outlineLevel="0" collapsed="false">
      <c r="A1584" s="216"/>
      <c r="B1584" s="972"/>
      <c r="C1584" s="1161" t="s">
        <v>7053</v>
      </c>
      <c r="D1584" s="361" t="n">
        <v>2005</v>
      </c>
      <c r="E1584" s="361" t="n">
        <f aca="false">2021-D1584</f>
        <v>16</v>
      </c>
      <c r="F1584" s="660" t="n">
        <v>176358</v>
      </c>
      <c r="G1584" s="1418" t="n">
        <v>0.1</v>
      </c>
      <c r="H1584" s="547" t="n">
        <f aca="false">E1584*F1584*G1584</f>
        <v>282172.8</v>
      </c>
      <c r="I1584" s="547" t="n">
        <f aca="false">F1584-H1584</f>
        <v>-105814.8</v>
      </c>
      <c r="J1584" s="547" t="n">
        <v>158723</v>
      </c>
      <c r="K1584" s="1365" t="n">
        <f aca="false">J1584/1792.8</f>
        <v>88.5335787594824</v>
      </c>
      <c r="L1584" s="547" t="n">
        <v>5</v>
      </c>
      <c r="M1584" s="819" t="n">
        <f aca="false">K1584*L1584/60</f>
        <v>7.37779822995687</v>
      </c>
    </row>
    <row r="1585" customFormat="false" ht="15" hidden="false" customHeight="false" outlineLevel="0" collapsed="false">
      <c r="A1585" s="216"/>
      <c r="B1585" s="972"/>
      <c r="C1585" s="1161" t="s">
        <v>7060</v>
      </c>
      <c r="D1585" s="361" t="n">
        <v>2005</v>
      </c>
      <c r="E1585" s="361" t="n">
        <f aca="false">2021-D1585</f>
        <v>16</v>
      </c>
      <c r="F1585" s="660" t="n">
        <v>260000</v>
      </c>
      <c r="G1585" s="1418" t="n">
        <v>0.1</v>
      </c>
      <c r="H1585" s="547" t="n">
        <f aca="false">E1585*F1585*G1585</f>
        <v>416000</v>
      </c>
      <c r="I1585" s="547" t="n">
        <f aca="false">F1585-H1585</f>
        <v>-156000</v>
      </c>
      <c r="J1585" s="547" t="n">
        <f aca="false">F1585*G1585</f>
        <v>26000</v>
      </c>
      <c r="K1585" s="1365" t="n">
        <f aca="false">J1585/1792.8</f>
        <v>14.5024542614904</v>
      </c>
      <c r="L1585" s="547" t="n">
        <v>5</v>
      </c>
      <c r="M1585" s="819" t="n">
        <f aca="false">K1585*L1585/60</f>
        <v>1.2085378551242</v>
      </c>
    </row>
    <row r="1586" customFormat="false" ht="30" hidden="false" customHeight="false" outlineLevel="0" collapsed="false">
      <c r="A1586" s="216"/>
      <c r="B1586" s="972"/>
      <c r="C1586" s="1161" t="s">
        <v>6970</v>
      </c>
      <c r="D1586" s="317" t="n">
        <v>2006</v>
      </c>
      <c r="E1586" s="361" t="n">
        <f aca="false">2021-D1586</f>
        <v>15</v>
      </c>
      <c r="F1586" s="660" t="n">
        <v>114000</v>
      </c>
      <c r="G1586" s="1418" t="n">
        <v>0.1</v>
      </c>
      <c r="H1586" s="547" t="n">
        <f aca="false">E1586*F1586*G1586</f>
        <v>171000</v>
      </c>
      <c r="I1586" s="547" t="n">
        <f aca="false">F1586-H1586</f>
        <v>-57000</v>
      </c>
      <c r="J1586" s="547" t="n">
        <v>158723</v>
      </c>
      <c r="K1586" s="1365" t="n">
        <f aca="false">J1586/1792.8</f>
        <v>88.5335787594824</v>
      </c>
      <c r="L1586" s="547" t="n">
        <v>5</v>
      </c>
      <c r="M1586" s="819" t="n">
        <f aca="false">K1586*L1586/60</f>
        <v>7.37779822995687</v>
      </c>
    </row>
    <row r="1587" customFormat="false" ht="15" hidden="false" customHeight="false" outlineLevel="0" collapsed="false">
      <c r="A1587" s="216"/>
      <c r="B1587" s="972" t="s">
        <v>4128</v>
      </c>
      <c r="C1587" s="1161"/>
      <c r="D1587" s="317"/>
      <c r="E1587" s="361"/>
      <c r="F1587" s="660"/>
      <c r="G1587" s="1418"/>
      <c r="H1587" s="547"/>
      <c r="I1587" s="547"/>
      <c r="J1587" s="547"/>
      <c r="K1587" s="1365"/>
      <c r="L1587" s="547"/>
      <c r="M1587" s="934" t="n">
        <f aca="false">SUM(M1583:M1586)</f>
        <v>17.1849434776142</v>
      </c>
    </row>
    <row r="1588" customFormat="false" ht="15" hidden="false" customHeight="false" outlineLevel="0" collapsed="false">
      <c r="A1588" s="7" t="s">
        <v>969</v>
      </c>
      <c r="B1588" s="60" t="s">
        <v>3277</v>
      </c>
      <c r="C1588" s="40" t="s">
        <v>7059</v>
      </c>
      <c r="D1588" s="361" t="n">
        <v>2014</v>
      </c>
      <c r="E1588" s="361" t="n">
        <f aca="false">2021-D1588</f>
        <v>7</v>
      </c>
      <c r="F1588" s="955" t="n">
        <v>375200</v>
      </c>
      <c r="G1588" s="1418" t="n">
        <v>0.1</v>
      </c>
      <c r="H1588" s="547" t="n">
        <f aca="false">E1588*F1588*G1588</f>
        <v>262640</v>
      </c>
      <c r="I1588" s="547" t="n">
        <f aca="false">F1588-H1588</f>
        <v>112560</v>
      </c>
      <c r="J1588" s="873" t="n">
        <f aca="false">F1588*E1588/100</f>
        <v>26264</v>
      </c>
      <c r="K1588" s="1365" t="n">
        <f aca="false">J1588/1792.8</f>
        <v>14.6497099509148</v>
      </c>
      <c r="L1588" s="873" t="n">
        <v>5</v>
      </c>
      <c r="M1588" s="819" t="n">
        <f aca="false">K1588*L1588/60</f>
        <v>1.22080916257623</v>
      </c>
    </row>
    <row r="1589" customFormat="false" ht="15" hidden="false" customHeight="false" outlineLevel="0" collapsed="false">
      <c r="A1589" s="216"/>
      <c r="B1589" s="972"/>
      <c r="C1589" s="1161" t="s">
        <v>7053</v>
      </c>
      <c r="D1589" s="361" t="n">
        <v>2005</v>
      </c>
      <c r="E1589" s="361" t="n">
        <f aca="false">2021-D1589</f>
        <v>16</v>
      </c>
      <c r="F1589" s="660" t="n">
        <v>176358</v>
      </c>
      <c r="G1589" s="1418" t="n">
        <v>0.1</v>
      </c>
      <c r="H1589" s="547" t="n">
        <f aca="false">E1589*F1589*G1589</f>
        <v>282172.8</v>
      </c>
      <c r="I1589" s="547" t="n">
        <f aca="false">F1589-H1589</f>
        <v>-105814.8</v>
      </c>
      <c r="J1589" s="547" t="n">
        <v>158723</v>
      </c>
      <c r="K1589" s="1365" t="n">
        <f aca="false">J1589/1792.8</f>
        <v>88.5335787594824</v>
      </c>
      <c r="L1589" s="547" t="n">
        <v>5</v>
      </c>
      <c r="M1589" s="819" t="n">
        <f aca="false">K1589*L1589/60</f>
        <v>7.37779822995687</v>
      </c>
    </row>
    <row r="1590" customFormat="false" ht="15" hidden="false" customHeight="false" outlineLevel="0" collapsed="false">
      <c r="A1590" s="216"/>
      <c r="B1590" s="972"/>
      <c r="C1590" s="1161" t="s">
        <v>7060</v>
      </c>
      <c r="D1590" s="361" t="n">
        <v>2005</v>
      </c>
      <c r="E1590" s="361" t="n">
        <f aca="false">2021-D1590</f>
        <v>16</v>
      </c>
      <c r="F1590" s="660" t="n">
        <v>260000</v>
      </c>
      <c r="G1590" s="1418" t="n">
        <v>0.1</v>
      </c>
      <c r="H1590" s="547" t="n">
        <f aca="false">E1590*F1590*G1590</f>
        <v>416000</v>
      </c>
      <c r="I1590" s="547" t="n">
        <f aca="false">F1590-H1590</f>
        <v>-156000</v>
      </c>
      <c r="J1590" s="547" t="n">
        <f aca="false">F1590*G1590</f>
        <v>26000</v>
      </c>
      <c r="K1590" s="1365" t="n">
        <f aca="false">J1590/1792.8</f>
        <v>14.5024542614904</v>
      </c>
      <c r="L1590" s="547" t="n">
        <v>5</v>
      </c>
      <c r="M1590" s="819" t="n">
        <f aca="false">K1590*L1590/60</f>
        <v>1.2085378551242</v>
      </c>
    </row>
    <row r="1591" customFormat="false" ht="30" hidden="false" customHeight="false" outlineLevel="0" collapsed="false">
      <c r="A1591" s="216"/>
      <c r="B1591" s="972"/>
      <c r="C1591" s="1161" t="s">
        <v>6970</v>
      </c>
      <c r="D1591" s="317" t="n">
        <v>2006</v>
      </c>
      <c r="E1591" s="361" t="n">
        <f aca="false">2021-D1591</f>
        <v>15</v>
      </c>
      <c r="F1591" s="660" t="n">
        <v>114000</v>
      </c>
      <c r="G1591" s="1418" t="n">
        <v>0.1</v>
      </c>
      <c r="H1591" s="547" t="n">
        <f aca="false">E1591*F1591*G1591</f>
        <v>171000</v>
      </c>
      <c r="I1591" s="547" t="n">
        <f aca="false">F1591-H1591</f>
        <v>-57000</v>
      </c>
      <c r="J1591" s="547" t="n">
        <v>158723</v>
      </c>
      <c r="K1591" s="1365" t="n">
        <f aca="false">J1591/1792.8</f>
        <v>88.5335787594824</v>
      </c>
      <c r="L1591" s="547" t="n">
        <v>5</v>
      </c>
      <c r="M1591" s="819" t="n">
        <f aca="false">K1591*L1591/60</f>
        <v>7.37779822995687</v>
      </c>
    </row>
    <row r="1592" customFormat="false" ht="15" hidden="false" customHeight="false" outlineLevel="0" collapsed="false">
      <c r="A1592" s="216"/>
      <c r="B1592" s="972" t="s">
        <v>4128</v>
      </c>
      <c r="C1592" s="1161"/>
      <c r="D1592" s="1428"/>
      <c r="E1592" s="361"/>
      <c r="F1592" s="1429"/>
      <c r="G1592" s="1426"/>
      <c r="H1592" s="1427"/>
      <c r="I1592" s="1427"/>
      <c r="J1592" s="547"/>
      <c r="K1592" s="1365"/>
      <c r="L1592" s="547"/>
      <c r="M1592" s="934" t="n">
        <f aca="false">SUM(M1588:M1591)</f>
        <v>17.1849434776142</v>
      </c>
    </row>
    <row r="1593" customFormat="false" ht="15" hidden="false" customHeight="false" outlineLevel="0" collapsed="false">
      <c r="A1593" s="7" t="s">
        <v>971</v>
      </c>
      <c r="B1593" s="60" t="s">
        <v>3278</v>
      </c>
      <c r="C1593" s="433" t="s">
        <v>7059</v>
      </c>
      <c r="D1593" s="1424" t="n">
        <v>2014</v>
      </c>
      <c r="E1593" s="361" t="n">
        <f aca="false">2021-D1593</f>
        <v>7</v>
      </c>
      <c r="F1593" s="1425" t="n">
        <v>375200</v>
      </c>
      <c r="G1593" s="1426" t="n">
        <v>0.1</v>
      </c>
      <c r="H1593" s="1427" t="n">
        <f aca="false">E1593*F1593*G1593</f>
        <v>262640</v>
      </c>
      <c r="I1593" s="1427" t="n">
        <f aca="false">F1593-H1593</f>
        <v>112560</v>
      </c>
      <c r="J1593" s="873" t="n">
        <f aca="false">F1593*E1593/100</f>
        <v>26264</v>
      </c>
      <c r="K1593" s="660" t="n">
        <f aca="false">J1593/1792.8</f>
        <v>14.6497099509148</v>
      </c>
      <c r="L1593" s="873" t="n">
        <v>5</v>
      </c>
      <c r="M1593" s="819" t="n">
        <f aca="false">K1593*L1593/60</f>
        <v>1.22080916257623</v>
      </c>
    </row>
    <row r="1594" customFormat="false" ht="15" hidden="false" customHeight="false" outlineLevel="0" collapsed="false">
      <c r="A1594" s="216"/>
      <c r="B1594" s="972"/>
      <c r="C1594" s="1161" t="s">
        <v>7053</v>
      </c>
      <c r="D1594" s="361" t="n">
        <v>2005</v>
      </c>
      <c r="E1594" s="361" t="n">
        <f aca="false">2021-D1594</f>
        <v>16</v>
      </c>
      <c r="F1594" s="660" t="n">
        <v>176358</v>
      </c>
      <c r="G1594" s="1418" t="n">
        <v>0.1</v>
      </c>
      <c r="H1594" s="547" t="n">
        <f aca="false">E1594*F1594*G1594</f>
        <v>282172.8</v>
      </c>
      <c r="I1594" s="547" t="n">
        <f aca="false">F1594-H1594</f>
        <v>-105814.8</v>
      </c>
      <c r="J1594" s="547" t="n">
        <v>158723</v>
      </c>
      <c r="K1594" s="1365" t="n">
        <f aca="false">J1594/1792.8</f>
        <v>88.5335787594824</v>
      </c>
      <c r="L1594" s="547" t="n">
        <v>5</v>
      </c>
      <c r="M1594" s="819" t="n">
        <f aca="false">K1594*L1594/60</f>
        <v>7.37779822995687</v>
      </c>
    </row>
    <row r="1595" customFormat="false" ht="15" hidden="false" customHeight="false" outlineLevel="0" collapsed="false">
      <c r="A1595" s="216"/>
      <c r="B1595" s="972"/>
      <c r="C1595" s="1161" t="s">
        <v>7060</v>
      </c>
      <c r="D1595" s="361" t="n">
        <v>2005</v>
      </c>
      <c r="E1595" s="361" t="n">
        <f aca="false">2021-D1595</f>
        <v>16</v>
      </c>
      <c r="F1595" s="660" t="n">
        <v>260000</v>
      </c>
      <c r="G1595" s="1418" t="n">
        <v>0.1</v>
      </c>
      <c r="H1595" s="547" t="n">
        <f aca="false">E1595*F1595*G1595</f>
        <v>416000</v>
      </c>
      <c r="I1595" s="547" t="n">
        <f aca="false">F1595-H1595</f>
        <v>-156000</v>
      </c>
      <c r="J1595" s="547" t="n">
        <f aca="false">F1595*G1595</f>
        <v>26000</v>
      </c>
      <c r="K1595" s="1365" t="n">
        <f aca="false">J1595/1792.8</f>
        <v>14.5024542614904</v>
      </c>
      <c r="L1595" s="547" t="n">
        <v>5</v>
      </c>
      <c r="M1595" s="819" t="n">
        <f aca="false">K1595*L1595/60</f>
        <v>1.2085378551242</v>
      </c>
    </row>
    <row r="1596" customFormat="false" ht="30" hidden="false" customHeight="false" outlineLevel="0" collapsed="false">
      <c r="A1596" s="216"/>
      <c r="B1596" s="972"/>
      <c r="C1596" s="1161" t="s">
        <v>6970</v>
      </c>
      <c r="D1596" s="317" t="n">
        <v>2006</v>
      </c>
      <c r="E1596" s="361" t="n">
        <f aca="false">2021-D1596</f>
        <v>15</v>
      </c>
      <c r="F1596" s="660" t="n">
        <v>114000</v>
      </c>
      <c r="G1596" s="1418" t="n">
        <v>0.1</v>
      </c>
      <c r="H1596" s="547" t="n">
        <f aca="false">E1596*F1596*G1596</f>
        <v>171000</v>
      </c>
      <c r="I1596" s="547" t="n">
        <f aca="false">F1596-H1596</f>
        <v>-57000</v>
      </c>
      <c r="J1596" s="547" t="n">
        <v>158723</v>
      </c>
      <c r="K1596" s="1365" t="n">
        <f aca="false">J1596/1792.8</f>
        <v>88.5335787594824</v>
      </c>
      <c r="L1596" s="547" t="n">
        <v>5</v>
      </c>
      <c r="M1596" s="819" t="n">
        <f aca="false">K1596*L1596/60</f>
        <v>7.37779822995687</v>
      </c>
    </row>
    <row r="1597" customFormat="false" ht="15" hidden="false" customHeight="false" outlineLevel="0" collapsed="false">
      <c r="A1597" s="216"/>
      <c r="B1597" s="972" t="s">
        <v>4128</v>
      </c>
      <c r="C1597" s="1161"/>
      <c r="D1597" s="317"/>
      <c r="E1597" s="361"/>
      <c r="F1597" s="660"/>
      <c r="G1597" s="1418"/>
      <c r="H1597" s="547"/>
      <c r="I1597" s="547"/>
      <c r="J1597" s="547"/>
      <c r="K1597" s="1365"/>
      <c r="L1597" s="547"/>
      <c r="M1597" s="934" t="n">
        <f aca="false">SUM(M1593:M1596)</f>
        <v>17.1849434776142</v>
      </c>
    </row>
    <row r="1598" customFormat="false" ht="15" hidden="false" customHeight="false" outlineLevel="0" collapsed="false">
      <c r="A1598" s="7" t="s">
        <v>973</v>
      </c>
      <c r="B1598" s="60" t="s">
        <v>3279</v>
      </c>
      <c r="C1598" s="40" t="s">
        <v>7059</v>
      </c>
      <c r="D1598" s="361" t="n">
        <v>2014</v>
      </c>
      <c r="E1598" s="361" t="n">
        <f aca="false">2021-D1598</f>
        <v>7</v>
      </c>
      <c r="F1598" s="955" t="n">
        <v>375200</v>
      </c>
      <c r="G1598" s="1418" t="n">
        <v>0.1</v>
      </c>
      <c r="H1598" s="547" t="n">
        <f aca="false">E1598*F1598*G1598</f>
        <v>262640</v>
      </c>
      <c r="I1598" s="547" t="n">
        <f aca="false">F1598-H1598</f>
        <v>112560</v>
      </c>
      <c r="J1598" s="873" t="n">
        <f aca="false">F1598*E1598/100</f>
        <v>26264</v>
      </c>
      <c r="K1598" s="1365" t="n">
        <f aca="false">J1598/1792.8</f>
        <v>14.6497099509148</v>
      </c>
      <c r="L1598" s="873" t="n">
        <v>5</v>
      </c>
      <c r="M1598" s="819" t="n">
        <f aca="false">K1598*L1598/60</f>
        <v>1.22080916257623</v>
      </c>
    </row>
    <row r="1599" customFormat="false" ht="15" hidden="false" customHeight="false" outlineLevel="0" collapsed="false">
      <c r="A1599" s="216"/>
      <c r="B1599" s="972"/>
      <c r="C1599" s="1161" t="s">
        <v>7053</v>
      </c>
      <c r="D1599" s="361" t="n">
        <v>2005</v>
      </c>
      <c r="E1599" s="361" t="n">
        <f aca="false">2021-D1599</f>
        <v>16</v>
      </c>
      <c r="F1599" s="660" t="n">
        <v>176358</v>
      </c>
      <c r="G1599" s="1418" t="n">
        <v>0.1</v>
      </c>
      <c r="H1599" s="547" t="n">
        <f aca="false">E1599*F1599*G1599</f>
        <v>282172.8</v>
      </c>
      <c r="I1599" s="547" t="n">
        <f aca="false">F1599-H1599</f>
        <v>-105814.8</v>
      </c>
      <c r="J1599" s="547" t="n">
        <v>158723</v>
      </c>
      <c r="K1599" s="1365" t="n">
        <f aca="false">J1599/1792.8</f>
        <v>88.5335787594824</v>
      </c>
      <c r="L1599" s="547" t="n">
        <v>5</v>
      </c>
      <c r="M1599" s="819" t="n">
        <f aca="false">K1599*L1599/60</f>
        <v>7.37779822995687</v>
      </c>
    </row>
    <row r="1600" customFormat="false" ht="15" hidden="false" customHeight="false" outlineLevel="0" collapsed="false">
      <c r="A1600" s="216"/>
      <c r="B1600" s="972"/>
      <c r="C1600" s="1161" t="s">
        <v>7060</v>
      </c>
      <c r="D1600" s="361" t="n">
        <v>2005</v>
      </c>
      <c r="E1600" s="361" t="n">
        <f aca="false">2021-D1600</f>
        <v>16</v>
      </c>
      <c r="F1600" s="660" t="n">
        <v>260000</v>
      </c>
      <c r="G1600" s="1418" t="n">
        <v>0.1</v>
      </c>
      <c r="H1600" s="547" t="n">
        <f aca="false">E1600*F1600*G1600</f>
        <v>416000</v>
      </c>
      <c r="I1600" s="547" t="n">
        <f aca="false">F1600-H1600</f>
        <v>-156000</v>
      </c>
      <c r="J1600" s="547" t="n">
        <f aca="false">F1600*G1600</f>
        <v>26000</v>
      </c>
      <c r="K1600" s="1365" t="n">
        <f aca="false">J1600/1792.8</f>
        <v>14.5024542614904</v>
      </c>
      <c r="L1600" s="547" t="n">
        <v>5</v>
      </c>
      <c r="M1600" s="819" t="n">
        <f aca="false">K1600*L1600/60</f>
        <v>1.2085378551242</v>
      </c>
    </row>
    <row r="1601" customFormat="false" ht="30" hidden="false" customHeight="false" outlineLevel="0" collapsed="false">
      <c r="A1601" s="216"/>
      <c r="B1601" s="972"/>
      <c r="C1601" s="1161" t="s">
        <v>6970</v>
      </c>
      <c r="D1601" s="317" t="n">
        <v>2006</v>
      </c>
      <c r="E1601" s="361" t="n">
        <f aca="false">2021-D1601</f>
        <v>15</v>
      </c>
      <c r="F1601" s="660" t="n">
        <v>114000</v>
      </c>
      <c r="G1601" s="1418" t="n">
        <v>0.1</v>
      </c>
      <c r="H1601" s="547" t="n">
        <f aca="false">E1601*F1601*G1601</f>
        <v>171000</v>
      </c>
      <c r="I1601" s="547" t="n">
        <f aca="false">F1601-H1601</f>
        <v>-57000</v>
      </c>
      <c r="J1601" s="547" t="n">
        <v>158723</v>
      </c>
      <c r="K1601" s="1365" t="n">
        <f aca="false">J1601/1792.8</f>
        <v>88.5335787594824</v>
      </c>
      <c r="L1601" s="547" t="n">
        <v>5</v>
      </c>
      <c r="M1601" s="819" t="n">
        <f aca="false">K1601*L1601/60</f>
        <v>7.37779822995687</v>
      </c>
    </row>
    <row r="1602" customFormat="false" ht="15" hidden="false" customHeight="false" outlineLevel="0" collapsed="false">
      <c r="A1602" s="216"/>
      <c r="B1602" s="972" t="s">
        <v>4128</v>
      </c>
      <c r="C1602" s="1161"/>
      <c r="D1602" s="317"/>
      <c r="E1602" s="361"/>
      <c r="F1602" s="660"/>
      <c r="G1602" s="1418"/>
      <c r="H1602" s="547"/>
      <c r="I1602" s="547"/>
      <c r="J1602" s="547"/>
      <c r="K1602" s="1365"/>
      <c r="L1602" s="547"/>
      <c r="M1602" s="934" t="n">
        <f aca="false">SUM(M1598:M1601)</f>
        <v>17.1849434776142</v>
      </c>
    </row>
    <row r="1603" customFormat="false" ht="15" hidden="false" customHeight="false" outlineLevel="0" collapsed="false">
      <c r="A1603" s="7" t="s">
        <v>975</v>
      </c>
      <c r="B1603" s="60" t="s">
        <v>3280</v>
      </c>
      <c r="C1603" s="40" t="s">
        <v>7059</v>
      </c>
      <c r="D1603" s="361" t="n">
        <v>2014</v>
      </c>
      <c r="E1603" s="361" t="n">
        <f aca="false">2021-D1603</f>
        <v>7</v>
      </c>
      <c r="F1603" s="955" t="n">
        <v>375200</v>
      </c>
      <c r="G1603" s="1418" t="n">
        <v>0.1</v>
      </c>
      <c r="H1603" s="547" t="n">
        <f aca="false">E1603*F1603*G1603</f>
        <v>262640</v>
      </c>
      <c r="I1603" s="547" t="n">
        <f aca="false">F1603-H1603</f>
        <v>112560</v>
      </c>
      <c r="J1603" s="873" t="n">
        <f aca="false">F1603*E1603/100</f>
        <v>26264</v>
      </c>
      <c r="K1603" s="1365" t="n">
        <f aca="false">J1603/1792.8</f>
        <v>14.6497099509148</v>
      </c>
      <c r="L1603" s="873" t="n">
        <v>5</v>
      </c>
      <c r="M1603" s="819" t="n">
        <f aca="false">K1603*L1603/60</f>
        <v>1.22080916257623</v>
      </c>
    </row>
    <row r="1604" customFormat="false" ht="15" hidden="false" customHeight="false" outlineLevel="0" collapsed="false">
      <c r="A1604" s="216"/>
      <c r="B1604" s="40"/>
      <c r="C1604" s="1161" t="s">
        <v>7053</v>
      </c>
      <c r="D1604" s="361" t="n">
        <v>2005</v>
      </c>
      <c r="E1604" s="361" t="n">
        <f aca="false">2021-D1604</f>
        <v>16</v>
      </c>
      <c r="F1604" s="660" t="n">
        <v>176358</v>
      </c>
      <c r="G1604" s="1418" t="n">
        <v>0.1</v>
      </c>
      <c r="H1604" s="547" t="n">
        <f aca="false">E1604*F1604*G1604</f>
        <v>282172.8</v>
      </c>
      <c r="I1604" s="547" t="n">
        <f aca="false">F1604-H1604</f>
        <v>-105814.8</v>
      </c>
      <c r="J1604" s="547" t="n">
        <v>158723</v>
      </c>
      <c r="K1604" s="1365" t="n">
        <f aca="false">J1604/1792.8</f>
        <v>88.5335787594824</v>
      </c>
      <c r="L1604" s="547" t="n">
        <v>5</v>
      </c>
      <c r="M1604" s="819" t="n">
        <f aca="false">K1604*L1604/60</f>
        <v>7.37779822995687</v>
      </c>
    </row>
    <row r="1605" customFormat="false" ht="15" hidden="false" customHeight="false" outlineLevel="0" collapsed="false">
      <c r="A1605" s="216"/>
      <c r="B1605" s="40"/>
      <c r="C1605" s="1161" t="s">
        <v>7060</v>
      </c>
      <c r="D1605" s="361" t="n">
        <v>2005</v>
      </c>
      <c r="E1605" s="361" t="n">
        <f aca="false">2021-D1605</f>
        <v>16</v>
      </c>
      <c r="F1605" s="660" t="n">
        <v>260000</v>
      </c>
      <c r="G1605" s="1418" t="n">
        <v>0.1</v>
      </c>
      <c r="H1605" s="547" t="n">
        <f aca="false">E1605*F1605*G1605</f>
        <v>416000</v>
      </c>
      <c r="I1605" s="547" t="n">
        <f aca="false">F1605-H1605</f>
        <v>-156000</v>
      </c>
      <c r="J1605" s="547" t="n">
        <f aca="false">F1605*G1605</f>
        <v>26000</v>
      </c>
      <c r="K1605" s="1365" t="n">
        <f aca="false">J1605/1792.8</f>
        <v>14.5024542614904</v>
      </c>
      <c r="L1605" s="547" t="n">
        <v>5</v>
      </c>
      <c r="M1605" s="819" t="n">
        <f aca="false">K1605*L1605/60</f>
        <v>1.2085378551242</v>
      </c>
    </row>
    <row r="1606" customFormat="false" ht="30" hidden="false" customHeight="false" outlineLevel="0" collapsed="false">
      <c r="A1606" s="216"/>
      <c r="B1606" s="40"/>
      <c r="C1606" s="1161" t="s">
        <v>6970</v>
      </c>
      <c r="D1606" s="317" t="n">
        <v>2006</v>
      </c>
      <c r="E1606" s="361" t="n">
        <f aca="false">2021-D1606</f>
        <v>15</v>
      </c>
      <c r="F1606" s="660" t="n">
        <v>114000</v>
      </c>
      <c r="G1606" s="1418" t="n">
        <v>0.1</v>
      </c>
      <c r="H1606" s="547" t="n">
        <f aca="false">E1606*F1606*G1606</f>
        <v>171000</v>
      </c>
      <c r="I1606" s="547" t="n">
        <f aca="false">F1606-H1606</f>
        <v>-57000</v>
      </c>
      <c r="J1606" s="547" t="n">
        <v>158723</v>
      </c>
      <c r="K1606" s="1365" t="n">
        <f aca="false">J1606/1792.8</f>
        <v>88.5335787594824</v>
      </c>
      <c r="L1606" s="547" t="n">
        <v>5</v>
      </c>
      <c r="M1606" s="819" t="n">
        <f aca="false">K1606*L1606/60</f>
        <v>7.37779822995687</v>
      </c>
    </row>
    <row r="1607" customFormat="false" ht="15" hidden="false" customHeight="false" outlineLevel="0" collapsed="false">
      <c r="A1607" s="216"/>
      <c r="B1607" s="972" t="s">
        <v>4128</v>
      </c>
      <c r="C1607" s="1161"/>
      <c r="D1607" s="1428"/>
      <c r="E1607" s="361"/>
      <c r="F1607" s="1429"/>
      <c r="G1607" s="1426"/>
      <c r="H1607" s="1427"/>
      <c r="I1607" s="1427"/>
      <c r="J1607" s="547"/>
      <c r="K1607" s="1365"/>
      <c r="L1607" s="547"/>
      <c r="M1607" s="934" t="n">
        <f aca="false">SUM(M1603:M1606)</f>
        <v>17.1849434776142</v>
      </c>
    </row>
    <row r="1608" s="531" customFormat="true" ht="35.25" hidden="false" customHeight="true" outlineLevel="0" collapsed="false">
      <c r="A1608" s="342" t="s">
        <v>977</v>
      </c>
      <c r="B1608" s="493" t="s">
        <v>3281</v>
      </c>
      <c r="C1608" s="433" t="s">
        <v>7059</v>
      </c>
      <c r="D1608" s="1424" t="n">
        <v>2014</v>
      </c>
      <c r="E1608" s="361" t="n">
        <f aca="false">2021-D1608</f>
        <v>7</v>
      </c>
      <c r="F1608" s="1425" t="n">
        <v>375200</v>
      </c>
      <c r="G1608" s="1426" t="n">
        <v>0.1</v>
      </c>
      <c r="H1608" s="1427" t="n">
        <f aca="false">E1608*F1608*G1608</f>
        <v>262640</v>
      </c>
      <c r="I1608" s="1427" t="n">
        <f aca="false">F1608-H1608</f>
        <v>112560</v>
      </c>
      <c r="J1608" s="873" t="n">
        <f aca="false">F1608*E1608/100</f>
        <v>26264</v>
      </c>
      <c r="K1608" s="660" t="n">
        <f aca="false">J1608/1792.8</f>
        <v>14.6497099509148</v>
      </c>
      <c r="L1608" s="873" t="n">
        <v>5</v>
      </c>
      <c r="M1608" s="819" t="n">
        <f aca="false">K1608*L1608/60</f>
        <v>1.22080916257623</v>
      </c>
    </row>
    <row r="1609" customFormat="false" ht="15" hidden="false" customHeight="false" outlineLevel="0" collapsed="false">
      <c r="A1609" s="216"/>
      <c r="B1609" s="972"/>
      <c r="C1609" s="1161" t="s">
        <v>7053</v>
      </c>
      <c r="D1609" s="361" t="n">
        <v>2005</v>
      </c>
      <c r="E1609" s="361" t="n">
        <f aca="false">2021-D1609</f>
        <v>16</v>
      </c>
      <c r="F1609" s="660" t="n">
        <v>176358</v>
      </c>
      <c r="G1609" s="1418" t="n">
        <v>0.1</v>
      </c>
      <c r="H1609" s="547" t="n">
        <f aca="false">E1609*F1609*G1609</f>
        <v>282172.8</v>
      </c>
      <c r="I1609" s="547" t="n">
        <f aca="false">F1609-H1609</f>
        <v>-105814.8</v>
      </c>
      <c r="J1609" s="547" t="n">
        <v>158723</v>
      </c>
      <c r="K1609" s="1365" t="n">
        <f aca="false">J1609/1792.8</f>
        <v>88.5335787594824</v>
      </c>
      <c r="L1609" s="547" t="n">
        <v>5</v>
      </c>
      <c r="M1609" s="819" t="n">
        <f aca="false">K1609*L1609/60</f>
        <v>7.37779822995687</v>
      </c>
    </row>
    <row r="1610" customFormat="false" ht="15" hidden="false" customHeight="false" outlineLevel="0" collapsed="false">
      <c r="A1610" s="216"/>
      <c r="B1610" s="972"/>
      <c r="C1610" s="1161" t="s">
        <v>7060</v>
      </c>
      <c r="D1610" s="361" t="n">
        <v>2005</v>
      </c>
      <c r="E1610" s="361" t="n">
        <f aca="false">2021-D1610</f>
        <v>16</v>
      </c>
      <c r="F1610" s="660" t="n">
        <v>260000</v>
      </c>
      <c r="G1610" s="1418" t="n">
        <v>0.1</v>
      </c>
      <c r="H1610" s="547" t="n">
        <f aca="false">E1610*F1610*G1610</f>
        <v>416000</v>
      </c>
      <c r="I1610" s="547" t="n">
        <f aca="false">F1610-H1610</f>
        <v>-156000</v>
      </c>
      <c r="J1610" s="547" t="n">
        <f aca="false">F1610*G1610</f>
        <v>26000</v>
      </c>
      <c r="K1610" s="1365" t="n">
        <f aca="false">J1610/1792.8</f>
        <v>14.5024542614904</v>
      </c>
      <c r="L1610" s="547" t="n">
        <v>5</v>
      </c>
      <c r="M1610" s="819" t="n">
        <f aca="false">K1610*L1610/60</f>
        <v>1.2085378551242</v>
      </c>
    </row>
    <row r="1611" customFormat="false" ht="30" hidden="false" customHeight="false" outlineLevel="0" collapsed="false">
      <c r="A1611" s="216"/>
      <c r="B1611" s="972"/>
      <c r="C1611" s="1161" t="s">
        <v>6970</v>
      </c>
      <c r="D1611" s="317" t="n">
        <v>2006</v>
      </c>
      <c r="E1611" s="361" t="n">
        <f aca="false">2021-D1611</f>
        <v>15</v>
      </c>
      <c r="F1611" s="660" t="n">
        <v>114000</v>
      </c>
      <c r="G1611" s="1418" t="n">
        <v>0.1</v>
      </c>
      <c r="H1611" s="547" t="n">
        <f aca="false">E1611*F1611*G1611</f>
        <v>171000</v>
      </c>
      <c r="I1611" s="547" t="n">
        <f aca="false">F1611-H1611</f>
        <v>-57000</v>
      </c>
      <c r="J1611" s="547" t="n">
        <v>158723</v>
      </c>
      <c r="K1611" s="1365" t="n">
        <f aca="false">J1611/1792.8</f>
        <v>88.5335787594824</v>
      </c>
      <c r="L1611" s="547" t="n">
        <v>5</v>
      </c>
      <c r="M1611" s="819" t="n">
        <f aca="false">K1611*L1611/60</f>
        <v>7.37779822995687</v>
      </c>
    </row>
    <row r="1612" customFormat="false" ht="15" hidden="false" customHeight="false" outlineLevel="0" collapsed="false">
      <c r="A1612" s="216"/>
      <c r="B1612" s="972" t="s">
        <v>4128</v>
      </c>
      <c r="C1612" s="40"/>
      <c r="D1612" s="361"/>
      <c r="E1612" s="361"/>
      <c r="F1612" s="955"/>
      <c r="G1612" s="1418"/>
      <c r="H1612" s="547"/>
      <c r="I1612" s="547"/>
      <c r="J1612" s="1421"/>
      <c r="K1612" s="1365"/>
      <c r="L1612" s="1421"/>
      <c r="M1612" s="934" t="n">
        <f aca="false">SUM(M1608:M1611)</f>
        <v>17.1849434776142</v>
      </c>
    </row>
    <row r="1613" customFormat="false" ht="57" hidden="false" customHeight="false" outlineLevel="0" collapsed="false">
      <c r="A1613" s="15" t="s">
        <v>979</v>
      </c>
      <c r="B1613" s="16" t="s">
        <v>3282</v>
      </c>
      <c r="C1613" s="54"/>
      <c r="D1613" s="519"/>
      <c r="E1613" s="364"/>
      <c r="F1613" s="1254"/>
      <c r="G1613" s="1430"/>
      <c r="H1613" s="751"/>
      <c r="I1613" s="751"/>
      <c r="J1613" s="1431"/>
      <c r="K1613" s="1431"/>
      <c r="L1613" s="1431"/>
      <c r="M1613" s="818"/>
    </row>
    <row r="1614" customFormat="false" ht="45" hidden="false" customHeight="false" outlineLevel="0" collapsed="false">
      <c r="A1614" s="216" t="s">
        <v>981</v>
      </c>
      <c r="B1614" s="40" t="s">
        <v>3249</v>
      </c>
      <c r="C1614" s="1161" t="s">
        <v>7050</v>
      </c>
      <c r="D1614" s="361" t="n">
        <v>2011</v>
      </c>
      <c r="E1614" s="361" t="n">
        <f aca="false">2021-D1614</f>
        <v>10</v>
      </c>
      <c r="F1614" s="660" t="n">
        <v>235000</v>
      </c>
      <c r="G1614" s="1418" t="n">
        <v>0.1</v>
      </c>
      <c r="H1614" s="547" t="n">
        <f aca="false">E1614*F1614*G1614</f>
        <v>235000</v>
      </c>
      <c r="I1614" s="547" t="n">
        <f aca="false">F1614-H1614</f>
        <v>0</v>
      </c>
      <c r="J1614" s="547" t="n">
        <f aca="false">F1614*G1614</f>
        <v>23500</v>
      </c>
      <c r="K1614" s="1365" t="n">
        <f aca="false">J1614/1792.8</f>
        <v>13.1079875055779</v>
      </c>
      <c r="L1614" s="547" t="n">
        <v>10</v>
      </c>
      <c r="M1614" s="934" t="n">
        <f aca="false">K1614*L1614/60</f>
        <v>2.18466458426298</v>
      </c>
    </row>
    <row r="1615" customFormat="false" ht="30" hidden="false" customHeight="false" outlineLevel="0" collapsed="false">
      <c r="A1615" s="216" t="s">
        <v>982</v>
      </c>
      <c r="B1615" s="1161" t="s">
        <v>7051</v>
      </c>
      <c r="C1615" s="1161" t="s">
        <v>7051</v>
      </c>
      <c r="D1615" s="361" t="n">
        <v>2017</v>
      </c>
      <c r="E1615" s="361" t="n">
        <f aca="false">2021-D1615</f>
        <v>4</v>
      </c>
      <c r="F1615" s="660" t="n">
        <v>188160</v>
      </c>
      <c r="G1615" s="1418" t="n">
        <v>0.1</v>
      </c>
      <c r="H1615" s="547" t="n">
        <f aca="false">E1615*F1615*G1615</f>
        <v>75264</v>
      </c>
      <c r="I1615" s="547" t="n">
        <f aca="false">F1615-H1615</f>
        <v>112896</v>
      </c>
      <c r="J1615" s="547" t="n">
        <f aca="false">F1615*G1615</f>
        <v>18816</v>
      </c>
      <c r="K1615" s="1365" t="n">
        <f aca="false">J1615/1792.8</f>
        <v>10.4953145917001</v>
      </c>
      <c r="L1615" s="547" t="n">
        <v>10</v>
      </c>
      <c r="M1615" s="934" t="n">
        <f aca="false">K1615*L1615/60</f>
        <v>1.74921909861669</v>
      </c>
    </row>
    <row r="1616" customFormat="false" ht="15" hidden="false" customHeight="false" outlineLevel="0" collapsed="false">
      <c r="A1616" s="216" t="s">
        <v>983</v>
      </c>
      <c r="B1616" s="40" t="s">
        <v>3238</v>
      </c>
      <c r="C1616" s="1161" t="s">
        <v>7052</v>
      </c>
      <c r="D1616" s="361" t="n">
        <v>2005</v>
      </c>
      <c r="E1616" s="361" t="n">
        <f aca="false">2021-D1616</f>
        <v>16</v>
      </c>
      <c r="F1616" s="660" t="n">
        <v>260000</v>
      </c>
      <c r="G1616" s="1418" t="n">
        <v>0.1</v>
      </c>
      <c r="H1616" s="547" t="n">
        <f aca="false">E1616*F1616*G1616</f>
        <v>416000</v>
      </c>
      <c r="I1616" s="547" t="n">
        <f aca="false">F1616-H1616</f>
        <v>-156000</v>
      </c>
      <c r="J1616" s="547" t="n">
        <f aca="false">F1616*G1616</f>
        <v>26000</v>
      </c>
      <c r="K1616" s="1365" t="n">
        <f aca="false">J1616/1792.8</f>
        <v>14.5024542614904</v>
      </c>
      <c r="L1616" s="547" t="n">
        <v>5</v>
      </c>
      <c r="M1616" s="819" t="n">
        <f aca="false">K1616*L1616/60</f>
        <v>1.2085378551242</v>
      </c>
    </row>
    <row r="1617" customFormat="false" ht="15" hidden="false" customHeight="false" outlineLevel="0" collapsed="false">
      <c r="A1617" s="216"/>
      <c r="B1617" s="972"/>
      <c r="C1617" s="1161" t="s">
        <v>7053</v>
      </c>
      <c r="D1617" s="361" t="n">
        <v>2005</v>
      </c>
      <c r="E1617" s="361" t="n">
        <f aca="false">2021-D1617</f>
        <v>16</v>
      </c>
      <c r="F1617" s="660" t="n">
        <v>176358</v>
      </c>
      <c r="G1617" s="1418" t="n">
        <v>0.1</v>
      </c>
      <c r="H1617" s="547" t="n">
        <f aca="false">E1617*F1617*G1617</f>
        <v>282172.8</v>
      </c>
      <c r="I1617" s="547" t="n">
        <f aca="false">F1617-H1617</f>
        <v>-105814.8</v>
      </c>
      <c r="J1617" s="547" t="n">
        <v>158723</v>
      </c>
      <c r="K1617" s="1365" t="n">
        <f aca="false">J1617/1792.8</f>
        <v>88.5335787594824</v>
      </c>
      <c r="L1617" s="547" t="n">
        <v>5</v>
      </c>
      <c r="M1617" s="819" t="n">
        <f aca="false">K1617*L1617/60</f>
        <v>7.37779822995687</v>
      </c>
    </row>
    <row r="1618" customFormat="false" ht="15" hidden="false" customHeight="false" outlineLevel="0" collapsed="false">
      <c r="A1618" s="216"/>
      <c r="B1618" s="972" t="s">
        <v>4128</v>
      </c>
      <c r="C1618" s="40"/>
      <c r="D1618" s="361"/>
      <c r="E1618" s="361"/>
      <c r="F1618" s="955"/>
      <c r="G1618" s="1418"/>
      <c r="H1618" s="547"/>
      <c r="I1618" s="547"/>
      <c r="J1618" s="1421"/>
      <c r="K1618" s="1365" t="n">
        <f aca="false">J1618/1792.8</f>
        <v>0</v>
      </c>
      <c r="L1618" s="1421"/>
      <c r="M1618" s="934" t="n">
        <f aca="false">SUM(M1616:M1617)</f>
        <v>8.58633608508107</v>
      </c>
    </row>
    <row r="1619" customFormat="false" ht="45" hidden="false" customHeight="false" outlineLevel="0" collapsed="false">
      <c r="A1619" s="216" t="s">
        <v>984</v>
      </c>
      <c r="B1619" s="40" t="s">
        <v>3284</v>
      </c>
      <c r="C1619" s="1161" t="s">
        <v>7055</v>
      </c>
      <c r="D1619" s="361" t="n">
        <v>2014</v>
      </c>
      <c r="E1619" s="361" t="n">
        <f aca="false">2021-D1619</f>
        <v>7</v>
      </c>
      <c r="F1619" s="660" t="n">
        <v>24500</v>
      </c>
      <c r="G1619" s="1418" t="n">
        <v>0.1</v>
      </c>
      <c r="H1619" s="547" t="n">
        <f aca="false">E1619*F1619*G1619</f>
        <v>17150</v>
      </c>
      <c r="I1619" s="547" t="n">
        <f aca="false">F1619-H1619</f>
        <v>7350</v>
      </c>
      <c r="J1619" s="547" t="n">
        <f aca="false">F1619*G1619</f>
        <v>2450</v>
      </c>
      <c r="K1619" s="1365" t="n">
        <f aca="false">J1619/1792.8</f>
        <v>1.36657742079429</v>
      </c>
      <c r="L1619" s="547" t="n">
        <v>5</v>
      </c>
      <c r="M1619" s="819" t="n">
        <f aca="false">K1619*L1619/60</f>
        <v>0.113881451732857</v>
      </c>
    </row>
    <row r="1620" customFormat="false" ht="30" hidden="false" customHeight="false" outlineLevel="0" collapsed="false">
      <c r="A1620" s="216"/>
      <c r="B1620" s="972"/>
      <c r="C1620" s="1419" t="s">
        <v>7056</v>
      </c>
      <c r="D1620" s="362" t="n">
        <v>2005</v>
      </c>
      <c r="E1620" s="361" t="n">
        <f aca="false">2021-D1620</f>
        <v>16</v>
      </c>
      <c r="F1620" s="1420" t="n">
        <v>130000</v>
      </c>
      <c r="G1620" s="1418" t="n">
        <v>0.1</v>
      </c>
      <c r="H1620" s="547" t="n">
        <f aca="false">E1620*F1620*G1620</f>
        <v>208000</v>
      </c>
      <c r="I1620" s="547" t="n">
        <f aca="false">F1620-H1620</f>
        <v>-78000</v>
      </c>
      <c r="J1620" s="873" t="n">
        <v>13000</v>
      </c>
      <c r="K1620" s="1365" t="n">
        <f aca="false">J1620/1792.8</f>
        <v>7.2512271307452</v>
      </c>
      <c r="L1620" s="873" t="n">
        <v>5</v>
      </c>
      <c r="M1620" s="819" t="n">
        <f aca="false">K1620*L1620/60</f>
        <v>0.6042689275621</v>
      </c>
    </row>
    <row r="1621" customFormat="false" ht="30" hidden="false" customHeight="false" outlineLevel="0" collapsed="false">
      <c r="A1621" s="216"/>
      <c r="B1621" s="972"/>
      <c r="C1621" s="40" t="s">
        <v>7057</v>
      </c>
      <c r="D1621" s="361" t="n">
        <v>2005</v>
      </c>
      <c r="E1621" s="361" t="n">
        <f aca="false">2021-D1621</f>
        <v>16</v>
      </c>
      <c r="F1621" s="955" t="n">
        <v>1100000</v>
      </c>
      <c r="G1621" s="1418" t="n">
        <v>0.1</v>
      </c>
      <c r="H1621" s="547" t="n">
        <f aca="false">E1621*F1621*G1621</f>
        <v>1760000</v>
      </c>
      <c r="I1621" s="547" t="n">
        <f aca="false">F1621-H1621</f>
        <v>-660000</v>
      </c>
      <c r="J1621" s="873" t="n">
        <f aca="false">F1621*E1621/100</f>
        <v>176000</v>
      </c>
      <c r="K1621" s="1365" t="n">
        <f aca="false">J1621/1792.8</f>
        <v>98.1704596162428</v>
      </c>
      <c r="L1621" s="873" t="n">
        <v>5</v>
      </c>
      <c r="M1621" s="819" t="n">
        <f aca="false">K1621*L1621/60</f>
        <v>8.1808716346869</v>
      </c>
    </row>
    <row r="1622" customFormat="false" ht="15" hidden="false" customHeight="false" outlineLevel="0" collapsed="false">
      <c r="A1622" s="216"/>
      <c r="B1622" s="972"/>
      <c r="C1622" s="40" t="s">
        <v>7058</v>
      </c>
      <c r="D1622" s="361" t="n">
        <v>2005</v>
      </c>
      <c r="E1622" s="361" t="n">
        <f aca="false">2021-D1622</f>
        <v>16</v>
      </c>
      <c r="F1622" s="955" t="n">
        <v>846400</v>
      </c>
      <c r="G1622" s="1418" t="n">
        <v>0.1</v>
      </c>
      <c r="H1622" s="547" t="n">
        <f aca="false">E1622*F1622*G1622</f>
        <v>1354240</v>
      </c>
      <c r="I1622" s="547" t="n">
        <f aca="false">F1622-H1622</f>
        <v>-507840</v>
      </c>
      <c r="J1622" s="873" t="n">
        <f aca="false">F1622*E1622/100</f>
        <v>135424</v>
      </c>
      <c r="K1622" s="1365" t="n">
        <f aca="false">J1622/1792.8</f>
        <v>75.5377063810799</v>
      </c>
      <c r="L1622" s="873" t="n">
        <v>5</v>
      </c>
      <c r="M1622" s="819" t="n">
        <f aca="false">K1622*L1622/60</f>
        <v>6.29480886508999</v>
      </c>
    </row>
    <row r="1623" customFormat="false" ht="15" hidden="false" customHeight="false" outlineLevel="0" collapsed="false">
      <c r="A1623" s="216"/>
      <c r="B1623" s="972" t="s">
        <v>4128</v>
      </c>
      <c r="C1623" s="1064"/>
      <c r="D1623" s="361"/>
      <c r="E1623" s="361"/>
      <c r="F1623" s="1432"/>
      <c r="G1623" s="1418"/>
      <c r="H1623" s="547"/>
      <c r="I1623" s="547"/>
      <c r="J1623" s="873"/>
      <c r="K1623" s="1365" t="n">
        <f aca="false">J1623/1792.8</f>
        <v>0</v>
      </c>
      <c r="L1623" s="873"/>
      <c r="M1623" s="934" t="n">
        <f aca="false">SUM(M1619:M1622)</f>
        <v>15.1938308790718</v>
      </c>
    </row>
    <row r="1624" customFormat="false" ht="15" hidden="false" customHeight="false" outlineLevel="0" collapsed="false">
      <c r="A1624" s="216" t="s">
        <v>986</v>
      </c>
      <c r="B1624" s="29" t="s">
        <v>3285</v>
      </c>
      <c r="C1624" s="1161" t="s">
        <v>7060</v>
      </c>
      <c r="D1624" s="361" t="n">
        <v>2005</v>
      </c>
      <c r="E1624" s="361" t="n">
        <f aca="false">2021-D1624</f>
        <v>16</v>
      </c>
      <c r="F1624" s="660" t="n">
        <v>260000</v>
      </c>
      <c r="G1624" s="1418" t="n">
        <v>0.1</v>
      </c>
      <c r="H1624" s="547" t="n">
        <f aca="false">E1624*F1624*G1624</f>
        <v>416000</v>
      </c>
      <c r="I1624" s="547" t="n">
        <f aca="false">F1624-H1624</f>
        <v>-156000</v>
      </c>
      <c r="J1624" s="547" t="n">
        <f aca="false">F1624*G1624</f>
        <v>26000</v>
      </c>
      <c r="K1624" s="1365" t="n">
        <f aca="false">J1624/1792.8</f>
        <v>14.5024542614904</v>
      </c>
      <c r="L1624" s="547" t="n">
        <v>5</v>
      </c>
      <c r="M1624" s="819" t="n">
        <f aca="false">K1624*L1624/60</f>
        <v>1.2085378551242</v>
      </c>
    </row>
    <row r="1625" customFormat="false" ht="15" hidden="false" customHeight="false" outlineLevel="0" collapsed="false">
      <c r="A1625" s="216"/>
      <c r="B1625" s="972"/>
      <c r="C1625" s="1161" t="s">
        <v>7053</v>
      </c>
      <c r="D1625" s="361" t="n">
        <v>2005</v>
      </c>
      <c r="E1625" s="361" t="n">
        <f aca="false">2021-D1625</f>
        <v>16</v>
      </c>
      <c r="F1625" s="660" t="n">
        <v>176358</v>
      </c>
      <c r="G1625" s="1418" t="n">
        <v>0.1</v>
      </c>
      <c r="H1625" s="547" t="n">
        <f aca="false">E1625*F1625*G1625</f>
        <v>282172.8</v>
      </c>
      <c r="I1625" s="547" t="n">
        <f aca="false">F1625-H1625</f>
        <v>-105814.8</v>
      </c>
      <c r="J1625" s="547" t="n">
        <v>158723</v>
      </c>
      <c r="K1625" s="1365" t="n">
        <f aca="false">J1625/1792.8</f>
        <v>88.5335787594824</v>
      </c>
      <c r="L1625" s="547" t="n">
        <v>5</v>
      </c>
      <c r="M1625" s="819" t="n">
        <f aca="false">K1625*L1625/60</f>
        <v>7.37779822995687</v>
      </c>
    </row>
    <row r="1626" customFormat="false" ht="15" hidden="false" customHeight="false" outlineLevel="0" collapsed="false">
      <c r="A1626" s="216"/>
      <c r="B1626" s="972" t="s">
        <v>4128</v>
      </c>
      <c r="C1626" s="40"/>
      <c r="D1626" s="361"/>
      <c r="E1626" s="361"/>
      <c r="F1626" s="955"/>
      <c r="G1626" s="1418"/>
      <c r="H1626" s="547"/>
      <c r="I1626" s="547"/>
      <c r="J1626" s="1421"/>
      <c r="K1626" s="1365" t="n">
        <f aca="false">J1626/1792.8</f>
        <v>0</v>
      </c>
      <c r="L1626" s="1421"/>
      <c r="M1626" s="934" t="n">
        <f aca="false">SUM(M1624:M1625)</f>
        <v>8.58633608508107</v>
      </c>
    </row>
    <row r="1627" customFormat="false" ht="45" hidden="false" customHeight="false" outlineLevel="0" collapsed="false">
      <c r="A1627" s="216" t="s">
        <v>987</v>
      </c>
      <c r="B1627" s="29" t="s">
        <v>3286</v>
      </c>
      <c r="C1627" s="40" t="s">
        <v>7059</v>
      </c>
      <c r="D1627" s="1424" t="n">
        <v>2014</v>
      </c>
      <c r="E1627" s="361" t="n">
        <f aca="false">2021-D1627</f>
        <v>7</v>
      </c>
      <c r="F1627" s="1425" t="n">
        <v>375200</v>
      </c>
      <c r="G1627" s="1426" t="n">
        <v>0.1</v>
      </c>
      <c r="H1627" s="1427" t="n">
        <f aca="false">E1627*F1627*G1627</f>
        <v>262640</v>
      </c>
      <c r="I1627" s="1427" t="n">
        <f aca="false">F1627-H1627</f>
        <v>112560</v>
      </c>
      <c r="J1627" s="873" t="n">
        <f aca="false">F1627*E1627/100</f>
        <v>26264</v>
      </c>
      <c r="K1627" s="1365" t="n">
        <f aca="false">J1627/1792.8</f>
        <v>14.6497099509148</v>
      </c>
      <c r="L1627" s="873" t="n">
        <v>5</v>
      </c>
      <c r="M1627" s="819" t="n">
        <f aca="false">K1627*L1627/60</f>
        <v>1.22080916257623</v>
      </c>
    </row>
    <row r="1628" customFormat="false" ht="15" hidden="false" customHeight="false" outlineLevel="0" collapsed="false">
      <c r="A1628" s="216"/>
      <c r="B1628" s="972"/>
      <c r="C1628" s="1161" t="s">
        <v>7053</v>
      </c>
      <c r="D1628" s="361" t="n">
        <v>2005</v>
      </c>
      <c r="E1628" s="361" t="n">
        <f aca="false">2021-D1628</f>
        <v>16</v>
      </c>
      <c r="F1628" s="660" t="n">
        <v>176358</v>
      </c>
      <c r="G1628" s="1418" t="n">
        <v>0.1</v>
      </c>
      <c r="H1628" s="547" t="n">
        <f aca="false">E1628*F1628*G1628</f>
        <v>282172.8</v>
      </c>
      <c r="I1628" s="547" t="n">
        <f aca="false">F1628-H1628</f>
        <v>-105814.8</v>
      </c>
      <c r="J1628" s="547" t="n">
        <v>158723</v>
      </c>
      <c r="K1628" s="1365" t="n">
        <f aca="false">J1628/1792.8</f>
        <v>88.5335787594824</v>
      </c>
      <c r="L1628" s="547" t="n">
        <v>5</v>
      </c>
      <c r="M1628" s="819" t="n">
        <f aca="false">K1628*L1628/60</f>
        <v>7.37779822995687</v>
      </c>
    </row>
    <row r="1629" customFormat="false" ht="15" hidden="false" customHeight="false" outlineLevel="0" collapsed="false">
      <c r="A1629" s="216"/>
      <c r="B1629" s="972"/>
      <c r="C1629" s="1161" t="s">
        <v>7060</v>
      </c>
      <c r="D1629" s="361" t="n">
        <v>2005</v>
      </c>
      <c r="E1629" s="361" t="n">
        <f aca="false">2021-D1629</f>
        <v>16</v>
      </c>
      <c r="F1629" s="660" t="n">
        <v>260000</v>
      </c>
      <c r="G1629" s="1418" t="n">
        <v>0.1</v>
      </c>
      <c r="H1629" s="547" t="n">
        <f aca="false">E1629*F1629*G1629</f>
        <v>416000</v>
      </c>
      <c r="I1629" s="547" t="n">
        <f aca="false">F1629-H1629</f>
        <v>-156000</v>
      </c>
      <c r="J1629" s="547" t="n">
        <f aca="false">F1629*G1629</f>
        <v>26000</v>
      </c>
      <c r="K1629" s="1365" t="n">
        <f aca="false">J1629/1792.8</f>
        <v>14.5024542614904</v>
      </c>
      <c r="L1629" s="547" t="n">
        <v>5</v>
      </c>
      <c r="M1629" s="819" t="n">
        <f aca="false">K1629*L1629/60</f>
        <v>1.2085378551242</v>
      </c>
    </row>
    <row r="1630" customFormat="false" ht="30" hidden="false" customHeight="false" outlineLevel="0" collapsed="false">
      <c r="A1630" s="216"/>
      <c r="B1630" s="972"/>
      <c r="C1630" s="1161" t="s">
        <v>6970</v>
      </c>
      <c r="D1630" s="317" t="n">
        <v>2006</v>
      </c>
      <c r="E1630" s="361" t="n">
        <f aca="false">2021-D1630</f>
        <v>15</v>
      </c>
      <c r="F1630" s="660" t="n">
        <v>114000</v>
      </c>
      <c r="G1630" s="1418" t="n">
        <v>0.1</v>
      </c>
      <c r="H1630" s="547" t="n">
        <f aca="false">E1630*F1630*G1630</f>
        <v>171000</v>
      </c>
      <c r="I1630" s="547" t="n">
        <f aca="false">F1630-H1630</f>
        <v>-57000</v>
      </c>
      <c r="J1630" s="547" t="n">
        <v>158723</v>
      </c>
      <c r="K1630" s="1365" t="n">
        <f aca="false">J1630/1792.8</f>
        <v>88.5335787594824</v>
      </c>
      <c r="L1630" s="547" t="n">
        <v>5</v>
      </c>
      <c r="M1630" s="819" t="n">
        <f aca="false">K1630*L1630/60</f>
        <v>7.37779822995687</v>
      </c>
    </row>
    <row r="1631" customFormat="false" ht="15" hidden="false" customHeight="false" outlineLevel="0" collapsed="false">
      <c r="A1631" s="216"/>
      <c r="B1631" s="972" t="s">
        <v>4128</v>
      </c>
      <c r="C1631" s="40"/>
      <c r="D1631" s="361"/>
      <c r="E1631" s="361"/>
      <c r="F1631" s="955"/>
      <c r="G1631" s="1418"/>
      <c r="H1631" s="547"/>
      <c r="I1631" s="547"/>
      <c r="J1631" s="1421"/>
      <c r="K1631" s="1365" t="n">
        <f aca="false">J1631/1792.8</f>
        <v>0</v>
      </c>
      <c r="L1631" s="1421"/>
      <c r="M1631" s="934" t="n">
        <f aca="false">SUM(M1627:M1630)</f>
        <v>17.1849434776142</v>
      </c>
    </row>
    <row r="1632" customFormat="false" ht="15" hidden="false" customHeight="false" outlineLevel="0" collapsed="false">
      <c r="A1632" s="216" t="s">
        <v>5157</v>
      </c>
      <c r="B1632" s="40" t="s">
        <v>3287</v>
      </c>
      <c r="C1632" s="40" t="s">
        <v>7059</v>
      </c>
      <c r="D1632" s="1424" t="n">
        <v>2014</v>
      </c>
      <c r="E1632" s="361" t="n">
        <f aca="false">2021-D1632</f>
        <v>7</v>
      </c>
      <c r="F1632" s="1425" t="n">
        <v>375200</v>
      </c>
      <c r="G1632" s="1426" t="n">
        <v>0.1</v>
      </c>
      <c r="H1632" s="1427" t="n">
        <f aca="false">E1632*F1632*G1632</f>
        <v>262640</v>
      </c>
      <c r="I1632" s="1427" t="n">
        <f aca="false">F1632-H1632</f>
        <v>112560</v>
      </c>
      <c r="J1632" s="873" t="n">
        <f aca="false">F1632*E1632/100</f>
        <v>26264</v>
      </c>
      <c r="K1632" s="1365" t="n">
        <f aca="false">J1632/1792.8</f>
        <v>14.6497099509148</v>
      </c>
      <c r="L1632" s="873" t="n">
        <v>5</v>
      </c>
      <c r="M1632" s="819" t="n">
        <f aca="false">K1632*L1632/60</f>
        <v>1.22080916257623</v>
      </c>
    </row>
    <row r="1633" customFormat="false" ht="15" hidden="false" customHeight="false" outlineLevel="0" collapsed="false">
      <c r="A1633" s="216"/>
      <c r="B1633" s="972"/>
      <c r="C1633" s="1161" t="s">
        <v>7053</v>
      </c>
      <c r="D1633" s="361" t="n">
        <v>2005</v>
      </c>
      <c r="E1633" s="361" t="n">
        <f aca="false">2021-D1633</f>
        <v>16</v>
      </c>
      <c r="F1633" s="660" t="n">
        <v>176358</v>
      </c>
      <c r="G1633" s="1418" t="n">
        <v>0.1</v>
      </c>
      <c r="H1633" s="547" t="n">
        <f aca="false">E1633*F1633*G1633</f>
        <v>282172.8</v>
      </c>
      <c r="I1633" s="547" t="n">
        <f aca="false">F1633-H1633</f>
        <v>-105814.8</v>
      </c>
      <c r="J1633" s="547" t="n">
        <v>158723</v>
      </c>
      <c r="K1633" s="1365" t="n">
        <f aca="false">J1633/1792.8</f>
        <v>88.5335787594824</v>
      </c>
      <c r="L1633" s="547" t="n">
        <v>5</v>
      </c>
      <c r="M1633" s="819" t="n">
        <f aca="false">K1633*L1633/60</f>
        <v>7.37779822995687</v>
      </c>
    </row>
    <row r="1634" customFormat="false" ht="15" hidden="false" customHeight="false" outlineLevel="0" collapsed="false">
      <c r="A1634" s="216"/>
      <c r="B1634" s="972"/>
      <c r="C1634" s="1161" t="s">
        <v>7060</v>
      </c>
      <c r="D1634" s="361" t="n">
        <v>2005</v>
      </c>
      <c r="E1634" s="361" t="n">
        <f aca="false">2021-D1634</f>
        <v>16</v>
      </c>
      <c r="F1634" s="660" t="n">
        <v>260000</v>
      </c>
      <c r="G1634" s="1418" t="n">
        <v>0.1</v>
      </c>
      <c r="H1634" s="547" t="n">
        <f aca="false">E1634*F1634*G1634</f>
        <v>416000</v>
      </c>
      <c r="I1634" s="547" t="n">
        <f aca="false">F1634-H1634</f>
        <v>-156000</v>
      </c>
      <c r="J1634" s="547" t="n">
        <f aca="false">F1634*G1634</f>
        <v>26000</v>
      </c>
      <c r="K1634" s="1365" t="n">
        <f aca="false">J1634/1792.8</f>
        <v>14.5024542614904</v>
      </c>
      <c r="L1634" s="547" t="n">
        <v>5</v>
      </c>
      <c r="M1634" s="819" t="n">
        <f aca="false">K1634*L1634/60</f>
        <v>1.2085378551242</v>
      </c>
    </row>
    <row r="1635" customFormat="false" ht="30" hidden="false" customHeight="false" outlineLevel="0" collapsed="false">
      <c r="A1635" s="216"/>
      <c r="B1635" s="972"/>
      <c r="C1635" s="1161" t="s">
        <v>6970</v>
      </c>
      <c r="D1635" s="317" t="n">
        <v>2006</v>
      </c>
      <c r="E1635" s="361" t="n">
        <f aca="false">2021-D1635</f>
        <v>15</v>
      </c>
      <c r="F1635" s="660" t="n">
        <v>114000</v>
      </c>
      <c r="G1635" s="1418" t="n">
        <v>0.1</v>
      </c>
      <c r="H1635" s="547" t="n">
        <f aca="false">E1635*F1635*G1635</f>
        <v>171000</v>
      </c>
      <c r="I1635" s="547" t="n">
        <f aca="false">F1635-H1635</f>
        <v>-57000</v>
      </c>
      <c r="J1635" s="547" t="n">
        <v>158723</v>
      </c>
      <c r="K1635" s="1365" t="n">
        <f aca="false">J1635/1792.8</f>
        <v>88.5335787594824</v>
      </c>
      <c r="L1635" s="547" t="n">
        <v>5</v>
      </c>
      <c r="M1635" s="819" t="n">
        <f aca="false">K1635*L1635/60</f>
        <v>7.37779822995687</v>
      </c>
    </row>
    <row r="1636" customFormat="false" ht="15" hidden="false" customHeight="false" outlineLevel="0" collapsed="false">
      <c r="A1636" s="216"/>
      <c r="B1636" s="972" t="s">
        <v>4128</v>
      </c>
      <c r="C1636" s="40"/>
      <c r="D1636" s="361"/>
      <c r="E1636" s="361"/>
      <c r="F1636" s="955"/>
      <c r="G1636" s="1418"/>
      <c r="H1636" s="547"/>
      <c r="I1636" s="547"/>
      <c r="J1636" s="1421"/>
      <c r="K1636" s="1365" t="n">
        <f aca="false">J1636/1792.8</f>
        <v>0</v>
      </c>
      <c r="L1636" s="1421"/>
      <c r="M1636" s="934" t="n">
        <f aca="false">SUM(M1632:M1635)</f>
        <v>17.1849434776142</v>
      </c>
    </row>
    <row r="1637" customFormat="false" ht="15" hidden="false" customHeight="false" outlineLevel="0" collapsed="false">
      <c r="A1637" s="216" t="s">
        <v>7063</v>
      </c>
      <c r="B1637" s="29" t="s">
        <v>3288</v>
      </c>
      <c r="C1637" s="40" t="s">
        <v>7059</v>
      </c>
      <c r="D1637" s="1424" t="n">
        <v>2014</v>
      </c>
      <c r="E1637" s="361" t="n">
        <f aca="false">2021-D1637</f>
        <v>7</v>
      </c>
      <c r="F1637" s="1425" t="n">
        <v>375200</v>
      </c>
      <c r="G1637" s="1426" t="n">
        <v>0.1</v>
      </c>
      <c r="H1637" s="1427" t="n">
        <f aca="false">E1637*F1637*G1637</f>
        <v>262640</v>
      </c>
      <c r="I1637" s="1427" t="n">
        <f aca="false">F1637-H1637</f>
        <v>112560</v>
      </c>
      <c r="J1637" s="873" t="n">
        <f aca="false">F1637*E1637/100</f>
        <v>26264</v>
      </c>
      <c r="K1637" s="1365" t="n">
        <f aca="false">J1637/1792.8</f>
        <v>14.6497099509148</v>
      </c>
      <c r="L1637" s="873" t="n">
        <v>5</v>
      </c>
      <c r="M1637" s="819" t="n">
        <f aca="false">K1637*L1637/60</f>
        <v>1.22080916257623</v>
      </c>
    </row>
    <row r="1638" customFormat="false" ht="15" hidden="false" customHeight="false" outlineLevel="0" collapsed="false">
      <c r="A1638" s="216"/>
      <c r="B1638" s="972"/>
      <c r="C1638" s="1161" t="s">
        <v>7053</v>
      </c>
      <c r="D1638" s="361" t="n">
        <v>2005</v>
      </c>
      <c r="E1638" s="361" t="n">
        <f aca="false">2021-D1638</f>
        <v>16</v>
      </c>
      <c r="F1638" s="660" t="n">
        <v>176358</v>
      </c>
      <c r="G1638" s="1418" t="n">
        <v>0.1</v>
      </c>
      <c r="H1638" s="547" t="n">
        <f aca="false">E1638*F1638*G1638</f>
        <v>282172.8</v>
      </c>
      <c r="I1638" s="547" t="n">
        <f aca="false">F1638-H1638</f>
        <v>-105814.8</v>
      </c>
      <c r="J1638" s="547" t="n">
        <v>158723</v>
      </c>
      <c r="K1638" s="1365" t="n">
        <f aca="false">J1638/1792.8</f>
        <v>88.5335787594824</v>
      </c>
      <c r="L1638" s="547" t="n">
        <v>5</v>
      </c>
      <c r="M1638" s="819" t="n">
        <f aca="false">K1638*L1638/60</f>
        <v>7.37779822995687</v>
      </c>
    </row>
    <row r="1639" customFormat="false" ht="15" hidden="false" customHeight="false" outlineLevel="0" collapsed="false">
      <c r="A1639" s="216"/>
      <c r="B1639" s="972"/>
      <c r="C1639" s="1161" t="s">
        <v>7060</v>
      </c>
      <c r="D1639" s="361" t="n">
        <v>2005</v>
      </c>
      <c r="E1639" s="361" t="n">
        <f aca="false">2021-D1639</f>
        <v>16</v>
      </c>
      <c r="F1639" s="660" t="n">
        <v>260000</v>
      </c>
      <c r="G1639" s="1418" t="n">
        <v>0.1</v>
      </c>
      <c r="H1639" s="547" t="n">
        <f aca="false">E1639*F1639*G1639</f>
        <v>416000</v>
      </c>
      <c r="I1639" s="547" t="n">
        <f aca="false">F1639-H1639</f>
        <v>-156000</v>
      </c>
      <c r="J1639" s="547" t="n">
        <f aca="false">F1639*G1639</f>
        <v>26000</v>
      </c>
      <c r="K1639" s="1365" t="n">
        <f aca="false">J1639/1792.8</f>
        <v>14.5024542614904</v>
      </c>
      <c r="L1639" s="547" t="n">
        <v>5</v>
      </c>
      <c r="M1639" s="819" t="n">
        <f aca="false">K1639*L1639/60</f>
        <v>1.2085378551242</v>
      </c>
    </row>
    <row r="1640" customFormat="false" ht="30" hidden="false" customHeight="false" outlineLevel="0" collapsed="false">
      <c r="A1640" s="216"/>
      <c r="B1640" s="972"/>
      <c r="C1640" s="1161" t="s">
        <v>6970</v>
      </c>
      <c r="D1640" s="317" t="n">
        <v>2006</v>
      </c>
      <c r="E1640" s="361" t="n">
        <f aca="false">2021-D1640</f>
        <v>15</v>
      </c>
      <c r="F1640" s="660" t="n">
        <v>114000</v>
      </c>
      <c r="G1640" s="1418" t="n">
        <v>0.1</v>
      </c>
      <c r="H1640" s="547" t="n">
        <f aca="false">E1640*F1640*G1640</f>
        <v>171000</v>
      </c>
      <c r="I1640" s="547" t="n">
        <f aca="false">F1640-H1640</f>
        <v>-57000</v>
      </c>
      <c r="J1640" s="547" t="n">
        <v>158723</v>
      </c>
      <c r="K1640" s="1365" t="n">
        <f aca="false">J1640/1792.8</f>
        <v>88.5335787594824</v>
      </c>
      <c r="L1640" s="547" t="n">
        <v>5</v>
      </c>
      <c r="M1640" s="819" t="n">
        <f aca="false">K1640*L1640/60</f>
        <v>7.37779822995687</v>
      </c>
    </row>
    <row r="1641" customFormat="false" ht="15" hidden="false" customHeight="false" outlineLevel="0" collapsed="false">
      <c r="A1641" s="216"/>
      <c r="B1641" s="972" t="s">
        <v>4128</v>
      </c>
      <c r="C1641" s="40"/>
      <c r="D1641" s="361"/>
      <c r="E1641" s="361"/>
      <c r="F1641" s="955"/>
      <c r="G1641" s="1418"/>
      <c r="H1641" s="547"/>
      <c r="I1641" s="547"/>
      <c r="J1641" s="1421"/>
      <c r="K1641" s="1365" t="n">
        <f aca="false">J1641/1792.8</f>
        <v>0</v>
      </c>
      <c r="L1641" s="1421"/>
      <c r="M1641" s="934" t="n">
        <f aca="false">SUM(M1637:M1640)</f>
        <v>17.1849434776142</v>
      </c>
    </row>
    <row r="1642" customFormat="false" ht="27" hidden="false" customHeight="true" outlineLevel="0" collapsed="false">
      <c r="A1642" s="15" t="s">
        <v>5161</v>
      </c>
      <c r="B1642" s="1433" t="s">
        <v>3289</v>
      </c>
      <c r="C1642" s="1434"/>
      <c r="D1642" s="1435"/>
      <c r="E1642" s="364"/>
      <c r="F1642" s="1436"/>
      <c r="G1642" s="1437"/>
      <c r="H1642" s="1438"/>
      <c r="I1642" s="1438"/>
      <c r="J1642" s="1439"/>
      <c r="K1642" s="1431"/>
      <c r="L1642" s="1439"/>
      <c r="M1642" s="1440"/>
    </row>
    <row r="1643" customFormat="false" ht="45" hidden="false" customHeight="false" outlineLevel="0" collapsed="false">
      <c r="A1643" s="216" t="s">
        <v>994</v>
      </c>
      <c r="B1643" s="40" t="s">
        <v>3249</v>
      </c>
      <c r="C1643" s="1161" t="s">
        <v>7050</v>
      </c>
      <c r="D1643" s="361" t="n">
        <v>2011</v>
      </c>
      <c r="E1643" s="361" t="n">
        <f aca="false">2021-D1643</f>
        <v>10</v>
      </c>
      <c r="F1643" s="660" t="n">
        <v>235000</v>
      </c>
      <c r="G1643" s="1418" t="n">
        <v>0.1</v>
      </c>
      <c r="H1643" s="547" t="n">
        <f aca="false">E1643*F1643*G1643</f>
        <v>235000</v>
      </c>
      <c r="I1643" s="547" t="n">
        <f aca="false">F1643-H1643</f>
        <v>0</v>
      </c>
      <c r="J1643" s="547" t="n">
        <f aca="false">F1643*G1643</f>
        <v>23500</v>
      </c>
      <c r="K1643" s="1365" t="n">
        <f aca="false">J1643/1792.8</f>
        <v>13.1079875055779</v>
      </c>
      <c r="L1643" s="547" t="n">
        <v>10</v>
      </c>
      <c r="M1643" s="934" t="n">
        <f aca="false">K1643*L1643/60</f>
        <v>2.18466458426298</v>
      </c>
    </row>
    <row r="1644" customFormat="false" ht="45" hidden="false" customHeight="false" outlineLevel="0" collapsed="false">
      <c r="A1644" s="216" t="s">
        <v>995</v>
      </c>
      <c r="B1644" s="40" t="s">
        <v>3290</v>
      </c>
      <c r="C1644" s="1161" t="s">
        <v>7055</v>
      </c>
      <c r="D1644" s="361" t="n">
        <v>2014</v>
      </c>
      <c r="E1644" s="361" t="n">
        <f aca="false">2021-D1644</f>
        <v>7</v>
      </c>
      <c r="F1644" s="660" t="n">
        <v>24500</v>
      </c>
      <c r="G1644" s="1418" t="n">
        <v>0.1</v>
      </c>
      <c r="H1644" s="547" t="n">
        <f aca="false">E1644*F1644*G1644</f>
        <v>17150</v>
      </c>
      <c r="I1644" s="547" t="n">
        <f aca="false">F1644-H1644</f>
        <v>7350</v>
      </c>
      <c r="J1644" s="547" t="n">
        <f aca="false">F1644*G1644</f>
        <v>2450</v>
      </c>
      <c r="K1644" s="1365" t="n">
        <f aca="false">J1644/1792.8</f>
        <v>1.36657742079429</v>
      </c>
      <c r="L1644" s="547" t="n">
        <v>5</v>
      </c>
      <c r="M1644" s="819" t="n">
        <f aca="false">K1644*L1644/60</f>
        <v>0.113881451732857</v>
      </c>
    </row>
    <row r="1645" customFormat="false" ht="30" hidden="false" customHeight="false" outlineLevel="0" collapsed="false">
      <c r="A1645" s="216"/>
      <c r="B1645" s="972"/>
      <c r="C1645" s="1419" t="s">
        <v>7056</v>
      </c>
      <c r="D1645" s="362" t="n">
        <v>2005</v>
      </c>
      <c r="E1645" s="361" t="n">
        <f aca="false">2021-D1645</f>
        <v>16</v>
      </c>
      <c r="F1645" s="1420" t="n">
        <v>130000</v>
      </c>
      <c r="G1645" s="1418" t="n">
        <v>0.1</v>
      </c>
      <c r="H1645" s="547" t="n">
        <f aca="false">E1645*F1645*G1645</f>
        <v>208000</v>
      </c>
      <c r="I1645" s="547" t="n">
        <f aca="false">F1645-H1645</f>
        <v>-78000</v>
      </c>
      <c r="J1645" s="873" t="n">
        <v>13000</v>
      </c>
      <c r="K1645" s="1365" t="n">
        <f aca="false">J1645/1792.8</f>
        <v>7.2512271307452</v>
      </c>
      <c r="L1645" s="873" t="n">
        <v>5</v>
      </c>
      <c r="M1645" s="819" t="n">
        <f aca="false">K1645*L1645/60</f>
        <v>0.6042689275621</v>
      </c>
    </row>
    <row r="1646" customFormat="false" ht="30" hidden="false" customHeight="false" outlineLevel="0" collapsed="false">
      <c r="A1646" s="216"/>
      <c r="B1646" s="972"/>
      <c r="C1646" s="40" t="s">
        <v>7057</v>
      </c>
      <c r="D1646" s="361" t="n">
        <v>2005</v>
      </c>
      <c r="E1646" s="361" t="n">
        <f aca="false">2021-D1646</f>
        <v>16</v>
      </c>
      <c r="F1646" s="955" t="n">
        <v>1100000</v>
      </c>
      <c r="G1646" s="1418" t="n">
        <v>0.1</v>
      </c>
      <c r="H1646" s="547" t="n">
        <f aca="false">E1646*F1646*G1646</f>
        <v>1760000</v>
      </c>
      <c r="I1646" s="547" t="n">
        <f aca="false">F1646-H1646</f>
        <v>-660000</v>
      </c>
      <c r="J1646" s="873" t="n">
        <f aca="false">F1646*E1646/100</f>
        <v>176000</v>
      </c>
      <c r="K1646" s="1365" t="n">
        <f aca="false">J1646/1792.8</f>
        <v>98.1704596162428</v>
      </c>
      <c r="L1646" s="873" t="n">
        <v>5</v>
      </c>
      <c r="M1646" s="819" t="n">
        <f aca="false">K1646*L1646/60</f>
        <v>8.1808716346869</v>
      </c>
    </row>
    <row r="1647" customFormat="false" ht="15" hidden="false" customHeight="false" outlineLevel="0" collapsed="false">
      <c r="A1647" s="216"/>
      <c r="B1647" s="972"/>
      <c r="C1647" s="40" t="s">
        <v>7058</v>
      </c>
      <c r="D1647" s="361" t="n">
        <v>2005</v>
      </c>
      <c r="E1647" s="361" t="n">
        <f aca="false">2021-D1647</f>
        <v>16</v>
      </c>
      <c r="F1647" s="955" t="n">
        <v>846400</v>
      </c>
      <c r="G1647" s="1418" t="n">
        <v>0.1</v>
      </c>
      <c r="H1647" s="547" t="n">
        <f aca="false">E1647*F1647*G1647</f>
        <v>1354240</v>
      </c>
      <c r="I1647" s="547" t="n">
        <f aca="false">F1647-H1647</f>
        <v>-507840</v>
      </c>
      <c r="J1647" s="873" t="n">
        <f aca="false">F1647*E1647/100</f>
        <v>135424</v>
      </c>
      <c r="K1647" s="1365" t="n">
        <f aca="false">J1647/1792.8</f>
        <v>75.5377063810799</v>
      </c>
      <c r="L1647" s="873" t="n">
        <v>5</v>
      </c>
      <c r="M1647" s="819" t="n">
        <f aca="false">K1647*L1647/60</f>
        <v>6.29480886508999</v>
      </c>
    </row>
    <row r="1648" customFormat="false" ht="15" hidden="false" customHeight="false" outlineLevel="0" collapsed="false">
      <c r="A1648" s="216"/>
      <c r="B1648" s="972" t="s">
        <v>4128</v>
      </c>
      <c r="C1648" s="1272"/>
      <c r="D1648" s="361"/>
      <c r="E1648" s="361"/>
      <c r="F1648" s="955"/>
      <c r="G1648" s="1418"/>
      <c r="H1648" s="547"/>
      <c r="I1648" s="547"/>
      <c r="J1648" s="873"/>
      <c r="K1648" s="1365" t="n">
        <f aca="false">J1648/1792.8</f>
        <v>0</v>
      </c>
      <c r="L1648" s="873"/>
      <c r="M1648" s="934" t="n">
        <f aca="false">SUM(M1644:M1647)</f>
        <v>15.1938308790718</v>
      </c>
    </row>
    <row r="1649" customFormat="false" ht="15" hidden="false" customHeight="false" outlineLevel="0" collapsed="false">
      <c r="A1649" s="216" t="s">
        <v>997</v>
      </c>
      <c r="B1649" s="29" t="s">
        <v>3291</v>
      </c>
      <c r="C1649" s="40" t="s">
        <v>7059</v>
      </c>
      <c r="D1649" s="361" t="n">
        <v>2014</v>
      </c>
      <c r="E1649" s="361" t="n">
        <f aca="false">2021-D1649</f>
        <v>7</v>
      </c>
      <c r="F1649" s="955" t="n">
        <v>375200</v>
      </c>
      <c r="G1649" s="1418" t="n">
        <v>0.1</v>
      </c>
      <c r="H1649" s="547" t="n">
        <f aca="false">E1649*F1649*G1649</f>
        <v>262640</v>
      </c>
      <c r="I1649" s="547" t="n">
        <f aca="false">F1649-H1649</f>
        <v>112560</v>
      </c>
      <c r="J1649" s="873" t="n">
        <f aca="false">F1649*E1649/100</f>
        <v>26264</v>
      </c>
      <c r="K1649" s="1365" t="n">
        <f aca="false">J1649/1792.8</f>
        <v>14.6497099509148</v>
      </c>
      <c r="L1649" s="873" t="n">
        <v>5</v>
      </c>
      <c r="M1649" s="819" t="n">
        <f aca="false">K1649*L1649/60</f>
        <v>1.22080916257623</v>
      </c>
    </row>
    <row r="1650" customFormat="false" ht="15" hidden="false" customHeight="false" outlineLevel="0" collapsed="false">
      <c r="A1650" s="216"/>
      <c r="B1650" s="972"/>
      <c r="C1650" s="1161" t="s">
        <v>7053</v>
      </c>
      <c r="D1650" s="361" t="n">
        <v>2005</v>
      </c>
      <c r="E1650" s="361" t="n">
        <f aca="false">2021-D1650</f>
        <v>16</v>
      </c>
      <c r="F1650" s="660" t="n">
        <v>176358</v>
      </c>
      <c r="G1650" s="1418" t="n">
        <v>0.1</v>
      </c>
      <c r="H1650" s="547" t="n">
        <f aca="false">E1650*F1650*G1650</f>
        <v>282172.8</v>
      </c>
      <c r="I1650" s="547" t="n">
        <f aca="false">F1650-H1650</f>
        <v>-105814.8</v>
      </c>
      <c r="J1650" s="873" t="n">
        <f aca="false">F1650*E1650/100</f>
        <v>28217.28</v>
      </c>
      <c r="K1650" s="1365" t="n">
        <f aca="false">J1650/1792.8</f>
        <v>15.7392235609103</v>
      </c>
      <c r="L1650" s="547" t="n">
        <v>5</v>
      </c>
      <c r="M1650" s="819" t="n">
        <f aca="false">K1650*L1650/60</f>
        <v>1.31160196340919</v>
      </c>
    </row>
    <row r="1651" customFormat="false" ht="15" hidden="false" customHeight="false" outlineLevel="0" collapsed="false">
      <c r="A1651" s="216"/>
      <c r="B1651" s="972"/>
      <c r="C1651" s="1161" t="s">
        <v>7064</v>
      </c>
      <c r="D1651" s="361" t="n">
        <v>2005</v>
      </c>
      <c r="E1651" s="361" t="n">
        <f aca="false">2021-D1651</f>
        <v>16</v>
      </c>
      <c r="F1651" s="1441" t="n">
        <v>300000</v>
      </c>
      <c r="G1651" s="1418" t="n">
        <v>0.1</v>
      </c>
      <c r="H1651" s="547" t="n">
        <f aca="false">E1651*F1651*G1651</f>
        <v>480000</v>
      </c>
      <c r="I1651" s="547" t="n">
        <f aca="false">F1651-H1651</f>
        <v>-180000</v>
      </c>
      <c r="J1651" s="547" t="n">
        <f aca="false">F1651*G1651</f>
        <v>30000</v>
      </c>
      <c r="K1651" s="1365" t="n">
        <f aca="false">J1651/1792.8</f>
        <v>16.7336010709505</v>
      </c>
      <c r="L1651" s="547" t="n">
        <v>5</v>
      </c>
      <c r="M1651" s="819" t="n">
        <f aca="false">K1651*L1651/60</f>
        <v>1.39446675591254</v>
      </c>
    </row>
    <row r="1652" customFormat="false" ht="30" hidden="false" customHeight="false" outlineLevel="0" collapsed="false">
      <c r="A1652" s="216"/>
      <c r="B1652" s="972"/>
      <c r="C1652" s="1161" t="s">
        <v>6970</v>
      </c>
      <c r="D1652" s="317" t="n">
        <v>2006</v>
      </c>
      <c r="E1652" s="361" t="n">
        <f aca="false">2021-D1652</f>
        <v>15</v>
      </c>
      <c r="F1652" s="660" t="n">
        <v>114000</v>
      </c>
      <c r="G1652" s="1418" t="n">
        <v>0.1</v>
      </c>
      <c r="H1652" s="547" t="n">
        <f aca="false">E1652*F1652*G1652</f>
        <v>171000</v>
      </c>
      <c r="I1652" s="547" t="n">
        <f aca="false">F1652-H1652</f>
        <v>-57000</v>
      </c>
      <c r="J1652" s="547" t="n">
        <v>158723</v>
      </c>
      <c r="K1652" s="1365" t="n">
        <f aca="false">J1652/1792.8</f>
        <v>88.5335787594824</v>
      </c>
      <c r="L1652" s="547" t="n">
        <v>5</v>
      </c>
      <c r="M1652" s="819" t="n">
        <f aca="false">K1652*L1652/60</f>
        <v>7.37779822995687</v>
      </c>
    </row>
    <row r="1653" customFormat="false" ht="15" hidden="false" customHeight="false" outlineLevel="0" collapsed="false">
      <c r="A1653" s="216"/>
      <c r="B1653" s="972" t="s">
        <v>4128</v>
      </c>
      <c r="C1653" s="1161"/>
      <c r="D1653" s="361"/>
      <c r="E1653" s="361"/>
      <c r="F1653" s="660"/>
      <c r="G1653" s="1418"/>
      <c r="H1653" s="547"/>
      <c r="I1653" s="547"/>
      <c r="J1653" s="873"/>
      <c r="K1653" s="1365" t="n">
        <f aca="false">J1653/1792.8</f>
        <v>0</v>
      </c>
      <c r="L1653" s="547"/>
      <c r="M1653" s="934" t="n">
        <f aca="false">SUM(M1649:M1652)</f>
        <v>11.3046761118548</v>
      </c>
    </row>
    <row r="1654" customFormat="false" ht="15" hidden="false" customHeight="false" outlineLevel="0" collapsed="false">
      <c r="A1654" s="216" t="s">
        <v>998</v>
      </c>
      <c r="B1654" s="29" t="s">
        <v>2889</v>
      </c>
      <c r="C1654" s="1161" t="s">
        <v>7064</v>
      </c>
      <c r="D1654" s="361" t="n">
        <v>2005</v>
      </c>
      <c r="E1654" s="361" t="n">
        <f aca="false">2021-D1654</f>
        <v>16</v>
      </c>
      <c r="F1654" s="1441" t="n">
        <v>300000</v>
      </c>
      <c r="G1654" s="1418" t="n">
        <v>0.1</v>
      </c>
      <c r="H1654" s="547" t="n">
        <f aca="false">E1654*F1654*G1654</f>
        <v>480000</v>
      </c>
      <c r="I1654" s="547" t="n">
        <f aca="false">F1654-H1654</f>
        <v>-180000</v>
      </c>
      <c r="J1654" s="547" t="n">
        <f aca="false">F1654*G1654</f>
        <v>30000</v>
      </c>
      <c r="K1654" s="1365" t="n">
        <f aca="false">J1654/1792.8</f>
        <v>16.7336010709505</v>
      </c>
      <c r="L1654" s="547" t="n">
        <v>5</v>
      </c>
      <c r="M1654" s="819" t="n">
        <f aca="false">K1654*L1654/60</f>
        <v>1.39446675591254</v>
      </c>
    </row>
    <row r="1655" customFormat="false" ht="15" hidden="false" customHeight="false" outlineLevel="0" collapsed="false">
      <c r="A1655" s="216"/>
      <c r="B1655" s="972"/>
      <c r="C1655" s="1161" t="s">
        <v>7053</v>
      </c>
      <c r="D1655" s="361" t="n">
        <v>2005</v>
      </c>
      <c r="E1655" s="361" t="n">
        <f aca="false">2021-D1655</f>
        <v>16</v>
      </c>
      <c r="F1655" s="660" t="n">
        <v>176358</v>
      </c>
      <c r="G1655" s="1418" t="n">
        <v>0.1</v>
      </c>
      <c r="H1655" s="547" t="n">
        <f aca="false">E1655*F1655*G1655</f>
        <v>282172.8</v>
      </c>
      <c r="I1655" s="547" t="n">
        <f aca="false">F1655-H1655</f>
        <v>-105814.8</v>
      </c>
      <c r="J1655" s="873" t="n">
        <f aca="false">F1655*E1655/100</f>
        <v>28217.28</v>
      </c>
      <c r="K1655" s="1365" t="n">
        <f aca="false">J1655/1792.8</f>
        <v>15.7392235609103</v>
      </c>
      <c r="L1655" s="547" t="n">
        <v>5</v>
      </c>
      <c r="M1655" s="819" t="n">
        <f aca="false">K1655*L1655/60</f>
        <v>1.31160196340919</v>
      </c>
    </row>
    <row r="1656" customFormat="false" ht="15" hidden="false" customHeight="false" outlineLevel="0" collapsed="false">
      <c r="A1656" s="216"/>
      <c r="B1656" s="972"/>
      <c r="C1656" s="40" t="s">
        <v>7059</v>
      </c>
      <c r="D1656" s="361" t="n">
        <v>2014</v>
      </c>
      <c r="E1656" s="361" t="n">
        <f aca="false">2021-D1656</f>
        <v>7</v>
      </c>
      <c r="F1656" s="955" t="n">
        <v>375200</v>
      </c>
      <c r="G1656" s="1418" t="n">
        <v>0.1</v>
      </c>
      <c r="H1656" s="547" t="n">
        <f aca="false">E1656*F1656*G1656</f>
        <v>262640</v>
      </c>
      <c r="I1656" s="547" t="n">
        <f aca="false">F1656-H1656</f>
        <v>112560</v>
      </c>
      <c r="J1656" s="873" t="n">
        <f aca="false">F1656*E1656/100</f>
        <v>26264</v>
      </c>
      <c r="K1656" s="1365" t="n">
        <f aca="false">J1656/1792.8</f>
        <v>14.6497099509148</v>
      </c>
      <c r="L1656" s="873" t="n">
        <v>5</v>
      </c>
      <c r="M1656" s="819" t="n">
        <f aca="false">K1656*L1656/60</f>
        <v>1.22080916257623</v>
      </c>
    </row>
    <row r="1657" customFormat="false" ht="30" hidden="false" customHeight="false" outlineLevel="0" collapsed="false">
      <c r="A1657" s="216"/>
      <c r="B1657" s="972"/>
      <c r="C1657" s="1161" t="s">
        <v>6970</v>
      </c>
      <c r="D1657" s="317" t="n">
        <v>2006</v>
      </c>
      <c r="E1657" s="361" t="n">
        <f aca="false">2021-D1657</f>
        <v>15</v>
      </c>
      <c r="F1657" s="660" t="n">
        <v>114000</v>
      </c>
      <c r="G1657" s="1418" t="n">
        <v>0.1</v>
      </c>
      <c r="H1657" s="547" t="n">
        <f aca="false">E1657*F1657*G1657</f>
        <v>171000</v>
      </c>
      <c r="I1657" s="547" t="n">
        <f aca="false">F1657-H1657</f>
        <v>-57000</v>
      </c>
      <c r="J1657" s="547" t="n">
        <v>158723</v>
      </c>
      <c r="K1657" s="1365" t="n">
        <f aca="false">J1657/1792.8</f>
        <v>88.5335787594824</v>
      </c>
      <c r="L1657" s="547" t="n">
        <v>5</v>
      </c>
      <c r="M1657" s="819" t="n">
        <f aca="false">K1657*L1657/60</f>
        <v>7.37779822995687</v>
      </c>
    </row>
    <row r="1658" customFormat="false" ht="15" hidden="false" customHeight="false" outlineLevel="0" collapsed="false">
      <c r="A1658" s="216"/>
      <c r="B1658" s="972" t="s">
        <v>4128</v>
      </c>
      <c r="C1658" s="1272"/>
      <c r="D1658" s="361"/>
      <c r="E1658" s="361"/>
      <c r="F1658" s="1441"/>
      <c r="G1658" s="1418"/>
      <c r="H1658" s="547"/>
      <c r="I1658" s="547"/>
      <c r="J1658" s="873"/>
      <c r="K1658" s="1365" t="n">
        <f aca="false">J1658/1792.8</f>
        <v>0</v>
      </c>
      <c r="L1658" s="873"/>
      <c r="M1658" s="934" t="n">
        <f aca="false">SUM(M1654:M1657)</f>
        <v>11.3046761118548</v>
      </c>
    </row>
    <row r="1659" customFormat="false" ht="15" hidden="false" customHeight="false" outlineLevel="0" collapsed="false">
      <c r="A1659" s="216" t="s">
        <v>999</v>
      </c>
      <c r="B1659" s="29" t="s">
        <v>3292</v>
      </c>
      <c r="C1659" s="1161" t="s">
        <v>7064</v>
      </c>
      <c r="D1659" s="361" t="n">
        <v>2005</v>
      </c>
      <c r="E1659" s="361" t="n">
        <f aca="false">2021-D1659</f>
        <v>16</v>
      </c>
      <c r="F1659" s="1441" t="n">
        <v>300000</v>
      </c>
      <c r="G1659" s="1418" t="n">
        <v>0.1</v>
      </c>
      <c r="H1659" s="547" t="n">
        <f aca="false">E1659*F1659*G1659</f>
        <v>480000</v>
      </c>
      <c r="I1659" s="547" t="n">
        <f aca="false">F1659-H1659</f>
        <v>-180000</v>
      </c>
      <c r="J1659" s="547" t="n">
        <f aca="false">F1659*G1659</f>
        <v>30000</v>
      </c>
      <c r="K1659" s="1365" t="n">
        <f aca="false">J1659/1792.8</f>
        <v>16.7336010709505</v>
      </c>
      <c r="L1659" s="547" t="n">
        <v>5</v>
      </c>
      <c r="M1659" s="819" t="n">
        <f aca="false">K1659*L1659/60</f>
        <v>1.39446675591254</v>
      </c>
    </row>
    <row r="1660" customFormat="false" ht="15" hidden="false" customHeight="false" outlineLevel="0" collapsed="false">
      <c r="A1660" s="216"/>
      <c r="B1660" s="972"/>
      <c r="C1660" s="1161" t="s">
        <v>7053</v>
      </c>
      <c r="D1660" s="361" t="n">
        <v>2005</v>
      </c>
      <c r="E1660" s="361" t="n">
        <f aca="false">2021-D1660</f>
        <v>16</v>
      </c>
      <c r="F1660" s="660" t="n">
        <v>176358</v>
      </c>
      <c r="G1660" s="1418" t="n">
        <v>0.1</v>
      </c>
      <c r="H1660" s="547" t="n">
        <f aca="false">E1660*F1660*G1660</f>
        <v>282172.8</v>
      </c>
      <c r="I1660" s="547" t="n">
        <f aca="false">F1660-H1660</f>
        <v>-105814.8</v>
      </c>
      <c r="J1660" s="873" t="n">
        <f aca="false">F1660*E1660/100</f>
        <v>28217.28</v>
      </c>
      <c r="K1660" s="1365" t="n">
        <f aca="false">J1660/1792.8</f>
        <v>15.7392235609103</v>
      </c>
      <c r="L1660" s="547" t="n">
        <v>5</v>
      </c>
      <c r="M1660" s="819" t="n">
        <f aca="false">K1660*L1660/60</f>
        <v>1.31160196340919</v>
      </c>
    </row>
    <row r="1661" customFormat="false" ht="15" hidden="false" customHeight="false" outlineLevel="0" collapsed="false">
      <c r="A1661" s="216"/>
      <c r="B1661" s="972"/>
      <c r="C1661" s="40" t="s">
        <v>7059</v>
      </c>
      <c r="D1661" s="361" t="n">
        <v>2014</v>
      </c>
      <c r="E1661" s="361" t="n">
        <f aca="false">2021-D1661</f>
        <v>7</v>
      </c>
      <c r="F1661" s="955" t="n">
        <v>375200</v>
      </c>
      <c r="G1661" s="1418" t="n">
        <v>0.1</v>
      </c>
      <c r="H1661" s="547" t="n">
        <f aca="false">E1661*F1661*G1661</f>
        <v>262640</v>
      </c>
      <c r="I1661" s="547" t="n">
        <f aca="false">F1661-H1661</f>
        <v>112560</v>
      </c>
      <c r="J1661" s="873" t="n">
        <f aca="false">F1661*E1661/100</f>
        <v>26264</v>
      </c>
      <c r="K1661" s="1365" t="n">
        <f aca="false">J1661/1792.8</f>
        <v>14.6497099509148</v>
      </c>
      <c r="L1661" s="873" t="n">
        <v>5</v>
      </c>
      <c r="M1661" s="819" t="n">
        <f aca="false">K1661*L1661/60</f>
        <v>1.22080916257623</v>
      </c>
    </row>
    <row r="1662" customFormat="false" ht="30" hidden="false" customHeight="false" outlineLevel="0" collapsed="false">
      <c r="A1662" s="216"/>
      <c r="B1662" s="972"/>
      <c r="C1662" s="1161" t="s">
        <v>6970</v>
      </c>
      <c r="D1662" s="317" t="n">
        <v>2006</v>
      </c>
      <c r="E1662" s="361" t="n">
        <f aca="false">2021-D1662</f>
        <v>15</v>
      </c>
      <c r="F1662" s="660" t="n">
        <v>114000</v>
      </c>
      <c r="G1662" s="1418" t="n">
        <v>0.1</v>
      </c>
      <c r="H1662" s="547" t="n">
        <f aca="false">E1662*F1662*G1662</f>
        <v>171000</v>
      </c>
      <c r="I1662" s="547" t="n">
        <f aca="false">F1662-H1662</f>
        <v>-57000</v>
      </c>
      <c r="J1662" s="547" t="n">
        <v>158723</v>
      </c>
      <c r="K1662" s="1365" t="n">
        <f aca="false">J1662/1792.8</f>
        <v>88.5335787594824</v>
      </c>
      <c r="L1662" s="547" t="n">
        <v>5</v>
      </c>
      <c r="M1662" s="819" t="n">
        <f aca="false">K1662*L1662/60</f>
        <v>7.37779822995687</v>
      </c>
    </row>
    <row r="1663" customFormat="false" ht="15" hidden="false" customHeight="false" outlineLevel="0" collapsed="false">
      <c r="A1663" s="216"/>
      <c r="B1663" s="972" t="s">
        <v>4128</v>
      </c>
      <c r="C1663" s="1272"/>
      <c r="D1663" s="361"/>
      <c r="E1663" s="361"/>
      <c r="F1663" s="1441"/>
      <c r="G1663" s="1418"/>
      <c r="H1663" s="547"/>
      <c r="I1663" s="547"/>
      <c r="J1663" s="873"/>
      <c r="K1663" s="1365" t="n">
        <f aca="false">J1663/1792.8</f>
        <v>0</v>
      </c>
      <c r="L1663" s="873"/>
      <c r="M1663" s="934" t="n">
        <f aca="false">SUM(M1659:M1662)</f>
        <v>11.3046761118548</v>
      </c>
    </row>
    <row r="1664" customFormat="false" ht="45" hidden="false" customHeight="false" outlineLevel="0" collapsed="false">
      <c r="A1664" s="216" t="s">
        <v>1001</v>
      </c>
      <c r="B1664" s="29" t="s">
        <v>7065</v>
      </c>
      <c r="C1664" s="1161" t="s">
        <v>7064</v>
      </c>
      <c r="D1664" s="361" t="n">
        <v>2005</v>
      </c>
      <c r="E1664" s="361" t="n">
        <f aca="false">2021-D1664</f>
        <v>16</v>
      </c>
      <c r="F1664" s="1441" t="n">
        <v>300000</v>
      </c>
      <c r="G1664" s="1418" t="n">
        <v>0.1</v>
      </c>
      <c r="H1664" s="547" t="n">
        <f aca="false">E1664*F1664*G1664</f>
        <v>480000</v>
      </c>
      <c r="I1664" s="547" t="n">
        <f aca="false">F1664-H1664</f>
        <v>-180000</v>
      </c>
      <c r="J1664" s="547" t="n">
        <f aca="false">F1664*G1664</f>
        <v>30000</v>
      </c>
      <c r="K1664" s="1365" t="n">
        <f aca="false">J1664/1792.8</f>
        <v>16.7336010709505</v>
      </c>
      <c r="L1664" s="547" t="n">
        <v>5</v>
      </c>
      <c r="M1664" s="819" t="n">
        <f aca="false">K1664*L1664/60</f>
        <v>1.39446675591254</v>
      </c>
    </row>
    <row r="1665" customFormat="false" ht="15" hidden="false" customHeight="false" outlineLevel="0" collapsed="false">
      <c r="A1665" s="216"/>
      <c r="B1665" s="972"/>
      <c r="C1665" s="1161" t="s">
        <v>7053</v>
      </c>
      <c r="D1665" s="361" t="n">
        <v>2005</v>
      </c>
      <c r="E1665" s="361" t="n">
        <f aca="false">2021-D1665</f>
        <v>16</v>
      </c>
      <c r="F1665" s="660" t="n">
        <v>176358</v>
      </c>
      <c r="G1665" s="1418" t="n">
        <v>0.1</v>
      </c>
      <c r="H1665" s="547" t="n">
        <f aca="false">E1665*F1665*G1665</f>
        <v>282172.8</v>
      </c>
      <c r="I1665" s="547" t="n">
        <f aca="false">F1665-H1665</f>
        <v>-105814.8</v>
      </c>
      <c r="J1665" s="873" t="n">
        <f aca="false">F1665*E1665/100</f>
        <v>28217.28</v>
      </c>
      <c r="K1665" s="1365" t="n">
        <f aca="false">J1665/1792.8</f>
        <v>15.7392235609103</v>
      </c>
      <c r="L1665" s="547" t="n">
        <v>20</v>
      </c>
      <c r="M1665" s="819" t="n">
        <f aca="false">K1665*L1665/60</f>
        <v>5.24640785363677</v>
      </c>
    </row>
    <row r="1666" customFormat="false" ht="15" hidden="false" customHeight="false" outlineLevel="0" collapsed="false">
      <c r="A1666" s="216"/>
      <c r="B1666" s="972"/>
      <c r="C1666" s="40" t="s">
        <v>7059</v>
      </c>
      <c r="D1666" s="361" t="n">
        <v>2014</v>
      </c>
      <c r="E1666" s="361" t="n">
        <f aca="false">2021-D1666</f>
        <v>7</v>
      </c>
      <c r="F1666" s="955" t="n">
        <v>375200</v>
      </c>
      <c r="G1666" s="1418" t="n">
        <v>0.1</v>
      </c>
      <c r="H1666" s="547" t="n">
        <f aca="false">E1666*F1666*G1666</f>
        <v>262640</v>
      </c>
      <c r="I1666" s="547" t="n">
        <f aca="false">F1666-H1666</f>
        <v>112560</v>
      </c>
      <c r="J1666" s="873" t="n">
        <f aca="false">F1666*E1666/100</f>
        <v>26264</v>
      </c>
      <c r="K1666" s="1365" t="n">
        <f aca="false">J1666/1792.8</f>
        <v>14.6497099509148</v>
      </c>
      <c r="L1666" s="873" t="n">
        <v>5</v>
      </c>
      <c r="M1666" s="819" t="n">
        <f aca="false">K1666*L1666/60</f>
        <v>1.22080916257623</v>
      </c>
    </row>
    <row r="1667" customFormat="false" ht="30" hidden="false" customHeight="false" outlineLevel="0" collapsed="false">
      <c r="A1667" s="216"/>
      <c r="B1667" s="972"/>
      <c r="C1667" s="1161" t="s">
        <v>6970</v>
      </c>
      <c r="D1667" s="317" t="n">
        <v>2006</v>
      </c>
      <c r="E1667" s="361" t="n">
        <f aca="false">2021-D1667</f>
        <v>15</v>
      </c>
      <c r="F1667" s="660" t="n">
        <v>114000</v>
      </c>
      <c r="G1667" s="1418" t="n">
        <v>0.1</v>
      </c>
      <c r="H1667" s="547" t="n">
        <f aca="false">E1667*F1667*G1667</f>
        <v>171000</v>
      </c>
      <c r="I1667" s="547" t="n">
        <f aca="false">F1667-H1667</f>
        <v>-57000</v>
      </c>
      <c r="J1667" s="547" t="n">
        <v>158723</v>
      </c>
      <c r="K1667" s="1365" t="n">
        <f aca="false">J1667/1792.8</f>
        <v>88.5335787594824</v>
      </c>
      <c r="L1667" s="547" t="n">
        <v>5</v>
      </c>
      <c r="M1667" s="819" t="n">
        <f aca="false">K1667*L1667/60</f>
        <v>7.37779822995687</v>
      </c>
    </row>
    <row r="1668" customFormat="false" ht="15" hidden="false" customHeight="false" outlineLevel="0" collapsed="false">
      <c r="A1668" s="216"/>
      <c r="B1668" s="972" t="s">
        <v>4128</v>
      </c>
      <c r="C1668" s="1272"/>
      <c r="D1668" s="361"/>
      <c r="E1668" s="361"/>
      <c r="F1668" s="1441"/>
      <c r="G1668" s="1418"/>
      <c r="H1668" s="547"/>
      <c r="I1668" s="547"/>
      <c r="J1668" s="873"/>
      <c r="K1668" s="1365" t="n">
        <f aca="false">J1668/1792.8</f>
        <v>0</v>
      </c>
      <c r="L1668" s="873"/>
      <c r="M1668" s="934" t="n">
        <f aca="false">SUM(M1664:M1667)</f>
        <v>15.2394820020824</v>
      </c>
    </row>
    <row r="1669" customFormat="false" ht="45" hidden="false" customHeight="false" outlineLevel="0" collapsed="false">
      <c r="A1669" s="216" t="s">
        <v>1003</v>
      </c>
      <c r="B1669" s="29" t="s">
        <v>7066</v>
      </c>
      <c r="C1669" s="1161" t="s">
        <v>7064</v>
      </c>
      <c r="D1669" s="361" t="n">
        <v>2005</v>
      </c>
      <c r="E1669" s="361" t="n">
        <f aca="false">2021-D1669</f>
        <v>16</v>
      </c>
      <c r="F1669" s="1441" t="n">
        <v>300000</v>
      </c>
      <c r="G1669" s="1418" t="n">
        <v>0.1</v>
      </c>
      <c r="H1669" s="547" t="n">
        <f aca="false">E1669*F1669*G1669</f>
        <v>480000</v>
      </c>
      <c r="I1669" s="547" t="n">
        <f aca="false">F1669-H1669</f>
        <v>-180000</v>
      </c>
      <c r="J1669" s="547" t="n">
        <f aca="false">F1669*G1669</f>
        <v>30000</v>
      </c>
      <c r="K1669" s="1365" t="n">
        <f aca="false">J1669/1792.8</f>
        <v>16.7336010709505</v>
      </c>
      <c r="L1669" s="547" t="n">
        <v>5</v>
      </c>
      <c r="M1669" s="819" t="n">
        <f aca="false">K1669*L1669/60</f>
        <v>1.39446675591254</v>
      </c>
    </row>
    <row r="1670" customFormat="false" ht="15" hidden="false" customHeight="false" outlineLevel="0" collapsed="false">
      <c r="A1670" s="216"/>
      <c r="B1670" s="972"/>
      <c r="C1670" s="1161" t="s">
        <v>7053</v>
      </c>
      <c r="D1670" s="361" t="n">
        <v>2005</v>
      </c>
      <c r="E1670" s="361" t="n">
        <f aca="false">2021-D1670</f>
        <v>16</v>
      </c>
      <c r="F1670" s="660" t="n">
        <v>176358</v>
      </c>
      <c r="G1670" s="1418" t="n">
        <v>0.1</v>
      </c>
      <c r="H1670" s="547" t="n">
        <f aca="false">E1670*F1670*G1670</f>
        <v>282172.8</v>
      </c>
      <c r="I1670" s="547" t="n">
        <f aca="false">F1670-H1670</f>
        <v>-105814.8</v>
      </c>
      <c r="J1670" s="873" t="n">
        <f aca="false">F1670*E1670/100</f>
        <v>28217.28</v>
      </c>
      <c r="K1670" s="1365" t="n">
        <f aca="false">J1670/1792.8</f>
        <v>15.7392235609103</v>
      </c>
      <c r="L1670" s="547" t="n">
        <v>5</v>
      </c>
      <c r="M1670" s="819" t="n">
        <f aca="false">K1670*L1670/60</f>
        <v>1.31160196340919</v>
      </c>
    </row>
    <row r="1671" customFormat="false" ht="15" hidden="false" customHeight="false" outlineLevel="0" collapsed="false">
      <c r="A1671" s="216"/>
      <c r="B1671" s="972"/>
      <c r="C1671" s="40" t="s">
        <v>7059</v>
      </c>
      <c r="D1671" s="361" t="n">
        <v>2014</v>
      </c>
      <c r="E1671" s="361" t="n">
        <f aca="false">2021-D1671</f>
        <v>7</v>
      </c>
      <c r="F1671" s="1441" t="n">
        <v>375200</v>
      </c>
      <c r="G1671" s="1418" t="n">
        <v>0.1</v>
      </c>
      <c r="H1671" s="547" t="n">
        <f aca="false">E1671*F1671*G1671</f>
        <v>262640</v>
      </c>
      <c r="I1671" s="547" t="n">
        <f aca="false">F1671-H1671</f>
        <v>112560</v>
      </c>
      <c r="J1671" s="873" t="n">
        <f aca="false">F1671*E1671/100</f>
        <v>26264</v>
      </c>
      <c r="K1671" s="1365" t="n">
        <f aca="false">J1671/1792.8</f>
        <v>14.6497099509148</v>
      </c>
      <c r="L1671" s="873" t="n">
        <v>5</v>
      </c>
      <c r="M1671" s="819" t="n">
        <f aca="false">K1671*L1671/60</f>
        <v>1.22080916257623</v>
      </c>
    </row>
    <row r="1672" customFormat="false" ht="30" hidden="false" customHeight="false" outlineLevel="0" collapsed="false">
      <c r="A1672" s="216"/>
      <c r="B1672" s="972"/>
      <c r="C1672" s="1161" t="s">
        <v>6970</v>
      </c>
      <c r="D1672" s="317" t="n">
        <v>2006</v>
      </c>
      <c r="E1672" s="361" t="n">
        <f aca="false">2021-D1672</f>
        <v>15</v>
      </c>
      <c r="F1672" s="660" t="n">
        <v>114000</v>
      </c>
      <c r="G1672" s="1418" t="n">
        <v>0.1</v>
      </c>
      <c r="H1672" s="547" t="n">
        <f aca="false">E1672*F1672*G1672</f>
        <v>171000</v>
      </c>
      <c r="I1672" s="547" t="n">
        <f aca="false">F1672-H1672</f>
        <v>-57000</v>
      </c>
      <c r="J1672" s="547" t="n">
        <v>158723</v>
      </c>
      <c r="K1672" s="1365" t="n">
        <f aca="false">J1672/1792.8</f>
        <v>88.5335787594824</v>
      </c>
      <c r="L1672" s="547" t="n">
        <v>5</v>
      </c>
      <c r="M1672" s="819" t="n">
        <f aca="false">K1672*L1672/60</f>
        <v>7.37779822995687</v>
      </c>
    </row>
    <row r="1673" customFormat="false" ht="15" hidden="false" customHeight="false" outlineLevel="0" collapsed="false">
      <c r="A1673" s="216"/>
      <c r="B1673" s="972" t="s">
        <v>4128</v>
      </c>
      <c r="C1673" s="40"/>
      <c r="D1673" s="361"/>
      <c r="E1673" s="361"/>
      <c r="F1673" s="1441"/>
      <c r="G1673" s="1418"/>
      <c r="H1673" s="547"/>
      <c r="I1673" s="547"/>
      <c r="J1673" s="873"/>
      <c r="K1673" s="1365" t="n">
        <f aca="false">J1673/1792.8</f>
        <v>0</v>
      </c>
      <c r="L1673" s="547"/>
      <c r="M1673" s="934" t="n">
        <f aca="false">SUM(M1669:M1672)</f>
        <v>11.3046761118548</v>
      </c>
    </row>
    <row r="1674" customFormat="false" ht="45" hidden="false" customHeight="false" outlineLevel="0" collapsed="false">
      <c r="A1674" s="216" t="s">
        <v>1005</v>
      </c>
      <c r="B1674" s="29" t="s">
        <v>5178</v>
      </c>
      <c r="C1674" s="1161" t="s">
        <v>7064</v>
      </c>
      <c r="D1674" s="361" t="n">
        <v>2005</v>
      </c>
      <c r="E1674" s="361" t="n">
        <f aca="false">2021-D1674</f>
        <v>16</v>
      </c>
      <c r="F1674" s="1441" t="n">
        <v>300000</v>
      </c>
      <c r="G1674" s="1418" t="n">
        <v>0.1</v>
      </c>
      <c r="H1674" s="547" t="n">
        <f aca="false">E1674*F1674*G1674</f>
        <v>480000</v>
      </c>
      <c r="I1674" s="547" t="n">
        <f aca="false">F1674-H1674</f>
        <v>-180000</v>
      </c>
      <c r="J1674" s="547" t="n">
        <f aca="false">F1674*G1674</f>
        <v>30000</v>
      </c>
      <c r="K1674" s="1365" t="n">
        <f aca="false">J1674/1792.8</f>
        <v>16.7336010709505</v>
      </c>
      <c r="L1674" s="547" t="n">
        <v>5</v>
      </c>
      <c r="M1674" s="819" t="n">
        <f aca="false">K1674*L1674/60</f>
        <v>1.39446675591254</v>
      </c>
    </row>
    <row r="1675" customFormat="false" ht="15" hidden="false" customHeight="false" outlineLevel="0" collapsed="false">
      <c r="A1675" s="216"/>
      <c r="B1675" s="972"/>
      <c r="C1675" s="1161" t="s">
        <v>7053</v>
      </c>
      <c r="D1675" s="361" t="n">
        <v>2005</v>
      </c>
      <c r="E1675" s="361" t="n">
        <f aca="false">2021-D1675</f>
        <v>16</v>
      </c>
      <c r="F1675" s="660" t="n">
        <v>176358</v>
      </c>
      <c r="G1675" s="1418" t="n">
        <v>0.1</v>
      </c>
      <c r="H1675" s="547" t="n">
        <f aca="false">E1675*F1675*G1675</f>
        <v>282172.8</v>
      </c>
      <c r="I1675" s="547" t="n">
        <f aca="false">F1675-H1675</f>
        <v>-105814.8</v>
      </c>
      <c r="J1675" s="873" t="n">
        <f aca="false">F1675*E1675/100</f>
        <v>28217.28</v>
      </c>
      <c r="K1675" s="1365" t="n">
        <f aca="false">J1675/1792.8</f>
        <v>15.7392235609103</v>
      </c>
      <c r="L1675" s="547" t="n">
        <v>5</v>
      </c>
      <c r="M1675" s="819" t="n">
        <f aca="false">K1675*L1675/60</f>
        <v>1.31160196340919</v>
      </c>
    </row>
    <row r="1676" customFormat="false" ht="15" hidden="false" customHeight="false" outlineLevel="0" collapsed="false">
      <c r="A1676" s="216"/>
      <c r="B1676" s="972"/>
      <c r="C1676" s="1161"/>
      <c r="D1676" s="361"/>
      <c r="E1676" s="361"/>
      <c r="F1676" s="660"/>
      <c r="G1676" s="1418"/>
      <c r="H1676" s="547"/>
      <c r="I1676" s="547"/>
      <c r="J1676" s="873"/>
      <c r="K1676" s="1365" t="n">
        <f aca="false">J1676/1792.8</f>
        <v>0</v>
      </c>
      <c r="L1676" s="547"/>
      <c r="M1676" s="819"/>
    </row>
    <row r="1677" customFormat="false" ht="15" hidden="false" customHeight="false" outlineLevel="0" collapsed="false">
      <c r="A1677" s="216"/>
      <c r="B1677" s="972"/>
      <c r="C1677" s="40" t="s">
        <v>7059</v>
      </c>
      <c r="D1677" s="361" t="n">
        <v>2014</v>
      </c>
      <c r="E1677" s="361" t="n">
        <f aca="false">2021-D1677</f>
        <v>7</v>
      </c>
      <c r="F1677" s="955" t="n">
        <v>375200</v>
      </c>
      <c r="G1677" s="1418" t="n">
        <v>0.1</v>
      </c>
      <c r="H1677" s="547" t="n">
        <f aca="false">E1677*F1677*G1677</f>
        <v>262640</v>
      </c>
      <c r="I1677" s="547" t="n">
        <f aca="false">F1677-H1677</f>
        <v>112560</v>
      </c>
      <c r="J1677" s="873" t="n">
        <f aca="false">F1677*E1677/100</f>
        <v>26264</v>
      </c>
      <c r="K1677" s="1365" t="n">
        <f aca="false">J1677/1792.8</f>
        <v>14.6497099509148</v>
      </c>
      <c r="L1677" s="873" t="n">
        <v>5</v>
      </c>
      <c r="M1677" s="819" t="n">
        <f aca="false">K1677*L1677/60</f>
        <v>1.22080916257623</v>
      </c>
    </row>
    <row r="1678" customFormat="false" ht="15" hidden="false" customHeight="false" outlineLevel="0" collapsed="false">
      <c r="A1678" s="216"/>
      <c r="B1678" s="972" t="s">
        <v>4128</v>
      </c>
      <c r="C1678" s="1272"/>
      <c r="D1678" s="361"/>
      <c r="E1678" s="361"/>
      <c r="F1678" s="1441"/>
      <c r="G1678" s="1418"/>
      <c r="H1678" s="547"/>
      <c r="I1678" s="547"/>
      <c r="J1678" s="873"/>
      <c r="K1678" s="1365" t="n">
        <f aca="false">J1678/1792.8</f>
        <v>0</v>
      </c>
      <c r="L1678" s="873"/>
      <c r="M1678" s="934" t="n">
        <f aca="false">SUM(M1674:M1677)</f>
        <v>3.92687788189796</v>
      </c>
    </row>
    <row r="1679" customFormat="false" ht="45" hidden="false" customHeight="false" outlineLevel="0" collapsed="false">
      <c r="A1679" s="216" t="s">
        <v>1007</v>
      </c>
      <c r="B1679" s="29" t="s">
        <v>5183</v>
      </c>
      <c r="C1679" s="1161" t="s">
        <v>7064</v>
      </c>
      <c r="D1679" s="361" t="n">
        <v>2005</v>
      </c>
      <c r="E1679" s="361" t="n">
        <f aca="false">2021-D1679</f>
        <v>16</v>
      </c>
      <c r="F1679" s="1441" t="n">
        <v>300000</v>
      </c>
      <c r="G1679" s="1418" t="n">
        <v>0.1</v>
      </c>
      <c r="H1679" s="547" t="n">
        <f aca="false">E1679*F1679*G1679</f>
        <v>480000</v>
      </c>
      <c r="I1679" s="547" t="n">
        <f aca="false">F1679-H1679</f>
        <v>-180000</v>
      </c>
      <c r="J1679" s="547" t="n">
        <f aca="false">F1679*G1679</f>
        <v>30000</v>
      </c>
      <c r="K1679" s="1365" t="n">
        <f aca="false">J1679/1792.8</f>
        <v>16.7336010709505</v>
      </c>
      <c r="L1679" s="547" t="n">
        <v>5</v>
      </c>
      <c r="M1679" s="819" t="n">
        <f aca="false">K1679*L1679/60</f>
        <v>1.39446675591254</v>
      </c>
    </row>
    <row r="1680" customFormat="false" ht="15" hidden="false" customHeight="false" outlineLevel="0" collapsed="false">
      <c r="A1680" s="216"/>
      <c r="B1680" s="972"/>
      <c r="C1680" s="1161" t="s">
        <v>7053</v>
      </c>
      <c r="D1680" s="361" t="n">
        <v>2005</v>
      </c>
      <c r="E1680" s="361" t="n">
        <f aca="false">2021-D1680</f>
        <v>16</v>
      </c>
      <c r="F1680" s="660" t="n">
        <v>176358</v>
      </c>
      <c r="G1680" s="1418" t="n">
        <v>0.1</v>
      </c>
      <c r="H1680" s="547" t="n">
        <f aca="false">E1680*F1680*G1680</f>
        <v>282172.8</v>
      </c>
      <c r="I1680" s="547" t="n">
        <f aca="false">F1680-H1680</f>
        <v>-105814.8</v>
      </c>
      <c r="J1680" s="873" t="n">
        <f aca="false">F1680*E1680/100</f>
        <v>28217.28</v>
      </c>
      <c r="K1680" s="1365" t="n">
        <f aca="false">J1680/1792.8</f>
        <v>15.7392235609103</v>
      </c>
      <c r="L1680" s="547" t="n">
        <v>5</v>
      </c>
      <c r="M1680" s="819" t="n">
        <f aca="false">K1680*L1680/60</f>
        <v>1.31160196340919</v>
      </c>
    </row>
    <row r="1681" customFormat="false" ht="15" hidden="false" customHeight="false" outlineLevel="0" collapsed="false">
      <c r="A1681" s="216"/>
      <c r="B1681" s="972"/>
      <c r="C1681" s="40" t="s">
        <v>7059</v>
      </c>
      <c r="D1681" s="361" t="n">
        <v>2014</v>
      </c>
      <c r="E1681" s="361" t="n">
        <f aca="false">2021-D1681</f>
        <v>7</v>
      </c>
      <c r="F1681" s="955" t="n">
        <v>375200</v>
      </c>
      <c r="G1681" s="1418" t="n">
        <v>0.1</v>
      </c>
      <c r="H1681" s="547" t="n">
        <f aca="false">E1681*F1681*G1681</f>
        <v>262640</v>
      </c>
      <c r="I1681" s="547" t="n">
        <f aca="false">F1681-H1681</f>
        <v>112560</v>
      </c>
      <c r="J1681" s="873" t="n">
        <f aca="false">F1681*E1681/100</f>
        <v>26264</v>
      </c>
      <c r="K1681" s="1365" t="n">
        <f aca="false">J1681/1792.8</f>
        <v>14.6497099509148</v>
      </c>
      <c r="L1681" s="873" t="n">
        <v>5</v>
      </c>
      <c r="M1681" s="819" t="n">
        <f aca="false">K1681*L1681/60</f>
        <v>1.22080916257623</v>
      </c>
    </row>
    <row r="1682" customFormat="false" ht="15" hidden="false" customHeight="false" outlineLevel="0" collapsed="false">
      <c r="A1682" s="216"/>
      <c r="B1682" s="972" t="s">
        <v>4128</v>
      </c>
      <c r="C1682" s="1272"/>
      <c r="D1682" s="361"/>
      <c r="E1682" s="361"/>
      <c r="F1682" s="1441"/>
      <c r="G1682" s="1418"/>
      <c r="H1682" s="547"/>
      <c r="I1682" s="547"/>
      <c r="J1682" s="873"/>
      <c r="K1682" s="1365" t="n">
        <f aca="false">J1682/1792.8</f>
        <v>0</v>
      </c>
      <c r="L1682" s="873"/>
      <c r="M1682" s="934" t="n">
        <f aca="false">SUM(M1679:M1681)</f>
        <v>3.92687788189796</v>
      </c>
    </row>
    <row r="1683" customFormat="false" ht="45" hidden="false" customHeight="false" outlineLevel="0" collapsed="false">
      <c r="A1683" s="216" t="s">
        <v>1009</v>
      </c>
      <c r="B1683" s="29" t="s">
        <v>5189</v>
      </c>
      <c r="C1683" s="1161" t="s">
        <v>7064</v>
      </c>
      <c r="D1683" s="361" t="n">
        <v>2005</v>
      </c>
      <c r="E1683" s="361" t="n">
        <f aca="false">2021-D1683</f>
        <v>16</v>
      </c>
      <c r="F1683" s="1441" t="n">
        <v>300000</v>
      </c>
      <c r="G1683" s="1418" t="n">
        <v>0.1</v>
      </c>
      <c r="H1683" s="547" t="n">
        <f aca="false">E1683*F1683*G1683</f>
        <v>480000</v>
      </c>
      <c r="I1683" s="547" t="n">
        <f aca="false">F1683-H1683</f>
        <v>-180000</v>
      </c>
      <c r="J1683" s="547" t="n">
        <f aca="false">F1683*G1683</f>
        <v>30000</v>
      </c>
      <c r="K1683" s="1365" t="n">
        <f aca="false">J1683/1792.8</f>
        <v>16.7336010709505</v>
      </c>
      <c r="L1683" s="547" t="n">
        <v>5</v>
      </c>
      <c r="M1683" s="819" t="n">
        <f aca="false">K1683*L1683/60</f>
        <v>1.39446675591254</v>
      </c>
    </row>
    <row r="1684" customFormat="false" ht="15" hidden="false" customHeight="false" outlineLevel="0" collapsed="false">
      <c r="A1684" s="216"/>
      <c r="B1684" s="972"/>
      <c r="C1684" s="1161" t="s">
        <v>7053</v>
      </c>
      <c r="D1684" s="361" t="n">
        <v>2005</v>
      </c>
      <c r="E1684" s="361" t="n">
        <f aca="false">2021-D1684</f>
        <v>16</v>
      </c>
      <c r="F1684" s="660" t="n">
        <v>176358</v>
      </c>
      <c r="G1684" s="1418" t="n">
        <v>0.1</v>
      </c>
      <c r="H1684" s="547" t="n">
        <f aca="false">E1684*F1684*G1684</f>
        <v>282172.8</v>
      </c>
      <c r="I1684" s="547" t="n">
        <f aca="false">F1684-H1684</f>
        <v>-105814.8</v>
      </c>
      <c r="J1684" s="873" t="n">
        <f aca="false">F1684*E1684/100</f>
        <v>28217.28</v>
      </c>
      <c r="K1684" s="1365" t="n">
        <f aca="false">J1684/1792.8</f>
        <v>15.7392235609103</v>
      </c>
      <c r="L1684" s="547" t="n">
        <v>5</v>
      </c>
      <c r="M1684" s="819" t="n">
        <f aca="false">K1684*L1684/60</f>
        <v>1.31160196340919</v>
      </c>
    </row>
    <row r="1685" customFormat="false" ht="15" hidden="false" customHeight="false" outlineLevel="0" collapsed="false">
      <c r="A1685" s="216"/>
      <c r="B1685" s="972"/>
      <c r="C1685" s="40" t="s">
        <v>7059</v>
      </c>
      <c r="D1685" s="361" t="n">
        <v>2014</v>
      </c>
      <c r="E1685" s="361" t="n">
        <f aca="false">2021-D1685</f>
        <v>7</v>
      </c>
      <c r="F1685" s="955" t="n">
        <v>375200</v>
      </c>
      <c r="G1685" s="1418" t="n">
        <v>0.1</v>
      </c>
      <c r="H1685" s="547" t="n">
        <f aca="false">E1685*F1685*G1685</f>
        <v>262640</v>
      </c>
      <c r="I1685" s="547" t="n">
        <f aca="false">F1685-H1685</f>
        <v>112560</v>
      </c>
      <c r="J1685" s="873" t="n">
        <f aca="false">F1685*E1685/100</f>
        <v>26264</v>
      </c>
      <c r="K1685" s="1365" t="n">
        <f aca="false">J1685/1792.8</f>
        <v>14.6497099509148</v>
      </c>
      <c r="L1685" s="873" t="n">
        <v>5</v>
      </c>
      <c r="M1685" s="819" t="n">
        <f aca="false">K1685*L1685/60</f>
        <v>1.22080916257623</v>
      </c>
    </row>
    <row r="1686" customFormat="false" ht="15" hidden="false" customHeight="false" outlineLevel="0" collapsed="false">
      <c r="A1686" s="216"/>
      <c r="B1686" s="972" t="s">
        <v>4128</v>
      </c>
      <c r="C1686" s="1272"/>
      <c r="D1686" s="361"/>
      <c r="E1686" s="361"/>
      <c r="F1686" s="1441"/>
      <c r="G1686" s="1418"/>
      <c r="H1686" s="547"/>
      <c r="I1686" s="547"/>
      <c r="J1686" s="873"/>
      <c r="K1686" s="1365" t="n">
        <f aca="false">J1686/1792.8</f>
        <v>0</v>
      </c>
      <c r="L1686" s="873"/>
      <c r="M1686" s="934" t="n">
        <f aca="false">SUM(M1683:M1685)</f>
        <v>3.92687788189796</v>
      </c>
    </row>
    <row r="1687" customFormat="false" ht="45" hidden="false" customHeight="false" outlineLevel="0" collapsed="false">
      <c r="A1687" s="216" t="s">
        <v>1011</v>
      </c>
      <c r="B1687" s="29" t="s">
        <v>3298</v>
      </c>
      <c r="C1687" s="1161" t="s">
        <v>7064</v>
      </c>
      <c r="D1687" s="361" t="n">
        <v>2005</v>
      </c>
      <c r="E1687" s="361" t="n">
        <f aca="false">2021-D1687</f>
        <v>16</v>
      </c>
      <c r="F1687" s="1441" t="n">
        <v>300000</v>
      </c>
      <c r="G1687" s="1418" t="n">
        <v>0.1</v>
      </c>
      <c r="H1687" s="547" t="n">
        <f aca="false">E1687*F1687*G1687</f>
        <v>480000</v>
      </c>
      <c r="I1687" s="547" t="n">
        <f aca="false">F1687-H1687</f>
        <v>-180000</v>
      </c>
      <c r="J1687" s="547" t="n">
        <f aca="false">F1687*G1687</f>
        <v>30000</v>
      </c>
      <c r="K1687" s="1365" t="n">
        <f aca="false">J1687/1792.8</f>
        <v>16.7336010709505</v>
      </c>
      <c r="L1687" s="547" t="n">
        <v>5</v>
      </c>
      <c r="M1687" s="819" t="n">
        <f aca="false">K1687*L1687/60</f>
        <v>1.39446675591254</v>
      </c>
    </row>
    <row r="1688" customFormat="false" ht="15" hidden="false" customHeight="false" outlineLevel="0" collapsed="false">
      <c r="A1688" s="216"/>
      <c r="B1688" s="972"/>
      <c r="C1688" s="1161" t="s">
        <v>7053</v>
      </c>
      <c r="D1688" s="361" t="n">
        <v>2005</v>
      </c>
      <c r="E1688" s="361" t="n">
        <f aca="false">2021-D1688</f>
        <v>16</v>
      </c>
      <c r="F1688" s="660" t="n">
        <v>176358</v>
      </c>
      <c r="G1688" s="1418" t="n">
        <v>0.1</v>
      </c>
      <c r="H1688" s="547" t="n">
        <f aca="false">E1688*F1688*G1688</f>
        <v>282172.8</v>
      </c>
      <c r="I1688" s="547" t="n">
        <f aca="false">F1688-H1688</f>
        <v>-105814.8</v>
      </c>
      <c r="J1688" s="873" t="n">
        <f aca="false">F1688*E1688/100</f>
        <v>28217.28</v>
      </c>
      <c r="K1688" s="1365" t="n">
        <f aca="false">J1688/1792.8</f>
        <v>15.7392235609103</v>
      </c>
      <c r="L1688" s="547" t="n">
        <v>20</v>
      </c>
      <c r="M1688" s="819" t="n">
        <f aca="false">K1688*L1688/60</f>
        <v>5.24640785363677</v>
      </c>
    </row>
    <row r="1689" customFormat="false" ht="15" hidden="false" customHeight="false" outlineLevel="0" collapsed="false">
      <c r="A1689" s="216"/>
      <c r="B1689" s="972"/>
      <c r="C1689" s="40" t="s">
        <v>7059</v>
      </c>
      <c r="D1689" s="361" t="n">
        <v>2014</v>
      </c>
      <c r="E1689" s="361" t="n">
        <f aca="false">2021-D1689</f>
        <v>7</v>
      </c>
      <c r="F1689" s="955" t="n">
        <v>375200</v>
      </c>
      <c r="G1689" s="1418" t="n">
        <v>0.1</v>
      </c>
      <c r="H1689" s="547" t="n">
        <f aca="false">E1689*F1689*G1689</f>
        <v>262640</v>
      </c>
      <c r="I1689" s="547" t="n">
        <f aca="false">F1689-H1689</f>
        <v>112560</v>
      </c>
      <c r="J1689" s="873" t="n">
        <f aca="false">F1689*E1689/100</f>
        <v>26264</v>
      </c>
      <c r="K1689" s="1365" t="n">
        <f aca="false">J1689/1792.8</f>
        <v>14.6497099509148</v>
      </c>
      <c r="L1689" s="873" t="n">
        <v>5</v>
      </c>
      <c r="M1689" s="819" t="n">
        <f aca="false">K1689*L1689/60</f>
        <v>1.22080916257623</v>
      </c>
    </row>
    <row r="1690" customFormat="false" ht="15" hidden="false" customHeight="false" outlineLevel="0" collapsed="false">
      <c r="A1690" s="216"/>
      <c r="B1690" s="972" t="s">
        <v>4128</v>
      </c>
      <c r="C1690" s="1272"/>
      <c r="D1690" s="361"/>
      <c r="E1690" s="361"/>
      <c r="F1690" s="1441"/>
      <c r="G1690" s="1418"/>
      <c r="H1690" s="547"/>
      <c r="I1690" s="547"/>
      <c r="J1690" s="873"/>
      <c r="K1690" s="1365" t="n">
        <f aca="false">J1690/1792.8</f>
        <v>0</v>
      </c>
      <c r="L1690" s="873"/>
      <c r="M1690" s="934" t="n">
        <f aca="false">SUM(M1687:M1689)</f>
        <v>7.86168377212554</v>
      </c>
    </row>
    <row r="1691" customFormat="false" ht="45" hidden="false" customHeight="false" outlineLevel="0" collapsed="false">
      <c r="A1691" s="216" t="s">
        <v>1013</v>
      </c>
      <c r="B1691" s="29" t="s">
        <v>5199</v>
      </c>
      <c r="C1691" s="1161" t="s">
        <v>7064</v>
      </c>
      <c r="D1691" s="361" t="n">
        <v>2005</v>
      </c>
      <c r="E1691" s="361" t="n">
        <f aca="false">2021-D1691</f>
        <v>16</v>
      </c>
      <c r="F1691" s="1441" t="n">
        <v>300000</v>
      </c>
      <c r="G1691" s="1418" t="n">
        <v>0.1</v>
      </c>
      <c r="H1691" s="547" t="n">
        <f aca="false">E1691*F1691*G1691</f>
        <v>480000</v>
      </c>
      <c r="I1691" s="547" t="n">
        <f aca="false">F1691-H1691</f>
        <v>-180000</v>
      </c>
      <c r="J1691" s="547" t="n">
        <f aca="false">F1691*G1691</f>
        <v>30000</v>
      </c>
      <c r="K1691" s="1365" t="n">
        <f aca="false">J1691/1792.8</f>
        <v>16.7336010709505</v>
      </c>
      <c r="L1691" s="547" t="n">
        <v>5</v>
      </c>
      <c r="M1691" s="819" t="n">
        <f aca="false">K1691*L1691/60</f>
        <v>1.39446675591254</v>
      </c>
    </row>
    <row r="1692" customFormat="false" ht="15" hidden="false" customHeight="false" outlineLevel="0" collapsed="false">
      <c r="A1692" s="216"/>
      <c r="B1692" s="972"/>
      <c r="C1692" s="1161" t="s">
        <v>7053</v>
      </c>
      <c r="D1692" s="361" t="n">
        <v>2005</v>
      </c>
      <c r="E1692" s="361" t="n">
        <f aca="false">2021-D1692</f>
        <v>16</v>
      </c>
      <c r="F1692" s="660" t="n">
        <v>176358</v>
      </c>
      <c r="G1692" s="1418" t="n">
        <v>0.1</v>
      </c>
      <c r="H1692" s="547" t="n">
        <f aca="false">E1692*F1692*G1692</f>
        <v>282172.8</v>
      </c>
      <c r="I1692" s="547" t="n">
        <f aca="false">F1692-H1692</f>
        <v>-105814.8</v>
      </c>
      <c r="J1692" s="873" t="n">
        <f aca="false">F1692*E1692/100</f>
        <v>28217.28</v>
      </c>
      <c r="K1692" s="1365" t="n">
        <f aca="false">J1692/1792.8</f>
        <v>15.7392235609103</v>
      </c>
      <c r="L1692" s="547" t="n">
        <v>5</v>
      </c>
      <c r="M1692" s="819" t="n">
        <f aca="false">K1692*L1692/60</f>
        <v>1.31160196340919</v>
      </c>
    </row>
    <row r="1693" customFormat="false" ht="15" hidden="false" customHeight="false" outlineLevel="0" collapsed="false">
      <c r="A1693" s="216"/>
      <c r="B1693" s="972"/>
      <c r="C1693" s="40" t="s">
        <v>7059</v>
      </c>
      <c r="D1693" s="361" t="n">
        <v>2014</v>
      </c>
      <c r="E1693" s="361" t="n">
        <f aca="false">2021-D1693</f>
        <v>7</v>
      </c>
      <c r="F1693" s="955" t="n">
        <v>375200</v>
      </c>
      <c r="G1693" s="1418" t="n">
        <v>0.1</v>
      </c>
      <c r="H1693" s="547" t="n">
        <f aca="false">E1693*F1693*G1693</f>
        <v>262640</v>
      </c>
      <c r="I1693" s="547" t="n">
        <f aca="false">F1693-H1693</f>
        <v>112560</v>
      </c>
      <c r="J1693" s="873" t="n">
        <f aca="false">F1693*E1693/100</f>
        <v>26264</v>
      </c>
      <c r="K1693" s="1365" t="n">
        <f aca="false">J1693/1792.8</f>
        <v>14.6497099509148</v>
      </c>
      <c r="L1693" s="873" t="n">
        <v>5</v>
      </c>
      <c r="M1693" s="819" t="n">
        <f aca="false">K1693*L1693/60</f>
        <v>1.22080916257623</v>
      </c>
    </row>
    <row r="1694" customFormat="false" ht="15" hidden="false" customHeight="false" outlineLevel="0" collapsed="false">
      <c r="A1694" s="216"/>
      <c r="B1694" s="972"/>
      <c r="C1694" s="1272"/>
      <c r="D1694" s="1049"/>
      <c r="E1694" s="361"/>
      <c r="F1694" s="1441"/>
      <c r="G1694" s="1418"/>
      <c r="H1694" s="547"/>
      <c r="I1694" s="547"/>
      <c r="J1694" s="873" t="n">
        <f aca="false">F1694*E1694/100</f>
        <v>0</v>
      </c>
      <c r="K1694" s="1365" t="n">
        <f aca="false">J1694/1792.8</f>
        <v>0</v>
      </c>
      <c r="L1694" s="873"/>
      <c r="M1694" s="934" t="n">
        <f aca="false">SUM(M1691:M1693)</f>
        <v>3.92687788189796</v>
      </c>
    </row>
    <row r="1695" customFormat="false" ht="30" hidden="false" customHeight="false" outlineLevel="0" collapsed="false">
      <c r="A1695" s="216" t="s">
        <v>1015</v>
      </c>
      <c r="B1695" s="29" t="s">
        <v>3300</v>
      </c>
      <c r="C1695" s="1161" t="s">
        <v>7064</v>
      </c>
      <c r="D1695" s="361" t="n">
        <v>2005</v>
      </c>
      <c r="E1695" s="361" t="n">
        <f aca="false">2021-D1695</f>
        <v>16</v>
      </c>
      <c r="F1695" s="1441" t="n">
        <v>300000</v>
      </c>
      <c r="G1695" s="1418" t="n">
        <v>0.1</v>
      </c>
      <c r="H1695" s="547" t="n">
        <f aca="false">E1695*F1695*G1695</f>
        <v>480000</v>
      </c>
      <c r="I1695" s="547" t="n">
        <f aca="false">F1695-H1695</f>
        <v>-180000</v>
      </c>
      <c r="J1695" s="547" t="n">
        <f aca="false">F1695*G1695</f>
        <v>30000</v>
      </c>
      <c r="K1695" s="1365" t="n">
        <f aca="false">J1695/1792.8</f>
        <v>16.7336010709505</v>
      </c>
      <c r="L1695" s="547" t="n">
        <v>5</v>
      </c>
      <c r="M1695" s="819" t="n">
        <f aca="false">K1695*L1695/60</f>
        <v>1.39446675591254</v>
      </c>
    </row>
    <row r="1696" customFormat="false" ht="15" hidden="false" customHeight="false" outlineLevel="0" collapsed="false">
      <c r="A1696" s="216"/>
      <c r="B1696" s="972"/>
      <c r="C1696" s="1161" t="s">
        <v>7053</v>
      </c>
      <c r="D1696" s="361" t="n">
        <v>2005</v>
      </c>
      <c r="E1696" s="361" t="n">
        <f aca="false">2021-D1696</f>
        <v>16</v>
      </c>
      <c r="F1696" s="660" t="n">
        <v>176358</v>
      </c>
      <c r="G1696" s="1418" t="n">
        <v>0.1</v>
      </c>
      <c r="H1696" s="547" t="n">
        <f aca="false">E1696*F1696*G1696</f>
        <v>282172.8</v>
      </c>
      <c r="I1696" s="547" t="n">
        <f aca="false">F1696-H1696</f>
        <v>-105814.8</v>
      </c>
      <c r="J1696" s="873" t="n">
        <f aca="false">F1696*E1696/100</f>
        <v>28217.28</v>
      </c>
      <c r="K1696" s="1365" t="n">
        <f aca="false">J1696/1792.8</f>
        <v>15.7392235609103</v>
      </c>
      <c r="L1696" s="547" t="n">
        <v>5</v>
      </c>
      <c r="M1696" s="819" t="n">
        <f aca="false">K1696*L1696/60</f>
        <v>1.31160196340919</v>
      </c>
    </row>
    <row r="1697" customFormat="false" ht="15" hidden="false" customHeight="false" outlineLevel="0" collapsed="false">
      <c r="A1697" s="216"/>
      <c r="B1697" s="972"/>
      <c r="C1697" s="1161" t="s">
        <v>4568</v>
      </c>
      <c r="D1697" s="1442" t="n">
        <v>2003</v>
      </c>
      <c r="E1697" s="361" t="n">
        <f aca="false">2021-D1697</f>
        <v>18</v>
      </c>
      <c r="F1697" s="1443" t="n">
        <v>12704749</v>
      </c>
      <c r="G1697" s="1418" t="n">
        <v>0.1</v>
      </c>
      <c r="H1697" s="547" t="n">
        <f aca="false">F1697</f>
        <v>12704749</v>
      </c>
      <c r="I1697" s="547" t="n">
        <f aca="false">F1697-H1697</f>
        <v>0</v>
      </c>
      <c r="J1697" s="873" t="n">
        <f aca="false">F1697*E1697/100</f>
        <v>2286854.82</v>
      </c>
      <c r="K1697" s="1365" t="n">
        <f aca="false">J1697/1792.8</f>
        <v>1275.57720883534</v>
      </c>
      <c r="L1697" s="873"/>
      <c r="M1697" s="819" t="n">
        <f aca="false">K1697*L1697/60</f>
        <v>0</v>
      </c>
    </row>
    <row r="1698" customFormat="false" ht="15" hidden="false" customHeight="false" outlineLevel="0" collapsed="false">
      <c r="A1698" s="216"/>
      <c r="B1698" s="972" t="s">
        <v>4128</v>
      </c>
      <c r="C1698" s="1272"/>
      <c r="D1698" s="361"/>
      <c r="E1698" s="361"/>
      <c r="F1698" s="1441"/>
      <c r="G1698" s="1418"/>
      <c r="H1698" s="547"/>
      <c r="I1698" s="547"/>
      <c r="J1698" s="873"/>
      <c r="K1698" s="1365" t="n">
        <f aca="false">J1698/1792.8</f>
        <v>0</v>
      </c>
      <c r="L1698" s="873"/>
      <c r="M1698" s="934" t="n">
        <f aca="false">SUM(M1695:M1697)</f>
        <v>2.70606871932173</v>
      </c>
    </row>
    <row r="1699" customFormat="false" ht="30" hidden="false" customHeight="false" outlineLevel="0" collapsed="false">
      <c r="A1699" s="216" t="s">
        <v>1017</v>
      </c>
      <c r="B1699" s="29" t="s">
        <v>5205</v>
      </c>
      <c r="C1699" s="1161" t="s">
        <v>7064</v>
      </c>
      <c r="D1699" s="361" t="n">
        <v>2005</v>
      </c>
      <c r="E1699" s="361" t="n">
        <f aca="false">2021-D1699</f>
        <v>16</v>
      </c>
      <c r="F1699" s="1441" t="n">
        <v>300000</v>
      </c>
      <c r="G1699" s="1418" t="n">
        <v>0.1</v>
      </c>
      <c r="H1699" s="547" t="n">
        <f aca="false">E1699*F1699*G1699</f>
        <v>480000</v>
      </c>
      <c r="I1699" s="547" t="n">
        <f aca="false">F1699-H1699</f>
        <v>-180000</v>
      </c>
      <c r="J1699" s="547" t="n">
        <f aca="false">F1699*G1699</f>
        <v>30000</v>
      </c>
      <c r="K1699" s="1365" t="n">
        <f aca="false">J1699/1792.8</f>
        <v>16.7336010709505</v>
      </c>
      <c r="L1699" s="547" t="n">
        <v>5</v>
      </c>
      <c r="M1699" s="819" t="n">
        <f aca="false">K1699*L1699/60</f>
        <v>1.39446675591254</v>
      </c>
    </row>
    <row r="1700" customFormat="false" ht="15" hidden="false" customHeight="false" outlineLevel="0" collapsed="false">
      <c r="A1700" s="216"/>
      <c r="B1700" s="972"/>
      <c r="C1700" s="1161" t="s">
        <v>7053</v>
      </c>
      <c r="D1700" s="361" t="n">
        <v>2005</v>
      </c>
      <c r="E1700" s="361" t="n">
        <f aca="false">2021-D1700</f>
        <v>16</v>
      </c>
      <c r="F1700" s="660" t="n">
        <v>176358</v>
      </c>
      <c r="G1700" s="1418" t="n">
        <v>0.1</v>
      </c>
      <c r="H1700" s="547" t="n">
        <f aca="false">E1700*F1700*G1700</f>
        <v>282172.8</v>
      </c>
      <c r="I1700" s="547" t="n">
        <f aca="false">F1700-H1700</f>
        <v>-105814.8</v>
      </c>
      <c r="J1700" s="873" t="n">
        <f aca="false">F1700*E1700/100</f>
        <v>28217.28</v>
      </c>
      <c r="K1700" s="1365" t="n">
        <f aca="false">J1700/1792.8</f>
        <v>15.7392235609103</v>
      </c>
      <c r="L1700" s="547" t="n">
        <v>5</v>
      </c>
      <c r="M1700" s="819" t="n">
        <f aca="false">K1700*L1700/60</f>
        <v>1.31160196340919</v>
      </c>
    </row>
    <row r="1701" customFormat="false" ht="15" hidden="false" customHeight="false" outlineLevel="0" collapsed="false">
      <c r="A1701" s="216"/>
      <c r="B1701" s="972"/>
      <c r="C1701" s="1161" t="s">
        <v>4568</v>
      </c>
      <c r="D1701" s="1442" t="n">
        <v>2003</v>
      </c>
      <c r="E1701" s="361" t="n">
        <f aca="false">2021-D1701</f>
        <v>18</v>
      </c>
      <c r="F1701" s="1443" t="n">
        <v>12704749</v>
      </c>
      <c r="G1701" s="1418" t="n">
        <v>0.1</v>
      </c>
      <c r="H1701" s="547" t="n">
        <f aca="false">E1701*F1701*G1701</f>
        <v>22868548.2</v>
      </c>
      <c r="I1701" s="547" t="n">
        <f aca="false">F1701-H1701</f>
        <v>-10163799.2</v>
      </c>
      <c r="J1701" s="873" t="n">
        <f aca="false">F1701*E1701/100</f>
        <v>2286854.82</v>
      </c>
      <c r="K1701" s="1365" t="n">
        <f aca="false">J1701/1792.8</f>
        <v>1275.57720883534</v>
      </c>
      <c r="L1701" s="873" t="n">
        <v>1</v>
      </c>
      <c r="M1701" s="819" t="n">
        <f aca="false">K1701*L1701/60</f>
        <v>21.2596201472557</v>
      </c>
    </row>
    <row r="1702" customFormat="false" ht="15" hidden="false" customHeight="false" outlineLevel="0" collapsed="false">
      <c r="A1702" s="216"/>
      <c r="B1702" s="972" t="s">
        <v>4128</v>
      </c>
      <c r="C1702" s="1272"/>
      <c r="D1702" s="361"/>
      <c r="E1702" s="361"/>
      <c r="F1702" s="1441"/>
      <c r="G1702" s="1418"/>
      <c r="H1702" s="547"/>
      <c r="I1702" s="547"/>
      <c r="J1702" s="873"/>
      <c r="K1702" s="1365" t="n">
        <f aca="false">J1702/1792.8</f>
        <v>0</v>
      </c>
      <c r="L1702" s="873"/>
      <c r="M1702" s="934" t="n">
        <f aca="false">SUM(M1699:M1701)</f>
        <v>23.9656888665774</v>
      </c>
    </row>
    <row r="1703" customFormat="false" ht="60" hidden="false" customHeight="false" outlineLevel="0" collapsed="false">
      <c r="A1703" s="216" t="s">
        <v>1019</v>
      </c>
      <c r="B1703" s="29" t="s">
        <v>7067</v>
      </c>
      <c r="C1703" s="1161" t="s">
        <v>4568</v>
      </c>
      <c r="D1703" s="1442" t="n">
        <v>2003</v>
      </c>
      <c r="E1703" s="361" t="n">
        <f aca="false">2021-D1703</f>
        <v>18</v>
      </c>
      <c r="F1703" s="1443" t="n">
        <v>12704749</v>
      </c>
      <c r="G1703" s="1418" t="n">
        <v>0.1</v>
      </c>
      <c r="H1703" s="547" t="n">
        <f aca="false">E1701*F1701*G1701</f>
        <v>22868548.2</v>
      </c>
      <c r="I1703" s="547" t="n">
        <f aca="false">F1703-H1703</f>
        <v>-10163799.2</v>
      </c>
      <c r="J1703" s="873" t="n">
        <f aca="false">F1703*E1703/100</f>
        <v>2286854.82</v>
      </c>
      <c r="K1703" s="1365" t="n">
        <f aca="false">J1703/1792.8</f>
        <v>1275.57720883534</v>
      </c>
      <c r="L1703" s="873" t="n">
        <v>1</v>
      </c>
      <c r="M1703" s="819" t="n">
        <f aca="false">K1703*L1703/60</f>
        <v>21.2596201472557</v>
      </c>
    </row>
    <row r="1704" customFormat="false" ht="15" hidden="false" customHeight="false" outlineLevel="0" collapsed="false">
      <c r="A1704" s="216"/>
      <c r="B1704" s="972"/>
      <c r="C1704" s="1161" t="s">
        <v>7053</v>
      </c>
      <c r="D1704" s="1442" t="n">
        <v>2005</v>
      </c>
      <c r="E1704" s="361" t="n">
        <f aca="false">2021-D1704</f>
        <v>16</v>
      </c>
      <c r="F1704" s="1443" t="n">
        <v>176358</v>
      </c>
      <c r="G1704" s="1418" t="n">
        <v>0.1</v>
      </c>
      <c r="H1704" s="547" t="n">
        <f aca="false">E1704*F1704*G1704</f>
        <v>282172.8</v>
      </c>
      <c r="I1704" s="547" t="n">
        <f aca="false">F1704-H1704</f>
        <v>-105814.8</v>
      </c>
      <c r="J1704" s="873" t="n">
        <f aca="false">F1704*E1704/100</f>
        <v>28217.28</v>
      </c>
      <c r="K1704" s="1365" t="n">
        <f aca="false">J1704/1792.8</f>
        <v>15.7392235609103</v>
      </c>
      <c r="L1704" s="547" t="n">
        <v>5</v>
      </c>
      <c r="M1704" s="819" t="n">
        <f aca="false">K1704*L1704/60</f>
        <v>1.31160196340919</v>
      </c>
    </row>
    <row r="1705" customFormat="false" ht="15" hidden="false" customHeight="false" outlineLevel="0" collapsed="false">
      <c r="A1705" s="216"/>
      <c r="B1705" s="972"/>
      <c r="C1705" s="1161" t="s">
        <v>7064</v>
      </c>
      <c r="D1705" s="361" t="n">
        <v>2005</v>
      </c>
      <c r="E1705" s="361" t="n">
        <f aca="false">2021-D1705</f>
        <v>16</v>
      </c>
      <c r="F1705" s="1441" t="n">
        <v>300000</v>
      </c>
      <c r="G1705" s="1418" t="n">
        <v>0.1</v>
      </c>
      <c r="H1705" s="547" t="n">
        <f aca="false">E1705*F1705*G1705</f>
        <v>480000</v>
      </c>
      <c r="I1705" s="547" t="n">
        <f aca="false">F1705-H1705</f>
        <v>-180000</v>
      </c>
      <c r="J1705" s="547" t="n">
        <f aca="false">F1705*G1705</f>
        <v>30000</v>
      </c>
      <c r="K1705" s="1365" t="n">
        <f aca="false">J1705/1792.8</f>
        <v>16.7336010709505</v>
      </c>
      <c r="L1705" s="547" t="n">
        <v>5</v>
      </c>
      <c r="M1705" s="819" t="n">
        <f aca="false">K1705*L1705/60</f>
        <v>1.39446675591254</v>
      </c>
    </row>
    <row r="1706" customFormat="false" ht="15" hidden="false" customHeight="false" outlineLevel="0" collapsed="false">
      <c r="A1706" s="216"/>
      <c r="B1706" s="972" t="s">
        <v>4128</v>
      </c>
      <c r="C1706" s="1272"/>
      <c r="D1706" s="361"/>
      <c r="E1706" s="361"/>
      <c r="F1706" s="1441"/>
      <c r="G1706" s="1418"/>
      <c r="H1706" s="547"/>
      <c r="I1706" s="547"/>
      <c r="J1706" s="873"/>
      <c r="K1706" s="1365" t="n">
        <f aca="false">J1706/1792.8</f>
        <v>0</v>
      </c>
      <c r="L1706" s="873"/>
      <c r="M1706" s="934" t="n">
        <f aca="false">SUM(M1703:M1705)</f>
        <v>23.9656888665774</v>
      </c>
    </row>
    <row r="1707" customFormat="false" ht="30" hidden="false" customHeight="false" outlineLevel="0" collapsed="false">
      <c r="A1707" s="216" t="s">
        <v>1021</v>
      </c>
      <c r="B1707" s="29" t="s">
        <v>3303</v>
      </c>
      <c r="C1707" s="1161" t="s">
        <v>7064</v>
      </c>
      <c r="D1707" s="361" t="n">
        <v>2005</v>
      </c>
      <c r="E1707" s="361" t="n">
        <f aca="false">2021-D1707</f>
        <v>16</v>
      </c>
      <c r="F1707" s="1441" t="n">
        <v>300000</v>
      </c>
      <c r="G1707" s="1418" t="n">
        <v>0.1</v>
      </c>
      <c r="H1707" s="547" t="n">
        <f aca="false">E1707*F1707*G1707</f>
        <v>480000</v>
      </c>
      <c r="I1707" s="547" t="n">
        <f aca="false">F1707-H1707</f>
        <v>-180000</v>
      </c>
      <c r="J1707" s="547" t="n">
        <f aca="false">F1707*G1707</f>
        <v>30000</v>
      </c>
      <c r="K1707" s="1365" t="n">
        <f aca="false">J1707/1792.8</f>
        <v>16.7336010709505</v>
      </c>
      <c r="L1707" s="547" t="n">
        <v>5</v>
      </c>
      <c r="M1707" s="819" t="n">
        <f aca="false">K1707*L1707/60</f>
        <v>1.39446675591254</v>
      </c>
    </row>
    <row r="1708" customFormat="false" ht="15" hidden="false" customHeight="false" outlineLevel="0" collapsed="false">
      <c r="A1708" s="216"/>
      <c r="B1708" s="972"/>
      <c r="C1708" s="1161" t="s">
        <v>7053</v>
      </c>
      <c r="D1708" s="361" t="n">
        <v>2005</v>
      </c>
      <c r="E1708" s="361" t="n">
        <f aca="false">2021-D1708</f>
        <v>16</v>
      </c>
      <c r="F1708" s="660" t="n">
        <v>176358</v>
      </c>
      <c r="G1708" s="1418" t="n">
        <v>0.1</v>
      </c>
      <c r="H1708" s="547" t="n">
        <f aca="false">E1708*F1708*G1708</f>
        <v>282172.8</v>
      </c>
      <c r="I1708" s="547" t="n">
        <f aca="false">F1708-H1708</f>
        <v>-105814.8</v>
      </c>
      <c r="J1708" s="873" t="n">
        <f aca="false">F1708*E1708/100</f>
        <v>28217.28</v>
      </c>
      <c r="K1708" s="1365" t="n">
        <f aca="false">J1708/1792.8</f>
        <v>15.7392235609103</v>
      </c>
      <c r="L1708" s="547" t="n">
        <v>5</v>
      </c>
      <c r="M1708" s="819" t="n">
        <f aca="false">K1708*L1708/60</f>
        <v>1.31160196340919</v>
      </c>
    </row>
    <row r="1709" customFormat="false" ht="15" hidden="false" customHeight="false" outlineLevel="0" collapsed="false">
      <c r="A1709" s="216"/>
      <c r="B1709" s="972"/>
      <c r="C1709" s="40" t="s">
        <v>7059</v>
      </c>
      <c r="D1709" s="361" t="n">
        <v>2014</v>
      </c>
      <c r="E1709" s="361" t="n">
        <f aca="false">2021-D1709</f>
        <v>7</v>
      </c>
      <c r="F1709" s="955" t="n">
        <v>375200</v>
      </c>
      <c r="G1709" s="1418" t="n">
        <v>0.1</v>
      </c>
      <c r="H1709" s="547" t="n">
        <f aca="false">E1709*F1709*G1709</f>
        <v>262640</v>
      </c>
      <c r="I1709" s="547" t="n">
        <f aca="false">F1709-H1709</f>
        <v>112560</v>
      </c>
      <c r="J1709" s="873" t="n">
        <f aca="false">F1709*E1709/100</f>
        <v>26264</v>
      </c>
      <c r="K1709" s="1365" t="n">
        <f aca="false">J1709/1792.8</f>
        <v>14.6497099509148</v>
      </c>
      <c r="L1709" s="873" t="n">
        <v>5</v>
      </c>
      <c r="M1709" s="819" t="n">
        <f aca="false">K1709*L1709/60</f>
        <v>1.22080916257623</v>
      </c>
    </row>
    <row r="1710" customFormat="false" ht="15" hidden="false" customHeight="false" outlineLevel="0" collapsed="false">
      <c r="A1710" s="216"/>
      <c r="B1710" s="972" t="s">
        <v>4128</v>
      </c>
      <c r="C1710" s="1272"/>
      <c r="D1710" s="361"/>
      <c r="E1710" s="361"/>
      <c r="F1710" s="1441"/>
      <c r="G1710" s="1418"/>
      <c r="H1710" s="547"/>
      <c r="I1710" s="547"/>
      <c r="J1710" s="873"/>
      <c r="K1710" s="1365" t="n">
        <f aca="false">J1710/1792.8</f>
        <v>0</v>
      </c>
      <c r="L1710" s="873"/>
      <c r="M1710" s="934" t="n">
        <f aca="false">SUM(M1707:M1709)</f>
        <v>3.92687788189796</v>
      </c>
    </row>
    <row r="1711" customFormat="false" ht="30" hidden="false" customHeight="false" outlineLevel="0" collapsed="false">
      <c r="A1711" s="216" t="s">
        <v>1023</v>
      </c>
      <c r="B1711" s="29" t="s">
        <v>3304</v>
      </c>
      <c r="C1711" s="1161" t="s">
        <v>7064</v>
      </c>
      <c r="D1711" s="361" t="n">
        <v>2005</v>
      </c>
      <c r="E1711" s="361" t="n">
        <f aca="false">2021-D1711</f>
        <v>16</v>
      </c>
      <c r="F1711" s="1441" t="n">
        <v>300000</v>
      </c>
      <c r="G1711" s="1418" t="n">
        <v>0.1</v>
      </c>
      <c r="H1711" s="547" t="n">
        <f aca="false">E1711*F1711*G1711</f>
        <v>480000</v>
      </c>
      <c r="I1711" s="547" t="n">
        <f aca="false">F1711-H1711</f>
        <v>-180000</v>
      </c>
      <c r="J1711" s="547" t="n">
        <f aca="false">F1711*G1711</f>
        <v>30000</v>
      </c>
      <c r="K1711" s="1365" t="n">
        <f aca="false">J1711/1792.8</f>
        <v>16.7336010709505</v>
      </c>
      <c r="L1711" s="547" t="n">
        <v>5</v>
      </c>
      <c r="M1711" s="819" t="n">
        <f aca="false">K1711*L1711/60</f>
        <v>1.39446675591254</v>
      </c>
    </row>
    <row r="1712" customFormat="false" ht="15" hidden="false" customHeight="false" outlineLevel="0" collapsed="false">
      <c r="A1712" s="216"/>
      <c r="B1712" s="972"/>
      <c r="C1712" s="1161" t="s">
        <v>7053</v>
      </c>
      <c r="D1712" s="361" t="n">
        <v>2005</v>
      </c>
      <c r="E1712" s="361" t="n">
        <f aca="false">2021-D1712</f>
        <v>16</v>
      </c>
      <c r="F1712" s="660" t="n">
        <v>176358</v>
      </c>
      <c r="G1712" s="1418" t="n">
        <v>0.1</v>
      </c>
      <c r="H1712" s="547" t="n">
        <f aca="false">E1712*F1712*G1712</f>
        <v>282172.8</v>
      </c>
      <c r="I1712" s="547" t="n">
        <f aca="false">F1712-H1712</f>
        <v>-105814.8</v>
      </c>
      <c r="J1712" s="873" t="n">
        <f aca="false">F1712*E1712/100</f>
        <v>28217.28</v>
      </c>
      <c r="K1712" s="1365" t="n">
        <f aca="false">J1712/1792.8</f>
        <v>15.7392235609103</v>
      </c>
      <c r="L1712" s="547" t="n">
        <v>5</v>
      </c>
      <c r="M1712" s="819" t="n">
        <f aca="false">K1712*L1712/60</f>
        <v>1.31160196340919</v>
      </c>
    </row>
    <row r="1713" customFormat="false" ht="15" hidden="false" customHeight="false" outlineLevel="0" collapsed="false">
      <c r="A1713" s="216"/>
      <c r="B1713" s="972"/>
      <c r="C1713" s="40" t="s">
        <v>7059</v>
      </c>
      <c r="D1713" s="361" t="n">
        <v>2014</v>
      </c>
      <c r="E1713" s="361" t="n">
        <f aca="false">2021-D1713</f>
        <v>7</v>
      </c>
      <c r="F1713" s="955" t="n">
        <v>375200</v>
      </c>
      <c r="G1713" s="1418" t="n">
        <v>0.1</v>
      </c>
      <c r="H1713" s="547" t="n">
        <f aca="false">E1713*F1713*G1713</f>
        <v>262640</v>
      </c>
      <c r="I1713" s="547" t="n">
        <f aca="false">F1713-H1713</f>
        <v>112560</v>
      </c>
      <c r="J1713" s="873" t="n">
        <f aca="false">F1713*E1713/100</f>
        <v>26264</v>
      </c>
      <c r="K1713" s="1365" t="n">
        <f aca="false">J1713/1792.8</f>
        <v>14.6497099509148</v>
      </c>
      <c r="L1713" s="873" t="n">
        <v>5</v>
      </c>
      <c r="M1713" s="819" t="n">
        <f aca="false">K1713*L1713/60</f>
        <v>1.22080916257623</v>
      </c>
    </row>
    <row r="1714" customFormat="false" ht="15" hidden="false" customHeight="false" outlineLevel="0" collapsed="false">
      <c r="A1714" s="216"/>
      <c r="B1714" s="972" t="s">
        <v>4128</v>
      </c>
      <c r="C1714" s="1272"/>
      <c r="D1714" s="361"/>
      <c r="E1714" s="361"/>
      <c r="F1714" s="1441"/>
      <c r="G1714" s="1418"/>
      <c r="H1714" s="547"/>
      <c r="I1714" s="547"/>
      <c r="J1714" s="873"/>
      <c r="K1714" s="1365" t="n">
        <f aca="false">J1714/1792.8</f>
        <v>0</v>
      </c>
      <c r="L1714" s="873"/>
      <c r="M1714" s="934" t="n">
        <f aca="false">SUM(M1711:M1713)</f>
        <v>3.92687788189796</v>
      </c>
    </row>
    <row r="1715" customFormat="false" ht="45" hidden="false" customHeight="false" outlineLevel="0" collapsed="false">
      <c r="A1715" s="216" t="s">
        <v>1025</v>
      </c>
      <c r="B1715" s="29" t="s">
        <v>7068</v>
      </c>
      <c r="C1715" s="1161" t="s">
        <v>7064</v>
      </c>
      <c r="D1715" s="361" t="n">
        <v>2005</v>
      </c>
      <c r="E1715" s="361" t="n">
        <f aca="false">2021-D1715</f>
        <v>16</v>
      </c>
      <c r="F1715" s="1441" t="n">
        <v>300000</v>
      </c>
      <c r="G1715" s="1418" t="n">
        <v>0.1</v>
      </c>
      <c r="H1715" s="547" t="n">
        <f aca="false">E1715*F1715*G1715</f>
        <v>480000</v>
      </c>
      <c r="I1715" s="547" t="n">
        <f aca="false">F1715-H1715</f>
        <v>-180000</v>
      </c>
      <c r="J1715" s="547" t="n">
        <f aca="false">F1715*G1715</f>
        <v>30000</v>
      </c>
      <c r="K1715" s="1365" t="n">
        <f aca="false">J1715/1792.8</f>
        <v>16.7336010709505</v>
      </c>
      <c r="L1715" s="547" t="n">
        <v>5</v>
      </c>
      <c r="M1715" s="819" t="n">
        <f aca="false">K1715*L1715/60</f>
        <v>1.39446675591254</v>
      </c>
    </row>
    <row r="1716" customFormat="false" ht="15" hidden="false" customHeight="false" outlineLevel="0" collapsed="false">
      <c r="A1716" s="216"/>
      <c r="B1716" s="972"/>
      <c r="C1716" s="1161" t="s">
        <v>7053</v>
      </c>
      <c r="D1716" s="361" t="n">
        <v>2005</v>
      </c>
      <c r="E1716" s="361" t="n">
        <f aca="false">2021-D1716</f>
        <v>16</v>
      </c>
      <c r="F1716" s="660" t="n">
        <v>176358</v>
      </c>
      <c r="G1716" s="1418" t="n">
        <v>0.1</v>
      </c>
      <c r="H1716" s="547" t="n">
        <f aca="false">E1716*F1716*G1716</f>
        <v>282172.8</v>
      </c>
      <c r="I1716" s="547" t="n">
        <f aca="false">F1716-H1716</f>
        <v>-105814.8</v>
      </c>
      <c r="J1716" s="873" t="n">
        <f aca="false">F1716*E1716/100</f>
        <v>28217.28</v>
      </c>
      <c r="K1716" s="1365" t="n">
        <f aca="false">J1716/1792.8</f>
        <v>15.7392235609103</v>
      </c>
      <c r="L1716" s="547" t="n">
        <v>5</v>
      </c>
      <c r="M1716" s="819" t="n">
        <f aca="false">K1716*L1716/60</f>
        <v>1.31160196340919</v>
      </c>
    </row>
    <row r="1717" customFormat="false" ht="15" hidden="false" customHeight="false" outlineLevel="0" collapsed="false">
      <c r="A1717" s="216"/>
      <c r="B1717" s="972"/>
      <c r="C1717" s="40" t="s">
        <v>7059</v>
      </c>
      <c r="D1717" s="361" t="n">
        <v>2014</v>
      </c>
      <c r="E1717" s="361" t="n">
        <f aca="false">2021-D1717</f>
        <v>7</v>
      </c>
      <c r="F1717" s="955" t="n">
        <v>375200</v>
      </c>
      <c r="G1717" s="1418" t="n">
        <v>0.1</v>
      </c>
      <c r="H1717" s="547" t="n">
        <f aca="false">E1717*F1717*G1717</f>
        <v>262640</v>
      </c>
      <c r="I1717" s="547" t="n">
        <f aca="false">F1717-H1717</f>
        <v>112560</v>
      </c>
      <c r="J1717" s="873" t="n">
        <f aca="false">F1717*E1717/100</f>
        <v>26264</v>
      </c>
      <c r="K1717" s="1365" t="n">
        <f aca="false">J1717/1792.8</f>
        <v>14.6497099509148</v>
      </c>
      <c r="L1717" s="873" t="n">
        <v>5</v>
      </c>
      <c r="M1717" s="819" t="n">
        <f aca="false">K1717*L1717/60</f>
        <v>1.22080916257623</v>
      </c>
    </row>
    <row r="1718" customFormat="false" ht="15" hidden="false" customHeight="false" outlineLevel="0" collapsed="false">
      <c r="A1718" s="216"/>
      <c r="B1718" s="972"/>
      <c r="C1718" s="40"/>
      <c r="D1718" s="361"/>
      <c r="E1718" s="361"/>
      <c r="F1718" s="1441"/>
      <c r="G1718" s="1418"/>
      <c r="H1718" s="547"/>
      <c r="I1718" s="547"/>
      <c r="J1718" s="873"/>
      <c r="K1718" s="1365"/>
      <c r="L1718" s="873"/>
      <c r="M1718" s="934" t="n">
        <f aca="false">SUM(M1715:M1717)</f>
        <v>3.92687788189796</v>
      </c>
    </row>
    <row r="1719" customFormat="false" ht="72" hidden="false" customHeight="true" outlineLevel="0" collapsed="false">
      <c r="A1719" s="15" t="s">
        <v>7069</v>
      </c>
      <c r="B1719" s="54" t="s">
        <v>5226</v>
      </c>
      <c r="C1719" s="16"/>
      <c r="D1719" s="339"/>
      <c r="E1719" s="339"/>
      <c r="F1719" s="751"/>
      <c r="G1719" s="751"/>
      <c r="H1719" s="751"/>
      <c r="I1719" s="751"/>
      <c r="J1719" s="751"/>
      <c r="K1719" s="1390"/>
      <c r="L1719" s="751"/>
      <c r="M1719" s="818"/>
    </row>
    <row r="1720" customFormat="false" ht="30" hidden="false" customHeight="false" outlineLevel="0" collapsed="false">
      <c r="A1720" s="216" t="s">
        <v>1029</v>
      </c>
      <c r="B1720" s="40" t="s">
        <v>3323</v>
      </c>
      <c r="C1720" s="1404" t="s">
        <v>7070</v>
      </c>
      <c r="D1720" s="569" t="n">
        <v>2009</v>
      </c>
      <c r="E1720" s="569" t="n">
        <f aca="false">2021-D1720</f>
        <v>12</v>
      </c>
      <c r="F1720" s="1105" t="n">
        <v>181000</v>
      </c>
      <c r="G1720" s="1444" t="n">
        <v>0.1</v>
      </c>
      <c r="H1720" s="1105" t="n">
        <f aca="false">E1720*F1720*G1720</f>
        <v>217200</v>
      </c>
      <c r="I1720" s="1105" t="n">
        <f aca="false">F1720-H1720</f>
        <v>-36200</v>
      </c>
      <c r="J1720" s="1105" t="n">
        <f aca="false">F1720*G1720</f>
        <v>18100</v>
      </c>
      <c r="K1720" s="1365" t="n">
        <f aca="false">J1720/1792.8</f>
        <v>10.0959393128068</v>
      </c>
      <c r="L1720" s="1105" t="n">
        <v>20</v>
      </c>
      <c r="M1720" s="819" t="n">
        <f aca="false">K1720*L1720/60</f>
        <v>3.36531310426893</v>
      </c>
    </row>
    <row r="1721" customFormat="false" ht="30" hidden="false" customHeight="false" outlineLevel="0" collapsed="false">
      <c r="A1721" s="216"/>
      <c r="B1721" s="40"/>
      <c r="C1721" s="1404" t="s">
        <v>6959</v>
      </c>
      <c r="D1721" s="1405" t="n">
        <v>2007</v>
      </c>
      <c r="E1721" s="1405" t="n">
        <f aca="false">2021-D1721</f>
        <v>14</v>
      </c>
      <c r="F1721" s="1406" t="n">
        <v>350000</v>
      </c>
      <c r="G1721" s="1407" t="n">
        <v>0.1</v>
      </c>
      <c r="H1721" s="1410" t="n">
        <f aca="false">E1721*F1721*G1721</f>
        <v>490000</v>
      </c>
      <c r="I1721" s="1410" t="n">
        <f aca="false">F1721-H1721</f>
        <v>-140000</v>
      </c>
      <c r="J1721" s="1410" t="n">
        <f aca="false">F1721*G1721</f>
        <v>35000</v>
      </c>
      <c r="K1721" s="1365" t="n">
        <f aca="false">J1721/1792.8</f>
        <v>19.5225345827755</v>
      </c>
      <c r="L1721" s="1445" t="n">
        <v>10</v>
      </c>
      <c r="M1721" s="1408" t="n">
        <f aca="false">K1721*L1721/60</f>
        <v>3.25375576379592</v>
      </c>
    </row>
    <row r="1722" customFormat="false" ht="30" hidden="false" customHeight="false" outlineLevel="0" collapsed="false">
      <c r="A1722" s="216"/>
      <c r="B1722" s="40"/>
      <c r="C1722" s="1161" t="s">
        <v>7071</v>
      </c>
      <c r="D1722" s="912" t="n">
        <v>2006</v>
      </c>
      <c r="E1722" s="912" t="n">
        <f aca="false">2021-D1722</f>
        <v>15</v>
      </c>
      <c r="F1722" s="547" t="n">
        <v>138575</v>
      </c>
      <c r="G1722" s="1413" t="n">
        <v>0.1</v>
      </c>
      <c r="H1722" s="547" t="n">
        <f aca="false">E1722*F1722*G1722</f>
        <v>207862.5</v>
      </c>
      <c r="I1722" s="547" t="n">
        <f aca="false">F1722-H1722</f>
        <v>-69287.5</v>
      </c>
      <c r="J1722" s="547" t="n">
        <f aca="false">F1722*G1722</f>
        <v>13857.5</v>
      </c>
      <c r="K1722" s="1365" t="n">
        <f aca="false">J1722/1792.8</f>
        <v>7.7295292280232</v>
      </c>
      <c r="L1722" s="547" t="n">
        <v>20</v>
      </c>
      <c r="M1722" s="819" t="n">
        <f aca="false">K1722*L1722/60</f>
        <v>2.5765097426744</v>
      </c>
    </row>
    <row r="1723" customFormat="false" ht="30" hidden="false" customHeight="false" outlineLevel="0" collapsed="false">
      <c r="A1723" s="216"/>
      <c r="B1723" s="40"/>
      <c r="C1723" s="1404" t="s">
        <v>7072</v>
      </c>
      <c r="D1723" s="569" t="n">
        <v>2013</v>
      </c>
      <c r="E1723" s="569" t="n">
        <f aca="false">2021-D1723</f>
        <v>8</v>
      </c>
      <c r="F1723" s="1105" t="n">
        <v>300000</v>
      </c>
      <c r="G1723" s="1444" t="n">
        <v>0.1</v>
      </c>
      <c r="H1723" s="1105" t="n">
        <f aca="false">E1723*F1723*G1723</f>
        <v>240000</v>
      </c>
      <c r="I1723" s="1105" t="n">
        <f aca="false">F1723-H1723</f>
        <v>60000</v>
      </c>
      <c r="J1723" s="1105" t="n">
        <f aca="false">F1723*G1723</f>
        <v>30000</v>
      </c>
      <c r="K1723" s="1365" t="n">
        <f aca="false">J1723/1792.8</f>
        <v>16.7336010709505</v>
      </c>
      <c r="L1723" s="1105" t="n">
        <v>50</v>
      </c>
      <c r="M1723" s="865" t="n">
        <f aca="false">K1723*L1723/60</f>
        <v>13.9446675591254</v>
      </c>
    </row>
    <row r="1724" customFormat="false" ht="30" hidden="false" customHeight="false" outlineLevel="0" collapsed="false">
      <c r="A1724" s="216"/>
      <c r="B1724" s="40"/>
      <c r="C1724" s="1161" t="s">
        <v>7073</v>
      </c>
      <c r="D1724" s="912" t="n">
        <v>2005</v>
      </c>
      <c r="E1724" s="912" t="n">
        <f aca="false">2021-D1724</f>
        <v>16</v>
      </c>
      <c r="F1724" s="547" t="n">
        <v>39263</v>
      </c>
      <c r="G1724" s="1413" t="n">
        <v>0.15</v>
      </c>
      <c r="H1724" s="547" t="n">
        <f aca="false">E1724*F1724*G1724</f>
        <v>94231.2</v>
      </c>
      <c r="I1724" s="547" t="n">
        <f aca="false">F1724-H1724</f>
        <v>-54968.2</v>
      </c>
      <c r="J1724" s="547" t="n">
        <f aca="false">F1724*G1724</f>
        <v>5889.45</v>
      </c>
      <c r="K1724" s="1365" t="n">
        <f aca="false">J1724/1792.8</f>
        <v>3.28505689424364</v>
      </c>
      <c r="L1724" s="547" t="n">
        <v>30</v>
      </c>
      <c r="M1724" s="819" t="n">
        <f aca="false">K1724*L1724/60</f>
        <v>1.64252844712182</v>
      </c>
    </row>
    <row r="1725" customFormat="false" ht="31.5" hidden="false" customHeight="true" outlineLevel="0" collapsed="false">
      <c r="A1725" s="216"/>
      <c r="B1725" s="40"/>
      <c r="C1725" s="1161" t="s">
        <v>7074</v>
      </c>
      <c r="D1725" s="912" t="n">
        <v>2003</v>
      </c>
      <c r="E1725" s="912" t="n">
        <f aca="false">2021-D1725</f>
        <v>18</v>
      </c>
      <c r="F1725" s="547" t="n">
        <v>2471090</v>
      </c>
      <c r="G1725" s="1413" t="n">
        <v>0.1</v>
      </c>
      <c r="H1725" s="547" t="n">
        <f aca="false">E1725*F1725*G1725</f>
        <v>4447962</v>
      </c>
      <c r="I1725" s="547" t="n">
        <f aca="false">F1725-H1725</f>
        <v>-1976872</v>
      </c>
      <c r="J1725" s="547" t="n">
        <f aca="false">F1725*G1725</f>
        <v>247109</v>
      </c>
      <c r="K1725" s="1365" t="n">
        <f aca="false">J1725/1792.8</f>
        <v>137.834114234717</v>
      </c>
      <c r="L1725" s="547" t="n">
        <v>130</v>
      </c>
      <c r="M1725" s="819" t="n">
        <f aca="false">K1725*L1725/60</f>
        <v>298.640580841886</v>
      </c>
    </row>
    <row r="1726" customFormat="false" ht="15" hidden="false" customHeight="false" outlineLevel="0" collapsed="false">
      <c r="A1726" s="216"/>
      <c r="B1726" s="1053" t="s">
        <v>4128</v>
      </c>
      <c r="C1726" s="1161"/>
      <c r="D1726" s="912"/>
      <c r="E1726" s="912"/>
      <c r="F1726" s="547"/>
      <c r="G1726" s="1413"/>
      <c r="H1726" s="547"/>
      <c r="I1726" s="547"/>
      <c r="J1726" s="547"/>
      <c r="K1726" s="1365" t="n">
        <f aca="false">J1726/1792.8</f>
        <v>0</v>
      </c>
      <c r="L1726" s="714" t="n">
        <f aca="false">SUM(L1720:L1725)</f>
        <v>260</v>
      </c>
      <c r="M1726" s="934" t="n">
        <f aca="false">SUM(M1720:M1725)</f>
        <v>323.423355458873</v>
      </c>
    </row>
    <row r="1727" customFormat="false" ht="30" hidden="false" customHeight="false" outlineLevel="0" collapsed="false">
      <c r="A1727" s="216" t="s">
        <v>1031</v>
      </c>
      <c r="B1727" s="40" t="s">
        <v>3321</v>
      </c>
      <c r="C1727" s="1161" t="s">
        <v>7071</v>
      </c>
      <c r="D1727" s="912" t="n">
        <v>2006</v>
      </c>
      <c r="E1727" s="912" t="n">
        <f aca="false">2021-D1727</f>
        <v>15</v>
      </c>
      <c r="F1727" s="547" t="n">
        <v>138575</v>
      </c>
      <c r="G1727" s="1413" t="n">
        <v>0.1</v>
      </c>
      <c r="H1727" s="547" t="n">
        <f aca="false">E1727*F1727*G1727</f>
        <v>207862.5</v>
      </c>
      <c r="I1727" s="547" t="n">
        <f aca="false">F1727-H1727</f>
        <v>-69287.5</v>
      </c>
      <c r="J1727" s="547" t="n">
        <f aca="false">F1727*G1727</f>
        <v>13857.5</v>
      </c>
      <c r="K1727" s="1365" t="n">
        <f aca="false">J1727/1792.8</f>
        <v>7.7295292280232</v>
      </c>
      <c r="L1727" s="547" t="n">
        <v>40</v>
      </c>
      <c r="M1727" s="819" t="n">
        <f aca="false">K1727*L1727/60</f>
        <v>5.1530194853488</v>
      </c>
    </row>
    <row r="1728" customFormat="false" ht="30" hidden="false" customHeight="false" outlineLevel="0" collapsed="false">
      <c r="A1728" s="216"/>
      <c r="B1728" s="40"/>
      <c r="C1728" s="1404" t="s">
        <v>6959</v>
      </c>
      <c r="D1728" s="1405" t="n">
        <v>2007</v>
      </c>
      <c r="E1728" s="1405" t="n">
        <f aca="false">2021-D1728</f>
        <v>14</v>
      </c>
      <c r="F1728" s="1406" t="n">
        <v>350000</v>
      </c>
      <c r="G1728" s="1407" t="n">
        <v>0.1</v>
      </c>
      <c r="H1728" s="1410" t="n">
        <f aca="false">E1728*F1728*G1728</f>
        <v>490000</v>
      </c>
      <c r="I1728" s="1410" t="n">
        <f aca="false">F1728-H1728</f>
        <v>-140000</v>
      </c>
      <c r="J1728" s="1410" t="n">
        <f aca="false">F1728*G1728</f>
        <v>35000</v>
      </c>
      <c r="K1728" s="1365" t="n">
        <f aca="false">J1728/1792.8</f>
        <v>19.5225345827755</v>
      </c>
      <c r="L1728" s="1445" t="n">
        <v>10</v>
      </c>
      <c r="M1728" s="1408" t="n">
        <f aca="false">K1728*L1728/60</f>
        <v>3.25375576379592</v>
      </c>
    </row>
    <row r="1729" customFormat="false" ht="15" hidden="false" customHeight="false" outlineLevel="0" collapsed="false">
      <c r="A1729" s="216"/>
      <c r="B1729" s="40"/>
      <c r="C1729" s="1404" t="s">
        <v>7075</v>
      </c>
      <c r="D1729" s="569" t="n">
        <v>2015</v>
      </c>
      <c r="E1729" s="569" t="n">
        <f aca="false">2021-D1729</f>
        <v>6</v>
      </c>
      <c r="F1729" s="1105" t="n">
        <v>1028020</v>
      </c>
      <c r="G1729" s="1444" t="n">
        <v>0.1</v>
      </c>
      <c r="H1729" s="547" t="n">
        <f aca="false">E1729*F1729*G1729</f>
        <v>616812</v>
      </c>
      <c r="I1729" s="547" t="n">
        <f aca="false">F1729-H1729</f>
        <v>411208</v>
      </c>
      <c r="J1729" s="547" t="n">
        <f aca="false">F1729*G1729</f>
        <v>102802</v>
      </c>
      <c r="K1729" s="1365" t="n">
        <f aca="false">J1729/1792.8</f>
        <v>57.3415885765283</v>
      </c>
      <c r="L1729" s="547" t="n">
        <v>60</v>
      </c>
      <c r="M1729" s="819" t="n">
        <f aca="false">K1729*L1729/60</f>
        <v>57.3415885765283</v>
      </c>
    </row>
    <row r="1730" customFormat="false" ht="30" hidden="false" customHeight="false" outlineLevel="0" collapsed="false">
      <c r="A1730" s="216"/>
      <c r="B1730" s="40"/>
      <c r="C1730" s="1409" t="s">
        <v>6967</v>
      </c>
      <c r="D1730" s="569" t="n">
        <v>2016</v>
      </c>
      <c r="E1730" s="569" t="n">
        <f aca="false">2021-D1730</f>
        <v>5</v>
      </c>
      <c r="F1730" s="1105" t="n">
        <v>2302000</v>
      </c>
      <c r="G1730" s="1444" t="n">
        <v>0.1</v>
      </c>
      <c r="H1730" s="547" t="n">
        <f aca="false">E1730*F1730*G1730</f>
        <v>1151000</v>
      </c>
      <c r="I1730" s="547" t="n">
        <f aca="false">F1730-H1730</f>
        <v>1151000</v>
      </c>
      <c r="J1730" s="547" t="n">
        <f aca="false">F1730*G1730</f>
        <v>230200</v>
      </c>
      <c r="K1730" s="1365" t="n">
        <f aca="false">J1730/1792.8</f>
        <v>128.402498884427</v>
      </c>
      <c r="L1730" s="547" t="n">
        <v>10</v>
      </c>
      <c r="M1730" s="819" t="n">
        <f aca="false">K1730*L1730/60</f>
        <v>21.4004164807378</v>
      </c>
    </row>
    <row r="1731" customFormat="false" ht="30" hidden="false" customHeight="false" outlineLevel="0" collapsed="false">
      <c r="A1731" s="216"/>
      <c r="B1731" s="40"/>
      <c r="C1731" s="1404" t="s">
        <v>7072</v>
      </c>
      <c r="D1731" s="569" t="n">
        <v>2013</v>
      </c>
      <c r="E1731" s="569" t="n">
        <f aca="false">2021-D1731</f>
        <v>8</v>
      </c>
      <c r="F1731" s="1105" t="n">
        <v>300000</v>
      </c>
      <c r="G1731" s="1444" t="n">
        <v>0.1</v>
      </c>
      <c r="H1731" s="1105" t="n">
        <f aca="false">E1731*F1731*G1731</f>
        <v>240000</v>
      </c>
      <c r="I1731" s="1105" t="n">
        <f aca="false">F1731-H1731</f>
        <v>60000</v>
      </c>
      <c r="J1731" s="1105" t="n">
        <f aca="false">F1731*G1731</f>
        <v>30000</v>
      </c>
      <c r="K1731" s="1365" t="n">
        <f aca="false">J1731/1792.8</f>
        <v>16.7336010709505</v>
      </c>
      <c r="L1731" s="1105" t="n">
        <v>50</v>
      </c>
      <c r="M1731" s="865" t="n">
        <f aca="false">K1731*L1731/60</f>
        <v>13.9446675591254</v>
      </c>
    </row>
    <row r="1732" customFormat="false" ht="30" hidden="false" customHeight="false" outlineLevel="0" collapsed="false">
      <c r="A1732" s="216"/>
      <c r="B1732" s="40"/>
      <c r="C1732" s="1404" t="s">
        <v>7073</v>
      </c>
      <c r="D1732" s="569" t="n">
        <v>2005</v>
      </c>
      <c r="E1732" s="569" t="n">
        <f aca="false">2021-D1732</f>
        <v>16</v>
      </c>
      <c r="F1732" s="1105" t="n">
        <v>39263</v>
      </c>
      <c r="G1732" s="1444" t="n">
        <v>0.15</v>
      </c>
      <c r="H1732" s="1105" t="n">
        <f aca="false">E1732*F1732*G1732</f>
        <v>94231.2</v>
      </c>
      <c r="I1732" s="1105" t="n">
        <f aca="false">F1732-H1732</f>
        <v>-54968.2</v>
      </c>
      <c r="J1732" s="1105" t="n">
        <f aca="false">F1732*G1732</f>
        <v>5889.45</v>
      </c>
      <c r="K1732" s="1365" t="n">
        <f aca="false">J1732/1792.8</f>
        <v>3.28505689424364</v>
      </c>
      <c r="L1732" s="1105" t="n">
        <v>30</v>
      </c>
      <c r="M1732" s="865" t="n">
        <f aca="false">K1732*L1732/60</f>
        <v>1.64252844712182</v>
      </c>
    </row>
    <row r="1733" customFormat="false" ht="30" hidden="false" customHeight="false" outlineLevel="0" collapsed="false">
      <c r="A1733" s="216"/>
      <c r="B1733" s="40"/>
      <c r="C1733" s="1404" t="s">
        <v>7070</v>
      </c>
      <c r="D1733" s="569" t="n">
        <v>2009</v>
      </c>
      <c r="E1733" s="569" t="n">
        <f aca="false">2021-D1733</f>
        <v>12</v>
      </c>
      <c r="F1733" s="1105" t="n">
        <v>181000</v>
      </c>
      <c r="G1733" s="1444" t="n">
        <v>0.1</v>
      </c>
      <c r="H1733" s="1105" t="n">
        <f aca="false">E1733*F1733*G1733</f>
        <v>217200</v>
      </c>
      <c r="I1733" s="1105" t="n">
        <f aca="false">F1733-H1733</f>
        <v>-36200</v>
      </c>
      <c r="J1733" s="1105" t="n">
        <f aca="false">F1733*G1733</f>
        <v>18100</v>
      </c>
      <c r="K1733" s="1365" t="n">
        <f aca="false">J1733/1792.8</f>
        <v>10.0959393128068</v>
      </c>
      <c r="L1733" s="1105" t="n">
        <v>40</v>
      </c>
      <c r="M1733" s="865" t="n">
        <f aca="false">K1733*L1733/60</f>
        <v>6.73062620853786</v>
      </c>
    </row>
    <row r="1734" customFormat="false" ht="30" hidden="false" customHeight="false" outlineLevel="0" collapsed="false">
      <c r="A1734" s="216"/>
      <c r="B1734" s="40"/>
      <c r="C1734" s="1161" t="s">
        <v>7076</v>
      </c>
      <c r="D1734" s="569" t="n">
        <v>2012</v>
      </c>
      <c r="E1734" s="569" t="n">
        <f aca="false">2021-D1734</f>
        <v>9</v>
      </c>
      <c r="F1734" s="1277" t="n">
        <v>44483193.14</v>
      </c>
      <c r="G1734" s="1444" t="n">
        <v>0.1</v>
      </c>
      <c r="H1734" s="1105" t="n">
        <f aca="false">E1734*F1734*G1734</f>
        <v>40034873.826</v>
      </c>
      <c r="I1734" s="547" t="n">
        <f aca="false">F1734-H1734</f>
        <v>4448319.314</v>
      </c>
      <c r="J1734" s="547" t="n">
        <f aca="false">F1734*G1734</f>
        <v>4448319.314</v>
      </c>
      <c r="K1734" s="1365" t="n">
        <f aca="false">J1734/1792.8</f>
        <v>2481.21336122267</v>
      </c>
      <c r="L1734" s="547" t="n">
        <v>120</v>
      </c>
      <c r="M1734" s="819" t="n">
        <f aca="false">K1734*L1734/60</f>
        <v>4962.42672244534</v>
      </c>
    </row>
    <row r="1735" customFormat="false" ht="15" hidden="false" customHeight="false" outlineLevel="0" collapsed="false">
      <c r="A1735" s="216"/>
      <c r="B1735" s="1053" t="s">
        <v>4128</v>
      </c>
      <c r="C1735" s="1161"/>
      <c r="D1735" s="912"/>
      <c r="E1735" s="912"/>
      <c r="F1735" s="547"/>
      <c r="G1735" s="1413"/>
      <c r="H1735" s="547"/>
      <c r="I1735" s="547"/>
      <c r="J1735" s="547"/>
      <c r="K1735" s="1365" t="n">
        <f aca="false">J1735/1792.8</f>
        <v>0</v>
      </c>
      <c r="L1735" s="714" t="n">
        <f aca="false">SUM(L1727:L1734)</f>
        <v>360</v>
      </c>
      <c r="M1735" s="934" t="n">
        <f aca="false">SUM(M1727:M1734)</f>
        <v>5071.89332496653</v>
      </c>
    </row>
    <row r="1736" customFormat="false" ht="30" hidden="false" customHeight="false" outlineLevel="0" collapsed="false">
      <c r="A1736" s="216" t="s">
        <v>1033</v>
      </c>
      <c r="B1736" s="40" t="s">
        <v>3309</v>
      </c>
      <c r="C1736" s="1161" t="s">
        <v>7071</v>
      </c>
      <c r="D1736" s="912" t="n">
        <v>2006</v>
      </c>
      <c r="E1736" s="912" t="n">
        <f aca="false">2021-D1736</f>
        <v>15</v>
      </c>
      <c r="F1736" s="547" t="n">
        <v>138575</v>
      </c>
      <c r="G1736" s="1413" t="n">
        <v>0.1</v>
      </c>
      <c r="H1736" s="547" t="n">
        <f aca="false">E1736*F1736*G1736</f>
        <v>207862.5</v>
      </c>
      <c r="I1736" s="547" t="n">
        <f aca="false">F1736-H1736</f>
        <v>-69287.5</v>
      </c>
      <c r="J1736" s="547" t="n">
        <f aca="false">F1736*G1736</f>
        <v>13857.5</v>
      </c>
      <c r="K1736" s="1365" t="n">
        <f aca="false">J1736/1792.8</f>
        <v>7.7295292280232</v>
      </c>
      <c r="L1736" s="547" t="n">
        <v>10</v>
      </c>
      <c r="M1736" s="819" t="n">
        <f aca="false">K1736*L1736/60</f>
        <v>1.2882548713372</v>
      </c>
    </row>
    <row r="1737" customFormat="false" ht="30" hidden="false" customHeight="false" outlineLevel="0" collapsed="false">
      <c r="A1737" s="216"/>
      <c r="B1737" s="40"/>
      <c r="C1737" s="1404" t="s">
        <v>6959</v>
      </c>
      <c r="D1737" s="1405" t="n">
        <v>2007</v>
      </c>
      <c r="E1737" s="1405" t="n">
        <f aca="false">2021-D1737</f>
        <v>14</v>
      </c>
      <c r="F1737" s="1406" t="n">
        <v>350000</v>
      </c>
      <c r="G1737" s="1407" t="n">
        <v>0.1</v>
      </c>
      <c r="H1737" s="1410" t="n">
        <f aca="false">E1737*F1737*G1737</f>
        <v>490000</v>
      </c>
      <c r="I1737" s="1410" t="n">
        <f aca="false">F1737-H1737</f>
        <v>-140000</v>
      </c>
      <c r="J1737" s="1410" t="n">
        <f aca="false">F1737*G1737</f>
        <v>35000</v>
      </c>
      <c r="K1737" s="1365" t="n">
        <f aca="false">J1737/1792.8</f>
        <v>19.5225345827755</v>
      </c>
      <c r="L1737" s="1410" t="n">
        <v>10</v>
      </c>
      <c r="M1737" s="1408" t="n">
        <f aca="false">K1737*L1737/60</f>
        <v>3.25375576379592</v>
      </c>
    </row>
    <row r="1738" customFormat="false" ht="15" hidden="false" customHeight="false" outlineLevel="0" collapsed="false">
      <c r="A1738" s="216"/>
      <c r="B1738" s="40"/>
      <c r="C1738" s="1404" t="s">
        <v>7075</v>
      </c>
      <c r="D1738" s="569" t="n">
        <v>2015</v>
      </c>
      <c r="E1738" s="569" t="n">
        <f aca="false">2021-D1738</f>
        <v>6</v>
      </c>
      <c r="F1738" s="1105" t="n">
        <v>1028020</v>
      </c>
      <c r="G1738" s="1444" t="n">
        <v>0.1</v>
      </c>
      <c r="H1738" s="1105" t="n">
        <f aca="false">E1738*F1738*G1738</f>
        <v>616812</v>
      </c>
      <c r="I1738" s="1105" t="n">
        <f aca="false">F1738-H1738</f>
        <v>411208</v>
      </c>
      <c r="J1738" s="1105" t="n">
        <f aca="false">F1738*G1738</f>
        <v>102802</v>
      </c>
      <c r="K1738" s="1365" t="n">
        <f aca="false">J1738/1792.8</f>
        <v>57.3415885765283</v>
      </c>
      <c r="L1738" s="547" t="n">
        <v>60</v>
      </c>
      <c r="M1738" s="819" t="n">
        <f aca="false">K1738*L1738/60</f>
        <v>57.3415885765283</v>
      </c>
    </row>
    <row r="1739" customFormat="false" ht="30" hidden="false" customHeight="false" outlineLevel="0" collapsed="false">
      <c r="A1739" s="216"/>
      <c r="B1739" s="40"/>
      <c r="C1739" s="1409" t="s">
        <v>6967</v>
      </c>
      <c r="D1739" s="569" t="n">
        <v>2016</v>
      </c>
      <c r="E1739" s="569" t="n">
        <f aca="false">2021-D1739</f>
        <v>5</v>
      </c>
      <c r="F1739" s="1105" t="n">
        <v>2302000</v>
      </c>
      <c r="G1739" s="1444" t="n">
        <v>0.1</v>
      </c>
      <c r="H1739" s="1105" t="n">
        <f aca="false">E1739*F1739*G1739</f>
        <v>1151000</v>
      </c>
      <c r="I1739" s="1105" t="n">
        <f aca="false">F1739-H1739</f>
        <v>1151000</v>
      </c>
      <c r="J1739" s="1105" t="n">
        <f aca="false">F1739*G1739</f>
        <v>230200</v>
      </c>
      <c r="K1739" s="1365" t="n">
        <f aca="false">J1739/1792.8</f>
        <v>128.402498884427</v>
      </c>
      <c r="L1739" s="547" t="n">
        <v>10</v>
      </c>
      <c r="M1739" s="819" t="n">
        <f aca="false">K1739*L1739/60</f>
        <v>21.4004164807378</v>
      </c>
    </row>
    <row r="1740" customFormat="false" ht="30" hidden="false" customHeight="false" outlineLevel="0" collapsed="false">
      <c r="A1740" s="216"/>
      <c r="B1740" s="40"/>
      <c r="C1740" s="1404" t="s">
        <v>7072</v>
      </c>
      <c r="D1740" s="569" t="n">
        <v>2013</v>
      </c>
      <c r="E1740" s="569" t="n">
        <f aca="false">2021-D1740</f>
        <v>8</v>
      </c>
      <c r="F1740" s="1105" t="n">
        <v>300000</v>
      </c>
      <c r="G1740" s="1444" t="n">
        <v>0.1</v>
      </c>
      <c r="H1740" s="1105" t="n">
        <f aca="false">E1740*F1740*G1740</f>
        <v>240000</v>
      </c>
      <c r="I1740" s="1105" t="n">
        <f aca="false">F1740-H1740</f>
        <v>60000</v>
      </c>
      <c r="J1740" s="1105" t="n">
        <f aca="false">F1740*G1740</f>
        <v>30000</v>
      </c>
      <c r="K1740" s="1365" t="n">
        <f aca="false">J1740/1792.8</f>
        <v>16.7336010709505</v>
      </c>
      <c r="L1740" s="1105" t="n">
        <v>30</v>
      </c>
      <c r="M1740" s="865" t="n">
        <f aca="false">K1740*L1740/60</f>
        <v>8.36680053547524</v>
      </c>
    </row>
    <row r="1741" customFormat="false" ht="30" hidden="false" customHeight="false" outlineLevel="0" collapsed="false">
      <c r="A1741" s="216"/>
      <c r="B1741" s="40"/>
      <c r="C1741" s="1404" t="s">
        <v>7070</v>
      </c>
      <c r="D1741" s="569" t="n">
        <v>2009</v>
      </c>
      <c r="E1741" s="569" t="n">
        <f aca="false">2021-D1741</f>
        <v>12</v>
      </c>
      <c r="F1741" s="1105" t="n">
        <v>181000</v>
      </c>
      <c r="G1741" s="1444" t="n">
        <v>0.1</v>
      </c>
      <c r="H1741" s="1105" t="n">
        <f aca="false">E1741*F1741*G1741</f>
        <v>217200</v>
      </c>
      <c r="I1741" s="1105" t="n">
        <f aca="false">F1741-H1741</f>
        <v>-36200</v>
      </c>
      <c r="J1741" s="1105" t="n">
        <f aca="false">F1741*G1741</f>
        <v>18100</v>
      </c>
      <c r="K1741" s="1365" t="n">
        <f aca="false">J1741/1792.8</f>
        <v>10.0959393128068</v>
      </c>
      <c r="L1741" s="1105" t="n">
        <v>20</v>
      </c>
      <c r="M1741" s="865" t="n">
        <f aca="false">K1741*L1741/60</f>
        <v>3.36531310426893</v>
      </c>
    </row>
    <row r="1742" customFormat="false" ht="30" hidden="false" customHeight="false" outlineLevel="0" collapsed="false">
      <c r="A1742" s="216"/>
      <c r="B1742" s="40"/>
      <c r="C1742" s="1404" t="s">
        <v>7077</v>
      </c>
      <c r="D1742" s="569" t="n">
        <v>2012</v>
      </c>
      <c r="E1742" s="569" t="n">
        <f aca="false">2021-D1742</f>
        <v>9</v>
      </c>
      <c r="F1742" s="1105" t="n">
        <v>19245353.86</v>
      </c>
      <c r="G1742" s="1444" t="n">
        <v>0.1</v>
      </c>
      <c r="H1742" s="1105" t="n">
        <f aca="false">E1742*F1742*G1742</f>
        <v>17320818.474</v>
      </c>
      <c r="I1742" s="1105" t="n">
        <f aca="false">F1742-H1742</f>
        <v>1924535.386</v>
      </c>
      <c r="J1742" s="1105" t="n">
        <f aca="false">F1742*G1742</f>
        <v>1924535.386</v>
      </c>
      <c r="K1742" s="1365" t="n">
        <f aca="false">J1742/1792.8</f>
        <v>1073.48024654172</v>
      </c>
      <c r="L1742" s="1105" t="n">
        <v>120</v>
      </c>
      <c r="M1742" s="865" t="n">
        <f aca="false">K1742*L1742/60</f>
        <v>2146.96049308345</v>
      </c>
    </row>
    <row r="1743" customFormat="false" ht="15" hidden="false" customHeight="false" outlineLevel="0" collapsed="false">
      <c r="A1743" s="216"/>
      <c r="B1743" s="1053" t="s">
        <v>4128</v>
      </c>
      <c r="C1743" s="1161"/>
      <c r="D1743" s="912"/>
      <c r="E1743" s="912"/>
      <c r="F1743" s="547"/>
      <c r="G1743" s="1413"/>
      <c r="H1743" s="547"/>
      <c r="I1743" s="547"/>
      <c r="J1743" s="547"/>
      <c r="K1743" s="1365" t="n">
        <f aca="false">J1743/1792.8</f>
        <v>0</v>
      </c>
      <c r="L1743" s="714" t="n">
        <f aca="false">SUM(L1736:L1742)</f>
        <v>260</v>
      </c>
      <c r="M1743" s="934" t="n">
        <f aca="false">SUM(M1736:M1742)</f>
        <v>2241.97662241559</v>
      </c>
    </row>
    <row r="1744" customFormat="false" ht="30" hidden="false" customHeight="false" outlineLevel="0" collapsed="false">
      <c r="A1744" s="216" t="s">
        <v>1035</v>
      </c>
      <c r="B1744" s="40" t="s">
        <v>3310</v>
      </c>
      <c r="C1744" s="1161" t="s">
        <v>7071</v>
      </c>
      <c r="D1744" s="912" t="n">
        <v>2006</v>
      </c>
      <c r="E1744" s="912" t="n">
        <f aca="false">2021-D1744</f>
        <v>15</v>
      </c>
      <c r="F1744" s="547" t="n">
        <v>138575</v>
      </c>
      <c r="G1744" s="1413" t="n">
        <v>0.1</v>
      </c>
      <c r="H1744" s="547" t="n">
        <f aca="false">E1744*F1744*G1744</f>
        <v>207862.5</v>
      </c>
      <c r="I1744" s="547" t="n">
        <f aca="false">F1744-H1744</f>
        <v>-69287.5</v>
      </c>
      <c r="J1744" s="547" t="n">
        <f aca="false">F1744*G1744</f>
        <v>13857.5</v>
      </c>
      <c r="K1744" s="1365" t="n">
        <f aca="false">J1744/1792.8</f>
        <v>7.7295292280232</v>
      </c>
      <c r="L1744" s="547" t="n">
        <v>10</v>
      </c>
      <c r="M1744" s="819" t="n">
        <f aca="false">K1744*L1744/60</f>
        <v>1.2882548713372</v>
      </c>
    </row>
    <row r="1745" customFormat="false" ht="30" hidden="false" customHeight="false" outlineLevel="0" collapsed="false">
      <c r="A1745" s="216"/>
      <c r="B1745" s="40"/>
      <c r="C1745" s="1404" t="s">
        <v>6959</v>
      </c>
      <c r="D1745" s="1405" t="n">
        <v>2007</v>
      </c>
      <c r="E1745" s="1405" t="n">
        <f aca="false">2021-D1745</f>
        <v>14</v>
      </c>
      <c r="F1745" s="1406" t="n">
        <v>350000</v>
      </c>
      <c r="G1745" s="1407" t="n">
        <v>0.1</v>
      </c>
      <c r="H1745" s="1410" t="n">
        <f aca="false">E1745*F1745*G1745</f>
        <v>490000</v>
      </c>
      <c r="I1745" s="1410" t="n">
        <f aca="false">F1745-H1745</f>
        <v>-140000</v>
      </c>
      <c r="J1745" s="1410" t="n">
        <f aca="false">F1745*G1745</f>
        <v>35000</v>
      </c>
      <c r="K1745" s="1365" t="n">
        <f aca="false">J1745/1792.8</f>
        <v>19.5225345827755</v>
      </c>
      <c r="L1745" s="1445" t="n">
        <v>10</v>
      </c>
      <c r="M1745" s="1408" t="n">
        <f aca="false">K1745*L1745/60</f>
        <v>3.25375576379592</v>
      </c>
    </row>
    <row r="1746" customFormat="false" ht="15" hidden="false" customHeight="false" outlineLevel="0" collapsed="false">
      <c r="A1746" s="216"/>
      <c r="B1746" s="40"/>
      <c r="C1746" s="1404" t="s">
        <v>7075</v>
      </c>
      <c r="D1746" s="569" t="n">
        <v>2015</v>
      </c>
      <c r="E1746" s="569" t="n">
        <f aca="false">2021-D1746</f>
        <v>6</v>
      </c>
      <c r="F1746" s="1105" t="n">
        <v>1028020</v>
      </c>
      <c r="G1746" s="1444" t="n">
        <v>0.1</v>
      </c>
      <c r="H1746" s="1105" t="n">
        <f aca="false">E1746*F1746*G1746</f>
        <v>616812</v>
      </c>
      <c r="I1746" s="547" t="n">
        <f aca="false">F1746-H1746</f>
        <v>411208</v>
      </c>
      <c r="J1746" s="547" t="n">
        <f aca="false">F1746*G1746</f>
        <v>102802</v>
      </c>
      <c r="K1746" s="1365" t="n">
        <f aca="false">J1746/1792.8</f>
        <v>57.3415885765283</v>
      </c>
      <c r="L1746" s="547" t="n">
        <v>60</v>
      </c>
      <c r="M1746" s="819" t="n">
        <f aca="false">K1746*L1746/60</f>
        <v>57.3415885765283</v>
      </c>
    </row>
    <row r="1747" customFormat="false" ht="30" hidden="false" customHeight="false" outlineLevel="0" collapsed="false">
      <c r="A1747" s="216"/>
      <c r="B1747" s="40"/>
      <c r="C1747" s="1404" t="s">
        <v>7072</v>
      </c>
      <c r="D1747" s="569" t="n">
        <v>2013</v>
      </c>
      <c r="E1747" s="569" t="n">
        <f aca="false">2021-D1747</f>
        <v>8</v>
      </c>
      <c r="F1747" s="1105" t="n">
        <v>300000</v>
      </c>
      <c r="G1747" s="1444" t="n">
        <v>0.1</v>
      </c>
      <c r="H1747" s="1105" t="n">
        <f aca="false">E1747*F1747*G1747</f>
        <v>240000</v>
      </c>
      <c r="I1747" s="1105" t="n">
        <f aca="false">F1747-H1747</f>
        <v>60000</v>
      </c>
      <c r="J1747" s="1105" t="n">
        <f aca="false">F1747*G1747</f>
        <v>30000</v>
      </c>
      <c r="K1747" s="1365" t="n">
        <f aca="false">J1747/1792.8</f>
        <v>16.7336010709505</v>
      </c>
      <c r="L1747" s="1105" t="n">
        <v>40</v>
      </c>
      <c r="M1747" s="865" t="n">
        <f aca="false">K1747*L1747/60</f>
        <v>11.1557340473003</v>
      </c>
    </row>
    <row r="1748" customFormat="false" ht="30" hidden="false" customHeight="false" outlineLevel="0" collapsed="false">
      <c r="A1748" s="216"/>
      <c r="B1748" s="40"/>
      <c r="C1748" s="1404" t="s">
        <v>7073</v>
      </c>
      <c r="D1748" s="569" t="n">
        <v>2005</v>
      </c>
      <c r="E1748" s="569" t="n">
        <f aca="false">2021-D1748</f>
        <v>16</v>
      </c>
      <c r="F1748" s="1105" t="n">
        <v>39263</v>
      </c>
      <c r="G1748" s="1444" t="n">
        <v>0.15</v>
      </c>
      <c r="H1748" s="1105" t="n">
        <f aca="false">E1748*F1748*G1748</f>
        <v>94231.2</v>
      </c>
      <c r="I1748" s="1105" t="n">
        <f aca="false">F1748-H1748</f>
        <v>-54968.2</v>
      </c>
      <c r="J1748" s="1105" t="n">
        <f aca="false">F1748*G1748</f>
        <v>5889.45</v>
      </c>
      <c r="K1748" s="1365" t="n">
        <f aca="false">J1748/1792.8</f>
        <v>3.28505689424364</v>
      </c>
      <c r="L1748" s="547" t="n">
        <v>20</v>
      </c>
      <c r="M1748" s="819" t="n">
        <f aca="false">K1748*L1748/60</f>
        <v>1.09501896474788</v>
      </c>
    </row>
    <row r="1749" customFormat="false" ht="30" hidden="false" customHeight="false" outlineLevel="0" collapsed="false">
      <c r="A1749" s="216"/>
      <c r="B1749" s="40"/>
      <c r="C1749" s="1404" t="s">
        <v>7077</v>
      </c>
      <c r="D1749" s="569" t="n">
        <v>2012</v>
      </c>
      <c r="E1749" s="569" t="n">
        <f aca="false">2021-D1749</f>
        <v>9</v>
      </c>
      <c r="F1749" s="1105" t="n">
        <v>19245353.86</v>
      </c>
      <c r="G1749" s="1444" t="n">
        <v>0.1</v>
      </c>
      <c r="H1749" s="1105" t="n">
        <f aca="false">E1749*F1749*G1749</f>
        <v>17320818.474</v>
      </c>
      <c r="I1749" s="1105" t="n">
        <f aca="false">F1749-H1749</f>
        <v>1924535.386</v>
      </c>
      <c r="J1749" s="1105" t="n">
        <f aca="false">F1749*G1749</f>
        <v>1924535.386</v>
      </c>
      <c r="K1749" s="1365" t="n">
        <f aca="false">J1749/1792.8</f>
        <v>1073.48024654172</v>
      </c>
      <c r="L1749" s="547" t="n">
        <v>120</v>
      </c>
      <c r="M1749" s="819" t="n">
        <f aca="false">K1749*L1749/60</f>
        <v>2146.96049308345</v>
      </c>
    </row>
    <row r="1750" customFormat="false" ht="15" hidden="false" customHeight="false" outlineLevel="0" collapsed="false">
      <c r="A1750" s="216"/>
      <c r="B1750" s="1053" t="s">
        <v>4128</v>
      </c>
      <c r="C1750" s="1161"/>
      <c r="D1750" s="912"/>
      <c r="E1750" s="912"/>
      <c r="F1750" s="547"/>
      <c r="G1750" s="1413"/>
      <c r="H1750" s="547"/>
      <c r="I1750" s="547"/>
      <c r="J1750" s="547"/>
      <c r="K1750" s="1365" t="n">
        <f aca="false">J1750/1792.8</f>
        <v>0</v>
      </c>
      <c r="L1750" s="714" t="n">
        <f aca="false">SUM(L1744:L1749)</f>
        <v>260</v>
      </c>
      <c r="M1750" s="934" t="n">
        <f aca="false">SUM(M1744:M1749)</f>
        <v>2221.09484530715</v>
      </c>
    </row>
    <row r="1751" customFormat="false" ht="45" hidden="false" customHeight="false" outlineLevel="0" collapsed="false">
      <c r="A1751" s="216" t="s">
        <v>1037</v>
      </c>
      <c r="B1751" s="335" t="s">
        <v>3311</v>
      </c>
      <c r="C1751" s="1404" t="s">
        <v>7071</v>
      </c>
      <c r="D1751" s="569" t="n">
        <v>2006</v>
      </c>
      <c r="E1751" s="569" t="n">
        <f aca="false">2021-D1751</f>
        <v>15</v>
      </c>
      <c r="F1751" s="1105" t="n">
        <v>138575</v>
      </c>
      <c r="G1751" s="1444" t="n">
        <v>0.1</v>
      </c>
      <c r="H1751" s="1105" t="n">
        <f aca="false">E1751*F1751*G1751</f>
        <v>207862.5</v>
      </c>
      <c r="I1751" s="1105" t="n">
        <f aca="false">F1751-H1751</f>
        <v>-69287.5</v>
      </c>
      <c r="J1751" s="1105" t="n">
        <f aca="false">F1751*G1751</f>
        <v>13857.5</v>
      </c>
      <c r="K1751" s="1365" t="n">
        <f aca="false">J1751/1792.8</f>
        <v>7.7295292280232</v>
      </c>
      <c r="L1751" s="547" t="n">
        <v>10</v>
      </c>
      <c r="M1751" s="819" t="n">
        <f aca="false">K1751*L1751/60</f>
        <v>1.2882548713372</v>
      </c>
    </row>
    <row r="1752" customFormat="false" ht="30" hidden="false" customHeight="false" outlineLevel="0" collapsed="false">
      <c r="A1752" s="216"/>
      <c r="B1752" s="40"/>
      <c r="C1752" s="1404" t="s">
        <v>6959</v>
      </c>
      <c r="D1752" s="1405" t="n">
        <v>2007</v>
      </c>
      <c r="E1752" s="1405" t="n">
        <f aca="false">2021-D1752</f>
        <v>14</v>
      </c>
      <c r="F1752" s="1406" t="n">
        <v>350000</v>
      </c>
      <c r="G1752" s="1407" t="n">
        <v>0.1</v>
      </c>
      <c r="H1752" s="1410" t="n">
        <f aca="false">E1752*F1752*G1752</f>
        <v>490000</v>
      </c>
      <c r="I1752" s="1410" t="n">
        <f aca="false">F1752-H1752</f>
        <v>-140000</v>
      </c>
      <c r="J1752" s="1410" t="n">
        <f aca="false">F1752*G1752</f>
        <v>35000</v>
      </c>
      <c r="K1752" s="1365" t="n">
        <f aca="false">J1752/1792.8</f>
        <v>19.5225345827755</v>
      </c>
      <c r="L1752" s="1445" t="n">
        <v>10</v>
      </c>
      <c r="M1752" s="1408" t="n">
        <f aca="false">K1752*L1752/60</f>
        <v>3.25375576379592</v>
      </c>
    </row>
    <row r="1753" customFormat="false" ht="15" hidden="false" customHeight="false" outlineLevel="0" collapsed="false">
      <c r="A1753" s="216"/>
      <c r="B1753" s="40"/>
      <c r="C1753" s="1404" t="s">
        <v>7075</v>
      </c>
      <c r="D1753" s="569" t="n">
        <v>2015</v>
      </c>
      <c r="E1753" s="569" t="n">
        <f aca="false">2021-D1753</f>
        <v>6</v>
      </c>
      <c r="F1753" s="1105" t="n">
        <v>1028020</v>
      </c>
      <c r="G1753" s="1444" t="n">
        <v>0.1</v>
      </c>
      <c r="H1753" s="1105" t="n">
        <f aca="false">E1753*F1753*G1753</f>
        <v>616812</v>
      </c>
      <c r="I1753" s="1105" t="n">
        <f aca="false">F1753-H1753</f>
        <v>411208</v>
      </c>
      <c r="J1753" s="1105" t="n">
        <f aca="false">F1753*G1753</f>
        <v>102802</v>
      </c>
      <c r="K1753" s="1365" t="n">
        <f aca="false">J1753/1792.8</f>
        <v>57.3415885765283</v>
      </c>
      <c r="L1753" s="547" t="n">
        <v>60</v>
      </c>
      <c r="M1753" s="819" t="n">
        <f aca="false">K1753*L1753/60</f>
        <v>57.3415885765283</v>
      </c>
    </row>
    <row r="1754" customFormat="false" ht="30" hidden="false" customHeight="false" outlineLevel="0" collapsed="false">
      <c r="A1754" s="216"/>
      <c r="B1754" s="40"/>
      <c r="C1754" s="1409" t="s">
        <v>6967</v>
      </c>
      <c r="D1754" s="569" t="n">
        <v>2016</v>
      </c>
      <c r="E1754" s="569" t="n">
        <f aca="false">2021-D1754</f>
        <v>5</v>
      </c>
      <c r="F1754" s="1105" t="n">
        <v>2302000</v>
      </c>
      <c r="G1754" s="1444" t="n">
        <v>0.1</v>
      </c>
      <c r="H1754" s="1105" t="n">
        <f aca="false">E1754*F1754*G1754</f>
        <v>1151000</v>
      </c>
      <c r="I1754" s="1105" t="n">
        <f aca="false">F1754-H1754</f>
        <v>1151000</v>
      </c>
      <c r="J1754" s="1105" t="n">
        <f aca="false">F1754*G1754</f>
        <v>230200</v>
      </c>
      <c r="K1754" s="1365" t="n">
        <f aca="false">J1754/1792.8</f>
        <v>128.402498884427</v>
      </c>
      <c r="L1754" s="547" t="n">
        <v>10</v>
      </c>
      <c r="M1754" s="819" t="n">
        <f aca="false">K1754*L1754/60</f>
        <v>21.4004164807378</v>
      </c>
    </row>
    <row r="1755" customFormat="false" ht="30" hidden="false" customHeight="false" outlineLevel="0" collapsed="false">
      <c r="A1755" s="216"/>
      <c r="B1755" s="40"/>
      <c r="C1755" s="1404" t="s">
        <v>7072</v>
      </c>
      <c r="D1755" s="569" t="n">
        <v>2013</v>
      </c>
      <c r="E1755" s="569" t="n">
        <f aca="false">2021-D1755</f>
        <v>8</v>
      </c>
      <c r="F1755" s="1105" t="n">
        <v>300000</v>
      </c>
      <c r="G1755" s="1444" t="n">
        <v>0.1</v>
      </c>
      <c r="H1755" s="1105" t="n">
        <f aca="false">E1755*F1755*G1755</f>
        <v>240000</v>
      </c>
      <c r="I1755" s="1105" t="n">
        <f aca="false">F1755-H1755</f>
        <v>60000</v>
      </c>
      <c r="J1755" s="1105" t="n">
        <f aca="false">F1755*G1755</f>
        <v>30000</v>
      </c>
      <c r="K1755" s="1365" t="n">
        <f aca="false">J1755/1792.8</f>
        <v>16.7336010709505</v>
      </c>
      <c r="L1755" s="1105" t="n">
        <v>40</v>
      </c>
      <c r="M1755" s="865" t="n">
        <f aca="false">K1755*L1755/60</f>
        <v>11.1557340473003</v>
      </c>
    </row>
    <row r="1756" customFormat="false" ht="30" hidden="false" customHeight="false" outlineLevel="0" collapsed="false">
      <c r="A1756" s="216"/>
      <c r="B1756" s="40"/>
      <c r="C1756" s="1404" t="s">
        <v>7073</v>
      </c>
      <c r="D1756" s="569" t="n">
        <v>2005</v>
      </c>
      <c r="E1756" s="569" t="n">
        <f aca="false">2021-D1756</f>
        <v>16</v>
      </c>
      <c r="F1756" s="1105" t="n">
        <v>39263</v>
      </c>
      <c r="G1756" s="1444" t="n">
        <v>0.15</v>
      </c>
      <c r="H1756" s="1105" t="n">
        <f aca="false">E1756*F1756*G1756</f>
        <v>94231.2</v>
      </c>
      <c r="I1756" s="1105" t="n">
        <f aca="false">F1756-H1756</f>
        <v>-54968.2</v>
      </c>
      <c r="J1756" s="1105" t="n">
        <f aca="false">F1756*G1756</f>
        <v>5889.45</v>
      </c>
      <c r="K1756" s="1365" t="n">
        <f aca="false">J1756/1792.8</f>
        <v>3.28505689424364</v>
      </c>
      <c r="L1756" s="1105" t="n">
        <v>10</v>
      </c>
      <c r="M1756" s="865" t="n">
        <f aca="false">K1756*L1756/60</f>
        <v>0.54750948237394</v>
      </c>
    </row>
    <row r="1757" customFormat="false" ht="30" hidden="false" customHeight="false" outlineLevel="0" collapsed="false">
      <c r="A1757" s="216"/>
      <c r="B1757" s="40"/>
      <c r="C1757" s="1404" t="s">
        <v>7078</v>
      </c>
      <c r="D1757" s="569" t="n">
        <v>2012</v>
      </c>
      <c r="E1757" s="569" t="n">
        <f aca="false">2021-D1757</f>
        <v>9</v>
      </c>
      <c r="F1757" s="1105" t="n">
        <v>12268394.74</v>
      </c>
      <c r="G1757" s="1444" t="n">
        <v>0.1</v>
      </c>
      <c r="H1757" s="1105" t="n">
        <f aca="false">E1757*F1757*G1757</f>
        <v>11041555.266</v>
      </c>
      <c r="I1757" s="1105" t="n">
        <f aca="false">F1757-H1757</f>
        <v>1226839.474</v>
      </c>
      <c r="J1757" s="1105" t="n">
        <f aca="false">F1757*G1757</f>
        <v>1226839.474</v>
      </c>
      <c r="K1757" s="1365" t="n">
        <f aca="false">J1757/1792.8</f>
        <v>684.31474453369</v>
      </c>
      <c r="L1757" s="1105" t="n">
        <v>120</v>
      </c>
      <c r="M1757" s="865" t="n">
        <f aca="false">K1757*L1757/60</f>
        <v>1368.62948906738</v>
      </c>
    </row>
    <row r="1758" customFormat="false" ht="15" hidden="false" customHeight="false" outlineLevel="0" collapsed="false">
      <c r="A1758" s="216"/>
      <c r="B1758" s="1053" t="s">
        <v>4128</v>
      </c>
      <c r="C1758" s="1161"/>
      <c r="D1758" s="912"/>
      <c r="E1758" s="912"/>
      <c r="F1758" s="547"/>
      <c r="G1758" s="1413"/>
      <c r="H1758" s="547"/>
      <c r="I1758" s="547"/>
      <c r="J1758" s="547"/>
      <c r="K1758" s="1365" t="n">
        <f aca="false">J1758/1792.8</f>
        <v>0</v>
      </c>
      <c r="L1758" s="714" t="n">
        <f aca="false">SUM(L1751:L1757)</f>
        <v>260</v>
      </c>
      <c r="M1758" s="934" t="n">
        <f aca="false">SUM(M1751:M1757)</f>
        <v>1463.61674828945</v>
      </c>
    </row>
    <row r="1759" customFormat="false" ht="30" hidden="false" customHeight="false" outlineLevel="0" collapsed="false">
      <c r="A1759" s="216" t="s">
        <v>1039</v>
      </c>
      <c r="B1759" s="40" t="s">
        <v>3312</v>
      </c>
      <c r="C1759" s="1161" t="s">
        <v>7071</v>
      </c>
      <c r="D1759" s="912" t="n">
        <v>2006</v>
      </c>
      <c r="E1759" s="912" t="n">
        <f aca="false">2021-D1759</f>
        <v>15</v>
      </c>
      <c r="F1759" s="547" t="n">
        <v>138575</v>
      </c>
      <c r="G1759" s="1413" t="n">
        <v>0.1</v>
      </c>
      <c r="H1759" s="547" t="n">
        <f aca="false">E1759*F1759*G1759</f>
        <v>207862.5</v>
      </c>
      <c r="I1759" s="547" t="n">
        <f aca="false">F1759-H1759</f>
        <v>-69287.5</v>
      </c>
      <c r="J1759" s="547" t="n">
        <f aca="false">F1759*G1759</f>
        <v>13857.5</v>
      </c>
      <c r="K1759" s="1365" t="n">
        <f aca="false">J1759/1792.8</f>
        <v>7.7295292280232</v>
      </c>
      <c r="L1759" s="547" t="n">
        <v>10</v>
      </c>
      <c r="M1759" s="819" t="n">
        <f aca="false">K1759*L1759/60</f>
        <v>1.2882548713372</v>
      </c>
    </row>
    <row r="1760" customFormat="false" ht="30" hidden="false" customHeight="false" outlineLevel="0" collapsed="false">
      <c r="A1760" s="216"/>
      <c r="B1760" s="40"/>
      <c r="C1760" s="1404" t="s">
        <v>6959</v>
      </c>
      <c r="D1760" s="1405" t="n">
        <v>2007</v>
      </c>
      <c r="E1760" s="1405" t="n">
        <f aca="false">2021-D1760</f>
        <v>14</v>
      </c>
      <c r="F1760" s="1406" t="n">
        <v>350000</v>
      </c>
      <c r="G1760" s="1407" t="n">
        <v>0.1</v>
      </c>
      <c r="H1760" s="1410" t="n">
        <f aca="false">E1760*F1760*G1760</f>
        <v>490000</v>
      </c>
      <c r="I1760" s="1410" t="n">
        <f aca="false">F1760-H1760</f>
        <v>-140000</v>
      </c>
      <c r="J1760" s="1410" t="n">
        <f aca="false">F1760*G1760</f>
        <v>35000</v>
      </c>
      <c r="K1760" s="1365" t="n">
        <f aca="false">J1760/1792.8</f>
        <v>19.5225345827755</v>
      </c>
      <c r="L1760" s="1445" t="n">
        <v>10</v>
      </c>
      <c r="M1760" s="1408" t="n">
        <f aca="false">K1760*L1760/60</f>
        <v>3.25375576379592</v>
      </c>
    </row>
    <row r="1761" customFormat="false" ht="30" hidden="false" customHeight="false" outlineLevel="0" collapsed="false">
      <c r="A1761" s="216"/>
      <c r="B1761" s="40"/>
      <c r="C1761" s="1404" t="s">
        <v>7072</v>
      </c>
      <c r="D1761" s="569" t="n">
        <v>2013</v>
      </c>
      <c r="E1761" s="569" t="n">
        <f aca="false">2021-D1761</f>
        <v>8</v>
      </c>
      <c r="F1761" s="1105" t="n">
        <v>300000</v>
      </c>
      <c r="G1761" s="1444" t="n">
        <v>0.1</v>
      </c>
      <c r="H1761" s="1105" t="n">
        <f aca="false">E1761*F1761*G1761</f>
        <v>240000</v>
      </c>
      <c r="I1761" s="1105" t="n">
        <f aca="false">F1761-H1761</f>
        <v>60000</v>
      </c>
      <c r="J1761" s="1105" t="n">
        <f aca="false">F1761*G1761</f>
        <v>30000</v>
      </c>
      <c r="K1761" s="1365" t="n">
        <f aca="false">J1761/1792.8</f>
        <v>16.7336010709505</v>
      </c>
      <c r="L1761" s="1105" t="n">
        <v>30</v>
      </c>
      <c r="M1761" s="865" t="n">
        <f aca="false">K1761*L1761/60</f>
        <v>8.36680053547524</v>
      </c>
    </row>
    <row r="1762" customFormat="false" ht="15" hidden="false" customHeight="false" outlineLevel="0" collapsed="false">
      <c r="A1762" s="216"/>
      <c r="B1762" s="40"/>
      <c r="C1762" s="1404" t="s">
        <v>7075</v>
      </c>
      <c r="D1762" s="569" t="n">
        <v>2015</v>
      </c>
      <c r="E1762" s="569" t="n">
        <f aca="false">2021-D1762</f>
        <v>6</v>
      </c>
      <c r="F1762" s="1105" t="n">
        <v>1028020</v>
      </c>
      <c r="G1762" s="1444" t="n">
        <v>0.1</v>
      </c>
      <c r="H1762" s="1105" t="n">
        <f aca="false">E1762*F1762*G1762</f>
        <v>616812</v>
      </c>
      <c r="I1762" s="1105" t="n">
        <f aca="false">F1762-H1762</f>
        <v>411208</v>
      </c>
      <c r="J1762" s="1105" t="n">
        <f aca="false">F1762*G1762</f>
        <v>102802</v>
      </c>
      <c r="K1762" s="1365" t="n">
        <f aca="false">J1762/1792.8</f>
        <v>57.3415885765283</v>
      </c>
      <c r="L1762" s="547" t="n">
        <v>60</v>
      </c>
      <c r="M1762" s="819" t="n">
        <f aca="false">K1762*L1762/60</f>
        <v>57.3415885765283</v>
      </c>
    </row>
    <row r="1763" customFormat="false" ht="30" hidden="false" customHeight="false" outlineLevel="0" collapsed="false">
      <c r="A1763" s="216"/>
      <c r="B1763" s="40"/>
      <c r="C1763" s="1409" t="s">
        <v>6967</v>
      </c>
      <c r="D1763" s="569" t="n">
        <v>2016</v>
      </c>
      <c r="E1763" s="569" t="n">
        <f aca="false">2021-D1763</f>
        <v>5</v>
      </c>
      <c r="F1763" s="1105" t="n">
        <v>2302000</v>
      </c>
      <c r="G1763" s="1444" t="n">
        <v>0.1</v>
      </c>
      <c r="H1763" s="1105" t="n">
        <f aca="false">E1763*F1763*G1763</f>
        <v>1151000</v>
      </c>
      <c r="I1763" s="1105" t="n">
        <f aca="false">F1763-H1763</f>
        <v>1151000</v>
      </c>
      <c r="J1763" s="1105" t="n">
        <f aca="false">F1763*G1763</f>
        <v>230200</v>
      </c>
      <c r="K1763" s="1365" t="n">
        <f aca="false">J1763/1792.8</f>
        <v>128.402498884427</v>
      </c>
      <c r="L1763" s="547" t="n">
        <v>10</v>
      </c>
      <c r="M1763" s="819" t="n">
        <f aca="false">K1763*L1763/60</f>
        <v>21.4004164807378</v>
      </c>
    </row>
    <row r="1764" customFormat="false" ht="30" hidden="false" customHeight="false" outlineLevel="0" collapsed="false">
      <c r="A1764" s="216"/>
      <c r="B1764" s="40"/>
      <c r="C1764" s="1161" t="s">
        <v>7073</v>
      </c>
      <c r="D1764" s="912" t="n">
        <v>2005</v>
      </c>
      <c r="E1764" s="912" t="n">
        <f aca="false">2021-D1764</f>
        <v>16</v>
      </c>
      <c r="F1764" s="547" t="n">
        <v>39263</v>
      </c>
      <c r="G1764" s="1413" t="n">
        <v>0.15</v>
      </c>
      <c r="H1764" s="547" t="n">
        <f aca="false">E1764*F1764*G1764</f>
        <v>94231.2</v>
      </c>
      <c r="I1764" s="547" t="n">
        <f aca="false">F1764-H1764</f>
        <v>-54968.2</v>
      </c>
      <c r="J1764" s="547" t="n">
        <f aca="false">F1764*G1764</f>
        <v>5889.45</v>
      </c>
      <c r="K1764" s="1365" t="n">
        <f aca="false">J1764/1792.8</f>
        <v>3.28505689424364</v>
      </c>
      <c r="L1764" s="547" t="n">
        <v>20</v>
      </c>
      <c r="M1764" s="819" t="n">
        <f aca="false">K1764*L1764/60</f>
        <v>1.09501896474788</v>
      </c>
    </row>
    <row r="1765" customFormat="false" ht="30" hidden="false" customHeight="false" outlineLevel="0" collapsed="false">
      <c r="A1765" s="216"/>
      <c r="B1765" s="40"/>
      <c r="C1765" s="1404" t="s">
        <v>7078</v>
      </c>
      <c r="D1765" s="569" t="n">
        <v>2012</v>
      </c>
      <c r="E1765" s="569" t="n">
        <f aca="false">2021-D1765</f>
        <v>9</v>
      </c>
      <c r="F1765" s="1105" t="n">
        <v>12268394.74</v>
      </c>
      <c r="G1765" s="1444" t="n">
        <v>0.1</v>
      </c>
      <c r="H1765" s="1105" t="n">
        <f aca="false">E1765*F1765*G1765</f>
        <v>11041555.266</v>
      </c>
      <c r="I1765" s="547" t="n">
        <f aca="false">F1765-H1765</f>
        <v>1226839.474</v>
      </c>
      <c r="J1765" s="547" t="n">
        <f aca="false">F1765*G1765</f>
        <v>1226839.474</v>
      </c>
      <c r="K1765" s="1365" t="n">
        <f aca="false">J1765/1792.8</f>
        <v>684.31474453369</v>
      </c>
      <c r="L1765" s="547" t="n">
        <v>120</v>
      </c>
      <c r="M1765" s="819" t="n">
        <f aca="false">K1765*L1765/60</f>
        <v>1368.62948906738</v>
      </c>
    </row>
    <row r="1766" customFormat="false" ht="15" hidden="false" customHeight="false" outlineLevel="0" collapsed="false">
      <c r="A1766" s="216"/>
      <c r="B1766" s="1053" t="s">
        <v>4128</v>
      </c>
      <c r="C1766" s="1161"/>
      <c r="D1766" s="912"/>
      <c r="E1766" s="912"/>
      <c r="F1766" s="547"/>
      <c r="G1766" s="1413"/>
      <c r="H1766" s="547"/>
      <c r="I1766" s="547"/>
      <c r="J1766" s="547"/>
      <c r="K1766" s="1365" t="n">
        <f aca="false">J1766/1792.8</f>
        <v>0</v>
      </c>
      <c r="L1766" s="714" t="n">
        <f aca="false">SUM(L1759:L1765)</f>
        <v>260</v>
      </c>
      <c r="M1766" s="934" t="n">
        <f aca="false">SUM(M1759:M1765)</f>
        <v>1461.37532426</v>
      </c>
    </row>
    <row r="1767" customFormat="false" ht="30" hidden="false" customHeight="false" outlineLevel="0" collapsed="false">
      <c r="A1767" s="216" t="s">
        <v>1041</v>
      </c>
      <c r="B1767" s="335" t="s">
        <v>3313</v>
      </c>
      <c r="C1767" s="1161" t="s">
        <v>7071</v>
      </c>
      <c r="D1767" s="912" t="n">
        <v>2006</v>
      </c>
      <c r="E1767" s="912" t="n">
        <f aca="false">2021-D1767</f>
        <v>15</v>
      </c>
      <c r="F1767" s="547" t="n">
        <v>138575</v>
      </c>
      <c r="G1767" s="1413" t="n">
        <v>0.1</v>
      </c>
      <c r="H1767" s="547" t="n">
        <f aca="false">E1767*F1767*G1767</f>
        <v>207862.5</v>
      </c>
      <c r="I1767" s="547" t="n">
        <f aca="false">F1767-H1767</f>
        <v>-69287.5</v>
      </c>
      <c r="J1767" s="547" t="n">
        <f aca="false">F1767*G1767</f>
        <v>13857.5</v>
      </c>
      <c r="K1767" s="1365" t="n">
        <f aca="false">J1767/1792.8</f>
        <v>7.7295292280232</v>
      </c>
      <c r="L1767" s="547" t="n">
        <v>20</v>
      </c>
      <c r="M1767" s="819" t="n">
        <f aca="false">K1767*L1767/60</f>
        <v>2.5765097426744</v>
      </c>
    </row>
    <row r="1768" customFormat="false" ht="30" hidden="false" customHeight="false" outlineLevel="0" collapsed="false">
      <c r="A1768" s="216"/>
      <c r="B1768" s="40"/>
      <c r="C1768" s="1404" t="s">
        <v>6959</v>
      </c>
      <c r="D1768" s="1405" t="n">
        <v>2007</v>
      </c>
      <c r="E1768" s="1405" t="n">
        <f aca="false">2021-D1768</f>
        <v>14</v>
      </c>
      <c r="F1768" s="1406" t="n">
        <v>350000</v>
      </c>
      <c r="G1768" s="1407" t="n">
        <v>0.1</v>
      </c>
      <c r="H1768" s="1410" t="n">
        <f aca="false">E1768*F1768*G1768</f>
        <v>490000</v>
      </c>
      <c r="I1768" s="1410" t="n">
        <f aca="false">F1768-H1768</f>
        <v>-140000</v>
      </c>
      <c r="J1768" s="1410" t="n">
        <f aca="false">F1768*G1768</f>
        <v>35000</v>
      </c>
      <c r="K1768" s="1365" t="n">
        <f aca="false">J1768/1792.8</f>
        <v>19.5225345827755</v>
      </c>
      <c r="L1768" s="1445" t="n">
        <v>10</v>
      </c>
      <c r="M1768" s="1408" t="n">
        <f aca="false">K1768*L1768/60</f>
        <v>3.25375576379592</v>
      </c>
    </row>
    <row r="1769" customFormat="false" ht="30" hidden="false" customHeight="false" outlineLevel="0" collapsed="false">
      <c r="A1769" s="216"/>
      <c r="B1769" s="40"/>
      <c r="C1769" s="1404" t="s">
        <v>7072</v>
      </c>
      <c r="D1769" s="569" t="n">
        <v>2013</v>
      </c>
      <c r="E1769" s="569" t="n">
        <f aca="false">2021-D1769</f>
        <v>8</v>
      </c>
      <c r="F1769" s="1105" t="n">
        <v>300000</v>
      </c>
      <c r="G1769" s="1444" t="n">
        <v>0.1</v>
      </c>
      <c r="H1769" s="1105" t="n">
        <f aca="false">E1769*F1769*G1769</f>
        <v>240000</v>
      </c>
      <c r="I1769" s="1105" t="n">
        <f aca="false">F1769-H1769</f>
        <v>60000</v>
      </c>
      <c r="J1769" s="1105" t="n">
        <f aca="false">F1769*G1769</f>
        <v>30000</v>
      </c>
      <c r="K1769" s="1365" t="n">
        <f aca="false">J1769/1792.8</f>
        <v>16.7336010709505</v>
      </c>
      <c r="L1769" s="1105" t="n">
        <v>30</v>
      </c>
      <c r="M1769" s="865" t="n">
        <f aca="false">K1769*L1769/60</f>
        <v>8.36680053547524</v>
      </c>
    </row>
    <row r="1770" customFormat="false" ht="15" hidden="false" customHeight="false" outlineLevel="0" collapsed="false">
      <c r="A1770" s="216"/>
      <c r="B1770" s="40"/>
      <c r="C1770" s="1404" t="s">
        <v>7075</v>
      </c>
      <c r="D1770" s="569" t="n">
        <v>2015</v>
      </c>
      <c r="E1770" s="569" t="n">
        <f aca="false">2021-D1770</f>
        <v>6</v>
      </c>
      <c r="F1770" s="1105" t="n">
        <v>1028020</v>
      </c>
      <c r="G1770" s="1444" t="n">
        <v>0.1</v>
      </c>
      <c r="H1770" s="1105" t="n">
        <f aca="false">E1770*F1770*G1770</f>
        <v>616812</v>
      </c>
      <c r="I1770" s="1105" t="n">
        <f aca="false">F1770-H1770</f>
        <v>411208</v>
      </c>
      <c r="J1770" s="1105" t="n">
        <f aca="false">F1770*G1770</f>
        <v>102802</v>
      </c>
      <c r="K1770" s="1365" t="n">
        <f aca="false">J1770/1792.8</f>
        <v>57.3415885765283</v>
      </c>
      <c r="L1770" s="1105" t="n">
        <v>60</v>
      </c>
      <c r="M1770" s="865" t="n">
        <f aca="false">K1770*L1770/60</f>
        <v>57.3415885765283</v>
      </c>
    </row>
    <row r="1771" customFormat="false" ht="30" hidden="false" customHeight="false" outlineLevel="0" collapsed="false">
      <c r="A1771" s="216"/>
      <c r="B1771" s="40"/>
      <c r="C1771" s="1409" t="s">
        <v>6967</v>
      </c>
      <c r="D1771" s="569" t="n">
        <v>2016</v>
      </c>
      <c r="E1771" s="569" t="n">
        <f aca="false">2021-D1771</f>
        <v>5</v>
      </c>
      <c r="F1771" s="1105" t="n">
        <v>2302000</v>
      </c>
      <c r="G1771" s="1444" t="n">
        <v>0.1</v>
      </c>
      <c r="H1771" s="1105" t="n">
        <f aca="false">E1771*F1771*G1771</f>
        <v>1151000</v>
      </c>
      <c r="I1771" s="1105" t="n">
        <f aca="false">F1771-H1771</f>
        <v>1151000</v>
      </c>
      <c r="J1771" s="1105" t="n">
        <f aca="false">F1771*G1771</f>
        <v>230200</v>
      </c>
      <c r="K1771" s="1365" t="n">
        <f aca="false">J1771/1792.8</f>
        <v>128.402498884427</v>
      </c>
      <c r="L1771" s="1105" t="n">
        <v>10</v>
      </c>
      <c r="M1771" s="865" t="n">
        <f aca="false">K1771*L1771/60</f>
        <v>21.4004164807378</v>
      </c>
    </row>
    <row r="1772" customFormat="false" ht="30" hidden="false" customHeight="false" outlineLevel="0" collapsed="false">
      <c r="A1772" s="216"/>
      <c r="B1772" s="40"/>
      <c r="C1772" s="1404" t="s">
        <v>7073</v>
      </c>
      <c r="D1772" s="569" t="n">
        <v>2005</v>
      </c>
      <c r="E1772" s="569" t="n">
        <f aca="false">2021-D1772</f>
        <v>16</v>
      </c>
      <c r="F1772" s="1105" t="n">
        <v>39263</v>
      </c>
      <c r="G1772" s="1444" t="n">
        <v>0.1</v>
      </c>
      <c r="H1772" s="1105" t="n">
        <f aca="false">E1772*F1772*G1772</f>
        <v>62820.8</v>
      </c>
      <c r="I1772" s="1105" t="n">
        <f aca="false">F1772-H1772</f>
        <v>-23557.8</v>
      </c>
      <c r="J1772" s="1105" t="n">
        <f aca="false">F1772*G1772</f>
        <v>3926.3</v>
      </c>
      <c r="K1772" s="1365" t="n">
        <f aca="false">J1772/1792.8</f>
        <v>2.19003792949576</v>
      </c>
      <c r="L1772" s="1105" t="n">
        <v>10</v>
      </c>
      <c r="M1772" s="865" t="n">
        <f aca="false">K1772*L1772/60</f>
        <v>0.365006321582627</v>
      </c>
    </row>
    <row r="1773" customFormat="false" ht="30" hidden="false" customHeight="false" outlineLevel="0" collapsed="false">
      <c r="A1773" s="216"/>
      <c r="B1773" s="40"/>
      <c r="C1773" s="1404" t="s">
        <v>7078</v>
      </c>
      <c r="D1773" s="569" t="n">
        <v>2012</v>
      </c>
      <c r="E1773" s="569" t="n">
        <f aca="false">2021-D1773</f>
        <v>9</v>
      </c>
      <c r="F1773" s="1105" t="n">
        <v>12268394.74</v>
      </c>
      <c r="G1773" s="1444" t="n">
        <v>0.1</v>
      </c>
      <c r="H1773" s="1105" t="n">
        <f aca="false">E1773*F1773*G1773</f>
        <v>11041555.266</v>
      </c>
      <c r="I1773" s="1105" t="n">
        <f aca="false">F1773-H1773</f>
        <v>1226839.474</v>
      </c>
      <c r="J1773" s="1105" t="n">
        <f aca="false">F1773*G1773</f>
        <v>1226839.474</v>
      </c>
      <c r="K1773" s="1365" t="n">
        <f aca="false">J1773/1792.8</f>
        <v>684.31474453369</v>
      </c>
      <c r="L1773" s="1105" t="n">
        <v>120</v>
      </c>
      <c r="M1773" s="865" t="n">
        <f aca="false">K1773*L1773/60</f>
        <v>1368.62948906738</v>
      </c>
    </row>
    <row r="1774" customFormat="false" ht="15" hidden="false" customHeight="false" outlineLevel="0" collapsed="false">
      <c r="A1774" s="216"/>
      <c r="B1774" s="1053" t="s">
        <v>4128</v>
      </c>
      <c r="C1774" s="1161"/>
      <c r="D1774" s="912"/>
      <c r="E1774" s="912"/>
      <c r="F1774" s="547"/>
      <c r="G1774" s="1413"/>
      <c r="H1774" s="547"/>
      <c r="I1774" s="547"/>
      <c r="J1774" s="547"/>
      <c r="K1774" s="1365" t="n">
        <f aca="false">J1774/1792.8</f>
        <v>0</v>
      </c>
      <c r="L1774" s="714" t="n">
        <f aca="false">SUM(L1767:L1773)</f>
        <v>260</v>
      </c>
      <c r="M1774" s="934" t="n">
        <f aca="false">SUM(M1767:M1773)</f>
        <v>1461.93356648818</v>
      </c>
    </row>
    <row r="1775" customFormat="false" ht="45" hidden="false" customHeight="false" outlineLevel="0" collapsed="false">
      <c r="A1775" s="216" t="s">
        <v>1043</v>
      </c>
      <c r="B1775" s="335" t="s">
        <v>3314</v>
      </c>
      <c r="C1775" s="1161" t="s">
        <v>7071</v>
      </c>
      <c r="D1775" s="912" t="n">
        <v>2006</v>
      </c>
      <c r="E1775" s="912" t="n">
        <f aca="false">2021-D1775</f>
        <v>15</v>
      </c>
      <c r="F1775" s="547" t="n">
        <v>138575</v>
      </c>
      <c r="G1775" s="1413" t="n">
        <v>0.1</v>
      </c>
      <c r="H1775" s="547" t="n">
        <f aca="false">E1775*F1775*G1775</f>
        <v>207862.5</v>
      </c>
      <c r="I1775" s="547" t="n">
        <f aca="false">F1775-H1775</f>
        <v>-69287.5</v>
      </c>
      <c r="J1775" s="547" t="n">
        <f aca="false">F1775*G1775</f>
        <v>13857.5</v>
      </c>
      <c r="K1775" s="1365" t="n">
        <f aca="false">J1775/1792.8</f>
        <v>7.7295292280232</v>
      </c>
      <c r="L1775" s="547" t="n">
        <v>10</v>
      </c>
      <c r="M1775" s="819" t="n">
        <f aca="false">K1775*L1775/60</f>
        <v>1.2882548713372</v>
      </c>
    </row>
    <row r="1776" customFormat="false" ht="30" hidden="false" customHeight="false" outlineLevel="0" collapsed="false">
      <c r="A1776" s="216"/>
      <c r="B1776" s="40"/>
      <c r="C1776" s="1404" t="s">
        <v>6959</v>
      </c>
      <c r="D1776" s="1405" t="n">
        <v>2007</v>
      </c>
      <c r="E1776" s="1405" t="n">
        <f aca="false">2021-D1776</f>
        <v>14</v>
      </c>
      <c r="F1776" s="1406" t="n">
        <v>350000</v>
      </c>
      <c r="G1776" s="1407" t="n">
        <v>0.1</v>
      </c>
      <c r="H1776" s="1410" t="n">
        <f aca="false">E1776*F1776*G1776</f>
        <v>490000</v>
      </c>
      <c r="I1776" s="1410" t="n">
        <f aca="false">F1776-H1776</f>
        <v>-140000</v>
      </c>
      <c r="J1776" s="1410" t="n">
        <f aca="false">F1776*G1776</f>
        <v>35000</v>
      </c>
      <c r="K1776" s="1365" t="n">
        <f aca="false">J1776/1792.8</f>
        <v>19.5225345827755</v>
      </c>
      <c r="L1776" s="1445" t="n">
        <v>10</v>
      </c>
      <c r="M1776" s="1408" t="n">
        <f aca="false">K1776*L1776/60</f>
        <v>3.25375576379592</v>
      </c>
    </row>
    <row r="1777" customFormat="false" ht="30" hidden="false" customHeight="false" outlineLevel="0" collapsed="false">
      <c r="A1777" s="216"/>
      <c r="B1777" s="40"/>
      <c r="C1777" s="1404" t="s">
        <v>7072</v>
      </c>
      <c r="D1777" s="569" t="n">
        <v>2013</v>
      </c>
      <c r="E1777" s="569" t="n">
        <f aca="false">2021-D1777</f>
        <v>8</v>
      </c>
      <c r="F1777" s="1105" t="n">
        <v>300000</v>
      </c>
      <c r="G1777" s="1444" t="n">
        <v>0.1</v>
      </c>
      <c r="H1777" s="1105" t="n">
        <f aca="false">E1777*F1777*G1777</f>
        <v>240000</v>
      </c>
      <c r="I1777" s="1105" t="n">
        <f aca="false">F1777-H1777</f>
        <v>60000</v>
      </c>
      <c r="J1777" s="1105" t="n">
        <f aca="false">F1777*G1777</f>
        <v>30000</v>
      </c>
      <c r="K1777" s="1365" t="n">
        <f aca="false">J1777/1792.8</f>
        <v>16.7336010709505</v>
      </c>
      <c r="L1777" s="1105" t="n">
        <v>40</v>
      </c>
      <c r="M1777" s="865" t="n">
        <f aca="false">K1777*L1777/60</f>
        <v>11.1557340473003</v>
      </c>
    </row>
    <row r="1778" customFormat="false" ht="15" hidden="false" customHeight="false" outlineLevel="0" collapsed="false">
      <c r="A1778" s="216"/>
      <c r="B1778" s="40"/>
      <c r="C1778" s="1404" t="s">
        <v>7075</v>
      </c>
      <c r="D1778" s="569" t="n">
        <v>2015</v>
      </c>
      <c r="E1778" s="569" t="n">
        <f aca="false">2021-D1778</f>
        <v>6</v>
      </c>
      <c r="F1778" s="1105" t="n">
        <v>1028020</v>
      </c>
      <c r="G1778" s="1444" t="n">
        <v>0.1</v>
      </c>
      <c r="H1778" s="1105" t="n">
        <f aca="false">E1778*F1778*G1778</f>
        <v>616812</v>
      </c>
      <c r="I1778" s="1105" t="n">
        <f aca="false">F1778-H1778</f>
        <v>411208</v>
      </c>
      <c r="J1778" s="1105" t="n">
        <f aca="false">F1778*G1778</f>
        <v>102802</v>
      </c>
      <c r="K1778" s="1365" t="n">
        <f aca="false">J1778/1792.8</f>
        <v>57.3415885765283</v>
      </c>
      <c r="L1778" s="1105" t="n">
        <v>60</v>
      </c>
      <c r="M1778" s="865" t="n">
        <f aca="false">K1778*L1778/60</f>
        <v>57.3415885765283</v>
      </c>
    </row>
    <row r="1779" customFormat="false" ht="30" hidden="false" customHeight="false" outlineLevel="0" collapsed="false">
      <c r="A1779" s="216"/>
      <c r="B1779" s="40"/>
      <c r="C1779" s="1409" t="s">
        <v>6967</v>
      </c>
      <c r="D1779" s="569" t="n">
        <v>2016</v>
      </c>
      <c r="E1779" s="569" t="n">
        <f aca="false">2021-D1779</f>
        <v>5</v>
      </c>
      <c r="F1779" s="1105" t="n">
        <v>2302000</v>
      </c>
      <c r="G1779" s="1444" t="n">
        <v>0.1</v>
      </c>
      <c r="H1779" s="547" t="n">
        <f aca="false">E1779*F1779*G1779</f>
        <v>1151000</v>
      </c>
      <c r="I1779" s="547" t="n">
        <f aca="false">F1779-H1779</f>
        <v>1151000</v>
      </c>
      <c r="J1779" s="547" t="n">
        <f aca="false">F1779*G1779</f>
        <v>230200</v>
      </c>
      <c r="K1779" s="1365" t="n">
        <f aca="false">J1779/1792.8</f>
        <v>128.402498884427</v>
      </c>
      <c r="L1779" s="547" t="n">
        <v>10</v>
      </c>
      <c r="M1779" s="819" t="n">
        <f aca="false">K1779*L1779/60</f>
        <v>21.4004164807378</v>
      </c>
    </row>
    <row r="1780" customFormat="false" ht="30" hidden="false" customHeight="false" outlineLevel="0" collapsed="false">
      <c r="A1780" s="216"/>
      <c r="B1780" s="40"/>
      <c r="C1780" s="1404" t="s">
        <v>7073</v>
      </c>
      <c r="D1780" s="569" t="n">
        <v>2005</v>
      </c>
      <c r="E1780" s="569" t="n">
        <f aca="false">2021-D1780</f>
        <v>16</v>
      </c>
      <c r="F1780" s="1105" t="n">
        <v>39263</v>
      </c>
      <c r="G1780" s="1444" t="n">
        <v>0.1</v>
      </c>
      <c r="H1780" s="547" t="n">
        <f aca="false">E1780*F1780*G1780</f>
        <v>62820.8</v>
      </c>
      <c r="I1780" s="547" t="n">
        <f aca="false">F1780-H1780</f>
        <v>-23557.8</v>
      </c>
      <c r="J1780" s="547" t="n">
        <f aca="false">F1780*G1780</f>
        <v>3926.3</v>
      </c>
      <c r="K1780" s="1365" t="n">
        <f aca="false">J1780/1792.8</f>
        <v>2.19003792949576</v>
      </c>
      <c r="L1780" s="547" t="n">
        <v>10</v>
      </c>
      <c r="M1780" s="819" t="n">
        <f aca="false">K1780*L1780/60</f>
        <v>0.365006321582627</v>
      </c>
    </row>
    <row r="1781" customFormat="false" ht="30" hidden="false" customHeight="false" outlineLevel="0" collapsed="false">
      <c r="A1781" s="216"/>
      <c r="B1781" s="40"/>
      <c r="C1781" s="1404" t="s">
        <v>7078</v>
      </c>
      <c r="D1781" s="569" t="n">
        <v>2012</v>
      </c>
      <c r="E1781" s="569" t="n">
        <f aca="false">2021-D1781</f>
        <v>9</v>
      </c>
      <c r="F1781" s="1105" t="n">
        <v>12268394.74</v>
      </c>
      <c r="G1781" s="1444" t="n">
        <v>0.1</v>
      </c>
      <c r="H1781" s="547" t="n">
        <f aca="false">E1781*F1781*G1781</f>
        <v>11041555.266</v>
      </c>
      <c r="I1781" s="547" t="n">
        <f aca="false">F1781-H1781</f>
        <v>1226839.474</v>
      </c>
      <c r="J1781" s="547" t="n">
        <f aca="false">F1781*G1781</f>
        <v>1226839.474</v>
      </c>
      <c r="K1781" s="1365" t="n">
        <f aca="false">J1781/1792.8</f>
        <v>684.31474453369</v>
      </c>
      <c r="L1781" s="547" t="n">
        <v>120</v>
      </c>
      <c r="M1781" s="819" t="n">
        <f aca="false">K1781*L1781/60</f>
        <v>1368.62948906738</v>
      </c>
    </row>
    <row r="1782" customFormat="false" ht="15" hidden="false" customHeight="false" outlineLevel="0" collapsed="false">
      <c r="A1782" s="216"/>
      <c r="B1782" s="1053" t="s">
        <v>4128</v>
      </c>
      <c r="C1782" s="1404"/>
      <c r="D1782" s="569"/>
      <c r="E1782" s="569"/>
      <c r="F1782" s="1105"/>
      <c r="G1782" s="1444"/>
      <c r="H1782" s="547"/>
      <c r="I1782" s="547"/>
      <c r="J1782" s="547"/>
      <c r="K1782" s="1365" t="n">
        <f aca="false">J1782/1792.8</f>
        <v>0</v>
      </c>
      <c r="L1782" s="714" t="n">
        <f aca="false">SUM(L1775:L1781)</f>
        <v>260</v>
      </c>
      <c r="M1782" s="934" t="n">
        <f aca="false">SUM(M1775:M1781)</f>
        <v>1463.43424512866</v>
      </c>
    </row>
    <row r="1783" customFormat="false" ht="30" hidden="false" customHeight="false" outlineLevel="0" collapsed="false">
      <c r="A1783" s="216" t="s">
        <v>1045</v>
      </c>
      <c r="B1783" s="335" t="s">
        <v>3315</v>
      </c>
      <c r="C1783" s="1161" t="s">
        <v>7071</v>
      </c>
      <c r="D1783" s="912" t="n">
        <v>2006</v>
      </c>
      <c r="E1783" s="912" t="n">
        <f aca="false">2021-D1783</f>
        <v>15</v>
      </c>
      <c r="F1783" s="547" t="n">
        <v>138575</v>
      </c>
      <c r="G1783" s="1413" t="n">
        <v>0.1</v>
      </c>
      <c r="H1783" s="547" t="n">
        <f aca="false">E1783*F1783*G1783</f>
        <v>207862.5</v>
      </c>
      <c r="I1783" s="547" t="n">
        <f aca="false">F1783-H1783</f>
        <v>-69287.5</v>
      </c>
      <c r="J1783" s="547" t="n">
        <f aca="false">F1783*G1783</f>
        <v>13857.5</v>
      </c>
      <c r="K1783" s="1365" t="n">
        <f aca="false">J1783/1792.8</f>
        <v>7.7295292280232</v>
      </c>
      <c r="L1783" s="547" t="n">
        <v>10</v>
      </c>
      <c r="M1783" s="819" t="n">
        <f aca="false">K1783*L1783/60</f>
        <v>1.2882548713372</v>
      </c>
    </row>
    <row r="1784" customFormat="false" ht="30" hidden="false" customHeight="false" outlineLevel="0" collapsed="false">
      <c r="A1784" s="216"/>
      <c r="B1784" s="40"/>
      <c r="C1784" s="1404" t="s">
        <v>6959</v>
      </c>
      <c r="D1784" s="1405" t="n">
        <v>2007</v>
      </c>
      <c r="E1784" s="1405" t="n">
        <f aca="false">2021-D1784</f>
        <v>14</v>
      </c>
      <c r="F1784" s="1406" t="n">
        <v>350000</v>
      </c>
      <c r="G1784" s="1407" t="n">
        <v>0.1</v>
      </c>
      <c r="H1784" s="1410" t="n">
        <f aca="false">E1784*F1784*G1784</f>
        <v>490000</v>
      </c>
      <c r="I1784" s="1410" t="n">
        <f aca="false">F1784-H1784</f>
        <v>-140000</v>
      </c>
      <c r="J1784" s="1410" t="n">
        <f aca="false">F1784*G1784</f>
        <v>35000</v>
      </c>
      <c r="K1784" s="1365" t="n">
        <f aca="false">J1784/1792.8</f>
        <v>19.5225345827755</v>
      </c>
      <c r="L1784" s="1445" t="n">
        <v>10</v>
      </c>
      <c r="M1784" s="1408" t="n">
        <f aca="false">K1784*L1784/60</f>
        <v>3.25375576379592</v>
      </c>
    </row>
    <row r="1785" customFormat="false" ht="30" hidden="false" customHeight="false" outlineLevel="0" collapsed="false">
      <c r="A1785" s="216"/>
      <c r="B1785" s="40"/>
      <c r="C1785" s="1404" t="s">
        <v>7072</v>
      </c>
      <c r="D1785" s="569" t="n">
        <v>2013</v>
      </c>
      <c r="E1785" s="569" t="n">
        <f aca="false">2021-D1785</f>
        <v>8</v>
      </c>
      <c r="F1785" s="1105" t="n">
        <v>300000</v>
      </c>
      <c r="G1785" s="1444" t="n">
        <v>0.1</v>
      </c>
      <c r="H1785" s="1105" t="n">
        <f aca="false">E1785*F1785*G1785</f>
        <v>240000</v>
      </c>
      <c r="I1785" s="1105" t="n">
        <f aca="false">F1785-H1785</f>
        <v>60000</v>
      </c>
      <c r="J1785" s="1105" t="n">
        <f aca="false">F1785*G1785</f>
        <v>30000</v>
      </c>
      <c r="K1785" s="1365" t="n">
        <f aca="false">J1785/1792.8</f>
        <v>16.7336010709505</v>
      </c>
      <c r="L1785" s="1105" t="n">
        <v>30</v>
      </c>
      <c r="M1785" s="865" t="n">
        <f aca="false">K1785*L1785/60</f>
        <v>8.36680053547524</v>
      </c>
    </row>
    <row r="1786" customFormat="false" ht="15" hidden="false" customHeight="false" outlineLevel="0" collapsed="false">
      <c r="A1786" s="216"/>
      <c r="B1786" s="40"/>
      <c r="C1786" s="1404" t="s">
        <v>7075</v>
      </c>
      <c r="D1786" s="569" t="n">
        <v>2015</v>
      </c>
      <c r="E1786" s="569" t="n">
        <f aca="false">2021-D1786</f>
        <v>6</v>
      </c>
      <c r="F1786" s="1105" t="n">
        <v>1028020</v>
      </c>
      <c r="G1786" s="1444" t="n">
        <v>0.1</v>
      </c>
      <c r="H1786" s="1105" t="n">
        <f aca="false">E1786*F1786*G1786</f>
        <v>616812</v>
      </c>
      <c r="I1786" s="1105" t="n">
        <f aca="false">F1786-H1786</f>
        <v>411208</v>
      </c>
      <c r="J1786" s="1105" t="n">
        <f aca="false">F1786*G1786</f>
        <v>102802</v>
      </c>
      <c r="K1786" s="1365" t="n">
        <f aca="false">J1786/1792.8</f>
        <v>57.3415885765283</v>
      </c>
      <c r="L1786" s="547" t="n">
        <v>60</v>
      </c>
      <c r="M1786" s="819" t="n">
        <f aca="false">K1786*L1786/60</f>
        <v>57.3415885765283</v>
      </c>
    </row>
    <row r="1787" customFormat="false" ht="30" hidden="false" customHeight="false" outlineLevel="0" collapsed="false">
      <c r="A1787" s="216"/>
      <c r="B1787" s="40"/>
      <c r="C1787" s="1446" t="s">
        <v>6967</v>
      </c>
      <c r="D1787" s="569" t="n">
        <v>2016</v>
      </c>
      <c r="E1787" s="569" t="n">
        <f aca="false">2021-D1787</f>
        <v>5</v>
      </c>
      <c r="F1787" s="1105" t="n">
        <v>2302000</v>
      </c>
      <c r="G1787" s="1444" t="n">
        <v>0.1</v>
      </c>
      <c r="H1787" s="1105" t="n">
        <f aca="false">E1787*F1787*G1787</f>
        <v>1151000</v>
      </c>
      <c r="I1787" s="1105" t="n">
        <f aca="false">F1787-H1787</f>
        <v>1151000</v>
      </c>
      <c r="J1787" s="1105" t="n">
        <f aca="false">F1787*G1787</f>
        <v>230200</v>
      </c>
      <c r="K1787" s="1365" t="n">
        <f aca="false">J1787/1792.8</f>
        <v>128.402498884427</v>
      </c>
      <c r="L1787" s="547" t="n">
        <v>10</v>
      </c>
      <c r="M1787" s="819" t="n">
        <f aca="false">K1787*L1787/60</f>
        <v>21.4004164807378</v>
      </c>
    </row>
    <row r="1788" customFormat="false" ht="30" hidden="false" customHeight="false" outlineLevel="0" collapsed="false">
      <c r="A1788" s="216"/>
      <c r="B1788" s="40"/>
      <c r="C1788" s="1161" t="s">
        <v>7073</v>
      </c>
      <c r="D1788" s="569" t="n">
        <v>2005</v>
      </c>
      <c r="E1788" s="569" t="n">
        <f aca="false">2021-D1788</f>
        <v>16</v>
      </c>
      <c r="F1788" s="1105" t="n">
        <v>39263</v>
      </c>
      <c r="G1788" s="1444" t="n">
        <v>0.1</v>
      </c>
      <c r="H1788" s="547" t="n">
        <f aca="false">E1788*F1788*G1788</f>
        <v>62820.8</v>
      </c>
      <c r="I1788" s="547" t="n">
        <f aca="false">F1788-H1788</f>
        <v>-23557.8</v>
      </c>
      <c r="J1788" s="547" t="n">
        <f aca="false">F1788*G1788</f>
        <v>3926.3</v>
      </c>
      <c r="K1788" s="1365" t="n">
        <f aca="false">J1788/1792.8</f>
        <v>2.19003792949576</v>
      </c>
      <c r="L1788" s="547" t="n">
        <v>20</v>
      </c>
      <c r="M1788" s="819" t="n">
        <f aca="false">K1788*L1788/60</f>
        <v>0.730012643165254</v>
      </c>
    </row>
    <row r="1789" customFormat="false" ht="30" hidden="false" customHeight="false" outlineLevel="0" collapsed="false">
      <c r="A1789" s="216"/>
      <c r="B1789" s="40"/>
      <c r="C1789" s="1161" t="s">
        <v>7078</v>
      </c>
      <c r="D1789" s="569" t="n">
        <v>2012</v>
      </c>
      <c r="E1789" s="569" t="n">
        <f aca="false">2021-D1789</f>
        <v>9</v>
      </c>
      <c r="F1789" s="1105" t="n">
        <v>12268394.74</v>
      </c>
      <c r="G1789" s="1444" t="n">
        <v>0.1</v>
      </c>
      <c r="H1789" s="547" t="n">
        <f aca="false">E1789*F1789*G1789</f>
        <v>11041555.266</v>
      </c>
      <c r="I1789" s="547" t="n">
        <f aca="false">F1789-H1789</f>
        <v>1226839.474</v>
      </c>
      <c r="J1789" s="547" t="n">
        <f aca="false">F1789*G1789</f>
        <v>1226839.474</v>
      </c>
      <c r="K1789" s="1365" t="n">
        <f aca="false">J1789/1792.8</f>
        <v>684.31474453369</v>
      </c>
      <c r="L1789" s="547" t="n">
        <v>120</v>
      </c>
      <c r="M1789" s="819" t="n">
        <f aca="false">K1789*L1789/60</f>
        <v>1368.62948906738</v>
      </c>
    </row>
    <row r="1790" customFormat="false" ht="15" hidden="false" customHeight="false" outlineLevel="0" collapsed="false">
      <c r="A1790" s="216"/>
      <c r="B1790" s="1053" t="s">
        <v>4128</v>
      </c>
      <c r="C1790" s="1161"/>
      <c r="D1790" s="912"/>
      <c r="E1790" s="912"/>
      <c r="F1790" s="547"/>
      <c r="G1790" s="1413"/>
      <c r="H1790" s="547"/>
      <c r="I1790" s="547"/>
      <c r="J1790" s="547"/>
      <c r="K1790" s="1365" t="n">
        <f aca="false">J1790/1792.8</f>
        <v>0</v>
      </c>
      <c r="L1790" s="714" t="n">
        <f aca="false">SUM(L1783:L1789)</f>
        <v>260</v>
      </c>
      <c r="M1790" s="934" t="n">
        <f aca="false">SUM(M1783:M1789)</f>
        <v>1461.01031793842</v>
      </c>
    </row>
    <row r="1791" customFormat="false" ht="57" hidden="false" customHeight="false" outlineLevel="0" collapsed="false">
      <c r="A1791" s="15" t="s">
        <v>5270</v>
      </c>
      <c r="B1791" s="54" t="s">
        <v>3316</v>
      </c>
      <c r="C1791" s="1387"/>
      <c r="D1791" s="339"/>
      <c r="E1791" s="541"/>
      <c r="F1791" s="751"/>
      <c r="G1791" s="1412"/>
      <c r="H1791" s="1412"/>
      <c r="I1791" s="751"/>
      <c r="J1791" s="751"/>
      <c r="K1791" s="751"/>
      <c r="L1791" s="751"/>
      <c r="M1791" s="818"/>
    </row>
    <row r="1792" customFormat="false" ht="30" hidden="false" customHeight="false" outlineLevel="0" collapsed="false">
      <c r="A1792" s="216" t="s">
        <v>1049</v>
      </c>
      <c r="B1792" s="40" t="s">
        <v>3307</v>
      </c>
      <c r="C1792" s="1404" t="s">
        <v>7070</v>
      </c>
      <c r="D1792" s="569" t="n">
        <v>2009</v>
      </c>
      <c r="E1792" s="569" t="n">
        <f aca="false">2021-D1792</f>
        <v>12</v>
      </c>
      <c r="F1792" s="1105" t="n">
        <v>181000</v>
      </c>
      <c r="G1792" s="1444" t="n">
        <v>0.1</v>
      </c>
      <c r="H1792" s="1105" t="n">
        <f aca="false">E1792*F1792*G1792</f>
        <v>217200</v>
      </c>
      <c r="I1792" s="1105" t="n">
        <f aca="false">F1792-H1792</f>
        <v>-36200</v>
      </c>
      <c r="J1792" s="1105" t="n">
        <f aca="false">F1792*G1792</f>
        <v>18100</v>
      </c>
      <c r="K1792" s="1365" t="n">
        <f aca="false">J1792/1792.8</f>
        <v>10.0959393128068</v>
      </c>
      <c r="L1792" s="1105" t="n">
        <v>20</v>
      </c>
      <c r="M1792" s="819" t="n">
        <f aca="false">K1792*L1792/60</f>
        <v>3.36531310426893</v>
      </c>
    </row>
    <row r="1793" customFormat="false" ht="30" hidden="false" customHeight="false" outlineLevel="0" collapsed="false">
      <c r="A1793" s="216"/>
      <c r="B1793" s="40"/>
      <c r="C1793" s="1404" t="s">
        <v>6959</v>
      </c>
      <c r="D1793" s="1405" t="n">
        <v>2007</v>
      </c>
      <c r="E1793" s="1405" t="n">
        <f aca="false">2021-D1793</f>
        <v>14</v>
      </c>
      <c r="F1793" s="1406" t="n">
        <v>350000</v>
      </c>
      <c r="G1793" s="1407" t="n">
        <v>0.1</v>
      </c>
      <c r="H1793" s="1410" t="n">
        <f aca="false">E1793*F1793*G1793</f>
        <v>490000</v>
      </c>
      <c r="I1793" s="1410" t="n">
        <f aca="false">F1793-H1793</f>
        <v>-140000</v>
      </c>
      <c r="J1793" s="1410" t="n">
        <f aca="false">F1793*G1793</f>
        <v>35000</v>
      </c>
      <c r="K1793" s="1365" t="n">
        <f aca="false">J1793/1792.8</f>
        <v>19.5225345827755</v>
      </c>
      <c r="L1793" s="1445" t="n">
        <v>10</v>
      </c>
      <c r="M1793" s="1408" t="n">
        <f aca="false">K1793*L1793/60</f>
        <v>3.25375576379592</v>
      </c>
    </row>
    <row r="1794" customFormat="false" ht="30" hidden="false" customHeight="false" outlineLevel="0" collapsed="false">
      <c r="A1794" s="216"/>
      <c r="B1794" s="40"/>
      <c r="C1794" s="1161" t="s">
        <v>7071</v>
      </c>
      <c r="D1794" s="912" t="n">
        <v>2006</v>
      </c>
      <c r="E1794" s="912" t="n">
        <f aca="false">2021-D1794</f>
        <v>15</v>
      </c>
      <c r="F1794" s="547" t="n">
        <v>138575</v>
      </c>
      <c r="G1794" s="1413" t="n">
        <v>0.1</v>
      </c>
      <c r="H1794" s="547" t="n">
        <f aca="false">E1794*F1794*G1794</f>
        <v>207862.5</v>
      </c>
      <c r="I1794" s="547" t="n">
        <f aca="false">F1794-H1794</f>
        <v>-69287.5</v>
      </c>
      <c r="J1794" s="547" t="n">
        <f aca="false">F1794*G1794</f>
        <v>13857.5</v>
      </c>
      <c r="K1794" s="1365" t="n">
        <f aca="false">J1794/1792.8</f>
        <v>7.7295292280232</v>
      </c>
      <c r="L1794" s="547" t="n">
        <v>20</v>
      </c>
      <c r="M1794" s="819" t="n">
        <f aca="false">K1794*L1794/60</f>
        <v>2.5765097426744</v>
      </c>
    </row>
    <row r="1795" customFormat="false" ht="30" hidden="false" customHeight="false" outlineLevel="0" collapsed="false">
      <c r="A1795" s="216"/>
      <c r="B1795" s="40"/>
      <c r="C1795" s="1404" t="s">
        <v>7072</v>
      </c>
      <c r="D1795" s="569" t="n">
        <v>2013</v>
      </c>
      <c r="E1795" s="569" t="n">
        <f aca="false">2021-D1795</f>
        <v>8</v>
      </c>
      <c r="F1795" s="1105" t="n">
        <v>300000</v>
      </c>
      <c r="G1795" s="1444" t="n">
        <v>0.1</v>
      </c>
      <c r="H1795" s="1105" t="n">
        <f aca="false">E1795*F1795*G1795</f>
        <v>240000</v>
      </c>
      <c r="I1795" s="1105" t="n">
        <f aca="false">F1795-H1795</f>
        <v>60000</v>
      </c>
      <c r="J1795" s="1105" t="n">
        <f aca="false">F1795*G1795</f>
        <v>30000</v>
      </c>
      <c r="K1795" s="1365" t="n">
        <f aca="false">J1795/1792.8</f>
        <v>16.7336010709505</v>
      </c>
      <c r="L1795" s="1105" t="n">
        <v>50</v>
      </c>
      <c r="M1795" s="865" t="n">
        <f aca="false">K1795*L1795/60</f>
        <v>13.9446675591254</v>
      </c>
    </row>
    <row r="1796" customFormat="false" ht="30" hidden="false" customHeight="false" outlineLevel="0" collapsed="false">
      <c r="A1796" s="216"/>
      <c r="B1796" s="40"/>
      <c r="C1796" s="1161" t="s">
        <v>7073</v>
      </c>
      <c r="D1796" s="912" t="n">
        <v>2005</v>
      </c>
      <c r="E1796" s="912" t="n">
        <f aca="false">2021-D1796</f>
        <v>16</v>
      </c>
      <c r="F1796" s="547" t="n">
        <v>39263</v>
      </c>
      <c r="G1796" s="1413" t="n">
        <v>0.15</v>
      </c>
      <c r="H1796" s="547" t="n">
        <f aca="false">E1796*F1796*G1796</f>
        <v>94231.2</v>
      </c>
      <c r="I1796" s="547" t="n">
        <f aca="false">F1796-H1796</f>
        <v>-54968.2</v>
      </c>
      <c r="J1796" s="547" t="n">
        <f aca="false">F1796*G1796</f>
        <v>5889.45</v>
      </c>
      <c r="K1796" s="1365" t="n">
        <f aca="false">J1796/1792.8</f>
        <v>3.28505689424364</v>
      </c>
      <c r="L1796" s="547" t="n">
        <v>30</v>
      </c>
      <c r="M1796" s="819" t="n">
        <f aca="false">K1796*L1796/60</f>
        <v>1.64252844712182</v>
      </c>
    </row>
    <row r="1797" customFormat="false" ht="30" hidden="false" customHeight="false" outlineLevel="0" collapsed="false">
      <c r="A1797" s="216"/>
      <c r="B1797" s="40"/>
      <c r="C1797" s="1161" t="s">
        <v>7074</v>
      </c>
      <c r="D1797" s="912" t="n">
        <v>2003</v>
      </c>
      <c r="E1797" s="912" t="n">
        <f aca="false">2021-D1797</f>
        <v>18</v>
      </c>
      <c r="F1797" s="547" t="n">
        <v>2471090</v>
      </c>
      <c r="G1797" s="1413" t="n">
        <v>0.1</v>
      </c>
      <c r="H1797" s="547" t="n">
        <f aca="false">E1797*F1797*G1797</f>
        <v>4447962</v>
      </c>
      <c r="I1797" s="547" t="n">
        <f aca="false">F1797-H1797</f>
        <v>-1976872</v>
      </c>
      <c r="J1797" s="547" t="n">
        <f aca="false">F1797*G1797</f>
        <v>247109</v>
      </c>
      <c r="K1797" s="1365" t="n">
        <f aca="false">J1797/1792.8</f>
        <v>137.834114234717</v>
      </c>
      <c r="L1797" s="547" t="n">
        <v>130</v>
      </c>
      <c r="M1797" s="819" t="n">
        <f aca="false">K1797*L1797/60</f>
        <v>298.640580841886</v>
      </c>
    </row>
    <row r="1798" customFormat="false" ht="15" hidden="false" customHeight="false" outlineLevel="0" collapsed="false">
      <c r="A1798" s="216"/>
      <c r="B1798" s="1053" t="s">
        <v>4128</v>
      </c>
      <c r="C1798" s="1161"/>
      <c r="D1798" s="912"/>
      <c r="E1798" s="912"/>
      <c r="F1798" s="547"/>
      <c r="G1798" s="1413"/>
      <c r="H1798" s="547"/>
      <c r="I1798" s="547"/>
      <c r="J1798" s="547"/>
      <c r="K1798" s="1365" t="n">
        <f aca="false">J1798/1792.8</f>
        <v>0</v>
      </c>
      <c r="L1798" s="714" t="n">
        <f aca="false">SUM(L1792:L1797)</f>
        <v>260</v>
      </c>
      <c r="M1798" s="934" t="n">
        <f aca="false">SUM(M1792:M1797)</f>
        <v>323.423355458873</v>
      </c>
    </row>
    <row r="1799" customFormat="false" ht="30" hidden="false" customHeight="false" outlineLevel="0" collapsed="false">
      <c r="A1799" s="216" t="s">
        <v>1050</v>
      </c>
      <c r="B1799" s="40" t="s">
        <v>3310</v>
      </c>
      <c r="C1799" s="1161" t="s">
        <v>7071</v>
      </c>
      <c r="D1799" s="912" t="n">
        <v>2006</v>
      </c>
      <c r="E1799" s="912" t="n">
        <f aca="false">2021-D1799</f>
        <v>15</v>
      </c>
      <c r="F1799" s="547" t="n">
        <v>138575</v>
      </c>
      <c r="G1799" s="1413" t="n">
        <v>0.1</v>
      </c>
      <c r="H1799" s="547" t="n">
        <f aca="false">E1799*F1799*G1799</f>
        <v>207862.5</v>
      </c>
      <c r="I1799" s="547" t="n">
        <f aca="false">F1799-H1799</f>
        <v>-69287.5</v>
      </c>
      <c r="J1799" s="547" t="n">
        <f aca="false">F1799*G1799</f>
        <v>13857.5</v>
      </c>
      <c r="K1799" s="1365" t="n">
        <f aca="false">J1799/1792.8</f>
        <v>7.7295292280232</v>
      </c>
      <c r="L1799" s="547" t="n">
        <v>10</v>
      </c>
      <c r="M1799" s="819" t="n">
        <f aca="false">K1799*L1799/60</f>
        <v>1.2882548713372</v>
      </c>
    </row>
    <row r="1800" customFormat="false" ht="30" hidden="false" customHeight="false" outlineLevel="0" collapsed="false">
      <c r="A1800" s="216"/>
      <c r="B1800" s="40"/>
      <c r="C1800" s="1404" t="s">
        <v>6959</v>
      </c>
      <c r="D1800" s="1405" t="n">
        <v>2007</v>
      </c>
      <c r="E1800" s="1405" t="n">
        <f aca="false">2021-D1800</f>
        <v>14</v>
      </c>
      <c r="F1800" s="1406" t="n">
        <v>350000</v>
      </c>
      <c r="G1800" s="1407" t="n">
        <v>0.1</v>
      </c>
      <c r="H1800" s="1410" t="n">
        <f aca="false">E1800*F1800*G1800</f>
        <v>490000</v>
      </c>
      <c r="I1800" s="1410" t="n">
        <f aca="false">F1800-H1800</f>
        <v>-140000</v>
      </c>
      <c r="J1800" s="1410" t="n">
        <f aca="false">F1800*G1800</f>
        <v>35000</v>
      </c>
      <c r="K1800" s="1365" t="n">
        <f aca="false">J1800/1792.8</f>
        <v>19.5225345827755</v>
      </c>
      <c r="L1800" s="1445" t="n">
        <v>10</v>
      </c>
      <c r="M1800" s="1408" t="n">
        <f aca="false">K1800*L1800/60</f>
        <v>3.25375576379592</v>
      </c>
    </row>
    <row r="1801" customFormat="false" ht="15" hidden="false" customHeight="false" outlineLevel="0" collapsed="false">
      <c r="A1801" s="1403"/>
      <c r="B1801" s="118"/>
      <c r="C1801" s="1404" t="s">
        <v>7075</v>
      </c>
      <c r="D1801" s="569" t="n">
        <v>2015</v>
      </c>
      <c r="E1801" s="569" t="n">
        <f aca="false">2021-D1801</f>
        <v>6</v>
      </c>
      <c r="F1801" s="1105" t="n">
        <v>1028020</v>
      </c>
      <c r="G1801" s="1444" t="n">
        <v>0.1</v>
      </c>
      <c r="H1801" s="1105" t="n">
        <f aca="false">E1801*F1801*G1801</f>
        <v>616812</v>
      </c>
      <c r="I1801" s="547" t="n">
        <f aca="false">F1801-H1801</f>
        <v>411208</v>
      </c>
      <c r="J1801" s="547" t="n">
        <f aca="false">F1801*G1801</f>
        <v>102802</v>
      </c>
      <c r="K1801" s="1365" t="n">
        <f aca="false">J1801/1792.8</f>
        <v>57.3415885765283</v>
      </c>
      <c r="L1801" s="547" t="n">
        <v>60</v>
      </c>
      <c r="M1801" s="819" t="n">
        <f aca="false">K1801*L1801/60</f>
        <v>57.3415885765283</v>
      </c>
    </row>
    <row r="1802" customFormat="false" ht="30" hidden="false" customHeight="false" outlineLevel="0" collapsed="false">
      <c r="A1802" s="216"/>
      <c r="B1802" s="40"/>
      <c r="C1802" s="1404" t="s">
        <v>7072</v>
      </c>
      <c r="D1802" s="569" t="n">
        <v>2013</v>
      </c>
      <c r="E1802" s="569" t="n">
        <f aca="false">2021-D1802</f>
        <v>8</v>
      </c>
      <c r="F1802" s="1105" t="n">
        <v>300000</v>
      </c>
      <c r="G1802" s="1444" t="n">
        <v>0.1</v>
      </c>
      <c r="H1802" s="1105" t="n">
        <f aca="false">E1802*F1802*G1802</f>
        <v>240000</v>
      </c>
      <c r="I1802" s="1105" t="n">
        <f aca="false">F1802-H1802</f>
        <v>60000</v>
      </c>
      <c r="J1802" s="1105" t="n">
        <f aca="false">F1802*G1802</f>
        <v>30000</v>
      </c>
      <c r="K1802" s="1365" t="n">
        <f aca="false">J1802/1792.8</f>
        <v>16.7336010709505</v>
      </c>
      <c r="L1802" s="1105" t="n">
        <v>40</v>
      </c>
      <c r="M1802" s="865" t="n">
        <f aca="false">K1802*L1802/60</f>
        <v>11.1557340473003</v>
      </c>
    </row>
    <row r="1803" customFormat="false" ht="30" hidden="false" customHeight="false" outlineLevel="0" collapsed="false">
      <c r="A1803" s="216"/>
      <c r="B1803" s="40"/>
      <c r="C1803" s="1404" t="s">
        <v>7073</v>
      </c>
      <c r="D1803" s="569" t="n">
        <v>2005</v>
      </c>
      <c r="E1803" s="569" t="n">
        <f aca="false">2021-D1803</f>
        <v>16</v>
      </c>
      <c r="F1803" s="1105" t="n">
        <v>39263</v>
      </c>
      <c r="G1803" s="1444" t="n">
        <v>0.15</v>
      </c>
      <c r="H1803" s="1105" t="n">
        <f aca="false">E1803*F1803*G1803</f>
        <v>94231.2</v>
      </c>
      <c r="I1803" s="1105" t="n">
        <f aca="false">F1803-H1803</f>
        <v>-54968.2</v>
      </c>
      <c r="J1803" s="1105" t="n">
        <f aca="false">F1803*G1803</f>
        <v>5889.45</v>
      </c>
      <c r="K1803" s="1365" t="n">
        <f aca="false">J1803/1792.8</f>
        <v>3.28505689424364</v>
      </c>
      <c r="L1803" s="547" t="n">
        <v>20</v>
      </c>
      <c r="M1803" s="819" t="n">
        <f aca="false">K1803*L1803/60</f>
        <v>1.09501896474788</v>
      </c>
    </row>
    <row r="1804" customFormat="false" ht="30" hidden="false" customHeight="false" outlineLevel="0" collapsed="false">
      <c r="A1804" s="216"/>
      <c r="B1804" s="40"/>
      <c r="C1804" s="1404" t="s">
        <v>7077</v>
      </c>
      <c r="D1804" s="569" t="n">
        <v>2012</v>
      </c>
      <c r="E1804" s="569" t="n">
        <f aca="false">2021-D1804</f>
        <v>9</v>
      </c>
      <c r="F1804" s="1105" t="n">
        <v>19245353.86</v>
      </c>
      <c r="G1804" s="1444" t="n">
        <v>0.1</v>
      </c>
      <c r="H1804" s="1105" t="n">
        <f aca="false">E1804*F1804*G1804</f>
        <v>17320818.474</v>
      </c>
      <c r="I1804" s="1105" t="n">
        <f aca="false">F1804-H1804</f>
        <v>1924535.386</v>
      </c>
      <c r="J1804" s="1105" t="n">
        <f aca="false">F1804*G1804</f>
        <v>1924535.386</v>
      </c>
      <c r="K1804" s="1365" t="n">
        <f aca="false">J1804/1792.8</f>
        <v>1073.48024654172</v>
      </c>
      <c r="L1804" s="547" t="n">
        <v>120</v>
      </c>
      <c r="M1804" s="819" t="n">
        <f aca="false">K1804*L1804/60</f>
        <v>2146.96049308345</v>
      </c>
    </row>
    <row r="1805" customFormat="false" ht="15" hidden="false" customHeight="false" outlineLevel="0" collapsed="false">
      <c r="A1805" s="216"/>
      <c r="B1805" s="1053" t="s">
        <v>4128</v>
      </c>
      <c r="C1805" s="1161"/>
      <c r="D1805" s="912"/>
      <c r="E1805" s="912"/>
      <c r="F1805" s="547"/>
      <c r="G1805" s="1413"/>
      <c r="H1805" s="547"/>
      <c r="I1805" s="547"/>
      <c r="J1805" s="547"/>
      <c r="K1805" s="1365" t="n">
        <f aca="false">J1805/1792.8</f>
        <v>0</v>
      </c>
      <c r="L1805" s="714" t="n">
        <f aca="false">SUM(L1799:L1804)</f>
        <v>260</v>
      </c>
      <c r="M1805" s="934" t="n">
        <f aca="false">SUM(M1799:M1804)</f>
        <v>2221.09484530715</v>
      </c>
    </row>
    <row r="1806" customFormat="false" ht="30" hidden="false" customHeight="false" outlineLevel="0" collapsed="false">
      <c r="A1806" s="216" t="s">
        <v>1052</v>
      </c>
      <c r="B1806" s="40" t="s">
        <v>3317</v>
      </c>
      <c r="C1806" s="1161" t="s">
        <v>7071</v>
      </c>
      <c r="D1806" s="912" t="n">
        <v>2006</v>
      </c>
      <c r="E1806" s="912" t="n">
        <f aca="false">2021-D1806</f>
        <v>15</v>
      </c>
      <c r="F1806" s="547" t="n">
        <v>138575</v>
      </c>
      <c r="G1806" s="1413" t="n">
        <v>0.1</v>
      </c>
      <c r="H1806" s="547" t="n">
        <f aca="false">E1806*F1806*G1806</f>
        <v>207862.5</v>
      </c>
      <c r="I1806" s="547" t="n">
        <f aca="false">F1806-H1806</f>
        <v>-69287.5</v>
      </c>
      <c r="J1806" s="547" t="n">
        <f aca="false">F1806*G1806</f>
        <v>13857.5</v>
      </c>
      <c r="K1806" s="1365" t="n">
        <f aca="false">J1806/1792.8</f>
        <v>7.7295292280232</v>
      </c>
      <c r="L1806" s="547" t="n">
        <v>10</v>
      </c>
      <c r="M1806" s="819" t="n">
        <f aca="false">K1806*L1806/60</f>
        <v>1.2882548713372</v>
      </c>
    </row>
    <row r="1807" customFormat="false" ht="30" hidden="false" customHeight="false" outlineLevel="0" collapsed="false">
      <c r="A1807" s="216"/>
      <c r="B1807" s="40"/>
      <c r="C1807" s="1404" t="s">
        <v>6959</v>
      </c>
      <c r="D1807" s="1405" t="n">
        <v>2007</v>
      </c>
      <c r="E1807" s="1405" t="n">
        <f aca="false">2021-D1807</f>
        <v>14</v>
      </c>
      <c r="F1807" s="1406" t="n">
        <v>350000</v>
      </c>
      <c r="G1807" s="1407" t="n">
        <v>0.1</v>
      </c>
      <c r="H1807" s="1410" t="n">
        <f aca="false">E1807*F1807*G1807</f>
        <v>490000</v>
      </c>
      <c r="I1807" s="1410" t="n">
        <f aca="false">F1807-H1807</f>
        <v>-140000</v>
      </c>
      <c r="J1807" s="1410" t="n">
        <f aca="false">F1807*G1807</f>
        <v>35000</v>
      </c>
      <c r="K1807" s="1365" t="n">
        <f aca="false">J1807/1792.8</f>
        <v>19.5225345827755</v>
      </c>
      <c r="L1807" s="1445" t="n">
        <v>10</v>
      </c>
      <c r="M1807" s="1408" t="n">
        <f aca="false">K1807*L1807/60</f>
        <v>3.25375576379592</v>
      </c>
    </row>
    <row r="1808" customFormat="false" ht="30" hidden="false" customHeight="false" outlineLevel="0" collapsed="false">
      <c r="A1808" s="216"/>
      <c r="B1808" s="40"/>
      <c r="C1808" s="1404" t="s">
        <v>7072</v>
      </c>
      <c r="D1808" s="569" t="n">
        <v>2013</v>
      </c>
      <c r="E1808" s="569" t="n">
        <f aca="false">2021-D1808</f>
        <v>8</v>
      </c>
      <c r="F1808" s="1105" t="n">
        <v>300000</v>
      </c>
      <c r="G1808" s="1444" t="n">
        <v>0.1</v>
      </c>
      <c r="H1808" s="1105" t="n">
        <f aca="false">E1808*F1808*G1808</f>
        <v>240000</v>
      </c>
      <c r="I1808" s="1105" t="n">
        <f aca="false">F1808-H1808</f>
        <v>60000</v>
      </c>
      <c r="J1808" s="1105" t="n">
        <f aca="false">F1808*G1808</f>
        <v>30000</v>
      </c>
      <c r="K1808" s="1365" t="n">
        <f aca="false">J1808/1792.8</f>
        <v>16.7336010709505</v>
      </c>
      <c r="L1808" s="1105" t="n">
        <v>40</v>
      </c>
      <c r="M1808" s="865" t="n">
        <f aca="false">K1808*L1808/60</f>
        <v>11.1557340473003</v>
      </c>
    </row>
    <row r="1809" customFormat="false" ht="15" hidden="false" customHeight="false" outlineLevel="0" collapsed="false">
      <c r="A1809" s="216"/>
      <c r="B1809" s="40"/>
      <c r="C1809" s="1404" t="s">
        <v>7075</v>
      </c>
      <c r="D1809" s="569" t="n">
        <v>2015</v>
      </c>
      <c r="E1809" s="569" t="n">
        <f aca="false">2021-D1809</f>
        <v>6</v>
      </c>
      <c r="F1809" s="1105" t="n">
        <v>1028020</v>
      </c>
      <c r="G1809" s="1444" t="n">
        <v>0.1</v>
      </c>
      <c r="H1809" s="1105" t="n">
        <f aca="false">E1809*F1809*G1809</f>
        <v>616812</v>
      </c>
      <c r="I1809" s="1105" t="n">
        <f aca="false">F1809-H1809</f>
        <v>411208</v>
      </c>
      <c r="J1809" s="1105" t="n">
        <f aca="false">F1809*G1809</f>
        <v>102802</v>
      </c>
      <c r="K1809" s="1365" t="n">
        <f aca="false">J1809/1792.8</f>
        <v>57.3415885765283</v>
      </c>
      <c r="L1809" s="1105" t="n">
        <v>60</v>
      </c>
      <c r="M1809" s="865" t="n">
        <f aca="false">K1809*L1809/60</f>
        <v>57.3415885765283</v>
      </c>
    </row>
    <row r="1810" customFormat="false" ht="30" hidden="false" customHeight="false" outlineLevel="0" collapsed="false">
      <c r="A1810" s="216"/>
      <c r="B1810" s="40"/>
      <c r="C1810" s="1409" t="s">
        <v>6967</v>
      </c>
      <c r="D1810" s="569" t="n">
        <v>2016</v>
      </c>
      <c r="E1810" s="569" t="n">
        <f aca="false">2021-D1810</f>
        <v>5</v>
      </c>
      <c r="F1810" s="1105" t="n">
        <v>2302000</v>
      </c>
      <c r="G1810" s="1444" t="n">
        <v>0.1</v>
      </c>
      <c r="H1810" s="547" t="n">
        <f aca="false">E1810*F1810*G1810</f>
        <v>1151000</v>
      </c>
      <c r="I1810" s="547" t="n">
        <f aca="false">F1810-H1810</f>
        <v>1151000</v>
      </c>
      <c r="J1810" s="547" t="n">
        <f aca="false">F1810*G1810</f>
        <v>230200</v>
      </c>
      <c r="K1810" s="1365" t="n">
        <f aca="false">J1810/1792.8</f>
        <v>128.402498884427</v>
      </c>
      <c r="L1810" s="547" t="n">
        <v>10</v>
      </c>
      <c r="M1810" s="819" t="n">
        <f aca="false">K1810*L1810/60</f>
        <v>21.4004164807378</v>
      </c>
    </row>
    <row r="1811" customFormat="false" ht="30" hidden="false" customHeight="false" outlineLevel="0" collapsed="false">
      <c r="A1811" s="216"/>
      <c r="B1811" s="40"/>
      <c r="C1811" s="1404" t="s">
        <v>7073</v>
      </c>
      <c r="D1811" s="569" t="n">
        <v>2005</v>
      </c>
      <c r="E1811" s="569" t="n">
        <f aca="false">2021-D1811</f>
        <v>16</v>
      </c>
      <c r="F1811" s="1105" t="n">
        <v>39263</v>
      </c>
      <c r="G1811" s="1444" t="n">
        <v>0.1</v>
      </c>
      <c r="H1811" s="547" t="n">
        <f aca="false">E1811*F1811*G1811</f>
        <v>62820.8</v>
      </c>
      <c r="I1811" s="547" t="n">
        <f aca="false">F1811-H1811</f>
        <v>-23557.8</v>
      </c>
      <c r="J1811" s="547" t="n">
        <f aca="false">F1811*G1811</f>
        <v>3926.3</v>
      </c>
      <c r="K1811" s="1365" t="n">
        <f aca="false">J1811/1792.8</f>
        <v>2.19003792949576</v>
      </c>
      <c r="L1811" s="547" t="n">
        <v>10</v>
      </c>
      <c r="M1811" s="819" t="n">
        <f aca="false">K1811*L1811/60</f>
        <v>0.365006321582627</v>
      </c>
    </row>
    <row r="1812" customFormat="false" ht="30" hidden="false" customHeight="false" outlineLevel="0" collapsed="false">
      <c r="A1812" s="216"/>
      <c r="B1812" s="40"/>
      <c r="C1812" s="1404" t="s">
        <v>7078</v>
      </c>
      <c r="D1812" s="569" t="n">
        <v>2012</v>
      </c>
      <c r="E1812" s="569" t="n">
        <f aca="false">2021-D1812</f>
        <v>9</v>
      </c>
      <c r="F1812" s="1105" t="n">
        <v>12268394.74</v>
      </c>
      <c r="G1812" s="1444" t="n">
        <v>0.1</v>
      </c>
      <c r="H1812" s="547" t="n">
        <f aca="false">E1812*F1812*G1812</f>
        <v>11041555.266</v>
      </c>
      <c r="I1812" s="547" t="n">
        <f aca="false">F1812-H1812</f>
        <v>1226839.474</v>
      </c>
      <c r="J1812" s="547" t="n">
        <f aca="false">F1812*G1812</f>
        <v>1226839.474</v>
      </c>
      <c r="K1812" s="1365" t="n">
        <f aca="false">J1812/1792.8</f>
        <v>684.31474453369</v>
      </c>
      <c r="L1812" s="547" t="n">
        <v>120</v>
      </c>
      <c r="M1812" s="819" t="n">
        <f aca="false">K1812*L1812/60</f>
        <v>1368.62948906738</v>
      </c>
    </row>
    <row r="1813" customFormat="false" ht="15" hidden="false" customHeight="false" outlineLevel="0" collapsed="false">
      <c r="A1813" s="216"/>
      <c r="B1813" s="1053" t="s">
        <v>4128</v>
      </c>
      <c r="C1813" s="1161"/>
      <c r="D1813" s="912"/>
      <c r="E1813" s="912"/>
      <c r="F1813" s="547"/>
      <c r="G1813" s="1413"/>
      <c r="H1813" s="547"/>
      <c r="I1813" s="547"/>
      <c r="J1813" s="547"/>
      <c r="K1813" s="1365" t="n">
        <f aca="false">J1813/1792.8</f>
        <v>0</v>
      </c>
      <c r="L1813" s="714" t="n">
        <f aca="false">SUM(L1806:L1812)</f>
        <v>260</v>
      </c>
      <c r="M1813" s="934" t="n">
        <f aca="false">SUM(M1806:M1812)</f>
        <v>1463.43424512866</v>
      </c>
    </row>
    <row r="1814" customFormat="false" ht="42.75" hidden="false" customHeight="false" outlineLevel="0" collapsed="false">
      <c r="A1814" s="15" t="s">
        <v>5273</v>
      </c>
      <c r="B1814" s="54" t="s">
        <v>3318</v>
      </c>
      <c r="C1814" s="1387"/>
      <c r="D1814" s="339"/>
      <c r="E1814" s="541"/>
      <c r="F1814" s="751"/>
      <c r="G1814" s="1412"/>
      <c r="H1814" s="1412"/>
      <c r="I1814" s="751"/>
      <c r="J1814" s="751"/>
      <c r="K1814" s="1390"/>
      <c r="L1814" s="751"/>
      <c r="M1814" s="818"/>
    </row>
    <row r="1815" customFormat="false" ht="30" hidden="false" customHeight="false" outlineLevel="0" collapsed="false">
      <c r="A1815" s="216" t="s">
        <v>1056</v>
      </c>
      <c r="B1815" s="40" t="s">
        <v>3307</v>
      </c>
      <c r="C1815" s="1404" t="s">
        <v>7070</v>
      </c>
      <c r="D1815" s="569" t="n">
        <v>2009</v>
      </c>
      <c r="E1815" s="569" t="n">
        <f aca="false">2021-D1815</f>
        <v>12</v>
      </c>
      <c r="F1815" s="1105" t="n">
        <v>181000</v>
      </c>
      <c r="G1815" s="1444" t="n">
        <v>0.1</v>
      </c>
      <c r="H1815" s="1105" t="n">
        <f aca="false">E1815*F1815*G1815</f>
        <v>217200</v>
      </c>
      <c r="I1815" s="1105" t="n">
        <f aca="false">F1815-H1815</f>
        <v>-36200</v>
      </c>
      <c r="J1815" s="1105" t="n">
        <f aca="false">F1815*G1815</f>
        <v>18100</v>
      </c>
      <c r="K1815" s="1365" t="n">
        <f aca="false">J1815/1792.8</f>
        <v>10.0959393128068</v>
      </c>
      <c r="L1815" s="1105" t="n">
        <v>10</v>
      </c>
      <c r="M1815" s="819" t="n">
        <f aca="false">K1815*L1815/60</f>
        <v>1.68265655213446</v>
      </c>
    </row>
    <row r="1816" customFormat="false" ht="30" hidden="false" customHeight="false" outlineLevel="0" collapsed="false">
      <c r="A1816" s="216"/>
      <c r="B1816" s="40"/>
      <c r="C1816" s="1404" t="s">
        <v>6963</v>
      </c>
      <c r="D1816" s="1405" t="n">
        <v>2007</v>
      </c>
      <c r="E1816" s="1405" t="n">
        <f aca="false">2021-D1816</f>
        <v>14</v>
      </c>
      <c r="F1816" s="1406" t="n">
        <v>176358</v>
      </c>
      <c r="G1816" s="1407" t="n">
        <v>0.1</v>
      </c>
      <c r="H1816" s="1410" t="n">
        <f aca="false">E1816*F1816*G1816</f>
        <v>246901.2</v>
      </c>
      <c r="I1816" s="1410" t="n">
        <f aca="false">F1816-H1816</f>
        <v>-70543.2</v>
      </c>
      <c r="J1816" s="1410" t="n">
        <f aca="false">F1816*G1816</f>
        <v>17635.8</v>
      </c>
      <c r="K1816" s="1365" t="n">
        <f aca="false">J1816/1792.8</f>
        <v>9.83701472556894</v>
      </c>
      <c r="L1816" s="1445" t="n">
        <v>5</v>
      </c>
      <c r="M1816" s="1408" t="n">
        <f aca="false">K1816*L1816/60</f>
        <v>0.819751227130745</v>
      </c>
    </row>
    <row r="1817" customFormat="false" ht="30" hidden="false" customHeight="false" outlineLevel="0" collapsed="false">
      <c r="A1817" s="216"/>
      <c r="B1817" s="40"/>
      <c r="C1817" s="1404" t="s">
        <v>6959</v>
      </c>
      <c r="D1817" s="1405" t="n">
        <v>2007</v>
      </c>
      <c r="E1817" s="1405" t="n">
        <f aca="false">2021-D1817</f>
        <v>14</v>
      </c>
      <c r="F1817" s="1406" t="n">
        <v>350000</v>
      </c>
      <c r="G1817" s="1407" t="n">
        <v>0.1</v>
      </c>
      <c r="H1817" s="1410" t="n">
        <f aca="false">E1817*F1817*G1817</f>
        <v>490000</v>
      </c>
      <c r="I1817" s="1410" t="n">
        <f aca="false">F1817-H1817</f>
        <v>-140000</v>
      </c>
      <c r="J1817" s="1410" t="n">
        <f aca="false">F1817*G1817</f>
        <v>35000</v>
      </c>
      <c r="K1817" s="1365" t="n">
        <f aca="false">J1817/1792.8</f>
        <v>19.5225345827755</v>
      </c>
      <c r="L1817" s="1445" t="n">
        <v>5</v>
      </c>
      <c r="M1817" s="1408" t="n">
        <f aca="false">K1817*L1817/60</f>
        <v>1.62687788189796</v>
      </c>
    </row>
    <row r="1818" customFormat="false" ht="30" hidden="false" customHeight="false" outlineLevel="0" collapsed="false">
      <c r="A1818" s="216"/>
      <c r="B1818" s="40"/>
      <c r="C1818" s="1404" t="s">
        <v>7071</v>
      </c>
      <c r="D1818" s="569" t="n">
        <v>2006</v>
      </c>
      <c r="E1818" s="569" t="n">
        <f aca="false">2021-D1818</f>
        <v>15</v>
      </c>
      <c r="F1818" s="1105" t="n">
        <v>138575</v>
      </c>
      <c r="G1818" s="1444" t="n">
        <v>0.1</v>
      </c>
      <c r="H1818" s="1105" t="n">
        <f aca="false">E1818*F1818*G1818</f>
        <v>207862.5</v>
      </c>
      <c r="I1818" s="1105" t="n">
        <f aca="false">F1818-H1818</f>
        <v>-69287.5</v>
      </c>
      <c r="J1818" s="1105" t="n">
        <f aca="false">F1818*G1818</f>
        <v>13857.5</v>
      </c>
      <c r="K1818" s="1365" t="n">
        <f aca="false">J1818/1792.8</f>
        <v>7.7295292280232</v>
      </c>
      <c r="L1818" s="1105" t="n">
        <v>10</v>
      </c>
      <c r="M1818" s="819" t="n">
        <f aca="false">K1818*L1818/60</f>
        <v>1.2882548713372</v>
      </c>
    </row>
    <row r="1819" customFormat="false" ht="15" hidden="false" customHeight="false" outlineLevel="0" collapsed="false">
      <c r="A1819" s="216"/>
      <c r="B1819" s="40"/>
      <c r="C1819" s="1404" t="s">
        <v>7075</v>
      </c>
      <c r="D1819" s="569" t="n">
        <v>2015</v>
      </c>
      <c r="E1819" s="569" t="n">
        <f aca="false">2021-D1819</f>
        <v>6</v>
      </c>
      <c r="F1819" s="1105" t="n">
        <v>1028020</v>
      </c>
      <c r="G1819" s="1444" t="n">
        <v>0.1</v>
      </c>
      <c r="H1819" s="1105" t="n">
        <f aca="false">E1819*F1819*G1819</f>
        <v>616812</v>
      </c>
      <c r="I1819" s="1105" t="n">
        <f aca="false">F1819-H1819</f>
        <v>411208</v>
      </c>
      <c r="J1819" s="1105" t="n">
        <f aca="false">F1819*G1819</f>
        <v>102802</v>
      </c>
      <c r="K1819" s="1365" t="n">
        <f aca="false">J1819/1792.8</f>
        <v>57.3415885765283</v>
      </c>
      <c r="L1819" s="1105" t="n">
        <v>60</v>
      </c>
      <c r="M1819" s="819" t="n">
        <f aca="false">K1819*L1819/60</f>
        <v>57.3415885765283</v>
      </c>
    </row>
    <row r="1820" customFormat="false" ht="30" hidden="false" customHeight="false" outlineLevel="0" collapsed="false">
      <c r="A1820" s="216"/>
      <c r="B1820" s="40"/>
      <c r="C1820" s="1409" t="s">
        <v>6967</v>
      </c>
      <c r="D1820" s="569" t="n">
        <v>2016</v>
      </c>
      <c r="E1820" s="569" t="n">
        <f aca="false">2021-D1820</f>
        <v>5</v>
      </c>
      <c r="F1820" s="1105" t="n">
        <v>2302000</v>
      </c>
      <c r="G1820" s="1444" t="n">
        <v>0.1</v>
      </c>
      <c r="H1820" s="1105" t="n">
        <f aca="false">E1820*F1820*G1820</f>
        <v>1151000</v>
      </c>
      <c r="I1820" s="1105" t="n">
        <f aca="false">F1820-H1820</f>
        <v>1151000</v>
      </c>
      <c r="J1820" s="1105" t="n">
        <f aca="false">F1820*G1820</f>
        <v>230200</v>
      </c>
      <c r="K1820" s="1365" t="n">
        <f aca="false">J1820/1792.8</f>
        <v>128.402498884427</v>
      </c>
      <c r="L1820" s="1105" t="n">
        <v>10</v>
      </c>
      <c r="M1820" s="819" t="n">
        <f aca="false">K1820*L1820/60</f>
        <v>21.4004164807378</v>
      </c>
    </row>
    <row r="1821" s="122" customFormat="true" ht="12" hidden="false" customHeight="true" outlineLevel="0" collapsed="false">
      <c r="A1821" s="216"/>
      <c r="B1821" s="40"/>
      <c r="C1821" s="1404" t="s">
        <v>7072</v>
      </c>
      <c r="D1821" s="569" t="n">
        <v>2013</v>
      </c>
      <c r="E1821" s="569" t="n">
        <f aca="false">2021-D1821</f>
        <v>8</v>
      </c>
      <c r="F1821" s="1105" t="n">
        <v>300000</v>
      </c>
      <c r="G1821" s="1444" t="n">
        <v>0.1</v>
      </c>
      <c r="H1821" s="1105" t="n">
        <f aca="false">E1821*F1821*G1821</f>
        <v>240000</v>
      </c>
      <c r="I1821" s="1105" t="n">
        <f aca="false">F1821-H1821</f>
        <v>60000</v>
      </c>
      <c r="J1821" s="1105" t="n">
        <f aca="false">F1821*G1821</f>
        <v>30000</v>
      </c>
      <c r="K1821" s="1365" t="n">
        <f aca="false">J1821/1792.8</f>
        <v>16.7336010709505</v>
      </c>
      <c r="L1821" s="1105" t="n">
        <v>10</v>
      </c>
      <c r="M1821" s="865" t="n">
        <f aca="false">K1821*L1821/60</f>
        <v>2.78893351182508</v>
      </c>
    </row>
    <row r="1822" customFormat="false" ht="12" hidden="false" customHeight="true" outlineLevel="0" collapsed="false">
      <c r="A1822" s="216"/>
      <c r="B1822" s="40"/>
      <c r="C1822" s="1161" t="s">
        <v>7073</v>
      </c>
      <c r="D1822" s="912" t="n">
        <v>2005</v>
      </c>
      <c r="E1822" s="912" t="n">
        <f aca="false">2021-D1822</f>
        <v>16</v>
      </c>
      <c r="F1822" s="547" t="n">
        <v>39263</v>
      </c>
      <c r="G1822" s="1413" t="n">
        <v>0.1</v>
      </c>
      <c r="H1822" s="547" t="n">
        <f aca="false">E1822*F1822*G1822</f>
        <v>62820.8</v>
      </c>
      <c r="I1822" s="547" t="n">
        <f aca="false">F1822-H1822</f>
        <v>-23557.8</v>
      </c>
      <c r="J1822" s="547" t="n">
        <f aca="false">F1822*G1822</f>
        <v>3926.3</v>
      </c>
      <c r="K1822" s="1365" t="n">
        <f aca="false">J1822/1792.8</f>
        <v>2.19003792949576</v>
      </c>
      <c r="L1822" s="547" t="n">
        <v>20</v>
      </c>
      <c r="M1822" s="819" t="n">
        <f aca="false">K1822*L1822/60</f>
        <v>0.730012643165254</v>
      </c>
    </row>
    <row r="1823" customFormat="false" ht="24" hidden="false" customHeight="true" outlineLevel="0" collapsed="false">
      <c r="A1823" s="216"/>
      <c r="B1823" s="40"/>
      <c r="C1823" s="1161" t="s">
        <v>7074</v>
      </c>
      <c r="D1823" s="912" t="n">
        <v>2003</v>
      </c>
      <c r="E1823" s="912" t="n">
        <f aca="false">2021-D1823</f>
        <v>18</v>
      </c>
      <c r="F1823" s="547" t="n">
        <v>2471090</v>
      </c>
      <c r="G1823" s="1413" t="n">
        <v>0.1</v>
      </c>
      <c r="H1823" s="547" t="n">
        <f aca="false">E1823*F1823*G1823</f>
        <v>4447962</v>
      </c>
      <c r="I1823" s="547" t="n">
        <f aca="false">F1823-H1823</f>
        <v>-1976872</v>
      </c>
      <c r="J1823" s="547" t="n">
        <f aca="false">F1823*G1823</f>
        <v>247109</v>
      </c>
      <c r="K1823" s="1365" t="n">
        <f aca="false">J1823/1792.8</f>
        <v>137.834114234717</v>
      </c>
      <c r="L1823" s="547" t="n">
        <v>130</v>
      </c>
      <c r="M1823" s="819" t="n">
        <f aca="false">K1823*L1823/60</f>
        <v>298.640580841886</v>
      </c>
    </row>
    <row r="1824" customFormat="false" ht="12" hidden="false" customHeight="true" outlineLevel="0" collapsed="false">
      <c r="A1824" s="216"/>
      <c r="B1824" s="1053" t="s">
        <v>4128</v>
      </c>
      <c r="C1824" s="1161"/>
      <c r="D1824" s="912"/>
      <c r="E1824" s="912"/>
      <c r="F1824" s="547"/>
      <c r="G1824" s="1413"/>
      <c r="H1824" s="547"/>
      <c r="I1824" s="547"/>
      <c r="J1824" s="547"/>
      <c r="K1824" s="1365" t="n">
        <f aca="false">J1824/1792.8</f>
        <v>0</v>
      </c>
      <c r="L1824" s="714" t="n">
        <f aca="false">SUM(L1815:L1823)</f>
        <v>260</v>
      </c>
      <c r="M1824" s="934" t="n">
        <f aca="false">SUM(M1815:M1823)</f>
        <v>386.319072586643</v>
      </c>
    </row>
    <row r="1825" customFormat="false" ht="27" hidden="false" customHeight="true" outlineLevel="0" collapsed="false">
      <c r="A1825" s="216" t="s">
        <v>1057</v>
      </c>
      <c r="B1825" s="40" t="s">
        <v>3309</v>
      </c>
      <c r="C1825" s="1161" t="s">
        <v>7071</v>
      </c>
      <c r="D1825" s="912" t="n">
        <v>2006</v>
      </c>
      <c r="E1825" s="912" t="n">
        <f aca="false">2021-D1825</f>
        <v>15</v>
      </c>
      <c r="F1825" s="547" t="n">
        <v>138575</v>
      </c>
      <c r="G1825" s="1413" t="n">
        <v>0.1</v>
      </c>
      <c r="H1825" s="547" t="n">
        <f aca="false">E1825*F1825*G1825</f>
        <v>207862.5</v>
      </c>
      <c r="I1825" s="547" t="n">
        <f aca="false">F1825-H1825</f>
        <v>-69287.5</v>
      </c>
      <c r="J1825" s="547" t="n">
        <f aca="false">F1825*G1825</f>
        <v>13857.5</v>
      </c>
      <c r="K1825" s="1365" t="n">
        <f aca="false">J1825/1792.8</f>
        <v>7.7295292280232</v>
      </c>
      <c r="L1825" s="547" t="n">
        <v>10</v>
      </c>
      <c r="M1825" s="819" t="n">
        <f aca="false">K1825*L1825/60</f>
        <v>1.2882548713372</v>
      </c>
    </row>
    <row r="1826" customFormat="false" ht="30" hidden="false" customHeight="false" outlineLevel="0" collapsed="false">
      <c r="A1826" s="216"/>
      <c r="B1826" s="40"/>
      <c r="C1826" s="1404" t="s">
        <v>7070</v>
      </c>
      <c r="D1826" s="569" t="n">
        <v>2009</v>
      </c>
      <c r="E1826" s="569" t="n">
        <f aca="false">2021-D1826</f>
        <v>12</v>
      </c>
      <c r="F1826" s="1105" t="n">
        <v>181000</v>
      </c>
      <c r="G1826" s="1444" t="n">
        <v>0.1</v>
      </c>
      <c r="H1826" s="1105" t="n">
        <f aca="false">E1826*F1826*G1826</f>
        <v>217200</v>
      </c>
      <c r="I1826" s="1105" t="n">
        <f aca="false">F1826-H1826</f>
        <v>-36200</v>
      </c>
      <c r="J1826" s="1105" t="n">
        <f aca="false">F1826*G1826</f>
        <v>18100</v>
      </c>
      <c r="K1826" s="1365" t="n">
        <f aca="false">J1826/1792.8</f>
        <v>10.0959393128068</v>
      </c>
      <c r="L1826" s="1105" t="n">
        <v>10</v>
      </c>
      <c r="M1826" s="819" t="n">
        <f aca="false">K1826*L1826/60</f>
        <v>1.68265655213446</v>
      </c>
    </row>
    <row r="1827" customFormat="false" ht="30" hidden="false" customHeight="false" outlineLevel="0" collapsed="false">
      <c r="A1827" s="216"/>
      <c r="B1827" s="40"/>
      <c r="C1827" s="1404" t="s">
        <v>6963</v>
      </c>
      <c r="D1827" s="1405" t="n">
        <v>2007</v>
      </c>
      <c r="E1827" s="1405" t="n">
        <f aca="false">2021-D1827</f>
        <v>14</v>
      </c>
      <c r="F1827" s="1406" t="n">
        <v>176358</v>
      </c>
      <c r="G1827" s="1407" t="n">
        <v>0.1</v>
      </c>
      <c r="H1827" s="1410" t="n">
        <f aca="false">E1827*F1827*G1827</f>
        <v>246901.2</v>
      </c>
      <c r="I1827" s="1410" t="n">
        <f aca="false">F1827-H1827</f>
        <v>-70543.2</v>
      </c>
      <c r="J1827" s="1410" t="n">
        <f aca="false">F1827*G1827</f>
        <v>17635.8</v>
      </c>
      <c r="K1827" s="1365" t="n">
        <f aca="false">J1827/1792.8</f>
        <v>9.83701472556894</v>
      </c>
      <c r="L1827" s="1445" t="n">
        <v>5</v>
      </c>
      <c r="M1827" s="1408" t="n">
        <f aca="false">K1827*L1827/60</f>
        <v>0.819751227130745</v>
      </c>
    </row>
    <row r="1828" customFormat="false" ht="30" hidden="false" customHeight="false" outlineLevel="0" collapsed="false">
      <c r="A1828" s="216"/>
      <c r="B1828" s="40"/>
      <c r="C1828" s="1404" t="s">
        <v>6959</v>
      </c>
      <c r="D1828" s="1405" t="n">
        <v>2007</v>
      </c>
      <c r="E1828" s="1405" t="n">
        <f aca="false">2021-D1828</f>
        <v>14</v>
      </c>
      <c r="F1828" s="1406" t="n">
        <v>350000</v>
      </c>
      <c r="G1828" s="1407" t="n">
        <v>0.1</v>
      </c>
      <c r="H1828" s="1410" t="n">
        <f aca="false">E1828*F1828*G1828</f>
        <v>490000</v>
      </c>
      <c r="I1828" s="1410" t="n">
        <f aca="false">F1828-H1828</f>
        <v>-140000</v>
      </c>
      <c r="J1828" s="1410" t="n">
        <f aca="false">F1828*G1828</f>
        <v>35000</v>
      </c>
      <c r="K1828" s="1365" t="n">
        <f aca="false">J1828/1792.8</f>
        <v>19.5225345827755</v>
      </c>
      <c r="L1828" s="1445" t="n">
        <v>5</v>
      </c>
      <c r="M1828" s="1408" t="n">
        <f aca="false">K1828*L1828/60</f>
        <v>1.62687788189796</v>
      </c>
    </row>
    <row r="1829" customFormat="false" ht="30" hidden="false" customHeight="false" outlineLevel="0" collapsed="false">
      <c r="A1829" s="216"/>
      <c r="B1829" s="40"/>
      <c r="C1829" s="1409" t="s">
        <v>6967</v>
      </c>
      <c r="D1829" s="569" t="n">
        <v>2016</v>
      </c>
      <c r="E1829" s="569" t="n">
        <f aca="false">2021-D1829</f>
        <v>5</v>
      </c>
      <c r="F1829" s="1105" t="n">
        <v>2302000</v>
      </c>
      <c r="G1829" s="1444" t="n">
        <v>0.1</v>
      </c>
      <c r="H1829" s="1105" t="n">
        <f aca="false">E1829*F1829*G1829</f>
        <v>1151000</v>
      </c>
      <c r="I1829" s="1105" t="n">
        <f aca="false">F1829-H1829</f>
        <v>1151000</v>
      </c>
      <c r="J1829" s="547" t="n">
        <f aca="false">F1829*G1829</f>
        <v>230200</v>
      </c>
      <c r="K1829" s="1365" t="n">
        <f aca="false">J1829/1792.8</f>
        <v>128.402498884427</v>
      </c>
      <c r="L1829" s="547" t="n">
        <v>10</v>
      </c>
      <c r="M1829" s="819" t="n">
        <f aca="false">K1829*L1829/60</f>
        <v>21.4004164807378</v>
      </c>
    </row>
    <row r="1830" customFormat="false" ht="30" hidden="false" customHeight="false" outlineLevel="0" collapsed="false">
      <c r="A1830" s="216"/>
      <c r="B1830" s="40"/>
      <c r="C1830" s="1404" t="s">
        <v>7072</v>
      </c>
      <c r="D1830" s="569" t="n">
        <v>2013</v>
      </c>
      <c r="E1830" s="569" t="n">
        <f aca="false">2021-D1830</f>
        <v>8</v>
      </c>
      <c r="F1830" s="1105" t="n">
        <v>300000</v>
      </c>
      <c r="G1830" s="1444" t="n">
        <v>0.1</v>
      </c>
      <c r="H1830" s="1105" t="n">
        <f aca="false">E1830*F1830*G1830</f>
        <v>240000</v>
      </c>
      <c r="I1830" s="1105" t="n">
        <f aca="false">F1830-H1830</f>
        <v>60000</v>
      </c>
      <c r="J1830" s="1105" t="n">
        <f aca="false">F1830*G1830</f>
        <v>30000</v>
      </c>
      <c r="K1830" s="1365" t="n">
        <f aca="false">J1830/1792.8</f>
        <v>16.7336010709505</v>
      </c>
      <c r="L1830" s="1105" t="n">
        <v>20</v>
      </c>
      <c r="M1830" s="865" t="n">
        <f aca="false">K1830*L1830/60</f>
        <v>5.57786702365016</v>
      </c>
    </row>
    <row r="1831" customFormat="false" ht="15" hidden="false" customHeight="false" outlineLevel="0" collapsed="false">
      <c r="A1831" s="216"/>
      <c r="B1831" s="40"/>
      <c r="C1831" s="1404" t="s">
        <v>7075</v>
      </c>
      <c r="D1831" s="569" t="n">
        <v>2015</v>
      </c>
      <c r="E1831" s="569" t="n">
        <f aca="false">2021-D1831</f>
        <v>6</v>
      </c>
      <c r="F1831" s="1105" t="n">
        <v>1028020</v>
      </c>
      <c r="G1831" s="1444" t="n">
        <v>0.1</v>
      </c>
      <c r="H1831" s="1105" t="n">
        <f aca="false">E1831*F1831*G1831</f>
        <v>616812</v>
      </c>
      <c r="I1831" s="547" t="n">
        <f aca="false">F1831-H1831</f>
        <v>411208</v>
      </c>
      <c r="J1831" s="547" t="n">
        <f aca="false">F1831*G1831</f>
        <v>102802</v>
      </c>
      <c r="K1831" s="1365" t="n">
        <f aca="false">J1831/1792.8</f>
        <v>57.3415885765283</v>
      </c>
      <c r="L1831" s="547" t="n">
        <v>60</v>
      </c>
      <c r="M1831" s="819" t="n">
        <f aca="false">K1831*L1831/60</f>
        <v>57.3415885765283</v>
      </c>
    </row>
    <row r="1832" customFormat="false" ht="30" hidden="false" customHeight="false" outlineLevel="0" collapsed="false">
      <c r="A1832" s="216"/>
      <c r="B1832" s="40"/>
      <c r="C1832" s="1404" t="s">
        <v>7073</v>
      </c>
      <c r="D1832" s="569" t="n">
        <v>2005</v>
      </c>
      <c r="E1832" s="569" t="n">
        <f aca="false">2021-D1832</f>
        <v>16</v>
      </c>
      <c r="F1832" s="1105" t="n">
        <v>39263</v>
      </c>
      <c r="G1832" s="1444" t="n">
        <v>0.1</v>
      </c>
      <c r="H1832" s="1105" t="n">
        <f aca="false">E1832*F1832*G1832</f>
        <v>62820.8</v>
      </c>
      <c r="I1832" s="547" t="n">
        <f aca="false">F1832-H1832</f>
        <v>-23557.8</v>
      </c>
      <c r="J1832" s="547" t="n">
        <f aca="false">F1832*G1832</f>
        <v>3926.3</v>
      </c>
      <c r="K1832" s="1365" t="n">
        <f aca="false">J1832/1792.8</f>
        <v>2.19003792949576</v>
      </c>
      <c r="L1832" s="547" t="n">
        <v>10</v>
      </c>
      <c r="M1832" s="819" t="n">
        <f aca="false">K1832*L1832/60</f>
        <v>0.365006321582627</v>
      </c>
    </row>
    <row r="1833" customFormat="false" ht="30" hidden="false" customHeight="false" outlineLevel="0" collapsed="false">
      <c r="A1833" s="216"/>
      <c r="B1833" s="40"/>
      <c r="C1833" s="1404" t="s">
        <v>7077</v>
      </c>
      <c r="D1833" s="569" t="n">
        <v>2012</v>
      </c>
      <c r="E1833" s="569" t="n">
        <f aca="false">2021-D1833</f>
        <v>9</v>
      </c>
      <c r="F1833" s="1105" t="n">
        <v>19245353.86</v>
      </c>
      <c r="G1833" s="1444" t="n">
        <v>0.1</v>
      </c>
      <c r="H1833" s="1105" t="n">
        <f aca="false">E1833*F1833*G1833</f>
        <v>17320818.474</v>
      </c>
      <c r="I1833" s="547" t="n">
        <f aca="false">F1833-H1833</f>
        <v>1924535.386</v>
      </c>
      <c r="J1833" s="547" t="n">
        <f aca="false">F1833*G1833</f>
        <v>1924535.386</v>
      </c>
      <c r="K1833" s="1365" t="n">
        <f aca="false">J1833/1792.8</f>
        <v>1073.48024654172</v>
      </c>
      <c r="L1833" s="547" t="n">
        <v>130</v>
      </c>
      <c r="M1833" s="819" t="n">
        <f aca="false">K1833*L1833/60</f>
        <v>2325.87386750707</v>
      </c>
    </row>
    <row r="1834" customFormat="false" ht="15" hidden="false" customHeight="false" outlineLevel="0" collapsed="false">
      <c r="A1834" s="216"/>
      <c r="B1834" s="1053" t="s">
        <v>4128</v>
      </c>
      <c r="C1834" s="1161"/>
      <c r="D1834" s="912"/>
      <c r="E1834" s="912"/>
      <c r="F1834" s="547"/>
      <c r="G1834" s="1413"/>
      <c r="H1834" s="547"/>
      <c r="I1834" s="547"/>
      <c r="J1834" s="547"/>
      <c r="K1834" s="1365" t="n">
        <f aca="false">J1834/1792.8</f>
        <v>0</v>
      </c>
      <c r="L1834" s="714" t="n">
        <f aca="false">SUM(L1825:L1833)</f>
        <v>260</v>
      </c>
      <c r="M1834" s="934" t="n">
        <f aca="false">SUM(M1825:M1833)</f>
        <v>2415.97628644206</v>
      </c>
    </row>
    <row r="1835" customFormat="false" ht="45" hidden="false" customHeight="false" outlineLevel="0" collapsed="false">
      <c r="A1835" s="216" t="s">
        <v>1058</v>
      </c>
      <c r="B1835" s="40" t="s">
        <v>3319</v>
      </c>
      <c r="C1835" s="1404" t="s">
        <v>7070</v>
      </c>
      <c r="D1835" s="569" t="n">
        <v>2009</v>
      </c>
      <c r="E1835" s="569" t="n">
        <f aca="false">2021-D1835</f>
        <v>12</v>
      </c>
      <c r="F1835" s="1105" t="n">
        <v>181000</v>
      </c>
      <c r="G1835" s="1444" t="n">
        <v>0.1</v>
      </c>
      <c r="H1835" s="1105" t="n">
        <f aca="false">E1835*F1835*G1835</f>
        <v>217200</v>
      </c>
      <c r="I1835" s="1105" t="n">
        <f aca="false">F1835-H1835</f>
        <v>-36200</v>
      </c>
      <c r="J1835" s="1105" t="n">
        <f aca="false">F1835*G1835</f>
        <v>18100</v>
      </c>
      <c r="K1835" s="1365" t="n">
        <f aca="false">J1835/1792.8</f>
        <v>10.0959393128068</v>
      </c>
      <c r="L1835" s="547" t="n">
        <v>20</v>
      </c>
      <c r="M1835" s="819" t="n">
        <f aca="false">K1835*L1835/60</f>
        <v>3.36531310426893</v>
      </c>
    </row>
    <row r="1836" customFormat="false" ht="30" hidden="false" customHeight="false" outlineLevel="0" collapsed="false">
      <c r="A1836" s="216"/>
      <c r="B1836" s="40"/>
      <c r="C1836" s="1404" t="s">
        <v>6963</v>
      </c>
      <c r="D1836" s="1405" t="n">
        <v>2007</v>
      </c>
      <c r="E1836" s="1405" t="n">
        <f aca="false">2021-D1836</f>
        <v>14</v>
      </c>
      <c r="F1836" s="1406" t="n">
        <v>176358</v>
      </c>
      <c r="G1836" s="1407" t="n">
        <v>0.1</v>
      </c>
      <c r="H1836" s="1410" t="n">
        <f aca="false">E1836*F1836*G1836</f>
        <v>246901.2</v>
      </c>
      <c r="I1836" s="1410" t="n">
        <f aca="false">F1836-H1836</f>
        <v>-70543.2</v>
      </c>
      <c r="J1836" s="1410" t="n">
        <f aca="false">F1836*G1836</f>
        <v>17635.8</v>
      </c>
      <c r="K1836" s="1365" t="n">
        <f aca="false">J1836/1792.8</f>
        <v>9.83701472556894</v>
      </c>
      <c r="L1836" s="1445" t="n">
        <v>10</v>
      </c>
      <c r="M1836" s="1408" t="n">
        <f aca="false">K1836*L1836/60</f>
        <v>1.63950245426149</v>
      </c>
    </row>
    <row r="1837" customFormat="false" ht="30" hidden="false" customHeight="false" outlineLevel="0" collapsed="false">
      <c r="A1837" s="216"/>
      <c r="B1837" s="40"/>
      <c r="C1837" s="1404" t="s">
        <v>6959</v>
      </c>
      <c r="D1837" s="1405" t="n">
        <v>2007</v>
      </c>
      <c r="E1837" s="1405" t="n">
        <f aca="false">2021-D1837</f>
        <v>14</v>
      </c>
      <c r="F1837" s="1406" t="n">
        <v>350000</v>
      </c>
      <c r="G1837" s="1407" t="n">
        <v>0.1</v>
      </c>
      <c r="H1837" s="1410" t="n">
        <f aca="false">E1837*F1837*G1837</f>
        <v>490000</v>
      </c>
      <c r="I1837" s="1410" t="n">
        <f aca="false">F1837-H1837</f>
        <v>-140000</v>
      </c>
      <c r="J1837" s="1410" t="n">
        <f aca="false">F1837*G1837</f>
        <v>35000</v>
      </c>
      <c r="K1837" s="1365" t="n">
        <f aca="false">J1837/1792.8</f>
        <v>19.5225345827755</v>
      </c>
      <c r="L1837" s="1445" t="n">
        <v>10</v>
      </c>
      <c r="M1837" s="1408" t="n">
        <f aca="false">K1837*L1837/60</f>
        <v>3.25375576379592</v>
      </c>
    </row>
    <row r="1838" customFormat="false" ht="30" hidden="false" customHeight="false" outlineLevel="0" collapsed="false">
      <c r="A1838" s="216"/>
      <c r="B1838" s="40"/>
      <c r="C1838" s="1404" t="s">
        <v>7071</v>
      </c>
      <c r="D1838" s="569" t="n">
        <v>2006</v>
      </c>
      <c r="E1838" s="569" t="n">
        <f aca="false">2021-D1838</f>
        <v>15</v>
      </c>
      <c r="F1838" s="1105" t="n">
        <v>138575</v>
      </c>
      <c r="G1838" s="1444" t="n">
        <v>0.1</v>
      </c>
      <c r="H1838" s="1105" t="n">
        <f aca="false">E1838*F1838*G1838</f>
        <v>207862.5</v>
      </c>
      <c r="I1838" s="1105" t="n">
        <f aca="false">F1838-H1838</f>
        <v>-69287.5</v>
      </c>
      <c r="J1838" s="1105" t="n">
        <f aca="false">F1838*G1838</f>
        <v>13857.5</v>
      </c>
      <c r="K1838" s="1365" t="n">
        <f aca="false">J1838/1792.8</f>
        <v>7.7295292280232</v>
      </c>
      <c r="L1838" s="547" t="n">
        <v>20</v>
      </c>
      <c r="M1838" s="819" t="n">
        <f aca="false">K1838*L1838/60</f>
        <v>2.5765097426744</v>
      </c>
    </row>
    <row r="1839" customFormat="false" ht="30" hidden="false" customHeight="false" outlineLevel="0" collapsed="false">
      <c r="A1839" s="216"/>
      <c r="B1839" s="40"/>
      <c r="C1839" s="1409" t="s">
        <v>6967</v>
      </c>
      <c r="D1839" s="569" t="n">
        <v>2016</v>
      </c>
      <c r="E1839" s="569" t="n">
        <f aca="false">2021-D1839</f>
        <v>5</v>
      </c>
      <c r="F1839" s="1105" t="n">
        <v>2302000</v>
      </c>
      <c r="G1839" s="1444" t="n">
        <v>0.1</v>
      </c>
      <c r="H1839" s="1105" t="n">
        <f aca="false">E1839*F1839*G1839</f>
        <v>1151000</v>
      </c>
      <c r="I1839" s="1105" t="n">
        <f aca="false">F1839-H1839</f>
        <v>1151000</v>
      </c>
      <c r="J1839" s="1105" t="n">
        <f aca="false">F1839*G1839</f>
        <v>230200</v>
      </c>
      <c r="K1839" s="1365" t="n">
        <f aca="false">J1839/1792.8</f>
        <v>128.402498884427</v>
      </c>
      <c r="L1839" s="547" t="n">
        <v>20</v>
      </c>
      <c r="M1839" s="819" t="n">
        <f aca="false">K1839*L1839/60</f>
        <v>42.8008329614755</v>
      </c>
    </row>
    <row r="1840" customFormat="false" ht="30" hidden="false" customHeight="false" outlineLevel="0" collapsed="false">
      <c r="A1840" s="216"/>
      <c r="B1840" s="40"/>
      <c r="C1840" s="1404" t="s">
        <v>7072</v>
      </c>
      <c r="D1840" s="569" t="n">
        <v>2013</v>
      </c>
      <c r="E1840" s="569" t="n">
        <f aca="false">2021-D1840</f>
        <v>8</v>
      </c>
      <c r="F1840" s="1105" t="n">
        <v>300000</v>
      </c>
      <c r="G1840" s="1444" t="n">
        <v>0.1</v>
      </c>
      <c r="H1840" s="1105" t="n">
        <f aca="false">E1840*F1840*G1840</f>
        <v>240000</v>
      </c>
      <c r="I1840" s="1105" t="n">
        <f aca="false">F1840-H1840</f>
        <v>60000</v>
      </c>
      <c r="J1840" s="1105" t="n">
        <f aca="false">F1840*G1840</f>
        <v>30000</v>
      </c>
      <c r="K1840" s="1365" t="n">
        <f aca="false">J1840/1792.8</f>
        <v>16.7336010709505</v>
      </c>
      <c r="L1840" s="1105" t="n">
        <v>50</v>
      </c>
      <c r="M1840" s="865" t="n">
        <f aca="false">K1840*L1840/60</f>
        <v>13.9446675591254</v>
      </c>
    </row>
    <row r="1841" customFormat="false" ht="15" hidden="false" customHeight="false" outlineLevel="0" collapsed="false">
      <c r="A1841" s="216"/>
      <c r="B1841" s="40"/>
      <c r="C1841" s="1404" t="s">
        <v>7075</v>
      </c>
      <c r="D1841" s="569" t="n">
        <v>2015</v>
      </c>
      <c r="E1841" s="569" t="n">
        <f aca="false">2021-D1841</f>
        <v>6</v>
      </c>
      <c r="F1841" s="1105" t="n">
        <v>1028020</v>
      </c>
      <c r="G1841" s="1444" t="n">
        <v>0.1</v>
      </c>
      <c r="H1841" s="1105" t="n">
        <f aca="false">E1841*F1841*G1841</f>
        <v>616812</v>
      </c>
      <c r="I1841" s="1105" t="n">
        <f aca="false">F1841-H1841</f>
        <v>411208</v>
      </c>
      <c r="J1841" s="1105" t="n">
        <f aca="false">F1841*G1841</f>
        <v>102802</v>
      </c>
      <c r="K1841" s="1365" t="n">
        <f aca="false">J1841/1792.8</f>
        <v>57.3415885765283</v>
      </c>
      <c r="L1841" s="547" t="n">
        <v>60</v>
      </c>
      <c r="M1841" s="819" t="n">
        <f aca="false">K1841*L1841/60</f>
        <v>57.3415885765283</v>
      </c>
    </row>
    <row r="1842" customFormat="false" ht="30" hidden="false" customHeight="false" outlineLevel="0" collapsed="false">
      <c r="A1842" s="216"/>
      <c r="B1842" s="40"/>
      <c r="C1842" s="1404" t="s">
        <v>7073</v>
      </c>
      <c r="D1842" s="569" t="n">
        <v>2005</v>
      </c>
      <c r="E1842" s="569" t="n">
        <f aca="false">2021-D1842</f>
        <v>16</v>
      </c>
      <c r="F1842" s="1105" t="n">
        <v>39263</v>
      </c>
      <c r="G1842" s="1444" t="n">
        <v>0.1</v>
      </c>
      <c r="H1842" s="1105" t="n">
        <f aca="false">E1842*F1842*G1842</f>
        <v>62820.8</v>
      </c>
      <c r="I1842" s="1105" t="n">
        <f aca="false">F1842-H1842</f>
        <v>-23557.8</v>
      </c>
      <c r="J1842" s="1105" t="n">
        <f aca="false">F1842*G1842</f>
        <v>3926.3</v>
      </c>
      <c r="K1842" s="1365" t="n">
        <f aca="false">J1842/1792.8</f>
        <v>2.19003792949576</v>
      </c>
      <c r="L1842" s="547" t="n">
        <v>30</v>
      </c>
      <c r="M1842" s="819" t="n">
        <f aca="false">K1842*L1842/60</f>
        <v>1.09501896474788</v>
      </c>
    </row>
    <row r="1843" customFormat="false" ht="30" hidden="false" customHeight="false" outlineLevel="0" collapsed="false">
      <c r="A1843" s="216"/>
      <c r="B1843" s="40"/>
      <c r="C1843" s="1161" t="s">
        <v>7074</v>
      </c>
      <c r="D1843" s="912" t="n">
        <v>2003</v>
      </c>
      <c r="E1843" s="912" t="n">
        <f aca="false">2021-D1843</f>
        <v>18</v>
      </c>
      <c r="F1843" s="547" t="n">
        <v>2471090</v>
      </c>
      <c r="G1843" s="1413" t="n">
        <v>0.1</v>
      </c>
      <c r="H1843" s="547" t="n">
        <f aca="false">E1843*F1843*G1843</f>
        <v>4447962</v>
      </c>
      <c r="I1843" s="547" t="n">
        <f aca="false">F1843-H1843</f>
        <v>-1976872</v>
      </c>
      <c r="J1843" s="547" t="n">
        <f aca="false">F1843*G1843</f>
        <v>247109</v>
      </c>
      <c r="K1843" s="1365" t="n">
        <f aca="false">J1843/1792.8</f>
        <v>137.834114234717</v>
      </c>
      <c r="L1843" s="547" t="n">
        <v>120</v>
      </c>
      <c r="M1843" s="819" t="n">
        <f aca="false">K1843*L1843/60</f>
        <v>275.668228469433</v>
      </c>
    </row>
    <row r="1844" customFormat="false" ht="15" hidden="false" customHeight="false" outlineLevel="0" collapsed="false">
      <c r="A1844" s="216"/>
      <c r="B1844" s="1053" t="s">
        <v>4128</v>
      </c>
      <c r="C1844" s="1161"/>
      <c r="D1844" s="912"/>
      <c r="E1844" s="912"/>
      <c r="F1844" s="547"/>
      <c r="G1844" s="1413"/>
      <c r="H1844" s="547"/>
      <c r="I1844" s="547"/>
      <c r="J1844" s="547"/>
      <c r="K1844" s="1365" t="n">
        <f aca="false">J1844/1792.8</f>
        <v>0</v>
      </c>
      <c r="L1844" s="714"/>
      <c r="M1844" s="934" t="n">
        <f aca="false">SUM(M1835:M1843)</f>
        <v>401.685417596311</v>
      </c>
    </row>
    <row r="1845" customFormat="false" ht="28.5" hidden="false" customHeight="false" outlineLevel="0" collapsed="false">
      <c r="A1845" s="15" t="s">
        <v>1060</v>
      </c>
      <c r="B1845" s="54" t="s">
        <v>3320</v>
      </c>
      <c r="C1845" s="1387"/>
      <c r="D1845" s="339"/>
      <c r="E1845" s="541"/>
      <c r="F1845" s="751"/>
      <c r="G1845" s="1412"/>
      <c r="H1845" s="1412"/>
      <c r="I1845" s="751"/>
      <c r="J1845" s="751"/>
      <c r="K1845" s="751"/>
      <c r="L1845" s="751"/>
      <c r="M1845" s="818"/>
    </row>
    <row r="1846" customFormat="false" ht="30" hidden="false" customHeight="false" outlineLevel="0" collapsed="false">
      <c r="A1846" s="216" t="s">
        <v>1062</v>
      </c>
      <c r="B1846" s="40" t="s">
        <v>3307</v>
      </c>
      <c r="C1846" s="1404" t="s">
        <v>7070</v>
      </c>
      <c r="D1846" s="569" t="n">
        <v>2009</v>
      </c>
      <c r="E1846" s="569" t="n">
        <f aca="false">2021-D1846</f>
        <v>12</v>
      </c>
      <c r="F1846" s="1105" t="n">
        <v>181000</v>
      </c>
      <c r="G1846" s="1444" t="n">
        <v>0.1</v>
      </c>
      <c r="H1846" s="1105" t="n">
        <f aca="false">E1846*F1846*G1846</f>
        <v>217200</v>
      </c>
      <c r="I1846" s="1105" t="n">
        <f aca="false">F1846-H1846</f>
        <v>-36200</v>
      </c>
      <c r="J1846" s="1105" t="n">
        <f aca="false">F1846*G1846</f>
        <v>18100</v>
      </c>
      <c r="K1846" s="1365" t="n">
        <f aca="false">J1846/1792.8</f>
        <v>10.0959393128068</v>
      </c>
      <c r="L1846" s="547" t="n">
        <v>10</v>
      </c>
      <c r="M1846" s="819" t="n">
        <f aca="false">K1846*L1846/60</f>
        <v>1.68265655213446</v>
      </c>
    </row>
    <row r="1847" customFormat="false" ht="30" hidden="false" customHeight="false" outlineLevel="0" collapsed="false">
      <c r="A1847" s="216"/>
      <c r="B1847" s="40"/>
      <c r="C1847" s="1404" t="s">
        <v>6963</v>
      </c>
      <c r="D1847" s="1405" t="n">
        <v>2007</v>
      </c>
      <c r="E1847" s="1405" t="n">
        <f aca="false">2021-D1847</f>
        <v>14</v>
      </c>
      <c r="F1847" s="1406" t="n">
        <v>176358</v>
      </c>
      <c r="G1847" s="1407" t="n">
        <v>0.1</v>
      </c>
      <c r="H1847" s="1410" t="n">
        <f aca="false">E1847*F1847*G1847</f>
        <v>246901.2</v>
      </c>
      <c r="I1847" s="1410" t="n">
        <f aca="false">F1847-H1847</f>
        <v>-70543.2</v>
      </c>
      <c r="J1847" s="1410" t="n">
        <f aca="false">F1847*G1847</f>
        <v>17635.8</v>
      </c>
      <c r="K1847" s="1365" t="n">
        <f aca="false">J1847/1792.8</f>
        <v>9.83701472556894</v>
      </c>
      <c r="L1847" s="1445" t="n">
        <v>10</v>
      </c>
      <c r="M1847" s="1408" t="n">
        <f aca="false">K1847*L1847/60</f>
        <v>1.63950245426149</v>
      </c>
    </row>
    <row r="1848" customFormat="false" ht="30" hidden="false" customHeight="false" outlineLevel="0" collapsed="false">
      <c r="A1848" s="216"/>
      <c r="B1848" s="40"/>
      <c r="C1848" s="1404" t="s">
        <v>6959</v>
      </c>
      <c r="D1848" s="1405" t="n">
        <v>2007</v>
      </c>
      <c r="E1848" s="1405" t="n">
        <f aca="false">2021-D1848</f>
        <v>14</v>
      </c>
      <c r="F1848" s="1406" t="n">
        <v>350000</v>
      </c>
      <c r="G1848" s="1407" t="n">
        <v>0.1</v>
      </c>
      <c r="H1848" s="1410" t="n">
        <f aca="false">E1848*F1848*G1848</f>
        <v>490000</v>
      </c>
      <c r="I1848" s="1410" t="n">
        <f aca="false">F1848-H1848</f>
        <v>-140000</v>
      </c>
      <c r="J1848" s="1410" t="n">
        <f aca="false">F1848*G1848</f>
        <v>35000</v>
      </c>
      <c r="K1848" s="1365" t="n">
        <f aca="false">J1848/1792.8</f>
        <v>19.5225345827755</v>
      </c>
      <c r="L1848" s="1445" t="n">
        <v>10</v>
      </c>
      <c r="M1848" s="1408" t="n">
        <f aca="false">K1848*L1848/60</f>
        <v>3.25375576379592</v>
      </c>
    </row>
    <row r="1849" customFormat="false" ht="30" hidden="false" customHeight="false" outlineLevel="0" collapsed="false">
      <c r="A1849" s="216"/>
      <c r="B1849" s="40"/>
      <c r="C1849" s="1404" t="s">
        <v>7071</v>
      </c>
      <c r="D1849" s="569" t="n">
        <v>2006</v>
      </c>
      <c r="E1849" s="569" t="n">
        <f aca="false">2021-D1849</f>
        <v>15</v>
      </c>
      <c r="F1849" s="1105" t="n">
        <v>138575</v>
      </c>
      <c r="G1849" s="1444" t="n">
        <v>0.1</v>
      </c>
      <c r="H1849" s="1105" t="n">
        <f aca="false">E1849*F1849*G1849</f>
        <v>207862.5</v>
      </c>
      <c r="I1849" s="1105" t="n">
        <f aca="false">F1849-H1849</f>
        <v>-69287.5</v>
      </c>
      <c r="J1849" s="1105" t="n">
        <f aca="false">F1849*G1849</f>
        <v>13857.5</v>
      </c>
      <c r="K1849" s="1365" t="n">
        <f aca="false">J1849/1792.8</f>
        <v>7.7295292280232</v>
      </c>
      <c r="L1849" s="547" t="n">
        <v>10</v>
      </c>
      <c r="M1849" s="819" t="n">
        <f aca="false">K1849*L1849/60</f>
        <v>1.2882548713372</v>
      </c>
    </row>
    <row r="1850" customFormat="false" ht="15" hidden="false" customHeight="false" outlineLevel="0" collapsed="false">
      <c r="A1850" s="216"/>
      <c r="B1850" s="40"/>
      <c r="C1850" s="1404" t="s">
        <v>7075</v>
      </c>
      <c r="D1850" s="569" t="n">
        <v>2015</v>
      </c>
      <c r="E1850" s="569" t="n">
        <f aca="false">2021-D1850</f>
        <v>6</v>
      </c>
      <c r="F1850" s="1105" t="n">
        <v>1028020</v>
      </c>
      <c r="G1850" s="1444" t="n">
        <v>0.1</v>
      </c>
      <c r="H1850" s="1105" t="n">
        <f aca="false">E1850*F1850*G1850</f>
        <v>616812</v>
      </c>
      <c r="I1850" s="1105" t="n">
        <f aca="false">F1850-H1850</f>
        <v>411208</v>
      </c>
      <c r="J1850" s="1105" t="n">
        <f aca="false">F1850*G1850</f>
        <v>102802</v>
      </c>
      <c r="K1850" s="1365" t="n">
        <f aca="false">J1850/1792.8</f>
        <v>57.3415885765283</v>
      </c>
      <c r="L1850" s="547" t="n">
        <v>60</v>
      </c>
      <c r="M1850" s="819" t="n">
        <f aca="false">K1850*L1850/60</f>
        <v>57.3415885765283</v>
      </c>
    </row>
    <row r="1851" customFormat="false" ht="30" hidden="false" customHeight="false" outlineLevel="0" collapsed="false">
      <c r="A1851" s="216"/>
      <c r="B1851" s="40"/>
      <c r="C1851" s="1409" t="s">
        <v>6967</v>
      </c>
      <c r="D1851" s="569" t="n">
        <v>2016</v>
      </c>
      <c r="E1851" s="569" t="n">
        <f aca="false">2021-D1851</f>
        <v>5</v>
      </c>
      <c r="F1851" s="1105" t="n">
        <v>2302000</v>
      </c>
      <c r="G1851" s="1444" t="n">
        <v>0.1</v>
      </c>
      <c r="H1851" s="1105" t="n">
        <f aca="false">E1851*F1851*G1851</f>
        <v>1151000</v>
      </c>
      <c r="I1851" s="1105" t="n">
        <f aca="false">F1851-H1851</f>
        <v>1151000</v>
      </c>
      <c r="J1851" s="1105" t="n">
        <f aca="false">F1851*G1851</f>
        <v>230200</v>
      </c>
      <c r="K1851" s="1365" t="n">
        <f aca="false">J1851/1792.8</f>
        <v>128.402498884427</v>
      </c>
      <c r="L1851" s="547" t="n">
        <v>10</v>
      </c>
      <c r="M1851" s="819" t="n">
        <f aca="false">K1851*L1851/60</f>
        <v>21.4004164807378</v>
      </c>
    </row>
    <row r="1852" customFormat="false" ht="30" hidden="false" customHeight="false" outlineLevel="0" collapsed="false">
      <c r="A1852" s="216"/>
      <c r="B1852" s="40"/>
      <c r="C1852" s="1404" t="s">
        <v>7072</v>
      </c>
      <c r="D1852" s="569" t="n">
        <v>2013</v>
      </c>
      <c r="E1852" s="569" t="n">
        <f aca="false">2021-D1852</f>
        <v>8</v>
      </c>
      <c r="F1852" s="1105" t="n">
        <v>300000</v>
      </c>
      <c r="G1852" s="1444" t="n">
        <v>0.1</v>
      </c>
      <c r="H1852" s="1105" t="n">
        <f aca="false">E1852*F1852*G1852</f>
        <v>240000</v>
      </c>
      <c r="I1852" s="1105" t="n">
        <f aca="false">F1852-H1852</f>
        <v>60000</v>
      </c>
      <c r="J1852" s="1105" t="n">
        <f aca="false">F1852*G1852</f>
        <v>30000</v>
      </c>
      <c r="K1852" s="1365" t="n">
        <f aca="false">J1852/1792.8</f>
        <v>16.7336010709505</v>
      </c>
      <c r="L1852" s="1105" t="n">
        <v>10</v>
      </c>
      <c r="M1852" s="865" t="n">
        <f aca="false">K1852*L1852/60</f>
        <v>2.78893351182508</v>
      </c>
    </row>
    <row r="1853" customFormat="false" ht="30" hidden="false" customHeight="false" outlineLevel="0" collapsed="false">
      <c r="A1853" s="216"/>
      <c r="B1853" s="40"/>
      <c r="C1853" s="1161" t="s">
        <v>7073</v>
      </c>
      <c r="D1853" s="912" t="n">
        <v>2005</v>
      </c>
      <c r="E1853" s="912" t="n">
        <f aca="false">2021-D1853</f>
        <v>16</v>
      </c>
      <c r="F1853" s="547" t="n">
        <v>39263</v>
      </c>
      <c r="G1853" s="1413" t="n">
        <v>0.1</v>
      </c>
      <c r="H1853" s="547" t="n">
        <f aca="false">E1853*F1853*G1853</f>
        <v>62820.8</v>
      </c>
      <c r="I1853" s="547" t="n">
        <f aca="false">F1853-H1853</f>
        <v>-23557.8</v>
      </c>
      <c r="J1853" s="547" t="n">
        <f aca="false">F1853*G1853</f>
        <v>3926.3</v>
      </c>
      <c r="K1853" s="1365" t="n">
        <f aca="false">J1853/1792.8</f>
        <v>2.19003792949576</v>
      </c>
      <c r="L1853" s="547" t="n">
        <v>10</v>
      </c>
      <c r="M1853" s="819" t="n">
        <f aca="false">K1853*L1853/60</f>
        <v>0.365006321582627</v>
      </c>
    </row>
    <row r="1854" customFormat="false" ht="30" hidden="false" customHeight="false" outlineLevel="0" collapsed="false">
      <c r="A1854" s="216"/>
      <c r="B1854" s="40"/>
      <c r="C1854" s="1161" t="s">
        <v>7074</v>
      </c>
      <c r="D1854" s="912" t="n">
        <v>2003</v>
      </c>
      <c r="E1854" s="912" t="n">
        <f aca="false">2021-D1854</f>
        <v>18</v>
      </c>
      <c r="F1854" s="547" t="n">
        <v>2471090</v>
      </c>
      <c r="G1854" s="1413" t="n">
        <v>0.1</v>
      </c>
      <c r="H1854" s="547" t="n">
        <f aca="false">E1854*F1854*G1854</f>
        <v>4447962</v>
      </c>
      <c r="I1854" s="547" t="n">
        <f aca="false">F1854-H1854</f>
        <v>-1976872</v>
      </c>
      <c r="J1854" s="547" t="n">
        <f aca="false">F1854*G1854</f>
        <v>247109</v>
      </c>
      <c r="K1854" s="1365" t="n">
        <f aca="false">J1854/1792.8</f>
        <v>137.834114234717</v>
      </c>
      <c r="L1854" s="547" t="n">
        <v>130</v>
      </c>
      <c r="M1854" s="819" t="n">
        <f aca="false">K1854*L1854/60</f>
        <v>298.640580841886</v>
      </c>
    </row>
    <row r="1855" customFormat="false" ht="15" hidden="false" customHeight="false" outlineLevel="0" collapsed="false">
      <c r="A1855" s="216"/>
      <c r="B1855" s="1053" t="s">
        <v>4128</v>
      </c>
      <c r="C1855" s="1161"/>
      <c r="D1855" s="912"/>
      <c r="E1855" s="912"/>
      <c r="F1855" s="547"/>
      <c r="G1855" s="1413"/>
      <c r="H1855" s="547"/>
      <c r="I1855" s="547"/>
      <c r="J1855" s="547"/>
      <c r="K1855" s="1365" t="n">
        <f aca="false">J1855/1792.8</f>
        <v>0</v>
      </c>
      <c r="L1855" s="714" t="n">
        <f aca="false">SUM(L1846:L1854)</f>
        <v>260</v>
      </c>
      <c r="M1855" s="934" t="n">
        <f aca="false">SUM(M1846:M1854)</f>
        <v>388.400695374089</v>
      </c>
    </row>
    <row r="1856" customFormat="false" ht="30" hidden="false" customHeight="false" outlineLevel="0" collapsed="false">
      <c r="A1856" s="216" t="s">
        <v>1064</v>
      </c>
      <c r="B1856" s="40" t="s">
        <v>3308</v>
      </c>
      <c r="C1856" s="1161" t="s">
        <v>7071</v>
      </c>
      <c r="D1856" s="912" t="n">
        <v>2006</v>
      </c>
      <c r="E1856" s="912" t="n">
        <f aca="false">2021-D1856</f>
        <v>15</v>
      </c>
      <c r="F1856" s="547" t="n">
        <v>138575</v>
      </c>
      <c r="G1856" s="1413" t="n">
        <v>0.1</v>
      </c>
      <c r="H1856" s="547" t="n">
        <f aca="false">E1856*F1856*G1856</f>
        <v>207862.5</v>
      </c>
      <c r="I1856" s="547" t="n">
        <f aca="false">F1856-H1856</f>
        <v>-69287.5</v>
      </c>
      <c r="J1856" s="547" t="n">
        <f aca="false">F1856*G1856</f>
        <v>13857.5</v>
      </c>
      <c r="K1856" s="1365" t="n">
        <f aca="false">J1856/1792.8</f>
        <v>7.7295292280232</v>
      </c>
      <c r="L1856" s="547" t="n">
        <v>20</v>
      </c>
      <c r="M1856" s="819" t="n">
        <f aca="false">K1856*L1856/60</f>
        <v>2.5765097426744</v>
      </c>
    </row>
    <row r="1857" customFormat="false" ht="30" hidden="false" customHeight="false" outlineLevel="0" collapsed="false">
      <c r="A1857" s="216"/>
      <c r="B1857" s="40"/>
      <c r="C1857" s="1404" t="s">
        <v>6963</v>
      </c>
      <c r="D1857" s="1405" t="n">
        <v>2007</v>
      </c>
      <c r="E1857" s="1405" t="n">
        <f aca="false">2021-D1857</f>
        <v>14</v>
      </c>
      <c r="F1857" s="1406" t="n">
        <v>176358</v>
      </c>
      <c r="G1857" s="1407" t="n">
        <v>0.1</v>
      </c>
      <c r="H1857" s="1410" t="n">
        <f aca="false">E1857*F1857*G1857</f>
        <v>246901.2</v>
      </c>
      <c r="I1857" s="1410" t="n">
        <f aca="false">F1857-H1857</f>
        <v>-70543.2</v>
      </c>
      <c r="J1857" s="1410" t="n">
        <f aca="false">F1857*G1857</f>
        <v>17635.8</v>
      </c>
      <c r="K1857" s="1365" t="n">
        <f aca="false">J1857/1792.8</f>
        <v>9.83701472556894</v>
      </c>
      <c r="L1857" s="1445" t="n">
        <v>10</v>
      </c>
      <c r="M1857" s="1408" t="n">
        <f aca="false">K1857*L1857/60</f>
        <v>1.63950245426149</v>
      </c>
    </row>
    <row r="1858" customFormat="false" ht="30" hidden="false" customHeight="false" outlineLevel="0" collapsed="false">
      <c r="A1858" s="216"/>
      <c r="B1858" s="40"/>
      <c r="C1858" s="1404" t="s">
        <v>6959</v>
      </c>
      <c r="D1858" s="1405" t="n">
        <v>2007</v>
      </c>
      <c r="E1858" s="1405" t="n">
        <f aca="false">2021-D1858</f>
        <v>14</v>
      </c>
      <c r="F1858" s="1406" t="n">
        <v>350000</v>
      </c>
      <c r="G1858" s="1407" t="n">
        <v>0.1</v>
      </c>
      <c r="H1858" s="1410" t="n">
        <f aca="false">E1858*F1858*G1858</f>
        <v>490000</v>
      </c>
      <c r="I1858" s="1410" t="n">
        <f aca="false">F1858-H1858</f>
        <v>-140000</v>
      </c>
      <c r="J1858" s="1410" t="n">
        <f aca="false">F1858*G1858</f>
        <v>35000</v>
      </c>
      <c r="K1858" s="1365" t="n">
        <f aca="false">J1858/1792.8</f>
        <v>19.5225345827755</v>
      </c>
      <c r="L1858" s="1445" t="n">
        <v>10</v>
      </c>
      <c r="M1858" s="1408" t="n">
        <f aca="false">K1858*L1858/60</f>
        <v>3.25375576379592</v>
      </c>
    </row>
    <row r="1859" customFormat="false" ht="15" hidden="false" customHeight="false" outlineLevel="0" collapsed="false">
      <c r="A1859" s="216"/>
      <c r="B1859" s="40"/>
      <c r="C1859" s="1404" t="s">
        <v>7075</v>
      </c>
      <c r="D1859" s="569" t="n">
        <v>2015</v>
      </c>
      <c r="E1859" s="569" t="n">
        <f aca="false">2021-D1859</f>
        <v>6</v>
      </c>
      <c r="F1859" s="1105" t="n">
        <v>1028020</v>
      </c>
      <c r="G1859" s="1444" t="n">
        <v>0.1</v>
      </c>
      <c r="H1859" s="547" t="n">
        <f aca="false">E1859*F1859*G1859</f>
        <v>616812</v>
      </c>
      <c r="I1859" s="547" t="n">
        <f aca="false">F1859-H1859</f>
        <v>411208</v>
      </c>
      <c r="J1859" s="547" t="n">
        <f aca="false">F1859*G1859</f>
        <v>102802</v>
      </c>
      <c r="K1859" s="1365" t="n">
        <f aca="false">J1859/1792.8</f>
        <v>57.3415885765283</v>
      </c>
      <c r="L1859" s="547" t="n">
        <v>60</v>
      </c>
      <c r="M1859" s="819" t="n">
        <f aca="false">K1859*L1859/60</f>
        <v>57.3415885765283</v>
      </c>
    </row>
    <row r="1860" customFormat="false" ht="30" hidden="false" customHeight="false" outlineLevel="0" collapsed="false">
      <c r="A1860" s="216"/>
      <c r="B1860" s="40"/>
      <c r="C1860" s="1409" t="s">
        <v>6967</v>
      </c>
      <c r="D1860" s="569" t="n">
        <v>2016</v>
      </c>
      <c r="E1860" s="569" t="n">
        <f aca="false">2021-D1860</f>
        <v>5</v>
      </c>
      <c r="F1860" s="1105" t="n">
        <v>2302000</v>
      </c>
      <c r="G1860" s="1444" t="n">
        <v>0.1</v>
      </c>
      <c r="H1860" s="547" t="n">
        <f aca="false">E1860*F1860*G1860</f>
        <v>1151000</v>
      </c>
      <c r="I1860" s="547" t="n">
        <f aca="false">F1860-H1860</f>
        <v>1151000</v>
      </c>
      <c r="J1860" s="547" t="n">
        <f aca="false">F1860*G1860</f>
        <v>230200</v>
      </c>
      <c r="K1860" s="1365" t="n">
        <f aca="false">J1860/1792.8</f>
        <v>128.402498884427</v>
      </c>
      <c r="L1860" s="547" t="n">
        <v>10</v>
      </c>
      <c r="M1860" s="819" t="n">
        <f aca="false">K1860*L1860/60</f>
        <v>21.4004164807378</v>
      </c>
    </row>
    <row r="1861" customFormat="false" ht="30" hidden="false" customHeight="false" outlineLevel="0" collapsed="false">
      <c r="A1861" s="216"/>
      <c r="B1861" s="40"/>
      <c r="C1861" s="1404" t="s">
        <v>7072</v>
      </c>
      <c r="D1861" s="569" t="n">
        <v>2013</v>
      </c>
      <c r="E1861" s="569" t="n">
        <f aca="false">2021-D1861</f>
        <v>8</v>
      </c>
      <c r="F1861" s="1105" t="n">
        <v>300000</v>
      </c>
      <c r="G1861" s="1444" t="n">
        <v>0.1</v>
      </c>
      <c r="H1861" s="1105" t="n">
        <f aca="false">E1861*F1861*G1861</f>
        <v>240000</v>
      </c>
      <c r="I1861" s="1105" t="n">
        <f aca="false">F1861-H1861</f>
        <v>60000</v>
      </c>
      <c r="J1861" s="1105" t="n">
        <f aca="false">F1861*G1861</f>
        <v>30000</v>
      </c>
      <c r="K1861" s="1365" t="n">
        <f aca="false">J1861/1792.8</f>
        <v>16.7336010709505</v>
      </c>
      <c r="L1861" s="1105" t="n">
        <v>50</v>
      </c>
      <c r="M1861" s="865" t="n">
        <f aca="false">K1861*L1861/60</f>
        <v>13.9446675591254</v>
      </c>
    </row>
    <row r="1862" customFormat="false" ht="30" hidden="false" customHeight="false" outlineLevel="0" collapsed="false">
      <c r="A1862" s="216"/>
      <c r="B1862" s="40"/>
      <c r="C1862" s="1404" t="s">
        <v>7073</v>
      </c>
      <c r="D1862" s="569" t="n">
        <v>2005</v>
      </c>
      <c r="E1862" s="569" t="n">
        <f aca="false">2021-D1862</f>
        <v>16</v>
      </c>
      <c r="F1862" s="1105" t="n">
        <v>39263</v>
      </c>
      <c r="G1862" s="1444" t="n">
        <v>0.15</v>
      </c>
      <c r="H1862" s="1105" t="n">
        <f aca="false">E1862*F1862*G1862</f>
        <v>94231.2</v>
      </c>
      <c r="I1862" s="1105" t="n">
        <f aca="false">F1862-H1862</f>
        <v>-54968.2</v>
      </c>
      <c r="J1862" s="1105" t="n">
        <f aca="false">F1862*G1862</f>
        <v>5889.45</v>
      </c>
      <c r="K1862" s="1365" t="n">
        <f aca="false">J1862/1792.8</f>
        <v>3.28505689424364</v>
      </c>
      <c r="L1862" s="1105" t="n">
        <v>30</v>
      </c>
      <c r="M1862" s="865" t="n">
        <f aca="false">K1862*L1862/60</f>
        <v>1.64252844712182</v>
      </c>
    </row>
    <row r="1863" customFormat="false" ht="30" hidden="false" customHeight="false" outlineLevel="0" collapsed="false">
      <c r="A1863" s="216"/>
      <c r="B1863" s="40"/>
      <c r="C1863" s="1404" t="s">
        <v>7070</v>
      </c>
      <c r="D1863" s="569" t="n">
        <v>2009</v>
      </c>
      <c r="E1863" s="569" t="n">
        <f aca="false">2021-D1863</f>
        <v>12</v>
      </c>
      <c r="F1863" s="1105" t="n">
        <v>181000</v>
      </c>
      <c r="G1863" s="1444" t="n">
        <v>0.1</v>
      </c>
      <c r="H1863" s="1105" t="n">
        <f aca="false">E1863*F1863*G1863</f>
        <v>217200</v>
      </c>
      <c r="I1863" s="1105" t="n">
        <f aca="false">F1863-H1863</f>
        <v>-36200</v>
      </c>
      <c r="J1863" s="1105" t="n">
        <f aca="false">F1863*G1863</f>
        <v>18100</v>
      </c>
      <c r="K1863" s="1365" t="n">
        <f aca="false">J1863/1792.8</f>
        <v>10.0959393128068</v>
      </c>
      <c r="L1863" s="1105" t="n">
        <v>30</v>
      </c>
      <c r="M1863" s="865" t="n">
        <f aca="false">K1863*L1863/60</f>
        <v>5.04796965640339</v>
      </c>
    </row>
    <row r="1864" customFormat="false" ht="30" hidden="false" customHeight="false" outlineLevel="0" collapsed="false">
      <c r="A1864" s="216"/>
      <c r="B1864" s="40"/>
      <c r="C1864" s="1161" t="s">
        <v>7074</v>
      </c>
      <c r="D1864" s="912" t="n">
        <v>2003</v>
      </c>
      <c r="E1864" s="912" t="n">
        <f aca="false">2021-D1864</f>
        <v>18</v>
      </c>
      <c r="F1864" s="547" t="n">
        <v>2471090</v>
      </c>
      <c r="G1864" s="1413" t="n">
        <v>0.1</v>
      </c>
      <c r="H1864" s="547" t="n">
        <f aca="false">E1864*F1864*G1864</f>
        <v>4447962</v>
      </c>
      <c r="I1864" s="547" t="n">
        <f aca="false">F1864-H1864</f>
        <v>-1976872</v>
      </c>
      <c r="J1864" s="547" t="n">
        <f aca="false">F1864*G1864</f>
        <v>247109</v>
      </c>
      <c r="K1864" s="1365" t="n">
        <f aca="false">J1864/1792.8</f>
        <v>137.834114234717</v>
      </c>
      <c r="L1864" s="547" t="n">
        <v>120</v>
      </c>
      <c r="M1864" s="819" t="n">
        <f aca="false">K1864*L1864/60</f>
        <v>275.668228469433</v>
      </c>
    </row>
    <row r="1865" customFormat="false" ht="15" hidden="false" customHeight="false" outlineLevel="0" collapsed="false">
      <c r="A1865" s="216"/>
      <c r="B1865" s="1053" t="s">
        <v>4128</v>
      </c>
      <c r="C1865" s="1161"/>
      <c r="D1865" s="912"/>
      <c r="E1865" s="912"/>
      <c r="F1865" s="547"/>
      <c r="G1865" s="1413"/>
      <c r="H1865" s="547"/>
      <c r="I1865" s="547"/>
      <c r="J1865" s="547"/>
      <c r="K1865" s="1365" t="n">
        <f aca="false">J1865/1792.8</f>
        <v>0</v>
      </c>
      <c r="L1865" s="714" t="n">
        <f aca="false">SUM(L1856:L1864)</f>
        <v>340</v>
      </c>
      <c r="M1865" s="934" t="n">
        <f aca="false">SUM(M1856:M1864)</f>
        <v>382.515167150082</v>
      </c>
    </row>
    <row r="1866" customFormat="false" ht="42.75" hidden="false" customHeight="false" outlineLevel="0" collapsed="false">
      <c r="A1866" s="15" t="s">
        <v>5277</v>
      </c>
      <c r="B1866" s="54" t="s">
        <v>3083</v>
      </c>
      <c r="C1866" s="1387"/>
      <c r="D1866" s="339"/>
      <c r="E1866" s="541"/>
      <c r="F1866" s="751"/>
      <c r="G1866" s="1412"/>
      <c r="H1866" s="1412"/>
      <c r="I1866" s="751"/>
      <c r="J1866" s="751"/>
      <c r="K1866" s="751"/>
      <c r="L1866" s="751"/>
      <c r="M1866" s="818"/>
    </row>
    <row r="1867" customFormat="false" ht="30" hidden="false" customHeight="false" outlineLevel="0" collapsed="false">
      <c r="A1867" s="216" t="s">
        <v>1068</v>
      </c>
      <c r="B1867" s="40" t="s">
        <v>3307</v>
      </c>
      <c r="C1867" s="1404" t="s">
        <v>7070</v>
      </c>
      <c r="D1867" s="569" t="n">
        <v>2009</v>
      </c>
      <c r="E1867" s="569" t="n">
        <f aca="false">2021-D1867</f>
        <v>12</v>
      </c>
      <c r="F1867" s="1105" t="n">
        <v>181000</v>
      </c>
      <c r="G1867" s="1444" t="n">
        <v>0.1</v>
      </c>
      <c r="H1867" s="1105" t="n">
        <f aca="false">E1867*F1867*G1867</f>
        <v>217200</v>
      </c>
      <c r="I1867" s="1105" t="n">
        <f aca="false">F1867-H1867</f>
        <v>-36200</v>
      </c>
      <c r="J1867" s="1105" t="n">
        <f aca="false">F1867*G1867</f>
        <v>18100</v>
      </c>
      <c r="K1867" s="1365" t="n">
        <f aca="false">J1867/1792.8</f>
        <v>10.0959393128068</v>
      </c>
      <c r="L1867" s="1105" t="n">
        <v>20</v>
      </c>
      <c r="M1867" s="865" t="n">
        <f aca="false">K1867*L1867/60</f>
        <v>3.36531310426893</v>
      </c>
    </row>
    <row r="1868" customFormat="false" ht="30" hidden="false" customHeight="false" outlineLevel="0" collapsed="false">
      <c r="A1868" s="216"/>
      <c r="B1868" s="40"/>
      <c r="C1868" s="1404" t="s">
        <v>6963</v>
      </c>
      <c r="D1868" s="1405" t="n">
        <v>2007</v>
      </c>
      <c r="E1868" s="1405" t="n">
        <f aca="false">2021-D1868</f>
        <v>14</v>
      </c>
      <c r="F1868" s="1406" t="n">
        <v>176358</v>
      </c>
      <c r="G1868" s="1407" t="n">
        <v>0.1</v>
      </c>
      <c r="H1868" s="1410" t="n">
        <f aca="false">E1868*F1868*G1868</f>
        <v>246901.2</v>
      </c>
      <c r="I1868" s="1410" t="n">
        <f aca="false">F1868-H1868</f>
        <v>-70543.2</v>
      </c>
      <c r="J1868" s="1410" t="n">
        <f aca="false">F1868*G1868</f>
        <v>17635.8</v>
      </c>
      <c r="K1868" s="1365" t="n">
        <f aca="false">J1868/1792.8</f>
        <v>9.83701472556894</v>
      </c>
      <c r="L1868" s="1445" t="n">
        <v>10</v>
      </c>
      <c r="M1868" s="1408" t="n">
        <f aca="false">K1868*L1868/60</f>
        <v>1.63950245426149</v>
      </c>
    </row>
    <row r="1869" customFormat="false" ht="33.75" hidden="false" customHeight="true" outlineLevel="0" collapsed="false">
      <c r="A1869" s="216"/>
      <c r="B1869" s="40"/>
      <c r="C1869" s="1404" t="s">
        <v>6959</v>
      </c>
      <c r="D1869" s="1405" t="n">
        <v>2007</v>
      </c>
      <c r="E1869" s="1405" t="n">
        <f aca="false">2021-D1869</f>
        <v>14</v>
      </c>
      <c r="F1869" s="1406" t="n">
        <v>350000</v>
      </c>
      <c r="G1869" s="1407" t="n">
        <v>0.1</v>
      </c>
      <c r="H1869" s="1410" t="n">
        <f aca="false">E1869*F1869*G1869</f>
        <v>490000</v>
      </c>
      <c r="I1869" s="1410" t="n">
        <f aca="false">F1869-H1869</f>
        <v>-140000</v>
      </c>
      <c r="J1869" s="1410" t="n">
        <f aca="false">F1869*G1869</f>
        <v>35000</v>
      </c>
      <c r="K1869" s="1365" t="n">
        <f aca="false">J1869/1792.8</f>
        <v>19.5225345827755</v>
      </c>
      <c r="L1869" s="1445" t="n">
        <v>10</v>
      </c>
      <c r="M1869" s="1408" t="n">
        <f aca="false">K1869*L1869/60</f>
        <v>3.25375576379592</v>
      </c>
    </row>
    <row r="1870" customFormat="false" ht="30" hidden="false" customHeight="false" outlineLevel="0" collapsed="false">
      <c r="A1870" s="216"/>
      <c r="B1870" s="40"/>
      <c r="C1870" s="1161" t="s">
        <v>7071</v>
      </c>
      <c r="D1870" s="912" t="n">
        <v>2006</v>
      </c>
      <c r="E1870" s="912" t="n">
        <f aca="false">2021-D1870</f>
        <v>15</v>
      </c>
      <c r="F1870" s="547" t="n">
        <v>138575</v>
      </c>
      <c r="G1870" s="1413" t="n">
        <v>0.1</v>
      </c>
      <c r="H1870" s="547" t="n">
        <f aca="false">E1870*F1870*G1870</f>
        <v>207862.5</v>
      </c>
      <c r="I1870" s="547" t="n">
        <f aca="false">F1870-H1870</f>
        <v>-69287.5</v>
      </c>
      <c r="J1870" s="547" t="n">
        <f aca="false">F1870*G1870</f>
        <v>13857.5</v>
      </c>
      <c r="K1870" s="1365" t="n">
        <f aca="false">J1870/1792.8</f>
        <v>7.7295292280232</v>
      </c>
      <c r="L1870" s="547" t="n">
        <v>20</v>
      </c>
      <c r="M1870" s="819" t="n">
        <f aca="false">K1870*L1870/60</f>
        <v>2.5765097426744</v>
      </c>
    </row>
    <row r="1871" customFormat="false" ht="15" hidden="false" customHeight="false" outlineLevel="0" collapsed="false">
      <c r="A1871" s="216"/>
      <c r="B1871" s="40"/>
      <c r="C1871" s="1404" t="s">
        <v>7075</v>
      </c>
      <c r="D1871" s="569" t="n">
        <v>2015</v>
      </c>
      <c r="E1871" s="569" t="n">
        <f aca="false">2021-D1871</f>
        <v>6</v>
      </c>
      <c r="F1871" s="1105" t="n">
        <v>1028020</v>
      </c>
      <c r="G1871" s="1444" t="n">
        <v>0.1</v>
      </c>
      <c r="H1871" s="1105" t="n">
        <f aca="false">E1871*F1871*G1871</f>
        <v>616812</v>
      </c>
      <c r="I1871" s="1105" t="n">
        <f aca="false">F1871-H1871</f>
        <v>411208</v>
      </c>
      <c r="J1871" s="1105" t="n">
        <f aca="false">F1871*G1871</f>
        <v>102802</v>
      </c>
      <c r="K1871" s="1365" t="n">
        <f aca="false">J1871/1792.8</f>
        <v>57.3415885765283</v>
      </c>
      <c r="L1871" s="1105" t="n">
        <v>60</v>
      </c>
      <c r="M1871" s="865" t="n">
        <f aca="false">K1871*L1871/60</f>
        <v>57.3415885765283</v>
      </c>
    </row>
    <row r="1872" customFormat="false" ht="30" hidden="false" customHeight="false" outlineLevel="0" collapsed="false">
      <c r="A1872" s="216"/>
      <c r="B1872" s="40"/>
      <c r="C1872" s="1446" t="s">
        <v>6967</v>
      </c>
      <c r="D1872" s="569" t="n">
        <v>2016</v>
      </c>
      <c r="E1872" s="569" t="n">
        <f aca="false">2021-D1872</f>
        <v>5</v>
      </c>
      <c r="F1872" s="1105" t="n">
        <v>2302000</v>
      </c>
      <c r="G1872" s="1413" t="n">
        <v>0.1</v>
      </c>
      <c r="H1872" s="547" t="n">
        <f aca="false">E1872*F1872*G1872</f>
        <v>1151000</v>
      </c>
      <c r="I1872" s="547" t="n">
        <f aca="false">F1872-H1872</f>
        <v>1151000</v>
      </c>
      <c r="J1872" s="547" t="n">
        <f aca="false">F1872*G1872</f>
        <v>230200</v>
      </c>
      <c r="K1872" s="1365" t="n">
        <f aca="false">J1872/1792.8</f>
        <v>128.402498884427</v>
      </c>
      <c r="L1872" s="547" t="n">
        <v>20</v>
      </c>
      <c r="M1872" s="819" t="n">
        <f aca="false">K1872*L1872/60</f>
        <v>42.8008329614755</v>
      </c>
    </row>
    <row r="1873" customFormat="false" ht="30" hidden="false" customHeight="false" outlineLevel="0" collapsed="false">
      <c r="A1873" s="216"/>
      <c r="B1873" s="40"/>
      <c r="C1873" s="1404" t="s">
        <v>7072</v>
      </c>
      <c r="D1873" s="569" t="n">
        <v>2013</v>
      </c>
      <c r="E1873" s="569" t="n">
        <f aca="false">2021-D1873</f>
        <v>8</v>
      </c>
      <c r="F1873" s="1105" t="n">
        <v>300000</v>
      </c>
      <c r="G1873" s="1444" t="n">
        <v>0.1</v>
      </c>
      <c r="H1873" s="1105" t="n">
        <f aca="false">E1873*F1873*G1873</f>
        <v>240000</v>
      </c>
      <c r="I1873" s="1105" t="n">
        <f aca="false">F1873-H1873</f>
        <v>60000</v>
      </c>
      <c r="J1873" s="1105" t="n">
        <f aca="false">F1873*G1873</f>
        <v>30000</v>
      </c>
      <c r="K1873" s="1365" t="n">
        <f aca="false">J1873/1792.8</f>
        <v>16.7336010709505</v>
      </c>
      <c r="L1873" s="1105" t="n">
        <v>50</v>
      </c>
      <c r="M1873" s="865" t="n">
        <f aca="false">K1873*L1873/60</f>
        <v>13.9446675591254</v>
      </c>
    </row>
    <row r="1874" customFormat="false" ht="30" hidden="false" customHeight="false" outlineLevel="0" collapsed="false">
      <c r="A1874" s="216"/>
      <c r="B1874" s="40"/>
      <c r="C1874" s="1161" t="s">
        <v>7073</v>
      </c>
      <c r="D1874" s="912" t="n">
        <v>2005</v>
      </c>
      <c r="E1874" s="912" t="n">
        <f aca="false">2021-D1874</f>
        <v>16</v>
      </c>
      <c r="F1874" s="547" t="n">
        <v>39263</v>
      </c>
      <c r="G1874" s="1413" t="n">
        <v>0.1</v>
      </c>
      <c r="H1874" s="547" t="n">
        <f aca="false">E1874*F1874*G1874</f>
        <v>62820.8</v>
      </c>
      <c r="I1874" s="547" t="n">
        <f aca="false">F1874-H1874</f>
        <v>-23557.8</v>
      </c>
      <c r="J1874" s="547" t="n">
        <f aca="false">F1874*G1874</f>
        <v>3926.3</v>
      </c>
      <c r="K1874" s="1365" t="n">
        <f aca="false">J1874/1792.8</f>
        <v>2.19003792949576</v>
      </c>
      <c r="L1874" s="547" t="n">
        <v>30</v>
      </c>
      <c r="M1874" s="819" t="n">
        <f aca="false">K1874*L1874/60</f>
        <v>1.09501896474788</v>
      </c>
    </row>
    <row r="1875" customFormat="false" ht="30" hidden="false" customHeight="false" outlineLevel="0" collapsed="false">
      <c r="A1875" s="216"/>
      <c r="B1875" s="40"/>
      <c r="C1875" s="1161" t="s">
        <v>7074</v>
      </c>
      <c r="D1875" s="912" t="n">
        <v>2003</v>
      </c>
      <c r="E1875" s="912" t="n">
        <f aca="false">2021-D1875</f>
        <v>18</v>
      </c>
      <c r="F1875" s="547" t="n">
        <v>2471090</v>
      </c>
      <c r="G1875" s="1413" t="n">
        <v>0.1</v>
      </c>
      <c r="H1875" s="547" t="n">
        <f aca="false">E1875*F1875*G1875</f>
        <v>4447962</v>
      </c>
      <c r="I1875" s="547" t="n">
        <f aca="false">F1875-H1875</f>
        <v>-1976872</v>
      </c>
      <c r="J1875" s="547" t="n">
        <f aca="false">F1875*G1875</f>
        <v>247109</v>
      </c>
      <c r="K1875" s="1365" t="n">
        <f aca="false">J1875/1792.8</f>
        <v>137.834114234717</v>
      </c>
      <c r="L1875" s="547" t="n">
        <v>120</v>
      </c>
      <c r="M1875" s="819" t="n">
        <f aca="false">K1875*L1875/60</f>
        <v>275.668228469433</v>
      </c>
    </row>
    <row r="1876" customFormat="false" ht="15" hidden="false" customHeight="false" outlineLevel="0" collapsed="false">
      <c r="A1876" s="216"/>
      <c r="B1876" s="1053" t="s">
        <v>4128</v>
      </c>
      <c r="C1876" s="1161"/>
      <c r="D1876" s="912"/>
      <c r="E1876" s="912"/>
      <c r="F1876" s="547"/>
      <c r="G1876" s="1413"/>
      <c r="H1876" s="547"/>
      <c r="I1876" s="547"/>
      <c r="J1876" s="547"/>
      <c r="K1876" s="1365" t="n">
        <f aca="false">J1876/1792.8</f>
        <v>0</v>
      </c>
      <c r="L1876" s="714" t="n">
        <f aca="false">SUM(L1867:L1875)</f>
        <v>340</v>
      </c>
      <c r="M1876" s="934" t="n">
        <f aca="false">SUM(M1867:M1875)</f>
        <v>401.685417596311</v>
      </c>
    </row>
    <row r="1877" customFormat="false" ht="30" hidden="false" customHeight="false" outlineLevel="0" collapsed="false">
      <c r="A1877" s="216" t="s">
        <v>1069</v>
      </c>
      <c r="B1877" s="40" t="s">
        <v>3308</v>
      </c>
      <c r="C1877" s="1161" t="s">
        <v>7071</v>
      </c>
      <c r="D1877" s="912" t="n">
        <v>2006</v>
      </c>
      <c r="E1877" s="912" t="n">
        <f aca="false">2021-D1877</f>
        <v>15</v>
      </c>
      <c r="F1877" s="547" t="n">
        <v>138575</v>
      </c>
      <c r="G1877" s="1413" t="n">
        <v>0.1</v>
      </c>
      <c r="H1877" s="547" t="n">
        <f aca="false">E1877*F1877*G1877</f>
        <v>207862.5</v>
      </c>
      <c r="I1877" s="547" t="n">
        <f aca="false">F1877-H1877</f>
        <v>-69287.5</v>
      </c>
      <c r="J1877" s="547" t="n">
        <f aca="false">F1877*G1877</f>
        <v>13857.5</v>
      </c>
      <c r="K1877" s="1365" t="n">
        <f aca="false">J1877/1792.8</f>
        <v>7.7295292280232</v>
      </c>
      <c r="L1877" s="547" t="n">
        <v>20</v>
      </c>
      <c r="M1877" s="819" t="n">
        <f aca="false">K1877*L1877/60</f>
        <v>2.5765097426744</v>
      </c>
    </row>
    <row r="1878" customFormat="false" ht="30" hidden="false" customHeight="false" outlineLevel="0" collapsed="false">
      <c r="A1878" s="216"/>
      <c r="B1878" s="40"/>
      <c r="C1878" s="1404" t="s">
        <v>6963</v>
      </c>
      <c r="D1878" s="1405" t="n">
        <v>2007</v>
      </c>
      <c r="E1878" s="1405" t="n">
        <f aca="false">2021-D1878</f>
        <v>14</v>
      </c>
      <c r="F1878" s="1406" t="n">
        <v>176358</v>
      </c>
      <c r="G1878" s="1407" t="n">
        <v>0.1</v>
      </c>
      <c r="H1878" s="1410" t="n">
        <f aca="false">E1878*F1878*G1878</f>
        <v>246901.2</v>
      </c>
      <c r="I1878" s="1410" t="n">
        <f aca="false">F1878-H1878</f>
        <v>-70543.2</v>
      </c>
      <c r="J1878" s="1410" t="n">
        <f aca="false">F1878*G1878</f>
        <v>17635.8</v>
      </c>
      <c r="K1878" s="1365" t="n">
        <f aca="false">J1878/1792.8</f>
        <v>9.83701472556894</v>
      </c>
      <c r="L1878" s="1445" t="n">
        <v>10</v>
      </c>
      <c r="M1878" s="1408" t="n">
        <f aca="false">K1878*L1878/60</f>
        <v>1.63950245426149</v>
      </c>
    </row>
    <row r="1879" customFormat="false" ht="30" hidden="false" customHeight="false" outlineLevel="0" collapsed="false">
      <c r="A1879" s="216"/>
      <c r="B1879" s="40"/>
      <c r="C1879" s="1404" t="s">
        <v>6959</v>
      </c>
      <c r="D1879" s="1405" t="n">
        <v>2007</v>
      </c>
      <c r="E1879" s="1405" t="n">
        <f aca="false">2021-D1879</f>
        <v>14</v>
      </c>
      <c r="F1879" s="1406" t="n">
        <v>350000</v>
      </c>
      <c r="G1879" s="1407" t="n">
        <v>0.1</v>
      </c>
      <c r="H1879" s="1410" t="n">
        <f aca="false">E1879*F1879*G1879</f>
        <v>490000</v>
      </c>
      <c r="I1879" s="1410" t="n">
        <f aca="false">F1879-H1879</f>
        <v>-140000</v>
      </c>
      <c r="J1879" s="1410" t="n">
        <f aca="false">F1879*G1879</f>
        <v>35000</v>
      </c>
      <c r="K1879" s="1365" t="n">
        <f aca="false">J1879/1792.8</f>
        <v>19.5225345827755</v>
      </c>
      <c r="L1879" s="1445" t="n">
        <v>10</v>
      </c>
      <c r="M1879" s="1408" t="n">
        <f aca="false">K1879*L1879/60</f>
        <v>3.25375576379592</v>
      </c>
    </row>
    <row r="1880" customFormat="false" ht="15" hidden="false" customHeight="false" outlineLevel="0" collapsed="false">
      <c r="A1880" s="216"/>
      <c r="B1880" s="40"/>
      <c r="C1880" s="1404" t="s">
        <v>7075</v>
      </c>
      <c r="D1880" s="569" t="n">
        <v>2015</v>
      </c>
      <c r="E1880" s="569" t="n">
        <f aca="false">2021-D1880</f>
        <v>6</v>
      </c>
      <c r="F1880" s="1105" t="n">
        <v>1028020</v>
      </c>
      <c r="G1880" s="1444" t="n">
        <v>0.1</v>
      </c>
      <c r="H1880" s="547" t="n">
        <f aca="false">E1880*F1880*G1880</f>
        <v>616812</v>
      </c>
      <c r="I1880" s="547" t="n">
        <f aca="false">F1880-H1880</f>
        <v>411208</v>
      </c>
      <c r="J1880" s="547" t="n">
        <f aca="false">F1880*G1880</f>
        <v>102802</v>
      </c>
      <c r="K1880" s="1365" t="n">
        <f aca="false">J1880/1792.8</f>
        <v>57.3415885765283</v>
      </c>
      <c r="L1880" s="547" t="n">
        <v>60</v>
      </c>
      <c r="M1880" s="819" t="n">
        <f aca="false">K1880*L1880/60</f>
        <v>57.3415885765283</v>
      </c>
    </row>
    <row r="1881" customFormat="false" ht="30" hidden="false" customHeight="false" outlineLevel="0" collapsed="false">
      <c r="A1881" s="216"/>
      <c r="B1881" s="40"/>
      <c r="C1881" s="1409" t="s">
        <v>6967</v>
      </c>
      <c r="D1881" s="569" t="n">
        <v>2016</v>
      </c>
      <c r="E1881" s="569" t="n">
        <f aca="false">2021-D1881</f>
        <v>5</v>
      </c>
      <c r="F1881" s="1105" t="n">
        <v>2302000</v>
      </c>
      <c r="G1881" s="1444" t="n">
        <v>0.1</v>
      </c>
      <c r="H1881" s="547" t="n">
        <f aca="false">E1881*F1881*G1881</f>
        <v>1151000</v>
      </c>
      <c r="I1881" s="547" t="n">
        <f aca="false">F1881-H1881</f>
        <v>1151000</v>
      </c>
      <c r="J1881" s="547" t="n">
        <f aca="false">F1881*G1881</f>
        <v>230200</v>
      </c>
      <c r="K1881" s="1365" t="n">
        <f aca="false">J1881/1792.8</f>
        <v>128.402498884427</v>
      </c>
      <c r="L1881" s="547" t="n">
        <v>20</v>
      </c>
      <c r="M1881" s="819" t="n">
        <f aca="false">K1881*L1881/60</f>
        <v>42.8008329614755</v>
      </c>
    </row>
    <row r="1882" customFormat="false" ht="30" hidden="false" customHeight="false" outlineLevel="0" collapsed="false">
      <c r="A1882" s="216"/>
      <c r="B1882" s="40"/>
      <c r="C1882" s="1404" t="s">
        <v>7072</v>
      </c>
      <c r="D1882" s="569" t="n">
        <v>2013</v>
      </c>
      <c r="E1882" s="569" t="n">
        <f aca="false">2021-D1882</f>
        <v>8</v>
      </c>
      <c r="F1882" s="1105" t="n">
        <v>300000</v>
      </c>
      <c r="G1882" s="1444" t="n">
        <v>0.1</v>
      </c>
      <c r="H1882" s="1105" t="n">
        <f aca="false">E1882*F1882*G1882</f>
        <v>240000</v>
      </c>
      <c r="I1882" s="1105" t="n">
        <f aca="false">F1882-H1882</f>
        <v>60000</v>
      </c>
      <c r="J1882" s="1105" t="n">
        <f aca="false">F1882*G1882</f>
        <v>30000</v>
      </c>
      <c r="K1882" s="1365" t="n">
        <f aca="false">J1882/1792.8</f>
        <v>16.7336010709505</v>
      </c>
      <c r="L1882" s="1105" t="n">
        <v>50</v>
      </c>
      <c r="M1882" s="865" t="n">
        <f aca="false">K1882*L1882/60</f>
        <v>13.9446675591254</v>
      </c>
    </row>
    <row r="1883" customFormat="false" ht="30" hidden="false" customHeight="false" outlineLevel="0" collapsed="false">
      <c r="A1883" s="216"/>
      <c r="B1883" s="40"/>
      <c r="C1883" s="1404" t="s">
        <v>7073</v>
      </c>
      <c r="D1883" s="569" t="n">
        <v>2005</v>
      </c>
      <c r="E1883" s="569" t="n">
        <f aca="false">2021-D1883</f>
        <v>16</v>
      </c>
      <c r="F1883" s="1105" t="n">
        <v>39263</v>
      </c>
      <c r="G1883" s="1444" t="n">
        <v>0.15</v>
      </c>
      <c r="H1883" s="1105" t="n">
        <f aca="false">E1883*F1883*G1883</f>
        <v>94231.2</v>
      </c>
      <c r="I1883" s="1105" t="n">
        <f aca="false">F1883-H1883</f>
        <v>-54968.2</v>
      </c>
      <c r="J1883" s="1105" t="n">
        <f aca="false">F1883*G1883</f>
        <v>5889.45</v>
      </c>
      <c r="K1883" s="1365" t="n">
        <f aca="false">J1883/1792.8</f>
        <v>3.28505689424364</v>
      </c>
      <c r="L1883" s="1105" t="n">
        <v>30</v>
      </c>
      <c r="M1883" s="865" t="n">
        <f aca="false">K1883*L1883/60</f>
        <v>1.64252844712182</v>
      </c>
    </row>
    <row r="1884" customFormat="false" ht="30" hidden="false" customHeight="false" outlineLevel="0" collapsed="false">
      <c r="A1884" s="216"/>
      <c r="B1884" s="40"/>
      <c r="C1884" s="1404" t="s">
        <v>7070</v>
      </c>
      <c r="D1884" s="569" t="n">
        <v>2009</v>
      </c>
      <c r="E1884" s="569" t="n">
        <f aca="false">2021-D1884</f>
        <v>12</v>
      </c>
      <c r="F1884" s="1105" t="n">
        <v>181000</v>
      </c>
      <c r="G1884" s="1444" t="n">
        <v>0.1</v>
      </c>
      <c r="H1884" s="1105" t="n">
        <f aca="false">E1884*F1884*G1884</f>
        <v>217200</v>
      </c>
      <c r="I1884" s="1105" t="n">
        <f aca="false">F1884-H1884</f>
        <v>-36200</v>
      </c>
      <c r="J1884" s="1105" t="n">
        <f aca="false">F1884*G1884</f>
        <v>18100</v>
      </c>
      <c r="K1884" s="1365" t="n">
        <f aca="false">J1884/1792.8</f>
        <v>10.0959393128068</v>
      </c>
      <c r="L1884" s="1105" t="n">
        <v>20</v>
      </c>
      <c r="M1884" s="865" t="n">
        <f aca="false">K1884*L1884/60</f>
        <v>3.36531310426893</v>
      </c>
    </row>
    <row r="1885" customFormat="false" ht="30" hidden="false" customHeight="false" outlineLevel="0" collapsed="false">
      <c r="A1885" s="216"/>
      <c r="B1885" s="40"/>
      <c r="C1885" s="1161" t="s">
        <v>7076</v>
      </c>
      <c r="D1885" s="569" t="n">
        <v>2012</v>
      </c>
      <c r="E1885" s="569" t="n">
        <f aca="false">2021-D1885</f>
        <v>9</v>
      </c>
      <c r="F1885" s="1277" t="n">
        <v>44483193.14</v>
      </c>
      <c r="G1885" s="1444" t="n">
        <v>0.1</v>
      </c>
      <c r="H1885" s="1105" t="n">
        <f aca="false">E1885*F1885*G1885</f>
        <v>40034873.826</v>
      </c>
      <c r="I1885" s="547" t="n">
        <f aca="false">F1885-H1885</f>
        <v>4448319.314</v>
      </c>
      <c r="J1885" s="547" t="n">
        <f aca="false">F1885*G1885</f>
        <v>4448319.314</v>
      </c>
      <c r="K1885" s="1365" t="n">
        <f aca="false">J1885/1792.8</f>
        <v>2481.21336122267</v>
      </c>
      <c r="L1885" s="547" t="n">
        <v>120</v>
      </c>
      <c r="M1885" s="819" t="n">
        <f aca="false">K1885*L1885/60</f>
        <v>4962.42672244534</v>
      </c>
    </row>
    <row r="1886" customFormat="false" ht="15" hidden="false" customHeight="false" outlineLevel="0" collapsed="false">
      <c r="A1886" s="216"/>
      <c r="B1886" s="1053" t="s">
        <v>4128</v>
      </c>
      <c r="C1886" s="1161"/>
      <c r="D1886" s="912"/>
      <c r="E1886" s="912"/>
      <c r="F1886" s="547"/>
      <c r="G1886" s="1413"/>
      <c r="H1886" s="547"/>
      <c r="I1886" s="547"/>
      <c r="J1886" s="547"/>
      <c r="K1886" s="1365" t="n">
        <f aca="false">J1886/1792.8</f>
        <v>0</v>
      </c>
      <c r="L1886" s="714" t="n">
        <f aca="false">SUM(L1877:L1885)</f>
        <v>340</v>
      </c>
      <c r="M1886" s="934" t="n">
        <f aca="false">SUM(M1877:M1885)</f>
        <v>5088.99142105459</v>
      </c>
    </row>
    <row r="1887" customFormat="false" ht="30" hidden="false" customHeight="false" outlineLevel="0" collapsed="false">
      <c r="A1887" s="216" t="s">
        <v>1070</v>
      </c>
      <c r="B1887" s="40" t="s">
        <v>3310</v>
      </c>
      <c r="C1887" s="1161" t="s">
        <v>7071</v>
      </c>
      <c r="D1887" s="912" t="n">
        <v>2006</v>
      </c>
      <c r="E1887" s="912" t="n">
        <f aca="false">2021-D1887</f>
        <v>15</v>
      </c>
      <c r="F1887" s="547" t="n">
        <v>138575</v>
      </c>
      <c r="G1887" s="1413" t="n">
        <v>0.1</v>
      </c>
      <c r="H1887" s="547" t="n">
        <f aca="false">E1887*F1887*G1887</f>
        <v>207862.5</v>
      </c>
      <c r="I1887" s="547" t="n">
        <f aca="false">F1887-H1887</f>
        <v>-69287.5</v>
      </c>
      <c r="J1887" s="547" t="n">
        <f aca="false">F1887*G1887</f>
        <v>13857.5</v>
      </c>
      <c r="K1887" s="1365" t="n">
        <f aca="false">J1887/1792.8</f>
        <v>7.7295292280232</v>
      </c>
      <c r="L1887" s="547" t="n">
        <v>10</v>
      </c>
      <c r="M1887" s="819" t="n">
        <f aca="false">K1887*L1887/60</f>
        <v>1.2882548713372</v>
      </c>
    </row>
    <row r="1888" customFormat="false" ht="30" hidden="false" customHeight="false" outlineLevel="0" collapsed="false">
      <c r="A1888" s="216"/>
      <c r="B1888" s="40"/>
      <c r="C1888" s="1404" t="s">
        <v>6963</v>
      </c>
      <c r="D1888" s="1405" t="n">
        <v>2007</v>
      </c>
      <c r="E1888" s="1405" t="n">
        <f aca="false">2021-D1888</f>
        <v>14</v>
      </c>
      <c r="F1888" s="1406" t="n">
        <v>176358</v>
      </c>
      <c r="G1888" s="1407" t="n">
        <v>0.1</v>
      </c>
      <c r="H1888" s="1410" t="n">
        <f aca="false">E1888*F1888*G1888</f>
        <v>246901.2</v>
      </c>
      <c r="I1888" s="1410" t="n">
        <f aca="false">F1888-H1888</f>
        <v>-70543.2</v>
      </c>
      <c r="J1888" s="1410" t="n">
        <f aca="false">F1888*G1888</f>
        <v>17635.8</v>
      </c>
      <c r="K1888" s="1365" t="n">
        <f aca="false">J1888/1792.8</f>
        <v>9.83701472556894</v>
      </c>
      <c r="L1888" s="1445" t="n">
        <v>5</v>
      </c>
      <c r="M1888" s="1408" t="n">
        <f aca="false">K1888*L1888/60</f>
        <v>0.819751227130745</v>
      </c>
    </row>
    <row r="1889" customFormat="false" ht="30" hidden="false" customHeight="false" outlineLevel="0" collapsed="false">
      <c r="A1889" s="216"/>
      <c r="B1889" s="40"/>
      <c r="C1889" s="1404" t="s">
        <v>6959</v>
      </c>
      <c r="D1889" s="1405" t="n">
        <v>2007</v>
      </c>
      <c r="E1889" s="1405" t="n">
        <f aca="false">2021-D1889</f>
        <v>14</v>
      </c>
      <c r="F1889" s="1406" t="n">
        <v>350000</v>
      </c>
      <c r="G1889" s="1407" t="n">
        <v>0.1</v>
      </c>
      <c r="H1889" s="1410" t="n">
        <f aca="false">E1889*F1889*G1889</f>
        <v>490000</v>
      </c>
      <c r="I1889" s="1410" t="n">
        <f aca="false">F1889-H1889</f>
        <v>-140000</v>
      </c>
      <c r="J1889" s="1410" t="n">
        <f aca="false">F1889*G1889</f>
        <v>35000</v>
      </c>
      <c r="K1889" s="1365" t="n">
        <f aca="false">J1889/1792.8</f>
        <v>19.5225345827755</v>
      </c>
      <c r="L1889" s="1445" t="n">
        <v>5</v>
      </c>
      <c r="M1889" s="1408" t="n">
        <f aca="false">K1889*L1889/60</f>
        <v>1.62687788189796</v>
      </c>
    </row>
    <row r="1890" customFormat="false" ht="30" hidden="false" customHeight="false" outlineLevel="0" collapsed="false">
      <c r="A1890" s="216"/>
      <c r="B1890" s="40"/>
      <c r="C1890" s="1409" t="s">
        <v>6967</v>
      </c>
      <c r="D1890" s="569" t="n">
        <v>2016</v>
      </c>
      <c r="E1890" s="569" t="n">
        <f aca="false">2021-D1890</f>
        <v>5</v>
      </c>
      <c r="F1890" s="1105" t="n">
        <v>2302000</v>
      </c>
      <c r="G1890" s="1444" t="n">
        <v>0.1</v>
      </c>
      <c r="H1890" s="1105" t="n">
        <f aca="false">E1890*F1890*G1890</f>
        <v>1151000</v>
      </c>
      <c r="I1890" s="1105" t="n">
        <f aca="false">F1890-H1890</f>
        <v>1151000</v>
      </c>
      <c r="J1890" s="547" t="n">
        <f aca="false">F1890*G1890</f>
        <v>230200</v>
      </c>
      <c r="K1890" s="1365" t="n">
        <f aca="false">J1890/1792.8</f>
        <v>128.402498884427</v>
      </c>
      <c r="L1890" s="547" t="n">
        <v>10</v>
      </c>
      <c r="M1890" s="819" t="n">
        <f aca="false">K1890*L1890/60</f>
        <v>21.4004164807378</v>
      </c>
    </row>
    <row r="1891" customFormat="false" ht="30" hidden="false" customHeight="false" outlineLevel="0" collapsed="false">
      <c r="A1891" s="216"/>
      <c r="B1891" s="40"/>
      <c r="C1891" s="1404" t="s">
        <v>7072</v>
      </c>
      <c r="D1891" s="569" t="n">
        <v>2013</v>
      </c>
      <c r="E1891" s="569" t="n">
        <f aca="false">2021-D1891</f>
        <v>8</v>
      </c>
      <c r="F1891" s="1105" t="n">
        <v>300000</v>
      </c>
      <c r="G1891" s="1444" t="n">
        <v>0.1</v>
      </c>
      <c r="H1891" s="1105" t="n">
        <f aca="false">E1891*F1891*G1891</f>
        <v>240000</v>
      </c>
      <c r="I1891" s="1105" t="n">
        <f aca="false">F1891-H1891</f>
        <v>60000</v>
      </c>
      <c r="J1891" s="1105" t="n">
        <f aca="false">F1891*G1891</f>
        <v>30000</v>
      </c>
      <c r="K1891" s="1365" t="n">
        <f aca="false">J1891/1792.8</f>
        <v>16.7336010709505</v>
      </c>
      <c r="L1891" s="1105" t="n">
        <v>20</v>
      </c>
      <c r="M1891" s="865" t="n">
        <f aca="false">K1891*L1891/60</f>
        <v>5.57786702365016</v>
      </c>
    </row>
    <row r="1892" customFormat="false" ht="15" hidden="false" customHeight="false" outlineLevel="0" collapsed="false">
      <c r="A1892" s="216"/>
      <c r="B1892" s="40"/>
      <c r="C1892" s="1404" t="s">
        <v>7075</v>
      </c>
      <c r="D1892" s="569" t="n">
        <v>2015</v>
      </c>
      <c r="E1892" s="569" t="n">
        <f aca="false">2021-D1892</f>
        <v>6</v>
      </c>
      <c r="F1892" s="1105" t="n">
        <v>1028020</v>
      </c>
      <c r="G1892" s="1444" t="n">
        <v>0.1</v>
      </c>
      <c r="H1892" s="1105" t="n">
        <f aca="false">E1892*F1892*G1892</f>
        <v>616812</v>
      </c>
      <c r="I1892" s="1105" t="n">
        <f aca="false">F1892-H1892</f>
        <v>411208</v>
      </c>
      <c r="J1892" s="1105" t="n">
        <f aca="false">F1892*G1892</f>
        <v>102802</v>
      </c>
      <c r="K1892" s="1365" t="n">
        <f aca="false">J1892/1792.8</f>
        <v>57.3415885765283</v>
      </c>
      <c r="L1892" s="547" t="n">
        <v>60</v>
      </c>
      <c r="M1892" s="819" t="n">
        <f aca="false">K1892*L1892/60</f>
        <v>57.3415885765283</v>
      </c>
    </row>
    <row r="1893" customFormat="false" ht="30" hidden="false" customHeight="false" outlineLevel="0" collapsed="false">
      <c r="A1893" s="216"/>
      <c r="B1893" s="40"/>
      <c r="C1893" s="1404" t="s">
        <v>7070</v>
      </c>
      <c r="D1893" s="569" t="n">
        <v>2009</v>
      </c>
      <c r="E1893" s="569" t="n">
        <f aca="false">2021-D1893</f>
        <v>12</v>
      </c>
      <c r="F1893" s="1105" t="n">
        <v>181000</v>
      </c>
      <c r="G1893" s="1444" t="n">
        <v>0.1</v>
      </c>
      <c r="H1893" s="1105" t="n">
        <f aca="false">E1893*F1893*G1893</f>
        <v>217200</v>
      </c>
      <c r="I1893" s="1105" t="n">
        <f aca="false">F1893-H1893</f>
        <v>-36200</v>
      </c>
      <c r="J1893" s="1105" t="n">
        <f aca="false">F1893*G1893</f>
        <v>18100</v>
      </c>
      <c r="K1893" s="1365" t="n">
        <f aca="false">J1893/1792.8</f>
        <v>10.0959393128068</v>
      </c>
      <c r="L1893" s="547" t="n">
        <v>10</v>
      </c>
      <c r="M1893" s="819" t="n">
        <f aca="false">K1893*L1893/60</f>
        <v>1.68265655213446</v>
      </c>
    </row>
    <row r="1894" customFormat="false" ht="30" hidden="false" customHeight="false" outlineLevel="0" collapsed="false">
      <c r="A1894" s="216"/>
      <c r="B1894" s="40"/>
      <c r="C1894" s="1404" t="s">
        <v>7073</v>
      </c>
      <c r="D1894" s="569" t="n">
        <v>2005</v>
      </c>
      <c r="E1894" s="569" t="n">
        <f aca="false">2021-D1894</f>
        <v>16</v>
      </c>
      <c r="F1894" s="1105" t="n">
        <v>39263</v>
      </c>
      <c r="G1894" s="1444" t="n">
        <v>0.1</v>
      </c>
      <c r="H1894" s="1105" t="n">
        <f aca="false">E1894*F1894*G1894</f>
        <v>62820.8</v>
      </c>
      <c r="I1894" s="1105" t="n">
        <f aca="false">F1894-H1894</f>
        <v>-23557.8</v>
      </c>
      <c r="J1894" s="1105" t="n">
        <f aca="false">F1894*G1894</f>
        <v>3926.3</v>
      </c>
      <c r="K1894" s="1365" t="n">
        <f aca="false">J1894/1792.8</f>
        <v>2.19003792949576</v>
      </c>
      <c r="L1894" s="547" t="n">
        <v>20</v>
      </c>
      <c r="M1894" s="819" t="n">
        <f aca="false">K1894*L1894/60</f>
        <v>0.730012643165254</v>
      </c>
    </row>
    <row r="1895" customFormat="false" ht="30" hidden="false" customHeight="false" outlineLevel="0" collapsed="false">
      <c r="A1895" s="216"/>
      <c r="B1895" s="40"/>
      <c r="C1895" s="1404" t="s">
        <v>7077</v>
      </c>
      <c r="D1895" s="569" t="n">
        <v>2012</v>
      </c>
      <c r="E1895" s="569" t="n">
        <f aca="false">2021-D1895</f>
        <v>9</v>
      </c>
      <c r="F1895" s="1105" t="n">
        <v>19245353.86</v>
      </c>
      <c r="G1895" s="1444" t="n">
        <v>0.1</v>
      </c>
      <c r="H1895" s="1105" t="n">
        <f aca="false">E1895*F1895*G1895</f>
        <v>17320818.474</v>
      </c>
      <c r="I1895" s="1105" t="n">
        <f aca="false">F1895-H1895</f>
        <v>1924535.386</v>
      </c>
      <c r="J1895" s="1105" t="n">
        <f aca="false">F1895*G1895</f>
        <v>1924535.386</v>
      </c>
      <c r="K1895" s="1365" t="n">
        <f aca="false">J1895/1792.8</f>
        <v>1073.48024654172</v>
      </c>
      <c r="L1895" s="547" t="n">
        <v>120</v>
      </c>
      <c r="M1895" s="819" t="n">
        <f aca="false">K1895*L1895/60</f>
        <v>2146.96049308345</v>
      </c>
    </row>
    <row r="1896" customFormat="false" ht="15" hidden="false" customHeight="false" outlineLevel="0" collapsed="false">
      <c r="A1896" s="216"/>
      <c r="B1896" s="1053" t="s">
        <v>4128</v>
      </c>
      <c r="C1896" s="1161"/>
      <c r="D1896" s="912"/>
      <c r="E1896" s="912"/>
      <c r="F1896" s="547"/>
      <c r="G1896" s="1413"/>
      <c r="H1896" s="547"/>
      <c r="I1896" s="547"/>
      <c r="J1896" s="547"/>
      <c r="K1896" s="1365" t="n">
        <f aca="false">J1896/1792.8</f>
        <v>0</v>
      </c>
      <c r="L1896" s="714" t="n">
        <f aca="false">SUM(L1887:L1895)</f>
        <v>260</v>
      </c>
      <c r="M1896" s="934" t="n">
        <f aca="false">SUM(M1887:M1895)</f>
        <v>2237.42791834003</v>
      </c>
    </row>
    <row r="1897" customFormat="false" ht="28.5" hidden="false" customHeight="false" outlineLevel="0" collapsed="false">
      <c r="A1897" s="15" t="s">
        <v>5280</v>
      </c>
      <c r="B1897" s="54" t="s">
        <v>3322</v>
      </c>
      <c r="C1897" s="1387"/>
      <c r="D1897" s="339"/>
      <c r="E1897" s="541"/>
      <c r="F1897" s="751"/>
      <c r="G1897" s="1412"/>
      <c r="H1897" s="712"/>
      <c r="I1897" s="751"/>
      <c r="J1897" s="751"/>
      <c r="K1897" s="751"/>
      <c r="L1897" s="751"/>
      <c r="M1897" s="818"/>
    </row>
    <row r="1898" customFormat="false" ht="30" hidden="false" customHeight="false" outlineLevel="0" collapsed="false">
      <c r="A1898" s="216" t="s">
        <v>1073</v>
      </c>
      <c r="B1898" s="335" t="s">
        <v>3307</v>
      </c>
      <c r="C1898" s="1404" t="s">
        <v>7070</v>
      </c>
      <c r="D1898" s="569" t="n">
        <v>2009</v>
      </c>
      <c r="E1898" s="569" t="n">
        <f aca="false">2021-D1898</f>
        <v>12</v>
      </c>
      <c r="F1898" s="1105" t="n">
        <v>181000</v>
      </c>
      <c r="G1898" s="1444" t="n">
        <v>0.1</v>
      </c>
      <c r="H1898" s="1105" t="n">
        <f aca="false">E1898*F1898*G1898</f>
        <v>217200</v>
      </c>
      <c r="I1898" s="1105" t="n">
        <f aca="false">F1898-H1898</f>
        <v>-36200</v>
      </c>
      <c r="J1898" s="1105" t="n">
        <f aca="false">F1898*G1898</f>
        <v>18100</v>
      </c>
      <c r="K1898" s="1365" t="n">
        <f aca="false">J1898/1792.8</f>
        <v>10.0959393128068</v>
      </c>
      <c r="L1898" s="1105" t="n">
        <v>20</v>
      </c>
      <c r="M1898" s="819" t="n">
        <f aca="false">K1898*L1898/60</f>
        <v>3.36531310426893</v>
      </c>
    </row>
    <row r="1899" customFormat="false" ht="30" hidden="false" customHeight="false" outlineLevel="0" collapsed="false">
      <c r="A1899" s="216"/>
      <c r="B1899" s="40"/>
      <c r="C1899" s="1404" t="s">
        <v>6963</v>
      </c>
      <c r="D1899" s="1405" t="n">
        <v>2007</v>
      </c>
      <c r="E1899" s="1405" t="n">
        <f aca="false">2021-D1899</f>
        <v>14</v>
      </c>
      <c r="F1899" s="1406" t="n">
        <v>176358</v>
      </c>
      <c r="G1899" s="1407" t="n">
        <v>0.1</v>
      </c>
      <c r="H1899" s="1410" t="n">
        <f aca="false">E1899*F1899*G1899</f>
        <v>246901.2</v>
      </c>
      <c r="I1899" s="1410" t="n">
        <f aca="false">F1899-H1899</f>
        <v>-70543.2</v>
      </c>
      <c r="J1899" s="1410" t="n">
        <f aca="false">F1899*G1899</f>
        <v>17635.8</v>
      </c>
      <c r="K1899" s="1365" t="n">
        <f aca="false">J1899/1792.8</f>
        <v>9.83701472556894</v>
      </c>
      <c r="L1899" s="1445" t="n">
        <v>10</v>
      </c>
      <c r="M1899" s="1408" t="n">
        <f aca="false">K1899*L1899/60</f>
        <v>1.63950245426149</v>
      </c>
    </row>
    <row r="1900" customFormat="false" ht="30" hidden="false" customHeight="false" outlineLevel="0" collapsed="false">
      <c r="A1900" s="216"/>
      <c r="B1900" s="40"/>
      <c r="C1900" s="1404" t="s">
        <v>6959</v>
      </c>
      <c r="D1900" s="1405" t="n">
        <v>2007</v>
      </c>
      <c r="E1900" s="1405" t="n">
        <f aca="false">2021-D1900</f>
        <v>14</v>
      </c>
      <c r="F1900" s="1406" t="n">
        <v>350000</v>
      </c>
      <c r="G1900" s="1407" t="n">
        <v>0.1</v>
      </c>
      <c r="H1900" s="1410" t="n">
        <f aca="false">E1900*F1900*G1900</f>
        <v>490000</v>
      </c>
      <c r="I1900" s="1410" t="n">
        <f aca="false">F1900-H1900</f>
        <v>-140000</v>
      </c>
      <c r="J1900" s="1410" t="n">
        <f aca="false">F1900*G1900</f>
        <v>35000</v>
      </c>
      <c r="K1900" s="1365" t="n">
        <f aca="false">J1900/1792.8</f>
        <v>19.5225345827755</v>
      </c>
      <c r="L1900" s="1445" t="n">
        <v>10</v>
      </c>
      <c r="M1900" s="1408" t="n">
        <f aca="false">K1900*L1900/60</f>
        <v>3.25375576379592</v>
      </c>
    </row>
    <row r="1901" customFormat="false" ht="30" hidden="false" customHeight="false" outlineLevel="0" collapsed="false">
      <c r="A1901" s="216"/>
      <c r="B1901" s="40"/>
      <c r="C1901" s="1404" t="s">
        <v>7071</v>
      </c>
      <c r="D1901" s="569" t="n">
        <v>2006</v>
      </c>
      <c r="E1901" s="569" t="n">
        <f aca="false">2021-D1901</f>
        <v>15</v>
      </c>
      <c r="F1901" s="1105" t="n">
        <v>138575</v>
      </c>
      <c r="G1901" s="1444" t="n">
        <v>0.1</v>
      </c>
      <c r="H1901" s="1105" t="n">
        <f aca="false">E1901*F1901*G1901</f>
        <v>207862.5</v>
      </c>
      <c r="I1901" s="1105" t="n">
        <f aca="false">F1901-H1901</f>
        <v>-69287.5</v>
      </c>
      <c r="J1901" s="1105" t="n">
        <f aca="false">F1901*G1901</f>
        <v>13857.5</v>
      </c>
      <c r="K1901" s="1365" t="n">
        <f aca="false">J1901/1792.8</f>
        <v>7.7295292280232</v>
      </c>
      <c r="L1901" s="1105" t="n">
        <v>20</v>
      </c>
      <c r="M1901" s="819" t="n">
        <f aca="false">K1901*L1901/60</f>
        <v>2.5765097426744</v>
      </c>
    </row>
    <row r="1902" customFormat="false" ht="15" hidden="false" customHeight="false" outlineLevel="0" collapsed="false">
      <c r="A1902" s="216"/>
      <c r="B1902" s="40"/>
      <c r="C1902" s="1404" t="s">
        <v>7075</v>
      </c>
      <c r="D1902" s="569" t="n">
        <v>2015</v>
      </c>
      <c r="E1902" s="569" t="n">
        <f aca="false">2021-D1902</f>
        <v>6</v>
      </c>
      <c r="F1902" s="1105" t="n">
        <v>1028020</v>
      </c>
      <c r="G1902" s="1444" t="n">
        <v>0.1</v>
      </c>
      <c r="H1902" s="1105" t="n">
        <f aca="false">E1902*F1902*G1902</f>
        <v>616812</v>
      </c>
      <c r="I1902" s="1105" t="n">
        <f aca="false">F1902-H1902</f>
        <v>411208</v>
      </c>
      <c r="J1902" s="1105" t="n">
        <f aca="false">F1902*G1902</f>
        <v>102802</v>
      </c>
      <c r="K1902" s="1365" t="n">
        <f aca="false">J1902/1792.8</f>
        <v>57.3415885765283</v>
      </c>
      <c r="L1902" s="1105" t="n">
        <v>60</v>
      </c>
      <c r="M1902" s="819" t="n">
        <f aca="false">K1902*L1902/60</f>
        <v>57.3415885765283</v>
      </c>
    </row>
    <row r="1903" customFormat="false" ht="30" hidden="false" customHeight="false" outlineLevel="0" collapsed="false">
      <c r="A1903" s="216"/>
      <c r="B1903" s="40"/>
      <c r="C1903" s="1409" t="s">
        <v>6967</v>
      </c>
      <c r="D1903" s="569" t="n">
        <v>2016</v>
      </c>
      <c r="E1903" s="569" t="n">
        <f aca="false">2021-D1903</f>
        <v>5</v>
      </c>
      <c r="F1903" s="1105" t="n">
        <v>2302000</v>
      </c>
      <c r="G1903" s="1444" t="n">
        <v>0.1</v>
      </c>
      <c r="H1903" s="1105" t="n">
        <f aca="false">E1903*F1903*G1903</f>
        <v>1151000</v>
      </c>
      <c r="I1903" s="1105" t="n">
        <f aca="false">F1903-H1903</f>
        <v>1151000</v>
      </c>
      <c r="J1903" s="1105" t="n">
        <f aca="false">F1903*G1903</f>
        <v>230200</v>
      </c>
      <c r="K1903" s="1365" t="n">
        <f aca="false">J1903/1792.8</f>
        <v>128.402498884427</v>
      </c>
      <c r="L1903" s="1105" t="n">
        <v>20</v>
      </c>
      <c r="M1903" s="819" t="n">
        <f aca="false">K1903*L1903/60</f>
        <v>42.8008329614755</v>
      </c>
    </row>
    <row r="1904" customFormat="false" ht="30" hidden="false" customHeight="false" outlineLevel="0" collapsed="false">
      <c r="A1904" s="216"/>
      <c r="B1904" s="40"/>
      <c r="C1904" s="1404" t="s">
        <v>7072</v>
      </c>
      <c r="D1904" s="569" t="n">
        <v>2013</v>
      </c>
      <c r="E1904" s="569" t="n">
        <f aca="false">2021-D1904</f>
        <v>8</v>
      </c>
      <c r="F1904" s="1105" t="n">
        <v>300000</v>
      </c>
      <c r="G1904" s="1444" t="n">
        <v>0.1</v>
      </c>
      <c r="H1904" s="1105" t="n">
        <f aca="false">E1904*F1904*G1904</f>
        <v>240000</v>
      </c>
      <c r="I1904" s="1105" t="n">
        <f aca="false">F1904-H1904</f>
        <v>60000</v>
      </c>
      <c r="J1904" s="1105" t="n">
        <f aca="false">F1904*G1904</f>
        <v>30000</v>
      </c>
      <c r="K1904" s="1365" t="n">
        <f aca="false">J1904/1792.8</f>
        <v>16.7336010709505</v>
      </c>
      <c r="L1904" s="1105" t="n">
        <v>50</v>
      </c>
      <c r="M1904" s="865" t="n">
        <f aca="false">K1904*L1904/60</f>
        <v>13.9446675591254</v>
      </c>
    </row>
    <row r="1905" customFormat="false" ht="30" hidden="false" customHeight="false" outlineLevel="0" collapsed="false">
      <c r="A1905" s="216"/>
      <c r="B1905" s="40"/>
      <c r="C1905" s="1161" t="s">
        <v>7073</v>
      </c>
      <c r="D1905" s="912" t="n">
        <v>2005</v>
      </c>
      <c r="E1905" s="912" t="n">
        <f aca="false">2021-D1905</f>
        <v>16</v>
      </c>
      <c r="F1905" s="547" t="n">
        <v>39263</v>
      </c>
      <c r="G1905" s="1413" t="n">
        <v>0.1</v>
      </c>
      <c r="H1905" s="547" t="n">
        <f aca="false">E1905*F1905*G1905</f>
        <v>62820.8</v>
      </c>
      <c r="I1905" s="547" t="n">
        <f aca="false">F1905-H1905</f>
        <v>-23557.8</v>
      </c>
      <c r="J1905" s="547" t="n">
        <f aca="false">F1905*G1905</f>
        <v>3926.3</v>
      </c>
      <c r="K1905" s="1365" t="n">
        <f aca="false">J1905/1792.8</f>
        <v>2.19003792949576</v>
      </c>
      <c r="L1905" s="547" t="n">
        <v>30</v>
      </c>
      <c r="M1905" s="819" t="n">
        <f aca="false">K1905*L1905/60</f>
        <v>1.09501896474788</v>
      </c>
    </row>
    <row r="1906" customFormat="false" ht="30" hidden="false" customHeight="false" outlineLevel="0" collapsed="false">
      <c r="A1906" s="216"/>
      <c r="B1906" s="40"/>
      <c r="C1906" s="1161" t="s">
        <v>7074</v>
      </c>
      <c r="D1906" s="912" t="n">
        <v>2003</v>
      </c>
      <c r="E1906" s="912" t="n">
        <f aca="false">2021-D1906</f>
        <v>18</v>
      </c>
      <c r="F1906" s="547" t="n">
        <v>2471090</v>
      </c>
      <c r="G1906" s="1413" t="n">
        <v>0.1</v>
      </c>
      <c r="H1906" s="547" t="n">
        <f aca="false">E1906*F1906*G1906</f>
        <v>4447962</v>
      </c>
      <c r="I1906" s="547" t="n">
        <f aca="false">F1906-H1906</f>
        <v>-1976872</v>
      </c>
      <c r="J1906" s="547" t="n">
        <f aca="false">F1906*G1906</f>
        <v>247109</v>
      </c>
      <c r="K1906" s="1365" t="n">
        <f aca="false">J1906/1792.8</f>
        <v>137.834114234717</v>
      </c>
      <c r="L1906" s="547" t="n">
        <v>120</v>
      </c>
      <c r="M1906" s="819" t="n">
        <f aca="false">K1906*L1906/60</f>
        <v>275.668228469433</v>
      </c>
    </row>
    <row r="1907" customFormat="false" ht="15" hidden="false" customHeight="false" outlineLevel="0" collapsed="false">
      <c r="A1907" s="216"/>
      <c r="B1907" s="1053" t="s">
        <v>4128</v>
      </c>
      <c r="C1907" s="1161"/>
      <c r="D1907" s="912"/>
      <c r="E1907" s="912"/>
      <c r="F1907" s="547"/>
      <c r="G1907" s="1413"/>
      <c r="H1907" s="547"/>
      <c r="I1907" s="547"/>
      <c r="J1907" s="547"/>
      <c r="K1907" s="1365" t="n">
        <f aca="false">J1907/1792.8</f>
        <v>0</v>
      </c>
      <c r="L1907" s="714" t="n">
        <f aca="false">SUM(L1898:L1906)</f>
        <v>340</v>
      </c>
      <c r="M1907" s="934" t="n">
        <f aca="false">SUM(M1898:M1906)</f>
        <v>401.685417596311</v>
      </c>
    </row>
    <row r="1908" customFormat="false" ht="30" hidden="false" customHeight="false" outlineLevel="0" collapsed="false">
      <c r="A1908" s="216" t="s">
        <v>1074</v>
      </c>
      <c r="B1908" s="335" t="s">
        <v>3324</v>
      </c>
      <c r="C1908" s="1404" t="s">
        <v>7070</v>
      </c>
      <c r="D1908" s="569" t="n">
        <v>2009</v>
      </c>
      <c r="E1908" s="569" t="n">
        <f aca="false">2021-D1908</f>
        <v>12</v>
      </c>
      <c r="F1908" s="1105" t="n">
        <v>181000</v>
      </c>
      <c r="G1908" s="1444" t="n">
        <v>0.1</v>
      </c>
      <c r="H1908" s="1105" t="n">
        <f aca="false">E1908*F1908*G1908</f>
        <v>217200</v>
      </c>
      <c r="I1908" s="1105" t="n">
        <f aca="false">F1908-H1908</f>
        <v>-36200</v>
      </c>
      <c r="J1908" s="1105" t="n">
        <f aca="false">F1908*G1908</f>
        <v>18100</v>
      </c>
      <c r="K1908" s="1365" t="n">
        <f aca="false">J1908/1792.8</f>
        <v>10.0959393128068</v>
      </c>
      <c r="L1908" s="547" t="n">
        <v>20</v>
      </c>
      <c r="M1908" s="819" t="n">
        <f aca="false">K1908*L1908/60</f>
        <v>3.36531310426893</v>
      </c>
    </row>
    <row r="1909" customFormat="false" ht="30" hidden="false" customHeight="false" outlineLevel="0" collapsed="false">
      <c r="A1909" s="216"/>
      <c r="B1909" s="40"/>
      <c r="C1909" s="1404" t="s">
        <v>6963</v>
      </c>
      <c r="D1909" s="1405" t="n">
        <v>2007</v>
      </c>
      <c r="E1909" s="1405" t="n">
        <f aca="false">2021-D1909</f>
        <v>14</v>
      </c>
      <c r="F1909" s="1406" t="n">
        <v>176358</v>
      </c>
      <c r="G1909" s="1407" t="n">
        <v>0.1</v>
      </c>
      <c r="H1909" s="1410" t="n">
        <f aca="false">E1909*F1909*G1909</f>
        <v>246901.2</v>
      </c>
      <c r="I1909" s="1410" t="n">
        <f aca="false">F1909-H1909</f>
        <v>-70543.2</v>
      </c>
      <c r="J1909" s="1410" t="n">
        <f aca="false">F1909*G1909</f>
        <v>17635.8</v>
      </c>
      <c r="K1909" s="1365" t="n">
        <f aca="false">J1909/1792.8</f>
        <v>9.83701472556894</v>
      </c>
      <c r="L1909" s="1445" t="n">
        <v>10</v>
      </c>
      <c r="M1909" s="1408" t="n">
        <f aca="false">K1909*L1909/60</f>
        <v>1.63950245426149</v>
      </c>
    </row>
    <row r="1910" customFormat="false" ht="30" hidden="false" customHeight="false" outlineLevel="0" collapsed="false">
      <c r="A1910" s="216"/>
      <c r="B1910" s="40"/>
      <c r="C1910" s="1404" t="s">
        <v>6959</v>
      </c>
      <c r="D1910" s="1405" t="n">
        <v>2007</v>
      </c>
      <c r="E1910" s="1405" t="n">
        <f aca="false">2021-D1910</f>
        <v>14</v>
      </c>
      <c r="F1910" s="1406" t="n">
        <v>350000</v>
      </c>
      <c r="G1910" s="1407" t="n">
        <v>0.1</v>
      </c>
      <c r="H1910" s="1410" t="n">
        <f aca="false">E1910*F1910*G1910</f>
        <v>490000</v>
      </c>
      <c r="I1910" s="1410" t="n">
        <f aca="false">F1910-H1910</f>
        <v>-140000</v>
      </c>
      <c r="J1910" s="1410" t="n">
        <f aca="false">F1910*G1910</f>
        <v>35000</v>
      </c>
      <c r="K1910" s="1365" t="n">
        <f aca="false">J1910/1792.8</f>
        <v>19.5225345827755</v>
      </c>
      <c r="L1910" s="1445" t="n">
        <v>10</v>
      </c>
      <c r="M1910" s="1408" t="n">
        <f aca="false">K1910*L1910/60</f>
        <v>3.25375576379592</v>
      </c>
    </row>
    <row r="1911" customFormat="false" ht="30" hidden="false" customHeight="false" outlineLevel="0" collapsed="false">
      <c r="A1911" s="216"/>
      <c r="B1911" s="40"/>
      <c r="C1911" s="1404" t="s">
        <v>7071</v>
      </c>
      <c r="D1911" s="569" t="n">
        <v>2006</v>
      </c>
      <c r="E1911" s="569" t="n">
        <f aca="false">2021-D1911</f>
        <v>15</v>
      </c>
      <c r="F1911" s="1105" t="n">
        <v>138575</v>
      </c>
      <c r="G1911" s="1444" t="n">
        <v>0.1</v>
      </c>
      <c r="H1911" s="1105" t="n">
        <f aca="false">E1911*F1911*G1911</f>
        <v>207862.5</v>
      </c>
      <c r="I1911" s="1105" t="n">
        <f aca="false">F1911-H1911</f>
        <v>-69287.5</v>
      </c>
      <c r="J1911" s="1105" t="n">
        <f aca="false">F1911*G1911</f>
        <v>13857.5</v>
      </c>
      <c r="K1911" s="1365" t="n">
        <f aca="false">J1911/1792.8</f>
        <v>7.7295292280232</v>
      </c>
      <c r="L1911" s="547" t="n">
        <v>20</v>
      </c>
      <c r="M1911" s="819" t="n">
        <f aca="false">K1911*L1911/60</f>
        <v>2.5765097426744</v>
      </c>
    </row>
    <row r="1912" customFormat="false" ht="15" hidden="false" customHeight="false" outlineLevel="0" collapsed="false">
      <c r="A1912" s="216"/>
      <c r="B1912" s="40"/>
      <c r="C1912" s="1404" t="s">
        <v>7075</v>
      </c>
      <c r="D1912" s="569" t="n">
        <v>2015</v>
      </c>
      <c r="E1912" s="569" t="n">
        <f aca="false">2021-D1912</f>
        <v>6</v>
      </c>
      <c r="F1912" s="1105" t="n">
        <v>1028020</v>
      </c>
      <c r="G1912" s="1444" t="n">
        <v>0.1</v>
      </c>
      <c r="H1912" s="1105" t="n">
        <f aca="false">E1912*F1912*G1912</f>
        <v>616812</v>
      </c>
      <c r="I1912" s="1105" t="n">
        <f aca="false">F1912-H1912</f>
        <v>411208</v>
      </c>
      <c r="J1912" s="1105" t="n">
        <f aca="false">F1912*G1912</f>
        <v>102802</v>
      </c>
      <c r="K1912" s="1365" t="n">
        <f aca="false">J1912/1792.8</f>
        <v>57.3415885765283</v>
      </c>
      <c r="L1912" s="547" t="n">
        <v>60</v>
      </c>
      <c r="M1912" s="819" t="n">
        <f aca="false">K1912*L1912/60</f>
        <v>57.3415885765283</v>
      </c>
    </row>
    <row r="1913" customFormat="false" ht="30" hidden="false" customHeight="false" outlineLevel="0" collapsed="false">
      <c r="A1913" s="216"/>
      <c r="B1913" s="40"/>
      <c r="C1913" s="1409" t="s">
        <v>6967</v>
      </c>
      <c r="D1913" s="569" t="n">
        <v>2016</v>
      </c>
      <c r="E1913" s="569" t="n">
        <f aca="false">2021-D1913</f>
        <v>5</v>
      </c>
      <c r="F1913" s="1105" t="n">
        <v>2302000</v>
      </c>
      <c r="G1913" s="1444" t="n">
        <v>0.1</v>
      </c>
      <c r="H1913" s="1105" t="n">
        <f aca="false">E1913*F1913*G1913</f>
        <v>1151000</v>
      </c>
      <c r="I1913" s="1105" t="n">
        <f aca="false">F1913-H1913</f>
        <v>1151000</v>
      </c>
      <c r="J1913" s="1105" t="n">
        <f aca="false">F1913*G1913</f>
        <v>230200</v>
      </c>
      <c r="K1913" s="1365" t="n">
        <f aca="false">J1913/1792.8</f>
        <v>128.402498884427</v>
      </c>
      <c r="L1913" s="547" t="n">
        <v>20</v>
      </c>
      <c r="M1913" s="819" t="n">
        <f aca="false">K1913*L1913/60</f>
        <v>42.8008329614755</v>
      </c>
    </row>
    <row r="1914" customFormat="false" ht="30" hidden="false" customHeight="false" outlineLevel="0" collapsed="false">
      <c r="A1914" s="216"/>
      <c r="B1914" s="40"/>
      <c r="C1914" s="1404" t="s">
        <v>7072</v>
      </c>
      <c r="D1914" s="569" t="n">
        <v>2013</v>
      </c>
      <c r="E1914" s="569" t="n">
        <f aca="false">2021-D1914</f>
        <v>8</v>
      </c>
      <c r="F1914" s="1105" t="n">
        <v>300000</v>
      </c>
      <c r="G1914" s="1444" t="n">
        <v>0.1</v>
      </c>
      <c r="H1914" s="1105" t="n">
        <f aca="false">E1914*F1914*G1914</f>
        <v>240000</v>
      </c>
      <c r="I1914" s="1105" t="n">
        <f aca="false">F1914-H1914</f>
        <v>60000</v>
      </c>
      <c r="J1914" s="1105" t="n">
        <f aca="false">F1914*G1914</f>
        <v>30000</v>
      </c>
      <c r="K1914" s="1365" t="n">
        <f aca="false">J1914/1792.8</f>
        <v>16.7336010709505</v>
      </c>
      <c r="L1914" s="1105" t="n">
        <v>40</v>
      </c>
      <c r="M1914" s="865" t="n">
        <f aca="false">K1914*L1914/60</f>
        <v>11.1557340473003</v>
      </c>
    </row>
    <row r="1915" customFormat="false" ht="30" hidden="false" customHeight="false" outlineLevel="0" collapsed="false">
      <c r="A1915" s="216"/>
      <c r="B1915" s="40"/>
      <c r="C1915" s="1161" t="s">
        <v>7073</v>
      </c>
      <c r="D1915" s="912" t="n">
        <v>2005</v>
      </c>
      <c r="E1915" s="912" t="n">
        <f aca="false">2021-D1915</f>
        <v>16</v>
      </c>
      <c r="F1915" s="547" t="n">
        <v>39263</v>
      </c>
      <c r="G1915" s="1413" t="n">
        <v>0.15</v>
      </c>
      <c r="H1915" s="547" t="n">
        <f aca="false">E1915*F1915*G1915</f>
        <v>94231.2</v>
      </c>
      <c r="I1915" s="547" t="n">
        <f aca="false">F1915-H1915</f>
        <v>-54968.2</v>
      </c>
      <c r="J1915" s="547" t="n">
        <f aca="false">F1915*G1915</f>
        <v>5889.45</v>
      </c>
      <c r="K1915" s="1365" t="n">
        <f aca="false">J1915/1792.8</f>
        <v>3.28505689424364</v>
      </c>
      <c r="L1915" s="547" t="n">
        <v>10</v>
      </c>
      <c r="M1915" s="819" t="n">
        <f aca="false">K1915*L1915/60</f>
        <v>0.54750948237394</v>
      </c>
    </row>
    <row r="1916" customFormat="false" ht="30" hidden="false" customHeight="false" outlineLevel="0" collapsed="false">
      <c r="A1916" s="216"/>
      <c r="B1916" s="40"/>
      <c r="C1916" s="1161" t="s">
        <v>7074</v>
      </c>
      <c r="D1916" s="912" t="n">
        <v>2003</v>
      </c>
      <c r="E1916" s="912" t="n">
        <f aca="false">2021-D1916</f>
        <v>18</v>
      </c>
      <c r="F1916" s="547" t="n">
        <v>2471090</v>
      </c>
      <c r="G1916" s="1413" t="n">
        <v>0.1</v>
      </c>
      <c r="H1916" s="547" t="n">
        <f aca="false">E1916*F1916*G1916</f>
        <v>4447962</v>
      </c>
      <c r="I1916" s="547" t="n">
        <f aca="false">F1916-H1916</f>
        <v>-1976872</v>
      </c>
      <c r="J1916" s="547" t="n">
        <f aca="false">F1916*G1916</f>
        <v>247109</v>
      </c>
      <c r="K1916" s="1365" t="n">
        <f aca="false">J1916/1792.8</f>
        <v>137.834114234717</v>
      </c>
      <c r="L1916" s="547" t="n">
        <v>120</v>
      </c>
      <c r="M1916" s="819" t="n">
        <f aca="false">K1916*L1916/60</f>
        <v>275.668228469433</v>
      </c>
    </row>
    <row r="1917" customFormat="false" ht="15" hidden="false" customHeight="false" outlineLevel="0" collapsed="false">
      <c r="A1917" s="216"/>
      <c r="B1917" s="1053" t="s">
        <v>4128</v>
      </c>
      <c r="C1917" s="1161"/>
      <c r="D1917" s="912"/>
      <c r="E1917" s="912"/>
      <c r="F1917" s="547"/>
      <c r="G1917" s="1413"/>
      <c r="H1917" s="547"/>
      <c r="I1917" s="547"/>
      <c r="J1917" s="547"/>
      <c r="K1917" s="1365" t="n">
        <f aca="false">J1917/1792.8</f>
        <v>0</v>
      </c>
      <c r="L1917" s="714" t="n">
        <f aca="false">SUM(L1908:L1916)</f>
        <v>310</v>
      </c>
      <c r="M1917" s="934" t="n">
        <f aca="false">SUM(M1908:M1916)</f>
        <v>398.348974602112</v>
      </c>
    </row>
    <row r="1918" customFormat="false" ht="30" hidden="false" customHeight="false" outlineLevel="0" collapsed="false">
      <c r="A1918" s="216" t="s">
        <v>1076</v>
      </c>
      <c r="B1918" s="40" t="s">
        <v>3310</v>
      </c>
      <c r="C1918" s="1404" t="s">
        <v>7071</v>
      </c>
      <c r="D1918" s="569" t="n">
        <v>2006</v>
      </c>
      <c r="E1918" s="569" t="n">
        <f aca="false">2021-D1918</f>
        <v>15</v>
      </c>
      <c r="F1918" s="1105" t="n">
        <v>138575</v>
      </c>
      <c r="G1918" s="1444" t="n">
        <v>0.1</v>
      </c>
      <c r="H1918" s="1105" t="n">
        <f aca="false">E1918*F1918*G1918</f>
        <v>207862.5</v>
      </c>
      <c r="I1918" s="1105" t="n">
        <f aca="false">F1918-H1918</f>
        <v>-69287.5</v>
      </c>
      <c r="J1918" s="1105" t="n">
        <f aca="false">F1918*G1918</f>
        <v>13857.5</v>
      </c>
      <c r="K1918" s="1365" t="n">
        <f aca="false">J1918/1792.8</f>
        <v>7.7295292280232</v>
      </c>
      <c r="L1918" s="547" t="n">
        <v>10</v>
      </c>
      <c r="M1918" s="819" t="n">
        <f aca="false">K1918*L1918/60</f>
        <v>1.2882548713372</v>
      </c>
    </row>
    <row r="1919" customFormat="false" ht="30" hidden="false" customHeight="false" outlineLevel="0" collapsed="false">
      <c r="A1919" s="216"/>
      <c r="B1919" s="40"/>
      <c r="C1919" s="1404" t="s">
        <v>7070</v>
      </c>
      <c r="D1919" s="569" t="n">
        <v>2009</v>
      </c>
      <c r="E1919" s="569" t="n">
        <f aca="false">2021-D1919</f>
        <v>12</v>
      </c>
      <c r="F1919" s="1105" t="n">
        <v>181000</v>
      </c>
      <c r="G1919" s="1444" t="n">
        <v>0.1</v>
      </c>
      <c r="H1919" s="1105" t="n">
        <f aca="false">E1919*F1919*G1919</f>
        <v>217200</v>
      </c>
      <c r="I1919" s="1105" t="n">
        <f aca="false">F1919-H1919</f>
        <v>-36200</v>
      </c>
      <c r="J1919" s="1105" t="n">
        <f aca="false">F1919*G1919</f>
        <v>18100</v>
      </c>
      <c r="K1919" s="1365" t="n">
        <f aca="false">J1919/1792.8</f>
        <v>10.0959393128068</v>
      </c>
      <c r="L1919" s="547" t="n">
        <v>10</v>
      </c>
      <c r="M1919" s="819" t="n">
        <f aca="false">K1919*L1919/60</f>
        <v>1.68265655213446</v>
      </c>
    </row>
    <row r="1920" customFormat="false" ht="30" hidden="false" customHeight="false" outlineLevel="0" collapsed="false">
      <c r="A1920" s="216"/>
      <c r="B1920" s="40"/>
      <c r="C1920" s="1404" t="s">
        <v>6963</v>
      </c>
      <c r="D1920" s="1405" t="n">
        <v>2007</v>
      </c>
      <c r="E1920" s="1405" t="n">
        <f aca="false">2021-D1920</f>
        <v>14</v>
      </c>
      <c r="F1920" s="1406" t="n">
        <v>176358</v>
      </c>
      <c r="G1920" s="1407" t="n">
        <v>0.1</v>
      </c>
      <c r="H1920" s="1410" t="n">
        <f aca="false">E1920*F1920*G1920</f>
        <v>246901.2</v>
      </c>
      <c r="I1920" s="1410" t="n">
        <f aca="false">F1920-H1920</f>
        <v>-70543.2</v>
      </c>
      <c r="J1920" s="1410" t="n">
        <f aca="false">F1920*G1920</f>
        <v>17635.8</v>
      </c>
      <c r="K1920" s="1365" t="n">
        <f aca="false">J1920/1792.8</f>
        <v>9.83701472556894</v>
      </c>
      <c r="L1920" s="1445" t="n">
        <v>10</v>
      </c>
      <c r="M1920" s="1408" t="n">
        <f aca="false">K1920*L1920/60</f>
        <v>1.63950245426149</v>
      </c>
    </row>
    <row r="1921" customFormat="false" ht="30" hidden="false" customHeight="false" outlineLevel="0" collapsed="false">
      <c r="A1921" s="216"/>
      <c r="B1921" s="40"/>
      <c r="C1921" s="1404" t="s">
        <v>6959</v>
      </c>
      <c r="D1921" s="1405" t="n">
        <v>2007</v>
      </c>
      <c r="E1921" s="1405" t="n">
        <f aca="false">2021-D1921</f>
        <v>14</v>
      </c>
      <c r="F1921" s="1406" t="n">
        <v>350000</v>
      </c>
      <c r="G1921" s="1407" t="n">
        <v>0.1</v>
      </c>
      <c r="H1921" s="1410" t="n">
        <f aca="false">E1921*F1921*G1921</f>
        <v>490000</v>
      </c>
      <c r="I1921" s="1410" t="n">
        <f aca="false">F1921-H1921</f>
        <v>-140000</v>
      </c>
      <c r="J1921" s="1410" t="n">
        <f aca="false">F1921*G1921</f>
        <v>35000</v>
      </c>
      <c r="K1921" s="1365" t="n">
        <f aca="false">J1921/1792.8</f>
        <v>19.5225345827755</v>
      </c>
      <c r="L1921" s="1445" t="n">
        <v>10</v>
      </c>
      <c r="M1921" s="1408" t="n">
        <f aca="false">K1921*L1921/60</f>
        <v>3.25375576379592</v>
      </c>
    </row>
    <row r="1922" customFormat="false" ht="15" hidden="false" customHeight="false" outlineLevel="0" collapsed="false">
      <c r="A1922" s="216"/>
      <c r="B1922" s="40"/>
      <c r="C1922" s="1404" t="s">
        <v>7075</v>
      </c>
      <c r="D1922" s="569" t="n">
        <v>2015</v>
      </c>
      <c r="E1922" s="569" t="n">
        <f aca="false">2021-D1922</f>
        <v>6</v>
      </c>
      <c r="F1922" s="1105" t="n">
        <v>1028020</v>
      </c>
      <c r="G1922" s="1444" t="n">
        <v>0.1</v>
      </c>
      <c r="H1922" s="1105" t="n">
        <f aca="false">E1922*F1922*G1922</f>
        <v>616812</v>
      </c>
      <c r="I1922" s="1105" t="n">
        <f aca="false">F1922-H1922</f>
        <v>411208</v>
      </c>
      <c r="J1922" s="1105" t="n">
        <f aca="false">F1922*G1922</f>
        <v>102802</v>
      </c>
      <c r="K1922" s="1365" t="n">
        <f aca="false">J1922/1792.8</f>
        <v>57.3415885765283</v>
      </c>
      <c r="L1922" s="547" t="n">
        <v>60</v>
      </c>
      <c r="M1922" s="819" t="n">
        <f aca="false">K1922*L1922/60</f>
        <v>57.3415885765283</v>
      </c>
    </row>
    <row r="1923" customFormat="false" ht="30" hidden="false" customHeight="false" outlineLevel="0" collapsed="false">
      <c r="A1923" s="216"/>
      <c r="B1923" s="40"/>
      <c r="C1923" s="1409" t="s">
        <v>6967</v>
      </c>
      <c r="D1923" s="569" t="n">
        <v>2016</v>
      </c>
      <c r="E1923" s="569" t="n">
        <f aca="false">2021-D1923</f>
        <v>5</v>
      </c>
      <c r="F1923" s="1105" t="n">
        <v>2302000</v>
      </c>
      <c r="G1923" s="1444" t="n">
        <v>0.1</v>
      </c>
      <c r="H1923" s="1105" t="n">
        <f aca="false">E1923*F1923*G1923</f>
        <v>1151000</v>
      </c>
      <c r="I1923" s="1105" t="n">
        <f aca="false">F1923-H1923</f>
        <v>1151000</v>
      </c>
      <c r="J1923" s="1105" t="n">
        <f aca="false">F1923*G1923</f>
        <v>230200</v>
      </c>
      <c r="K1923" s="1365" t="n">
        <f aca="false">J1923/1792.8</f>
        <v>128.402498884427</v>
      </c>
      <c r="L1923" s="547" t="n">
        <v>10</v>
      </c>
      <c r="M1923" s="819" t="n">
        <f aca="false">K1923*L1923/60</f>
        <v>21.4004164807378</v>
      </c>
    </row>
    <row r="1924" customFormat="false" ht="30" hidden="false" customHeight="false" outlineLevel="0" collapsed="false">
      <c r="A1924" s="216"/>
      <c r="B1924" s="40"/>
      <c r="C1924" s="1404" t="s">
        <v>7072</v>
      </c>
      <c r="D1924" s="569" t="n">
        <v>2013</v>
      </c>
      <c r="E1924" s="569" t="n">
        <f aca="false">2021-D1924</f>
        <v>8</v>
      </c>
      <c r="F1924" s="1105" t="n">
        <v>300000</v>
      </c>
      <c r="G1924" s="1444" t="n">
        <v>0.1</v>
      </c>
      <c r="H1924" s="1105" t="n">
        <f aca="false">E1924*F1924*G1924</f>
        <v>240000</v>
      </c>
      <c r="I1924" s="1105" t="n">
        <f aca="false">F1924-H1924</f>
        <v>60000</v>
      </c>
      <c r="J1924" s="1105" t="n">
        <f aca="false">F1924*G1924</f>
        <v>30000</v>
      </c>
      <c r="K1924" s="1365" t="n">
        <f aca="false">J1924/1792.8</f>
        <v>16.7336010709505</v>
      </c>
      <c r="L1924" s="1105" t="n">
        <v>20</v>
      </c>
      <c r="M1924" s="865" t="n">
        <f aca="false">K1924*L1924/60</f>
        <v>5.57786702365016</v>
      </c>
    </row>
    <row r="1925" customFormat="false" ht="30" hidden="false" customHeight="false" outlineLevel="0" collapsed="false">
      <c r="A1925" s="216"/>
      <c r="B1925" s="40"/>
      <c r="C1925" s="1161" t="s">
        <v>7073</v>
      </c>
      <c r="D1925" s="912" t="n">
        <v>2005</v>
      </c>
      <c r="E1925" s="912" t="n">
        <f aca="false">2021-D1925</f>
        <v>16</v>
      </c>
      <c r="F1925" s="547" t="n">
        <v>39263</v>
      </c>
      <c r="G1925" s="1413" t="n">
        <v>0.15</v>
      </c>
      <c r="H1925" s="547" t="n">
        <f aca="false">E1925*F1925*G1925</f>
        <v>94231.2</v>
      </c>
      <c r="I1925" s="547" t="n">
        <f aca="false">F1925-H1925</f>
        <v>-54968.2</v>
      </c>
      <c r="J1925" s="547" t="n">
        <f aca="false">F1925*G1925</f>
        <v>5889.45</v>
      </c>
      <c r="K1925" s="1365" t="n">
        <f aca="false">J1925/1792.8</f>
        <v>3.28505689424364</v>
      </c>
      <c r="L1925" s="547" t="n">
        <v>10</v>
      </c>
      <c r="M1925" s="819" t="n">
        <f aca="false">K1925*L1925/60</f>
        <v>0.54750948237394</v>
      </c>
    </row>
    <row r="1926" customFormat="false" ht="30" hidden="false" customHeight="false" outlineLevel="0" collapsed="false">
      <c r="A1926" s="216"/>
      <c r="B1926" s="40"/>
      <c r="C1926" s="1404" t="s">
        <v>7077</v>
      </c>
      <c r="D1926" s="569" t="n">
        <v>2012</v>
      </c>
      <c r="E1926" s="569" t="n">
        <f aca="false">2021-D1926</f>
        <v>9</v>
      </c>
      <c r="F1926" s="1105" t="n">
        <v>19245353.86</v>
      </c>
      <c r="G1926" s="1444" t="n">
        <v>0.1</v>
      </c>
      <c r="H1926" s="1105" t="n">
        <f aca="false">E1926*F1926*G1926</f>
        <v>17320818.474</v>
      </c>
      <c r="I1926" s="1105" t="n">
        <f aca="false">F1926-H1926</f>
        <v>1924535.386</v>
      </c>
      <c r="J1926" s="1105" t="n">
        <f aca="false">F1926*G1926</f>
        <v>1924535.386</v>
      </c>
      <c r="K1926" s="1365" t="n">
        <f aca="false">J1926/1792.8</f>
        <v>1073.48024654172</v>
      </c>
      <c r="L1926" s="547" t="n">
        <v>120</v>
      </c>
      <c r="M1926" s="819" t="n">
        <f aca="false">K1926*L1926/60</f>
        <v>2146.96049308345</v>
      </c>
    </row>
    <row r="1927" customFormat="false" ht="15" hidden="false" customHeight="false" outlineLevel="0" collapsed="false">
      <c r="A1927" s="216"/>
      <c r="B1927" s="1053" t="s">
        <v>4128</v>
      </c>
      <c r="C1927" s="1161"/>
      <c r="D1927" s="912"/>
      <c r="E1927" s="912"/>
      <c r="F1927" s="547"/>
      <c r="G1927" s="1413"/>
      <c r="H1927" s="547"/>
      <c r="I1927" s="547"/>
      <c r="J1927" s="547"/>
      <c r="K1927" s="1365" t="n">
        <f aca="false">J1927/1792.8</f>
        <v>0</v>
      </c>
      <c r="L1927" s="714" t="n">
        <f aca="false">SUM(L1918:L1926)</f>
        <v>260</v>
      </c>
      <c r="M1927" s="934" t="n">
        <f aca="false">SUM(M1918:M1926)</f>
        <v>2239.69204428826</v>
      </c>
    </row>
    <row r="1928" customFormat="false" ht="45" hidden="false" customHeight="false" outlineLevel="0" collapsed="false">
      <c r="A1928" s="216" t="s">
        <v>1077</v>
      </c>
      <c r="B1928" s="335" t="s">
        <v>3330</v>
      </c>
      <c r="C1928" s="1404" t="s">
        <v>7070</v>
      </c>
      <c r="D1928" s="569" t="n">
        <v>2009</v>
      </c>
      <c r="E1928" s="569" t="n">
        <f aca="false">2021-D1928</f>
        <v>12</v>
      </c>
      <c r="F1928" s="1105" t="n">
        <v>181000</v>
      </c>
      <c r="G1928" s="1444" t="n">
        <v>0.1</v>
      </c>
      <c r="H1928" s="1105" t="n">
        <f aca="false">E1928*F1928*G1928</f>
        <v>217200</v>
      </c>
      <c r="I1928" s="1105" t="n">
        <f aca="false">F1928-H1928</f>
        <v>-36200</v>
      </c>
      <c r="J1928" s="1105" t="n">
        <f aca="false">F1928*G1928</f>
        <v>18100</v>
      </c>
      <c r="K1928" s="1365" t="n">
        <f aca="false">J1928/1792.8</f>
        <v>10.0959393128068</v>
      </c>
      <c r="L1928" s="547" t="n">
        <v>30</v>
      </c>
      <c r="M1928" s="819" t="n">
        <f aca="false">K1928*L1928/60</f>
        <v>5.04796965640339</v>
      </c>
    </row>
    <row r="1929" customFormat="false" ht="30" hidden="false" customHeight="false" outlineLevel="0" collapsed="false">
      <c r="A1929" s="216"/>
      <c r="B1929" s="40"/>
      <c r="C1929" s="1404" t="s">
        <v>6963</v>
      </c>
      <c r="D1929" s="1405" t="n">
        <v>2007</v>
      </c>
      <c r="E1929" s="1405" t="n">
        <f aca="false">2021-D1929</f>
        <v>14</v>
      </c>
      <c r="F1929" s="1406" t="n">
        <v>176358</v>
      </c>
      <c r="G1929" s="1407" t="n">
        <v>0.1</v>
      </c>
      <c r="H1929" s="1410" t="n">
        <f aca="false">E1929*F1929*G1929</f>
        <v>246901.2</v>
      </c>
      <c r="I1929" s="1410" t="n">
        <f aca="false">F1929-H1929</f>
        <v>-70543.2</v>
      </c>
      <c r="J1929" s="1410" t="n">
        <f aca="false">F1929*G1929</f>
        <v>17635.8</v>
      </c>
      <c r="K1929" s="1365" t="n">
        <f aca="false">J1929/1792.8</f>
        <v>9.83701472556894</v>
      </c>
      <c r="L1929" s="1445" t="n">
        <v>10</v>
      </c>
      <c r="M1929" s="1408" t="n">
        <f aca="false">K1929*L1929/60</f>
        <v>1.63950245426149</v>
      </c>
    </row>
    <row r="1930" customFormat="false" ht="30" hidden="false" customHeight="false" outlineLevel="0" collapsed="false">
      <c r="A1930" s="216"/>
      <c r="B1930" s="40"/>
      <c r="C1930" s="1404" t="s">
        <v>6959</v>
      </c>
      <c r="D1930" s="1405" t="n">
        <v>2007</v>
      </c>
      <c r="E1930" s="1405" t="n">
        <f aca="false">2021-D1930</f>
        <v>14</v>
      </c>
      <c r="F1930" s="1406" t="n">
        <v>350000</v>
      </c>
      <c r="G1930" s="1407" t="n">
        <v>0.1</v>
      </c>
      <c r="H1930" s="1410" t="n">
        <f aca="false">E1930*F1930*G1930</f>
        <v>490000</v>
      </c>
      <c r="I1930" s="1410" t="n">
        <f aca="false">F1930-H1930</f>
        <v>-140000</v>
      </c>
      <c r="J1930" s="1410" t="n">
        <f aca="false">F1930*G1930</f>
        <v>35000</v>
      </c>
      <c r="K1930" s="1365" t="n">
        <f aca="false">J1930/1792.8</f>
        <v>19.5225345827755</v>
      </c>
      <c r="L1930" s="1445" t="n">
        <v>10</v>
      </c>
      <c r="M1930" s="1408" t="n">
        <f aca="false">K1930*L1930/60</f>
        <v>3.25375576379592</v>
      </c>
    </row>
    <row r="1931" customFormat="false" ht="30" hidden="false" customHeight="false" outlineLevel="0" collapsed="false">
      <c r="A1931" s="216"/>
      <c r="B1931" s="40"/>
      <c r="C1931" s="1404" t="s">
        <v>7071</v>
      </c>
      <c r="D1931" s="569" t="n">
        <v>2006</v>
      </c>
      <c r="E1931" s="569" t="n">
        <f aca="false">2021-D1931</f>
        <v>15</v>
      </c>
      <c r="F1931" s="1105" t="n">
        <v>138575</v>
      </c>
      <c r="G1931" s="1444" t="n">
        <v>0.1</v>
      </c>
      <c r="H1931" s="1105" t="n">
        <f aca="false">E1931*F1931*G1931</f>
        <v>207862.5</v>
      </c>
      <c r="I1931" s="1105" t="n">
        <f aca="false">F1931-H1931</f>
        <v>-69287.5</v>
      </c>
      <c r="J1931" s="1105" t="n">
        <f aca="false">F1931*G1931</f>
        <v>13857.5</v>
      </c>
      <c r="K1931" s="1365" t="n">
        <f aca="false">J1931/1792.8</f>
        <v>7.7295292280232</v>
      </c>
      <c r="L1931" s="547" t="n">
        <v>20</v>
      </c>
      <c r="M1931" s="819" t="n">
        <f aca="false">K1931*L1931/60</f>
        <v>2.5765097426744</v>
      </c>
    </row>
    <row r="1932" customFormat="false" ht="15" hidden="false" customHeight="false" outlineLevel="0" collapsed="false">
      <c r="A1932" s="216"/>
      <c r="B1932" s="40"/>
      <c r="C1932" s="1404" t="s">
        <v>7075</v>
      </c>
      <c r="D1932" s="569" t="n">
        <v>2015</v>
      </c>
      <c r="E1932" s="569" t="n">
        <f aca="false">2021-D1932</f>
        <v>6</v>
      </c>
      <c r="F1932" s="1105" t="n">
        <v>1028020</v>
      </c>
      <c r="G1932" s="1444" t="n">
        <v>0.1</v>
      </c>
      <c r="H1932" s="1105" t="n">
        <f aca="false">E1932*F1932*G1932</f>
        <v>616812</v>
      </c>
      <c r="I1932" s="1105" t="n">
        <f aca="false">F1932-H1932</f>
        <v>411208</v>
      </c>
      <c r="J1932" s="1105" t="n">
        <f aca="false">F1932*G1932</f>
        <v>102802</v>
      </c>
      <c r="K1932" s="1365" t="n">
        <f aca="false">J1932/1792.8</f>
        <v>57.3415885765283</v>
      </c>
      <c r="L1932" s="547" t="n">
        <v>60</v>
      </c>
      <c r="M1932" s="819" t="n">
        <f aca="false">K1932*L1932/60</f>
        <v>57.3415885765283</v>
      </c>
    </row>
    <row r="1933" customFormat="false" ht="30" hidden="false" customHeight="false" outlineLevel="0" collapsed="false">
      <c r="A1933" s="216"/>
      <c r="B1933" s="40"/>
      <c r="C1933" s="1409" t="s">
        <v>6967</v>
      </c>
      <c r="D1933" s="569" t="n">
        <v>2016</v>
      </c>
      <c r="E1933" s="569" t="n">
        <f aca="false">2021-D1933</f>
        <v>5</v>
      </c>
      <c r="F1933" s="1105" t="n">
        <v>2302000</v>
      </c>
      <c r="G1933" s="1444" t="n">
        <v>0.1</v>
      </c>
      <c r="H1933" s="1105" t="n">
        <f aca="false">E1933*F1933*G1933</f>
        <v>1151000</v>
      </c>
      <c r="I1933" s="1105" t="n">
        <f aca="false">F1933-H1933</f>
        <v>1151000</v>
      </c>
      <c r="J1933" s="1105" t="n">
        <f aca="false">F1933*G1933</f>
        <v>230200</v>
      </c>
      <c r="K1933" s="1365" t="n">
        <f aca="false">J1933/1792.8</f>
        <v>128.402498884427</v>
      </c>
      <c r="L1933" s="547" t="n">
        <v>20</v>
      </c>
      <c r="M1933" s="819" t="n">
        <f aca="false">K1933*L1933/60</f>
        <v>42.8008329614755</v>
      </c>
    </row>
    <row r="1934" customFormat="false" ht="30" hidden="false" customHeight="false" outlineLevel="0" collapsed="false">
      <c r="A1934" s="216"/>
      <c r="B1934" s="40"/>
      <c r="C1934" s="1404" t="s">
        <v>7072</v>
      </c>
      <c r="D1934" s="569" t="n">
        <v>2013</v>
      </c>
      <c r="E1934" s="569" t="n">
        <f aca="false">2021-D1934</f>
        <v>8</v>
      </c>
      <c r="F1934" s="1105" t="n">
        <v>300000</v>
      </c>
      <c r="G1934" s="1444" t="n">
        <v>0.1</v>
      </c>
      <c r="H1934" s="1105" t="n">
        <f aca="false">E1934*F1934*G1934</f>
        <v>240000</v>
      </c>
      <c r="I1934" s="1105" t="n">
        <f aca="false">F1934-H1934</f>
        <v>60000</v>
      </c>
      <c r="J1934" s="1105" t="n">
        <f aca="false">F1934*G1934</f>
        <v>30000</v>
      </c>
      <c r="K1934" s="1365" t="n">
        <f aca="false">J1934/1792.8</f>
        <v>16.7336010709505</v>
      </c>
      <c r="L1934" s="1105" t="n">
        <v>50</v>
      </c>
      <c r="M1934" s="865" t="n">
        <f aca="false">K1934*L1934/60</f>
        <v>13.9446675591254</v>
      </c>
    </row>
    <row r="1935" customFormat="false" ht="30" hidden="false" customHeight="false" outlineLevel="0" collapsed="false">
      <c r="A1935" s="216"/>
      <c r="B1935" s="40"/>
      <c r="C1935" s="1161" t="s">
        <v>7073</v>
      </c>
      <c r="D1935" s="912" t="n">
        <v>2005</v>
      </c>
      <c r="E1935" s="912" t="n">
        <f aca="false">2021-D1935</f>
        <v>16</v>
      </c>
      <c r="F1935" s="547" t="n">
        <v>39263</v>
      </c>
      <c r="G1935" s="1413" t="n">
        <v>0.15</v>
      </c>
      <c r="H1935" s="547" t="n">
        <f aca="false">E1935*F1935*G1935</f>
        <v>94231.2</v>
      </c>
      <c r="I1935" s="547" t="n">
        <f aca="false">F1935-H1935</f>
        <v>-54968.2</v>
      </c>
      <c r="J1935" s="547" t="n">
        <f aca="false">F1935*G1935</f>
        <v>5889.45</v>
      </c>
      <c r="K1935" s="1365" t="n">
        <f aca="false">J1935/1792.8</f>
        <v>3.28505689424364</v>
      </c>
      <c r="L1935" s="547" t="n">
        <v>20</v>
      </c>
      <c r="M1935" s="819" t="n">
        <f aca="false">K1935*L1935/60</f>
        <v>1.09501896474788</v>
      </c>
    </row>
    <row r="1936" customFormat="false" ht="30" hidden="false" customHeight="false" outlineLevel="0" collapsed="false">
      <c r="A1936" s="216"/>
      <c r="B1936" s="40"/>
      <c r="C1936" s="1161" t="s">
        <v>7074</v>
      </c>
      <c r="D1936" s="912" t="n">
        <v>2003</v>
      </c>
      <c r="E1936" s="912" t="n">
        <f aca="false">2021-D1936</f>
        <v>18</v>
      </c>
      <c r="F1936" s="547" t="n">
        <v>2471090</v>
      </c>
      <c r="G1936" s="1413" t="n">
        <v>0.1</v>
      </c>
      <c r="H1936" s="547" t="n">
        <f aca="false">E1936*F1936*G1936</f>
        <v>4447962</v>
      </c>
      <c r="I1936" s="547" t="n">
        <f aca="false">F1936-H1936</f>
        <v>-1976872</v>
      </c>
      <c r="J1936" s="547" t="n">
        <f aca="false">F1936*G1936</f>
        <v>247109</v>
      </c>
      <c r="K1936" s="1365" t="n">
        <f aca="false">J1936/1792.8</f>
        <v>137.834114234717</v>
      </c>
      <c r="L1936" s="547" t="n">
        <v>120</v>
      </c>
      <c r="M1936" s="819" t="n">
        <f aca="false">K1936*L1936/60</f>
        <v>275.668228469433</v>
      </c>
    </row>
    <row r="1937" customFormat="false" ht="15" hidden="false" customHeight="false" outlineLevel="0" collapsed="false">
      <c r="A1937" s="216"/>
      <c r="B1937" s="1053" t="s">
        <v>4128</v>
      </c>
      <c r="C1937" s="1161"/>
      <c r="D1937" s="912"/>
      <c r="E1937" s="912"/>
      <c r="F1937" s="547"/>
      <c r="G1937" s="1413"/>
      <c r="H1937" s="547"/>
      <c r="I1937" s="547"/>
      <c r="J1937" s="547"/>
      <c r="K1937" s="1365" t="n">
        <f aca="false">J1937/1792.8</f>
        <v>0</v>
      </c>
      <c r="L1937" s="714" t="n">
        <f aca="false">SUM(L1928:L1936)</f>
        <v>340</v>
      </c>
      <c r="M1937" s="934" t="n">
        <f aca="false">SUM(M1928:M1936)</f>
        <v>403.368074148446</v>
      </c>
    </row>
    <row r="1938" customFormat="false" ht="45" hidden="false" customHeight="false" outlineLevel="0" collapsed="false">
      <c r="A1938" s="216" t="s">
        <v>1079</v>
      </c>
      <c r="B1938" s="335" t="s">
        <v>3332</v>
      </c>
      <c r="C1938" s="1161" t="s">
        <v>7071</v>
      </c>
      <c r="D1938" s="912" t="n">
        <v>2006</v>
      </c>
      <c r="E1938" s="912" t="n">
        <f aca="false">2021-D1938</f>
        <v>15</v>
      </c>
      <c r="F1938" s="547" t="n">
        <v>138575</v>
      </c>
      <c r="G1938" s="1413" t="n">
        <v>0.1</v>
      </c>
      <c r="H1938" s="547" t="n">
        <f aca="false">E1938*F1938*G1938</f>
        <v>207862.5</v>
      </c>
      <c r="I1938" s="547" t="n">
        <f aca="false">F1938-H1938</f>
        <v>-69287.5</v>
      </c>
      <c r="J1938" s="547" t="n">
        <f aca="false">F1938*G1938</f>
        <v>13857.5</v>
      </c>
      <c r="K1938" s="1365" t="n">
        <f aca="false">J1938/1792.8</f>
        <v>7.7295292280232</v>
      </c>
      <c r="L1938" s="547" t="n">
        <v>10</v>
      </c>
      <c r="M1938" s="819" t="n">
        <f aca="false">K1938*L1938/60</f>
        <v>1.2882548713372</v>
      </c>
    </row>
    <row r="1939" customFormat="false" ht="30" hidden="false" customHeight="false" outlineLevel="0" collapsed="false">
      <c r="A1939" s="216"/>
      <c r="B1939" s="335"/>
      <c r="C1939" s="1404" t="s">
        <v>7070</v>
      </c>
      <c r="D1939" s="569" t="n">
        <v>2009</v>
      </c>
      <c r="E1939" s="569" t="n">
        <f aca="false">2021-D1939</f>
        <v>12</v>
      </c>
      <c r="F1939" s="1105" t="n">
        <v>181000</v>
      </c>
      <c r="G1939" s="1444" t="n">
        <v>0.1</v>
      </c>
      <c r="H1939" s="1105" t="n">
        <f aca="false">E1939*F1939*G1939</f>
        <v>217200</v>
      </c>
      <c r="I1939" s="1105" t="n">
        <f aca="false">F1939-H1939</f>
        <v>-36200</v>
      </c>
      <c r="J1939" s="1105" t="n">
        <f aca="false">F1939*G1939</f>
        <v>18100</v>
      </c>
      <c r="K1939" s="1365" t="n">
        <f aca="false">J1939/1792.8</f>
        <v>10.0959393128068</v>
      </c>
      <c r="L1939" s="547" t="n">
        <v>10</v>
      </c>
      <c r="M1939" s="819" t="n">
        <f aca="false">K1939*L1939/60</f>
        <v>1.68265655213446</v>
      </c>
    </row>
    <row r="1940" customFormat="false" ht="30" hidden="false" customHeight="false" outlineLevel="0" collapsed="false">
      <c r="A1940" s="216"/>
      <c r="B1940" s="40"/>
      <c r="C1940" s="1404" t="s">
        <v>6963</v>
      </c>
      <c r="D1940" s="1405" t="n">
        <v>2007</v>
      </c>
      <c r="E1940" s="1405" t="n">
        <f aca="false">2021-D1940</f>
        <v>14</v>
      </c>
      <c r="F1940" s="1406" t="n">
        <v>176358</v>
      </c>
      <c r="G1940" s="1407" t="n">
        <v>0.1</v>
      </c>
      <c r="H1940" s="1410" t="n">
        <f aca="false">E1940*F1940*G1940</f>
        <v>246901.2</v>
      </c>
      <c r="I1940" s="1410" t="n">
        <f aca="false">F1940-H1940</f>
        <v>-70543.2</v>
      </c>
      <c r="J1940" s="1410" t="n">
        <f aca="false">F1940*G1940</f>
        <v>17635.8</v>
      </c>
      <c r="K1940" s="1365" t="n">
        <f aca="false">J1940/1792.8</f>
        <v>9.83701472556894</v>
      </c>
      <c r="L1940" s="1445" t="n">
        <v>10</v>
      </c>
      <c r="M1940" s="1408" t="n">
        <f aca="false">K1940*L1940/60</f>
        <v>1.63950245426149</v>
      </c>
    </row>
    <row r="1941" customFormat="false" ht="15.75" hidden="false" customHeight="true" outlineLevel="0" collapsed="false">
      <c r="A1941" s="216"/>
      <c r="B1941" s="40"/>
      <c r="C1941" s="1404" t="s">
        <v>6959</v>
      </c>
      <c r="D1941" s="1405" t="n">
        <v>2007</v>
      </c>
      <c r="E1941" s="1405" t="n">
        <f aca="false">2021-D1941</f>
        <v>14</v>
      </c>
      <c r="F1941" s="1406" t="n">
        <v>350000</v>
      </c>
      <c r="G1941" s="1407" t="n">
        <v>0.1</v>
      </c>
      <c r="H1941" s="1410" t="n">
        <f aca="false">E1941*F1941*G1941</f>
        <v>490000</v>
      </c>
      <c r="I1941" s="1410" t="n">
        <f aca="false">F1941-H1941</f>
        <v>-140000</v>
      </c>
      <c r="J1941" s="1410" t="n">
        <f aca="false">F1941*G1941</f>
        <v>35000</v>
      </c>
      <c r="K1941" s="1365" t="n">
        <f aca="false">J1941/1792.8</f>
        <v>19.5225345827755</v>
      </c>
      <c r="L1941" s="1445" t="n">
        <v>10</v>
      </c>
      <c r="M1941" s="1408" t="n">
        <f aca="false">K1941*L1941/60</f>
        <v>3.25375576379592</v>
      </c>
    </row>
    <row r="1942" customFormat="false" ht="15" hidden="false" customHeight="false" outlineLevel="0" collapsed="false">
      <c r="A1942" s="216"/>
      <c r="B1942" s="40"/>
      <c r="C1942" s="1404" t="s">
        <v>7075</v>
      </c>
      <c r="D1942" s="569" t="n">
        <v>2015</v>
      </c>
      <c r="E1942" s="569" t="n">
        <f aca="false">2021-D1942</f>
        <v>6</v>
      </c>
      <c r="F1942" s="1105" t="n">
        <v>1028020</v>
      </c>
      <c r="G1942" s="1444" t="n">
        <v>0.1</v>
      </c>
      <c r="H1942" s="1105" t="n">
        <f aca="false">E1942*F1942*G1942</f>
        <v>616812</v>
      </c>
      <c r="I1942" s="1105" t="n">
        <f aca="false">F1942-H1942</f>
        <v>411208</v>
      </c>
      <c r="J1942" s="547" t="n">
        <f aca="false">F1942*G1942</f>
        <v>102802</v>
      </c>
      <c r="K1942" s="1365" t="n">
        <f aca="false">J1942/1792.8</f>
        <v>57.3415885765283</v>
      </c>
      <c r="L1942" s="547" t="n">
        <v>60</v>
      </c>
      <c r="M1942" s="819" t="n">
        <f aca="false">K1942*L1942/60</f>
        <v>57.3415885765283</v>
      </c>
    </row>
    <row r="1943" customFormat="false" ht="30" hidden="false" customHeight="false" outlineLevel="0" collapsed="false">
      <c r="A1943" s="216"/>
      <c r="B1943" s="40"/>
      <c r="C1943" s="1409" t="s">
        <v>6967</v>
      </c>
      <c r="D1943" s="569" t="n">
        <v>2016</v>
      </c>
      <c r="E1943" s="569" t="n">
        <f aca="false">2021-D1943</f>
        <v>5</v>
      </c>
      <c r="F1943" s="1105" t="n">
        <v>2302000</v>
      </c>
      <c r="G1943" s="1444" t="n">
        <v>0.1</v>
      </c>
      <c r="H1943" s="1105" t="n">
        <f aca="false">E1943*F1943*G1943</f>
        <v>1151000</v>
      </c>
      <c r="I1943" s="1105" t="n">
        <f aca="false">F1943-H1943</f>
        <v>1151000</v>
      </c>
      <c r="J1943" s="547" t="n">
        <f aca="false">F1943*G1943</f>
        <v>230200</v>
      </c>
      <c r="K1943" s="1365" t="n">
        <f aca="false">J1943/1792.8</f>
        <v>128.402498884427</v>
      </c>
      <c r="L1943" s="547" t="n">
        <v>10</v>
      </c>
      <c r="M1943" s="819" t="n">
        <f aca="false">K1943*L1943/60</f>
        <v>21.4004164807378</v>
      </c>
    </row>
    <row r="1944" customFormat="false" ht="30" hidden="false" customHeight="false" outlineLevel="0" collapsed="false">
      <c r="A1944" s="216"/>
      <c r="B1944" s="40"/>
      <c r="C1944" s="1404" t="s">
        <v>7072</v>
      </c>
      <c r="D1944" s="569" t="n">
        <v>2013</v>
      </c>
      <c r="E1944" s="569" t="n">
        <f aca="false">2021-D1944</f>
        <v>8</v>
      </c>
      <c r="F1944" s="1105" t="n">
        <v>300000</v>
      </c>
      <c r="G1944" s="1444" t="n">
        <v>0.1</v>
      </c>
      <c r="H1944" s="1105" t="n">
        <f aca="false">E1944*F1944*G1944</f>
        <v>240000</v>
      </c>
      <c r="I1944" s="1105" t="n">
        <f aca="false">F1944-H1944</f>
        <v>60000</v>
      </c>
      <c r="J1944" s="1105" t="n">
        <f aca="false">F1944*G1944</f>
        <v>30000</v>
      </c>
      <c r="K1944" s="1365" t="n">
        <f aca="false">J1944/1792.8</f>
        <v>16.7336010709505</v>
      </c>
      <c r="L1944" s="1105" t="n">
        <v>20</v>
      </c>
      <c r="M1944" s="865" t="n">
        <f aca="false">K1944*L1944/60</f>
        <v>5.57786702365016</v>
      </c>
    </row>
    <row r="1945" customFormat="false" ht="30" hidden="false" customHeight="false" outlineLevel="0" collapsed="false">
      <c r="A1945" s="216"/>
      <c r="B1945" s="40"/>
      <c r="C1945" s="1161" t="s">
        <v>7073</v>
      </c>
      <c r="D1945" s="912" t="n">
        <v>2005</v>
      </c>
      <c r="E1945" s="912" t="n">
        <f aca="false">2021-D1945</f>
        <v>16</v>
      </c>
      <c r="F1945" s="547" t="n">
        <v>39263</v>
      </c>
      <c r="G1945" s="1413" t="n">
        <v>0.15</v>
      </c>
      <c r="H1945" s="547" t="n">
        <f aca="false">E1945*F1945*G1945</f>
        <v>94231.2</v>
      </c>
      <c r="I1945" s="547" t="n">
        <f aca="false">F1945-H1945</f>
        <v>-54968.2</v>
      </c>
      <c r="J1945" s="547" t="n">
        <f aca="false">F1945*G1945</f>
        <v>5889.45</v>
      </c>
      <c r="K1945" s="1365" t="n">
        <f aca="false">J1945/1792.8</f>
        <v>3.28505689424364</v>
      </c>
      <c r="L1945" s="547" t="n">
        <v>10</v>
      </c>
      <c r="M1945" s="819" t="n">
        <f aca="false">K1945*L1945/60</f>
        <v>0.54750948237394</v>
      </c>
    </row>
    <row r="1946" customFormat="false" ht="30" hidden="false" customHeight="false" outlineLevel="0" collapsed="false">
      <c r="A1946" s="216"/>
      <c r="B1946" s="40"/>
      <c r="C1946" s="1404" t="s">
        <v>7078</v>
      </c>
      <c r="D1946" s="569" t="n">
        <v>2012</v>
      </c>
      <c r="E1946" s="569" t="n">
        <f aca="false">2021-D1946</f>
        <v>9</v>
      </c>
      <c r="F1946" s="1105" t="n">
        <v>12268394.74</v>
      </c>
      <c r="G1946" s="1444" t="n">
        <v>0.1</v>
      </c>
      <c r="H1946" s="1105" t="n">
        <f aca="false">E1946*F1946*G1946</f>
        <v>11041555.266</v>
      </c>
      <c r="I1946" s="547" t="n">
        <f aca="false">F1946-H1946</f>
        <v>1226839.474</v>
      </c>
      <c r="J1946" s="547" t="n">
        <f aca="false">F1946*G1946</f>
        <v>1226839.474</v>
      </c>
      <c r="K1946" s="1365" t="n">
        <f aca="false">J1946/1792.8</f>
        <v>684.31474453369</v>
      </c>
      <c r="L1946" s="547" t="n">
        <v>120</v>
      </c>
      <c r="M1946" s="819" t="n">
        <f aca="false">K1946*L1946/60</f>
        <v>1368.62948906738</v>
      </c>
    </row>
    <row r="1947" customFormat="false" ht="15" hidden="false" customHeight="false" outlineLevel="0" collapsed="false">
      <c r="A1947" s="216"/>
      <c r="B1947" s="1053" t="s">
        <v>4128</v>
      </c>
      <c r="C1947" s="1161"/>
      <c r="D1947" s="912"/>
      <c r="E1947" s="912"/>
      <c r="F1947" s="547"/>
      <c r="G1947" s="1413"/>
      <c r="H1947" s="547" t="n">
        <f aca="false">E1947*F1947*G1947</f>
        <v>0</v>
      </c>
      <c r="I1947" s="547"/>
      <c r="J1947" s="547"/>
      <c r="K1947" s="1365" t="n">
        <f aca="false">J1947/1792.8</f>
        <v>0</v>
      </c>
      <c r="L1947" s="714" t="n">
        <f aca="false">SUM(L1938:L1946)</f>
        <v>260</v>
      </c>
      <c r="M1947" s="934" t="n">
        <f aca="false">SUM(M1938:M1946)</f>
        <v>1461.3610402722</v>
      </c>
    </row>
    <row r="1948" customFormat="false" ht="30" hidden="false" customHeight="false" outlineLevel="0" collapsed="false">
      <c r="A1948" s="216" t="s">
        <v>1080</v>
      </c>
      <c r="B1948" s="335" t="s">
        <v>3312</v>
      </c>
      <c r="C1948" s="1404" t="s">
        <v>7070</v>
      </c>
      <c r="D1948" s="569" t="n">
        <v>2009</v>
      </c>
      <c r="E1948" s="569" t="n">
        <f aca="false">2021-D1948</f>
        <v>12</v>
      </c>
      <c r="F1948" s="1105" t="n">
        <v>181000</v>
      </c>
      <c r="G1948" s="1444" t="n">
        <v>0.1</v>
      </c>
      <c r="H1948" s="1105" t="n">
        <f aca="false">E1948*F1948*G1948</f>
        <v>217200</v>
      </c>
      <c r="I1948" s="1105" t="n">
        <f aca="false">F1948-H1948</f>
        <v>-36200</v>
      </c>
      <c r="J1948" s="1105" t="n">
        <f aca="false">F1948*G1948</f>
        <v>18100</v>
      </c>
      <c r="K1948" s="1365" t="n">
        <f aca="false">J1948/1792.8</f>
        <v>10.0959393128068</v>
      </c>
      <c r="L1948" s="547" t="n">
        <v>10</v>
      </c>
      <c r="M1948" s="819" t="n">
        <f aca="false">K1948*L1948/60</f>
        <v>1.68265655213446</v>
      </c>
    </row>
    <row r="1949" customFormat="false" ht="30" hidden="false" customHeight="false" outlineLevel="0" collapsed="false">
      <c r="A1949" s="216"/>
      <c r="B1949" s="40"/>
      <c r="C1949" s="1404" t="s">
        <v>6963</v>
      </c>
      <c r="D1949" s="1405" t="n">
        <v>2007</v>
      </c>
      <c r="E1949" s="1405" t="n">
        <f aca="false">2021-D1949</f>
        <v>14</v>
      </c>
      <c r="F1949" s="1406" t="n">
        <v>176358</v>
      </c>
      <c r="G1949" s="1407" t="n">
        <v>0.1</v>
      </c>
      <c r="H1949" s="1410" t="n">
        <f aca="false">E1949*F1949*G1949</f>
        <v>246901.2</v>
      </c>
      <c r="I1949" s="1410" t="n">
        <f aca="false">F1949-H1949</f>
        <v>-70543.2</v>
      </c>
      <c r="J1949" s="1410" t="n">
        <f aca="false">F1949*G1949</f>
        <v>17635.8</v>
      </c>
      <c r="K1949" s="1365" t="n">
        <f aca="false">J1949/1792.8</f>
        <v>9.83701472556894</v>
      </c>
      <c r="L1949" s="1445" t="n">
        <v>10</v>
      </c>
      <c r="M1949" s="1408" t="n">
        <f aca="false">K1949*L1949/60</f>
        <v>1.63950245426149</v>
      </c>
    </row>
    <row r="1950" customFormat="false" ht="30" hidden="false" customHeight="false" outlineLevel="0" collapsed="false">
      <c r="A1950" s="216"/>
      <c r="B1950" s="40"/>
      <c r="C1950" s="1404" t="s">
        <v>6959</v>
      </c>
      <c r="D1950" s="1405" t="n">
        <v>2007</v>
      </c>
      <c r="E1950" s="1405" t="n">
        <f aca="false">2021-D1950</f>
        <v>14</v>
      </c>
      <c r="F1950" s="1406" t="n">
        <v>350000</v>
      </c>
      <c r="G1950" s="1407" t="n">
        <v>0.1</v>
      </c>
      <c r="H1950" s="1410" t="n">
        <f aca="false">E1950*F1950*G1950</f>
        <v>490000</v>
      </c>
      <c r="I1950" s="1410" t="n">
        <f aca="false">F1950-H1950</f>
        <v>-140000</v>
      </c>
      <c r="J1950" s="1410" t="n">
        <f aca="false">F1950*G1950</f>
        <v>35000</v>
      </c>
      <c r="K1950" s="1365" t="n">
        <f aca="false">J1950/1792.8</f>
        <v>19.5225345827755</v>
      </c>
      <c r="L1950" s="1445" t="n">
        <v>10</v>
      </c>
      <c r="M1950" s="1408" t="n">
        <f aca="false">K1950*L1950/60</f>
        <v>3.25375576379592</v>
      </c>
    </row>
    <row r="1951" customFormat="false" ht="30" hidden="false" customHeight="false" outlineLevel="0" collapsed="false">
      <c r="A1951" s="216"/>
      <c r="B1951" s="40"/>
      <c r="C1951" s="1404" t="s">
        <v>7071</v>
      </c>
      <c r="D1951" s="569" t="n">
        <v>2006</v>
      </c>
      <c r="E1951" s="569" t="n">
        <f aca="false">2021-D1951</f>
        <v>15</v>
      </c>
      <c r="F1951" s="1105" t="n">
        <v>138575</v>
      </c>
      <c r="G1951" s="1444" t="n">
        <v>0.1</v>
      </c>
      <c r="H1951" s="1105" t="n">
        <f aca="false">E1951*F1951*G1951</f>
        <v>207862.5</v>
      </c>
      <c r="I1951" s="1105" t="n">
        <f aca="false">F1951-H1951</f>
        <v>-69287.5</v>
      </c>
      <c r="J1951" s="1105" t="n">
        <f aca="false">F1951*G1951</f>
        <v>13857.5</v>
      </c>
      <c r="K1951" s="1365" t="n">
        <f aca="false">J1951/1792.8</f>
        <v>7.7295292280232</v>
      </c>
      <c r="L1951" s="547" t="n">
        <v>10</v>
      </c>
      <c r="M1951" s="819" t="n">
        <f aca="false">K1951*L1951/60</f>
        <v>1.2882548713372</v>
      </c>
    </row>
    <row r="1952" customFormat="false" ht="15" hidden="false" customHeight="false" outlineLevel="0" collapsed="false">
      <c r="A1952" s="216"/>
      <c r="B1952" s="40"/>
      <c r="C1952" s="1404" t="s">
        <v>7075</v>
      </c>
      <c r="D1952" s="569" t="n">
        <v>2015</v>
      </c>
      <c r="E1952" s="569" t="n">
        <f aca="false">2021-D1952</f>
        <v>6</v>
      </c>
      <c r="F1952" s="1105" t="n">
        <v>1028020</v>
      </c>
      <c r="G1952" s="1444" t="n">
        <v>0.1</v>
      </c>
      <c r="H1952" s="1105" t="n">
        <f aca="false">E1952*F1952*G1952</f>
        <v>616812</v>
      </c>
      <c r="I1952" s="1105" t="n">
        <f aca="false">F1952-H1952</f>
        <v>411208</v>
      </c>
      <c r="J1952" s="1105" t="n">
        <f aca="false">F1952*G1952</f>
        <v>102802</v>
      </c>
      <c r="K1952" s="1365" t="n">
        <f aca="false">J1952/1792.8</f>
        <v>57.3415885765283</v>
      </c>
      <c r="L1952" s="547" t="n">
        <v>60</v>
      </c>
      <c r="M1952" s="819" t="n">
        <f aca="false">K1952*L1952/60</f>
        <v>57.3415885765283</v>
      </c>
    </row>
    <row r="1953" customFormat="false" ht="30" hidden="false" customHeight="false" outlineLevel="0" collapsed="false">
      <c r="A1953" s="216"/>
      <c r="B1953" s="40"/>
      <c r="C1953" s="1409" t="s">
        <v>6967</v>
      </c>
      <c r="D1953" s="569" t="n">
        <v>2016</v>
      </c>
      <c r="E1953" s="569" t="n">
        <f aca="false">2021-D1953</f>
        <v>5</v>
      </c>
      <c r="F1953" s="1105" t="n">
        <v>2302000</v>
      </c>
      <c r="G1953" s="1444" t="n">
        <v>0.1</v>
      </c>
      <c r="H1953" s="1105" t="n">
        <f aca="false">E1953*F1953*G1953</f>
        <v>1151000</v>
      </c>
      <c r="I1953" s="1105" t="n">
        <f aca="false">F1953-H1953</f>
        <v>1151000</v>
      </c>
      <c r="J1953" s="1105" t="n">
        <f aca="false">F1953*G1953</f>
        <v>230200</v>
      </c>
      <c r="K1953" s="1365" t="n">
        <f aca="false">J1953/1792.8</f>
        <v>128.402498884427</v>
      </c>
      <c r="L1953" s="547" t="n">
        <v>10</v>
      </c>
      <c r="M1953" s="819" t="n">
        <f aca="false">K1953*L1953/60</f>
        <v>21.4004164807378</v>
      </c>
    </row>
    <row r="1954" customFormat="false" ht="30" hidden="false" customHeight="false" outlineLevel="0" collapsed="false">
      <c r="A1954" s="216"/>
      <c r="B1954" s="40"/>
      <c r="C1954" s="1404" t="s">
        <v>7072</v>
      </c>
      <c r="D1954" s="569" t="n">
        <v>2013</v>
      </c>
      <c r="E1954" s="569" t="n">
        <f aca="false">2021-D1954</f>
        <v>8</v>
      </c>
      <c r="F1954" s="1105" t="n">
        <v>300000</v>
      </c>
      <c r="G1954" s="1444" t="n">
        <v>0.1</v>
      </c>
      <c r="H1954" s="1105" t="n">
        <f aca="false">E1954*F1954*G1954</f>
        <v>240000</v>
      </c>
      <c r="I1954" s="1105" t="n">
        <f aca="false">F1954-H1954</f>
        <v>60000</v>
      </c>
      <c r="J1954" s="1105" t="n">
        <f aca="false">F1954*G1954</f>
        <v>30000</v>
      </c>
      <c r="K1954" s="1365" t="n">
        <f aca="false">J1954/1792.8</f>
        <v>16.7336010709505</v>
      </c>
      <c r="L1954" s="1105" t="n">
        <v>20</v>
      </c>
      <c r="M1954" s="865" t="n">
        <f aca="false">K1954*L1954/60</f>
        <v>5.57786702365016</v>
      </c>
    </row>
    <row r="1955" customFormat="false" ht="30" hidden="false" customHeight="false" outlineLevel="0" collapsed="false">
      <c r="A1955" s="216"/>
      <c r="B1955" s="40"/>
      <c r="C1955" s="1161" t="s">
        <v>7073</v>
      </c>
      <c r="D1955" s="912" t="n">
        <v>2005</v>
      </c>
      <c r="E1955" s="912" t="n">
        <f aca="false">2021-D1955</f>
        <v>16</v>
      </c>
      <c r="F1955" s="547" t="n">
        <v>39263</v>
      </c>
      <c r="G1955" s="1413" t="n">
        <v>0.15</v>
      </c>
      <c r="H1955" s="547" t="n">
        <f aca="false">E1955*F1955*G1955</f>
        <v>94231.2</v>
      </c>
      <c r="I1955" s="547" t="n">
        <f aca="false">F1955-H1955</f>
        <v>-54968.2</v>
      </c>
      <c r="J1955" s="547" t="n">
        <f aca="false">F1955*G1955</f>
        <v>5889.45</v>
      </c>
      <c r="K1955" s="1365" t="n">
        <f aca="false">J1955/1792.8</f>
        <v>3.28505689424364</v>
      </c>
      <c r="L1955" s="547" t="n">
        <v>10</v>
      </c>
      <c r="M1955" s="819" t="n">
        <f aca="false">K1955*L1955/60</f>
        <v>0.54750948237394</v>
      </c>
    </row>
    <row r="1956" customFormat="false" ht="30" hidden="false" customHeight="false" outlineLevel="0" collapsed="false">
      <c r="A1956" s="216"/>
      <c r="B1956" s="40"/>
      <c r="C1956" s="1161" t="s">
        <v>7074</v>
      </c>
      <c r="D1956" s="912" t="n">
        <v>2003</v>
      </c>
      <c r="E1956" s="912" t="n">
        <f aca="false">2021-D1956</f>
        <v>18</v>
      </c>
      <c r="F1956" s="547" t="n">
        <v>2471090</v>
      </c>
      <c r="G1956" s="1413" t="n">
        <v>0.1</v>
      </c>
      <c r="H1956" s="547" t="n">
        <f aca="false">E1956*F1956*G1956</f>
        <v>4447962</v>
      </c>
      <c r="I1956" s="547" t="n">
        <f aca="false">F1956-H1956</f>
        <v>-1976872</v>
      </c>
      <c r="J1956" s="547" t="n">
        <f aca="false">F1956*G1956</f>
        <v>247109</v>
      </c>
      <c r="K1956" s="1365" t="n">
        <f aca="false">J1956/1792.8</f>
        <v>137.834114234717</v>
      </c>
      <c r="L1956" s="547" t="n">
        <v>120</v>
      </c>
      <c r="M1956" s="819" t="n">
        <f aca="false">K1956*L1956/60</f>
        <v>275.668228469433</v>
      </c>
    </row>
    <row r="1957" customFormat="false" ht="15" hidden="false" customHeight="false" outlineLevel="0" collapsed="false">
      <c r="A1957" s="216"/>
      <c r="B1957" s="1053" t="s">
        <v>4128</v>
      </c>
      <c r="C1957" s="1161"/>
      <c r="D1957" s="912"/>
      <c r="E1957" s="912"/>
      <c r="F1957" s="547"/>
      <c r="G1957" s="1413"/>
      <c r="H1957" s="547"/>
      <c r="I1957" s="547"/>
      <c r="J1957" s="547"/>
      <c r="K1957" s="1365" t="n">
        <f aca="false">J1957/1792.8</f>
        <v>0</v>
      </c>
      <c r="L1957" s="714" t="n">
        <f aca="false">SUM(L1948:L1956)</f>
        <v>260</v>
      </c>
      <c r="M1957" s="934" t="n">
        <f aca="false">SUM(M1948:M1956)</f>
        <v>368.399779674253</v>
      </c>
    </row>
    <row r="1958" customFormat="false" ht="30" hidden="false" customHeight="false" outlineLevel="0" collapsed="false">
      <c r="A1958" s="216" t="s">
        <v>1081</v>
      </c>
      <c r="B1958" s="335" t="s">
        <v>3309</v>
      </c>
      <c r="C1958" s="1161" t="s">
        <v>7071</v>
      </c>
      <c r="D1958" s="912" t="n">
        <v>2006</v>
      </c>
      <c r="E1958" s="912" t="n">
        <f aca="false">2021-D1958</f>
        <v>15</v>
      </c>
      <c r="F1958" s="547" t="n">
        <v>138575</v>
      </c>
      <c r="G1958" s="1413" t="n">
        <v>0.1</v>
      </c>
      <c r="H1958" s="547" t="n">
        <f aca="false">E1958*F1958*G1958</f>
        <v>207862.5</v>
      </c>
      <c r="I1958" s="547" t="n">
        <f aca="false">F1958-H1958</f>
        <v>-69287.5</v>
      </c>
      <c r="J1958" s="547" t="n">
        <f aca="false">F1958*G1958</f>
        <v>13857.5</v>
      </c>
      <c r="K1958" s="1365" t="n">
        <f aca="false">J1958/1792.8</f>
        <v>7.7295292280232</v>
      </c>
      <c r="L1958" s="547" t="n">
        <v>10</v>
      </c>
      <c r="M1958" s="819" t="n">
        <f aca="false">K1958*L1958/60</f>
        <v>1.2882548713372</v>
      </c>
    </row>
    <row r="1959" customFormat="false" ht="30" hidden="false" customHeight="false" outlineLevel="0" collapsed="false">
      <c r="A1959" s="216"/>
      <c r="B1959" s="40"/>
      <c r="C1959" s="1404" t="s">
        <v>6963</v>
      </c>
      <c r="D1959" s="1405" t="n">
        <v>2007</v>
      </c>
      <c r="E1959" s="1405" t="n">
        <f aca="false">2021-D1959</f>
        <v>14</v>
      </c>
      <c r="F1959" s="1406" t="n">
        <v>176358</v>
      </c>
      <c r="G1959" s="1407" t="n">
        <v>0.1</v>
      </c>
      <c r="H1959" s="1410" t="n">
        <f aca="false">E1959*F1959*G1959</f>
        <v>246901.2</v>
      </c>
      <c r="I1959" s="1410" t="n">
        <f aca="false">F1959-H1959</f>
        <v>-70543.2</v>
      </c>
      <c r="J1959" s="1410" t="n">
        <f aca="false">F1959*G1959</f>
        <v>17635.8</v>
      </c>
      <c r="K1959" s="1365" t="n">
        <f aca="false">J1959/1792.8</f>
        <v>9.83701472556894</v>
      </c>
      <c r="L1959" s="1445" t="n">
        <v>10</v>
      </c>
      <c r="M1959" s="1408" t="n">
        <f aca="false">K1959*L1959/60</f>
        <v>1.63950245426149</v>
      </c>
    </row>
    <row r="1960" customFormat="false" ht="30" hidden="false" customHeight="false" outlineLevel="0" collapsed="false">
      <c r="A1960" s="216"/>
      <c r="B1960" s="40"/>
      <c r="C1960" s="1404" t="s">
        <v>6959</v>
      </c>
      <c r="D1960" s="1405" t="n">
        <v>2007</v>
      </c>
      <c r="E1960" s="1405" t="n">
        <f aca="false">2021-D1960</f>
        <v>14</v>
      </c>
      <c r="F1960" s="1406" t="n">
        <v>350000</v>
      </c>
      <c r="G1960" s="1407" t="n">
        <v>0.1</v>
      </c>
      <c r="H1960" s="1410" t="n">
        <f aca="false">E1960*F1960*G1960</f>
        <v>490000</v>
      </c>
      <c r="I1960" s="1410" t="n">
        <f aca="false">F1960-H1960</f>
        <v>-140000</v>
      </c>
      <c r="J1960" s="1410" t="n">
        <f aca="false">F1960*G1960</f>
        <v>35000</v>
      </c>
      <c r="K1960" s="1365" t="n">
        <f aca="false">J1960/1792.8</f>
        <v>19.5225345827755</v>
      </c>
      <c r="L1960" s="1445" t="n">
        <v>10</v>
      </c>
      <c r="M1960" s="1408" t="n">
        <f aca="false">K1960*L1960/60</f>
        <v>3.25375576379592</v>
      </c>
    </row>
    <row r="1961" customFormat="false" ht="15" hidden="false" customHeight="false" outlineLevel="0" collapsed="false">
      <c r="A1961" s="1403"/>
      <c r="B1961" s="118"/>
      <c r="C1961" s="1404" t="s">
        <v>7075</v>
      </c>
      <c r="D1961" s="569" t="n">
        <v>2015</v>
      </c>
      <c r="E1961" s="569" t="n">
        <f aca="false">2021-D1961</f>
        <v>6</v>
      </c>
      <c r="F1961" s="1105" t="n">
        <v>1028020</v>
      </c>
      <c r="G1961" s="1444" t="n">
        <v>0.1</v>
      </c>
      <c r="H1961" s="1105" t="n">
        <f aca="false">E1961*F1961*G1961</f>
        <v>616812</v>
      </c>
      <c r="I1961" s="1105" t="n">
        <f aca="false">F1961-H1961</f>
        <v>411208</v>
      </c>
      <c r="J1961" s="1105" t="n">
        <f aca="false">F1961*G1961</f>
        <v>102802</v>
      </c>
      <c r="K1961" s="1365" t="n">
        <f aca="false">J1961/1792.8</f>
        <v>57.3415885765283</v>
      </c>
      <c r="L1961" s="1105" t="n">
        <v>60</v>
      </c>
      <c r="M1961" s="865" t="n">
        <f aca="false">K1961*L1961/60</f>
        <v>57.3415885765283</v>
      </c>
    </row>
    <row r="1962" customFormat="false" ht="30" hidden="false" customHeight="false" outlineLevel="0" collapsed="false">
      <c r="A1962" s="216"/>
      <c r="B1962" s="40"/>
      <c r="C1962" s="1409" t="s">
        <v>6967</v>
      </c>
      <c r="D1962" s="569" t="n">
        <v>2016</v>
      </c>
      <c r="E1962" s="569" t="n">
        <f aca="false">2021-D1962</f>
        <v>5</v>
      </c>
      <c r="F1962" s="1105" t="n">
        <v>2302000</v>
      </c>
      <c r="G1962" s="1444" t="n">
        <v>0.1</v>
      </c>
      <c r="H1962" s="1105" t="n">
        <f aca="false">E1962*F1962*G1962</f>
        <v>1151000</v>
      </c>
      <c r="I1962" s="547" t="n">
        <f aca="false">F1962-H1962</f>
        <v>1151000</v>
      </c>
      <c r="J1962" s="547" t="n">
        <f aca="false">F1962*G1962</f>
        <v>230200</v>
      </c>
      <c r="K1962" s="1365" t="n">
        <f aca="false">J1962/1792.8</f>
        <v>128.402498884427</v>
      </c>
      <c r="L1962" s="547" t="n">
        <v>10</v>
      </c>
      <c r="M1962" s="819" t="n">
        <f aca="false">K1962*L1962/60</f>
        <v>21.4004164807378</v>
      </c>
    </row>
    <row r="1963" customFormat="false" ht="30" hidden="false" customHeight="false" outlineLevel="0" collapsed="false">
      <c r="A1963" s="216"/>
      <c r="B1963" s="40"/>
      <c r="C1963" s="1404" t="s">
        <v>7070</v>
      </c>
      <c r="D1963" s="569" t="n">
        <v>2009</v>
      </c>
      <c r="E1963" s="569" t="n">
        <f aca="false">2021-D1963</f>
        <v>12</v>
      </c>
      <c r="F1963" s="1105" t="n">
        <v>181000</v>
      </c>
      <c r="G1963" s="1444" t="n">
        <v>0.1</v>
      </c>
      <c r="H1963" s="1105" t="n">
        <f aca="false">E1963*F1963*G1963</f>
        <v>217200</v>
      </c>
      <c r="I1963" s="1105" t="n">
        <f aca="false">F1963-H1963</f>
        <v>-36200</v>
      </c>
      <c r="J1963" s="1105" t="n">
        <f aca="false">F1963*G1963</f>
        <v>18100</v>
      </c>
      <c r="K1963" s="1365" t="n">
        <f aca="false">J1963/1792.8</f>
        <v>10.0959393128068</v>
      </c>
      <c r="L1963" s="547" t="n">
        <v>10</v>
      </c>
      <c r="M1963" s="819" t="n">
        <f aca="false">K1963*L1963/60</f>
        <v>1.68265655213446</v>
      </c>
    </row>
    <row r="1964" customFormat="false" ht="30" hidden="false" customHeight="false" outlineLevel="0" collapsed="false">
      <c r="A1964" s="216"/>
      <c r="B1964" s="40"/>
      <c r="C1964" s="1404" t="s">
        <v>7072</v>
      </c>
      <c r="D1964" s="569" t="n">
        <v>2013</v>
      </c>
      <c r="E1964" s="569" t="n">
        <f aca="false">2021-D1964</f>
        <v>8</v>
      </c>
      <c r="F1964" s="1105" t="n">
        <v>300000</v>
      </c>
      <c r="G1964" s="1444" t="n">
        <v>0.1</v>
      </c>
      <c r="H1964" s="1105" t="n">
        <f aca="false">E1964*F1964*G1964</f>
        <v>240000</v>
      </c>
      <c r="I1964" s="1105" t="n">
        <f aca="false">F1964-H1964</f>
        <v>60000</v>
      </c>
      <c r="J1964" s="1105" t="n">
        <f aca="false">F1964*G1964</f>
        <v>30000</v>
      </c>
      <c r="K1964" s="1365" t="n">
        <f aca="false">J1964/1792.8</f>
        <v>16.7336010709505</v>
      </c>
      <c r="L1964" s="1105" t="n">
        <v>20</v>
      </c>
      <c r="M1964" s="865" t="n">
        <f aca="false">K1964*L1964/60</f>
        <v>5.57786702365016</v>
      </c>
    </row>
    <row r="1965" customFormat="false" ht="30" hidden="false" customHeight="false" outlineLevel="0" collapsed="false">
      <c r="A1965" s="216"/>
      <c r="B1965" s="40"/>
      <c r="C1965" s="1404" t="s">
        <v>7078</v>
      </c>
      <c r="D1965" s="1447" t="n">
        <v>2012</v>
      </c>
      <c r="E1965" s="569" t="n">
        <f aca="false">2021-D1965</f>
        <v>9</v>
      </c>
      <c r="F1965" s="1105" t="n">
        <v>12268394.74</v>
      </c>
      <c r="G1965" s="1448" t="n">
        <v>0.1</v>
      </c>
      <c r="H1965" s="1105" t="n">
        <f aca="false">E1965*F1965*G1965</f>
        <v>11041555.266</v>
      </c>
      <c r="I1965" s="1449" t="n">
        <f aca="false">F1965-H1965</f>
        <v>1226839.474</v>
      </c>
      <c r="J1965" s="1449" t="n">
        <f aca="false">F1965*G1965</f>
        <v>1226839.474</v>
      </c>
      <c r="K1965" s="1365" t="n">
        <f aca="false">J1965/1792.8</f>
        <v>684.31474453369</v>
      </c>
      <c r="L1965" s="1449" t="n">
        <v>130</v>
      </c>
      <c r="M1965" s="819" t="n">
        <f aca="false">K1965*L1965/60</f>
        <v>1482.68194648966</v>
      </c>
    </row>
    <row r="1966" customFormat="false" ht="15" hidden="false" customHeight="false" outlineLevel="0" collapsed="false">
      <c r="A1966" s="216"/>
      <c r="B1966" s="1053" t="s">
        <v>4128</v>
      </c>
      <c r="C1966" s="1161"/>
      <c r="D1966" s="912"/>
      <c r="E1966" s="912"/>
      <c r="F1966" s="547"/>
      <c r="G1966" s="1413"/>
      <c r="H1966" s="547"/>
      <c r="I1966" s="547"/>
      <c r="J1966" s="547"/>
      <c r="K1966" s="1365" t="n">
        <f aca="false">J1966/1792.8</f>
        <v>0</v>
      </c>
      <c r="L1966" s="714" t="n">
        <f aca="false">SUM(L1958:L1965)</f>
        <v>260</v>
      </c>
      <c r="M1966" s="934" t="n">
        <f aca="false">SUM(M1958:M1965)</f>
        <v>1574.86598821211</v>
      </c>
    </row>
    <row r="1967" customFormat="false" ht="30" hidden="false" customHeight="false" outlineLevel="0" collapsed="false">
      <c r="A1967" s="216" t="s">
        <v>1082</v>
      </c>
      <c r="B1967" s="335" t="s">
        <v>7079</v>
      </c>
      <c r="C1967" s="1161" t="s">
        <v>7071</v>
      </c>
      <c r="D1967" s="912" t="n">
        <v>2006</v>
      </c>
      <c r="E1967" s="912" t="n">
        <f aca="false">2021-D1967</f>
        <v>15</v>
      </c>
      <c r="F1967" s="547" t="n">
        <v>138575</v>
      </c>
      <c r="G1967" s="1413" t="n">
        <v>0.1</v>
      </c>
      <c r="H1967" s="547" t="n">
        <f aca="false">E1967*F1967*G1967</f>
        <v>207862.5</v>
      </c>
      <c r="I1967" s="547" t="n">
        <f aca="false">F1967-H1967</f>
        <v>-69287.5</v>
      </c>
      <c r="J1967" s="547" t="n">
        <f aca="false">F1967*G1967</f>
        <v>13857.5</v>
      </c>
      <c r="K1967" s="1365" t="n">
        <f aca="false">J1967/1792.8</f>
        <v>7.7295292280232</v>
      </c>
      <c r="L1967" s="547" t="n">
        <v>10</v>
      </c>
      <c r="M1967" s="819" t="n">
        <f aca="false">K1967*L1967/60</f>
        <v>1.2882548713372</v>
      </c>
    </row>
    <row r="1968" customFormat="false" ht="30" hidden="false" customHeight="false" outlineLevel="0" collapsed="false">
      <c r="A1968" s="216"/>
      <c r="B1968" s="40"/>
      <c r="C1968" s="1404" t="s">
        <v>6963</v>
      </c>
      <c r="D1968" s="1405" t="n">
        <v>2007</v>
      </c>
      <c r="E1968" s="1405" t="n">
        <f aca="false">2021-D1968</f>
        <v>14</v>
      </c>
      <c r="F1968" s="1406" t="n">
        <v>176358</v>
      </c>
      <c r="G1968" s="1407" t="n">
        <v>0.1</v>
      </c>
      <c r="H1968" s="1410" t="n">
        <f aca="false">E1968*F1968*G1968</f>
        <v>246901.2</v>
      </c>
      <c r="I1968" s="1410" t="n">
        <f aca="false">F1968-H1968</f>
        <v>-70543.2</v>
      </c>
      <c r="J1968" s="1410" t="n">
        <f aca="false">F1968*G1968</f>
        <v>17635.8</v>
      </c>
      <c r="K1968" s="1365" t="n">
        <f aca="false">J1968/1792.8</f>
        <v>9.83701472556894</v>
      </c>
      <c r="L1968" s="1445" t="n">
        <v>10</v>
      </c>
      <c r="M1968" s="1408" t="n">
        <f aca="false">K1968*L1968/60</f>
        <v>1.63950245426149</v>
      </c>
    </row>
    <row r="1969" customFormat="false" ht="30" hidden="false" customHeight="false" outlineLevel="0" collapsed="false">
      <c r="A1969" s="216"/>
      <c r="B1969" s="40"/>
      <c r="C1969" s="1404" t="s">
        <v>6959</v>
      </c>
      <c r="D1969" s="1405" t="n">
        <v>2007</v>
      </c>
      <c r="E1969" s="1405" t="n">
        <f aca="false">2021-D1969</f>
        <v>14</v>
      </c>
      <c r="F1969" s="1406" t="n">
        <v>350000</v>
      </c>
      <c r="G1969" s="1407" t="n">
        <v>0.1</v>
      </c>
      <c r="H1969" s="1410" t="n">
        <f aca="false">E1969*F1969*G1969</f>
        <v>490000</v>
      </c>
      <c r="I1969" s="1410" t="n">
        <f aca="false">F1969-H1969</f>
        <v>-140000</v>
      </c>
      <c r="J1969" s="1410" t="n">
        <f aca="false">F1969*G1969</f>
        <v>35000</v>
      </c>
      <c r="K1969" s="1365" t="n">
        <f aca="false">J1969/1792.8</f>
        <v>19.5225345827755</v>
      </c>
      <c r="L1969" s="1445" t="n">
        <v>10</v>
      </c>
      <c r="M1969" s="1408" t="n">
        <f aca="false">K1969*L1969/60</f>
        <v>3.25375576379592</v>
      </c>
    </row>
    <row r="1970" customFormat="false" ht="15" hidden="false" customHeight="false" outlineLevel="0" collapsed="false">
      <c r="A1970" s="1403"/>
      <c r="B1970" s="118"/>
      <c r="C1970" s="1404" t="s">
        <v>7075</v>
      </c>
      <c r="D1970" s="569" t="n">
        <v>2015</v>
      </c>
      <c r="E1970" s="569" t="n">
        <f aca="false">2021-D1970</f>
        <v>6</v>
      </c>
      <c r="F1970" s="1105" t="n">
        <v>1028020</v>
      </c>
      <c r="G1970" s="1444" t="n">
        <v>0.1</v>
      </c>
      <c r="H1970" s="1105" t="n">
        <f aca="false">E1970*F1970*G1970</f>
        <v>616812</v>
      </c>
      <c r="I1970" s="1105" t="n">
        <f aca="false">F1970-H1970</f>
        <v>411208</v>
      </c>
      <c r="J1970" s="1105" t="n">
        <f aca="false">F1970*G1970</f>
        <v>102802</v>
      </c>
      <c r="K1970" s="1365" t="n">
        <f aca="false">J1970/1792.8</f>
        <v>57.3415885765283</v>
      </c>
      <c r="L1970" s="1105" t="n">
        <v>60</v>
      </c>
      <c r="M1970" s="865" t="n">
        <f aca="false">K1970*L1970/60</f>
        <v>57.3415885765283</v>
      </c>
    </row>
    <row r="1971" customFormat="false" ht="10.5" hidden="false" customHeight="true" outlineLevel="0" collapsed="false">
      <c r="A1971" s="216"/>
      <c r="B1971" s="40"/>
      <c r="C1971" s="1409" t="s">
        <v>6967</v>
      </c>
      <c r="D1971" s="569" t="n">
        <v>2016</v>
      </c>
      <c r="E1971" s="569" t="n">
        <f aca="false">2021-D1971</f>
        <v>5</v>
      </c>
      <c r="F1971" s="1105" t="n">
        <v>2302000</v>
      </c>
      <c r="G1971" s="1444" t="n">
        <v>0.1</v>
      </c>
      <c r="H1971" s="547" t="n">
        <f aca="false">E1971*F1971*G1971</f>
        <v>1151000</v>
      </c>
      <c r="I1971" s="547" t="n">
        <f aca="false">F1971-H1971</f>
        <v>1151000</v>
      </c>
      <c r="J1971" s="547" t="n">
        <f aca="false">F1971*G1971</f>
        <v>230200</v>
      </c>
      <c r="K1971" s="1365" t="n">
        <f aca="false">J1971/1792.8</f>
        <v>128.402498884427</v>
      </c>
      <c r="L1971" s="547" t="n">
        <v>10</v>
      </c>
      <c r="M1971" s="819" t="n">
        <f aca="false">K1971*L1971/60</f>
        <v>21.4004164807378</v>
      </c>
    </row>
    <row r="1972" customFormat="false" ht="30" hidden="false" customHeight="false" outlineLevel="0" collapsed="false">
      <c r="A1972" s="216"/>
      <c r="B1972" s="40"/>
      <c r="C1972" s="1404" t="s">
        <v>7070</v>
      </c>
      <c r="D1972" s="569" t="n">
        <v>2009</v>
      </c>
      <c r="E1972" s="569" t="n">
        <f aca="false">2021-D1972</f>
        <v>12</v>
      </c>
      <c r="F1972" s="1105" t="n">
        <v>181000</v>
      </c>
      <c r="G1972" s="1444" t="n">
        <v>0.1</v>
      </c>
      <c r="H1972" s="1105" t="n">
        <f aca="false">E1972*F1972*G1972</f>
        <v>217200</v>
      </c>
      <c r="I1972" s="1105" t="n">
        <f aca="false">F1972-H1972</f>
        <v>-36200</v>
      </c>
      <c r="J1972" s="1105" t="n">
        <f aca="false">F1972*G1972</f>
        <v>18100</v>
      </c>
      <c r="K1972" s="1365" t="n">
        <f aca="false">J1972/1792.8</f>
        <v>10.0959393128068</v>
      </c>
      <c r="L1972" s="547" t="n">
        <v>10</v>
      </c>
      <c r="M1972" s="819" t="n">
        <f aca="false">K1972*L1972/60</f>
        <v>1.68265655213446</v>
      </c>
    </row>
    <row r="1973" customFormat="false" ht="30" hidden="false" customHeight="false" outlineLevel="0" collapsed="false">
      <c r="A1973" s="216"/>
      <c r="B1973" s="40"/>
      <c r="C1973" s="1404" t="s">
        <v>7072</v>
      </c>
      <c r="D1973" s="569" t="n">
        <v>2013</v>
      </c>
      <c r="E1973" s="569" t="n">
        <f aca="false">2021-D1973</f>
        <v>8</v>
      </c>
      <c r="F1973" s="1105" t="n">
        <v>300000</v>
      </c>
      <c r="G1973" s="1444" t="n">
        <v>0.1</v>
      </c>
      <c r="H1973" s="1105" t="n">
        <f aca="false">E1973*F1973*G1973</f>
        <v>240000</v>
      </c>
      <c r="I1973" s="1105" t="n">
        <f aca="false">F1973-H1973</f>
        <v>60000</v>
      </c>
      <c r="J1973" s="1105" t="n">
        <f aca="false">F1973*G1973</f>
        <v>30000</v>
      </c>
      <c r="K1973" s="1365" t="n">
        <f aca="false">J1973/1792.8</f>
        <v>16.7336010709505</v>
      </c>
      <c r="L1973" s="1105" t="n">
        <v>30</v>
      </c>
      <c r="M1973" s="865" t="n">
        <f aca="false">K1973*L1973/60</f>
        <v>8.36680053547524</v>
      </c>
    </row>
    <row r="1974" customFormat="false" ht="30" hidden="false" customHeight="false" outlineLevel="0" collapsed="false">
      <c r="A1974" s="216"/>
      <c r="B1974" s="40"/>
      <c r="C1974" s="1161" t="s">
        <v>7073</v>
      </c>
      <c r="D1974" s="912" t="n">
        <v>2005</v>
      </c>
      <c r="E1974" s="912" t="n">
        <f aca="false">2021-D1974</f>
        <v>16</v>
      </c>
      <c r="F1974" s="547" t="n">
        <v>39263</v>
      </c>
      <c r="G1974" s="1413" t="n">
        <v>0.15</v>
      </c>
      <c r="H1974" s="547" t="n">
        <f aca="false">E1974*F1974*G1974</f>
        <v>94231.2</v>
      </c>
      <c r="I1974" s="547" t="n">
        <f aca="false">F1974-H1974</f>
        <v>-54968.2</v>
      </c>
      <c r="J1974" s="547" t="n">
        <f aca="false">F1974*G1974</f>
        <v>5889.45</v>
      </c>
      <c r="K1974" s="1365" t="n">
        <f aca="false">J1974/1792.8</f>
        <v>3.28505689424364</v>
      </c>
      <c r="L1974" s="547" t="n">
        <v>10</v>
      </c>
      <c r="M1974" s="819" t="n">
        <f aca="false">K1974*L1974/60</f>
        <v>0.54750948237394</v>
      </c>
    </row>
    <row r="1975" customFormat="false" ht="30" hidden="false" customHeight="false" outlineLevel="0" collapsed="false">
      <c r="A1975" s="216"/>
      <c r="B1975" s="40"/>
      <c r="C1975" s="1161" t="s">
        <v>7078</v>
      </c>
      <c r="D1975" s="569" t="n">
        <v>2012</v>
      </c>
      <c r="E1975" s="569" t="n">
        <f aca="false">2021-D1975</f>
        <v>9</v>
      </c>
      <c r="F1975" s="1105" t="n">
        <v>12268394.74</v>
      </c>
      <c r="G1975" s="1444" t="n">
        <v>0.1</v>
      </c>
      <c r="H1975" s="547" t="n">
        <f aca="false">E1975*F1975*G1975</f>
        <v>11041555.266</v>
      </c>
      <c r="I1975" s="547" t="n">
        <f aca="false">F1975-H1975</f>
        <v>1226839.474</v>
      </c>
      <c r="J1975" s="547" t="n">
        <f aca="false">F1975*G1975</f>
        <v>1226839.474</v>
      </c>
      <c r="K1975" s="1365" t="n">
        <f aca="false">J1975/1792.8</f>
        <v>684.31474453369</v>
      </c>
      <c r="L1975" s="547" t="n">
        <v>120</v>
      </c>
      <c r="M1975" s="819" t="n">
        <f aca="false">K1975*L1975/60</f>
        <v>1368.62948906738</v>
      </c>
    </row>
    <row r="1976" customFormat="false" ht="15" hidden="false" customHeight="false" outlineLevel="0" collapsed="false">
      <c r="A1976" s="216"/>
      <c r="B1976" s="1053" t="s">
        <v>4128</v>
      </c>
      <c r="C1976" s="1161"/>
      <c r="D1976" s="912"/>
      <c r="E1976" s="912"/>
      <c r="F1976" s="547"/>
      <c r="G1976" s="1413"/>
      <c r="H1976" s="547"/>
      <c r="I1976" s="547"/>
      <c r="J1976" s="547"/>
      <c r="K1976" s="1365" t="n">
        <f aca="false">J1976/1792.8</f>
        <v>0</v>
      </c>
      <c r="L1976" s="714" t="n">
        <f aca="false">SUM(L1967:L1975)</f>
        <v>270</v>
      </c>
      <c r="M1976" s="934" t="n">
        <f aca="false">SUM(M1967:M1975)</f>
        <v>1464.14997378403</v>
      </c>
    </row>
    <row r="1977" customFormat="false" ht="45" hidden="false" customHeight="false" outlineLevel="0" collapsed="false">
      <c r="A1977" s="216" t="s">
        <v>1084</v>
      </c>
      <c r="B1977" s="335" t="s">
        <v>3311</v>
      </c>
      <c r="C1977" s="1161" t="s">
        <v>7071</v>
      </c>
      <c r="D1977" s="912" t="n">
        <v>2006</v>
      </c>
      <c r="E1977" s="912" t="n">
        <f aca="false">2021-D1977</f>
        <v>15</v>
      </c>
      <c r="F1977" s="547" t="n">
        <v>138575</v>
      </c>
      <c r="G1977" s="1413" t="n">
        <v>0.1</v>
      </c>
      <c r="H1977" s="547" t="n">
        <f aca="false">E1977*F1977*G1977</f>
        <v>207862.5</v>
      </c>
      <c r="I1977" s="547" t="n">
        <f aca="false">F1977-H1977</f>
        <v>-69287.5</v>
      </c>
      <c r="J1977" s="547" t="n">
        <f aca="false">F1977*G1977</f>
        <v>13857.5</v>
      </c>
      <c r="K1977" s="1365" t="n">
        <f aca="false">J1977/1792.8</f>
        <v>7.7295292280232</v>
      </c>
      <c r="L1977" s="547" t="n">
        <v>20</v>
      </c>
      <c r="M1977" s="819" t="n">
        <f aca="false">K1977*L1977/60</f>
        <v>2.5765097426744</v>
      </c>
    </row>
    <row r="1978" customFormat="false" ht="30" hidden="false" customHeight="false" outlineLevel="0" collapsed="false">
      <c r="A1978" s="216"/>
      <c r="B1978" s="40"/>
      <c r="C1978" s="1404" t="s">
        <v>6963</v>
      </c>
      <c r="D1978" s="1405" t="n">
        <v>2007</v>
      </c>
      <c r="E1978" s="1405" t="n">
        <f aca="false">2021-D1978</f>
        <v>14</v>
      </c>
      <c r="F1978" s="1406" t="n">
        <v>176358</v>
      </c>
      <c r="G1978" s="1407" t="n">
        <v>0.1</v>
      </c>
      <c r="H1978" s="1410" t="n">
        <f aca="false">E1978*F1978*G1978</f>
        <v>246901.2</v>
      </c>
      <c r="I1978" s="1410" t="n">
        <f aca="false">F1978-H1978</f>
        <v>-70543.2</v>
      </c>
      <c r="J1978" s="1410" t="n">
        <f aca="false">F1978*G1978</f>
        <v>17635.8</v>
      </c>
      <c r="K1978" s="1365" t="n">
        <f aca="false">J1978/1792.8</f>
        <v>9.83701472556894</v>
      </c>
      <c r="L1978" s="1445" t="n">
        <v>10</v>
      </c>
      <c r="M1978" s="1408" t="n">
        <f aca="false">K1978*L1978/60</f>
        <v>1.63950245426149</v>
      </c>
    </row>
    <row r="1979" customFormat="false" ht="30" hidden="false" customHeight="false" outlineLevel="0" collapsed="false">
      <c r="A1979" s="216"/>
      <c r="B1979" s="40"/>
      <c r="C1979" s="1404" t="s">
        <v>6959</v>
      </c>
      <c r="D1979" s="1405" t="n">
        <v>2007</v>
      </c>
      <c r="E1979" s="1405" t="n">
        <f aca="false">2021-D1979</f>
        <v>14</v>
      </c>
      <c r="F1979" s="1406" t="n">
        <v>350000</v>
      </c>
      <c r="G1979" s="1407" t="n">
        <v>0.1</v>
      </c>
      <c r="H1979" s="1410" t="n">
        <f aca="false">E1979*F1979*G1979</f>
        <v>490000</v>
      </c>
      <c r="I1979" s="1410" t="n">
        <f aca="false">F1979-H1979</f>
        <v>-140000</v>
      </c>
      <c r="J1979" s="1410" t="n">
        <f aca="false">F1979*G1979</f>
        <v>35000</v>
      </c>
      <c r="K1979" s="1365" t="n">
        <f aca="false">J1979/1792.8</f>
        <v>19.5225345827755</v>
      </c>
      <c r="L1979" s="1445" t="n">
        <v>10</v>
      </c>
      <c r="M1979" s="1408" t="n">
        <f aca="false">K1979*L1979/60</f>
        <v>3.25375576379592</v>
      </c>
    </row>
    <row r="1980" customFormat="false" ht="15" hidden="false" customHeight="false" outlineLevel="0" collapsed="false">
      <c r="A1980" s="1403"/>
      <c r="B1980" s="118"/>
      <c r="C1980" s="1404" t="s">
        <v>7075</v>
      </c>
      <c r="D1980" s="569" t="n">
        <v>2015</v>
      </c>
      <c r="E1980" s="569" t="n">
        <f aca="false">2021-D1980</f>
        <v>6</v>
      </c>
      <c r="F1980" s="1105" t="n">
        <v>1028020</v>
      </c>
      <c r="G1980" s="1444" t="n">
        <v>0.1</v>
      </c>
      <c r="H1980" s="1105" t="n">
        <f aca="false">E1980*F1980*G1980</f>
        <v>616812</v>
      </c>
      <c r="I1980" s="1105" t="n">
        <f aca="false">F1980-H1980</f>
        <v>411208</v>
      </c>
      <c r="J1980" s="1105" t="n">
        <f aca="false">F1980*G1980</f>
        <v>102802</v>
      </c>
      <c r="K1980" s="1365" t="n">
        <f aca="false">J1980/1792.8</f>
        <v>57.3415885765283</v>
      </c>
      <c r="L1980" s="1105" t="n">
        <v>60</v>
      </c>
      <c r="M1980" s="865" t="n">
        <f aca="false">K1980*L1980/60</f>
        <v>57.3415885765283</v>
      </c>
    </row>
    <row r="1981" customFormat="false" ht="30" hidden="false" customHeight="false" outlineLevel="0" collapsed="false">
      <c r="A1981" s="216"/>
      <c r="B1981" s="40"/>
      <c r="C1981" s="1409" t="s">
        <v>6967</v>
      </c>
      <c r="D1981" s="569" t="n">
        <v>2016</v>
      </c>
      <c r="E1981" s="569" t="n">
        <f aca="false">2021-D1981</f>
        <v>5</v>
      </c>
      <c r="F1981" s="1105" t="n">
        <v>2302000</v>
      </c>
      <c r="G1981" s="1444" t="n">
        <v>0.1</v>
      </c>
      <c r="H1981" s="1105" t="n">
        <f aca="false">E1981*F1981*G1981</f>
        <v>1151000</v>
      </c>
      <c r="I1981" s="1105" t="n">
        <f aca="false">F1981-H1981</f>
        <v>1151000</v>
      </c>
      <c r="J1981" s="547" t="n">
        <f aca="false">F1981*G1981</f>
        <v>230200</v>
      </c>
      <c r="K1981" s="1365" t="n">
        <f aca="false">J1981/1792.8</f>
        <v>128.402498884427</v>
      </c>
      <c r="L1981" s="547" t="n">
        <v>10</v>
      </c>
      <c r="M1981" s="819" t="n">
        <f aca="false">K1981*L1981/60</f>
        <v>21.4004164807378</v>
      </c>
    </row>
    <row r="1982" customFormat="false" ht="30" hidden="false" customHeight="false" outlineLevel="0" collapsed="false">
      <c r="A1982" s="216"/>
      <c r="B1982" s="40"/>
      <c r="C1982" s="1404" t="s">
        <v>7072</v>
      </c>
      <c r="D1982" s="569" t="n">
        <v>2013</v>
      </c>
      <c r="E1982" s="569" t="n">
        <f aca="false">2021-D1982</f>
        <v>8</v>
      </c>
      <c r="F1982" s="1105" t="n">
        <v>300000</v>
      </c>
      <c r="G1982" s="1444" t="n">
        <v>0.1</v>
      </c>
      <c r="H1982" s="1105" t="n">
        <f aca="false">E1982*F1982*G1982</f>
        <v>240000</v>
      </c>
      <c r="I1982" s="1105" t="n">
        <f aca="false">F1982-H1982</f>
        <v>60000</v>
      </c>
      <c r="J1982" s="1105" t="n">
        <f aca="false">F1982*G1982</f>
        <v>30000</v>
      </c>
      <c r="K1982" s="1365" t="n">
        <f aca="false">J1982/1792.8</f>
        <v>16.7336010709505</v>
      </c>
      <c r="L1982" s="1105" t="n">
        <v>50</v>
      </c>
      <c r="M1982" s="865" t="n">
        <f aca="false">K1982*L1982/60</f>
        <v>13.9446675591254</v>
      </c>
    </row>
    <row r="1983" customFormat="false" ht="30" hidden="false" customHeight="false" outlineLevel="0" collapsed="false">
      <c r="A1983" s="216"/>
      <c r="B1983" s="40"/>
      <c r="C1983" s="1161" t="s">
        <v>7073</v>
      </c>
      <c r="D1983" s="912" t="n">
        <v>2005</v>
      </c>
      <c r="E1983" s="912" t="n">
        <f aca="false">2021-D1983</f>
        <v>16</v>
      </c>
      <c r="F1983" s="547" t="n">
        <v>39263</v>
      </c>
      <c r="G1983" s="1413" t="n">
        <v>0.15</v>
      </c>
      <c r="H1983" s="547" t="n">
        <f aca="false">E1983*F1983*G1983</f>
        <v>94231.2</v>
      </c>
      <c r="I1983" s="547" t="n">
        <f aca="false">F1983-H1983</f>
        <v>-54968.2</v>
      </c>
      <c r="J1983" s="547" t="n">
        <f aca="false">F1983*G1983</f>
        <v>5889.45</v>
      </c>
      <c r="K1983" s="1365" t="n">
        <f aca="false">J1983/1792.8</f>
        <v>3.28505689424364</v>
      </c>
      <c r="L1983" s="547" t="n">
        <v>10</v>
      </c>
      <c r="M1983" s="819" t="n">
        <f aca="false">K1983*L1983/60</f>
        <v>0.54750948237394</v>
      </c>
    </row>
    <row r="1984" customFormat="false" ht="30" hidden="false" customHeight="false" outlineLevel="0" collapsed="false">
      <c r="A1984" s="216"/>
      <c r="B1984" s="40"/>
      <c r="C1984" s="1404" t="s">
        <v>7070</v>
      </c>
      <c r="D1984" s="569" t="n">
        <v>2009</v>
      </c>
      <c r="E1984" s="569" t="n">
        <f aca="false">2021-D1984</f>
        <v>12</v>
      </c>
      <c r="F1984" s="1105" t="n">
        <v>181000</v>
      </c>
      <c r="G1984" s="1444" t="n">
        <v>0.1</v>
      </c>
      <c r="H1984" s="1105" t="n">
        <f aca="false">E1984*F1984*G1984</f>
        <v>217200</v>
      </c>
      <c r="I1984" s="1105" t="n">
        <f aca="false">F1984-H1984</f>
        <v>-36200</v>
      </c>
      <c r="J1984" s="1105" t="n">
        <f aca="false">F1984*G1984</f>
        <v>18100</v>
      </c>
      <c r="K1984" s="1365" t="n">
        <f aca="false">J1984/1792.8</f>
        <v>10.0959393128068</v>
      </c>
      <c r="L1984" s="547" t="n">
        <v>30</v>
      </c>
      <c r="M1984" s="819" t="n">
        <f aca="false">K1984*L1984/60</f>
        <v>5.04796965640339</v>
      </c>
    </row>
    <row r="1985" s="122" customFormat="true" ht="30" hidden="false" customHeight="false" outlineLevel="0" collapsed="false">
      <c r="A1985" s="216"/>
      <c r="B1985" s="40"/>
      <c r="C1985" s="1404" t="s">
        <v>7078</v>
      </c>
      <c r="D1985" s="569" t="n">
        <v>2012</v>
      </c>
      <c r="E1985" s="569" t="n">
        <f aca="false">2021-D1985</f>
        <v>9</v>
      </c>
      <c r="F1985" s="1105" t="n">
        <v>12268394.74</v>
      </c>
      <c r="G1985" s="1444" t="n">
        <v>0.1</v>
      </c>
      <c r="H1985" s="547" t="n">
        <f aca="false">E1985*F1985*G1985</f>
        <v>11041555.266</v>
      </c>
      <c r="I1985" s="547" t="n">
        <f aca="false">F1985-H1985</f>
        <v>1226839.474</v>
      </c>
      <c r="J1985" s="547" t="n">
        <f aca="false">F1985*G1985</f>
        <v>1226839.474</v>
      </c>
      <c r="K1985" s="1365" t="n">
        <f aca="false">J1985/1792.8</f>
        <v>684.31474453369</v>
      </c>
      <c r="L1985" s="547" t="n">
        <v>120</v>
      </c>
      <c r="M1985" s="819" t="n">
        <f aca="false">K1985*L1985/60</f>
        <v>1368.62948906738</v>
      </c>
    </row>
    <row r="1986" customFormat="false" ht="15" hidden="false" customHeight="false" outlineLevel="0" collapsed="false">
      <c r="A1986" s="216"/>
      <c r="B1986" s="1053" t="s">
        <v>4128</v>
      </c>
      <c r="C1986" s="1404"/>
      <c r="D1986" s="569"/>
      <c r="E1986" s="569"/>
      <c r="F1986" s="1105"/>
      <c r="G1986" s="1444"/>
      <c r="H1986" s="547"/>
      <c r="I1986" s="547"/>
      <c r="J1986" s="547"/>
      <c r="K1986" s="1365" t="n">
        <f aca="false">J1986/1792.8</f>
        <v>0</v>
      </c>
      <c r="L1986" s="714" t="n">
        <f aca="false">SUM(L1977:L1985)</f>
        <v>320</v>
      </c>
      <c r="M1986" s="934" t="n">
        <f aca="false">SUM(M1977:M1985)</f>
        <v>1474.38140878328</v>
      </c>
    </row>
    <row r="1987" customFormat="false" ht="30" hidden="false" customHeight="false" outlineLevel="0" collapsed="false">
      <c r="A1987" s="216" t="s">
        <v>1085</v>
      </c>
      <c r="B1987" s="335" t="s">
        <v>3313</v>
      </c>
      <c r="C1987" s="1161" t="s">
        <v>7071</v>
      </c>
      <c r="D1987" s="912" t="n">
        <v>2006</v>
      </c>
      <c r="E1987" s="912" t="n">
        <f aca="false">2021-D1987</f>
        <v>15</v>
      </c>
      <c r="F1987" s="547" t="n">
        <v>138575</v>
      </c>
      <c r="G1987" s="1413" t="n">
        <v>0.1</v>
      </c>
      <c r="H1987" s="547" t="n">
        <f aca="false">E1987*F1987*G1987</f>
        <v>207862.5</v>
      </c>
      <c r="I1987" s="547" t="n">
        <f aca="false">F1987-H1987</f>
        <v>-69287.5</v>
      </c>
      <c r="J1987" s="547" t="n">
        <f aca="false">F1987*G1987</f>
        <v>13857.5</v>
      </c>
      <c r="K1987" s="1365" t="n">
        <f aca="false">J1987/1792.8</f>
        <v>7.7295292280232</v>
      </c>
      <c r="L1987" s="547" t="n">
        <v>20</v>
      </c>
      <c r="M1987" s="819" t="n">
        <f aca="false">K1987*L1987/60</f>
        <v>2.5765097426744</v>
      </c>
    </row>
    <row r="1988" customFormat="false" ht="30" hidden="false" customHeight="false" outlineLevel="0" collapsed="false">
      <c r="A1988" s="216"/>
      <c r="B1988" s="40"/>
      <c r="C1988" s="1404" t="s">
        <v>6963</v>
      </c>
      <c r="D1988" s="1405" t="n">
        <v>2007</v>
      </c>
      <c r="E1988" s="1405" t="n">
        <f aca="false">2021-D1988</f>
        <v>14</v>
      </c>
      <c r="F1988" s="1406" t="n">
        <v>176358</v>
      </c>
      <c r="G1988" s="1407" t="n">
        <v>0.1</v>
      </c>
      <c r="H1988" s="1410" t="n">
        <f aca="false">E1988*F1988*G1988</f>
        <v>246901.2</v>
      </c>
      <c r="I1988" s="1410" t="n">
        <f aca="false">F1988-H1988</f>
        <v>-70543.2</v>
      </c>
      <c r="J1988" s="1410" t="n">
        <f aca="false">F1988*G1988</f>
        <v>17635.8</v>
      </c>
      <c r="K1988" s="1365" t="n">
        <f aca="false">J1988/1792.8</f>
        <v>9.83701472556894</v>
      </c>
      <c r="L1988" s="1445" t="n">
        <v>10</v>
      </c>
      <c r="M1988" s="1408" t="n">
        <f aca="false">K1988*L1988/60</f>
        <v>1.63950245426149</v>
      </c>
    </row>
    <row r="1989" customFormat="false" ht="30" hidden="false" customHeight="false" outlineLevel="0" collapsed="false">
      <c r="A1989" s="216"/>
      <c r="B1989" s="40"/>
      <c r="C1989" s="1404" t="s">
        <v>6959</v>
      </c>
      <c r="D1989" s="1405" t="n">
        <v>2007</v>
      </c>
      <c r="E1989" s="1405" t="n">
        <f aca="false">2021-D1989</f>
        <v>14</v>
      </c>
      <c r="F1989" s="1406" t="n">
        <v>350000</v>
      </c>
      <c r="G1989" s="1407" t="n">
        <v>0.1</v>
      </c>
      <c r="H1989" s="1410" t="n">
        <f aca="false">E1989*F1989*G1989</f>
        <v>490000</v>
      </c>
      <c r="I1989" s="1410" t="n">
        <f aca="false">F1989-H1989</f>
        <v>-140000</v>
      </c>
      <c r="J1989" s="1410" t="n">
        <f aca="false">F1989*G1989</f>
        <v>35000</v>
      </c>
      <c r="K1989" s="1365" t="n">
        <f aca="false">J1989/1792.8</f>
        <v>19.5225345827755</v>
      </c>
      <c r="L1989" s="1445" t="n">
        <v>10</v>
      </c>
      <c r="M1989" s="1408" t="n">
        <f aca="false">K1989*L1989/60</f>
        <v>3.25375576379592</v>
      </c>
    </row>
    <row r="1990" customFormat="false" ht="25.5" hidden="false" customHeight="true" outlineLevel="0" collapsed="false">
      <c r="A1990" s="1403"/>
      <c r="B1990" s="118"/>
      <c r="C1990" s="1404" t="s">
        <v>7075</v>
      </c>
      <c r="D1990" s="569" t="n">
        <v>2015</v>
      </c>
      <c r="E1990" s="569" t="n">
        <f aca="false">2021-D1990</f>
        <v>6</v>
      </c>
      <c r="F1990" s="1105" t="n">
        <v>1028020</v>
      </c>
      <c r="G1990" s="1444" t="n">
        <v>0.1</v>
      </c>
      <c r="H1990" s="1105" t="n">
        <f aca="false">E1990*F1990*G1990</f>
        <v>616812</v>
      </c>
      <c r="I1990" s="1105" t="n">
        <f aca="false">F1990-H1990</f>
        <v>411208</v>
      </c>
      <c r="J1990" s="1105" t="n">
        <f aca="false">F1990*G1990</f>
        <v>102802</v>
      </c>
      <c r="K1990" s="1365" t="n">
        <f aca="false">J1990/1792.8</f>
        <v>57.3415885765283</v>
      </c>
      <c r="L1990" s="1105" t="n">
        <v>60</v>
      </c>
      <c r="M1990" s="865" t="n">
        <f aca="false">K1990*L1990/60</f>
        <v>57.3415885765283</v>
      </c>
    </row>
    <row r="1991" customFormat="false" ht="30" hidden="false" customHeight="false" outlineLevel="0" collapsed="false">
      <c r="A1991" s="216"/>
      <c r="B1991" s="40"/>
      <c r="C1991" s="1446" t="s">
        <v>6967</v>
      </c>
      <c r="D1991" s="569" t="n">
        <v>2016</v>
      </c>
      <c r="E1991" s="569" t="n">
        <f aca="false">2021-D1991</f>
        <v>5</v>
      </c>
      <c r="F1991" s="1105" t="n">
        <v>2302000</v>
      </c>
      <c r="G1991" s="1444" t="n">
        <v>0.1</v>
      </c>
      <c r="H1991" s="1105" t="n">
        <f aca="false">E1991*F1991*G1991</f>
        <v>1151000</v>
      </c>
      <c r="I1991" s="1105" t="n">
        <f aca="false">F1991-H1991</f>
        <v>1151000</v>
      </c>
      <c r="J1991" s="547" t="n">
        <f aca="false">F1991*G1991</f>
        <v>230200</v>
      </c>
      <c r="K1991" s="1365" t="n">
        <f aca="false">J1991/1792.8</f>
        <v>128.402498884427</v>
      </c>
      <c r="L1991" s="547" t="n">
        <v>10</v>
      </c>
      <c r="M1991" s="819" t="n">
        <f aca="false">K1991*L1991/60</f>
        <v>21.4004164807378</v>
      </c>
    </row>
    <row r="1992" customFormat="false" ht="30" hidden="false" customHeight="false" outlineLevel="0" collapsed="false">
      <c r="A1992" s="216"/>
      <c r="B1992" s="40"/>
      <c r="C1992" s="1404" t="s">
        <v>7072</v>
      </c>
      <c r="D1992" s="569" t="n">
        <v>2013</v>
      </c>
      <c r="E1992" s="569" t="n">
        <f aca="false">2021-D1992</f>
        <v>8</v>
      </c>
      <c r="F1992" s="1105" t="n">
        <v>300000</v>
      </c>
      <c r="G1992" s="1444" t="n">
        <v>0.1</v>
      </c>
      <c r="H1992" s="1105" t="n">
        <f aca="false">E1992*F1992*G1992</f>
        <v>240000</v>
      </c>
      <c r="I1992" s="1105" t="n">
        <f aca="false">F1992-H1992</f>
        <v>60000</v>
      </c>
      <c r="J1992" s="1105" t="n">
        <f aca="false">F1992*G1992</f>
        <v>30000</v>
      </c>
      <c r="K1992" s="1365" t="n">
        <f aca="false">J1992/1792.8</f>
        <v>16.7336010709505</v>
      </c>
      <c r="L1992" s="1105" t="n">
        <v>50</v>
      </c>
      <c r="M1992" s="865" t="n">
        <f aca="false">K1992*L1992/60</f>
        <v>13.9446675591254</v>
      </c>
    </row>
    <row r="1993" customFormat="false" ht="30" hidden="false" customHeight="false" outlineLevel="0" collapsed="false">
      <c r="A1993" s="216"/>
      <c r="B1993" s="40"/>
      <c r="C1993" s="1161" t="s">
        <v>7073</v>
      </c>
      <c r="D1993" s="912" t="n">
        <v>2005</v>
      </c>
      <c r="E1993" s="912" t="n">
        <f aca="false">2021-D1993</f>
        <v>16</v>
      </c>
      <c r="F1993" s="547" t="n">
        <v>39263</v>
      </c>
      <c r="G1993" s="1413" t="n">
        <v>0.15</v>
      </c>
      <c r="H1993" s="547" t="n">
        <f aca="false">E1993*F1993*G1993</f>
        <v>94231.2</v>
      </c>
      <c r="I1993" s="547" t="n">
        <f aca="false">F1993-H1993</f>
        <v>-54968.2</v>
      </c>
      <c r="J1993" s="547" t="n">
        <f aca="false">F1993*G1993</f>
        <v>5889.45</v>
      </c>
      <c r="K1993" s="1365" t="n">
        <f aca="false">J1993/1792.8</f>
        <v>3.28505689424364</v>
      </c>
      <c r="L1993" s="547" t="n">
        <v>30</v>
      </c>
      <c r="M1993" s="819" t="n">
        <f aca="false">K1993*L1993/60</f>
        <v>1.64252844712182</v>
      </c>
    </row>
    <row r="1994" customFormat="false" ht="30" hidden="false" customHeight="false" outlineLevel="0" collapsed="false">
      <c r="A1994" s="216"/>
      <c r="B1994" s="40"/>
      <c r="C1994" s="1404" t="s">
        <v>7070</v>
      </c>
      <c r="D1994" s="569" t="n">
        <v>2009</v>
      </c>
      <c r="E1994" s="569" t="n">
        <f aca="false">2021-D1994</f>
        <v>12</v>
      </c>
      <c r="F1994" s="1105" t="n">
        <v>181000</v>
      </c>
      <c r="G1994" s="1444" t="n">
        <v>0.1</v>
      </c>
      <c r="H1994" s="1105" t="n">
        <f aca="false">E1994*F1994*G1994</f>
        <v>217200</v>
      </c>
      <c r="I1994" s="1105" t="n">
        <f aca="false">F1994-H1994</f>
        <v>-36200</v>
      </c>
      <c r="J1994" s="1105" t="n">
        <f aca="false">F1994*G1994</f>
        <v>18100</v>
      </c>
      <c r="K1994" s="1365" t="n">
        <f aca="false">J1994/1792.8</f>
        <v>10.0959393128068</v>
      </c>
      <c r="L1994" s="547" t="n">
        <v>20</v>
      </c>
      <c r="M1994" s="819" t="n">
        <f aca="false">K1994*L1994/60</f>
        <v>3.36531310426893</v>
      </c>
    </row>
    <row r="1995" s="122" customFormat="true" ht="30" hidden="false" customHeight="false" outlineLevel="0" collapsed="false">
      <c r="A1995" s="216"/>
      <c r="B1995" s="40"/>
      <c r="C1995" s="1404" t="s">
        <v>7078</v>
      </c>
      <c r="D1995" s="569" t="n">
        <v>2012</v>
      </c>
      <c r="E1995" s="569" t="n">
        <f aca="false">2021-D1995</f>
        <v>9</v>
      </c>
      <c r="F1995" s="1105" t="n">
        <v>12268394.74</v>
      </c>
      <c r="G1995" s="1444" t="n">
        <v>0.1</v>
      </c>
      <c r="H1995" s="547" t="n">
        <f aca="false">E1995*F1995*G1995</f>
        <v>11041555.266</v>
      </c>
      <c r="I1995" s="547" t="n">
        <f aca="false">F1995-H1995</f>
        <v>1226839.474</v>
      </c>
      <c r="J1995" s="547" t="n">
        <f aca="false">F1995*G1995</f>
        <v>1226839.474</v>
      </c>
      <c r="K1995" s="1365" t="n">
        <f aca="false">J1995/1792.8</f>
        <v>684.31474453369</v>
      </c>
      <c r="L1995" s="547" t="n">
        <v>120</v>
      </c>
      <c r="M1995" s="819" t="n">
        <f aca="false">K1995*L1995/60</f>
        <v>1368.62948906738</v>
      </c>
    </row>
    <row r="1996" customFormat="false" ht="15" hidden="false" customHeight="false" outlineLevel="0" collapsed="false">
      <c r="A1996" s="216"/>
      <c r="B1996" s="1053" t="s">
        <v>4128</v>
      </c>
      <c r="C1996" s="1161"/>
      <c r="D1996" s="912"/>
      <c r="E1996" s="912"/>
      <c r="F1996" s="547"/>
      <c r="G1996" s="1413"/>
      <c r="H1996" s="547"/>
      <c r="I1996" s="547"/>
      <c r="J1996" s="547"/>
      <c r="K1996" s="1365" t="n">
        <f aca="false">J1996/1792.8</f>
        <v>0</v>
      </c>
      <c r="L1996" s="714" t="n">
        <f aca="false">SUM(L1987:L1995)</f>
        <v>330</v>
      </c>
      <c r="M1996" s="934" t="n">
        <f aca="false">SUM(M1987:M1995)</f>
        <v>1473.79377119589</v>
      </c>
    </row>
    <row r="1997" customFormat="false" ht="30" hidden="false" customHeight="false" outlineLevel="0" collapsed="false">
      <c r="A1997" s="216" t="s">
        <v>1087</v>
      </c>
      <c r="B1997" s="335" t="s">
        <v>3308</v>
      </c>
      <c r="C1997" s="1161" t="s">
        <v>7071</v>
      </c>
      <c r="D1997" s="912" t="n">
        <v>2006</v>
      </c>
      <c r="E1997" s="912" t="n">
        <f aca="false">2021-D1997</f>
        <v>15</v>
      </c>
      <c r="F1997" s="547" t="n">
        <v>138575</v>
      </c>
      <c r="G1997" s="1413" t="n">
        <v>0.1</v>
      </c>
      <c r="H1997" s="547" t="n">
        <f aca="false">E1997*F1997*G1997</f>
        <v>207862.5</v>
      </c>
      <c r="I1997" s="547" t="n">
        <f aca="false">F1997-H1997</f>
        <v>-69287.5</v>
      </c>
      <c r="J1997" s="547" t="n">
        <f aca="false">F1997*G1997</f>
        <v>13857.5</v>
      </c>
      <c r="K1997" s="1365" t="n">
        <f aca="false">J1997/1792.8</f>
        <v>7.7295292280232</v>
      </c>
      <c r="L1997" s="547" t="n">
        <v>20</v>
      </c>
      <c r="M1997" s="819" t="n">
        <f aca="false">K1997*L1997/60</f>
        <v>2.5765097426744</v>
      </c>
    </row>
    <row r="1998" customFormat="false" ht="30" hidden="false" customHeight="false" outlineLevel="0" collapsed="false">
      <c r="A1998" s="216"/>
      <c r="B1998" s="40"/>
      <c r="C1998" s="1404" t="s">
        <v>6963</v>
      </c>
      <c r="D1998" s="1405" t="n">
        <v>2007</v>
      </c>
      <c r="E1998" s="1405" t="n">
        <f aca="false">2021-D1998</f>
        <v>14</v>
      </c>
      <c r="F1998" s="1406" t="n">
        <v>176358</v>
      </c>
      <c r="G1998" s="1407" t="n">
        <v>0.1</v>
      </c>
      <c r="H1998" s="1410" t="n">
        <f aca="false">E1998*F1998*G1998</f>
        <v>246901.2</v>
      </c>
      <c r="I1998" s="1410" t="n">
        <f aca="false">F1998-H1998</f>
        <v>-70543.2</v>
      </c>
      <c r="J1998" s="1410" t="n">
        <f aca="false">F1998*G1998</f>
        <v>17635.8</v>
      </c>
      <c r="K1998" s="1365" t="n">
        <f aca="false">J1998/1792.8</f>
        <v>9.83701472556894</v>
      </c>
      <c r="L1998" s="1445" t="n">
        <v>10</v>
      </c>
      <c r="M1998" s="1408" t="n">
        <f aca="false">K1998*L1998/60</f>
        <v>1.63950245426149</v>
      </c>
    </row>
    <row r="1999" customFormat="false" ht="30" hidden="false" customHeight="false" outlineLevel="0" collapsed="false">
      <c r="A1999" s="216"/>
      <c r="B1999" s="40"/>
      <c r="C1999" s="1404" t="s">
        <v>6959</v>
      </c>
      <c r="D1999" s="1405" t="n">
        <v>2007</v>
      </c>
      <c r="E1999" s="1405" t="n">
        <f aca="false">2021-D1999</f>
        <v>14</v>
      </c>
      <c r="F1999" s="1406" t="n">
        <v>350000</v>
      </c>
      <c r="G1999" s="1407" t="n">
        <v>0.1</v>
      </c>
      <c r="H1999" s="1410" t="n">
        <f aca="false">E1999*F1999*G1999</f>
        <v>490000</v>
      </c>
      <c r="I1999" s="1410" t="n">
        <f aca="false">F1999-H1999</f>
        <v>-140000</v>
      </c>
      <c r="J1999" s="1410" t="n">
        <f aca="false">F1999*G1999</f>
        <v>35000</v>
      </c>
      <c r="K1999" s="1365" t="n">
        <f aca="false">J1999/1792.8</f>
        <v>19.5225345827755</v>
      </c>
      <c r="L1999" s="1445" t="n">
        <v>10</v>
      </c>
      <c r="M1999" s="1408" t="n">
        <f aca="false">K1999*L1999/60</f>
        <v>3.25375576379592</v>
      </c>
    </row>
    <row r="2000" customFormat="false" ht="15" hidden="false" customHeight="false" outlineLevel="0" collapsed="false">
      <c r="A2000" s="1403"/>
      <c r="B2000" s="118"/>
      <c r="C2000" s="1404" t="s">
        <v>7075</v>
      </c>
      <c r="D2000" s="569" t="n">
        <v>2015</v>
      </c>
      <c r="E2000" s="569" t="n">
        <f aca="false">2021-D2000</f>
        <v>6</v>
      </c>
      <c r="F2000" s="1105" t="n">
        <v>1028020</v>
      </c>
      <c r="G2000" s="1444" t="n">
        <v>0.1</v>
      </c>
      <c r="H2000" s="547" t="n">
        <f aca="false">E2000*F2000*G2000</f>
        <v>616812</v>
      </c>
      <c r="I2000" s="547" t="n">
        <f aca="false">F2000-H2000</f>
        <v>411208</v>
      </c>
      <c r="J2000" s="547" t="n">
        <f aca="false">F2000*G2000</f>
        <v>102802</v>
      </c>
      <c r="K2000" s="1365" t="n">
        <f aca="false">J2000/1792.8</f>
        <v>57.3415885765283</v>
      </c>
      <c r="L2000" s="547" t="n">
        <v>60</v>
      </c>
      <c r="M2000" s="819" t="n">
        <f aca="false">K2000*L2000/60</f>
        <v>57.3415885765283</v>
      </c>
    </row>
    <row r="2001" customFormat="false" ht="30" hidden="false" customHeight="false" outlineLevel="0" collapsed="false">
      <c r="A2001" s="216"/>
      <c r="B2001" s="40"/>
      <c r="C2001" s="1409" t="s">
        <v>6967</v>
      </c>
      <c r="D2001" s="569" t="n">
        <v>2016</v>
      </c>
      <c r="E2001" s="569" t="n">
        <f aca="false">2021-D2001</f>
        <v>5</v>
      </c>
      <c r="F2001" s="1105" t="n">
        <v>2302000</v>
      </c>
      <c r="G2001" s="1444" t="n">
        <v>0.1</v>
      </c>
      <c r="H2001" s="547" t="n">
        <f aca="false">E2001*F2001*G2001</f>
        <v>1151000</v>
      </c>
      <c r="I2001" s="547" t="n">
        <f aca="false">F2001-H2001</f>
        <v>1151000</v>
      </c>
      <c r="J2001" s="547" t="n">
        <f aca="false">F2001*G2001</f>
        <v>230200</v>
      </c>
      <c r="K2001" s="1365" t="n">
        <f aca="false">J2001/1792.8</f>
        <v>128.402498884427</v>
      </c>
      <c r="L2001" s="547" t="n">
        <v>30</v>
      </c>
      <c r="M2001" s="819" t="n">
        <f aca="false">K2001*L2001/60</f>
        <v>64.2012494422133</v>
      </c>
    </row>
    <row r="2002" customFormat="false" ht="30" hidden="false" customHeight="false" outlineLevel="0" collapsed="false">
      <c r="A2002" s="216"/>
      <c r="B2002" s="40"/>
      <c r="C2002" s="1404" t="s">
        <v>7072</v>
      </c>
      <c r="D2002" s="569" t="n">
        <v>2013</v>
      </c>
      <c r="E2002" s="569" t="n">
        <f aca="false">2021-D2002</f>
        <v>8</v>
      </c>
      <c r="F2002" s="1105" t="n">
        <v>300000</v>
      </c>
      <c r="G2002" s="1444" t="n">
        <v>0.1</v>
      </c>
      <c r="H2002" s="1105" t="n">
        <f aca="false">E2002*F2002*G2002</f>
        <v>240000</v>
      </c>
      <c r="I2002" s="1105" t="n">
        <f aca="false">F2002-H2002</f>
        <v>60000</v>
      </c>
      <c r="J2002" s="1105" t="n">
        <f aca="false">F2002*G2002</f>
        <v>30000</v>
      </c>
      <c r="K2002" s="1365" t="n">
        <f aca="false">J2002/1792.8</f>
        <v>16.7336010709505</v>
      </c>
      <c r="L2002" s="1105" t="n">
        <v>50</v>
      </c>
      <c r="M2002" s="865" t="n">
        <f aca="false">K2002*L2002/60</f>
        <v>13.9446675591254</v>
      </c>
    </row>
    <row r="2003" customFormat="false" ht="30" hidden="false" customHeight="false" outlineLevel="0" collapsed="false">
      <c r="A2003" s="216"/>
      <c r="B2003" s="40"/>
      <c r="C2003" s="1404" t="s">
        <v>7073</v>
      </c>
      <c r="D2003" s="569" t="n">
        <v>2005</v>
      </c>
      <c r="E2003" s="569" t="n">
        <f aca="false">2021-D2003</f>
        <v>16</v>
      </c>
      <c r="F2003" s="1105" t="n">
        <v>39263</v>
      </c>
      <c r="G2003" s="1444" t="n">
        <v>0.15</v>
      </c>
      <c r="H2003" s="1105" t="n">
        <f aca="false">E2003*F2003*G2003</f>
        <v>94231.2</v>
      </c>
      <c r="I2003" s="1105" t="n">
        <f aca="false">F2003-H2003</f>
        <v>-54968.2</v>
      </c>
      <c r="J2003" s="1105" t="n">
        <f aca="false">F2003*G2003</f>
        <v>5889.45</v>
      </c>
      <c r="K2003" s="1365" t="n">
        <f aca="false">J2003/1792.8</f>
        <v>3.28505689424364</v>
      </c>
      <c r="L2003" s="1105" t="n">
        <v>10</v>
      </c>
      <c r="M2003" s="865" t="n">
        <f aca="false">K2003*L2003/60</f>
        <v>0.54750948237394</v>
      </c>
    </row>
    <row r="2004" customFormat="false" ht="30" hidden="false" customHeight="false" outlineLevel="0" collapsed="false">
      <c r="A2004" s="216"/>
      <c r="B2004" s="40"/>
      <c r="C2004" s="1404" t="s">
        <v>7070</v>
      </c>
      <c r="D2004" s="569" t="n">
        <v>2009</v>
      </c>
      <c r="E2004" s="569" t="n">
        <f aca="false">2021-D2004</f>
        <v>12</v>
      </c>
      <c r="F2004" s="1105" t="n">
        <v>181000</v>
      </c>
      <c r="G2004" s="1444" t="n">
        <v>0.1</v>
      </c>
      <c r="H2004" s="1105" t="n">
        <f aca="false">E2004*F2004*G2004</f>
        <v>217200</v>
      </c>
      <c r="I2004" s="1105" t="n">
        <f aca="false">F2004-H2004</f>
        <v>-36200</v>
      </c>
      <c r="J2004" s="1105" t="n">
        <f aca="false">F2004*G2004</f>
        <v>18100</v>
      </c>
      <c r="K2004" s="1365" t="n">
        <f aca="false">J2004/1792.8</f>
        <v>10.0959393128068</v>
      </c>
      <c r="L2004" s="1105" t="n">
        <v>30</v>
      </c>
      <c r="M2004" s="865" t="n">
        <f aca="false">K2004*L2004/60</f>
        <v>5.04796965640339</v>
      </c>
    </row>
    <row r="2005" s="122" customFormat="true" ht="30" hidden="false" customHeight="false" outlineLevel="0" collapsed="false">
      <c r="A2005" s="216"/>
      <c r="B2005" s="40"/>
      <c r="C2005" s="1161" t="s">
        <v>7076</v>
      </c>
      <c r="D2005" s="569" t="n">
        <v>2012</v>
      </c>
      <c r="E2005" s="569" t="n">
        <f aca="false">2021-D2005</f>
        <v>9</v>
      </c>
      <c r="F2005" s="1277" t="n">
        <v>44483193.14</v>
      </c>
      <c r="G2005" s="1444" t="n">
        <v>0.1</v>
      </c>
      <c r="H2005" s="1105" t="n">
        <f aca="false">E2005*F2005*G2005</f>
        <v>40034873.826</v>
      </c>
      <c r="I2005" s="547" t="n">
        <f aca="false">F2005-H2005</f>
        <v>4448319.314</v>
      </c>
      <c r="J2005" s="547" t="n">
        <f aca="false">F2005*G2005</f>
        <v>4448319.314</v>
      </c>
      <c r="K2005" s="1365" t="n">
        <f aca="false">J2005/1792.8</f>
        <v>2481.21336122267</v>
      </c>
      <c r="L2005" s="547" t="n">
        <v>120</v>
      </c>
      <c r="M2005" s="819" t="n">
        <f aca="false">K2005*L2005/60</f>
        <v>4962.42672244534</v>
      </c>
    </row>
    <row r="2006" customFormat="false" ht="15" hidden="false" customHeight="false" outlineLevel="0" collapsed="false">
      <c r="A2006" s="216"/>
      <c r="B2006" s="1053" t="s">
        <v>4128</v>
      </c>
      <c r="C2006" s="1161"/>
      <c r="D2006" s="912"/>
      <c r="E2006" s="912"/>
      <c r="F2006" s="547"/>
      <c r="G2006" s="1413"/>
      <c r="H2006" s="547"/>
      <c r="I2006" s="547"/>
      <c r="J2006" s="547"/>
      <c r="K2006" s="1365" t="n">
        <f aca="false">J2006/1792.8</f>
        <v>0</v>
      </c>
      <c r="L2006" s="714" t="n">
        <f aca="false">SUM(L1997:L2005)</f>
        <v>340</v>
      </c>
      <c r="M2006" s="934" t="n">
        <f aca="false">SUM(M1997:M2005)</f>
        <v>5110.97947512271</v>
      </c>
    </row>
    <row r="2007" customFormat="false" ht="15" hidden="false" customHeight="false" outlineLevel="0" collapsed="false">
      <c r="A2007" s="15" t="s">
        <v>5290</v>
      </c>
      <c r="B2007" s="54" t="s">
        <v>3326</v>
      </c>
      <c r="C2007" s="1387"/>
      <c r="D2007" s="339"/>
      <c r="E2007" s="541"/>
      <c r="F2007" s="751"/>
      <c r="G2007" s="1412"/>
      <c r="H2007" s="1412"/>
      <c r="I2007" s="751"/>
      <c r="J2007" s="751"/>
      <c r="K2007" s="1390"/>
      <c r="L2007" s="751"/>
      <c r="M2007" s="818"/>
    </row>
    <row r="2008" customFormat="false" ht="30" hidden="false" customHeight="false" outlineLevel="0" collapsed="false">
      <c r="A2008" s="216" t="s">
        <v>1090</v>
      </c>
      <c r="B2008" s="40" t="s">
        <v>3307</v>
      </c>
      <c r="C2008" s="1404" t="s">
        <v>7070</v>
      </c>
      <c r="D2008" s="569" t="n">
        <v>2009</v>
      </c>
      <c r="E2008" s="569" t="n">
        <f aca="false">2021-D2008</f>
        <v>12</v>
      </c>
      <c r="F2008" s="1105" t="n">
        <v>181000</v>
      </c>
      <c r="G2008" s="1444" t="n">
        <v>0.1</v>
      </c>
      <c r="H2008" s="1105" t="n">
        <f aca="false">E2008*F2008*G2008</f>
        <v>217200</v>
      </c>
      <c r="I2008" s="1105" t="n">
        <f aca="false">F2008-H2008</f>
        <v>-36200</v>
      </c>
      <c r="J2008" s="1105" t="n">
        <f aca="false">F2008*G2008</f>
        <v>18100</v>
      </c>
      <c r="K2008" s="1365" t="n">
        <f aca="false">J2008/1792.8</f>
        <v>10.0959393128068</v>
      </c>
      <c r="L2008" s="1105" t="n">
        <v>10</v>
      </c>
      <c r="M2008" s="819" t="n">
        <f aca="false">K2008*L2008/60</f>
        <v>1.68265655213446</v>
      </c>
    </row>
    <row r="2009" customFormat="false" ht="30" hidden="false" customHeight="false" outlineLevel="0" collapsed="false">
      <c r="A2009" s="216"/>
      <c r="B2009" s="40"/>
      <c r="C2009" s="1404" t="s">
        <v>6963</v>
      </c>
      <c r="D2009" s="1405" t="n">
        <v>2007</v>
      </c>
      <c r="E2009" s="1405" t="n">
        <f aca="false">2021-D2009</f>
        <v>14</v>
      </c>
      <c r="F2009" s="1406" t="n">
        <v>176358</v>
      </c>
      <c r="G2009" s="1407" t="n">
        <v>0.1</v>
      </c>
      <c r="H2009" s="1410" t="n">
        <f aca="false">E2009*F2009*G2009</f>
        <v>246901.2</v>
      </c>
      <c r="I2009" s="1410" t="n">
        <f aca="false">F2009-H2009</f>
        <v>-70543.2</v>
      </c>
      <c r="J2009" s="1410" t="n">
        <f aca="false">F2009*G2009</f>
        <v>17635.8</v>
      </c>
      <c r="K2009" s="1365" t="n">
        <f aca="false">J2009/1792.8</f>
        <v>9.83701472556894</v>
      </c>
      <c r="L2009" s="1445" t="n">
        <v>10</v>
      </c>
      <c r="M2009" s="1408" t="n">
        <f aca="false">K2009*L2009/60</f>
        <v>1.63950245426149</v>
      </c>
    </row>
    <row r="2010" customFormat="false" ht="30" hidden="false" customHeight="false" outlineLevel="0" collapsed="false">
      <c r="A2010" s="216"/>
      <c r="B2010" s="40"/>
      <c r="C2010" s="1404" t="s">
        <v>6959</v>
      </c>
      <c r="D2010" s="1405" t="n">
        <v>2007</v>
      </c>
      <c r="E2010" s="1405" t="n">
        <f aca="false">2021-D2010</f>
        <v>14</v>
      </c>
      <c r="F2010" s="1406" t="n">
        <v>350000</v>
      </c>
      <c r="G2010" s="1407" t="n">
        <v>0.1</v>
      </c>
      <c r="H2010" s="1410" t="n">
        <f aca="false">E2010*F2010*G2010</f>
        <v>490000</v>
      </c>
      <c r="I2010" s="1410" t="n">
        <f aca="false">F2010-H2010</f>
        <v>-140000</v>
      </c>
      <c r="J2010" s="1410" t="n">
        <f aca="false">F2010*G2010</f>
        <v>35000</v>
      </c>
      <c r="K2010" s="1365" t="n">
        <f aca="false">J2010/1792.8</f>
        <v>19.5225345827755</v>
      </c>
      <c r="L2010" s="1445" t="n">
        <v>10</v>
      </c>
      <c r="M2010" s="1408" t="n">
        <f aca="false">K2010*L2010/60</f>
        <v>3.25375576379592</v>
      </c>
    </row>
    <row r="2011" customFormat="false" ht="15" hidden="false" customHeight="false" outlineLevel="0" collapsed="false">
      <c r="A2011" s="1403"/>
      <c r="B2011" s="118"/>
      <c r="C2011" s="1404" t="s">
        <v>7075</v>
      </c>
      <c r="D2011" s="569" t="n">
        <v>2015</v>
      </c>
      <c r="E2011" s="569" t="n">
        <f aca="false">2021-D2011</f>
        <v>6</v>
      </c>
      <c r="F2011" s="1105" t="n">
        <v>1028020</v>
      </c>
      <c r="G2011" s="1444" t="n">
        <v>0.1</v>
      </c>
      <c r="H2011" s="1105" t="n">
        <f aca="false">E2011*F2011*G2011</f>
        <v>616812</v>
      </c>
      <c r="I2011" s="1105" t="n">
        <f aca="false">F2011-H2011</f>
        <v>411208</v>
      </c>
      <c r="J2011" s="1105" t="n">
        <f aca="false">F2011*G2011</f>
        <v>102802</v>
      </c>
      <c r="K2011" s="1365" t="n">
        <f aca="false">J2011/1792.8</f>
        <v>57.3415885765283</v>
      </c>
      <c r="L2011" s="1105" t="n">
        <v>60</v>
      </c>
      <c r="M2011" s="865" t="n">
        <f aca="false">K2011*L2011/60</f>
        <v>57.3415885765283</v>
      </c>
    </row>
    <row r="2012" customFormat="false" ht="30" hidden="false" customHeight="false" outlineLevel="0" collapsed="false">
      <c r="A2012" s="1403"/>
      <c r="B2012" s="118"/>
      <c r="C2012" s="1404" t="s">
        <v>7071</v>
      </c>
      <c r="D2012" s="569" t="n">
        <v>2006</v>
      </c>
      <c r="E2012" s="569" t="n">
        <f aca="false">2021-D2012</f>
        <v>15</v>
      </c>
      <c r="F2012" s="1105" t="n">
        <v>138575</v>
      </c>
      <c r="G2012" s="1444" t="n">
        <v>0.1</v>
      </c>
      <c r="H2012" s="1105" t="n">
        <f aca="false">E2012*F2012*G2012</f>
        <v>207862.5</v>
      </c>
      <c r="I2012" s="1105" t="n">
        <f aca="false">F2012-H2012</f>
        <v>-69287.5</v>
      </c>
      <c r="J2012" s="1105" t="n">
        <f aca="false">F2012*G2012</f>
        <v>13857.5</v>
      </c>
      <c r="K2012" s="1365" t="n">
        <f aca="false">J2012/1792.8</f>
        <v>7.7295292280232</v>
      </c>
      <c r="L2012" s="1105" t="n">
        <v>10</v>
      </c>
      <c r="M2012" s="819" t="n">
        <f aca="false">K2012*L2012/60</f>
        <v>1.2882548713372</v>
      </c>
    </row>
    <row r="2013" customFormat="false" ht="30" hidden="false" customHeight="false" outlineLevel="0" collapsed="false">
      <c r="A2013" s="216"/>
      <c r="B2013" s="40"/>
      <c r="C2013" s="1409" t="s">
        <v>6967</v>
      </c>
      <c r="D2013" s="569" t="n">
        <v>2016</v>
      </c>
      <c r="E2013" s="569" t="n">
        <f aca="false">2021-D2013</f>
        <v>5</v>
      </c>
      <c r="F2013" s="1105" t="n">
        <v>2302000</v>
      </c>
      <c r="G2013" s="1444" t="n">
        <v>0.1</v>
      </c>
      <c r="H2013" s="1105" t="n">
        <f aca="false">E2013*F2013*G2013</f>
        <v>1151000</v>
      </c>
      <c r="I2013" s="1105" t="n">
        <f aca="false">F2013-H2013</f>
        <v>1151000</v>
      </c>
      <c r="J2013" s="1105" t="n">
        <f aca="false">F2013*G2013</f>
        <v>230200</v>
      </c>
      <c r="K2013" s="1365" t="n">
        <f aca="false">J2013/1792.8</f>
        <v>128.402498884427</v>
      </c>
      <c r="L2013" s="1105" t="n">
        <v>20</v>
      </c>
      <c r="M2013" s="819" t="n">
        <f aca="false">K2013*L2013/60</f>
        <v>42.8008329614755</v>
      </c>
    </row>
    <row r="2014" customFormat="false" ht="30" hidden="false" customHeight="false" outlineLevel="0" collapsed="false">
      <c r="A2014" s="216"/>
      <c r="B2014" s="40"/>
      <c r="C2014" s="1404" t="s">
        <v>7072</v>
      </c>
      <c r="D2014" s="569" t="n">
        <v>2013</v>
      </c>
      <c r="E2014" s="569" t="n">
        <f aca="false">2021-D2014</f>
        <v>8</v>
      </c>
      <c r="F2014" s="1105" t="n">
        <v>300000</v>
      </c>
      <c r="G2014" s="1444" t="n">
        <v>0.1</v>
      </c>
      <c r="H2014" s="1105" t="n">
        <f aca="false">E2014*F2014*G2014</f>
        <v>240000</v>
      </c>
      <c r="I2014" s="1105" t="n">
        <f aca="false">F2014-H2014</f>
        <v>60000</v>
      </c>
      <c r="J2014" s="1105" t="n">
        <f aca="false">F2014*G2014</f>
        <v>30000</v>
      </c>
      <c r="K2014" s="1365" t="n">
        <f aca="false">J2014/1792.8</f>
        <v>16.7336010709505</v>
      </c>
      <c r="L2014" s="1105" t="n">
        <v>30</v>
      </c>
      <c r="M2014" s="865" t="n">
        <f aca="false">K2014*L2014/60</f>
        <v>8.36680053547524</v>
      </c>
    </row>
    <row r="2015" s="122" customFormat="true" ht="30" hidden="false" customHeight="false" outlineLevel="0" collapsed="false">
      <c r="A2015" s="216"/>
      <c r="B2015" s="40"/>
      <c r="C2015" s="1161" t="s">
        <v>7074</v>
      </c>
      <c r="D2015" s="912" t="n">
        <v>2003</v>
      </c>
      <c r="E2015" s="912" t="n">
        <f aca="false">2021-D2015</f>
        <v>18</v>
      </c>
      <c r="F2015" s="547" t="n">
        <v>2471090</v>
      </c>
      <c r="G2015" s="1413" t="n">
        <v>0.1</v>
      </c>
      <c r="H2015" s="547" t="n">
        <f aca="false">E2015*F2015*G2015</f>
        <v>4447962</v>
      </c>
      <c r="I2015" s="547" t="n">
        <f aca="false">F2015-H2015</f>
        <v>-1976872</v>
      </c>
      <c r="J2015" s="547" t="n">
        <f aca="false">F2015*G2015</f>
        <v>247109</v>
      </c>
      <c r="K2015" s="1365" t="n">
        <f aca="false">J2015/1792.8</f>
        <v>137.834114234717</v>
      </c>
      <c r="L2015" s="547" t="n">
        <v>120</v>
      </c>
      <c r="M2015" s="819" t="n">
        <f aca="false">K2015*L2015/60</f>
        <v>275.668228469433</v>
      </c>
    </row>
    <row r="2016" customFormat="false" ht="15" hidden="false" customHeight="false" outlineLevel="0" collapsed="false">
      <c r="A2016" s="216"/>
      <c r="B2016" s="1053" t="s">
        <v>4128</v>
      </c>
      <c r="C2016" s="1161"/>
      <c r="D2016" s="912"/>
      <c r="E2016" s="912"/>
      <c r="F2016" s="547"/>
      <c r="G2016" s="1413"/>
      <c r="H2016" s="547"/>
      <c r="I2016" s="547"/>
      <c r="J2016" s="547"/>
      <c r="K2016" s="1365" t="n">
        <f aca="false">J2016/1792.8</f>
        <v>0</v>
      </c>
      <c r="L2016" s="714" t="n">
        <f aca="false">SUM(L2008:L2015)</f>
        <v>270</v>
      </c>
      <c r="M2016" s="934" t="n">
        <f aca="false">SUM(M2008:M2015)</f>
        <v>392.041620184441</v>
      </c>
    </row>
    <row r="2017" customFormat="false" ht="15" hidden="false" customHeight="false" outlineLevel="0" collapsed="false">
      <c r="A2017" s="15" t="s">
        <v>5292</v>
      </c>
      <c r="B2017" s="54" t="s">
        <v>3327</v>
      </c>
      <c r="C2017" s="1387"/>
      <c r="D2017" s="339"/>
      <c r="E2017" s="541"/>
      <c r="F2017" s="751"/>
      <c r="G2017" s="1412"/>
      <c r="H2017" s="1412"/>
      <c r="I2017" s="751"/>
      <c r="J2017" s="751"/>
      <c r="K2017" s="1390"/>
      <c r="L2017" s="751"/>
      <c r="M2017" s="818"/>
    </row>
    <row r="2018" customFormat="false" ht="30" hidden="false" customHeight="false" outlineLevel="0" collapsed="false">
      <c r="A2018" s="216" t="s">
        <v>1093</v>
      </c>
      <c r="B2018" s="40" t="s">
        <v>3307</v>
      </c>
      <c r="C2018" s="1404" t="s">
        <v>7070</v>
      </c>
      <c r="D2018" s="569" t="n">
        <v>2009</v>
      </c>
      <c r="E2018" s="569" t="n">
        <f aca="false">2021-D2018</f>
        <v>12</v>
      </c>
      <c r="F2018" s="1105" t="n">
        <v>181000</v>
      </c>
      <c r="G2018" s="1444" t="n">
        <v>0.1</v>
      </c>
      <c r="H2018" s="1105" t="n">
        <f aca="false">E2018*F2018*G2018</f>
        <v>217200</v>
      </c>
      <c r="I2018" s="1105" t="n">
        <f aca="false">F2018-H2018</f>
        <v>-36200</v>
      </c>
      <c r="J2018" s="1105" t="n">
        <f aca="false">F2018*G2018</f>
        <v>18100</v>
      </c>
      <c r="K2018" s="1365" t="n">
        <f aca="false">J2018/1792.8</f>
        <v>10.0959393128068</v>
      </c>
      <c r="L2018" s="1105" t="n">
        <v>10</v>
      </c>
      <c r="M2018" s="819" t="n">
        <f aca="false">K2018*L2018/60</f>
        <v>1.68265655213446</v>
      </c>
    </row>
    <row r="2019" customFormat="false" ht="30" hidden="false" customHeight="false" outlineLevel="0" collapsed="false">
      <c r="A2019" s="216"/>
      <c r="B2019" s="40"/>
      <c r="C2019" s="1404" t="s">
        <v>6963</v>
      </c>
      <c r="D2019" s="1405" t="n">
        <v>2007</v>
      </c>
      <c r="E2019" s="1405" t="n">
        <f aca="false">2021-D2019</f>
        <v>14</v>
      </c>
      <c r="F2019" s="1406" t="n">
        <v>176358</v>
      </c>
      <c r="G2019" s="1407" t="n">
        <v>0.1</v>
      </c>
      <c r="H2019" s="1410" t="n">
        <f aca="false">E2019*F2019*G2019</f>
        <v>246901.2</v>
      </c>
      <c r="I2019" s="1410" t="n">
        <f aca="false">F2019-H2019</f>
        <v>-70543.2</v>
      </c>
      <c r="J2019" s="1410" t="n">
        <f aca="false">F2019*G2019</f>
        <v>17635.8</v>
      </c>
      <c r="K2019" s="1365" t="n">
        <f aca="false">J2019/1792.8</f>
        <v>9.83701472556894</v>
      </c>
      <c r="L2019" s="1445" t="n">
        <v>10</v>
      </c>
      <c r="M2019" s="1408" t="n">
        <f aca="false">K2019*L2019/60</f>
        <v>1.63950245426149</v>
      </c>
    </row>
    <row r="2020" customFormat="false" ht="30" hidden="false" customHeight="false" outlineLevel="0" collapsed="false">
      <c r="A2020" s="216"/>
      <c r="B2020" s="40"/>
      <c r="C2020" s="1404" t="s">
        <v>6959</v>
      </c>
      <c r="D2020" s="1405" t="n">
        <v>2007</v>
      </c>
      <c r="E2020" s="1405" t="n">
        <f aca="false">2021-D2020</f>
        <v>14</v>
      </c>
      <c r="F2020" s="1406" t="n">
        <v>350000</v>
      </c>
      <c r="G2020" s="1407" t="n">
        <v>0.1</v>
      </c>
      <c r="H2020" s="1410" t="n">
        <f aca="false">E2020*F2020*G2020</f>
        <v>490000</v>
      </c>
      <c r="I2020" s="1410" t="n">
        <f aca="false">F2020-H2020</f>
        <v>-140000</v>
      </c>
      <c r="J2020" s="1410" t="n">
        <f aca="false">F2020*G2020</f>
        <v>35000</v>
      </c>
      <c r="K2020" s="1365" t="n">
        <f aca="false">J2020/1792.8</f>
        <v>19.5225345827755</v>
      </c>
      <c r="L2020" s="1445" t="n">
        <v>10</v>
      </c>
      <c r="M2020" s="1408" t="n">
        <f aca="false">K2020*L2020/60</f>
        <v>3.25375576379592</v>
      </c>
    </row>
    <row r="2021" customFormat="false" ht="15" hidden="false" customHeight="false" outlineLevel="0" collapsed="false">
      <c r="A2021" s="1403"/>
      <c r="B2021" s="118"/>
      <c r="C2021" s="1404" t="s">
        <v>7075</v>
      </c>
      <c r="D2021" s="569" t="n">
        <v>2015</v>
      </c>
      <c r="E2021" s="569" t="n">
        <f aca="false">2021-D2021</f>
        <v>6</v>
      </c>
      <c r="F2021" s="1105" t="n">
        <v>1028020</v>
      </c>
      <c r="G2021" s="1444" t="n">
        <v>0.1</v>
      </c>
      <c r="H2021" s="1105" t="n">
        <f aca="false">E2021*F2021*G2021</f>
        <v>616812</v>
      </c>
      <c r="I2021" s="1105" t="n">
        <f aca="false">F2021-H2021</f>
        <v>411208</v>
      </c>
      <c r="J2021" s="1105" t="n">
        <f aca="false">F2021*G2021</f>
        <v>102802</v>
      </c>
      <c r="K2021" s="1365" t="n">
        <f aca="false">J2021/1792.8</f>
        <v>57.3415885765283</v>
      </c>
      <c r="L2021" s="1105" t="n">
        <v>60</v>
      </c>
      <c r="M2021" s="865" t="n">
        <f aca="false">K2021*L2021/60</f>
        <v>57.3415885765283</v>
      </c>
    </row>
    <row r="2022" customFormat="false" ht="30" hidden="false" customHeight="false" outlineLevel="0" collapsed="false">
      <c r="A2022" s="216"/>
      <c r="B2022" s="40"/>
      <c r="C2022" s="1404" t="s">
        <v>7071</v>
      </c>
      <c r="D2022" s="569" t="n">
        <v>2006</v>
      </c>
      <c r="E2022" s="569" t="n">
        <f aca="false">2021-D2022</f>
        <v>15</v>
      </c>
      <c r="F2022" s="1105" t="n">
        <v>138575</v>
      </c>
      <c r="G2022" s="1444" t="n">
        <v>0.1</v>
      </c>
      <c r="H2022" s="1105" t="n">
        <f aca="false">E2022*F2022*G2022</f>
        <v>207862.5</v>
      </c>
      <c r="I2022" s="1105" t="n">
        <f aca="false">F2022-H2022</f>
        <v>-69287.5</v>
      </c>
      <c r="J2022" s="1105" t="n">
        <f aca="false">F2022*G2022</f>
        <v>13857.5</v>
      </c>
      <c r="K2022" s="1365" t="n">
        <f aca="false">J2022/1792.8</f>
        <v>7.7295292280232</v>
      </c>
      <c r="L2022" s="1105" t="n">
        <v>10</v>
      </c>
      <c r="M2022" s="819" t="n">
        <f aca="false">K2022*L2022/60</f>
        <v>1.2882548713372</v>
      </c>
    </row>
    <row r="2023" customFormat="false" ht="30" hidden="false" customHeight="false" outlineLevel="0" collapsed="false">
      <c r="A2023" s="216"/>
      <c r="B2023" s="40"/>
      <c r="C2023" s="1409" t="s">
        <v>6967</v>
      </c>
      <c r="D2023" s="569" t="n">
        <v>2016</v>
      </c>
      <c r="E2023" s="569" t="n">
        <f aca="false">2021-D2023</f>
        <v>5</v>
      </c>
      <c r="F2023" s="1105" t="n">
        <v>2302000</v>
      </c>
      <c r="G2023" s="1444" t="n">
        <v>0.1</v>
      </c>
      <c r="H2023" s="1105" t="n">
        <f aca="false">E2023*F2023*G2023</f>
        <v>1151000</v>
      </c>
      <c r="I2023" s="1105" t="n">
        <f aca="false">F2023-H2023</f>
        <v>1151000</v>
      </c>
      <c r="J2023" s="1105" t="n">
        <f aca="false">F2023*G2023</f>
        <v>230200</v>
      </c>
      <c r="K2023" s="1365" t="n">
        <f aca="false">J2023/1792.8</f>
        <v>128.402498884427</v>
      </c>
      <c r="L2023" s="1105" t="n">
        <v>20</v>
      </c>
      <c r="M2023" s="819" t="n">
        <f aca="false">K2023*L2023/60</f>
        <v>42.8008329614755</v>
      </c>
    </row>
    <row r="2024" customFormat="false" ht="30" hidden="false" customHeight="false" outlineLevel="0" collapsed="false">
      <c r="A2024" s="216"/>
      <c r="B2024" s="40"/>
      <c r="C2024" s="1404" t="s">
        <v>7072</v>
      </c>
      <c r="D2024" s="569" t="n">
        <v>2013</v>
      </c>
      <c r="E2024" s="569" t="n">
        <f aca="false">2021-D2024</f>
        <v>8</v>
      </c>
      <c r="F2024" s="1105" t="n">
        <v>300000</v>
      </c>
      <c r="G2024" s="1444" t="n">
        <v>0.1</v>
      </c>
      <c r="H2024" s="1105" t="n">
        <f aca="false">E2024*F2024*G2024</f>
        <v>240000</v>
      </c>
      <c r="I2024" s="1105" t="n">
        <f aca="false">F2024-H2024</f>
        <v>60000</v>
      </c>
      <c r="J2024" s="1105" t="n">
        <f aca="false">F2024*G2024</f>
        <v>30000</v>
      </c>
      <c r="K2024" s="1365" t="n">
        <f aca="false">J2024/1792.8</f>
        <v>16.7336010709505</v>
      </c>
      <c r="L2024" s="1105" t="n">
        <v>30</v>
      </c>
      <c r="M2024" s="865" t="n">
        <f aca="false">K2024*L2024/60</f>
        <v>8.36680053547524</v>
      </c>
    </row>
    <row r="2025" s="122" customFormat="true" ht="30" hidden="false" customHeight="false" outlineLevel="0" collapsed="false">
      <c r="A2025" s="216"/>
      <c r="B2025" s="40"/>
      <c r="C2025" s="1161" t="s">
        <v>7074</v>
      </c>
      <c r="D2025" s="912" t="n">
        <v>2003</v>
      </c>
      <c r="E2025" s="912" t="n">
        <f aca="false">2021-D2025</f>
        <v>18</v>
      </c>
      <c r="F2025" s="547" t="n">
        <v>2471090</v>
      </c>
      <c r="G2025" s="1413" t="n">
        <v>0.1</v>
      </c>
      <c r="H2025" s="547" t="n">
        <f aca="false">E2025*F2025*G2025</f>
        <v>4447962</v>
      </c>
      <c r="I2025" s="547" t="n">
        <f aca="false">F2025-H2025</f>
        <v>-1976872</v>
      </c>
      <c r="J2025" s="547" t="n">
        <f aca="false">F2025*G2025</f>
        <v>247109</v>
      </c>
      <c r="K2025" s="1365" t="n">
        <f aca="false">J2025/1792.8</f>
        <v>137.834114234717</v>
      </c>
      <c r="L2025" s="547" t="n">
        <v>120</v>
      </c>
      <c r="M2025" s="819" t="n">
        <f aca="false">K2025*L2025/60</f>
        <v>275.668228469433</v>
      </c>
    </row>
    <row r="2026" customFormat="false" ht="15" hidden="false" customHeight="false" outlineLevel="0" collapsed="false">
      <c r="A2026" s="216"/>
      <c r="B2026" s="1053" t="s">
        <v>4128</v>
      </c>
      <c r="C2026" s="1161"/>
      <c r="D2026" s="912"/>
      <c r="E2026" s="912"/>
      <c r="F2026" s="547"/>
      <c r="G2026" s="1413"/>
      <c r="H2026" s="547"/>
      <c r="I2026" s="547"/>
      <c r="J2026" s="547"/>
      <c r="K2026" s="1365" t="n">
        <f aca="false">J2026/1792.8</f>
        <v>0</v>
      </c>
      <c r="L2026" s="714" t="n">
        <f aca="false">SUM(L2018:L2025)</f>
        <v>270</v>
      </c>
      <c r="M2026" s="934" t="n">
        <f aca="false">SUM(M2018:M2025)</f>
        <v>392.041620184441</v>
      </c>
    </row>
    <row r="2027" customFormat="false" ht="42.75" hidden="false" customHeight="false" outlineLevel="0" collapsed="false">
      <c r="A2027" s="15" t="s">
        <v>5294</v>
      </c>
      <c r="B2027" s="54" t="s">
        <v>3328</v>
      </c>
      <c r="C2027" s="1387"/>
      <c r="D2027" s="339"/>
      <c r="E2027" s="541"/>
      <c r="F2027" s="751"/>
      <c r="G2027" s="1412"/>
      <c r="H2027" s="1412"/>
      <c r="I2027" s="751"/>
      <c r="J2027" s="751"/>
      <c r="K2027" s="1390"/>
      <c r="L2027" s="751"/>
      <c r="M2027" s="818"/>
    </row>
    <row r="2028" customFormat="false" ht="30" hidden="false" customHeight="false" outlineLevel="0" collapsed="false">
      <c r="A2028" s="216" t="s">
        <v>1096</v>
      </c>
      <c r="B2028" s="335" t="s">
        <v>3329</v>
      </c>
      <c r="C2028" s="1161" t="s">
        <v>7071</v>
      </c>
      <c r="D2028" s="912" t="n">
        <v>2006</v>
      </c>
      <c r="E2028" s="912" t="n">
        <f aca="false">2021-D2028</f>
        <v>15</v>
      </c>
      <c r="F2028" s="547" t="n">
        <v>138575</v>
      </c>
      <c r="G2028" s="1413" t="n">
        <v>0.1</v>
      </c>
      <c r="H2028" s="547" t="n">
        <f aca="false">E2028*F2028*G2028</f>
        <v>207862.5</v>
      </c>
      <c r="I2028" s="547" t="n">
        <f aca="false">F2028-H2028</f>
        <v>-69287.5</v>
      </c>
      <c r="J2028" s="547" t="n">
        <f aca="false">F2028*G2028</f>
        <v>13857.5</v>
      </c>
      <c r="K2028" s="1365" t="n">
        <f aca="false">J2028/1792.8</f>
        <v>7.7295292280232</v>
      </c>
      <c r="L2028" s="547" t="n">
        <v>10</v>
      </c>
      <c r="M2028" s="819" t="n">
        <f aca="false">K2028*L2028/60</f>
        <v>1.2882548713372</v>
      </c>
    </row>
    <row r="2029" customFormat="false" ht="30" hidden="false" customHeight="false" outlineLevel="0" collapsed="false">
      <c r="A2029" s="216"/>
      <c r="B2029" s="40"/>
      <c r="C2029" s="1404" t="s">
        <v>6963</v>
      </c>
      <c r="D2029" s="1405" t="n">
        <v>2007</v>
      </c>
      <c r="E2029" s="1405" t="n">
        <f aca="false">2021-D2029</f>
        <v>14</v>
      </c>
      <c r="F2029" s="1406" t="n">
        <v>176358</v>
      </c>
      <c r="G2029" s="1407" t="n">
        <v>0.1</v>
      </c>
      <c r="H2029" s="1410" t="n">
        <f aca="false">E2029*F2029*G2029</f>
        <v>246901.2</v>
      </c>
      <c r="I2029" s="1410" t="n">
        <f aca="false">F2029-H2029</f>
        <v>-70543.2</v>
      </c>
      <c r="J2029" s="1410" t="n">
        <f aca="false">F2029*G2029</f>
        <v>17635.8</v>
      </c>
      <c r="K2029" s="1365" t="n">
        <f aca="false">J2029/1792.8</f>
        <v>9.83701472556894</v>
      </c>
      <c r="L2029" s="1445" t="n">
        <v>10</v>
      </c>
      <c r="M2029" s="1408" t="n">
        <f aca="false">K2029*L2029/60</f>
        <v>1.63950245426149</v>
      </c>
    </row>
    <row r="2030" customFormat="false" ht="30" hidden="false" customHeight="false" outlineLevel="0" collapsed="false">
      <c r="A2030" s="216"/>
      <c r="B2030" s="40"/>
      <c r="C2030" s="1404" t="s">
        <v>7070</v>
      </c>
      <c r="D2030" s="569" t="n">
        <v>2009</v>
      </c>
      <c r="E2030" s="569" t="n">
        <f aca="false">2021-D2030</f>
        <v>12</v>
      </c>
      <c r="F2030" s="1105" t="n">
        <v>181000</v>
      </c>
      <c r="G2030" s="1444" t="n">
        <v>0.1</v>
      </c>
      <c r="H2030" s="1105" t="n">
        <f aca="false">E2030*F2030*G2030</f>
        <v>217200</v>
      </c>
      <c r="I2030" s="1105" t="n">
        <f aca="false">F2030-H2030</f>
        <v>-36200</v>
      </c>
      <c r="J2030" s="1105" t="n">
        <f aca="false">F2030*G2030</f>
        <v>18100</v>
      </c>
      <c r="K2030" s="1365" t="n">
        <f aca="false">J2030/1792.8</f>
        <v>10.0959393128068</v>
      </c>
      <c r="L2030" s="547" t="n">
        <v>10</v>
      </c>
      <c r="M2030" s="819" t="n">
        <f aca="false">K2030*L2030/60</f>
        <v>1.68265655213446</v>
      </c>
    </row>
    <row r="2031" customFormat="false" ht="30" hidden="false" customHeight="false" outlineLevel="0" collapsed="false">
      <c r="A2031" s="216"/>
      <c r="B2031" s="40"/>
      <c r="C2031" s="1404" t="s">
        <v>7073</v>
      </c>
      <c r="D2031" s="569" t="n">
        <v>2005</v>
      </c>
      <c r="E2031" s="569" t="n">
        <f aca="false">2021-D2031</f>
        <v>16</v>
      </c>
      <c r="F2031" s="1105" t="n">
        <v>39263</v>
      </c>
      <c r="G2031" s="1444" t="n">
        <v>0.15</v>
      </c>
      <c r="H2031" s="1105" t="n">
        <f aca="false">E2031*F2031*G2031</f>
        <v>94231.2</v>
      </c>
      <c r="I2031" s="1105" t="n">
        <f aca="false">F2031-H2031</f>
        <v>-54968.2</v>
      </c>
      <c r="J2031" s="1105" t="n">
        <f aca="false">F2031*G2031</f>
        <v>5889.45</v>
      </c>
      <c r="K2031" s="1365" t="n">
        <f aca="false">J2031/1792.8</f>
        <v>3.28505689424364</v>
      </c>
      <c r="L2031" s="547" t="n">
        <v>10</v>
      </c>
      <c r="M2031" s="819" t="n">
        <f aca="false">K2031*L2031/60</f>
        <v>0.54750948237394</v>
      </c>
    </row>
    <row r="2032" customFormat="false" ht="30" hidden="false" customHeight="true" outlineLevel="0" collapsed="false">
      <c r="A2032" s="216"/>
      <c r="B2032" s="40"/>
      <c r="C2032" s="310" t="s">
        <v>6965</v>
      </c>
      <c r="D2032" s="317" t="n">
        <v>2014</v>
      </c>
      <c r="E2032" s="317" t="n">
        <f aca="false">2021-D2032</f>
        <v>7</v>
      </c>
      <c r="F2032" s="1363" t="n">
        <v>375200</v>
      </c>
      <c r="G2032" s="1364" t="n">
        <v>0.1</v>
      </c>
      <c r="H2032" s="1365" t="n">
        <f aca="false">E2032*F2032*G2032</f>
        <v>262640</v>
      </c>
      <c r="I2032" s="1365" t="n">
        <f aca="false">F2032-H2032</f>
        <v>112560</v>
      </c>
      <c r="J2032" s="1365" t="n">
        <f aca="false">F2032*G2032</f>
        <v>37520</v>
      </c>
      <c r="K2032" s="1365" t="n">
        <f aca="false">J2032/1792.8</f>
        <v>20.9281570727354</v>
      </c>
      <c r="L2032" s="1394" t="n">
        <v>10</v>
      </c>
      <c r="M2032" s="1273" t="n">
        <f aca="false">K2032*L2032/60</f>
        <v>3.48802617878923</v>
      </c>
    </row>
    <row r="2033" customFormat="false" ht="15" hidden="false" customHeight="false" outlineLevel="0" collapsed="false">
      <c r="A2033" s="216"/>
      <c r="B2033" s="40"/>
      <c r="C2033" s="1161" t="s">
        <v>7080</v>
      </c>
      <c r="D2033" s="912" t="n">
        <v>2012</v>
      </c>
      <c r="E2033" s="912" t="n">
        <f aca="false">2021-D2033</f>
        <v>9</v>
      </c>
      <c r="F2033" s="547" t="n">
        <v>85800</v>
      </c>
      <c r="G2033" s="1413" t="n">
        <v>0.1</v>
      </c>
      <c r="H2033" s="547" t="n">
        <f aca="false">E2033*F2033*G2033</f>
        <v>77220</v>
      </c>
      <c r="I2033" s="547" t="n">
        <f aca="false">F2033-H2033</f>
        <v>8580</v>
      </c>
      <c r="J2033" s="547" t="n">
        <f aca="false">F2033*G2033</f>
        <v>8580</v>
      </c>
      <c r="K2033" s="1365" t="n">
        <f aca="false">J2033/1792.8</f>
        <v>4.78580990629183</v>
      </c>
      <c r="L2033" s="547" t="n">
        <v>20</v>
      </c>
      <c r="M2033" s="819" t="n">
        <f aca="false">K2033*L2033/60</f>
        <v>1.59526996876394</v>
      </c>
    </row>
    <row r="2034" customFormat="false" ht="15" hidden="false" customHeight="false" outlineLevel="0" collapsed="false">
      <c r="A2034" s="216"/>
      <c r="B2034" s="40"/>
      <c r="C2034" s="1161" t="s">
        <v>7081</v>
      </c>
      <c r="D2034" s="912" t="n">
        <v>2012</v>
      </c>
      <c r="E2034" s="912" t="n">
        <f aca="false">2021-D2034</f>
        <v>9</v>
      </c>
      <c r="F2034" s="547" t="n">
        <v>93000</v>
      </c>
      <c r="G2034" s="1413" t="n">
        <v>0.1</v>
      </c>
      <c r="H2034" s="547" t="n">
        <f aca="false">E2034*F2034*G2034</f>
        <v>83700</v>
      </c>
      <c r="I2034" s="547" t="n">
        <f aca="false">F2034-H2034</f>
        <v>9300</v>
      </c>
      <c r="J2034" s="547" t="n">
        <f aca="false">F2034*G2034</f>
        <v>9300</v>
      </c>
      <c r="K2034" s="1365" t="n">
        <f aca="false">J2034/1792.8</f>
        <v>5.18741633199465</v>
      </c>
      <c r="L2034" s="547" t="n">
        <v>20</v>
      </c>
      <c r="M2034" s="819" t="n">
        <f aca="false">K2034*L2034/60</f>
        <v>1.72913877733155</v>
      </c>
    </row>
    <row r="2035" customFormat="false" ht="15" hidden="false" customHeight="false" outlineLevel="0" collapsed="false">
      <c r="A2035" s="216"/>
      <c r="B2035" s="1053" t="s">
        <v>4128</v>
      </c>
      <c r="C2035" s="1161"/>
      <c r="D2035" s="912"/>
      <c r="E2035" s="912"/>
      <c r="F2035" s="547"/>
      <c r="G2035" s="1413"/>
      <c r="H2035" s="547"/>
      <c r="I2035" s="547"/>
      <c r="J2035" s="547"/>
      <c r="K2035" s="1365" t="n">
        <f aca="false">J2035/1792.8</f>
        <v>0</v>
      </c>
      <c r="L2035" s="714" t="n">
        <f aca="false">SUM(L2028:L2034)</f>
        <v>90</v>
      </c>
      <c r="M2035" s="934" t="n">
        <f aca="false">SUM(M2028:M2034)</f>
        <v>11.9703582849918</v>
      </c>
    </row>
    <row r="2036" s="122" customFormat="true" ht="30" hidden="false" customHeight="false" outlineLevel="0" collapsed="false">
      <c r="A2036" s="216" t="s">
        <v>1098</v>
      </c>
      <c r="B2036" s="335" t="s">
        <v>3323</v>
      </c>
      <c r="C2036" s="1404" t="s">
        <v>7070</v>
      </c>
      <c r="D2036" s="569" t="n">
        <v>2009</v>
      </c>
      <c r="E2036" s="569" t="n">
        <f aca="false">2021-D2036</f>
        <v>12</v>
      </c>
      <c r="F2036" s="1105" t="n">
        <v>181000</v>
      </c>
      <c r="G2036" s="1444" t="n">
        <v>0.1</v>
      </c>
      <c r="H2036" s="1105" t="n">
        <f aca="false">E2036*F2036*G2036</f>
        <v>217200</v>
      </c>
      <c r="I2036" s="1105" t="n">
        <f aca="false">F2036-H2036</f>
        <v>-36200</v>
      </c>
      <c r="J2036" s="1105" t="n">
        <f aca="false">F2036*G2036</f>
        <v>18100</v>
      </c>
      <c r="K2036" s="1365" t="n">
        <f aca="false">J2036/1792.8</f>
        <v>10.0959393128068</v>
      </c>
      <c r="L2036" s="547" t="n">
        <v>20</v>
      </c>
      <c r="M2036" s="819" t="n">
        <f aca="false">K2036*L2036/60</f>
        <v>3.36531310426893</v>
      </c>
    </row>
    <row r="2037" s="122" customFormat="true" ht="30" hidden="false" customHeight="false" outlineLevel="0" collapsed="false">
      <c r="A2037" s="216"/>
      <c r="B2037" s="40"/>
      <c r="C2037" s="1404" t="s">
        <v>6963</v>
      </c>
      <c r="D2037" s="1405" t="n">
        <v>2007</v>
      </c>
      <c r="E2037" s="1405" t="n">
        <f aca="false">2021-D2037</f>
        <v>14</v>
      </c>
      <c r="F2037" s="1406" t="n">
        <v>176358</v>
      </c>
      <c r="G2037" s="1407" t="n">
        <v>0.1</v>
      </c>
      <c r="H2037" s="1410" t="n">
        <f aca="false">E2037*F2037*G2037</f>
        <v>246901.2</v>
      </c>
      <c r="I2037" s="1410" t="n">
        <f aca="false">F2037-H2037</f>
        <v>-70543.2</v>
      </c>
      <c r="J2037" s="1410" t="n">
        <f aca="false">F2037*G2037</f>
        <v>17635.8</v>
      </c>
      <c r="K2037" s="1365" t="n">
        <f aca="false">J2037/1792.8</f>
        <v>9.83701472556894</v>
      </c>
      <c r="L2037" s="1410" t="n">
        <v>10</v>
      </c>
      <c r="M2037" s="1408" t="n">
        <f aca="false">K2037*L2037/60</f>
        <v>1.63950245426149</v>
      </c>
    </row>
    <row r="2038" customFormat="false" ht="30" hidden="false" customHeight="false" outlineLevel="0" collapsed="false">
      <c r="A2038" s="216"/>
      <c r="B2038" s="40"/>
      <c r="C2038" s="1404" t="s">
        <v>6959</v>
      </c>
      <c r="D2038" s="1405" t="n">
        <v>2007</v>
      </c>
      <c r="E2038" s="1405" t="n">
        <f aca="false">2021-D2038</f>
        <v>14</v>
      </c>
      <c r="F2038" s="1406" t="n">
        <v>350000</v>
      </c>
      <c r="G2038" s="1407" t="n">
        <v>0.1</v>
      </c>
      <c r="H2038" s="1410" t="n">
        <f aca="false">E2038*F2038*G2038</f>
        <v>490000</v>
      </c>
      <c r="I2038" s="1410" t="n">
        <f aca="false">F2038-H2038</f>
        <v>-140000</v>
      </c>
      <c r="J2038" s="1410" t="n">
        <f aca="false">F2038*G2038</f>
        <v>35000</v>
      </c>
      <c r="K2038" s="1365" t="n">
        <f aca="false">J2038/1792.8</f>
        <v>19.5225345827755</v>
      </c>
      <c r="L2038" s="1410" t="n">
        <v>10</v>
      </c>
      <c r="M2038" s="1408" t="n">
        <f aca="false">K2038*L2038/60</f>
        <v>3.25375576379592</v>
      </c>
    </row>
    <row r="2039" customFormat="false" ht="30" hidden="false" customHeight="false" outlineLevel="0" collapsed="false">
      <c r="A2039" s="216"/>
      <c r="B2039" s="40"/>
      <c r="C2039" s="1161" t="s">
        <v>7071</v>
      </c>
      <c r="D2039" s="912" t="n">
        <v>2006</v>
      </c>
      <c r="E2039" s="912" t="n">
        <f aca="false">2021-D2039</f>
        <v>15</v>
      </c>
      <c r="F2039" s="547" t="n">
        <v>138575</v>
      </c>
      <c r="G2039" s="1413" t="n">
        <v>0.1</v>
      </c>
      <c r="H2039" s="547" t="n">
        <f aca="false">E2039*F2039*G2039</f>
        <v>207862.5</v>
      </c>
      <c r="I2039" s="547" t="n">
        <f aca="false">F2039-H2039</f>
        <v>-69287.5</v>
      </c>
      <c r="J2039" s="547" t="n">
        <f aca="false">F2039*G2039</f>
        <v>13857.5</v>
      </c>
      <c r="K2039" s="1365" t="n">
        <f aca="false">J2039/1792.8</f>
        <v>7.7295292280232</v>
      </c>
      <c r="L2039" s="547" t="n">
        <v>20</v>
      </c>
      <c r="M2039" s="819" t="n">
        <f aca="false">K2039*L2039/60</f>
        <v>2.5765097426744</v>
      </c>
    </row>
    <row r="2040" customFormat="false" ht="30" hidden="false" customHeight="false" outlineLevel="0" collapsed="false">
      <c r="A2040" s="216"/>
      <c r="B2040" s="40"/>
      <c r="C2040" s="1404" t="s">
        <v>7072</v>
      </c>
      <c r="D2040" s="569" t="n">
        <v>2013</v>
      </c>
      <c r="E2040" s="569" t="n">
        <f aca="false">2021-D2040</f>
        <v>8</v>
      </c>
      <c r="F2040" s="1105" t="n">
        <v>300000</v>
      </c>
      <c r="G2040" s="1444" t="n">
        <v>0.1</v>
      </c>
      <c r="H2040" s="1105" t="n">
        <f aca="false">E2040*F2040*G2040</f>
        <v>240000</v>
      </c>
      <c r="I2040" s="1105" t="n">
        <f aca="false">F2040-H2040</f>
        <v>60000</v>
      </c>
      <c r="J2040" s="1105" t="n">
        <f aca="false">F2040*G2040</f>
        <v>30000</v>
      </c>
      <c r="K2040" s="1365" t="n">
        <f aca="false">J2040/1792.8</f>
        <v>16.7336010709505</v>
      </c>
      <c r="L2040" s="1105" t="n">
        <v>50</v>
      </c>
      <c r="M2040" s="865" t="n">
        <f aca="false">K2040*L2040/60</f>
        <v>13.9446675591254</v>
      </c>
    </row>
    <row r="2041" customFormat="false" ht="15" hidden="false" customHeight="false" outlineLevel="0" collapsed="false">
      <c r="A2041" s="216"/>
      <c r="B2041" s="40"/>
      <c r="C2041" s="1404" t="s">
        <v>7075</v>
      </c>
      <c r="D2041" s="569" t="n">
        <v>2015</v>
      </c>
      <c r="E2041" s="569" t="n">
        <f aca="false">2021-D2041</f>
        <v>6</v>
      </c>
      <c r="F2041" s="1105" t="n">
        <v>1028020</v>
      </c>
      <c r="G2041" s="1444" t="n">
        <v>0.1</v>
      </c>
      <c r="H2041" s="1105" t="n">
        <f aca="false">E2041*F2041*G2041</f>
        <v>616812</v>
      </c>
      <c r="I2041" s="1105" t="n">
        <f aca="false">F2041-H2041</f>
        <v>411208</v>
      </c>
      <c r="J2041" s="1105" t="n">
        <f aca="false">F2041*G2041</f>
        <v>102802</v>
      </c>
      <c r="K2041" s="1365" t="n">
        <f aca="false">J2041/1792.8</f>
        <v>57.3415885765283</v>
      </c>
      <c r="L2041" s="547" t="n">
        <v>60</v>
      </c>
      <c r="M2041" s="819" t="n">
        <f aca="false">K2041*L2041/60</f>
        <v>57.3415885765283</v>
      </c>
    </row>
    <row r="2042" customFormat="false" ht="30" hidden="false" customHeight="false" outlineLevel="0" collapsed="false">
      <c r="A2042" s="216"/>
      <c r="B2042" s="40"/>
      <c r="C2042" s="1409" t="s">
        <v>6967</v>
      </c>
      <c r="D2042" s="569" t="n">
        <v>2016</v>
      </c>
      <c r="E2042" s="569" t="n">
        <f aca="false">2021-D2042</f>
        <v>5</v>
      </c>
      <c r="F2042" s="1105" t="n">
        <v>2302000</v>
      </c>
      <c r="G2042" s="1444" t="n">
        <v>0.1</v>
      </c>
      <c r="H2042" s="1105" t="n">
        <f aca="false">E2042*F2042*G2042</f>
        <v>1151000</v>
      </c>
      <c r="I2042" s="1105" t="n">
        <f aca="false">F2042-H2042</f>
        <v>1151000</v>
      </c>
      <c r="J2042" s="1105" t="n">
        <f aca="false">F2042*G2042</f>
        <v>230200</v>
      </c>
      <c r="K2042" s="1365" t="n">
        <f aca="false">J2042/1792.8</f>
        <v>128.402498884427</v>
      </c>
      <c r="L2042" s="547" t="n">
        <v>20</v>
      </c>
      <c r="M2042" s="819" t="n">
        <f aca="false">K2042*L2042/60</f>
        <v>42.8008329614755</v>
      </c>
    </row>
    <row r="2043" customFormat="false" ht="25.5" hidden="false" customHeight="true" outlineLevel="0" collapsed="false">
      <c r="A2043" s="216"/>
      <c r="B2043" s="40"/>
      <c r="C2043" s="1161" t="s">
        <v>7073</v>
      </c>
      <c r="D2043" s="912" t="n">
        <v>2005</v>
      </c>
      <c r="E2043" s="912" t="n">
        <f aca="false">2021-D2043</f>
        <v>16</v>
      </c>
      <c r="F2043" s="547" t="n">
        <v>39263</v>
      </c>
      <c r="G2043" s="1413" t="n">
        <v>0.15</v>
      </c>
      <c r="H2043" s="547" t="n">
        <f aca="false">E2043*F2043*G2043</f>
        <v>94231.2</v>
      </c>
      <c r="I2043" s="547" t="n">
        <f aca="false">F2043-H2043</f>
        <v>-54968.2</v>
      </c>
      <c r="J2043" s="547" t="n">
        <f aca="false">F2043*G2043</f>
        <v>5889.45</v>
      </c>
      <c r="K2043" s="1365" t="n">
        <f aca="false">J2043/1792.8</f>
        <v>3.28505689424364</v>
      </c>
      <c r="L2043" s="547" t="n">
        <v>30</v>
      </c>
      <c r="M2043" s="819" t="n">
        <f aca="false">K2043*L2043/60</f>
        <v>1.64252844712182</v>
      </c>
    </row>
    <row r="2044" customFormat="false" ht="30" hidden="false" customHeight="false" outlineLevel="0" collapsed="false">
      <c r="A2044" s="216"/>
      <c r="B2044" s="40"/>
      <c r="C2044" s="1161" t="s">
        <v>7074</v>
      </c>
      <c r="D2044" s="912" t="n">
        <v>2003</v>
      </c>
      <c r="E2044" s="912" t="n">
        <f aca="false">2021-D2044</f>
        <v>18</v>
      </c>
      <c r="F2044" s="547" t="n">
        <v>2471090</v>
      </c>
      <c r="G2044" s="1413" t="n">
        <v>0.1</v>
      </c>
      <c r="H2044" s="547" t="n">
        <f aca="false">E2044*F2044*G2044</f>
        <v>4447962</v>
      </c>
      <c r="I2044" s="547" t="n">
        <f aca="false">F2044-H2044</f>
        <v>-1976872</v>
      </c>
      <c r="J2044" s="547" t="n">
        <f aca="false">F2044*G2044</f>
        <v>247109</v>
      </c>
      <c r="K2044" s="1365" t="n">
        <f aca="false">J2044/1792.8</f>
        <v>137.834114234717</v>
      </c>
      <c r="L2044" s="547" t="n">
        <v>120</v>
      </c>
      <c r="M2044" s="819" t="n">
        <f aca="false">K2044*L2044/60</f>
        <v>275.668228469433</v>
      </c>
    </row>
    <row r="2045" customFormat="false" ht="15" hidden="false" customHeight="false" outlineLevel="0" collapsed="false">
      <c r="A2045" s="216"/>
      <c r="B2045" s="1053" t="s">
        <v>4128</v>
      </c>
      <c r="C2045" s="1161"/>
      <c r="D2045" s="912"/>
      <c r="E2045" s="912"/>
      <c r="F2045" s="547"/>
      <c r="G2045" s="1413"/>
      <c r="H2045" s="547"/>
      <c r="I2045" s="547"/>
      <c r="J2045" s="547"/>
      <c r="K2045" s="1365" t="n">
        <f aca="false">J2045/1792.8</f>
        <v>0</v>
      </c>
      <c r="L2045" s="714" t="n">
        <f aca="false">SUM(L2036:L2044)</f>
        <v>340</v>
      </c>
      <c r="M2045" s="934" t="n">
        <f aca="false">SUM(M2036:M2044)</f>
        <v>402.232927078685</v>
      </c>
    </row>
    <row r="2046" customFormat="false" ht="30" hidden="false" customHeight="false" outlineLevel="0" collapsed="false">
      <c r="A2046" s="216" t="s">
        <v>1099</v>
      </c>
      <c r="B2046" s="335" t="s">
        <v>3324</v>
      </c>
      <c r="C2046" s="1404" t="s">
        <v>7070</v>
      </c>
      <c r="D2046" s="569" t="n">
        <v>2009</v>
      </c>
      <c r="E2046" s="569" t="n">
        <f aca="false">2021-D2046</f>
        <v>12</v>
      </c>
      <c r="F2046" s="1105" t="n">
        <v>181000</v>
      </c>
      <c r="G2046" s="1444" t="n">
        <v>0.1</v>
      </c>
      <c r="H2046" s="1105" t="n">
        <f aca="false">E2046*F2046*G2046</f>
        <v>217200</v>
      </c>
      <c r="I2046" s="1105" t="n">
        <f aca="false">F2046-H2046</f>
        <v>-36200</v>
      </c>
      <c r="J2046" s="1105" t="n">
        <f aca="false">F2046*G2046</f>
        <v>18100</v>
      </c>
      <c r="K2046" s="1365" t="n">
        <f aca="false">J2046/1792.8</f>
        <v>10.0959393128068</v>
      </c>
      <c r="L2046" s="1105" t="n">
        <v>20</v>
      </c>
      <c r="M2046" s="865" t="n">
        <f aca="false">K2046*L2046/60</f>
        <v>3.36531310426893</v>
      </c>
    </row>
    <row r="2047" s="122" customFormat="true" ht="30" hidden="false" customHeight="false" outlineLevel="0" collapsed="false">
      <c r="A2047" s="216"/>
      <c r="B2047" s="40"/>
      <c r="C2047" s="1404" t="s">
        <v>6963</v>
      </c>
      <c r="D2047" s="1405" t="n">
        <v>2007</v>
      </c>
      <c r="E2047" s="1405" t="n">
        <f aca="false">2021-D2047</f>
        <v>14</v>
      </c>
      <c r="F2047" s="1406" t="n">
        <v>176358</v>
      </c>
      <c r="G2047" s="1407" t="n">
        <v>0.1</v>
      </c>
      <c r="H2047" s="1410" t="n">
        <f aca="false">E2047*F2047*G2047</f>
        <v>246901.2</v>
      </c>
      <c r="I2047" s="1410" t="n">
        <f aca="false">F2047-H2047</f>
        <v>-70543.2</v>
      </c>
      <c r="J2047" s="1410" t="n">
        <f aca="false">F2047*G2047</f>
        <v>17635.8</v>
      </c>
      <c r="K2047" s="1365" t="n">
        <f aca="false">J2047/1792.8</f>
        <v>9.83701472556894</v>
      </c>
      <c r="L2047" s="1445" t="n">
        <v>10</v>
      </c>
      <c r="M2047" s="1408" t="n">
        <f aca="false">K2047*L2047/60</f>
        <v>1.63950245426149</v>
      </c>
    </row>
    <row r="2048" customFormat="false" ht="30" hidden="false" customHeight="false" outlineLevel="0" collapsed="false">
      <c r="A2048" s="216"/>
      <c r="B2048" s="40"/>
      <c r="C2048" s="1404" t="s">
        <v>6959</v>
      </c>
      <c r="D2048" s="1405" t="n">
        <v>2007</v>
      </c>
      <c r="E2048" s="1405" t="n">
        <f aca="false">2021-D2048</f>
        <v>14</v>
      </c>
      <c r="F2048" s="1406" t="n">
        <v>350000</v>
      </c>
      <c r="G2048" s="1407" t="n">
        <v>0.1</v>
      </c>
      <c r="H2048" s="1410" t="n">
        <f aca="false">E2048*F2048*G2048</f>
        <v>490000</v>
      </c>
      <c r="I2048" s="1410" t="n">
        <f aca="false">F2048-H2048</f>
        <v>-140000</v>
      </c>
      <c r="J2048" s="1410" t="n">
        <f aca="false">F2048*G2048</f>
        <v>35000</v>
      </c>
      <c r="K2048" s="1365" t="n">
        <f aca="false">J2048/1792.8</f>
        <v>19.5225345827755</v>
      </c>
      <c r="L2048" s="1445" t="n">
        <v>10</v>
      </c>
      <c r="M2048" s="1408" t="n">
        <f aca="false">K2048*L2048/60</f>
        <v>3.25375576379592</v>
      </c>
    </row>
    <row r="2049" customFormat="false" ht="30" hidden="false" customHeight="false" outlineLevel="0" collapsed="false">
      <c r="A2049" s="216"/>
      <c r="B2049" s="40"/>
      <c r="C2049" s="1161" t="s">
        <v>7071</v>
      </c>
      <c r="D2049" s="912" t="n">
        <v>2006</v>
      </c>
      <c r="E2049" s="912" t="n">
        <f aca="false">2021-D2049</f>
        <v>15</v>
      </c>
      <c r="F2049" s="547" t="n">
        <v>138575</v>
      </c>
      <c r="G2049" s="1413" t="n">
        <v>0.1</v>
      </c>
      <c r="H2049" s="547" t="n">
        <f aca="false">E2049*F2049*G2049</f>
        <v>207862.5</v>
      </c>
      <c r="I2049" s="547" t="n">
        <f aca="false">F2049-H2049</f>
        <v>-69287.5</v>
      </c>
      <c r="J2049" s="547" t="n">
        <f aca="false">F2049*G2049</f>
        <v>13857.5</v>
      </c>
      <c r="K2049" s="1365" t="n">
        <f aca="false">J2049/1792.8</f>
        <v>7.7295292280232</v>
      </c>
      <c r="L2049" s="547" t="n">
        <v>20</v>
      </c>
      <c r="M2049" s="819" t="n">
        <f aca="false">K2049*L2049/60</f>
        <v>2.5765097426744</v>
      </c>
    </row>
    <row r="2050" customFormat="false" ht="30" hidden="false" customHeight="false" outlineLevel="0" collapsed="false">
      <c r="A2050" s="216"/>
      <c r="B2050" s="40"/>
      <c r="C2050" s="1404" t="s">
        <v>7072</v>
      </c>
      <c r="D2050" s="569" t="n">
        <v>2013</v>
      </c>
      <c r="E2050" s="569" t="n">
        <f aca="false">2021-D2050</f>
        <v>8</v>
      </c>
      <c r="F2050" s="1105" t="n">
        <v>300000</v>
      </c>
      <c r="G2050" s="1444" t="n">
        <v>0.1</v>
      </c>
      <c r="H2050" s="1105" t="n">
        <f aca="false">E2050*F2050*G2050</f>
        <v>240000</v>
      </c>
      <c r="I2050" s="1105" t="n">
        <f aca="false">F2050-H2050</f>
        <v>60000</v>
      </c>
      <c r="J2050" s="1105" t="n">
        <f aca="false">F2050*G2050</f>
        <v>30000</v>
      </c>
      <c r="K2050" s="1365" t="n">
        <f aca="false">J2050/1792.8</f>
        <v>16.7336010709505</v>
      </c>
      <c r="L2050" s="1105" t="n">
        <v>50</v>
      </c>
      <c r="M2050" s="865" t="n">
        <f aca="false">K2050*L2050/60</f>
        <v>13.9446675591254</v>
      </c>
    </row>
    <row r="2051" customFormat="false" ht="30" hidden="false" customHeight="false" outlineLevel="0" collapsed="false">
      <c r="A2051" s="216"/>
      <c r="B2051" s="40"/>
      <c r="C2051" s="1446" t="s">
        <v>6967</v>
      </c>
      <c r="D2051" s="569" t="n">
        <v>2016</v>
      </c>
      <c r="E2051" s="569" t="n">
        <f aca="false">2021-D2051</f>
        <v>5</v>
      </c>
      <c r="F2051" s="1105" t="n">
        <v>2302000</v>
      </c>
      <c r="G2051" s="1444" t="n">
        <v>0.1</v>
      </c>
      <c r="H2051" s="547" t="n">
        <f aca="false">E2051*F2051*G2051</f>
        <v>1151000</v>
      </c>
      <c r="I2051" s="547" t="n">
        <f aca="false">F2051-H2051</f>
        <v>1151000</v>
      </c>
      <c r="J2051" s="547" t="n">
        <f aca="false">F2051*G2051</f>
        <v>230200</v>
      </c>
      <c r="K2051" s="1365" t="n">
        <f aca="false">J2051/1792.8</f>
        <v>128.402498884427</v>
      </c>
      <c r="L2051" s="547" t="n">
        <v>20</v>
      </c>
      <c r="M2051" s="819" t="n">
        <f aca="false">K2051*L2051/60</f>
        <v>42.8008329614755</v>
      </c>
    </row>
    <row r="2052" customFormat="false" ht="15" hidden="false" customHeight="false" outlineLevel="0" collapsed="false">
      <c r="A2052" s="216"/>
      <c r="B2052" s="40"/>
      <c r="C2052" s="1404" t="s">
        <v>7075</v>
      </c>
      <c r="D2052" s="569" t="n">
        <v>2015</v>
      </c>
      <c r="E2052" s="569" t="n">
        <f aca="false">2021-D2052</f>
        <v>6</v>
      </c>
      <c r="F2052" s="1105" t="n">
        <v>1028020</v>
      </c>
      <c r="G2052" s="1444" t="n">
        <v>0.1</v>
      </c>
      <c r="H2052" s="1105" t="n">
        <f aca="false">E2052*F2052*G2052</f>
        <v>616812</v>
      </c>
      <c r="I2052" s="1105" t="n">
        <f aca="false">F2052-H2052</f>
        <v>411208</v>
      </c>
      <c r="J2052" s="1105" t="n">
        <f aca="false">F2052*G2052</f>
        <v>102802</v>
      </c>
      <c r="K2052" s="1365" t="n">
        <f aca="false">J2052/1792.8</f>
        <v>57.3415885765283</v>
      </c>
      <c r="L2052" s="1105" t="n">
        <v>60</v>
      </c>
      <c r="M2052" s="865" t="n">
        <f aca="false">K2052*L2052/60</f>
        <v>57.3415885765283</v>
      </c>
    </row>
    <row r="2053" customFormat="false" ht="30" hidden="false" customHeight="false" outlineLevel="0" collapsed="false">
      <c r="A2053" s="216"/>
      <c r="B2053" s="40"/>
      <c r="C2053" s="1161" t="s">
        <v>7073</v>
      </c>
      <c r="D2053" s="912" t="n">
        <v>2005</v>
      </c>
      <c r="E2053" s="912" t="n">
        <f aca="false">2021-D2053</f>
        <v>16</v>
      </c>
      <c r="F2053" s="547" t="n">
        <v>39263</v>
      </c>
      <c r="G2053" s="1413" t="n">
        <v>0.15</v>
      </c>
      <c r="H2053" s="547" t="n">
        <f aca="false">E2053*F2053*G2053</f>
        <v>94231.2</v>
      </c>
      <c r="I2053" s="547" t="n">
        <f aca="false">F2053-H2053</f>
        <v>-54968.2</v>
      </c>
      <c r="J2053" s="547" t="n">
        <f aca="false">F2053*G2053</f>
        <v>5889.45</v>
      </c>
      <c r="K2053" s="1365" t="n">
        <f aca="false">J2053/1792.8</f>
        <v>3.28505689424364</v>
      </c>
      <c r="L2053" s="547" t="n">
        <v>20</v>
      </c>
      <c r="M2053" s="819" t="n">
        <f aca="false">K2053*L2053/60</f>
        <v>1.09501896474788</v>
      </c>
    </row>
    <row r="2054" customFormat="false" ht="33.75" hidden="false" customHeight="true" outlineLevel="0" collapsed="false">
      <c r="A2054" s="216"/>
      <c r="B2054" s="40"/>
      <c r="C2054" s="1161" t="s">
        <v>7074</v>
      </c>
      <c r="D2054" s="912" t="n">
        <v>2003</v>
      </c>
      <c r="E2054" s="912" t="n">
        <f aca="false">2021-D2054</f>
        <v>18</v>
      </c>
      <c r="F2054" s="547" t="n">
        <v>2471090</v>
      </c>
      <c r="G2054" s="1413" t="n">
        <v>0.1</v>
      </c>
      <c r="H2054" s="547" t="n">
        <f aca="false">E2054*F2054*G2054</f>
        <v>4447962</v>
      </c>
      <c r="I2054" s="547" t="n">
        <f aca="false">F2054-H2054</f>
        <v>-1976872</v>
      </c>
      <c r="J2054" s="547" t="n">
        <f aca="false">F2054*G2054</f>
        <v>247109</v>
      </c>
      <c r="K2054" s="1365" t="n">
        <f aca="false">J2054/1792.8</f>
        <v>137.834114234717</v>
      </c>
      <c r="L2054" s="547" t="n">
        <v>100</v>
      </c>
      <c r="M2054" s="819" t="n">
        <f aca="false">K2054*L2054/60</f>
        <v>229.723523724528</v>
      </c>
    </row>
    <row r="2055" customFormat="false" ht="15" hidden="false" customHeight="false" outlineLevel="0" collapsed="false">
      <c r="A2055" s="216"/>
      <c r="B2055" s="1053" t="s">
        <v>4128</v>
      </c>
      <c r="C2055" s="1161"/>
      <c r="D2055" s="912"/>
      <c r="E2055" s="912"/>
      <c r="F2055" s="547"/>
      <c r="G2055" s="1413"/>
      <c r="H2055" s="547"/>
      <c r="I2055" s="547"/>
      <c r="J2055" s="547"/>
      <c r="K2055" s="1365" t="n">
        <f aca="false">J2055/1792.8</f>
        <v>0</v>
      </c>
      <c r="L2055" s="714" t="n">
        <f aca="false">SUM(L2046:L2054)</f>
        <v>310</v>
      </c>
      <c r="M2055" s="934" t="n">
        <f aca="false">SUM(M2046:M2054)</f>
        <v>355.740712851406</v>
      </c>
    </row>
    <row r="2056" customFormat="false" ht="30" hidden="false" customHeight="false" outlineLevel="0" collapsed="false">
      <c r="A2056" s="216" t="s">
        <v>1100</v>
      </c>
      <c r="B2056" s="40" t="s">
        <v>3310</v>
      </c>
      <c r="C2056" s="1161" t="s">
        <v>7071</v>
      </c>
      <c r="D2056" s="912" t="n">
        <v>2006</v>
      </c>
      <c r="E2056" s="912" t="n">
        <f aca="false">2021-D2056</f>
        <v>15</v>
      </c>
      <c r="F2056" s="547" t="n">
        <v>138575</v>
      </c>
      <c r="G2056" s="1413" t="n">
        <v>0.1</v>
      </c>
      <c r="H2056" s="547" t="n">
        <f aca="false">E2056*F2056*G2056</f>
        <v>207862.5</v>
      </c>
      <c r="I2056" s="547" t="n">
        <f aca="false">F2056-H2056</f>
        <v>-69287.5</v>
      </c>
      <c r="J2056" s="547" t="n">
        <f aca="false">F2056*G2056</f>
        <v>13857.5</v>
      </c>
      <c r="K2056" s="1365" t="n">
        <f aca="false">J2056/1792.8</f>
        <v>7.7295292280232</v>
      </c>
      <c r="L2056" s="547" t="n">
        <v>10</v>
      </c>
      <c r="M2056" s="819" t="n">
        <f aca="false">K2056*L2056/60</f>
        <v>1.2882548713372</v>
      </c>
    </row>
    <row r="2057" customFormat="false" ht="30" hidden="false" customHeight="false" outlineLevel="0" collapsed="false">
      <c r="A2057" s="216"/>
      <c r="B2057" s="40"/>
      <c r="C2057" s="1404" t="s">
        <v>6963</v>
      </c>
      <c r="D2057" s="1405" t="n">
        <v>2007</v>
      </c>
      <c r="E2057" s="1405" t="n">
        <f aca="false">2021-D2057</f>
        <v>14</v>
      </c>
      <c r="F2057" s="1406" t="n">
        <v>176358</v>
      </c>
      <c r="G2057" s="1407" t="n">
        <v>0.1</v>
      </c>
      <c r="H2057" s="1410" t="n">
        <f aca="false">E2057*F2057*G2057</f>
        <v>246901.2</v>
      </c>
      <c r="I2057" s="1410" t="n">
        <f aca="false">F2057-H2057</f>
        <v>-70543.2</v>
      </c>
      <c r="J2057" s="1410" t="n">
        <f aca="false">F2057*G2057</f>
        <v>17635.8</v>
      </c>
      <c r="K2057" s="1365" t="n">
        <f aca="false">J2057/1792.8</f>
        <v>9.83701472556894</v>
      </c>
      <c r="L2057" s="1445" t="n">
        <v>10</v>
      </c>
      <c r="M2057" s="1408" t="n">
        <f aca="false">K2057*L2057/60</f>
        <v>1.63950245426149</v>
      </c>
    </row>
    <row r="2058" customFormat="false" ht="30" hidden="false" customHeight="false" outlineLevel="0" collapsed="false">
      <c r="A2058" s="216"/>
      <c r="B2058" s="40"/>
      <c r="C2058" s="1404" t="s">
        <v>6959</v>
      </c>
      <c r="D2058" s="1405" t="n">
        <v>2007</v>
      </c>
      <c r="E2058" s="1405" t="n">
        <f aca="false">2021-D2058</f>
        <v>14</v>
      </c>
      <c r="F2058" s="1406" t="n">
        <v>350000</v>
      </c>
      <c r="G2058" s="1407" t="n">
        <v>0.1</v>
      </c>
      <c r="H2058" s="1410" t="n">
        <f aca="false">E2058*F2058*G2058</f>
        <v>490000</v>
      </c>
      <c r="I2058" s="1410" t="n">
        <f aca="false">F2058-H2058</f>
        <v>-140000</v>
      </c>
      <c r="J2058" s="1410" t="n">
        <f aca="false">F2058*G2058</f>
        <v>35000</v>
      </c>
      <c r="K2058" s="1365" t="n">
        <f aca="false">J2058/1792.8</f>
        <v>19.5225345827755</v>
      </c>
      <c r="L2058" s="1445" t="n">
        <v>10</v>
      </c>
      <c r="M2058" s="1408" t="n">
        <f aca="false">K2058*L2058/60</f>
        <v>3.25375576379592</v>
      </c>
    </row>
    <row r="2059" customFormat="false" ht="30" hidden="false" customHeight="false" outlineLevel="0" collapsed="false">
      <c r="A2059" s="216"/>
      <c r="B2059" s="40"/>
      <c r="C2059" s="1404" t="s">
        <v>7072</v>
      </c>
      <c r="D2059" s="569" t="n">
        <v>2013</v>
      </c>
      <c r="E2059" s="569" t="n">
        <f aca="false">2021-D2059</f>
        <v>8</v>
      </c>
      <c r="F2059" s="1105" t="n">
        <v>300000</v>
      </c>
      <c r="G2059" s="1444" t="n">
        <v>0.1</v>
      </c>
      <c r="H2059" s="1105" t="n">
        <f aca="false">E2059*F2059*G2059</f>
        <v>240000</v>
      </c>
      <c r="I2059" s="1105" t="n">
        <f aca="false">F2059-H2059</f>
        <v>60000</v>
      </c>
      <c r="J2059" s="1105" t="n">
        <f aca="false">F2059*G2059</f>
        <v>30000</v>
      </c>
      <c r="K2059" s="1365" t="n">
        <f aca="false">J2059/1792.8</f>
        <v>16.7336010709505</v>
      </c>
      <c r="L2059" s="1105" t="n">
        <v>20</v>
      </c>
      <c r="M2059" s="865" t="n">
        <f aca="false">K2059*L2059/60</f>
        <v>5.57786702365016</v>
      </c>
    </row>
    <row r="2060" customFormat="false" ht="30" hidden="false" customHeight="false" outlineLevel="0" collapsed="false">
      <c r="A2060" s="216"/>
      <c r="B2060" s="40"/>
      <c r="C2060" s="1409" t="s">
        <v>6967</v>
      </c>
      <c r="D2060" s="569" t="n">
        <v>2016</v>
      </c>
      <c r="E2060" s="569" t="n">
        <f aca="false">2021-D2060</f>
        <v>5</v>
      </c>
      <c r="F2060" s="1105" t="n">
        <v>2302000</v>
      </c>
      <c r="G2060" s="1444" t="n">
        <v>0.1</v>
      </c>
      <c r="H2060" s="1105" t="n">
        <f aca="false">E2060*F2060*G2060</f>
        <v>1151000</v>
      </c>
      <c r="I2060" s="1105" t="n">
        <f aca="false">F2060-H2060</f>
        <v>1151000</v>
      </c>
      <c r="J2060" s="1105" t="n">
        <f aca="false">F2060*G2060</f>
        <v>230200</v>
      </c>
      <c r="K2060" s="1365" t="n">
        <f aca="false">J2060/1792.8</f>
        <v>128.402498884427</v>
      </c>
      <c r="L2060" s="1105" t="n">
        <v>10</v>
      </c>
      <c r="M2060" s="819" t="n">
        <f aca="false">K2060*L2060/60</f>
        <v>21.4004164807378</v>
      </c>
    </row>
    <row r="2061" customFormat="false" ht="15" hidden="false" customHeight="false" outlineLevel="0" collapsed="false">
      <c r="A2061" s="216"/>
      <c r="B2061" s="40"/>
      <c r="C2061" s="1404" t="s">
        <v>7075</v>
      </c>
      <c r="D2061" s="569" t="n">
        <v>2015</v>
      </c>
      <c r="E2061" s="569" t="n">
        <f aca="false">2021-D2061</f>
        <v>6</v>
      </c>
      <c r="F2061" s="1105" t="n">
        <v>1028020</v>
      </c>
      <c r="G2061" s="1444" t="n">
        <v>0.1</v>
      </c>
      <c r="H2061" s="1105" t="n">
        <f aca="false">E2061*F2061*G2061</f>
        <v>616812</v>
      </c>
      <c r="I2061" s="1105" t="n">
        <f aca="false">F2061-H2061</f>
        <v>411208</v>
      </c>
      <c r="J2061" s="1105" t="n">
        <f aca="false">F2061*G2061</f>
        <v>102802</v>
      </c>
      <c r="K2061" s="1365" t="n">
        <f aca="false">J2061/1792.8</f>
        <v>57.3415885765283</v>
      </c>
      <c r="L2061" s="1105" t="n">
        <v>60</v>
      </c>
      <c r="M2061" s="819" t="n">
        <f aca="false">K2061*L2061/60</f>
        <v>57.3415885765283</v>
      </c>
    </row>
    <row r="2062" customFormat="false" ht="30" hidden="false" customHeight="false" outlineLevel="0" collapsed="false">
      <c r="A2062" s="216"/>
      <c r="B2062" s="40"/>
      <c r="C2062" s="1404" t="s">
        <v>7070</v>
      </c>
      <c r="D2062" s="569" t="n">
        <v>2009</v>
      </c>
      <c r="E2062" s="569" t="n">
        <f aca="false">2021-D2062</f>
        <v>12</v>
      </c>
      <c r="F2062" s="1105" t="n">
        <v>181000</v>
      </c>
      <c r="G2062" s="1444" t="n">
        <v>0.1</v>
      </c>
      <c r="H2062" s="1105" t="n">
        <f aca="false">E2062*F2062*G2062</f>
        <v>217200</v>
      </c>
      <c r="I2062" s="1105" t="n">
        <f aca="false">F2062-H2062</f>
        <v>-36200</v>
      </c>
      <c r="J2062" s="1105" t="n">
        <f aca="false">F2062*G2062</f>
        <v>18100</v>
      </c>
      <c r="K2062" s="1365" t="n">
        <f aca="false">J2062/1792.8</f>
        <v>10.0959393128068</v>
      </c>
      <c r="L2062" s="1105" t="n">
        <v>10</v>
      </c>
      <c r="M2062" s="819" t="n">
        <f aca="false">K2062*L2062/60</f>
        <v>1.68265655213446</v>
      </c>
    </row>
    <row r="2063" customFormat="false" ht="30" hidden="false" customHeight="false" outlineLevel="0" collapsed="false">
      <c r="A2063" s="216"/>
      <c r="B2063" s="40"/>
      <c r="C2063" s="1404" t="s">
        <v>7073</v>
      </c>
      <c r="D2063" s="569" t="n">
        <v>2005</v>
      </c>
      <c r="E2063" s="569" t="n">
        <f aca="false">2021-D2063</f>
        <v>16</v>
      </c>
      <c r="F2063" s="1105" t="n">
        <v>39263</v>
      </c>
      <c r="G2063" s="1444" t="n">
        <v>0.15</v>
      </c>
      <c r="H2063" s="1105" t="n">
        <f aca="false">E2063*F2063*G2063</f>
        <v>94231.2</v>
      </c>
      <c r="I2063" s="1105" t="n">
        <f aca="false">F2063-H2063</f>
        <v>-54968.2</v>
      </c>
      <c r="J2063" s="1105" t="n">
        <f aca="false">F2063*G2063</f>
        <v>5889.45</v>
      </c>
      <c r="K2063" s="1365" t="n">
        <f aca="false">J2063/1792.8</f>
        <v>3.28505689424364</v>
      </c>
      <c r="L2063" s="1105" t="n">
        <v>10</v>
      </c>
      <c r="M2063" s="819" t="n">
        <f aca="false">K2063*L2063/60</f>
        <v>0.54750948237394</v>
      </c>
    </row>
    <row r="2064" customFormat="false" ht="30" hidden="false" customHeight="false" outlineLevel="0" collapsed="false">
      <c r="A2064" s="216"/>
      <c r="B2064" s="40"/>
      <c r="C2064" s="1404" t="s">
        <v>7077</v>
      </c>
      <c r="D2064" s="569" t="n">
        <v>2012</v>
      </c>
      <c r="E2064" s="569" t="n">
        <f aca="false">2021-D2064</f>
        <v>9</v>
      </c>
      <c r="F2064" s="1105" t="n">
        <v>19245353.86</v>
      </c>
      <c r="G2064" s="1444" t="n">
        <v>0.1</v>
      </c>
      <c r="H2064" s="1105" t="n">
        <f aca="false">E2064*F2064*G2064</f>
        <v>17320818.474</v>
      </c>
      <c r="I2064" s="1105" t="n">
        <f aca="false">F2064-H2064</f>
        <v>1924535.386</v>
      </c>
      <c r="J2064" s="1105" t="n">
        <f aca="false">F2064*G2064</f>
        <v>1924535.386</v>
      </c>
      <c r="K2064" s="1365" t="n">
        <f aca="false">J2064/1792.8</f>
        <v>1073.48024654172</v>
      </c>
      <c r="L2064" s="1105" t="n">
        <v>120</v>
      </c>
      <c r="M2064" s="819" t="n">
        <f aca="false">K2064*L2064/60</f>
        <v>2146.96049308345</v>
      </c>
    </row>
    <row r="2065" customFormat="false" ht="15" hidden="false" customHeight="false" outlineLevel="0" collapsed="false">
      <c r="A2065" s="216"/>
      <c r="B2065" s="1053" t="s">
        <v>4128</v>
      </c>
      <c r="C2065" s="1161"/>
      <c r="D2065" s="912"/>
      <c r="E2065" s="912"/>
      <c r="F2065" s="547"/>
      <c r="G2065" s="1413"/>
      <c r="H2065" s="547"/>
      <c r="I2065" s="547"/>
      <c r="J2065" s="547"/>
      <c r="K2065" s="1365" t="n">
        <f aca="false">J2065/1792.8</f>
        <v>0</v>
      </c>
      <c r="L2065" s="714" t="n">
        <f aca="false">SUM(L2056:L2064)</f>
        <v>260</v>
      </c>
      <c r="M2065" s="934" t="n">
        <f aca="false">SUM(M2056:M2064)</f>
        <v>2239.69204428826</v>
      </c>
    </row>
    <row r="2066" customFormat="false" ht="45" hidden="false" customHeight="false" outlineLevel="0" collapsed="false">
      <c r="A2066" s="216" t="s">
        <v>1101</v>
      </c>
      <c r="B2066" s="335" t="s">
        <v>3330</v>
      </c>
      <c r="C2066" s="1404" t="s">
        <v>7070</v>
      </c>
      <c r="D2066" s="569" t="n">
        <v>2009</v>
      </c>
      <c r="E2066" s="569" t="n">
        <f aca="false">2021-D2066</f>
        <v>12</v>
      </c>
      <c r="F2066" s="1105" t="n">
        <v>181000</v>
      </c>
      <c r="G2066" s="1444" t="n">
        <v>0.1</v>
      </c>
      <c r="H2066" s="1105" t="n">
        <f aca="false">E2066*F2066*G2066</f>
        <v>217200</v>
      </c>
      <c r="I2066" s="1105" t="n">
        <f aca="false">F2066-H2066</f>
        <v>-36200</v>
      </c>
      <c r="J2066" s="1105" t="n">
        <f aca="false">F2066*G2066</f>
        <v>18100</v>
      </c>
      <c r="K2066" s="1365" t="n">
        <f aca="false">J2066/1792.8</f>
        <v>10.0959393128068</v>
      </c>
      <c r="L2066" s="1105" t="n">
        <v>20</v>
      </c>
      <c r="M2066" s="865" t="n">
        <f aca="false">K2066*L2066/60</f>
        <v>3.36531310426893</v>
      </c>
    </row>
    <row r="2067" customFormat="false" ht="30" hidden="false" customHeight="false" outlineLevel="0" collapsed="false">
      <c r="A2067" s="216"/>
      <c r="B2067" s="40"/>
      <c r="C2067" s="1404" t="s">
        <v>6963</v>
      </c>
      <c r="D2067" s="1405" t="n">
        <v>2007</v>
      </c>
      <c r="E2067" s="1405" t="n">
        <f aca="false">2021-D2067</f>
        <v>14</v>
      </c>
      <c r="F2067" s="1406" t="n">
        <v>176358</v>
      </c>
      <c r="G2067" s="1407" t="n">
        <v>0.1</v>
      </c>
      <c r="H2067" s="1410" t="n">
        <f aca="false">E2067*F2067*G2067</f>
        <v>246901.2</v>
      </c>
      <c r="I2067" s="1410" t="n">
        <f aca="false">F2067-H2067</f>
        <v>-70543.2</v>
      </c>
      <c r="J2067" s="1410" t="n">
        <f aca="false">F2067*G2067</f>
        <v>17635.8</v>
      </c>
      <c r="K2067" s="1365" t="n">
        <f aca="false">J2067/1792.8</f>
        <v>9.83701472556894</v>
      </c>
      <c r="L2067" s="1445" t="n">
        <v>10</v>
      </c>
      <c r="M2067" s="1408" t="n">
        <f aca="false">K2067*L2067/60</f>
        <v>1.63950245426149</v>
      </c>
    </row>
    <row r="2068" customFormat="false" ht="30" hidden="false" customHeight="false" outlineLevel="0" collapsed="false">
      <c r="A2068" s="216"/>
      <c r="B2068" s="40"/>
      <c r="C2068" s="1404" t="s">
        <v>6959</v>
      </c>
      <c r="D2068" s="1405" t="n">
        <v>2007</v>
      </c>
      <c r="E2068" s="1405" t="n">
        <f aca="false">2021-D2068</f>
        <v>14</v>
      </c>
      <c r="F2068" s="1406" t="n">
        <v>350000</v>
      </c>
      <c r="G2068" s="1407" t="n">
        <v>0.1</v>
      </c>
      <c r="H2068" s="1410" t="n">
        <f aca="false">E2068*F2068*G2068</f>
        <v>490000</v>
      </c>
      <c r="I2068" s="1410" t="n">
        <f aca="false">F2068-H2068</f>
        <v>-140000</v>
      </c>
      <c r="J2068" s="1410" t="n">
        <f aca="false">F2068*G2068</f>
        <v>35000</v>
      </c>
      <c r="K2068" s="1365" t="n">
        <f aca="false">J2068/1792.8</f>
        <v>19.5225345827755</v>
      </c>
      <c r="L2068" s="1445" t="n">
        <v>10</v>
      </c>
      <c r="M2068" s="1408" t="n">
        <f aca="false">K2068*L2068/60</f>
        <v>3.25375576379592</v>
      </c>
    </row>
    <row r="2069" customFormat="false" ht="30" hidden="false" customHeight="false" outlineLevel="0" collapsed="false">
      <c r="A2069" s="216"/>
      <c r="B2069" s="40"/>
      <c r="C2069" s="1404" t="s">
        <v>7071</v>
      </c>
      <c r="D2069" s="569" t="n">
        <v>2006</v>
      </c>
      <c r="E2069" s="569" t="n">
        <f aca="false">2021-D2069</f>
        <v>15</v>
      </c>
      <c r="F2069" s="1105" t="n">
        <v>138575</v>
      </c>
      <c r="G2069" s="1444" t="n">
        <v>0.1</v>
      </c>
      <c r="H2069" s="1105" t="n">
        <f aca="false">E2069*F2069*G2069</f>
        <v>207862.5</v>
      </c>
      <c r="I2069" s="1105" t="n">
        <f aca="false">F2069-H2069</f>
        <v>-69287.5</v>
      </c>
      <c r="J2069" s="1105" t="n">
        <f aca="false">F2069*G2069</f>
        <v>13857.5</v>
      </c>
      <c r="K2069" s="1365" t="n">
        <f aca="false">J2069/1792.8</f>
        <v>7.7295292280232</v>
      </c>
      <c r="L2069" s="1105" t="n">
        <v>20</v>
      </c>
      <c r="M2069" s="865" t="n">
        <f aca="false">K2069*L2069/60</f>
        <v>2.5765097426744</v>
      </c>
    </row>
    <row r="2070" customFormat="false" ht="30" hidden="false" customHeight="false" outlineLevel="0" collapsed="false">
      <c r="A2070" s="216"/>
      <c r="B2070" s="40"/>
      <c r="C2070" s="1404" t="s">
        <v>7072</v>
      </c>
      <c r="D2070" s="569" t="n">
        <v>2013</v>
      </c>
      <c r="E2070" s="569" t="n">
        <f aca="false">2021-D2070</f>
        <v>8</v>
      </c>
      <c r="F2070" s="1105" t="n">
        <v>300000</v>
      </c>
      <c r="G2070" s="1444" t="n">
        <v>0.1</v>
      </c>
      <c r="H2070" s="1105" t="n">
        <f aca="false">E2070*F2070*G2070</f>
        <v>240000</v>
      </c>
      <c r="I2070" s="1105" t="n">
        <f aca="false">F2070-H2070</f>
        <v>60000</v>
      </c>
      <c r="J2070" s="1105" t="n">
        <f aca="false">F2070*G2070</f>
        <v>30000</v>
      </c>
      <c r="K2070" s="1365" t="n">
        <f aca="false">J2070/1792.8</f>
        <v>16.7336010709505</v>
      </c>
      <c r="L2070" s="1105" t="n">
        <v>50</v>
      </c>
      <c r="M2070" s="865" t="n">
        <f aca="false">K2070*L2070/60</f>
        <v>13.9446675591254</v>
      </c>
    </row>
    <row r="2071" customFormat="false" ht="30" hidden="false" customHeight="false" outlineLevel="0" collapsed="false">
      <c r="A2071" s="216"/>
      <c r="B2071" s="40"/>
      <c r="C2071" s="1409" t="s">
        <v>6967</v>
      </c>
      <c r="D2071" s="569" t="n">
        <v>2016</v>
      </c>
      <c r="E2071" s="569" t="n">
        <f aca="false">2021-D2071</f>
        <v>5</v>
      </c>
      <c r="F2071" s="1105" t="n">
        <v>2302000</v>
      </c>
      <c r="G2071" s="1444" t="n">
        <v>0.1</v>
      </c>
      <c r="H2071" s="1105" t="n">
        <f aca="false">E2071*F2071*G2071</f>
        <v>1151000</v>
      </c>
      <c r="I2071" s="547" t="n">
        <f aca="false">F2071-H2071</f>
        <v>1151000</v>
      </c>
      <c r="J2071" s="547" t="n">
        <f aca="false">F2071*G2071</f>
        <v>230200</v>
      </c>
      <c r="K2071" s="1365" t="n">
        <f aca="false">J2071/1792.8</f>
        <v>128.402498884427</v>
      </c>
      <c r="L2071" s="547" t="n">
        <v>10</v>
      </c>
      <c r="M2071" s="819" t="n">
        <f aca="false">K2071*L2071/60</f>
        <v>21.4004164807378</v>
      </c>
    </row>
    <row r="2072" customFormat="false" ht="15" hidden="false" customHeight="false" outlineLevel="0" collapsed="false">
      <c r="A2072" s="216"/>
      <c r="B2072" s="40"/>
      <c r="C2072" s="1404" t="s">
        <v>7075</v>
      </c>
      <c r="D2072" s="569" t="n">
        <v>2015</v>
      </c>
      <c r="E2072" s="569" t="n">
        <f aca="false">2021-D2072</f>
        <v>6</v>
      </c>
      <c r="F2072" s="1105" t="n">
        <v>1028020</v>
      </c>
      <c r="G2072" s="1444" t="n">
        <v>0.1</v>
      </c>
      <c r="H2072" s="1105" t="n">
        <f aca="false">E2072*F2072*G2072</f>
        <v>616812</v>
      </c>
      <c r="I2072" s="547" t="n">
        <f aca="false">F2072-H2072</f>
        <v>411208</v>
      </c>
      <c r="J2072" s="547" t="n">
        <f aca="false">F2072*G2072</f>
        <v>102802</v>
      </c>
      <c r="K2072" s="1365" t="n">
        <f aca="false">J2072/1792.8</f>
        <v>57.3415885765283</v>
      </c>
      <c r="L2072" s="547" t="n">
        <v>60</v>
      </c>
      <c r="M2072" s="819" t="n">
        <f aca="false">K2072*L2072/60</f>
        <v>57.3415885765283</v>
      </c>
    </row>
    <row r="2073" customFormat="false" ht="30" hidden="false" customHeight="false" outlineLevel="0" collapsed="false">
      <c r="A2073" s="216"/>
      <c r="B2073" s="40"/>
      <c r="C2073" s="1404" t="s">
        <v>7073</v>
      </c>
      <c r="D2073" s="569" t="n">
        <v>2005</v>
      </c>
      <c r="E2073" s="569" t="n">
        <f aca="false">2021-D2073</f>
        <v>16</v>
      </c>
      <c r="F2073" s="1105" t="n">
        <v>39263</v>
      </c>
      <c r="G2073" s="1444" t="n">
        <v>0.15</v>
      </c>
      <c r="H2073" s="1105" t="n">
        <f aca="false">E2073*F2073*G2073</f>
        <v>94231.2</v>
      </c>
      <c r="I2073" s="547" t="n">
        <f aca="false">F2073-H2073</f>
        <v>-54968.2</v>
      </c>
      <c r="J2073" s="547" t="n">
        <f aca="false">F2073*G2073</f>
        <v>5889.45</v>
      </c>
      <c r="K2073" s="1365" t="n">
        <f aca="false">J2073/1792.8</f>
        <v>3.28505689424364</v>
      </c>
      <c r="L2073" s="547" t="n">
        <v>20</v>
      </c>
      <c r="M2073" s="819" t="n">
        <f aca="false">K2073*L2073/60</f>
        <v>1.09501896474788</v>
      </c>
    </row>
    <row r="2074" customFormat="false" ht="30" hidden="false" customHeight="false" outlineLevel="0" collapsed="false">
      <c r="A2074" s="216"/>
      <c r="B2074" s="40"/>
      <c r="C2074" s="1161" t="s">
        <v>7074</v>
      </c>
      <c r="D2074" s="912" t="n">
        <v>2003</v>
      </c>
      <c r="E2074" s="912" t="n">
        <f aca="false">2021-D2074</f>
        <v>18</v>
      </c>
      <c r="F2074" s="547" t="n">
        <v>2471090</v>
      </c>
      <c r="G2074" s="1413" t="n">
        <v>0.1</v>
      </c>
      <c r="H2074" s="547" t="n">
        <f aca="false">E2074*F2074*G2074</f>
        <v>4447962</v>
      </c>
      <c r="I2074" s="547" t="n">
        <f aca="false">F2074-H2074</f>
        <v>-1976872</v>
      </c>
      <c r="J2074" s="547" t="n">
        <f aca="false">F2074*G2074</f>
        <v>247109</v>
      </c>
      <c r="K2074" s="1365" t="n">
        <f aca="false">J2074/1792.8</f>
        <v>137.834114234717</v>
      </c>
      <c r="L2074" s="547" t="n">
        <v>120</v>
      </c>
      <c r="M2074" s="819" t="n">
        <f aca="false">K2074*L2074/60</f>
        <v>275.668228469433</v>
      </c>
    </row>
    <row r="2075" customFormat="false" ht="15" hidden="false" customHeight="false" outlineLevel="0" collapsed="false">
      <c r="A2075" s="216"/>
      <c r="B2075" s="1053" t="s">
        <v>4128</v>
      </c>
      <c r="C2075" s="1161"/>
      <c r="D2075" s="912"/>
      <c r="E2075" s="912"/>
      <c r="F2075" s="547"/>
      <c r="G2075" s="1413"/>
      <c r="H2075" s="547"/>
      <c r="I2075" s="547"/>
      <c r="J2075" s="547"/>
      <c r="K2075" s="1365" t="n">
        <f aca="false">J2075/1792.8</f>
        <v>0</v>
      </c>
      <c r="L2075" s="714" t="n">
        <f aca="false">SUM(L2066:L2074)</f>
        <v>320</v>
      </c>
      <c r="M2075" s="934" t="n">
        <f aca="false">SUM(M2066:M2074)</f>
        <v>380.285001115573</v>
      </c>
    </row>
    <row r="2076" customFormat="false" ht="45" hidden="false" customHeight="false" outlineLevel="0" collapsed="false">
      <c r="A2076" s="216" t="s">
        <v>1102</v>
      </c>
      <c r="B2076" s="335" t="s">
        <v>3311</v>
      </c>
      <c r="C2076" s="1404" t="s">
        <v>7070</v>
      </c>
      <c r="D2076" s="569" t="n">
        <v>2009</v>
      </c>
      <c r="E2076" s="569" t="n">
        <f aca="false">2021-D2076</f>
        <v>12</v>
      </c>
      <c r="F2076" s="1105" t="n">
        <v>181000</v>
      </c>
      <c r="G2076" s="1444" t="n">
        <v>0.1</v>
      </c>
      <c r="H2076" s="1105" t="n">
        <f aca="false">E2076*F2076*G2076</f>
        <v>217200</v>
      </c>
      <c r="I2076" s="1105" t="n">
        <f aca="false">F2076-H2076</f>
        <v>-36200</v>
      </c>
      <c r="J2076" s="1105" t="n">
        <f aca="false">F2076*G2076</f>
        <v>18100</v>
      </c>
      <c r="K2076" s="1365" t="n">
        <f aca="false">J2076/1792.8</f>
        <v>10.0959393128068</v>
      </c>
      <c r="L2076" s="547" t="n">
        <v>10</v>
      </c>
      <c r="M2076" s="819" t="n">
        <f aca="false">K2076*L2076/60</f>
        <v>1.68265655213446</v>
      </c>
    </row>
    <row r="2077" customFormat="false" ht="30" hidden="false" customHeight="false" outlineLevel="0" collapsed="false">
      <c r="A2077" s="216"/>
      <c r="B2077" s="40"/>
      <c r="C2077" s="1404" t="s">
        <v>6963</v>
      </c>
      <c r="D2077" s="1405" t="n">
        <v>2007</v>
      </c>
      <c r="E2077" s="1405" t="n">
        <f aca="false">2021-D2077</f>
        <v>14</v>
      </c>
      <c r="F2077" s="1406" t="n">
        <v>176358</v>
      </c>
      <c r="G2077" s="1407" t="n">
        <v>0.1</v>
      </c>
      <c r="H2077" s="1410" t="n">
        <f aca="false">E2077*F2077*G2077</f>
        <v>246901.2</v>
      </c>
      <c r="I2077" s="1410" t="n">
        <f aca="false">F2077-H2077</f>
        <v>-70543.2</v>
      </c>
      <c r="J2077" s="1410" t="n">
        <f aca="false">F2077*G2077</f>
        <v>17635.8</v>
      </c>
      <c r="K2077" s="1365" t="n">
        <f aca="false">J2077/1792.8</f>
        <v>9.83701472556894</v>
      </c>
      <c r="L2077" s="1445" t="n">
        <v>10</v>
      </c>
      <c r="M2077" s="1408" t="n">
        <f aca="false">K2077*L2077/60</f>
        <v>1.63950245426149</v>
      </c>
    </row>
    <row r="2078" customFormat="false" ht="30" hidden="false" customHeight="false" outlineLevel="0" collapsed="false">
      <c r="A2078" s="216"/>
      <c r="B2078" s="40"/>
      <c r="C2078" s="1404" t="s">
        <v>6959</v>
      </c>
      <c r="D2078" s="1405" t="n">
        <v>2007</v>
      </c>
      <c r="E2078" s="1405" t="n">
        <f aca="false">2021-D2078</f>
        <v>14</v>
      </c>
      <c r="F2078" s="1406" t="n">
        <v>350000</v>
      </c>
      <c r="G2078" s="1407" t="n">
        <v>0.1</v>
      </c>
      <c r="H2078" s="1410" t="n">
        <f aca="false">E2078*F2078*G2078</f>
        <v>490000</v>
      </c>
      <c r="I2078" s="1410" t="n">
        <f aca="false">F2078-H2078</f>
        <v>-140000</v>
      </c>
      <c r="J2078" s="1410" t="n">
        <f aca="false">F2078*G2078</f>
        <v>35000</v>
      </c>
      <c r="K2078" s="1365" t="n">
        <f aca="false">J2078/1792.8</f>
        <v>19.5225345827755</v>
      </c>
      <c r="L2078" s="1445" t="n">
        <v>10</v>
      </c>
      <c r="M2078" s="1408" t="n">
        <f aca="false">K2078*L2078/60</f>
        <v>3.25375576379592</v>
      </c>
    </row>
    <row r="2079" customFormat="false" ht="30" hidden="false" customHeight="false" outlineLevel="0" collapsed="false">
      <c r="A2079" s="216"/>
      <c r="B2079" s="40"/>
      <c r="C2079" s="1161" t="s">
        <v>7071</v>
      </c>
      <c r="D2079" s="912" t="n">
        <v>2006</v>
      </c>
      <c r="E2079" s="912" t="n">
        <f aca="false">2021-D2079</f>
        <v>15</v>
      </c>
      <c r="F2079" s="547" t="n">
        <v>138575</v>
      </c>
      <c r="G2079" s="1413" t="n">
        <v>0.1</v>
      </c>
      <c r="H2079" s="547" t="n">
        <f aca="false">E2079*F2079*G2079</f>
        <v>207862.5</v>
      </c>
      <c r="I2079" s="547" t="n">
        <f aca="false">F2079-H2079</f>
        <v>-69287.5</v>
      </c>
      <c r="J2079" s="547" t="n">
        <f aca="false">F2079*G2079</f>
        <v>13857.5</v>
      </c>
      <c r="K2079" s="1365" t="n">
        <f aca="false">J2079/1792.8</f>
        <v>7.7295292280232</v>
      </c>
      <c r="L2079" s="547" t="n">
        <v>10</v>
      </c>
      <c r="M2079" s="819" t="n">
        <f aca="false">K2079*L2079/60</f>
        <v>1.2882548713372</v>
      </c>
    </row>
    <row r="2080" customFormat="false" ht="30" hidden="false" customHeight="false" outlineLevel="0" collapsed="false">
      <c r="A2080" s="216"/>
      <c r="B2080" s="40"/>
      <c r="C2080" s="1404" t="s">
        <v>7072</v>
      </c>
      <c r="D2080" s="569" t="n">
        <v>2013</v>
      </c>
      <c r="E2080" s="569" t="n">
        <f aca="false">2021-D2080</f>
        <v>8</v>
      </c>
      <c r="F2080" s="1105" t="n">
        <v>300000</v>
      </c>
      <c r="G2080" s="1444" t="n">
        <v>0.1</v>
      </c>
      <c r="H2080" s="1105" t="n">
        <f aca="false">E2080*F2080*G2080</f>
        <v>240000</v>
      </c>
      <c r="I2080" s="1105" t="n">
        <f aca="false">F2080-H2080</f>
        <v>60000</v>
      </c>
      <c r="J2080" s="1105" t="n">
        <f aca="false">F2080*G2080</f>
        <v>30000</v>
      </c>
      <c r="K2080" s="1365" t="n">
        <f aca="false">J2080/1792.8</f>
        <v>16.7336010709505</v>
      </c>
      <c r="L2080" s="1105" t="n">
        <v>30</v>
      </c>
      <c r="M2080" s="865" t="n">
        <f aca="false">K2080*L2080/60</f>
        <v>8.36680053547524</v>
      </c>
    </row>
    <row r="2081" customFormat="false" ht="30" hidden="false" customHeight="false" outlineLevel="0" collapsed="false">
      <c r="A2081" s="216"/>
      <c r="B2081" s="40"/>
      <c r="C2081" s="1409" t="s">
        <v>6967</v>
      </c>
      <c r="D2081" s="569" t="n">
        <v>2016</v>
      </c>
      <c r="E2081" s="569" t="n">
        <f aca="false">2021-D2081</f>
        <v>5</v>
      </c>
      <c r="F2081" s="1105" t="n">
        <v>2302000</v>
      </c>
      <c r="G2081" s="1444" t="n">
        <v>0.1</v>
      </c>
      <c r="H2081" s="1105" t="n">
        <f aca="false">E2081*F2081*G2081</f>
        <v>1151000</v>
      </c>
      <c r="I2081" s="547" t="n">
        <f aca="false">F2081-H2081</f>
        <v>1151000</v>
      </c>
      <c r="J2081" s="547" t="n">
        <f aca="false">F2081*G2081</f>
        <v>230200</v>
      </c>
      <c r="K2081" s="1365" t="n">
        <f aca="false">J2081/1792.8</f>
        <v>128.402498884427</v>
      </c>
      <c r="L2081" s="547" t="n">
        <v>10</v>
      </c>
      <c r="M2081" s="819" t="n">
        <f aca="false">K2081*L2081/60</f>
        <v>21.4004164807378</v>
      </c>
    </row>
    <row r="2082" customFormat="false" ht="15" hidden="false" customHeight="false" outlineLevel="0" collapsed="false">
      <c r="A2082" s="216"/>
      <c r="B2082" s="40"/>
      <c r="C2082" s="1404" t="s">
        <v>7075</v>
      </c>
      <c r="D2082" s="569" t="n">
        <v>2015</v>
      </c>
      <c r="E2082" s="569" t="n">
        <f aca="false">2021-D2082</f>
        <v>6</v>
      </c>
      <c r="F2082" s="1105" t="n">
        <v>1028020</v>
      </c>
      <c r="G2082" s="1444" t="n">
        <v>0.1</v>
      </c>
      <c r="H2082" s="1105" t="n">
        <f aca="false">E2082*F2082*G2082</f>
        <v>616812</v>
      </c>
      <c r="I2082" s="547" t="n">
        <f aca="false">F2082-H2082</f>
        <v>411208</v>
      </c>
      <c r="J2082" s="547" t="n">
        <f aca="false">F2082*G2082</f>
        <v>102802</v>
      </c>
      <c r="K2082" s="1365" t="n">
        <f aca="false">J2082/1792.8</f>
        <v>57.3415885765283</v>
      </c>
      <c r="L2082" s="547" t="n">
        <v>60</v>
      </c>
      <c r="M2082" s="819" t="n">
        <f aca="false">K2082*L2082/60</f>
        <v>57.3415885765283</v>
      </c>
    </row>
    <row r="2083" customFormat="false" ht="30" hidden="false" customHeight="false" outlineLevel="0" collapsed="false">
      <c r="A2083" s="216"/>
      <c r="B2083" s="40"/>
      <c r="C2083" s="1404" t="s">
        <v>7073</v>
      </c>
      <c r="D2083" s="569" t="n">
        <v>2005</v>
      </c>
      <c r="E2083" s="569" t="n">
        <f aca="false">2021-D2083</f>
        <v>16</v>
      </c>
      <c r="F2083" s="1105" t="n">
        <v>39263</v>
      </c>
      <c r="G2083" s="1444" t="n">
        <v>0.15</v>
      </c>
      <c r="H2083" s="1105" t="n">
        <f aca="false">E2083*F2083*G2083</f>
        <v>94231.2</v>
      </c>
      <c r="I2083" s="547" t="n">
        <f aca="false">F2083-H2083</f>
        <v>-54968.2</v>
      </c>
      <c r="J2083" s="547" t="n">
        <f aca="false">F2083*G2083</f>
        <v>5889.45</v>
      </c>
      <c r="K2083" s="1365" t="n">
        <f aca="false">J2083/1792.8</f>
        <v>3.28505689424364</v>
      </c>
      <c r="L2083" s="547" t="n">
        <v>20</v>
      </c>
      <c r="M2083" s="819" t="n">
        <f aca="false">K2083*L2083/60</f>
        <v>1.09501896474788</v>
      </c>
    </row>
    <row r="2084" customFormat="false" ht="30" hidden="false" customHeight="false" outlineLevel="0" collapsed="false">
      <c r="A2084" s="216"/>
      <c r="B2084" s="40"/>
      <c r="C2084" s="1161" t="s">
        <v>7074</v>
      </c>
      <c r="D2084" s="912" t="n">
        <v>2003</v>
      </c>
      <c r="E2084" s="912" t="n">
        <f aca="false">2021-D2084</f>
        <v>18</v>
      </c>
      <c r="F2084" s="547" t="n">
        <v>2471090</v>
      </c>
      <c r="G2084" s="1413" t="n">
        <v>0.1</v>
      </c>
      <c r="H2084" s="547" t="n">
        <f aca="false">E2084*F2084*G2084</f>
        <v>4447962</v>
      </c>
      <c r="I2084" s="547" t="n">
        <f aca="false">F2084-H2084</f>
        <v>-1976872</v>
      </c>
      <c r="J2084" s="547" t="n">
        <f aca="false">F2084*G2084</f>
        <v>247109</v>
      </c>
      <c r="K2084" s="1365" t="n">
        <f aca="false">J2084/1792.8</f>
        <v>137.834114234717</v>
      </c>
      <c r="L2084" s="547" t="n">
        <v>120</v>
      </c>
      <c r="M2084" s="819" t="n">
        <f aca="false">K2084*L2084/60</f>
        <v>275.668228469433</v>
      </c>
    </row>
    <row r="2085" customFormat="false" ht="15" hidden="false" customHeight="false" outlineLevel="0" collapsed="false">
      <c r="A2085" s="216"/>
      <c r="B2085" s="1053" t="s">
        <v>4128</v>
      </c>
      <c r="C2085" s="1161"/>
      <c r="D2085" s="912"/>
      <c r="E2085" s="912"/>
      <c r="F2085" s="547"/>
      <c r="G2085" s="1413"/>
      <c r="H2085" s="547"/>
      <c r="I2085" s="547"/>
      <c r="J2085" s="547"/>
      <c r="K2085" s="1365" t="n">
        <f aca="false">J2085/1792.8</f>
        <v>0</v>
      </c>
      <c r="L2085" s="714" t="n">
        <f aca="false">SUM(L2076:L2084)</f>
        <v>280</v>
      </c>
      <c r="M2085" s="934" t="n">
        <f aca="false">SUM(M2076:M2084)</f>
        <v>371.736222668452</v>
      </c>
    </row>
    <row r="2086" customFormat="false" ht="30" hidden="false" customHeight="false" outlineLevel="0" collapsed="false">
      <c r="A2086" s="216" t="s">
        <v>1103</v>
      </c>
      <c r="B2086" s="340" t="s">
        <v>3331</v>
      </c>
      <c r="C2086" s="1404" t="s">
        <v>7071</v>
      </c>
      <c r="D2086" s="569" t="n">
        <v>2006</v>
      </c>
      <c r="E2086" s="569" t="n">
        <f aca="false">2021-D2086</f>
        <v>15</v>
      </c>
      <c r="F2086" s="1105" t="n">
        <v>138575</v>
      </c>
      <c r="G2086" s="1444" t="n">
        <v>0.1</v>
      </c>
      <c r="H2086" s="1105" t="n">
        <f aca="false">E2086*F2086*G2086</f>
        <v>207862.5</v>
      </c>
      <c r="I2086" s="1105" t="n">
        <f aca="false">F2086-H2086</f>
        <v>-69287.5</v>
      </c>
      <c r="J2086" s="1105" t="n">
        <f aca="false">F2086*G2086</f>
        <v>13857.5</v>
      </c>
      <c r="K2086" s="1365" t="n">
        <f aca="false">J2086/1792.8</f>
        <v>7.7295292280232</v>
      </c>
      <c r="L2086" s="1105" t="n">
        <v>20</v>
      </c>
      <c r="M2086" s="865" t="n">
        <f aca="false">K2086*L2086/60</f>
        <v>2.5765097426744</v>
      </c>
    </row>
    <row r="2087" customFormat="false" ht="30" hidden="false" customHeight="false" outlineLevel="0" collapsed="false">
      <c r="A2087" s="216"/>
      <c r="B2087" s="40"/>
      <c r="C2087" s="1404" t="s">
        <v>6963</v>
      </c>
      <c r="D2087" s="1405" t="n">
        <v>2007</v>
      </c>
      <c r="E2087" s="1405" t="n">
        <f aca="false">2021-D2087</f>
        <v>14</v>
      </c>
      <c r="F2087" s="1406" t="n">
        <v>176358</v>
      </c>
      <c r="G2087" s="1407" t="n">
        <v>0.1</v>
      </c>
      <c r="H2087" s="1410" t="n">
        <f aca="false">E2087*F2087*G2087</f>
        <v>246901.2</v>
      </c>
      <c r="I2087" s="1410" t="n">
        <f aca="false">F2087-H2087</f>
        <v>-70543.2</v>
      </c>
      <c r="J2087" s="1410" t="n">
        <f aca="false">F2087*G2087</f>
        <v>17635.8</v>
      </c>
      <c r="K2087" s="1365" t="n">
        <f aca="false">J2087/1792.8</f>
        <v>9.83701472556894</v>
      </c>
      <c r="L2087" s="1445" t="n">
        <v>10</v>
      </c>
      <c r="M2087" s="1408" t="n">
        <f aca="false">K2087*L2087/60</f>
        <v>1.63950245426149</v>
      </c>
    </row>
    <row r="2088" customFormat="false" ht="30" hidden="false" customHeight="false" outlineLevel="0" collapsed="false">
      <c r="A2088" s="216"/>
      <c r="B2088" s="40"/>
      <c r="C2088" s="1404" t="s">
        <v>6959</v>
      </c>
      <c r="D2088" s="1405" t="n">
        <v>2007</v>
      </c>
      <c r="E2088" s="1405" t="n">
        <f aca="false">2021-D2088</f>
        <v>14</v>
      </c>
      <c r="F2088" s="1406" t="n">
        <v>350000</v>
      </c>
      <c r="G2088" s="1407" t="n">
        <v>0.1</v>
      </c>
      <c r="H2088" s="1410" t="n">
        <f aca="false">E2088*F2088*G2088</f>
        <v>490000</v>
      </c>
      <c r="I2088" s="1410" t="n">
        <f aca="false">F2088-H2088</f>
        <v>-140000</v>
      </c>
      <c r="J2088" s="1410" t="n">
        <f aca="false">F2088*G2088</f>
        <v>35000</v>
      </c>
      <c r="K2088" s="1365" t="n">
        <f aca="false">J2088/1792.8</f>
        <v>19.5225345827755</v>
      </c>
      <c r="L2088" s="1445" t="n">
        <v>10</v>
      </c>
      <c r="M2088" s="1408" t="n">
        <f aca="false">K2088*L2088/60</f>
        <v>3.25375576379592</v>
      </c>
    </row>
    <row r="2089" customFormat="false" ht="30" hidden="false" customHeight="false" outlineLevel="0" collapsed="false">
      <c r="A2089" s="216"/>
      <c r="B2089" s="40"/>
      <c r="C2089" s="1404" t="s">
        <v>7072</v>
      </c>
      <c r="D2089" s="569" t="n">
        <v>2013</v>
      </c>
      <c r="E2089" s="569" t="n">
        <f aca="false">2021-D2089</f>
        <v>8</v>
      </c>
      <c r="F2089" s="1105" t="n">
        <v>300000</v>
      </c>
      <c r="G2089" s="1444" t="n">
        <v>0.1</v>
      </c>
      <c r="H2089" s="1105" t="n">
        <f aca="false">E2089*F2089*G2089</f>
        <v>240000</v>
      </c>
      <c r="I2089" s="1105" t="n">
        <f aca="false">F2089-H2089</f>
        <v>60000</v>
      </c>
      <c r="J2089" s="1105" t="n">
        <f aca="false">F2089*G2089</f>
        <v>30000</v>
      </c>
      <c r="K2089" s="1365" t="n">
        <f aca="false">J2089/1792.8</f>
        <v>16.7336010709505</v>
      </c>
      <c r="L2089" s="1105" t="n">
        <v>20</v>
      </c>
      <c r="M2089" s="865" t="n">
        <f aca="false">K2089*L2089/60</f>
        <v>5.57786702365016</v>
      </c>
    </row>
    <row r="2090" customFormat="false" ht="30" hidden="false" customHeight="false" outlineLevel="0" collapsed="false">
      <c r="A2090" s="216"/>
      <c r="B2090" s="40"/>
      <c r="C2090" s="1409" t="s">
        <v>6967</v>
      </c>
      <c r="D2090" s="569" t="n">
        <v>2016</v>
      </c>
      <c r="E2090" s="569" t="n">
        <f aca="false">2021-D2090</f>
        <v>5</v>
      </c>
      <c r="F2090" s="1105" t="n">
        <v>2302000</v>
      </c>
      <c r="G2090" s="1444" t="n">
        <v>0.1</v>
      </c>
      <c r="H2090" s="1105" t="n">
        <f aca="false">E2090*F2090*G2090</f>
        <v>1151000</v>
      </c>
      <c r="I2090" s="1105" t="n">
        <f aca="false">F2090-H2090</f>
        <v>1151000</v>
      </c>
      <c r="J2090" s="547" t="n">
        <f aca="false">F2090*G2090</f>
        <v>230200</v>
      </c>
      <c r="K2090" s="1365" t="n">
        <f aca="false">J2090/1792.8</f>
        <v>128.402498884427</v>
      </c>
      <c r="L2090" s="547" t="n">
        <v>10</v>
      </c>
      <c r="M2090" s="819" t="n">
        <f aca="false">K2090*L2090/60</f>
        <v>21.4004164807378</v>
      </c>
    </row>
    <row r="2091" customFormat="false" ht="15" hidden="false" customHeight="false" outlineLevel="0" collapsed="false">
      <c r="A2091" s="216"/>
      <c r="B2091" s="40"/>
      <c r="C2091" s="1404" t="s">
        <v>7075</v>
      </c>
      <c r="D2091" s="569" t="n">
        <v>2015</v>
      </c>
      <c r="E2091" s="569" t="n">
        <f aca="false">2021-D2091</f>
        <v>6</v>
      </c>
      <c r="F2091" s="1105" t="n">
        <v>1028020</v>
      </c>
      <c r="G2091" s="1444" t="n">
        <v>0.1</v>
      </c>
      <c r="H2091" s="1105" t="n">
        <f aca="false">E2091*F2091*G2091</f>
        <v>616812</v>
      </c>
      <c r="I2091" s="1105" t="n">
        <f aca="false">F2091-H2091</f>
        <v>411208</v>
      </c>
      <c r="J2091" s="547" t="n">
        <f aca="false">F2091*G2091</f>
        <v>102802</v>
      </c>
      <c r="K2091" s="1365" t="n">
        <f aca="false">J2091/1792.8</f>
        <v>57.3415885765283</v>
      </c>
      <c r="L2091" s="547" t="n">
        <v>60</v>
      </c>
      <c r="M2091" s="819" t="n">
        <f aca="false">K2091*L2091/60</f>
        <v>57.3415885765283</v>
      </c>
    </row>
    <row r="2092" customFormat="false" ht="30" hidden="false" customHeight="false" outlineLevel="0" collapsed="false">
      <c r="A2092" s="216"/>
      <c r="B2092" s="40"/>
      <c r="C2092" s="1404" t="s">
        <v>7073</v>
      </c>
      <c r="D2092" s="569" t="n">
        <v>2005</v>
      </c>
      <c r="E2092" s="569" t="n">
        <f aca="false">2021-D2092</f>
        <v>16</v>
      </c>
      <c r="F2092" s="1105" t="n">
        <v>39263</v>
      </c>
      <c r="G2092" s="1444" t="n">
        <v>0.15</v>
      </c>
      <c r="H2092" s="1105" t="n">
        <f aca="false">E2092*F2092*G2092</f>
        <v>94231.2</v>
      </c>
      <c r="I2092" s="1105" t="n">
        <f aca="false">F2092-H2092</f>
        <v>-54968.2</v>
      </c>
      <c r="J2092" s="547" t="n">
        <f aca="false">F2092*G2092</f>
        <v>5889.45</v>
      </c>
      <c r="K2092" s="1365" t="n">
        <f aca="false">J2092/1792.8</f>
        <v>3.28505689424364</v>
      </c>
      <c r="L2092" s="547" t="n">
        <v>10</v>
      </c>
      <c r="M2092" s="819" t="n">
        <f aca="false">K2092*L2092/60</f>
        <v>0.54750948237394</v>
      </c>
    </row>
    <row r="2093" customFormat="false" ht="30" hidden="false" customHeight="false" outlineLevel="0" collapsed="false">
      <c r="A2093" s="216"/>
      <c r="B2093" s="40"/>
      <c r="C2093" s="1404" t="s">
        <v>7078</v>
      </c>
      <c r="D2093" s="569" t="n">
        <v>2012</v>
      </c>
      <c r="E2093" s="569" t="n">
        <f aca="false">2021-D2093</f>
        <v>9</v>
      </c>
      <c r="F2093" s="1105" t="n">
        <v>12268394.74</v>
      </c>
      <c r="G2093" s="1444" t="n">
        <v>0.1</v>
      </c>
      <c r="H2093" s="1105" t="n">
        <f aca="false">E2093*F2093*G2093</f>
        <v>11041555.266</v>
      </c>
      <c r="I2093" s="1105" t="n">
        <f aca="false">F2093-H2093</f>
        <v>1226839.474</v>
      </c>
      <c r="J2093" s="547" t="n">
        <f aca="false">F2093*G2093</f>
        <v>1226839.474</v>
      </c>
      <c r="K2093" s="1365" t="n">
        <f aca="false">J2093/1792.8</f>
        <v>684.31474453369</v>
      </c>
      <c r="L2093" s="547" t="n">
        <v>120</v>
      </c>
      <c r="M2093" s="819" t="n">
        <f aca="false">K2093*L2093/60</f>
        <v>1368.62948906738</v>
      </c>
    </row>
    <row r="2094" customFormat="false" ht="15" hidden="false" customHeight="false" outlineLevel="0" collapsed="false">
      <c r="A2094" s="216"/>
      <c r="B2094" s="40"/>
      <c r="C2094" s="1161"/>
      <c r="D2094" s="912"/>
      <c r="E2094" s="912"/>
      <c r="F2094" s="547"/>
      <c r="G2094" s="1413"/>
      <c r="H2094" s="547"/>
      <c r="I2094" s="547"/>
      <c r="J2094" s="547"/>
      <c r="K2094" s="1365" t="n">
        <f aca="false">J2094/1792.8</f>
        <v>0</v>
      </c>
      <c r="L2094" s="714" t="n">
        <f aca="false">SUM(L2086:L2093)</f>
        <v>260</v>
      </c>
      <c r="M2094" s="934" t="n">
        <f aca="false">SUM(M2086:M2093)</f>
        <v>1460.9666385914</v>
      </c>
    </row>
    <row r="2095" customFormat="false" ht="30" hidden="false" customHeight="false" outlineLevel="0" collapsed="false">
      <c r="A2095" s="216" t="s">
        <v>1105</v>
      </c>
      <c r="B2095" s="40" t="s">
        <v>3309</v>
      </c>
      <c r="C2095" s="1404" t="s">
        <v>7071</v>
      </c>
      <c r="D2095" s="569" t="n">
        <v>2006</v>
      </c>
      <c r="E2095" s="569" t="n">
        <f aca="false">2021-D2095</f>
        <v>15</v>
      </c>
      <c r="F2095" s="1105" t="n">
        <v>138575</v>
      </c>
      <c r="G2095" s="1444" t="n">
        <v>0.1</v>
      </c>
      <c r="H2095" s="1105" t="n">
        <f aca="false">E2095*F2095*G2095</f>
        <v>207862.5</v>
      </c>
      <c r="I2095" s="1105" t="n">
        <f aca="false">F2095-H2095</f>
        <v>-69287.5</v>
      </c>
      <c r="J2095" s="1105" t="n">
        <f aca="false">F2095*G2095</f>
        <v>13857.5</v>
      </c>
      <c r="K2095" s="1365" t="n">
        <f aca="false">J2095/1792.8</f>
        <v>7.7295292280232</v>
      </c>
      <c r="L2095" s="547" t="n">
        <v>10</v>
      </c>
      <c r="M2095" s="819" t="n">
        <f aca="false">K2095*L2095/60</f>
        <v>1.2882548713372</v>
      </c>
    </row>
    <row r="2096" customFormat="false" ht="30" hidden="false" customHeight="false" outlineLevel="0" collapsed="false">
      <c r="A2096" s="216"/>
      <c r="B2096" s="40"/>
      <c r="C2096" s="1404" t="s">
        <v>6963</v>
      </c>
      <c r="D2096" s="1405" t="n">
        <v>2007</v>
      </c>
      <c r="E2096" s="1405" t="n">
        <f aca="false">2021-D2096</f>
        <v>14</v>
      </c>
      <c r="F2096" s="1406" t="n">
        <v>176358</v>
      </c>
      <c r="G2096" s="1407" t="n">
        <v>0.1</v>
      </c>
      <c r="H2096" s="1410" t="n">
        <f aca="false">E2096*F2096*G2096</f>
        <v>246901.2</v>
      </c>
      <c r="I2096" s="1410" t="n">
        <f aca="false">F2096-H2096</f>
        <v>-70543.2</v>
      </c>
      <c r="J2096" s="1410" t="n">
        <f aca="false">F2096*G2096</f>
        <v>17635.8</v>
      </c>
      <c r="K2096" s="1365" t="n">
        <f aca="false">J2096/1792.8</f>
        <v>9.83701472556894</v>
      </c>
      <c r="L2096" s="1445" t="n">
        <v>10</v>
      </c>
      <c r="M2096" s="1408" t="n">
        <f aca="false">K2096*L2096/60</f>
        <v>1.63950245426149</v>
      </c>
    </row>
    <row r="2097" customFormat="false" ht="30" hidden="false" customHeight="false" outlineLevel="0" collapsed="false">
      <c r="A2097" s="216"/>
      <c r="B2097" s="40"/>
      <c r="C2097" s="1404" t="s">
        <v>6959</v>
      </c>
      <c r="D2097" s="1405" t="n">
        <v>2007</v>
      </c>
      <c r="E2097" s="1405" t="n">
        <f aca="false">2021-D2097</f>
        <v>14</v>
      </c>
      <c r="F2097" s="1406" t="n">
        <v>350000</v>
      </c>
      <c r="G2097" s="1407" t="n">
        <v>0.1</v>
      </c>
      <c r="H2097" s="1410" t="n">
        <f aca="false">E2097*F2097*G2097</f>
        <v>490000</v>
      </c>
      <c r="I2097" s="1410" t="n">
        <f aca="false">F2097-H2097</f>
        <v>-140000</v>
      </c>
      <c r="J2097" s="1410" t="n">
        <f aca="false">F2097*G2097</f>
        <v>35000</v>
      </c>
      <c r="K2097" s="1365" t="n">
        <f aca="false">J2097/1792.8</f>
        <v>19.5225345827755</v>
      </c>
      <c r="L2097" s="1445" t="n">
        <v>10</v>
      </c>
      <c r="M2097" s="1408" t="n">
        <f aca="false">K2097*L2097/60</f>
        <v>3.25375576379592</v>
      </c>
    </row>
    <row r="2098" customFormat="false" ht="30" hidden="false" customHeight="false" outlineLevel="0" collapsed="false">
      <c r="A2098" s="216"/>
      <c r="B2098" s="40"/>
      <c r="C2098" s="1404" t="s">
        <v>7070</v>
      </c>
      <c r="D2098" s="569" t="n">
        <v>2009</v>
      </c>
      <c r="E2098" s="569" t="n">
        <f aca="false">2021-D2098</f>
        <v>12</v>
      </c>
      <c r="F2098" s="1105" t="n">
        <v>181000</v>
      </c>
      <c r="G2098" s="1444" t="n">
        <v>0.1</v>
      </c>
      <c r="H2098" s="1105" t="n">
        <f aca="false">E2098*F2098*G2098</f>
        <v>217200</v>
      </c>
      <c r="I2098" s="1105" t="n">
        <f aca="false">F2098-H2098</f>
        <v>-36200</v>
      </c>
      <c r="J2098" s="1105" t="n">
        <f aca="false">F2098*G2098</f>
        <v>18100</v>
      </c>
      <c r="K2098" s="1365" t="n">
        <f aca="false">J2098/1792.8</f>
        <v>10.0959393128068</v>
      </c>
      <c r="L2098" s="547" t="n">
        <v>10</v>
      </c>
      <c r="M2098" s="819" t="n">
        <f aca="false">K2098*L2098/60</f>
        <v>1.68265655213446</v>
      </c>
    </row>
    <row r="2099" customFormat="false" ht="30" hidden="false" customHeight="false" outlineLevel="0" collapsed="false">
      <c r="A2099" s="216"/>
      <c r="B2099" s="40"/>
      <c r="C2099" s="1404" t="s">
        <v>7072</v>
      </c>
      <c r="D2099" s="569" t="n">
        <v>2013</v>
      </c>
      <c r="E2099" s="569" t="n">
        <f aca="false">2021-D2099</f>
        <v>8</v>
      </c>
      <c r="F2099" s="1105" t="n">
        <v>300000</v>
      </c>
      <c r="G2099" s="1444" t="n">
        <v>0.1</v>
      </c>
      <c r="H2099" s="1105" t="n">
        <f aca="false">E2099*F2099*G2099</f>
        <v>240000</v>
      </c>
      <c r="I2099" s="1105" t="n">
        <f aca="false">F2099-H2099</f>
        <v>60000</v>
      </c>
      <c r="J2099" s="1105" t="n">
        <f aca="false">F2099*G2099</f>
        <v>30000</v>
      </c>
      <c r="K2099" s="1365" t="n">
        <f aca="false">J2099/1792.8</f>
        <v>16.7336010709505</v>
      </c>
      <c r="L2099" s="1105" t="n">
        <v>10</v>
      </c>
      <c r="M2099" s="865" t="n">
        <f aca="false">K2099*L2099/60</f>
        <v>2.78893351182508</v>
      </c>
    </row>
    <row r="2100" customFormat="false" ht="30" hidden="false" customHeight="false" outlineLevel="0" collapsed="false">
      <c r="A2100" s="216"/>
      <c r="B2100" s="40"/>
      <c r="C2100" s="1409" t="s">
        <v>6967</v>
      </c>
      <c r="D2100" s="569" t="n">
        <v>2016</v>
      </c>
      <c r="E2100" s="569" t="n">
        <f aca="false">2021-D2100</f>
        <v>5</v>
      </c>
      <c r="F2100" s="1105" t="n">
        <v>2302000</v>
      </c>
      <c r="G2100" s="1444" t="n">
        <v>0.1</v>
      </c>
      <c r="H2100" s="1105" t="n">
        <f aca="false">E2100*F2100*G2100</f>
        <v>1151000</v>
      </c>
      <c r="I2100" s="1105" t="n">
        <f aca="false">F2100-H2100</f>
        <v>1151000</v>
      </c>
      <c r="J2100" s="547" t="n">
        <f aca="false">F2100*G2100</f>
        <v>230200</v>
      </c>
      <c r="K2100" s="1365" t="n">
        <f aca="false">J2100/1792.8</f>
        <v>128.402498884427</v>
      </c>
      <c r="L2100" s="547" t="n">
        <v>10</v>
      </c>
      <c r="M2100" s="819" t="n">
        <f aca="false">K2100*L2100/60</f>
        <v>21.4004164807378</v>
      </c>
    </row>
    <row r="2101" customFormat="false" ht="15" hidden="false" customHeight="false" outlineLevel="0" collapsed="false">
      <c r="A2101" s="216"/>
      <c r="B2101" s="40"/>
      <c r="C2101" s="1404" t="s">
        <v>7075</v>
      </c>
      <c r="D2101" s="569" t="n">
        <v>2015</v>
      </c>
      <c r="E2101" s="569" t="n">
        <f aca="false">2021-D2101</f>
        <v>6</v>
      </c>
      <c r="F2101" s="1105" t="n">
        <v>1028020</v>
      </c>
      <c r="G2101" s="1444" t="n">
        <v>0.1</v>
      </c>
      <c r="H2101" s="1105" t="n">
        <f aca="false">E2101*F2101*G2101</f>
        <v>616812</v>
      </c>
      <c r="I2101" s="1105" t="n">
        <f aca="false">F2101-H2101</f>
        <v>411208</v>
      </c>
      <c r="J2101" s="547" t="n">
        <f aca="false">F2101*G2101</f>
        <v>102802</v>
      </c>
      <c r="K2101" s="1365" t="n">
        <f aca="false">J2101/1792.8</f>
        <v>57.3415885765283</v>
      </c>
      <c r="L2101" s="547" t="n">
        <v>60</v>
      </c>
      <c r="M2101" s="819" t="n">
        <f aca="false">K2101*L2101/60</f>
        <v>57.3415885765283</v>
      </c>
    </row>
    <row r="2102" customFormat="false" ht="30" hidden="false" customHeight="false" outlineLevel="0" collapsed="false">
      <c r="A2102" s="216"/>
      <c r="B2102" s="40"/>
      <c r="C2102" s="1404" t="s">
        <v>7073</v>
      </c>
      <c r="D2102" s="569" t="n">
        <v>2005</v>
      </c>
      <c r="E2102" s="569" t="n">
        <f aca="false">2021-D2102</f>
        <v>16</v>
      </c>
      <c r="F2102" s="1105" t="n">
        <v>39263</v>
      </c>
      <c r="G2102" s="1444" t="n">
        <v>0.15</v>
      </c>
      <c r="H2102" s="1105" t="n">
        <f aca="false">E2102*F2102*G2102</f>
        <v>94231.2</v>
      </c>
      <c r="I2102" s="1105" t="n">
        <f aca="false">F2102-H2102</f>
        <v>-54968.2</v>
      </c>
      <c r="J2102" s="547" t="n">
        <f aca="false">F2102*G2102</f>
        <v>5889.45</v>
      </c>
      <c r="K2102" s="1365" t="n">
        <f aca="false">J2102/1792.8</f>
        <v>3.28505689424364</v>
      </c>
      <c r="L2102" s="547" t="n">
        <v>10</v>
      </c>
      <c r="M2102" s="819" t="n">
        <f aca="false">K2102*L2102/60</f>
        <v>0.54750948237394</v>
      </c>
    </row>
    <row r="2103" customFormat="false" ht="30" hidden="false" customHeight="false" outlineLevel="0" collapsed="false">
      <c r="A2103" s="216"/>
      <c r="B2103" s="40"/>
      <c r="C2103" s="1404" t="s">
        <v>7077</v>
      </c>
      <c r="D2103" s="569" t="n">
        <v>2012</v>
      </c>
      <c r="E2103" s="569" t="n">
        <f aca="false">2021-D2103</f>
        <v>9</v>
      </c>
      <c r="F2103" s="1105" t="n">
        <v>19245353.86</v>
      </c>
      <c r="G2103" s="1444" t="n">
        <v>0.1</v>
      </c>
      <c r="H2103" s="1105" t="n">
        <f aca="false">E2103*F2103*G2103</f>
        <v>17320818.474</v>
      </c>
      <c r="I2103" s="1105" t="n">
        <f aca="false">F2103-H2103</f>
        <v>1924535.386</v>
      </c>
      <c r="J2103" s="547" t="n">
        <f aca="false">F2103*G2103</f>
        <v>1924535.386</v>
      </c>
      <c r="K2103" s="1365" t="n">
        <f aca="false">J2103/1792.8</f>
        <v>1073.48024654172</v>
      </c>
      <c r="L2103" s="547" t="n">
        <v>130</v>
      </c>
      <c r="M2103" s="819" t="n">
        <f aca="false">K2103*L2103/60</f>
        <v>2325.87386750707</v>
      </c>
    </row>
    <row r="2104" customFormat="false" ht="15" hidden="false" customHeight="false" outlineLevel="0" collapsed="false">
      <c r="A2104" s="216"/>
      <c r="B2104" s="1053" t="s">
        <v>4128</v>
      </c>
      <c r="C2104" s="1161"/>
      <c r="D2104" s="912"/>
      <c r="E2104" s="912"/>
      <c r="F2104" s="547"/>
      <c r="G2104" s="1413"/>
      <c r="H2104" s="547"/>
      <c r="I2104" s="547"/>
      <c r="J2104" s="547"/>
      <c r="K2104" s="1365" t="n">
        <f aca="false">J2104/1792.8</f>
        <v>0</v>
      </c>
      <c r="L2104" s="714" t="n">
        <f aca="false">SUM(L2095:L2103)</f>
        <v>260</v>
      </c>
      <c r="M2104" s="934" t="n">
        <f aca="false">SUM(M2095:M2103)</f>
        <v>2415.81648520006</v>
      </c>
    </row>
    <row r="2105" customFormat="false" ht="45" hidden="false" customHeight="false" outlineLevel="0" collapsed="false">
      <c r="A2105" s="216" t="s">
        <v>1106</v>
      </c>
      <c r="B2105" s="335" t="s">
        <v>3314</v>
      </c>
      <c r="C2105" s="1404" t="s">
        <v>7071</v>
      </c>
      <c r="D2105" s="569" t="n">
        <v>2006</v>
      </c>
      <c r="E2105" s="569" t="n">
        <f aca="false">2021-D2105</f>
        <v>15</v>
      </c>
      <c r="F2105" s="1105" t="n">
        <v>138575</v>
      </c>
      <c r="G2105" s="1444" t="n">
        <v>0.1</v>
      </c>
      <c r="H2105" s="1105" t="n">
        <f aca="false">E2105*F2105*G2105</f>
        <v>207862.5</v>
      </c>
      <c r="I2105" s="1105" t="n">
        <f aca="false">F2105-H2105</f>
        <v>-69287.5</v>
      </c>
      <c r="J2105" s="1105" t="n">
        <f aca="false">F2105*G2105</f>
        <v>13857.5</v>
      </c>
      <c r="K2105" s="1365" t="n">
        <f aca="false">J2105/1792.8</f>
        <v>7.7295292280232</v>
      </c>
      <c r="L2105" s="1105" t="n">
        <v>10</v>
      </c>
      <c r="M2105" s="819" t="n">
        <f aca="false">K2105*L2105/60</f>
        <v>1.2882548713372</v>
      </c>
    </row>
    <row r="2106" customFormat="false" ht="30" hidden="false" customHeight="false" outlineLevel="0" collapsed="false">
      <c r="A2106" s="216"/>
      <c r="B2106" s="40"/>
      <c r="C2106" s="1404" t="s">
        <v>6963</v>
      </c>
      <c r="D2106" s="1405" t="n">
        <v>2007</v>
      </c>
      <c r="E2106" s="1405" t="n">
        <f aca="false">2021-D2106</f>
        <v>14</v>
      </c>
      <c r="F2106" s="1406" t="n">
        <v>176358</v>
      </c>
      <c r="G2106" s="1407" t="n">
        <v>0.1</v>
      </c>
      <c r="H2106" s="1410" t="n">
        <f aca="false">E2106*F2106*G2106</f>
        <v>246901.2</v>
      </c>
      <c r="I2106" s="1410" t="n">
        <f aca="false">F2106-H2106</f>
        <v>-70543.2</v>
      </c>
      <c r="J2106" s="1410" t="n">
        <f aca="false">F2106*G2106</f>
        <v>17635.8</v>
      </c>
      <c r="K2106" s="1365" t="n">
        <f aca="false">J2106/1792.8</f>
        <v>9.83701472556894</v>
      </c>
      <c r="L2106" s="1445" t="n">
        <v>10</v>
      </c>
      <c r="M2106" s="1408" t="n">
        <f aca="false">K2106*L2106/60</f>
        <v>1.63950245426149</v>
      </c>
    </row>
    <row r="2107" customFormat="false" ht="30" hidden="false" customHeight="false" outlineLevel="0" collapsed="false">
      <c r="A2107" s="216"/>
      <c r="B2107" s="40"/>
      <c r="C2107" s="1404" t="s">
        <v>6959</v>
      </c>
      <c r="D2107" s="1405" t="n">
        <v>2007</v>
      </c>
      <c r="E2107" s="1405" t="n">
        <f aca="false">2021-D2107</f>
        <v>14</v>
      </c>
      <c r="F2107" s="1406" t="n">
        <v>350000</v>
      </c>
      <c r="G2107" s="1407" t="n">
        <v>0.1</v>
      </c>
      <c r="H2107" s="1410" t="n">
        <f aca="false">E2107*F2107*G2107</f>
        <v>490000</v>
      </c>
      <c r="I2107" s="1410" t="n">
        <f aca="false">F2107-H2107</f>
        <v>-140000</v>
      </c>
      <c r="J2107" s="1410" t="n">
        <f aca="false">F2107*G2107</f>
        <v>35000</v>
      </c>
      <c r="K2107" s="1365" t="n">
        <f aca="false">J2107/1792.8</f>
        <v>19.5225345827755</v>
      </c>
      <c r="L2107" s="1445" t="n">
        <v>10</v>
      </c>
      <c r="M2107" s="1408" t="n">
        <f aca="false">K2107*L2107/60</f>
        <v>3.25375576379592</v>
      </c>
    </row>
    <row r="2108" customFormat="false" ht="30" hidden="false" customHeight="false" outlineLevel="0" collapsed="false">
      <c r="A2108" s="216"/>
      <c r="B2108" s="40"/>
      <c r="C2108" s="1404" t="s">
        <v>7070</v>
      </c>
      <c r="D2108" s="569" t="n">
        <v>2009</v>
      </c>
      <c r="E2108" s="569" t="n">
        <f aca="false">2021-D2108</f>
        <v>12</v>
      </c>
      <c r="F2108" s="1105" t="n">
        <v>181000</v>
      </c>
      <c r="G2108" s="1444" t="n">
        <v>0.1</v>
      </c>
      <c r="H2108" s="1105" t="n">
        <f aca="false">E2108*F2108*G2108</f>
        <v>217200</v>
      </c>
      <c r="I2108" s="1105" t="n">
        <f aca="false">F2108-H2108</f>
        <v>-36200</v>
      </c>
      <c r="J2108" s="1105" t="n">
        <f aca="false">F2108*G2108</f>
        <v>18100</v>
      </c>
      <c r="K2108" s="1365" t="n">
        <f aca="false">J2108/1792.8</f>
        <v>10.0959393128068</v>
      </c>
      <c r="L2108" s="1105" t="n">
        <v>20</v>
      </c>
      <c r="M2108" s="819" t="n">
        <f aca="false">K2108*L2108/60</f>
        <v>3.36531310426893</v>
      </c>
    </row>
    <row r="2109" customFormat="false" ht="30" hidden="false" customHeight="false" outlineLevel="0" collapsed="false">
      <c r="A2109" s="216"/>
      <c r="B2109" s="40"/>
      <c r="C2109" s="1404" t="s">
        <v>7072</v>
      </c>
      <c r="D2109" s="569" t="n">
        <v>2013</v>
      </c>
      <c r="E2109" s="569" t="n">
        <f aca="false">2021-D2109</f>
        <v>8</v>
      </c>
      <c r="F2109" s="1105" t="n">
        <v>300000</v>
      </c>
      <c r="G2109" s="1444" t="n">
        <v>0.1</v>
      </c>
      <c r="H2109" s="1105" t="n">
        <f aca="false">E2109*F2109*G2109</f>
        <v>240000</v>
      </c>
      <c r="I2109" s="1105" t="n">
        <f aca="false">F2109-H2109</f>
        <v>60000</v>
      </c>
      <c r="J2109" s="1105" t="n">
        <f aca="false">F2109*G2109</f>
        <v>30000</v>
      </c>
      <c r="K2109" s="1365" t="n">
        <f aca="false">J2109/1792.8</f>
        <v>16.7336010709505</v>
      </c>
      <c r="L2109" s="1105" t="n">
        <v>20</v>
      </c>
      <c r="M2109" s="865" t="n">
        <f aca="false">K2109*L2109/60</f>
        <v>5.57786702365016</v>
      </c>
    </row>
    <row r="2110" customFormat="false" ht="30" hidden="false" customHeight="false" outlineLevel="0" collapsed="false">
      <c r="A2110" s="216"/>
      <c r="B2110" s="40"/>
      <c r="C2110" s="1409" t="s">
        <v>6967</v>
      </c>
      <c r="D2110" s="569" t="n">
        <v>2016</v>
      </c>
      <c r="E2110" s="569" t="n">
        <f aca="false">2021-D2110</f>
        <v>5</v>
      </c>
      <c r="F2110" s="1105" t="n">
        <v>2302000</v>
      </c>
      <c r="G2110" s="1444" t="n">
        <v>0.1</v>
      </c>
      <c r="H2110" s="1105" t="n">
        <f aca="false">E2110*F2110*G2110</f>
        <v>1151000</v>
      </c>
      <c r="I2110" s="547" t="n">
        <f aca="false">F2110-H2110</f>
        <v>1151000</v>
      </c>
      <c r="J2110" s="547" t="n">
        <f aca="false">F2110*G2110</f>
        <v>230200</v>
      </c>
      <c r="K2110" s="1365" t="n">
        <f aca="false">J2110/1792.8</f>
        <v>128.402498884427</v>
      </c>
      <c r="L2110" s="547" t="n">
        <v>10</v>
      </c>
      <c r="M2110" s="819" t="n">
        <f aca="false">K2110*L2110/60</f>
        <v>21.4004164807378</v>
      </c>
    </row>
    <row r="2111" customFormat="false" ht="15" hidden="false" customHeight="false" outlineLevel="0" collapsed="false">
      <c r="A2111" s="216"/>
      <c r="B2111" s="40"/>
      <c r="C2111" s="1404" t="s">
        <v>7075</v>
      </c>
      <c r="D2111" s="569" t="n">
        <v>2015</v>
      </c>
      <c r="E2111" s="569" t="n">
        <f aca="false">2021-D2111</f>
        <v>6</v>
      </c>
      <c r="F2111" s="1105" t="n">
        <v>1028020</v>
      </c>
      <c r="G2111" s="1444" t="n">
        <v>0.1</v>
      </c>
      <c r="H2111" s="1105" t="n">
        <f aca="false">E2111*F2111*G2111</f>
        <v>616812</v>
      </c>
      <c r="I2111" s="547" t="n">
        <f aca="false">F2111-H2111</f>
        <v>411208</v>
      </c>
      <c r="J2111" s="547" t="n">
        <f aca="false">F2111*G2111</f>
        <v>102802</v>
      </c>
      <c r="K2111" s="1365" t="n">
        <f aca="false">J2111/1792.8</f>
        <v>57.3415885765283</v>
      </c>
      <c r="L2111" s="547" t="n">
        <v>60</v>
      </c>
      <c r="M2111" s="819" t="n">
        <f aca="false">K2111*L2111/60</f>
        <v>57.3415885765283</v>
      </c>
    </row>
    <row r="2112" customFormat="false" ht="30" hidden="false" customHeight="false" outlineLevel="0" collapsed="false">
      <c r="A2112" s="216"/>
      <c r="B2112" s="40"/>
      <c r="C2112" s="1404" t="s">
        <v>7073</v>
      </c>
      <c r="D2112" s="569" t="n">
        <v>2005</v>
      </c>
      <c r="E2112" s="569" t="n">
        <f aca="false">2021-D2112</f>
        <v>16</v>
      </c>
      <c r="F2112" s="1105" t="n">
        <v>39263</v>
      </c>
      <c r="G2112" s="1444" t="n">
        <v>0.15</v>
      </c>
      <c r="H2112" s="1105" t="n">
        <f aca="false">E2112*F2112*G2112</f>
        <v>94231.2</v>
      </c>
      <c r="I2112" s="547" t="n">
        <f aca="false">F2112-H2112</f>
        <v>-54968.2</v>
      </c>
      <c r="J2112" s="547" t="n">
        <f aca="false">F2112*G2112</f>
        <v>5889.45</v>
      </c>
      <c r="K2112" s="1365" t="n">
        <f aca="false">J2112/1792.8</f>
        <v>3.28505689424364</v>
      </c>
      <c r="L2112" s="547" t="n">
        <v>20</v>
      </c>
      <c r="M2112" s="819" t="n">
        <f aca="false">K2112*L2112/60</f>
        <v>1.09501896474788</v>
      </c>
    </row>
    <row r="2113" customFormat="false" ht="30" hidden="false" customHeight="false" outlineLevel="0" collapsed="false">
      <c r="A2113" s="216"/>
      <c r="B2113" s="40"/>
      <c r="C2113" s="1404" t="s">
        <v>7078</v>
      </c>
      <c r="D2113" s="569" t="n">
        <v>2012</v>
      </c>
      <c r="E2113" s="569" t="n">
        <f aca="false">2021-D2113</f>
        <v>9</v>
      </c>
      <c r="F2113" s="1105" t="n">
        <v>12268394.74</v>
      </c>
      <c r="G2113" s="1444" t="n">
        <v>0.1</v>
      </c>
      <c r="H2113" s="1105" t="n">
        <f aca="false">E2113*F2113*G2113</f>
        <v>11041555.266</v>
      </c>
      <c r="I2113" s="547" t="n">
        <f aca="false">F2113-H2113</f>
        <v>1226839.474</v>
      </c>
      <c r="J2113" s="547" t="n">
        <f aca="false">F2113*G2113</f>
        <v>1226839.474</v>
      </c>
      <c r="K2113" s="1365" t="n">
        <f aca="false">J2113/1792.8</f>
        <v>684.31474453369</v>
      </c>
      <c r="L2113" s="547" t="n">
        <v>120</v>
      </c>
      <c r="M2113" s="819" t="n">
        <f aca="false">K2113*L2113/60</f>
        <v>1368.62948906738</v>
      </c>
    </row>
    <row r="2114" customFormat="false" ht="15" hidden="false" customHeight="false" outlineLevel="0" collapsed="false">
      <c r="A2114" s="216"/>
      <c r="B2114" s="1053" t="s">
        <v>4128</v>
      </c>
      <c r="C2114" s="1161"/>
      <c r="D2114" s="912"/>
      <c r="E2114" s="912"/>
      <c r="F2114" s="547"/>
      <c r="G2114" s="1413"/>
      <c r="H2114" s="547"/>
      <c r="I2114" s="547"/>
      <c r="J2114" s="547"/>
      <c r="K2114" s="1365" t="n">
        <f aca="false">J2114/1792.8</f>
        <v>0</v>
      </c>
      <c r="L2114" s="714" t="n">
        <f aca="false">SUM(L2105:L2113)</f>
        <v>280</v>
      </c>
      <c r="M2114" s="934" t="n">
        <f aca="false">SUM(M2105:M2113)</f>
        <v>1463.59120630671</v>
      </c>
    </row>
    <row r="2115" customFormat="false" ht="30" hidden="false" customHeight="false" outlineLevel="0" collapsed="false">
      <c r="A2115" s="216" t="s">
        <v>1107</v>
      </c>
      <c r="B2115" s="335" t="s">
        <v>3315</v>
      </c>
      <c r="C2115" s="1161" t="s">
        <v>7071</v>
      </c>
      <c r="D2115" s="912" t="n">
        <v>2006</v>
      </c>
      <c r="E2115" s="912" t="n">
        <f aca="false">2021-D2115</f>
        <v>15</v>
      </c>
      <c r="F2115" s="547" t="n">
        <v>138575</v>
      </c>
      <c r="G2115" s="1413" t="n">
        <v>0.1</v>
      </c>
      <c r="H2115" s="547" t="n">
        <f aca="false">E2115*F2115*G2115</f>
        <v>207862.5</v>
      </c>
      <c r="I2115" s="547" t="n">
        <f aca="false">F2115-H2115</f>
        <v>-69287.5</v>
      </c>
      <c r="J2115" s="547" t="n">
        <f aca="false">F2115*G2115</f>
        <v>13857.5</v>
      </c>
      <c r="K2115" s="1365" t="n">
        <f aca="false">J2115/1792.8</f>
        <v>7.7295292280232</v>
      </c>
      <c r="L2115" s="547" t="n">
        <v>10</v>
      </c>
      <c r="M2115" s="819" t="n">
        <f aca="false">K2115*L2115/60</f>
        <v>1.2882548713372</v>
      </c>
    </row>
    <row r="2116" customFormat="false" ht="30" hidden="false" customHeight="false" outlineLevel="0" collapsed="false">
      <c r="A2116" s="216"/>
      <c r="B2116" s="40"/>
      <c r="C2116" s="1404" t="s">
        <v>6963</v>
      </c>
      <c r="D2116" s="1405" t="n">
        <v>2007</v>
      </c>
      <c r="E2116" s="1405" t="n">
        <f aca="false">2021-D2116</f>
        <v>14</v>
      </c>
      <c r="F2116" s="1406" t="n">
        <v>176358</v>
      </c>
      <c r="G2116" s="1407" t="n">
        <v>0.1</v>
      </c>
      <c r="H2116" s="1410" t="n">
        <f aca="false">E2116*F2116*G2116</f>
        <v>246901.2</v>
      </c>
      <c r="I2116" s="1410" t="n">
        <f aca="false">F2116-H2116</f>
        <v>-70543.2</v>
      </c>
      <c r="J2116" s="1410" t="n">
        <f aca="false">F2116*G2116</f>
        <v>17635.8</v>
      </c>
      <c r="K2116" s="1365" t="n">
        <f aca="false">J2116/1792.8</f>
        <v>9.83701472556894</v>
      </c>
      <c r="L2116" s="1445" t="n">
        <v>10</v>
      </c>
      <c r="M2116" s="1408" t="n">
        <f aca="false">K2116*L2116/60</f>
        <v>1.63950245426149</v>
      </c>
    </row>
    <row r="2117" customFormat="false" ht="30" hidden="false" customHeight="false" outlineLevel="0" collapsed="false">
      <c r="A2117" s="216"/>
      <c r="B2117" s="40"/>
      <c r="C2117" s="1404" t="s">
        <v>6959</v>
      </c>
      <c r="D2117" s="1405" t="n">
        <v>2007</v>
      </c>
      <c r="E2117" s="1405" t="n">
        <f aca="false">2021-D2117</f>
        <v>14</v>
      </c>
      <c r="F2117" s="1406" t="n">
        <v>350000</v>
      </c>
      <c r="G2117" s="1407" t="n">
        <v>0.1</v>
      </c>
      <c r="H2117" s="1410" t="n">
        <f aca="false">E2117*F2117*G2117</f>
        <v>490000</v>
      </c>
      <c r="I2117" s="1410" t="n">
        <f aca="false">F2117-H2117</f>
        <v>-140000</v>
      </c>
      <c r="J2117" s="1410" t="n">
        <f aca="false">F2117*G2117</f>
        <v>35000</v>
      </c>
      <c r="K2117" s="1365" t="n">
        <f aca="false">J2117/1792.8</f>
        <v>19.5225345827755</v>
      </c>
      <c r="L2117" s="1445" t="n">
        <v>10</v>
      </c>
      <c r="M2117" s="1408" t="n">
        <f aca="false">K2117*L2117/60</f>
        <v>3.25375576379592</v>
      </c>
    </row>
    <row r="2118" customFormat="false" ht="30" hidden="false" customHeight="false" outlineLevel="0" collapsed="false">
      <c r="A2118" s="216"/>
      <c r="B2118" s="40"/>
      <c r="C2118" s="1404" t="s">
        <v>7070</v>
      </c>
      <c r="D2118" s="569" t="n">
        <v>2009</v>
      </c>
      <c r="E2118" s="569" t="n">
        <f aca="false">2021-D2118</f>
        <v>12</v>
      </c>
      <c r="F2118" s="1105" t="n">
        <v>181000</v>
      </c>
      <c r="G2118" s="1444" t="n">
        <v>0.1</v>
      </c>
      <c r="H2118" s="1105" t="n">
        <f aca="false">E2118*F2118*G2118</f>
        <v>217200</v>
      </c>
      <c r="I2118" s="1105" t="n">
        <f aca="false">F2118-H2118</f>
        <v>-36200</v>
      </c>
      <c r="J2118" s="1105" t="n">
        <f aca="false">F2118*G2118</f>
        <v>18100</v>
      </c>
      <c r="K2118" s="1365" t="n">
        <f aca="false">J2118/1792.8</f>
        <v>10.0959393128068</v>
      </c>
      <c r="L2118" s="547" t="n">
        <v>10</v>
      </c>
      <c r="M2118" s="819" t="n">
        <f aca="false">K2118*L2118/60</f>
        <v>1.68265655213446</v>
      </c>
    </row>
    <row r="2119" customFormat="false" ht="30" hidden="false" customHeight="false" outlineLevel="0" collapsed="false">
      <c r="A2119" s="216"/>
      <c r="B2119" s="40"/>
      <c r="C2119" s="1409" t="s">
        <v>6967</v>
      </c>
      <c r="D2119" s="569" t="n">
        <v>2016</v>
      </c>
      <c r="E2119" s="569" t="n">
        <f aca="false">2021-D2119</f>
        <v>5</v>
      </c>
      <c r="F2119" s="1105" t="n">
        <v>2302000</v>
      </c>
      <c r="G2119" s="1444" t="n">
        <v>0.1</v>
      </c>
      <c r="H2119" s="1105" t="n">
        <f aca="false">E2119*F2119*G2119</f>
        <v>1151000</v>
      </c>
      <c r="I2119" s="1105" t="n">
        <f aca="false">F2119-H2119</f>
        <v>1151000</v>
      </c>
      <c r="J2119" s="1105" t="n">
        <f aca="false">F2119*G2119</f>
        <v>230200</v>
      </c>
      <c r="K2119" s="1365" t="n">
        <f aca="false">J2119/1792.8</f>
        <v>128.402498884427</v>
      </c>
      <c r="L2119" s="547" t="n">
        <v>20</v>
      </c>
      <c r="M2119" s="819" t="n">
        <f aca="false">K2119*L2119/60</f>
        <v>42.8008329614755</v>
      </c>
    </row>
    <row r="2120" customFormat="false" ht="15" hidden="false" customHeight="false" outlineLevel="0" collapsed="false">
      <c r="A2120" s="216"/>
      <c r="B2120" s="40"/>
      <c r="C2120" s="1404" t="s">
        <v>7075</v>
      </c>
      <c r="D2120" s="569" t="n">
        <v>2015</v>
      </c>
      <c r="E2120" s="569" t="n">
        <f aca="false">2021-D2120</f>
        <v>6</v>
      </c>
      <c r="F2120" s="1105" t="n">
        <v>1028020</v>
      </c>
      <c r="G2120" s="1444" t="n">
        <v>0.1</v>
      </c>
      <c r="H2120" s="1105" t="n">
        <f aca="false">E2120*F2120*G2120</f>
        <v>616812</v>
      </c>
      <c r="I2120" s="1105" t="n">
        <f aca="false">F2120-H2120</f>
        <v>411208</v>
      </c>
      <c r="J2120" s="1105" t="n">
        <f aca="false">F2120*G2120</f>
        <v>102802</v>
      </c>
      <c r="K2120" s="1365" t="n">
        <f aca="false">J2120/1792.8</f>
        <v>57.3415885765283</v>
      </c>
      <c r="L2120" s="547" t="n">
        <v>60</v>
      </c>
      <c r="M2120" s="819" t="n">
        <f aca="false">K2120*L2120/60</f>
        <v>57.3415885765283</v>
      </c>
    </row>
    <row r="2121" customFormat="false" ht="30" hidden="false" customHeight="false" outlineLevel="0" collapsed="false">
      <c r="A2121" s="216"/>
      <c r="B2121" s="40"/>
      <c r="C2121" s="1404" t="s">
        <v>7073</v>
      </c>
      <c r="D2121" s="569" t="n">
        <v>2005</v>
      </c>
      <c r="E2121" s="569" t="n">
        <f aca="false">2021-D2121</f>
        <v>16</v>
      </c>
      <c r="F2121" s="1105" t="n">
        <v>39263</v>
      </c>
      <c r="G2121" s="1444" t="n">
        <v>0.15</v>
      </c>
      <c r="H2121" s="1105" t="n">
        <f aca="false">E2121*F2121*G2121</f>
        <v>94231.2</v>
      </c>
      <c r="I2121" s="1105" t="n">
        <f aca="false">F2121-H2121</f>
        <v>-54968.2</v>
      </c>
      <c r="J2121" s="1105" t="n">
        <f aca="false">F2121*G2121</f>
        <v>5889.45</v>
      </c>
      <c r="K2121" s="1365" t="n">
        <f aca="false">J2121/1792.8</f>
        <v>3.28505689424364</v>
      </c>
      <c r="L2121" s="547" t="n">
        <v>10</v>
      </c>
      <c r="M2121" s="819" t="n">
        <f aca="false">K2121*L2121/60</f>
        <v>0.54750948237394</v>
      </c>
    </row>
    <row r="2122" customFormat="false" ht="30" hidden="false" customHeight="false" outlineLevel="0" collapsed="false">
      <c r="A2122" s="216"/>
      <c r="B2122" s="40"/>
      <c r="C2122" s="1404" t="s">
        <v>7072</v>
      </c>
      <c r="D2122" s="569" t="n">
        <v>2013</v>
      </c>
      <c r="E2122" s="569" t="n">
        <f aca="false">2021-D2122</f>
        <v>8</v>
      </c>
      <c r="F2122" s="1105" t="n">
        <v>300000</v>
      </c>
      <c r="G2122" s="1444" t="n">
        <v>0.1</v>
      </c>
      <c r="H2122" s="1105" t="n">
        <f aca="false">E2122*F2122*G2122</f>
        <v>240000</v>
      </c>
      <c r="I2122" s="1105" t="n">
        <f aca="false">F2122-H2122</f>
        <v>60000</v>
      </c>
      <c r="J2122" s="1105" t="n">
        <f aca="false">F2122*G2122</f>
        <v>30000</v>
      </c>
      <c r="K2122" s="1365" t="n">
        <f aca="false">J2122/1792.8</f>
        <v>16.7336010709505</v>
      </c>
      <c r="L2122" s="1105" t="n">
        <v>20</v>
      </c>
      <c r="M2122" s="865" t="n">
        <f aca="false">K2122*L2122/60</f>
        <v>5.57786702365016</v>
      </c>
    </row>
    <row r="2123" customFormat="false" ht="30" hidden="false" customHeight="false" outlineLevel="0" collapsed="false">
      <c r="A2123" s="216"/>
      <c r="B2123" s="40"/>
      <c r="C2123" s="1404" t="s">
        <v>7078</v>
      </c>
      <c r="D2123" s="569" t="n">
        <v>2012</v>
      </c>
      <c r="E2123" s="569" t="n">
        <f aca="false">2021-D2123</f>
        <v>9</v>
      </c>
      <c r="F2123" s="1105" t="n">
        <v>12268394.74</v>
      </c>
      <c r="G2123" s="1444" t="n">
        <v>0.1</v>
      </c>
      <c r="H2123" s="1105" t="n">
        <f aca="false">E2123*F2123*G2123</f>
        <v>11041555.266</v>
      </c>
      <c r="I2123" s="547" t="n">
        <f aca="false">F2123-H2123</f>
        <v>1226839.474</v>
      </c>
      <c r="J2123" s="547" t="n">
        <f aca="false">F2123*G2123</f>
        <v>1226839.474</v>
      </c>
      <c r="K2123" s="1365" t="n">
        <f aca="false">J2123/1792.8</f>
        <v>684.31474453369</v>
      </c>
      <c r="L2123" s="547" t="n">
        <v>120</v>
      </c>
      <c r="M2123" s="819" t="n">
        <f aca="false">K2123*L2123/60</f>
        <v>1368.62948906738</v>
      </c>
    </row>
    <row r="2124" customFormat="false" ht="15" hidden="false" customHeight="false" outlineLevel="0" collapsed="false">
      <c r="A2124" s="216"/>
      <c r="B2124" s="1053" t="s">
        <v>4128</v>
      </c>
      <c r="C2124" s="1404"/>
      <c r="D2124" s="569"/>
      <c r="E2124" s="569"/>
      <c r="F2124" s="1105"/>
      <c r="G2124" s="1444"/>
      <c r="H2124" s="1105"/>
      <c r="I2124" s="547"/>
      <c r="J2124" s="547"/>
      <c r="K2124" s="1365" t="n">
        <f aca="false">J2124/1792.8</f>
        <v>0</v>
      </c>
      <c r="L2124" s="714" t="n">
        <f aca="false">SUM(L2115:L2123)</f>
        <v>270</v>
      </c>
      <c r="M2124" s="934" t="n">
        <f aca="false">SUM(M2115:M2123)</f>
        <v>1482.76145675294</v>
      </c>
    </row>
    <row r="2125" customFormat="false" ht="28.5" hidden="false" customHeight="false" outlineLevel="0" collapsed="false">
      <c r="A2125" s="15" t="s">
        <v>5300</v>
      </c>
      <c r="B2125" s="54" t="s">
        <v>3333</v>
      </c>
      <c r="C2125" s="1387"/>
      <c r="D2125" s="339"/>
      <c r="E2125" s="541"/>
      <c r="F2125" s="751"/>
      <c r="G2125" s="1412"/>
      <c r="H2125" s="1412"/>
      <c r="I2125" s="751"/>
      <c r="J2125" s="751"/>
      <c r="K2125" s="1390"/>
      <c r="L2125" s="751"/>
      <c r="M2125" s="818"/>
    </row>
    <row r="2126" customFormat="false" ht="30" hidden="false" customHeight="false" outlineLevel="0" collapsed="false">
      <c r="A2126" s="216" t="s">
        <v>1110</v>
      </c>
      <c r="B2126" s="40" t="s">
        <v>3307</v>
      </c>
      <c r="C2126" s="1404" t="s">
        <v>7070</v>
      </c>
      <c r="D2126" s="569" t="n">
        <v>2009</v>
      </c>
      <c r="E2126" s="569" t="n">
        <f aca="false">2021-D2126</f>
        <v>12</v>
      </c>
      <c r="F2126" s="1105" t="n">
        <v>181000</v>
      </c>
      <c r="G2126" s="1444" t="n">
        <v>0.1</v>
      </c>
      <c r="H2126" s="1105" t="n">
        <f aca="false">E2126*F2126*G2126</f>
        <v>217200</v>
      </c>
      <c r="I2126" s="1105" t="n">
        <f aca="false">F2126-H2126</f>
        <v>-36200</v>
      </c>
      <c r="J2126" s="1105" t="n">
        <f aca="false">F2126*G2126</f>
        <v>18100</v>
      </c>
      <c r="K2126" s="1365" t="n">
        <f aca="false">J2126/1792.8</f>
        <v>10.0959393128068</v>
      </c>
      <c r="L2126" s="547" t="n">
        <v>30</v>
      </c>
      <c r="M2126" s="819" t="n">
        <f aca="false">K2126*L2126/60</f>
        <v>5.04796965640339</v>
      </c>
    </row>
    <row r="2127" customFormat="false" ht="30" hidden="false" customHeight="false" outlineLevel="0" collapsed="false">
      <c r="A2127" s="216"/>
      <c r="B2127" s="40"/>
      <c r="C2127" s="1404" t="s">
        <v>6963</v>
      </c>
      <c r="D2127" s="1405" t="n">
        <v>2007</v>
      </c>
      <c r="E2127" s="1405" t="n">
        <f aca="false">2021-D2127</f>
        <v>14</v>
      </c>
      <c r="F2127" s="1406" t="n">
        <v>176358</v>
      </c>
      <c r="G2127" s="1407" t="n">
        <v>0.1</v>
      </c>
      <c r="H2127" s="1410" t="n">
        <f aca="false">E2127*F2127*G2127</f>
        <v>246901.2</v>
      </c>
      <c r="I2127" s="1410" t="n">
        <f aca="false">F2127-H2127</f>
        <v>-70543.2</v>
      </c>
      <c r="J2127" s="1410" t="n">
        <f aca="false">F2127*G2127</f>
        <v>17635.8</v>
      </c>
      <c r="K2127" s="1365" t="n">
        <f aca="false">J2127/1792.8</f>
        <v>9.83701472556894</v>
      </c>
      <c r="L2127" s="1445" t="n">
        <v>10</v>
      </c>
      <c r="M2127" s="1408" t="n">
        <f aca="false">K2127*L2127/60</f>
        <v>1.63950245426149</v>
      </c>
    </row>
    <row r="2128" customFormat="false" ht="30" hidden="false" customHeight="false" outlineLevel="0" collapsed="false">
      <c r="A2128" s="216"/>
      <c r="B2128" s="40"/>
      <c r="C2128" s="1404" t="s">
        <v>6959</v>
      </c>
      <c r="D2128" s="1405" t="n">
        <v>2007</v>
      </c>
      <c r="E2128" s="1405" t="n">
        <f aca="false">2021-D2128</f>
        <v>14</v>
      </c>
      <c r="F2128" s="1406" t="n">
        <v>350000</v>
      </c>
      <c r="G2128" s="1407" t="n">
        <v>0.1</v>
      </c>
      <c r="H2128" s="1410" t="n">
        <f aca="false">E2128*F2128*G2128</f>
        <v>490000</v>
      </c>
      <c r="I2128" s="1410" t="n">
        <f aca="false">F2128-H2128</f>
        <v>-140000</v>
      </c>
      <c r="J2128" s="1410" t="n">
        <f aca="false">F2128*G2128</f>
        <v>35000</v>
      </c>
      <c r="K2128" s="1365" t="n">
        <f aca="false">J2128/1792.8</f>
        <v>19.5225345827755</v>
      </c>
      <c r="L2128" s="1445" t="n">
        <v>10</v>
      </c>
      <c r="M2128" s="1408" t="n">
        <f aca="false">K2128*L2128/60</f>
        <v>3.25375576379592</v>
      </c>
    </row>
    <row r="2129" customFormat="false" ht="30" hidden="false" customHeight="false" outlineLevel="0" collapsed="false">
      <c r="A2129" s="216"/>
      <c r="B2129" s="40"/>
      <c r="C2129" s="1161" t="s">
        <v>7071</v>
      </c>
      <c r="D2129" s="912" t="n">
        <v>2006</v>
      </c>
      <c r="E2129" s="912" t="n">
        <f aca="false">2021-D2129</f>
        <v>15</v>
      </c>
      <c r="F2129" s="547" t="n">
        <v>138575</v>
      </c>
      <c r="G2129" s="1413" t="n">
        <v>0.1</v>
      </c>
      <c r="H2129" s="547" t="n">
        <f aca="false">E2129*F2129*G2129</f>
        <v>207862.5</v>
      </c>
      <c r="I2129" s="547" t="n">
        <f aca="false">F2129-H2129</f>
        <v>-69287.5</v>
      </c>
      <c r="J2129" s="547" t="n">
        <f aca="false">F2129*G2129</f>
        <v>13857.5</v>
      </c>
      <c r="K2129" s="1365" t="n">
        <f aca="false">J2129/1792.8</f>
        <v>7.7295292280232</v>
      </c>
      <c r="L2129" s="547" t="n">
        <v>20</v>
      </c>
      <c r="M2129" s="819" t="n">
        <f aca="false">K2129*L2129/60</f>
        <v>2.5765097426744</v>
      </c>
    </row>
    <row r="2130" customFormat="false" ht="30" hidden="false" customHeight="false" outlineLevel="0" collapsed="false">
      <c r="A2130" s="216"/>
      <c r="B2130" s="40"/>
      <c r="C2130" s="1404" t="s">
        <v>7072</v>
      </c>
      <c r="D2130" s="569" t="n">
        <v>2013</v>
      </c>
      <c r="E2130" s="569" t="n">
        <f aca="false">2021-D2130</f>
        <v>8</v>
      </c>
      <c r="F2130" s="1105" t="n">
        <v>300000</v>
      </c>
      <c r="G2130" s="1444" t="n">
        <v>0.1</v>
      </c>
      <c r="H2130" s="1105" t="n">
        <f aca="false">E2130*F2130*G2130</f>
        <v>240000</v>
      </c>
      <c r="I2130" s="1105" t="n">
        <f aca="false">F2130-H2130</f>
        <v>60000</v>
      </c>
      <c r="J2130" s="1105" t="n">
        <f aca="false">F2130*G2130</f>
        <v>30000</v>
      </c>
      <c r="K2130" s="1365" t="n">
        <f aca="false">J2130/1792.8</f>
        <v>16.7336010709505</v>
      </c>
      <c r="L2130" s="1105" t="n">
        <v>50</v>
      </c>
      <c r="M2130" s="865" t="n">
        <f aca="false">K2130*L2130/60</f>
        <v>13.9446675591254</v>
      </c>
    </row>
    <row r="2131" customFormat="false" ht="30" hidden="false" customHeight="false" outlineLevel="0" collapsed="false">
      <c r="A2131" s="216"/>
      <c r="B2131" s="40"/>
      <c r="C2131" s="1409" t="s">
        <v>6967</v>
      </c>
      <c r="D2131" s="569" t="n">
        <v>2016</v>
      </c>
      <c r="E2131" s="569" t="n">
        <f aca="false">2021-D2131</f>
        <v>5</v>
      </c>
      <c r="F2131" s="1105" t="n">
        <v>2302000</v>
      </c>
      <c r="G2131" s="1444" t="n">
        <v>0.1</v>
      </c>
      <c r="H2131" s="1105" t="n">
        <f aca="false">E2131*F2131*G2131</f>
        <v>1151000</v>
      </c>
      <c r="I2131" s="1105" t="n">
        <f aca="false">F2131-H2131</f>
        <v>1151000</v>
      </c>
      <c r="J2131" s="1105" t="n">
        <f aca="false">F2131*G2131</f>
        <v>230200</v>
      </c>
      <c r="K2131" s="1365" t="n">
        <f aca="false">J2131/1792.8</f>
        <v>128.402498884427</v>
      </c>
      <c r="L2131" s="547" t="n">
        <v>20</v>
      </c>
      <c r="M2131" s="819" t="n">
        <f aca="false">K2131*L2131/60</f>
        <v>42.8008329614755</v>
      </c>
    </row>
    <row r="2132" customFormat="false" ht="15" hidden="false" customHeight="false" outlineLevel="0" collapsed="false">
      <c r="A2132" s="216"/>
      <c r="B2132" s="40"/>
      <c r="C2132" s="1404" t="s">
        <v>7075</v>
      </c>
      <c r="D2132" s="569" t="n">
        <v>2015</v>
      </c>
      <c r="E2132" s="569" t="n">
        <f aca="false">2021-D2132</f>
        <v>6</v>
      </c>
      <c r="F2132" s="1105" t="n">
        <v>1028020</v>
      </c>
      <c r="G2132" s="1444" t="n">
        <v>0.1</v>
      </c>
      <c r="H2132" s="1105" t="n">
        <f aca="false">E2132*F2132*G2132</f>
        <v>616812</v>
      </c>
      <c r="I2132" s="1105" t="n">
        <f aca="false">F2132-H2132</f>
        <v>411208</v>
      </c>
      <c r="J2132" s="1105" t="n">
        <f aca="false">F2132*G2132</f>
        <v>102802</v>
      </c>
      <c r="K2132" s="1365" t="n">
        <f aca="false">J2132/1792.8</f>
        <v>57.3415885765283</v>
      </c>
      <c r="L2132" s="547" t="n">
        <v>60</v>
      </c>
      <c r="M2132" s="819" t="n">
        <f aca="false">K2132*L2132/60</f>
        <v>57.3415885765283</v>
      </c>
    </row>
    <row r="2133" customFormat="false" ht="30" hidden="false" customHeight="false" outlineLevel="0" collapsed="false">
      <c r="A2133" s="216"/>
      <c r="B2133" s="40"/>
      <c r="C2133" s="1404" t="s">
        <v>7073</v>
      </c>
      <c r="D2133" s="569" t="n">
        <v>2005</v>
      </c>
      <c r="E2133" s="569" t="n">
        <f aca="false">2021-D2133</f>
        <v>16</v>
      </c>
      <c r="F2133" s="1105" t="n">
        <v>39263</v>
      </c>
      <c r="G2133" s="1444" t="n">
        <v>0.15</v>
      </c>
      <c r="H2133" s="1105" t="n">
        <f aca="false">E2133*F2133*G2133</f>
        <v>94231.2</v>
      </c>
      <c r="I2133" s="1105" t="n">
        <f aca="false">F2133-H2133</f>
        <v>-54968.2</v>
      </c>
      <c r="J2133" s="1105" t="n">
        <f aca="false">F2133*G2133</f>
        <v>5889.45</v>
      </c>
      <c r="K2133" s="1365" t="n">
        <f aca="false">J2133/1792.8</f>
        <v>3.28505689424364</v>
      </c>
      <c r="L2133" s="547" t="n">
        <v>20</v>
      </c>
      <c r="M2133" s="819" t="n">
        <f aca="false">K2133*L2133/60</f>
        <v>1.09501896474788</v>
      </c>
    </row>
    <row r="2134" customFormat="false" ht="30" hidden="false" customHeight="false" outlineLevel="0" collapsed="false">
      <c r="A2134" s="216"/>
      <c r="B2134" s="40"/>
      <c r="C2134" s="1404" t="s">
        <v>7074</v>
      </c>
      <c r="D2134" s="569" t="n">
        <v>2003</v>
      </c>
      <c r="E2134" s="569" t="n">
        <f aca="false">2021-D2134</f>
        <v>18</v>
      </c>
      <c r="F2134" s="1105" t="n">
        <v>2471090</v>
      </c>
      <c r="G2134" s="1444" t="n">
        <v>0.1</v>
      </c>
      <c r="H2134" s="1105" t="n">
        <f aca="false">E2134*F2134*G2134</f>
        <v>4447962</v>
      </c>
      <c r="I2134" s="1105" t="n">
        <f aca="false">F2134-H2134</f>
        <v>-1976872</v>
      </c>
      <c r="J2134" s="1105" t="n">
        <f aca="false">F2134*G2134</f>
        <v>247109</v>
      </c>
      <c r="K2134" s="1365" t="n">
        <f aca="false">J2134/1792.8</f>
        <v>137.834114234717</v>
      </c>
      <c r="L2134" s="547" t="n">
        <v>120</v>
      </c>
      <c r="M2134" s="819" t="n">
        <f aca="false">K2134*L2134/60</f>
        <v>275.668228469433</v>
      </c>
    </row>
    <row r="2135" customFormat="false" ht="15" hidden="false" customHeight="false" outlineLevel="0" collapsed="false">
      <c r="A2135" s="216"/>
      <c r="B2135" s="1053" t="s">
        <v>4128</v>
      </c>
      <c r="C2135" s="1161"/>
      <c r="D2135" s="912"/>
      <c r="E2135" s="912"/>
      <c r="F2135" s="547"/>
      <c r="G2135" s="1413"/>
      <c r="H2135" s="547"/>
      <c r="I2135" s="547"/>
      <c r="J2135" s="547"/>
      <c r="K2135" s="1365" t="n">
        <f aca="false">J2135/1792.8</f>
        <v>0</v>
      </c>
      <c r="L2135" s="714" t="n">
        <f aca="false">SUM(L2126:L2134)</f>
        <v>340</v>
      </c>
      <c r="M2135" s="934" t="n">
        <f aca="false">SUM(M2126:M2134)</f>
        <v>403.368074148446</v>
      </c>
    </row>
    <row r="2136" customFormat="false" ht="30" hidden="false" customHeight="false" outlineLevel="0" collapsed="false">
      <c r="A2136" s="216" t="s">
        <v>1111</v>
      </c>
      <c r="B2136" s="335" t="s">
        <v>3324</v>
      </c>
      <c r="C2136" s="1404" t="s">
        <v>7070</v>
      </c>
      <c r="D2136" s="569" t="n">
        <v>2009</v>
      </c>
      <c r="E2136" s="569" t="n">
        <f aca="false">2021-D2136</f>
        <v>12</v>
      </c>
      <c r="F2136" s="1105" t="n">
        <v>181000</v>
      </c>
      <c r="G2136" s="1444" t="n">
        <v>0.1</v>
      </c>
      <c r="H2136" s="1105" t="n">
        <f aca="false">E2136*F2136*G2136</f>
        <v>217200</v>
      </c>
      <c r="I2136" s="1105" t="n">
        <f aca="false">F2136-H2136</f>
        <v>-36200</v>
      </c>
      <c r="J2136" s="1105" t="n">
        <f aca="false">F2136*G2136</f>
        <v>18100</v>
      </c>
      <c r="K2136" s="1365" t="n">
        <f aca="false">J2136/1792.8</f>
        <v>10.0959393128068</v>
      </c>
      <c r="L2136" s="1105" t="n">
        <v>20</v>
      </c>
      <c r="M2136" s="819" t="n">
        <f aca="false">K2136*L2136/60</f>
        <v>3.36531310426893</v>
      </c>
    </row>
    <row r="2137" customFormat="false" ht="30" hidden="false" customHeight="false" outlineLevel="0" collapsed="false">
      <c r="A2137" s="216"/>
      <c r="B2137" s="40"/>
      <c r="C2137" s="1404" t="s">
        <v>6963</v>
      </c>
      <c r="D2137" s="1405" t="n">
        <v>2007</v>
      </c>
      <c r="E2137" s="1405" t="n">
        <f aca="false">2021-D2137</f>
        <v>14</v>
      </c>
      <c r="F2137" s="1406" t="n">
        <v>176358</v>
      </c>
      <c r="G2137" s="1407" t="n">
        <v>0.1</v>
      </c>
      <c r="H2137" s="1410" t="n">
        <f aca="false">E2137*F2137*G2137</f>
        <v>246901.2</v>
      </c>
      <c r="I2137" s="1410" t="n">
        <f aca="false">F2137-H2137</f>
        <v>-70543.2</v>
      </c>
      <c r="J2137" s="1410" t="n">
        <f aca="false">F2137*G2137</f>
        <v>17635.8</v>
      </c>
      <c r="K2137" s="1365" t="n">
        <f aca="false">J2137/1792.8</f>
        <v>9.83701472556894</v>
      </c>
      <c r="L2137" s="1445" t="n">
        <v>10</v>
      </c>
      <c r="M2137" s="1408" t="n">
        <f aca="false">K2137*L2137/60</f>
        <v>1.63950245426149</v>
      </c>
    </row>
    <row r="2138" customFormat="false" ht="30" hidden="false" customHeight="false" outlineLevel="0" collapsed="false">
      <c r="A2138" s="216"/>
      <c r="B2138" s="40"/>
      <c r="C2138" s="1404" t="s">
        <v>6959</v>
      </c>
      <c r="D2138" s="1405" t="n">
        <v>2007</v>
      </c>
      <c r="E2138" s="1405" t="n">
        <f aca="false">2021-D2138</f>
        <v>14</v>
      </c>
      <c r="F2138" s="1406" t="n">
        <v>350000</v>
      </c>
      <c r="G2138" s="1407" t="n">
        <v>0.1</v>
      </c>
      <c r="H2138" s="1410" t="n">
        <f aca="false">E2138*F2138*G2138</f>
        <v>490000</v>
      </c>
      <c r="I2138" s="1410" t="n">
        <f aca="false">F2138-H2138</f>
        <v>-140000</v>
      </c>
      <c r="J2138" s="1410" t="n">
        <f aca="false">F2138*G2138</f>
        <v>35000</v>
      </c>
      <c r="K2138" s="1365" t="n">
        <f aca="false">J2138/1792.8</f>
        <v>19.5225345827755</v>
      </c>
      <c r="L2138" s="1445" t="n">
        <v>10</v>
      </c>
      <c r="M2138" s="1408" t="n">
        <f aca="false">K2138*L2138/60</f>
        <v>3.25375576379592</v>
      </c>
    </row>
    <row r="2139" customFormat="false" ht="30" hidden="false" customHeight="false" outlineLevel="0" collapsed="false">
      <c r="A2139" s="216"/>
      <c r="B2139" s="40"/>
      <c r="C2139" s="1404" t="s">
        <v>7072</v>
      </c>
      <c r="D2139" s="569" t="n">
        <v>2013</v>
      </c>
      <c r="E2139" s="569" t="n">
        <f aca="false">2021-D2139</f>
        <v>8</v>
      </c>
      <c r="F2139" s="1105" t="n">
        <v>300000</v>
      </c>
      <c r="G2139" s="1444" t="n">
        <v>0.1</v>
      </c>
      <c r="H2139" s="1105" t="n">
        <f aca="false">E2139*F2139*G2139</f>
        <v>240000</v>
      </c>
      <c r="I2139" s="1105" t="n">
        <f aca="false">F2139-H2139</f>
        <v>60000</v>
      </c>
      <c r="J2139" s="1105" t="n">
        <f aca="false">F2139*G2139</f>
        <v>30000</v>
      </c>
      <c r="K2139" s="1365" t="n">
        <f aca="false">J2139/1792.8</f>
        <v>16.7336010709505</v>
      </c>
      <c r="L2139" s="1105" t="n">
        <v>50</v>
      </c>
      <c r="M2139" s="865" t="n">
        <f aca="false">K2139*L2139/60</f>
        <v>13.9446675591254</v>
      </c>
    </row>
    <row r="2140" customFormat="false" ht="30" hidden="false" customHeight="false" outlineLevel="0" collapsed="false">
      <c r="A2140" s="216"/>
      <c r="B2140" s="40"/>
      <c r="C2140" s="1409" t="s">
        <v>6967</v>
      </c>
      <c r="D2140" s="569" t="n">
        <v>2016</v>
      </c>
      <c r="E2140" s="569" t="n">
        <f aca="false">2021-D2140</f>
        <v>5</v>
      </c>
      <c r="F2140" s="1105" t="n">
        <v>2302000</v>
      </c>
      <c r="G2140" s="1444" t="n">
        <v>0.1</v>
      </c>
      <c r="H2140" s="1105" t="n">
        <f aca="false">E2140*F2140*G2140</f>
        <v>1151000</v>
      </c>
      <c r="I2140" s="547" t="n">
        <f aca="false">F2140-H2140</f>
        <v>1151000</v>
      </c>
      <c r="J2140" s="547" t="n">
        <f aca="false">F2140*G2140</f>
        <v>230200</v>
      </c>
      <c r="K2140" s="1365" t="n">
        <f aca="false">J2140/1792.8</f>
        <v>128.402498884427</v>
      </c>
      <c r="L2140" s="547" t="n">
        <v>20</v>
      </c>
      <c r="M2140" s="819" t="n">
        <f aca="false">K2140*L2140/60</f>
        <v>42.8008329614755</v>
      </c>
    </row>
    <row r="2141" customFormat="false" ht="15" hidden="false" customHeight="false" outlineLevel="0" collapsed="false">
      <c r="A2141" s="216"/>
      <c r="B2141" s="40"/>
      <c r="C2141" s="1404" t="s">
        <v>7075</v>
      </c>
      <c r="D2141" s="569" t="n">
        <v>2015</v>
      </c>
      <c r="E2141" s="569" t="n">
        <f aca="false">2021-D2141</f>
        <v>6</v>
      </c>
      <c r="F2141" s="1105" t="n">
        <v>1028020</v>
      </c>
      <c r="G2141" s="1444" t="n">
        <v>0.1</v>
      </c>
      <c r="H2141" s="1105" t="n">
        <f aca="false">E2141*F2141*G2141</f>
        <v>616812</v>
      </c>
      <c r="I2141" s="547" t="n">
        <f aca="false">F2141-H2141</f>
        <v>411208</v>
      </c>
      <c r="J2141" s="547" t="n">
        <f aca="false">F2141*G2141</f>
        <v>102802</v>
      </c>
      <c r="K2141" s="1365" t="n">
        <f aca="false">J2141/1792.8</f>
        <v>57.3415885765283</v>
      </c>
      <c r="L2141" s="547" t="n">
        <v>60</v>
      </c>
      <c r="M2141" s="819" t="n">
        <f aca="false">K2141*L2141/60</f>
        <v>57.3415885765283</v>
      </c>
    </row>
    <row r="2142" customFormat="false" ht="30" hidden="false" customHeight="false" outlineLevel="0" collapsed="false">
      <c r="A2142" s="216"/>
      <c r="B2142" s="40"/>
      <c r="C2142" s="1404" t="s">
        <v>7073</v>
      </c>
      <c r="D2142" s="569" t="n">
        <v>2005</v>
      </c>
      <c r="E2142" s="569" t="n">
        <f aca="false">2021-D2142</f>
        <v>16</v>
      </c>
      <c r="F2142" s="1105" t="n">
        <v>39263</v>
      </c>
      <c r="G2142" s="1444" t="n">
        <v>0.15</v>
      </c>
      <c r="H2142" s="1105" t="n">
        <f aca="false">E2142*F2142*G2142</f>
        <v>94231.2</v>
      </c>
      <c r="I2142" s="547" t="n">
        <f aca="false">F2142-H2142</f>
        <v>-54968.2</v>
      </c>
      <c r="J2142" s="547" t="n">
        <f aca="false">F2142*G2142</f>
        <v>5889.45</v>
      </c>
      <c r="K2142" s="1365" t="n">
        <f aca="false">J2142/1792.8</f>
        <v>3.28505689424364</v>
      </c>
      <c r="L2142" s="547" t="n">
        <v>20</v>
      </c>
      <c r="M2142" s="819" t="n">
        <f aca="false">K2142*L2142/60</f>
        <v>1.09501896474788</v>
      </c>
    </row>
    <row r="2143" customFormat="false" ht="18" hidden="false" customHeight="true" outlineLevel="0" collapsed="false">
      <c r="A2143" s="216"/>
      <c r="B2143" s="40"/>
      <c r="C2143" s="1161" t="s">
        <v>7071</v>
      </c>
      <c r="D2143" s="912" t="n">
        <v>2006</v>
      </c>
      <c r="E2143" s="912" t="n">
        <f aca="false">2021-D2143</f>
        <v>15</v>
      </c>
      <c r="F2143" s="547" t="n">
        <v>138575</v>
      </c>
      <c r="G2143" s="1413" t="n">
        <v>0.1</v>
      </c>
      <c r="H2143" s="547" t="n">
        <f aca="false">E2143*F2143*G2143</f>
        <v>207862.5</v>
      </c>
      <c r="I2143" s="547" t="n">
        <f aca="false">F2143-H2143</f>
        <v>-69287.5</v>
      </c>
      <c r="J2143" s="547" t="n">
        <f aca="false">F2143*G2143</f>
        <v>13857.5</v>
      </c>
      <c r="K2143" s="1365" t="n">
        <f aca="false">J2143/1792.8</f>
        <v>7.7295292280232</v>
      </c>
      <c r="L2143" s="547" t="n">
        <v>20</v>
      </c>
      <c r="M2143" s="819" t="n">
        <f aca="false">K2143*L2143/60</f>
        <v>2.5765097426744</v>
      </c>
    </row>
    <row r="2144" customFormat="false" ht="27.75" hidden="false" customHeight="true" outlineLevel="0" collapsed="false">
      <c r="A2144" s="216"/>
      <c r="B2144" s="40"/>
      <c r="C2144" s="1161" t="s">
        <v>7074</v>
      </c>
      <c r="D2144" s="912" t="n">
        <v>2003</v>
      </c>
      <c r="E2144" s="912" t="n">
        <f aca="false">2021-D2144</f>
        <v>18</v>
      </c>
      <c r="F2144" s="547" t="n">
        <v>2471090</v>
      </c>
      <c r="G2144" s="1413" t="n">
        <v>0.1</v>
      </c>
      <c r="H2144" s="547" t="n">
        <f aca="false">E2144*F2144*G2144</f>
        <v>4447962</v>
      </c>
      <c r="I2144" s="547" t="n">
        <f aca="false">F2144-H2144</f>
        <v>-1976872</v>
      </c>
      <c r="J2144" s="547" t="n">
        <f aca="false">F2144*G2144</f>
        <v>247109</v>
      </c>
      <c r="K2144" s="1365" t="n">
        <f aca="false">J2144/1792.8</f>
        <v>137.834114234717</v>
      </c>
      <c r="L2144" s="547" t="n">
        <v>100</v>
      </c>
      <c r="M2144" s="819" t="n">
        <f aca="false">K2144*L2144/60</f>
        <v>229.723523724528</v>
      </c>
    </row>
    <row r="2145" customFormat="false" ht="18.75" hidden="false" customHeight="true" outlineLevel="0" collapsed="false">
      <c r="A2145" s="216"/>
      <c r="B2145" s="1053" t="s">
        <v>4128</v>
      </c>
      <c r="C2145" s="1161"/>
      <c r="D2145" s="912"/>
      <c r="E2145" s="912"/>
      <c r="F2145" s="547"/>
      <c r="G2145" s="1413"/>
      <c r="H2145" s="547"/>
      <c r="I2145" s="547"/>
      <c r="J2145" s="547"/>
      <c r="K2145" s="1365" t="n">
        <f aca="false">J2145/1792.8</f>
        <v>0</v>
      </c>
      <c r="L2145" s="714" t="n">
        <f aca="false">SUM(L2136:L2144)</f>
        <v>310</v>
      </c>
      <c r="M2145" s="934" t="n">
        <f aca="false">SUM(M2136:M2144)</f>
        <v>355.740712851406</v>
      </c>
    </row>
    <row r="2146" customFormat="false" ht="26.25" hidden="false" customHeight="true" outlineLevel="0" collapsed="false">
      <c r="A2146" s="216" t="s">
        <v>1112</v>
      </c>
      <c r="B2146" s="40" t="s">
        <v>3310</v>
      </c>
      <c r="C2146" s="1161" t="s">
        <v>7071</v>
      </c>
      <c r="D2146" s="912" t="n">
        <v>2006</v>
      </c>
      <c r="E2146" s="912" t="n">
        <f aca="false">2021-D2146</f>
        <v>15</v>
      </c>
      <c r="F2146" s="547" t="n">
        <v>138575</v>
      </c>
      <c r="G2146" s="1413" t="n">
        <v>0.1</v>
      </c>
      <c r="H2146" s="547" t="n">
        <f aca="false">E2146*F2146*G2146</f>
        <v>207862.5</v>
      </c>
      <c r="I2146" s="547" t="n">
        <f aca="false">F2146-H2146</f>
        <v>-69287.5</v>
      </c>
      <c r="J2146" s="547" t="n">
        <f aca="false">F2146*G2146</f>
        <v>13857.5</v>
      </c>
      <c r="K2146" s="1365" t="n">
        <f aca="false">J2146/1792.8</f>
        <v>7.7295292280232</v>
      </c>
      <c r="L2146" s="547" t="n">
        <v>10</v>
      </c>
      <c r="M2146" s="819" t="n">
        <f aca="false">K2146*L2146/60</f>
        <v>1.2882548713372</v>
      </c>
    </row>
    <row r="2147" customFormat="false" ht="30" hidden="false" customHeight="false" outlineLevel="0" collapsed="false">
      <c r="A2147" s="216"/>
      <c r="B2147" s="40"/>
      <c r="C2147" s="1404" t="s">
        <v>6963</v>
      </c>
      <c r="D2147" s="1405" t="n">
        <v>2007</v>
      </c>
      <c r="E2147" s="1405" t="n">
        <f aca="false">2021-D2147</f>
        <v>14</v>
      </c>
      <c r="F2147" s="1406" t="n">
        <v>176358</v>
      </c>
      <c r="G2147" s="1407" t="n">
        <v>0.1</v>
      </c>
      <c r="H2147" s="1410" t="n">
        <f aca="false">E2147*F2147*G2147</f>
        <v>246901.2</v>
      </c>
      <c r="I2147" s="1410" t="n">
        <f aca="false">F2147-H2147</f>
        <v>-70543.2</v>
      </c>
      <c r="J2147" s="1410" t="n">
        <f aca="false">F2147*G2147</f>
        <v>17635.8</v>
      </c>
      <c r="K2147" s="1365" t="n">
        <f aca="false">J2147/1792.8</f>
        <v>9.83701472556894</v>
      </c>
      <c r="L2147" s="1445" t="n">
        <v>10</v>
      </c>
      <c r="M2147" s="1408" t="n">
        <f aca="false">K2147*L2147/60</f>
        <v>1.63950245426149</v>
      </c>
    </row>
    <row r="2148" customFormat="false" ht="30" hidden="false" customHeight="false" outlineLevel="0" collapsed="false">
      <c r="A2148" s="216"/>
      <c r="B2148" s="40"/>
      <c r="C2148" s="1404" t="s">
        <v>6959</v>
      </c>
      <c r="D2148" s="1405" t="n">
        <v>2007</v>
      </c>
      <c r="E2148" s="1405" t="n">
        <f aca="false">2021-D2148</f>
        <v>14</v>
      </c>
      <c r="F2148" s="1406" t="n">
        <v>350000</v>
      </c>
      <c r="G2148" s="1407" t="n">
        <v>0.1</v>
      </c>
      <c r="H2148" s="1410" t="n">
        <f aca="false">E2148*F2148*G2148</f>
        <v>490000</v>
      </c>
      <c r="I2148" s="1410" t="n">
        <f aca="false">F2148-H2148</f>
        <v>-140000</v>
      </c>
      <c r="J2148" s="1410" t="n">
        <f aca="false">F2148*G2148</f>
        <v>35000</v>
      </c>
      <c r="K2148" s="1365" t="n">
        <f aca="false">J2148/1792.8</f>
        <v>19.5225345827755</v>
      </c>
      <c r="L2148" s="1445" t="n">
        <v>10</v>
      </c>
      <c r="M2148" s="1408" t="n">
        <f aca="false">K2148*L2148/60</f>
        <v>3.25375576379592</v>
      </c>
    </row>
    <row r="2149" customFormat="false" ht="30" hidden="false" customHeight="false" outlineLevel="0" collapsed="false">
      <c r="A2149" s="216"/>
      <c r="B2149" s="40"/>
      <c r="C2149" s="1404" t="s">
        <v>7070</v>
      </c>
      <c r="D2149" s="569" t="n">
        <v>2009</v>
      </c>
      <c r="E2149" s="569" t="n">
        <f aca="false">2021-D2149</f>
        <v>12</v>
      </c>
      <c r="F2149" s="1105" t="n">
        <v>181000</v>
      </c>
      <c r="G2149" s="1444" t="n">
        <v>0.1</v>
      </c>
      <c r="H2149" s="1105" t="n">
        <f aca="false">E2149*F2149*G2149</f>
        <v>217200</v>
      </c>
      <c r="I2149" s="1105" t="n">
        <f aca="false">F2149-H2149</f>
        <v>-36200</v>
      </c>
      <c r="J2149" s="1105" t="n">
        <f aca="false">F2149*G2149</f>
        <v>18100</v>
      </c>
      <c r="K2149" s="1365" t="n">
        <f aca="false">J2149/1792.8</f>
        <v>10.0959393128068</v>
      </c>
      <c r="L2149" s="547" t="n">
        <v>10</v>
      </c>
      <c r="M2149" s="819" t="n">
        <f aca="false">K2149*L2149/60</f>
        <v>1.68265655213446</v>
      </c>
    </row>
    <row r="2150" customFormat="false" ht="30" hidden="false" customHeight="false" outlineLevel="0" collapsed="false">
      <c r="A2150" s="216"/>
      <c r="B2150" s="40"/>
      <c r="C2150" s="1409" t="s">
        <v>6967</v>
      </c>
      <c r="D2150" s="569" t="n">
        <v>2016</v>
      </c>
      <c r="E2150" s="569" t="n">
        <f aca="false">2021-D2150</f>
        <v>5</v>
      </c>
      <c r="F2150" s="1105" t="n">
        <v>2302000</v>
      </c>
      <c r="G2150" s="1444" t="n">
        <v>0.1</v>
      </c>
      <c r="H2150" s="1105" t="n">
        <f aca="false">E2150*F2150*G2150</f>
        <v>1151000</v>
      </c>
      <c r="I2150" s="1105" t="n">
        <f aca="false">F2150-H2150</f>
        <v>1151000</v>
      </c>
      <c r="J2150" s="1105" t="n">
        <f aca="false">F2150*G2150</f>
        <v>230200</v>
      </c>
      <c r="K2150" s="1365" t="n">
        <f aca="false">J2150/1792.8</f>
        <v>128.402498884427</v>
      </c>
      <c r="L2150" s="547" t="n">
        <v>10</v>
      </c>
      <c r="M2150" s="819" t="n">
        <f aca="false">K2150*L2150/60</f>
        <v>21.4004164807378</v>
      </c>
    </row>
    <row r="2151" customFormat="false" ht="15" hidden="false" customHeight="false" outlineLevel="0" collapsed="false">
      <c r="A2151" s="216"/>
      <c r="B2151" s="40"/>
      <c r="C2151" s="1404" t="s">
        <v>7075</v>
      </c>
      <c r="D2151" s="569" t="n">
        <v>2015</v>
      </c>
      <c r="E2151" s="569" t="n">
        <f aca="false">2021-D2151</f>
        <v>6</v>
      </c>
      <c r="F2151" s="1105" t="n">
        <v>1028020</v>
      </c>
      <c r="G2151" s="1444" t="n">
        <v>0.1</v>
      </c>
      <c r="H2151" s="1105" t="n">
        <f aca="false">E2151*F2151*G2151</f>
        <v>616812</v>
      </c>
      <c r="I2151" s="1105" t="n">
        <f aca="false">F2151-H2151</f>
        <v>411208</v>
      </c>
      <c r="J2151" s="1105" t="n">
        <f aca="false">F2151*G2151</f>
        <v>102802</v>
      </c>
      <c r="K2151" s="1365" t="n">
        <f aca="false">J2151/1792.8</f>
        <v>57.3415885765283</v>
      </c>
      <c r="L2151" s="547" t="n">
        <v>60</v>
      </c>
      <c r="M2151" s="819" t="n">
        <f aca="false">K2151*L2151/60</f>
        <v>57.3415885765283</v>
      </c>
    </row>
    <row r="2152" customFormat="false" ht="30" hidden="false" customHeight="false" outlineLevel="0" collapsed="false">
      <c r="A2152" s="216"/>
      <c r="B2152" s="40"/>
      <c r="C2152" s="1161" t="s">
        <v>7073</v>
      </c>
      <c r="D2152" s="912" t="n">
        <v>2005</v>
      </c>
      <c r="E2152" s="912" t="n">
        <f aca="false">2021-D2152</f>
        <v>16</v>
      </c>
      <c r="F2152" s="547" t="n">
        <v>39263</v>
      </c>
      <c r="G2152" s="1413" t="n">
        <v>0.15</v>
      </c>
      <c r="H2152" s="547" t="n">
        <f aca="false">E2152*F2152*G2152</f>
        <v>94231.2</v>
      </c>
      <c r="I2152" s="547" t="n">
        <f aca="false">F2152-H2152</f>
        <v>-54968.2</v>
      </c>
      <c r="J2152" s="547" t="n">
        <f aca="false">F2152*G2152</f>
        <v>5889.45</v>
      </c>
      <c r="K2152" s="1365" t="n">
        <f aca="false">J2152/1792.8</f>
        <v>3.28505689424364</v>
      </c>
      <c r="L2152" s="547" t="n">
        <v>10</v>
      </c>
      <c r="M2152" s="819" t="n">
        <f aca="false">K2152*L2152/60</f>
        <v>0.54750948237394</v>
      </c>
    </row>
    <row r="2153" customFormat="false" ht="30" hidden="false" customHeight="false" outlineLevel="0" collapsed="false">
      <c r="A2153" s="216"/>
      <c r="B2153" s="40"/>
      <c r="C2153" s="1404" t="s">
        <v>7072</v>
      </c>
      <c r="D2153" s="569" t="n">
        <v>2013</v>
      </c>
      <c r="E2153" s="569" t="n">
        <f aca="false">2021-D2153</f>
        <v>8</v>
      </c>
      <c r="F2153" s="1105" t="n">
        <v>300000</v>
      </c>
      <c r="G2153" s="1444" t="n">
        <v>0.1</v>
      </c>
      <c r="H2153" s="1105" t="n">
        <f aca="false">E2153*F2153*G2153</f>
        <v>240000</v>
      </c>
      <c r="I2153" s="1105" t="n">
        <f aca="false">F2153-H2153</f>
        <v>60000</v>
      </c>
      <c r="J2153" s="1105" t="n">
        <f aca="false">F2153*G2153</f>
        <v>30000</v>
      </c>
      <c r="K2153" s="1365" t="n">
        <f aca="false">J2153/1792.8</f>
        <v>16.7336010709505</v>
      </c>
      <c r="L2153" s="1105" t="n">
        <v>20</v>
      </c>
      <c r="M2153" s="865" t="n">
        <f aca="false">K2153*L2153/60</f>
        <v>5.57786702365016</v>
      </c>
    </row>
    <row r="2154" customFormat="false" ht="30" hidden="false" customHeight="false" outlineLevel="0" collapsed="false">
      <c r="A2154" s="216"/>
      <c r="B2154" s="40"/>
      <c r="C2154" s="1404" t="s">
        <v>7077</v>
      </c>
      <c r="D2154" s="569" t="n">
        <v>2012</v>
      </c>
      <c r="E2154" s="569" t="n">
        <f aca="false">2021-D2154</f>
        <v>9</v>
      </c>
      <c r="F2154" s="1105" t="n">
        <v>19245353.86</v>
      </c>
      <c r="G2154" s="1444" t="n">
        <v>0.1</v>
      </c>
      <c r="H2154" s="1105" t="n">
        <f aca="false">E2154*F2154*G2154</f>
        <v>17320818.474</v>
      </c>
      <c r="I2154" s="547" t="n">
        <f aca="false">F2154-H2154</f>
        <v>1924535.386</v>
      </c>
      <c r="J2154" s="547" t="n">
        <f aca="false">F2154*G2154</f>
        <v>1924535.386</v>
      </c>
      <c r="K2154" s="1365" t="n">
        <f aca="false">J2154/1792.8</f>
        <v>1073.48024654172</v>
      </c>
      <c r="L2154" s="547" t="n">
        <v>120</v>
      </c>
      <c r="M2154" s="819" t="n">
        <f aca="false">K2154*L2154/60</f>
        <v>2146.96049308345</v>
      </c>
    </row>
    <row r="2155" customFormat="false" ht="15" hidden="false" customHeight="false" outlineLevel="0" collapsed="false">
      <c r="A2155" s="216"/>
      <c r="B2155" s="1053" t="s">
        <v>4128</v>
      </c>
      <c r="C2155" s="1161"/>
      <c r="D2155" s="912"/>
      <c r="E2155" s="912"/>
      <c r="F2155" s="547"/>
      <c r="G2155" s="1413"/>
      <c r="H2155" s="547"/>
      <c r="I2155" s="547"/>
      <c r="J2155" s="547"/>
      <c r="K2155" s="1365" t="n">
        <f aca="false">J2155/1792.8</f>
        <v>0</v>
      </c>
      <c r="L2155" s="714" t="n">
        <f aca="false">SUM(L2146:L2154)</f>
        <v>260</v>
      </c>
      <c r="M2155" s="934" t="n">
        <f aca="false">SUM(M2146:M2154)</f>
        <v>2239.69204428826</v>
      </c>
    </row>
    <row r="2156" customFormat="false" ht="45" hidden="false" customHeight="false" outlineLevel="0" collapsed="false">
      <c r="A2156" s="216" t="s">
        <v>1113</v>
      </c>
      <c r="B2156" s="335" t="s">
        <v>3332</v>
      </c>
      <c r="C2156" s="1161" t="s">
        <v>7071</v>
      </c>
      <c r="D2156" s="912" t="n">
        <v>2006</v>
      </c>
      <c r="E2156" s="912" t="n">
        <f aca="false">2021-D2156</f>
        <v>15</v>
      </c>
      <c r="F2156" s="547" t="n">
        <v>138575</v>
      </c>
      <c r="G2156" s="1413" t="n">
        <v>0.1</v>
      </c>
      <c r="H2156" s="547" t="n">
        <f aca="false">E2156*F2156*G2156</f>
        <v>207862.5</v>
      </c>
      <c r="I2156" s="547" t="n">
        <f aca="false">F2156-H2156</f>
        <v>-69287.5</v>
      </c>
      <c r="J2156" s="547" t="n">
        <f aca="false">F2156*G2156</f>
        <v>13857.5</v>
      </c>
      <c r="K2156" s="1365" t="n">
        <f aca="false">J2156/1792.8</f>
        <v>7.7295292280232</v>
      </c>
      <c r="L2156" s="547" t="n">
        <v>20</v>
      </c>
      <c r="M2156" s="819" t="n">
        <f aca="false">K2156*L2156/60</f>
        <v>2.5765097426744</v>
      </c>
    </row>
    <row r="2157" customFormat="false" ht="30" hidden="false" customHeight="false" outlineLevel="0" collapsed="false">
      <c r="A2157" s="216"/>
      <c r="B2157" s="40"/>
      <c r="C2157" s="1404" t="s">
        <v>6963</v>
      </c>
      <c r="D2157" s="1405" t="n">
        <v>2007</v>
      </c>
      <c r="E2157" s="1405" t="n">
        <f aca="false">2021-D2157</f>
        <v>14</v>
      </c>
      <c r="F2157" s="1406" t="n">
        <v>176358</v>
      </c>
      <c r="G2157" s="1407" t="n">
        <v>0.1</v>
      </c>
      <c r="H2157" s="1410" t="n">
        <f aca="false">E2157*F2157*G2157</f>
        <v>246901.2</v>
      </c>
      <c r="I2157" s="1410" t="n">
        <f aca="false">F2157-H2157</f>
        <v>-70543.2</v>
      </c>
      <c r="J2157" s="1410" t="n">
        <f aca="false">F2157*G2157</f>
        <v>17635.8</v>
      </c>
      <c r="K2157" s="1365" t="n">
        <f aca="false">J2157/1792.8</f>
        <v>9.83701472556894</v>
      </c>
      <c r="L2157" s="1445" t="n">
        <v>10</v>
      </c>
      <c r="M2157" s="1408" t="n">
        <f aca="false">K2157*L2157/60</f>
        <v>1.63950245426149</v>
      </c>
    </row>
    <row r="2158" customFormat="false" ht="30" hidden="false" customHeight="false" outlineLevel="0" collapsed="false">
      <c r="A2158" s="216"/>
      <c r="B2158" s="40"/>
      <c r="C2158" s="1404" t="s">
        <v>6959</v>
      </c>
      <c r="D2158" s="1405" t="n">
        <v>2007</v>
      </c>
      <c r="E2158" s="1405" t="n">
        <f aca="false">2021-D2158</f>
        <v>14</v>
      </c>
      <c r="F2158" s="1406" t="n">
        <v>350000</v>
      </c>
      <c r="G2158" s="1407" t="n">
        <v>0.1</v>
      </c>
      <c r="H2158" s="1410" t="n">
        <f aca="false">E2158*F2158*G2158</f>
        <v>490000</v>
      </c>
      <c r="I2158" s="1410" t="n">
        <f aca="false">F2158-H2158</f>
        <v>-140000</v>
      </c>
      <c r="J2158" s="1410" t="n">
        <f aca="false">F2158*G2158</f>
        <v>35000</v>
      </c>
      <c r="K2158" s="1365" t="n">
        <f aca="false">J2158/1792.8</f>
        <v>19.5225345827755</v>
      </c>
      <c r="L2158" s="1445" t="n">
        <v>10</v>
      </c>
      <c r="M2158" s="1408" t="n">
        <f aca="false">K2158*L2158/60</f>
        <v>3.25375576379592</v>
      </c>
    </row>
    <row r="2159" customFormat="false" ht="30" hidden="false" customHeight="false" outlineLevel="0" collapsed="false">
      <c r="A2159" s="216"/>
      <c r="B2159" s="40"/>
      <c r="C2159" s="1404" t="s">
        <v>7070</v>
      </c>
      <c r="D2159" s="569" t="n">
        <v>2009</v>
      </c>
      <c r="E2159" s="569" t="n">
        <f aca="false">2021-D2159</f>
        <v>12</v>
      </c>
      <c r="F2159" s="1105" t="n">
        <v>181000</v>
      </c>
      <c r="G2159" s="1444" t="n">
        <v>0.1</v>
      </c>
      <c r="H2159" s="1105" t="n">
        <f aca="false">E2159*F2159*G2159</f>
        <v>217200</v>
      </c>
      <c r="I2159" s="1105" t="n">
        <f aca="false">F2159-H2159</f>
        <v>-36200</v>
      </c>
      <c r="J2159" s="1105" t="n">
        <f aca="false">F2159*G2159</f>
        <v>18100</v>
      </c>
      <c r="K2159" s="1365" t="n">
        <f aca="false">J2159/1792.8</f>
        <v>10.0959393128068</v>
      </c>
      <c r="L2159" s="1105" t="n">
        <v>20</v>
      </c>
      <c r="M2159" s="819" t="n">
        <f aca="false">K2159*L2159/60</f>
        <v>3.36531310426893</v>
      </c>
    </row>
    <row r="2160" customFormat="false" ht="30" hidden="false" customHeight="false" outlineLevel="0" collapsed="false">
      <c r="A2160" s="216"/>
      <c r="B2160" s="40"/>
      <c r="C2160" s="1409" t="s">
        <v>6967</v>
      </c>
      <c r="D2160" s="569" t="n">
        <v>2016</v>
      </c>
      <c r="E2160" s="569" t="n">
        <f aca="false">2021-D2160</f>
        <v>5</v>
      </c>
      <c r="F2160" s="1105" t="n">
        <v>2302000</v>
      </c>
      <c r="G2160" s="1444" t="n">
        <v>0.1</v>
      </c>
      <c r="H2160" s="1105" t="n">
        <f aca="false">E2160*F2160*G2160</f>
        <v>1151000</v>
      </c>
      <c r="I2160" s="1105" t="n">
        <f aca="false">F2160-H2160</f>
        <v>1151000</v>
      </c>
      <c r="J2160" s="1105" t="n">
        <f aca="false">F2160*G2160</f>
        <v>230200</v>
      </c>
      <c r="K2160" s="1365" t="n">
        <f aca="false">J2160/1792.8</f>
        <v>128.402498884427</v>
      </c>
      <c r="L2160" s="1105" t="n">
        <v>10</v>
      </c>
      <c r="M2160" s="819" t="n">
        <f aca="false">K2160*L2160/60</f>
        <v>21.4004164807378</v>
      </c>
    </row>
    <row r="2161" customFormat="false" ht="15" hidden="false" customHeight="false" outlineLevel="0" collapsed="false">
      <c r="A2161" s="216"/>
      <c r="B2161" s="40"/>
      <c r="C2161" s="1404" t="s">
        <v>7075</v>
      </c>
      <c r="D2161" s="569" t="n">
        <v>2015</v>
      </c>
      <c r="E2161" s="569" t="n">
        <f aca="false">2021-D2161</f>
        <v>6</v>
      </c>
      <c r="F2161" s="1105" t="n">
        <v>1028020</v>
      </c>
      <c r="G2161" s="1444" t="n">
        <v>0.1</v>
      </c>
      <c r="H2161" s="1105" t="n">
        <f aca="false">E2161*F2161*G2161</f>
        <v>616812</v>
      </c>
      <c r="I2161" s="1105" t="n">
        <f aca="false">F2161-H2161</f>
        <v>411208</v>
      </c>
      <c r="J2161" s="1105" t="n">
        <f aca="false">F2161*G2161</f>
        <v>102802</v>
      </c>
      <c r="K2161" s="1365" t="n">
        <f aca="false">J2161/1792.8</f>
        <v>57.3415885765283</v>
      </c>
      <c r="L2161" s="1105" t="n">
        <v>60</v>
      </c>
      <c r="M2161" s="819" t="n">
        <f aca="false">K2161*L2161/60</f>
        <v>57.3415885765283</v>
      </c>
    </row>
    <row r="2162" customFormat="false" ht="30" hidden="false" customHeight="false" outlineLevel="0" collapsed="false">
      <c r="A2162" s="216"/>
      <c r="B2162" s="40"/>
      <c r="C2162" s="1161" t="s">
        <v>7073</v>
      </c>
      <c r="D2162" s="912" t="n">
        <v>2005</v>
      </c>
      <c r="E2162" s="912" t="n">
        <f aca="false">2021-D2162</f>
        <v>16</v>
      </c>
      <c r="F2162" s="547" t="n">
        <v>39263</v>
      </c>
      <c r="G2162" s="1413" t="n">
        <v>0.15</v>
      </c>
      <c r="H2162" s="547" t="n">
        <f aca="false">E2162*F2162*G2162</f>
        <v>94231.2</v>
      </c>
      <c r="I2162" s="547" t="n">
        <f aca="false">F2162-H2162</f>
        <v>-54968.2</v>
      </c>
      <c r="J2162" s="547" t="n">
        <f aca="false">F2162*G2162</f>
        <v>5889.45</v>
      </c>
      <c r="K2162" s="1365" t="n">
        <f aca="false">J2162/1792.8</f>
        <v>3.28505689424364</v>
      </c>
      <c r="L2162" s="547" t="n">
        <v>10</v>
      </c>
      <c r="M2162" s="819" t="n">
        <f aca="false">K2162*L2162/60</f>
        <v>0.54750948237394</v>
      </c>
    </row>
    <row r="2163" customFormat="false" ht="30" hidden="false" customHeight="false" outlineLevel="0" collapsed="false">
      <c r="A2163" s="216"/>
      <c r="B2163" s="40"/>
      <c r="C2163" s="1404" t="s">
        <v>7072</v>
      </c>
      <c r="D2163" s="569" t="n">
        <v>2013</v>
      </c>
      <c r="E2163" s="569" t="n">
        <f aca="false">2021-D2163</f>
        <v>8</v>
      </c>
      <c r="F2163" s="1105" t="n">
        <v>300000</v>
      </c>
      <c r="G2163" s="1444" t="n">
        <v>0.1</v>
      </c>
      <c r="H2163" s="1105" t="n">
        <f aca="false">E2163*F2163*G2163</f>
        <v>240000</v>
      </c>
      <c r="I2163" s="1105" t="n">
        <f aca="false">F2163-H2163</f>
        <v>60000</v>
      </c>
      <c r="J2163" s="1105" t="n">
        <f aca="false">F2163*G2163</f>
        <v>30000</v>
      </c>
      <c r="K2163" s="1365" t="n">
        <f aca="false">J2163/1792.8</f>
        <v>16.7336010709505</v>
      </c>
      <c r="L2163" s="1105" t="n">
        <v>20</v>
      </c>
      <c r="M2163" s="865" t="n">
        <f aca="false">K2163*L2163/60</f>
        <v>5.57786702365016</v>
      </c>
    </row>
    <row r="2164" customFormat="false" ht="30" hidden="false" customHeight="false" outlineLevel="0" collapsed="false">
      <c r="A2164" s="216"/>
      <c r="B2164" s="40"/>
      <c r="C2164" s="1404" t="s">
        <v>7078</v>
      </c>
      <c r="D2164" s="569" t="n">
        <v>2012</v>
      </c>
      <c r="E2164" s="569" t="n">
        <f aca="false">2021-D2164</f>
        <v>9</v>
      </c>
      <c r="F2164" s="1105" t="n">
        <v>12268394.74</v>
      </c>
      <c r="G2164" s="1444" t="n">
        <v>0.1</v>
      </c>
      <c r="H2164" s="547" t="n">
        <f aca="false">E2164*F2164*G2164</f>
        <v>11041555.266</v>
      </c>
      <c r="I2164" s="547" t="n">
        <f aca="false">F2164-H2164</f>
        <v>1226839.474</v>
      </c>
      <c r="J2164" s="547" t="n">
        <f aca="false">F2164*G2164</f>
        <v>1226839.474</v>
      </c>
      <c r="K2164" s="1365" t="n">
        <f aca="false">J2164/1792.8</f>
        <v>684.31474453369</v>
      </c>
      <c r="L2164" s="547" t="n">
        <v>120</v>
      </c>
      <c r="M2164" s="819" t="n">
        <f aca="false">K2164*L2164/60</f>
        <v>1368.62948906738</v>
      </c>
    </row>
    <row r="2165" customFormat="false" ht="15" hidden="false" customHeight="false" outlineLevel="0" collapsed="false">
      <c r="A2165" s="216"/>
      <c r="B2165" s="1053" t="s">
        <v>4128</v>
      </c>
      <c r="C2165" s="1161"/>
      <c r="D2165" s="912"/>
      <c r="E2165" s="912"/>
      <c r="F2165" s="547"/>
      <c r="G2165" s="1413"/>
      <c r="H2165" s="547"/>
      <c r="I2165" s="547"/>
      <c r="J2165" s="547"/>
      <c r="K2165" s="1365" t="n">
        <f aca="false">J2165/1792.8</f>
        <v>0</v>
      </c>
      <c r="L2165" s="714" t="n">
        <f aca="false">SUM(L2156:L2164)</f>
        <v>280</v>
      </c>
      <c r="M2165" s="934" t="n">
        <f aca="false">SUM(M2156:M2164)</f>
        <v>1464.33195169567</v>
      </c>
    </row>
    <row r="2166" customFormat="false" ht="30" hidden="false" customHeight="false" outlineLevel="0" collapsed="false">
      <c r="A2166" s="216" t="s">
        <v>1114</v>
      </c>
      <c r="B2166" s="40" t="s">
        <v>3309</v>
      </c>
      <c r="C2166" s="1161" t="s">
        <v>7071</v>
      </c>
      <c r="D2166" s="912" t="n">
        <v>2006</v>
      </c>
      <c r="E2166" s="912" t="n">
        <f aca="false">2021-D2166</f>
        <v>15</v>
      </c>
      <c r="F2166" s="547" t="n">
        <v>138575</v>
      </c>
      <c r="G2166" s="1413" t="n">
        <v>0.1</v>
      </c>
      <c r="H2166" s="547" t="n">
        <f aca="false">E2166*F2166*G2166</f>
        <v>207862.5</v>
      </c>
      <c r="I2166" s="547" t="n">
        <f aca="false">F2166-H2166</f>
        <v>-69287.5</v>
      </c>
      <c r="J2166" s="547" t="n">
        <f aca="false">F2166*G2166</f>
        <v>13857.5</v>
      </c>
      <c r="K2166" s="1365" t="n">
        <f aca="false">J2166/1792.8</f>
        <v>7.7295292280232</v>
      </c>
      <c r="L2166" s="547" t="n">
        <v>10</v>
      </c>
      <c r="M2166" s="819" t="n">
        <f aca="false">K2166*L2166/60</f>
        <v>1.2882548713372</v>
      </c>
    </row>
    <row r="2167" customFormat="false" ht="30" hidden="false" customHeight="false" outlineLevel="0" collapsed="false">
      <c r="A2167" s="216"/>
      <c r="B2167" s="40"/>
      <c r="C2167" s="1404" t="s">
        <v>6963</v>
      </c>
      <c r="D2167" s="1405" t="n">
        <v>2007</v>
      </c>
      <c r="E2167" s="1405" t="n">
        <f aca="false">2021-D2167</f>
        <v>14</v>
      </c>
      <c r="F2167" s="1406" t="n">
        <v>176358</v>
      </c>
      <c r="G2167" s="1407" t="n">
        <v>0.1</v>
      </c>
      <c r="H2167" s="1410" t="n">
        <f aca="false">E2167*F2167*G2167</f>
        <v>246901.2</v>
      </c>
      <c r="I2167" s="1410" t="n">
        <f aca="false">F2167-H2167</f>
        <v>-70543.2</v>
      </c>
      <c r="J2167" s="1410" t="n">
        <f aca="false">F2167*G2167</f>
        <v>17635.8</v>
      </c>
      <c r="K2167" s="1365" t="n">
        <f aca="false">J2167/1792.8</f>
        <v>9.83701472556894</v>
      </c>
      <c r="L2167" s="1445" t="n">
        <v>10</v>
      </c>
      <c r="M2167" s="1408" t="n">
        <f aca="false">K2167*L2167/60</f>
        <v>1.63950245426149</v>
      </c>
    </row>
    <row r="2168" customFormat="false" ht="30" hidden="false" customHeight="false" outlineLevel="0" collapsed="false">
      <c r="A2168" s="216"/>
      <c r="B2168" s="40"/>
      <c r="C2168" s="1404" t="s">
        <v>6959</v>
      </c>
      <c r="D2168" s="1405" t="n">
        <v>2007</v>
      </c>
      <c r="E2168" s="1405" t="n">
        <f aca="false">2021-D2168</f>
        <v>14</v>
      </c>
      <c r="F2168" s="1406" t="n">
        <v>350000</v>
      </c>
      <c r="G2168" s="1407" t="n">
        <v>0.1</v>
      </c>
      <c r="H2168" s="1410" t="n">
        <f aca="false">E2168*F2168*G2168</f>
        <v>490000</v>
      </c>
      <c r="I2168" s="1410" t="n">
        <f aca="false">F2168-H2168</f>
        <v>-140000</v>
      </c>
      <c r="J2168" s="1410" t="n">
        <f aca="false">F2168*G2168</f>
        <v>35000</v>
      </c>
      <c r="K2168" s="1365" t="n">
        <f aca="false">J2168/1792.8</f>
        <v>19.5225345827755</v>
      </c>
      <c r="L2168" s="1445" t="n">
        <v>10</v>
      </c>
      <c r="M2168" s="1408" t="n">
        <f aca="false">K2168*L2168/60</f>
        <v>3.25375576379592</v>
      </c>
    </row>
    <row r="2169" customFormat="false" ht="30" hidden="false" customHeight="false" outlineLevel="0" collapsed="false">
      <c r="A2169" s="216"/>
      <c r="B2169" s="40"/>
      <c r="C2169" s="1404" t="s">
        <v>7070</v>
      </c>
      <c r="D2169" s="569" t="n">
        <v>2009</v>
      </c>
      <c r="E2169" s="569" t="n">
        <f aca="false">2021-D2169</f>
        <v>12</v>
      </c>
      <c r="F2169" s="1105" t="n">
        <v>181000</v>
      </c>
      <c r="G2169" s="1444" t="n">
        <v>0.1</v>
      </c>
      <c r="H2169" s="1105" t="n">
        <f aca="false">E2169*F2169*G2169</f>
        <v>217200</v>
      </c>
      <c r="I2169" s="1105" t="n">
        <f aca="false">F2169-H2169</f>
        <v>-36200</v>
      </c>
      <c r="J2169" s="1105" t="n">
        <f aca="false">F2169*G2169</f>
        <v>18100</v>
      </c>
      <c r="K2169" s="1365" t="n">
        <f aca="false">J2169/1792.8</f>
        <v>10.0959393128068</v>
      </c>
      <c r="L2169" s="547" t="n">
        <v>10</v>
      </c>
      <c r="M2169" s="819" t="n">
        <f aca="false">K2169*L2169/60</f>
        <v>1.68265655213446</v>
      </c>
    </row>
    <row r="2170" customFormat="false" ht="30" hidden="false" customHeight="false" outlineLevel="0" collapsed="false">
      <c r="A2170" s="216"/>
      <c r="B2170" s="40"/>
      <c r="C2170" s="1409" t="s">
        <v>6967</v>
      </c>
      <c r="D2170" s="569" t="n">
        <v>2016</v>
      </c>
      <c r="E2170" s="569" t="n">
        <f aca="false">2021-D2170</f>
        <v>5</v>
      </c>
      <c r="F2170" s="1105" t="n">
        <v>2302000</v>
      </c>
      <c r="G2170" s="1444" t="n">
        <v>0.1</v>
      </c>
      <c r="H2170" s="1105" t="n">
        <f aca="false">E2170*F2170*G2170</f>
        <v>1151000</v>
      </c>
      <c r="I2170" s="1105" t="n">
        <f aca="false">F2170-H2170</f>
        <v>1151000</v>
      </c>
      <c r="J2170" s="1105" t="n">
        <f aca="false">F2170*G2170</f>
        <v>230200</v>
      </c>
      <c r="K2170" s="1365" t="n">
        <f aca="false">J2170/1792.8</f>
        <v>128.402498884427</v>
      </c>
      <c r="L2170" s="547" t="n">
        <v>10</v>
      </c>
      <c r="M2170" s="819" t="n">
        <f aca="false">K2170*L2170/60</f>
        <v>21.4004164807378</v>
      </c>
    </row>
    <row r="2171" customFormat="false" ht="15" hidden="false" customHeight="false" outlineLevel="0" collapsed="false">
      <c r="A2171" s="216"/>
      <c r="B2171" s="40"/>
      <c r="C2171" s="1404" t="s">
        <v>7075</v>
      </c>
      <c r="D2171" s="569" t="n">
        <v>2015</v>
      </c>
      <c r="E2171" s="569" t="n">
        <f aca="false">2021-D2171</f>
        <v>6</v>
      </c>
      <c r="F2171" s="1105" t="n">
        <v>1028020</v>
      </c>
      <c r="G2171" s="1444" t="n">
        <v>0.1</v>
      </c>
      <c r="H2171" s="1105" t="n">
        <f aca="false">E2171*F2171*G2171</f>
        <v>616812</v>
      </c>
      <c r="I2171" s="1105" t="n">
        <f aca="false">F2171-H2171</f>
        <v>411208</v>
      </c>
      <c r="J2171" s="1105" t="n">
        <f aca="false">F2171*G2171</f>
        <v>102802</v>
      </c>
      <c r="K2171" s="1365" t="n">
        <f aca="false">J2171/1792.8</f>
        <v>57.3415885765283</v>
      </c>
      <c r="L2171" s="547" t="n">
        <v>60</v>
      </c>
      <c r="M2171" s="819" t="n">
        <f aca="false">K2171*L2171/60</f>
        <v>57.3415885765283</v>
      </c>
    </row>
    <row r="2172" customFormat="false" ht="30" hidden="false" customHeight="false" outlineLevel="0" collapsed="false">
      <c r="A2172" s="216"/>
      <c r="B2172" s="40"/>
      <c r="C2172" s="1404" t="s">
        <v>7072</v>
      </c>
      <c r="D2172" s="569" t="n">
        <v>2013</v>
      </c>
      <c r="E2172" s="569" t="n">
        <f aca="false">2021-D2172</f>
        <v>8</v>
      </c>
      <c r="F2172" s="1105" t="n">
        <v>300000</v>
      </c>
      <c r="G2172" s="1444" t="n">
        <v>0.1</v>
      </c>
      <c r="H2172" s="1105" t="n">
        <f aca="false">E2172*F2172*G2172</f>
        <v>240000</v>
      </c>
      <c r="I2172" s="1105" t="n">
        <f aca="false">F2172-H2172</f>
        <v>60000</v>
      </c>
      <c r="J2172" s="1105" t="n">
        <f aca="false">F2172*G2172</f>
        <v>30000</v>
      </c>
      <c r="K2172" s="1365" t="n">
        <f aca="false">J2172/1792.8</f>
        <v>16.7336010709505</v>
      </c>
      <c r="L2172" s="1105" t="n">
        <v>20</v>
      </c>
      <c r="M2172" s="865" t="n">
        <f aca="false">K2172*L2172/60</f>
        <v>5.57786702365016</v>
      </c>
    </row>
    <row r="2173" customFormat="false" ht="30" hidden="false" customHeight="false" outlineLevel="0" collapsed="false">
      <c r="A2173" s="216"/>
      <c r="B2173" s="40"/>
      <c r="C2173" s="1404" t="s">
        <v>7077</v>
      </c>
      <c r="D2173" s="569" t="n">
        <v>2012</v>
      </c>
      <c r="E2173" s="569" t="n">
        <f aca="false">2021-D2173</f>
        <v>9</v>
      </c>
      <c r="F2173" s="1105" t="n">
        <v>19245353.86</v>
      </c>
      <c r="G2173" s="1444" t="n">
        <v>0.1</v>
      </c>
      <c r="H2173" s="1105" t="n">
        <f aca="false">E2173*F2173*G2173</f>
        <v>17320818.474</v>
      </c>
      <c r="I2173" s="547" t="n">
        <f aca="false">F2173-H2173</f>
        <v>1924535.386</v>
      </c>
      <c r="J2173" s="547" t="n">
        <f aca="false">F2173*G2173</f>
        <v>1924535.386</v>
      </c>
      <c r="K2173" s="1365" t="n">
        <f aca="false">J2173/1792.8</f>
        <v>1073.48024654172</v>
      </c>
      <c r="L2173" s="547" t="n">
        <v>130</v>
      </c>
      <c r="M2173" s="819" t="n">
        <f aca="false">K2173*L2173/60</f>
        <v>2325.87386750707</v>
      </c>
    </row>
    <row r="2174" customFormat="false" ht="15" hidden="false" customHeight="false" outlineLevel="0" collapsed="false">
      <c r="A2174" s="216"/>
      <c r="B2174" s="1053" t="s">
        <v>4128</v>
      </c>
      <c r="C2174" s="1161"/>
      <c r="D2174" s="912"/>
      <c r="E2174" s="912"/>
      <c r="F2174" s="547"/>
      <c r="G2174" s="1413"/>
      <c r="H2174" s="547"/>
      <c r="I2174" s="547"/>
      <c r="J2174" s="547"/>
      <c r="K2174" s="1365" t="n">
        <f aca="false">J2174/1792.8</f>
        <v>0</v>
      </c>
      <c r="L2174" s="714" t="n">
        <f aca="false">SUM(L2166:L2173)</f>
        <v>260</v>
      </c>
      <c r="M2174" s="934" t="n">
        <f aca="false">SUM(M2166:M2173)</f>
        <v>2418.05790922951</v>
      </c>
    </row>
    <row r="2175" customFormat="false" ht="30" hidden="false" customHeight="false" outlineLevel="0" collapsed="false">
      <c r="A2175" s="216" t="s">
        <v>1115</v>
      </c>
      <c r="B2175" s="335" t="s">
        <v>7082</v>
      </c>
      <c r="C2175" s="1161" t="s">
        <v>7071</v>
      </c>
      <c r="D2175" s="912" t="n">
        <v>2006</v>
      </c>
      <c r="E2175" s="912" t="n">
        <f aca="false">2021-D2175</f>
        <v>15</v>
      </c>
      <c r="F2175" s="547" t="n">
        <v>138575</v>
      </c>
      <c r="G2175" s="1413" t="n">
        <v>0.1</v>
      </c>
      <c r="H2175" s="547" t="n">
        <f aca="false">E2175*F2175*G2175</f>
        <v>207862.5</v>
      </c>
      <c r="I2175" s="547" t="n">
        <f aca="false">F2175-H2175</f>
        <v>-69287.5</v>
      </c>
      <c r="J2175" s="547" t="n">
        <f aca="false">F2175*G2175</f>
        <v>13857.5</v>
      </c>
      <c r="K2175" s="1365" t="n">
        <f aca="false">J2175/1792.8</f>
        <v>7.7295292280232</v>
      </c>
      <c r="L2175" s="547" t="n">
        <v>20</v>
      </c>
      <c r="M2175" s="819" t="n">
        <f aca="false">K2175*L2175/60</f>
        <v>2.5765097426744</v>
      </c>
    </row>
    <row r="2176" customFormat="false" ht="30" hidden="false" customHeight="false" outlineLevel="0" collapsed="false">
      <c r="A2176" s="216"/>
      <c r="B2176" s="40"/>
      <c r="C2176" s="1404" t="s">
        <v>6963</v>
      </c>
      <c r="D2176" s="1405" t="n">
        <v>2007</v>
      </c>
      <c r="E2176" s="1405" t="n">
        <f aca="false">2021-D2176</f>
        <v>14</v>
      </c>
      <c r="F2176" s="1406" t="n">
        <v>176358</v>
      </c>
      <c r="G2176" s="1407" t="n">
        <v>0.1</v>
      </c>
      <c r="H2176" s="1410" t="n">
        <f aca="false">E2176*F2176*G2176</f>
        <v>246901.2</v>
      </c>
      <c r="I2176" s="1410" t="n">
        <f aca="false">F2176-H2176</f>
        <v>-70543.2</v>
      </c>
      <c r="J2176" s="1410" t="n">
        <f aca="false">F2176*G2176</f>
        <v>17635.8</v>
      </c>
      <c r="K2176" s="1365" t="n">
        <f aca="false">J2176/1792.8</f>
        <v>9.83701472556894</v>
      </c>
      <c r="L2176" s="1445" t="n">
        <v>10</v>
      </c>
      <c r="M2176" s="1408" t="n">
        <f aca="false">K2176*L2176/60</f>
        <v>1.63950245426149</v>
      </c>
    </row>
    <row r="2177" customFormat="false" ht="30" hidden="false" customHeight="false" outlineLevel="0" collapsed="false">
      <c r="A2177" s="216"/>
      <c r="B2177" s="40"/>
      <c r="C2177" s="1404" t="s">
        <v>6959</v>
      </c>
      <c r="D2177" s="1405" t="n">
        <v>2007</v>
      </c>
      <c r="E2177" s="1405" t="n">
        <f aca="false">2021-D2177</f>
        <v>14</v>
      </c>
      <c r="F2177" s="1406" t="n">
        <v>350000</v>
      </c>
      <c r="G2177" s="1407" t="n">
        <v>0.1</v>
      </c>
      <c r="H2177" s="1410" t="n">
        <f aca="false">E2177*F2177*G2177</f>
        <v>490000</v>
      </c>
      <c r="I2177" s="1410" t="n">
        <f aca="false">F2177-H2177</f>
        <v>-140000</v>
      </c>
      <c r="J2177" s="1410" t="n">
        <f aca="false">F2177*G2177</f>
        <v>35000</v>
      </c>
      <c r="K2177" s="1365" t="n">
        <f aca="false">J2177/1792.8</f>
        <v>19.5225345827755</v>
      </c>
      <c r="L2177" s="1445" t="n">
        <v>10</v>
      </c>
      <c r="M2177" s="1408" t="n">
        <f aca="false">K2177*L2177/60</f>
        <v>3.25375576379592</v>
      </c>
    </row>
    <row r="2178" customFormat="false" ht="30" hidden="false" customHeight="false" outlineLevel="0" collapsed="false">
      <c r="A2178" s="216"/>
      <c r="B2178" s="40"/>
      <c r="C2178" s="1404" t="s">
        <v>7070</v>
      </c>
      <c r="D2178" s="569" t="n">
        <v>2009</v>
      </c>
      <c r="E2178" s="569" t="n">
        <f aca="false">2021-D2178</f>
        <v>12</v>
      </c>
      <c r="F2178" s="1105" t="n">
        <v>181000</v>
      </c>
      <c r="G2178" s="1444" t="n">
        <v>0.1</v>
      </c>
      <c r="H2178" s="1105" t="n">
        <f aca="false">E2178*F2178*G2178</f>
        <v>217200</v>
      </c>
      <c r="I2178" s="1105" t="n">
        <f aca="false">F2178-H2178</f>
        <v>-36200</v>
      </c>
      <c r="J2178" s="1105" t="n">
        <f aca="false">F2178*G2178</f>
        <v>18100</v>
      </c>
      <c r="K2178" s="1365" t="n">
        <f aca="false">J2178/1792.8</f>
        <v>10.0959393128068</v>
      </c>
      <c r="L2178" s="1105" t="n">
        <v>20</v>
      </c>
      <c r="M2178" s="865" t="n">
        <f aca="false">K2178*L2178/60</f>
        <v>3.36531310426893</v>
      </c>
    </row>
    <row r="2179" customFormat="false" ht="30" hidden="false" customHeight="false" outlineLevel="0" collapsed="false">
      <c r="A2179" s="216"/>
      <c r="B2179" s="40"/>
      <c r="C2179" s="1409" t="s">
        <v>6967</v>
      </c>
      <c r="D2179" s="569" t="n">
        <v>2016</v>
      </c>
      <c r="E2179" s="569" t="n">
        <f aca="false">2021-D2179</f>
        <v>5</v>
      </c>
      <c r="F2179" s="1105" t="n">
        <v>2302000</v>
      </c>
      <c r="G2179" s="1444" t="n">
        <v>0.1</v>
      </c>
      <c r="H2179" s="547" t="n">
        <f aca="false">E2179*F2179*G2179</f>
        <v>1151000</v>
      </c>
      <c r="I2179" s="547" t="n">
        <f aca="false">F2179-H2179</f>
        <v>1151000</v>
      </c>
      <c r="J2179" s="547" t="n">
        <f aca="false">F2179*G2179</f>
        <v>230200</v>
      </c>
      <c r="K2179" s="1365" t="n">
        <f aca="false">J2179/1792.8</f>
        <v>128.402498884427</v>
      </c>
      <c r="L2179" s="547" t="n">
        <v>10</v>
      </c>
      <c r="M2179" s="819" t="n">
        <f aca="false">K2179*L2179/60</f>
        <v>21.4004164807378</v>
      </c>
    </row>
    <row r="2180" customFormat="false" ht="15" hidden="false" customHeight="false" outlineLevel="0" collapsed="false">
      <c r="A2180" s="216"/>
      <c r="B2180" s="40"/>
      <c r="C2180" s="1404" t="s">
        <v>7075</v>
      </c>
      <c r="D2180" s="569" t="n">
        <v>2015</v>
      </c>
      <c r="E2180" s="569" t="n">
        <f aca="false">2021-D2180</f>
        <v>6</v>
      </c>
      <c r="F2180" s="1105" t="n">
        <v>1028020</v>
      </c>
      <c r="G2180" s="1444" t="n">
        <v>0.1</v>
      </c>
      <c r="H2180" s="1105" t="n">
        <f aca="false">E2180*F2180*G2180</f>
        <v>616812</v>
      </c>
      <c r="I2180" s="1105" t="n">
        <f aca="false">F2180-H2180</f>
        <v>411208</v>
      </c>
      <c r="J2180" s="1105" t="n">
        <f aca="false">F2180*G2180</f>
        <v>102802</v>
      </c>
      <c r="K2180" s="1365" t="n">
        <f aca="false">J2180/1792.8</f>
        <v>57.3415885765283</v>
      </c>
      <c r="L2180" s="1105" t="n">
        <v>60</v>
      </c>
      <c r="M2180" s="865" t="n">
        <f aca="false">K2180*L2180/60</f>
        <v>57.3415885765283</v>
      </c>
    </row>
    <row r="2181" customFormat="false" ht="30" hidden="false" customHeight="false" outlineLevel="0" collapsed="false">
      <c r="A2181" s="216"/>
      <c r="B2181" s="40"/>
      <c r="C2181" s="1404" t="s">
        <v>7073</v>
      </c>
      <c r="D2181" s="569" t="n">
        <v>2005</v>
      </c>
      <c r="E2181" s="569" t="n">
        <f aca="false">2021-D2181</f>
        <v>16</v>
      </c>
      <c r="F2181" s="1105" t="n">
        <v>39263</v>
      </c>
      <c r="G2181" s="1444" t="n">
        <v>0.15</v>
      </c>
      <c r="H2181" s="547" t="n">
        <f aca="false">E2181*F2181*G2181</f>
        <v>94231.2</v>
      </c>
      <c r="I2181" s="547" t="n">
        <f aca="false">F2181-H2181</f>
        <v>-54968.2</v>
      </c>
      <c r="J2181" s="547" t="n">
        <f aca="false">F2181*G2181</f>
        <v>5889.45</v>
      </c>
      <c r="K2181" s="1365" t="n">
        <f aca="false">J2181/1792.8</f>
        <v>3.28505689424364</v>
      </c>
      <c r="L2181" s="547" t="n">
        <v>10</v>
      </c>
      <c r="M2181" s="819" t="n">
        <f aca="false">K2181*L2181/60</f>
        <v>0.54750948237394</v>
      </c>
    </row>
    <row r="2182" customFormat="false" ht="30" hidden="false" customHeight="false" outlineLevel="0" collapsed="false">
      <c r="A2182" s="216"/>
      <c r="B2182" s="40"/>
      <c r="C2182" s="1404" t="s">
        <v>7072</v>
      </c>
      <c r="D2182" s="569" t="n">
        <v>2013</v>
      </c>
      <c r="E2182" s="569" t="n">
        <f aca="false">2021-D2182</f>
        <v>8</v>
      </c>
      <c r="F2182" s="1105" t="n">
        <v>300000</v>
      </c>
      <c r="G2182" s="1444" t="n">
        <v>0.1</v>
      </c>
      <c r="H2182" s="1105" t="n">
        <f aca="false">E2182*F2182*G2182</f>
        <v>240000</v>
      </c>
      <c r="I2182" s="1105" t="n">
        <f aca="false">F2182-H2182</f>
        <v>60000</v>
      </c>
      <c r="J2182" s="1105" t="n">
        <f aca="false">F2182*G2182</f>
        <v>30000</v>
      </c>
      <c r="K2182" s="1365" t="n">
        <f aca="false">J2182/1792.8</f>
        <v>16.7336010709505</v>
      </c>
      <c r="L2182" s="1105" t="n">
        <v>20</v>
      </c>
      <c r="M2182" s="865" t="n">
        <f aca="false">K2182*L2182/60</f>
        <v>5.57786702365016</v>
      </c>
    </row>
    <row r="2183" customFormat="false" ht="30" hidden="false" customHeight="false" outlineLevel="0" collapsed="false">
      <c r="A2183" s="216"/>
      <c r="B2183" s="40"/>
      <c r="C2183" s="1404" t="s">
        <v>7078</v>
      </c>
      <c r="D2183" s="569" t="n">
        <v>2012</v>
      </c>
      <c r="E2183" s="569" t="n">
        <f aca="false">2021-D2183</f>
        <v>9</v>
      </c>
      <c r="F2183" s="1105" t="n">
        <v>12268394.74</v>
      </c>
      <c r="G2183" s="1444" t="n">
        <v>0.1</v>
      </c>
      <c r="H2183" s="547" t="n">
        <f aca="false">E2183*F2183*G2183</f>
        <v>11041555.266</v>
      </c>
      <c r="I2183" s="547" t="n">
        <f aca="false">F2183-H2183</f>
        <v>1226839.474</v>
      </c>
      <c r="J2183" s="547" t="n">
        <f aca="false">F2183*G2183</f>
        <v>1226839.474</v>
      </c>
      <c r="K2183" s="1365" t="n">
        <f aca="false">J2183/1792.8</f>
        <v>684.31474453369</v>
      </c>
      <c r="L2183" s="547" t="n">
        <v>120</v>
      </c>
      <c r="M2183" s="819" t="n">
        <f aca="false">K2183*L2183/60</f>
        <v>1368.62948906738</v>
      </c>
    </row>
    <row r="2184" customFormat="false" ht="15" hidden="false" customHeight="false" outlineLevel="0" collapsed="false">
      <c r="A2184" s="216"/>
      <c r="B2184" s="1053" t="s">
        <v>4128</v>
      </c>
      <c r="C2184" s="1404"/>
      <c r="D2184" s="569"/>
      <c r="E2184" s="569"/>
      <c r="F2184" s="1105"/>
      <c r="G2184" s="1444"/>
      <c r="H2184" s="547"/>
      <c r="I2184" s="547"/>
      <c r="J2184" s="547"/>
      <c r="K2184" s="1365" t="n">
        <f aca="false">J2184/1792.8</f>
        <v>0</v>
      </c>
      <c r="L2184" s="714" t="n">
        <f aca="false">SUM(L2175:L2183)</f>
        <v>280</v>
      </c>
      <c r="M2184" s="934" t="n">
        <f aca="false">SUM(M2175:M2183)</f>
        <v>1464.33195169567</v>
      </c>
    </row>
    <row r="2185" customFormat="false" ht="30" hidden="false" customHeight="false" outlineLevel="0" collapsed="false">
      <c r="A2185" s="216" t="s">
        <v>1117</v>
      </c>
      <c r="B2185" s="335" t="s">
        <v>3313</v>
      </c>
      <c r="C2185" s="1404" t="s">
        <v>7071</v>
      </c>
      <c r="D2185" s="569" t="n">
        <v>2006</v>
      </c>
      <c r="E2185" s="569" t="n">
        <f aca="false">2021-D2185</f>
        <v>15</v>
      </c>
      <c r="F2185" s="1105" t="n">
        <v>138575</v>
      </c>
      <c r="G2185" s="1444" t="n">
        <v>0.1</v>
      </c>
      <c r="H2185" s="547" t="n">
        <f aca="false">E2185*F2185*G2185</f>
        <v>207862.5</v>
      </c>
      <c r="I2185" s="547" t="n">
        <f aca="false">F2185-H2185</f>
        <v>-69287.5</v>
      </c>
      <c r="J2185" s="547" t="n">
        <f aca="false">F2185*G2185</f>
        <v>13857.5</v>
      </c>
      <c r="K2185" s="1365" t="n">
        <f aca="false">J2185/1792.8</f>
        <v>7.7295292280232</v>
      </c>
      <c r="L2185" s="547" t="n">
        <v>10</v>
      </c>
      <c r="M2185" s="819" t="n">
        <f aca="false">K2185*L2185/60</f>
        <v>1.2882548713372</v>
      </c>
    </row>
    <row r="2186" customFormat="false" ht="30" hidden="false" customHeight="false" outlineLevel="0" collapsed="false">
      <c r="A2186" s="216"/>
      <c r="B2186" s="40"/>
      <c r="C2186" s="1404" t="s">
        <v>6963</v>
      </c>
      <c r="D2186" s="1405" t="n">
        <v>2007</v>
      </c>
      <c r="E2186" s="1405" t="n">
        <f aca="false">2021-D2186</f>
        <v>14</v>
      </c>
      <c r="F2186" s="1406" t="n">
        <v>176358</v>
      </c>
      <c r="G2186" s="1407" t="n">
        <v>0.1</v>
      </c>
      <c r="H2186" s="1410" t="n">
        <f aca="false">E2186*F2186*G2186</f>
        <v>246901.2</v>
      </c>
      <c r="I2186" s="1410" t="n">
        <f aca="false">F2186-H2186</f>
        <v>-70543.2</v>
      </c>
      <c r="J2186" s="1410" t="n">
        <f aca="false">F2186*G2186</f>
        <v>17635.8</v>
      </c>
      <c r="K2186" s="1365" t="n">
        <f aca="false">J2186/1792.8</f>
        <v>9.83701472556894</v>
      </c>
      <c r="L2186" s="1445" t="n">
        <v>10</v>
      </c>
      <c r="M2186" s="1408" t="n">
        <f aca="false">K2186*L2186/60</f>
        <v>1.63950245426149</v>
      </c>
    </row>
    <row r="2187" customFormat="false" ht="30" hidden="false" customHeight="false" outlineLevel="0" collapsed="false">
      <c r="A2187" s="216"/>
      <c r="B2187" s="40"/>
      <c r="C2187" s="1404" t="s">
        <v>6959</v>
      </c>
      <c r="D2187" s="1405" t="n">
        <v>2007</v>
      </c>
      <c r="E2187" s="1405" t="n">
        <f aca="false">2021-D2187</f>
        <v>14</v>
      </c>
      <c r="F2187" s="1406" t="n">
        <v>350000</v>
      </c>
      <c r="G2187" s="1407" t="n">
        <v>0.1</v>
      </c>
      <c r="H2187" s="1410" t="n">
        <f aca="false">E2187*F2187*G2187</f>
        <v>490000</v>
      </c>
      <c r="I2187" s="1410" t="n">
        <f aca="false">F2187-H2187</f>
        <v>-140000</v>
      </c>
      <c r="J2187" s="1410" t="n">
        <f aca="false">F2187*G2187</f>
        <v>35000</v>
      </c>
      <c r="K2187" s="1365" t="n">
        <f aca="false">J2187/1792.8</f>
        <v>19.5225345827755</v>
      </c>
      <c r="L2187" s="1445" t="n">
        <v>10</v>
      </c>
      <c r="M2187" s="1408" t="n">
        <f aca="false">K2187*L2187/60</f>
        <v>3.25375576379592</v>
      </c>
    </row>
    <row r="2188" customFormat="false" ht="30" hidden="false" customHeight="false" outlineLevel="0" collapsed="false">
      <c r="A2188" s="216"/>
      <c r="B2188" s="40"/>
      <c r="C2188" s="1409" t="s">
        <v>6967</v>
      </c>
      <c r="D2188" s="569" t="n">
        <v>2016</v>
      </c>
      <c r="E2188" s="569" t="n">
        <f aca="false">2021-D2188</f>
        <v>5</v>
      </c>
      <c r="F2188" s="1105" t="n">
        <v>2302000</v>
      </c>
      <c r="G2188" s="1444" t="n">
        <v>0.1</v>
      </c>
      <c r="H2188" s="1105" t="n">
        <f aca="false">E2188*F2188*G2188</f>
        <v>1151000</v>
      </c>
      <c r="I2188" s="1105" t="n">
        <f aca="false">F2188-H2188</f>
        <v>1151000</v>
      </c>
      <c r="J2188" s="1105" t="n">
        <f aca="false">F2188*G2188</f>
        <v>230200</v>
      </c>
      <c r="K2188" s="1365" t="n">
        <f aca="false">J2188/1792.8</f>
        <v>128.402498884427</v>
      </c>
      <c r="L2188" s="1105" t="n">
        <v>10</v>
      </c>
      <c r="M2188" s="865" t="n">
        <f aca="false">K2188*L2188/60</f>
        <v>21.4004164807378</v>
      </c>
    </row>
    <row r="2189" customFormat="false" ht="15" hidden="false" customHeight="false" outlineLevel="0" collapsed="false">
      <c r="A2189" s="216"/>
      <c r="B2189" s="40"/>
      <c r="C2189" s="1404" t="s">
        <v>7075</v>
      </c>
      <c r="D2189" s="569" t="n">
        <v>2015</v>
      </c>
      <c r="E2189" s="569" t="n">
        <f aca="false">2021-D2189</f>
        <v>6</v>
      </c>
      <c r="F2189" s="1105" t="n">
        <v>1028020</v>
      </c>
      <c r="G2189" s="1444" t="n">
        <v>0.1</v>
      </c>
      <c r="H2189" s="1105" t="n">
        <f aca="false">E2189*F2189*G2189</f>
        <v>616812</v>
      </c>
      <c r="I2189" s="1105" t="n">
        <f aca="false">F2189-H2189</f>
        <v>411208</v>
      </c>
      <c r="J2189" s="1105" t="n">
        <f aca="false">F2189*G2189</f>
        <v>102802</v>
      </c>
      <c r="K2189" s="1365" t="n">
        <f aca="false">J2189/1792.8</f>
        <v>57.3415885765283</v>
      </c>
      <c r="L2189" s="1105" t="n">
        <v>60</v>
      </c>
      <c r="M2189" s="865" t="n">
        <f aca="false">K2189*L2189/60</f>
        <v>57.3415885765283</v>
      </c>
    </row>
    <row r="2190" customFormat="false" ht="30" hidden="false" customHeight="false" outlineLevel="0" collapsed="false">
      <c r="A2190" s="216"/>
      <c r="B2190" s="40"/>
      <c r="C2190" s="1404" t="s">
        <v>7073</v>
      </c>
      <c r="D2190" s="569" t="n">
        <v>2005</v>
      </c>
      <c r="E2190" s="569" t="n">
        <f aca="false">2021-D2190</f>
        <v>16</v>
      </c>
      <c r="F2190" s="1105" t="n">
        <v>39263</v>
      </c>
      <c r="G2190" s="1444" t="n">
        <v>0.15</v>
      </c>
      <c r="H2190" s="1105" t="n">
        <f aca="false">E2190*F2190*G2190</f>
        <v>94231.2</v>
      </c>
      <c r="I2190" s="1105" t="n">
        <f aca="false">F2190-H2190</f>
        <v>-54968.2</v>
      </c>
      <c r="J2190" s="1105" t="n">
        <f aca="false">F2190*G2190</f>
        <v>5889.45</v>
      </c>
      <c r="K2190" s="1365" t="n">
        <f aca="false">J2190/1792.8</f>
        <v>3.28505689424364</v>
      </c>
      <c r="L2190" s="1105" t="n">
        <v>10</v>
      </c>
      <c r="M2190" s="865" t="n">
        <f aca="false">K2190*L2190/60</f>
        <v>0.54750948237394</v>
      </c>
    </row>
    <row r="2191" customFormat="false" ht="30" hidden="false" customHeight="false" outlineLevel="0" collapsed="false">
      <c r="A2191" s="216"/>
      <c r="B2191" s="40"/>
      <c r="C2191" s="1404" t="s">
        <v>7070</v>
      </c>
      <c r="D2191" s="569" t="n">
        <v>2009</v>
      </c>
      <c r="E2191" s="569" t="n">
        <f aca="false">2021-D2191</f>
        <v>12</v>
      </c>
      <c r="F2191" s="1105" t="n">
        <v>181000</v>
      </c>
      <c r="G2191" s="1444" t="n">
        <v>0.1</v>
      </c>
      <c r="H2191" s="1105" t="n">
        <f aca="false">E2191*F2191*G2191</f>
        <v>217200</v>
      </c>
      <c r="I2191" s="1105" t="n">
        <f aca="false">F2191-H2191</f>
        <v>-36200</v>
      </c>
      <c r="J2191" s="1105" t="n">
        <f aca="false">F2191*G2191</f>
        <v>18100</v>
      </c>
      <c r="K2191" s="1365" t="n">
        <f aca="false">J2191/1792.8</f>
        <v>10.0959393128068</v>
      </c>
      <c r="L2191" s="1105" t="n">
        <v>20</v>
      </c>
      <c r="M2191" s="865" t="n">
        <f aca="false">K2191*L2191/60</f>
        <v>3.36531310426893</v>
      </c>
    </row>
    <row r="2192" customFormat="false" ht="30" hidden="false" customHeight="false" outlineLevel="0" collapsed="false">
      <c r="A2192" s="216"/>
      <c r="B2192" s="40"/>
      <c r="C2192" s="1404" t="s">
        <v>7072</v>
      </c>
      <c r="D2192" s="569" t="n">
        <v>2013</v>
      </c>
      <c r="E2192" s="569" t="n">
        <f aca="false">2021-D2192</f>
        <v>8</v>
      </c>
      <c r="F2192" s="1105" t="n">
        <v>300000</v>
      </c>
      <c r="G2192" s="1444" t="n">
        <v>0.1</v>
      </c>
      <c r="H2192" s="1105" t="n">
        <f aca="false">E2192*F2192*G2192</f>
        <v>240000</v>
      </c>
      <c r="I2192" s="1105" t="n">
        <f aca="false">F2192-H2192</f>
        <v>60000</v>
      </c>
      <c r="J2192" s="1105" t="n">
        <f aca="false">F2192*G2192</f>
        <v>30000</v>
      </c>
      <c r="K2192" s="1365" t="n">
        <f aca="false">J2192/1792.8</f>
        <v>16.7336010709505</v>
      </c>
      <c r="L2192" s="1105" t="n">
        <v>30</v>
      </c>
      <c r="M2192" s="865" t="n">
        <f aca="false">K2192*L2192/60</f>
        <v>8.36680053547524</v>
      </c>
    </row>
    <row r="2193" customFormat="false" ht="30" hidden="false" customHeight="false" outlineLevel="0" collapsed="false">
      <c r="A2193" s="216"/>
      <c r="B2193" s="40"/>
      <c r="C2193" s="1404" t="s">
        <v>7078</v>
      </c>
      <c r="D2193" s="569" t="n">
        <v>2012</v>
      </c>
      <c r="E2193" s="569" t="n">
        <f aca="false">2021-D2193</f>
        <v>9</v>
      </c>
      <c r="F2193" s="1105" t="n">
        <v>12268394.74</v>
      </c>
      <c r="G2193" s="1444" t="n">
        <v>0.1</v>
      </c>
      <c r="H2193" s="1105" t="n">
        <f aca="false">E2193*F2193*G2193</f>
        <v>11041555.266</v>
      </c>
      <c r="I2193" s="547" t="n">
        <f aca="false">F2193-H2193</f>
        <v>1226839.474</v>
      </c>
      <c r="J2193" s="547" t="n">
        <f aca="false">F2193*G2193</f>
        <v>1226839.474</v>
      </c>
      <c r="K2193" s="1365" t="n">
        <f aca="false">J2193/1792.8</f>
        <v>684.31474453369</v>
      </c>
      <c r="L2193" s="547" t="n">
        <v>120</v>
      </c>
      <c r="M2193" s="819" t="n">
        <f aca="false">K2193*L2193/60</f>
        <v>1368.62948906738</v>
      </c>
    </row>
    <row r="2194" customFormat="false" ht="15" hidden="false" customHeight="false" outlineLevel="0" collapsed="false">
      <c r="A2194" s="216"/>
      <c r="B2194" s="1053" t="s">
        <v>4128</v>
      </c>
      <c r="C2194" s="1161"/>
      <c r="D2194" s="912"/>
      <c r="E2194" s="912"/>
      <c r="F2194" s="547"/>
      <c r="G2194" s="1413"/>
      <c r="H2194" s="547"/>
      <c r="I2194" s="547"/>
      <c r="J2194" s="547"/>
      <c r="K2194" s="1365" t="n">
        <f aca="false">J2194/1792.8</f>
        <v>0</v>
      </c>
      <c r="L2194" s="714" t="n">
        <f aca="false">SUM(L2185:L2193)</f>
        <v>280</v>
      </c>
      <c r="M2194" s="934" t="n">
        <f aca="false">SUM(M2185:M2193)</f>
        <v>1465.83263033616</v>
      </c>
    </row>
    <row r="2195" customFormat="false" ht="30" hidden="false" customHeight="false" outlineLevel="0" collapsed="false">
      <c r="A2195" s="216" t="s">
        <v>1118</v>
      </c>
      <c r="B2195" s="40" t="s">
        <v>3308</v>
      </c>
      <c r="C2195" s="1161" t="s">
        <v>7071</v>
      </c>
      <c r="D2195" s="912" t="n">
        <v>2006</v>
      </c>
      <c r="E2195" s="912" t="n">
        <f aca="false">2021-D2195</f>
        <v>15</v>
      </c>
      <c r="F2195" s="547" t="n">
        <v>138575</v>
      </c>
      <c r="G2195" s="1413" t="n">
        <v>0.1</v>
      </c>
      <c r="H2195" s="547" t="n">
        <f aca="false">E2195*F2195*G2195</f>
        <v>207862.5</v>
      </c>
      <c r="I2195" s="547" t="n">
        <f aca="false">F2195-H2195</f>
        <v>-69287.5</v>
      </c>
      <c r="J2195" s="547" t="n">
        <f aca="false">F2195*G2195</f>
        <v>13857.5</v>
      </c>
      <c r="K2195" s="1365" t="n">
        <f aca="false">J2195/1792.8</f>
        <v>7.7295292280232</v>
      </c>
      <c r="L2195" s="547" t="n">
        <v>20</v>
      </c>
      <c r="M2195" s="819" t="n">
        <f aca="false">K2195*L2195/60</f>
        <v>2.5765097426744</v>
      </c>
    </row>
    <row r="2196" customFormat="false" ht="30" hidden="false" customHeight="false" outlineLevel="0" collapsed="false">
      <c r="A2196" s="216"/>
      <c r="B2196" s="40"/>
      <c r="C2196" s="1404" t="s">
        <v>6963</v>
      </c>
      <c r="D2196" s="1405" t="n">
        <v>2007</v>
      </c>
      <c r="E2196" s="1405" t="n">
        <f aca="false">2021-D2196</f>
        <v>14</v>
      </c>
      <c r="F2196" s="1406" t="n">
        <v>176358</v>
      </c>
      <c r="G2196" s="1407" t="n">
        <v>0.1</v>
      </c>
      <c r="H2196" s="1410" t="n">
        <f aca="false">E2196*F2196*G2196</f>
        <v>246901.2</v>
      </c>
      <c r="I2196" s="1410" t="n">
        <f aca="false">F2196-H2196</f>
        <v>-70543.2</v>
      </c>
      <c r="J2196" s="1410" t="n">
        <f aca="false">F2196*G2196</f>
        <v>17635.8</v>
      </c>
      <c r="K2196" s="1365" t="n">
        <f aca="false">J2196/1792.8</f>
        <v>9.83701472556894</v>
      </c>
      <c r="L2196" s="1445" t="n">
        <v>10</v>
      </c>
      <c r="M2196" s="1408" t="n">
        <f aca="false">K2196*L2196/60</f>
        <v>1.63950245426149</v>
      </c>
    </row>
    <row r="2197" customFormat="false" ht="30" hidden="false" customHeight="false" outlineLevel="0" collapsed="false">
      <c r="A2197" s="216"/>
      <c r="B2197" s="40"/>
      <c r="C2197" s="1404" t="s">
        <v>6959</v>
      </c>
      <c r="D2197" s="1405" t="n">
        <v>2007</v>
      </c>
      <c r="E2197" s="1405" t="n">
        <f aca="false">2021-D2197</f>
        <v>14</v>
      </c>
      <c r="F2197" s="1406" t="n">
        <v>350000</v>
      </c>
      <c r="G2197" s="1407" t="n">
        <v>0.1</v>
      </c>
      <c r="H2197" s="1410" t="n">
        <f aca="false">E2197*F2197*G2197</f>
        <v>490000</v>
      </c>
      <c r="I2197" s="1410" t="n">
        <f aca="false">F2197-H2197</f>
        <v>-140000</v>
      </c>
      <c r="J2197" s="1410" t="n">
        <f aca="false">F2197*G2197</f>
        <v>35000</v>
      </c>
      <c r="K2197" s="1365" t="n">
        <f aca="false">J2197/1792.8</f>
        <v>19.5225345827755</v>
      </c>
      <c r="L2197" s="1445" t="n">
        <v>10</v>
      </c>
      <c r="M2197" s="1408" t="n">
        <f aca="false">K2197*L2197/60</f>
        <v>3.25375576379592</v>
      </c>
    </row>
    <row r="2198" customFormat="false" ht="15" hidden="false" customHeight="false" outlineLevel="0" collapsed="false">
      <c r="A2198" s="216"/>
      <c r="B2198" s="40"/>
      <c r="C2198" s="1404" t="s">
        <v>7075</v>
      </c>
      <c r="D2198" s="569" t="n">
        <v>2015</v>
      </c>
      <c r="E2198" s="569" t="n">
        <f aca="false">2021-D2198</f>
        <v>6</v>
      </c>
      <c r="F2198" s="1105" t="n">
        <v>1028020</v>
      </c>
      <c r="G2198" s="1444" t="n">
        <v>0.1</v>
      </c>
      <c r="H2198" s="547" t="n">
        <f aca="false">E2198*F2198*G2198</f>
        <v>616812</v>
      </c>
      <c r="I2198" s="547" t="n">
        <f aca="false">F2198-H2198</f>
        <v>411208</v>
      </c>
      <c r="J2198" s="547" t="n">
        <f aca="false">F2198*G2198</f>
        <v>102802</v>
      </c>
      <c r="K2198" s="1365" t="n">
        <f aca="false">J2198/1792.8</f>
        <v>57.3415885765283</v>
      </c>
      <c r="L2198" s="547" t="n">
        <v>60</v>
      </c>
      <c r="M2198" s="819" t="n">
        <f aca="false">K2198*L2198/60</f>
        <v>57.3415885765283</v>
      </c>
    </row>
    <row r="2199" customFormat="false" ht="30" hidden="false" customHeight="false" outlineLevel="0" collapsed="false">
      <c r="A2199" s="216"/>
      <c r="B2199" s="40"/>
      <c r="C2199" s="1409" t="s">
        <v>6967</v>
      </c>
      <c r="D2199" s="569" t="n">
        <v>2016</v>
      </c>
      <c r="E2199" s="569" t="n">
        <f aca="false">2021-D2199</f>
        <v>5</v>
      </c>
      <c r="F2199" s="1105" t="n">
        <v>2302000</v>
      </c>
      <c r="G2199" s="1444" t="n">
        <v>0.1</v>
      </c>
      <c r="H2199" s="547" t="n">
        <f aca="false">E2199*F2199*G2199</f>
        <v>1151000</v>
      </c>
      <c r="I2199" s="547" t="n">
        <f aca="false">F2199-H2199</f>
        <v>1151000</v>
      </c>
      <c r="J2199" s="547" t="n">
        <f aca="false">F2199*G2199</f>
        <v>230200</v>
      </c>
      <c r="K2199" s="1365" t="n">
        <f aca="false">J2199/1792.8</f>
        <v>128.402498884427</v>
      </c>
      <c r="L2199" s="547" t="n">
        <v>20</v>
      </c>
      <c r="M2199" s="819" t="n">
        <f aca="false">K2199*L2199/60</f>
        <v>42.8008329614755</v>
      </c>
    </row>
    <row r="2200" customFormat="false" ht="30" hidden="false" customHeight="false" outlineLevel="0" collapsed="false">
      <c r="A2200" s="216"/>
      <c r="B2200" s="40"/>
      <c r="C2200" s="1404" t="s">
        <v>7072</v>
      </c>
      <c r="D2200" s="569" t="n">
        <v>2013</v>
      </c>
      <c r="E2200" s="569" t="n">
        <f aca="false">2021-D2200</f>
        <v>8</v>
      </c>
      <c r="F2200" s="1105" t="n">
        <v>300000</v>
      </c>
      <c r="G2200" s="1444" t="n">
        <v>0.1</v>
      </c>
      <c r="H2200" s="1105" t="n">
        <f aca="false">E2200*F2200*G2200</f>
        <v>240000</v>
      </c>
      <c r="I2200" s="1105" t="n">
        <f aca="false">F2200-H2200</f>
        <v>60000</v>
      </c>
      <c r="J2200" s="1105" t="n">
        <f aca="false">F2200*G2200</f>
        <v>30000</v>
      </c>
      <c r="K2200" s="1365" t="n">
        <f aca="false">J2200/1792.8</f>
        <v>16.7336010709505</v>
      </c>
      <c r="L2200" s="1105" t="n">
        <v>50</v>
      </c>
      <c r="M2200" s="865" t="n">
        <f aca="false">K2200*L2200/60</f>
        <v>13.9446675591254</v>
      </c>
    </row>
    <row r="2201" customFormat="false" ht="30" hidden="false" customHeight="false" outlineLevel="0" collapsed="false">
      <c r="A2201" s="216"/>
      <c r="B2201" s="40"/>
      <c r="C2201" s="1404" t="s">
        <v>7073</v>
      </c>
      <c r="D2201" s="569" t="n">
        <v>2005</v>
      </c>
      <c r="E2201" s="569" t="n">
        <f aca="false">2021-D2201</f>
        <v>16</v>
      </c>
      <c r="F2201" s="1105" t="n">
        <v>39263</v>
      </c>
      <c r="G2201" s="1444" t="n">
        <v>0.15</v>
      </c>
      <c r="H2201" s="1105" t="n">
        <f aca="false">E2201*F2201*G2201</f>
        <v>94231.2</v>
      </c>
      <c r="I2201" s="1105" t="n">
        <f aca="false">F2201-H2201</f>
        <v>-54968.2</v>
      </c>
      <c r="J2201" s="1105" t="n">
        <f aca="false">F2201*G2201</f>
        <v>5889.45</v>
      </c>
      <c r="K2201" s="1365" t="n">
        <f aca="false">J2201/1792.8</f>
        <v>3.28505689424364</v>
      </c>
      <c r="L2201" s="1105" t="n">
        <v>20</v>
      </c>
      <c r="M2201" s="865" t="n">
        <f aca="false">K2201*L2201/60</f>
        <v>1.09501896474788</v>
      </c>
    </row>
    <row r="2202" customFormat="false" ht="30" hidden="false" customHeight="false" outlineLevel="0" collapsed="false">
      <c r="A2202" s="216"/>
      <c r="B2202" s="40"/>
      <c r="C2202" s="1404" t="s">
        <v>7070</v>
      </c>
      <c r="D2202" s="569" t="n">
        <v>2009</v>
      </c>
      <c r="E2202" s="569" t="n">
        <f aca="false">2021-D2202</f>
        <v>12</v>
      </c>
      <c r="F2202" s="1105" t="n">
        <v>181000</v>
      </c>
      <c r="G2202" s="1444" t="n">
        <v>0.1</v>
      </c>
      <c r="H2202" s="1105" t="n">
        <f aca="false">E2202*F2202*G2202</f>
        <v>217200</v>
      </c>
      <c r="I2202" s="1105" t="n">
        <f aca="false">F2202-H2202</f>
        <v>-36200</v>
      </c>
      <c r="J2202" s="1105" t="n">
        <f aca="false">F2202*G2202</f>
        <v>18100</v>
      </c>
      <c r="K2202" s="1365" t="n">
        <f aca="false">J2202/1792.8</f>
        <v>10.0959393128068</v>
      </c>
      <c r="L2202" s="1105" t="n">
        <v>30</v>
      </c>
      <c r="M2202" s="865" t="n">
        <f aca="false">K2202*L2202/60</f>
        <v>5.04796965640339</v>
      </c>
    </row>
    <row r="2203" customFormat="false" ht="30" hidden="false" customHeight="false" outlineLevel="0" collapsed="false">
      <c r="A2203" s="216"/>
      <c r="B2203" s="40"/>
      <c r="C2203" s="1161" t="s">
        <v>7076</v>
      </c>
      <c r="D2203" s="569" t="n">
        <v>2012</v>
      </c>
      <c r="E2203" s="569" t="n">
        <f aca="false">2021-D2203</f>
        <v>9</v>
      </c>
      <c r="F2203" s="1277" t="n">
        <v>44483193.14</v>
      </c>
      <c r="G2203" s="1444" t="n">
        <v>0.1</v>
      </c>
      <c r="H2203" s="1105" t="n">
        <f aca="false">E2203*F2203*G2203</f>
        <v>40034873.826</v>
      </c>
      <c r="I2203" s="547" t="n">
        <f aca="false">F2203-H2203</f>
        <v>4448319.314</v>
      </c>
      <c r="J2203" s="547" t="n">
        <f aca="false">F2203*G2203</f>
        <v>4448319.314</v>
      </c>
      <c r="K2203" s="1365" t="n">
        <f aca="false">J2203/1792.8</f>
        <v>2481.21336122267</v>
      </c>
      <c r="L2203" s="547" t="n">
        <v>120</v>
      </c>
      <c r="M2203" s="819" t="n">
        <f aca="false">K2203*L2203/60</f>
        <v>4962.42672244534</v>
      </c>
    </row>
    <row r="2204" customFormat="false" ht="15" hidden="false" customHeight="false" outlineLevel="0" collapsed="false">
      <c r="A2204" s="216"/>
      <c r="B2204" s="1053" t="s">
        <v>4128</v>
      </c>
      <c r="C2204" s="1161"/>
      <c r="D2204" s="912"/>
      <c r="E2204" s="912"/>
      <c r="F2204" s="547"/>
      <c r="G2204" s="1413"/>
      <c r="H2204" s="547"/>
      <c r="I2204" s="547"/>
      <c r="J2204" s="547"/>
      <c r="K2204" s="1365" t="n">
        <f aca="false">J2204/1792.8</f>
        <v>0</v>
      </c>
      <c r="L2204" s="714" t="n">
        <f aca="false">SUM(L2195:L2203)</f>
        <v>340</v>
      </c>
      <c r="M2204" s="934" t="n">
        <f aca="false">SUM(M2195:M2203)</f>
        <v>5090.12656812435</v>
      </c>
    </row>
    <row r="2205" customFormat="false" ht="28.5" hidden="false" customHeight="false" outlineLevel="0" collapsed="false">
      <c r="A2205" s="15" t="s">
        <v>5303</v>
      </c>
      <c r="B2205" s="54" t="s">
        <v>3170</v>
      </c>
      <c r="C2205" s="16"/>
      <c r="D2205" s="339"/>
      <c r="E2205" s="541"/>
      <c r="F2205" s="751"/>
      <c r="G2205" s="1412"/>
      <c r="H2205" s="1412"/>
      <c r="I2205" s="751"/>
      <c r="J2205" s="751"/>
      <c r="K2205" s="1390"/>
      <c r="L2205" s="751"/>
      <c r="M2205" s="818"/>
    </row>
    <row r="2206" customFormat="false" ht="30" hidden="false" customHeight="false" outlineLevel="0" collapsed="false">
      <c r="A2206" s="216" t="s">
        <v>1120</v>
      </c>
      <c r="B2206" s="40" t="s">
        <v>3307</v>
      </c>
      <c r="C2206" s="1404" t="s">
        <v>7070</v>
      </c>
      <c r="D2206" s="569" t="n">
        <v>2009</v>
      </c>
      <c r="E2206" s="569" t="n">
        <f aca="false">2021-D2206</f>
        <v>12</v>
      </c>
      <c r="F2206" s="1105" t="n">
        <v>181000</v>
      </c>
      <c r="G2206" s="1444" t="n">
        <v>0.1</v>
      </c>
      <c r="H2206" s="1105" t="n">
        <f aca="false">E2206*F2206*G2206</f>
        <v>217200</v>
      </c>
      <c r="I2206" s="1105" t="n">
        <f aca="false">F2206-H2206</f>
        <v>-36200</v>
      </c>
      <c r="J2206" s="1105" t="n">
        <f aca="false">F2206*G2206</f>
        <v>18100</v>
      </c>
      <c r="K2206" s="1365" t="n">
        <f aca="false">J2206/1792.8</f>
        <v>10.0959393128068</v>
      </c>
      <c r="L2206" s="547" t="n">
        <v>10</v>
      </c>
      <c r="M2206" s="819" t="n">
        <f aca="false">K2206*L2206/60</f>
        <v>1.68265655213446</v>
      </c>
    </row>
    <row r="2207" customFormat="false" ht="30" hidden="false" customHeight="false" outlineLevel="0" collapsed="false">
      <c r="A2207" s="216"/>
      <c r="B2207" s="40"/>
      <c r="C2207" s="1404" t="s">
        <v>6963</v>
      </c>
      <c r="D2207" s="1405" t="n">
        <v>2007</v>
      </c>
      <c r="E2207" s="1405" t="n">
        <f aca="false">2021-D2207</f>
        <v>14</v>
      </c>
      <c r="F2207" s="1406" t="n">
        <v>176358</v>
      </c>
      <c r="G2207" s="1407" t="n">
        <v>0.1</v>
      </c>
      <c r="H2207" s="1410" t="n">
        <f aca="false">E2207*F2207*G2207</f>
        <v>246901.2</v>
      </c>
      <c r="I2207" s="1410" t="n">
        <f aca="false">F2207-H2207</f>
        <v>-70543.2</v>
      </c>
      <c r="J2207" s="1410" t="n">
        <f aca="false">F2207*G2207</f>
        <v>17635.8</v>
      </c>
      <c r="K2207" s="1365" t="n">
        <f aca="false">J2207/1792.8</f>
        <v>9.83701472556894</v>
      </c>
      <c r="L2207" s="1445" t="n">
        <v>10</v>
      </c>
      <c r="M2207" s="1408" t="n">
        <f aca="false">K2207*L2207/60</f>
        <v>1.63950245426149</v>
      </c>
    </row>
    <row r="2208" customFormat="false" ht="30" hidden="false" customHeight="false" outlineLevel="0" collapsed="false">
      <c r="A2208" s="216"/>
      <c r="B2208" s="40"/>
      <c r="C2208" s="1404" t="s">
        <v>6959</v>
      </c>
      <c r="D2208" s="1405" t="n">
        <v>2007</v>
      </c>
      <c r="E2208" s="1405" t="n">
        <f aca="false">2021-D2208</f>
        <v>14</v>
      </c>
      <c r="F2208" s="1406" t="n">
        <v>350000</v>
      </c>
      <c r="G2208" s="1407" t="n">
        <v>0.1</v>
      </c>
      <c r="H2208" s="1410" t="n">
        <f aca="false">E2208*F2208*G2208</f>
        <v>490000</v>
      </c>
      <c r="I2208" s="1410" t="n">
        <f aca="false">F2208-H2208</f>
        <v>-140000</v>
      </c>
      <c r="J2208" s="1410" t="n">
        <f aca="false">F2208*G2208</f>
        <v>35000</v>
      </c>
      <c r="K2208" s="1365" t="n">
        <f aca="false">J2208/1792.8</f>
        <v>19.5225345827755</v>
      </c>
      <c r="L2208" s="1445" t="n">
        <v>10</v>
      </c>
      <c r="M2208" s="1408" t="n">
        <f aca="false">K2208*L2208/60</f>
        <v>3.25375576379592</v>
      </c>
    </row>
    <row r="2209" customFormat="false" ht="30" hidden="false" customHeight="false" outlineLevel="0" collapsed="false">
      <c r="A2209" s="216"/>
      <c r="B2209" s="40"/>
      <c r="C2209" s="1161" t="s">
        <v>7071</v>
      </c>
      <c r="D2209" s="912" t="n">
        <v>2006</v>
      </c>
      <c r="E2209" s="912" t="n">
        <f aca="false">2021-D2209</f>
        <v>15</v>
      </c>
      <c r="F2209" s="547" t="n">
        <v>138575</v>
      </c>
      <c r="G2209" s="1413" t="n">
        <v>0.1</v>
      </c>
      <c r="H2209" s="547" t="n">
        <f aca="false">E2209*F2209*G2209</f>
        <v>207862.5</v>
      </c>
      <c r="I2209" s="547" t="n">
        <f aca="false">F2209-H2209</f>
        <v>-69287.5</v>
      </c>
      <c r="J2209" s="547" t="n">
        <f aca="false">F2209*G2209</f>
        <v>13857.5</v>
      </c>
      <c r="K2209" s="1365" t="n">
        <f aca="false">J2209/1792.8</f>
        <v>7.7295292280232</v>
      </c>
      <c r="L2209" s="547" t="n">
        <v>10</v>
      </c>
      <c r="M2209" s="819" t="n">
        <f aca="false">K2209*L2209/60</f>
        <v>1.2882548713372</v>
      </c>
    </row>
    <row r="2210" customFormat="false" ht="30" hidden="false" customHeight="false" outlineLevel="0" collapsed="false">
      <c r="A2210" s="216"/>
      <c r="B2210" s="40"/>
      <c r="C2210" s="1404" t="s">
        <v>7072</v>
      </c>
      <c r="D2210" s="569" t="n">
        <v>2013</v>
      </c>
      <c r="E2210" s="569" t="n">
        <f aca="false">2021-D2210</f>
        <v>8</v>
      </c>
      <c r="F2210" s="1105" t="n">
        <v>300000</v>
      </c>
      <c r="G2210" s="1444" t="n">
        <v>0.1</v>
      </c>
      <c r="H2210" s="1105" t="n">
        <f aca="false">E2210*F2210*G2210</f>
        <v>240000</v>
      </c>
      <c r="I2210" s="1105" t="n">
        <f aca="false">F2210-H2210</f>
        <v>60000</v>
      </c>
      <c r="J2210" s="1105" t="n">
        <f aca="false">F2210*G2210</f>
        <v>30000</v>
      </c>
      <c r="K2210" s="1365" t="n">
        <f aca="false">J2210/1792.8</f>
        <v>16.7336010709505</v>
      </c>
      <c r="L2210" s="1105" t="n">
        <v>20</v>
      </c>
      <c r="M2210" s="865" t="n">
        <f aca="false">K2210*L2210/60</f>
        <v>5.57786702365016</v>
      </c>
    </row>
    <row r="2211" customFormat="false" ht="30" hidden="false" customHeight="false" outlineLevel="0" collapsed="false">
      <c r="A2211" s="216"/>
      <c r="B2211" s="40"/>
      <c r="C2211" s="1409" t="s">
        <v>6967</v>
      </c>
      <c r="D2211" s="569" t="n">
        <v>2016</v>
      </c>
      <c r="E2211" s="569" t="n">
        <f aca="false">2021-D2211</f>
        <v>5</v>
      </c>
      <c r="F2211" s="1105" t="n">
        <v>2302000</v>
      </c>
      <c r="G2211" s="1444" t="n">
        <v>0.1</v>
      </c>
      <c r="H2211" s="1105" t="n">
        <f aca="false">E2211*F2211*G2211</f>
        <v>1151000</v>
      </c>
      <c r="I2211" s="547" t="n">
        <f aca="false">F2211-H2211</f>
        <v>1151000</v>
      </c>
      <c r="J2211" s="547" t="n">
        <f aca="false">F2211*G2211</f>
        <v>230200</v>
      </c>
      <c r="K2211" s="1365" t="n">
        <f aca="false">J2211/1792.8</f>
        <v>128.402498884427</v>
      </c>
      <c r="L2211" s="547" t="n">
        <v>10</v>
      </c>
      <c r="M2211" s="819" t="n">
        <f aca="false">K2211*L2211/60</f>
        <v>21.4004164807378</v>
      </c>
    </row>
    <row r="2212" customFormat="false" ht="15" hidden="false" customHeight="false" outlineLevel="0" collapsed="false">
      <c r="A2212" s="216"/>
      <c r="B2212" s="40"/>
      <c r="C2212" s="1404" t="s">
        <v>7075</v>
      </c>
      <c r="D2212" s="569" t="n">
        <v>2015</v>
      </c>
      <c r="E2212" s="569" t="n">
        <f aca="false">2021-D2212</f>
        <v>6</v>
      </c>
      <c r="F2212" s="1105" t="n">
        <v>1028020</v>
      </c>
      <c r="G2212" s="1444" t="n">
        <v>0.1</v>
      </c>
      <c r="H2212" s="1105" t="n">
        <f aca="false">E2212*F2212*G2212</f>
        <v>616812</v>
      </c>
      <c r="I2212" s="547" t="n">
        <f aca="false">F2212-H2212</f>
        <v>411208</v>
      </c>
      <c r="J2212" s="547" t="n">
        <f aca="false">F2212*G2212</f>
        <v>102802</v>
      </c>
      <c r="K2212" s="1365" t="n">
        <f aca="false">J2212/1792.8</f>
        <v>57.3415885765283</v>
      </c>
      <c r="L2212" s="547" t="n">
        <v>60</v>
      </c>
      <c r="M2212" s="819" t="n">
        <f aca="false">K2212*L2212/60</f>
        <v>57.3415885765283</v>
      </c>
    </row>
    <row r="2213" customFormat="false" ht="30" hidden="false" customHeight="false" outlineLevel="0" collapsed="false">
      <c r="A2213" s="216"/>
      <c r="B2213" s="40"/>
      <c r="C2213" s="1161" t="s">
        <v>7073</v>
      </c>
      <c r="D2213" s="912" t="n">
        <v>2005</v>
      </c>
      <c r="E2213" s="912" t="n">
        <f aca="false">2021-D2213</f>
        <v>16</v>
      </c>
      <c r="F2213" s="547" t="n">
        <v>39263</v>
      </c>
      <c r="G2213" s="1413" t="n">
        <v>0.15</v>
      </c>
      <c r="H2213" s="547" t="n">
        <f aca="false">E2213*F2213*G2213</f>
        <v>94231.2</v>
      </c>
      <c r="I2213" s="547" t="n">
        <f aca="false">F2213-H2213</f>
        <v>-54968.2</v>
      </c>
      <c r="J2213" s="547" t="n">
        <f aca="false">F2213*G2213</f>
        <v>5889.45</v>
      </c>
      <c r="K2213" s="1365" t="n">
        <f aca="false">J2213/1792.8</f>
        <v>3.28505689424364</v>
      </c>
      <c r="L2213" s="547" t="n">
        <v>10</v>
      </c>
      <c r="M2213" s="819" t="n">
        <f aca="false">K2213*L2213/60</f>
        <v>0.54750948237394</v>
      </c>
    </row>
    <row r="2214" customFormat="false" ht="30" hidden="false" customHeight="false" outlineLevel="0" collapsed="false">
      <c r="A2214" s="216"/>
      <c r="B2214" s="40"/>
      <c r="C2214" s="1161" t="s">
        <v>7074</v>
      </c>
      <c r="D2214" s="912" t="n">
        <v>2003</v>
      </c>
      <c r="E2214" s="912" t="n">
        <f aca="false">2021-D2214</f>
        <v>18</v>
      </c>
      <c r="F2214" s="547" t="n">
        <v>2471090</v>
      </c>
      <c r="G2214" s="1413" t="n">
        <v>0.1</v>
      </c>
      <c r="H2214" s="547" t="n">
        <f aca="false">E2214*F2214*G2214</f>
        <v>4447962</v>
      </c>
      <c r="I2214" s="547" t="n">
        <f aca="false">F2214-H2214</f>
        <v>-1976872</v>
      </c>
      <c r="J2214" s="547" t="n">
        <f aca="false">F2214*G2214</f>
        <v>247109</v>
      </c>
      <c r="K2214" s="1365" t="n">
        <f aca="false">J2214/1792.8</f>
        <v>137.834114234717</v>
      </c>
      <c r="L2214" s="547" t="n">
        <v>120</v>
      </c>
      <c r="M2214" s="819" t="n">
        <f aca="false">K2214*L2214/60</f>
        <v>275.668228469433</v>
      </c>
    </row>
    <row r="2215" customFormat="false" ht="15" hidden="false" customHeight="false" outlineLevel="0" collapsed="false">
      <c r="A2215" s="216"/>
      <c r="B2215" s="1053" t="s">
        <v>4128</v>
      </c>
      <c r="C2215" s="1161"/>
      <c r="D2215" s="912"/>
      <c r="E2215" s="912"/>
      <c r="F2215" s="547"/>
      <c r="G2215" s="1413"/>
      <c r="H2215" s="547"/>
      <c r="I2215" s="547"/>
      <c r="J2215" s="547"/>
      <c r="K2215" s="1365" t="n">
        <f aca="false">J2215/1792.8</f>
        <v>0</v>
      </c>
      <c r="L2215" s="714" t="n">
        <f aca="false">SUM(L2206:L2214)</f>
        <v>260</v>
      </c>
      <c r="M2215" s="934" t="n">
        <f aca="false">SUM(M2206:M2214)</f>
        <v>368.399779674253</v>
      </c>
    </row>
    <row r="2216" customFormat="false" ht="15" hidden="false" customHeight="false" outlineLevel="0" collapsed="false">
      <c r="A2216" s="15" t="s">
        <v>5304</v>
      </c>
      <c r="B2216" s="54" t="s">
        <v>3213</v>
      </c>
      <c r="C2216" s="1387"/>
      <c r="D2216" s="339"/>
      <c r="E2216" s="541"/>
      <c r="F2216" s="751"/>
      <c r="G2216" s="1412"/>
      <c r="H2216" s="1412"/>
      <c r="I2216" s="751"/>
      <c r="J2216" s="751"/>
      <c r="K2216" s="1390"/>
      <c r="L2216" s="751"/>
      <c r="M2216" s="818"/>
    </row>
    <row r="2217" customFormat="false" ht="30" hidden="false" customHeight="false" outlineLevel="0" collapsed="false">
      <c r="A2217" s="216" t="s">
        <v>1123</v>
      </c>
      <c r="B2217" s="40" t="s">
        <v>3307</v>
      </c>
      <c r="C2217" s="1404" t="s">
        <v>7070</v>
      </c>
      <c r="D2217" s="569" t="n">
        <v>2009</v>
      </c>
      <c r="E2217" s="569" t="n">
        <f aca="false">2021-D2217</f>
        <v>12</v>
      </c>
      <c r="F2217" s="1105" t="n">
        <v>181000</v>
      </c>
      <c r="G2217" s="1444" t="n">
        <v>0.1</v>
      </c>
      <c r="H2217" s="1105" t="n">
        <f aca="false">E2217*F2217*G2217</f>
        <v>217200</v>
      </c>
      <c r="I2217" s="1105" t="n">
        <f aca="false">F2217-H2217</f>
        <v>-36200</v>
      </c>
      <c r="J2217" s="1105" t="n">
        <f aca="false">F2217*G2217</f>
        <v>18100</v>
      </c>
      <c r="K2217" s="1365" t="n">
        <f aca="false">J2217/1792.8</f>
        <v>10.0959393128068</v>
      </c>
      <c r="L2217" s="547" t="n">
        <v>10</v>
      </c>
      <c r="M2217" s="819" t="n">
        <f aca="false">K2217*L2217/60</f>
        <v>1.68265655213446</v>
      </c>
    </row>
    <row r="2218" customFormat="false" ht="30" hidden="false" customHeight="false" outlineLevel="0" collapsed="false">
      <c r="A2218" s="216"/>
      <c r="B2218" s="40"/>
      <c r="C2218" s="1404" t="s">
        <v>6963</v>
      </c>
      <c r="D2218" s="1405" t="n">
        <v>2007</v>
      </c>
      <c r="E2218" s="1405" t="n">
        <f aca="false">2021-D2218</f>
        <v>14</v>
      </c>
      <c r="F2218" s="1406" t="n">
        <v>176358</v>
      </c>
      <c r="G2218" s="1407" t="n">
        <v>0.1</v>
      </c>
      <c r="H2218" s="1410" t="n">
        <f aca="false">E2218*F2218*G2218</f>
        <v>246901.2</v>
      </c>
      <c r="I2218" s="1410" t="n">
        <f aca="false">F2218-H2218</f>
        <v>-70543.2</v>
      </c>
      <c r="J2218" s="1410" t="n">
        <f aca="false">F2218*G2218</f>
        <v>17635.8</v>
      </c>
      <c r="K2218" s="1365" t="n">
        <f aca="false">J2218/1792.8</f>
        <v>9.83701472556894</v>
      </c>
      <c r="L2218" s="1410" t="n">
        <v>10</v>
      </c>
      <c r="M2218" s="1408" t="n">
        <f aca="false">K2218*L2218/60</f>
        <v>1.63950245426149</v>
      </c>
    </row>
    <row r="2219" customFormat="false" ht="30" hidden="false" customHeight="false" outlineLevel="0" collapsed="false">
      <c r="A2219" s="216"/>
      <c r="B2219" s="40"/>
      <c r="C2219" s="1404" t="s">
        <v>6959</v>
      </c>
      <c r="D2219" s="1405" t="n">
        <v>2007</v>
      </c>
      <c r="E2219" s="1405" t="n">
        <f aca="false">2021-D2219</f>
        <v>14</v>
      </c>
      <c r="F2219" s="1406" t="n">
        <v>350000</v>
      </c>
      <c r="G2219" s="1407" t="n">
        <v>0.1</v>
      </c>
      <c r="H2219" s="1410" t="n">
        <f aca="false">E2219*F2219*G2219</f>
        <v>490000</v>
      </c>
      <c r="I2219" s="1410" t="n">
        <f aca="false">F2219-H2219</f>
        <v>-140000</v>
      </c>
      <c r="J2219" s="1410" t="n">
        <f aca="false">F2219*G2219</f>
        <v>35000</v>
      </c>
      <c r="K2219" s="1365" t="n">
        <f aca="false">J2219/1792.8</f>
        <v>19.5225345827755</v>
      </c>
      <c r="L2219" s="1410" t="n">
        <v>10</v>
      </c>
      <c r="M2219" s="1408" t="n">
        <f aca="false">K2219*L2219/60</f>
        <v>3.25375576379592</v>
      </c>
    </row>
    <row r="2220" customFormat="false" ht="30" hidden="false" customHeight="false" outlineLevel="0" collapsed="false">
      <c r="A2220" s="216"/>
      <c r="B2220" s="40"/>
      <c r="C2220" s="1161" t="s">
        <v>7071</v>
      </c>
      <c r="D2220" s="912" t="n">
        <v>2006</v>
      </c>
      <c r="E2220" s="912" t="n">
        <f aca="false">2021-D2220</f>
        <v>15</v>
      </c>
      <c r="F2220" s="547" t="n">
        <v>138575</v>
      </c>
      <c r="G2220" s="1413" t="n">
        <v>0.1</v>
      </c>
      <c r="H2220" s="547" t="n">
        <f aca="false">E2220*F2220*G2220</f>
        <v>207862.5</v>
      </c>
      <c r="I2220" s="547" t="n">
        <f aca="false">F2220-H2220</f>
        <v>-69287.5</v>
      </c>
      <c r="J2220" s="547" t="n">
        <f aca="false">F2220*G2220</f>
        <v>13857.5</v>
      </c>
      <c r="K2220" s="1365" t="n">
        <f aca="false">J2220/1792.8</f>
        <v>7.7295292280232</v>
      </c>
      <c r="L2220" s="547" t="n">
        <v>10</v>
      </c>
      <c r="M2220" s="819" t="n">
        <f aca="false">K2220*L2220/60</f>
        <v>1.2882548713372</v>
      </c>
    </row>
    <row r="2221" customFormat="false" ht="30" hidden="false" customHeight="false" outlineLevel="0" collapsed="false">
      <c r="A2221" s="216"/>
      <c r="B2221" s="40"/>
      <c r="C2221" s="1404" t="s">
        <v>7072</v>
      </c>
      <c r="D2221" s="569" t="n">
        <v>2013</v>
      </c>
      <c r="E2221" s="569" t="n">
        <f aca="false">2021-D2221</f>
        <v>8</v>
      </c>
      <c r="F2221" s="1105" t="n">
        <v>300000</v>
      </c>
      <c r="G2221" s="1444" t="n">
        <v>0.1</v>
      </c>
      <c r="H2221" s="1105" t="n">
        <f aca="false">E2221*F2221*G2221</f>
        <v>240000</v>
      </c>
      <c r="I2221" s="1105" t="n">
        <f aca="false">F2221-H2221</f>
        <v>60000</v>
      </c>
      <c r="J2221" s="1105" t="n">
        <f aca="false">F2221*G2221</f>
        <v>30000</v>
      </c>
      <c r="K2221" s="1365" t="n">
        <f aca="false">J2221/1792.8</f>
        <v>16.7336010709505</v>
      </c>
      <c r="L2221" s="1105" t="n">
        <v>20</v>
      </c>
      <c r="M2221" s="865" t="n">
        <f aca="false">K2221*L2221/60</f>
        <v>5.57786702365016</v>
      </c>
    </row>
    <row r="2222" customFormat="false" ht="30" hidden="false" customHeight="false" outlineLevel="0" collapsed="false">
      <c r="A2222" s="216"/>
      <c r="B2222" s="40"/>
      <c r="C2222" s="1409" t="s">
        <v>6967</v>
      </c>
      <c r="D2222" s="569" t="n">
        <v>2016</v>
      </c>
      <c r="E2222" s="569" t="n">
        <f aca="false">2021-D2222</f>
        <v>5</v>
      </c>
      <c r="F2222" s="1105" t="n">
        <v>2302000</v>
      </c>
      <c r="G2222" s="1444" t="n">
        <v>0.1</v>
      </c>
      <c r="H2222" s="1105" t="n">
        <f aca="false">E2222*F2222*G2222</f>
        <v>1151000</v>
      </c>
      <c r="I2222" s="547" t="n">
        <f aca="false">F2222-H2222</f>
        <v>1151000</v>
      </c>
      <c r="J2222" s="547" t="n">
        <f aca="false">F2222*G2222</f>
        <v>230200</v>
      </c>
      <c r="K2222" s="1365" t="n">
        <f aca="false">J2222/1792.8</f>
        <v>128.402498884427</v>
      </c>
      <c r="L2222" s="547" t="n">
        <v>20</v>
      </c>
      <c r="M2222" s="819" t="n">
        <f aca="false">K2222*L2222/60</f>
        <v>42.8008329614755</v>
      </c>
    </row>
    <row r="2223" customFormat="false" ht="15" hidden="false" customHeight="false" outlineLevel="0" collapsed="false">
      <c r="A2223" s="216"/>
      <c r="B2223" s="40"/>
      <c r="C2223" s="1404" t="s">
        <v>7075</v>
      </c>
      <c r="D2223" s="569" t="n">
        <v>2015</v>
      </c>
      <c r="E2223" s="569" t="n">
        <f aca="false">2021-D2223</f>
        <v>6</v>
      </c>
      <c r="F2223" s="1105" t="n">
        <v>1028020</v>
      </c>
      <c r="G2223" s="1444" t="n">
        <v>0.1</v>
      </c>
      <c r="H2223" s="1105" t="n">
        <f aca="false">E2223*F2223*G2223</f>
        <v>616812</v>
      </c>
      <c r="I2223" s="547" t="n">
        <f aca="false">F2223-H2223</f>
        <v>411208</v>
      </c>
      <c r="J2223" s="547" t="n">
        <f aca="false">F2223*G2223</f>
        <v>102802</v>
      </c>
      <c r="K2223" s="1365" t="n">
        <f aca="false">J2223/1792.8</f>
        <v>57.3415885765283</v>
      </c>
      <c r="L2223" s="547" t="n">
        <v>60</v>
      </c>
      <c r="M2223" s="819" t="n">
        <f aca="false">K2223*L2223/60</f>
        <v>57.3415885765283</v>
      </c>
    </row>
    <row r="2224" customFormat="false" ht="30" hidden="false" customHeight="false" outlineLevel="0" collapsed="false">
      <c r="A2224" s="216"/>
      <c r="B2224" s="40"/>
      <c r="C2224" s="1161" t="s">
        <v>7074</v>
      </c>
      <c r="D2224" s="912" t="n">
        <v>2003</v>
      </c>
      <c r="E2224" s="912" t="n">
        <f aca="false">2021-D2224</f>
        <v>18</v>
      </c>
      <c r="F2224" s="547" t="n">
        <v>2471090</v>
      </c>
      <c r="G2224" s="1413" t="n">
        <v>0.1</v>
      </c>
      <c r="H2224" s="547" t="n">
        <f aca="false">E2224*F2224*G2224</f>
        <v>4447962</v>
      </c>
      <c r="I2224" s="547" t="n">
        <f aca="false">F2224-H2224</f>
        <v>-1976872</v>
      </c>
      <c r="J2224" s="547" t="n">
        <f aca="false">F2224*G2224</f>
        <v>247109</v>
      </c>
      <c r="K2224" s="1365" t="n">
        <f aca="false">J2224/1792.8</f>
        <v>137.834114234717</v>
      </c>
      <c r="L2224" s="547" t="n">
        <v>120</v>
      </c>
      <c r="M2224" s="819" t="n">
        <f aca="false">K2224*L2224/60</f>
        <v>275.668228469433</v>
      </c>
    </row>
    <row r="2225" customFormat="false" ht="15" hidden="false" customHeight="false" outlineLevel="0" collapsed="false">
      <c r="A2225" s="216"/>
      <c r="B2225" s="1053" t="s">
        <v>4128</v>
      </c>
      <c r="C2225" s="1161"/>
      <c r="D2225" s="912"/>
      <c r="E2225" s="912"/>
      <c r="F2225" s="547"/>
      <c r="G2225" s="1413"/>
      <c r="H2225" s="547"/>
      <c r="I2225" s="547"/>
      <c r="J2225" s="547"/>
      <c r="K2225" s="1365" t="n">
        <f aca="false">J2225/1792.8</f>
        <v>0</v>
      </c>
      <c r="L2225" s="714" t="n">
        <f aca="false">SUM(L2217:L2224)</f>
        <v>260</v>
      </c>
      <c r="M2225" s="934" t="n">
        <f aca="false">SUM(M2217:M2224)</f>
        <v>389.252686672616</v>
      </c>
    </row>
    <row r="2226" customFormat="false" ht="30" hidden="false" customHeight="false" outlineLevel="0" collapsed="false">
      <c r="A2226" s="216" t="s">
        <v>1124</v>
      </c>
      <c r="B2226" s="40" t="s">
        <v>3309</v>
      </c>
      <c r="C2226" s="1161" t="s">
        <v>7071</v>
      </c>
      <c r="D2226" s="912" t="n">
        <v>2006</v>
      </c>
      <c r="E2226" s="912" t="n">
        <f aca="false">2021-D2226</f>
        <v>15</v>
      </c>
      <c r="F2226" s="547" t="n">
        <v>138575</v>
      </c>
      <c r="G2226" s="1413" t="n">
        <v>0.1</v>
      </c>
      <c r="H2226" s="547" t="n">
        <f aca="false">E2226*F2226*G2226</f>
        <v>207862.5</v>
      </c>
      <c r="I2226" s="547" t="n">
        <f aca="false">F2226-H2226</f>
        <v>-69287.5</v>
      </c>
      <c r="J2226" s="547" t="n">
        <f aca="false">F2226*G2226</f>
        <v>13857.5</v>
      </c>
      <c r="K2226" s="1365" t="n">
        <f aca="false">J2226/1792.8</f>
        <v>7.7295292280232</v>
      </c>
      <c r="L2226" s="547" t="n">
        <v>10</v>
      </c>
      <c r="M2226" s="819" t="n">
        <f aca="false">K2226*L2226/60</f>
        <v>1.2882548713372</v>
      </c>
    </row>
    <row r="2227" customFormat="false" ht="30" hidden="false" customHeight="false" outlineLevel="0" collapsed="false">
      <c r="A2227" s="216"/>
      <c r="B2227" s="40"/>
      <c r="C2227" s="1404" t="s">
        <v>6963</v>
      </c>
      <c r="D2227" s="1405" t="n">
        <v>2007</v>
      </c>
      <c r="E2227" s="1405" t="n">
        <f aca="false">2021-D2227</f>
        <v>14</v>
      </c>
      <c r="F2227" s="1406" t="n">
        <v>176358</v>
      </c>
      <c r="G2227" s="1407" t="n">
        <v>0.1</v>
      </c>
      <c r="H2227" s="1410" t="n">
        <f aca="false">E2227*F2227*G2227</f>
        <v>246901.2</v>
      </c>
      <c r="I2227" s="1410" t="n">
        <f aca="false">F2227-H2227</f>
        <v>-70543.2</v>
      </c>
      <c r="J2227" s="1410" t="n">
        <f aca="false">F2227*G2227</f>
        <v>17635.8</v>
      </c>
      <c r="K2227" s="1365" t="n">
        <f aca="false">J2227/1792.8</f>
        <v>9.83701472556894</v>
      </c>
      <c r="L2227" s="1445" t="n">
        <v>10</v>
      </c>
      <c r="M2227" s="1408" t="n">
        <f aca="false">K2227*L2227/60</f>
        <v>1.63950245426149</v>
      </c>
    </row>
    <row r="2228" customFormat="false" ht="30" hidden="false" customHeight="false" outlineLevel="0" collapsed="false">
      <c r="A2228" s="216"/>
      <c r="B2228" s="40"/>
      <c r="C2228" s="1404" t="s">
        <v>6959</v>
      </c>
      <c r="D2228" s="1405" t="n">
        <v>2007</v>
      </c>
      <c r="E2228" s="1405" t="n">
        <f aca="false">2021-D2228</f>
        <v>14</v>
      </c>
      <c r="F2228" s="1406" t="n">
        <v>350000</v>
      </c>
      <c r="G2228" s="1407" t="n">
        <v>0.1</v>
      </c>
      <c r="H2228" s="1410" t="n">
        <f aca="false">E2228*F2228*G2228</f>
        <v>490000</v>
      </c>
      <c r="I2228" s="1410" t="n">
        <f aca="false">F2228-H2228</f>
        <v>-140000</v>
      </c>
      <c r="J2228" s="1410" t="n">
        <f aca="false">F2228*G2228</f>
        <v>35000</v>
      </c>
      <c r="K2228" s="1365" t="n">
        <f aca="false">J2228/1792.8</f>
        <v>19.5225345827755</v>
      </c>
      <c r="L2228" s="1445" t="n">
        <v>10</v>
      </c>
      <c r="M2228" s="1408" t="n">
        <f aca="false">K2228*L2228/60</f>
        <v>3.25375576379592</v>
      </c>
    </row>
    <row r="2229" customFormat="false" ht="30" hidden="false" customHeight="false" outlineLevel="0" collapsed="false">
      <c r="A2229" s="216"/>
      <c r="B2229" s="40"/>
      <c r="C2229" s="1404" t="s">
        <v>7070</v>
      </c>
      <c r="D2229" s="569" t="n">
        <v>2009</v>
      </c>
      <c r="E2229" s="569" t="n">
        <f aca="false">2021-D2229</f>
        <v>12</v>
      </c>
      <c r="F2229" s="1105" t="n">
        <v>181000</v>
      </c>
      <c r="G2229" s="1444" t="n">
        <v>0.1</v>
      </c>
      <c r="H2229" s="1105" t="n">
        <f aca="false">E2229*F2229*G2229</f>
        <v>217200</v>
      </c>
      <c r="I2229" s="1105" t="n">
        <f aca="false">F2229-H2229</f>
        <v>-36200</v>
      </c>
      <c r="J2229" s="1105" t="n">
        <f aca="false">F2229*G2229</f>
        <v>18100</v>
      </c>
      <c r="K2229" s="1365" t="n">
        <f aca="false">J2229/1792.8</f>
        <v>10.0959393128068</v>
      </c>
      <c r="L2229" s="1105" t="n">
        <v>10</v>
      </c>
      <c r="M2229" s="819" t="n">
        <f aca="false">K2229*L2229/60</f>
        <v>1.68265655213446</v>
      </c>
    </row>
    <row r="2230" customFormat="false" ht="30" hidden="false" customHeight="false" outlineLevel="0" collapsed="false">
      <c r="A2230" s="216"/>
      <c r="B2230" s="40"/>
      <c r="C2230" s="1409" t="s">
        <v>6967</v>
      </c>
      <c r="D2230" s="569" t="n">
        <v>2016</v>
      </c>
      <c r="E2230" s="569" t="n">
        <f aca="false">2021-D2230</f>
        <v>5</v>
      </c>
      <c r="F2230" s="1105" t="n">
        <v>2302000</v>
      </c>
      <c r="G2230" s="1444" t="n">
        <v>0.1</v>
      </c>
      <c r="H2230" s="1105" t="n">
        <f aca="false">E2230*F2230*G2230</f>
        <v>1151000</v>
      </c>
      <c r="I2230" s="1105" t="n">
        <f aca="false">F2230-H2230</f>
        <v>1151000</v>
      </c>
      <c r="J2230" s="1105" t="n">
        <f aca="false">F2230*G2230</f>
        <v>230200</v>
      </c>
      <c r="K2230" s="1365" t="n">
        <f aca="false">J2230/1792.8</f>
        <v>128.402498884427</v>
      </c>
      <c r="L2230" s="1105" t="n">
        <v>10</v>
      </c>
      <c r="M2230" s="819" t="n">
        <f aca="false">K2230*L2230/60</f>
        <v>21.4004164807378</v>
      </c>
    </row>
    <row r="2231" customFormat="false" ht="15" hidden="false" customHeight="false" outlineLevel="0" collapsed="false">
      <c r="A2231" s="216"/>
      <c r="B2231" s="40"/>
      <c r="C2231" s="1404" t="s">
        <v>7075</v>
      </c>
      <c r="D2231" s="569" t="n">
        <v>2015</v>
      </c>
      <c r="E2231" s="569" t="n">
        <f aca="false">2021-D2231</f>
        <v>6</v>
      </c>
      <c r="F2231" s="1105" t="n">
        <v>1028020</v>
      </c>
      <c r="G2231" s="1444" t="n">
        <v>0.1</v>
      </c>
      <c r="H2231" s="1105" t="n">
        <f aca="false">E2231*F2231*G2231</f>
        <v>616812</v>
      </c>
      <c r="I2231" s="1105" t="n">
        <f aca="false">F2231-H2231</f>
        <v>411208</v>
      </c>
      <c r="J2231" s="1105" t="n">
        <f aca="false">F2231*G2231</f>
        <v>102802</v>
      </c>
      <c r="K2231" s="1365" t="n">
        <f aca="false">J2231/1792.8</f>
        <v>57.3415885765283</v>
      </c>
      <c r="L2231" s="1105" t="n">
        <v>60</v>
      </c>
      <c r="M2231" s="819" t="n">
        <f aca="false">K2231*L2231/60</f>
        <v>57.3415885765283</v>
      </c>
    </row>
    <row r="2232" customFormat="false" ht="30" hidden="false" customHeight="false" outlineLevel="0" collapsed="false">
      <c r="A2232" s="216"/>
      <c r="B2232" s="40"/>
      <c r="C2232" s="1404" t="s">
        <v>7072</v>
      </c>
      <c r="D2232" s="569" t="n">
        <v>2013</v>
      </c>
      <c r="E2232" s="569" t="n">
        <f aca="false">2021-D2232</f>
        <v>8</v>
      </c>
      <c r="F2232" s="1105" t="n">
        <v>300000</v>
      </c>
      <c r="G2232" s="1444" t="n">
        <v>0.1</v>
      </c>
      <c r="H2232" s="1105" t="n">
        <f aca="false">E2232*F2232*G2232</f>
        <v>240000</v>
      </c>
      <c r="I2232" s="1105" t="n">
        <f aca="false">F2232-H2232</f>
        <v>60000</v>
      </c>
      <c r="J2232" s="1105" t="n">
        <f aca="false">F2232*G2232</f>
        <v>30000</v>
      </c>
      <c r="K2232" s="1365" t="n">
        <f aca="false">J2232/1792.8</f>
        <v>16.7336010709505</v>
      </c>
      <c r="L2232" s="1105" t="n">
        <v>20</v>
      </c>
      <c r="M2232" s="865" t="n">
        <f aca="false">K2232*L2232/60</f>
        <v>5.57786702365016</v>
      </c>
    </row>
    <row r="2233" customFormat="false" ht="30" hidden="false" customHeight="false" outlineLevel="0" collapsed="false">
      <c r="A2233" s="216"/>
      <c r="B2233" s="40"/>
      <c r="C2233" s="1404" t="s">
        <v>7077</v>
      </c>
      <c r="D2233" s="569" t="n">
        <v>2012</v>
      </c>
      <c r="E2233" s="569" t="n">
        <f aca="false">2021-D2233</f>
        <v>9</v>
      </c>
      <c r="F2233" s="1105" t="n">
        <v>19245353.86</v>
      </c>
      <c r="G2233" s="1444" t="n">
        <v>0.1</v>
      </c>
      <c r="H2233" s="1105" t="n">
        <f aca="false">E2233*F2233*G2233</f>
        <v>17320818.474</v>
      </c>
      <c r="I2233" s="1105" t="n">
        <f aca="false">F2233-H2233</f>
        <v>1924535.386</v>
      </c>
      <c r="J2233" s="547" t="n">
        <f aca="false">F2233*G2233</f>
        <v>1924535.386</v>
      </c>
      <c r="K2233" s="1365" t="n">
        <f aca="false">J2233/1792.8</f>
        <v>1073.48024654172</v>
      </c>
      <c r="L2233" s="547" t="n">
        <v>130</v>
      </c>
      <c r="M2233" s="819" t="n">
        <f aca="false">K2233*L2233/60</f>
        <v>2325.87386750707</v>
      </c>
    </row>
    <row r="2234" customFormat="false" ht="15" hidden="false" customHeight="false" outlineLevel="0" collapsed="false">
      <c r="A2234" s="216"/>
      <c r="B2234" s="1053" t="s">
        <v>4128</v>
      </c>
      <c r="C2234" s="1161"/>
      <c r="D2234" s="912"/>
      <c r="E2234" s="912"/>
      <c r="F2234" s="547"/>
      <c r="G2234" s="1413"/>
      <c r="H2234" s="547"/>
      <c r="I2234" s="547"/>
      <c r="J2234" s="547"/>
      <c r="K2234" s="1365" t="n">
        <f aca="false">J2234/1792.8</f>
        <v>0</v>
      </c>
      <c r="L2234" s="714" t="n">
        <f aca="false">SUM(L2226:L2233)</f>
        <v>260</v>
      </c>
      <c r="M2234" s="934" t="n">
        <f aca="false">SUM(M2226:M2233)</f>
        <v>2418.05790922951</v>
      </c>
    </row>
    <row r="2235" customFormat="false" ht="38.25" hidden="false" customHeight="true" outlineLevel="0" collapsed="false">
      <c r="A2235" s="216" t="s">
        <v>1125</v>
      </c>
      <c r="B2235" s="40" t="s">
        <v>3335</v>
      </c>
      <c r="C2235" s="1404" t="s">
        <v>7070</v>
      </c>
      <c r="D2235" s="569" t="n">
        <v>2009</v>
      </c>
      <c r="E2235" s="569" t="n">
        <f aca="false">2021-D2235</f>
        <v>12</v>
      </c>
      <c r="F2235" s="1105" t="n">
        <v>181000</v>
      </c>
      <c r="G2235" s="1444" t="n">
        <v>0.1</v>
      </c>
      <c r="H2235" s="1105" t="n">
        <f aca="false">E2235*F2235*G2235</f>
        <v>217200</v>
      </c>
      <c r="I2235" s="1105" t="n">
        <f aca="false">F2235-H2235</f>
        <v>-36200</v>
      </c>
      <c r="J2235" s="1105" t="n">
        <f aca="false">F2235*G2235</f>
        <v>18100</v>
      </c>
      <c r="K2235" s="1365" t="n">
        <f aca="false">J2235/1792.8</f>
        <v>10.0959393128068</v>
      </c>
      <c r="L2235" s="547" t="n">
        <v>30</v>
      </c>
      <c r="M2235" s="819" t="n">
        <f aca="false">K2235*L2235/60</f>
        <v>5.04796965640339</v>
      </c>
    </row>
    <row r="2236" customFormat="false" ht="30" hidden="false" customHeight="false" outlineLevel="0" collapsed="false">
      <c r="A2236" s="216"/>
      <c r="B2236" s="40"/>
      <c r="C2236" s="1404" t="s">
        <v>6963</v>
      </c>
      <c r="D2236" s="1405" t="n">
        <v>2007</v>
      </c>
      <c r="E2236" s="1405" t="n">
        <f aca="false">2021-D2236</f>
        <v>14</v>
      </c>
      <c r="F2236" s="1406" t="n">
        <v>176358</v>
      </c>
      <c r="G2236" s="1407" t="n">
        <v>0.1</v>
      </c>
      <c r="H2236" s="1410" t="n">
        <f aca="false">E2236*F2236*G2236</f>
        <v>246901.2</v>
      </c>
      <c r="I2236" s="1410" t="n">
        <f aca="false">F2236-H2236</f>
        <v>-70543.2</v>
      </c>
      <c r="J2236" s="1410" t="n">
        <f aca="false">F2236*G2236</f>
        <v>17635.8</v>
      </c>
      <c r="K2236" s="1365" t="n">
        <f aca="false">J2236/1792.8</f>
        <v>9.83701472556894</v>
      </c>
      <c r="L2236" s="1445" t="n">
        <v>10</v>
      </c>
      <c r="M2236" s="1408" t="n">
        <f aca="false">K2236*L2236/60</f>
        <v>1.63950245426149</v>
      </c>
    </row>
    <row r="2237" customFormat="false" ht="30" hidden="false" customHeight="false" outlineLevel="0" collapsed="false">
      <c r="A2237" s="216"/>
      <c r="B2237" s="40"/>
      <c r="C2237" s="1404" t="s">
        <v>6959</v>
      </c>
      <c r="D2237" s="1405" t="n">
        <v>2007</v>
      </c>
      <c r="E2237" s="1405" t="n">
        <f aca="false">2021-D2237</f>
        <v>14</v>
      </c>
      <c r="F2237" s="1406" t="n">
        <v>350000</v>
      </c>
      <c r="G2237" s="1407" t="n">
        <v>0.1</v>
      </c>
      <c r="H2237" s="1410" t="n">
        <f aca="false">E2237*F2237*G2237</f>
        <v>490000</v>
      </c>
      <c r="I2237" s="1410" t="n">
        <f aca="false">F2237-H2237</f>
        <v>-140000</v>
      </c>
      <c r="J2237" s="1410" t="n">
        <f aca="false">F2237*G2237</f>
        <v>35000</v>
      </c>
      <c r="K2237" s="1365" t="n">
        <f aca="false">J2237/1792.8</f>
        <v>19.5225345827755</v>
      </c>
      <c r="L2237" s="1445" t="n">
        <v>10</v>
      </c>
      <c r="M2237" s="1408" t="n">
        <f aca="false">K2237*L2237/60</f>
        <v>3.25375576379592</v>
      </c>
    </row>
    <row r="2238" customFormat="false" ht="30" hidden="false" customHeight="false" outlineLevel="0" collapsed="false">
      <c r="A2238" s="216"/>
      <c r="B2238" s="40"/>
      <c r="C2238" s="1409" t="s">
        <v>6967</v>
      </c>
      <c r="D2238" s="569" t="n">
        <v>2016</v>
      </c>
      <c r="E2238" s="569" t="n">
        <f aca="false">2021-D2238</f>
        <v>5</v>
      </c>
      <c r="F2238" s="1105" t="n">
        <v>2302000</v>
      </c>
      <c r="G2238" s="1444" t="n">
        <v>0.1</v>
      </c>
      <c r="H2238" s="1105" t="n">
        <f aca="false">E2238*F2238*G2238</f>
        <v>1151000</v>
      </c>
      <c r="I2238" s="1105" t="n">
        <f aca="false">F2238-H2238</f>
        <v>1151000</v>
      </c>
      <c r="J2238" s="1105" t="n">
        <f aca="false">F2238*G2238</f>
        <v>230200</v>
      </c>
      <c r="K2238" s="1365" t="n">
        <f aca="false">J2238/1792.8</f>
        <v>128.402498884427</v>
      </c>
      <c r="L2238" s="547" t="n">
        <v>20</v>
      </c>
      <c r="M2238" s="819" t="n">
        <f aca="false">K2238*L2238/60</f>
        <v>42.8008329614755</v>
      </c>
    </row>
    <row r="2239" customFormat="false" ht="15" hidden="false" customHeight="false" outlineLevel="0" collapsed="false">
      <c r="A2239" s="216"/>
      <c r="B2239" s="40"/>
      <c r="C2239" s="1404" t="s">
        <v>7075</v>
      </c>
      <c r="D2239" s="569" t="n">
        <v>2015</v>
      </c>
      <c r="E2239" s="569" t="n">
        <f aca="false">2021-D2239</f>
        <v>6</v>
      </c>
      <c r="F2239" s="1105" t="n">
        <v>1028020</v>
      </c>
      <c r="G2239" s="1444" t="n">
        <v>0.1</v>
      </c>
      <c r="H2239" s="1105" t="n">
        <f aca="false">E2239*F2239*G2239</f>
        <v>616812</v>
      </c>
      <c r="I2239" s="1105" t="n">
        <f aca="false">F2239-H2239</f>
        <v>411208</v>
      </c>
      <c r="J2239" s="1105" t="n">
        <f aca="false">F2239*G2239</f>
        <v>102802</v>
      </c>
      <c r="K2239" s="1365" t="n">
        <f aca="false">J2239/1792.8</f>
        <v>57.3415885765283</v>
      </c>
      <c r="L2239" s="547" t="n">
        <v>60</v>
      </c>
      <c r="M2239" s="819" t="n">
        <f aca="false">K2239*L2239/60</f>
        <v>57.3415885765283</v>
      </c>
    </row>
    <row r="2240" customFormat="false" ht="30" hidden="false" customHeight="false" outlineLevel="0" collapsed="false">
      <c r="A2240" s="216"/>
      <c r="B2240" s="40"/>
      <c r="C2240" s="1404" t="s">
        <v>7072</v>
      </c>
      <c r="D2240" s="569" t="n">
        <v>2013</v>
      </c>
      <c r="E2240" s="569" t="n">
        <f aca="false">2021-D2240</f>
        <v>8</v>
      </c>
      <c r="F2240" s="1105" t="n">
        <v>300000</v>
      </c>
      <c r="G2240" s="1444" t="n">
        <v>0.1</v>
      </c>
      <c r="H2240" s="1105" t="n">
        <f aca="false">E2240*F2240*G2240</f>
        <v>240000</v>
      </c>
      <c r="I2240" s="1105" t="n">
        <f aca="false">F2240-H2240</f>
        <v>60000</v>
      </c>
      <c r="J2240" s="1105" t="n">
        <f aca="false">F2240*G2240</f>
        <v>30000</v>
      </c>
      <c r="K2240" s="1365" t="n">
        <f aca="false">J2240/1792.8</f>
        <v>16.7336010709505</v>
      </c>
      <c r="L2240" s="1105" t="n">
        <v>50</v>
      </c>
      <c r="M2240" s="865" t="n">
        <f aca="false">K2240*L2240/60</f>
        <v>13.9446675591254</v>
      </c>
    </row>
    <row r="2241" customFormat="false" ht="30" hidden="false" customHeight="false" outlineLevel="0" collapsed="false">
      <c r="A2241" s="216"/>
      <c r="B2241" s="40"/>
      <c r="C2241" s="1161" t="s">
        <v>7071</v>
      </c>
      <c r="D2241" s="912" t="n">
        <v>2006</v>
      </c>
      <c r="E2241" s="912" t="n">
        <f aca="false">2021-D2241</f>
        <v>15</v>
      </c>
      <c r="F2241" s="547" t="n">
        <v>138575</v>
      </c>
      <c r="G2241" s="1413" t="n">
        <v>0.1</v>
      </c>
      <c r="H2241" s="547" t="n">
        <f aca="false">E2241*F2241*G2241</f>
        <v>207862.5</v>
      </c>
      <c r="I2241" s="547" t="n">
        <f aca="false">F2241-H2241</f>
        <v>-69287.5</v>
      </c>
      <c r="J2241" s="547" t="n">
        <f aca="false">F2241*G2241</f>
        <v>13857.5</v>
      </c>
      <c r="K2241" s="1365" t="n">
        <f aca="false">J2241/1792.8</f>
        <v>7.7295292280232</v>
      </c>
      <c r="L2241" s="547" t="n">
        <v>20</v>
      </c>
      <c r="M2241" s="819" t="n">
        <f aca="false">K2241*L2241/60</f>
        <v>2.5765097426744</v>
      </c>
    </row>
    <row r="2242" customFormat="false" ht="30" hidden="false" customHeight="false" outlineLevel="0" collapsed="false">
      <c r="A2242" s="216"/>
      <c r="B2242" s="40"/>
      <c r="C2242" s="1161" t="s">
        <v>7074</v>
      </c>
      <c r="D2242" s="912" t="n">
        <v>2003</v>
      </c>
      <c r="E2242" s="912" t="n">
        <f aca="false">2021-D2242</f>
        <v>18</v>
      </c>
      <c r="F2242" s="547" t="n">
        <v>2471090</v>
      </c>
      <c r="G2242" s="1413" t="n">
        <v>0.1</v>
      </c>
      <c r="H2242" s="547" t="n">
        <f aca="false">E2242*F2242*G2242</f>
        <v>4447962</v>
      </c>
      <c r="I2242" s="547" t="n">
        <f aca="false">F2242-H2242</f>
        <v>-1976872</v>
      </c>
      <c r="J2242" s="547" t="n">
        <f aca="false">F2242*G2242</f>
        <v>247109</v>
      </c>
      <c r="K2242" s="1365" t="n">
        <f aca="false">J2242/1792.8</f>
        <v>137.834114234717</v>
      </c>
      <c r="L2242" s="547" t="n">
        <v>120</v>
      </c>
      <c r="M2242" s="819" t="n">
        <f aca="false">K2242*L2242/60</f>
        <v>275.668228469433</v>
      </c>
    </row>
    <row r="2243" customFormat="false" ht="15" hidden="false" customHeight="false" outlineLevel="0" collapsed="false">
      <c r="A2243" s="216"/>
      <c r="B2243" s="1053" t="s">
        <v>4128</v>
      </c>
      <c r="C2243" s="1161"/>
      <c r="D2243" s="912"/>
      <c r="E2243" s="912"/>
      <c r="F2243" s="547"/>
      <c r="G2243" s="1413"/>
      <c r="H2243" s="547"/>
      <c r="I2243" s="547"/>
      <c r="J2243" s="547"/>
      <c r="K2243" s="1365" t="n">
        <f aca="false">J2243/1792.8</f>
        <v>0</v>
      </c>
      <c r="L2243" s="714" t="n">
        <f aca="false">SUM(L2235:L2242)</f>
        <v>320</v>
      </c>
      <c r="M2243" s="934" t="n">
        <f aca="false">SUM(M2235:M2242)</f>
        <v>402.273055183698</v>
      </c>
    </row>
    <row r="2244" customFormat="false" ht="30" hidden="false" customHeight="false" outlineLevel="0" collapsed="false">
      <c r="A2244" s="216" t="s">
        <v>1127</v>
      </c>
      <c r="B2244" s="40" t="s">
        <v>3331</v>
      </c>
      <c r="C2244" s="1161" t="s">
        <v>7071</v>
      </c>
      <c r="D2244" s="912" t="n">
        <v>2006</v>
      </c>
      <c r="E2244" s="912" t="n">
        <f aca="false">2021-D2244</f>
        <v>15</v>
      </c>
      <c r="F2244" s="547" t="n">
        <v>138575</v>
      </c>
      <c r="G2244" s="1413" t="n">
        <v>0.1</v>
      </c>
      <c r="H2244" s="547" t="n">
        <f aca="false">E2244*F2244*G2244</f>
        <v>207862.5</v>
      </c>
      <c r="I2244" s="547" t="n">
        <f aca="false">F2244-H2244</f>
        <v>-69287.5</v>
      </c>
      <c r="J2244" s="547" t="n">
        <f aca="false">F2244*G2244</f>
        <v>13857.5</v>
      </c>
      <c r="K2244" s="1365" t="n">
        <f aca="false">J2244/1792.8</f>
        <v>7.7295292280232</v>
      </c>
      <c r="L2244" s="547" t="n">
        <v>20</v>
      </c>
      <c r="M2244" s="819" t="n">
        <f aca="false">K2244*L2244/60</f>
        <v>2.5765097426744</v>
      </c>
    </row>
    <row r="2245" customFormat="false" ht="30" hidden="false" customHeight="false" outlineLevel="0" collapsed="false">
      <c r="A2245" s="216"/>
      <c r="B2245" s="40"/>
      <c r="C2245" s="1404" t="s">
        <v>6963</v>
      </c>
      <c r="D2245" s="1405" t="n">
        <v>2007</v>
      </c>
      <c r="E2245" s="1405" t="n">
        <f aca="false">2021-D2245</f>
        <v>14</v>
      </c>
      <c r="F2245" s="1406" t="n">
        <v>176358</v>
      </c>
      <c r="G2245" s="1407" t="n">
        <v>0.1</v>
      </c>
      <c r="H2245" s="1410" t="n">
        <f aca="false">E2245*F2245*G2245</f>
        <v>246901.2</v>
      </c>
      <c r="I2245" s="1410" t="n">
        <f aca="false">F2245-H2245</f>
        <v>-70543.2</v>
      </c>
      <c r="J2245" s="1410" t="n">
        <f aca="false">F2245*G2245</f>
        <v>17635.8</v>
      </c>
      <c r="K2245" s="1365" t="n">
        <f aca="false">J2245/1792.8</f>
        <v>9.83701472556894</v>
      </c>
      <c r="L2245" s="1445" t="n">
        <v>10</v>
      </c>
      <c r="M2245" s="1408" t="n">
        <f aca="false">K2245*L2245/60</f>
        <v>1.63950245426149</v>
      </c>
    </row>
    <row r="2246" customFormat="false" ht="22.5" hidden="false" customHeight="true" outlineLevel="0" collapsed="false">
      <c r="A2246" s="216"/>
      <c r="B2246" s="40"/>
      <c r="C2246" s="1404" t="s">
        <v>6959</v>
      </c>
      <c r="D2246" s="1405" t="n">
        <v>2007</v>
      </c>
      <c r="E2246" s="1405" t="n">
        <f aca="false">2021-D2246</f>
        <v>14</v>
      </c>
      <c r="F2246" s="1406" t="n">
        <v>350000</v>
      </c>
      <c r="G2246" s="1407" t="n">
        <v>0.1</v>
      </c>
      <c r="H2246" s="1410" t="n">
        <f aca="false">E2246*F2246*G2246</f>
        <v>490000</v>
      </c>
      <c r="I2246" s="1410" t="n">
        <f aca="false">F2246-H2246</f>
        <v>-140000</v>
      </c>
      <c r="J2246" s="1410" t="n">
        <f aca="false">F2246*G2246</f>
        <v>35000</v>
      </c>
      <c r="K2246" s="1365" t="n">
        <f aca="false">J2246/1792.8</f>
        <v>19.5225345827755</v>
      </c>
      <c r="L2246" s="1445" t="n">
        <v>10</v>
      </c>
      <c r="M2246" s="1408" t="n">
        <f aca="false">K2246*L2246/60</f>
        <v>3.25375576379592</v>
      </c>
    </row>
    <row r="2247" customFormat="false" ht="30" hidden="false" customHeight="false" outlineLevel="0" collapsed="false">
      <c r="A2247" s="216"/>
      <c r="B2247" s="40"/>
      <c r="C2247" s="1404" t="s">
        <v>7070</v>
      </c>
      <c r="D2247" s="569" t="n">
        <v>2009</v>
      </c>
      <c r="E2247" s="569" t="n">
        <f aca="false">2021-D2247</f>
        <v>12</v>
      </c>
      <c r="F2247" s="1105" t="n">
        <v>181000</v>
      </c>
      <c r="G2247" s="1444" t="n">
        <v>0.1</v>
      </c>
      <c r="H2247" s="1105" t="n">
        <f aca="false">E2247*F2247*G2247</f>
        <v>217200</v>
      </c>
      <c r="I2247" s="1105" t="n">
        <f aca="false">F2247-H2247</f>
        <v>-36200</v>
      </c>
      <c r="J2247" s="1105" t="n">
        <f aca="false">F2247*G2247</f>
        <v>18100</v>
      </c>
      <c r="K2247" s="1365" t="n">
        <f aca="false">J2247/1792.8</f>
        <v>10.0959393128068</v>
      </c>
      <c r="L2247" s="1105" t="n">
        <v>40</v>
      </c>
      <c r="M2247" s="819" t="n">
        <f aca="false">K2247*L2247/60</f>
        <v>6.73062620853786</v>
      </c>
    </row>
    <row r="2248" customFormat="false" ht="30" hidden="false" customHeight="false" outlineLevel="0" collapsed="false">
      <c r="A2248" s="216"/>
      <c r="B2248" s="40"/>
      <c r="C2248" s="1409" t="s">
        <v>6967</v>
      </c>
      <c r="D2248" s="569" t="n">
        <v>2016</v>
      </c>
      <c r="E2248" s="569" t="n">
        <f aca="false">2021-D2248</f>
        <v>5</v>
      </c>
      <c r="F2248" s="1105" t="n">
        <v>2302000</v>
      </c>
      <c r="G2248" s="1444" t="n">
        <v>0.1</v>
      </c>
      <c r="H2248" s="1105" t="n">
        <f aca="false">E2248*F2248*G2248</f>
        <v>1151000</v>
      </c>
      <c r="I2248" s="1105" t="n">
        <f aca="false">F2248-H2248</f>
        <v>1151000</v>
      </c>
      <c r="J2248" s="1105" t="n">
        <f aca="false">F2248*G2248</f>
        <v>230200</v>
      </c>
      <c r="K2248" s="1365" t="n">
        <f aca="false">J2248/1792.8</f>
        <v>128.402498884427</v>
      </c>
      <c r="L2248" s="1105" t="n">
        <v>20</v>
      </c>
      <c r="M2248" s="819" t="n">
        <f aca="false">K2248*L2248/60</f>
        <v>42.8008329614755</v>
      </c>
    </row>
    <row r="2249" customFormat="false" ht="15" hidden="false" customHeight="false" outlineLevel="0" collapsed="false">
      <c r="A2249" s="216"/>
      <c r="B2249" s="40"/>
      <c r="C2249" s="1404" t="s">
        <v>7075</v>
      </c>
      <c r="D2249" s="569" t="n">
        <v>2015</v>
      </c>
      <c r="E2249" s="569" t="n">
        <f aca="false">2021-D2249</f>
        <v>6</v>
      </c>
      <c r="F2249" s="1105" t="n">
        <v>1028020</v>
      </c>
      <c r="G2249" s="1444" t="n">
        <v>0.1</v>
      </c>
      <c r="H2249" s="1105" t="n">
        <f aca="false">E2249*F2249*G2249</f>
        <v>616812</v>
      </c>
      <c r="I2249" s="1105" t="n">
        <f aca="false">F2249-H2249</f>
        <v>411208</v>
      </c>
      <c r="J2249" s="1105" t="n">
        <f aca="false">F2249*G2249</f>
        <v>102802</v>
      </c>
      <c r="K2249" s="1365" t="n">
        <f aca="false">J2249/1792.8</f>
        <v>57.3415885765283</v>
      </c>
      <c r="L2249" s="1105" t="n">
        <v>60</v>
      </c>
      <c r="M2249" s="819" t="n">
        <f aca="false">K2249*L2249/60</f>
        <v>57.3415885765283</v>
      </c>
    </row>
    <row r="2250" customFormat="false" ht="30" hidden="false" customHeight="false" outlineLevel="0" collapsed="false">
      <c r="A2250" s="216"/>
      <c r="B2250" s="40"/>
      <c r="C2250" s="1404" t="s">
        <v>7072</v>
      </c>
      <c r="D2250" s="569" t="n">
        <v>2013</v>
      </c>
      <c r="E2250" s="569" t="n">
        <f aca="false">2021-D2250</f>
        <v>8</v>
      </c>
      <c r="F2250" s="1105" t="n">
        <v>300000</v>
      </c>
      <c r="G2250" s="1444" t="n">
        <v>0.1</v>
      </c>
      <c r="H2250" s="1105" t="n">
        <f aca="false">E2250*F2250*G2250</f>
        <v>240000</v>
      </c>
      <c r="I2250" s="1105" t="n">
        <f aca="false">F2250-H2250</f>
        <v>60000</v>
      </c>
      <c r="J2250" s="1105" t="n">
        <f aca="false">F2250*G2250</f>
        <v>30000</v>
      </c>
      <c r="K2250" s="1365" t="n">
        <f aca="false">J2250/1792.8</f>
        <v>16.7336010709505</v>
      </c>
      <c r="L2250" s="1105" t="n">
        <v>50</v>
      </c>
      <c r="M2250" s="865" t="n">
        <f aca="false">K2250*L2250/60</f>
        <v>13.9446675591254</v>
      </c>
    </row>
    <row r="2251" customFormat="false" ht="30" hidden="false" customHeight="false" outlineLevel="0" collapsed="false">
      <c r="A2251" s="216"/>
      <c r="B2251" s="40"/>
      <c r="C2251" s="1161" t="s">
        <v>7078</v>
      </c>
      <c r="D2251" s="569" t="n">
        <v>2012</v>
      </c>
      <c r="E2251" s="569" t="n">
        <f aca="false">2021-D2251</f>
        <v>9</v>
      </c>
      <c r="F2251" s="1105" t="n">
        <v>12268394.74</v>
      </c>
      <c r="G2251" s="1444" t="n">
        <v>0.1</v>
      </c>
      <c r="H2251" s="1105" t="n">
        <f aca="false">E2251*F2251*G2251</f>
        <v>11041555.266</v>
      </c>
      <c r="I2251" s="547" t="n">
        <f aca="false">F2251-H2251</f>
        <v>1226839.474</v>
      </c>
      <c r="J2251" s="547" t="n">
        <f aca="false">F2251*G2251</f>
        <v>1226839.474</v>
      </c>
      <c r="K2251" s="1365" t="n">
        <f aca="false">J2251/1792.8</f>
        <v>684.31474453369</v>
      </c>
      <c r="L2251" s="547" t="n">
        <v>120</v>
      </c>
      <c r="M2251" s="819" t="n">
        <f aca="false">K2251*L2251/60</f>
        <v>1368.62948906738</v>
      </c>
    </row>
    <row r="2252" customFormat="false" ht="15" hidden="false" customHeight="false" outlineLevel="0" collapsed="false">
      <c r="A2252" s="216"/>
      <c r="B2252" s="1053" t="s">
        <v>4128</v>
      </c>
      <c r="C2252" s="1161"/>
      <c r="D2252" s="912"/>
      <c r="E2252" s="912"/>
      <c r="F2252" s="547"/>
      <c r="G2252" s="1413"/>
      <c r="H2252" s="547"/>
      <c r="I2252" s="547"/>
      <c r="J2252" s="547"/>
      <c r="K2252" s="1365" t="n">
        <f aca="false">J2252/1792.8</f>
        <v>0</v>
      </c>
      <c r="L2252" s="714" t="n">
        <f aca="false">SUM(L2244:L2251)</f>
        <v>330</v>
      </c>
      <c r="M2252" s="934" t="n">
        <f aca="false">SUM(M2244:M2251)</f>
        <v>1496.91697233378</v>
      </c>
    </row>
    <row r="2253" customFormat="false" ht="15" hidden="false" customHeight="false" outlineLevel="0" collapsed="false">
      <c r="A2253" s="15" t="s">
        <v>5307</v>
      </c>
      <c r="B2253" s="54" t="s">
        <v>1129</v>
      </c>
      <c r="C2253" s="1387"/>
      <c r="D2253" s="339"/>
      <c r="E2253" s="541"/>
      <c r="F2253" s="751"/>
      <c r="G2253" s="1412"/>
      <c r="H2253" s="1412"/>
      <c r="I2253" s="751"/>
      <c r="J2253" s="751"/>
      <c r="K2253" s="1390"/>
      <c r="L2253" s="751"/>
      <c r="M2253" s="818"/>
    </row>
    <row r="2254" customFormat="false" ht="30" hidden="false" customHeight="false" outlineLevel="0" collapsed="false">
      <c r="A2254" s="1403" t="s">
        <v>1130</v>
      </c>
      <c r="B2254" s="118" t="s">
        <v>3307</v>
      </c>
      <c r="C2254" s="1404" t="s">
        <v>7070</v>
      </c>
      <c r="D2254" s="569" t="n">
        <v>2009</v>
      </c>
      <c r="E2254" s="569" t="n">
        <f aca="false">2021-D2254</f>
        <v>12</v>
      </c>
      <c r="F2254" s="1105" t="n">
        <v>181000</v>
      </c>
      <c r="G2254" s="1444" t="n">
        <v>0.1</v>
      </c>
      <c r="H2254" s="1105" t="n">
        <f aca="false">E2254*F2254*G2254</f>
        <v>217200</v>
      </c>
      <c r="I2254" s="1105" t="n">
        <f aca="false">F2254-H2254</f>
        <v>-36200</v>
      </c>
      <c r="J2254" s="1105" t="n">
        <f aca="false">F2254*G2254</f>
        <v>18100</v>
      </c>
      <c r="K2254" s="1365" t="n">
        <f aca="false">J2254/1792.8</f>
        <v>10.0959393128068</v>
      </c>
      <c r="L2254" s="547" t="n">
        <v>10</v>
      </c>
      <c r="M2254" s="819" t="n">
        <f aca="false">K2254*L2254/60</f>
        <v>1.68265655213446</v>
      </c>
    </row>
    <row r="2255" customFormat="false" ht="30" hidden="false" customHeight="false" outlineLevel="0" collapsed="false">
      <c r="A2255" s="1403"/>
      <c r="B2255" s="118"/>
      <c r="C2255" s="1404" t="s">
        <v>6963</v>
      </c>
      <c r="D2255" s="1405" t="n">
        <v>2007</v>
      </c>
      <c r="E2255" s="1405" t="n">
        <f aca="false">2021-D2255</f>
        <v>14</v>
      </c>
      <c r="F2255" s="1406" t="n">
        <v>176358</v>
      </c>
      <c r="G2255" s="1407" t="n">
        <v>0.1</v>
      </c>
      <c r="H2255" s="1410" t="n">
        <f aca="false">E2255*F2255*G2255</f>
        <v>246901.2</v>
      </c>
      <c r="I2255" s="1410" t="n">
        <f aca="false">F2255-H2255</f>
        <v>-70543.2</v>
      </c>
      <c r="J2255" s="1410" t="n">
        <f aca="false">F2255*G2255</f>
        <v>17635.8</v>
      </c>
      <c r="K2255" s="1365" t="n">
        <f aca="false">J2255/1792.8</f>
        <v>9.83701472556894</v>
      </c>
      <c r="L2255" s="1410" t="n">
        <v>20</v>
      </c>
      <c r="M2255" s="1408" t="n">
        <f aca="false">K2255*L2255/60</f>
        <v>3.27900490852298</v>
      </c>
    </row>
    <row r="2256" customFormat="false" ht="30" hidden="false" customHeight="false" outlineLevel="0" collapsed="false">
      <c r="A2256" s="1403"/>
      <c r="B2256" s="118"/>
      <c r="C2256" s="1404" t="s">
        <v>6959</v>
      </c>
      <c r="D2256" s="1405" t="n">
        <v>2007</v>
      </c>
      <c r="E2256" s="1405" t="n">
        <f aca="false">2021-D2256</f>
        <v>14</v>
      </c>
      <c r="F2256" s="1406" t="n">
        <v>350000</v>
      </c>
      <c r="G2256" s="1407" t="n">
        <v>0.1</v>
      </c>
      <c r="H2256" s="1410" t="n">
        <f aca="false">E2256*F2256*G2256</f>
        <v>490000</v>
      </c>
      <c r="I2256" s="1410" t="n">
        <f aca="false">F2256-H2256</f>
        <v>-140000</v>
      </c>
      <c r="J2256" s="1410" t="n">
        <f aca="false">F2256*G2256</f>
        <v>35000</v>
      </c>
      <c r="K2256" s="1365" t="n">
        <f aca="false">J2256/1792.8</f>
        <v>19.5225345827755</v>
      </c>
      <c r="L2256" s="1410" t="n">
        <v>20</v>
      </c>
      <c r="M2256" s="1408" t="n">
        <f aca="false">K2256*L2256/60</f>
        <v>6.50751152759185</v>
      </c>
    </row>
    <row r="2257" customFormat="false" ht="30" hidden="false" customHeight="false" outlineLevel="0" collapsed="false">
      <c r="A2257" s="1403"/>
      <c r="B2257" s="118"/>
      <c r="C2257" s="1161" t="s">
        <v>7071</v>
      </c>
      <c r="D2257" s="912" t="n">
        <v>2006</v>
      </c>
      <c r="E2257" s="912" t="n">
        <f aca="false">2021-D2257</f>
        <v>15</v>
      </c>
      <c r="F2257" s="547" t="n">
        <v>138575</v>
      </c>
      <c r="G2257" s="1413" t="n">
        <v>0.1</v>
      </c>
      <c r="H2257" s="547" t="n">
        <f aca="false">E2257*F2257*G2257</f>
        <v>207862.5</v>
      </c>
      <c r="I2257" s="547" t="n">
        <f aca="false">F2257-H2257</f>
        <v>-69287.5</v>
      </c>
      <c r="J2257" s="547" t="n">
        <f aca="false">F2257*G2257</f>
        <v>13857.5</v>
      </c>
      <c r="K2257" s="1365" t="n">
        <f aca="false">J2257/1792.8</f>
        <v>7.7295292280232</v>
      </c>
      <c r="L2257" s="547" t="n">
        <v>10</v>
      </c>
      <c r="M2257" s="819" t="n">
        <f aca="false">K2257*L2257/60</f>
        <v>1.2882548713372</v>
      </c>
    </row>
    <row r="2258" customFormat="false" ht="30" hidden="false" customHeight="false" outlineLevel="0" collapsed="false">
      <c r="A2258" s="1403"/>
      <c r="B2258" s="118"/>
      <c r="C2258" s="1404" t="s">
        <v>7072</v>
      </c>
      <c r="D2258" s="569" t="n">
        <v>2013</v>
      </c>
      <c r="E2258" s="569" t="n">
        <f aca="false">2021-D2258</f>
        <v>8</v>
      </c>
      <c r="F2258" s="1105" t="n">
        <v>300000</v>
      </c>
      <c r="G2258" s="1444" t="n">
        <v>0.1</v>
      </c>
      <c r="H2258" s="1105" t="n">
        <f aca="false">E2258*F2258*G2258</f>
        <v>240000</v>
      </c>
      <c r="I2258" s="1105" t="n">
        <f aca="false">F2258-H2258</f>
        <v>60000</v>
      </c>
      <c r="J2258" s="1105" t="n">
        <f aca="false">F2258*G2258</f>
        <v>30000</v>
      </c>
      <c r="K2258" s="1365" t="n">
        <f aca="false">J2258/1792.8</f>
        <v>16.7336010709505</v>
      </c>
      <c r="L2258" s="1105" t="n">
        <v>10</v>
      </c>
      <c r="M2258" s="865" t="n">
        <f aca="false">K2258*L2258/60</f>
        <v>2.78893351182508</v>
      </c>
    </row>
    <row r="2259" customFormat="false" ht="30" hidden="false" customHeight="false" outlineLevel="0" collapsed="false">
      <c r="A2259" s="1403"/>
      <c r="B2259" s="118"/>
      <c r="C2259" s="1409" t="s">
        <v>6967</v>
      </c>
      <c r="D2259" s="569" t="n">
        <v>2016</v>
      </c>
      <c r="E2259" s="569" t="n">
        <f aca="false">2021-D2259</f>
        <v>5</v>
      </c>
      <c r="F2259" s="1105" t="n">
        <v>2302000</v>
      </c>
      <c r="G2259" s="1444" t="n">
        <v>0.1</v>
      </c>
      <c r="H2259" s="1105" t="n">
        <f aca="false">E2259*F2259*G2259</f>
        <v>1151000</v>
      </c>
      <c r="I2259" s="547" t="n">
        <f aca="false">F2259-H2259</f>
        <v>1151000</v>
      </c>
      <c r="J2259" s="547" t="n">
        <f aca="false">F2259*G2259</f>
        <v>230200</v>
      </c>
      <c r="K2259" s="1365" t="n">
        <f aca="false">J2259/1792.8</f>
        <v>128.402498884427</v>
      </c>
      <c r="L2259" s="547" t="n">
        <v>10</v>
      </c>
      <c r="M2259" s="819" t="n">
        <f aca="false">K2259*L2259/60</f>
        <v>21.4004164807378</v>
      </c>
    </row>
    <row r="2260" customFormat="false" ht="15" hidden="false" customHeight="false" outlineLevel="0" collapsed="false">
      <c r="A2260" s="1403"/>
      <c r="B2260" s="118"/>
      <c r="C2260" s="1404" t="s">
        <v>7075</v>
      </c>
      <c r="D2260" s="569" t="n">
        <v>2015</v>
      </c>
      <c r="E2260" s="569" t="n">
        <f aca="false">2021-D2260</f>
        <v>6</v>
      </c>
      <c r="F2260" s="1105" t="n">
        <v>1028020</v>
      </c>
      <c r="G2260" s="1444" t="n">
        <v>0.1</v>
      </c>
      <c r="H2260" s="1105" t="n">
        <f aca="false">E2260*F2260*G2260</f>
        <v>616812</v>
      </c>
      <c r="I2260" s="547" t="n">
        <f aca="false">F2260-H2260</f>
        <v>411208</v>
      </c>
      <c r="J2260" s="547" t="n">
        <f aca="false">F2260*G2260</f>
        <v>102802</v>
      </c>
      <c r="K2260" s="1365" t="n">
        <f aca="false">J2260/1792.8</f>
        <v>57.3415885765283</v>
      </c>
      <c r="L2260" s="547" t="n">
        <v>60</v>
      </c>
      <c r="M2260" s="819" t="n">
        <f aca="false">K2260*L2260/60</f>
        <v>57.3415885765283</v>
      </c>
    </row>
    <row r="2261" customFormat="false" ht="30" hidden="false" customHeight="false" outlineLevel="0" collapsed="false">
      <c r="A2261" s="1403"/>
      <c r="B2261" s="118"/>
      <c r="C2261" s="1161" t="s">
        <v>7074</v>
      </c>
      <c r="D2261" s="912" t="n">
        <v>2003</v>
      </c>
      <c r="E2261" s="912" t="n">
        <f aca="false">2021-D2261</f>
        <v>18</v>
      </c>
      <c r="F2261" s="547" t="n">
        <v>2471090</v>
      </c>
      <c r="G2261" s="1413" t="n">
        <v>0.1</v>
      </c>
      <c r="H2261" s="547" t="n">
        <f aca="false">E2261*F2261*G2261</f>
        <v>4447962</v>
      </c>
      <c r="I2261" s="547" t="n">
        <f aca="false">F2261-H2261</f>
        <v>-1976872</v>
      </c>
      <c r="J2261" s="547" t="n">
        <f aca="false">F2261*G2261</f>
        <v>247109</v>
      </c>
      <c r="K2261" s="1365" t="n">
        <f aca="false">J2261/1792.8</f>
        <v>137.834114234717</v>
      </c>
      <c r="L2261" s="547" t="n">
        <v>120</v>
      </c>
      <c r="M2261" s="819" t="n">
        <f aca="false">K2261*L2261/60</f>
        <v>275.668228469433</v>
      </c>
    </row>
    <row r="2262" customFormat="false" ht="15" hidden="false" customHeight="false" outlineLevel="0" collapsed="false">
      <c r="A2262" s="1403"/>
      <c r="B2262" s="1450" t="s">
        <v>4128</v>
      </c>
      <c r="C2262" s="1161"/>
      <c r="D2262" s="912"/>
      <c r="E2262" s="912"/>
      <c r="F2262" s="547"/>
      <c r="G2262" s="1413"/>
      <c r="H2262" s="547"/>
      <c r="I2262" s="547"/>
      <c r="J2262" s="547"/>
      <c r="K2262" s="1365" t="n">
        <f aca="false">J2262/1792.8</f>
        <v>0</v>
      </c>
      <c r="L2262" s="714" t="n">
        <f aca="false">SUM(L2254:L2261)</f>
        <v>260</v>
      </c>
      <c r="M2262" s="934" t="n">
        <f aca="false">SUM(M2254:M2261)</f>
        <v>369.956594898111</v>
      </c>
    </row>
    <row r="2263" customFormat="false" ht="30" hidden="false" customHeight="false" outlineLevel="0" collapsed="false">
      <c r="A2263" s="1403" t="s">
        <v>1131</v>
      </c>
      <c r="B2263" s="118" t="s">
        <v>3340</v>
      </c>
      <c r="C2263" s="1161" t="s">
        <v>7071</v>
      </c>
      <c r="D2263" s="912" t="n">
        <v>2006</v>
      </c>
      <c r="E2263" s="912" t="n">
        <f aca="false">2021-D2263</f>
        <v>15</v>
      </c>
      <c r="F2263" s="547" t="n">
        <v>138575</v>
      </c>
      <c r="G2263" s="1413" t="n">
        <v>0.1</v>
      </c>
      <c r="H2263" s="547" t="n">
        <f aca="false">E2263*F2263*G2263</f>
        <v>207862.5</v>
      </c>
      <c r="I2263" s="547" t="n">
        <f aca="false">F2263-H2263</f>
        <v>-69287.5</v>
      </c>
      <c r="J2263" s="547" t="n">
        <f aca="false">F2263*G2263</f>
        <v>13857.5</v>
      </c>
      <c r="K2263" s="1365" t="n">
        <f aca="false">J2263/1792.8</f>
        <v>7.7295292280232</v>
      </c>
      <c r="L2263" s="547" t="n">
        <v>10</v>
      </c>
      <c r="M2263" s="819" t="n">
        <f aca="false">K2263*L2263/60</f>
        <v>1.2882548713372</v>
      </c>
    </row>
    <row r="2264" customFormat="false" ht="30" hidden="false" customHeight="false" outlineLevel="0" collapsed="false">
      <c r="A2264" s="1403"/>
      <c r="B2264" s="118"/>
      <c r="C2264" s="1404" t="s">
        <v>6963</v>
      </c>
      <c r="D2264" s="1405" t="n">
        <v>2007</v>
      </c>
      <c r="E2264" s="1405" t="n">
        <f aca="false">2021-D2264</f>
        <v>14</v>
      </c>
      <c r="F2264" s="1406" t="n">
        <v>176358</v>
      </c>
      <c r="G2264" s="1407" t="n">
        <v>0.1</v>
      </c>
      <c r="H2264" s="1410" t="n">
        <f aca="false">E2264*F2264*G2264</f>
        <v>246901.2</v>
      </c>
      <c r="I2264" s="1410" t="n">
        <f aca="false">F2264-H2264</f>
        <v>-70543.2</v>
      </c>
      <c r="J2264" s="1410" t="n">
        <f aca="false">F2264*G2264</f>
        <v>17635.8</v>
      </c>
      <c r="K2264" s="1365" t="n">
        <f aca="false">J2264/1792.8</f>
        <v>9.83701472556894</v>
      </c>
      <c r="L2264" s="1445" t="n">
        <v>10</v>
      </c>
      <c r="M2264" s="1408" t="n">
        <f aca="false">K2264*L2264/60</f>
        <v>1.63950245426149</v>
      </c>
    </row>
    <row r="2265" customFormat="false" ht="30" hidden="false" customHeight="false" outlineLevel="0" collapsed="false">
      <c r="A2265" s="1403"/>
      <c r="B2265" s="118"/>
      <c r="C2265" s="1404" t="s">
        <v>6959</v>
      </c>
      <c r="D2265" s="1405" t="n">
        <v>2007</v>
      </c>
      <c r="E2265" s="1405" t="n">
        <f aca="false">2021-D2265</f>
        <v>14</v>
      </c>
      <c r="F2265" s="1406" t="n">
        <v>350000</v>
      </c>
      <c r="G2265" s="1407" t="n">
        <v>0.1</v>
      </c>
      <c r="H2265" s="1410" t="n">
        <f aca="false">E2265*F2265*G2265</f>
        <v>490000</v>
      </c>
      <c r="I2265" s="1410" t="n">
        <f aca="false">F2265-H2265</f>
        <v>-140000</v>
      </c>
      <c r="J2265" s="1410" t="n">
        <f aca="false">F2265*G2265</f>
        <v>35000</v>
      </c>
      <c r="K2265" s="1365" t="n">
        <f aca="false">J2265/1792.8</f>
        <v>19.5225345827755</v>
      </c>
      <c r="L2265" s="1445" t="n">
        <v>10</v>
      </c>
      <c r="M2265" s="1408" t="n">
        <f aca="false">K2265*L2265/60</f>
        <v>3.25375576379592</v>
      </c>
    </row>
    <row r="2266" customFormat="false" ht="30" hidden="false" customHeight="false" outlineLevel="0" collapsed="false">
      <c r="A2266" s="1403"/>
      <c r="B2266" s="118"/>
      <c r="C2266" s="1404" t="s">
        <v>7070</v>
      </c>
      <c r="D2266" s="569" t="n">
        <v>2009</v>
      </c>
      <c r="E2266" s="569" t="n">
        <f aca="false">2021-D2266</f>
        <v>12</v>
      </c>
      <c r="F2266" s="1105" t="n">
        <v>181000</v>
      </c>
      <c r="G2266" s="1444" t="n">
        <v>0.1</v>
      </c>
      <c r="H2266" s="1105" t="n">
        <f aca="false">E2266*F2266*G2266</f>
        <v>217200</v>
      </c>
      <c r="I2266" s="1105" t="n">
        <f aca="false">F2266-H2266</f>
        <v>-36200</v>
      </c>
      <c r="J2266" s="1105" t="n">
        <f aca="false">F2266*G2266</f>
        <v>18100</v>
      </c>
      <c r="K2266" s="1365" t="n">
        <f aca="false">J2266/1792.8</f>
        <v>10.0959393128068</v>
      </c>
      <c r="L2266" s="1105" t="n">
        <v>20</v>
      </c>
      <c r="M2266" s="819" t="n">
        <f aca="false">K2266*L2266/60</f>
        <v>3.36531310426893</v>
      </c>
    </row>
    <row r="2267" customFormat="false" ht="30" hidden="false" customHeight="false" outlineLevel="0" collapsed="false">
      <c r="A2267" s="1403"/>
      <c r="B2267" s="118"/>
      <c r="C2267" s="1409" t="s">
        <v>6967</v>
      </c>
      <c r="D2267" s="569" t="n">
        <v>2016</v>
      </c>
      <c r="E2267" s="569" t="n">
        <f aca="false">2021-D2267</f>
        <v>5</v>
      </c>
      <c r="F2267" s="1105" t="n">
        <v>2302000</v>
      </c>
      <c r="G2267" s="1444" t="n">
        <v>0.1</v>
      </c>
      <c r="H2267" s="1105" t="n">
        <f aca="false">E2267*F2267*G2267</f>
        <v>1151000</v>
      </c>
      <c r="I2267" s="1105" t="n">
        <f aca="false">F2267-H2267</f>
        <v>1151000</v>
      </c>
      <c r="J2267" s="1105" t="n">
        <f aca="false">F2267*G2267</f>
        <v>230200</v>
      </c>
      <c r="K2267" s="1365" t="n">
        <f aca="false">J2267/1792.8</f>
        <v>128.402498884427</v>
      </c>
      <c r="L2267" s="1105" t="n">
        <v>10</v>
      </c>
      <c r="M2267" s="819" t="n">
        <f aca="false">K2267*L2267/60</f>
        <v>21.4004164807378</v>
      </c>
    </row>
    <row r="2268" customFormat="false" ht="15" hidden="false" customHeight="false" outlineLevel="0" collapsed="false">
      <c r="A2268" s="1403"/>
      <c r="B2268" s="118"/>
      <c r="C2268" s="1404" t="s">
        <v>7075</v>
      </c>
      <c r="D2268" s="569" t="n">
        <v>2015</v>
      </c>
      <c r="E2268" s="569" t="n">
        <f aca="false">2021-D2268</f>
        <v>6</v>
      </c>
      <c r="F2268" s="1105" t="n">
        <v>1028020</v>
      </c>
      <c r="G2268" s="1444" t="n">
        <v>0.1</v>
      </c>
      <c r="H2268" s="1105" t="n">
        <f aca="false">E2268*F2268*G2268</f>
        <v>616812</v>
      </c>
      <c r="I2268" s="1105" t="n">
        <f aca="false">F2268-H2268</f>
        <v>411208</v>
      </c>
      <c r="J2268" s="1105" t="n">
        <f aca="false">F2268*G2268</f>
        <v>102802</v>
      </c>
      <c r="K2268" s="1365" t="n">
        <f aca="false">J2268/1792.8</f>
        <v>57.3415885765283</v>
      </c>
      <c r="L2268" s="1105" t="n">
        <v>60</v>
      </c>
      <c r="M2268" s="819" t="n">
        <f aca="false">K2268*L2268/60</f>
        <v>57.3415885765283</v>
      </c>
    </row>
    <row r="2269" customFormat="false" ht="30" hidden="false" customHeight="false" outlineLevel="0" collapsed="false">
      <c r="A2269" s="1403"/>
      <c r="B2269" s="118"/>
      <c r="C2269" s="1404" t="s">
        <v>7072</v>
      </c>
      <c r="D2269" s="569" t="n">
        <v>2013</v>
      </c>
      <c r="E2269" s="569" t="n">
        <f aca="false">2021-D2269</f>
        <v>8</v>
      </c>
      <c r="F2269" s="1105" t="n">
        <v>300000</v>
      </c>
      <c r="G2269" s="1444" t="n">
        <v>0.1</v>
      </c>
      <c r="H2269" s="1105" t="n">
        <f aca="false">E2269*F2269*G2269</f>
        <v>240000</v>
      </c>
      <c r="I2269" s="1105" t="n">
        <f aca="false">F2269-H2269</f>
        <v>60000</v>
      </c>
      <c r="J2269" s="1105" t="n">
        <f aca="false">F2269*G2269</f>
        <v>30000</v>
      </c>
      <c r="K2269" s="1365" t="n">
        <f aca="false">J2269/1792.8</f>
        <v>16.7336010709505</v>
      </c>
      <c r="L2269" s="1105" t="n">
        <v>20</v>
      </c>
      <c r="M2269" s="865" t="n">
        <f aca="false">K2269*L2269/60</f>
        <v>5.57786702365016</v>
      </c>
    </row>
    <row r="2270" customFormat="false" ht="30" hidden="false" customHeight="false" outlineLevel="0" collapsed="false">
      <c r="A2270" s="1403"/>
      <c r="B2270" s="118"/>
      <c r="C2270" s="1161" t="s">
        <v>7078</v>
      </c>
      <c r="D2270" s="569" t="n">
        <v>2012</v>
      </c>
      <c r="E2270" s="569" t="n">
        <f aca="false">2021-D2270</f>
        <v>9</v>
      </c>
      <c r="F2270" s="1105" t="n">
        <v>12268394.74</v>
      </c>
      <c r="G2270" s="1444" t="n">
        <v>0.1</v>
      </c>
      <c r="H2270" s="1105" t="n">
        <f aca="false">E2270*F2270*G2270</f>
        <v>11041555.266</v>
      </c>
      <c r="I2270" s="547" t="n">
        <f aca="false">F2270-H2270</f>
        <v>1226839.474</v>
      </c>
      <c r="J2270" s="547" t="n">
        <f aca="false">F2270*G2270</f>
        <v>1226839.474</v>
      </c>
      <c r="K2270" s="1365" t="n">
        <f aca="false">J2270/1792.8</f>
        <v>684.31474453369</v>
      </c>
      <c r="L2270" s="547" t="n">
        <v>120</v>
      </c>
      <c r="M2270" s="819" t="n">
        <f aca="false">K2270*L2270/60</f>
        <v>1368.62948906738</v>
      </c>
    </row>
    <row r="2271" customFormat="false" ht="15" hidden="false" customHeight="false" outlineLevel="0" collapsed="false">
      <c r="A2271" s="1403"/>
      <c r="B2271" s="1450" t="s">
        <v>4128</v>
      </c>
      <c r="C2271" s="1161"/>
      <c r="D2271" s="912"/>
      <c r="E2271" s="912"/>
      <c r="F2271" s="547"/>
      <c r="G2271" s="1413"/>
      <c r="H2271" s="547"/>
      <c r="I2271" s="547"/>
      <c r="J2271" s="547"/>
      <c r="K2271" s="1365" t="n">
        <f aca="false">J2271/1792.8</f>
        <v>0</v>
      </c>
      <c r="L2271" s="714" t="n">
        <f aca="false">SUM(L2263:L2270)</f>
        <v>260</v>
      </c>
      <c r="M2271" s="934" t="n">
        <f aca="false">SUM(M2263:M2270)</f>
        <v>1462.49618734196</v>
      </c>
    </row>
    <row r="2272" customFormat="false" ht="30" hidden="false" customHeight="false" outlineLevel="0" collapsed="false">
      <c r="A2272" s="1403" t="s">
        <v>1132</v>
      </c>
      <c r="B2272" s="118" t="s">
        <v>3309</v>
      </c>
      <c r="C2272" s="1161" t="s">
        <v>7071</v>
      </c>
      <c r="D2272" s="912" t="n">
        <v>2006</v>
      </c>
      <c r="E2272" s="912" t="n">
        <f aca="false">2021-D2272</f>
        <v>15</v>
      </c>
      <c r="F2272" s="547" t="n">
        <v>138575</v>
      </c>
      <c r="G2272" s="1413" t="n">
        <v>0.1</v>
      </c>
      <c r="H2272" s="547" t="n">
        <f aca="false">E2272*F2272*G2272</f>
        <v>207862.5</v>
      </c>
      <c r="I2272" s="547" t="n">
        <f aca="false">F2272-H2272</f>
        <v>-69287.5</v>
      </c>
      <c r="J2272" s="547" t="n">
        <f aca="false">F2272*G2272</f>
        <v>13857.5</v>
      </c>
      <c r="K2272" s="1365" t="n">
        <f aca="false">J2272/1792.8</f>
        <v>7.7295292280232</v>
      </c>
      <c r="L2272" s="547" t="n">
        <v>10</v>
      </c>
      <c r="M2272" s="819" t="n">
        <f aca="false">K2272*L2272/60</f>
        <v>1.2882548713372</v>
      </c>
    </row>
    <row r="2273" customFormat="false" ht="30" hidden="false" customHeight="false" outlineLevel="0" collapsed="false">
      <c r="A2273" s="1403"/>
      <c r="B2273" s="118"/>
      <c r="C2273" s="1404" t="s">
        <v>6963</v>
      </c>
      <c r="D2273" s="1405" t="n">
        <v>2007</v>
      </c>
      <c r="E2273" s="1405" t="n">
        <f aca="false">2021-D2273</f>
        <v>14</v>
      </c>
      <c r="F2273" s="1406" t="n">
        <v>176358</v>
      </c>
      <c r="G2273" s="1407" t="n">
        <v>0.1</v>
      </c>
      <c r="H2273" s="1410" t="n">
        <f aca="false">E2273*F2273*G2273</f>
        <v>246901.2</v>
      </c>
      <c r="I2273" s="1410" t="n">
        <f aca="false">F2273-H2273</f>
        <v>-70543.2</v>
      </c>
      <c r="J2273" s="1410" t="n">
        <f aca="false">F2273*G2273</f>
        <v>17635.8</v>
      </c>
      <c r="K2273" s="1365" t="n">
        <f aca="false">J2273/1792.8</f>
        <v>9.83701472556894</v>
      </c>
      <c r="L2273" s="1445" t="n">
        <v>10</v>
      </c>
      <c r="M2273" s="1408" t="n">
        <f aca="false">K2273*L2273/60</f>
        <v>1.63950245426149</v>
      </c>
    </row>
    <row r="2274" customFormat="false" ht="30" hidden="false" customHeight="false" outlineLevel="0" collapsed="false">
      <c r="A2274" s="1403"/>
      <c r="B2274" s="118"/>
      <c r="C2274" s="1404" t="s">
        <v>6959</v>
      </c>
      <c r="D2274" s="1405" t="n">
        <v>2007</v>
      </c>
      <c r="E2274" s="1405" t="n">
        <f aca="false">2021-D2274</f>
        <v>14</v>
      </c>
      <c r="F2274" s="1406" t="n">
        <v>350000</v>
      </c>
      <c r="G2274" s="1407" t="n">
        <v>0.1</v>
      </c>
      <c r="H2274" s="1410" t="n">
        <f aca="false">E2274*F2274*G2274</f>
        <v>490000</v>
      </c>
      <c r="I2274" s="1410" t="n">
        <f aca="false">F2274-H2274</f>
        <v>-140000</v>
      </c>
      <c r="J2274" s="1410" t="n">
        <f aca="false">F2274*G2274</f>
        <v>35000</v>
      </c>
      <c r="K2274" s="1365" t="n">
        <f aca="false">J2274/1792.8</f>
        <v>19.5225345827755</v>
      </c>
      <c r="L2274" s="1445" t="n">
        <v>10</v>
      </c>
      <c r="M2274" s="1408" t="n">
        <f aca="false">K2274*L2274/60</f>
        <v>3.25375576379592</v>
      </c>
    </row>
    <row r="2275" customFormat="false" ht="30" hidden="false" customHeight="false" outlineLevel="0" collapsed="false">
      <c r="A2275" s="1403"/>
      <c r="B2275" s="118"/>
      <c r="C2275" s="1404" t="s">
        <v>7070</v>
      </c>
      <c r="D2275" s="569" t="n">
        <v>2009</v>
      </c>
      <c r="E2275" s="569" t="n">
        <f aca="false">2021-D2275</f>
        <v>12</v>
      </c>
      <c r="F2275" s="1105" t="n">
        <v>181000</v>
      </c>
      <c r="G2275" s="1444" t="n">
        <v>0.1</v>
      </c>
      <c r="H2275" s="1105" t="n">
        <f aca="false">E2275*F2275*G2275</f>
        <v>217200</v>
      </c>
      <c r="I2275" s="1105" t="n">
        <f aca="false">F2275-H2275</f>
        <v>-36200</v>
      </c>
      <c r="J2275" s="1105" t="n">
        <f aca="false">F2275*G2275</f>
        <v>18100</v>
      </c>
      <c r="K2275" s="1365" t="n">
        <f aca="false">J2275/1792.8</f>
        <v>10.0959393128068</v>
      </c>
      <c r="L2275" s="1105" t="n">
        <v>10</v>
      </c>
      <c r="M2275" s="819" t="n">
        <f aca="false">K2275*L2275/60</f>
        <v>1.68265655213446</v>
      </c>
    </row>
    <row r="2276" customFormat="false" ht="30" hidden="false" customHeight="false" outlineLevel="0" collapsed="false">
      <c r="A2276" s="1403"/>
      <c r="B2276" s="118"/>
      <c r="C2276" s="1409" t="s">
        <v>6967</v>
      </c>
      <c r="D2276" s="569" t="n">
        <v>2016</v>
      </c>
      <c r="E2276" s="569" t="n">
        <f aca="false">2021-D2276</f>
        <v>5</v>
      </c>
      <c r="F2276" s="1105" t="n">
        <v>2302000</v>
      </c>
      <c r="G2276" s="1444" t="n">
        <v>0.1</v>
      </c>
      <c r="H2276" s="1105" t="n">
        <f aca="false">E2276*F2276*G2276</f>
        <v>1151000</v>
      </c>
      <c r="I2276" s="1105" t="n">
        <f aca="false">F2276-H2276</f>
        <v>1151000</v>
      </c>
      <c r="J2276" s="1105" t="n">
        <f aca="false">F2276*G2276</f>
        <v>230200</v>
      </c>
      <c r="K2276" s="1365" t="n">
        <f aca="false">J2276/1792.8</f>
        <v>128.402498884427</v>
      </c>
      <c r="L2276" s="1105" t="n">
        <v>10</v>
      </c>
      <c r="M2276" s="819" t="n">
        <f aca="false">K2276*L2276/60</f>
        <v>21.4004164807378</v>
      </c>
    </row>
    <row r="2277" customFormat="false" ht="15" hidden="false" customHeight="false" outlineLevel="0" collapsed="false">
      <c r="A2277" s="1403"/>
      <c r="B2277" s="118"/>
      <c r="C2277" s="1404" t="s">
        <v>7075</v>
      </c>
      <c r="D2277" s="569" t="n">
        <v>2015</v>
      </c>
      <c r="E2277" s="569" t="n">
        <f aca="false">2021-D2277</f>
        <v>6</v>
      </c>
      <c r="F2277" s="1105" t="n">
        <v>1028020</v>
      </c>
      <c r="G2277" s="1444" t="n">
        <v>0.1</v>
      </c>
      <c r="H2277" s="1105" t="n">
        <f aca="false">E2277*F2277*G2277</f>
        <v>616812</v>
      </c>
      <c r="I2277" s="1105" t="n">
        <f aca="false">F2277-H2277</f>
        <v>411208</v>
      </c>
      <c r="J2277" s="1105" t="n">
        <f aca="false">F2277*G2277</f>
        <v>102802</v>
      </c>
      <c r="K2277" s="1365" t="n">
        <f aca="false">J2277/1792.8</f>
        <v>57.3415885765283</v>
      </c>
      <c r="L2277" s="1105" t="n">
        <v>60</v>
      </c>
      <c r="M2277" s="819" t="n">
        <f aca="false">K2277*L2277/60</f>
        <v>57.3415885765283</v>
      </c>
    </row>
    <row r="2278" customFormat="false" ht="30" hidden="false" customHeight="false" outlineLevel="0" collapsed="false">
      <c r="A2278" s="1403"/>
      <c r="B2278" s="118"/>
      <c r="C2278" s="1404" t="s">
        <v>7072</v>
      </c>
      <c r="D2278" s="569" t="n">
        <v>2013</v>
      </c>
      <c r="E2278" s="569" t="n">
        <f aca="false">2021-D2278</f>
        <v>8</v>
      </c>
      <c r="F2278" s="1105" t="n">
        <v>300000</v>
      </c>
      <c r="G2278" s="1444" t="n">
        <v>0.1</v>
      </c>
      <c r="H2278" s="1105" t="n">
        <f aca="false">E2278*F2278*G2278</f>
        <v>240000</v>
      </c>
      <c r="I2278" s="1105" t="n">
        <f aca="false">F2278-H2278</f>
        <v>60000</v>
      </c>
      <c r="J2278" s="1105" t="n">
        <f aca="false">F2278*G2278</f>
        <v>30000</v>
      </c>
      <c r="K2278" s="1365" t="n">
        <f aca="false">J2278/1792.8</f>
        <v>16.7336010709505</v>
      </c>
      <c r="L2278" s="1105" t="n">
        <v>20</v>
      </c>
      <c r="M2278" s="865" t="n">
        <f aca="false">K2278*L2278/60</f>
        <v>5.57786702365016</v>
      </c>
    </row>
    <row r="2279" customFormat="false" ht="30" hidden="false" customHeight="false" outlineLevel="0" collapsed="false">
      <c r="A2279" s="1403"/>
      <c r="B2279" s="118"/>
      <c r="C2279" s="1404" t="s">
        <v>7077</v>
      </c>
      <c r="D2279" s="569" t="n">
        <v>2012</v>
      </c>
      <c r="E2279" s="569" t="n">
        <f aca="false">2021-D2279</f>
        <v>9</v>
      </c>
      <c r="F2279" s="1105" t="n">
        <v>19245353.86</v>
      </c>
      <c r="G2279" s="1444" t="n">
        <v>0.1</v>
      </c>
      <c r="H2279" s="1105" t="n">
        <f aca="false">E2279*F2279*G2279</f>
        <v>17320818.474</v>
      </c>
      <c r="I2279" s="1105" t="n">
        <f aca="false">F2279-H2279</f>
        <v>1924535.386</v>
      </c>
      <c r="J2279" s="547" t="n">
        <f aca="false">F2279*G2279</f>
        <v>1924535.386</v>
      </c>
      <c r="K2279" s="1365" t="n">
        <f aca="false">J2279/1792.8</f>
        <v>1073.48024654172</v>
      </c>
      <c r="L2279" s="547" t="n">
        <v>130</v>
      </c>
      <c r="M2279" s="819" t="n">
        <f aca="false">K2279*L2279/60</f>
        <v>2325.87386750707</v>
      </c>
    </row>
    <row r="2280" customFormat="false" ht="15" hidden="false" customHeight="false" outlineLevel="0" collapsed="false">
      <c r="A2280" s="1403"/>
      <c r="B2280" s="1450" t="s">
        <v>4128</v>
      </c>
      <c r="C2280" s="1161"/>
      <c r="D2280" s="912"/>
      <c r="E2280" s="912"/>
      <c r="F2280" s="547"/>
      <c r="G2280" s="1413"/>
      <c r="H2280" s="547"/>
      <c r="I2280" s="547"/>
      <c r="J2280" s="547"/>
      <c r="K2280" s="1365" t="n">
        <f aca="false">J2280/1792.8</f>
        <v>0</v>
      </c>
      <c r="L2280" s="714" t="n">
        <f aca="false">SUM(L2272:L2279)</f>
        <v>260</v>
      </c>
      <c r="M2280" s="934" t="n">
        <f aca="false">SUM(M2272:M2279)</f>
        <v>2418.05790922951</v>
      </c>
    </row>
    <row r="2281" customFormat="false" ht="15" hidden="false" customHeight="false" outlineLevel="0" collapsed="false">
      <c r="A2281" s="15" t="s">
        <v>5308</v>
      </c>
      <c r="B2281" s="54" t="s">
        <v>3337</v>
      </c>
      <c r="C2281" s="1387"/>
      <c r="D2281" s="339"/>
      <c r="E2281" s="541"/>
      <c r="F2281" s="751"/>
      <c r="G2281" s="751"/>
      <c r="H2281" s="751"/>
      <c r="I2281" s="751"/>
      <c r="J2281" s="751"/>
      <c r="K2281" s="1390"/>
      <c r="L2281" s="751"/>
      <c r="M2281" s="818"/>
    </row>
    <row r="2282" customFormat="false" ht="30" hidden="false" customHeight="false" outlineLevel="0" collapsed="false">
      <c r="A2282" s="216" t="s">
        <v>5309</v>
      </c>
      <c r="B2282" s="40" t="s">
        <v>3307</v>
      </c>
      <c r="C2282" s="1404" t="s">
        <v>7070</v>
      </c>
      <c r="D2282" s="569" t="n">
        <v>2009</v>
      </c>
      <c r="E2282" s="569" t="n">
        <f aca="false">2021-D2282</f>
        <v>12</v>
      </c>
      <c r="F2282" s="1105" t="n">
        <v>181000</v>
      </c>
      <c r="G2282" s="1444" t="n">
        <v>0.1</v>
      </c>
      <c r="H2282" s="1105" t="n">
        <f aca="false">E2282*F2282*G2282</f>
        <v>217200</v>
      </c>
      <c r="I2282" s="1105" t="n">
        <f aca="false">F2282-H2282</f>
        <v>-36200</v>
      </c>
      <c r="J2282" s="1105" t="n">
        <f aca="false">F2282*G2282</f>
        <v>18100</v>
      </c>
      <c r="K2282" s="1365" t="n">
        <f aca="false">J2282/1792.8</f>
        <v>10.0959393128068</v>
      </c>
      <c r="L2282" s="547" t="n">
        <v>10</v>
      </c>
      <c r="M2282" s="819" t="n">
        <f aca="false">K2282*L2282/60</f>
        <v>1.68265655213446</v>
      </c>
    </row>
    <row r="2283" customFormat="false" ht="30" hidden="false" customHeight="false" outlineLevel="0" collapsed="false">
      <c r="A2283" s="216"/>
      <c r="B2283" s="40"/>
      <c r="C2283" s="1404" t="s">
        <v>6963</v>
      </c>
      <c r="D2283" s="1405" t="n">
        <v>2007</v>
      </c>
      <c r="E2283" s="1405" t="n">
        <f aca="false">2021-D2283</f>
        <v>14</v>
      </c>
      <c r="F2283" s="1406" t="n">
        <v>176358</v>
      </c>
      <c r="G2283" s="1407" t="n">
        <v>0.1</v>
      </c>
      <c r="H2283" s="1410" t="n">
        <f aca="false">E2283*F2283*G2283</f>
        <v>246901.2</v>
      </c>
      <c r="I2283" s="1410" t="n">
        <f aca="false">F2283-H2283</f>
        <v>-70543.2</v>
      </c>
      <c r="J2283" s="1410" t="n">
        <f aca="false">F2283*G2283</f>
        <v>17635.8</v>
      </c>
      <c r="K2283" s="1365" t="n">
        <f aca="false">J2283/1792.8</f>
        <v>9.83701472556894</v>
      </c>
      <c r="L2283" s="1445" t="n">
        <v>10</v>
      </c>
      <c r="M2283" s="1408" t="n">
        <f aca="false">K2283*L2283/60</f>
        <v>1.63950245426149</v>
      </c>
    </row>
    <row r="2284" customFormat="false" ht="30" hidden="false" customHeight="false" outlineLevel="0" collapsed="false">
      <c r="A2284" s="216"/>
      <c r="B2284" s="40"/>
      <c r="C2284" s="1404" t="s">
        <v>6959</v>
      </c>
      <c r="D2284" s="1405" t="n">
        <v>2007</v>
      </c>
      <c r="E2284" s="1405" t="n">
        <f aca="false">2021-D2284</f>
        <v>14</v>
      </c>
      <c r="F2284" s="1406" t="n">
        <v>350000</v>
      </c>
      <c r="G2284" s="1407" t="n">
        <v>0.1</v>
      </c>
      <c r="H2284" s="1410" t="n">
        <f aca="false">E2284*F2284*G2284</f>
        <v>490000</v>
      </c>
      <c r="I2284" s="1410" t="n">
        <f aca="false">F2284-H2284</f>
        <v>-140000</v>
      </c>
      <c r="J2284" s="1410" t="n">
        <f aca="false">F2284*G2284</f>
        <v>35000</v>
      </c>
      <c r="K2284" s="1365" t="n">
        <f aca="false">J2284/1792.8</f>
        <v>19.5225345827755</v>
      </c>
      <c r="L2284" s="1445" t="n">
        <v>10</v>
      </c>
      <c r="M2284" s="1408" t="n">
        <f aca="false">K2284*L2284/60</f>
        <v>3.25375576379592</v>
      </c>
    </row>
    <row r="2285" customFormat="false" ht="30" hidden="false" customHeight="false" outlineLevel="0" collapsed="false">
      <c r="A2285" s="216"/>
      <c r="B2285" s="40"/>
      <c r="C2285" s="1161" t="s">
        <v>7071</v>
      </c>
      <c r="D2285" s="912" t="n">
        <v>2006</v>
      </c>
      <c r="E2285" s="912" t="n">
        <f aca="false">2021-D2285</f>
        <v>15</v>
      </c>
      <c r="F2285" s="547" t="n">
        <v>138575</v>
      </c>
      <c r="G2285" s="1413" t="n">
        <v>0.1</v>
      </c>
      <c r="H2285" s="547" t="n">
        <f aca="false">E2285*F2285*G2285</f>
        <v>207862.5</v>
      </c>
      <c r="I2285" s="547" t="n">
        <f aca="false">F2285-H2285</f>
        <v>-69287.5</v>
      </c>
      <c r="J2285" s="547" t="n">
        <f aca="false">F2285*G2285</f>
        <v>13857.5</v>
      </c>
      <c r="K2285" s="1365" t="n">
        <f aca="false">J2285/1792.8</f>
        <v>7.7295292280232</v>
      </c>
      <c r="L2285" s="547" t="n">
        <v>10</v>
      </c>
      <c r="M2285" s="819" t="n">
        <f aca="false">K2285*L2285/60</f>
        <v>1.2882548713372</v>
      </c>
    </row>
    <row r="2286" customFormat="false" ht="24.75" hidden="false" customHeight="true" outlineLevel="0" collapsed="false">
      <c r="A2286" s="216"/>
      <c r="B2286" s="40"/>
      <c r="C2286" s="1404" t="s">
        <v>7072</v>
      </c>
      <c r="D2286" s="569" t="n">
        <v>2013</v>
      </c>
      <c r="E2286" s="569" t="n">
        <f aca="false">2021-D2286</f>
        <v>8</v>
      </c>
      <c r="F2286" s="1105" t="n">
        <v>300000</v>
      </c>
      <c r="G2286" s="1444" t="n">
        <v>0.1</v>
      </c>
      <c r="H2286" s="1105" t="n">
        <f aca="false">E2286*F2286*G2286</f>
        <v>240000</v>
      </c>
      <c r="I2286" s="1105" t="n">
        <f aca="false">F2286-H2286</f>
        <v>60000</v>
      </c>
      <c r="J2286" s="1105" t="n">
        <f aca="false">F2286*G2286</f>
        <v>30000</v>
      </c>
      <c r="K2286" s="1365" t="n">
        <f aca="false">J2286/1792.8</f>
        <v>16.7336010709505</v>
      </c>
      <c r="L2286" s="1105" t="n">
        <v>30</v>
      </c>
      <c r="M2286" s="865" t="n">
        <f aca="false">K2286*L2286/60</f>
        <v>8.36680053547524</v>
      </c>
    </row>
    <row r="2287" s="122" customFormat="true" ht="30" hidden="false" customHeight="false" outlineLevel="0" collapsed="false">
      <c r="A2287" s="216"/>
      <c r="B2287" s="40"/>
      <c r="C2287" s="1409" t="s">
        <v>6967</v>
      </c>
      <c r="D2287" s="569" t="n">
        <v>2016</v>
      </c>
      <c r="E2287" s="569" t="n">
        <f aca="false">2021-D2287</f>
        <v>5</v>
      </c>
      <c r="F2287" s="1105" t="n">
        <v>2302000</v>
      </c>
      <c r="G2287" s="1444" t="n">
        <v>0.1</v>
      </c>
      <c r="H2287" s="1105" t="n">
        <f aca="false">E2287*F2287*G2287</f>
        <v>1151000</v>
      </c>
      <c r="I2287" s="547" t="n">
        <f aca="false">F2287-H2287</f>
        <v>1151000</v>
      </c>
      <c r="J2287" s="547" t="n">
        <f aca="false">F2287*G2287</f>
        <v>230200</v>
      </c>
      <c r="K2287" s="1365" t="n">
        <f aca="false">J2287/1792.8</f>
        <v>128.402498884427</v>
      </c>
      <c r="L2287" s="547" t="n">
        <v>10</v>
      </c>
      <c r="M2287" s="819" t="n">
        <f aca="false">K2287*L2287/60</f>
        <v>21.4004164807378</v>
      </c>
    </row>
    <row r="2288" s="122" customFormat="true" ht="15" hidden="false" customHeight="false" outlineLevel="0" collapsed="false">
      <c r="A2288" s="216"/>
      <c r="B2288" s="40"/>
      <c r="C2288" s="1404" t="s">
        <v>7075</v>
      </c>
      <c r="D2288" s="569" t="n">
        <v>2015</v>
      </c>
      <c r="E2288" s="569" t="n">
        <f aca="false">2021-D2288</f>
        <v>6</v>
      </c>
      <c r="F2288" s="1105" t="n">
        <v>1028020</v>
      </c>
      <c r="G2288" s="1444" t="n">
        <v>0.1</v>
      </c>
      <c r="H2288" s="1105" t="n">
        <f aca="false">E2288*F2288*G2288</f>
        <v>616812</v>
      </c>
      <c r="I2288" s="547" t="n">
        <f aca="false">F2288-H2288</f>
        <v>411208</v>
      </c>
      <c r="J2288" s="547" t="n">
        <f aca="false">F2288*G2288</f>
        <v>102802</v>
      </c>
      <c r="K2288" s="1365" t="n">
        <f aca="false">J2288/1792.8</f>
        <v>57.3415885765283</v>
      </c>
      <c r="L2288" s="547" t="n">
        <v>60</v>
      </c>
      <c r="M2288" s="819" t="n">
        <f aca="false">K2288*L2288/60</f>
        <v>57.3415885765283</v>
      </c>
    </row>
    <row r="2289" s="122" customFormat="true" ht="30" hidden="false" customHeight="false" outlineLevel="0" collapsed="false">
      <c r="A2289" s="216"/>
      <c r="B2289" s="40"/>
      <c r="C2289" s="1404" t="s">
        <v>7074</v>
      </c>
      <c r="D2289" s="569" t="n">
        <v>2003</v>
      </c>
      <c r="E2289" s="569" t="n">
        <f aca="false">2021-D2289</f>
        <v>18</v>
      </c>
      <c r="F2289" s="1105" t="n">
        <v>2471090</v>
      </c>
      <c r="G2289" s="1444" t="n">
        <v>0.1</v>
      </c>
      <c r="H2289" s="1105" t="n">
        <f aca="false">E2289*F2289*G2289</f>
        <v>4447962</v>
      </c>
      <c r="I2289" s="547" t="n">
        <f aca="false">F2289-H2289</f>
        <v>-1976872</v>
      </c>
      <c r="J2289" s="547" t="n">
        <f aca="false">F2289*G2289</f>
        <v>247109</v>
      </c>
      <c r="K2289" s="1365" t="n">
        <f aca="false">J2289/1792.8</f>
        <v>137.834114234717</v>
      </c>
      <c r="L2289" s="547" t="n">
        <v>120</v>
      </c>
      <c r="M2289" s="819" t="n">
        <f aca="false">K2289*L2289/60</f>
        <v>275.668228469433</v>
      </c>
    </row>
    <row r="2290" s="122" customFormat="true" ht="15" hidden="false" customHeight="false" outlineLevel="0" collapsed="false">
      <c r="A2290" s="216"/>
      <c r="B2290" s="1053" t="s">
        <v>4128</v>
      </c>
      <c r="C2290" s="1161"/>
      <c r="D2290" s="912"/>
      <c r="E2290" s="912"/>
      <c r="F2290" s="547"/>
      <c r="G2290" s="1413"/>
      <c r="H2290" s="547"/>
      <c r="I2290" s="547"/>
      <c r="J2290" s="547"/>
      <c r="K2290" s="1365" t="n">
        <f aca="false">J2290/1792.8</f>
        <v>0</v>
      </c>
      <c r="L2290" s="714" t="n">
        <f aca="false">SUM(L2282:L2289)</f>
        <v>260</v>
      </c>
      <c r="M2290" s="934" t="n">
        <f aca="false">SUM(M2282:M2289)</f>
        <v>370.641203703704</v>
      </c>
    </row>
    <row r="2291" s="122" customFormat="true" ht="15" hidden="false" customHeight="false" outlineLevel="0" collapsed="false">
      <c r="A2291" s="15" t="s">
        <v>5310</v>
      </c>
      <c r="B2291" s="54" t="s">
        <v>3338</v>
      </c>
      <c r="C2291" s="1387"/>
      <c r="D2291" s="339"/>
      <c r="E2291" s="541"/>
      <c r="F2291" s="751"/>
      <c r="G2291" s="1412"/>
      <c r="H2291" s="1412"/>
      <c r="I2291" s="751"/>
      <c r="J2291" s="751"/>
      <c r="K2291" s="1390"/>
      <c r="L2291" s="751"/>
      <c r="M2291" s="818"/>
    </row>
    <row r="2292" s="122" customFormat="true" ht="30" hidden="false" customHeight="false" outlineLevel="0" collapsed="false">
      <c r="A2292" s="216" t="s">
        <v>1138</v>
      </c>
      <c r="B2292" s="40" t="s">
        <v>3307</v>
      </c>
      <c r="C2292" s="1404" t="s">
        <v>7070</v>
      </c>
      <c r="D2292" s="569" t="n">
        <v>2009</v>
      </c>
      <c r="E2292" s="569" t="n">
        <f aca="false">2021-D2292</f>
        <v>12</v>
      </c>
      <c r="F2292" s="1105" t="n">
        <v>181000</v>
      </c>
      <c r="G2292" s="1444" t="n">
        <v>0.1</v>
      </c>
      <c r="H2292" s="1105" t="n">
        <f aca="false">E2292*F2292*G2292</f>
        <v>217200</v>
      </c>
      <c r="I2292" s="1105" t="n">
        <f aca="false">F2292-H2292</f>
        <v>-36200</v>
      </c>
      <c r="J2292" s="1105" t="n">
        <f aca="false">F2292*G2292</f>
        <v>18100</v>
      </c>
      <c r="K2292" s="1365" t="n">
        <f aca="false">J2292/1792.8</f>
        <v>10.0959393128068</v>
      </c>
      <c r="L2292" s="547" t="n">
        <v>20</v>
      </c>
      <c r="M2292" s="819" t="n">
        <f aca="false">K2292*L2292/60</f>
        <v>3.36531310426893</v>
      </c>
    </row>
    <row r="2293" s="122" customFormat="true" ht="30" hidden="false" customHeight="false" outlineLevel="0" collapsed="false">
      <c r="A2293" s="216"/>
      <c r="B2293" s="40"/>
      <c r="C2293" s="1404" t="s">
        <v>6963</v>
      </c>
      <c r="D2293" s="1405" t="n">
        <v>2007</v>
      </c>
      <c r="E2293" s="1405" t="n">
        <f aca="false">2021-D2293</f>
        <v>14</v>
      </c>
      <c r="F2293" s="1406" t="n">
        <v>176358</v>
      </c>
      <c r="G2293" s="1407" t="n">
        <v>0.1</v>
      </c>
      <c r="H2293" s="1410" t="n">
        <f aca="false">E2293*F2293*G2293</f>
        <v>246901.2</v>
      </c>
      <c r="I2293" s="1410" t="n">
        <f aca="false">F2293-H2293</f>
        <v>-70543.2</v>
      </c>
      <c r="J2293" s="1410" t="n">
        <f aca="false">F2293*G2293</f>
        <v>17635.8</v>
      </c>
      <c r="K2293" s="1365" t="n">
        <f aca="false">J2293/1792.8</f>
        <v>9.83701472556894</v>
      </c>
      <c r="L2293" s="1410" t="n">
        <v>10</v>
      </c>
      <c r="M2293" s="1408" t="n">
        <f aca="false">K2293*L2293/60</f>
        <v>1.63950245426149</v>
      </c>
    </row>
    <row r="2294" s="122" customFormat="true" ht="30" hidden="false" customHeight="false" outlineLevel="0" collapsed="false">
      <c r="A2294" s="216"/>
      <c r="B2294" s="40"/>
      <c r="C2294" s="1404" t="s">
        <v>6959</v>
      </c>
      <c r="D2294" s="1405" t="n">
        <v>2007</v>
      </c>
      <c r="E2294" s="1405" t="n">
        <f aca="false">2021-D2294</f>
        <v>14</v>
      </c>
      <c r="F2294" s="1406" t="n">
        <v>350000</v>
      </c>
      <c r="G2294" s="1407" t="n">
        <v>0.1</v>
      </c>
      <c r="H2294" s="1410" t="n">
        <f aca="false">E2294*F2294*G2294</f>
        <v>490000</v>
      </c>
      <c r="I2294" s="1410" t="n">
        <f aca="false">F2294-H2294</f>
        <v>-140000</v>
      </c>
      <c r="J2294" s="1410" t="n">
        <f aca="false">F2294*G2294</f>
        <v>35000</v>
      </c>
      <c r="K2294" s="1365" t="n">
        <f aca="false">J2294/1792.8</f>
        <v>19.5225345827755</v>
      </c>
      <c r="L2294" s="1410" t="n">
        <v>10</v>
      </c>
      <c r="M2294" s="1408" t="n">
        <f aca="false">K2294*L2294/60</f>
        <v>3.25375576379592</v>
      </c>
    </row>
    <row r="2295" s="122" customFormat="true" ht="30" hidden="false" customHeight="false" outlineLevel="0" collapsed="false">
      <c r="A2295" s="216"/>
      <c r="B2295" s="40"/>
      <c r="C2295" s="1161" t="s">
        <v>7071</v>
      </c>
      <c r="D2295" s="912" t="n">
        <v>2006</v>
      </c>
      <c r="E2295" s="912" t="n">
        <f aca="false">2021-D2295</f>
        <v>15</v>
      </c>
      <c r="F2295" s="547" t="n">
        <v>138575</v>
      </c>
      <c r="G2295" s="1413" t="n">
        <v>0.1</v>
      </c>
      <c r="H2295" s="547" t="n">
        <f aca="false">E2295*F2295*G2295</f>
        <v>207862.5</v>
      </c>
      <c r="I2295" s="547" t="n">
        <f aca="false">F2295-H2295</f>
        <v>-69287.5</v>
      </c>
      <c r="J2295" s="547" t="n">
        <f aca="false">F2295*G2295</f>
        <v>13857.5</v>
      </c>
      <c r="K2295" s="1365" t="n">
        <f aca="false">J2295/1792.8</f>
        <v>7.7295292280232</v>
      </c>
      <c r="L2295" s="547" t="n">
        <v>20</v>
      </c>
      <c r="M2295" s="819" t="n">
        <f aca="false">K2295*L2295/60</f>
        <v>2.5765097426744</v>
      </c>
    </row>
    <row r="2296" s="122" customFormat="true" ht="30" hidden="false" customHeight="false" outlineLevel="0" collapsed="false">
      <c r="A2296" s="216"/>
      <c r="B2296" s="40"/>
      <c r="C2296" s="1404" t="s">
        <v>7072</v>
      </c>
      <c r="D2296" s="569" t="n">
        <v>2013</v>
      </c>
      <c r="E2296" s="569" t="n">
        <f aca="false">2021-D2296</f>
        <v>8</v>
      </c>
      <c r="F2296" s="1105" t="n">
        <v>300000</v>
      </c>
      <c r="G2296" s="1444" t="n">
        <v>0.1</v>
      </c>
      <c r="H2296" s="1105" t="n">
        <f aca="false">E2296*F2296*G2296</f>
        <v>240000</v>
      </c>
      <c r="I2296" s="1105" t="n">
        <f aca="false">F2296-H2296</f>
        <v>60000</v>
      </c>
      <c r="J2296" s="1105" t="n">
        <f aca="false">F2296*G2296</f>
        <v>30000</v>
      </c>
      <c r="K2296" s="1365" t="n">
        <f aca="false">J2296/1792.8</f>
        <v>16.7336010709505</v>
      </c>
      <c r="L2296" s="1105" t="n">
        <v>20</v>
      </c>
      <c r="M2296" s="865" t="n">
        <f aca="false">K2296*L2296/60</f>
        <v>5.57786702365016</v>
      </c>
    </row>
    <row r="2297" s="122" customFormat="true" ht="30" hidden="false" customHeight="false" outlineLevel="0" collapsed="false">
      <c r="A2297" s="216"/>
      <c r="B2297" s="40"/>
      <c r="C2297" s="1409" t="s">
        <v>6967</v>
      </c>
      <c r="D2297" s="569" t="n">
        <v>2016</v>
      </c>
      <c r="E2297" s="569" t="n">
        <f aca="false">2021-D2297</f>
        <v>5</v>
      </c>
      <c r="F2297" s="1105" t="n">
        <v>2302000</v>
      </c>
      <c r="G2297" s="1444" t="n">
        <v>0.1</v>
      </c>
      <c r="H2297" s="1105" t="n">
        <f aca="false">E2297*F2297*G2297</f>
        <v>1151000</v>
      </c>
      <c r="I2297" s="547" t="n">
        <f aca="false">F2297-H2297</f>
        <v>1151000</v>
      </c>
      <c r="J2297" s="547" t="n">
        <f aca="false">F2297*G2297</f>
        <v>230200</v>
      </c>
      <c r="K2297" s="1365" t="n">
        <f aca="false">J2297/1792.8</f>
        <v>128.402498884427</v>
      </c>
      <c r="L2297" s="547" t="n">
        <v>10</v>
      </c>
      <c r="M2297" s="819" t="n">
        <f aca="false">K2297*L2297/60</f>
        <v>21.4004164807378</v>
      </c>
    </row>
    <row r="2298" s="122" customFormat="true" ht="15" hidden="false" customHeight="false" outlineLevel="0" collapsed="false">
      <c r="A2298" s="216"/>
      <c r="B2298" s="40"/>
      <c r="C2298" s="1404" t="s">
        <v>7075</v>
      </c>
      <c r="D2298" s="569" t="n">
        <v>2015</v>
      </c>
      <c r="E2298" s="569" t="n">
        <f aca="false">2021-D2298</f>
        <v>6</v>
      </c>
      <c r="F2298" s="1105" t="n">
        <v>1028020</v>
      </c>
      <c r="G2298" s="1444" t="n">
        <v>0.1</v>
      </c>
      <c r="H2298" s="1105" t="n">
        <f aca="false">E2298*F2298*G2298</f>
        <v>616812</v>
      </c>
      <c r="I2298" s="547" t="n">
        <f aca="false">F2298-H2298</f>
        <v>411208</v>
      </c>
      <c r="J2298" s="547" t="n">
        <f aca="false">F2298*G2298</f>
        <v>102802</v>
      </c>
      <c r="K2298" s="1365" t="n">
        <f aca="false">J2298/1792.8</f>
        <v>57.3415885765283</v>
      </c>
      <c r="L2298" s="547" t="n">
        <v>60</v>
      </c>
      <c r="M2298" s="819" t="n">
        <f aca="false">K2298*L2298/60</f>
        <v>57.3415885765283</v>
      </c>
    </row>
    <row r="2299" s="122" customFormat="true" ht="30" hidden="false" customHeight="false" outlineLevel="0" collapsed="false">
      <c r="A2299" s="216"/>
      <c r="B2299" s="40"/>
      <c r="C2299" s="1161" t="s">
        <v>7074</v>
      </c>
      <c r="D2299" s="912" t="n">
        <v>2003</v>
      </c>
      <c r="E2299" s="912" t="n">
        <f aca="false">2021-D2299</f>
        <v>18</v>
      </c>
      <c r="F2299" s="547" t="n">
        <v>2471090</v>
      </c>
      <c r="G2299" s="1413" t="n">
        <v>0.1</v>
      </c>
      <c r="H2299" s="547" t="n">
        <f aca="false">E2299*F2299*G2299</f>
        <v>4447962</v>
      </c>
      <c r="I2299" s="547" t="n">
        <f aca="false">F2299-H2299</f>
        <v>-1976872</v>
      </c>
      <c r="J2299" s="547" t="n">
        <f aca="false">F2299*G2299</f>
        <v>247109</v>
      </c>
      <c r="K2299" s="1365" t="n">
        <f aca="false">J2299/1792.8</f>
        <v>137.834114234717</v>
      </c>
      <c r="L2299" s="547" t="n">
        <v>130</v>
      </c>
      <c r="M2299" s="819" t="n">
        <f aca="false">K2299*L2299/60</f>
        <v>298.640580841886</v>
      </c>
    </row>
    <row r="2300" s="122" customFormat="true" ht="15" hidden="false" customHeight="false" outlineLevel="0" collapsed="false">
      <c r="A2300" s="216"/>
      <c r="B2300" s="1053" t="s">
        <v>4128</v>
      </c>
      <c r="C2300" s="1161"/>
      <c r="D2300" s="912"/>
      <c r="E2300" s="912"/>
      <c r="F2300" s="547"/>
      <c r="G2300" s="1413"/>
      <c r="H2300" s="547"/>
      <c r="I2300" s="547"/>
      <c r="J2300" s="547"/>
      <c r="K2300" s="1365" t="n">
        <f aca="false">J2300/1792.8</f>
        <v>0</v>
      </c>
      <c r="L2300" s="714" t="n">
        <f aca="false">SUM(L2292:L2299)</f>
        <v>280</v>
      </c>
      <c r="M2300" s="934" t="n">
        <f aca="false">SUM(M2292:M2299)</f>
        <v>393.795533987803</v>
      </c>
    </row>
    <row r="2301" s="122" customFormat="true" ht="30" hidden="false" customHeight="false" outlineLevel="0" collapsed="false">
      <c r="A2301" s="216" t="s">
        <v>1139</v>
      </c>
      <c r="B2301" s="335" t="s">
        <v>3313</v>
      </c>
      <c r="C2301" s="1161" t="s">
        <v>7071</v>
      </c>
      <c r="D2301" s="912" t="n">
        <v>2006</v>
      </c>
      <c r="E2301" s="912" t="n">
        <f aca="false">2021-D2301</f>
        <v>15</v>
      </c>
      <c r="F2301" s="547" t="n">
        <v>138575</v>
      </c>
      <c r="G2301" s="1413" t="n">
        <v>0.1</v>
      </c>
      <c r="H2301" s="547" t="n">
        <f aca="false">E2301*F2301*G2301</f>
        <v>207862.5</v>
      </c>
      <c r="I2301" s="547" t="n">
        <f aca="false">F2301-H2301</f>
        <v>-69287.5</v>
      </c>
      <c r="J2301" s="547" t="n">
        <f aca="false">F2301*G2301</f>
        <v>13857.5</v>
      </c>
      <c r="K2301" s="1365" t="n">
        <f aca="false">J2301/1792.8</f>
        <v>7.7295292280232</v>
      </c>
      <c r="L2301" s="547" t="n">
        <v>20</v>
      </c>
      <c r="M2301" s="819" t="n">
        <f aca="false">K2301*L2301/60</f>
        <v>2.5765097426744</v>
      </c>
    </row>
    <row r="2302" s="122" customFormat="true" ht="30" hidden="false" customHeight="false" outlineLevel="0" collapsed="false">
      <c r="A2302" s="216"/>
      <c r="B2302" s="40"/>
      <c r="C2302" s="1404" t="s">
        <v>6963</v>
      </c>
      <c r="D2302" s="1405" t="n">
        <v>2007</v>
      </c>
      <c r="E2302" s="1405" t="n">
        <f aca="false">2021-D2302</f>
        <v>14</v>
      </c>
      <c r="F2302" s="1406" t="n">
        <v>176358</v>
      </c>
      <c r="G2302" s="1407" t="n">
        <v>0.1</v>
      </c>
      <c r="H2302" s="1410" t="n">
        <f aca="false">E2302*F2302*G2302</f>
        <v>246901.2</v>
      </c>
      <c r="I2302" s="1410" t="n">
        <f aca="false">F2302-H2302</f>
        <v>-70543.2</v>
      </c>
      <c r="J2302" s="1410" t="n">
        <f aca="false">F2302*G2302</f>
        <v>17635.8</v>
      </c>
      <c r="K2302" s="1365" t="n">
        <f aca="false">J2302/1792.8</f>
        <v>9.83701472556894</v>
      </c>
      <c r="L2302" s="1445" t="n">
        <v>10</v>
      </c>
      <c r="M2302" s="1408" t="n">
        <f aca="false">K2302*L2302/60</f>
        <v>1.63950245426149</v>
      </c>
    </row>
    <row r="2303" s="122" customFormat="true" ht="30" hidden="false" customHeight="false" outlineLevel="0" collapsed="false">
      <c r="A2303" s="216"/>
      <c r="B2303" s="40"/>
      <c r="C2303" s="1404" t="s">
        <v>6959</v>
      </c>
      <c r="D2303" s="1405" t="n">
        <v>2007</v>
      </c>
      <c r="E2303" s="1405" t="n">
        <f aca="false">2021-D2303</f>
        <v>14</v>
      </c>
      <c r="F2303" s="1406" t="n">
        <v>350000</v>
      </c>
      <c r="G2303" s="1407" t="n">
        <v>0.1</v>
      </c>
      <c r="H2303" s="1410" t="n">
        <f aca="false">E2303*F2303*G2303</f>
        <v>490000</v>
      </c>
      <c r="I2303" s="1410" t="n">
        <f aca="false">F2303-H2303</f>
        <v>-140000</v>
      </c>
      <c r="J2303" s="1410" t="n">
        <f aca="false">F2303*G2303</f>
        <v>35000</v>
      </c>
      <c r="K2303" s="1365" t="n">
        <f aca="false">J2303/1792.8</f>
        <v>19.5225345827755</v>
      </c>
      <c r="L2303" s="1445" t="n">
        <v>10</v>
      </c>
      <c r="M2303" s="1408" t="n">
        <f aca="false">K2303*L2303/60</f>
        <v>3.25375576379592</v>
      </c>
    </row>
    <row r="2304" s="122" customFormat="true" ht="30" hidden="false" customHeight="false" outlineLevel="0" collapsed="false">
      <c r="A2304" s="216"/>
      <c r="B2304" s="40"/>
      <c r="C2304" s="1404" t="s">
        <v>7070</v>
      </c>
      <c r="D2304" s="569" t="n">
        <v>2009</v>
      </c>
      <c r="E2304" s="569" t="n">
        <f aca="false">2021-D2304</f>
        <v>12</v>
      </c>
      <c r="F2304" s="1105" t="n">
        <v>181000</v>
      </c>
      <c r="G2304" s="1444" t="n">
        <v>0.1</v>
      </c>
      <c r="H2304" s="1105" t="n">
        <f aca="false">E2304*F2304*G2304</f>
        <v>217200</v>
      </c>
      <c r="I2304" s="1105" t="n">
        <f aca="false">F2304-H2304</f>
        <v>-36200</v>
      </c>
      <c r="J2304" s="1105" t="n">
        <f aca="false">F2304*G2304</f>
        <v>18100</v>
      </c>
      <c r="K2304" s="1365" t="n">
        <f aca="false">J2304/1792.8</f>
        <v>10.0959393128068</v>
      </c>
      <c r="L2304" s="1105" t="n">
        <v>10</v>
      </c>
      <c r="M2304" s="819" t="n">
        <f aca="false">K2304*L2304/60</f>
        <v>1.68265655213446</v>
      </c>
    </row>
    <row r="2305" s="122" customFormat="true" ht="30" hidden="false" customHeight="false" outlineLevel="0" collapsed="false">
      <c r="A2305" s="216"/>
      <c r="B2305" s="40"/>
      <c r="C2305" s="1409" t="s">
        <v>6967</v>
      </c>
      <c r="D2305" s="569" t="n">
        <v>2016</v>
      </c>
      <c r="E2305" s="569" t="n">
        <f aca="false">2021-D2305</f>
        <v>5</v>
      </c>
      <c r="F2305" s="1105" t="n">
        <v>2302000</v>
      </c>
      <c r="G2305" s="1444" t="n">
        <v>0.1</v>
      </c>
      <c r="H2305" s="1105" t="n">
        <f aca="false">E2305*F2305*G2305</f>
        <v>1151000</v>
      </c>
      <c r="I2305" s="1105" t="n">
        <f aca="false">F2305-H2305</f>
        <v>1151000</v>
      </c>
      <c r="J2305" s="1105" t="n">
        <f aca="false">F2305*G2305</f>
        <v>230200</v>
      </c>
      <c r="K2305" s="1365" t="n">
        <f aca="false">J2305/1792.8</f>
        <v>128.402498884427</v>
      </c>
      <c r="L2305" s="1105" t="n">
        <v>10</v>
      </c>
      <c r="M2305" s="819" t="n">
        <f aca="false">K2305*L2305/60</f>
        <v>21.4004164807378</v>
      </c>
    </row>
    <row r="2306" s="122" customFormat="true" ht="15" hidden="false" customHeight="false" outlineLevel="0" collapsed="false">
      <c r="A2306" s="216"/>
      <c r="B2306" s="40"/>
      <c r="C2306" s="1404" t="s">
        <v>7075</v>
      </c>
      <c r="D2306" s="569" t="n">
        <v>2015</v>
      </c>
      <c r="E2306" s="569" t="n">
        <f aca="false">2021-D2306</f>
        <v>6</v>
      </c>
      <c r="F2306" s="1105" t="n">
        <v>1028020</v>
      </c>
      <c r="G2306" s="1444" t="n">
        <v>0.1</v>
      </c>
      <c r="H2306" s="1105" t="n">
        <f aca="false">E2306*F2306*G2306</f>
        <v>616812</v>
      </c>
      <c r="I2306" s="1105" t="n">
        <f aca="false">F2306-H2306</f>
        <v>411208</v>
      </c>
      <c r="J2306" s="1105" t="n">
        <f aca="false">F2306*G2306</f>
        <v>102802</v>
      </c>
      <c r="K2306" s="1365" t="n">
        <f aca="false">J2306/1792.8</f>
        <v>57.3415885765283</v>
      </c>
      <c r="L2306" s="1105" t="n">
        <v>60</v>
      </c>
      <c r="M2306" s="819" t="n">
        <f aca="false">K2306*L2306/60</f>
        <v>57.3415885765283</v>
      </c>
    </row>
    <row r="2307" s="122" customFormat="true" ht="30" hidden="false" customHeight="false" outlineLevel="0" collapsed="false">
      <c r="A2307" s="216"/>
      <c r="B2307" s="40"/>
      <c r="C2307" s="1404" t="s">
        <v>7072</v>
      </c>
      <c r="D2307" s="569" t="n">
        <v>2013</v>
      </c>
      <c r="E2307" s="569" t="n">
        <f aca="false">2021-D2307</f>
        <v>8</v>
      </c>
      <c r="F2307" s="1105" t="n">
        <v>300000</v>
      </c>
      <c r="G2307" s="1444" t="n">
        <v>0.1</v>
      </c>
      <c r="H2307" s="1105" t="n">
        <f aca="false">E2307*F2307*G2307</f>
        <v>240000</v>
      </c>
      <c r="I2307" s="1105" t="n">
        <f aca="false">F2307-H2307</f>
        <v>60000</v>
      </c>
      <c r="J2307" s="1105" t="n">
        <f aca="false">F2307*G2307</f>
        <v>30000</v>
      </c>
      <c r="K2307" s="1365" t="n">
        <f aca="false">J2307/1792.8</f>
        <v>16.7336010709505</v>
      </c>
      <c r="L2307" s="1105" t="n">
        <v>20</v>
      </c>
      <c r="M2307" s="865" t="n">
        <f aca="false">K2307*L2307/60</f>
        <v>5.57786702365016</v>
      </c>
    </row>
    <row r="2308" s="122" customFormat="true" ht="30" hidden="false" customHeight="false" outlineLevel="0" collapsed="false">
      <c r="A2308" s="216"/>
      <c r="B2308" s="40"/>
      <c r="C2308" s="1161" t="s">
        <v>7078</v>
      </c>
      <c r="D2308" s="569" t="n">
        <v>2012</v>
      </c>
      <c r="E2308" s="569" t="n">
        <f aca="false">2021-D2308</f>
        <v>9</v>
      </c>
      <c r="F2308" s="1105" t="n">
        <v>12268394.74</v>
      </c>
      <c r="G2308" s="1444" t="n">
        <v>0.1</v>
      </c>
      <c r="H2308" s="1105" t="n">
        <f aca="false">E2308*F2308*G2308</f>
        <v>11041555.266</v>
      </c>
      <c r="I2308" s="547" t="n">
        <f aca="false">F2308-H2308</f>
        <v>1226839.474</v>
      </c>
      <c r="J2308" s="547" t="n">
        <f aca="false">F2308*G2308</f>
        <v>1226839.474</v>
      </c>
      <c r="K2308" s="1365" t="n">
        <f aca="false">J2308/1792.8</f>
        <v>684.31474453369</v>
      </c>
      <c r="L2308" s="547" t="n">
        <v>120</v>
      </c>
      <c r="M2308" s="819" t="n">
        <f aca="false">K2308*L2308/60</f>
        <v>1368.62948906738</v>
      </c>
    </row>
    <row r="2309" s="122" customFormat="true" ht="15" hidden="false" customHeight="false" outlineLevel="0" collapsed="false">
      <c r="A2309" s="216"/>
      <c r="B2309" s="1053" t="s">
        <v>4128</v>
      </c>
      <c r="C2309" s="1161"/>
      <c r="D2309" s="912"/>
      <c r="E2309" s="912"/>
      <c r="F2309" s="547"/>
      <c r="G2309" s="1413"/>
      <c r="H2309" s="547"/>
      <c r="I2309" s="547"/>
      <c r="J2309" s="547"/>
      <c r="K2309" s="1365" t="n">
        <f aca="false">J2309/1792.8</f>
        <v>0</v>
      </c>
      <c r="L2309" s="714" t="n">
        <f aca="false">SUM(L2301:L2308)</f>
        <v>260</v>
      </c>
      <c r="M2309" s="934" t="n">
        <f aca="false">SUM(M2301:M2308)</f>
        <v>1462.10178566116</v>
      </c>
    </row>
    <row r="2310" s="122" customFormat="true" ht="30" hidden="false" customHeight="false" outlineLevel="0" collapsed="false">
      <c r="A2310" s="216" t="s">
        <v>1140</v>
      </c>
      <c r="B2310" s="40" t="s">
        <v>3309</v>
      </c>
      <c r="C2310" s="1161" t="s">
        <v>7071</v>
      </c>
      <c r="D2310" s="912" t="n">
        <v>2006</v>
      </c>
      <c r="E2310" s="912" t="n">
        <f aca="false">2021-D2310</f>
        <v>15</v>
      </c>
      <c r="F2310" s="547" t="n">
        <v>138575</v>
      </c>
      <c r="G2310" s="1413" t="n">
        <v>0.1</v>
      </c>
      <c r="H2310" s="547" t="n">
        <f aca="false">E2310*F2310*G2310</f>
        <v>207862.5</v>
      </c>
      <c r="I2310" s="547" t="n">
        <f aca="false">F2310-H2310</f>
        <v>-69287.5</v>
      </c>
      <c r="J2310" s="547" t="n">
        <f aca="false">F2310*G2310</f>
        <v>13857.5</v>
      </c>
      <c r="K2310" s="1365" t="n">
        <f aca="false">J2310/1792.8</f>
        <v>7.7295292280232</v>
      </c>
      <c r="L2310" s="547" t="n">
        <v>10</v>
      </c>
      <c r="M2310" s="819" t="n">
        <f aca="false">K2310*L2310/60</f>
        <v>1.2882548713372</v>
      </c>
    </row>
    <row r="2311" s="122" customFormat="true" ht="30" hidden="false" customHeight="false" outlineLevel="0" collapsed="false">
      <c r="A2311" s="216"/>
      <c r="B2311" s="40"/>
      <c r="C2311" s="1404" t="s">
        <v>6963</v>
      </c>
      <c r="D2311" s="1405" t="n">
        <v>2007</v>
      </c>
      <c r="E2311" s="1405" t="n">
        <f aca="false">2021-D2311</f>
        <v>14</v>
      </c>
      <c r="F2311" s="1406" t="n">
        <v>176358</v>
      </c>
      <c r="G2311" s="1407" t="n">
        <v>0.1</v>
      </c>
      <c r="H2311" s="1410" t="n">
        <f aca="false">E2311*F2311*G2311</f>
        <v>246901.2</v>
      </c>
      <c r="I2311" s="1410" t="n">
        <f aca="false">F2311-H2311</f>
        <v>-70543.2</v>
      </c>
      <c r="J2311" s="1410" t="n">
        <f aca="false">F2311*G2311</f>
        <v>17635.8</v>
      </c>
      <c r="K2311" s="1365" t="n">
        <f aca="false">J2311/1792.8</f>
        <v>9.83701472556894</v>
      </c>
      <c r="L2311" s="1445" t="n">
        <v>10</v>
      </c>
      <c r="M2311" s="1408" t="n">
        <f aca="false">K2311*L2311/60</f>
        <v>1.63950245426149</v>
      </c>
    </row>
    <row r="2312" s="122" customFormat="true" ht="30" hidden="false" customHeight="false" outlineLevel="0" collapsed="false">
      <c r="A2312" s="216"/>
      <c r="B2312" s="40"/>
      <c r="C2312" s="1404" t="s">
        <v>6959</v>
      </c>
      <c r="D2312" s="1405" t="n">
        <v>2007</v>
      </c>
      <c r="E2312" s="1405" t="n">
        <f aca="false">2021-D2312</f>
        <v>14</v>
      </c>
      <c r="F2312" s="1406" t="n">
        <v>350000</v>
      </c>
      <c r="G2312" s="1407" t="n">
        <v>0.1</v>
      </c>
      <c r="H2312" s="1410" t="n">
        <f aca="false">E2312*F2312*G2312</f>
        <v>490000</v>
      </c>
      <c r="I2312" s="1410" t="n">
        <f aca="false">F2312-H2312</f>
        <v>-140000</v>
      </c>
      <c r="J2312" s="1410" t="n">
        <f aca="false">F2312*G2312</f>
        <v>35000</v>
      </c>
      <c r="K2312" s="1365" t="n">
        <f aca="false">J2312/1792.8</f>
        <v>19.5225345827755</v>
      </c>
      <c r="L2312" s="1445" t="n">
        <v>10</v>
      </c>
      <c r="M2312" s="1408" t="n">
        <f aca="false">K2312*L2312/60</f>
        <v>3.25375576379592</v>
      </c>
    </row>
    <row r="2313" s="122" customFormat="true" ht="30" hidden="false" customHeight="false" outlineLevel="0" collapsed="false">
      <c r="A2313" s="216"/>
      <c r="B2313" s="40"/>
      <c r="C2313" s="1404" t="s">
        <v>7070</v>
      </c>
      <c r="D2313" s="569" t="n">
        <v>2009</v>
      </c>
      <c r="E2313" s="569" t="n">
        <f aca="false">2021-D2313</f>
        <v>12</v>
      </c>
      <c r="F2313" s="1105" t="n">
        <v>181000</v>
      </c>
      <c r="G2313" s="1444" t="n">
        <v>0.1</v>
      </c>
      <c r="H2313" s="1105" t="n">
        <f aca="false">E2313*F2313*G2313</f>
        <v>217200</v>
      </c>
      <c r="I2313" s="1105" t="n">
        <f aca="false">F2313-H2313</f>
        <v>-36200</v>
      </c>
      <c r="J2313" s="1105" t="n">
        <f aca="false">F2313*G2313</f>
        <v>18100</v>
      </c>
      <c r="K2313" s="1365" t="n">
        <f aca="false">J2313/1792.8</f>
        <v>10.0959393128068</v>
      </c>
      <c r="L2313" s="1105" t="n">
        <v>10</v>
      </c>
      <c r="M2313" s="819" t="n">
        <f aca="false">K2313*L2313/60</f>
        <v>1.68265655213446</v>
      </c>
    </row>
    <row r="2314" s="122" customFormat="true" ht="30" hidden="false" customHeight="false" outlineLevel="0" collapsed="false">
      <c r="A2314" s="216"/>
      <c r="B2314" s="40"/>
      <c r="C2314" s="1409" t="s">
        <v>6967</v>
      </c>
      <c r="D2314" s="569" t="n">
        <v>2016</v>
      </c>
      <c r="E2314" s="569" t="n">
        <f aca="false">2021-D2314</f>
        <v>5</v>
      </c>
      <c r="F2314" s="1105" t="n">
        <v>2302000</v>
      </c>
      <c r="G2314" s="1444" t="n">
        <v>0.1</v>
      </c>
      <c r="H2314" s="1105" t="n">
        <f aca="false">E2314*F2314*G2314</f>
        <v>1151000</v>
      </c>
      <c r="I2314" s="1105" t="n">
        <f aca="false">F2314-H2314</f>
        <v>1151000</v>
      </c>
      <c r="J2314" s="1105" t="n">
        <f aca="false">F2314*G2314</f>
        <v>230200</v>
      </c>
      <c r="K2314" s="1365" t="n">
        <f aca="false">J2314/1792.8</f>
        <v>128.402498884427</v>
      </c>
      <c r="L2314" s="1105" t="n">
        <v>10</v>
      </c>
      <c r="M2314" s="819" t="n">
        <f aca="false">K2314*L2314/60</f>
        <v>21.4004164807378</v>
      </c>
    </row>
    <row r="2315" s="122" customFormat="true" ht="15" hidden="false" customHeight="false" outlineLevel="0" collapsed="false">
      <c r="A2315" s="216"/>
      <c r="B2315" s="40"/>
      <c r="C2315" s="1404" t="s">
        <v>7075</v>
      </c>
      <c r="D2315" s="569" t="n">
        <v>2015</v>
      </c>
      <c r="E2315" s="569" t="n">
        <f aca="false">2021-D2315</f>
        <v>6</v>
      </c>
      <c r="F2315" s="1105" t="n">
        <v>1028020</v>
      </c>
      <c r="G2315" s="1444" t="n">
        <v>0.1</v>
      </c>
      <c r="H2315" s="1105" t="n">
        <f aca="false">E2315*F2315*G2315</f>
        <v>616812</v>
      </c>
      <c r="I2315" s="1105" t="n">
        <f aca="false">F2315-H2315</f>
        <v>411208</v>
      </c>
      <c r="J2315" s="1105" t="n">
        <f aca="false">F2315*G2315</f>
        <v>102802</v>
      </c>
      <c r="K2315" s="1365" t="n">
        <f aca="false">J2315/1792.8</f>
        <v>57.3415885765283</v>
      </c>
      <c r="L2315" s="1105" t="n">
        <v>60</v>
      </c>
      <c r="M2315" s="819" t="n">
        <f aca="false">K2315*L2315/60</f>
        <v>57.3415885765283</v>
      </c>
    </row>
    <row r="2316" customFormat="false" ht="27" hidden="false" customHeight="true" outlineLevel="0" collapsed="false">
      <c r="A2316" s="216"/>
      <c r="B2316" s="40"/>
      <c r="C2316" s="1404" t="s">
        <v>7072</v>
      </c>
      <c r="D2316" s="569" t="n">
        <v>2013</v>
      </c>
      <c r="E2316" s="569" t="n">
        <f aca="false">2021-D2316</f>
        <v>8</v>
      </c>
      <c r="F2316" s="1105" t="n">
        <v>300000</v>
      </c>
      <c r="G2316" s="1444" t="n">
        <v>0.1</v>
      </c>
      <c r="H2316" s="1105" t="n">
        <f aca="false">E2316*F2316*G2316</f>
        <v>240000</v>
      </c>
      <c r="I2316" s="1105" t="n">
        <f aca="false">F2316-H2316</f>
        <v>60000</v>
      </c>
      <c r="J2316" s="1105" t="n">
        <f aca="false">F2316*G2316</f>
        <v>30000</v>
      </c>
      <c r="K2316" s="1365" t="n">
        <f aca="false">J2316/1792.8</f>
        <v>16.7336010709505</v>
      </c>
      <c r="L2316" s="1105" t="n">
        <v>20</v>
      </c>
      <c r="M2316" s="865" t="n">
        <f aca="false">K2316*L2316/60</f>
        <v>5.57786702365016</v>
      </c>
    </row>
    <row r="2317" customFormat="false" ht="30" hidden="false" customHeight="false" outlineLevel="0" collapsed="false">
      <c r="A2317" s="216"/>
      <c r="B2317" s="40"/>
      <c r="C2317" s="1404" t="s">
        <v>7077</v>
      </c>
      <c r="D2317" s="569" t="n">
        <v>2012</v>
      </c>
      <c r="E2317" s="569" t="n">
        <f aca="false">2021-D2317</f>
        <v>9</v>
      </c>
      <c r="F2317" s="1105" t="n">
        <v>19245353.86</v>
      </c>
      <c r="G2317" s="1444" t="n">
        <v>0.1</v>
      </c>
      <c r="H2317" s="1105" t="n">
        <f aca="false">E2317*F2317*G2317</f>
        <v>17320818.474</v>
      </c>
      <c r="I2317" s="1105" t="n">
        <f aca="false">F2317-H2317</f>
        <v>1924535.386</v>
      </c>
      <c r="J2317" s="547" t="n">
        <f aca="false">F2317*G2317</f>
        <v>1924535.386</v>
      </c>
      <c r="K2317" s="1365" t="n">
        <f aca="false">J2317/1792.8</f>
        <v>1073.48024654172</v>
      </c>
      <c r="L2317" s="547" t="n">
        <v>130</v>
      </c>
      <c r="M2317" s="819" t="n">
        <f aca="false">K2317*L2317/60</f>
        <v>2325.87386750707</v>
      </c>
    </row>
    <row r="2318" customFormat="false" ht="15" hidden="false" customHeight="false" outlineLevel="0" collapsed="false">
      <c r="A2318" s="216"/>
      <c r="B2318" s="1053" t="s">
        <v>4128</v>
      </c>
      <c r="C2318" s="1161"/>
      <c r="D2318" s="912"/>
      <c r="E2318" s="912"/>
      <c r="F2318" s="547"/>
      <c r="G2318" s="1413"/>
      <c r="H2318" s="547"/>
      <c r="I2318" s="547"/>
      <c r="J2318" s="547"/>
      <c r="K2318" s="1365" t="n">
        <f aca="false">J2318/1792.8</f>
        <v>0</v>
      </c>
      <c r="L2318" s="714" t="n">
        <f aca="false">SUM(L2310:L2317)</f>
        <v>260</v>
      </c>
      <c r="M2318" s="934" t="n">
        <f aca="false">SUM(M2310:M2317)</f>
        <v>2418.05790922951</v>
      </c>
    </row>
    <row r="2319" customFormat="false" ht="15" hidden="false" customHeight="false" outlineLevel="0" collapsed="false">
      <c r="A2319" s="15" t="s">
        <v>5312</v>
      </c>
      <c r="B2319" s="54" t="s">
        <v>3339</v>
      </c>
      <c r="C2319" s="1387"/>
      <c r="D2319" s="339"/>
      <c r="E2319" s="541"/>
      <c r="F2319" s="751"/>
      <c r="G2319" s="1412"/>
      <c r="H2319" s="1412"/>
      <c r="I2319" s="751"/>
      <c r="J2319" s="751"/>
      <c r="K2319" s="1390"/>
      <c r="L2319" s="751"/>
      <c r="M2319" s="818"/>
    </row>
    <row r="2320" customFormat="false" ht="30" hidden="false" customHeight="false" outlineLevel="0" collapsed="false">
      <c r="A2320" s="216" t="s">
        <v>1143</v>
      </c>
      <c r="B2320" s="40" t="s">
        <v>3336</v>
      </c>
      <c r="C2320" s="1161" t="s">
        <v>7071</v>
      </c>
      <c r="D2320" s="912" t="n">
        <v>2006</v>
      </c>
      <c r="E2320" s="912" t="n">
        <f aca="false">2021-D2320</f>
        <v>15</v>
      </c>
      <c r="F2320" s="547" t="n">
        <v>138575</v>
      </c>
      <c r="G2320" s="1413" t="n">
        <v>0.1</v>
      </c>
      <c r="H2320" s="547" t="n">
        <f aca="false">E2320*F2320*G2320</f>
        <v>207862.5</v>
      </c>
      <c r="I2320" s="547" t="n">
        <f aca="false">F2320-H2320</f>
        <v>-69287.5</v>
      </c>
      <c r="J2320" s="547" t="n">
        <f aca="false">F2320*G2320</f>
        <v>13857.5</v>
      </c>
      <c r="K2320" s="1365" t="n">
        <f aca="false">J2320/1792.8</f>
        <v>7.7295292280232</v>
      </c>
      <c r="L2320" s="547" t="n">
        <v>10</v>
      </c>
      <c r="M2320" s="819" t="n">
        <f aca="false">K2320*L2320/60</f>
        <v>1.2882548713372</v>
      </c>
    </row>
    <row r="2321" customFormat="false" ht="30" hidden="false" customHeight="false" outlineLevel="0" collapsed="false">
      <c r="A2321" s="216"/>
      <c r="B2321" s="40"/>
      <c r="C2321" s="1404" t="s">
        <v>6963</v>
      </c>
      <c r="D2321" s="1405" t="n">
        <v>2007</v>
      </c>
      <c r="E2321" s="1405" t="n">
        <f aca="false">2021-D2321</f>
        <v>14</v>
      </c>
      <c r="F2321" s="1406" t="n">
        <v>176358</v>
      </c>
      <c r="G2321" s="1407" t="n">
        <v>0.1</v>
      </c>
      <c r="H2321" s="1410" t="n">
        <f aca="false">E2321*F2321*G2321</f>
        <v>246901.2</v>
      </c>
      <c r="I2321" s="1410" t="n">
        <f aca="false">F2321-H2321</f>
        <v>-70543.2</v>
      </c>
      <c r="J2321" s="1410" t="n">
        <f aca="false">F2321*G2321</f>
        <v>17635.8</v>
      </c>
      <c r="K2321" s="1365" t="n">
        <f aca="false">J2321/1792.8</f>
        <v>9.83701472556894</v>
      </c>
      <c r="L2321" s="1445" t="n">
        <v>10</v>
      </c>
      <c r="M2321" s="1408" t="n">
        <f aca="false">K2321*L2321/60</f>
        <v>1.63950245426149</v>
      </c>
    </row>
    <row r="2322" customFormat="false" ht="30" hidden="false" customHeight="false" outlineLevel="0" collapsed="false">
      <c r="A2322" s="216"/>
      <c r="B2322" s="40"/>
      <c r="C2322" s="1404" t="s">
        <v>6959</v>
      </c>
      <c r="D2322" s="1405" t="n">
        <v>2007</v>
      </c>
      <c r="E2322" s="1405" t="n">
        <f aca="false">2021-D2322</f>
        <v>14</v>
      </c>
      <c r="F2322" s="1406" t="n">
        <v>350000</v>
      </c>
      <c r="G2322" s="1407" t="n">
        <v>0.1</v>
      </c>
      <c r="H2322" s="1410" t="n">
        <f aca="false">E2322*F2322*G2322</f>
        <v>490000</v>
      </c>
      <c r="I2322" s="1410" t="n">
        <f aca="false">F2322-H2322</f>
        <v>-140000</v>
      </c>
      <c r="J2322" s="1410" t="n">
        <f aca="false">F2322*G2322</f>
        <v>35000</v>
      </c>
      <c r="K2322" s="1365" t="n">
        <f aca="false">J2322/1792.8</f>
        <v>19.5225345827755</v>
      </c>
      <c r="L2322" s="1445" t="n">
        <v>10</v>
      </c>
      <c r="M2322" s="1408" t="n">
        <f aca="false">K2322*L2322/60</f>
        <v>3.25375576379592</v>
      </c>
    </row>
    <row r="2323" customFormat="false" ht="30" hidden="false" customHeight="false" outlineLevel="0" collapsed="false">
      <c r="A2323" s="216"/>
      <c r="B2323" s="40"/>
      <c r="C2323" s="1404" t="s">
        <v>7072</v>
      </c>
      <c r="D2323" s="569" t="n">
        <v>2013</v>
      </c>
      <c r="E2323" s="569" t="n">
        <f aca="false">2021-D2323</f>
        <v>8</v>
      </c>
      <c r="F2323" s="1105" t="n">
        <v>300000</v>
      </c>
      <c r="G2323" s="1444" t="n">
        <v>0.1</v>
      </c>
      <c r="H2323" s="1105" t="n">
        <f aca="false">E2323*F2323*G2323</f>
        <v>240000</v>
      </c>
      <c r="I2323" s="1105" t="n">
        <f aca="false">F2323-H2323</f>
        <v>60000</v>
      </c>
      <c r="J2323" s="1105" t="n">
        <f aca="false">F2323*G2323</f>
        <v>30000</v>
      </c>
      <c r="K2323" s="1365" t="n">
        <f aca="false">J2323/1792.8</f>
        <v>16.7336010709505</v>
      </c>
      <c r="L2323" s="1105" t="n">
        <v>10</v>
      </c>
      <c r="M2323" s="865" t="n">
        <f aca="false">K2323*L2323/60</f>
        <v>2.78893351182508</v>
      </c>
    </row>
    <row r="2324" customFormat="false" ht="30" hidden="false" customHeight="false" outlineLevel="0" collapsed="false">
      <c r="A2324" s="216"/>
      <c r="B2324" s="40"/>
      <c r="C2324" s="1404" t="s">
        <v>7070</v>
      </c>
      <c r="D2324" s="569" t="n">
        <v>2009</v>
      </c>
      <c r="E2324" s="569" t="n">
        <f aca="false">2021-D2324</f>
        <v>12</v>
      </c>
      <c r="F2324" s="1105" t="n">
        <v>181000</v>
      </c>
      <c r="G2324" s="1444" t="n">
        <v>0.1</v>
      </c>
      <c r="H2324" s="1105" t="n">
        <f aca="false">E2324*F2324*G2324</f>
        <v>217200</v>
      </c>
      <c r="I2324" s="1105" t="n">
        <f aca="false">F2324-H2324</f>
        <v>-36200</v>
      </c>
      <c r="J2324" s="1105" t="n">
        <f aca="false">F2324*G2324</f>
        <v>18100</v>
      </c>
      <c r="K2324" s="1365" t="n">
        <f aca="false">J2324/1792.8</f>
        <v>10.0959393128068</v>
      </c>
      <c r="L2324" s="547" t="n">
        <v>10</v>
      </c>
      <c r="M2324" s="819" t="n">
        <f aca="false">K2324*L2324/60</f>
        <v>1.68265655213446</v>
      </c>
    </row>
    <row r="2325" customFormat="false" ht="30" hidden="false" customHeight="false" outlineLevel="0" collapsed="false">
      <c r="A2325" s="216"/>
      <c r="B2325" s="40"/>
      <c r="C2325" s="1409" t="s">
        <v>6967</v>
      </c>
      <c r="D2325" s="569" t="n">
        <v>2016</v>
      </c>
      <c r="E2325" s="569" t="n">
        <f aca="false">2021-D2325</f>
        <v>5</v>
      </c>
      <c r="F2325" s="1105" t="n">
        <v>2302000</v>
      </c>
      <c r="G2325" s="1444" t="n">
        <v>0.1</v>
      </c>
      <c r="H2325" s="1105" t="n">
        <f aca="false">E2325*F2325*G2325</f>
        <v>1151000</v>
      </c>
      <c r="I2325" s="1105" t="n">
        <f aca="false">F2325-H2325</f>
        <v>1151000</v>
      </c>
      <c r="J2325" s="1105" t="n">
        <f aca="false">F2325*G2325</f>
        <v>230200</v>
      </c>
      <c r="K2325" s="1365" t="n">
        <f aca="false">J2325/1792.8</f>
        <v>128.402498884427</v>
      </c>
      <c r="L2325" s="547" t="n">
        <v>10</v>
      </c>
      <c r="M2325" s="819" t="n">
        <f aca="false">K2325*L2325/60</f>
        <v>21.4004164807378</v>
      </c>
    </row>
    <row r="2326" customFormat="false" ht="15" hidden="false" customHeight="false" outlineLevel="0" collapsed="false">
      <c r="A2326" s="216"/>
      <c r="B2326" s="40"/>
      <c r="C2326" s="1404" t="s">
        <v>7075</v>
      </c>
      <c r="D2326" s="569" t="n">
        <v>2015</v>
      </c>
      <c r="E2326" s="569" t="n">
        <f aca="false">2021-D2326</f>
        <v>6</v>
      </c>
      <c r="F2326" s="1105" t="n">
        <v>1028020</v>
      </c>
      <c r="G2326" s="1444" t="n">
        <v>0.1</v>
      </c>
      <c r="H2326" s="1105" t="n">
        <f aca="false">E2326*F2326*G2326</f>
        <v>616812</v>
      </c>
      <c r="I2326" s="1105" t="n">
        <f aca="false">F2326-H2326</f>
        <v>411208</v>
      </c>
      <c r="J2326" s="1105" t="n">
        <f aca="false">F2326*G2326</f>
        <v>102802</v>
      </c>
      <c r="K2326" s="1365" t="n">
        <f aca="false">J2326/1792.8</f>
        <v>57.3415885765283</v>
      </c>
      <c r="L2326" s="547" t="n">
        <v>60</v>
      </c>
      <c r="M2326" s="819" t="n">
        <f aca="false">K2326*L2326/60</f>
        <v>57.3415885765283</v>
      </c>
    </row>
    <row r="2327" customFormat="false" ht="21.75" hidden="false" customHeight="true" outlineLevel="0" collapsed="false">
      <c r="A2327" s="216"/>
      <c r="B2327" s="40"/>
      <c r="C2327" s="1404" t="s">
        <v>7073</v>
      </c>
      <c r="D2327" s="569" t="n">
        <v>2005</v>
      </c>
      <c r="E2327" s="569" t="n">
        <f aca="false">2021-D2327</f>
        <v>16</v>
      </c>
      <c r="F2327" s="1105" t="n">
        <v>39263</v>
      </c>
      <c r="G2327" s="1444" t="n">
        <v>0.15</v>
      </c>
      <c r="H2327" s="1105" t="n">
        <f aca="false">E2327*F2327*G2327</f>
        <v>94231.2</v>
      </c>
      <c r="I2327" s="1105" t="n">
        <f aca="false">F2327-H2327</f>
        <v>-54968.2</v>
      </c>
      <c r="J2327" s="1105" t="n">
        <f aca="false">F2327*G2327</f>
        <v>5889.45</v>
      </c>
      <c r="K2327" s="1365" t="n">
        <f aca="false">J2327/1792.8</f>
        <v>3.28505689424364</v>
      </c>
      <c r="L2327" s="547" t="n">
        <v>10</v>
      </c>
      <c r="M2327" s="819" t="n">
        <f aca="false">K2327*L2327/60</f>
        <v>0.54750948237394</v>
      </c>
    </row>
    <row r="2328" customFormat="false" ht="30" hidden="false" customHeight="false" outlineLevel="0" collapsed="false">
      <c r="A2328" s="216"/>
      <c r="B2328" s="40"/>
      <c r="C2328" s="1404" t="s">
        <v>7077</v>
      </c>
      <c r="D2328" s="569" t="n">
        <v>2012</v>
      </c>
      <c r="E2328" s="569" t="n">
        <f aca="false">2021-D2328</f>
        <v>9</v>
      </c>
      <c r="F2328" s="1105" t="n">
        <v>19245353.86</v>
      </c>
      <c r="G2328" s="1444" t="n">
        <v>0.1</v>
      </c>
      <c r="H2328" s="1105" t="n">
        <f aca="false">E2328*F2328*G2328</f>
        <v>17320818.474</v>
      </c>
      <c r="I2328" s="1105" t="n">
        <f aca="false">F2328-H2328</f>
        <v>1924535.386</v>
      </c>
      <c r="J2328" s="1105" t="n">
        <f aca="false">F2328*G2328</f>
        <v>1924535.386</v>
      </c>
      <c r="K2328" s="1365" t="n">
        <f aca="false">J2328/1792.8</f>
        <v>1073.48024654172</v>
      </c>
      <c r="L2328" s="547" t="n">
        <v>130</v>
      </c>
      <c r="M2328" s="819" t="n">
        <f aca="false">K2328*L2328/60</f>
        <v>2325.87386750707</v>
      </c>
    </row>
    <row r="2329" customFormat="false" ht="15" hidden="false" customHeight="false" outlineLevel="0" collapsed="false">
      <c r="A2329" s="216"/>
      <c r="B2329" s="1053" t="s">
        <v>4128</v>
      </c>
      <c r="C2329" s="1161"/>
      <c r="D2329" s="912"/>
      <c r="E2329" s="912"/>
      <c r="F2329" s="547"/>
      <c r="G2329" s="1413"/>
      <c r="H2329" s="547"/>
      <c r="I2329" s="547"/>
      <c r="J2329" s="547"/>
      <c r="K2329" s="1365" t="n">
        <f aca="false">J2329/1792.8</f>
        <v>0</v>
      </c>
      <c r="L2329" s="714" t="n">
        <f aca="false">SUM(L2320:L2328)</f>
        <v>260</v>
      </c>
      <c r="M2329" s="934" t="n">
        <f aca="false">SUM(M2320:M2328)</f>
        <v>2415.81648520006</v>
      </c>
    </row>
    <row r="2330" customFormat="false" ht="30" hidden="false" customHeight="false" outlineLevel="0" collapsed="false">
      <c r="A2330" s="216" t="s">
        <v>1144</v>
      </c>
      <c r="B2330" s="40" t="s">
        <v>7083</v>
      </c>
      <c r="C2330" s="1161" t="s">
        <v>7071</v>
      </c>
      <c r="D2330" s="912" t="n">
        <v>2006</v>
      </c>
      <c r="E2330" s="912" t="n">
        <f aca="false">2021-D2330</f>
        <v>15</v>
      </c>
      <c r="F2330" s="547" t="n">
        <v>138575</v>
      </c>
      <c r="G2330" s="1413" t="n">
        <v>0.1</v>
      </c>
      <c r="H2330" s="547" t="n">
        <f aca="false">E2330*F2330*G2330</f>
        <v>207862.5</v>
      </c>
      <c r="I2330" s="547" t="n">
        <f aca="false">F2330-H2330</f>
        <v>-69287.5</v>
      </c>
      <c r="J2330" s="547" t="n">
        <f aca="false">F2330*G2330</f>
        <v>13857.5</v>
      </c>
      <c r="K2330" s="1365" t="n">
        <f aca="false">J2330/1792.8</f>
        <v>7.7295292280232</v>
      </c>
      <c r="L2330" s="547" t="n">
        <v>10</v>
      </c>
      <c r="M2330" s="819" t="n">
        <f aca="false">K2330*L2330/60</f>
        <v>1.2882548713372</v>
      </c>
    </row>
    <row r="2331" customFormat="false" ht="30" hidden="false" customHeight="false" outlineLevel="0" collapsed="false">
      <c r="A2331" s="216"/>
      <c r="B2331" s="40"/>
      <c r="C2331" s="1404" t="s">
        <v>6963</v>
      </c>
      <c r="D2331" s="1405" t="n">
        <v>2007</v>
      </c>
      <c r="E2331" s="1405" t="n">
        <f aca="false">2021-D2331</f>
        <v>14</v>
      </c>
      <c r="F2331" s="1406" t="n">
        <v>176358</v>
      </c>
      <c r="G2331" s="1407" t="n">
        <v>0.1</v>
      </c>
      <c r="H2331" s="1410" t="n">
        <f aca="false">E2331*F2331*G2331</f>
        <v>246901.2</v>
      </c>
      <c r="I2331" s="1410" t="n">
        <f aca="false">F2331-H2331</f>
        <v>-70543.2</v>
      </c>
      <c r="J2331" s="1410" t="n">
        <f aca="false">F2331*G2331</f>
        <v>17635.8</v>
      </c>
      <c r="K2331" s="1365" t="n">
        <f aca="false">J2331/1792.8</f>
        <v>9.83701472556894</v>
      </c>
      <c r="L2331" s="1445" t="n">
        <v>10</v>
      </c>
      <c r="M2331" s="1408" t="n">
        <f aca="false">K2331*L2331/60</f>
        <v>1.63950245426149</v>
      </c>
    </row>
    <row r="2332" customFormat="false" ht="30" hidden="false" customHeight="false" outlineLevel="0" collapsed="false">
      <c r="A2332" s="216"/>
      <c r="B2332" s="40"/>
      <c r="C2332" s="1404" t="s">
        <v>6959</v>
      </c>
      <c r="D2332" s="1405" t="n">
        <v>2007</v>
      </c>
      <c r="E2332" s="1405" t="n">
        <f aca="false">2021-D2332</f>
        <v>14</v>
      </c>
      <c r="F2332" s="1406" t="n">
        <v>350000</v>
      </c>
      <c r="G2332" s="1407" t="n">
        <v>0.1</v>
      </c>
      <c r="H2332" s="1410" t="n">
        <f aca="false">E2332*F2332*G2332</f>
        <v>490000</v>
      </c>
      <c r="I2332" s="1410" t="n">
        <f aca="false">F2332-H2332</f>
        <v>-140000</v>
      </c>
      <c r="J2332" s="1410" t="n">
        <f aca="false">F2332*G2332</f>
        <v>35000</v>
      </c>
      <c r="K2332" s="1365" t="n">
        <f aca="false">J2332/1792.8</f>
        <v>19.5225345827755</v>
      </c>
      <c r="L2332" s="1445" t="n">
        <v>10</v>
      </c>
      <c r="M2332" s="1408" t="n">
        <f aca="false">K2332*L2332/60</f>
        <v>3.25375576379592</v>
      </c>
    </row>
    <row r="2333" customFormat="false" ht="30" hidden="false" customHeight="false" outlineLevel="0" collapsed="false">
      <c r="A2333" s="216"/>
      <c r="B2333" s="40"/>
      <c r="C2333" s="1404" t="s">
        <v>7072</v>
      </c>
      <c r="D2333" s="569" t="n">
        <v>2013</v>
      </c>
      <c r="E2333" s="569" t="n">
        <f aca="false">2021-D2333</f>
        <v>8</v>
      </c>
      <c r="F2333" s="1105" t="n">
        <v>300000</v>
      </c>
      <c r="G2333" s="1444" t="n">
        <v>0.1</v>
      </c>
      <c r="H2333" s="1105" t="n">
        <f aca="false">E2333*F2333*G2333</f>
        <v>240000</v>
      </c>
      <c r="I2333" s="1105" t="n">
        <f aca="false">F2333-H2333</f>
        <v>60000</v>
      </c>
      <c r="J2333" s="1105" t="n">
        <f aca="false">F2333*G2333</f>
        <v>30000</v>
      </c>
      <c r="K2333" s="1365" t="n">
        <f aca="false">J2333/1792.8</f>
        <v>16.7336010709505</v>
      </c>
      <c r="L2333" s="1105" t="n">
        <v>20</v>
      </c>
      <c r="M2333" s="865" t="n">
        <f aca="false">K2333*L2333/60</f>
        <v>5.57786702365016</v>
      </c>
    </row>
    <row r="2334" customFormat="false" ht="30" hidden="false" customHeight="false" outlineLevel="0" collapsed="false">
      <c r="A2334" s="216"/>
      <c r="B2334" s="40"/>
      <c r="C2334" s="1404" t="s">
        <v>7070</v>
      </c>
      <c r="D2334" s="569" t="n">
        <v>2009</v>
      </c>
      <c r="E2334" s="569" t="n">
        <f aca="false">2021-D2334</f>
        <v>12</v>
      </c>
      <c r="F2334" s="1105" t="n">
        <v>181000</v>
      </c>
      <c r="G2334" s="1444" t="n">
        <v>0.1</v>
      </c>
      <c r="H2334" s="1105" t="n">
        <f aca="false">E2334*F2334*G2334</f>
        <v>217200</v>
      </c>
      <c r="I2334" s="1105" t="n">
        <f aca="false">F2334-H2334</f>
        <v>-36200</v>
      </c>
      <c r="J2334" s="1105" t="n">
        <f aca="false">F2334*G2334</f>
        <v>18100</v>
      </c>
      <c r="K2334" s="1365" t="n">
        <f aca="false">J2334/1792.8</f>
        <v>10.0959393128068</v>
      </c>
      <c r="L2334" s="547" t="n">
        <v>20</v>
      </c>
      <c r="M2334" s="819" t="n">
        <f aca="false">K2334*L2334/60</f>
        <v>3.36531310426893</v>
      </c>
    </row>
    <row r="2335" customFormat="false" ht="30" hidden="false" customHeight="false" outlineLevel="0" collapsed="false">
      <c r="A2335" s="216"/>
      <c r="B2335" s="40"/>
      <c r="C2335" s="1409" t="s">
        <v>6967</v>
      </c>
      <c r="D2335" s="569" t="n">
        <v>2016</v>
      </c>
      <c r="E2335" s="569" t="n">
        <f aca="false">2021-D2335</f>
        <v>5</v>
      </c>
      <c r="F2335" s="1105" t="n">
        <v>2302000</v>
      </c>
      <c r="G2335" s="1444" t="n">
        <v>0.1</v>
      </c>
      <c r="H2335" s="1105" t="n">
        <f aca="false">E2335*F2335*G2335</f>
        <v>1151000</v>
      </c>
      <c r="I2335" s="1105" t="n">
        <f aca="false">F2335-H2335</f>
        <v>1151000</v>
      </c>
      <c r="J2335" s="1105" t="n">
        <f aca="false">F2335*G2335</f>
        <v>230200</v>
      </c>
      <c r="K2335" s="1365" t="n">
        <f aca="false">J2335/1792.8</f>
        <v>128.402498884427</v>
      </c>
      <c r="L2335" s="547" t="n">
        <v>20</v>
      </c>
      <c r="M2335" s="819" t="n">
        <f aca="false">K2335*L2335/60</f>
        <v>42.8008329614755</v>
      </c>
    </row>
    <row r="2336" customFormat="false" ht="15" hidden="false" customHeight="false" outlineLevel="0" collapsed="false">
      <c r="A2336" s="216"/>
      <c r="B2336" s="40"/>
      <c r="C2336" s="1404" t="s">
        <v>7075</v>
      </c>
      <c r="D2336" s="569" t="n">
        <v>2015</v>
      </c>
      <c r="E2336" s="569" t="n">
        <f aca="false">2021-D2336</f>
        <v>6</v>
      </c>
      <c r="F2336" s="1105" t="n">
        <v>1028020</v>
      </c>
      <c r="G2336" s="1444" t="n">
        <v>0.1</v>
      </c>
      <c r="H2336" s="1105" t="n">
        <f aca="false">E2336*F2336*G2336</f>
        <v>616812</v>
      </c>
      <c r="I2336" s="1105" t="n">
        <f aca="false">F2336-H2336</f>
        <v>411208</v>
      </c>
      <c r="J2336" s="1105" t="n">
        <f aca="false">F2336*G2336</f>
        <v>102802</v>
      </c>
      <c r="K2336" s="1365" t="n">
        <f aca="false">J2336/1792.8</f>
        <v>57.3415885765283</v>
      </c>
      <c r="L2336" s="547" t="n">
        <v>60</v>
      </c>
      <c r="M2336" s="819" t="n">
        <f aca="false">K2336*L2336/60</f>
        <v>57.3415885765283</v>
      </c>
    </row>
    <row r="2337" customFormat="false" ht="30" hidden="false" customHeight="false" outlineLevel="0" collapsed="false">
      <c r="A2337" s="216"/>
      <c r="B2337" s="40"/>
      <c r="C2337" s="1404" t="s">
        <v>7073</v>
      </c>
      <c r="D2337" s="569" t="n">
        <v>2005</v>
      </c>
      <c r="E2337" s="569" t="n">
        <f aca="false">2021-D2337</f>
        <v>16</v>
      </c>
      <c r="F2337" s="1105" t="n">
        <v>39263</v>
      </c>
      <c r="G2337" s="1444" t="n">
        <v>0.15</v>
      </c>
      <c r="H2337" s="1105" t="n">
        <f aca="false">E2337*F2337*G2337</f>
        <v>94231.2</v>
      </c>
      <c r="I2337" s="1105" t="n">
        <f aca="false">F2337-H2337</f>
        <v>-54968.2</v>
      </c>
      <c r="J2337" s="1105" t="n">
        <f aca="false">F2337*G2337</f>
        <v>5889.45</v>
      </c>
      <c r="K2337" s="1365" t="n">
        <f aca="false">J2337/1792.8</f>
        <v>3.28505689424364</v>
      </c>
      <c r="L2337" s="547" t="n">
        <v>10</v>
      </c>
      <c r="M2337" s="819" t="n">
        <f aca="false">K2337*L2337/60</f>
        <v>0.54750948237394</v>
      </c>
    </row>
    <row r="2338" customFormat="false" ht="30" hidden="false" customHeight="false" outlineLevel="0" collapsed="false">
      <c r="A2338" s="216"/>
      <c r="B2338" s="40"/>
      <c r="C2338" s="1404" t="s">
        <v>7077</v>
      </c>
      <c r="D2338" s="569" t="n">
        <v>2012</v>
      </c>
      <c r="E2338" s="569" t="n">
        <f aca="false">2021-D2338</f>
        <v>9</v>
      </c>
      <c r="F2338" s="1105" t="n">
        <v>19245353.86</v>
      </c>
      <c r="G2338" s="1444" t="n">
        <v>0.1</v>
      </c>
      <c r="H2338" s="1105" t="n">
        <f aca="false">E2338*F2338*G2338</f>
        <v>17320818.474</v>
      </c>
      <c r="I2338" s="1105" t="n">
        <f aca="false">F2338-H2338</f>
        <v>1924535.386</v>
      </c>
      <c r="J2338" s="1105" t="n">
        <f aca="false">F2338*G2338</f>
        <v>1924535.386</v>
      </c>
      <c r="K2338" s="1365" t="n">
        <f aca="false">J2338/1792.8</f>
        <v>1073.48024654172</v>
      </c>
      <c r="L2338" s="547" t="n">
        <v>120</v>
      </c>
      <c r="M2338" s="819" t="n">
        <f aca="false">K2338*L2338/60</f>
        <v>2146.96049308345</v>
      </c>
    </row>
    <row r="2339" customFormat="false" ht="15" hidden="false" customHeight="false" outlineLevel="0" collapsed="false">
      <c r="A2339" s="216"/>
      <c r="B2339" s="1053" t="s">
        <v>4128</v>
      </c>
      <c r="C2339" s="1161"/>
      <c r="D2339" s="912"/>
      <c r="E2339" s="912"/>
      <c r="F2339" s="547"/>
      <c r="G2339" s="1413"/>
      <c r="H2339" s="547"/>
      <c r="I2339" s="547"/>
      <c r="J2339" s="547"/>
      <c r="K2339" s="1365" t="n">
        <f aca="false">J2339/1792.8</f>
        <v>0</v>
      </c>
      <c r="L2339" s="714" t="n">
        <f aca="false">SUM(L2330:L2338)</f>
        <v>280</v>
      </c>
      <c r="M2339" s="934" t="n">
        <f aca="false">SUM(M2330:M2338)</f>
        <v>2262.77511732114</v>
      </c>
    </row>
    <row r="2340" customFormat="false" ht="45" hidden="false" customHeight="false" outlineLevel="0" collapsed="false">
      <c r="A2340" s="216" t="s">
        <v>1145</v>
      </c>
      <c r="B2340" s="335" t="s">
        <v>3330</v>
      </c>
      <c r="C2340" s="1404" t="s">
        <v>7070</v>
      </c>
      <c r="D2340" s="569" t="n">
        <v>2009</v>
      </c>
      <c r="E2340" s="569" t="n">
        <f aca="false">2021-D2340</f>
        <v>12</v>
      </c>
      <c r="F2340" s="1105" t="n">
        <v>181000</v>
      </c>
      <c r="G2340" s="1444" t="n">
        <v>0.1</v>
      </c>
      <c r="H2340" s="1105" t="n">
        <f aca="false">E2340*F2340*G2340</f>
        <v>217200</v>
      </c>
      <c r="I2340" s="1105" t="n">
        <f aca="false">F2340-H2340</f>
        <v>-36200</v>
      </c>
      <c r="J2340" s="1105" t="n">
        <f aca="false">F2340*G2340</f>
        <v>18100</v>
      </c>
      <c r="K2340" s="1365" t="n">
        <f aca="false">J2340/1792.8</f>
        <v>10.0959393128068</v>
      </c>
      <c r="L2340" s="547" t="n">
        <v>20</v>
      </c>
      <c r="M2340" s="819" t="n">
        <f aca="false">K2340*L2340/60</f>
        <v>3.36531310426893</v>
      </c>
    </row>
    <row r="2341" customFormat="false" ht="30" hidden="false" customHeight="false" outlineLevel="0" collapsed="false">
      <c r="A2341" s="216"/>
      <c r="B2341" s="40"/>
      <c r="C2341" s="1404" t="s">
        <v>6963</v>
      </c>
      <c r="D2341" s="1405" t="n">
        <v>2007</v>
      </c>
      <c r="E2341" s="1405" t="n">
        <f aca="false">2021-D2341</f>
        <v>14</v>
      </c>
      <c r="F2341" s="1406" t="n">
        <v>176358</v>
      </c>
      <c r="G2341" s="1407" t="n">
        <v>0.1</v>
      </c>
      <c r="H2341" s="1410" t="n">
        <f aca="false">E2341*F2341*G2341</f>
        <v>246901.2</v>
      </c>
      <c r="I2341" s="1410" t="n">
        <f aca="false">F2341-H2341</f>
        <v>-70543.2</v>
      </c>
      <c r="J2341" s="1410" t="n">
        <f aca="false">F2341*G2341</f>
        <v>17635.8</v>
      </c>
      <c r="K2341" s="1365" t="n">
        <f aca="false">J2341/1792.8</f>
        <v>9.83701472556894</v>
      </c>
      <c r="L2341" s="1410" t="n">
        <v>10</v>
      </c>
      <c r="M2341" s="1408" t="n">
        <f aca="false">K2341*L2341/60</f>
        <v>1.63950245426149</v>
      </c>
    </row>
    <row r="2342" customFormat="false" ht="30" hidden="false" customHeight="false" outlineLevel="0" collapsed="false">
      <c r="A2342" s="216"/>
      <c r="B2342" s="40"/>
      <c r="C2342" s="1404" t="s">
        <v>6959</v>
      </c>
      <c r="D2342" s="1405" t="n">
        <v>2007</v>
      </c>
      <c r="E2342" s="1405" t="n">
        <f aca="false">2021-D2342</f>
        <v>14</v>
      </c>
      <c r="F2342" s="1406" t="n">
        <v>350000</v>
      </c>
      <c r="G2342" s="1407" t="n">
        <v>0.1</v>
      </c>
      <c r="H2342" s="1410" t="n">
        <f aca="false">E2342*F2342*G2342</f>
        <v>490000</v>
      </c>
      <c r="I2342" s="1410" t="n">
        <f aca="false">F2342-H2342</f>
        <v>-140000</v>
      </c>
      <c r="J2342" s="1410" t="n">
        <f aca="false">F2342*G2342</f>
        <v>35000</v>
      </c>
      <c r="K2342" s="1365" t="n">
        <f aca="false">J2342/1792.8</f>
        <v>19.5225345827755</v>
      </c>
      <c r="L2342" s="1410" t="n">
        <v>10</v>
      </c>
      <c r="M2342" s="1408" t="n">
        <f aca="false">K2342*L2342/60</f>
        <v>3.25375576379592</v>
      </c>
    </row>
    <row r="2343" customFormat="false" ht="30" hidden="false" customHeight="false" outlineLevel="0" collapsed="false">
      <c r="A2343" s="216"/>
      <c r="B2343" s="40"/>
      <c r="C2343" s="1161" t="s">
        <v>7071</v>
      </c>
      <c r="D2343" s="912" t="n">
        <v>2006</v>
      </c>
      <c r="E2343" s="912" t="n">
        <f aca="false">2021-D2343</f>
        <v>15</v>
      </c>
      <c r="F2343" s="547" t="n">
        <v>138575</v>
      </c>
      <c r="G2343" s="1413" t="n">
        <v>0.1</v>
      </c>
      <c r="H2343" s="547" t="n">
        <f aca="false">E2343*F2343*G2343</f>
        <v>207862.5</v>
      </c>
      <c r="I2343" s="547" t="n">
        <f aca="false">F2343-H2343</f>
        <v>-69287.5</v>
      </c>
      <c r="J2343" s="547" t="n">
        <f aca="false">F2343*G2343</f>
        <v>13857.5</v>
      </c>
      <c r="K2343" s="1365" t="n">
        <f aca="false">J2343/1792.8</f>
        <v>7.7295292280232</v>
      </c>
      <c r="L2343" s="547" t="n">
        <v>20</v>
      </c>
      <c r="M2343" s="819" t="n">
        <f aca="false">K2343*L2343/60</f>
        <v>2.5765097426744</v>
      </c>
    </row>
    <row r="2344" customFormat="false" ht="30" hidden="false" customHeight="false" outlineLevel="0" collapsed="false">
      <c r="A2344" s="216"/>
      <c r="B2344" s="40"/>
      <c r="C2344" s="1409" t="s">
        <v>6967</v>
      </c>
      <c r="D2344" s="569" t="n">
        <v>2016</v>
      </c>
      <c r="E2344" s="569" t="n">
        <f aca="false">2021-D2344</f>
        <v>5</v>
      </c>
      <c r="F2344" s="1105" t="n">
        <v>2302000</v>
      </c>
      <c r="G2344" s="1444" t="n">
        <v>0.1</v>
      </c>
      <c r="H2344" s="547" t="n">
        <f aca="false">E2344*F2344*G2344</f>
        <v>1151000</v>
      </c>
      <c r="I2344" s="547" t="n">
        <f aca="false">F2344-H2344</f>
        <v>1151000</v>
      </c>
      <c r="J2344" s="547" t="n">
        <f aca="false">F2344*G2344</f>
        <v>230200</v>
      </c>
      <c r="K2344" s="1365" t="n">
        <f aca="false">J2344/1792.8</f>
        <v>128.402498884427</v>
      </c>
      <c r="L2344" s="547" t="n">
        <v>20</v>
      </c>
      <c r="M2344" s="819" t="n">
        <f aca="false">K2344*L2344/60</f>
        <v>42.8008329614755</v>
      </c>
    </row>
    <row r="2345" customFormat="false" ht="30" hidden="false" customHeight="false" outlineLevel="0" collapsed="false">
      <c r="A2345" s="216"/>
      <c r="B2345" s="40"/>
      <c r="C2345" s="1404" t="s">
        <v>7072</v>
      </c>
      <c r="D2345" s="569" t="n">
        <v>2013</v>
      </c>
      <c r="E2345" s="569" t="n">
        <f aca="false">2021-D2345</f>
        <v>8</v>
      </c>
      <c r="F2345" s="1105" t="n">
        <v>300000</v>
      </c>
      <c r="G2345" s="1444" t="n">
        <v>0.1</v>
      </c>
      <c r="H2345" s="1105" t="n">
        <f aca="false">E2345*F2345*G2345</f>
        <v>240000</v>
      </c>
      <c r="I2345" s="1105" t="n">
        <f aca="false">F2345-H2345</f>
        <v>60000</v>
      </c>
      <c r="J2345" s="1105" t="n">
        <f aca="false">F2345*G2345</f>
        <v>30000</v>
      </c>
      <c r="K2345" s="1365" t="n">
        <f aca="false">J2345/1792.8</f>
        <v>16.7336010709505</v>
      </c>
      <c r="L2345" s="1105" t="n">
        <v>20</v>
      </c>
      <c r="M2345" s="865" t="n">
        <f aca="false">K2345*L2345/60</f>
        <v>5.57786702365016</v>
      </c>
    </row>
    <row r="2346" customFormat="false" ht="15" hidden="false" customHeight="false" outlineLevel="0" collapsed="false">
      <c r="A2346" s="216"/>
      <c r="B2346" s="40"/>
      <c r="C2346" s="1404" t="s">
        <v>7075</v>
      </c>
      <c r="D2346" s="569" t="n">
        <v>2015</v>
      </c>
      <c r="E2346" s="569" t="n">
        <f aca="false">2021-D2346</f>
        <v>6</v>
      </c>
      <c r="F2346" s="1105" t="n">
        <v>1028020</v>
      </c>
      <c r="G2346" s="1444" t="n">
        <v>0.1</v>
      </c>
      <c r="H2346" s="1105" t="n">
        <f aca="false">E2346*F2346*G2346</f>
        <v>616812</v>
      </c>
      <c r="I2346" s="1105" t="n">
        <f aca="false">F2346-H2346</f>
        <v>411208</v>
      </c>
      <c r="J2346" s="547" t="n">
        <f aca="false">F2346*G2346</f>
        <v>102802</v>
      </c>
      <c r="K2346" s="1365" t="n">
        <f aca="false">J2346/1792.8</f>
        <v>57.3415885765283</v>
      </c>
      <c r="L2346" s="547" t="n">
        <v>60</v>
      </c>
      <c r="M2346" s="819" t="n">
        <f aca="false">K2346*L2346/60</f>
        <v>57.3415885765283</v>
      </c>
    </row>
    <row r="2347" customFormat="false" ht="30" hidden="false" customHeight="false" outlineLevel="0" collapsed="false">
      <c r="A2347" s="216"/>
      <c r="B2347" s="40"/>
      <c r="C2347" s="1404" t="s">
        <v>7073</v>
      </c>
      <c r="D2347" s="569" t="n">
        <v>2005</v>
      </c>
      <c r="E2347" s="569" t="n">
        <f aca="false">2021-D2347</f>
        <v>16</v>
      </c>
      <c r="F2347" s="1105" t="n">
        <v>39263</v>
      </c>
      <c r="G2347" s="1444" t="n">
        <v>0.15</v>
      </c>
      <c r="H2347" s="1105" t="n">
        <f aca="false">E2347*F2347*G2347</f>
        <v>94231.2</v>
      </c>
      <c r="I2347" s="1105" t="n">
        <f aca="false">F2347-H2347</f>
        <v>-54968.2</v>
      </c>
      <c r="J2347" s="547" t="n">
        <f aca="false">F2347*G2347</f>
        <v>5889.45</v>
      </c>
      <c r="K2347" s="1365" t="n">
        <f aca="false">J2347/1792.8</f>
        <v>3.28505689424364</v>
      </c>
      <c r="L2347" s="547" t="n">
        <v>10</v>
      </c>
      <c r="M2347" s="819" t="n">
        <f aca="false">K2347*L2347/60</f>
        <v>0.54750948237394</v>
      </c>
    </row>
    <row r="2348" customFormat="false" ht="30" hidden="false" customHeight="false" outlineLevel="0" collapsed="false">
      <c r="A2348" s="216"/>
      <c r="B2348" s="40"/>
      <c r="C2348" s="1161" t="s">
        <v>7074</v>
      </c>
      <c r="D2348" s="912" t="n">
        <v>2003</v>
      </c>
      <c r="E2348" s="912" t="n">
        <f aca="false">2021-D2348</f>
        <v>18</v>
      </c>
      <c r="F2348" s="547" t="n">
        <v>2471090</v>
      </c>
      <c r="G2348" s="1413" t="n">
        <v>0.1</v>
      </c>
      <c r="H2348" s="547" t="n">
        <f aca="false">E2348*F2348*G2348</f>
        <v>4447962</v>
      </c>
      <c r="I2348" s="547" t="n">
        <f aca="false">F2348-H2348</f>
        <v>-1976872</v>
      </c>
      <c r="J2348" s="547" t="n">
        <f aca="false">F2348*G2348</f>
        <v>247109</v>
      </c>
      <c r="K2348" s="1365" t="n">
        <f aca="false">J2348/1792.8</f>
        <v>137.834114234717</v>
      </c>
      <c r="L2348" s="547" t="n">
        <v>120</v>
      </c>
      <c r="M2348" s="819" t="n">
        <f aca="false">K2348*L2348/60</f>
        <v>275.668228469433</v>
      </c>
    </row>
    <row r="2349" customFormat="false" ht="15" hidden="false" customHeight="false" outlineLevel="0" collapsed="false">
      <c r="A2349" s="216"/>
      <c r="B2349" s="1053" t="s">
        <v>4128</v>
      </c>
      <c r="C2349" s="1161"/>
      <c r="D2349" s="912"/>
      <c r="E2349" s="912"/>
      <c r="F2349" s="547"/>
      <c r="G2349" s="1413"/>
      <c r="H2349" s="547"/>
      <c r="I2349" s="547"/>
      <c r="J2349" s="547"/>
      <c r="K2349" s="1365" t="n">
        <f aca="false">J2349/1792.8</f>
        <v>0</v>
      </c>
      <c r="L2349" s="714" t="n">
        <f aca="false">SUM(L2340:L2348)</f>
        <v>290</v>
      </c>
      <c r="M2349" s="934" t="n">
        <f aca="false">SUM(M2340:M2348)</f>
        <v>392.771107578462</v>
      </c>
    </row>
    <row r="2350" customFormat="false" ht="45" hidden="false" customHeight="false" outlineLevel="0" collapsed="false">
      <c r="A2350" s="216" t="s">
        <v>1146</v>
      </c>
      <c r="B2350" s="335" t="s">
        <v>5313</v>
      </c>
      <c r="C2350" s="1161" t="s">
        <v>7071</v>
      </c>
      <c r="D2350" s="912" t="n">
        <v>2006</v>
      </c>
      <c r="E2350" s="912" t="n">
        <f aca="false">2021-D2350</f>
        <v>15</v>
      </c>
      <c r="F2350" s="547" t="n">
        <v>138575</v>
      </c>
      <c r="G2350" s="1413" t="n">
        <v>0.1</v>
      </c>
      <c r="H2350" s="547" t="n">
        <f aca="false">E2350*F2350*G2350</f>
        <v>207862.5</v>
      </c>
      <c r="I2350" s="547" t="n">
        <f aca="false">F2350-H2350</f>
        <v>-69287.5</v>
      </c>
      <c r="J2350" s="547" t="n">
        <f aca="false">F2350*G2350</f>
        <v>13857.5</v>
      </c>
      <c r="K2350" s="1365" t="n">
        <f aca="false">J2350/1792.8</f>
        <v>7.7295292280232</v>
      </c>
      <c r="L2350" s="547" t="n">
        <v>10</v>
      </c>
      <c r="M2350" s="819" t="n">
        <f aca="false">K2350*L2350/60</f>
        <v>1.2882548713372</v>
      </c>
    </row>
    <row r="2351" customFormat="false" ht="30" hidden="false" customHeight="false" outlineLevel="0" collapsed="false">
      <c r="A2351" s="216"/>
      <c r="B2351" s="40"/>
      <c r="C2351" s="1404" t="s">
        <v>6963</v>
      </c>
      <c r="D2351" s="1405" t="n">
        <v>2007</v>
      </c>
      <c r="E2351" s="1405" t="n">
        <f aca="false">2021-D2351</f>
        <v>14</v>
      </c>
      <c r="F2351" s="1406" t="n">
        <v>176358</v>
      </c>
      <c r="G2351" s="1407" t="n">
        <v>0.1</v>
      </c>
      <c r="H2351" s="1410" t="n">
        <f aca="false">E2351*F2351*G2351</f>
        <v>246901.2</v>
      </c>
      <c r="I2351" s="1410" t="n">
        <f aca="false">F2351-H2351</f>
        <v>-70543.2</v>
      </c>
      <c r="J2351" s="1410" t="n">
        <f aca="false">F2351*G2351</f>
        <v>17635.8</v>
      </c>
      <c r="K2351" s="1365" t="n">
        <f aca="false">J2351/1792.8</f>
        <v>9.83701472556894</v>
      </c>
      <c r="L2351" s="1445" t="n">
        <v>10</v>
      </c>
      <c r="M2351" s="1408" t="n">
        <f aca="false">K2351*L2351/60</f>
        <v>1.63950245426149</v>
      </c>
    </row>
    <row r="2352" customFormat="false" ht="30" hidden="false" customHeight="false" outlineLevel="0" collapsed="false">
      <c r="A2352" s="216"/>
      <c r="B2352" s="40"/>
      <c r="C2352" s="1404" t="s">
        <v>6959</v>
      </c>
      <c r="D2352" s="1405" t="n">
        <v>2007</v>
      </c>
      <c r="E2352" s="1405" t="n">
        <f aca="false">2021-D2352</f>
        <v>14</v>
      </c>
      <c r="F2352" s="1406" t="n">
        <v>350000</v>
      </c>
      <c r="G2352" s="1407" t="n">
        <v>0.1</v>
      </c>
      <c r="H2352" s="1410" t="n">
        <f aca="false">E2352*F2352*G2352</f>
        <v>490000</v>
      </c>
      <c r="I2352" s="1410" t="n">
        <f aca="false">F2352-H2352</f>
        <v>-140000</v>
      </c>
      <c r="J2352" s="1410" t="n">
        <f aca="false">F2352*G2352</f>
        <v>35000</v>
      </c>
      <c r="K2352" s="1365" t="n">
        <f aca="false">J2352/1792.8</f>
        <v>19.5225345827755</v>
      </c>
      <c r="L2352" s="1445" t="n">
        <v>10</v>
      </c>
      <c r="M2352" s="1408" t="n">
        <f aca="false">K2352*L2352/60</f>
        <v>3.25375576379592</v>
      </c>
    </row>
    <row r="2353" customFormat="false" ht="30" hidden="false" customHeight="false" outlineLevel="0" collapsed="false">
      <c r="A2353" s="216"/>
      <c r="B2353" s="40"/>
      <c r="C2353" s="1404" t="s">
        <v>7072</v>
      </c>
      <c r="D2353" s="569" t="n">
        <v>2013</v>
      </c>
      <c r="E2353" s="569" t="n">
        <f aca="false">2021-D2353</f>
        <v>8</v>
      </c>
      <c r="F2353" s="1105" t="n">
        <v>300000</v>
      </c>
      <c r="G2353" s="1444" t="n">
        <v>0.1</v>
      </c>
      <c r="H2353" s="1105" t="n">
        <f aca="false">E2353*F2353*G2353</f>
        <v>240000</v>
      </c>
      <c r="I2353" s="1105" t="n">
        <f aca="false">F2353-H2353</f>
        <v>60000</v>
      </c>
      <c r="J2353" s="1105" t="n">
        <f aca="false">F2353*G2353</f>
        <v>30000</v>
      </c>
      <c r="K2353" s="1365" t="n">
        <f aca="false">J2353/1792.8</f>
        <v>16.7336010709505</v>
      </c>
      <c r="L2353" s="1105" t="n">
        <v>10</v>
      </c>
      <c r="M2353" s="865" t="n">
        <f aca="false">K2353*L2353/60</f>
        <v>2.78893351182508</v>
      </c>
    </row>
    <row r="2354" customFormat="false" ht="30" hidden="false" customHeight="false" outlineLevel="0" collapsed="false">
      <c r="A2354" s="216"/>
      <c r="B2354" s="40"/>
      <c r="C2354" s="1404" t="s">
        <v>7070</v>
      </c>
      <c r="D2354" s="569" t="n">
        <v>2009</v>
      </c>
      <c r="E2354" s="569" t="n">
        <f aca="false">2021-D2354</f>
        <v>12</v>
      </c>
      <c r="F2354" s="1105" t="n">
        <v>181000</v>
      </c>
      <c r="G2354" s="1444" t="n">
        <v>0.1</v>
      </c>
      <c r="H2354" s="1105" t="n">
        <f aca="false">E2354*F2354*G2354</f>
        <v>217200</v>
      </c>
      <c r="I2354" s="1105" t="n">
        <f aca="false">F2354-H2354</f>
        <v>-36200</v>
      </c>
      <c r="J2354" s="1105" t="n">
        <f aca="false">F2354*G2354</f>
        <v>18100</v>
      </c>
      <c r="K2354" s="1365" t="n">
        <f aca="false">J2354/1792.8</f>
        <v>10.0959393128068</v>
      </c>
      <c r="L2354" s="547" t="n">
        <v>10</v>
      </c>
      <c r="M2354" s="819" t="n">
        <f aca="false">K2354*L2354/60</f>
        <v>1.68265655213446</v>
      </c>
    </row>
    <row r="2355" customFormat="false" ht="30" hidden="false" customHeight="false" outlineLevel="0" collapsed="false">
      <c r="A2355" s="216"/>
      <c r="B2355" s="40"/>
      <c r="C2355" s="1409" t="s">
        <v>6967</v>
      </c>
      <c r="D2355" s="569" t="n">
        <v>2016</v>
      </c>
      <c r="E2355" s="569" t="n">
        <f aca="false">2021-D2355</f>
        <v>5</v>
      </c>
      <c r="F2355" s="1105" t="n">
        <v>2302000</v>
      </c>
      <c r="G2355" s="1444" t="n">
        <v>0.1</v>
      </c>
      <c r="H2355" s="1105" t="n">
        <f aca="false">E2355*F2355*G2355</f>
        <v>1151000</v>
      </c>
      <c r="I2355" s="1105" t="n">
        <f aca="false">F2355-H2355</f>
        <v>1151000</v>
      </c>
      <c r="J2355" s="1105" t="n">
        <f aca="false">F2355*G2355</f>
        <v>230200</v>
      </c>
      <c r="K2355" s="1365" t="n">
        <f aca="false">J2355/1792.8</f>
        <v>128.402498884427</v>
      </c>
      <c r="L2355" s="547" t="n">
        <v>10</v>
      </c>
      <c r="M2355" s="819" t="n">
        <f aca="false">K2355*L2355/60</f>
        <v>21.4004164807378</v>
      </c>
    </row>
    <row r="2356" customFormat="false" ht="15" hidden="false" customHeight="false" outlineLevel="0" collapsed="false">
      <c r="A2356" s="216"/>
      <c r="B2356" s="40"/>
      <c r="C2356" s="1404" t="s">
        <v>7075</v>
      </c>
      <c r="D2356" s="569" t="n">
        <v>2015</v>
      </c>
      <c r="E2356" s="569" t="n">
        <f aca="false">2021-D2356</f>
        <v>6</v>
      </c>
      <c r="F2356" s="1105" t="n">
        <v>1028020</v>
      </c>
      <c r="G2356" s="1444" t="n">
        <v>0.1</v>
      </c>
      <c r="H2356" s="1105" t="n">
        <f aca="false">E2356*F2356*G2356</f>
        <v>616812</v>
      </c>
      <c r="I2356" s="1105" t="n">
        <f aca="false">F2356-H2356</f>
        <v>411208</v>
      </c>
      <c r="J2356" s="1105" t="n">
        <f aca="false">F2356*G2356</f>
        <v>102802</v>
      </c>
      <c r="K2356" s="1365" t="n">
        <f aca="false">J2356/1792.8</f>
        <v>57.3415885765283</v>
      </c>
      <c r="L2356" s="547" t="n">
        <v>60</v>
      </c>
      <c r="M2356" s="819" t="n">
        <f aca="false">K2356*L2356/60</f>
        <v>57.3415885765283</v>
      </c>
    </row>
    <row r="2357" customFormat="false" ht="27" hidden="false" customHeight="true" outlineLevel="0" collapsed="false">
      <c r="A2357" s="216"/>
      <c r="B2357" s="40"/>
      <c r="C2357" s="1404" t="s">
        <v>7073</v>
      </c>
      <c r="D2357" s="569" t="n">
        <v>2005</v>
      </c>
      <c r="E2357" s="569" t="n">
        <f aca="false">2021-D2357</f>
        <v>16</v>
      </c>
      <c r="F2357" s="1105" t="n">
        <v>39263</v>
      </c>
      <c r="G2357" s="1444" t="n">
        <v>0.15</v>
      </c>
      <c r="H2357" s="1105" t="n">
        <f aca="false">E2357*F2357*G2357</f>
        <v>94231.2</v>
      </c>
      <c r="I2357" s="1105" t="n">
        <f aca="false">F2357-H2357</f>
        <v>-54968.2</v>
      </c>
      <c r="J2357" s="1105" t="n">
        <f aca="false">F2357*G2357</f>
        <v>5889.45</v>
      </c>
      <c r="K2357" s="1365" t="n">
        <f aca="false">J2357/1792.8</f>
        <v>3.28505689424364</v>
      </c>
      <c r="L2357" s="547" t="n">
        <v>10</v>
      </c>
      <c r="M2357" s="819" t="n">
        <f aca="false">K2357*L2357/60</f>
        <v>0.54750948237394</v>
      </c>
    </row>
    <row r="2358" customFormat="false" ht="30" hidden="false" customHeight="false" outlineLevel="0" collapsed="false">
      <c r="A2358" s="216"/>
      <c r="B2358" s="40"/>
      <c r="C2358" s="1404" t="s">
        <v>7078</v>
      </c>
      <c r="D2358" s="569" t="n">
        <v>2012</v>
      </c>
      <c r="E2358" s="569" t="n">
        <f aca="false">2021-D2358</f>
        <v>9</v>
      </c>
      <c r="F2358" s="1105" t="n">
        <v>12268394.74</v>
      </c>
      <c r="G2358" s="1444" t="n">
        <v>0.1</v>
      </c>
      <c r="H2358" s="1105" t="n">
        <f aca="false">E2358*F2358*G2358</f>
        <v>11041555.266</v>
      </c>
      <c r="I2358" s="1105" t="n">
        <f aca="false">F2358-H2358</f>
        <v>1226839.474</v>
      </c>
      <c r="J2358" s="1105" t="n">
        <f aca="false">F2358*G2358</f>
        <v>1226839.474</v>
      </c>
      <c r="K2358" s="1365" t="n">
        <f aca="false">J2358/1792.8</f>
        <v>684.31474453369</v>
      </c>
      <c r="L2358" s="547" t="n">
        <v>130</v>
      </c>
      <c r="M2358" s="819" t="n">
        <f aca="false">K2358*L2358/60</f>
        <v>1482.68194648966</v>
      </c>
    </row>
    <row r="2359" customFormat="false" ht="15" hidden="false" customHeight="false" outlineLevel="0" collapsed="false">
      <c r="A2359" s="216"/>
      <c r="B2359" s="1053" t="s">
        <v>4128</v>
      </c>
      <c r="C2359" s="1161"/>
      <c r="D2359" s="912"/>
      <c r="E2359" s="912"/>
      <c r="F2359" s="547"/>
      <c r="G2359" s="1413"/>
      <c r="H2359" s="547"/>
      <c r="I2359" s="547"/>
      <c r="J2359" s="547"/>
      <c r="K2359" s="1365" t="n">
        <f aca="false">J2359/1792.8</f>
        <v>0</v>
      </c>
      <c r="L2359" s="714" t="n">
        <f aca="false">SUM(L2350:L2358)</f>
        <v>260</v>
      </c>
      <c r="M2359" s="934" t="n">
        <f aca="false">SUM(M2350:M2358)</f>
        <v>1572.62456418266</v>
      </c>
    </row>
    <row r="2360" customFormat="false" ht="30" hidden="false" customHeight="false" outlineLevel="0" collapsed="false">
      <c r="A2360" s="216" t="s">
        <v>1147</v>
      </c>
      <c r="B2360" s="335" t="s">
        <v>7084</v>
      </c>
      <c r="C2360" s="1161" t="s">
        <v>7071</v>
      </c>
      <c r="D2360" s="912" t="n">
        <v>2006</v>
      </c>
      <c r="E2360" s="912" t="n">
        <f aca="false">2021-D2360</f>
        <v>15</v>
      </c>
      <c r="F2360" s="547" t="n">
        <v>138575</v>
      </c>
      <c r="G2360" s="1413" t="n">
        <v>0.1</v>
      </c>
      <c r="H2360" s="547" t="n">
        <f aca="false">E2360*F2360*G2360</f>
        <v>207862.5</v>
      </c>
      <c r="I2360" s="547" t="n">
        <f aca="false">F2360-H2360</f>
        <v>-69287.5</v>
      </c>
      <c r="J2360" s="547" t="n">
        <f aca="false">F2360*G2360</f>
        <v>13857.5</v>
      </c>
      <c r="K2360" s="1365" t="n">
        <f aca="false">J2360/1792.8</f>
        <v>7.7295292280232</v>
      </c>
      <c r="L2360" s="547" t="n">
        <v>20</v>
      </c>
      <c r="M2360" s="819" t="n">
        <f aca="false">K2360*L2360/60</f>
        <v>2.5765097426744</v>
      </c>
    </row>
    <row r="2361" customFormat="false" ht="30" hidden="false" customHeight="false" outlineLevel="0" collapsed="false">
      <c r="A2361" s="216"/>
      <c r="B2361" s="40"/>
      <c r="C2361" s="1404" t="s">
        <v>6963</v>
      </c>
      <c r="D2361" s="1405" t="n">
        <v>2007</v>
      </c>
      <c r="E2361" s="1405" t="n">
        <f aca="false">2021-D2361</f>
        <v>14</v>
      </c>
      <c r="F2361" s="1406" t="n">
        <v>176358</v>
      </c>
      <c r="G2361" s="1407" t="n">
        <v>0.1</v>
      </c>
      <c r="H2361" s="1410" t="n">
        <f aca="false">E2361*F2361*G2361</f>
        <v>246901.2</v>
      </c>
      <c r="I2361" s="1410" t="n">
        <f aca="false">F2361-H2361</f>
        <v>-70543.2</v>
      </c>
      <c r="J2361" s="1410" t="n">
        <f aca="false">F2361*G2361</f>
        <v>17635.8</v>
      </c>
      <c r="K2361" s="1365" t="n">
        <f aca="false">J2361/1792.8</f>
        <v>9.83701472556894</v>
      </c>
      <c r="L2361" s="1445" t="n">
        <v>10</v>
      </c>
      <c r="M2361" s="1408" t="n">
        <f aca="false">K2361*L2361/60</f>
        <v>1.63950245426149</v>
      </c>
    </row>
    <row r="2362" customFormat="false" ht="30" hidden="false" customHeight="false" outlineLevel="0" collapsed="false">
      <c r="A2362" s="216"/>
      <c r="B2362" s="40"/>
      <c r="C2362" s="1404" t="s">
        <v>6959</v>
      </c>
      <c r="D2362" s="1405" t="n">
        <v>2007</v>
      </c>
      <c r="E2362" s="1405" t="n">
        <f aca="false">2021-D2362</f>
        <v>14</v>
      </c>
      <c r="F2362" s="1406" t="n">
        <v>350000</v>
      </c>
      <c r="G2362" s="1407" t="n">
        <v>0.1</v>
      </c>
      <c r="H2362" s="1410" t="n">
        <f aca="false">E2362*F2362*G2362</f>
        <v>490000</v>
      </c>
      <c r="I2362" s="1410" t="n">
        <f aca="false">F2362-H2362</f>
        <v>-140000</v>
      </c>
      <c r="J2362" s="1410" t="n">
        <f aca="false">F2362*G2362</f>
        <v>35000</v>
      </c>
      <c r="K2362" s="1365" t="n">
        <f aca="false">J2362/1792.8</f>
        <v>19.5225345827755</v>
      </c>
      <c r="L2362" s="1445" t="n">
        <v>10</v>
      </c>
      <c r="M2362" s="1408" t="n">
        <f aca="false">K2362*L2362/60</f>
        <v>3.25375576379592</v>
      </c>
    </row>
    <row r="2363" customFormat="false" ht="30" hidden="false" customHeight="false" outlineLevel="0" collapsed="false">
      <c r="A2363" s="216"/>
      <c r="B2363" s="40"/>
      <c r="C2363" s="1404" t="s">
        <v>7072</v>
      </c>
      <c r="D2363" s="569" t="n">
        <v>2013</v>
      </c>
      <c r="E2363" s="569" t="n">
        <f aca="false">2021-D2363</f>
        <v>8</v>
      </c>
      <c r="F2363" s="1105" t="n">
        <v>300000</v>
      </c>
      <c r="G2363" s="1444" t="n">
        <v>0.1</v>
      </c>
      <c r="H2363" s="1105" t="n">
        <f aca="false">E2363*F2363*G2363</f>
        <v>240000</v>
      </c>
      <c r="I2363" s="1105" t="n">
        <f aca="false">F2363-H2363</f>
        <v>60000</v>
      </c>
      <c r="J2363" s="1105" t="n">
        <f aca="false">F2363*G2363</f>
        <v>30000</v>
      </c>
      <c r="K2363" s="1365" t="n">
        <f aca="false">J2363/1792.8</f>
        <v>16.7336010709505</v>
      </c>
      <c r="L2363" s="1105" t="n">
        <v>50</v>
      </c>
      <c r="M2363" s="865" t="n">
        <f aca="false">K2363*L2363/60</f>
        <v>13.9446675591254</v>
      </c>
    </row>
    <row r="2364" customFormat="false" ht="30" hidden="false" customHeight="false" outlineLevel="0" collapsed="false">
      <c r="A2364" s="216"/>
      <c r="B2364" s="40"/>
      <c r="C2364" s="1404" t="s">
        <v>7070</v>
      </c>
      <c r="D2364" s="569" t="n">
        <v>2009</v>
      </c>
      <c r="E2364" s="569" t="n">
        <f aca="false">2021-D2364</f>
        <v>12</v>
      </c>
      <c r="F2364" s="1105" t="n">
        <v>181000</v>
      </c>
      <c r="G2364" s="1444" t="n">
        <v>0.1</v>
      </c>
      <c r="H2364" s="1105" t="n">
        <f aca="false">E2364*F2364*G2364</f>
        <v>217200</v>
      </c>
      <c r="I2364" s="1105" t="n">
        <f aca="false">F2364-H2364</f>
        <v>-36200</v>
      </c>
      <c r="J2364" s="1105" t="n">
        <f aca="false">F2364*G2364</f>
        <v>18100</v>
      </c>
      <c r="K2364" s="1365" t="n">
        <f aca="false">J2364/1792.8</f>
        <v>10.0959393128068</v>
      </c>
      <c r="L2364" s="547" t="n">
        <v>30</v>
      </c>
      <c r="M2364" s="819" t="n">
        <f aca="false">K2364*L2364/60</f>
        <v>5.04796965640339</v>
      </c>
    </row>
    <row r="2365" customFormat="false" ht="30" hidden="false" customHeight="false" outlineLevel="0" collapsed="false">
      <c r="A2365" s="216"/>
      <c r="B2365" s="40"/>
      <c r="C2365" s="1409" t="s">
        <v>6967</v>
      </c>
      <c r="D2365" s="569" t="n">
        <v>2016</v>
      </c>
      <c r="E2365" s="569" t="n">
        <f aca="false">2021-D2365</f>
        <v>5</v>
      </c>
      <c r="F2365" s="1105" t="n">
        <v>2302000</v>
      </c>
      <c r="G2365" s="1444" t="n">
        <v>0.1</v>
      </c>
      <c r="H2365" s="1105" t="n">
        <f aca="false">E2365*F2365*G2365</f>
        <v>1151000</v>
      </c>
      <c r="I2365" s="1105" t="n">
        <f aca="false">F2365-H2365</f>
        <v>1151000</v>
      </c>
      <c r="J2365" s="1105" t="n">
        <f aca="false">F2365*G2365</f>
        <v>230200</v>
      </c>
      <c r="K2365" s="1365" t="n">
        <f aca="false">J2365/1792.8</f>
        <v>128.402498884427</v>
      </c>
      <c r="L2365" s="547" t="n">
        <v>10</v>
      </c>
      <c r="M2365" s="819" t="n">
        <f aca="false">K2365*L2365/60</f>
        <v>21.4004164807378</v>
      </c>
    </row>
    <row r="2366" customFormat="false" ht="15" hidden="false" customHeight="false" outlineLevel="0" collapsed="false">
      <c r="A2366" s="216"/>
      <c r="B2366" s="40"/>
      <c r="C2366" s="1404" t="s">
        <v>7075</v>
      </c>
      <c r="D2366" s="569" t="n">
        <v>2015</v>
      </c>
      <c r="E2366" s="569" t="n">
        <f aca="false">2021-D2366</f>
        <v>6</v>
      </c>
      <c r="F2366" s="1105" t="n">
        <v>1028020</v>
      </c>
      <c r="G2366" s="1444" t="n">
        <v>0.1</v>
      </c>
      <c r="H2366" s="1105" t="n">
        <f aca="false">E2366*F2366*G2366</f>
        <v>616812</v>
      </c>
      <c r="I2366" s="1105" t="n">
        <f aca="false">F2366-H2366</f>
        <v>411208</v>
      </c>
      <c r="J2366" s="1105" t="n">
        <f aca="false">F2366*G2366</f>
        <v>102802</v>
      </c>
      <c r="K2366" s="1365" t="n">
        <f aca="false">J2366/1792.8</f>
        <v>57.3415885765283</v>
      </c>
      <c r="L2366" s="547" t="n">
        <v>60</v>
      </c>
      <c r="M2366" s="819" t="n">
        <f aca="false">K2366*L2366/60</f>
        <v>57.3415885765283</v>
      </c>
    </row>
    <row r="2367" customFormat="false" ht="30" hidden="false" customHeight="false" outlineLevel="0" collapsed="false">
      <c r="A2367" s="216"/>
      <c r="B2367" s="40"/>
      <c r="C2367" s="1404" t="s">
        <v>7073</v>
      </c>
      <c r="D2367" s="569" t="n">
        <v>2005</v>
      </c>
      <c r="E2367" s="569" t="n">
        <f aca="false">2021-D2367</f>
        <v>16</v>
      </c>
      <c r="F2367" s="1105" t="n">
        <v>39263</v>
      </c>
      <c r="G2367" s="1444" t="n">
        <v>0.15</v>
      </c>
      <c r="H2367" s="1105" t="n">
        <f aca="false">E2367*F2367*G2367</f>
        <v>94231.2</v>
      </c>
      <c r="I2367" s="1105" t="n">
        <f aca="false">F2367-H2367</f>
        <v>-54968.2</v>
      </c>
      <c r="J2367" s="1105" t="n">
        <f aca="false">F2367*G2367</f>
        <v>5889.45</v>
      </c>
      <c r="K2367" s="1365" t="n">
        <f aca="false">J2367/1792.8</f>
        <v>3.28505689424364</v>
      </c>
      <c r="L2367" s="547" t="n">
        <v>10</v>
      </c>
      <c r="M2367" s="819" t="n">
        <f aca="false">K2367*L2367/60</f>
        <v>0.54750948237394</v>
      </c>
    </row>
    <row r="2368" customFormat="false" ht="30" hidden="false" customHeight="false" outlineLevel="0" collapsed="false">
      <c r="A2368" s="216"/>
      <c r="B2368" s="40"/>
      <c r="C2368" s="1404" t="s">
        <v>7078</v>
      </c>
      <c r="D2368" s="569" t="n">
        <v>2012</v>
      </c>
      <c r="E2368" s="569" t="n">
        <f aca="false">2021-D2368</f>
        <v>9</v>
      </c>
      <c r="F2368" s="1105" t="n">
        <v>12268394.74</v>
      </c>
      <c r="G2368" s="1444" t="n">
        <v>0.1</v>
      </c>
      <c r="H2368" s="1105" t="n">
        <f aca="false">E2368*F2368*G2368</f>
        <v>11041555.266</v>
      </c>
      <c r="I2368" s="1105" t="n">
        <f aca="false">F2368-H2368</f>
        <v>1226839.474</v>
      </c>
      <c r="J2368" s="1105" t="n">
        <f aca="false">F2368*G2368</f>
        <v>1226839.474</v>
      </c>
      <c r="K2368" s="1365" t="n">
        <f aca="false">J2368/1792.8</f>
        <v>684.31474453369</v>
      </c>
      <c r="L2368" s="547" t="n">
        <v>120</v>
      </c>
      <c r="M2368" s="819" t="n">
        <f aca="false">K2368*L2368/60</f>
        <v>1368.62948906738</v>
      </c>
    </row>
    <row r="2369" customFormat="false" ht="15" hidden="false" customHeight="false" outlineLevel="0" collapsed="false">
      <c r="A2369" s="216"/>
      <c r="B2369" s="1053" t="s">
        <v>4128</v>
      </c>
      <c r="C2369" s="1161"/>
      <c r="D2369" s="912"/>
      <c r="E2369" s="912"/>
      <c r="F2369" s="547"/>
      <c r="G2369" s="1413"/>
      <c r="H2369" s="547"/>
      <c r="I2369" s="547"/>
      <c r="J2369" s="547"/>
      <c r="K2369" s="1365" t="n">
        <f aca="false">J2369/1792.8</f>
        <v>0</v>
      </c>
      <c r="L2369" s="714" t="n">
        <f aca="false">SUM(L2360:L2368)</f>
        <v>320</v>
      </c>
      <c r="M2369" s="934" t="n">
        <f aca="false">SUM(M2360:M2368)</f>
        <v>1474.38140878328</v>
      </c>
    </row>
    <row r="2370" customFormat="false" ht="30" hidden="false" customHeight="false" outlineLevel="0" collapsed="false">
      <c r="A2370" s="216" t="s">
        <v>1148</v>
      </c>
      <c r="B2370" s="335" t="s">
        <v>3313</v>
      </c>
      <c r="C2370" s="1161" t="s">
        <v>7071</v>
      </c>
      <c r="D2370" s="912" t="n">
        <v>2006</v>
      </c>
      <c r="E2370" s="912" t="n">
        <f aca="false">2021-D2370</f>
        <v>15</v>
      </c>
      <c r="F2370" s="547" t="n">
        <v>138575</v>
      </c>
      <c r="G2370" s="1413" t="n">
        <v>0.1</v>
      </c>
      <c r="H2370" s="547" t="n">
        <f aca="false">E2370*F2370*G2370</f>
        <v>207862.5</v>
      </c>
      <c r="I2370" s="547" t="n">
        <f aca="false">F2370-H2370</f>
        <v>-69287.5</v>
      </c>
      <c r="J2370" s="547" t="n">
        <f aca="false">F2370*G2370</f>
        <v>13857.5</v>
      </c>
      <c r="K2370" s="1365" t="n">
        <f aca="false">J2370/1792.8</f>
        <v>7.7295292280232</v>
      </c>
      <c r="L2370" s="547" t="n">
        <v>10</v>
      </c>
      <c r="M2370" s="819" t="n">
        <f aca="false">K2370*L2370/60</f>
        <v>1.2882548713372</v>
      </c>
    </row>
    <row r="2371" customFormat="false" ht="30" hidden="false" customHeight="false" outlineLevel="0" collapsed="false">
      <c r="A2371" s="216"/>
      <c r="B2371" s="40"/>
      <c r="C2371" s="1404" t="s">
        <v>6963</v>
      </c>
      <c r="D2371" s="1405" t="n">
        <v>2007</v>
      </c>
      <c r="E2371" s="1405" t="n">
        <f aca="false">2021-D2371</f>
        <v>14</v>
      </c>
      <c r="F2371" s="1406" t="n">
        <v>176358</v>
      </c>
      <c r="G2371" s="1407" t="n">
        <v>0.1</v>
      </c>
      <c r="H2371" s="1410" t="n">
        <f aca="false">E2371*F2371*G2371</f>
        <v>246901.2</v>
      </c>
      <c r="I2371" s="1410" t="n">
        <f aca="false">F2371-H2371</f>
        <v>-70543.2</v>
      </c>
      <c r="J2371" s="1410" t="n">
        <f aca="false">F2371*G2371</f>
        <v>17635.8</v>
      </c>
      <c r="K2371" s="1365" t="n">
        <f aca="false">J2371/1792.8</f>
        <v>9.83701472556894</v>
      </c>
      <c r="L2371" s="1445" t="n">
        <v>10</v>
      </c>
      <c r="M2371" s="1408" t="n">
        <f aca="false">K2371*L2371/60</f>
        <v>1.63950245426149</v>
      </c>
    </row>
    <row r="2372" customFormat="false" ht="30" hidden="false" customHeight="false" outlineLevel="0" collapsed="false">
      <c r="A2372" s="216"/>
      <c r="B2372" s="40"/>
      <c r="C2372" s="1404" t="s">
        <v>6959</v>
      </c>
      <c r="D2372" s="1405" t="n">
        <v>2007</v>
      </c>
      <c r="E2372" s="1405" t="n">
        <f aca="false">2021-D2372</f>
        <v>14</v>
      </c>
      <c r="F2372" s="1406" t="n">
        <v>350000</v>
      </c>
      <c r="G2372" s="1407" t="n">
        <v>0.1</v>
      </c>
      <c r="H2372" s="1410" t="n">
        <f aca="false">E2372*F2372*G2372</f>
        <v>490000</v>
      </c>
      <c r="I2372" s="1410" t="n">
        <f aca="false">F2372-H2372</f>
        <v>-140000</v>
      </c>
      <c r="J2372" s="1410" t="n">
        <f aca="false">F2372*G2372</f>
        <v>35000</v>
      </c>
      <c r="K2372" s="1365" t="n">
        <f aca="false">J2372/1792.8</f>
        <v>19.5225345827755</v>
      </c>
      <c r="L2372" s="1445" t="n">
        <v>10</v>
      </c>
      <c r="M2372" s="1408" t="n">
        <f aca="false">K2372*L2372/60</f>
        <v>3.25375576379592</v>
      </c>
    </row>
    <row r="2373" customFormat="false" ht="30" hidden="false" customHeight="false" outlineLevel="0" collapsed="false">
      <c r="A2373" s="216"/>
      <c r="B2373" s="40"/>
      <c r="C2373" s="1404" t="s">
        <v>7072</v>
      </c>
      <c r="D2373" s="569" t="n">
        <v>2013</v>
      </c>
      <c r="E2373" s="569" t="n">
        <f aca="false">2021-D2373</f>
        <v>8</v>
      </c>
      <c r="F2373" s="1105" t="n">
        <v>300000</v>
      </c>
      <c r="G2373" s="1444" t="n">
        <v>0.1</v>
      </c>
      <c r="H2373" s="1105" t="n">
        <f aca="false">E2373*F2373*G2373</f>
        <v>240000</v>
      </c>
      <c r="I2373" s="1105" t="n">
        <f aca="false">F2373-H2373</f>
        <v>60000</v>
      </c>
      <c r="J2373" s="1105" t="n">
        <f aca="false">F2373*G2373</f>
        <v>30000</v>
      </c>
      <c r="K2373" s="1365" t="n">
        <f aca="false">J2373/1792.8</f>
        <v>16.7336010709505</v>
      </c>
      <c r="L2373" s="1105" t="n">
        <v>40</v>
      </c>
      <c r="M2373" s="865" t="n">
        <f aca="false">K2373*L2373/60</f>
        <v>11.1557340473003</v>
      </c>
    </row>
    <row r="2374" customFormat="false" ht="30" hidden="false" customHeight="false" outlineLevel="0" collapsed="false">
      <c r="A2374" s="216"/>
      <c r="B2374" s="40"/>
      <c r="C2374" s="1404" t="s">
        <v>7070</v>
      </c>
      <c r="D2374" s="569" t="n">
        <v>2009</v>
      </c>
      <c r="E2374" s="569" t="n">
        <f aca="false">2021-D2374</f>
        <v>12</v>
      </c>
      <c r="F2374" s="1105" t="n">
        <v>181000</v>
      </c>
      <c r="G2374" s="1444" t="n">
        <v>0.1</v>
      </c>
      <c r="H2374" s="1105" t="n">
        <f aca="false">E2374*F2374*G2374</f>
        <v>217200</v>
      </c>
      <c r="I2374" s="1105" t="n">
        <f aca="false">F2374-H2374</f>
        <v>-36200</v>
      </c>
      <c r="J2374" s="1105" t="n">
        <f aca="false">F2374*G2374</f>
        <v>18100</v>
      </c>
      <c r="K2374" s="1365" t="n">
        <f aca="false">J2374/1792.8</f>
        <v>10.0959393128068</v>
      </c>
      <c r="L2374" s="547" t="n">
        <v>10</v>
      </c>
      <c r="M2374" s="819" t="n">
        <f aca="false">K2374*L2374/60</f>
        <v>1.68265655213446</v>
      </c>
    </row>
    <row r="2375" customFormat="false" ht="30" hidden="false" customHeight="false" outlineLevel="0" collapsed="false">
      <c r="A2375" s="216"/>
      <c r="B2375" s="40"/>
      <c r="C2375" s="1409" t="s">
        <v>6967</v>
      </c>
      <c r="D2375" s="569" t="n">
        <v>2016</v>
      </c>
      <c r="E2375" s="569" t="n">
        <f aca="false">2021-D2375</f>
        <v>5</v>
      </c>
      <c r="F2375" s="1105" t="n">
        <v>2302000</v>
      </c>
      <c r="G2375" s="1444" t="n">
        <v>0.1</v>
      </c>
      <c r="H2375" s="1105" t="n">
        <f aca="false">E2375*F2375*G2375</f>
        <v>1151000</v>
      </c>
      <c r="I2375" s="1105" t="n">
        <f aca="false">F2375-H2375</f>
        <v>1151000</v>
      </c>
      <c r="J2375" s="1105" t="n">
        <f aca="false">F2375*G2375</f>
        <v>230200</v>
      </c>
      <c r="K2375" s="1365" t="n">
        <f aca="false">J2375/1792.8</f>
        <v>128.402498884427</v>
      </c>
      <c r="L2375" s="547" t="n">
        <v>10</v>
      </c>
      <c r="M2375" s="819" t="n">
        <f aca="false">K2375*L2375/60</f>
        <v>21.4004164807378</v>
      </c>
    </row>
    <row r="2376" customFormat="false" ht="15" hidden="false" customHeight="false" outlineLevel="0" collapsed="false">
      <c r="A2376" s="216"/>
      <c r="B2376" s="40"/>
      <c r="C2376" s="1404" t="s">
        <v>7075</v>
      </c>
      <c r="D2376" s="569" t="n">
        <v>2015</v>
      </c>
      <c r="E2376" s="569" t="n">
        <f aca="false">2021-D2376</f>
        <v>6</v>
      </c>
      <c r="F2376" s="1105" t="n">
        <v>1028020</v>
      </c>
      <c r="G2376" s="1444" t="n">
        <v>0.1</v>
      </c>
      <c r="H2376" s="1105" t="n">
        <f aca="false">E2376*F2376*G2376</f>
        <v>616812</v>
      </c>
      <c r="I2376" s="1105" t="n">
        <f aca="false">F2376-H2376</f>
        <v>411208</v>
      </c>
      <c r="J2376" s="1105" t="n">
        <f aca="false">F2376*G2376</f>
        <v>102802</v>
      </c>
      <c r="K2376" s="1365" t="n">
        <f aca="false">J2376/1792.8</f>
        <v>57.3415885765283</v>
      </c>
      <c r="L2376" s="547" t="n">
        <v>60</v>
      </c>
      <c r="M2376" s="819" t="n">
        <f aca="false">K2376*L2376/60</f>
        <v>57.3415885765283</v>
      </c>
    </row>
    <row r="2377" customFormat="false" ht="30" hidden="false" customHeight="false" outlineLevel="0" collapsed="false">
      <c r="A2377" s="216"/>
      <c r="B2377" s="40"/>
      <c r="C2377" s="1404" t="s">
        <v>7073</v>
      </c>
      <c r="D2377" s="569" t="n">
        <v>2005</v>
      </c>
      <c r="E2377" s="569" t="n">
        <f aca="false">2021-D2377</f>
        <v>16</v>
      </c>
      <c r="F2377" s="1105" t="n">
        <v>39263</v>
      </c>
      <c r="G2377" s="1444" t="n">
        <v>0.15</v>
      </c>
      <c r="H2377" s="1105" t="n">
        <f aca="false">E2377*F2377*G2377</f>
        <v>94231.2</v>
      </c>
      <c r="I2377" s="1105" t="n">
        <f aca="false">F2377-H2377</f>
        <v>-54968.2</v>
      </c>
      <c r="J2377" s="1105" t="n">
        <f aca="false">F2377*G2377</f>
        <v>5889.45</v>
      </c>
      <c r="K2377" s="1365" t="n">
        <f aca="false">J2377/1792.8</f>
        <v>3.28505689424364</v>
      </c>
      <c r="L2377" s="547" t="n">
        <v>10</v>
      </c>
      <c r="M2377" s="819" t="n">
        <f aca="false">K2377*L2377/60</f>
        <v>0.54750948237394</v>
      </c>
    </row>
    <row r="2378" customFormat="false" ht="30" hidden="false" customHeight="false" outlineLevel="0" collapsed="false">
      <c r="A2378" s="216"/>
      <c r="B2378" s="40"/>
      <c r="C2378" s="1404" t="s">
        <v>7078</v>
      </c>
      <c r="D2378" s="569" t="n">
        <v>2012</v>
      </c>
      <c r="E2378" s="569" t="n">
        <f aca="false">2021-D2378</f>
        <v>9</v>
      </c>
      <c r="F2378" s="1105" t="n">
        <v>12268394.74</v>
      </c>
      <c r="G2378" s="1444" t="n">
        <v>0.1</v>
      </c>
      <c r="H2378" s="1105" t="n">
        <f aca="false">E2378*F2378*G2378</f>
        <v>11041555.266</v>
      </c>
      <c r="I2378" s="1105" t="n">
        <f aca="false">F2378-H2378</f>
        <v>1226839.474</v>
      </c>
      <c r="J2378" s="1105" t="n">
        <f aca="false">F2378*G2378</f>
        <v>1226839.474</v>
      </c>
      <c r="K2378" s="1365" t="n">
        <f aca="false">J2378/1792.8</f>
        <v>684.31474453369</v>
      </c>
      <c r="L2378" s="547" t="n">
        <v>120</v>
      </c>
      <c r="M2378" s="819" t="n">
        <f aca="false">K2378*L2378/60</f>
        <v>1368.62948906738</v>
      </c>
    </row>
    <row r="2379" customFormat="false" ht="15" hidden="false" customHeight="false" outlineLevel="0" collapsed="false">
      <c r="A2379" s="216"/>
      <c r="B2379" s="1053" t="s">
        <v>4128</v>
      </c>
      <c r="C2379" s="1404"/>
      <c r="D2379" s="569"/>
      <c r="E2379" s="569"/>
      <c r="F2379" s="1105"/>
      <c r="G2379" s="1444"/>
      <c r="H2379" s="1105"/>
      <c r="I2379" s="1105"/>
      <c r="J2379" s="1105"/>
      <c r="K2379" s="1365" t="n">
        <f aca="false">J2379/1792.8</f>
        <v>0</v>
      </c>
      <c r="L2379" s="714" t="n">
        <f aca="false">SUM(L2370:L2378)</f>
        <v>280</v>
      </c>
      <c r="M2379" s="934" t="n">
        <f aca="false">SUM(M2370:M2378)</f>
        <v>1466.93890729585</v>
      </c>
    </row>
    <row r="2380" customFormat="false" ht="30" hidden="false" customHeight="false" outlineLevel="0" collapsed="false">
      <c r="A2380" s="216" t="s">
        <v>1149</v>
      </c>
      <c r="B2380" s="40" t="s">
        <v>3307</v>
      </c>
      <c r="C2380" s="1404" t="s">
        <v>7070</v>
      </c>
      <c r="D2380" s="569" t="n">
        <v>2009</v>
      </c>
      <c r="E2380" s="569" t="n">
        <f aca="false">2021-D2380</f>
        <v>12</v>
      </c>
      <c r="F2380" s="1105" t="n">
        <v>181000</v>
      </c>
      <c r="G2380" s="1444" t="n">
        <v>0.1</v>
      </c>
      <c r="H2380" s="1105" t="n">
        <f aca="false">E2380*F2380*G2380</f>
        <v>217200</v>
      </c>
      <c r="I2380" s="1105" t="n">
        <f aca="false">F2380-H2380</f>
        <v>-36200</v>
      </c>
      <c r="J2380" s="1105" t="n">
        <f aca="false">F2380*G2380</f>
        <v>18100</v>
      </c>
      <c r="K2380" s="1365" t="n">
        <f aca="false">J2380/1792.8</f>
        <v>10.0959393128068</v>
      </c>
      <c r="L2380" s="547" t="n">
        <v>20</v>
      </c>
      <c r="M2380" s="819" t="n">
        <f aca="false">K2380*L2380/60</f>
        <v>3.36531310426893</v>
      </c>
    </row>
    <row r="2381" customFormat="false" ht="30" hidden="false" customHeight="false" outlineLevel="0" collapsed="false">
      <c r="A2381" s="216"/>
      <c r="B2381" s="40"/>
      <c r="C2381" s="1404" t="s">
        <v>6963</v>
      </c>
      <c r="D2381" s="1405" t="n">
        <v>2007</v>
      </c>
      <c r="E2381" s="1405" t="n">
        <f aca="false">2021-D2381</f>
        <v>14</v>
      </c>
      <c r="F2381" s="1406" t="n">
        <v>176358</v>
      </c>
      <c r="G2381" s="1407" t="n">
        <v>0.1</v>
      </c>
      <c r="H2381" s="1410" t="n">
        <f aca="false">E2381*F2381*G2381</f>
        <v>246901.2</v>
      </c>
      <c r="I2381" s="1410" t="n">
        <f aca="false">F2381-H2381</f>
        <v>-70543.2</v>
      </c>
      <c r="J2381" s="1410" t="n">
        <f aca="false">F2381*G2381</f>
        <v>17635.8</v>
      </c>
      <c r="K2381" s="1365" t="n">
        <f aca="false">J2381/1792.8</f>
        <v>9.83701472556894</v>
      </c>
      <c r="L2381" s="1445" t="n">
        <v>10</v>
      </c>
      <c r="M2381" s="1408" t="n">
        <f aca="false">K2381*L2381/60</f>
        <v>1.63950245426149</v>
      </c>
    </row>
    <row r="2382" customFormat="false" ht="30" hidden="false" customHeight="false" outlineLevel="0" collapsed="false">
      <c r="A2382" s="216"/>
      <c r="B2382" s="40"/>
      <c r="C2382" s="1404" t="s">
        <v>6959</v>
      </c>
      <c r="D2382" s="1405" t="n">
        <v>2007</v>
      </c>
      <c r="E2382" s="1405" t="n">
        <f aca="false">2021-D2382</f>
        <v>14</v>
      </c>
      <c r="F2382" s="1406" t="n">
        <v>350000</v>
      </c>
      <c r="G2382" s="1407" t="n">
        <v>0.1</v>
      </c>
      <c r="H2382" s="1410" t="n">
        <f aca="false">E2382*F2382*G2382</f>
        <v>490000</v>
      </c>
      <c r="I2382" s="1410" t="n">
        <f aca="false">F2382-H2382</f>
        <v>-140000</v>
      </c>
      <c r="J2382" s="1410" t="n">
        <f aca="false">F2382*G2382</f>
        <v>35000</v>
      </c>
      <c r="K2382" s="1365" t="n">
        <f aca="false">J2382/1792.8</f>
        <v>19.5225345827755</v>
      </c>
      <c r="L2382" s="1445" t="n">
        <v>10</v>
      </c>
      <c r="M2382" s="1408" t="n">
        <f aca="false">K2382*L2382/60</f>
        <v>3.25375576379592</v>
      </c>
    </row>
    <row r="2383" customFormat="false" ht="30" hidden="false" customHeight="false" outlineLevel="0" collapsed="false">
      <c r="A2383" s="216"/>
      <c r="B2383" s="40"/>
      <c r="C2383" s="1161" t="s">
        <v>7071</v>
      </c>
      <c r="D2383" s="912" t="n">
        <v>2006</v>
      </c>
      <c r="E2383" s="912" t="n">
        <f aca="false">2021-D2383</f>
        <v>15</v>
      </c>
      <c r="F2383" s="547" t="n">
        <v>138575</v>
      </c>
      <c r="G2383" s="1413" t="n">
        <v>0.1</v>
      </c>
      <c r="H2383" s="547" t="n">
        <f aca="false">E2383*F2383*G2383</f>
        <v>207862.5</v>
      </c>
      <c r="I2383" s="547" t="n">
        <f aca="false">F2383-H2383</f>
        <v>-69287.5</v>
      </c>
      <c r="J2383" s="547" t="n">
        <f aca="false">F2383*G2383</f>
        <v>13857.5</v>
      </c>
      <c r="K2383" s="1365" t="n">
        <f aca="false">J2383/1792.8</f>
        <v>7.7295292280232</v>
      </c>
      <c r="L2383" s="547" t="n">
        <v>20</v>
      </c>
      <c r="M2383" s="819" t="n">
        <f aca="false">K2383*L2383/60</f>
        <v>2.5765097426744</v>
      </c>
    </row>
    <row r="2384" customFormat="false" ht="30" hidden="false" customHeight="false" outlineLevel="0" collapsed="false">
      <c r="A2384" s="216"/>
      <c r="B2384" s="40"/>
      <c r="C2384" s="1404" t="s">
        <v>7072</v>
      </c>
      <c r="D2384" s="569" t="n">
        <v>2013</v>
      </c>
      <c r="E2384" s="569" t="n">
        <f aca="false">2021-D2384</f>
        <v>8</v>
      </c>
      <c r="F2384" s="1105" t="n">
        <v>300000</v>
      </c>
      <c r="G2384" s="1444" t="n">
        <v>0.1</v>
      </c>
      <c r="H2384" s="1105" t="n">
        <f aca="false">E2384*F2384*G2384</f>
        <v>240000</v>
      </c>
      <c r="I2384" s="1105" t="n">
        <f aca="false">F2384-H2384</f>
        <v>60000</v>
      </c>
      <c r="J2384" s="1105" t="n">
        <f aca="false">F2384*G2384</f>
        <v>30000</v>
      </c>
      <c r="K2384" s="1365" t="n">
        <f aca="false">J2384/1792.8</f>
        <v>16.7336010709505</v>
      </c>
      <c r="L2384" s="1105" t="n">
        <v>20</v>
      </c>
      <c r="M2384" s="865" t="n">
        <f aca="false">K2384*L2384/60</f>
        <v>5.57786702365016</v>
      </c>
    </row>
    <row r="2385" customFormat="false" ht="30" hidden="false" customHeight="false" outlineLevel="0" collapsed="false">
      <c r="A2385" s="216"/>
      <c r="B2385" s="40"/>
      <c r="C2385" s="1409" t="s">
        <v>6967</v>
      </c>
      <c r="D2385" s="569" t="n">
        <v>2016</v>
      </c>
      <c r="E2385" s="569" t="n">
        <f aca="false">2021-D2385</f>
        <v>5</v>
      </c>
      <c r="F2385" s="1105" t="n">
        <v>2302000</v>
      </c>
      <c r="G2385" s="1444" t="n">
        <v>0.1</v>
      </c>
      <c r="H2385" s="1105" t="n">
        <f aca="false">E2385*F2385*G2385</f>
        <v>1151000</v>
      </c>
      <c r="I2385" s="1105" t="n">
        <f aca="false">F2385-H2385</f>
        <v>1151000</v>
      </c>
      <c r="J2385" s="1105" t="n">
        <f aca="false">F2385*G2385</f>
        <v>230200</v>
      </c>
      <c r="K2385" s="1365" t="n">
        <f aca="false">J2385/1792.8</f>
        <v>128.402498884427</v>
      </c>
      <c r="L2385" s="1105" t="n">
        <v>20</v>
      </c>
      <c r="M2385" s="865" t="n">
        <f aca="false">K2385*L2385/60</f>
        <v>42.8008329614755</v>
      </c>
    </row>
    <row r="2386" customFormat="false" ht="15" hidden="false" customHeight="false" outlineLevel="0" collapsed="false">
      <c r="A2386" s="216"/>
      <c r="B2386" s="40"/>
      <c r="C2386" s="1404" t="s">
        <v>7075</v>
      </c>
      <c r="D2386" s="569" t="n">
        <v>2015</v>
      </c>
      <c r="E2386" s="569" t="n">
        <f aca="false">2021-D2386</f>
        <v>6</v>
      </c>
      <c r="F2386" s="1105" t="n">
        <v>1028020</v>
      </c>
      <c r="G2386" s="1444" t="n">
        <v>0.1</v>
      </c>
      <c r="H2386" s="1105" t="n">
        <f aca="false">E2386*F2386*G2386</f>
        <v>616812</v>
      </c>
      <c r="I2386" s="1105" t="n">
        <f aca="false">F2386-H2386</f>
        <v>411208</v>
      </c>
      <c r="J2386" s="1105" t="n">
        <f aca="false">F2386*G2386</f>
        <v>102802</v>
      </c>
      <c r="K2386" s="1365" t="n">
        <f aca="false">J2386/1792.8</f>
        <v>57.3415885765283</v>
      </c>
      <c r="L2386" s="1105" t="n">
        <v>60</v>
      </c>
      <c r="M2386" s="865" t="n">
        <f aca="false">K2386*L2386/60</f>
        <v>57.3415885765283</v>
      </c>
    </row>
    <row r="2387" customFormat="false" ht="15" hidden="false" customHeight="false" outlineLevel="0" collapsed="false">
      <c r="A2387" s="216"/>
      <c r="B2387" s="40"/>
      <c r="C2387" s="1404" t="s">
        <v>6975</v>
      </c>
      <c r="D2387" s="569" t="n">
        <v>2006</v>
      </c>
      <c r="E2387" s="569" t="n">
        <f aca="false">2021-D2387</f>
        <v>15</v>
      </c>
      <c r="F2387" s="1105" t="n">
        <v>237440</v>
      </c>
      <c r="G2387" s="1444" t="n">
        <v>0.1</v>
      </c>
      <c r="H2387" s="1105" t="n">
        <f aca="false">E2387*F2387*G2387</f>
        <v>356160</v>
      </c>
      <c r="I2387" s="1105" t="n">
        <f aca="false">F2387-H2387</f>
        <v>-118720</v>
      </c>
      <c r="J2387" s="1105" t="n">
        <f aca="false">F2387*G2387</f>
        <v>23744</v>
      </c>
      <c r="K2387" s="1365" t="n">
        <f aca="false">J2387/1792.8</f>
        <v>13.2440874609549</v>
      </c>
      <c r="L2387" s="1105" t="n">
        <v>30</v>
      </c>
      <c r="M2387" s="865" t="n">
        <f aca="false">K2387*L2387/60</f>
        <v>6.62204373047747</v>
      </c>
    </row>
    <row r="2388" customFormat="false" ht="30" hidden="false" customHeight="false" outlineLevel="0" collapsed="false">
      <c r="A2388" s="216"/>
      <c r="B2388" s="40"/>
      <c r="C2388" s="1161" t="s">
        <v>7074</v>
      </c>
      <c r="D2388" s="912" t="n">
        <v>2003</v>
      </c>
      <c r="E2388" s="912" t="n">
        <f aca="false">2021-D2388</f>
        <v>18</v>
      </c>
      <c r="F2388" s="547" t="n">
        <v>2471090</v>
      </c>
      <c r="G2388" s="1413" t="n">
        <v>0.1</v>
      </c>
      <c r="H2388" s="547" t="n">
        <f aca="false">E2388*F2388*G2388</f>
        <v>4447962</v>
      </c>
      <c r="I2388" s="547" t="n">
        <f aca="false">F2388-H2388</f>
        <v>-1976872</v>
      </c>
      <c r="J2388" s="547" t="n">
        <f aca="false">F2388*G2388</f>
        <v>247109</v>
      </c>
      <c r="K2388" s="1365" t="n">
        <f aca="false">J2388/1792.8</f>
        <v>137.834114234717</v>
      </c>
      <c r="L2388" s="547" t="n">
        <v>120</v>
      </c>
      <c r="M2388" s="819" t="n">
        <f aca="false">K2388*L2388/60</f>
        <v>275.668228469433</v>
      </c>
    </row>
    <row r="2389" customFormat="false" ht="15" hidden="false" customHeight="false" outlineLevel="0" collapsed="false">
      <c r="A2389" s="216"/>
      <c r="B2389" s="1053" t="s">
        <v>4128</v>
      </c>
      <c r="C2389" s="1161"/>
      <c r="D2389" s="912"/>
      <c r="E2389" s="912"/>
      <c r="F2389" s="547"/>
      <c r="G2389" s="1413"/>
      <c r="H2389" s="547"/>
      <c r="I2389" s="547"/>
      <c r="J2389" s="547"/>
      <c r="K2389" s="1365" t="n">
        <f aca="false">J2389/1792.8</f>
        <v>0</v>
      </c>
      <c r="L2389" s="714" t="n">
        <f aca="false">SUM(L2380:L2388)</f>
        <v>310</v>
      </c>
      <c r="M2389" s="934" t="n">
        <f aca="false">SUM(M2380:M2388)</f>
        <v>398.845641826566</v>
      </c>
    </row>
    <row r="2390" customFormat="false" ht="30" hidden="false" customHeight="false" outlineLevel="0" collapsed="false">
      <c r="A2390" s="216" t="s">
        <v>1150</v>
      </c>
      <c r="B2390" s="40" t="s">
        <v>3315</v>
      </c>
      <c r="C2390" s="1161" t="s">
        <v>7071</v>
      </c>
      <c r="D2390" s="912" t="n">
        <v>2006</v>
      </c>
      <c r="E2390" s="912" t="n">
        <f aca="false">2021-D2390</f>
        <v>15</v>
      </c>
      <c r="F2390" s="547" t="n">
        <v>138575</v>
      </c>
      <c r="G2390" s="1413" t="n">
        <v>0.1</v>
      </c>
      <c r="H2390" s="547" t="n">
        <f aca="false">E2390*F2390*G2390</f>
        <v>207862.5</v>
      </c>
      <c r="I2390" s="547" t="n">
        <f aca="false">F2390-H2390</f>
        <v>-69287.5</v>
      </c>
      <c r="J2390" s="547" t="n">
        <f aca="false">F2390*G2390</f>
        <v>13857.5</v>
      </c>
      <c r="K2390" s="1365" t="n">
        <f aca="false">J2390/1792.8</f>
        <v>7.7295292280232</v>
      </c>
      <c r="L2390" s="547" t="n">
        <v>10</v>
      </c>
      <c r="M2390" s="819" t="n">
        <f aca="false">K2390*L2390/60</f>
        <v>1.2882548713372</v>
      </c>
    </row>
    <row r="2391" customFormat="false" ht="30" hidden="false" customHeight="false" outlineLevel="0" collapsed="false">
      <c r="A2391" s="216"/>
      <c r="B2391" s="40"/>
      <c r="C2391" s="1404" t="s">
        <v>6963</v>
      </c>
      <c r="D2391" s="1405" t="n">
        <v>2007</v>
      </c>
      <c r="E2391" s="1405" t="n">
        <f aca="false">2021-D2391</f>
        <v>14</v>
      </c>
      <c r="F2391" s="1406" t="n">
        <v>176358</v>
      </c>
      <c r="G2391" s="1407" t="n">
        <v>0.1</v>
      </c>
      <c r="H2391" s="1410" t="n">
        <f aca="false">E2391*F2391*G2391</f>
        <v>246901.2</v>
      </c>
      <c r="I2391" s="1410" t="n">
        <f aca="false">F2391-H2391</f>
        <v>-70543.2</v>
      </c>
      <c r="J2391" s="1410" t="n">
        <f aca="false">F2391*G2391</f>
        <v>17635.8</v>
      </c>
      <c r="K2391" s="1365" t="n">
        <f aca="false">J2391/1792.8</f>
        <v>9.83701472556894</v>
      </c>
      <c r="L2391" s="1445" t="n">
        <v>10</v>
      </c>
      <c r="M2391" s="1408" t="n">
        <f aca="false">K2391*L2391/60</f>
        <v>1.63950245426149</v>
      </c>
    </row>
    <row r="2392" customFormat="false" ht="30" hidden="false" customHeight="false" outlineLevel="0" collapsed="false">
      <c r="A2392" s="216"/>
      <c r="B2392" s="40"/>
      <c r="C2392" s="1404" t="s">
        <v>6959</v>
      </c>
      <c r="D2392" s="1405" t="n">
        <v>2007</v>
      </c>
      <c r="E2392" s="1405" t="n">
        <f aca="false">2021-D2392</f>
        <v>14</v>
      </c>
      <c r="F2392" s="1406" t="n">
        <v>350000</v>
      </c>
      <c r="G2392" s="1407" t="n">
        <v>0.1</v>
      </c>
      <c r="H2392" s="1410" t="n">
        <f aca="false">E2392*F2392*G2392</f>
        <v>490000</v>
      </c>
      <c r="I2392" s="1410" t="n">
        <f aca="false">F2392-H2392</f>
        <v>-140000</v>
      </c>
      <c r="J2392" s="1410" t="n">
        <f aca="false">F2392*G2392</f>
        <v>35000</v>
      </c>
      <c r="K2392" s="1365" t="n">
        <f aca="false">J2392/1792.8</f>
        <v>19.5225345827755</v>
      </c>
      <c r="L2392" s="1445" t="n">
        <v>10</v>
      </c>
      <c r="M2392" s="1408" t="n">
        <f aca="false">K2392*L2392/60</f>
        <v>3.25375576379592</v>
      </c>
    </row>
    <row r="2393" customFormat="false" ht="30" hidden="false" customHeight="false" outlineLevel="0" collapsed="false">
      <c r="A2393" s="216"/>
      <c r="B2393" s="40"/>
      <c r="C2393" s="1404" t="s">
        <v>7072</v>
      </c>
      <c r="D2393" s="569" t="n">
        <v>2013</v>
      </c>
      <c r="E2393" s="569" t="n">
        <f aca="false">2021-D2393</f>
        <v>8</v>
      </c>
      <c r="F2393" s="1105" t="n">
        <v>300000</v>
      </c>
      <c r="G2393" s="1444" t="n">
        <v>0.1</v>
      </c>
      <c r="H2393" s="1105" t="n">
        <f aca="false">E2393*F2393*G2393</f>
        <v>240000</v>
      </c>
      <c r="I2393" s="1105" t="n">
        <f aca="false">F2393-H2393</f>
        <v>60000</v>
      </c>
      <c r="J2393" s="1105" t="n">
        <f aca="false">F2393*G2393</f>
        <v>30000</v>
      </c>
      <c r="K2393" s="1365" t="n">
        <f aca="false">J2393/1792.8</f>
        <v>16.7336010709505</v>
      </c>
      <c r="L2393" s="1105" t="n">
        <v>10</v>
      </c>
      <c r="M2393" s="865" t="n">
        <f aca="false">K2393*L2393/60</f>
        <v>2.78893351182508</v>
      </c>
    </row>
    <row r="2394" customFormat="false" ht="30" hidden="false" customHeight="false" outlineLevel="0" collapsed="false">
      <c r="A2394" s="216"/>
      <c r="B2394" s="40"/>
      <c r="C2394" s="1404" t="s">
        <v>7070</v>
      </c>
      <c r="D2394" s="569" t="n">
        <v>2009</v>
      </c>
      <c r="E2394" s="569" t="n">
        <f aca="false">2021-D2394</f>
        <v>12</v>
      </c>
      <c r="F2394" s="1105" t="n">
        <v>181000</v>
      </c>
      <c r="G2394" s="1444" t="n">
        <v>0.1</v>
      </c>
      <c r="H2394" s="1105" t="n">
        <f aca="false">E2394*F2394*G2394</f>
        <v>217200</v>
      </c>
      <c r="I2394" s="1105" t="n">
        <f aca="false">F2394-H2394</f>
        <v>-36200</v>
      </c>
      <c r="J2394" s="1105" t="n">
        <f aca="false">F2394*G2394</f>
        <v>18100</v>
      </c>
      <c r="K2394" s="1365" t="n">
        <f aca="false">J2394/1792.8</f>
        <v>10.0959393128068</v>
      </c>
      <c r="L2394" s="547" t="n">
        <v>10</v>
      </c>
      <c r="M2394" s="819" t="n">
        <f aca="false">K2394*L2394/60</f>
        <v>1.68265655213446</v>
      </c>
    </row>
    <row r="2395" customFormat="false" ht="30" hidden="false" customHeight="false" outlineLevel="0" collapsed="false">
      <c r="A2395" s="216"/>
      <c r="B2395" s="40"/>
      <c r="C2395" s="1409" t="s">
        <v>6967</v>
      </c>
      <c r="D2395" s="569" t="n">
        <v>2016</v>
      </c>
      <c r="E2395" s="569" t="n">
        <f aca="false">2021-D2395</f>
        <v>5</v>
      </c>
      <c r="F2395" s="1105" t="n">
        <v>2302000</v>
      </c>
      <c r="G2395" s="1444" t="n">
        <v>0.1</v>
      </c>
      <c r="H2395" s="1105" t="n">
        <f aca="false">E2395*F2395*G2395</f>
        <v>1151000</v>
      </c>
      <c r="I2395" s="1105" t="n">
        <f aca="false">F2395-H2395</f>
        <v>1151000</v>
      </c>
      <c r="J2395" s="1105" t="n">
        <f aca="false">F2395*G2395</f>
        <v>230200</v>
      </c>
      <c r="K2395" s="1365" t="n">
        <f aca="false">J2395/1792.8</f>
        <v>128.402498884427</v>
      </c>
      <c r="L2395" s="547" t="n">
        <v>10</v>
      </c>
      <c r="M2395" s="819" t="n">
        <f aca="false">K2395*L2395/60</f>
        <v>21.4004164807378</v>
      </c>
    </row>
    <row r="2396" customFormat="false" ht="15" hidden="false" customHeight="false" outlineLevel="0" collapsed="false">
      <c r="A2396" s="216"/>
      <c r="B2396" s="40"/>
      <c r="C2396" s="1404" t="s">
        <v>7075</v>
      </c>
      <c r="D2396" s="569" t="n">
        <v>2015</v>
      </c>
      <c r="E2396" s="569" t="n">
        <f aca="false">2021-D2396</f>
        <v>6</v>
      </c>
      <c r="F2396" s="1105" t="n">
        <v>1028020</v>
      </c>
      <c r="G2396" s="1444" t="n">
        <v>0.1</v>
      </c>
      <c r="H2396" s="1105" t="n">
        <f aca="false">E2396*F2396*G2396</f>
        <v>616812</v>
      </c>
      <c r="I2396" s="1105" t="n">
        <f aca="false">F2396-H2396</f>
        <v>411208</v>
      </c>
      <c r="J2396" s="1105" t="n">
        <f aca="false">F2396*G2396</f>
        <v>102802</v>
      </c>
      <c r="K2396" s="1365" t="n">
        <f aca="false">J2396/1792.8</f>
        <v>57.3415885765283</v>
      </c>
      <c r="L2396" s="547" t="n">
        <v>60</v>
      </c>
      <c r="M2396" s="819" t="n">
        <f aca="false">K2396*L2396/60</f>
        <v>57.3415885765283</v>
      </c>
    </row>
    <row r="2397" customFormat="false" ht="30" hidden="false" customHeight="false" outlineLevel="0" collapsed="false">
      <c r="A2397" s="216"/>
      <c r="B2397" s="40"/>
      <c r="C2397" s="1404" t="s">
        <v>7073</v>
      </c>
      <c r="D2397" s="569" t="n">
        <v>2005</v>
      </c>
      <c r="E2397" s="569" t="n">
        <f aca="false">2021-D2397</f>
        <v>16</v>
      </c>
      <c r="F2397" s="1105" t="n">
        <v>39263</v>
      </c>
      <c r="G2397" s="1444" t="n">
        <v>0.15</v>
      </c>
      <c r="H2397" s="1105" t="n">
        <f aca="false">E2397*F2397*G2397</f>
        <v>94231.2</v>
      </c>
      <c r="I2397" s="1105" t="n">
        <f aca="false">F2397-H2397</f>
        <v>-54968.2</v>
      </c>
      <c r="J2397" s="1105" t="n">
        <f aca="false">F2397*G2397</f>
        <v>5889.45</v>
      </c>
      <c r="K2397" s="1365" t="n">
        <f aca="false">J2397/1792.8</f>
        <v>3.28505689424364</v>
      </c>
      <c r="L2397" s="547" t="n">
        <v>10</v>
      </c>
      <c r="M2397" s="819" t="n">
        <f aca="false">K2397*L2397/60</f>
        <v>0.54750948237394</v>
      </c>
    </row>
    <row r="2398" customFormat="false" ht="30" hidden="false" customHeight="false" outlineLevel="0" collapsed="false">
      <c r="A2398" s="216"/>
      <c r="B2398" s="40"/>
      <c r="C2398" s="1404" t="s">
        <v>7078</v>
      </c>
      <c r="D2398" s="569" t="n">
        <v>2012</v>
      </c>
      <c r="E2398" s="569" t="n">
        <f aca="false">2021-D2398</f>
        <v>9</v>
      </c>
      <c r="F2398" s="1105" t="n">
        <v>12268394.74</v>
      </c>
      <c r="G2398" s="1444" t="n">
        <v>0.1</v>
      </c>
      <c r="H2398" s="1105" t="n">
        <f aca="false">E2398*F2398*G2398</f>
        <v>11041555.266</v>
      </c>
      <c r="I2398" s="1105" t="n">
        <f aca="false">F2398-H2398</f>
        <v>1226839.474</v>
      </c>
      <c r="J2398" s="1105" t="n">
        <f aca="false">F2398*G2398</f>
        <v>1226839.474</v>
      </c>
      <c r="K2398" s="1365" t="n">
        <f aca="false">J2398/1792.8</f>
        <v>684.31474453369</v>
      </c>
      <c r="L2398" s="547" t="n">
        <v>130</v>
      </c>
      <c r="M2398" s="819" t="n">
        <f aca="false">K2398*L2398/60</f>
        <v>1482.68194648966</v>
      </c>
    </row>
    <row r="2399" customFormat="false" ht="15" hidden="false" customHeight="false" outlineLevel="0" collapsed="false">
      <c r="A2399" s="216"/>
      <c r="B2399" s="1053" t="s">
        <v>4128</v>
      </c>
      <c r="C2399" s="1161"/>
      <c r="D2399" s="912"/>
      <c r="E2399" s="912"/>
      <c r="F2399" s="547"/>
      <c r="G2399" s="1413"/>
      <c r="H2399" s="547"/>
      <c r="I2399" s="547"/>
      <c r="J2399" s="547"/>
      <c r="K2399" s="1365" t="n">
        <f aca="false">J2399/1792.8</f>
        <v>0</v>
      </c>
      <c r="L2399" s="714" t="n">
        <f aca="false">SUM(L2390:L2398)</f>
        <v>260</v>
      </c>
      <c r="M2399" s="934" t="n">
        <f aca="false">SUM(M2390:M2398)</f>
        <v>1572.62456418266</v>
      </c>
    </row>
    <row r="2400" customFormat="false" ht="45" hidden="false" customHeight="false" outlineLevel="0" collapsed="false">
      <c r="A2400" s="216" t="s">
        <v>1151</v>
      </c>
      <c r="B2400" s="335" t="s">
        <v>3314</v>
      </c>
      <c r="C2400" s="1161" t="s">
        <v>7071</v>
      </c>
      <c r="D2400" s="912" t="n">
        <v>2006</v>
      </c>
      <c r="E2400" s="912" t="n">
        <f aca="false">2021-D2400</f>
        <v>15</v>
      </c>
      <c r="F2400" s="547" t="n">
        <v>138575</v>
      </c>
      <c r="G2400" s="1413" t="n">
        <v>0.1</v>
      </c>
      <c r="H2400" s="547" t="n">
        <f aca="false">E2400*F2400*G2400</f>
        <v>207862.5</v>
      </c>
      <c r="I2400" s="547" t="n">
        <f aca="false">F2400-H2400</f>
        <v>-69287.5</v>
      </c>
      <c r="J2400" s="547" t="n">
        <f aca="false">F2400*G2400</f>
        <v>13857.5</v>
      </c>
      <c r="K2400" s="1365" t="n">
        <f aca="false">J2400/1792.8</f>
        <v>7.7295292280232</v>
      </c>
      <c r="L2400" s="547" t="n">
        <v>20</v>
      </c>
      <c r="M2400" s="819" t="n">
        <f aca="false">K2400*L2400/60</f>
        <v>2.5765097426744</v>
      </c>
    </row>
    <row r="2401" customFormat="false" ht="30" hidden="false" customHeight="false" outlineLevel="0" collapsed="false">
      <c r="A2401" s="216"/>
      <c r="B2401" s="40"/>
      <c r="C2401" s="1404" t="s">
        <v>6963</v>
      </c>
      <c r="D2401" s="1405" t="n">
        <v>2007</v>
      </c>
      <c r="E2401" s="1405" t="n">
        <f aca="false">2021-D2401</f>
        <v>14</v>
      </c>
      <c r="F2401" s="1406" t="n">
        <v>176358</v>
      </c>
      <c r="G2401" s="1407" t="n">
        <v>0.1</v>
      </c>
      <c r="H2401" s="1410" t="n">
        <f aca="false">E2401*F2401*G2401</f>
        <v>246901.2</v>
      </c>
      <c r="I2401" s="1410" t="n">
        <f aca="false">F2401-H2401</f>
        <v>-70543.2</v>
      </c>
      <c r="J2401" s="1410" t="n">
        <f aca="false">F2401*G2401</f>
        <v>17635.8</v>
      </c>
      <c r="K2401" s="1365" t="n">
        <f aca="false">J2401/1792.8</f>
        <v>9.83701472556894</v>
      </c>
      <c r="L2401" s="1445" t="n">
        <v>10</v>
      </c>
      <c r="M2401" s="1408" t="n">
        <f aca="false">K2401*L2401/60</f>
        <v>1.63950245426149</v>
      </c>
    </row>
    <row r="2402" customFormat="false" ht="30" hidden="false" customHeight="false" outlineLevel="0" collapsed="false">
      <c r="A2402" s="216"/>
      <c r="B2402" s="40"/>
      <c r="C2402" s="1404" t="s">
        <v>6959</v>
      </c>
      <c r="D2402" s="1405" t="n">
        <v>2007</v>
      </c>
      <c r="E2402" s="1405" t="n">
        <f aca="false">2021-D2402</f>
        <v>14</v>
      </c>
      <c r="F2402" s="1406" t="n">
        <v>350000</v>
      </c>
      <c r="G2402" s="1407" t="n">
        <v>0.1</v>
      </c>
      <c r="H2402" s="1410" t="n">
        <f aca="false">E2402*F2402*G2402</f>
        <v>490000</v>
      </c>
      <c r="I2402" s="1410" t="n">
        <f aca="false">F2402-H2402</f>
        <v>-140000</v>
      </c>
      <c r="J2402" s="1410" t="n">
        <f aca="false">F2402*G2402</f>
        <v>35000</v>
      </c>
      <c r="K2402" s="1365" t="n">
        <f aca="false">J2402/1792.8</f>
        <v>19.5225345827755</v>
      </c>
      <c r="L2402" s="1445" t="n">
        <v>10</v>
      </c>
      <c r="M2402" s="1408" t="n">
        <f aca="false">K2402*L2402/60</f>
        <v>3.25375576379592</v>
      </c>
    </row>
    <row r="2403" customFormat="false" ht="30" hidden="false" customHeight="false" outlineLevel="0" collapsed="false">
      <c r="A2403" s="216"/>
      <c r="B2403" s="40"/>
      <c r="C2403" s="1404" t="s">
        <v>7072</v>
      </c>
      <c r="D2403" s="569" t="n">
        <v>2013</v>
      </c>
      <c r="E2403" s="569" t="n">
        <f aca="false">2021-D2403</f>
        <v>8</v>
      </c>
      <c r="F2403" s="1105" t="n">
        <v>300000</v>
      </c>
      <c r="G2403" s="1444" t="n">
        <v>0.1</v>
      </c>
      <c r="H2403" s="1105" t="n">
        <f aca="false">E2403*F2403*G2403</f>
        <v>240000</v>
      </c>
      <c r="I2403" s="1105" t="n">
        <f aca="false">F2403-H2403</f>
        <v>60000</v>
      </c>
      <c r="J2403" s="1105" t="n">
        <f aca="false">F2403*G2403</f>
        <v>30000</v>
      </c>
      <c r="K2403" s="1365" t="n">
        <f aca="false">J2403/1792.8</f>
        <v>16.7336010709505</v>
      </c>
      <c r="L2403" s="1105" t="n">
        <v>20</v>
      </c>
      <c r="M2403" s="865" t="n">
        <f aca="false">K2403*L2403/60</f>
        <v>5.57786702365016</v>
      </c>
    </row>
    <row r="2404" customFormat="false" ht="30" hidden="false" customHeight="false" outlineLevel="0" collapsed="false">
      <c r="A2404" s="216"/>
      <c r="B2404" s="40"/>
      <c r="C2404" s="1404" t="s">
        <v>7070</v>
      </c>
      <c r="D2404" s="569" t="n">
        <v>2009</v>
      </c>
      <c r="E2404" s="569" t="n">
        <f aca="false">2021-D2404</f>
        <v>12</v>
      </c>
      <c r="F2404" s="1105" t="n">
        <v>181000</v>
      </c>
      <c r="G2404" s="1444" t="n">
        <v>0.1</v>
      </c>
      <c r="H2404" s="1105" t="n">
        <f aca="false">E2404*F2404*G2404</f>
        <v>217200</v>
      </c>
      <c r="I2404" s="1105" t="n">
        <f aca="false">F2404-H2404</f>
        <v>-36200</v>
      </c>
      <c r="J2404" s="1105" t="n">
        <f aca="false">F2404*G2404</f>
        <v>18100</v>
      </c>
      <c r="K2404" s="1365" t="n">
        <f aca="false">J2404/1792.8</f>
        <v>10.0959393128068</v>
      </c>
      <c r="L2404" s="1105" t="n">
        <v>20</v>
      </c>
      <c r="M2404" s="819" t="n">
        <f aca="false">K2404*L2404/60</f>
        <v>3.36531310426893</v>
      </c>
    </row>
    <row r="2405" customFormat="false" ht="30" hidden="false" customHeight="false" outlineLevel="0" collapsed="false">
      <c r="A2405" s="216"/>
      <c r="B2405" s="40"/>
      <c r="C2405" s="1409" t="s">
        <v>6967</v>
      </c>
      <c r="D2405" s="569" t="n">
        <v>2016</v>
      </c>
      <c r="E2405" s="569" t="n">
        <f aca="false">2021-D2405</f>
        <v>5</v>
      </c>
      <c r="F2405" s="1105" t="n">
        <v>2302000</v>
      </c>
      <c r="G2405" s="1444" t="n">
        <v>0.1</v>
      </c>
      <c r="H2405" s="1105" t="n">
        <f aca="false">E2405*F2405*G2405</f>
        <v>1151000</v>
      </c>
      <c r="I2405" s="1105" t="n">
        <f aca="false">F2405-H2405</f>
        <v>1151000</v>
      </c>
      <c r="J2405" s="1105" t="n">
        <f aca="false">F2405*G2405</f>
        <v>230200</v>
      </c>
      <c r="K2405" s="1365" t="n">
        <f aca="false">J2405/1792.8</f>
        <v>128.402498884427</v>
      </c>
      <c r="L2405" s="1105" t="n">
        <v>20</v>
      </c>
      <c r="M2405" s="819" t="n">
        <f aca="false">K2405*L2405/60</f>
        <v>42.8008329614755</v>
      </c>
    </row>
    <row r="2406" customFormat="false" ht="15" hidden="false" customHeight="false" outlineLevel="0" collapsed="false">
      <c r="A2406" s="216"/>
      <c r="B2406" s="40"/>
      <c r="C2406" s="1404" t="s">
        <v>7075</v>
      </c>
      <c r="D2406" s="569" t="n">
        <v>2015</v>
      </c>
      <c r="E2406" s="569" t="n">
        <f aca="false">2021-D2406</f>
        <v>6</v>
      </c>
      <c r="F2406" s="1105" t="n">
        <v>1028020</v>
      </c>
      <c r="G2406" s="1444" t="n">
        <v>0.1</v>
      </c>
      <c r="H2406" s="1105" t="n">
        <f aca="false">E2406*F2406*G2406</f>
        <v>616812</v>
      </c>
      <c r="I2406" s="1105" t="n">
        <f aca="false">F2406-H2406</f>
        <v>411208</v>
      </c>
      <c r="J2406" s="1105" t="n">
        <f aca="false">F2406*G2406</f>
        <v>102802</v>
      </c>
      <c r="K2406" s="1365" t="n">
        <f aca="false">J2406/1792.8</f>
        <v>57.3415885765283</v>
      </c>
      <c r="L2406" s="1105" t="n">
        <v>60</v>
      </c>
      <c r="M2406" s="819" t="n">
        <f aca="false">K2406*L2406/60</f>
        <v>57.3415885765283</v>
      </c>
    </row>
    <row r="2407" customFormat="false" ht="30" hidden="false" customHeight="false" outlineLevel="0" collapsed="false">
      <c r="A2407" s="216"/>
      <c r="B2407" s="40"/>
      <c r="C2407" s="1404" t="s">
        <v>7073</v>
      </c>
      <c r="D2407" s="569" t="n">
        <v>2005</v>
      </c>
      <c r="E2407" s="569" t="n">
        <f aca="false">2021-D2407</f>
        <v>16</v>
      </c>
      <c r="F2407" s="1105" t="n">
        <v>39263</v>
      </c>
      <c r="G2407" s="1444" t="n">
        <v>0.15</v>
      </c>
      <c r="H2407" s="1105" t="n">
        <f aca="false">E2407*F2407*G2407</f>
        <v>94231.2</v>
      </c>
      <c r="I2407" s="1105" t="n">
        <f aca="false">F2407-H2407</f>
        <v>-54968.2</v>
      </c>
      <c r="J2407" s="1105" t="n">
        <f aca="false">F2407*G2407</f>
        <v>5889.45</v>
      </c>
      <c r="K2407" s="1365" t="n">
        <f aca="false">J2407/1792.8</f>
        <v>3.28505689424364</v>
      </c>
      <c r="L2407" s="1105" t="n">
        <v>10</v>
      </c>
      <c r="M2407" s="819" t="n">
        <f aca="false">K2407*L2407/60</f>
        <v>0.54750948237394</v>
      </c>
    </row>
    <row r="2408" customFormat="false" ht="30" hidden="false" customHeight="false" outlineLevel="0" collapsed="false">
      <c r="A2408" s="216"/>
      <c r="B2408" s="40"/>
      <c r="C2408" s="1404" t="s">
        <v>7078</v>
      </c>
      <c r="D2408" s="569" t="n">
        <v>2012</v>
      </c>
      <c r="E2408" s="569" t="n">
        <f aca="false">2021-D2408</f>
        <v>9</v>
      </c>
      <c r="F2408" s="1105" t="n">
        <v>12268394.74</v>
      </c>
      <c r="G2408" s="1444" t="n">
        <v>0.1</v>
      </c>
      <c r="H2408" s="1105" t="n">
        <f aca="false">E2408*F2408*G2408</f>
        <v>11041555.266</v>
      </c>
      <c r="I2408" s="1105" t="n">
        <f aca="false">F2408-H2408</f>
        <v>1226839.474</v>
      </c>
      <c r="J2408" s="1105" t="n">
        <f aca="false">F2408*G2408</f>
        <v>1226839.474</v>
      </c>
      <c r="K2408" s="1365" t="n">
        <f aca="false">J2408/1792.8</f>
        <v>684.31474453369</v>
      </c>
      <c r="L2408" s="1105" t="n">
        <v>120</v>
      </c>
      <c r="M2408" s="819" t="n">
        <f aca="false">K2408*L2408/60</f>
        <v>1368.62948906738</v>
      </c>
    </row>
    <row r="2409" customFormat="false" ht="15" hidden="false" customHeight="false" outlineLevel="0" collapsed="false">
      <c r="A2409" s="216"/>
      <c r="B2409" s="1053" t="s">
        <v>4128</v>
      </c>
      <c r="C2409" s="1161"/>
      <c r="D2409" s="912"/>
      <c r="E2409" s="912"/>
      <c r="F2409" s="547"/>
      <c r="G2409" s="1413"/>
      <c r="H2409" s="547"/>
      <c r="I2409" s="547"/>
      <c r="J2409" s="547"/>
      <c r="K2409" s="1365" t="n">
        <f aca="false">J2409/1792.8</f>
        <v>0</v>
      </c>
      <c r="L2409" s="714" t="n">
        <f aca="false">SUM(L2400:L2408)</f>
        <v>290</v>
      </c>
      <c r="M2409" s="934" t="n">
        <f aca="false">SUM(M2400:M2408)</f>
        <v>1485.73236817641</v>
      </c>
    </row>
    <row r="2410" customFormat="false" ht="30" hidden="false" customHeight="false" outlineLevel="0" collapsed="false">
      <c r="A2410" s="216" t="s">
        <v>1152</v>
      </c>
      <c r="B2410" s="335" t="s">
        <v>3324</v>
      </c>
      <c r="C2410" s="1404" t="s">
        <v>7070</v>
      </c>
      <c r="D2410" s="569" t="n">
        <v>2009</v>
      </c>
      <c r="E2410" s="569" t="n">
        <f aca="false">2021-D2410</f>
        <v>12</v>
      </c>
      <c r="F2410" s="1105" t="n">
        <v>181000</v>
      </c>
      <c r="G2410" s="1444" t="n">
        <v>0.1</v>
      </c>
      <c r="H2410" s="1105" t="n">
        <f aca="false">E2410*F2410*G2410</f>
        <v>217200</v>
      </c>
      <c r="I2410" s="1105" t="n">
        <f aca="false">F2410-H2410</f>
        <v>-36200</v>
      </c>
      <c r="J2410" s="1105" t="n">
        <f aca="false">F2410*G2410</f>
        <v>18100</v>
      </c>
      <c r="K2410" s="1365" t="n">
        <f aca="false">J2410/1792.8</f>
        <v>10.0959393128068</v>
      </c>
      <c r="L2410" s="1105" t="n">
        <v>10</v>
      </c>
      <c r="M2410" s="819" t="n">
        <f aca="false">K2410*L2410/60</f>
        <v>1.68265655213446</v>
      </c>
    </row>
    <row r="2411" customFormat="false" ht="30" hidden="false" customHeight="false" outlineLevel="0" collapsed="false">
      <c r="A2411" s="216"/>
      <c r="B2411" s="40"/>
      <c r="C2411" s="1404" t="s">
        <v>6963</v>
      </c>
      <c r="D2411" s="1405" t="n">
        <v>2007</v>
      </c>
      <c r="E2411" s="1405" t="n">
        <f aca="false">2021-D2411</f>
        <v>14</v>
      </c>
      <c r="F2411" s="1406" t="n">
        <v>176358</v>
      </c>
      <c r="G2411" s="1407" t="n">
        <v>0.1</v>
      </c>
      <c r="H2411" s="1410" t="n">
        <f aca="false">E2411*F2411*G2411</f>
        <v>246901.2</v>
      </c>
      <c r="I2411" s="1410" t="n">
        <f aca="false">F2411-H2411</f>
        <v>-70543.2</v>
      </c>
      <c r="J2411" s="1410" t="n">
        <f aca="false">F2411*G2411</f>
        <v>17635.8</v>
      </c>
      <c r="K2411" s="1365" t="n">
        <f aca="false">J2411/1792.8</f>
        <v>9.83701472556894</v>
      </c>
      <c r="L2411" s="1445" t="n">
        <v>10</v>
      </c>
      <c r="M2411" s="1408" t="n">
        <f aca="false">K2411*L2411/60</f>
        <v>1.63950245426149</v>
      </c>
    </row>
    <row r="2412" customFormat="false" ht="30" hidden="false" customHeight="false" outlineLevel="0" collapsed="false">
      <c r="A2412" s="216"/>
      <c r="B2412" s="40"/>
      <c r="C2412" s="1404" t="s">
        <v>6959</v>
      </c>
      <c r="D2412" s="1405" t="n">
        <v>2007</v>
      </c>
      <c r="E2412" s="1405" t="n">
        <f aca="false">2021-D2412</f>
        <v>14</v>
      </c>
      <c r="F2412" s="1406" t="n">
        <v>350000</v>
      </c>
      <c r="G2412" s="1407" t="n">
        <v>0.1</v>
      </c>
      <c r="H2412" s="1410" t="n">
        <f aca="false">E2412*F2412*G2412</f>
        <v>490000</v>
      </c>
      <c r="I2412" s="1410" t="n">
        <f aca="false">F2412-H2412</f>
        <v>-140000</v>
      </c>
      <c r="J2412" s="1410" t="n">
        <f aca="false">F2412*G2412</f>
        <v>35000</v>
      </c>
      <c r="K2412" s="1365" t="n">
        <f aca="false">J2412/1792.8</f>
        <v>19.5225345827755</v>
      </c>
      <c r="L2412" s="1445" t="n">
        <v>10</v>
      </c>
      <c r="M2412" s="1408" t="n">
        <f aca="false">K2412*L2412/60</f>
        <v>3.25375576379592</v>
      </c>
    </row>
    <row r="2413" customFormat="false" ht="30" hidden="false" customHeight="false" outlineLevel="0" collapsed="false">
      <c r="A2413" s="216"/>
      <c r="B2413" s="40"/>
      <c r="C2413" s="1161" t="s">
        <v>7071</v>
      </c>
      <c r="D2413" s="912" t="n">
        <v>2006</v>
      </c>
      <c r="E2413" s="912" t="n">
        <f aca="false">2021-D2413</f>
        <v>15</v>
      </c>
      <c r="F2413" s="547" t="n">
        <v>138575</v>
      </c>
      <c r="G2413" s="1413" t="n">
        <v>0.1</v>
      </c>
      <c r="H2413" s="547" t="n">
        <f aca="false">E2413*F2413*G2413</f>
        <v>207862.5</v>
      </c>
      <c r="I2413" s="547" t="n">
        <f aca="false">F2413-H2413</f>
        <v>-69287.5</v>
      </c>
      <c r="J2413" s="547" t="n">
        <f aca="false">F2413*G2413</f>
        <v>13857.5</v>
      </c>
      <c r="K2413" s="1365" t="n">
        <f aca="false">J2413/1792.8</f>
        <v>7.7295292280232</v>
      </c>
      <c r="L2413" s="547" t="n">
        <v>20</v>
      </c>
      <c r="M2413" s="819" t="n">
        <f aca="false">K2413*L2413/60</f>
        <v>2.5765097426744</v>
      </c>
    </row>
    <row r="2414" customFormat="false" ht="30" hidden="false" customHeight="false" outlineLevel="0" collapsed="false">
      <c r="A2414" s="216"/>
      <c r="B2414" s="40"/>
      <c r="C2414" s="1404" t="s">
        <v>7072</v>
      </c>
      <c r="D2414" s="569" t="n">
        <v>2013</v>
      </c>
      <c r="E2414" s="569" t="n">
        <f aca="false">2021-D2414</f>
        <v>8</v>
      </c>
      <c r="F2414" s="1105" t="n">
        <v>300000</v>
      </c>
      <c r="G2414" s="1444" t="n">
        <v>0.1</v>
      </c>
      <c r="H2414" s="1105" t="n">
        <f aca="false">E2414*F2414*G2414</f>
        <v>240000</v>
      </c>
      <c r="I2414" s="1105" t="n">
        <f aca="false">F2414-H2414</f>
        <v>60000</v>
      </c>
      <c r="J2414" s="1105" t="n">
        <f aca="false">F2414*G2414</f>
        <v>30000</v>
      </c>
      <c r="K2414" s="1365" t="n">
        <f aca="false">J2414/1792.8</f>
        <v>16.7336010709505</v>
      </c>
      <c r="L2414" s="1105" t="n">
        <v>20</v>
      </c>
      <c r="M2414" s="865" t="n">
        <f aca="false">K2414*L2414/60</f>
        <v>5.57786702365016</v>
      </c>
    </row>
    <row r="2415" customFormat="false" ht="30" hidden="false" customHeight="false" outlineLevel="0" collapsed="false">
      <c r="A2415" s="216"/>
      <c r="B2415" s="40"/>
      <c r="C2415" s="1409" t="s">
        <v>6967</v>
      </c>
      <c r="D2415" s="569" t="n">
        <v>2016</v>
      </c>
      <c r="E2415" s="569" t="n">
        <f aca="false">2021-D2415</f>
        <v>5</v>
      </c>
      <c r="F2415" s="1105" t="n">
        <v>2302000</v>
      </c>
      <c r="G2415" s="1444" t="n">
        <v>0.1</v>
      </c>
      <c r="H2415" s="1105" t="n">
        <f aca="false">E2415*F2415*G2415</f>
        <v>1151000</v>
      </c>
      <c r="I2415" s="547" t="n">
        <f aca="false">F2415-H2415</f>
        <v>1151000</v>
      </c>
      <c r="J2415" s="547" t="n">
        <f aca="false">F2415*G2415</f>
        <v>230200</v>
      </c>
      <c r="K2415" s="1365" t="n">
        <f aca="false">J2415/1792.8</f>
        <v>128.402498884427</v>
      </c>
      <c r="L2415" s="547" t="n">
        <v>20</v>
      </c>
      <c r="M2415" s="819" t="n">
        <f aca="false">K2415*L2415/60</f>
        <v>42.8008329614755</v>
      </c>
    </row>
    <row r="2416" customFormat="false" ht="15" hidden="false" customHeight="false" outlineLevel="0" collapsed="false">
      <c r="A2416" s="216"/>
      <c r="B2416" s="40"/>
      <c r="C2416" s="1404" t="s">
        <v>7075</v>
      </c>
      <c r="D2416" s="569" t="n">
        <v>2015</v>
      </c>
      <c r="E2416" s="569" t="n">
        <f aca="false">2021-D2416</f>
        <v>6</v>
      </c>
      <c r="F2416" s="1105" t="n">
        <v>1028020</v>
      </c>
      <c r="G2416" s="1444" t="n">
        <v>0.1</v>
      </c>
      <c r="H2416" s="1105" t="n">
        <f aca="false">E2416*F2416*G2416</f>
        <v>616812</v>
      </c>
      <c r="I2416" s="547" t="n">
        <f aca="false">F2416-H2416</f>
        <v>411208</v>
      </c>
      <c r="J2416" s="547" t="n">
        <f aca="false">F2416*G2416</f>
        <v>102802</v>
      </c>
      <c r="K2416" s="1365" t="n">
        <f aca="false">J2416/1792.8</f>
        <v>57.3415885765283</v>
      </c>
      <c r="L2416" s="547" t="n">
        <v>60</v>
      </c>
      <c r="M2416" s="819" t="n">
        <f aca="false">K2416*L2416/60</f>
        <v>57.3415885765283</v>
      </c>
    </row>
    <row r="2417" customFormat="false" ht="30" hidden="false" customHeight="false" outlineLevel="0" collapsed="false">
      <c r="A2417" s="216"/>
      <c r="B2417" s="40"/>
      <c r="C2417" s="1404" t="s">
        <v>7073</v>
      </c>
      <c r="D2417" s="569" t="n">
        <v>2005</v>
      </c>
      <c r="E2417" s="569" t="n">
        <f aca="false">2021-D2417</f>
        <v>16</v>
      </c>
      <c r="F2417" s="1105" t="n">
        <v>39263</v>
      </c>
      <c r="G2417" s="1444" t="n">
        <v>0.15</v>
      </c>
      <c r="H2417" s="1105" t="n">
        <f aca="false">E2417*F2417*G2417</f>
        <v>94231.2</v>
      </c>
      <c r="I2417" s="547" t="n">
        <f aca="false">F2417-H2417</f>
        <v>-54968.2</v>
      </c>
      <c r="J2417" s="547" t="n">
        <f aca="false">F2417*G2417</f>
        <v>5889.45</v>
      </c>
      <c r="K2417" s="1365" t="n">
        <f aca="false">J2417/1792.8</f>
        <v>3.28505689424364</v>
      </c>
      <c r="L2417" s="547" t="n">
        <v>10</v>
      </c>
      <c r="M2417" s="819" t="n">
        <f aca="false">K2417*L2417/60</f>
        <v>0.54750948237394</v>
      </c>
    </row>
    <row r="2418" customFormat="false" ht="30" hidden="false" customHeight="false" outlineLevel="0" collapsed="false">
      <c r="A2418" s="216"/>
      <c r="B2418" s="40"/>
      <c r="C2418" s="1161" t="s">
        <v>7074</v>
      </c>
      <c r="D2418" s="912" t="n">
        <v>2003</v>
      </c>
      <c r="E2418" s="912" t="n">
        <f aca="false">2021-D2418</f>
        <v>18</v>
      </c>
      <c r="F2418" s="547" t="n">
        <v>2471090</v>
      </c>
      <c r="G2418" s="1413" t="n">
        <v>0.1</v>
      </c>
      <c r="H2418" s="547" t="n">
        <f aca="false">E2418*F2418*G2418</f>
        <v>4447962</v>
      </c>
      <c r="I2418" s="547" t="n">
        <f aca="false">F2418-H2418</f>
        <v>-1976872</v>
      </c>
      <c r="J2418" s="547" t="n">
        <f aca="false">F2418*G2418</f>
        <v>247109</v>
      </c>
      <c r="K2418" s="1365" t="n">
        <f aca="false">J2418/1792.8</f>
        <v>137.834114234717</v>
      </c>
      <c r="L2418" s="547" t="n">
        <v>120</v>
      </c>
      <c r="M2418" s="819" t="n">
        <f aca="false">K2418*L2418/60</f>
        <v>275.668228469433</v>
      </c>
    </row>
    <row r="2419" customFormat="false" ht="15" hidden="false" customHeight="false" outlineLevel="0" collapsed="false">
      <c r="A2419" s="216"/>
      <c r="B2419" s="1053" t="s">
        <v>4128</v>
      </c>
      <c r="C2419" s="1161"/>
      <c r="D2419" s="912"/>
      <c r="E2419" s="912"/>
      <c r="F2419" s="547"/>
      <c r="G2419" s="1413"/>
      <c r="H2419" s="547"/>
      <c r="I2419" s="547"/>
      <c r="J2419" s="547"/>
      <c r="K2419" s="1365" t="n">
        <f aca="false">J2419/1792.8</f>
        <v>0</v>
      </c>
      <c r="L2419" s="714" t="n">
        <f aca="false">SUM(L2410:L2418)</f>
        <v>280</v>
      </c>
      <c r="M2419" s="934" t="n">
        <f aca="false">SUM(M2410:M2418)</f>
        <v>391.088451026328</v>
      </c>
    </row>
    <row r="2420" customFormat="false" ht="30" hidden="false" customHeight="false" outlineLevel="0" collapsed="false">
      <c r="A2420" s="216" t="s">
        <v>1153</v>
      </c>
      <c r="B2420" s="40" t="s">
        <v>3308</v>
      </c>
      <c r="C2420" s="1161" t="s">
        <v>7071</v>
      </c>
      <c r="D2420" s="912" t="n">
        <v>2006</v>
      </c>
      <c r="E2420" s="912" t="n">
        <f aca="false">2021-D2420</f>
        <v>15</v>
      </c>
      <c r="F2420" s="547" t="n">
        <v>138575</v>
      </c>
      <c r="G2420" s="1413" t="n">
        <v>0.1</v>
      </c>
      <c r="H2420" s="547" t="n">
        <f aca="false">E2420*F2420*G2420</f>
        <v>207862.5</v>
      </c>
      <c r="I2420" s="547" t="n">
        <f aca="false">F2420-H2420</f>
        <v>-69287.5</v>
      </c>
      <c r="J2420" s="547" t="n">
        <f aca="false">F2420*G2420</f>
        <v>13857.5</v>
      </c>
      <c r="K2420" s="1365" t="n">
        <f aca="false">J2420/1792.8</f>
        <v>7.7295292280232</v>
      </c>
      <c r="L2420" s="547" t="n">
        <v>10</v>
      </c>
      <c r="M2420" s="819" t="n">
        <f aca="false">K2420*L2420/60</f>
        <v>1.2882548713372</v>
      </c>
    </row>
    <row r="2421" customFormat="false" ht="30" hidden="false" customHeight="false" outlineLevel="0" collapsed="false">
      <c r="A2421" s="216"/>
      <c r="B2421" s="40"/>
      <c r="C2421" s="1404" t="s">
        <v>6963</v>
      </c>
      <c r="D2421" s="1405" t="n">
        <v>2007</v>
      </c>
      <c r="E2421" s="1405" t="n">
        <f aca="false">2021-D2421</f>
        <v>14</v>
      </c>
      <c r="F2421" s="1406" t="n">
        <v>176358</v>
      </c>
      <c r="G2421" s="1407" t="n">
        <v>0.1</v>
      </c>
      <c r="H2421" s="1410" t="n">
        <f aca="false">E2421*F2421*G2421</f>
        <v>246901.2</v>
      </c>
      <c r="I2421" s="1410" t="n">
        <f aca="false">F2421-H2421</f>
        <v>-70543.2</v>
      </c>
      <c r="J2421" s="1410" t="n">
        <f aca="false">F2421*G2421</f>
        <v>17635.8</v>
      </c>
      <c r="K2421" s="1365" t="n">
        <f aca="false">J2421/1792.8</f>
        <v>9.83701472556894</v>
      </c>
      <c r="L2421" s="1445" t="n">
        <v>10</v>
      </c>
      <c r="M2421" s="1408" t="n">
        <f aca="false">K2421*L2421/60</f>
        <v>1.63950245426149</v>
      </c>
    </row>
    <row r="2422" customFormat="false" ht="30" hidden="false" customHeight="false" outlineLevel="0" collapsed="false">
      <c r="A2422" s="216"/>
      <c r="B2422" s="40"/>
      <c r="C2422" s="1404" t="s">
        <v>6959</v>
      </c>
      <c r="D2422" s="1405" t="n">
        <v>2007</v>
      </c>
      <c r="E2422" s="1405" t="n">
        <f aca="false">2021-D2422</f>
        <v>14</v>
      </c>
      <c r="F2422" s="1406" t="n">
        <v>350000</v>
      </c>
      <c r="G2422" s="1407" t="n">
        <v>0.1</v>
      </c>
      <c r="H2422" s="1410" t="n">
        <f aca="false">E2422*F2422*G2422</f>
        <v>490000</v>
      </c>
      <c r="I2422" s="1410" t="n">
        <f aca="false">F2422-H2422</f>
        <v>-140000</v>
      </c>
      <c r="J2422" s="1410" t="n">
        <f aca="false">F2422*G2422</f>
        <v>35000</v>
      </c>
      <c r="K2422" s="1365" t="n">
        <f aca="false">J2422/1792.8</f>
        <v>19.5225345827755</v>
      </c>
      <c r="L2422" s="1445" t="n">
        <v>10</v>
      </c>
      <c r="M2422" s="1408" t="n">
        <f aca="false">K2422*L2422/60</f>
        <v>3.25375576379592</v>
      </c>
    </row>
    <row r="2423" customFormat="false" ht="30" hidden="false" customHeight="false" outlineLevel="0" collapsed="false">
      <c r="A2423" s="216"/>
      <c r="B2423" s="40"/>
      <c r="C2423" s="1404" t="s">
        <v>7072</v>
      </c>
      <c r="D2423" s="569" t="n">
        <v>2013</v>
      </c>
      <c r="E2423" s="569" t="n">
        <f aca="false">2021-D2423</f>
        <v>8</v>
      </c>
      <c r="F2423" s="1105" t="n">
        <v>300000</v>
      </c>
      <c r="G2423" s="1444" t="n">
        <v>0.1</v>
      </c>
      <c r="H2423" s="1105" t="n">
        <f aca="false">E2423*F2423*G2423</f>
        <v>240000</v>
      </c>
      <c r="I2423" s="1105" t="n">
        <f aca="false">F2423-H2423</f>
        <v>60000</v>
      </c>
      <c r="J2423" s="1105" t="n">
        <f aca="false">F2423*G2423</f>
        <v>30000</v>
      </c>
      <c r="K2423" s="1365" t="n">
        <f aca="false">J2423/1792.8</f>
        <v>16.7336010709505</v>
      </c>
      <c r="L2423" s="1105" t="n">
        <v>50</v>
      </c>
      <c r="M2423" s="865" t="n">
        <f aca="false">K2423*L2423/60</f>
        <v>13.9446675591254</v>
      </c>
    </row>
    <row r="2424" customFormat="false" ht="30" hidden="false" customHeight="false" outlineLevel="0" collapsed="false">
      <c r="A2424" s="216"/>
      <c r="B2424" s="40"/>
      <c r="C2424" s="1409" t="s">
        <v>6967</v>
      </c>
      <c r="D2424" s="569" t="n">
        <v>2016</v>
      </c>
      <c r="E2424" s="569" t="n">
        <f aca="false">2021-D2424</f>
        <v>5</v>
      </c>
      <c r="F2424" s="1105" t="n">
        <v>2302000</v>
      </c>
      <c r="G2424" s="1444" t="n">
        <v>0.1</v>
      </c>
      <c r="H2424" s="1105" t="n">
        <f aca="false">E2424*F2424*G2424</f>
        <v>1151000</v>
      </c>
      <c r="I2424" s="1105" t="n">
        <f aca="false">F2424-H2424</f>
        <v>1151000</v>
      </c>
      <c r="J2424" s="1105" t="n">
        <f aca="false">F2424*G2424</f>
        <v>230200</v>
      </c>
      <c r="K2424" s="1365" t="n">
        <f aca="false">J2424/1792.8</f>
        <v>128.402498884427</v>
      </c>
      <c r="L2424" s="1105" t="n">
        <v>20</v>
      </c>
      <c r="M2424" s="865" t="n">
        <f aca="false">K2424*L2424/60</f>
        <v>42.8008329614755</v>
      </c>
    </row>
    <row r="2425" customFormat="false" ht="15" hidden="false" customHeight="false" outlineLevel="0" collapsed="false">
      <c r="A2425" s="216"/>
      <c r="B2425" s="40"/>
      <c r="C2425" s="1404" t="s">
        <v>7075</v>
      </c>
      <c r="D2425" s="569" t="n">
        <v>2015</v>
      </c>
      <c r="E2425" s="569" t="n">
        <f aca="false">2021-D2425</f>
        <v>6</v>
      </c>
      <c r="F2425" s="1105" t="n">
        <v>1028020</v>
      </c>
      <c r="G2425" s="1444" t="n">
        <v>0.1</v>
      </c>
      <c r="H2425" s="1105" t="n">
        <f aca="false">E2425*F2425*G2425</f>
        <v>616812</v>
      </c>
      <c r="I2425" s="1105" t="n">
        <f aca="false">F2425-H2425</f>
        <v>411208</v>
      </c>
      <c r="J2425" s="1105" t="n">
        <f aca="false">F2425*G2425</f>
        <v>102802</v>
      </c>
      <c r="K2425" s="1365" t="n">
        <f aca="false">J2425/1792.8</f>
        <v>57.3415885765283</v>
      </c>
      <c r="L2425" s="1105" t="n">
        <v>60</v>
      </c>
      <c r="M2425" s="865" t="n">
        <f aca="false">K2425*L2425/60</f>
        <v>57.3415885765283</v>
      </c>
    </row>
    <row r="2426" customFormat="false" ht="15" hidden="false" customHeight="false" outlineLevel="0" collapsed="false">
      <c r="A2426" s="216"/>
      <c r="B2426" s="40"/>
      <c r="C2426" s="1404" t="s">
        <v>6975</v>
      </c>
      <c r="D2426" s="569" t="n">
        <v>2006</v>
      </c>
      <c r="E2426" s="569" t="n">
        <f aca="false">2021-D2426</f>
        <v>15</v>
      </c>
      <c r="F2426" s="1105" t="n">
        <v>237440</v>
      </c>
      <c r="G2426" s="1444" t="n">
        <v>0.1</v>
      </c>
      <c r="H2426" s="1105" t="n">
        <f aca="false">E2426*F2426*G2426</f>
        <v>356160</v>
      </c>
      <c r="I2426" s="1105" t="n">
        <f aca="false">F2426-H2426</f>
        <v>-118720</v>
      </c>
      <c r="J2426" s="1105" t="n">
        <f aca="false">F2426*G2426</f>
        <v>23744</v>
      </c>
      <c r="K2426" s="1365" t="n">
        <f aca="false">J2426/1792.8</f>
        <v>13.2440874609549</v>
      </c>
      <c r="L2426" s="1105" t="n">
        <v>30</v>
      </c>
      <c r="M2426" s="865" t="n">
        <f aca="false">K2426*L2426/60</f>
        <v>6.62204373047747</v>
      </c>
    </row>
    <row r="2427" customFormat="false" ht="30" hidden="false" customHeight="false" outlineLevel="0" collapsed="false">
      <c r="A2427" s="216"/>
      <c r="B2427" s="40"/>
      <c r="C2427" s="1404" t="s">
        <v>7070</v>
      </c>
      <c r="D2427" s="569" t="n">
        <v>2009</v>
      </c>
      <c r="E2427" s="569" t="n">
        <f aca="false">2021-D2427</f>
        <v>12</v>
      </c>
      <c r="F2427" s="1105" t="n">
        <v>181000</v>
      </c>
      <c r="G2427" s="1444" t="n">
        <v>0.1</v>
      </c>
      <c r="H2427" s="1105" t="n">
        <f aca="false">E2427*F2427*G2427</f>
        <v>217200</v>
      </c>
      <c r="I2427" s="1105" t="n">
        <f aca="false">F2427-H2427</f>
        <v>-36200</v>
      </c>
      <c r="J2427" s="1105" t="n">
        <f aca="false">F2427*G2427</f>
        <v>18100</v>
      </c>
      <c r="K2427" s="1365" t="n">
        <f aca="false">J2427/1792.8</f>
        <v>10.0959393128068</v>
      </c>
      <c r="L2427" s="1105" t="n">
        <v>20</v>
      </c>
      <c r="M2427" s="865" t="n">
        <f aca="false">K2427*L2427/60</f>
        <v>3.36531310426893</v>
      </c>
    </row>
    <row r="2428" customFormat="false" ht="30" hidden="false" customHeight="false" outlineLevel="0" collapsed="false">
      <c r="A2428" s="216"/>
      <c r="B2428" s="40"/>
      <c r="C2428" s="1404" t="s">
        <v>7073</v>
      </c>
      <c r="D2428" s="569" t="n">
        <v>2005</v>
      </c>
      <c r="E2428" s="569" t="n">
        <f aca="false">2021-D2428</f>
        <v>16</v>
      </c>
      <c r="F2428" s="1105" t="n">
        <v>39263</v>
      </c>
      <c r="G2428" s="1444" t="n">
        <v>0.15</v>
      </c>
      <c r="H2428" s="1105" t="n">
        <f aca="false">E2428*F2428*G2428</f>
        <v>94231.2</v>
      </c>
      <c r="I2428" s="1105" t="n">
        <f aca="false">F2428-H2428</f>
        <v>-54968.2</v>
      </c>
      <c r="J2428" s="1105" t="n">
        <f aca="false">F2428*G2428</f>
        <v>5889.45</v>
      </c>
      <c r="K2428" s="1365" t="n">
        <f aca="false">J2428/1792.8</f>
        <v>3.28505689424364</v>
      </c>
      <c r="L2428" s="1105" t="n">
        <v>10</v>
      </c>
      <c r="M2428" s="865" t="n">
        <f aca="false">K2428*L2428/60</f>
        <v>0.54750948237394</v>
      </c>
    </row>
    <row r="2429" customFormat="false" ht="30" hidden="false" customHeight="false" outlineLevel="0" collapsed="false">
      <c r="A2429" s="216"/>
      <c r="B2429" s="40"/>
      <c r="C2429" s="1404" t="s">
        <v>7076</v>
      </c>
      <c r="D2429" s="569" t="n">
        <v>2012</v>
      </c>
      <c r="E2429" s="569" t="n">
        <f aca="false">2021-D2429</f>
        <v>9</v>
      </c>
      <c r="F2429" s="1105" t="n">
        <v>44483193.14</v>
      </c>
      <c r="G2429" s="1444" t="n">
        <v>0.1</v>
      </c>
      <c r="H2429" s="1105" t="n">
        <f aca="false">E2429*F2429*G2429</f>
        <v>40034873.826</v>
      </c>
      <c r="I2429" s="1105" t="n">
        <f aca="false">F2429-H2429</f>
        <v>4448319.314</v>
      </c>
      <c r="J2429" s="1105" t="n">
        <f aca="false">F2429*G2429</f>
        <v>4448319.314</v>
      </c>
      <c r="K2429" s="1365" t="n">
        <f aca="false">J2429/1792.8</f>
        <v>2481.21336122267</v>
      </c>
      <c r="L2429" s="1105" t="n">
        <v>120</v>
      </c>
      <c r="M2429" s="865" t="n">
        <f aca="false">K2429*L2429/60</f>
        <v>4962.42672244534</v>
      </c>
    </row>
    <row r="2430" customFormat="false" ht="15" hidden="false" customHeight="false" outlineLevel="0" collapsed="false">
      <c r="A2430" s="216"/>
      <c r="B2430" s="1053" t="s">
        <v>4128</v>
      </c>
      <c r="C2430" s="1161"/>
      <c r="D2430" s="912"/>
      <c r="E2430" s="912"/>
      <c r="F2430" s="547"/>
      <c r="G2430" s="1413"/>
      <c r="H2430" s="547"/>
      <c r="I2430" s="547"/>
      <c r="J2430" s="547"/>
      <c r="K2430" s="1365" t="n">
        <f aca="false">J2430/1792.8</f>
        <v>0</v>
      </c>
      <c r="L2430" s="714" t="n">
        <f aca="false">SUM(L2420:L2429)</f>
        <v>340</v>
      </c>
      <c r="M2430" s="934" t="n">
        <f aca="false">SUM(M2420:M2429)</f>
        <v>5093.23019094898</v>
      </c>
    </row>
    <row r="2431" customFormat="false" ht="42.75" hidden="false" customHeight="false" outlineLevel="0" collapsed="false">
      <c r="A2431" s="15" t="s">
        <v>7085</v>
      </c>
      <c r="B2431" s="54" t="s">
        <v>3341</v>
      </c>
      <c r="C2431" s="16"/>
      <c r="D2431" s="339"/>
      <c r="E2431" s="541"/>
      <c r="F2431" s="751"/>
      <c r="G2431" s="1412"/>
      <c r="H2431" s="1412"/>
      <c r="I2431" s="751"/>
      <c r="J2431" s="751"/>
      <c r="K2431" s="1390"/>
      <c r="L2431" s="751"/>
      <c r="M2431" s="818"/>
    </row>
    <row r="2432" customFormat="false" ht="45" hidden="false" customHeight="false" outlineLevel="0" collapsed="false">
      <c r="A2432" s="216" t="s">
        <v>1157</v>
      </c>
      <c r="B2432" s="40" t="s">
        <v>3342</v>
      </c>
      <c r="C2432" s="1161" t="s">
        <v>7071</v>
      </c>
      <c r="D2432" s="912" t="n">
        <v>2006</v>
      </c>
      <c r="E2432" s="912" t="n">
        <f aca="false">2021-D2432</f>
        <v>15</v>
      </c>
      <c r="F2432" s="547" t="n">
        <v>138575</v>
      </c>
      <c r="G2432" s="1413" t="n">
        <v>0.1</v>
      </c>
      <c r="H2432" s="547" t="n">
        <f aca="false">E2432*F2432*G2432</f>
        <v>207862.5</v>
      </c>
      <c r="I2432" s="547" t="n">
        <f aca="false">F2432-H2432</f>
        <v>-69287.5</v>
      </c>
      <c r="J2432" s="547" t="n">
        <f aca="false">F2432*G2432</f>
        <v>13857.5</v>
      </c>
      <c r="K2432" s="1365" t="n">
        <f aca="false">J2432/1792.8</f>
        <v>7.7295292280232</v>
      </c>
      <c r="L2432" s="547" t="n">
        <v>10</v>
      </c>
      <c r="M2432" s="819" t="n">
        <f aca="false">K2432*L2432/60</f>
        <v>1.2882548713372</v>
      </c>
    </row>
    <row r="2433" customFormat="false" ht="30" hidden="false" customHeight="false" outlineLevel="0" collapsed="false">
      <c r="A2433" s="216"/>
      <c r="B2433" s="40"/>
      <c r="C2433" s="1161" t="s">
        <v>7073</v>
      </c>
      <c r="D2433" s="912" t="n">
        <v>2005</v>
      </c>
      <c r="E2433" s="912" t="n">
        <f aca="false">2021-D2433</f>
        <v>16</v>
      </c>
      <c r="F2433" s="547" t="n">
        <v>39263</v>
      </c>
      <c r="G2433" s="1413" t="n">
        <v>0.15</v>
      </c>
      <c r="H2433" s="547" t="n">
        <f aca="false">E2433*F2433*G2433</f>
        <v>94231.2</v>
      </c>
      <c r="I2433" s="547" t="n">
        <f aca="false">F2433-H2433</f>
        <v>-54968.2</v>
      </c>
      <c r="J2433" s="547" t="n">
        <f aca="false">F2433*G2433</f>
        <v>5889.45</v>
      </c>
      <c r="K2433" s="1365" t="n">
        <f aca="false">J2433/1792.8</f>
        <v>3.28505689424364</v>
      </c>
      <c r="L2433" s="547" t="n">
        <v>5</v>
      </c>
      <c r="M2433" s="819" t="n">
        <f aca="false">K2433*L2433/60</f>
        <v>0.27375474118697</v>
      </c>
    </row>
    <row r="2434" customFormat="false" ht="30" hidden="false" customHeight="false" outlineLevel="0" collapsed="false">
      <c r="A2434" s="216"/>
      <c r="B2434" s="40"/>
      <c r="C2434" s="1404" t="s">
        <v>6959</v>
      </c>
      <c r="D2434" s="1405" t="n">
        <v>2007</v>
      </c>
      <c r="E2434" s="1405" t="n">
        <f aca="false">2021-D2434</f>
        <v>14</v>
      </c>
      <c r="F2434" s="1406" t="n">
        <v>350000</v>
      </c>
      <c r="G2434" s="1407" t="n">
        <v>0.1</v>
      </c>
      <c r="H2434" s="1410" t="n">
        <f aca="false">E2434*F2434*G2434</f>
        <v>490000</v>
      </c>
      <c r="I2434" s="1410" t="n">
        <f aca="false">F2434-H2434</f>
        <v>-140000</v>
      </c>
      <c r="J2434" s="1410" t="n">
        <f aca="false">F2434*G2434</f>
        <v>35000</v>
      </c>
      <c r="K2434" s="1365" t="n">
        <f aca="false">J2434/1792.8</f>
        <v>19.5225345827755</v>
      </c>
      <c r="L2434" s="1410" t="n">
        <v>10</v>
      </c>
      <c r="M2434" s="1408" t="n">
        <f aca="false">K2434*L2434/60</f>
        <v>3.25375576379592</v>
      </c>
    </row>
    <row r="2435" customFormat="false" ht="15" hidden="false" customHeight="false" outlineLevel="0" collapsed="false">
      <c r="A2435" s="216"/>
      <c r="B2435" s="1053" t="s">
        <v>4128</v>
      </c>
      <c r="C2435" s="1161"/>
      <c r="D2435" s="912"/>
      <c r="E2435" s="912"/>
      <c r="F2435" s="547"/>
      <c r="G2435" s="1413"/>
      <c r="H2435" s="547"/>
      <c r="I2435" s="547"/>
      <c r="J2435" s="547"/>
      <c r="K2435" s="1365" t="n">
        <f aca="false">J2435/1792.8</f>
        <v>0</v>
      </c>
      <c r="L2435" s="714" t="n">
        <f aca="false">SUM(L2432:L2434)</f>
        <v>25</v>
      </c>
      <c r="M2435" s="934" t="n">
        <f aca="false">SUM(M2432:M2434)</f>
        <v>4.8157653763201</v>
      </c>
    </row>
    <row r="2436" customFormat="false" ht="45" hidden="false" customHeight="false" outlineLevel="0" collapsed="false">
      <c r="A2436" s="216" t="s">
        <v>1158</v>
      </c>
      <c r="B2436" s="40" t="s">
        <v>3343</v>
      </c>
      <c r="C2436" s="1161" t="s">
        <v>6957</v>
      </c>
      <c r="D2436" s="317" t="n">
        <v>2017</v>
      </c>
      <c r="E2436" s="912" t="n">
        <f aca="false">2021-D2436</f>
        <v>4</v>
      </c>
      <c r="F2436" s="1367" t="n">
        <v>302400</v>
      </c>
      <c r="G2436" s="1364" t="n">
        <v>0.1</v>
      </c>
      <c r="H2436" s="1365" t="n">
        <f aca="false">E2436*F2436*G2436</f>
        <v>120960</v>
      </c>
      <c r="I2436" s="1365" t="n">
        <f aca="false">F2436-H2436</f>
        <v>181440</v>
      </c>
      <c r="J2436" s="1365" t="n">
        <f aca="false">F2436*G2436</f>
        <v>30240</v>
      </c>
      <c r="K2436" s="1365" t="n">
        <f aca="false">J2436/1792.8</f>
        <v>16.8674698795181</v>
      </c>
      <c r="L2436" s="1365" t="n">
        <v>10</v>
      </c>
      <c r="M2436" s="1273" t="n">
        <f aca="false">K2436*L2436/60</f>
        <v>2.81124497991968</v>
      </c>
    </row>
    <row r="2437" customFormat="false" ht="30" hidden="false" customHeight="false" outlineLevel="0" collapsed="false">
      <c r="A2437" s="216"/>
      <c r="B2437" s="40"/>
      <c r="C2437" s="1404" t="s">
        <v>6959</v>
      </c>
      <c r="D2437" s="1405" t="n">
        <v>2007</v>
      </c>
      <c r="E2437" s="1405" t="n">
        <f aca="false">2021-D2437</f>
        <v>14</v>
      </c>
      <c r="F2437" s="1406" t="n">
        <v>350000</v>
      </c>
      <c r="G2437" s="1407" t="n">
        <v>0.1</v>
      </c>
      <c r="H2437" s="1410" t="n">
        <f aca="false">E2437*F2437*G2437</f>
        <v>490000</v>
      </c>
      <c r="I2437" s="1410" t="n">
        <f aca="false">F2437-H2437</f>
        <v>-140000</v>
      </c>
      <c r="J2437" s="1410" t="n">
        <f aca="false">F2437*G2437</f>
        <v>35000</v>
      </c>
      <c r="K2437" s="1365" t="n">
        <f aca="false">J2437/1792.8</f>
        <v>19.5225345827755</v>
      </c>
      <c r="L2437" s="1445" t="n">
        <v>10</v>
      </c>
      <c r="M2437" s="1408" t="n">
        <f aca="false">K2437*L2437/60</f>
        <v>3.25375576379592</v>
      </c>
    </row>
    <row r="2438" customFormat="false" ht="30" hidden="false" customHeight="false" outlineLevel="0" collapsed="false">
      <c r="A2438" s="216"/>
      <c r="B2438" s="40"/>
      <c r="C2438" s="1404" t="s">
        <v>7073</v>
      </c>
      <c r="D2438" s="569" t="n">
        <v>2005</v>
      </c>
      <c r="E2438" s="569" t="n">
        <f aca="false">2021-D2438</f>
        <v>16</v>
      </c>
      <c r="F2438" s="1105" t="n">
        <v>39263</v>
      </c>
      <c r="G2438" s="1444" t="n">
        <v>0.15</v>
      </c>
      <c r="H2438" s="1105" t="n">
        <f aca="false">E2438*F2438*G2438</f>
        <v>94231.2</v>
      </c>
      <c r="I2438" s="1105" t="n">
        <f aca="false">F2438-H2438</f>
        <v>-54968.2</v>
      </c>
      <c r="J2438" s="1105" t="n">
        <f aca="false">F2438*G2438</f>
        <v>5889.45</v>
      </c>
      <c r="K2438" s="1365" t="n">
        <f aca="false">J2438/1792.8</f>
        <v>3.28505689424364</v>
      </c>
      <c r="L2438" s="1105" t="n">
        <v>5</v>
      </c>
      <c r="M2438" s="865" t="n">
        <f aca="false">K2438*L2438/60</f>
        <v>0.27375474118697</v>
      </c>
    </row>
    <row r="2439" customFormat="false" ht="30" hidden="false" customHeight="false" outlineLevel="0" collapsed="false">
      <c r="A2439" s="216"/>
      <c r="B2439" s="40"/>
      <c r="C2439" s="1409" t="s">
        <v>6967</v>
      </c>
      <c r="D2439" s="569" t="n">
        <v>2016</v>
      </c>
      <c r="E2439" s="569" t="n">
        <f aca="false">2021-D2439</f>
        <v>5</v>
      </c>
      <c r="F2439" s="1105" t="n">
        <v>2302000</v>
      </c>
      <c r="G2439" s="1444" t="n">
        <v>0.1</v>
      </c>
      <c r="H2439" s="1105" t="n">
        <f aca="false">E2439*F2439*G2439</f>
        <v>1151000</v>
      </c>
      <c r="I2439" s="1105" t="n">
        <f aca="false">F2439-H2439</f>
        <v>1151000</v>
      </c>
      <c r="J2439" s="1105" t="n">
        <f aca="false">F2439*G2439</f>
        <v>230200</v>
      </c>
      <c r="K2439" s="1365" t="n">
        <f aca="false">J2439/1792.8</f>
        <v>128.402498884427</v>
      </c>
      <c r="L2439" s="1105" t="n">
        <v>5</v>
      </c>
      <c r="M2439" s="865" t="n">
        <f aca="false">K2439*L2439/60</f>
        <v>10.7002082403689</v>
      </c>
    </row>
    <row r="2440" customFormat="false" ht="15" hidden="false" customHeight="false" outlineLevel="0" collapsed="false">
      <c r="A2440" s="216"/>
      <c r="B2440" s="1053" t="s">
        <v>4128</v>
      </c>
      <c r="C2440" s="1161"/>
      <c r="D2440" s="912"/>
      <c r="E2440" s="912"/>
      <c r="F2440" s="547"/>
      <c r="G2440" s="1413"/>
      <c r="H2440" s="547"/>
      <c r="I2440" s="547"/>
      <c r="J2440" s="547"/>
      <c r="K2440" s="1365" t="n">
        <f aca="false">J2440/1792.8</f>
        <v>0</v>
      </c>
      <c r="L2440" s="714" t="n">
        <f aca="false">SUM(L2436:L2439)</f>
        <v>30</v>
      </c>
      <c r="M2440" s="934" t="n">
        <f aca="false">SUM(M2436:M2439)</f>
        <v>17.0389637252715</v>
      </c>
    </row>
    <row r="2441" customFormat="false" ht="45" hidden="false" customHeight="false" outlineLevel="0" collapsed="false">
      <c r="A2441" s="216" t="s">
        <v>1160</v>
      </c>
      <c r="B2441" s="40" t="s">
        <v>3344</v>
      </c>
      <c r="C2441" s="1161" t="s">
        <v>7071</v>
      </c>
      <c r="D2441" s="912" t="n">
        <v>2006</v>
      </c>
      <c r="E2441" s="912" t="n">
        <f aca="false">2021-D2441</f>
        <v>15</v>
      </c>
      <c r="F2441" s="547" t="n">
        <v>138575</v>
      </c>
      <c r="G2441" s="1413" t="n">
        <v>0.1</v>
      </c>
      <c r="H2441" s="547" t="n">
        <f aca="false">E2441*F2441*G2441</f>
        <v>207862.5</v>
      </c>
      <c r="I2441" s="547" t="n">
        <f aca="false">F2441-H2441</f>
        <v>-69287.5</v>
      </c>
      <c r="J2441" s="547" t="n">
        <f aca="false">F2441*G2441</f>
        <v>13857.5</v>
      </c>
      <c r="K2441" s="1365" t="n">
        <f aca="false">J2441/1792.8</f>
        <v>7.7295292280232</v>
      </c>
      <c r="L2441" s="547" t="n">
        <v>20</v>
      </c>
      <c r="M2441" s="819" t="n">
        <f aca="false">K2441*L2441/60</f>
        <v>2.5765097426744</v>
      </c>
    </row>
    <row r="2442" customFormat="false" ht="30" hidden="false" customHeight="false" outlineLevel="0" collapsed="false">
      <c r="A2442" s="216"/>
      <c r="B2442" s="40"/>
      <c r="C2442" s="1404" t="s">
        <v>6959</v>
      </c>
      <c r="D2442" s="1405" t="n">
        <v>2007</v>
      </c>
      <c r="E2442" s="1405" t="n">
        <f aca="false">2021-D2442</f>
        <v>14</v>
      </c>
      <c r="F2442" s="1406" t="n">
        <v>350000</v>
      </c>
      <c r="G2442" s="1407" t="n">
        <v>0.1</v>
      </c>
      <c r="H2442" s="1410" t="n">
        <f aca="false">E2442*F2442*G2442</f>
        <v>490000</v>
      </c>
      <c r="I2442" s="1410" t="n">
        <f aca="false">F2442-H2442</f>
        <v>-140000</v>
      </c>
      <c r="J2442" s="1410" t="n">
        <f aca="false">F2442*G2442</f>
        <v>35000</v>
      </c>
      <c r="K2442" s="1365" t="n">
        <f aca="false">J2442/1792.8</f>
        <v>19.5225345827755</v>
      </c>
      <c r="L2442" s="1445" t="n">
        <v>10</v>
      </c>
      <c r="M2442" s="1408" t="n">
        <f aca="false">K2442*L2442/60</f>
        <v>3.25375576379592</v>
      </c>
    </row>
    <row r="2443" customFormat="false" ht="30" hidden="false" customHeight="false" outlineLevel="0" collapsed="false">
      <c r="A2443" s="216"/>
      <c r="B2443" s="40"/>
      <c r="C2443" s="1404" t="s">
        <v>7072</v>
      </c>
      <c r="D2443" s="569" t="n">
        <v>2013</v>
      </c>
      <c r="E2443" s="569" t="n">
        <f aca="false">2021-D2443</f>
        <v>8</v>
      </c>
      <c r="F2443" s="1105" t="n">
        <v>300000</v>
      </c>
      <c r="G2443" s="1444" t="n">
        <v>0.1</v>
      </c>
      <c r="H2443" s="1105" t="n">
        <f aca="false">E2443*F2443*G2443</f>
        <v>240000</v>
      </c>
      <c r="I2443" s="1105" t="n">
        <f aca="false">F2443-H2443</f>
        <v>60000</v>
      </c>
      <c r="J2443" s="1105" t="n">
        <f aca="false">F2443*G2443</f>
        <v>30000</v>
      </c>
      <c r="K2443" s="1365" t="n">
        <f aca="false">J2443/1792.8</f>
        <v>16.7336010709505</v>
      </c>
      <c r="L2443" s="1105" t="n">
        <v>20</v>
      </c>
      <c r="M2443" s="865" t="n">
        <f aca="false">K2443*L2443/60</f>
        <v>5.57786702365016</v>
      </c>
    </row>
    <row r="2444" customFormat="false" ht="30" hidden="false" customHeight="false" outlineLevel="0" collapsed="false">
      <c r="A2444" s="216"/>
      <c r="B2444" s="40"/>
      <c r="C2444" s="1409" t="s">
        <v>6967</v>
      </c>
      <c r="D2444" s="569" t="n">
        <v>2016</v>
      </c>
      <c r="E2444" s="569" t="n">
        <f aca="false">2021-D2444</f>
        <v>5</v>
      </c>
      <c r="F2444" s="1105" t="n">
        <v>2302000</v>
      </c>
      <c r="G2444" s="1444" t="n">
        <v>0.1</v>
      </c>
      <c r="H2444" s="1105" t="n">
        <f aca="false">E2444*F2444*G2444</f>
        <v>1151000</v>
      </c>
      <c r="I2444" s="1105" t="n">
        <f aca="false">F2444-H2444</f>
        <v>1151000</v>
      </c>
      <c r="J2444" s="1105" t="n">
        <f aca="false">F2444*G2444</f>
        <v>230200</v>
      </c>
      <c r="K2444" s="1365" t="n">
        <f aca="false">J2444/1792.8</f>
        <v>128.402498884427</v>
      </c>
      <c r="L2444" s="1105" t="n">
        <v>20</v>
      </c>
      <c r="M2444" s="865" t="n">
        <f aca="false">K2444*L2444/60</f>
        <v>42.8008329614755</v>
      </c>
    </row>
    <row r="2445" customFormat="false" ht="15" hidden="false" customHeight="false" outlineLevel="0" collapsed="false">
      <c r="A2445" s="216"/>
      <c r="B2445" s="40"/>
      <c r="C2445" s="1404" t="s">
        <v>7075</v>
      </c>
      <c r="D2445" s="569" t="n">
        <v>2015</v>
      </c>
      <c r="E2445" s="569" t="n">
        <f aca="false">2021-D2445</f>
        <v>6</v>
      </c>
      <c r="F2445" s="1105" t="n">
        <v>1028020</v>
      </c>
      <c r="G2445" s="1444" t="n">
        <v>0.1</v>
      </c>
      <c r="H2445" s="1105" t="n">
        <f aca="false">E2445*F2445*G2445</f>
        <v>616812</v>
      </c>
      <c r="I2445" s="1105" t="n">
        <f aca="false">F2445-H2445</f>
        <v>411208</v>
      </c>
      <c r="J2445" s="1105" t="n">
        <f aca="false">F2445*G2445</f>
        <v>102802</v>
      </c>
      <c r="K2445" s="1365" t="n">
        <f aca="false">J2445/1792.8</f>
        <v>57.3415885765283</v>
      </c>
      <c r="L2445" s="1105" t="n">
        <v>60</v>
      </c>
      <c r="M2445" s="865" t="n">
        <f aca="false">K2445*L2445/60</f>
        <v>57.3415885765283</v>
      </c>
    </row>
    <row r="2446" customFormat="false" ht="30" hidden="false" customHeight="false" outlineLevel="0" collapsed="false">
      <c r="A2446" s="216"/>
      <c r="B2446" s="40"/>
      <c r="C2446" s="1404" t="s">
        <v>7070</v>
      </c>
      <c r="D2446" s="569" t="n">
        <v>2009</v>
      </c>
      <c r="E2446" s="569" t="n">
        <f aca="false">2021-D2446</f>
        <v>12</v>
      </c>
      <c r="F2446" s="1105" t="n">
        <v>181000</v>
      </c>
      <c r="G2446" s="1444" t="n">
        <v>0.1</v>
      </c>
      <c r="H2446" s="1105" t="n">
        <f aca="false">E2446*F2446*G2446</f>
        <v>217200</v>
      </c>
      <c r="I2446" s="1105" t="n">
        <f aca="false">F2446-H2446</f>
        <v>-36200</v>
      </c>
      <c r="J2446" s="1105" t="n">
        <f aca="false">F2446*G2446</f>
        <v>18100</v>
      </c>
      <c r="K2446" s="1365" t="n">
        <f aca="false">J2446/1792.8</f>
        <v>10.0959393128068</v>
      </c>
      <c r="L2446" s="1105" t="n">
        <v>10</v>
      </c>
      <c r="M2446" s="865" t="n">
        <f aca="false">K2446*L2446/60</f>
        <v>1.68265655213446</v>
      </c>
    </row>
    <row r="2447" customFormat="false" ht="30" hidden="false" customHeight="false" outlineLevel="0" collapsed="false">
      <c r="A2447" s="216"/>
      <c r="B2447" s="40"/>
      <c r="C2447" s="1404" t="s">
        <v>7073</v>
      </c>
      <c r="D2447" s="569" t="n">
        <v>2005</v>
      </c>
      <c r="E2447" s="569" t="n">
        <f aca="false">2021-D2447</f>
        <v>16</v>
      </c>
      <c r="F2447" s="1105" t="n">
        <v>39263</v>
      </c>
      <c r="G2447" s="1444" t="n">
        <v>0.15</v>
      </c>
      <c r="H2447" s="1105" t="n">
        <f aca="false">E2447*F2447*G2447</f>
        <v>94231.2</v>
      </c>
      <c r="I2447" s="1105" t="n">
        <f aca="false">F2447-H2447</f>
        <v>-54968.2</v>
      </c>
      <c r="J2447" s="1105" t="n">
        <f aca="false">F2447*G2447</f>
        <v>5889.45</v>
      </c>
      <c r="K2447" s="1365" t="n">
        <f aca="false">J2447/1792.8</f>
        <v>3.28505689424364</v>
      </c>
      <c r="L2447" s="1105" t="n">
        <v>20</v>
      </c>
      <c r="M2447" s="865" t="n">
        <f aca="false">K2447*L2447/60</f>
        <v>1.09501896474788</v>
      </c>
    </row>
    <row r="2448" customFormat="false" ht="30" hidden="false" customHeight="false" outlineLevel="0" collapsed="false">
      <c r="A2448" s="216"/>
      <c r="B2448" s="40"/>
      <c r="C2448" s="1404" t="s">
        <v>7078</v>
      </c>
      <c r="D2448" s="569" t="n">
        <v>2012</v>
      </c>
      <c r="E2448" s="569" t="n">
        <f aca="false">2021-D2448</f>
        <v>9</v>
      </c>
      <c r="F2448" s="1105" t="n">
        <v>12268394.74</v>
      </c>
      <c r="G2448" s="1444" t="n">
        <v>0.1</v>
      </c>
      <c r="H2448" s="1105" t="n">
        <f aca="false">E2448*F2448*G2448</f>
        <v>11041555.266</v>
      </c>
      <c r="I2448" s="1105" t="n">
        <f aca="false">F2448-H2448</f>
        <v>1226839.474</v>
      </c>
      <c r="J2448" s="1105" t="n">
        <f aca="false">F2448*G2448</f>
        <v>1226839.474</v>
      </c>
      <c r="K2448" s="1365" t="n">
        <f aca="false">J2448/1792.8</f>
        <v>684.31474453369</v>
      </c>
      <c r="L2448" s="1105" t="n">
        <v>100</v>
      </c>
      <c r="M2448" s="865" t="n">
        <f aca="false">K2448*L2448/60</f>
        <v>1140.52457422282</v>
      </c>
    </row>
    <row r="2449" customFormat="false" ht="15" hidden="false" customHeight="false" outlineLevel="0" collapsed="false">
      <c r="A2449" s="216"/>
      <c r="B2449" s="1053" t="s">
        <v>4128</v>
      </c>
      <c r="C2449" s="1161"/>
      <c r="D2449" s="912"/>
      <c r="E2449" s="912"/>
      <c r="F2449" s="547"/>
      <c r="G2449" s="1413"/>
      <c r="H2449" s="547"/>
      <c r="I2449" s="547"/>
      <c r="J2449" s="547"/>
      <c r="K2449" s="1365" t="n">
        <f aca="false">J2449/1792.8</f>
        <v>0</v>
      </c>
      <c r="L2449" s="714" t="n">
        <f aca="false">SUM(L2441:L2448)</f>
        <v>260</v>
      </c>
      <c r="M2449" s="934" t="n">
        <f aca="false">SUM(M2441:M2448)</f>
        <v>1254.85280380782</v>
      </c>
    </row>
    <row r="2450" customFormat="false" ht="45" hidden="false" customHeight="false" outlineLevel="0" collapsed="false">
      <c r="A2450" s="216" t="s">
        <v>1162</v>
      </c>
      <c r="B2450" s="40" t="s">
        <v>3345</v>
      </c>
      <c r="C2450" s="1404" t="s">
        <v>6959</v>
      </c>
      <c r="D2450" s="1405" t="n">
        <v>2007</v>
      </c>
      <c r="E2450" s="1405" t="n">
        <f aca="false">2021-D2450</f>
        <v>14</v>
      </c>
      <c r="F2450" s="1406" t="n">
        <v>350000</v>
      </c>
      <c r="G2450" s="1407" t="n">
        <v>0.1</v>
      </c>
      <c r="H2450" s="1410" t="n">
        <f aca="false">E2450*F2450*G2450</f>
        <v>490000</v>
      </c>
      <c r="I2450" s="1410" t="n">
        <f aca="false">F2450-H2450</f>
        <v>-140000</v>
      </c>
      <c r="J2450" s="1410" t="n">
        <f aca="false">F2450*G2450</f>
        <v>35000</v>
      </c>
      <c r="K2450" s="1365" t="n">
        <f aca="false">J2450/1792.8</f>
        <v>19.5225345827755</v>
      </c>
      <c r="L2450" s="1445" t="n">
        <v>10</v>
      </c>
      <c r="M2450" s="1408" t="n">
        <f aca="false">K2450*L2450/60</f>
        <v>3.25375576379592</v>
      </c>
    </row>
    <row r="2451" customFormat="false" ht="30" hidden="false" customHeight="false" outlineLevel="0" collapsed="false">
      <c r="A2451" s="216"/>
      <c r="B2451" s="40"/>
      <c r="C2451" s="1404" t="s">
        <v>7073</v>
      </c>
      <c r="D2451" s="569" t="n">
        <v>2005</v>
      </c>
      <c r="E2451" s="569" t="n">
        <f aca="false">2021-D2451</f>
        <v>16</v>
      </c>
      <c r="F2451" s="1105" t="n">
        <v>39263</v>
      </c>
      <c r="G2451" s="1444" t="n">
        <v>0.15</v>
      </c>
      <c r="H2451" s="1105" t="n">
        <f aca="false">E2451*F2451*G2451</f>
        <v>94231.2</v>
      </c>
      <c r="I2451" s="1105" t="n">
        <f aca="false">F2451-H2451</f>
        <v>-54968.2</v>
      </c>
      <c r="J2451" s="1105" t="n">
        <f aca="false">F2451*G2451</f>
        <v>5889.45</v>
      </c>
      <c r="K2451" s="1365" t="n">
        <f aca="false">J2451/1792.8</f>
        <v>3.28505689424364</v>
      </c>
      <c r="L2451" s="1105" t="n">
        <v>10</v>
      </c>
      <c r="M2451" s="865" t="n">
        <f aca="false">K2451*L2451/60</f>
        <v>0.54750948237394</v>
      </c>
    </row>
    <row r="2452" customFormat="false" ht="30" hidden="false" customHeight="false" outlineLevel="0" collapsed="false">
      <c r="A2452" s="216"/>
      <c r="B2452" s="40"/>
      <c r="C2452" s="1409" t="s">
        <v>6967</v>
      </c>
      <c r="D2452" s="569" t="n">
        <v>2016</v>
      </c>
      <c r="E2452" s="569" t="n">
        <f aca="false">2021-D2452</f>
        <v>5</v>
      </c>
      <c r="F2452" s="1105" t="n">
        <v>2302000</v>
      </c>
      <c r="G2452" s="1444" t="n">
        <v>0.1</v>
      </c>
      <c r="H2452" s="1105" t="n">
        <f aca="false">E2452*F2452*G2452</f>
        <v>1151000</v>
      </c>
      <c r="I2452" s="1105" t="n">
        <f aca="false">F2452-H2452</f>
        <v>1151000</v>
      </c>
      <c r="J2452" s="1105" t="n">
        <f aca="false">F2452*G2452</f>
        <v>230200</v>
      </c>
      <c r="K2452" s="1365" t="n">
        <f aca="false">J2452/1792.8</f>
        <v>128.402498884427</v>
      </c>
      <c r="L2452" s="1105" t="n">
        <v>10</v>
      </c>
      <c r="M2452" s="865" t="n">
        <f aca="false">K2452*L2452/60</f>
        <v>21.4004164807378</v>
      </c>
    </row>
    <row r="2453" customFormat="false" ht="15" hidden="false" customHeight="false" outlineLevel="0" collapsed="false">
      <c r="A2453" s="216"/>
      <c r="B2453" s="1053" t="s">
        <v>4128</v>
      </c>
      <c r="C2453" s="1161"/>
      <c r="D2453" s="912"/>
      <c r="E2453" s="912"/>
      <c r="F2453" s="547"/>
      <c r="G2453" s="1413"/>
      <c r="H2453" s="547"/>
      <c r="I2453" s="547"/>
      <c r="J2453" s="547"/>
      <c r="K2453" s="1365" t="n">
        <f aca="false">J2453/1792.8</f>
        <v>0</v>
      </c>
      <c r="L2453" s="714" t="n">
        <f aca="false">SUM(L2450:L2452)</f>
        <v>30</v>
      </c>
      <c r="M2453" s="934" t="n">
        <f aca="false">SUM(M2449:M2452)</f>
        <v>1280.05448553473</v>
      </c>
    </row>
    <row r="2454" customFormat="false" ht="15" hidden="false" customHeight="false" outlineLevel="0" collapsed="false">
      <c r="A2454" s="15" t="s">
        <v>1164</v>
      </c>
      <c r="B2454" s="54" t="s">
        <v>3346</v>
      </c>
      <c r="C2454" s="1387"/>
      <c r="D2454" s="339"/>
      <c r="E2454" s="541"/>
      <c r="F2454" s="751"/>
      <c r="G2454" s="1412"/>
      <c r="H2454" s="1412"/>
      <c r="I2454" s="751"/>
      <c r="J2454" s="751"/>
      <c r="K2454" s="1390"/>
      <c r="L2454" s="751"/>
      <c r="M2454" s="818"/>
    </row>
    <row r="2455" customFormat="false" ht="30" hidden="false" customHeight="false" outlineLevel="0" collapsed="false">
      <c r="A2455" s="216" t="s">
        <v>1166</v>
      </c>
      <c r="B2455" s="40" t="s">
        <v>3317</v>
      </c>
      <c r="C2455" s="1404" t="s">
        <v>7070</v>
      </c>
      <c r="D2455" s="569" t="n">
        <v>2009</v>
      </c>
      <c r="E2455" s="569" t="n">
        <f aca="false">2021-D2455</f>
        <v>12</v>
      </c>
      <c r="F2455" s="1105" t="n">
        <v>181000</v>
      </c>
      <c r="G2455" s="1444" t="n">
        <v>0.1</v>
      </c>
      <c r="H2455" s="1105" t="n">
        <f aca="false">E2455*F2455*G2455</f>
        <v>217200</v>
      </c>
      <c r="I2455" s="1105" t="n">
        <f aca="false">F2455-H2455</f>
        <v>-36200</v>
      </c>
      <c r="J2455" s="1105" t="n">
        <f aca="false">F2455*G2455</f>
        <v>18100</v>
      </c>
      <c r="K2455" s="1365" t="n">
        <f aca="false">J2455/1792.8</f>
        <v>10.0959393128068</v>
      </c>
      <c r="L2455" s="1105" t="n">
        <v>20</v>
      </c>
      <c r="M2455" s="865" t="n">
        <f aca="false">K2455*L2455/60</f>
        <v>3.36531310426893</v>
      </c>
    </row>
    <row r="2456" customFormat="false" ht="30" hidden="false" customHeight="false" outlineLevel="0" collapsed="false">
      <c r="A2456" s="216"/>
      <c r="B2456" s="40"/>
      <c r="C2456" s="1404" t="s">
        <v>6963</v>
      </c>
      <c r="D2456" s="1405" t="n">
        <v>2007</v>
      </c>
      <c r="E2456" s="1405" t="n">
        <f aca="false">2021-D2456</f>
        <v>14</v>
      </c>
      <c r="F2456" s="1406" t="n">
        <v>176358</v>
      </c>
      <c r="G2456" s="1407" t="n">
        <v>0.1</v>
      </c>
      <c r="H2456" s="1410" t="n">
        <f aca="false">E2456*F2456*G2456</f>
        <v>246901.2</v>
      </c>
      <c r="I2456" s="1410" t="n">
        <f aca="false">F2456-H2456</f>
        <v>-70543.2</v>
      </c>
      <c r="J2456" s="1410" t="n">
        <f aca="false">F2456*G2456</f>
        <v>17635.8</v>
      </c>
      <c r="K2456" s="1365" t="n">
        <f aca="false">J2456/1792.8</f>
        <v>9.83701472556894</v>
      </c>
      <c r="L2456" s="1445" t="n">
        <v>10</v>
      </c>
      <c r="M2456" s="1408" t="n">
        <f aca="false">K2456*L2456/60</f>
        <v>1.63950245426149</v>
      </c>
    </row>
    <row r="2457" customFormat="false" ht="30" hidden="false" customHeight="false" outlineLevel="0" collapsed="false">
      <c r="A2457" s="216"/>
      <c r="B2457" s="40"/>
      <c r="C2457" s="1404" t="s">
        <v>6959</v>
      </c>
      <c r="D2457" s="1405" t="n">
        <v>2007</v>
      </c>
      <c r="E2457" s="1405" t="n">
        <f aca="false">2021-D2457</f>
        <v>14</v>
      </c>
      <c r="F2457" s="1406" t="n">
        <v>350000</v>
      </c>
      <c r="G2457" s="1407" t="n">
        <v>0.1</v>
      </c>
      <c r="H2457" s="1410" t="n">
        <f aca="false">E2457*F2457*G2457</f>
        <v>490000</v>
      </c>
      <c r="I2457" s="1410" t="n">
        <f aca="false">F2457-H2457</f>
        <v>-140000</v>
      </c>
      <c r="J2457" s="1410" t="n">
        <f aca="false">F2457*G2457</f>
        <v>35000</v>
      </c>
      <c r="K2457" s="1365" t="n">
        <f aca="false">J2457/1792.8</f>
        <v>19.5225345827755</v>
      </c>
      <c r="L2457" s="1445" t="n">
        <v>10</v>
      </c>
      <c r="M2457" s="1408" t="n">
        <f aca="false">K2457*L2457/60</f>
        <v>3.25375576379592</v>
      </c>
    </row>
    <row r="2458" customFormat="false" ht="30" hidden="false" customHeight="false" outlineLevel="0" collapsed="false">
      <c r="A2458" s="216"/>
      <c r="B2458" s="40"/>
      <c r="C2458" s="1404" t="s">
        <v>7071</v>
      </c>
      <c r="D2458" s="569" t="n">
        <v>2006</v>
      </c>
      <c r="E2458" s="569" t="n">
        <f aca="false">2021-D2458</f>
        <v>15</v>
      </c>
      <c r="F2458" s="1105" t="n">
        <v>138575</v>
      </c>
      <c r="G2458" s="1444" t="n">
        <v>0.1</v>
      </c>
      <c r="H2458" s="1105" t="n">
        <f aca="false">E2458*F2458*G2458</f>
        <v>207862.5</v>
      </c>
      <c r="I2458" s="1105" t="n">
        <f aca="false">F2458-H2458</f>
        <v>-69287.5</v>
      </c>
      <c r="J2458" s="1105" t="n">
        <f aca="false">F2458*G2458</f>
        <v>13857.5</v>
      </c>
      <c r="K2458" s="1365" t="n">
        <f aca="false">J2458/1792.8</f>
        <v>7.7295292280232</v>
      </c>
      <c r="L2458" s="1105" t="n">
        <v>20</v>
      </c>
      <c r="M2458" s="865" t="n">
        <f aca="false">K2458*L2458/60</f>
        <v>2.5765097426744</v>
      </c>
    </row>
    <row r="2459" customFormat="false" ht="30" hidden="false" customHeight="false" outlineLevel="0" collapsed="false">
      <c r="A2459" s="216"/>
      <c r="B2459" s="40"/>
      <c r="C2459" s="1404" t="s">
        <v>7072</v>
      </c>
      <c r="D2459" s="569" t="n">
        <v>2013</v>
      </c>
      <c r="E2459" s="569" t="n">
        <f aca="false">2021-D2459</f>
        <v>8</v>
      </c>
      <c r="F2459" s="1105" t="n">
        <v>300000</v>
      </c>
      <c r="G2459" s="1444" t="n">
        <v>0.1</v>
      </c>
      <c r="H2459" s="1105" t="n">
        <f aca="false">E2459*F2459*G2459</f>
        <v>240000</v>
      </c>
      <c r="I2459" s="1105" t="n">
        <f aca="false">F2459-H2459</f>
        <v>60000</v>
      </c>
      <c r="J2459" s="1105" t="n">
        <f aca="false">F2459*G2459</f>
        <v>30000</v>
      </c>
      <c r="K2459" s="1365" t="n">
        <f aca="false">J2459/1792.8</f>
        <v>16.7336010709505</v>
      </c>
      <c r="L2459" s="1105" t="n">
        <v>20</v>
      </c>
      <c r="M2459" s="865" t="n">
        <f aca="false">K2459*L2459/60</f>
        <v>5.57786702365016</v>
      </c>
    </row>
    <row r="2460" customFormat="false" ht="30" hidden="false" customHeight="false" outlineLevel="0" collapsed="false">
      <c r="A2460" s="216"/>
      <c r="B2460" s="40"/>
      <c r="C2460" s="1409" t="s">
        <v>6967</v>
      </c>
      <c r="D2460" s="569" t="n">
        <v>2016</v>
      </c>
      <c r="E2460" s="569" t="n">
        <f aca="false">2021-D2460</f>
        <v>5</v>
      </c>
      <c r="F2460" s="1105" t="n">
        <v>2302000</v>
      </c>
      <c r="G2460" s="1444" t="n">
        <v>0.1</v>
      </c>
      <c r="H2460" s="1105" t="n">
        <f aca="false">E2460*F2460*G2460</f>
        <v>1151000</v>
      </c>
      <c r="I2460" s="1105" t="n">
        <f aca="false">F2460-H2460</f>
        <v>1151000</v>
      </c>
      <c r="J2460" s="1105" t="n">
        <f aca="false">F2460*G2460</f>
        <v>230200</v>
      </c>
      <c r="K2460" s="1365" t="n">
        <f aca="false">J2460/1792.8</f>
        <v>128.402498884427</v>
      </c>
      <c r="L2460" s="1105" t="n">
        <v>10</v>
      </c>
      <c r="M2460" s="865" t="n">
        <f aca="false">K2460*L2460/60</f>
        <v>21.4004164807378</v>
      </c>
    </row>
    <row r="2461" customFormat="false" ht="15" hidden="false" customHeight="false" outlineLevel="0" collapsed="false">
      <c r="A2461" s="216"/>
      <c r="B2461" s="40"/>
      <c r="C2461" s="1404" t="s">
        <v>7075</v>
      </c>
      <c r="D2461" s="569" t="n">
        <v>2015</v>
      </c>
      <c r="E2461" s="569" t="n">
        <f aca="false">2021-D2461</f>
        <v>6</v>
      </c>
      <c r="F2461" s="1105" t="n">
        <v>1028020</v>
      </c>
      <c r="G2461" s="1444" t="n">
        <v>0.1</v>
      </c>
      <c r="H2461" s="1105" t="n">
        <f aca="false">E2461*F2461*G2461</f>
        <v>616812</v>
      </c>
      <c r="I2461" s="1105" t="n">
        <f aca="false">F2461-H2461</f>
        <v>411208</v>
      </c>
      <c r="J2461" s="1105" t="n">
        <f aca="false">F2461*G2461</f>
        <v>102802</v>
      </c>
      <c r="K2461" s="1365" t="n">
        <f aca="false">J2461/1792.8</f>
        <v>57.3415885765283</v>
      </c>
      <c r="L2461" s="1105" t="n">
        <v>60</v>
      </c>
      <c r="M2461" s="865" t="n">
        <f aca="false">K2461*L2461/60</f>
        <v>57.3415885765283</v>
      </c>
    </row>
    <row r="2462" customFormat="false" ht="30" hidden="false" customHeight="false" outlineLevel="0" collapsed="false">
      <c r="A2462" s="216"/>
      <c r="B2462" s="40"/>
      <c r="C2462" s="1404" t="s">
        <v>7073</v>
      </c>
      <c r="D2462" s="569" t="n">
        <v>2005</v>
      </c>
      <c r="E2462" s="569" t="n">
        <f aca="false">2021-D2462</f>
        <v>16</v>
      </c>
      <c r="F2462" s="1105" t="n">
        <v>39263</v>
      </c>
      <c r="G2462" s="1444" t="n">
        <v>0.15</v>
      </c>
      <c r="H2462" s="1105" t="n">
        <f aca="false">E2462*F2462*G2462</f>
        <v>94231.2</v>
      </c>
      <c r="I2462" s="1105" t="n">
        <f aca="false">F2462-H2462</f>
        <v>-54968.2</v>
      </c>
      <c r="J2462" s="1105" t="n">
        <f aca="false">F2462*G2462</f>
        <v>5889.45</v>
      </c>
      <c r="K2462" s="1365" t="n">
        <f aca="false">J2462/1792.8</f>
        <v>3.28505689424364</v>
      </c>
      <c r="L2462" s="1105" t="n">
        <v>10</v>
      </c>
      <c r="M2462" s="865" t="n">
        <f aca="false">K2462*L2462/60</f>
        <v>0.54750948237394</v>
      </c>
    </row>
    <row r="2463" customFormat="false" ht="30" hidden="false" customHeight="false" outlineLevel="0" collapsed="false">
      <c r="A2463" s="216"/>
      <c r="B2463" s="40"/>
      <c r="C2463" s="1161" t="s">
        <v>7074</v>
      </c>
      <c r="D2463" s="912" t="n">
        <v>2003</v>
      </c>
      <c r="E2463" s="912" t="n">
        <f aca="false">2021-D2463</f>
        <v>18</v>
      </c>
      <c r="F2463" s="547" t="n">
        <v>2471090</v>
      </c>
      <c r="G2463" s="1413" t="n">
        <v>0.1</v>
      </c>
      <c r="H2463" s="547" t="n">
        <f aca="false">E2463*F2463*G2463</f>
        <v>4447962</v>
      </c>
      <c r="I2463" s="547" t="n">
        <f aca="false">F2463-H2463</f>
        <v>-1976872</v>
      </c>
      <c r="J2463" s="547" t="n">
        <f aca="false">F2463*G2463</f>
        <v>247109</v>
      </c>
      <c r="K2463" s="1365" t="n">
        <f aca="false">J2463/1792.8</f>
        <v>137.834114234717</v>
      </c>
      <c r="L2463" s="547" t="n">
        <v>120</v>
      </c>
      <c r="M2463" s="819" t="n">
        <f aca="false">K2463*L2463/60</f>
        <v>275.668228469433</v>
      </c>
    </row>
    <row r="2464" customFormat="false" ht="15" hidden="false" customHeight="false" outlineLevel="0" collapsed="false">
      <c r="A2464" s="216"/>
      <c r="B2464" s="1053" t="s">
        <v>4128</v>
      </c>
      <c r="C2464" s="1161"/>
      <c r="D2464" s="912"/>
      <c r="E2464" s="912"/>
      <c r="F2464" s="547"/>
      <c r="G2464" s="1413"/>
      <c r="H2464" s="547"/>
      <c r="I2464" s="547"/>
      <c r="J2464" s="547"/>
      <c r="K2464" s="1365" t="n">
        <f aca="false">J2464/1792.8</f>
        <v>0</v>
      </c>
      <c r="L2464" s="714" t="n">
        <f aca="false">SUM(L2455:L2463)</f>
        <v>280</v>
      </c>
      <c r="M2464" s="934" t="n">
        <f aca="false">SUM(M2455:M2463)</f>
        <v>371.370691097724</v>
      </c>
    </row>
    <row r="2465" customFormat="false" ht="30" hidden="false" customHeight="false" outlineLevel="0" collapsed="false">
      <c r="A2465" s="216" t="s">
        <v>1168</v>
      </c>
      <c r="B2465" s="40" t="s">
        <v>3307</v>
      </c>
      <c r="C2465" s="1404" t="s">
        <v>7070</v>
      </c>
      <c r="D2465" s="569" t="n">
        <v>2009</v>
      </c>
      <c r="E2465" s="569" t="n">
        <f aca="false">2021-D2465</f>
        <v>12</v>
      </c>
      <c r="F2465" s="1105" t="n">
        <v>181000</v>
      </c>
      <c r="G2465" s="1444" t="n">
        <v>0.1</v>
      </c>
      <c r="H2465" s="1105" t="n">
        <f aca="false">E2465*F2465*G2465</f>
        <v>217200</v>
      </c>
      <c r="I2465" s="1105" t="n">
        <f aca="false">F2465-H2465</f>
        <v>-36200</v>
      </c>
      <c r="J2465" s="1105" t="n">
        <f aca="false">F2465*G2465</f>
        <v>18100</v>
      </c>
      <c r="K2465" s="1365" t="n">
        <f aca="false">J2465/1792.8</f>
        <v>10.0959393128068</v>
      </c>
      <c r="L2465" s="547" t="n">
        <v>10</v>
      </c>
      <c r="M2465" s="819" t="n">
        <f aca="false">K2465*L2465/60</f>
        <v>1.68265655213446</v>
      </c>
    </row>
    <row r="2466" customFormat="false" ht="30" hidden="false" customHeight="false" outlineLevel="0" collapsed="false">
      <c r="A2466" s="216"/>
      <c r="B2466" s="40"/>
      <c r="C2466" s="1404" t="s">
        <v>6963</v>
      </c>
      <c r="D2466" s="1405" t="n">
        <v>2007</v>
      </c>
      <c r="E2466" s="1405" t="n">
        <f aca="false">2021-D2466</f>
        <v>14</v>
      </c>
      <c r="F2466" s="1406" t="n">
        <v>176358</v>
      </c>
      <c r="G2466" s="1407" t="n">
        <v>0.1</v>
      </c>
      <c r="H2466" s="1410" t="n">
        <f aca="false">E2466*F2466*G2466</f>
        <v>246901.2</v>
      </c>
      <c r="I2466" s="1410" t="n">
        <f aca="false">F2466-H2466</f>
        <v>-70543.2</v>
      </c>
      <c r="J2466" s="1410" t="n">
        <f aca="false">F2466*G2466</f>
        <v>17635.8</v>
      </c>
      <c r="K2466" s="1365" t="n">
        <f aca="false">J2466/1792.8</f>
        <v>9.83701472556894</v>
      </c>
      <c r="L2466" s="1445" t="n">
        <v>10</v>
      </c>
      <c r="M2466" s="1408" t="n">
        <f aca="false">K2466*L2466/60</f>
        <v>1.63950245426149</v>
      </c>
    </row>
    <row r="2467" customFormat="false" ht="30" hidden="false" customHeight="false" outlineLevel="0" collapsed="false">
      <c r="A2467" s="216"/>
      <c r="B2467" s="40"/>
      <c r="C2467" s="1404" t="s">
        <v>6959</v>
      </c>
      <c r="D2467" s="1405" t="n">
        <v>2007</v>
      </c>
      <c r="E2467" s="1405" t="n">
        <f aca="false">2021-D2467</f>
        <v>14</v>
      </c>
      <c r="F2467" s="1406" t="n">
        <v>350000</v>
      </c>
      <c r="G2467" s="1407" t="n">
        <v>0.1</v>
      </c>
      <c r="H2467" s="1410" t="n">
        <f aca="false">E2467*F2467*G2467</f>
        <v>490000</v>
      </c>
      <c r="I2467" s="1410" t="n">
        <f aca="false">F2467-H2467</f>
        <v>-140000</v>
      </c>
      <c r="J2467" s="1410" t="n">
        <f aca="false">F2467*G2467</f>
        <v>35000</v>
      </c>
      <c r="K2467" s="1365" t="n">
        <f aca="false">J2467/1792.8</f>
        <v>19.5225345827755</v>
      </c>
      <c r="L2467" s="1445" t="n">
        <v>10</v>
      </c>
      <c r="M2467" s="1408" t="n">
        <f aca="false">K2467*L2467/60</f>
        <v>3.25375576379592</v>
      </c>
    </row>
    <row r="2468" customFormat="false" ht="30" hidden="false" customHeight="false" outlineLevel="0" collapsed="false">
      <c r="A2468" s="216"/>
      <c r="B2468" s="40"/>
      <c r="C2468" s="1161" t="s">
        <v>7071</v>
      </c>
      <c r="D2468" s="912" t="n">
        <v>2006</v>
      </c>
      <c r="E2468" s="912" t="n">
        <f aca="false">2021-D2468</f>
        <v>15</v>
      </c>
      <c r="F2468" s="547" t="n">
        <v>138575</v>
      </c>
      <c r="G2468" s="1413" t="n">
        <v>0.1</v>
      </c>
      <c r="H2468" s="547" t="n">
        <f aca="false">E2468*F2468*G2468</f>
        <v>207862.5</v>
      </c>
      <c r="I2468" s="547" t="n">
        <f aca="false">F2468-H2468</f>
        <v>-69287.5</v>
      </c>
      <c r="J2468" s="547" t="n">
        <f aca="false">F2468*G2468</f>
        <v>13857.5</v>
      </c>
      <c r="K2468" s="1365" t="n">
        <f aca="false">J2468/1792.8</f>
        <v>7.7295292280232</v>
      </c>
      <c r="L2468" s="547" t="n">
        <v>10</v>
      </c>
      <c r="M2468" s="819" t="n">
        <f aca="false">K2468*L2468/60</f>
        <v>1.2882548713372</v>
      </c>
    </row>
    <row r="2469" customFormat="false" ht="30" hidden="false" customHeight="false" outlineLevel="0" collapsed="false">
      <c r="A2469" s="216"/>
      <c r="B2469" s="40"/>
      <c r="C2469" s="1404" t="s">
        <v>7072</v>
      </c>
      <c r="D2469" s="569" t="n">
        <v>2013</v>
      </c>
      <c r="E2469" s="569" t="n">
        <f aca="false">2021-D2469</f>
        <v>8</v>
      </c>
      <c r="F2469" s="1105" t="n">
        <v>300000</v>
      </c>
      <c r="G2469" s="1444" t="n">
        <v>0.1</v>
      </c>
      <c r="H2469" s="1105" t="n">
        <f aca="false">E2469*F2469*G2469</f>
        <v>240000</v>
      </c>
      <c r="I2469" s="1105" t="n">
        <f aca="false">F2469-H2469</f>
        <v>60000</v>
      </c>
      <c r="J2469" s="1105" t="n">
        <f aca="false">F2469*G2469</f>
        <v>30000</v>
      </c>
      <c r="K2469" s="1365" t="n">
        <f aca="false">J2469/1792.8</f>
        <v>16.7336010709505</v>
      </c>
      <c r="L2469" s="1105" t="n">
        <v>10</v>
      </c>
      <c r="M2469" s="865" t="n">
        <f aca="false">K2469*L2469/60</f>
        <v>2.78893351182508</v>
      </c>
    </row>
    <row r="2470" customFormat="false" ht="30" hidden="false" customHeight="false" outlineLevel="0" collapsed="false">
      <c r="A2470" s="216"/>
      <c r="B2470" s="40"/>
      <c r="C2470" s="1409" t="s">
        <v>6967</v>
      </c>
      <c r="D2470" s="569" t="n">
        <v>2016</v>
      </c>
      <c r="E2470" s="569" t="n">
        <f aca="false">2021-D2470</f>
        <v>5</v>
      </c>
      <c r="F2470" s="1105" t="n">
        <v>2302000</v>
      </c>
      <c r="G2470" s="1444" t="n">
        <v>0.1</v>
      </c>
      <c r="H2470" s="1105" t="n">
        <f aca="false">E2470*F2470*G2470</f>
        <v>1151000</v>
      </c>
      <c r="I2470" s="1105" t="n">
        <f aca="false">F2470-H2470</f>
        <v>1151000</v>
      </c>
      <c r="J2470" s="1105" t="n">
        <f aca="false">F2470*G2470</f>
        <v>230200</v>
      </c>
      <c r="K2470" s="1365" t="n">
        <f aca="false">J2470/1792.8</f>
        <v>128.402498884427</v>
      </c>
      <c r="L2470" s="547" t="n">
        <v>10</v>
      </c>
      <c r="M2470" s="819" t="n">
        <f aca="false">K2470*L2470/60</f>
        <v>21.4004164807378</v>
      </c>
    </row>
    <row r="2471" customFormat="false" ht="15" hidden="false" customHeight="false" outlineLevel="0" collapsed="false">
      <c r="A2471" s="216"/>
      <c r="B2471" s="40"/>
      <c r="C2471" s="1404" t="s">
        <v>7075</v>
      </c>
      <c r="D2471" s="569" t="n">
        <v>2015</v>
      </c>
      <c r="E2471" s="569" t="n">
        <f aca="false">2021-D2471</f>
        <v>6</v>
      </c>
      <c r="F2471" s="1105" t="n">
        <v>1028020</v>
      </c>
      <c r="G2471" s="1444" t="n">
        <v>0.1</v>
      </c>
      <c r="H2471" s="1105" t="n">
        <f aca="false">E2471*F2471*G2471</f>
        <v>616812</v>
      </c>
      <c r="I2471" s="1105" t="n">
        <f aca="false">F2471-H2471</f>
        <v>411208</v>
      </c>
      <c r="J2471" s="1105" t="n">
        <f aca="false">F2471*G2471</f>
        <v>102802</v>
      </c>
      <c r="K2471" s="1365" t="n">
        <f aca="false">J2471/1792.8</f>
        <v>57.3415885765283</v>
      </c>
      <c r="L2471" s="547" t="n">
        <v>60</v>
      </c>
      <c r="M2471" s="819" t="n">
        <f aca="false">K2471*L2471/60</f>
        <v>57.3415885765283</v>
      </c>
    </row>
    <row r="2472" customFormat="false" ht="30" hidden="false" customHeight="false" outlineLevel="0" collapsed="false">
      <c r="A2472" s="216"/>
      <c r="B2472" s="40"/>
      <c r="C2472" s="1404" t="s">
        <v>7073</v>
      </c>
      <c r="D2472" s="569" t="n">
        <v>2005</v>
      </c>
      <c r="E2472" s="569" t="n">
        <f aca="false">2021-D2472</f>
        <v>16</v>
      </c>
      <c r="F2472" s="1105" t="n">
        <v>39263</v>
      </c>
      <c r="G2472" s="1444" t="n">
        <v>0.15</v>
      </c>
      <c r="H2472" s="1105" t="n">
        <f aca="false">E2472*F2472*G2472</f>
        <v>94231.2</v>
      </c>
      <c r="I2472" s="1105" t="n">
        <f aca="false">F2472-H2472</f>
        <v>-54968.2</v>
      </c>
      <c r="J2472" s="1105" t="n">
        <f aca="false">F2472*G2472</f>
        <v>5889.45</v>
      </c>
      <c r="K2472" s="1365" t="n">
        <f aca="false">J2472/1792.8</f>
        <v>3.28505689424364</v>
      </c>
      <c r="L2472" s="547" t="n">
        <v>10</v>
      </c>
      <c r="M2472" s="819" t="n">
        <f aca="false">K2472*L2472/60</f>
        <v>0.54750948237394</v>
      </c>
    </row>
    <row r="2473" customFormat="false" ht="30" hidden="false" customHeight="false" outlineLevel="0" collapsed="false">
      <c r="A2473" s="216"/>
      <c r="B2473" s="40"/>
      <c r="C2473" s="1404" t="s">
        <v>7074</v>
      </c>
      <c r="D2473" s="569" t="n">
        <v>2003</v>
      </c>
      <c r="E2473" s="569" t="n">
        <f aca="false">2021-D2473</f>
        <v>18</v>
      </c>
      <c r="F2473" s="1105" t="n">
        <v>2471090</v>
      </c>
      <c r="G2473" s="1444" t="n">
        <v>0.1</v>
      </c>
      <c r="H2473" s="1105" t="n">
        <f aca="false">E2473*F2473*G2473</f>
        <v>4447962</v>
      </c>
      <c r="I2473" s="1105" t="n">
        <f aca="false">F2473-H2473</f>
        <v>-1976872</v>
      </c>
      <c r="J2473" s="1105" t="n">
        <f aca="false">F2473*G2473</f>
        <v>247109</v>
      </c>
      <c r="K2473" s="1365" t="n">
        <f aca="false">J2473/1792.8</f>
        <v>137.834114234717</v>
      </c>
      <c r="L2473" s="547" t="n">
        <v>130</v>
      </c>
      <c r="M2473" s="819" t="n">
        <f aca="false">K2473*L2473/60</f>
        <v>298.640580841886</v>
      </c>
    </row>
    <row r="2474" customFormat="false" ht="15" hidden="false" customHeight="false" outlineLevel="0" collapsed="false">
      <c r="A2474" s="216"/>
      <c r="B2474" s="1053" t="s">
        <v>4128</v>
      </c>
      <c r="C2474" s="1161"/>
      <c r="D2474" s="912"/>
      <c r="E2474" s="912"/>
      <c r="F2474" s="547"/>
      <c r="G2474" s="1413"/>
      <c r="H2474" s="547"/>
      <c r="I2474" s="547"/>
      <c r="J2474" s="547"/>
      <c r="K2474" s="1365" t="n">
        <f aca="false">J2474/1792.8</f>
        <v>0</v>
      </c>
      <c r="L2474" s="714" t="n">
        <f aca="false">SUM(L2465:L2473)</f>
        <v>260</v>
      </c>
      <c r="M2474" s="934" t="n">
        <f aca="false">SUM(M2465:M2473)</f>
        <v>388.58319853488</v>
      </c>
    </row>
    <row r="2475" customFormat="false" ht="30" hidden="false" customHeight="false" outlineLevel="0" collapsed="false">
      <c r="A2475" s="216" t="s">
        <v>1169</v>
      </c>
      <c r="B2475" s="40" t="s">
        <v>3347</v>
      </c>
      <c r="C2475" s="1161" t="s">
        <v>7071</v>
      </c>
      <c r="D2475" s="912" t="n">
        <v>2006</v>
      </c>
      <c r="E2475" s="912" t="n">
        <f aca="false">2021-D2475</f>
        <v>15</v>
      </c>
      <c r="F2475" s="547" t="n">
        <v>138575</v>
      </c>
      <c r="G2475" s="1413" t="n">
        <v>0.1</v>
      </c>
      <c r="H2475" s="547" t="n">
        <f aca="false">E2475*F2475*G2475</f>
        <v>207862.5</v>
      </c>
      <c r="I2475" s="547" t="n">
        <f aca="false">F2475-H2475</f>
        <v>-69287.5</v>
      </c>
      <c r="J2475" s="547" t="n">
        <f aca="false">F2475*G2475</f>
        <v>13857.5</v>
      </c>
      <c r="K2475" s="1365" t="n">
        <f aca="false">J2475/1792.8</f>
        <v>7.7295292280232</v>
      </c>
      <c r="L2475" s="547" t="n">
        <v>10</v>
      </c>
      <c r="M2475" s="819" t="n">
        <f aca="false">K2475*L2475/60</f>
        <v>1.2882548713372</v>
      </c>
    </row>
    <row r="2476" customFormat="false" ht="30" hidden="false" customHeight="false" outlineLevel="0" collapsed="false">
      <c r="A2476" s="216"/>
      <c r="B2476" s="40"/>
      <c r="C2476" s="1404" t="s">
        <v>6963</v>
      </c>
      <c r="D2476" s="1405" t="n">
        <v>2007</v>
      </c>
      <c r="E2476" s="1405" t="n">
        <f aca="false">2021-D2476</f>
        <v>14</v>
      </c>
      <c r="F2476" s="1406" t="n">
        <v>176358</v>
      </c>
      <c r="G2476" s="1407" t="n">
        <v>0.1</v>
      </c>
      <c r="H2476" s="1410" t="n">
        <f aca="false">E2476*F2476*G2476</f>
        <v>246901.2</v>
      </c>
      <c r="I2476" s="1410" t="n">
        <f aca="false">F2476-H2476</f>
        <v>-70543.2</v>
      </c>
      <c r="J2476" s="1410" t="n">
        <f aca="false">F2476*G2476</f>
        <v>17635.8</v>
      </c>
      <c r="K2476" s="1365" t="n">
        <f aca="false">J2476/1792.8</f>
        <v>9.83701472556894</v>
      </c>
      <c r="L2476" s="1445" t="n">
        <v>10</v>
      </c>
      <c r="M2476" s="1408" t="n">
        <f aca="false">K2476*L2476/60</f>
        <v>1.63950245426149</v>
      </c>
    </row>
    <row r="2477" customFormat="false" ht="30" hidden="false" customHeight="false" outlineLevel="0" collapsed="false">
      <c r="A2477" s="216"/>
      <c r="B2477" s="40"/>
      <c r="C2477" s="1404" t="s">
        <v>6959</v>
      </c>
      <c r="D2477" s="1405" t="n">
        <v>2007</v>
      </c>
      <c r="E2477" s="1405" t="n">
        <f aca="false">2021-D2477</f>
        <v>14</v>
      </c>
      <c r="F2477" s="1406" t="n">
        <v>350000</v>
      </c>
      <c r="G2477" s="1407" t="n">
        <v>0.1</v>
      </c>
      <c r="H2477" s="1410" t="n">
        <f aca="false">E2477*F2477*G2477</f>
        <v>490000</v>
      </c>
      <c r="I2477" s="1410" t="n">
        <f aca="false">F2477-H2477</f>
        <v>-140000</v>
      </c>
      <c r="J2477" s="1410" t="n">
        <f aca="false">F2477*G2477</f>
        <v>35000</v>
      </c>
      <c r="K2477" s="1365" t="n">
        <f aca="false">J2477/1792.8</f>
        <v>19.5225345827755</v>
      </c>
      <c r="L2477" s="1445" t="n">
        <v>10</v>
      </c>
      <c r="M2477" s="1408" t="n">
        <f aca="false">K2477*L2477/60</f>
        <v>3.25375576379592</v>
      </c>
    </row>
    <row r="2478" customFormat="false" ht="30" hidden="false" customHeight="false" outlineLevel="0" collapsed="false">
      <c r="A2478" s="216"/>
      <c r="B2478" s="40"/>
      <c r="C2478" s="1409" t="s">
        <v>6967</v>
      </c>
      <c r="D2478" s="569" t="n">
        <v>2016</v>
      </c>
      <c r="E2478" s="569" t="n">
        <f aca="false">2021-D2478</f>
        <v>5</v>
      </c>
      <c r="F2478" s="1105" t="n">
        <v>2302000</v>
      </c>
      <c r="G2478" s="1444" t="n">
        <v>0.1</v>
      </c>
      <c r="H2478" s="1105" t="n">
        <f aca="false">E2478*F2478*G2478</f>
        <v>1151000</v>
      </c>
      <c r="I2478" s="1105" t="n">
        <f aca="false">F2478-H2478</f>
        <v>1151000</v>
      </c>
      <c r="J2478" s="1105" t="n">
        <f aca="false">F2478*G2478</f>
        <v>230200</v>
      </c>
      <c r="K2478" s="1365" t="n">
        <f aca="false">J2478/1792.8</f>
        <v>128.402498884427</v>
      </c>
      <c r="L2478" s="1105" t="n">
        <v>10</v>
      </c>
      <c r="M2478" s="865" t="n">
        <f aca="false">K2478*L2478/60</f>
        <v>21.4004164807378</v>
      </c>
    </row>
    <row r="2479" customFormat="false" ht="15" hidden="false" customHeight="false" outlineLevel="0" collapsed="false">
      <c r="A2479" s="216"/>
      <c r="B2479" s="40"/>
      <c r="C2479" s="1404" t="s">
        <v>7075</v>
      </c>
      <c r="D2479" s="569" t="n">
        <v>2015</v>
      </c>
      <c r="E2479" s="569" t="n">
        <f aca="false">2021-D2479</f>
        <v>6</v>
      </c>
      <c r="F2479" s="1105" t="n">
        <v>1028020</v>
      </c>
      <c r="G2479" s="1444" t="n">
        <v>0.1</v>
      </c>
      <c r="H2479" s="1105" t="n">
        <f aca="false">E2479*F2479*G2479</f>
        <v>616812</v>
      </c>
      <c r="I2479" s="1105" t="n">
        <f aca="false">F2479-H2479</f>
        <v>411208</v>
      </c>
      <c r="J2479" s="1105" t="n">
        <f aca="false">F2479*G2479</f>
        <v>102802</v>
      </c>
      <c r="K2479" s="1365" t="n">
        <f aca="false">J2479/1792.8</f>
        <v>57.3415885765283</v>
      </c>
      <c r="L2479" s="1105" t="n">
        <v>60</v>
      </c>
      <c r="M2479" s="865" t="n">
        <f aca="false">K2479*L2479/60</f>
        <v>57.3415885765283</v>
      </c>
    </row>
    <row r="2480" customFormat="false" ht="30" hidden="false" customHeight="false" outlineLevel="0" collapsed="false">
      <c r="A2480" s="216"/>
      <c r="B2480" s="40"/>
      <c r="C2480" s="1404" t="s">
        <v>7073</v>
      </c>
      <c r="D2480" s="569" t="n">
        <v>2005</v>
      </c>
      <c r="E2480" s="569" t="n">
        <f aca="false">2021-D2480</f>
        <v>16</v>
      </c>
      <c r="F2480" s="1105" t="n">
        <v>39263</v>
      </c>
      <c r="G2480" s="1444" t="n">
        <v>0.15</v>
      </c>
      <c r="H2480" s="1105" t="n">
        <f aca="false">E2480*F2480*G2480</f>
        <v>94231.2</v>
      </c>
      <c r="I2480" s="1105" t="n">
        <f aca="false">F2480-H2480</f>
        <v>-54968.2</v>
      </c>
      <c r="J2480" s="1105" t="n">
        <f aca="false">F2480*G2480</f>
        <v>5889.45</v>
      </c>
      <c r="K2480" s="1365" t="n">
        <f aca="false">J2480/1792.8</f>
        <v>3.28505689424364</v>
      </c>
      <c r="L2480" s="1105" t="n">
        <v>10</v>
      </c>
      <c r="M2480" s="865" t="n">
        <f aca="false">K2480*L2480/60</f>
        <v>0.54750948237394</v>
      </c>
    </row>
    <row r="2481" customFormat="false" ht="30" hidden="false" customHeight="false" outlineLevel="0" collapsed="false">
      <c r="A2481" s="216"/>
      <c r="B2481" s="40"/>
      <c r="C2481" s="1404" t="s">
        <v>7070</v>
      </c>
      <c r="D2481" s="569" t="n">
        <v>2009</v>
      </c>
      <c r="E2481" s="569" t="n">
        <f aca="false">2021-D2481</f>
        <v>12</v>
      </c>
      <c r="F2481" s="1105" t="n">
        <v>181000</v>
      </c>
      <c r="G2481" s="1444" t="n">
        <v>0.1</v>
      </c>
      <c r="H2481" s="1105" t="n">
        <f aca="false">E2481*F2481*G2481</f>
        <v>217200</v>
      </c>
      <c r="I2481" s="1105" t="n">
        <f aca="false">F2481-H2481</f>
        <v>-36200</v>
      </c>
      <c r="J2481" s="1105" t="n">
        <f aca="false">F2481*G2481</f>
        <v>18100</v>
      </c>
      <c r="K2481" s="1365" t="n">
        <f aca="false">J2481/1792.8</f>
        <v>10.0959393128068</v>
      </c>
      <c r="L2481" s="1105" t="n">
        <v>10</v>
      </c>
      <c r="M2481" s="865" t="n">
        <f aca="false">K2481*L2481/60</f>
        <v>1.68265655213446</v>
      </c>
    </row>
    <row r="2482" customFormat="false" ht="30" hidden="false" customHeight="false" outlineLevel="0" collapsed="false">
      <c r="A2482" s="216"/>
      <c r="B2482" s="40"/>
      <c r="C2482" s="1404" t="s">
        <v>7072</v>
      </c>
      <c r="D2482" s="569" t="n">
        <v>2013</v>
      </c>
      <c r="E2482" s="569" t="n">
        <f aca="false">2021-D2482</f>
        <v>8</v>
      </c>
      <c r="F2482" s="1105" t="n">
        <v>300000</v>
      </c>
      <c r="G2482" s="1444" t="n">
        <v>0.1</v>
      </c>
      <c r="H2482" s="1105" t="n">
        <f aca="false">E2482*F2482*G2482</f>
        <v>240000</v>
      </c>
      <c r="I2482" s="1105" t="n">
        <f aca="false">F2482-H2482</f>
        <v>60000</v>
      </c>
      <c r="J2482" s="1105" t="n">
        <f aca="false">F2482*G2482</f>
        <v>30000</v>
      </c>
      <c r="K2482" s="1365" t="n">
        <f aca="false">J2482/1792.8</f>
        <v>16.7336010709505</v>
      </c>
      <c r="L2482" s="1105" t="n">
        <v>20</v>
      </c>
      <c r="M2482" s="865" t="n">
        <f aca="false">K2482*L2482/60</f>
        <v>5.57786702365016</v>
      </c>
    </row>
    <row r="2483" customFormat="false" ht="30" hidden="false" customHeight="false" outlineLevel="0" collapsed="false">
      <c r="A2483" s="216"/>
      <c r="B2483" s="40"/>
      <c r="C2483" s="1404" t="s">
        <v>7078</v>
      </c>
      <c r="D2483" s="569" t="n">
        <v>2012</v>
      </c>
      <c r="E2483" s="569" t="n">
        <f aca="false">2021-D2483</f>
        <v>9</v>
      </c>
      <c r="F2483" s="1105" t="n">
        <v>12268394.74</v>
      </c>
      <c r="G2483" s="1444" t="n">
        <v>0.1</v>
      </c>
      <c r="H2483" s="1105" t="n">
        <f aca="false">E2483*F2483*G2483</f>
        <v>11041555.266</v>
      </c>
      <c r="I2483" s="547" t="n">
        <f aca="false">F2483-H2483</f>
        <v>1226839.474</v>
      </c>
      <c r="J2483" s="547" t="n">
        <f aca="false">F2483*G2483</f>
        <v>1226839.474</v>
      </c>
      <c r="K2483" s="1365" t="n">
        <f aca="false">J2483/1792.8</f>
        <v>684.31474453369</v>
      </c>
      <c r="L2483" s="547" t="n">
        <v>120</v>
      </c>
      <c r="M2483" s="819" t="n">
        <f aca="false">K2483*L2483/60</f>
        <v>1368.62948906738</v>
      </c>
    </row>
    <row r="2484" customFormat="false" ht="15" hidden="false" customHeight="false" outlineLevel="0" collapsed="false">
      <c r="A2484" s="216"/>
      <c r="B2484" s="1053" t="s">
        <v>4128</v>
      </c>
      <c r="C2484" s="1161"/>
      <c r="D2484" s="912"/>
      <c r="E2484" s="912"/>
      <c r="F2484" s="547"/>
      <c r="G2484" s="1413"/>
      <c r="H2484" s="547"/>
      <c r="I2484" s="547"/>
      <c r="J2484" s="547"/>
      <c r="K2484" s="1365" t="n">
        <f aca="false">J2484/1792.8</f>
        <v>0</v>
      </c>
      <c r="L2484" s="714" t="n">
        <f aca="false">SUM(L2475:L2483)</f>
        <v>260</v>
      </c>
      <c r="M2484" s="934" t="n">
        <f aca="false">SUM(M2475:M2483)</f>
        <v>1461.3610402722</v>
      </c>
    </row>
    <row r="2485" customFormat="false" ht="30" hidden="false" customHeight="false" outlineLevel="0" collapsed="false">
      <c r="A2485" s="216" t="s">
        <v>1171</v>
      </c>
      <c r="B2485" s="40" t="s">
        <v>3309</v>
      </c>
      <c r="C2485" s="1161" t="s">
        <v>7071</v>
      </c>
      <c r="D2485" s="912" t="n">
        <v>2006</v>
      </c>
      <c r="E2485" s="912" t="n">
        <f aca="false">2021-D2485</f>
        <v>15</v>
      </c>
      <c r="F2485" s="547" t="n">
        <v>138575</v>
      </c>
      <c r="G2485" s="1413" t="n">
        <v>0.1</v>
      </c>
      <c r="H2485" s="547" t="n">
        <f aca="false">E2485*F2485*G2485</f>
        <v>207862.5</v>
      </c>
      <c r="I2485" s="547" t="n">
        <f aca="false">F2485-H2485</f>
        <v>-69287.5</v>
      </c>
      <c r="J2485" s="547" t="n">
        <f aca="false">F2485*G2485</f>
        <v>13857.5</v>
      </c>
      <c r="K2485" s="1365" t="n">
        <f aca="false">J2485/1792.8</f>
        <v>7.7295292280232</v>
      </c>
      <c r="L2485" s="547" t="n">
        <v>10</v>
      </c>
      <c r="M2485" s="819" t="n">
        <f aca="false">K2485*L2485/60</f>
        <v>1.2882548713372</v>
      </c>
    </row>
    <row r="2486" customFormat="false" ht="30" hidden="false" customHeight="false" outlineLevel="0" collapsed="false">
      <c r="A2486" s="216"/>
      <c r="B2486" s="40"/>
      <c r="C2486" s="1404" t="s">
        <v>6963</v>
      </c>
      <c r="D2486" s="1405" t="n">
        <v>2007</v>
      </c>
      <c r="E2486" s="1405" t="n">
        <f aca="false">2021-D2486</f>
        <v>14</v>
      </c>
      <c r="F2486" s="1406" t="n">
        <v>176358</v>
      </c>
      <c r="G2486" s="1407" t="n">
        <v>0.1</v>
      </c>
      <c r="H2486" s="1410" t="n">
        <f aca="false">E2486*F2486*G2486</f>
        <v>246901.2</v>
      </c>
      <c r="I2486" s="1410" t="n">
        <f aca="false">F2486-H2486</f>
        <v>-70543.2</v>
      </c>
      <c r="J2486" s="1410" t="n">
        <f aca="false">F2486*G2486</f>
        <v>17635.8</v>
      </c>
      <c r="K2486" s="1365" t="n">
        <f aca="false">J2486/1792.8</f>
        <v>9.83701472556894</v>
      </c>
      <c r="L2486" s="1445" t="n">
        <v>10</v>
      </c>
      <c r="M2486" s="1408" t="n">
        <f aca="false">K2486*L2486/60</f>
        <v>1.63950245426149</v>
      </c>
    </row>
    <row r="2487" customFormat="false" ht="30" hidden="false" customHeight="false" outlineLevel="0" collapsed="false">
      <c r="A2487" s="216"/>
      <c r="B2487" s="40"/>
      <c r="C2487" s="1404" t="s">
        <v>6959</v>
      </c>
      <c r="D2487" s="1405" t="n">
        <v>2007</v>
      </c>
      <c r="E2487" s="1405" t="n">
        <f aca="false">2021-D2487</f>
        <v>14</v>
      </c>
      <c r="F2487" s="1406" t="n">
        <v>350000</v>
      </c>
      <c r="G2487" s="1407" t="n">
        <v>0.1</v>
      </c>
      <c r="H2487" s="1410" t="n">
        <f aca="false">E2487*F2487*G2487</f>
        <v>490000</v>
      </c>
      <c r="I2487" s="1410" t="n">
        <f aca="false">F2487-H2487</f>
        <v>-140000</v>
      </c>
      <c r="J2487" s="1410" t="n">
        <f aca="false">F2487*G2487</f>
        <v>35000</v>
      </c>
      <c r="K2487" s="1365" t="n">
        <f aca="false">J2487/1792.8</f>
        <v>19.5225345827755</v>
      </c>
      <c r="L2487" s="1445" t="n">
        <v>10</v>
      </c>
      <c r="M2487" s="1408" t="n">
        <f aca="false">K2487*L2487/60</f>
        <v>3.25375576379592</v>
      </c>
    </row>
    <row r="2488" customFormat="false" ht="30" hidden="false" customHeight="false" outlineLevel="0" collapsed="false">
      <c r="A2488" s="216"/>
      <c r="B2488" s="40"/>
      <c r="C2488" s="1404" t="s">
        <v>7070</v>
      </c>
      <c r="D2488" s="569" t="n">
        <v>2009</v>
      </c>
      <c r="E2488" s="569" t="n">
        <f aca="false">2021-D2488</f>
        <v>12</v>
      </c>
      <c r="F2488" s="1105" t="n">
        <v>181000</v>
      </c>
      <c r="G2488" s="1444" t="n">
        <v>0.1</v>
      </c>
      <c r="H2488" s="1105" t="n">
        <f aca="false">E2488*F2488*G2488</f>
        <v>217200</v>
      </c>
      <c r="I2488" s="1105" t="n">
        <f aca="false">F2488-H2488</f>
        <v>-36200</v>
      </c>
      <c r="J2488" s="1105" t="n">
        <f aca="false">F2488*G2488</f>
        <v>18100</v>
      </c>
      <c r="K2488" s="1365" t="n">
        <f aca="false">J2488/1792.8</f>
        <v>10.0959393128068</v>
      </c>
      <c r="L2488" s="547" t="n">
        <v>10</v>
      </c>
      <c r="M2488" s="819" t="n">
        <f aca="false">K2488*L2488/60</f>
        <v>1.68265655213446</v>
      </c>
    </row>
    <row r="2489" customFormat="false" ht="30" hidden="false" customHeight="false" outlineLevel="0" collapsed="false">
      <c r="A2489" s="216"/>
      <c r="B2489" s="40"/>
      <c r="C2489" s="1409" t="s">
        <v>6967</v>
      </c>
      <c r="D2489" s="569" t="n">
        <v>2016</v>
      </c>
      <c r="E2489" s="569" t="n">
        <f aca="false">2021-D2489</f>
        <v>5</v>
      </c>
      <c r="F2489" s="1105" t="n">
        <v>2302000</v>
      </c>
      <c r="G2489" s="1444" t="n">
        <v>0.1</v>
      </c>
      <c r="H2489" s="1105" t="n">
        <f aca="false">E2489*F2489*G2489</f>
        <v>1151000</v>
      </c>
      <c r="I2489" s="1105" t="n">
        <f aca="false">F2489-H2489</f>
        <v>1151000</v>
      </c>
      <c r="J2489" s="1105" t="n">
        <f aca="false">F2489*G2489</f>
        <v>230200</v>
      </c>
      <c r="K2489" s="1365" t="n">
        <f aca="false">J2489/1792.8</f>
        <v>128.402498884427</v>
      </c>
      <c r="L2489" s="547" t="n">
        <v>10</v>
      </c>
      <c r="M2489" s="819" t="n">
        <f aca="false">K2489*L2489/60</f>
        <v>21.4004164807378</v>
      </c>
    </row>
    <row r="2490" customFormat="false" ht="15" hidden="false" customHeight="false" outlineLevel="0" collapsed="false">
      <c r="A2490" s="216"/>
      <c r="B2490" s="40"/>
      <c r="C2490" s="1404" t="s">
        <v>7075</v>
      </c>
      <c r="D2490" s="569" t="n">
        <v>2015</v>
      </c>
      <c r="E2490" s="569" t="n">
        <f aca="false">2021-D2490</f>
        <v>6</v>
      </c>
      <c r="F2490" s="1105" t="n">
        <v>1028020</v>
      </c>
      <c r="G2490" s="1444" t="n">
        <v>0.1</v>
      </c>
      <c r="H2490" s="1105" t="n">
        <f aca="false">E2490*F2490*G2490</f>
        <v>616812</v>
      </c>
      <c r="I2490" s="1105" t="n">
        <f aca="false">F2490-H2490</f>
        <v>411208</v>
      </c>
      <c r="J2490" s="1105" t="n">
        <f aca="false">F2490*G2490</f>
        <v>102802</v>
      </c>
      <c r="K2490" s="1365" t="n">
        <f aca="false">J2490/1792.8</f>
        <v>57.3415885765283</v>
      </c>
      <c r="L2490" s="547" t="n">
        <v>60</v>
      </c>
      <c r="M2490" s="819" t="n">
        <f aca="false">K2490*L2490/60</f>
        <v>57.3415885765283</v>
      </c>
    </row>
    <row r="2491" customFormat="false" ht="30" hidden="false" customHeight="false" outlineLevel="0" collapsed="false">
      <c r="A2491" s="216"/>
      <c r="B2491" s="40"/>
      <c r="C2491" s="1161" t="s">
        <v>7073</v>
      </c>
      <c r="D2491" s="912" t="n">
        <v>2005</v>
      </c>
      <c r="E2491" s="912" t="n">
        <f aca="false">2021-D2491</f>
        <v>16</v>
      </c>
      <c r="F2491" s="547" t="n">
        <v>39263</v>
      </c>
      <c r="G2491" s="1413" t="n">
        <v>0.15</v>
      </c>
      <c r="H2491" s="547" t="n">
        <f aca="false">E2491*F2491*G2491</f>
        <v>94231.2</v>
      </c>
      <c r="I2491" s="547" t="n">
        <f aca="false">F2491-H2491</f>
        <v>-54968.2</v>
      </c>
      <c r="J2491" s="547" t="n">
        <f aca="false">F2491*G2491</f>
        <v>5889.45</v>
      </c>
      <c r="K2491" s="1365" t="n">
        <f aca="false">J2491/1792.8</f>
        <v>3.28505689424364</v>
      </c>
      <c r="L2491" s="547" t="n">
        <v>10</v>
      </c>
      <c r="M2491" s="819" t="n">
        <f aca="false">K2491*L2491/60</f>
        <v>0.54750948237394</v>
      </c>
    </row>
    <row r="2492" customFormat="false" ht="30" hidden="false" customHeight="false" outlineLevel="0" collapsed="false">
      <c r="A2492" s="216"/>
      <c r="B2492" s="40"/>
      <c r="C2492" s="1404" t="s">
        <v>7072</v>
      </c>
      <c r="D2492" s="569" t="n">
        <v>2013</v>
      </c>
      <c r="E2492" s="569" t="n">
        <f aca="false">2021-D2492</f>
        <v>8</v>
      </c>
      <c r="F2492" s="1105" t="n">
        <v>300000</v>
      </c>
      <c r="G2492" s="1444" t="n">
        <v>0.1</v>
      </c>
      <c r="H2492" s="1105" t="n">
        <f aca="false">E2492*F2492*G2492</f>
        <v>240000</v>
      </c>
      <c r="I2492" s="1105" t="n">
        <f aca="false">F2492-H2492</f>
        <v>60000</v>
      </c>
      <c r="J2492" s="1105" t="n">
        <f aca="false">F2492*G2492</f>
        <v>30000</v>
      </c>
      <c r="K2492" s="1365" t="n">
        <f aca="false">J2492/1792.8</f>
        <v>16.7336010709505</v>
      </c>
      <c r="L2492" s="1105" t="n">
        <v>10</v>
      </c>
      <c r="M2492" s="865" t="n">
        <f aca="false">K2492*L2492/60</f>
        <v>2.78893351182508</v>
      </c>
    </row>
    <row r="2493" customFormat="false" ht="30" hidden="false" customHeight="false" outlineLevel="0" collapsed="false">
      <c r="A2493" s="216"/>
      <c r="B2493" s="40"/>
      <c r="C2493" s="1404" t="s">
        <v>7077</v>
      </c>
      <c r="D2493" s="569" t="n">
        <v>2012</v>
      </c>
      <c r="E2493" s="569" t="n">
        <f aca="false">2021-D2493</f>
        <v>9</v>
      </c>
      <c r="F2493" s="1105" t="n">
        <v>19245353.86</v>
      </c>
      <c r="G2493" s="1444" t="n">
        <v>0.1</v>
      </c>
      <c r="H2493" s="1105" t="n">
        <f aca="false">E2493*F2493*G2493</f>
        <v>17320818.474</v>
      </c>
      <c r="I2493" s="547" t="n">
        <f aca="false">F2493-H2493</f>
        <v>1924535.386</v>
      </c>
      <c r="J2493" s="547" t="n">
        <f aca="false">F2493*G2493</f>
        <v>1924535.386</v>
      </c>
      <c r="K2493" s="1365" t="n">
        <f aca="false">J2493/1792.8</f>
        <v>1073.48024654172</v>
      </c>
      <c r="L2493" s="547" t="n">
        <v>130</v>
      </c>
      <c r="M2493" s="819" t="n">
        <f aca="false">K2493*L2493/60</f>
        <v>2325.87386750707</v>
      </c>
    </row>
    <row r="2494" customFormat="false" ht="24.75" hidden="false" customHeight="true" outlineLevel="0" collapsed="false">
      <c r="A2494" s="216"/>
      <c r="B2494" s="1053" t="s">
        <v>4128</v>
      </c>
      <c r="C2494" s="1161"/>
      <c r="D2494" s="912"/>
      <c r="E2494" s="912"/>
      <c r="F2494" s="547"/>
      <c r="G2494" s="1413"/>
      <c r="H2494" s="547"/>
      <c r="I2494" s="547"/>
      <c r="J2494" s="547"/>
      <c r="K2494" s="1365" t="n">
        <f aca="false">J2494/1792.8</f>
        <v>0</v>
      </c>
      <c r="L2494" s="714" t="n">
        <f aca="false">SUM(L2485:L2493)</f>
        <v>260</v>
      </c>
      <c r="M2494" s="934" t="n">
        <f aca="false">SUM(M2485:M2493)</f>
        <v>2415.81648520006</v>
      </c>
    </row>
    <row r="2495" customFormat="false" ht="28.5" hidden="false" customHeight="false" outlineLevel="0" collapsed="false">
      <c r="A2495" s="15" t="s">
        <v>5331</v>
      </c>
      <c r="B2495" s="54" t="s">
        <v>3348</v>
      </c>
      <c r="C2495" s="1387"/>
      <c r="D2495" s="339"/>
      <c r="E2495" s="541"/>
      <c r="F2495" s="751"/>
      <c r="G2495" s="1412"/>
      <c r="H2495" s="1412"/>
      <c r="I2495" s="751"/>
      <c r="J2495" s="751"/>
      <c r="K2495" s="1390"/>
      <c r="L2495" s="751"/>
      <c r="M2495" s="818"/>
    </row>
    <row r="2496" customFormat="false" ht="30" hidden="false" customHeight="false" outlineLevel="0" collapsed="false">
      <c r="A2496" s="216" t="s">
        <v>1174</v>
      </c>
      <c r="B2496" s="40" t="s">
        <v>3307</v>
      </c>
      <c r="C2496" s="1404" t="s">
        <v>7070</v>
      </c>
      <c r="D2496" s="569" t="n">
        <v>2009</v>
      </c>
      <c r="E2496" s="569" t="n">
        <f aca="false">2021-D2496</f>
        <v>12</v>
      </c>
      <c r="F2496" s="1105" t="n">
        <v>181000</v>
      </c>
      <c r="G2496" s="1444" t="n">
        <v>0.1</v>
      </c>
      <c r="H2496" s="1105" t="n">
        <f aca="false">E2496*F2496*G2496</f>
        <v>217200</v>
      </c>
      <c r="I2496" s="1105" t="n">
        <f aca="false">F2496-H2496</f>
        <v>-36200</v>
      </c>
      <c r="J2496" s="1105" t="n">
        <f aca="false">F2496*G2496</f>
        <v>18100</v>
      </c>
      <c r="K2496" s="1365" t="n">
        <f aca="false">J2496/1792.8</f>
        <v>10.0959393128068</v>
      </c>
      <c r="L2496" s="547" t="n">
        <v>20</v>
      </c>
      <c r="M2496" s="819" t="n">
        <f aca="false">K2496*L2496/60</f>
        <v>3.36531310426893</v>
      </c>
    </row>
    <row r="2497" customFormat="false" ht="30" hidden="false" customHeight="false" outlineLevel="0" collapsed="false">
      <c r="A2497" s="216"/>
      <c r="B2497" s="40"/>
      <c r="C2497" s="1404" t="s">
        <v>6963</v>
      </c>
      <c r="D2497" s="1405" t="n">
        <v>2007</v>
      </c>
      <c r="E2497" s="1405" t="n">
        <f aca="false">2021-D2497</f>
        <v>14</v>
      </c>
      <c r="F2497" s="1406" t="n">
        <v>176358</v>
      </c>
      <c r="G2497" s="1407" t="n">
        <v>0.1</v>
      </c>
      <c r="H2497" s="1410" t="n">
        <f aca="false">E2497*F2497*G2497</f>
        <v>246901.2</v>
      </c>
      <c r="I2497" s="1410" t="n">
        <f aca="false">F2497-H2497</f>
        <v>-70543.2</v>
      </c>
      <c r="J2497" s="1410" t="n">
        <f aca="false">F2497*G2497</f>
        <v>17635.8</v>
      </c>
      <c r="K2497" s="1365" t="n">
        <f aca="false">J2497/1792.8</f>
        <v>9.83701472556894</v>
      </c>
      <c r="L2497" s="1445" t="n">
        <v>10</v>
      </c>
      <c r="M2497" s="1408" t="n">
        <f aca="false">K2497*L2497/60</f>
        <v>1.63950245426149</v>
      </c>
    </row>
    <row r="2498" customFormat="false" ht="30" hidden="false" customHeight="false" outlineLevel="0" collapsed="false">
      <c r="A2498" s="216"/>
      <c r="B2498" s="40"/>
      <c r="C2498" s="1404" t="s">
        <v>6959</v>
      </c>
      <c r="D2498" s="1405" t="n">
        <v>2007</v>
      </c>
      <c r="E2498" s="1405" t="n">
        <f aca="false">2021-D2498</f>
        <v>14</v>
      </c>
      <c r="F2498" s="1406" t="n">
        <v>350000</v>
      </c>
      <c r="G2498" s="1407" t="n">
        <v>0.1</v>
      </c>
      <c r="H2498" s="1410" t="n">
        <f aca="false">E2498*F2498*G2498</f>
        <v>490000</v>
      </c>
      <c r="I2498" s="1410" t="n">
        <f aca="false">F2498-H2498</f>
        <v>-140000</v>
      </c>
      <c r="J2498" s="1410" t="n">
        <f aca="false">F2498*G2498</f>
        <v>35000</v>
      </c>
      <c r="K2498" s="1365" t="n">
        <f aca="false">J2498/1792.8</f>
        <v>19.5225345827755</v>
      </c>
      <c r="L2498" s="1445" t="n">
        <v>10</v>
      </c>
      <c r="M2498" s="1408" t="n">
        <f aca="false">K2498*L2498/60</f>
        <v>3.25375576379592</v>
      </c>
    </row>
    <row r="2499" customFormat="false" ht="30" hidden="false" customHeight="false" outlineLevel="0" collapsed="false">
      <c r="A2499" s="216"/>
      <c r="B2499" s="40"/>
      <c r="C2499" s="1404" t="s">
        <v>7071</v>
      </c>
      <c r="D2499" s="569" t="n">
        <v>2006</v>
      </c>
      <c r="E2499" s="569" t="n">
        <f aca="false">2021-D2499</f>
        <v>15</v>
      </c>
      <c r="F2499" s="1105" t="n">
        <v>138575</v>
      </c>
      <c r="G2499" s="1444" t="n">
        <v>0.1</v>
      </c>
      <c r="H2499" s="1105" t="n">
        <f aca="false">E2499*F2499*G2499</f>
        <v>207862.5</v>
      </c>
      <c r="I2499" s="1105" t="n">
        <f aca="false">F2499-H2499</f>
        <v>-69287.5</v>
      </c>
      <c r="J2499" s="1105" t="n">
        <f aca="false">F2499*G2499</f>
        <v>13857.5</v>
      </c>
      <c r="K2499" s="1365" t="n">
        <f aca="false">J2499/1792.8</f>
        <v>7.7295292280232</v>
      </c>
      <c r="L2499" s="547" t="n">
        <v>10</v>
      </c>
      <c r="M2499" s="819" t="n">
        <f aca="false">K2499*L2499/60</f>
        <v>1.2882548713372</v>
      </c>
    </row>
    <row r="2500" customFormat="false" ht="15" hidden="false" customHeight="false" outlineLevel="0" collapsed="false">
      <c r="A2500" s="216"/>
      <c r="B2500" s="40"/>
      <c r="C2500" s="1404" t="s">
        <v>7075</v>
      </c>
      <c r="D2500" s="569" t="n">
        <v>2015</v>
      </c>
      <c r="E2500" s="569" t="n">
        <f aca="false">2021-D2500</f>
        <v>6</v>
      </c>
      <c r="F2500" s="1105" t="n">
        <v>1028020</v>
      </c>
      <c r="G2500" s="1444" t="n">
        <v>0.1</v>
      </c>
      <c r="H2500" s="1105" t="n">
        <f aca="false">E2500*F2500*G2500</f>
        <v>616812</v>
      </c>
      <c r="I2500" s="1105" t="n">
        <f aca="false">F2500-H2500</f>
        <v>411208</v>
      </c>
      <c r="J2500" s="1105" t="n">
        <f aca="false">F2500*G2500</f>
        <v>102802</v>
      </c>
      <c r="K2500" s="1365" t="n">
        <f aca="false">J2500/1792.8</f>
        <v>57.3415885765283</v>
      </c>
      <c r="L2500" s="547" t="n">
        <v>60</v>
      </c>
      <c r="M2500" s="819" t="n">
        <f aca="false">K2500*L2500/60</f>
        <v>57.3415885765283</v>
      </c>
    </row>
    <row r="2501" customFormat="false" ht="30" hidden="false" customHeight="false" outlineLevel="0" collapsed="false">
      <c r="A2501" s="216"/>
      <c r="B2501" s="40"/>
      <c r="C2501" s="1409" t="s">
        <v>6967</v>
      </c>
      <c r="D2501" s="569" t="n">
        <v>2016</v>
      </c>
      <c r="E2501" s="569" t="n">
        <f aca="false">2021-D2501</f>
        <v>5</v>
      </c>
      <c r="F2501" s="1105" t="n">
        <v>2302000</v>
      </c>
      <c r="G2501" s="1444" t="n">
        <v>0.1</v>
      </c>
      <c r="H2501" s="1105" t="n">
        <f aca="false">E2501*F2501*G2501</f>
        <v>1151000</v>
      </c>
      <c r="I2501" s="1105" t="n">
        <f aca="false">F2501-H2501</f>
        <v>1151000</v>
      </c>
      <c r="J2501" s="1105" t="n">
        <f aca="false">F2501*G2501</f>
        <v>230200</v>
      </c>
      <c r="K2501" s="1365" t="n">
        <f aca="false">J2501/1792.8</f>
        <v>128.402498884427</v>
      </c>
      <c r="L2501" s="547" t="n">
        <v>10</v>
      </c>
      <c r="M2501" s="819" t="n">
        <f aca="false">K2501*L2501/60</f>
        <v>21.4004164807378</v>
      </c>
    </row>
    <row r="2502" customFormat="false" ht="30" hidden="false" customHeight="false" outlineLevel="0" collapsed="false">
      <c r="A2502" s="216"/>
      <c r="B2502" s="40"/>
      <c r="C2502" s="1404" t="s">
        <v>7072</v>
      </c>
      <c r="D2502" s="569" t="n">
        <v>2013</v>
      </c>
      <c r="E2502" s="569" t="n">
        <f aca="false">2021-D2502</f>
        <v>8</v>
      </c>
      <c r="F2502" s="1105" t="n">
        <v>300000</v>
      </c>
      <c r="G2502" s="1444" t="n">
        <v>0.1</v>
      </c>
      <c r="H2502" s="1105" t="n">
        <f aca="false">E2502*F2502*G2502</f>
        <v>240000</v>
      </c>
      <c r="I2502" s="1105" t="n">
        <f aca="false">F2502-H2502</f>
        <v>60000</v>
      </c>
      <c r="J2502" s="1105" t="n">
        <f aca="false">F2502*G2502</f>
        <v>30000</v>
      </c>
      <c r="K2502" s="1365" t="n">
        <f aca="false">J2502/1792.8</f>
        <v>16.7336010709505</v>
      </c>
      <c r="L2502" s="1105" t="n">
        <v>30</v>
      </c>
      <c r="M2502" s="865" t="n">
        <f aca="false">K2502*L2502/60</f>
        <v>8.36680053547524</v>
      </c>
    </row>
    <row r="2503" customFormat="false" ht="30" hidden="false" customHeight="false" outlineLevel="0" collapsed="false">
      <c r="A2503" s="216"/>
      <c r="B2503" s="40"/>
      <c r="C2503" s="1161" t="s">
        <v>7073</v>
      </c>
      <c r="D2503" s="912" t="n">
        <v>2005</v>
      </c>
      <c r="E2503" s="912" t="n">
        <f aca="false">2021-D2503</f>
        <v>16</v>
      </c>
      <c r="F2503" s="547" t="n">
        <v>39263</v>
      </c>
      <c r="G2503" s="1413" t="n">
        <v>0.1</v>
      </c>
      <c r="H2503" s="547" t="n">
        <f aca="false">E2503*F2503*G2503</f>
        <v>62820.8</v>
      </c>
      <c r="I2503" s="547" t="n">
        <f aca="false">F2503-H2503</f>
        <v>-23557.8</v>
      </c>
      <c r="J2503" s="547" t="n">
        <f aca="false">F2503*G2503</f>
        <v>3926.3</v>
      </c>
      <c r="K2503" s="1365" t="n">
        <f aca="false">J2503/1792.8</f>
        <v>2.19003792949576</v>
      </c>
      <c r="L2503" s="547" t="n">
        <v>10</v>
      </c>
      <c r="M2503" s="819" t="n">
        <f aca="false">K2503*L2503/60</f>
        <v>0.365006321582627</v>
      </c>
    </row>
    <row r="2504" customFormat="false" ht="30" hidden="false" customHeight="false" outlineLevel="0" collapsed="false">
      <c r="A2504" s="216"/>
      <c r="B2504" s="40"/>
      <c r="C2504" s="1161" t="s">
        <v>7074</v>
      </c>
      <c r="D2504" s="912" t="n">
        <v>2003</v>
      </c>
      <c r="E2504" s="912" t="n">
        <f aca="false">2021-D2504</f>
        <v>18</v>
      </c>
      <c r="F2504" s="547" t="n">
        <v>2471090</v>
      </c>
      <c r="G2504" s="1413" t="n">
        <v>0.1</v>
      </c>
      <c r="H2504" s="547" t="n">
        <f aca="false">E2504*F2504*G2504</f>
        <v>4447962</v>
      </c>
      <c r="I2504" s="547" t="n">
        <f aca="false">F2504-H2504</f>
        <v>-1976872</v>
      </c>
      <c r="J2504" s="547" t="n">
        <f aca="false">F2504*G2504</f>
        <v>247109</v>
      </c>
      <c r="K2504" s="1365" t="n">
        <f aca="false">J2504/1792.8</f>
        <v>137.834114234717</v>
      </c>
      <c r="L2504" s="547" t="n">
        <v>120</v>
      </c>
      <c r="M2504" s="819" t="n">
        <f aca="false">K2504*L2504/60</f>
        <v>275.668228469433</v>
      </c>
    </row>
    <row r="2505" customFormat="false" ht="15" hidden="false" customHeight="false" outlineLevel="0" collapsed="false">
      <c r="A2505" s="216"/>
      <c r="B2505" s="1053" t="s">
        <v>4128</v>
      </c>
      <c r="C2505" s="1161"/>
      <c r="D2505" s="912"/>
      <c r="E2505" s="912"/>
      <c r="F2505" s="547"/>
      <c r="G2505" s="1413"/>
      <c r="H2505" s="547"/>
      <c r="I2505" s="547"/>
      <c r="J2505" s="547"/>
      <c r="K2505" s="1365" t="n">
        <f aca="false">J2505/1792.8</f>
        <v>0</v>
      </c>
      <c r="L2505" s="714" t="n">
        <f aca="false">SUM(L2496:L2504)</f>
        <v>280</v>
      </c>
      <c r="M2505" s="934" t="n">
        <f aca="false">SUM(M2496:M2504)</f>
        <v>372.688866577421</v>
      </c>
    </row>
    <row r="2506" customFormat="false" ht="30" hidden="false" customHeight="false" outlineLevel="0" collapsed="false">
      <c r="A2506" s="216" t="s">
        <v>1175</v>
      </c>
      <c r="B2506" s="40" t="s">
        <v>3308</v>
      </c>
      <c r="C2506" s="1161" t="s">
        <v>7071</v>
      </c>
      <c r="D2506" s="912" t="n">
        <v>2006</v>
      </c>
      <c r="E2506" s="912" t="n">
        <f aca="false">2021-D2506</f>
        <v>15</v>
      </c>
      <c r="F2506" s="547" t="n">
        <v>138575</v>
      </c>
      <c r="G2506" s="1413" t="n">
        <v>0.1</v>
      </c>
      <c r="H2506" s="547" t="n">
        <f aca="false">E2506*F2506*G2506</f>
        <v>207862.5</v>
      </c>
      <c r="I2506" s="547" t="n">
        <f aca="false">F2506-H2506</f>
        <v>-69287.5</v>
      </c>
      <c r="J2506" s="547" t="n">
        <f aca="false">F2506*G2506</f>
        <v>13857.5</v>
      </c>
      <c r="K2506" s="1365" t="n">
        <f aca="false">J2506/1792.8</f>
        <v>7.7295292280232</v>
      </c>
      <c r="L2506" s="547" t="n">
        <v>20</v>
      </c>
      <c r="M2506" s="819" t="n">
        <f aca="false">K2506*L2506/60</f>
        <v>2.5765097426744</v>
      </c>
    </row>
    <row r="2507" customFormat="false" ht="30" hidden="false" customHeight="false" outlineLevel="0" collapsed="false">
      <c r="A2507" s="216"/>
      <c r="B2507" s="40"/>
      <c r="C2507" s="1404" t="s">
        <v>6963</v>
      </c>
      <c r="D2507" s="1405" t="n">
        <v>2007</v>
      </c>
      <c r="E2507" s="1405" t="n">
        <f aca="false">2021-D2507</f>
        <v>14</v>
      </c>
      <c r="F2507" s="1406" t="n">
        <v>176358</v>
      </c>
      <c r="G2507" s="1407" t="n">
        <v>0.1</v>
      </c>
      <c r="H2507" s="1410" t="n">
        <f aca="false">E2507*F2507*G2507</f>
        <v>246901.2</v>
      </c>
      <c r="I2507" s="1410" t="n">
        <f aca="false">F2507-H2507</f>
        <v>-70543.2</v>
      </c>
      <c r="J2507" s="1410" t="n">
        <f aca="false">F2507*G2507</f>
        <v>17635.8</v>
      </c>
      <c r="K2507" s="1365" t="n">
        <f aca="false">J2507/1792.8</f>
        <v>9.83701472556894</v>
      </c>
      <c r="L2507" s="1445" t="n">
        <v>10</v>
      </c>
      <c r="M2507" s="1408" t="n">
        <f aca="false">K2507*L2507/60</f>
        <v>1.63950245426149</v>
      </c>
    </row>
    <row r="2508" customFormat="false" ht="30" hidden="false" customHeight="false" outlineLevel="0" collapsed="false">
      <c r="A2508" s="216"/>
      <c r="B2508" s="40"/>
      <c r="C2508" s="1404" t="s">
        <v>6959</v>
      </c>
      <c r="D2508" s="1405" t="n">
        <v>2007</v>
      </c>
      <c r="E2508" s="1405" t="n">
        <f aca="false">2021-D2508</f>
        <v>14</v>
      </c>
      <c r="F2508" s="1406" t="n">
        <v>350000</v>
      </c>
      <c r="G2508" s="1407" t="n">
        <v>0.1</v>
      </c>
      <c r="H2508" s="1410" t="n">
        <f aca="false">E2508*F2508*G2508</f>
        <v>490000</v>
      </c>
      <c r="I2508" s="1410" t="n">
        <f aca="false">F2508-H2508</f>
        <v>-140000</v>
      </c>
      <c r="J2508" s="1410" t="n">
        <f aca="false">F2508*G2508</f>
        <v>35000</v>
      </c>
      <c r="K2508" s="1365" t="n">
        <f aca="false">J2508/1792.8</f>
        <v>19.5225345827755</v>
      </c>
      <c r="L2508" s="1445" t="n">
        <v>10</v>
      </c>
      <c r="M2508" s="1408" t="n">
        <f aca="false">K2508*L2508/60</f>
        <v>3.25375576379592</v>
      </c>
    </row>
    <row r="2509" customFormat="false" ht="15" hidden="false" customHeight="false" outlineLevel="0" collapsed="false">
      <c r="A2509" s="216"/>
      <c r="B2509" s="40"/>
      <c r="C2509" s="1404" t="s">
        <v>7075</v>
      </c>
      <c r="D2509" s="569" t="n">
        <v>2015</v>
      </c>
      <c r="E2509" s="569" t="n">
        <f aca="false">2021-D2509</f>
        <v>6</v>
      </c>
      <c r="F2509" s="1105" t="n">
        <v>1028020</v>
      </c>
      <c r="G2509" s="1444" t="n">
        <v>0.1</v>
      </c>
      <c r="H2509" s="547" t="n">
        <f aca="false">E2509*F2509*G2509</f>
        <v>616812</v>
      </c>
      <c r="I2509" s="547" t="n">
        <f aca="false">F2509-H2509</f>
        <v>411208</v>
      </c>
      <c r="J2509" s="547" t="n">
        <f aca="false">F2509*G2509</f>
        <v>102802</v>
      </c>
      <c r="K2509" s="1365" t="n">
        <f aca="false">J2509/1792.8</f>
        <v>57.3415885765283</v>
      </c>
      <c r="L2509" s="547" t="n">
        <v>60</v>
      </c>
      <c r="M2509" s="819" t="n">
        <f aca="false">K2509*L2509/60</f>
        <v>57.3415885765283</v>
      </c>
    </row>
    <row r="2510" customFormat="false" ht="30" hidden="false" customHeight="false" outlineLevel="0" collapsed="false">
      <c r="A2510" s="216"/>
      <c r="B2510" s="40"/>
      <c r="C2510" s="1409" t="s">
        <v>6967</v>
      </c>
      <c r="D2510" s="569" t="n">
        <v>2016</v>
      </c>
      <c r="E2510" s="569" t="n">
        <f aca="false">2021-D2510</f>
        <v>5</v>
      </c>
      <c r="F2510" s="1105" t="n">
        <v>2302000</v>
      </c>
      <c r="G2510" s="1444" t="n">
        <v>0.1</v>
      </c>
      <c r="H2510" s="547" t="n">
        <f aca="false">E2510*F2510*G2510</f>
        <v>1151000</v>
      </c>
      <c r="I2510" s="547" t="n">
        <f aca="false">F2510-H2510</f>
        <v>1151000</v>
      </c>
      <c r="J2510" s="547" t="n">
        <f aca="false">F2510*G2510</f>
        <v>230200</v>
      </c>
      <c r="K2510" s="1365" t="n">
        <f aca="false">J2510/1792.8</f>
        <v>128.402498884427</v>
      </c>
      <c r="L2510" s="547" t="n">
        <v>20</v>
      </c>
      <c r="M2510" s="819" t="n">
        <f aca="false">K2510*L2510/60</f>
        <v>42.8008329614755</v>
      </c>
    </row>
    <row r="2511" customFormat="false" ht="30" hidden="false" customHeight="false" outlineLevel="0" collapsed="false">
      <c r="A2511" s="216"/>
      <c r="B2511" s="40"/>
      <c r="C2511" s="1404" t="s">
        <v>7072</v>
      </c>
      <c r="D2511" s="569" t="n">
        <v>2013</v>
      </c>
      <c r="E2511" s="569" t="n">
        <f aca="false">2021-D2511</f>
        <v>8</v>
      </c>
      <c r="F2511" s="1105" t="n">
        <v>300000</v>
      </c>
      <c r="G2511" s="1444" t="n">
        <v>0.1</v>
      </c>
      <c r="H2511" s="1105" t="n">
        <f aca="false">E2511*F2511*G2511</f>
        <v>240000</v>
      </c>
      <c r="I2511" s="1105" t="n">
        <f aca="false">F2511-H2511</f>
        <v>60000</v>
      </c>
      <c r="J2511" s="1105" t="n">
        <f aca="false">F2511*G2511</f>
        <v>30000</v>
      </c>
      <c r="K2511" s="1365" t="n">
        <f aca="false">J2511/1792.8</f>
        <v>16.7336010709505</v>
      </c>
      <c r="L2511" s="1105" t="n">
        <v>30</v>
      </c>
      <c r="M2511" s="865" t="n">
        <f aca="false">K2511*L2511/60</f>
        <v>8.36680053547524</v>
      </c>
    </row>
    <row r="2512" customFormat="false" ht="30" hidden="false" customHeight="false" outlineLevel="0" collapsed="false">
      <c r="A2512" s="216"/>
      <c r="B2512" s="40"/>
      <c r="C2512" s="1404" t="s">
        <v>7073</v>
      </c>
      <c r="D2512" s="569" t="n">
        <v>2005</v>
      </c>
      <c r="E2512" s="569" t="n">
        <f aca="false">2021-D2512</f>
        <v>16</v>
      </c>
      <c r="F2512" s="1105" t="n">
        <v>39263</v>
      </c>
      <c r="G2512" s="1444" t="n">
        <v>0.15</v>
      </c>
      <c r="H2512" s="1105" t="n">
        <f aca="false">E2512*F2512*G2512</f>
        <v>94231.2</v>
      </c>
      <c r="I2512" s="1105" t="n">
        <f aca="false">F2512-H2512</f>
        <v>-54968.2</v>
      </c>
      <c r="J2512" s="1105" t="n">
        <f aca="false">F2512*G2512</f>
        <v>5889.45</v>
      </c>
      <c r="K2512" s="1365" t="n">
        <f aca="false">J2512/1792.8</f>
        <v>3.28505689424364</v>
      </c>
      <c r="L2512" s="1105" t="n">
        <v>40</v>
      </c>
      <c r="M2512" s="865" t="n">
        <f aca="false">K2512*L2512/60</f>
        <v>2.19003792949576</v>
      </c>
    </row>
    <row r="2513" customFormat="false" ht="30" hidden="false" customHeight="false" outlineLevel="0" collapsed="false">
      <c r="A2513" s="216"/>
      <c r="B2513" s="40"/>
      <c r="C2513" s="1404" t="s">
        <v>7070</v>
      </c>
      <c r="D2513" s="569" t="n">
        <v>2009</v>
      </c>
      <c r="E2513" s="569" t="n">
        <f aca="false">2021-D2513</f>
        <v>12</v>
      </c>
      <c r="F2513" s="1105" t="n">
        <v>181000</v>
      </c>
      <c r="G2513" s="1444" t="n">
        <v>0.1</v>
      </c>
      <c r="H2513" s="1105" t="n">
        <f aca="false">E2513*F2513*G2513</f>
        <v>217200</v>
      </c>
      <c r="I2513" s="1105" t="n">
        <f aca="false">F2513-H2513</f>
        <v>-36200</v>
      </c>
      <c r="J2513" s="1105" t="n">
        <f aca="false">F2513*G2513</f>
        <v>18100</v>
      </c>
      <c r="K2513" s="1365" t="n">
        <f aca="false">J2513/1792.8</f>
        <v>10.0959393128068</v>
      </c>
      <c r="L2513" s="1105" t="n">
        <v>30</v>
      </c>
      <c r="M2513" s="865" t="n">
        <f aca="false">K2513*L2513/60</f>
        <v>5.04796965640339</v>
      </c>
    </row>
    <row r="2514" customFormat="false" ht="30" hidden="false" customHeight="false" outlineLevel="0" collapsed="false">
      <c r="A2514" s="216"/>
      <c r="B2514" s="40"/>
      <c r="C2514" s="1161" t="s">
        <v>7076</v>
      </c>
      <c r="D2514" s="569" t="n">
        <v>2012</v>
      </c>
      <c r="E2514" s="569" t="n">
        <f aca="false">2021-D2514</f>
        <v>9</v>
      </c>
      <c r="F2514" s="1277" t="n">
        <v>44483193.14</v>
      </c>
      <c r="G2514" s="1444" t="n">
        <v>0.1</v>
      </c>
      <c r="H2514" s="1105" t="n">
        <f aca="false">E2514*F2514*G2514</f>
        <v>40034873.826</v>
      </c>
      <c r="I2514" s="547" t="n">
        <f aca="false">F2514-H2514</f>
        <v>4448319.314</v>
      </c>
      <c r="J2514" s="547" t="n">
        <f aca="false">F2514*G2514</f>
        <v>4448319.314</v>
      </c>
      <c r="K2514" s="1365" t="n">
        <f aca="false">J2514/1792.8</f>
        <v>2481.21336122267</v>
      </c>
      <c r="L2514" s="547" t="n">
        <v>120</v>
      </c>
      <c r="M2514" s="819" t="n">
        <f aca="false">K2514*L2514/60</f>
        <v>4962.42672244534</v>
      </c>
    </row>
    <row r="2515" customFormat="false" ht="15" hidden="false" customHeight="false" outlineLevel="0" collapsed="false">
      <c r="A2515" s="216"/>
      <c r="B2515" s="1053" t="s">
        <v>4128</v>
      </c>
      <c r="C2515" s="1161"/>
      <c r="D2515" s="912"/>
      <c r="E2515" s="912"/>
      <c r="F2515" s="547"/>
      <c r="G2515" s="1413"/>
      <c r="H2515" s="547"/>
      <c r="I2515" s="547"/>
      <c r="J2515" s="547"/>
      <c r="K2515" s="1365" t="n">
        <f aca="false">J2515/1792.8</f>
        <v>0</v>
      </c>
      <c r="L2515" s="714" t="n">
        <f aca="false">SUM(L2506:L2514)</f>
        <v>340</v>
      </c>
      <c r="M2515" s="934" t="n">
        <f aca="false">SUM(M2506:M2514)</f>
        <v>5085.64372006545</v>
      </c>
    </row>
    <row r="2516" customFormat="false" ht="57" hidden="false" customHeight="false" outlineLevel="0" collapsed="false">
      <c r="A2516" s="15" t="s">
        <v>5333</v>
      </c>
      <c r="B2516" s="54" t="s">
        <v>3349</v>
      </c>
      <c r="C2516" s="1387"/>
      <c r="D2516" s="339"/>
      <c r="E2516" s="541"/>
      <c r="F2516" s="751"/>
      <c r="G2516" s="1412"/>
      <c r="H2516" s="1412"/>
      <c r="I2516" s="751"/>
      <c r="J2516" s="751"/>
      <c r="K2516" s="1390"/>
      <c r="L2516" s="751"/>
      <c r="M2516" s="818"/>
    </row>
    <row r="2517" customFormat="false" ht="30" hidden="false" customHeight="false" outlineLevel="0" collapsed="false">
      <c r="A2517" s="216" t="s">
        <v>1178</v>
      </c>
      <c r="B2517" s="40" t="s">
        <v>3350</v>
      </c>
      <c r="C2517" s="1161" t="s">
        <v>7071</v>
      </c>
      <c r="D2517" s="912" t="n">
        <v>2006</v>
      </c>
      <c r="E2517" s="912" t="n">
        <f aca="false">2021-D2517</f>
        <v>15</v>
      </c>
      <c r="F2517" s="547" t="n">
        <v>138575</v>
      </c>
      <c r="G2517" s="1413" t="n">
        <v>0.1</v>
      </c>
      <c r="H2517" s="547" t="n">
        <f aca="false">E2517*F2517*G2517</f>
        <v>207862.5</v>
      </c>
      <c r="I2517" s="547" t="n">
        <f aca="false">F2517-H2517</f>
        <v>-69287.5</v>
      </c>
      <c r="J2517" s="547" t="n">
        <f aca="false">F2517*G2517</f>
        <v>13857.5</v>
      </c>
      <c r="K2517" s="1365" t="n">
        <f aca="false">J2517/1792.8</f>
        <v>7.7295292280232</v>
      </c>
      <c r="L2517" s="547" t="n">
        <v>20</v>
      </c>
      <c r="M2517" s="819" t="n">
        <f aca="false">K2517*L2517/60</f>
        <v>2.5765097426744</v>
      </c>
    </row>
    <row r="2518" customFormat="false" ht="30" hidden="false" customHeight="false" outlineLevel="0" collapsed="false">
      <c r="A2518" s="216"/>
      <c r="B2518" s="40"/>
      <c r="C2518" s="1404" t="s">
        <v>6959</v>
      </c>
      <c r="D2518" s="1405" t="n">
        <v>2007</v>
      </c>
      <c r="E2518" s="1405" t="n">
        <f aca="false">2021-D2518</f>
        <v>14</v>
      </c>
      <c r="F2518" s="1406" t="n">
        <v>350000</v>
      </c>
      <c r="G2518" s="1407" t="n">
        <v>0.1</v>
      </c>
      <c r="H2518" s="1410" t="n">
        <f aca="false">E2518*F2518*G2518</f>
        <v>490000</v>
      </c>
      <c r="I2518" s="1410" t="n">
        <f aca="false">F2518-H2518</f>
        <v>-140000</v>
      </c>
      <c r="J2518" s="1410" t="n">
        <f aca="false">F2518*G2518</f>
        <v>35000</v>
      </c>
      <c r="K2518" s="1365" t="n">
        <f aca="false">J2518/1792.8</f>
        <v>19.5225345827755</v>
      </c>
      <c r="L2518" s="1445" t="n">
        <v>10</v>
      </c>
      <c r="M2518" s="1408" t="n">
        <f aca="false">K2518*L2518/60</f>
        <v>3.25375576379592</v>
      </c>
    </row>
    <row r="2519" customFormat="false" ht="30" hidden="false" customHeight="false" outlineLevel="0" collapsed="false">
      <c r="A2519" s="216"/>
      <c r="B2519" s="40"/>
      <c r="C2519" s="1404" t="s">
        <v>7072</v>
      </c>
      <c r="D2519" s="569" t="n">
        <v>2013</v>
      </c>
      <c r="E2519" s="569" t="n">
        <f aca="false">2021-D2519</f>
        <v>8</v>
      </c>
      <c r="F2519" s="1105" t="n">
        <v>300000</v>
      </c>
      <c r="G2519" s="1444" t="n">
        <v>0.1</v>
      </c>
      <c r="H2519" s="1105" t="n">
        <f aca="false">E2519*F2519*G2519</f>
        <v>240000</v>
      </c>
      <c r="I2519" s="1105" t="n">
        <f aca="false">F2519-H2519</f>
        <v>60000</v>
      </c>
      <c r="J2519" s="1105" t="n">
        <f aca="false">F2519*G2519</f>
        <v>30000</v>
      </c>
      <c r="K2519" s="1365" t="n">
        <f aca="false">J2519/1792.8</f>
        <v>16.7336010709505</v>
      </c>
      <c r="L2519" s="1105" t="n">
        <v>30</v>
      </c>
      <c r="M2519" s="865" t="n">
        <f aca="false">K2519*L2519/60</f>
        <v>8.36680053547524</v>
      </c>
    </row>
    <row r="2520" customFormat="false" ht="30" hidden="false" customHeight="false" outlineLevel="0" collapsed="false">
      <c r="A2520" s="216"/>
      <c r="B2520" s="40"/>
      <c r="C2520" s="1409" t="s">
        <v>6967</v>
      </c>
      <c r="D2520" s="569" t="n">
        <v>2016</v>
      </c>
      <c r="E2520" s="569" t="n">
        <f aca="false">2021-D2520</f>
        <v>5</v>
      </c>
      <c r="F2520" s="1105" t="n">
        <v>2302000</v>
      </c>
      <c r="G2520" s="1444" t="n">
        <v>0.1</v>
      </c>
      <c r="H2520" s="1105" t="n">
        <f aca="false">E2520*F2520*G2520</f>
        <v>1151000</v>
      </c>
      <c r="I2520" s="1105" t="n">
        <f aca="false">F2520-H2520</f>
        <v>1151000</v>
      </c>
      <c r="J2520" s="1105" t="n">
        <f aca="false">F2520*G2520</f>
        <v>230200</v>
      </c>
      <c r="K2520" s="1365" t="n">
        <f aca="false">J2520/1792.8</f>
        <v>128.402498884427</v>
      </c>
      <c r="L2520" s="1105" t="n">
        <v>20</v>
      </c>
      <c r="M2520" s="865" t="n">
        <f aca="false">K2520*L2520/60</f>
        <v>42.8008329614755</v>
      </c>
    </row>
    <row r="2521" customFormat="false" ht="15" hidden="false" customHeight="false" outlineLevel="0" collapsed="false">
      <c r="A2521" s="216"/>
      <c r="B2521" s="40"/>
      <c r="C2521" s="1404" t="s">
        <v>7075</v>
      </c>
      <c r="D2521" s="569" t="n">
        <v>2015</v>
      </c>
      <c r="E2521" s="569" t="n">
        <f aca="false">2021-D2521</f>
        <v>6</v>
      </c>
      <c r="F2521" s="1105" t="n">
        <v>1028020</v>
      </c>
      <c r="G2521" s="1444" t="n">
        <v>0.1</v>
      </c>
      <c r="H2521" s="1105" t="n">
        <f aca="false">E2521*F2521*G2521</f>
        <v>616812</v>
      </c>
      <c r="I2521" s="1105" t="n">
        <f aca="false">F2521-H2521</f>
        <v>411208</v>
      </c>
      <c r="J2521" s="1105" t="n">
        <f aca="false">F2521*G2521</f>
        <v>102802</v>
      </c>
      <c r="K2521" s="1365" t="n">
        <f aca="false">J2521/1792.8</f>
        <v>57.3415885765283</v>
      </c>
      <c r="L2521" s="1105" t="n">
        <v>60</v>
      </c>
      <c r="M2521" s="865" t="n">
        <f aca="false">K2521*L2521/60</f>
        <v>57.3415885765283</v>
      </c>
    </row>
    <row r="2522" customFormat="false" ht="30" hidden="false" customHeight="false" outlineLevel="0" collapsed="false">
      <c r="A2522" s="216"/>
      <c r="B2522" s="40"/>
      <c r="C2522" s="1404" t="s">
        <v>7070</v>
      </c>
      <c r="D2522" s="569" t="n">
        <v>2009</v>
      </c>
      <c r="E2522" s="569" t="n">
        <f aca="false">2021-D2522</f>
        <v>12</v>
      </c>
      <c r="F2522" s="1105" t="n">
        <v>181000</v>
      </c>
      <c r="G2522" s="1444" t="n">
        <v>0.1</v>
      </c>
      <c r="H2522" s="1105" t="n">
        <f aca="false">E2522*F2522*G2522</f>
        <v>217200</v>
      </c>
      <c r="I2522" s="1105" t="n">
        <f aca="false">F2522-H2522</f>
        <v>-36200</v>
      </c>
      <c r="J2522" s="1105" t="n">
        <f aca="false">F2522*G2522</f>
        <v>18100</v>
      </c>
      <c r="K2522" s="1365" t="n">
        <f aca="false">J2522/1792.8</f>
        <v>10.0959393128068</v>
      </c>
      <c r="L2522" s="1105" t="n">
        <v>30</v>
      </c>
      <c r="M2522" s="865" t="n">
        <f aca="false">K2522*L2522/60</f>
        <v>5.04796965640339</v>
      </c>
    </row>
    <row r="2523" customFormat="false" ht="30" hidden="false" customHeight="false" outlineLevel="0" collapsed="false">
      <c r="A2523" s="216"/>
      <c r="B2523" s="40"/>
      <c r="C2523" s="1404" t="s">
        <v>7073</v>
      </c>
      <c r="D2523" s="569" t="n">
        <v>2005</v>
      </c>
      <c r="E2523" s="569" t="n">
        <f aca="false">2021-D2523</f>
        <v>16</v>
      </c>
      <c r="F2523" s="1105" t="n">
        <v>39263</v>
      </c>
      <c r="G2523" s="1444" t="n">
        <v>0.15</v>
      </c>
      <c r="H2523" s="1105" t="n">
        <f aca="false">E2523*F2523*G2523</f>
        <v>94231.2</v>
      </c>
      <c r="I2523" s="1105" t="n">
        <f aca="false">F2523-H2523</f>
        <v>-54968.2</v>
      </c>
      <c r="J2523" s="1105" t="n">
        <f aca="false">F2523*G2523</f>
        <v>5889.45</v>
      </c>
      <c r="K2523" s="1365" t="n">
        <f aca="false">J2523/1792.8</f>
        <v>3.28505689424364</v>
      </c>
      <c r="L2523" s="1105" t="n">
        <v>20</v>
      </c>
      <c r="M2523" s="865" t="n">
        <f aca="false">K2523*L2523/60</f>
        <v>1.09501896474788</v>
      </c>
    </row>
    <row r="2524" customFormat="false" ht="30" hidden="false" customHeight="false" outlineLevel="0" collapsed="false">
      <c r="A2524" s="216"/>
      <c r="B2524" s="40"/>
      <c r="C2524" s="1404" t="s">
        <v>7078</v>
      </c>
      <c r="D2524" s="569" t="n">
        <v>2012</v>
      </c>
      <c r="E2524" s="569" t="n">
        <f aca="false">2021-D2524</f>
        <v>9</v>
      </c>
      <c r="F2524" s="1105" t="n">
        <v>12268394.74</v>
      </c>
      <c r="G2524" s="1444" t="n">
        <v>0.1</v>
      </c>
      <c r="H2524" s="1105" t="n">
        <f aca="false">E2524*F2524*G2524</f>
        <v>11041555.266</v>
      </c>
      <c r="I2524" s="1105" t="n">
        <f aca="false">F2524-H2524</f>
        <v>1226839.474</v>
      </c>
      <c r="J2524" s="1105" t="n">
        <f aca="false">F2524*G2524</f>
        <v>1226839.474</v>
      </c>
      <c r="K2524" s="1365" t="n">
        <f aca="false">J2524/1792.8</f>
        <v>684.31474453369</v>
      </c>
      <c r="L2524" s="1105" t="n">
        <v>120</v>
      </c>
      <c r="M2524" s="865" t="n">
        <f aca="false">K2524*L2524/60</f>
        <v>1368.62948906738</v>
      </c>
    </row>
    <row r="2525" customFormat="false" ht="15" hidden="false" customHeight="false" outlineLevel="0" collapsed="false">
      <c r="A2525" s="216"/>
      <c r="B2525" s="1053" t="s">
        <v>4128</v>
      </c>
      <c r="C2525" s="1161"/>
      <c r="D2525" s="912"/>
      <c r="E2525" s="912"/>
      <c r="F2525" s="547"/>
      <c r="G2525" s="1413"/>
      <c r="H2525" s="547"/>
      <c r="I2525" s="547"/>
      <c r="J2525" s="547"/>
      <c r="K2525" s="1365" t="n">
        <f aca="false">J2525/1792.8</f>
        <v>0</v>
      </c>
      <c r="L2525" s="714" t="n">
        <f aca="false">SUM(L2517:L2524)</f>
        <v>310</v>
      </c>
      <c r="M2525" s="934" t="n">
        <f aca="false">SUM(M2517:M2524)</f>
        <v>1489.11196526848</v>
      </c>
    </row>
    <row r="2526" customFormat="false" ht="15" hidden="false" customHeight="false" outlineLevel="0" collapsed="false">
      <c r="A2526" s="15" t="s">
        <v>5338</v>
      </c>
      <c r="B2526" s="54" t="s">
        <v>3351</v>
      </c>
      <c r="C2526" s="1387"/>
      <c r="D2526" s="339"/>
      <c r="E2526" s="541"/>
      <c r="F2526" s="751"/>
      <c r="G2526" s="1412"/>
      <c r="H2526" s="1412"/>
      <c r="I2526" s="751"/>
      <c r="J2526" s="751"/>
      <c r="K2526" s="1390"/>
      <c r="L2526" s="751"/>
      <c r="M2526" s="818"/>
    </row>
    <row r="2527" customFormat="false" ht="30" hidden="false" customHeight="false" outlineLevel="0" collapsed="false">
      <c r="A2527" s="216" t="s">
        <v>1182</v>
      </c>
      <c r="B2527" s="40" t="s">
        <v>3307</v>
      </c>
      <c r="C2527" s="1404" t="s">
        <v>7070</v>
      </c>
      <c r="D2527" s="569" t="n">
        <v>2009</v>
      </c>
      <c r="E2527" s="569" t="n">
        <f aca="false">2021-D2527</f>
        <v>12</v>
      </c>
      <c r="F2527" s="1105" t="n">
        <v>181000</v>
      </c>
      <c r="G2527" s="1444" t="n">
        <v>0.1</v>
      </c>
      <c r="H2527" s="1105" t="n">
        <f aca="false">E2527*F2527*G2527</f>
        <v>217200</v>
      </c>
      <c r="I2527" s="1105" t="n">
        <f aca="false">F2527-H2527</f>
        <v>-36200</v>
      </c>
      <c r="J2527" s="1105" t="n">
        <f aca="false">F2527*G2527</f>
        <v>18100</v>
      </c>
      <c r="K2527" s="1365" t="n">
        <f aca="false">J2527/1792.8</f>
        <v>10.0959393128068</v>
      </c>
      <c r="L2527" s="1105" t="n">
        <v>30</v>
      </c>
      <c r="M2527" s="819" t="n">
        <f aca="false">K2527*L2527/60</f>
        <v>5.04796965640339</v>
      </c>
    </row>
    <row r="2528" customFormat="false" ht="30" hidden="false" customHeight="false" outlineLevel="0" collapsed="false">
      <c r="A2528" s="216"/>
      <c r="B2528" s="40"/>
      <c r="C2528" s="1404" t="s">
        <v>6963</v>
      </c>
      <c r="D2528" s="1405" t="n">
        <v>2007</v>
      </c>
      <c r="E2528" s="1405" t="n">
        <f aca="false">2021-D2528</f>
        <v>14</v>
      </c>
      <c r="F2528" s="1406" t="n">
        <v>176358</v>
      </c>
      <c r="G2528" s="1407" t="n">
        <v>0.1</v>
      </c>
      <c r="H2528" s="1410" t="n">
        <f aca="false">E2528*F2528*G2528</f>
        <v>246901.2</v>
      </c>
      <c r="I2528" s="1410" t="n">
        <f aca="false">F2528-H2528</f>
        <v>-70543.2</v>
      </c>
      <c r="J2528" s="1410" t="n">
        <f aca="false">F2528*G2528</f>
        <v>17635.8</v>
      </c>
      <c r="K2528" s="1365" t="n">
        <f aca="false">J2528/1792.8</f>
        <v>9.83701472556894</v>
      </c>
      <c r="L2528" s="1445" t="n">
        <v>10</v>
      </c>
      <c r="M2528" s="1408" t="n">
        <f aca="false">K2528*L2528/60</f>
        <v>1.63950245426149</v>
      </c>
    </row>
    <row r="2529" customFormat="false" ht="30" hidden="false" customHeight="false" outlineLevel="0" collapsed="false">
      <c r="A2529" s="216"/>
      <c r="B2529" s="40"/>
      <c r="C2529" s="1404" t="s">
        <v>6959</v>
      </c>
      <c r="D2529" s="1405" t="n">
        <v>2007</v>
      </c>
      <c r="E2529" s="1405" t="n">
        <f aca="false">2021-D2529</f>
        <v>14</v>
      </c>
      <c r="F2529" s="1406" t="n">
        <v>350000</v>
      </c>
      <c r="G2529" s="1407" t="n">
        <v>0.1</v>
      </c>
      <c r="H2529" s="1410" t="n">
        <f aca="false">E2529*F2529*G2529</f>
        <v>490000</v>
      </c>
      <c r="I2529" s="1410" t="n">
        <f aca="false">F2529-H2529</f>
        <v>-140000</v>
      </c>
      <c r="J2529" s="1410" t="n">
        <f aca="false">F2529*G2529</f>
        <v>35000</v>
      </c>
      <c r="K2529" s="1365" t="n">
        <f aca="false">J2529/1792.8</f>
        <v>19.5225345827755</v>
      </c>
      <c r="L2529" s="1445" t="n">
        <v>10</v>
      </c>
      <c r="M2529" s="1408" t="n">
        <f aca="false">K2529*L2529/60</f>
        <v>3.25375576379592</v>
      </c>
    </row>
    <row r="2530" customFormat="false" ht="30" hidden="false" customHeight="false" outlineLevel="0" collapsed="false">
      <c r="A2530" s="216"/>
      <c r="B2530" s="40"/>
      <c r="C2530" s="1404" t="s">
        <v>7071</v>
      </c>
      <c r="D2530" s="569" t="n">
        <v>2006</v>
      </c>
      <c r="E2530" s="569" t="n">
        <f aca="false">2021-D2530</f>
        <v>15</v>
      </c>
      <c r="F2530" s="1105" t="n">
        <v>138575</v>
      </c>
      <c r="G2530" s="1444" t="n">
        <v>0.1</v>
      </c>
      <c r="H2530" s="1105" t="n">
        <f aca="false">E2530*F2530*G2530</f>
        <v>207862.5</v>
      </c>
      <c r="I2530" s="1105" t="n">
        <f aca="false">F2530-H2530</f>
        <v>-69287.5</v>
      </c>
      <c r="J2530" s="1105" t="n">
        <f aca="false">F2530*G2530</f>
        <v>13857.5</v>
      </c>
      <c r="K2530" s="1365" t="n">
        <f aca="false">J2530/1792.8</f>
        <v>7.7295292280232</v>
      </c>
      <c r="L2530" s="1105" t="n">
        <v>20</v>
      </c>
      <c r="M2530" s="819" t="n">
        <f aca="false">K2530*L2530/60</f>
        <v>2.5765097426744</v>
      </c>
    </row>
    <row r="2531" customFormat="false" ht="30" hidden="false" customHeight="false" outlineLevel="0" collapsed="false">
      <c r="A2531" s="216"/>
      <c r="B2531" s="40"/>
      <c r="C2531" s="1404" t="s">
        <v>7072</v>
      </c>
      <c r="D2531" s="569" t="n">
        <v>2013</v>
      </c>
      <c r="E2531" s="569" t="n">
        <f aca="false">2021-D2531</f>
        <v>8</v>
      </c>
      <c r="F2531" s="1105" t="n">
        <v>300000</v>
      </c>
      <c r="G2531" s="1444" t="n">
        <v>0.1</v>
      </c>
      <c r="H2531" s="1105" t="n">
        <f aca="false">E2531*F2531*G2531</f>
        <v>240000</v>
      </c>
      <c r="I2531" s="1105" t="n">
        <f aca="false">F2531-H2531</f>
        <v>60000</v>
      </c>
      <c r="J2531" s="1105" t="n">
        <f aca="false">F2531*G2531</f>
        <v>30000</v>
      </c>
      <c r="K2531" s="1365" t="n">
        <f aca="false">J2531/1792.8</f>
        <v>16.7336010709505</v>
      </c>
      <c r="L2531" s="1105" t="n">
        <v>50</v>
      </c>
      <c r="M2531" s="865" t="n">
        <f aca="false">K2531*L2531/60</f>
        <v>13.9446675591254</v>
      </c>
    </row>
    <row r="2532" customFormat="false" ht="30" hidden="false" customHeight="false" outlineLevel="0" collapsed="false">
      <c r="A2532" s="216"/>
      <c r="B2532" s="40"/>
      <c r="C2532" s="1409" t="s">
        <v>6967</v>
      </c>
      <c r="D2532" s="569" t="n">
        <v>2016</v>
      </c>
      <c r="E2532" s="569" t="n">
        <f aca="false">2021-D2532</f>
        <v>5</v>
      </c>
      <c r="F2532" s="1105" t="n">
        <v>2302000</v>
      </c>
      <c r="G2532" s="1444" t="n">
        <v>0.1</v>
      </c>
      <c r="H2532" s="1105" t="n">
        <f aca="false">E2532*F2532*G2532</f>
        <v>1151000</v>
      </c>
      <c r="I2532" s="1105" t="n">
        <f aca="false">F2532-H2532</f>
        <v>1151000</v>
      </c>
      <c r="J2532" s="1105" t="n">
        <f aca="false">F2532*G2532</f>
        <v>230200</v>
      </c>
      <c r="K2532" s="1365" t="n">
        <f aca="false">J2532/1792.8</f>
        <v>128.402498884427</v>
      </c>
      <c r="L2532" s="1105" t="n">
        <v>10</v>
      </c>
      <c r="M2532" s="865" t="n">
        <f aca="false">K2532*L2532/60</f>
        <v>21.4004164807378</v>
      </c>
    </row>
    <row r="2533" customFormat="false" ht="15" hidden="false" customHeight="false" outlineLevel="0" collapsed="false">
      <c r="A2533" s="216"/>
      <c r="B2533" s="40"/>
      <c r="C2533" s="1404" t="s">
        <v>7075</v>
      </c>
      <c r="D2533" s="569" t="n">
        <v>2015</v>
      </c>
      <c r="E2533" s="569" t="n">
        <f aca="false">2021-D2533</f>
        <v>6</v>
      </c>
      <c r="F2533" s="1105" t="n">
        <v>1028020</v>
      </c>
      <c r="G2533" s="1444" t="n">
        <v>0.1</v>
      </c>
      <c r="H2533" s="1105" t="n">
        <f aca="false">E2533*F2533*G2533</f>
        <v>616812</v>
      </c>
      <c r="I2533" s="1105" t="n">
        <f aca="false">F2533-H2533</f>
        <v>411208</v>
      </c>
      <c r="J2533" s="1105" t="n">
        <f aca="false">F2533*G2533</f>
        <v>102802</v>
      </c>
      <c r="K2533" s="1365" t="n">
        <f aca="false">J2533/1792.8</f>
        <v>57.3415885765283</v>
      </c>
      <c r="L2533" s="1105" t="n">
        <v>60</v>
      </c>
      <c r="M2533" s="865" t="n">
        <f aca="false">K2533*L2533/60</f>
        <v>57.3415885765283</v>
      </c>
    </row>
    <row r="2534" customFormat="false" ht="30" hidden="false" customHeight="false" outlineLevel="0" collapsed="false">
      <c r="A2534" s="216"/>
      <c r="B2534" s="40"/>
      <c r="C2534" s="1404" t="s">
        <v>7073</v>
      </c>
      <c r="D2534" s="569" t="n">
        <v>2005</v>
      </c>
      <c r="E2534" s="569" t="n">
        <f aca="false">2021-D2534</f>
        <v>16</v>
      </c>
      <c r="F2534" s="1105" t="n">
        <v>39263</v>
      </c>
      <c r="G2534" s="1444" t="n">
        <v>0.15</v>
      </c>
      <c r="H2534" s="1105" t="n">
        <f aca="false">E2534*F2534*G2534</f>
        <v>94231.2</v>
      </c>
      <c r="I2534" s="1105" t="n">
        <f aca="false">F2534-H2534</f>
        <v>-54968.2</v>
      </c>
      <c r="J2534" s="1105" t="n">
        <f aca="false">F2534*G2534</f>
        <v>5889.45</v>
      </c>
      <c r="K2534" s="1365" t="n">
        <f aca="false">J2534/1792.8</f>
        <v>3.28505689424364</v>
      </c>
      <c r="L2534" s="1105" t="n">
        <v>30</v>
      </c>
      <c r="M2534" s="865" t="n">
        <f aca="false">K2534*L2534/60</f>
        <v>1.64252844712182</v>
      </c>
    </row>
    <row r="2535" customFormat="false" ht="30" hidden="false" customHeight="false" outlineLevel="0" collapsed="false">
      <c r="A2535" s="216"/>
      <c r="B2535" s="40"/>
      <c r="C2535" s="1404" t="s">
        <v>7074</v>
      </c>
      <c r="D2535" s="569" t="n">
        <v>2003</v>
      </c>
      <c r="E2535" s="569" t="n">
        <f aca="false">2021-D2535</f>
        <v>18</v>
      </c>
      <c r="F2535" s="1105" t="n">
        <v>2471090</v>
      </c>
      <c r="G2535" s="1444" t="n">
        <v>0.1</v>
      </c>
      <c r="H2535" s="1105" t="n">
        <f aca="false">E2535*F2535*G2535</f>
        <v>4447962</v>
      </c>
      <c r="I2535" s="1105" t="n">
        <f aca="false">F2535-H2535</f>
        <v>-1976872</v>
      </c>
      <c r="J2535" s="1105" t="n">
        <f aca="false">F2535*G2535</f>
        <v>247109</v>
      </c>
      <c r="K2535" s="1365" t="n">
        <f aca="false">J2535/1792.8</f>
        <v>137.834114234717</v>
      </c>
      <c r="L2535" s="1105" t="n">
        <v>120</v>
      </c>
      <c r="M2535" s="865" t="n">
        <f aca="false">K2535*L2535/60</f>
        <v>275.668228469433</v>
      </c>
    </row>
    <row r="2536" customFormat="false" ht="15" hidden="false" customHeight="false" outlineLevel="0" collapsed="false">
      <c r="A2536" s="216"/>
      <c r="B2536" s="1053" t="s">
        <v>4128</v>
      </c>
      <c r="C2536" s="1161"/>
      <c r="D2536" s="912"/>
      <c r="E2536" s="912"/>
      <c r="F2536" s="547"/>
      <c r="G2536" s="1413"/>
      <c r="H2536" s="547"/>
      <c r="I2536" s="547"/>
      <c r="J2536" s="547"/>
      <c r="K2536" s="1365" t="n">
        <f aca="false">J2536/1792.8</f>
        <v>0</v>
      </c>
      <c r="L2536" s="714" t="n">
        <f aca="false">SUM(L2527:L2535)</f>
        <v>340</v>
      </c>
      <c r="M2536" s="934" t="n">
        <f aca="false">SUM(M2527:M2535)</f>
        <v>382.515167150082</v>
      </c>
    </row>
    <row r="2537" customFormat="false" ht="42.75" hidden="false" customHeight="false" outlineLevel="0" collapsed="false">
      <c r="A2537" s="15" t="s">
        <v>5339</v>
      </c>
      <c r="B2537" s="54" t="s">
        <v>3352</v>
      </c>
      <c r="C2537" s="1387"/>
      <c r="D2537" s="339"/>
      <c r="E2537" s="541"/>
      <c r="F2537" s="751"/>
      <c r="G2537" s="1412"/>
      <c r="H2537" s="1412"/>
      <c r="I2537" s="751"/>
      <c r="J2537" s="751"/>
      <c r="K2537" s="1390"/>
      <c r="L2537" s="751"/>
      <c r="M2537" s="818"/>
    </row>
    <row r="2538" customFormat="false" ht="30" hidden="false" customHeight="false" outlineLevel="0" collapsed="false">
      <c r="A2538" s="216" t="s">
        <v>1185</v>
      </c>
      <c r="B2538" s="40" t="s">
        <v>3307</v>
      </c>
      <c r="C2538" s="1404" t="s">
        <v>7070</v>
      </c>
      <c r="D2538" s="569" t="n">
        <v>2009</v>
      </c>
      <c r="E2538" s="569" t="n">
        <f aca="false">2021-D2538</f>
        <v>12</v>
      </c>
      <c r="F2538" s="1105" t="n">
        <v>181000</v>
      </c>
      <c r="G2538" s="1444" t="n">
        <v>0.1</v>
      </c>
      <c r="H2538" s="1105" t="n">
        <f aca="false">E2538*F2538*G2538</f>
        <v>217200</v>
      </c>
      <c r="I2538" s="1105" t="n">
        <f aca="false">F2538-H2538</f>
        <v>-36200</v>
      </c>
      <c r="J2538" s="1105" t="n">
        <f aca="false">F2538*G2538</f>
        <v>18100</v>
      </c>
      <c r="K2538" s="1365" t="n">
        <f aca="false">J2538/1792.8</f>
        <v>10.0959393128068</v>
      </c>
      <c r="L2538" s="1105" t="n">
        <v>20</v>
      </c>
      <c r="M2538" s="819" t="n">
        <f aca="false">K2538*L2538/60</f>
        <v>3.36531310426893</v>
      </c>
    </row>
    <row r="2539" customFormat="false" ht="30" hidden="false" customHeight="false" outlineLevel="0" collapsed="false">
      <c r="A2539" s="216"/>
      <c r="B2539" s="40"/>
      <c r="C2539" s="1404" t="s">
        <v>6963</v>
      </c>
      <c r="D2539" s="1405" t="n">
        <v>2007</v>
      </c>
      <c r="E2539" s="1405" t="n">
        <f aca="false">2021-D2539</f>
        <v>14</v>
      </c>
      <c r="F2539" s="1406" t="n">
        <v>176358</v>
      </c>
      <c r="G2539" s="1407" t="n">
        <v>0.1</v>
      </c>
      <c r="H2539" s="1410" t="n">
        <f aca="false">E2539*F2539*G2539</f>
        <v>246901.2</v>
      </c>
      <c r="I2539" s="1410" t="n">
        <f aca="false">F2539-H2539</f>
        <v>-70543.2</v>
      </c>
      <c r="J2539" s="1410" t="n">
        <f aca="false">F2539*G2539</f>
        <v>17635.8</v>
      </c>
      <c r="K2539" s="1365" t="n">
        <f aca="false">J2539/1792.8</f>
        <v>9.83701472556894</v>
      </c>
      <c r="L2539" s="1445" t="n">
        <v>20</v>
      </c>
      <c r="M2539" s="1408" t="n">
        <f aca="false">K2539*L2539/60</f>
        <v>3.27900490852298</v>
      </c>
    </row>
    <row r="2540" customFormat="false" ht="30" hidden="false" customHeight="false" outlineLevel="0" collapsed="false">
      <c r="A2540" s="216"/>
      <c r="B2540" s="40"/>
      <c r="C2540" s="1404" t="s">
        <v>6959</v>
      </c>
      <c r="D2540" s="1405" t="n">
        <v>2007</v>
      </c>
      <c r="E2540" s="1405" t="n">
        <f aca="false">2021-D2540</f>
        <v>14</v>
      </c>
      <c r="F2540" s="1406" t="n">
        <v>350000</v>
      </c>
      <c r="G2540" s="1407" t="n">
        <v>0.1</v>
      </c>
      <c r="H2540" s="1410" t="n">
        <f aca="false">E2540*F2540*G2540</f>
        <v>490000</v>
      </c>
      <c r="I2540" s="1410" t="n">
        <f aca="false">F2540-H2540</f>
        <v>-140000</v>
      </c>
      <c r="J2540" s="1410" t="n">
        <f aca="false">F2540*G2540</f>
        <v>35000</v>
      </c>
      <c r="K2540" s="1365" t="n">
        <f aca="false">J2540/1792.8</f>
        <v>19.5225345827755</v>
      </c>
      <c r="L2540" s="1445" t="n">
        <v>20</v>
      </c>
      <c r="M2540" s="1408" t="n">
        <f aca="false">K2540*L2540/60</f>
        <v>6.50751152759185</v>
      </c>
    </row>
    <row r="2541" customFormat="false" ht="30" hidden="false" customHeight="false" outlineLevel="0" collapsed="false">
      <c r="A2541" s="216"/>
      <c r="B2541" s="40"/>
      <c r="C2541" s="1404" t="s">
        <v>7071</v>
      </c>
      <c r="D2541" s="569" t="n">
        <v>2006</v>
      </c>
      <c r="E2541" s="569" t="n">
        <f aca="false">2021-D2541</f>
        <v>15</v>
      </c>
      <c r="F2541" s="1105" t="n">
        <v>138575</v>
      </c>
      <c r="G2541" s="1444" t="n">
        <v>0.1</v>
      </c>
      <c r="H2541" s="1105" t="n">
        <f aca="false">E2541*F2541*G2541</f>
        <v>207862.5</v>
      </c>
      <c r="I2541" s="1105" t="n">
        <f aca="false">F2541-H2541</f>
        <v>-69287.5</v>
      </c>
      <c r="J2541" s="1105" t="n">
        <f aca="false">F2541*G2541</f>
        <v>13857.5</v>
      </c>
      <c r="K2541" s="1365" t="n">
        <f aca="false">J2541/1792.8</f>
        <v>7.7295292280232</v>
      </c>
      <c r="L2541" s="1105" t="n">
        <v>20</v>
      </c>
      <c r="M2541" s="819" t="n">
        <f aca="false">K2541*L2541/60</f>
        <v>2.5765097426744</v>
      </c>
    </row>
    <row r="2542" customFormat="false" ht="15" hidden="false" customHeight="false" outlineLevel="0" collapsed="false">
      <c r="A2542" s="216"/>
      <c r="B2542" s="40"/>
      <c r="C2542" s="1404" t="s">
        <v>7075</v>
      </c>
      <c r="D2542" s="569" t="n">
        <v>2015</v>
      </c>
      <c r="E2542" s="569" t="n">
        <f aca="false">2021-D2542</f>
        <v>6</v>
      </c>
      <c r="F2542" s="1105" t="n">
        <v>1028020</v>
      </c>
      <c r="G2542" s="1444" t="n">
        <v>0.1</v>
      </c>
      <c r="H2542" s="1105" t="n">
        <f aca="false">E2542*F2542*G2542</f>
        <v>616812</v>
      </c>
      <c r="I2542" s="1105" t="n">
        <f aca="false">F2542-H2542</f>
        <v>411208</v>
      </c>
      <c r="J2542" s="1105" t="n">
        <f aca="false">F2542*G2542</f>
        <v>102802</v>
      </c>
      <c r="K2542" s="1365" t="n">
        <f aca="false">J2542/1792.8</f>
        <v>57.3415885765283</v>
      </c>
      <c r="L2542" s="1105" t="n">
        <v>60</v>
      </c>
      <c r="M2542" s="819" t="n">
        <f aca="false">K2542*L2542/60</f>
        <v>57.3415885765283</v>
      </c>
    </row>
    <row r="2543" customFormat="false" ht="30" hidden="false" customHeight="false" outlineLevel="0" collapsed="false">
      <c r="A2543" s="216"/>
      <c r="B2543" s="40"/>
      <c r="C2543" s="1409" t="s">
        <v>6967</v>
      </c>
      <c r="D2543" s="569" t="n">
        <v>2016</v>
      </c>
      <c r="E2543" s="569" t="n">
        <f aca="false">2021-D2543</f>
        <v>5</v>
      </c>
      <c r="F2543" s="1105" t="n">
        <v>2302000</v>
      </c>
      <c r="G2543" s="1444" t="n">
        <v>0.1</v>
      </c>
      <c r="H2543" s="1105" t="n">
        <f aca="false">E2543*F2543*G2543</f>
        <v>1151000</v>
      </c>
      <c r="I2543" s="1105" t="n">
        <f aca="false">F2543-H2543</f>
        <v>1151000</v>
      </c>
      <c r="J2543" s="1105" t="n">
        <f aca="false">F2543*G2543</f>
        <v>230200</v>
      </c>
      <c r="K2543" s="1365" t="n">
        <f aca="false">J2543/1792.8</f>
        <v>128.402498884427</v>
      </c>
      <c r="L2543" s="1105" t="n">
        <v>10</v>
      </c>
      <c r="M2543" s="819" t="n">
        <f aca="false">K2543*L2543/60</f>
        <v>21.4004164807378</v>
      </c>
    </row>
    <row r="2544" customFormat="false" ht="30" hidden="false" customHeight="false" outlineLevel="0" collapsed="false">
      <c r="A2544" s="216"/>
      <c r="B2544" s="40"/>
      <c r="C2544" s="1404" t="s">
        <v>7072</v>
      </c>
      <c r="D2544" s="569" t="n">
        <v>2013</v>
      </c>
      <c r="E2544" s="569" t="n">
        <f aca="false">2021-D2544</f>
        <v>8</v>
      </c>
      <c r="F2544" s="1105" t="n">
        <v>300000</v>
      </c>
      <c r="G2544" s="1444" t="n">
        <v>0.1</v>
      </c>
      <c r="H2544" s="1105" t="n">
        <f aca="false">E2544*F2544*G2544</f>
        <v>240000</v>
      </c>
      <c r="I2544" s="1105" t="n">
        <f aca="false">F2544-H2544</f>
        <v>60000</v>
      </c>
      <c r="J2544" s="1105" t="n">
        <f aca="false">F2544*G2544</f>
        <v>30000</v>
      </c>
      <c r="K2544" s="1365" t="n">
        <f aca="false">J2544/1792.8</f>
        <v>16.7336010709505</v>
      </c>
      <c r="L2544" s="1105" t="n">
        <v>50</v>
      </c>
      <c r="M2544" s="865" t="n">
        <f aca="false">K2544*L2544/60</f>
        <v>13.9446675591254</v>
      </c>
    </row>
    <row r="2545" customFormat="false" ht="30" hidden="false" customHeight="false" outlineLevel="0" collapsed="false">
      <c r="A2545" s="216"/>
      <c r="B2545" s="40"/>
      <c r="C2545" s="1161" t="s">
        <v>7073</v>
      </c>
      <c r="D2545" s="912" t="n">
        <v>2005</v>
      </c>
      <c r="E2545" s="912" t="n">
        <f aca="false">2021-D2545</f>
        <v>16</v>
      </c>
      <c r="F2545" s="547" t="n">
        <v>39263</v>
      </c>
      <c r="G2545" s="1413" t="n">
        <v>0.1</v>
      </c>
      <c r="H2545" s="547" t="n">
        <f aca="false">E2545*F2545*G2545</f>
        <v>62820.8</v>
      </c>
      <c r="I2545" s="547" t="n">
        <f aca="false">F2545-H2545</f>
        <v>-23557.8</v>
      </c>
      <c r="J2545" s="547" t="n">
        <f aca="false">F2545*G2545</f>
        <v>3926.3</v>
      </c>
      <c r="K2545" s="1365" t="n">
        <f aca="false">J2545/1792.8</f>
        <v>2.19003792949576</v>
      </c>
      <c r="L2545" s="547" t="n">
        <v>20</v>
      </c>
      <c r="M2545" s="819" t="n">
        <f aca="false">K2545*L2545/60</f>
        <v>0.730012643165254</v>
      </c>
    </row>
    <row r="2546" customFormat="false" ht="30" hidden="false" customHeight="false" outlineLevel="0" collapsed="false">
      <c r="A2546" s="216"/>
      <c r="B2546" s="40"/>
      <c r="C2546" s="1161" t="s">
        <v>7074</v>
      </c>
      <c r="D2546" s="912" t="n">
        <v>2003</v>
      </c>
      <c r="E2546" s="912" t="n">
        <f aca="false">2021-D2546</f>
        <v>18</v>
      </c>
      <c r="F2546" s="547" t="n">
        <v>2471090</v>
      </c>
      <c r="G2546" s="1413" t="n">
        <v>0.1</v>
      </c>
      <c r="H2546" s="547" t="n">
        <f aca="false">E2546*F2546*G2546</f>
        <v>4447962</v>
      </c>
      <c r="I2546" s="547" t="n">
        <f aca="false">F2546-H2546</f>
        <v>-1976872</v>
      </c>
      <c r="J2546" s="547" t="n">
        <f aca="false">F2546*G2546</f>
        <v>247109</v>
      </c>
      <c r="K2546" s="1365" t="n">
        <f aca="false">J2546/1792.8</f>
        <v>137.834114234717</v>
      </c>
      <c r="L2546" s="547" t="n">
        <v>120</v>
      </c>
      <c r="M2546" s="819" t="n">
        <f aca="false">K2546*L2546/60</f>
        <v>275.668228469433</v>
      </c>
    </row>
    <row r="2547" customFormat="false" ht="15" hidden="false" customHeight="false" outlineLevel="0" collapsed="false">
      <c r="A2547" s="216"/>
      <c r="B2547" s="1053" t="s">
        <v>4128</v>
      </c>
      <c r="C2547" s="1161"/>
      <c r="D2547" s="912"/>
      <c r="E2547" s="912"/>
      <c r="F2547" s="547"/>
      <c r="G2547" s="1413"/>
      <c r="H2547" s="547"/>
      <c r="I2547" s="547"/>
      <c r="J2547" s="547"/>
      <c r="K2547" s="1365" t="n">
        <f aca="false">J2547/1792.8</f>
        <v>0</v>
      </c>
      <c r="L2547" s="714" t="n">
        <f aca="false">SUM(L2538:L2546)</f>
        <v>340</v>
      </c>
      <c r="M2547" s="934" t="n">
        <f aca="false">SUM(M2538:M2546)</f>
        <v>384.813253012048</v>
      </c>
    </row>
    <row r="2548" customFormat="false" ht="30" hidden="false" customHeight="false" outlineLevel="0" collapsed="false">
      <c r="A2548" s="216" t="s">
        <v>1186</v>
      </c>
      <c r="B2548" s="40" t="s">
        <v>3309</v>
      </c>
      <c r="C2548" s="1404" t="s">
        <v>7070</v>
      </c>
      <c r="D2548" s="569" t="n">
        <v>2009</v>
      </c>
      <c r="E2548" s="569" t="n">
        <f aca="false">2021-D2548</f>
        <v>12</v>
      </c>
      <c r="F2548" s="1105" t="n">
        <v>181000</v>
      </c>
      <c r="G2548" s="1444" t="n">
        <v>0.1</v>
      </c>
      <c r="H2548" s="1105" t="n">
        <f aca="false">E2548*F2548*G2548</f>
        <v>217200</v>
      </c>
      <c r="I2548" s="1105" t="n">
        <f aca="false">F2548-H2548</f>
        <v>-36200</v>
      </c>
      <c r="J2548" s="1105" t="n">
        <f aca="false">F2548*G2548</f>
        <v>18100</v>
      </c>
      <c r="K2548" s="1365" t="n">
        <f aca="false">J2548/1792.8</f>
        <v>10.0959393128068</v>
      </c>
      <c r="L2548" s="1105" t="n">
        <v>10</v>
      </c>
      <c r="M2548" s="819" t="n">
        <f aca="false">K2548*L2548/60</f>
        <v>1.68265655213446</v>
      </c>
    </row>
    <row r="2549" customFormat="false" ht="30" hidden="false" customHeight="false" outlineLevel="0" collapsed="false">
      <c r="A2549" s="216"/>
      <c r="B2549" s="40"/>
      <c r="C2549" s="1404" t="s">
        <v>6963</v>
      </c>
      <c r="D2549" s="1405" t="n">
        <v>2007</v>
      </c>
      <c r="E2549" s="1405" t="n">
        <f aca="false">2021-D2549</f>
        <v>14</v>
      </c>
      <c r="F2549" s="1406" t="n">
        <v>176358</v>
      </c>
      <c r="G2549" s="1407" t="n">
        <v>0.1</v>
      </c>
      <c r="H2549" s="1410" t="n">
        <f aca="false">E2549*F2549*G2549</f>
        <v>246901.2</v>
      </c>
      <c r="I2549" s="1410" t="n">
        <f aca="false">F2549-H2549</f>
        <v>-70543.2</v>
      </c>
      <c r="J2549" s="1410" t="n">
        <f aca="false">F2549*G2549</f>
        <v>17635.8</v>
      </c>
      <c r="K2549" s="1365" t="n">
        <f aca="false">J2549/1792.8</f>
        <v>9.83701472556894</v>
      </c>
      <c r="L2549" s="1445" t="n">
        <v>10</v>
      </c>
      <c r="M2549" s="1408" t="n">
        <f aca="false">K2549*L2549/60</f>
        <v>1.63950245426149</v>
      </c>
    </row>
    <row r="2550" customFormat="false" ht="30" hidden="false" customHeight="false" outlineLevel="0" collapsed="false">
      <c r="A2550" s="216"/>
      <c r="B2550" s="40"/>
      <c r="C2550" s="1404" t="s">
        <v>6959</v>
      </c>
      <c r="D2550" s="1405" t="n">
        <v>2007</v>
      </c>
      <c r="E2550" s="1405" t="n">
        <f aca="false">2021-D2550</f>
        <v>14</v>
      </c>
      <c r="F2550" s="1406" t="n">
        <v>350000</v>
      </c>
      <c r="G2550" s="1407" t="n">
        <v>0.1</v>
      </c>
      <c r="H2550" s="1410" t="n">
        <f aca="false">E2550*F2550*G2550</f>
        <v>490000</v>
      </c>
      <c r="I2550" s="1410" t="n">
        <f aca="false">F2550-H2550</f>
        <v>-140000</v>
      </c>
      <c r="J2550" s="1410" t="n">
        <f aca="false">F2550*G2550</f>
        <v>35000</v>
      </c>
      <c r="K2550" s="1365" t="n">
        <f aca="false">J2550/1792.8</f>
        <v>19.5225345827755</v>
      </c>
      <c r="L2550" s="1445" t="n">
        <v>10</v>
      </c>
      <c r="M2550" s="1408" t="n">
        <f aca="false">K2550*L2550/60</f>
        <v>3.25375576379592</v>
      </c>
    </row>
    <row r="2551" customFormat="false" ht="30" hidden="false" customHeight="false" outlineLevel="0" collapsed="false">
      <c r="A2551" s="216"/>
      <c r="B2551" s="40"/>
      <c r="C2551" s="1404" t="s">
        <v>7071</v>
      </c>
      <c r="D2551" s="569" t="n">
        <v>2006</v>
      </c>
      <c r="E2551" s="569" t="n">
        <f aca="false">2021-D2551</f>
        <v>15</v>
      </c>
      <c r="F2551" s="1105" t="n">
        <v>138575</v>
      </c>
      <c r="G2551" s="1444" t="n">
        <v>0.1</v>
      </c>
      <c r="H2551" s="1105" t="n">
        <f aca="false">E2551*F2551*G2551</f>
        <v>207862.5</v>
      </c>
      <c r="I2551" s="1105" t="n">
        <f aca="false">F2551-H2551</f>
        <v>-69287.5</v>
      </c>
      <c r="J2551" s="1105" t="n">
        <f aca="false">F2551*G2551</f>
        <v>13857.5</v>
      </c>
      <c r="K2551" s="1365" t="n">
        <f aca="false">J2551/1792.8</f>
        <v>7.7295292280232</v>
      </c>
      <c r="L2551" s="1105" t="n">
        <v>10</v>
      </c>
      <c r="M2551" s="819" t="n">
        <f aca="false">K2551*L2551/60</f>
        <v>1.2882548713372</v>
      </c>
    </row>
    <row r="2552" customFormat="false" ht="15" hidden="false" customHeight="false" outlineLevel="0" collapsed="false">
      <c r="A2552" s="216"/>
      <c r="B2552" s="40"/>
      <c r="C2552" s="1404" t="s">
        <v>7075</v>
      </c>
      <c r="D2552" s="569" t="n">
        <v>2015</v>
      </c>
      <c r="E2552" s="569" t="n">
        <f aca="false">2021-D2552</f>
        <v>6</v>
      </c>
      <c r="F2552" s="1105" t="n">
        <v>1028020</v>
      </c>
      <c r="G2552" s="1444" t="n">
        <v>0.1</v>
      </c>
      <c r="H2552" s="1105" t="n">
        <f aca="false">E2552*F2552*G2552</f>
        <v>616812</v>
      </c>
      <c r="I2552" s="1105" t="n">
        <f aca="false">F2552-H2552</f>
        <v>411208</v>
      </c>
      <c r="J2552" s="1105" t="n">
        <f aca="false">F2552*G2552</f>
        <v>102802</v>
      </c>
      <c r="K2552" s="1365" t="n">
        <f aca="false">J2552/1792.8</f>
        <v>57.3415885765283</v>
      </c>
      <c r="L2552" s="1105" t="n">
        <v>60</v>
      </c>
      <c r="M2552" s="819" t="n">
        <f aca="false">K2552*L2552/60</f>
        <v>57.3415885765283</v>
      </c>
    </row>
    <row r="2553" customFormat="false" ht="30" hidden="false" customHeight="false" outlineLevel="0" collapsed="false">
      <c r="A2553" s="216"/>
      <c r="B2553" s="40"/>
      <c r="C2553" s="1409" t="s">
        <v>6967</v>
      </c>
      <c r="D2553" s="569" t="n">
        <v>2016</v>
      </c>
      <c r="E2553" s="569" t="n">
        <f aca="false">2021-D2553</f>
        <v>5</v>
      </c>
      <c r="F2553" s="1105" t="n">
        <v>2302000</v>
      </c>
      <c r="G2553" s="1444" t="n">
        <v>0.1</v>
      </c>
      <c r="H2553" s="1105" t="n">
        <f aca="false">E2553*F2553*G2553</f>
        <v>1151000</v>
      </c>
      <c r="I2553" s="1105" t="n">
        <f aca="false">F2553-H2553</f>
        <v>1151000</v>
      </c>
      <c r="J2553" s="1105" t="n">
        <f aca="false">F2553*G2553</f>
        <v>230200</v>
      </c>
      <c r="K2553" s="1365" t="n">
        <f aca="false">J2553/1792.8</f>
        <v>128.402498884427</v>
      </c>
      <c r="L2553" s="1105" t="n">
        <v>10</v>
      </c>
      <c r="M2553" s="819" t="n">
        <f aca="false">K2553*L2553/60</f>
        <v>21.4004164807378</v>
      </c>
    </row>
    <row r="2554" customFormat="false" ht="30" hidden="false" customHeight="false" outlineLevel="0" collapsed="false">
      <c r="A2554" s="216"/>
      <c r="B2554" s="40"/>
      <c r="C2554" s="1404" t="s">
        <v>7072</v>
      </c>
      <c r="D2554" s="569" t="n">
        <v>2013</v>
      </c>
      <c r="E2554" s="569" t="n">
        <f aca="false">2021-D2554</f>
        <v>8</v>
      </c>
      <c r="F2554" s="1105" t="n">
        <v>300000</v>
      </c>
      <c r="G2554" s="1444" t="n">
        <v>0.1</v>
      </c>
      <c r="H2554" s="1105" t="n">
        <f aca="false">E2554*F2554*G2554</f>
        <v>240000</v>
      </c>
      <c r="I2554" s="1105" t="n">
        <f aca="false">F2554-H2554</f>
        <v>60000</v>
      </c>
      <c r="J2554" s="1105" t="n">
        <f aca="false">F2554*G2554</f>
        <v>30000</v>
      </c>
      <c r="K2554" s="1365" t="n">
        <f aca="false">J2554/1792.8</f>
        <v>16.7336010709505</v>
      </c>
      <c r="L2554" s="1105" t="n">
        <v>10</v>
      </c>
      <c r="M2554" s="865" t="n">
        <f aca="false">K2554*L2554/60</f>
        <v>2.78893351182508</v>
      </c>
    </row>
    <row r="2555" customFormat="false" ht="30" hidden="false" customHeight="false" outlineLevel="0" collapsed="false">
      <c r="A2555" s="216"/>
      <c r="B2555" s="40"/>
      <c r="C2555" s="1161" t="s">
        <v>7073</v>
      </c>
      <c r="D2555" s="912" t="n">
        <v>2005</v>
      </c>
      <c r="E2555" s="912" t="n">
        <f aca="false">2021-D2555</f>
        <v>16</v>
      </c>
      <c r="F2555" s="547" t="n">
        <v>39263</v>
      </c>
      <c r="G2555" s="1413" t="n">
        <v>0.1</v>
      </c>
      <c r="H2555" s="547" t="n">
        <f aca="false">E2555*F2555*G2555</f>
        <v>62820.8</v>
      </c>
      <c r="I2555" s="547" t="n">
        <f aca="false">F2555-H2555</f>
        <v>-23557.8</v>
      </c>
      <c r="J2555" s="547" t="n">
        <f aca="false">F2555*G2555</f>
        <v>3926.3</v>
      </c>
      <c r="K2555" s="1365" t="n">
        <f aca="false">J2555/1792.8</f>
        <v>2.19003792949576</v>
      </c>
      <c r="L2555" s="547" t="n">
        <v>10</v>
      </c>
      <c r="M2555" s="819" t="n">
        <f aca="false">K2555*L2555/60</f>
        <v>0.365006321582627</v>
      </c>
    </row>
    <row r="2556" customFormat="false" ht="30" hidden="false" customHeight="false" outlineLevel="0" collapsed="false">
      <c r="A2556" s="216"/>
      <c r="B2556" s="40"/>
      <c r="C2556" s="1161" t="s">
        <v>7074</v>
      </c>
      <c r="D2556" s="912" t="n">
        <v>2003</v>
      </c>
      <c r="E2556" s="912" t="n">
        <f aca="false">2021-D2556</f>
        <v>18</v>
      </c>
      <c r="F2556" s="547" t="n">
        <v>2471090</v>
      </c>
      <c r="G2556" s="1413" t="n">
        <v>0.1</v>
      </c>
      <c r="H2556" s="547" t="n">
        <f aca="false">E2556*F2556*G2556</f>
        <v>4447962</v>
      </c>
      <c r="I2556" s="547" t="n">
        <f aca="false">F2556-H2556</f>
        <v>-1976872</v>
      </c>
      <c r="J2556" s="547" t="n">
        <f aca="false">F2556*G2556</f>
        <v>247109</v>
      </c>
      <c r="K2556" s="1365" t="n">
        <f aca="false">J2556/1792.8</f>
        <v>137.834114234717</v>
      </c>
      <c r="L2556" s="547" t="n">
        <v>130</v>
      </c>
      <c r="M2556" s="819" t="n">
        <f aca="false">K2556*L2556/60</f>
        <v>298.640580841886</v>
      </c>
    </row>
    <row r="2557" customFormat="false" ht="15" hidden="false" customHeight="false" outlineLevel="0" collapsed="false">
      <c r="A2557" s="216"/>
      <c r="B2557" s="1053" t="s">
        <v>4128</v>
      </c>
      <c r="C2557" s="1161"/>
      <c r="D2557" s="912"/>
      <c r="E2557" s="912"/>
      <c r="F2557" s="547"/>
      <c r="G2557" s="1413"/>
      <c r="H2557" s="547"/>
      <c r="I2557" s="547"/>
      <c r="J2557" s="547"/>
      <c r="K2557" s="1365" t="n">
        <f aca="false">J2557/1792.8</f>
        <v>0</v>
      </c>
      <c r="L2557" s="714" t="n">
        <f aca="false">SUM(L2548:L2556)</f>
        <v>260</v>
      </c>
      <c r="M2557" s="934" t="n">
        <f aca="false">SUM(M2548:M2556)</f>
        <v>388.400695374089</v>
      </c>
    </row>
    <row r="2558" customFormat="false" ht="30" hidden="false" customHeight="false" outlineLevel="0" collapsed="false">
      <c r="A2558" s="216" t="s">
        <v>1187</v>
      </c>
      <c r="B2558" s="40" t="s">
        <v>3310</v>
      </c>
      <c r="C2558" s="1404" t="s">
        <v>7070</v>
      </c>
      <c r="D2558" s="569" t="n">
        <v>2009</v>
      </c>
      <c r="E2558" s="569" t="n">
        <f aca="false">2021-D2558</f>
        <v>12</v>
      </c>
      <c r="F2558" s="1105" t="n">
        <v>181000</v>
      </c>
      <c r="G2558" s="1444" t="n">
        <v>0.1</v>
      </c>
      <c r="H2558" s="1105" t="n">
        <f aca="false">E2558*F2558*G2558</f>
        <v>217200</v>
      </c>
      <c r="I2558" s="1105" t="n">
        <f aca="false">F2558-H2558</f>
        <v>-36200</v>
      </c>
      <c r="J2558" s="1105" t="n">
        <f aca="false">F2558*G2558</f>
        <v>18100</v>
      </c>
      <c r="K2558" s="1365" t="n">
        <f aca="false">J2558/1792.8</f>
        <v>10.0959393128068</v>
      </c>
      <c r="L2558" s="1105" t="n">
        <v>10</v>
      </c>
      <c r="M2558" s="819" t="n">
        <f aca="false">K2558*L2558/60</f>
        <v>1.68265655213446</v>
      </c>
    </row>
    <row r="2559" customFormat="false" ht="30" hidden="false" customHeight="false" outlineLevel="0" collapsed="false">
      <c r="A2559" s="216"/>
      <c r="B2559" s="40"/>
      <c r="C2559" s="1404" t="s">
        <v>6963</v>
      </c>
      <c r="D2559" s="1405" t="n">
        <v>2007</v>
      </c>
      <c r="E2559" s="1405" t="n">
        <f aca="false">2021-D2559</f>
        <v>14</v>
      </c>
      <c r="F2559" s="1406" t="n">
        <v>176358</v>
      </c>
      <c r="G2559" s="1407" t="n">
        <v>0.1</v>
      </c>
      <c r="H2559" s="1410" t="n">
        <f aca="false">E2559*F2559*G2559</f>
        <v>246901.2</v>
      </c>
      <c r="I2559" s="1410" t="n">
        <f aca="false">F2559-H2559</f>
        <v>-70543.2</v>
      </c>
      <c r="J2559" s="1410" t="n">
        <f aca="false">F2559*G2559</f>
        <v>17635.8</v>
      </c>
      <c r="K2559" s="1365" t="n">
        <f aca="false">J2559/1792.8</f>
        <v>9.83701472556894</v>
      </c>
      <c r="L2559" s="1445" t="n">
        <v>10</v>
      </c>
      <c r="M2559" s="1408" t="n">
        <f aca="false">K2559*L2559/60</f>
        <v>1.63950245426149</v>
      </c>
    </row>
    <row r="2560" customFormat="false" ht="30" hidden="false" customHeight="false" outlineLevel="0" collapsed="false">
      <c r="A2560" s="216"/>
      <c r="B2560" s="40"/>
      <c r="C2560" s="1404" t="s">
        <v>6959</v>
      </c>
      <c r="D2560" s="1405" t="n">
        <v>2007</v>
      </c>
      <c r="E2560" s="1405" t="n">
        <f aca="false">2021-D2560</f>
        <v>14</v>
      </c>
      <c r="F2560" s="1406" t="n">
        <v>350000</v>
      </c>
      <c r="G2560" s="1407" t="n">
        <v>0.1</v>
      </c>
      <c r="H2560" s="1410" t="n">
        <f aca="false">E2560*F2560*G2560</f>
        <v>490000</v>
      </c>
      <c r="I2560" s="1410" t="n">
        <f aca="false">F2560-H2560</f>
        <v>-140000</v>
      </c>
      <c r="J2560" s="1410" t="n">
        <f aca="false">F2560*G2560</f>
        <v>35000</v>
      </c>
      <c r="K2560" s="1365" t="n">
        <f aca="false">J2560/1792.8</f>
        <v>19.5225345827755</v>
      </c>
      <c r="L2560" s="1445" t="n">
        <v>10</v>
      </c>
      <c r="M2560" s="1408" t="n">
        <f aca="false">K2560*L2560/60</f>
        <v>3.25375576379592</v>
      </c>
    </row>
    <row r="2561" customFormat="false" ht="30" hidden="false" customHeight="false" outlineLevel="0" collapsed="false">
      <c r="A2561" s="216"/>
      <c r="B2561" s="40"/>
      <c r="C2561" s="1404" t="s">
        <v>7071</v>
      </c>
      <c r="D2561" s="569" t="n">
        <v>2006</v>
      </c>
      <c r="E2561" s="569" t="n">
        <f aca="false">2021-D2561</f>
        <v>15</v>
      </c>
      <c r="F2561" s="1105" t="n">
        <v>138575</v>
      </c>
      <c r="G2561" s="1444" t="n">
        <v>0.1</v>
      </c>
      <c r="H2561" s="1105" t="n">
        <f aca="false">E2561*F2561*G2561</f>
        <v>207862.5</v>
      </c>
      <c r="I2561" s="1105" t="n">
        <f aca="false">F2561-H2561</f>
        <v>-69287.5</v>
      </c>
      <c r="J2561" s="1105" t="n">
        <f aca="false">F2561*G2561</f>
        <v>13857.5</v>
      </c>
      <c r="K2561" s="1365" t="n">
        <f aca="false">J2561/1792.8</f>
        <v>7.7295292280232</v>
      </c>
      <c r="L2561" s="1105" t="n">
        <v>10</v>
      </c>
      <c r="M2561" s="819" t="n">
        <f aca="false">K2561*L2561/60</f>
        <v>1.2882548713372</v>
      </c>
    </row>
    <row r="2562" customFormat="false" ht="15" hidden="false" customHeight="false" outlineLevel="0" collapsed="false">
      <c r="A2562" s="216"/>
      <c r="B2562" s="40"/>
      <c r="C2562" s="1404" t="s">
        <v>7075</v>
      </c>
      <c r="D2562" s="569" t="n">
        <v>2015</v>
      </c>
      <c r="E2562" s="569" t="n">
        <f aca="false">2021-D2562</f>
        <v>6</v>
      </c>
      <c r="F2562" s="1105" t="n">
        <v>1028020</v>
      </c>
      <c r="G2562" s="1444" t="n">
        <v>0.1</v>
      </c>
      <c r="H2562" s="1105" t="n">
        <f aca="false">E2562*F2562*G2562</f>
        <v>616812</v>
      </c>
      <c r="I2562" s="1105" t="n">
        <f aca="false">F2562-H2562</f>
        <v>411208</v>
      </c>
      <c r="J2562" s="1105" t="n">
        <f aca="false">F2562*G2562</f>
        <v>102802</v>
      </c>
      <c r="K2562" s="1365" t="n">
        <f aca="false">J2562/1792.8</f>
        <v>57.3415885765283</v>
      </c>
      <c r="L2562" s="1105" t="n">
        <v>60</v>
      </c>
      <c r="M2562" s="819" t="n">
        <f aca="false">K2562*L2562/60</f>
        <v>57.3415885765283</v>
      </c>
    </row>
    <row r="2563" customFormat="false" ht="30" hidden="false" customHeight="false" outlineLevel="0" collapsed="false">
      <c r="A2563" s="216"/>
      <c r="B2563" s="40"/>
      <c r="C2563" s="1409" t="s">
        <v>6967</v>
      </c>
      <c r="D2563" s="569" t="n">
        <v>2016</v>
      </c>
      <c r="E2563" s="569" t="n">
        <f aca="false">2021-D2563</f>
        <v>5</v>
      </c>
      <c r="F2563" s="1105" t="n">
        <v>2302000</v>
      </c>
      <c r="G2563" s="1444" t="n">
        <v>0.1</v>
      </c>
      <c r="H2563" s="1105" t="n">
        <f aca="false">E2563*F2563*G2563</f>
        <v>1151000</v>
      </c>
      <c r="I2563" s="1105" t="n">
        <f aca="false">F2563-H2563</f>
        <v>1151000</v>
      </c>
      <c r="J2563" s="1105" t="n">
        <f aca="false">F2563*G2563</f>
        <v>230200</v>
      </c>
      <c r="K2563" s="1365" t="n">
        <f aca="false">J2563/1792.8</f>
        <v>128.402498884427</v>
      </c>
      <c r="L2563" s="1105" t="n">
        <v>10</v>
      </c>
      <c r="M2563" s="819" t="n">
        <f aca="false">K2563*L2563/60</f>
        <v>21.4004164807378</v>
      </c>
    </row>
    <row r="2564" customFormat="false" ht="27.75" hidden="false" customHeight="true" outlineLevel="0" collapsed="false">
      <c r="A2564" s="216"/>
      <c r="B2564" s="40"/>
      <c r="C2564" s="1404" t="s">
        <v>7072</v>
      </c>
      <c r="D2564" s="569" t="n">
        <v>2013</v>
      </c>
      <c r="E2564" s="569" t="n">
        <f aca="false">2021-D2564</f>
        <v>8</v>
      </c>
      <c r="F2564" s="1105" t="n">
        <v>300000</v>
      </c>
      <c r="G2564" s="1444" t="n">
        <v>0.1</v>
      </c>
      <c r="H2564" s="1105" t="n">
        <f aca="false">E2564*F2564*G2564</f>
        <v>240000</v>
      </c>
      <c r="I2564" s="1105" t="n">
        <f aca="false">F2564-H2564</f>
        <v>60000</v>
      </c>
      <c r="J2564" s="1105" t="n">
        <f aca="false">F2564*G2564</f>
        <v>30000</v>
      </c>
      <c r="K2564" s="1365" t="n">
        <f aca="false">J2564/1792.8</f>
        <v>16.7336010709505</v>
      </c>
      <c r="L2564" s="1105" t="n">
        <v>20</v>
      </c>
      <c r="M2564" s="865" t="n">
        <f aca="false">K2564*L2564/60</f>
        <v>5.57786702365016</v>
      </c>
    </row>
    <row r="2565" customFormat="false" ht="30" hidden="false" customHeight="false" outlineLevel="0" collapsed="false">
      <c r="A2565" s="216"/>
      <c r="B2565" s="40"/>
      <c r="C2565" s="1161" t="s">
        <v>7073</v>
      </c>
      <c r="D2565" s="912" t="n">
        <v>2005</v>
      </c>
      <c r="E2565" s="912" t="n">
        <f aca="false">2021-D2565</f>
        <v>16</v>
      </c>
      <c r="F2565" s="547" t="n">
        <v>39263</v>
      </c>
      <c r="G2565" s="1413" t="n">
        <v>0.1</v>
      </c>
      <c r="H2565" s="547" t="n">
        <f aca="false">E2565*F2565*G2565</f>
        <v>62820.8</v>
      </c>
      <c r="I2565" s="547" t="n">
        <f aca="false">F2565-H2565</f>
        <v>-23557.8</v>
      </c>
      <c r="J2565" s="547" t="n">
        <f aca="false">F2565*G2565</f>
        <v>3926.3</v>
      </c>
      <c r="K2565" s="1365" t="n">
        <f aca="false">J2565/1792.8</f>
        <v>2.19003792949576</v>
      </c>
      <c r="L2565" s="547" t="n">
        <v>10</v>
      </c>
      <c r="M2565" s="819" t="n">
        <f aca="false">K2565*L2565/60</f>
        <v>0.365006321582627</v>
      </c>
    </row>
    <row r="2566" customFormat="false" ht="30" hidden="false" customHeight="false" outlineLevel="0" collapsed="false">
      <c r="A2566" s="216"/>
      <c r="B2566" s="40"/>
      <c r="C2566" s="1161" t="s">
        <v>7074</v>
      </c>
      <c r="D2566" s="912" t="n">
        <v>2003</v>
      </c>
      <c r="E2566" s="912" t="n">
        <f aca="false">2021-D2566</f>
        <v>18</v>
      </c>
      <c r="F2566" s="547" t="n">
        <v>2471090</v>
      </c>
      <c r="G2566" s="1413" t="n">
        <v>0.1</v>
      </c>
      <c r="H2566" s="547" t="n">
        <f aca="false">E2566*F2566*G2566</f>
        <v>4447962</v>
      </c>
      <c r="I2566" s="547" t="n">
        <f aca="false">F2566-H2566</f>
        <v>-1976872</v>
      </c>
      <c r="J2566" s="547" t="n">
        <f aca="false">F2566*G2566</f>
        <v>247109</v>
      </c>
      <c r="K2566" s="1365" t="n">
        <f aca="false">J2566/1792.8</f>
        <v>137.834114234717</v>
      </c>
      <c r="L2566" s="547" t="n">
        <v>120</v>
      </c>
      <c r="M2566" s="819" t="n">
        <f aca="false">K2566*L2566/60</f>
        <v>275.668228469433</v>
      </c>
    </row>
    <row r="2567" customFormat="false" ht="15" hidden="false" customHeight="false" outlineLevel="0" collapsed="false">
      <c r="A2567" s="216"/>
      <c r="B2567" s="1053" t="s">
        <v>4128</v>
      </c>
      <c r="C2567" s="1161"/>
      <c r="D2567" s="912"/>
      <c r="E2567" s="912"/>
      <c r="F2567" s="547"/>
      <c r="G2567" s="1413"/>
      <c r="H2567" s="547"/>
      <c r="I2567" s="547"/>
      <c r="J2567" s="547"/>
      <c r="K2567" s="1365" t="n">
        <f aca="false">J2567/1792.8</f>
        <v>0</v>
      </c>
      <c r="L2567" s="714" t="n">
        <f aca="false">SUM(L2558:L2566)</f>
        <v>260</v>
      </c>
      <c r="M2567" s="934" t="n">
        <f aca="false">SUM(M2558:M2566)</f>
        <v>368.217276513461</v>
      </c>
    </row>
    <row r="2568" customFormat="false" ht="30" hidden="false" customHeight="false" outlineLevel="0" collapsed="false">
      <c r="A2568" s="216" t="s">
        <v>1188</v>
      </c>
      <c r="B2568" s="40" t="s">
        <v>3321</v>
      </c>
      <c r="C2568" s="1161" t="s">
        <v>7071</v>
      </c>
      <c r="D2568" s="912" t="n">
        <v>2006</v>
      </c>
      <c r="E2568" s="912" t="n">
        <f aca="false">2021-D2568</f>
        <v>15</v>
      </c>
      <c r="F2568" s="547" t="n">
        <v>138575</v>
      </c>
      <c r="G2568" s="1413" t="n">
        <v>0.1</v>
      </c>
      <c r="H2568" s="547" t="n">
        <f aca="false">E2568*F2568*G2568</f>
        <v>207862.5</v>
      </c>
      <c r="I2568" s="547" t="n">
        <f aca="false">F2568-H2568</f>
        <v>-69287.5</v>
      </c>
      <c r="J2568" s="547" t="n">
        <f aca="false">F2568*G2568</f>
        <v>13857.5</v>
      </c>
      <c r="K2568" s="1365" t="n">
        <f aca="false">J2568/1792.8</f>
        <v>7.7295292280232</v>
      </c>
      <c r="L2568" s="547" t="n">
        <v>20</v>
      </c>
      <c r="M2568" s="819" t="n">
        <f aca="false">K2568*L2568/60</f>
        <v>2.5765097426744</v>
      </c>
    </row>
    <row r="2569" customFormat="false" ht="30" hidden="false" customHeight="false" outlineLevel="0" collapsed="false">
      <c r="A2569" s="216"/>
      <c r="B2569" s="40"/>
      <c r="C2569" s="1404" t="s">
        <v>6963</v>
      </c>
      <c r="D2569" s="1405" t="n">
        <v>2007</v>
      </c>
      <c r="E2569" s="1405" t="n">
        <f aca="false">2021-D2569</f>
        <v>14</v>
      </c>
      <c r="F2569" s="1406" t="n">
        <v>176358</v>
      </c>
      <c r="G2569" s="1407" t="n">
        <v>0.1</v>
      </c>
      <c r="H2569" s="1410" t="n">
        <f aca="false">E2569*F2569*G2569</f>
        <v>246901.2</v>
      </c>
      <c r="I2569" s="1410" t="n">
        <f aca="false">F2569-H2569</f>
        <v>-70543.2</v>
      </c>
      <c r="J2569" s="1410" t="n">
        <f aca="false">F2569*G2569</f>
        <v>17635.8</v>
      </c>
      <c r="K2569" s="1365" t="n">
        <f aca="false">J2569/1792.8</f>
        <v>9.83701472556894</v>
      </c>
      <c r="L2569" s="1445" t="n">
        <v>10</v>
      </c>
      <c r="M2569" s="1408" t="n">
        <f aca="false">K2569*L2569/60</f>
        <v>1.63950245426149</v>
      </c>
    </row>
    <row r="2570" customFormat="false" ht="30" hidden="false" customHeight="false" outlineLevel="0" collapsed="false">
      <c r="A2570" s="216"/>
      <c r="B2570" s="40"/>
      <c r="C2570" s="1404" t="s">
        <v>6959</v>
      </c>
      <c r="D2570" s="1405" t="n">
        <v>2007</v>
      </c>
      <c r="E2570" s="1405" t="n">
        <f aca="false">2021-D2570</f>
        <v>14</v>
      </c>
      <c r="F2570" s="1406" t="n">
        <v>350000</v>
      </c>
      <c r="G2570" s="1407" t="n">
        <v>0.1</v>
      </c>
      <c r="H2570" s="1410" t="n">
        <f aca="false">E2570*F2570*G2570</f>
        <v>490000</v>
      </c>
      <c r="I2570" s="1410" t="n">
        <f aca="false">F2570-H2570</f>
        <v>-140000</v>
      </c>
      <c r="J2570" s="1410" t="n">
        <f aca="false">F2570*G2570</f>
        <v>35000</v>
      </c>
      <c r="K2570" s="1365" t="n">
        <f aca="false">J2570/1792.8</f>
        <v>19.5225345827755</v>
      </c>
      <c r="L2570" s="1445" t="n">
        <v>10</v>
      </c>
      <c r="M2570" s="1408" t="n">
        <f aca="false">K2570*L2570/60</f>
        <v>3.25375576379592</v>
      </c>
    </row>
    <row r="2571" customFormat="false" ht="15" hidden="false" customHeight="false" outlineLevel="0" collapsed="false">
      <c r="A2571" s="216"/>
      <c r="B2571" s="40"/>
      <c r="C2571" s="1404" t="s">
        <v>7075</v>
      </c>
      <c r="D2571" s="569" t="n">
        <v>2015</v>
      </c>
      <c r="E2571" s="569" t="n">
        <f aca="false">2021-D2571</f>
        <v>6</v>
      </c>
      <c r="F2571" s="1105" t="n">
        <v>1028020</v>
      </c>
      <c r="G2571" s="1444" t="n">
        <v>0.1</v>
      </c>
      <c r="H2571" s="547" t="n">
        <f aca="false">E2571*F2571*G2571</f>
        <v>616812</v>
      </c>
      <c r="I2571" s="547" t="n">
        <f aca="false">F2571-H2571</f>
        <v>411208</v>
      </c>
      <c r="J2571" s="547" t="n">
        <f aca="false">F2571*G2571</f>
        <v>102802</v>
      </c>
      <c r="K2571" s="1365" t="n">
        <f aca="false">J2571/1792.8</f>
        <v>57.3415885765283</v>
      </c>
      <c r="L2571" s="547" t="n">
        <v>60</v>
      </c>
      <c r="M2571" s="819" t="n">
        <f aca="false">K2571*L2571/60</f>
        <v>57.3415885765283</v>
      </c>
    </row>
    <row r="2572" customFormat="false" ht="30" hidden="false" customHeight="false" outlineLevel="0" collapsed="false">
      <c r="A2572" s="216"/>
      <c r="B2572" s="40"/>
      <c r="C2572" s="1409" t="s">
        <v>6967</v>
      </c>
      <c r="D2572" s="569" t="n">
        <v>2016</v>
      </c>
      <c r="E2572" s="569" t="n">
        <f aca="false">2021-D2572</f>
        <v>5</v>
      </c>
      <c r="F2572" s="1105" t="n">
        <v>2302000</v>
      </c>
      <c r="G2572" s="1444" t="n">
        <v>0.1</v>
      </c>
      <c r="H2572" s="547" t="n">
        <f aca="false">E2572*F2572*G2572</f>
        <v>1151000</v>
      </c>
      <c r="I2572" s="547" t="n">
        <f aca="false">F2572-H2572</f>
        <v>1151000</v>
      </c>
      <c r="J2572" s="547" t="n">
        <f aca="false">F2572*G2572</f>
        <v>230200</v>
      </c>
      <c r="K2572" s="1365" t="n">
        <f aca="false">J2572/1792.8</f>
        <v>128.402498884427</v>
      </c>
      <c r="L2572" s="547" t="n">
        <v>20</v>
      </c>
      <c r="M2572" s="819" t="n">
        <f aca="false">K2572*L2572/60</f>
        <v>42.8008329614755</v>
      </c>
    </row>
    <row r="2573" customFormat="false" ht="30" hidden="false" customHeight="false" outlineLevel="0" collapsed="false">
      <c r="A2573" s="216"/>
      <c r="B2573" s="40"/>
      <c r="C2573" s="1404" t="s">
        <v>7072</v>
      </c>
      <c r="D2573" s="569" t="n">
        <v>2013</v>
      </c>
      <c r="E2573" s="569" t="n">
        <f aca="false">2021-D2573</f>
        <v>8</v>
      </c>
      <c r="F2573" s="1105" t="n">
        <v>300000</v>
      </c>
      <c r="G2573" s="1444" t="n">
        <v>0.1</v>
      </c>
      <c r="H2573" s="1105" t="n">
        <f aca="false">E2573*F2573*G2573</f>
        <v>240000</v>
      </c>
      <c r="I2573" s="1105" t="n">
        <f aca="false">F2573-H2573</f>
        <v>60000</v>
      </c>
      <c r="J2573" s="1105" t="n">
        <f aca="false">F2573*G2573</f>
        <v>30000</v>
      </c>
      <c r="K2573" s="1365" t="n">
        <f aca="false">J2573/1792.8</f>
        <v>16.7336010709505</v>
      </c>
      <c r="L2573" s="1105" t="n">
        <v>50</v>
      </c>
      <c r="M2573" s="865" t="n">
        <f aca="false">K2573*L2573/60</f>
        <v>13.9446675591254</v>
      </c>
    </row>
    <row r="2574" customFormat="false" ht="30" hidden="false" customHeight="false" outlineLevel="0" collapsed="false">
      <c r="A2574" s="216"/>
      <c r="B2574" s="40"/>
      <c r="C2574" s="1404" t="s">
        <v>7073</v>
      </c>
      <c r="D2574" s="569" t="n">
        <v>2005</v>
      </c>
      <c r="E2574" s="569" t="n">
        <f aca="false">2021-D2574</f>
        <v>16</v>
      </c>
      <c r="F2574" s="1105" t="n">
        <v>39263</v>
      </c>
      <c r="G2574" s="1444" t="n">
        <v>0.15</v>
      </c>
      <c r="H2574" s="1105" t="n">
        <f aca="false">E2574*F2574*G2574</f>
        <v>94231.2</v>
      </c>
      <c r="I2574" s="1105" t="n">
        <f aca="false">F2574-H2574</f>
        <v>-54968.2</v>
      </c>
      <c r="J2574" s="1105" t="n">
        <f aca="false">F2574*G2574</f>
        <v>5889.45</v>
      </c>
      <c r="K2574" s="1365" t="n">
        <f aca="false">J2574/1792.8</f>
        <v>3.28505689424364</v>
      </c>
      <c r="L2574" s="1105" t="n">
        <v>30</v>
      </c>
      <c r="M2574" s="865" t="n">
        <f aca="false">K2574*L2574/60</f>
        <v>1.64252844712182</v>
      </c>
    </row>
    <row r="2575" customFormat="false" ht="30" hidden="false" customHeight="false" outlineLevel="0" collapsed="false">
      <c r="A2575" s="216"/>
      <c r="B2575" s="40"/>
      <c r="C2575" s="1404" t="s">
        <v>7070</v>
      </c>
      <c r="D2575" s="569" t="n">
        <v>2009</v>
      </c>
      <c r="E2575" s="569" t="n">
        <f aca="false">2021-D2575</f>
        <v>12</v>
      </c>
      <c r="F2575" s="1105" t="n">
        <v>181000</v>
      </c>
      <c r="G2575" s="1444" t="n">
        <v>0.1</v>
      </c>
      <c r="H2575" s="1105" t="n">
        <f aca="false">E2575*F2575*G2575</f>
        <v>217200</v>
      </c>
      <c r="I2575" s="1105" t="n">
        <f aca="false">F2575-H2575</f>
        <v>-36200</v>
      </c>
      <c r="J2575" s="1105" t="n">
        <f aca="false">F2575*G2575</f>
        <v>18100</v>
      </c>
      <c r="K2575" s="1365" t="n">
        <f aca="false">J2575/1792.8</f>
        <v>10.0959393128068</v>
      </c>
      <c r="L2575" s="1105" t="n">
        <v>20</v>
      </c>
      <c r="M2575" s="865" t="n">
        <f aca="false">K2575*L2575/60</f>
        <v>3.36531310426893</v>
      </c>
    </row>
    <row r="2576" customFormat="false" ht="30" hidden="false" customHeight="false" outlineLevel="0" collapsed="false">
      <c r="A2576" s="216"/>
      <c r="B2576" s="40"/>
      <c r="C2576" s="1161" t="s">
        <v>7076</v>
      </c>
      <c r="D2576" s="569" t="n">
        <v>2012</v>
      </c>
      <c r="E2576" s="569" t="n">
        <f aca="false">2021-D2576</f>
        <v>9</v>
      </c>
      <c r="F2576" s="1277" t="n">
        <v>44483193.14</v>
      </c>
      <c r="G2576" s="1444" t="n">
        <v>0.1</v>
      </c>
      <c r="H2576" s="1105" t="n">
        <f aca="false">E2576*F2576*G2576</f>
        <v>40034873.826</v>
      </c>
      <c r="I2576" s="547" t="n">
        <f aca="false">F2576-H2576</f>
        <v>4448319.314</v>
      </c>
      <c r="J2576" s="547" t="n">
        <f aca="false">F2576*G2576</f>
        <v>4448319.314</v>
      </c>
      <c r="K2576" s="1365" t="n">
        <f aca="false">J2576/1792.8</f>
        <v>2481.21336122267</v>
      </c>
      <c r="L2576" s="547" t="n">
        <v>120</v>
      </c>
      <c r="M2576" s="819" t="n">
        <f aca="false">K2576*L2576/60</f>
        <v>4962.42672244534</v>
      </c>
    </row>
    <row r="2577" customFormat="false" ht="34.5" hidden="false" customHeight="true" outlineLevel="0" collapsed="false">
      <c r="A2577" s="216"/>
      <c r="B2577" s="1053" t="s">
        <v>4128</v>
      </c>
      <c r="C2577" s="1161"/>
      <c r="D2577" s="912"/>
      <c r="E2577" s="912"/>
      <c r="F2577" s="547"/>
      <c r="G2577" s="1413"/>
      <c r="H2577" s="547"/>
      <c r="I2577" s="547"/>
      <c r="J2577" s="547"/>
      <c r="K2577" s="1365" t="n">
        <f aca="false">J2577/1792.8</f>
        <v>0</v>
      </c>
      <c r="L2577" s="714" t="n">
        <f aca="false">SUM(L2568:L2576)</f>
        <v>340</v>
      </c>
      <c r="M2577" s="934" t="n">
        <f aca="false">SUM(M2568:M2576)</f>
        <v>5088.99142105459</v>
      </c>
    </row>
    <row r="2578" customFormat="false" ht="30" hidden="false" customHeight="false" outlineLevel="0" collapsed="false">
      <c r="A2578" s="216" t="s">
        <v>1189</v>
      </c>
      <c r="B2578" s="40" t="s">
        <v>3324</v>
      </c>
      <c r="C2578" s="1404" t="s">
        <v>7070</v>
      </c>
      <c r="D2578" s="569" t="n">
        <v>2009</v>
      </c>
      <c r="E2578" s="569" t="n">
        <f aca="false">2021-D2578</f>
        <v>12</v>
      </c>
      <c r="F2578" s="1105" t="n">
        <v>181000</v>
      </c>
      <c r="G2578" s="1444" t="n">
        <v>0.1</v>
      </c>
      <c r="H2578" s="1105" t="n">
        <f aca="false">E2578*F2578*G2578</f>
        <v>217200</v>
      </c>
      <c r="I2578" s="1105" t="n">
        <f aca="false">F2578-H2578</f>
        <v>-36200</v>
      </c>
      <c r="J2578" s="1105" t="n">
        <f aca="false">F2578*G2578</f>
        <v>18100</v>
      </c>
      <c r="K2578" s="1365" t="n">
        <f aca="false">J2578/1792.8</f>
        <v>10.0959393128068</v>
      </c>
      <c r="L2578" s="1105" t="n">
        <v>20</v>
      </c>
      <c r="M2578" s="819" t="n">
        <f aca="false">K2578*L2578/60</f>
        <v>3.36531310426893</v>
      </c>
    </row>
    <row r="2579" customFormat="false" ht="30" hidden="false" customHeight="false" outlineLevel="0" collapsed="false">
      <c r="A2579" s="216"/>
      <c r="B2579" s="40"/>
      <c r="C2579" s="1404" t="s">
        <v>6963</v>
      </c>
      <c r="D2579" s="1405" t="n">
        <v>2007</v>
      </c>
      <c r="E2579" s="1405" t="n">
        <f aca="false">2021-D2579</f>
        <v>14</v>
      </c>
      <c r="F2579" s="1406" t="n">
        <v>176358</v>
      </c>
      <c r="G2579" s="1407" t="n">
        <v>0.1</v>
      </c>
      <c r="H2579" s="1410" t="n">
        <f aca="false">E2579*F2579*G2579</f>
        <v>246901.2</v>
      </c>
      <c r="I2579" s="1410" t="n">
        <f aca="false">F2579-H2579</f>
        <v>-70543.2</v>
      </c>
      <c r="J2579" s="1410" t="n">
        <f aca="false">F2579*G2579</f>
        <v>17635.8</v>
      </c>
      <c r="K2579" s="1365" t="n">
        <f aca="false">J2579/1792.8</f>
        <v>9.83701472556894</v>
      </c>
      <c r="L2579" s="1445" t="n">
        <v>10</v>
      </c>
      <c r="M2579" s="1408" t="n">
        <f aca="false">K2579*L2579/60</f>
        <v>1.63950245426149</v>
      </c>
    </row>
    <row r="2580" customFormat="false" ht="30" hidden="false" customHeight="false" outlineLevel="0" collapsed="false">
      <c r="A2580" s="216"/>
      <c r="B2580" s="40"/>
      <c r="C2580" s="1404" t="s">
        <v>6959</v>
      </c>
      <c r="D2580" s="1405" t="n">
        <v>2007</v>
      </c>
      <c r="E2580" s="1405" t="n">
        <f aca="false">2021-D2580</f>
        <v>14</v>
      </c>
      <c r="F2580" s="1406" t="n">
        <v>350000</v>
      </c>
      <c r="G2580" s="1407" t="n">
        <v>0.1</v>
      </c>
      <c r="H2580" s="1410" t="n">
        <f aca="false">E2580*F2580*G2580</f>
        <v>490000</v>
      </c>
      <c r="I2580" s="1410" t="n">
        <f aca="false">F2580-H2580</f>
        <v>-140000</v>
      </c>
      <c r="J2580" s="1410" t="n">
        <f aca="false">F2580*G2580</f>
        <v>35000</v>
      </c>
      <c r="K2580" s="1365" t="n">
        <f aca="false">J2580/1792.8</f>
        <v>19.5225345827755</v>
      </c>
      <c r="L2580" s="1445" t="n">
        <v>10</v>
      </c>
      <c r="M2580" s="1408" t="n">
        <f aca="false">K2580*L2580/60</f>
        <v>3.25375576379592</v>
      </c>
    </row>
    <row r="2581" customFormat="false" ht="30" hidden="false" customHeight="false" outlineLevel="0" collapsed="false">
      <c r="A2581" s="216"/>
      <c r="B2581" s="40"/>
      <c r="C2581" s="1404" t="s">
        <v>7072</v>
      </c>
      <c r="D2581" s="569" t="n">
        <v>2013</v>
      </c>
      <c r="E2581" s="569" t="n">
        <f aca="false">2021-D2581</f>
        <v>8</v>
      </c>
      <c r="F2581" s="1105" t="n">
        <v>300000</v>
      </c>
      <c r="G2581" s="1444" t="n">
        <v>0.1</v>
      </c>
      <c r="H2581" s="1105" t="n">
        <f aca="false">E2581*F2581*G2581</f>
        <v>240000</v>
      </c>
      <c r="I2581" s="1105" t="n">
        <f aca="false">F2581-H2581</f>
        <v>60000</v>
      </c>
      <c r="J2581" s="1105" t="n">
        <f aca="false">F2581*G2581</f>
        <v>30000</v>
      </c>
      <c r="K2581" s="1365" t="n">
        <f aca="false">J2581/1792.8</f>
        <v>16.7336010709505</v>
      </c>
      <c r="L2581" s="1105" t="n">
        <v>50</v>
      </c>
      <c r="M2581" s="865" t="n">
        <f aca="false">K2581*L2581/60</f>
        <v>13.9446675591254</v>
      </c>
    </row>
    <row r="2582" customFormat="false" ht="30" hidden="false" customHeight="false" outlineLevel="0" collapsed="false">
      <c r="A2582" s="216"/>
      <c r="B2582" s="40"/>
      <c r="C2582" s="1409" t="s">
        <v>6967</v>
      </c>
      <c r="D2582" s="569" t="n">
        <v>2016</v>
      </c>
      <c r="E2582" s="569" t="n">
        <f aca="false">2021-D2582</f>
        <v>5</v>
      </c>
      <c r="F2582" s="1105" t="n">
        <v>2302000</v>
      </c>
      <c r="G2582" s="1444" t="n">
        <v>0.1</v>
      </c>
      <c r="H2582" s="1105" t="n">
        <f aca="false">E2582*F2582*G2582</f>
        <v>1151000</v>
      </c>
      <c r="I2582" s="547" t="n">
        <f aca="false">F2582-H2582</f>
        <v>1151000</v>
      </c>
      <c r="J2582" s="547" t="n">
        <f aca="false">F2582*G2582</f>
        <v>230200</v>
      </c>
      <c r="K2582" s="1365" t="n">
        <f aca="false">J2582/1792.8</f>
        <v>128.402498884427</v>
      </c>
      <c r="L2582" s="547" t="n">
        <v>20</v>
      </c>
      <c r="M2582" s="819" t="n">
        <f aca="false">K2582*L2582/60</f>
        <v>42.8008329614755</v>
      </c>
    </row>
    <row r="2583" customFormat="false" ht="15" hidden="false" customHeight="false" outlineLevel="0" collapsed="false">
      <c r="A2583" s="216"/>
      <c r="B2583" s="40"/>
      <c r="C2583" s="1404" t="s">
        <v>7075</v>
      </c>
      <c r="D2583" s="569" t="n">
        <v>2015</v>
      </c>
      <c r="E2583" s="569" t="n">
        <f aca="false">2021-D2583</f>
        <v>6</v>
      </c>
      <c r="F2583" s="1105" t="n">
        <v>1028020</v>
      </c>
      <c r="G2583" s="1444" t="n">
        <v>0.1</v>
      </c>
      <c r="H2583" s="1105" t="n">
        <f aca="false">E2583*F2583*G2583</f>
        <v>616812</v>
      </c>
      <c r="I2583" s="547" t="n">
        <f aca="false">F2583-H2583</f>
        <v>411208</v>
      </c>
      <c r="J2583" s="547" t="n">
        <f aca="false">F2583*G2583</f>
        <v>102802</v>
      </c>
      <c r="K2583" s="1365" t="n">
        <f aca="false">J2583/1792.8</f>
        <v>57.3415885765283</v>
      </c>
      <c r="L2583" s="547" t="n">
        <v>60</v>
      </c>
      <c r="M2583" s="819" t="n">
        <f aca="false">K2583*L2583/60</f>
        <v>57.3415885765283</v>
      </c>
    </row>
    <row r="2584" customFormat="false" ht="30" hidden="false" customHeight="false" outlineLevel="0" collapsed="false">
      <c r="A2584" s="216"/>
      <c r="B2584" s="40"/>
      <c r="C2584" s="1404" t="s">
        <v>7073</v>
      </c>
      <c r="D2584" s="569" t="n">
        <v>2005</v>
      </c>
      <c r="E2584" s="569" t="n">
        <f aca="false">2021-D2584</f>
        <v>16</v>
      </c>
      <c r="F2584" s="1105" t="n">
        <v>39263</v>
      </c>
      <c r="G2584" s="1444" t="n">
        <v>0.15</v>
      </c>
      <c r="H2584" s="1105" t="n">
        <f aca="false">E2584*F2584*G2584</f>
        <v>94231.2</v>
      </c>
      <c r="I2584" s="547" t="n">
        <f aca="false">F2584-H2584</f>
        <v>-54968.2</v>
      </c>
      <c r="J2584" s="547" t="n">
        <f aca="false">F2584*G2584</f>
        <v>5889.45</v>
      </c>
      <c r="K2584" s="1365" t="n">
        <f aca="false">J2584/1792.8</f>
        <v>3.28505689424364</v>
      </c>
      <c r="L2584" s="547" t="n">
        <v>30</v>
      </c>
      <c r="M2584" s="819" t="n">
        <f aca="false">K2584*L2584/60</f>
        <v>1.64252844712182</v>
      </c>
    </row>
    <row r="2585" customFormat="false" ht="30" hidden="false" customHeight="false" outlineLevel="0" collapsed="false">
      <c r="A2585" s="216"/>
      <c r="B2585" s="40"/>
      <c r="C2585" s="1161" t="s">
        <v>7071</v>
      </c>
      <c r="D2585" s="912" t="n">
        <v>2006</v>
      </c>
      <c r="E2585" s="912" t="n">
        <f aca="false">2021-D2585</f>
        <v>15</v>
      </c>
      <c r="F2585" s="547" t="n">
        <v>138575</v>
      </c>
      <c r="G2585" s="1413" t="n">
        <v>0.1</v>
      </c>
      <c r="H2585" s="547" t="n">
        <f aca="false">E2585*F2585*G2585</f>
        <v>207862.5</v>
      </c>
      <c r="I2585" s="547" t="n">
        <f aca="false">F2585-H2585</f>
        <v>-69287.5</v>
      </c>
      <c r="J2585" s="547" t="n">
        <f aca="false">F2585*G2585</f>
        <v>13857.5</v>
      </c>
      <c r="K2585" s="1365" t="n">
        <f aca="false">J2585/1792.8</f>
        <v>7.7295292280232</v>
      </c>
      <c r="L2585" s="547" t="n">
        <v>10</v>
      </c>
      <c r="M2585" s="819" t="n">
        <f aca="false">K2585*L2585/60</f>
        <v>1.2882548713372</v>
      </c>
    </row>
    <row r="2586" customFormat="false" ht="30" hidden="false" customHeight="false" outlineLevel="0" collapsed="false">
      <c r="A2586" s="216"/>
      <c r="B2586" s="40"/>
      <c r="C2586" s="1161" t="s">
        <v>7074</v>
      </c>
      <c r="D2586" s="912" t="n">
        <v>2003</v>
      </c>
      <c r="E2586" s="912" t="n">
        <f aca="false">2021-D2586</f>
        <v>18</v>
      </c>
      <c r="F2586" s="547" t="n">
        <v>2471090</v>
      </c>
      <c r="G2586" s="1413" t="n">
        <v>0.1</v>
      </c>
      <c r="H2586" s="547" t="n">
        <f aca="false">E2586*F2586*G2586</f>
        <v>4447962</v>
      </c>
      <c r="I2586" s="547" t="n">
        <f aca="false">F2586-H2586</f>
        <v>-1976872</v>
      </c>
      <c r="J2586" s="547" t="n">
        <f aca="false">F2586*G2586</f>
        <v>247109</v>
      </c>
      <c r="K2586" s="1365" t="n">
        <f aca="false">J2586/1792.8</f>
        <v>137.834114234717</v>
      </c>
      <c r="L2586" s="547" t="n">
        <v>100</v>
      </c>
      <c r="M2586" s="819" t="n">
        <f aca="false">K2586*L2586/60</f>
        <v>229.723523724528</v>
      </c>
    </row>
    <row r="2587" customFormat="false" ht="15" hidden="false" customHeight="false" outlineLevel="0" collapsed="false">
      <c r="A2587" s="216"/>
      <c r="B2587" s="1053" t="s">
        <v>4128</v>
      </c>
      <c r="C2587" s="1161"/>
      <c r="D2587" s="912"/>
      <c r="E2587" s="912"/>
      <c r="F2587" s="547"/>
      <c r="G2587" s="1413"/>
      <c r="H2587" s="547"/>
      <c r="I2587" s="547"/>
      <c r="J2587" s="547"/>
      <c r="K2587" s="1365" t="n">
        <f aca="false">J2587/1792.8</f>
        <v>0</v>
      </c>
      <c r="L2587" s="714" t="n">
        <f aca="false">SUM(L2578:L2586)</f>
        <v>310</v>
      </c>
      <c r="M2587" s="934" t="n">
        <f aca="false">SUM(M2578:M2586)</f>
        <v>354.999967462442</v>
      </c>
    </row>
    <row r="2588" customFormat="false" ht="28.5" hidden="false" customHeight="false" outlineLevel="0" collapsed="false">
      <c r="A2588" s="15" t="s">
        <v>1190</v>
      </c>
      <c r="B2588" s="54" t="s">
        <v>3353</v>
      </c>
      <c r="C2588" s="1387"/>
      <c r="D2588" s="339"/>
      <c r="E2588" s="541"/>
      <c r="F2588" s="751"/>
      <c r="G2588" s="1412"/>
      <c r="H2588" s="1412"/>
      <c r="I2588" s="751"/>
      <c r="J2588" s="751"/>
      <c r="K2588" s="1390"/>
      <c r="L2588" s="751"/>
      <c r="M2588" s="818"/>
    </row>
    <row r="2589" customFormat="false" ht="30" hidden="false" customHeight="false" outlineLevel="0" collapsed="false">
      <c r="A2589" s="216" t="s">
        <v>1192</v>
      </c>
      <c r="B2589" s="40" t="s">
        <v>3307</v>
      </c>
      <c r="C2589" s="1404" t="s">
        <v>7070</v>
      </c>
      <c r="D2589" s="569" t="n">
        <v>2009</v>
      </c>
      <c r="E2589" s="569" t="n">
        <f aca="false">2021-D2589</f>
        <v>12</v>
      </c>
      <c r="F2589" s="1105" t="n">
        <v>181000</v>
      </c>
      <c r="G2589" s="1444" t="n">
        <v>0.1</v>
      </c>
      <c r="H2589" s="1105" t="n">
        <f aca="false">E2589*F2589*G2589</f>
        <v>217200</v>
      </c>
      <c r="I2589" s="1105" t="n">
        <f aca="false">F2589-H2589</f>
        <v>-36200</v>
      </c>
      <c r="J2589" s="1105" t="n">
        <f aca="false">F2589*G2589</f>
        <v>18100</v>
      </c>
      <c r="K2589" s="1365" t="n">
        <f aca="false">J2589/1792.8</f>
        <v>10.0959393128068</v>
      </c>
      <c r="L2589" s="1105" t="n">
        <v>30</v>
      </c>
      <c r="M2589" s="819" t="n">
        <f aca="false">K2589*L2589/60</f>
        <v>5.04796965640339</v>
      </c>
    </row>
    <row r="2590" customFormat="false" ht="30" hidden="false" customHeight="false" outlineLevel="0" collapsed="false">
      <c r="A2590" s="216"/>
      <c r="B2590" s="40"/>
      <c r="C2590" s="1404" t="s">
        <v>6963</v>
      </c>
      <c r="D2590" s="1405" t="n">
        <v>2007</v>
      </c>
      <c r="E2590" s="1405" t="n">
        <f aca="false">2021-D2590</f>
        <v>14</v>
      </c>
      <c r="F2590" s="1406" t="n">
        <v>176358</v>
      </c>
      <c r="G2590" s="1407" t="n">
        <v>0.1</v>
      </c>
      <c r="H2590" s="1410" t="n">
        <f aca="false">E2590*F2590*G2590</f>
        <v>246901.2</v>
      </c>
      <c r="I2590" s="1410" t="n">
        <f aca="false">F2590-H2590</f>
        <v>-70543.2</v>
      </c>
      <c r="J2590" s="1410" t="n">
        <f aca="false">F2590*G2590</f>
        <v>17635.8</v>
      </c>
      <c r="K2590" s="1365" t="n">
        <f aca="false">J2590/1792.8</f>
        <v>9.83701472556894</v>
      </c>
      <c r="L2590" s="1445" t="n">
        <v>10</v>
      </c>
      <c r="M2590" s="1408" t="n">
        <f aca="false">K2590*L2590/60</f>
        <v>1.63950245426149</v>
      </c>
    </row>
    <row r="2591" customFormat="false" ht="30" hidden="false" customHeight="false" outlineLevel="0" collapsed="false">
      <c r="A2591" s="216"/>
      <c r="B2591" s="40"/>
      <c r="C2591" s="1404" t="s">
        <v>6959</v>
      </c>
      <c r="D2591" s="1405" t="n">
        <v>2007</v>
      </c>
      <c r="E2591" s="1405" t="n">
        <f aca="false">2021-D2591</f>
        <v>14</v>
      </c>
      <c r="F2591" s="1406" t="n">
        <v>350000</v>
      </c>
      <c r="G2591" s="1407" t="n">
        <v>0.1</v>
      </c>
      <c r="H2591" s="1410" t="n">
        <f aca="false">E2591*F2591*G2591</f>
        <v>490000</v>
      </c>
      <c r="I2591" s="1410" t="n">
        <f aca="false">F2591-H2591</f>
        <v>-140000</v>
      </c>
      <c r="J2591" s="1410" t="n">
        <f aca="false">F2591*G2591</f>
        <v>35000</v>
      </c>
      <c r="K2591" s="1365" t="n">
        <f aca="false">J2591/1792.8</f>
        <v>19.5225345827755</v>
      </c>
      <c r="L2591" s="1445" t="n">
        <v>10</v>
      </c>
      <c r="M2591" s="1408" t="n">
        <f aca="false">K2591*L2591/60</f>
        <v>3.25375576379592</v>
      </c>
    </row>
    <row r="2592" customFormat="false" ht="30" hidden="false" customHeight="false" outlineLevel="0" collapsed="false">
      <c r="A2592" s="216"/>
      <c r="B2592" s="40"/>
      <c r="C2592" s="1404" t="s">
        <v>7071</v>
      </c>
      <c r="D2592" s="569" t="n">
        <v>2006</v>
      </c>
      <c r="E2592" s="569" t="n">
        <f aca="false">2021-D2592</f>
        <v>15</v>
      </c>
      <c r="F2592" s="1105" t="n">
        <v>138575</v>
      </c>
      <c r="G2592" s="1444" t="n">
        <v>0.1</v>
      </c>
      <c r="H2592" s="1105" t="n">
        <f aca="false">E2592*F2592*G2592</f>
        <v>207862.5</v>
      </c>
      <c r="I2592" s="1105" t="n">
        <f aca="false">F2592-H2592</f>
        <v>-69287.5</v>
      </c>
      <c r="J2592" s="1105" t="n">
        <f aca="false">F2592*G2592</f>
        <v>13857.5</v>
      </c>
      <c r="K2592" s="1365" t="n">
        <f aca="false">J2592/1792.8</f>
        <v>7.7295292280232</v>
      </c>
      <c r="L2592" s="1105" t="n">
        <v>20</v>
      </c>
      <c r="M2592" s="819" t="n">
        <f aca="false">K2592*L2592/60</f>
        <v>2.5765097426744</v>
      </c>
    </row>
    <row r="2593" customFormat="false" ht="15" hidden="false" customHeight="false" outlineLevel="0" collapsed="false">
      <c r="A2593" s="216"/>
      <c r="B2593" s="40"/>
      <c r="C2593" s="1404" t="s">
        <v>7075</v>
      </c>
      <c r="D2593" s="569" t="n">
        <v>2015</v>
      </c>
      <c r="E2593" s="569" t="n">
        <f aca="false">2021-D2593</f>
        <v>6</v>
      </c>
      <c r="F2593" s="1105" t="n">
        <v>1028020</v>
      </c>
      <c r="G2593" s="1444" t="n">
        <v>0.1</v>
      </c>
      <c r="H2593" s="1105" t="n">
        <f aca="false">E2593*F2593*G2593</f>
        <v>616812</v>
      </c>
      <c r="I2593" s="1105" t="n">
        <f aca="false">F2593-H2593</f>
        <v>411208</v>
      </c>
      <c r="J2593" s="1105" t="n">
        <f aca="false">F2593*G2593</f>
        <v>102802</v>
      </c>
      <c r="K2593" s="1365" t="n">
        <f aca="false">J2593/1792.8</f>
        <v>57.3415885765283</v>
      </c>
      <c r="L2593" s="1105" t="n">
        <v>60</v>
      </c>
      <c r="M2593" s="819" t="n">
        <f aca="false">K2593*L2593/60</f>
        <v>57.3415885765283</v>
      </c>
    </row>
    <row r="2594" customFormat="false" ht="30" hidden="false" customHeight="false" outlineLevel="0" collapsed="false">
      <c r="A2594" s="216"/>
      <c r="B2594" s="40"/>
      <c r="C2594" s="1409" t="s">
        <v>6967</v>
      </c>
      <c r="D2594" s="569" t="n">
        <v>2016</v>
      </c>
      <c r="E2594" s="569" t="n">
        <f aca="false">2021-D2594</f>
        <v>5</v>
      </c>
      <c r="F2594" s="1105" t="n">
        <v>2302000</v>
      </c>
      <c r="G2594" s="1444" t="n">
        <v>0.1</v>
      </c>
      <c r="H2594" s="1105" t="n">
        <f aca="false">E2594*F2594*G2594</f>
        <v>1151000</v>
      </c>
      <c r="I2594" s="1105" t="n">
        <f aca="false">F2594-H2594</f>
        <v>1151000</v>
      </c>
      <c r="J2594" s="1105" t="n">
        <f aca="false">F2594*G2594</f>
        <v>230200</v>
      </c>
      <c r="K2594" s="1365" t="n">
        <f aca="false">J2594/1792.8</f>
        <v>128.402498884427</v>
      </c>
      <c r="L2594" s="1105" t="n">
        <v>10</v>
      </c>
      <c r="M2594" s="819" t="n">
        <f aca="false">K2594*L2594/60</f>
        <v>21.4004164807378</v>
      </c>
    </row>
    <row r="2595" customFormat="false" ht="30" hidden="false" customHeight="false" outlineLevel="0" collapsed="false">
      <c r="A2595" s="216"/>
      <c r="B2595" s="40"/>
      <c r="C2595" s="1404" t="s">
        <v>7072</v>
      </c>
      <c r="D2595" s="569" t="n">
        <v>2013</v>
      </c>
      <c r="E2595" s="569" t="n">
        <f aca="false">2021-D2595</f>
        <v>8</v>
      </c>
      <c r="F2595" s="1105" t="n">
        <v>300000</v>
      </c>
      <c r="G2595" s="1444" t="n">
        <v>0.1</v>
      </c>
      <c r="H2595" s="1105" t="n">
        <f aca="false">E2595*F2595*G2595</f>
        <v>240000</v>
      </c>
      <c r="I2595" s="1105" t="n">
        <f aca="false">F2595-H2595</f>
        <v>60000</v>
      </c>
      <c r="J2595" s="1105" t="n">
        <f aca="false">F2595*G2595</f>
        <v>30000</v>
      </c>
      <c r="K2595" s="1365" t="n">
        <f aca="false">J2595/1792.8</f>
        <v>16.7336010709505</v>
      </c>
      <c r="L2595" s="1105" t="n">
        <v>50</v>
      </c>
      <c r="M2595" s="865" t="n">
        <f aca="false">K2595*L2595/60</f>
        <v>13.9446675591254</v>
      </c>
    </row>
    <row r="2596" customFormat="false" ht="30" hidden="false" customHeight="false" outlineLevel="0" collapsed="false">
      <c r="A2596" s="216"/>
      <c r="B2596" s="40"/>
      <c r="C2596" s="1161" t="s">
        <v>7073</v>
      </c>
      <c r="D2596" s="912" t="n">
        <v>2005</v>
      </c>
      <c r="E2596" s="912" t="n">
        <f aca="false">2021-D2596</f>
        <v>16</v>
      </c>
      <c r="F2596" s="547" t="n">
        <v>39263</v>
      </c>
      <c r="G2596" s="1413" t="n">
        <v>0.1</v>
      </c>
      <c r="H2596" s="547" t="n">
        <f aca="false">E2596*F2596*G2596</f>
        <v>62820.8</v>
      </c>
      <c r="I2596" s="547" t="n">
        <f aca="false">F2596-H2596</f>
        <v>-23557.8</v>
      </c>
      <c r="J2596" s="547" t="n">
        <f aca="false">F2596*G2596</f>
        <v>3926.3</v>
      </c>
      <c r="K2596" s="1365" t="n">
        <f aca="false">J2596/1792.8</f>
        <v>2.19003792949576</v>
      </c>
      <c r="L2596" s="547" t="n">
        <v>30</v>
      </c>
      <c r="M2596" s="819" t="n">
        <f aca="false">K2596*L2596/60</f>
        <v>1.09501896474788</v>
      </c>
    </row>
    <row r="2597" customFormat="false" ht="30" hidden="false" customHeight="false" outlineLevel="0" collapsed="false">
      <c r="A2597" s="216"/>
      <c r="B2597" s="40"/>
      <c r="C2597" s="1161" t="s">
        <v>7074</v>
      </c>
      <c r="D2597" s="912" t="n">
        <v>2003</v>
      </c>
      <c r="E2597" s="912" t="n">
        <f aca="false">2021-D2597</f>
        <v>18</v>
      </c>
      <c r="F2597" s="547" t="n">
        <v>2471090</v>
      </c>
      <c r="G2597" s="1413" t="n">
        <v>0.1</v>
      </c>
      <c r="H2597" s="547" t="n">
        <f aca="false">E2597*F2597*G2597</f>
        <v>4447962</v>
      </c>
      <c r="I2597" s="547" t="n">
        <f aca="false">F2597-H2597</f>
        <v>-1976872</v>
      </c>
      <c r="J2597" s="547" t="n">
        <f aca="false">F2597*G2597</f>
        <v>247109</v>
      </c>
      <c r="K2597" s="1365" t="n">
        <f aca="false">J2597/1792.8</f>
        <v>137.834114234717</v>
      </c>
      <c r="L2597" s="547" t="n">
        <v>120</v>
      </c>
      <c r="M2597" s="819" t="n">
        <f aca="false">K2597*L2597/60</f>
        <v>275.668228469433</v>
      </c>
    </row>
    <row r="2598" customFormat="false" ht="15" hidden="false" customHeight="false" outlineLevel="0" collapsed="false">
      <c r="A2598" s="216"/>
      <c r="B2598" s="1053" t="s">
        <v>4128</v>
      </c>
      <c r="C2598" s="1161"/>
      <c r="D2598" s="912"/>
      <c r="E2598" s="912"/>
      <c r="F2598" s="547"/>
      <c r="G2598" s="1413"/>
      <c r="H2598" s="547"/>
      <c r="I2598" s="547"/>
      <c r="J2598" s="547"/>
      <c r="K2598" s="1365" t="n">
        <f aca="false">J2598/1792.8</f>
        <v>0</v>
      </c>
      <c r="L2598" s="714" t="n">
        <f aca="false">SUM(L2589:L2597)</f>
        <v>340</v>
      </c>
      <c r="M2598" s="934" t="n">
        <f aca="false">SUM(M2589:M2597)</f>
        <v>381.967657667708</v>
      </c>
    </row>
    <row r="2599" customFormat="false" ht="57" hidden="false" customHeight="false" outlineLevel="0" collapsed="false">
      <c r="A2599" s="15" t="s">
        <v>1193</v>
      </c>
      <c r="B2599" s="54" t="s">
        <v>5340</v>
      </c>
      <c r="C2599" s="1387"/>
      <c r="D2599" s="339"/>
      <c r="E2599" s="541"/>
      <c r="F2599" s="751"/>
      <c r="G2599" s="1412"/>
      <c r="H2599" s="1412"/>
      <c r="I2599" s="751"/>
      <c r="J2599" s="751"/>
      <c r="K2599" s="1390"/>
      <c r="L2599" s="751"/>
      <c r="M2599" s="818"/>
    </row>
    <row r="2600" customFormat="false" ht="30" hidden="false" customHeight="false" outlineLevel="0" collapsed="false">
      <c r="A2600" s="216" t="s">
        <v>1195</v>
      </c>
      <c r="B2600" s="40" t="s">
        <v>3307</v>
      </c>
      <c r="C2600" s="1404" t="s">
        <v>7070</v>
      </c>
      <c r="D2600" s="569" t="n">
        <v>2009</v>
      </c>
      <c r="E2600" s="569" t="n">
        <f aca="false">2021-D2600</f>
        <v>12</v>
      </c>
      <c r="F2600" s="1105" t="n">
        <v>181000</v>
      </c>
      <c r="G2600" s="1444" t="n">
        <v>0.1</v>
      </c>
      <c r="H2600" s="1105" t="n">
        <f aca="false">E2600*F2600*G2600</f>
        <v>217200</v>
      </c>
      <c r="I2600" s="1105" t="n">
        <f aca="false">F2600-H2600</f>
        <v>-36200</v>
      </c>
      <c r="J2600" s="1105" t="n">
        <f aca="false">F2600*G2600</f>
        <v>18100</v>
      </c>
      <c r="K2600" s="1365" t="n">
        <f aca="false">J2600/1792.8</f>
        <v>10.0959393128068</v>
      </c>
      <c r="L2600" s="1105" t="n">
        <v>20</v>
      </c>
      <c r="M2600" s="819" t="n">
        <f aca="false">K2600*L2600/60</f>
        <v>3.36531310426893</v>
      </c>
    </row>
    <row r="2601" customFormat="false" ht="30" hidden="false" customHeight="false" outlineLevel="0" collapsed="false">
      <c r="A2601" s="216"/>
      <c r="B2601" s="40"/>
      <c r="C2601" s="1404" t="s">
        <v>6963</v>
      </c>
      <c r="D2601" s="1405" t="n">
        <v>2007</v>
      </c>
      <c r="E2601" s="1405" t="n">
        <f aca="false">2021-D2601</f>
        <v>14</v>
      </c>
      <c r="F2601" s="1406" t="n">
        <v>176358</v>
      </c>
      <c r="G2601" s="1407" t="n">
        <v>0.1</v>
      </c>
      <c r="H2601" s="1410" t="n">
        <f aca="false">E2601*F2601*G2601</f>
        <v>246901.2</v>
      </c>
      <c r="I2601" s="1410" t="n">
        <f aca="false">F2601-H2601</f>
        <v>-70543.2</v>
      </c>
      <c r="J2601" s="1410" t="n">
        <f aca="false">F2601*G2601</f>
        <v>17635.8</v>
      </c>
      <c r="K2601" s="1365" t="n">
        <f aca="false">J2601/1792.8</f>
        <v>9.83701472556894</v>
      </c>
      <c r="L2601" s="1445" t="n">
        <v>10</v>
      </c>
      <c r="M2601" s="1408" t="n">
        <f aca="false">K2601*L2601/60</f>
        <v>1.63950245426149</v>
      </c>
    </row>
    <row r="2602" customFormat="false" ht="30" hidden="false" customHeight="false" outlineLevel="0" collapsed="false">
      <c r="A2602" s="216"/>
      <c r="B2602" s="40"/>
      <c r="C2602" s="1404" t="s">
        <v>6959</v>
      </c>
      <c r="D2602" s="1405" t="n">
        <v>2007</v>
      </c>
      <c r="E2602" s="1405" t="n">
        <f aca="false">2021-D2602</f>
        <v>14</v>
      </c>
      <c r="F2602" s="1406" t="n">
        <v>350000</v>
      </c>
      <c r="G2602" s="1407" t="n">
        <v>0.1</v>
      </c>
      <c r="H2602" s="1410" t="n">
        <f aca="false">E2602*F2602*G2602</f>
        <v>490000</v>
      </c>
      <c r="I2602" s="1410" t="n">
        <f aca="false">F2602-H2602</f>
        <v>-140000</v>
      </c>
      <c r="J2602" s="1410" t="n">
        <f aca="false">F2602*G2602</f>
        <v>35000</v>
      </c>
      <c r="K2602" s="1365" t="n">
        <f aca="false">J2602/1792.8</f>
        <v>19.5225345827755</v>
      </c>
      <c r="L2602" s="1445" t="n">
        <v>10</v>
      </c>
      <c r="M2602" s="1408" t="n">
        <f aca="false">K2602*L2602/60</f>
        <v>3.25375576379592</v>
      </c>
    </row>
    <row r="2603" customFormat="false" ht="30" hidden="false" customHeight="false" outlineLevel="0" collapsed="false">
      <c r="A2603" s="216"/>
      <c r="B2603" s="40"/>
      <c r="C2603" s="1404" t="s">
        <v>7071</v>
      </c>
      <c r="D2603" s="569" t="n">
        <v>2006</v>
      </c>
      <c r="E2603" s="569" t="n">
        <f aca="false">2021-D2603</f>
        <v>15</v>
      </c>
      <c r="F2603" s="1105" t="n">
        <v>138575</v>
      </c>
      <c r="G2603" s="1444" t="n">
        <v>0.1</v>
      </c>
      <c r="H2603" s="1105" t="n">
        <f aca="false">E2603*F2603*G2603</f>
        <v>207862.5</v>
      </c>
      <c r="I2603" s="1105" t="n">
        <f aca="false">F2603-H2603</f>
        <v>-69287.5</v>
      </c>
      <c r="J2603" s="1105" t="n">
        <f aca="false">F2603*G2603</f>
        <v>13857.5</v>
      </c>
      <c r="K2603" s="1365" t="n">
        <f aca="false">J2603/1792.8</f>
        <v>7.7295292280232</v>
      </c>
      <c r="L2603" s="1105" t="n">
        <v>10</v>
      </c>
      <c r="M2603" s="819" t="n">
        <f aca="false">K2603*L2603/60</f>
        <v>1.2882548713372</v>
      </c>
    </row>
    <row r="2604" customFormat="false" ht="15" hidden="false" customHeight="false" outlineLevel="0" collapsed="false">
      <c r="A2604" s="216"/>
      <c r="B2604" s="40"/>
      <c r="C2604" s="1404" t="s">
        <v>7075</v>
      </c>
      <c r="D2604" s="569" t="n">
        <v>2015</v>
      </c>
      <c r="E2604" s="569" t="n">
        <f aca="false">2021-D2604</f>
        <v>6</v>
      </c>
      <c r="F2604" s="1105" t="n">
        <v>1028020</v>
      </c>
      <c r="G2604" s="1444" t="n">
        <v>0.1</v>
      </c>
      <c r="H2604" s="1105" t="n">
        <f aca="false">E2604*F2604*G2604</f>
        <v>616812</v>
      </c>
      <c r="I2604" s="1105" t="n">
        <f aca="false">F2604-H2604</f>
        <v>411208</v>
      </c>
      <c r="J2604" s="1105" t="n">
        <f aca="false">F2604*G2604</f>
        <v>102802</v>
      </c>
      <c r="K2604" s="1365" t="n">
        <f aca="false">J2604/1792.8</f>
        <v>57.3415885765283</v>
      </c>
      <c r="L2604" s="1105" t="n">
        <v>60</v>
      </c>
      <c r="M2604" s="819" t="n">
        <f aca="false">K2604*L2604/60</f>
        <v>57.3415885765283</v>
      </c>
    </row>
    <row r="2605" customFormat="false" ht="30" hidden="false" customHeight="false" outlineLevel="0" collapsed="false">
      <c r="A2605" s="216"/>
      <c r="B2605" s="40"/>
      <c r="C2605" s="1409" t="s">
        <v>6967</v>
      </c>
      <c r="D2605" s="569" t="n">
        <v>2016</v>
      </c>
      <c r="E2605" s="569" t="n">
        <f aca="false">2021-D2605</f>
        <v>5</v>
      </c>
      <c r="F2605" s="1105" t="n">
        <v>2302000</v>
      </c>
      <c r="G2605" s="1444" t="n">
        <v>0.1</v>
      </c>
      <c r="H2605" s="1105" t="n">
        <f aca="false">E2605*F2605*G2605</f>
        <v>1151000</v>
      </c>
      <c r="I2605" s="1105" t="n">
        <f aca="false">F2605-H2605</f>
        <v>1151000</v>
      </c>
      <c r="J2605" s="1105" t="n">
        <f aca="false">F2605*G2605</f>
        <v>230200</v>
      </c>
      <c r="K2605" s="1365" t="n">
        <f aca="false">J2605/1792.8</f>
        <v>128.402498884427</v>
      </c>
      <c r="L2605" s="1105" t="n">
        <v>10</v>
      </c>
      <c r="M2605" s="819" t="n">
        <f aca="false">K2605*L2605/60</f>
        <v>21.4004164807378</v>
      </c>
    </row>
    <row r="2606" customFormat="false" ht="30" hidden="false" customHeight="false" outlineLevel="0" collapsed="false">
      <c r="A2606" s="216"/>
      <c r="B2606" s="40"/>
      <c r="C2606" s="1404" t="s">
        <v>7072</v>
      </c>
      <c r="D2606" s="569" t="n">
        <v>2013</v>
      </c>
      <c r="E2606" s="569" t="n">
        <f aca="false">2021-D2606</f>
        <v>8</v>
      </c>
      <c r="F2606" s="1105" t="n">
        <v>300000</v>
      </c>
      <c r="G2606" s="1444" t="n">
        <v>0.1</v>
      </c>
      <c r="H2606" s="1105" t="n">
        <f aca="false">E2606*F2606*G2606</f>
        <v>240000</v>
      </c>
      <c r="I2606" s="1105" t="n">
        <f aca="false">F2606-H2606</f>
        <v>60000</v>
      </c>
      <c r="J2606" s="1105" t="n">
        <f aca="false">F2606*G2606</f>
        <v>30000</v>
      </c>
      <c r="K2606" s="1365" t="n">
        <f aca="false">J2606/1792.8</f>
        <v>16.7336010709505</v>
      </c>
      <c r="L2606" s="1105" t="n">
        <v>20</v>
      </c>
      <c r="M2606" s="865" t="n">
        <f aca="false">K2606*L2606/60</f>
        <v>5.57786702365016</v>
      </c>
    </row>
    <row r="2607" customFormat="false" ht="30" hidden="false" customHeight="false" outlineLevel="0" collapsed="false">
      <c r="A2607" s="216"/>
      <c r="B2607" s="40"/>
      <c r="C2607" s="1161" t="s">
        <v>7073</v>
      </c>
      <c r="D2607" s="912" t="n">
        <v>2005</v>
      </c>
      <c r="E2607" s="912" t="n">
        <f aca="false">2021-D2607</f>
        <v>16</v>
      </c>
      <c r="F2607" s="547" t="n">
        <v>39263</v>
      </c>
      <c r="G2607" s="1413" t="n">
        <v>0.1</v>
      </c>
      <c r="H2607" s="547" t="n">
        <f aca="false">E2607*F2607*G2607</f>
        <v>62820.8</v>
      </c>
      <c r="I2607" s="547" t="n">
        <f aca="false">F2607-H2607</f>
        <v>-23557.8</v>
      </c>
      <c r="J2607" s="547" t="n">
        <f aca="false">F2607*G2607</f>
        <v>3926.3</v>
      </c>
      <c r="K2607" s="1365" t="n">
        <f aca="false">J2607/1792.8</f>
        <v>2.19003792949576</v>
      </c>
      <c r="L2607" s="547" t="n">
        <v>20</v>
      </c>
      <c r="M2607" s="819" t="n">
        <f aca="false">K2607*L2607/60</f>
        <v>0.730012643165254</v>
      </c>
    </row>
    <row r="2608" customFormat="false" ht="43.5" hidden="false" customHeight="true" outlineLevel="0" collapsed="false">
      <c r="A2608" s="216"/>
      <c r="B2608" s="40"/>
      <c r="C2608" s="1161" t="s">
        <v>7074</v>
      </c>
      <c r="D2608" s="912" t="n">
        <v>2003</v>
      </c>
      <c r="E2608" s="912" t="n">
        <f aca="false">2021-D2608</f>
        <v>18</v>
      </c>
      <c r="F2608" s="547" t="n">
        <v>2471090</v>
      </c>
      <c r="G2608" s="1413" t="n">
        <v>0.1</v>
      </c>
      <c r="H2608" s="547" t="n">
        <f aca="false">E2608*F2608*G2608</f>
        <v>4447962</v>
      </c>
      <c r="I2608" s="547" t="n">
        <f aca="false">F2608-H2608</f>
        <v>-1976872</v>
      </c>
      <c r="J2608" s="547" t="n">
        <f aca="false">F2608*G2608</f>
        <v>247109</v>
      </c>
      <c r="K2608" s="1365" t="n">
        <f aca="false">J2608/1792.8</f>
        <v>137.834114234717</v>
      </c>
      <c r="L2608" s="547" t="n">
        <v>120</v>
      </c>
      <c r="M2608" s="819" t="n">
        <f aca="false">K2608*L2608/60</f>
        <v>275.668228469433</v>
      </c>
    </row>
    <row r="2609" customFormat="false" ht="15" hidden="false" customHeight="false" outlineLevel="0" collapsed="false">
      <c r="A2609" s="216"/>
      <c r="B2609" s="1053" t="s">
        <v>4128</v>
      </c>
      <c r="C2609" s="1161"/>
      <c r="D2609" s="912"/>
      <c r="E2609" s="912"/>
      <c r="F2609" s="547"/>
      <c r="G2609" s="1413"/>
      <c r="H2609" s="547"/>
      <c r="I2609" s="547"/>
      <c r="J2609" s="547"/>
      <c r="K2609" s="1365" t="n">
        <f aca="false">J2609/1792.8</f>
        <v>0</v>
      </c>
      <c r="L2609" s="714" t="n">
        <f aca="false">SUM(L2600:L2608)</f>
        <v>280</v>
      </c>
      <c r="M2609" s="934" t="n">
        <f aca="false">SUM(M2600:M2608)</f>
        <v>370.264939387178</v>
      </c>
    </row>
    <row r="2610" customFormat="false" ht="15" hidden="false" customHeight="false" outlineLevel="0" collapsed="false">
      <c r="A2610" s="15" t="s">
        <v>1196</v>
      </c>
      <c r="B2610" s="54" t="s">
        <v>3355</v>
      </c>
      <c r="C2610" s="16"/>
      <c r="D2610" s="339"/>
      <c r="E2610" s="339"/>
      <c r="F2610" s="751"/>
      <c r="G2610" s="1412"/>
      <c r="H2610" s="751"/>
      <c r="I2610" s="751"/>
      <c r="J2610" s="751"/>
      <c r="K2610" s="1390"/>
      <c r="L2610" s="751"/>
      <c r="M2610" s="818"/>
    </row>
    <row r="2611" customFormat="false" ht="30" hidden="false" customHeight="false" outlineLevel="0" collapsed="false">
      <c r="A2611" s="216" t="s">
        <v>1198</v>
      </c>
      <c r="B2611" s="40" t="s">
        <v>3010</v>
      </c>
      <c r="C2611" s="1161" t="s">
        <v>7086</v>
      </c>
      <c r="D2611" s="912" t="n">
        <v>2006</v>
      </c>
      <c r="E2611" s="912" t="n">
        <f aca="false">2015-D2611</f>
        <v>9</v>
      </c>
      <c r="F2611" s="547" t="n">
        <v>133722</v>
      </c>
      <c r="G2611" s="1413" t="n">
        <v>0.1</v>
      </c>
      <c r="H2611" s="547" t="n">
        <f aca="false">E2611*F2611*G2611</f>
        <v>120349.8</v>
      </c>
      <c r="I2611" s="547" t="n">
        <f aca="false">F2611-H2611</f>
        <v>13372.2</v>
      </c>
      <c r="J2611" s="547" t="n">
        <f aca="false">F2611*G2611</f>
        <v>13372.2</v>
      </c>
      <c r="K2611" s="1365" t="n">
        <f aca="false">J2611/1792.8</f>
        <v>7.45883534136546</v>
      </c>
      <c r="L2611" s="547" t="n">
        <v>20</v>
      </c>
      <c r="M2611" s="819" t="n">
        <f aca="false">K2611*L2611/60</f>
        <v>2.48627844712182</v>
      </c>
    </row>
    <row r="2612" customFormat="false" ht="15" hidden="false" customHeight="false" outlineLevel="0" collapsed="false">
      <c r="A2612" s="216"/>
      <c r="B2612" s="40"/>
      <c r="C2612" s="1161" t="s">
        <v>7087</v>
      </c>
      <c r="D2612" s="912" t="n">
        <v>2007</v>
      </c>
      <c r="E2612" s="912" t="n">
        <f aca="false">2015-D2612</f>
        <v>8</v>
      </c>
      <c r="F2612" s="547" t="n">
        <v>61985</v>
      </c>
      <c r="G2612" s="1413" t="n">
        <v>0.1</v>
      </c>
      <c r="H2612" s="547" t="n">
        <f aca="false">E2612*F2612*G2612</f>
        <v>49588</v>
      </c>
      <c r="I2612" s="547" t="n">
        <f aca="false">F2612-H2612</f>
        <v>12397</v>
      </c>
      <c r="J2612" s="547" t="n">
        <f aca="false">F2612*G2612</f>
        <v>6198.5</v>
      </c>
      <c r="K2612" s="1365" t="n">
        <f aca="false">J2612/1792.8</f>
        <v>3.45744087460955</v>
      </c>
      <c r="L2612" s="547" t="n">
        <v>15</v>
      </c>
      <c r="M2612" s="819" t="n">
        <f aca="false">K2612*L2612/60</f>
        <v>0.864360218652387</v>
      </c>
    </row>
    <row r="2613" customFormat="false" ht="15" hidden="false" customHeight="false" outlineLevel="0" collapsed="false">
      <c r="A2613" s="216"/>
      <c r="B2613" s="1053" t="s">
        <v>4128</v>
      </c>
      <c r="C2613" s="1161"/>
      <c r="D2613" s="912"/>
      <c r="E2613" s="912"/>
      <c r="F2613" s="547"/>
      <c r="G2613" s="1413"/>
      <c r="H2613" s="547"/>
      <c r="I2613" s="547"/>
      <c r="J2613" s="547"/>
      <c r="K2613" s="1365" t="n">
        <f aca="false">J2613/1792.8</f>
        <v>0</v>
      </c>
      <c r="L2613" s="547"/>
      <c r="M2613" s="934" t="n">
        <f aca="false">SUM(M2611:M2612)</f>
        <v>3.35063866577421</v>
      </c>
    </row>
    <row r="2614" customFormat="false" ht="15" hidden="false" customHeight="false" outlineLevel="0" collapsed="false">
      <c r="A2614" s="216" t="s">
        <v>1199</v>
      </c>
      <c r="B2614" s="40" t="s">
        <v>3356</v>
      </c>
      <c r="C2614" s="1161" t="s">
        <v>7086</v>
      </c>
      <c r="D2614" s="912" t="n">
        <v>2006</v>
      </c>
      <c r="E2614" s="912" t="n">
        <f aca="false">2015-D2614</f>
        <v>9</v>
      </c>
      <c r="F2614" s="547" t="n">
        <v>133722</v>
      </c>
      <c r="G2614" s="1413" t="n">
        <v>0.1</v>
      </c>
      <c r="H2614" s="547" t="n">
        <f aca="false">E2614*F2614*G2614</f>
        <v>120349.8</v>
      </c>
      <c r="I2614" s="547" t="n">
        <f aca="false">F2614-H2614</f>
        <v>13372.2</v>
      </c>
      <c r="J2614" s="547" t="n">
        <f aca="false">F2614*G2614</f>
        <v>13372.2</v>
      </c>
      <c r="K2614" s="1365" t="n">
        <f aca="false">J2614/1792.8</f>
        <v>7.45883534136546</v>
      </c>
      <c r="L2614" s="547" t="n">
        <v>20</v>
      </c>
      <c r="M2614" s="819" t="n">
        <f aca="false">K2614*L2614/60</f>
        <v>2.48627844712182</v>
      </c>
    </row>
    <row r="2615" customFormat="false" ht="15" hidden="false" customHeight="false" outlineLevel="0" collapsed="false">
      <c r="A2615" s="216"/>
      <c r="B2615" s="40"/>
      <c r="C2615" s="1161" t="s">
        <v>7087</v>
      </c>
      <c r="D2615" s="912" t="n">
        <v>2007</v>
      </c>
      <c r="E2615" s="912" t="n">
        <f aca="false">2015-D2615</f>
        <v>8</v>
      </c>
      <c r="F2615" s="547" t="n">
        <v>61985</v>
      </c>
      <c r="G2615" s="1413" t="n">
        <v>0.1</v>
      </c>
      <c r="H2615" s="547" t="n">
        <f aca="false">E2615*F2615*G2615</f>
        <v>49588</v>
      </c>
      <c r="I2615" s="547" t="n">
        <f aca="false">F2615-H2615</f>
        <v>12397</v>
      </c>
      <c r="J2615" s="547" t="n">
        <f aca="false">F2615*G2615</f>
        <v>6198.5</v>
      </c>
      <c r="K2615" s="1365" t="n">
        <f aca="false">J2615/1792.8</f>
        <v>3.45744087460955</v>
      </c>
      <c r="L2615" s="547" t="n">
        <v>15</v>
      </c>
      <c r="M2615" s="819" t="n">
        <f aca="false">K2615*L2615/60</f>
        <v>0.864360218652387</v>
      </c>
    </row>
    <row r="2616" customFormat="false" ht="15" hidden="false" customHeight="false" outlineLevel="0" collapsed="false">
      <c r="A2616" s="216"/>
      <c r="B2616" s="40"/>
      <c r="C2616" s="1161" t="s">
        <v>7088</v>
      </c>
      <c r="D2616" s="912" t="n">
        <v>2006</v>
      </c>
      <c r="E2616" s="912" t="n">
        <f aca="false">2015-D2616</f>
        <v>9</v>
      </c>
      <c r="F2616" s="547" t="n">
        <v>138575</v>
      </c>
      <c r="G2616" s="1413" t="n">
        <v>0.1</v>
      </c>
      <c r="H2616" s="547" t="n">
        <f aca="false">E2616*F2616*G2616</f>
        <v>124717.5</v>
      </c>
      <c r="I2616" s="547" t="n">
        <f aca="false">F2616-H2616</f>
        <v>13857.5</v>
      </c>
      <c r="J2616" s="547" t="n">
        <f aca="false">F2616*G2616</f>
        <v>13857.5</v>
      </c>
      <c r="K2616" s="1365" t="n">
        <f aca="false">J2616/1792.8</f>
        <v>7.7295292280232</v>
      </c>
      <c r="L2616" s="547" t="n">
        <v>10</v>
      </c>
      <c r="M2616" s="819" t="n">
        <f aca="false">K2616*L2616/60</f>
        <v>1.2882548713372</v>
      </c>
    </row>
    <row r="2617" customFormat="false" ht="15" hidden="false" customHeight="false" outlineLevel="0" collapsed="false">
      <c r="A2617" s="216"/>
      <c r="B2617" s="1053" t="s">
        <v>4128</v>
      </c>
      <c r="C2617" s="1161"/>
      <c r="D2617" s="912"/>
      <c r="E2617" s="912"/>
      <c r="F2617" s="547"/>
      <c r="G2617" s="1413"/>
      <c r="H2617" s="547"/>
      <c r="I2617" s="547"/>
      <c r="J2617" s="547"/>
      <c r="K2617" s="1365" t="n">
        <f aca="false">J2617/1792.8</f>
        <v>0</v>
      </c>
      <c r="L2617" s="547"/>
      <c r="M2617" s="934" t="n">
        <f aca="false">SUM(M2614:M2616)</f>
        <v>4.63889353711141</v>
      </c>
    </row>
    <row r="2618" customFormat="false" ht="15" hidden="false" customHeight="false" outlineLevel="0" collapsed="false">
      <c r="A2618" s="216" t="s">
        <v>1201</v>
      </c>
      <c r="B2618" s="40" t="s">
        <v>3357</v>
      </c>
      <c r="C2618" s="1161" t="s">
        <v>7086</v>
      </c>
      <c r="D2618" s="912" t="n">
        <v>2006</v>
      </c>
      <c r="E2618" s="912" t="n">
        <f aca="false">2015-D2618</f>
        <v>9</v>
      </c>
      <c r="F2618" s="547" t="n">
        <v>133722</v>
      </c>
      <c r="G2618" s="1413" t="n">
        <v>0.1</v>
      </c>
      <c r="H2618" s="547" t="n">
        <f aca="false">E2618*F2618*G2618</f>
        <v>120349.8</v>
      </c>
      <c r="I2618" s="547" t="n">
        <f aca="false">F2618-H2618</f>
        <v>13372.2</v>
      </c>
      <c r="J2618" s="547" t="n">
        <f aca="false">F2618*G2618</f>
        <v>13372.2</v>
      </c>
      <c r="K2618" s="1365" t="n">
        <f aca="false">J2618/1792.8</f>
        <v>7.45883534136546</v>
      </c>
      <c r="L2618" s="547" t="n">
        <v>20</v>
      </c>
      <c r="M2618" s="819" t="n">
        <f aca="false">K2618*L2618/60</f>
        <v>2.48627844712182</v>
      </c>
    </row>
    <row r="2619" customFormat="false" ht="15" hidden="false" customHeight="false" outlineLevel="0" collapsed="false">
      <c r="A2619" s="216"/>
      <c r="B2619" s="40"/>
      <c r="C2619" s="1161" t="s">
        <v>7087</v>
      </c>
      <c r="D2619" s="912" t="n">
        <v>2007</v>
      </c>
      <c r="E2619" s="912" t="n">
        <f aca="false">2015-D2619</f>
        <v>8</v>
      </c>
      <c r="F2619" s="547" t="n">
        <v>61985</v>
      </c>
      <c r="G2619" s="1413" t="n">
        <v>0.1</v>
      </c>
      <c r="H2619" s="547" t="n">
        <f aca="false">E2619*F2619*G2619</f>
        <v>49588</v>
      </c>
      <c r="I2619" s="547" t="n">
        <f aca="false">F2619-H2619</f>
        <v>12397</v>
      </c>
      <c r="J2619" s="547" t="n">
        <f aca="false">F2619*G2619</f>
        <v>6198.5</v>
      </c>
      <c r="K2619" s="1365" t="n">
        <f aca="false">J2619/1792.8</f>
        <v>3.45744087460955</v>
      </c>
      <c r="L2619" s="547" t="n">
        <v>15</v>
      </c>
      <c r="M2619" s="819" t="n">
        <f aca="false">K2619*L2619/60</f>
        <v>0.864360218652387</v>
      </c>
    </row>
    <row r="2620" customFormat="false" ht="15" hidden="false" customHeight="false" outlineLevel="0" collapsed="false">
      <c r="A2620" s="216"/>
      <c r="B2620" s="40"/>
      <c r="C2620" s="1161" t="s">
        <v>7080</v>
      </c>
      <c r="D2620" s="912" t="n">
        <v>2012</v>
      </c>
      <c r="E2620" s="912" t="n">
        <f aca="false">2015-D2620</f>
        <v>3</v>
      </c>
      <c r="F2620" s="547" t="n">
        <v>85800</v>
      </c>
      <c r="G2620" s="1413" t="n">
        <v>0.1</v>
      </c>
      <c r="H2620" s="547" t="n">
        <f aca="false">E2620*F2620*G2620</f>
        <v>25740</v>
      </c>
      <c r="I2620" s="547" t="n">
        <f aca="false">F2620-H2620</f>
        <v>60060</v>
      </c>
      <c r="J2620" s="547" t="n">
        <f aca="false">F2620*G2620</f>
        <v>8580</v>
      </c>
      <c r="K2620" s="1365" t="n">
        <f aca="false">J2620/1792.8</f>
        <v>4.78580990629183</v>
      </c>
      <c r="L2620" s="547" t="n">
        <v>20</v>
      </c>
      <c r="M2620" s="819" t="n">
        <f aca="false">K2620*L2620/60</f>
        <v>1.59526996876394</v>
      </c>
    </row>
    <row r="2621" customFormat="false" ht="15" hidden="false" customHeight="false" outlineLevel="0" collapsed="false">
      <c r="A2621" s="216"/>
      <c r="B2621" s="1053" t="s">
        <v>4128</v>
      </c>
      <c r="C2621" s="1161"/>
      <c r="D2621" s="912"/>
      <c r="E2621" s="912"/>
      <c r="F2621" s="547"/>
      <c r="G2621" s="1413"/>
      <c r="H2621" s="547"/>
      <c r="I2621" s="547"/>
      <c r="J2621" s="547"/>
      <c r="K2621" s="1365" t="n">
        <f aca="false">J2621/1792.8</f>
        <v>0</v>
      </c>
      <c r="L2621" s="547"/>
      <c r="M2621" s="934" t="n">
        <f aca="false">SUM(M2618:M2620)</f>
        <v>4.94590863453815</v>
      </c>
    </row>
    <row r="2622" customFormat="false" ht="30" hidden="false" customHeight="false" outlineLevel="0" collapsed="false">
      <c r="A2622" s="216" t="s">
        <v>1203</v>
      </c>
      <c r="B2622" s="40" t="s">
        <v>3358</v>
      </c>
      <c r="C2622" s="1161" t="s">
        <v>7086</v>
      </c>
      <c r="D2622" s="912" t="n">
        <v>2006</v>
      </c>
      <c r="E2622" s="912" t="n">
        <f aca="false">2015-D2622</f>
        <v>9</v>
      </c>
      <c r="F2622" s="547" t="n">
        <v>133722</v>
      </c>
      <c r="G2622" s="1413" t="n">
        <v>0.1</v>
      </c>
      <c r="H2622" s="547" t="n">
        <f aca="false">E2622*F2622*G2622</f>
        <v>120349.8</v>
      </c>
      <c r="I2622" s="547" t="n">
        <f aca="false">F2622-H2622</f>
        <v>13372.2</v>
      </c>
      <c r="J2622" s="547" t="n">
        <f aca="false">F2622*G2622</f>
        <v>13372.2</v>
      </c>
      <c r="K2622" s="1365" t="n">
        <f aca="false">J2622/1792.8</f>
        <v>7.45883534136546</v>
      </c>
      <c r="L2622" s="547" t="n">
        <v>20</v>
      </c>
      <c r="M2622" s="819" t="n">
        <f aca="false">K2622*L2622/60</f>
        <v>2.48627844712182</v>
      </c>
    </row>
    <row r="2623" customFormat="false" ht="15" hidden="false" customHeight="false" outlineLevel="0" collapsed="false">
      <c r="A2623" s="216"/>
      <c r="B2623" s="40"/>
      <c r="C2623" s="1161" t="s">
        <v>7087</v>
      </c>
      <c r="D2623" s="912" t="n">
        <v>2007</v>
      </c>
      <c r="E2623" s="912" t="n">
        <f aca="false">2015-D2623</f>
        <v>8</v>
      </c>
      <c r="F2623" s="547" t="n">
        <v>61985</v>
      </c>
      <c r="G2623" s="1413" t="n">
        <v>0.1</v>
      </c>
      <c r="H2623" s="547" t="n">
        <f aca="false">E2623*F2623*G2623</f>
        <v>49588</v>
      </c>
      <c r="I2623" s="547" t="n">
        <f aca="false">F2623-H2623</f>
        <v>12397</v>
      </c>
      <c r="J2623" s="547" t="n">
        <f aca="false">F2623*G2623</f>
        <v>6198.5</v>
      </c>
      <c r="K2623" s="1365" t="n">
        <f aca="false">J2623/1792.8</f>
        <v>3.45744087460955</v>
      </c>
      <c r="L2623" s="547" t="n">
        <v>15</v>
      </c>
      <c r="M2623" s="819" t="n">
        <f aca="false">K2623*L2623/60</f>
        <v>0.864360218652387</v>
      </c>
    </row>
    <row r="2624" customFormat="false" ht="15" hidden="false" customHeight="false" outlineLevel="0" collapsed="false">
      <c r="A2624" s="216"/>
      <c r="B2624" s="40"/>
      <c r="C2624" s="1161" t="s">
        <v>7088</v>
      </c>
      <c r="D2624" s="912" t="n">
        <v>2006</v>
      </c>
      <c r="E2624" s="912" t="n">
        <f aca="false">2015-D2624</f>
        <v>9</v>
      </c>
      <c r="F2624" s="547" t="n">
        <v>138575</v>
      </c>
      <c r="G2624" s="1413" t="n">
        <v>0.1</v>
      </c>
      <c r="H2624" s="547" t="n">
        <f aca="false">E2624*F2624*G2624</f>
        <v>124717.5</v>
      </c>
      <c r="I2624" s="547" t="n">
        <f aca="false">F2624-H2624</f>
        <v>13857.5</v>
      </c>
      <c r="J2624" s="547" t="n">
        <f aca="false">F2624*G2624</f>
        <v>13857.5</v>
      </c>
      <c r="K2624" s="1365" t="n">
        <f aca="false">J2624/1792.8</f>
        <v>7.7295292280232</v>
      </c>
      <c r="L2624" s="547" t="n">
        <v>10</v>
      </c>
      <c r="M2624" s="819" t="n">
        <f aca="false">K2624*L2624/60</f>
        <v>1.2882548713372</v>
      </c>
    </row>
    <row r="2625" customFormat="false" ht="15" hidden="false" customHeight="false" outlineLevel="0" collapsed="false">
      <c r="A2625" s="216"/>
      <c r="B2625" s="40"/>
      <c r="C2625" s="1161" t="s">
        <v>6974</v>
      </c>
      <c r="D2625" s="912" t="n">
        <v>2015</v>
      </c>
      <c r="E2625" s="912" t="n">
        <f aca="false">2015-D2625</f>
        <v>0</v>
      </c>
      <c r="F2625" s="547" t="n">
        <v>330000</v>
      </c>
      <c r="G2625" s="1413" t="n">
        <v>0.1</v>
      </c>
      <c r="H2625" s="547" t="n">
        <f aca="false">E2625*F2625*G2625</f>
        <v>0</v>
      </c>
      <c r="I2625" s="547" t="n">
        <f aca="false">F2625-H2625</f>
        <v>330000</v>
      </c>
      <c r="J2625" s="547" t="n">
        <f aca="false">F2625*G2625</f>
        <v>33000</v>
      </c>
      <c r="K2625" s="1365" t="n">
        <f aca="false">J2625/1792.8</f>
        <v>18.4069611780455</v>
      </c>
      <c r="L2625" s="547" t="n">
        <v>80</v>
      </c>
      <c r="M2625" s="819" t="n">
        <f aca="false">K2625*L2625/60</f>
        <v>24.5426149040607</v>
      </c>
    </row>
    <row r="2626" customFormat="false" ht="15" hidden="false" customHeight="false" outlineLevel="0" collapsed="false">
      <c r="A2626" s="216"/>
      <c r="B2626" s="1053" t="s">
        <v>4128</v>
      </c>
      <c r="C2626" s="1161"/>
      <c r="D2626" s="912"/>
      <c r="E2626" s="912"/>
      <c r="F2626" s="547"/>
      <c r="G2626" s="1413"/>
      <c r="H2626" s="547"/>
      <c r="I2626" s="547"/>
      <c r="J2626" s="547"/>
      <c r="K2626" s="1365" t="n">
        <f aca="false">J2626/1792.8</f>
        <v>0</v>
      </c>
      <c r="L2626" s="547"/>
      <c r="M2626" s="934" t="n">
        <f aca="false">SUM(M2622:M2625)</f>
        <v>29.1815084411721</v>
      </c>
    </row>
    <row r="2627" customFormat="false" ht="30" hidden="false" customHeight="false" outlineLevel="0" collapsed="false">
      <c r="A2627" s="216" t="s">
        <v>1205</v>
      </c>
      <c r="B2627" s="40" t="s">
        <v>3359</v>
      </c>
      <c r="C2627" s="1161" t="s">
        <v>7086</v>
      </c>
      <c r="D2627" s="912" t="n">
        <v>2006</v>
      </c>
      <c r="E2627" s="912" t="n">
        <f aca="false">2015-D2627</f>
        <v>9</v>
      </c>
      <c r="F2627" s="547" t="n">
        <v>133722</v>
      </c>
      <c r="G2627" s="1413" t="n">
        <v>0.1</v>
      </c>
      <c r="H2627" s="547" t="n">
        <f aca="false">E2627*F2627*G2627</f>
        <v>120349.8</v>
      </c>
      <c r="I2627" s="547" t="n">
        <f aca="false">F2627-H2627</f>
        <v>13372.2</v>
      </c>
      <c r="J2627" s="547" t="n">
        <f aca="false">F2627*G2627</f>
        <v>13372.2</v>
      </c>
      <c r="K2627" s="1365" t="n">
        <f aca="false">J2627/1792.8</f>
        <v>7.45883534136546</v>
      </c>
      <c r="L2627" s="547" t="n">
        <v>20</v>
      </c>
      <c r="M2627" s="819" t="n">
        <f aca="false">K2627*L2627/60</f>
        <v>2.48627844712182</v>
      </c>
    </row>
    <row r="2628" customFormat="false" ht="15" hidden="false" customHeight="false" outlineLevel="0" collapsed="false">
      <c r="A2628" s="216"/>
      <c r="B2628" s="40"/>
      <c r="C2628" s="1161" t="s">
        <v>7087</v>
      </c>
      <c r="D2628" s="912" t="n">
        <v>2007</v>
      </c>
      <c r="E2628" s="912" t="n">
        <f aca="false">2015-D2628</f>
        <v>8</v>
      </c>
      <c r="F2628" s="547" t="n">
        <v>61985</v>
      </c>
      <c r="G2628" s="1413" t="n">
        <v>0.1</v>
      </c>
      <c r="H2628" s="547" t="n">
        <f aca="false">E2628*F2628*G2628</f>
        <v>49588</v>
      </c>
      <c r="I2628" s="547" t="n">
        <f aca="false">F2628-H2628</f>
        <v>12397</v>
      </c>
      <c r="J2628" s="547" t="n">
        <f aca="false">F2628*G2628</f>
        <v>6198.5</v>
      </c>
      <c r="K2628" s="1365" t="n">
        <f aca="false">J2628/1792.8</f>
        <v>3.45744087460955</v>
      </c>
      <c r="L2628" s="547" t="n">
        <v>15</v>
      </c>
      <c r="M2628" s="819" t="n">
        <f aca="false">K2628*L2628/60</f>
        <v>0.864360218652387</v>
      </c>
    </row>
    <row r="2629" customFormat="false" ht="15" hidden="false" customHeight="false" outlineLevel="0" collapsed="false">
      <c r="A2629" s="216"/>
      <c r="B2629" s="40"/>
      <c r="C2629" s="1161" t="s">
        <v>7088</v>
      </c>
      <c r="D2629" s="912" t="n">
        <v>2006</v>
      </c>
      <c r="E2629" s="912" t="n">
        <f aca="false">2015-D2629</f>
        <v>9</v>
      </c>
      <c r="F2629" s="547" t="n">
        <v>138575</v>
      </c>
      <c r="G2629" s="1413" t="n">
        <v>0.1</v>
      </c>
      <c r="H2629" s="547" t="n">
        <f aca="false">E2629*F2629*G2629</f>
        <v>124717.5</v>
      </c>
      <c r="I2629" s="547" t="n">
        <f aca="false">F2629-H2629</f>
        <v>13857.5</v>
      </c>
      <c r="J2629" s="547" t="n">
        <f aca="false">F2629*G2629</f>
        <v>13857.5</v>
      </c>
      <c r="K2629" s="1365" t="n">
        <f aca="false">J2629/1792.8</f>
        <v>7.7295292280232</v>
      </c>
      <c r="L2629" s="547" t="n">
        <v>10</v>
      </c>
      <c r="M2629" s="819" t="n">
        <f aca="false">K2629*L2629/60</f>
        <v>1.2882548713372</v>
      </c>
    </row>
    <row r="2630" customFormat="false" ht="15" hidden="false" customHeight="false" outlineLevel="0" collapsed="false">
      <c r="A2630" s="216"/>
      <c r="B2630" s="40"/>
      <c r="C2630" s="1161" t="s">
        <v>6974</v>
      </c>
      <c r="D2630" s="912" t="n">
        <v>2015</v>
      </c>
      <c r="E2630" s="912" t="n">
        <f aca="false">2015-D2630</f>
        <v>0</v>
      </c>
      <c r="F2630" s="547" t="n">
        <v>330000</v>
      </c>
      <c r="G2630" s="1413" t="n">
        <v>0.1</v>
      </c>
      <c r="H2630" s="547" t="n">
        <f aca="false">E2630*F2630*G2630</f>
        <v>0</v>
      </c>
      <c r="I2630" s="547" t="n">
        <f aca="false">F2630-H2630</f>
        <v>330000</v>
      </c>
      <c r="J2630" s="547" t="n">
        <f aca="false">F2630*G2630</f>
        <v>33000</v>
      </c>
      <c r="K2630" s="1365" t="n">
        <f aca="false">J2630/1792.8</f>
        <v>18.4069611780455</v>
      </c>
      <c r="L2630" s="547" t="n">
        <v>80</v>
      </c>
      <c r="M2630" s="819" t="n">
        <f aca="false">K2630*L2630/60</f>
        <v>24.5426149040607</v>
      </c>
    </row>
    <row r="2631" customFormat="false" ht="15" hidden="false" customHeight="false" outlineLevel="0" collapsed="false">
      <c r="A2631" s="216"/>
      <c r="B2631" s="1053" t="s">
        <v>4128</v>
      </c>
      <c r="C2631" s="1161"/>
      <c r="D2631" s="912"/>
      <c r="E2631" s="912"/>
      <c r="F2631" s="547"/>
      <c r="G2631" s="1413"/>
      <c r="H2631" s="547"/>
      <c r="I2631" s="547"/>
      <c r="J2631" s="547"/>
      <c r="K2631" s="1365" t="n">
        <f aca="false">J2631/1792.8</f>
        <v>0</v>
      </c>
      <c r="L2631" s="547"/>
      <c r="M2631" s="934" t="n">
        <f aca="false">SUM(M2627:M2630)</f>
        <v>29.1815084411721</v>
      </c>
    </row>
    <row r="2632" customFormat="false" ht="30" hidden="false" customHeight="false" outlineLevel="0" collapsed="false">
      <c r="A2632" s="216" t="s">
        <v>1207</v>
      </c>
      <c r="B2632" s="40" t="s">
        <v>3360</v>
      </c>
      <c r="C2632" s="1161" t="s">
        <v>7086</v>
      </c>
      <c r="D2632" s="912" t="n">
        <v>2006</v>
      </c>
      <c r="E2632" s="912" t="n">
        <f aca="false">2015-D2632</f>
        <v>9</v>
      </c>
      <c r="F2632" s="547" t="n">
        <v>133722</v>
      </c>
      <c r="G2632" s="1413" t="n">
        <v>0.1</v>
      </c>
      <c r="H2632" s="547" t="n">
        <f aca="false">E2632*F2632*G2632</f>
        <v>120349.8</v>
      </c>
      <c r="I2632" s="547" t="n">
        <f aca="false">F2632-H2632</f>
        <v>13372.2</v>
      </c>
      <c r="J2632" s="547" t="n">
        <f aca="false">F2632*G2632</f>
        <v>13372.2</v>
      </c>
      <c r="K2632" s="1365" t="n">
        <f aca="false">J2632/1792.8</f>
        <v>7.45883534136546</v>
      </c>
      <c r="L2632" s="547" t="n">
        <v>20</v>
      </c>
      <c r="M2632" s="819" t="n">
        <f aca="false">K2632*L2632/60</f>
        <v>2.48627844712182</v>
      </c>
    </row>
    <row r="2633" customFormat="false" ht="15" hidden="false" customHeight="false" outlineLevel="0" collapsed="false">
      <c r="A2633" s="216"/>
      <c r="B2633" s="40"/>
      <c r="C2633" s="1161" t="s">
        <v>7087</v>
      </c>
      <c r="D2633" s="912" t="n">
        <v>2007</v>
      </c>
      <c r="E2633" s="912" t="n">
        <f aca="false">2015-D2633</f>
        <v>8</v>
      </c>
      <c r="F2633" s="547" t="n">
        <v>61985</v>
      </c>
      <c r="G2633" s="1413" t="n">
        <v>0.1</v>
      </c>
      <c r="H2633" s="547" t="n">
        <f aca="false">E2633*F2633*G2633</f>
        <v>49588</v>
      </c>
      <c r="I2633" s="547" t="n">
        <f aca="false">F2633-H2633</f>
        <v>12397</v>
      </c>
      <c r="J2633" s="547" t="n">
        <f aca="false">F2633*G2633</f>
        <v>6198.5</v>
      </c>
      <c r="K2633" s="1365" t="n">
        <f aca="false">J2633/1792.8</f>
        <v>3.45744087460955</v>
      </c>
      <c r="L2633" s="547" t="n">
        <v>15</v>
      </c>
      <c r="M2633" s="819" t="n">
        <f aca="false">K2633*L2633/60</f>
        <v>0.864360218652387</v>
      </c>
    </row>
    <row r="2634" customFormat="false" ht="15" hidden="false" customHeight="false" outlineLevel="0" collapsed="false">
      <c r="A2634" s="216"/>
      <c r="B2634" s="40"/>
      <c r="C2634" s="1161" t="s">
        <v>7088</v>
      </c>
      <c r="D2634" s="912" t="n">
        <v>2006</v>
      </c>
      <c r="E2634" s="912" t="n">
        <f aca="false">2015-D2634</f>
        <v>9</v>
      </c>
      <c r="F2634" s="547" t="n">
        <v>138575</v>
      </c>
      <c r="G2634" s="1413" t="n">
        <v>0.1</v>
      </c>
      <c r="H2634" s="547" t="n">
        <f aca="false">E2634*F2634*G2634</f>
        <v>124717.5</v>
      </c>
      <c r="I2634" s="547" t="n">
        <f aca="false">F2634-H2634</f>
        <v>13857.5</v>
      </c>
      <c r="J2634" s="547" t="n">
        <f aca="false">F2634*G2634</f>
        <v>13857.5</v>
      </c>
      <c r="K2634" s="1365" t="n">
        <f aca="false">J2634/1792.8</f>
        <v>7.7295292280232</v>
      </c>
      <c r="L2634" s="547" t="n">
        <v>10</v>
      </c>
      <c r="M2634" s="819" t="n">
        <f aca="false">K2634*L2634/60</f>
        <v>1.2882548713372</v>
      </c>
    </row>
    <row r="2635" customFormat="false" ht="15" hidden="false" customHeight="false" outlineLevel="0" collapsed="false">
      <c r="A2635" s="216"/>
      <c r="B2635" s="40"/>
      <c r="C2635" s="1161" t="s">
        <v>6974</v>
      </c>
      <c r="D2635" s="912" t="n">
        <v>2015</v>
      </c>
      <c r="E2635" s="912" t="n">
        <f aca="false">2015-D2635</f>
        <v>0</v>
      </c>
      <c r="F2635" s="547" t="n">
        <v>330000</v>
      </c>
      <c r="G2635" s="1413" t="n">
        <v>0.1</v>
      </c>
      <c r="H2635" s="547" t="n">
        <f aca="false">E2635*F2635*G2635</f>
        <v>0</v>
      </c>
      <c r="I2635" s="547" t="n">
        <f aca="false">F2635-H2635</f>
        <v>330000</v>
      </c>
      <c r="J2635" s="547" t="n">
        <f aca="false">F2635*G2635</f>
        <v>33000</v>
      </c>
      <c r="K2635" s="1365" t="n">
        <f aca="false">J2635/1792.8</f>
        <v>18.4069611780455</v>
      </c>
      <c r="L2635" s="547" t="n">
        <v>80</v>
      </c>
      <c r="M2635" s="819" t="n">
        <f aca="false">K2635*L2635/60</f>
        <v>24.5426149040607</v>
      </c>
    </row>
    <row r="2636" customFormat="false" ht="15" hidden="false" customHeight="false" outlineLevel="0" collapsed="false">
      <c r="A2636" s="216"/>
      <c r="B2636" s="1053" t="s">
        <v>4128</v>
      </c>
      <c r="C2636" s="1161"/>
      <c r="D2636" s="912"/>
      <c r="E2636" s="912"/>
      <c r="F2636" s="547"/>
      <c r="G2636" s="1413"/>
      <c r="H2636" s="547"/>
      <c r="I2636" s="547"/>
      <c r="J2636" s="547"/>
      <c r="K2636" s="1365" t="n">
        <f aca="false">J2636/1792.8</f>
        <v>0</v>
      </c>
      <c r="L2636" s="547"/>
      <c r="M2636" s="934" t="n">
        <f aca="false">SUM(M2632:M2635)</f>
        <v>29.1815084411721</v>
      </c>
    </row>
    <row r="2637" customFormat="false" ht="30" hidden="false" customHeight="false" outlineLevel="0" collapsed="false">
      <c r="A2637" s="216" t="s">
        <v>1209</v>
      </c>
      <c r="B2637" s="40" t="s">
        <v>3361</v>
      </c>
      <c r="C2637" s="1161" t="s">
        <v>7086</v>
      </c>
      <c r="D2637" s="912" t="n">
        <v>2006</v>
      </c>
      <c r="E2637" s="912" t="n">
        <f aca="false">2015-D2637</f>
        <v>9</v>
      </c>
      <c r="F2637" s="547" t="n">
        <v>133722</v>
      </c>
      <c r="G2637" s="1413" t="n">
        <v>0.1</v>
      </c>
      <c r="H2637" s="547" t="n">
        <f aca="false">E2637*F2637*G2637</f>
        <v>120349.8</v>
      </c>
      <c r="I2637" s="547" t="n">
        <f aca="false">F2637-H2637</f>
        <v>13372.2</v>
      </c>
      <c r="J2637" s="547" t="n">
        <f aca="false">F2637*G2637</f>
        <v>13372.2</v>
      </c>
      <c r="K2637" s="1365" t="n">
        <f aca="false">J2637/1792.8</f>
        <v>7.45883534136546</v>
      </c>
      <c r="L2637" s="547" t="n">
        <v>20</v>
      </c>
      <c r="M2637" s="819" t="n">
        <f aca="false">K2637*L2637/60</f>
        <v>2.48627844712182</v>
      </c>
    </row>
    <row r="2638" customFormat="false" ht="15" hidden="false" customHeight="false" outlineLevel="0" collapsed="false">
      <c r="A2638" s="216"/>
      <c r="B2638" s="40"/>
      <c r="C2638" s="1161" t="s">
        <v>7087</v>
      </c>
      <c r="D2638" s="912" t="n">
        <v>2007</v>
      </c>
      <c r="E2638" s="912" t="n">
        <f aca="false">2015-D2638</f>
        <v>8</v>
      </c>
      <c r="F2638" s="547" t="n">
        <v>61985</v>
      </c>
      <c r="G2638" s="1413" t="n">
        <v>0.1</v>
      </c>
      <c r="H2638" s="547" t="n">
        <f aca="false">E2638*F2638*G2638</f>
        <v>49588</v>
      </c>
      <c r="I2638" s="547" t="n">
        <f aca="false">F2638-H2638</f>
        <v>12397</v>
      </c>
      <c r="J2638" s="547" t="n">
        <f aca="false">F2638*G2638</f>
        <v>6198.5</v>
      </c>
      <c r="K2638" s="1365" t="n">
        <f aca="false">J2638/1792.8</f>
        <v>3.45744087460955</v>
      </c>
      <c r="L2638" s="547" t="n">
        <v>15</v>
      </c>
      <c r="M2638" s="819" t="n">
        <f aca="false">K2638*L2638/60</f>
        <v>0.864360218652387</v>
      </c>
    </row>
    <row r="2639" customFormat="false" ht="15" hidden="false" customHeight="false" outlineLevel="0" collapsed="false">
      <c r="A2639" s="216"/>
      <c r="B2639" s="40"/>
      <c r="C2639" s="1161" t="s">
        <v>7088</v>
      </c>
      <c r="D2639" s="912" t="n">
        <v>2006</v>
      </c>
      <c r="E2639" s="912" t="n">
        <f aca="false">2015-D2639</f>
        <v>9</v>
      </c>
      <c r="F2639" s="547" t="n">
        <v>138575</v>
      </c>
      <c r="G2639" s="1413" t="n">
        <v>0.1</v>
      </c>
      <c r="H2639" s="547" t="n">
        <f aca="false">E2639*F2639*G2639</f>
        <v>124717.5</v>
      </c>
      <c r="I2639" s="547" t="n">
        <f aca="false">F2639-H2639</f>
        <v>13857.5</v>
      </c>
      <c r="J2639" s="547" t="n">
        <f aca="false">F2639*G2639</f>
        <v>13857.5</v>
      </c>
      <c r="K2639" s="1365" t="n">
        <f aca="false">J2639/1792.8</f>
        <v>7.7295292280232</v>
      </c>
      <c r="L2639" s="547" t="n">
        <v>10</v>
      </c>
      <c r="M2639" s="819" t="n">
        <f aca="false">K2639*L2639/60</f>
        <v>1.2882548713372</v>
      </c>
    </row>
    <row r="2640" customFormat="false" ht="15" hidden="false" customHeight="false" outlineLevel="0" collapsed="false">
      <c r="A2640" s="216"/>
      <c r="B2640" s="40"/>
      <c r="C2640" s="1161" t="s">
        <v>6974</v>
      </c>
      <c r="D2640" s="912" t="n">
        <v>2015</v>
      </c>
      <c r="E2640" s="912" t="n">
        <f aca="false">2015-D2640</f>
        <v>0</v>
      </c>
      <c r="F2640" s="547" t="n">
        <v>330000</v>
      </c>
      <c r="G2640" s="1413" t="n">
        <v>0.1</v>
      </c>
      <c r="H2640" s="547" t="n">
        <f aca="false">E2640*F2640*G2640</f>
        <v>0</v>
      </c>
      <c r="I2640" s="547" t="n">
        <f aca="false">F2640-H2640</f>
        <v>330000</v>
      </c>
      <c r="J2640" s="547" t="n">
        <f aca="false">F2640*G2640</f>
        <v>33000</v>
      </c>
      <c r="K2640" s="1365" t="n">
        <f aca="false">J2640/1792.8</f>
        <v>18.4069611780455</v>
      </c>
      <c r="L2640" s="547" t="n">
        <v>80</v>
      </c>
      <c r="M2640" s="819" t="n">
        <f aca="false">K2640*L2640/60</f>
        <v>24.5426149040607</v>
      </c>
    </row>
    <row r="2641" customFormat="false" ht="15" hidden="false" customHeight="false" outlineLevel="0" collapsed="false">
      <c r="A2641" s="216"/>
      <c r="B2641" s="1053" t="s">
        <v>4128</v>
      </c>
      <c r="C2641" s="1161"/>
      <c r="D2641" s="912"/>
      <c r="E2641" s="912"/>
      <c r="F2641" s="547"/>
      <c r="G2641" s="1413"/>
      <c r="H2641" s="547"/>
      <c r="I2641" s="547"/>
      <c r="J2641" s="547"/>
      <c r="K2641" s="1365" t="n">
        <f aca="false">J2641/1792.8</f>
        <v>0</v>
      </c>
      <c r="L2641" s="547"/>
      <c r="M2641" s="934" t="n">
        <f aca="false">SUM(M2637:M2640)</f>
        <v>29.1815084411721</v>
      </c>
    </row>
    <row r="2642" customFormat="false" ht="45" hidden="false" customHeight="false" outlineLevel="0" collapsed="false">
      <c r="A2642" s="216" t="s">
        <v>1211</v>
      </c>
      <c r="B2642" s="40" t="s">
        <v>3362</v>
      </c>
      <c r="C2642" s="1161" t="s">
        <v>7086</v>
      </c>
      <c r="D2642" s="912" t="n">
        <v>2006</v>
      </c>
      <c r="E2642" s="912" t="n">
        <f aca="false">2015-D2642</f>
        <v>9</v>
      </c>
      <c r="F2642" s="547" t="n">
        <v>133722</v>
      </c>
      <c r="G2642" s="1413" t="n">
        <v>0.1</v>
      </c>
      <c r="H2642" s="547" t="n">
        <f aca="false">E2642*F2642*G2642</f>
        <v>120349.8</v>
      </c>
      <c r="I2642" s="547" t="n">
        <f aca="false">F2642-H2642</f>
        <v>13372.2</v>
      </c>
      <c r="J2642" s="547" t="n">
        <f aca="false">F2642*G2642</f>
        <v>13372.2</v>
      </c>
      <c r="K2642" s="1365" t="n">
        <f aca="false">J2642/1792.8</f>
        <v>7.45883534136546</v>
      </c>
      <c r="L2642" s="547" t="n">
        <v>20</v>
      </c>
      <c r="M2642" s="819" t="n">
        <f aca="false">K2642*L2642/60</f>
        <v>2.48627844712182</v>
      </c>
    </row>
    <row r="2643" customFormat="false" ht="15" hidden="false" customHeight="false" outlineLevel="0" collapsed="false">
      <c r="A2643" s="216"/>
      <c r="B2643" s="40"/>
      <c r="C2643" s="1161" t="s">
        <v>7087</v>
      </c>
      <c r="D2643" s="912" t="n">
        <v>2007</v>
      </c>
      <c r="E2643" s="912" t="n">
        <f aca="false">2015-D2643</f>
        <v>8</v>
      </c>
      <c r="F2643" s="547" t="n">
        <v>61985</v>
      </c>
      <c r="G2643" s="1413" t="n">
        <v>0.1</v>
      </c>
      <c r="H2643" s="547" t="n">
        <f aca="false">E2643*F2643*G2643</f>
        <v>49588</v>
      </c>
      <c r="I2643" s="547" t="n">
        <f aca="false">F2643-H2643</f>
        <v>12397</v>
      </c>
      <c r="J2643" s="547" t="n">
        <f aca="false">F2643*G2643</f>
        <v>6198.5</v>
      </c>
      <c r="K2643" s="1365" t="n">
        <f aca="false">J2643/1792.8</f>
        <v>3.45744087460955</v>
      </c>
      <c r="L2643" s="547" t="n">
        <v>15</v>
      </c>
      <c r="M2643" s="819" t="n">
        <f aca="false">K2643*L2643/60</f>
        <v>0.864360218652387</v>
      </c>
    </row>
    <row r="2644" customFormat="false" ht="15" hidden="false" customHeight="false" outlineLevel="0" collapsed="false">
      <c r="A2644" s="216"/>
      <c r="B2644" s="40"/>
      <c r="C2644" s="1161" t="s">
        <v>7088</v>
      </c>
      <c r="D2644" s="912" t="n">
        <v>2006</v>
      </c>
      <c r="E2644" s="912" t="n">
        <f aca="false">2015-D2644</f>
        <v>9</v>
      </c>
      <c r="F2644" s="547" t="n">
        <v>138575</v>
      </c>
      <c r="G2644" s="1413" t="n">
        <v>0.1</v>
      </c>
      <c r="H2644" s="547" t="n">
        <f aca="false">E2644*F2644*G2644</f>
        <v>124717.5</v>
      </c>
      <c r="I2644" s="547" t="n">
        <f aca="false">F2644-H2644</f>
        <v>13857.5</v>
      </c>
      <c r="J2644" s="547" t="n">
        <f aca="false">F2644*G2644</f>
        <v>13857.5</v>
      </c>
      <c r="K2644" s="1365" t="n">
        <f aca="false">J2644/1792.8</f>
        <v>7.7295292280232</v>
      </c>
      <c r="L2644" s="547" t="n">
        <v>10</v>
      </c>
      <c r="M2644" s="819" t="n">
        <f aca="false">K2644*L2644/60</f>
        <v>1.2882548713372</v>
      </c>
    </row>
    <row r="2645" customFormat="false" ht="15" hidden="false" customHeight="false" outlineLevel="0" collapsed="false">
      <c r="A2645" s="216"/>
      <c r="B2645" s="40"/>
      <c r="C2645" s="1161" t="s">
        <v>6974</v>
      </c>
      <c r="D2645" s="912" t="n">
        <v>2015</v>
      </c>
      <c r="E2645" s="912" t="n">
        <f aca="false">2015-D2645</f>
        <v>0</v>
      </c>
      <c r="F2645" s="547" t="n">
        <v>330000</v>
      </c>
      <c r="G2645" s="1413" t="n">
        <v>0.1</v>
      </c>
      <c r="H2645" s="547" t="n">
        <f aca="false">E2645*F2645*G2645</f>
        <v>0</v>
      </c>
      <c r="I2645" s="547" t="n">
        <f aca="false">F2645-H2645</f>
        <v>330000</v>
      </c>
      <c r="J2645" s="547" t="n">
        <f aca="false">F2645*G2645</f>
        <v>33000</v>
      </c>
      <c r="K2645" s="1365" t="n">
        <f aca="false">J2645/1792.8</f>
        <v>18.4069611780455</v>
      </c>
      <c r="L2645" s="547" t="n">
        <v>80</v>
      </c>
      <c r="M2645" s="819" t="n">
        <f aca="false">K2645*L2645/60</f>
        <v>24.5426149040607</v>
      </c>
    </row>
    <row r="2646" customFormat="false" ht="15" hidden="false" customHeight="false" outlineLevel="0" collapsed="false">
      <c r="A2646" s="216"/>
      <c r="B2646" s="1053" t="s">
        <v>4128</v>
      </c>
      <c r="C2646" s="1161"/>
      <c r="D2646" s="912"/>
      <c r="E2646" s="912"/>
      <c r="F2646" s="547"/>
      <c r="G2646" s="1413"/>
      <c r="H2646" s="547"/>
      <c r="I2646" s="547"/>
      <c r="J2646" s="547"/>
      <c r="K2646" s="1365" t="n">
        <f aca="false">J2646/1792.8</f>
        <v>0</v>
      </c>
      <c r="L2646" s="547"/>
      <c r="M2646" s="934" t="n">
        <f aca="false">SUM(M2642:M2645)</f>
        <v>29.1815084411721</v>
      </c>
    </row>
    <row r="2647" customFormat="false" ht="15" hidden="false" customHeight="false" outlineLevel="0" collapsed="false">
      <c r="A2647" s="216" t="s">
        <v>1213</v>
      </c>
      <c r="B2647" s="40" t="s">
        <v>3363</v>
      </c>
      <c r="C2647" s="1161" t="s">
        <v>7086</v>
      </c>
      <c r="D2647" s="912" t="n">
        <v>2006</v>
      </c>
      <c r="E2647" s="912" t="n">
        <f aca="false">2015-D2647</f>
        <v>9</v>
      </c>
      <c r="F2647" s="547" t="n">
        <v>133722</v>
      </c>
      <c r="G2647" s="1413" t="n">
        <v>0.1</v>
      </c>
      <c r="H2647" s="547" t="n">
        <f aca="false">E2647*F2647*G2647</f>
        <v>120349.8</v>
      </c>
      <c r="I2647" s="547" t="n">
        <f aca="false">F2647-H2647</f>
        <v>13372.2</v>
      </c>
      <c r="J2647" s="547" t="n">
        <f aca="false">F2647*G2647</f>
        <v>13372.2</v>
      </c>
      <c r="K2647" s="1365" t="n">
        <f aca="false">J2647/1792.8</f>
        <v>7.45883534136546</v>
      </c>
      <c r="L2647" s="547" t="n">
        <v>20</v>
      </c>
      <c r="M2647" s="819" t="n">
        <f aca="false">K2647*L2647/60</f>
        <v>2.48627844712182</v>
      </c>
    </row>
    <row r="2648" customFormat="false" ht="15" hidden="false" customHeight="false" outlineLevel="0" collapsed="false">
      <c r="A2648" s="216"/>
      <c r="B2648" s="40"/>
      <c r="C2648" s="1161" t="s">
        <v>7087</v>
      </c>
      <c r="D2648" s="912" t="n">
        <v>2007</v>
      </c>
      <c r="E2648" s="912" t="n">
        <f aca="false">2015-D2648</f>
        <v>8</v>
      </c>
      <c r="F2648" s="547" t="n">
        <v>61985</v>
      </c>
      <c r="G2648" s="1413" t="n">
        <v>0.1</v>
      </c>
      <c r="H2648" s="547" t="n">
        <f aca="false">E2648*F2648*G2648</f>
        <v>49588</v>
      </c>
      <c r="I2648" s="547" t="n">
        <f aca="false">F2648-H2648</f>
        <v>12397</v>
      </c>
      <c r="J2648" s="547" t="n">
        <f aca="false">F2648*G2648</f>
        <v>6198.5</v>
      </c>
      <c r="K2648" s="1365" t="n">
        <f aca="false">J2648/1792.8</f>
        <v>3.45744087460955</v>
      </c>
      <c r="L2648" s="547" t="n">
        <v>15</v>
      </c>
      <c r="M2648" s="819" t="n">
        <f aca="false">K2648*L2648/60</f>
        <v>0.864360218652387</v>
      </c>
    </row>
    <row r="2649" customFormat="false" ht="15" hidden="false" customHeight="false" outlineLevel="0" collapsed="false">
      <c r="A2649" s="216"/>
      <c r="B2649" s="40"/>
      <c r="C2649" s="1161" t="s">
        <v>7088</v>
      </c>
      <c r="D2649" s="912" t="n">
        <v>2006</v>
      </c>
      <c r="E2649" s="912" t="n">
        <f aca="false">2015-D2649</f>
        <v>9</v>
      </c>
      <c r="F2649" s="547" t="n">
        <v>138575</v>
      </c>
      <c r="G2649" s="1413" t="n">
        <v>0.1</v>
      </c>
      <c r="H2649" s="547" t="n">
        <f aca="false">E2649*F2649*G2649</f>
        <v>124717.5</v>
      </c>
      <c r="I2649" s="547" t="n">
        <f aca="false">F2649-H2649</f>
        <v>13857.5</v>
      </c>
      <c r="J2649" s="547" t="n">
        <f aca="false">F2649*G2649</f>
        <v>13857.5</v>
      </c>
      <c r="K2649" s="1365" t="n">
        <f aca="false">J2649/1792.8</f>
        <v>7.7295292280232</v>
      </c>
      <c r="L2649" s="547" t="n">
        <v>10</v>
      </c>
      <c r="M2649" s="819" t="n">
        <f aca="false">K2649*L2649/60</f>
        <v>1.2882548713372</v>
      </c>
    </row>
    <row r="2650" customFormat="false" ht="15" hidden="false" customHeight="false" outlineLevel="0" collapsed="false">
      <c r="A2650" s="216"/>
      <c r="B2650" s="40"/>
      <c r="C2650" s="1161" t="s">
        <v>6974</v>
      </c>
      <c r="D2650" s="912" t="n">
        <v>2015</v>
      </c>
      <c r="E2650" s="912" t="n">
        <f aca="false">2015-D2650</f>
        <v>0</v>
      </c>
      <c r="F2650" s="547" t="n">
        <v>330000</v>
      </c>
      <c r="G2650" s="1413" t="n">
        <v>0.1</v>
      </c>
      <c r="H2650" s="547" t="n">
        <f aca="false">E2650*F2650*G2650</f>
        <v>0</v>
      </c>
      <c r="I2650" s="547" t="n">
        <f aca="false">F2650-H2650</f>
        <v>330000</v>
      </c>
      <c r="J2650" s="547" t="n">
        <f aca="false">F2650*G2650</f>
        <v>33000</v>
      </c>
      <c r="K2650" s="1365" t="n">
        <f aca="false">J2650/1792.8</f>
        <v>18.4069611780455</v>
      </c>
      <c r="L2650" s="547" t="n">
        <v>80</v>
      </c>
      <c r="M2650" s="819" t="n">
        <f aca="false">K2650*L2650/60</f>
        <v>24.5426149040607</v>
      </c>
    </row>
    <row r="2651" customFormat="false" ht="15" hidden="false" customHeight="false" outlineLevel="0" collapsed="false">
      <c r="A2651" s="216"/>
      <c r="B2651" s="1053" t="s">
        <v>4128</v>
      </c>
      <c r="C2651" s="1161"/>
      <c r="D2651" s="912"/>
      <c r="E2651" s="912"/>
      <c r="F2651" s="547"/>
      <c r="G2651" s="1413"/>
      <c r="H2651" s="547"/>
      <c r="I2651" s="547"/>
      <c r="J2651" s="547"/>
      <c r="K2651" s="1365" t="n">
        <f aca="false">J2651/1792.8</f>
        <v>0</v>
      </c>
      <c r="L2651" s="547"/>
      <c r="M2651" s="934" t="n">
        <f aca="false">SUM(M2647:M2650)</f>
        <v>29.1815084411721</v>
      </c>
    </row>
    <row r="2652" customFormat="false" ht="15" hidden="false" customHeight="false" outlineLevel="0" collapsed="false">
      <c r="A2652" s="216" t="s">
        <v>1215</v>
      </c>
      <c r="B2652" s="40" t="s">
        <v>3364</v>
      </c>
      <c r="C2652" s="1161" t="s">
        <v>7086</v>
      </c>
      <c r="D2652" s="912" t="n">
        <v>2006</v>
      </c>
      <c r="E2652" s="912" t="n">
        <f aca="false">2015-D2652</f>
        <v>9</v>
      </c>
      <c r="F2652" s="547" t="n">
        <v>133722</v>
      </c>
      <c r="G2652" s="1413" t="n">
        <v>0.1</v>
      </c>
      <c r="H2652" s="547" t="n">
        <f aca="false">E2652*F2652*G2652</f>
        <v>120349.8</v>
      </c>
      <c r="I2652" s="547" t="n">
        <f aca="false">F2652-H2652</f>
        <v>13372.2</v>
      </c>
      <c r="J2652" s="547" t="n">
        <f aca="false">F2652*G2652</f>
        <v>13372.2</v>
      </c>
      <c r="K2652" s="1365" t="n">
        <f aca="false">J2652/1792.8</f>
        <v>7.45883534136546</v>
      </c>
      <c r="L2652" s="547" t="n">
        <v>20</v>
      </c>
      <c r="M2652" s="819" t="n">
        <f aca="false">K2652*L2652/60</f>
        <v>2.48627844712182</v>
      </c>
    </row>
    <row r="2653" customFormat="false" ht="15" hidden="false" customHeight="false" outlineLevel="0" collapsed="false">
      <c r="A2653" s="216"/>
      <c r="B2653" s="40"/>
      <c r="C2653" s="1161" t="s">
        <v>7087</v>
      </c>
      <c r="D2653" s="912" t="n">
        <v>2007</v>
      </c>
      <c r="E2653" s="912" t="n">
        <f aca="false">2015-D2653</f>
        <v>8</v>
      </c>
      <c r="F2653" s="547" t="n">
        <v>61985</v>
      </c>
      <c r="G2653" s="1413" t="n">
        <v>0.1</v>
      </c>
      <c r="H2653" s="547" t="n">
        <f aca="false">E2653*F2653*G2653</f>
        <v>49588</v>
      </c>
      <c r="I2653" s="547" t="n">
        <f aca="false">F2653-H2653</f>
        <v>12397</v>
      </c>
      <c r="J2653" s="547" t="n">
        <f aca="false">F2653*G2653</f>
        <v>6198.5</v>
      </c>
      <c r="K2653" s="1365" t="n">
        <f aca="false">J2653/1792.8</f>
        <v>3.45744087460955</v>
      </c>
      <c r="L2653" s="547" t="n">
        <v>15</v>
      </c>
      <c r="M2653" s="819" t="n">
        <f aca="false">K2653*L2653/60</f>
        <v>0.864360218652387</v>
      </c>
    </row>
    <row r="2654" customFormat="false" ht="15" hidden="false" customHeight="false" outlineLevel="0" collapsed="false">
      <c r="A2654" s="216"/>
      <c r="B2654" s="40"/>
      <c r="C2654" s="1161" t="s">
        <v>7088</v>
      </c>
      <c r="D2654" s="912" t="n">
        <v>2006</v>
      </c>
      <c r="E2654" s="912" t="n">
        <f aca="false">2015-D2654</f>
        <v>9</v>
      </c>
      <c r="F2654" s="547" t="n">
        <v>138575</v>
      </c>
      <c r="G2654" s="1413" t="n">
        <v>0.1</v>
      </c>
      <c r="H2654" s="547" t="n">
        <f aca="false">E2654*F2654*G2654</f>
        <v>124717.5</v>
      </c>
      <c r="I2654" s="547" t="n">
        <f aca="false">F2654-H2654</f>
        <v>13857.5</v>
      </c>
      <c r="J2654" s="547" t="n">
        <f aca="false">F2654*G2654</f>
        <v>13857.5</v>
      </c>
      <c r="K2654" s="1365" t="n">
        <f aca="false">J2654/1792.8</f>
        <v>7.7295292280232</v>
      </c>
      <c r="L2654" s="547" t="n">
        <v>10</v>
      </c>
      <c r="M2654" s="819" t="n">
        <f aca="false">K2654*L2654/60</f>
        <v>1.2882548713372</v>
      </c>
    </row>
    <row r="2655" customFormat="false" ht="15" hidden="false" customHeight="false" outlineLevel="0" collapsed="false">
      <c r="A2655" s="216"/>
      <c r="B2655" s="40"/>
      <c r="C2655" s="1161" t="s">
        <v>6974</v>
      </c>
      <c r="D2655" s="912" t="n">
        <v>2015</v>
      </c>
      <c r="E2655" s="912" t="n">
        <f aca="false">2015-D2655</f>
        <v>0</v>
      </c>
      <c r="F2655" s="547" t="n">
        <v>330000</v>
      </c>
      <c r="G2655" s="1413" t="n">
        <v>0.1</v>
      </c>
      <c r="H2655" s="547" t="n">
        <f aca="false">E2655*F2655*G2655</f>
        <v>0</v>
      </c>
      <c r="I2655" s="547" t="n">
        <f aca="false">F2655-H2655</f>
        <v>330000</v>
      </c>
      <c r="J2655" s="547" t="n">
        <f aca="false">F2655*G2655</f>
        <v>33000</v>
      </c>
      <c r="K2655" s="1365" t="n">
        <f aca="false">J2655/1792.8</f>
        <v>18.4069611780455</v>
      </c>
      <c r="L2655" s="547" t="n">
        <v>80</v>
      </c>
      <c r="M2655" s="819" t="n">
        <f aca="false">K2655*L2655/60</f>
        <v>24.5426149040607</v>
      </c>
    </row>
    <row r="2656" customFormat="false" ht="15" hidden="false" customHeight="false" outlineLevel="0" collapsed="false">
      <c r="A2656" s="216"/>
      <c r="B2656" s="1053" t="s">
        <v>4128</v>
      </c>
      <c r="C2656" s="1161"/>
      <c r="D2656" s="912"/>
      <c r="E2656" s="912"/>
      <c r="F2656" s="547"/>
      <c r="G2656" s="1413"/>
      <c r="H2656" s="547"/>
      <c r="I2656" s="547"/>
      <c r="J2656" s="547"/>
      <c r="K2656" s="1365" t="n">
        <f aca="false">J2656/1792.8</f>
        <v>0</v>
      </c>
      <c r="L2656" s="547"/>
      <c r="M2656" s="934" t="n">
        <f aca="false">SUM(M2652:M2655)</f>
        <v>29.1815084411721</v>
      </c>
    </row>
    <row r="2657" customFormat="false" ht="15" hidden="false" customHeight="false" outlineLevel="0" collapsed="false">
      <c r="A2657" s="216" t="s">
        <v>1217</v>
      </c>
      <c r="B2657" s="40" t="s">
        <v>3365</v>
      </c>
      <c r="C2657" s="1161" t="s">
        <v>7086</v>
      </c>
      <c r="D2657" s="912" t="n">
        <v>2006</v>
      </c>
      <c r="E2657" s="912" t="n">
        <f aca="false">2015-D2657</f>
        <v>9</v>
      </c>
      <c r="F2657" s="547" t="n">
        <v>133722</v>
      </c>
      <c r="G2657" s="1413" t="n">
        <v>0.1</v>
      </c>
      <c r="H2657" s="547" t="n">
        <f aca="false">E2657*F2657*G2657</f>
        <v>120349.8</v>
      </c>
      <c r="I2657" s="547" t="n">
        <f aca="false">F2657-H2657</f>
        <v>13372.2</v>
      </c>
      <c r="J2657" s="547" t="n">
        <f aca="false">F2657*G2657</f>
        <v>13372.2</v>
      </c>
      <c r="K2657" s="1365" t="n">
        <f aca="false">J2657/1792.8</f>
        <v>7.45883534136546</v>
      </c>
      <c r="L2657" s="547" t="n">
        <v>20</v>
      </c>
      <c r="M2657" s="819" t="n">
        <f aca="false">K2657*L2657/60</f>
        <v>2.48627844712182</v>
      </c>
    </row>
    <row r="2658" customFormat="false" ht="15" hidden="false" customHeight="false" outlineLevel="0" collapsed="false">
      <c r="A2658" s="216"/>
      <c r="B2658" s="40"/>
      <c r="C2658" s="1161" t="s">
        <v>7087</v>
      </c>
      <c r="D2658" s="912" t="n">
        <v>2007</v>
      </c>
      <c r="E2658" s="912" t="n">
        <f aca="false">2015-D2658</f>
        <v>8</v>
      </c>
      <c r="F2658" s="547" t="n">
        <v>61985</v>
      </c>
      <c r="G2658" s="1413" t="n">
        <v>0.1</v>
      </c>
      <c r="H2658" s="547" t="n">
        <f aca="false">E2658*F2658*G2658</f>
        <v>49588</v>
      </c>
      <c r="I2658" s="547" t="n">
        <f aca="false">F2658-H2658</f>
        <v>12397</v>
      </c>
      <c r="J2658" s="547" t="n">
        <f aca="false">F2658*G2658</f>
        <v>6198.5</v>
      </c>
      <c r="K2658" s="1365" t="n">
        <f aca="false">J2658/1792.8</f>
        <v>3.45744087460955</v>
      </c>
      <c r="L2658" s="547" t="n">
        <v>15</v>
      </c>
      <c r="M2658" s="819" t="n">
        <f aca="false">K2658*L2658/60</f>
        <v>0.864360218652387</v>
      </c>
    </row>
    <row r="2659" customFormat="false" ht="15" hidden="false" customHeight="false" outlineLevel="0" collapsed="false">
      <c r="A2659" s="216"/>
      <c r="B2659" s="40"/>
      <c r="C2659" s="1161" t="s">
        <v>7088</v>
      </c>
      <c r="D2659" s="912" t="n">
        <v>2006</v>
      </c>
      <c r="E2659" s="912" t="n">
        <f aca="false">2015-D2659</f>
        <v>9</v>
      </c>
      <c r="F2659" s="547" t="n">
        <v>138575</v>
      </c>
      <c r="G2659" s="1413" t="n">
        <v>0.1</v>
      </c>
      <c r="H2659" s="547" t="n">
        <f aca="false">E2659*F2659*G2659</f>
        <v>124717.5</v>
      </c>
      <c r="I2659" s="547" t="n">
        <f aca="false">F2659-H2659</f>
        <v>13857.5</v>
      </c>
      <c r="J2659" s="547" t="n">
        <f aca="false">F2659*G2659</f>
        <v>13857.5</v>
      </c>
      <c r="K2659" s="1365" t="n">
        <f aca="false">J2659/1792.8</f>
        <v>7.7295292280232</v>
      </c>
      <c r="L2659" s="547" t="n">
        <v>10</v>
      </c>
      <c r="M2659" s="819" t="n">
        <f aca="false">K2659*L2659/60</f>
        <v>1.2882548713372</v>
      </c>
    </row>
    <row r="2660" customFormat="false" ht="15" hidden="false" customHeight="false" outlineLevel="0" collapsed="false">
      <c r="A2660" s="216"/>
      <c r="B2660" s="40"/>
      <c r="C2660" s="1161" t="s">
        <v>6974</v>
      </c>
      <c r="D2660" s="912" t="n">
        <v>2015</v>
      </c>
      <c r="E2660" s="912" t="n">
        <f aca="false">2015-D2660</f>
        <v>0</v>
      </c>
      <c r="F2660" s="547" t="n">
        <v>330000</v>
      </c>
      <c r="G2660" s="1413" t="n">
        <v>0.1</v>
      </c>
      <c r="H2660" s="547" t="n">
        <f aca="false">E2660*F2660*G2660</f>
        <v>0</v>
      </c>
      <c r="I2660" s="547" t="n">
        <f aca="false">F2660-H2660</f>
        <v>330000</v>
      </c>
      <c r="J2660" s="547" t="n">
        <f aca="false">F2660*G2660</f>
        <v>33000</v>
      </c>
      <c r="K2660" s="1365" t="n">
        <f aca="false">J2660/1792.8</f>
        <v>18.4069611780455</v>
      </c>
      <c r="L2660" s="547" t="n">
        <v>80</v>
      </c>
      <c r="M2660" s="819" t="n">
        <f aca="false">K2660*L2660/60</f>
        <v>24.5426149040607</v>
      </c>
    </row>
    <row r="2661" customFormat="false" ht="15" hidden="false" customHeight="false" outlineLevel="0" collapsed="false">
      <c r="A2661" s="216"/>
      <c r="B2661" s="1053" t="s">
        <v>4128</v>
      </c>
      <c r="C2661" s="1161"/>
      <c r="D2661" s="912"/>
      <c r="E2661" s="912"/>
      <c r="F2661" s="547"/>
      <c r="G2661" s="1413"/>
      <c r="H2661" s="547"/>
      <c r="I2661" s="547"/>
      <c r="J2661" s="547"/>
      <c r="K2661" s="1365" t="n">
        <f aca="false">J2661/1792.8</f>
        <v>0</v>
      </c>
      <c r="L2661" s="547"/>
      <c r="M2661" s="934" t="n">
        <f aca="false">SUM(M2657:M2660)</f>
        <v>29.1815084411721</v>
      </c>
    </row>
    <row r="2662" customFormat="false" ht="15" hidden="false" customHeight="false" outlineLevel="0" collapsed="false">
      <c r="A2662" s="216" t="s">
        <v>1219</v>
      </c>
      <c r="B2662" s="40" t="s">
        <v>3366</v>
      </c>
      <c r="C2662" s="1161" t="s">
        <v>7086</v>
      </c>
      <c r="D2662" s="912" t="n">
        <v>2006</v>
      </c>
      <c r="E2662" s="912" t="n">
        <f aca="false">2015-D2662</f>
        <v>9</v>
      </c>
      <c r="F2662" s="547" t="n">
        <v>133722</v>
      </c>
      <c r="G2662" s="1413" t="n">
        <v>0.1</v>
      </c>
      <c r="H2662" s="547" t="n">
        <f aca="false">E2662*F2662*G2662</f>
        <v>120349.8</v>
      </c>
      <c r="I2662" s="547" t="n">
        <f aca="false">F2662-H2662</f>
        <v>13372.2</v>
      </c>
      <c r="J2662" s="547" t="n">
        <f aca="false">F2662*G2662</f>
        <v>13372.2</v>
      </c>
      <c r="K2662" s="1365" t="n">
        <f aca="false">J2662/1792.8</f>
        <v>7.45883534136546</v>
      </c>
      <c r="L2662" s="547" t="n">
        <v>20</v>
      </c>
      <c r="M2662" s="819" t="n">
        <f aca="false">K2662*L2662/60</f>
        <v>2.48627844712182</v>
      </c>
    </row>
    <row r="2663" customFormat="false" ht="15" hidden="false" customHeight="false" outlineLevel="0" collapsed="false">
      <c r="A2663" s="216"/>
      <c r="B2663" s="40"/>
      <c r="C2663" s="1161" t="s">
        <v>7087</v>
      </c>
      <c r="D2663" s="912" t="n">
        <v>2007</v>
      </c>
      <c r="E2663" s="912" t="n">
        <f aca="false">2015-D2663</f>
        <v>8</v>
      </c>
      <c r="F2663" s="547" t="n">
        <v>61985</v>
      </c>
      <c r="G2663" s="1413" t="n">
        <v>0.1</v>
      </c>
      <c r="H2663" s="547" t="n">
        <f aca="false">E2663*F2663*G2663</f>
        <v>49588</v>
      </c>
      <c r="I2663" s="547" t="n">
        <f aca="false">F2663-H2663</f>
        <v>12397</v>
      </c>
      <c r="J2663" s="547" t="n">
        <f aca="false">F2663*G2663</f>
        <v>6198.5</v>
      </c>
      <c r="K2663" s="1365" t="n">
        <f aca="false">J2663/1792.8</f>
        <v>3.45744087460955</v>
      </c>
      <c r="L2663" s="547" t="n">
        <v>15</v>
      </c>
      <c r="M2663" s="819" t="n">
        <f aca="false">K2663*L2663/60</f>
        <v>0.864360218652387</v>
      </c>
    </row>
    <row r="2664" customFormat="false" ht="15" hidden="false" customHeight="false" outlineLevel="0" collapsed="false">
      <c r="A2664" s="216"/>
      <c r="B2664" s="40"/>
      <c r="C2664" s="1161" t="s">
        <v>7088</v>
      </c>
      <c r="D2664" s="912" t="n">
        <v>2006</v>
      </c>
      <c r="E2664" s="912" t="n">
        <f aca="false">2015-D2664</f>
        <v>9</v>
      </c>
      <c r="F2664" s="547" t="n">
        <v>138575</v>
      </c>
      <c r="G2664" s="1413" t="n">
        <v>0.1</v>
      </c>
      <c r="H2664" s="547" t="n">
        <f aca="false">E2664*F2664*G2664</f>
        <v>124717.5</v>
      </c>
      <c r="I2664" s="547" t="n">
        <f aca="false">F2664-H2664</f>
        <v>13857.5</v>
      </c>
      <c r="J2664" s="547" t="n">
        <f aca="false">F2664*G2664</f>
        <v>13857.5</v>
      </c>
      <c r="K2664" s="1365" t="n">
        <f aca="false">J2664/1792.8</f>
        <v>7.7295292280232</v>
      </c>
      <c r="L2664" s="547" t="n">
        <v>10</v>
      </c>
      <c r="M2664" s="819" t="n">
        <f aca="false">K2664*L2664/60</f>
        <v>1.2882548713372</v>
      </c>
    </row>
    <row r="2665" customFormat="false" ht="15" hidden="false" customHeight="false" outlineLevel="0" collapsed="false">
      <c r="A2665" s="216"/>
      <c r="B2665" s="40"/>
      <c r="C2665" s="1161" t="s">
        <v>6974</v>
      </c>
      <c r="D2665" s="912" t="n">
        <v>2015</v>
      </c>
      <c r="E2665" s="912" t="n">
        <f aca="false">2015-D2665</f>
        <v>0</v>
      </c>
      <c r="F2665" s="547" t="n">
        <v>330000</v>
      </c>
      <c r="G2665" s="1413" t="n">
        <v>0.1</v>
      </c>
      <c r="H2665" s="547" t="n">
        <f aca="false">E2665*F2665*G2665</f>
        <v>0</v>
      </c>
      <c r="I2665" s="547" t="n">
        <f aca="false">F2665-H2665</f>
        <v>330000</v>
      </c>
      <c r="J2665" s="547" t="n">
        <f aca="false">F2665*G2665</f>
        <v>33000</v>
      </c>
      <c r="K2665" s="1365" t="n">
        <f aca="false">J2665/1792.8</f>
        <v>18.4069611780455</v>
      </c>
      <c r="L2665" s="547" t="n">
        <v>80</v>
      </c>
      <c r="M2665" s="819" t="n">
        <f aca="false">K2665*L2665/60</f>
        <v>24.5426149040607</v>
      </c>
    </row>
    <row r="2666" customFormat="false" ht="15" hidden="false" customHeight="false" outlineLevel="0" collapsed="false">
      <c r="A2666" s="216"/>
      <c r="B2666" s="1053" t="s">
        <v>4128</v>
      </c>
      <c r="C2666" s="1161"/>
      <c r="D2666" s="912"/>
      <c r="E2666" s="912"/>
      <c r="F2666" s="547"/>
      <c r="G2666" s="1413"/>
      <c r="H2666" s="547"/>
      <c r="I2666" s="547"/>
      <c r="J2666" s="547"/>
      <c r="K2666" s="1365" t="n">
        <f aca="false">J2666/1792.8</f>
        <v>0</v>
      </c>
      <c r="L2666" s="547"/>
      <c r="M2666" s="934" t="n">
        <f aca="false">SUM(M2662:M2665)</f>
        <v>29.1815084411721</v>
      </c>
    </row>
    <row r="2667" customFormat="false" ht="15" hidden="false" customHeight="false" outlineLevel="0" collapsed="false">
      <c r="A2667" s="216" t="s">
        <v>1221</v>
      </c>
      <c r="B2667" s="40" t="s">
        <v>3367</v>
      </c>
      <c r="C2667" s="1161" t="s">
        <v>7086</v>
      </c>
      <c r="D2667" s="912" t="n">
        <v>2006</v>
      </c>
      <c r="E2667" s="912" t="n">
        <f aca="false">2015-D2667</f>
        <v>9</v>
      </c>
      <c r="F2667" s="547" t="n">
        <v>133722</v>
      </c>
      <c r="G2667" s="1413" t="n">
        <v>0.1</v>
      </c>
      <c r="H2667" s="547" t="n">
        <f aca="false">E2667*F2667*G2667</f>
        <v>120349.8</v>
      </c>
      <c r="I2667" s="547" t="n">
        <f aca="false">F2667-H2667</f>
        <v>13372.2</v>
      </c>
      <c r="J2667" s="547" t="n">
        <f aca="false">F2667*G2667</f>
        <v>13372.2</v>
      </c>
      <c r="K2667" s="1365" t="n">
        <f aca="false">J2667/1792.8</f>
        <v>7.45883534136546</v>
      </c>
      <c r="L2667" s="547" t="n">
        <v>20</v>
      </c>
      <c r="M2667" s="819" t="n">
        <f aca="false">K2667*L2667/60</f>
        <v>2.48627844712182</v>
      </c>
    </row>
    <row r="2668" customFormat="false" ht="15" hidden="false" customHeight="false" outlineLevel="0" collapsed="false">
      <c r="A2668" s="216"/>
      <c r="B2668" s="40"/>
      <c r="C2668" s="1161" t="s">
        <v>7087</v>
      </c>
      <c r="D2668" s="912" t="n">
        <v>2007</v>
      </c>
      <c r="E2668" s="912" t="n">
        <f aca="false">2015-D2668</f>
        <v>8</v>
      </c>
      <c r="F2668" s="547" t="n">
        <v>61985</v>
      </c>
      <c r="G2668" s="1413" t="n">
        <v>0.1</v>
      </c>
      <c r="H2668" s="547" t="n">
        <f aca="false">E2668*F2668*G2668</f>
        <v>49588</v>
      </c>
      <c r="I2668" s="547" t="n">
        <f aca="false">F2668-H2668</f>
        <v>12397</v>
      </c>
      <c r="J2668" s="547" t="n">
        <f aca="false">F2668*G2668</f>
        <v>6198.5</v>
      </c>
      <c r="K2668" s="1365" t="n">
        <f aca="false">J2668/1792.8</f>
        <v>3.45744087460955</v>
      </c>
      <c r="L2668" s="547" t="n">
        <v>15</v>
      </c>
      <c r="M2668" s="819" t="n">
        <f aca="false">K2668*L2668/60</f>
        <v>0.864360218652387</v>
      </c>
    </row>
    <row r="2669" customFormat="false" ht="15" hidden="false" customHeight="false" outlineLevel="0" collapsed="false">
      <c r="A2669" s="216"/>
      <c r="B2669" s="40"/>
      <c r="C2669" s="1161" t="s">
        <v>7088</v>
      </c>
      <c r="D2669" s="912" t="n">
        <v>2006</v>
      </c>
      <c r="E2669" s="912" t="n">
        <f aca="false">2015-D2669</f>
        <v>9</v>
      </c>
      <c r="F2669" s="547" t="n">
        <v>138575</v>
      </c>
      <c r="G2669" s="1413" t="n">
        <v>0.1</v>
      </c>
      <c r="H2669" s="547" t="n">
        <f aca="false">E2669*F2669*G2669</f>
        <v>124717.5</v>
      </c>
      <c r="I2669" s="547" t="n">
        <f aca="false">F2669-H2669</f>
        <v>13857.5</v>
      </c>
      <c r="J2669" s="547" t="n">
        <f aca="false">F2669*G2669</f>
        <v>13857.5</v>
      </c>
      <c r="K2669" s="1365" t="n">
        <f aca="false">J2669/1792.8</f>
        <v>7.7295292280232</v>
      </c>
      <c r="L2669" s="547" t="n">
        <v>10</v>
      </c>
      <c r="M2669" s="819" t="n">
        <f aca="false">K2669*L2669/60</f>
        <v>1.2882548713372</v>
      </c>
    </row>
    <row r="2670" customFormat="false" ht="15" hidden="false" customHeight="false" outlineLevel="0" collapsed="false">
      <c r="A2670" s="216"/>
      <c r="B2670" s="40"/>
      <c r="C2670" s="1161" t="s">
        <v>6974</v>
      </c>
      <c r="D2670" s="912" t="n">
        <v>2015</v>
      </c>
      <c r="E2670" s="912" t="n">
        <f aca="false">2015-D2670</f>
        <v>0</v>
      </c>
      <c r="F2670" s="547" t="n">
        <v>330000</v>
      </c>
      <c r="G2670" s="1413" t="n">
        <v>0.1</v>
      </c>
      <c r="H2670" s="547" t="n">
        <f aca="false">E2670*F2670*G2670</f>
        <v>0</v>
      </c>
      <c r="I2670" s="547" t="n">
        <f aca="false">F2670-H2670</f>
        <v>330000</v>
      </c>
      <c r="J2670" s="547" t="n">
        <f aca="false">F2670*G2670</f>
        <v>33000</v>
      </c>
      <c r="K2670" s="1365" t="n">
        <f aca="false">J2670/1792.8</f>
        <v>18.4069611780455</v>
      </c>
      <c r="L2670" s="547" t="n">
        <v>80</v>
      </c>
      <c r="M2670" s="819" t="n">
        <f aca="false">K2670*L2670/60</f>
        <v>24.5426149040607</v>
      </c>
    </row>
    <row r="2671" customFormat="false" ht="15" hidden="false" customHeight="false" outlineLevel="0" collapsed="false">
      <c r="A2671" s="216"/>
      <c r="B2671" s="1053" t="s">
        <v>4128</v>
      </c>
      <c r="C2671" s="1161"/>
      <c r="D2671" s="912"/>
      <c r="E2671" s="912"/>
      <c r="F2671" s="547"/>
      <c r="G2671" s="1413"/>
      <c r="H2671" s="547"/>
      <c r="I2671" s="547"/>
      <c r="J2671" s="547"/>
      <c r="K2671" s="1365" t="n">
        <f aca="false">J2671/1792.8</f>
        <v>0</v>
      </c>
      <c r="L2671" s="547"/>
      <c r="M2671" s="934" t="n">
        <f aca="false">SUM(M2667:M2670)</f>
        <v>29.1815084411721</v>
      </c>
    </row>
    <row r="2672" customFormat="false" ht="15" hidden="false" customHeight="false" outlineLevel="0" collapsed="false">
      <c r="A2672" s="216" t="s">
        <v>1223</v>
      </c>
      <c r="B2672" s="40" t="s">
        <v>3368</v>
      </c>
      <c r="C2672" s="1161" t="s">
        <v>7086</v>
      </c>
      <c r="D2672" s="912" t="n">
        <v>2006</v>
      </c>
      <c r="E2672" s="912" t="n">
        <f aca="false">2015-D2672</f>
        <v>9</v>
      </c>
      <c r="F2672" s="547" t="n">
        <v>133722</v>
      </c>
      <c r="G2672" s="1413" t="n">
        <v>0.1</v>
      </c>
      <c r="H2672" s="547" t="n">
        <f aca="false">E2672*F2672*G2672</f>
        <v>120349.8</v>
      </c>
      <c r="I2672" s="547" t="n">
        <f aca="false">F2672-H2672</f>
        <v>13372.2</v>
      </c>
      <c r="J2672" s="547" t="n">
        <f aca="false">F2672*G2672</f>
        <v>13372.2</v>
      </c>
      <c r="K2672" s="1365" t="n">
        <f aca="false">J2672/1792.8</f>
        <v>7.45883534136546</v>
      </c>
      <c r="L2672" s="547" t="n">
        <v>20</v>
      </c>
      <c r="M2672" s="819" t="n">
        <f aca="false">K2672*L2672/60</f>
        <v>2.48627844712182</v>
      </c>
    </row>
    <row r="2673" customFormat="false" ht="15" hidden="false" customHeight="false" outlineLevel="0" collapsed="false">
      <c r="A2673" s="216"/>
      <c r="B2673" s="40"/>
      <c r="C2673" s="1161" t="s">
        <v>7087</v>
      </c>
      <c r="D2673" s="912" t="n">
        <v>2007</v>
      </c>
      <c r="E2673" s="912" t="n">
        <f aca="false">2015-D2673</f>
        <v>8</v>
      </c>
      <c r="F2673" s="547" t="n">
        <v>61985</v>
      </c>
      <c r="G2673" s="1413" t="n">
        <v>0.1</v>
      </c>
      <c r="H2673" s="547" t="n">
        <f aca="false">E2673*F2673*G2673</f>
        <v>49588</v>
      </c>
      <c r="I2673" s="547" t="n">
        <f aca="false">F2673-H2673</f>
        <v>12397</v>
      </c>
      <c r="J2673" s="547" t="n">
        <f aca="false">F2673*G2673</f>
        <v>6198.5</v>
      </c>
      <c r="K2673" s="1365" t="n">
        <f aca="false">J2673/1792.8</f>
        <v>3.45744087460955</v>
      </c>
      <c r="L2673" s="547" t="n">
        <v>15</v>
      </c>
      <c r="M2673" s="819" t="n">
        <f aca="false">K2673*L2673/60</f>
        <v>0.864360218652387</v>
      </c>
    </row>
    <row r="2674" customFormat="false" ht="15" hidden="false" customHeight="false" outlineLevel="0" collapsed="false">
      <c r="A2674" s="216"/>
      <c r="B2674" s="40"/>
      <c r="C2674" s="1161" t="s">
        <v>7088</v>
      </c>
      <c r="D2674" s="912" t="n">
        <v>2006</v>
      </c>
      <c r="E2674" s="912" t="n">
        <f aca="false">2015-D2674</f>
        <v>9</v>
      </c>
      <c r="F2674" s="547" t="n">
        <v>138575</v>
      </c>
      <c r="G2674" s="1413" t="n">
        <v>0.1</v>
      </c>
      <c r="H2674" s="547" t="n">
        <f aca="false">E2674*F2674*G2674</f>
        <v>124717.5</v>
      </c>
      <c r="I2674" s="547" t="n">
        <f aca="false">F2674-H2674</f>
        <v>13857.5</v>
      </c>
      <c r="J2674" s="547" t="n">
        <f aca="false">F2674*G2674</f>
        <v>13857.5</v>
      </c>
      <c r="K2674" s="1365" t="n">
        <f aca="false">J2674/1792.8</f>
        <v>7.7295292280232</v>
      </c>
      <c r="L2674" s="547" t="n">
        <v>10</v>
      </c>
      <c r="M2674" s="819" t="n">
        <f aca="false">K2674*L2674/60</f>
        <v>1.2882548713372</v>
      </c>
    </row>
    <row r="2675" customFormat="false" ht="15" hidden="false" customHeight="false" outlineLevel="0" collapsed="false">
      <c r="A2675" s="216"/>
      <c r="B2675" s="40"/>
      <c r="C2675" s="1161" t="s">
        <v>6974</v>
      </c>
      <c r="D2675" s="912" t="n">
        <v>2015</v>
      </c>
      <c r="E2675" s="912" t="n">
        <f aca="false">2015-D2675</f>
        <v>0</v>
      </c>
      <c r="F2675" s="547" t="n">
        <v>330000</v>
      </c>
      <c r="G2675" s="1413" t="n">
        <v>0.1</v>
      </c>
      <c r="H2675" s="547" t="n">
        <f aca="false">E2675*F2675*G2675</f>
        <v>0</v>
      </c>
      <c r="I2675" s="547" t="n">
        <f aca="false">F2675-H2675</f>
        <v>330000</v>
      </c>
      <c r="J2675" s="547" t="n">
        <f aca="false">F2675*G2675</f>
        <v>33000</v>
      </c>
      <c r="K2675" s="1365" t="n">
        <f aca="false">J2675/1792.8</f>
        <v>18.4069611780455</v>
      </c>
      <c r="L2675" s="547" t="n">
        <v>80</v>
      </c>
      <c r="M2675" s="819" t="n">
        <f aca="false">K2675*L2675/60</f>
        <v>24.5426149040607</v>
      </c>
    </row>
    <row r="2676" customFormat="false" ht="15" hidden="false" customHeight="false" outlineLevel="0" collapsed="false">
      <c r="A2676" s="216"/>
      <c r="B2676" s="1053" t="s">
        <v>4128</v>
      </c>
      <c r="C2676" s="1161"/>
      <c r="D2676" s="912"/>
      <c r="E2676" s="912"/>
      <c r="F2676" s="547"/>
      <c r="G2676" s="1413"/>
      <c r="H2676" s="547"/>
      <c r="I2676" s="547"/>
      <c r="J2676" s="547"/>
      <c r="K2676" s="1365" t="n">
        <f aca="false">J2676/1792.8</f>
        <v>0</v>
      </c>
      <c r="L2676" s="547"/>
      <c r="M2676" s="934" t="n">
        <f aca="false">SUM(M2672:M2675)</f>
        <v>29.1815084411721</v>
      </c>
    </row>
    <row r="2677" customFormat="false" ht="15" hidden="false" customHeight="false" outlineLevel="0" collapsed="false">
      <c r="A2677" s="216" t="s">
        <v>1225</v>
      </c>
      <c r="B2677" s="40" t="s">
        <v>3369</v>
      </c>
      <c r="C2677" s="1161" t="s">
        <v>7086</v>
      </c>
      <c r="D2677" s="912" t="n">
        <v>2006</v>
      </c>
      <c r="E2677" s="912" t="n">
        <f aca="false">2015-D2677</f>
        <v>9</v>
      </c>
      <c r="F2677" s="547" t="n">
        <v>133722</v>
      </c>
      <c r="G2677" s="1413" t="n">
        <v>0.1</v>
      </c>
      <c r="H2677" s="547" t="n">
        <f aca="false">E2677*F2677*G2677</f>
        <v>120349.8</v>
      </c>
      <c r="I2677" s="547" t="n">
        <f aca="false">F2677-H2677</f>
        <v>13372.2</v>
      </c>
      <c r="J2677" s="547" t="n">
        <f aca="false">F2677*G2677</f>
        <v>13372.2</v>
      </c>
      <c r="K2677" s="1365" t="n">
        <f aca="false">J2677/1792.8</f>
        <v>7.45883534136546</v>
      </c>
      <c r="L2677" s="547" t="n">
        <v>20</v>
      </c>
      <c r="M2677" s="819" t="n">
        <f aca="false">K2677*L2677/60</f>
        <v>2.48627844712182</v>
      </c>
    </row>
    <row r="2678" customFormat="false" ht="15" hidden="false" customHeight="false" outlineLevel="0" collapsed="false">
      <c r="A2678" s="216"/>
      <c r="B2678" s="40"/>
      <c r="C2678" s="1161" t="s">
        <v>7087</v>
      </c>
      <c r="D2678" s="912" t="n">
        <v>2007</v>
      </c>
      <c r="E2678" s="912" t="n">
        <f aca="false">2015-D2678</f>
        <v>8</v>
      </c>
      <c r="F2678" s="547" t="n">
        <v>61985</v>
      </c>
      <c r="G2678" s="1413" t="n">
        <v>0.1</v>
      </c>
      <c r="H2678" s="547" t="n">
        <f aca="false">E2678*F2678*G2678</f>
        <v>49588</v>
      </c>
      <c r="I2678" s="547" t="n">
        <f aca="false">F2678-H2678</f>
        <v>12397</v>
      </c>
      <c r="J2678" s="547" t="n">
        <f aca="false">F2678*G2678</f>
        <v>6198.5</v>
      </c>
      <c r="K2678" s="1365" t="n">
        <f aca="false">J2678/1792.8</f>
        <v>3.45744087460955</v>
      </c>
      <c r="L2678" s="547" t="n">
        <v>15</v>
      </c>
      <c r="M2678" s="819" t="n">
        <f aca="false">K2678*L2678/60</f>
        <v>0.864360218652387</v>
      </c>
    </row>
    <row r="2679" customFormat="false" ht="15" hidden="false" customHeight="false" outlineLevel="0" collapsed="false">
      <c r="A2679" s="216"/>
      <c r="B2679" s="40"/>
      <c r="C2679" s="1161" t="s">
        <v>7088</v>
      </c>
      <c r="D2679" s="912" t="n">
        <v>2006</v>
      </c>
      <c r="E2679" s="912" t="n">
        <f aca="false">2015-D2679</f>
        <v>9</v>
      </c>
      <c r="F2679" s="547" t="n">
        <v>138575</v>
      </c>
      <c r="G2679" s="1413" t="n">
        <v>0.1</v>
      </c>
      <c r="H2679" s="547" t="n">
        <f aca="false">E2679*F2679*G2679</f>
        <v>124717.5</v>
      </c>
      <c r="I2679" s="547" t="n">
        <f aca="false">F2679-H2679</f>
        <v>13857.5</v>
      </c>
      <c r="J2679" s="547" t="n">
        <f aca="false">F2679*G2679</f>
        <v>13857.5</v>
      </c>
      <c r="K2679" s="1365" t="n">
        <f aca="false">J2679/1792.8</f>
        <v>7.7295292280232</v>
      </c>
      <c r="L2679" s="547" t="n">
        <v>10</v>
      </c>
      <c r="M2679" s="819" t="n">
        <f aca="false">K2679*L2679/60</f>
        <v>1.2882548713372</v>
      </c>
    </row>
    <row r="2680" customFormat="false" ht="15" hidden="false" customHeight="false" outlineLevel="0" collapsed="false">
      <c r="A2680" s="216"/>
      <c r="B2680" s="40"/>
      <c r="C2680" s="1161" t="s">
        <v>6974</v>
      </c>
      <c r="D2680" s="912" t="n">
        <v>2015</v>
      </c>
      <c r="E2680" s="912" t="n">
        <f aca="false">2015-D2680</f>
        <v>0</v>
      </c>
      <c r="F2680" s="547" t="n">
        <v>330000</v>
      </c>
      <c r="G2680" s="1413" t="n">
        <v>0.1</v>
      </c>
      <c r="H2680" s="547" t="n">
        <f aca="false">E2680*F2680*G2680</f>
        <v>0</v>
      </c>
      <c r="I2680" s="547" t="n">
        <f aca="false">F2680-H2680</f>
        <v>330000</v>
      </c>
      <c r="J2680" s="547" t="n">
        <f aca="false">F2680*G2680</f>
        <v>33000</v>
      </c>
      <c r="K2680" s="1365" t="n">
        <f aca="false">J2680/1792.8</f>
        <v>18.4069611780455</v>
      </c>
      <c r="L2680" s="547" t="n">
        <v>80</v>
      </c>
      <c r="M2680" s="819" t="n">
        <f aca="false">K2680*L2680/60</f>
        <v>24.5426149040607</v>
      </c>
    </row>
    <row r="2681" customFormat="false" ht="15" hidden="false" customHeight="false" outlineLevel="0" collapsed="false">
      <c r="A2681" s="216"/>
      <c r="B2681" s="1053" t="s">
        <v>4128</v>
      </c>
      <c r="C2681" s="1161"/>
      <c r="D2681" s="912"/>
      <c r="E2681" s="912"/>
      <c r="F2681" s="547"/>
      <c r="G2681" s="1413"/>
      <c r="H2681" s="547"/>
      <c r="I2681" s="547"/>
      <c r="J2681" s="547"/>
      <c r="K2681" s="1365" t="n">
        <f aca="false">J2681/1792.8</f>
        <v>0</v>
      </c>
      <c r="L2681" s="547"/>
      <c r="M2681" s="934" t="n">
        <f aca="false">SUM(M2677:M2680)</f>
        <v>29.1815084411721</v>
      </c>
    </row>
    <row r="2682" customFormat="false" ht="15" hidden="false" customHeight="false" outlineLevel="0" collapsed="false">
      <c r="A2682" s="216" t="s">
        <v>1227</v>
      </c>
      <c r="B2682" s="40" t="s">
        <v>3370</v>
      </c>
      <c r="C2682" s="1161" t="s">
        <v>7086</v>
      </c>
      <c r="D2682" s="912" t="n">
        <v>2006</v>
      </c>
      <c r="E2682" s="912" t="n">
        <f aca="false">2015-D2682</f>
        <v>9</v>
      </c>
      <c r="F2682" s="547" t="n">
        <v>133722</v>
      </c>
      <c r="G2682" s="1413" t="n">
        <v>0.1</v>
      </c>
      <c r="H2682" s="547" t="n">
        <f aca="false">E2682*F2682*G2682</f>
        <v>120349.8</v>
      </c>
      <c r="I2682" s="547" t="n">
        <f aca="false">F2682-H2682</f>
        <v>13372.2</v>
      </c>
      <c r="J2682" s="547" t="n">
        <f aca="false">F2682*G2682</f>
        <v>13372.2</v>
      </c>
      <c r="K2682" s="1365" t="n">
        <f aca="false">J2682/1792.8</f>
        <v>7.45883534136546</v>
      </c>
      <c r="L2682" s="547" t="n">
        <v>20</v>
      </c>
      <c r="M2682" s="819" t="n">
        <f aca="false">K2682*L2682/60</f>
        <v>2.48627844712182</v>
      </c>
    </row>
    <row r="2683" customFormat="false" ht="15" hidden="false" customHeight="false" outlineLevel="0" collapsed="false">
      <c r="A2683" s="216"/>
      <c r="B2683" s="40"/>
      <c r="C2683" s="1161" t="s">
        <v>7087</v>
      </c>
      <c r="D2683" s="912" t="n">
        <v>2007</v>
      </c>
      <c r="E2683" s="912" t="n">
        <f aca="false">2015-D2683</f>
        <v>8</v>
      </c>
      <c r="F2683" s="547" t="n">
        <v>61985</v>
      </c>
      <c r="G2683" s="1413" t="n">
        <v>0.1</v>
      </c>
      <c r="H2683" s="547" t="n">
        <f aca="false">E2683*F2683*G2683</f>
        <v>49588</v>
      </c>
      <c r="I2683" s="547" t="n">
        <f aca="false">F2683-H2683</f>
        <v>12397</v>
      </c>
      <c r="J2683" s="547" t="n">
        <f aca="false">F2683*G2683</f>
        <v>6198.5</v>
      </c>
      <c r="K2683" s="1365" t="n">
        <f aca="false">J2683/1792.8</f>
        <v>3.45744087460955</v>
      </c>
      <c r="L2683" s="547" t="n">
        <v>15</v>
      </c>
      <c r="M2683" s="819" t="n">
        <f aca="false">K2683*L2683/60</f>
        <v>0.864360218652387</v>
      </c>
    </row>
    <row r="2684" customFormat="false" ht="15" hidden="false" customHeight="false" outlineLevel="0" collapsed="false">
      <c r="A2684" s="216"/>
      <c r="B2684" s="40"/>
      <c r="C2684" s="1161" t="s">
        <v>7088</v>
      </c>
      <c r="D2684" s="912" t="n">
        <v>2006</v>
      </c>
      <c r="E2684" s="912" t="n">
        <f aca="false">2015-D2684</f>
        <v>9</v>
      </c>
      <c r="F2684" s="547" t="n">
        <v>138575</v>
      </c>
      <c r="G2684" s="1413" t="n">
        <v>0.1</v>
      </c>
      <c r="H2684" s="547" t="n">
        <f aca="false">E2684*F2684*G2684</f>
        <v>124717.5</v>
      </c>
      <c r="I2684" s="547" t="n">
        <f aca="false">F2684-H2684</f>
        <v>13857.5</v>
      </c>
      <c r="J2684" s="547" t="n">
        <f aca="false">F2684*G2684</f>
        <v>13857.5</v>
      </c>
      <c r="K2684" s="1365" t="n">
        <f aca="false">J2684/1792.8</f>
        <v>7.7295292280232</v>
      </c>
      <c r="L2684" s="547" t="n">
        <v>10</v>
      </c>
      <c r="M2684" s="819" t="n">
        <f aca="false">K2684*L2684/60</f>
        <v>1.2882548713372</v>
      </c>
    </row>
    <row r="2685" customFormat="false" ht="15" hidden="false" customHeight="false" outlineLevel="0" collapsed="false">
      <c r="A2685" s="216"/>
      <c r="B2685" s="40"/>
      <c r="C2685" s="1161" t="s">
        <v>6974</v>
      </c>
      <c r="D2685" s="912" t="n">
        <v>2015</v>
      </c>
      <c r="E2685" s="912" t="n">
        <f aca="false">2015-D2685</f>
        <v>0</v>
      </c>
      <c r="F2685" s="547" t="n">
        <v>330000</v>
      </c>
      <c r="G2685" s="1413" t="n">
        <v>0.1</v>
      </c>
      <c r="H2685" s="547" t="n">
        <f aca="false">E2685*F2685*G2685</f>
        <v>0</v>
      </c>
      <c r="I2685" s="547" t="n">
        <f aca="false">F2685-H2685</f>
        <v>330000</v>
      </c>
      <c r="J2685" s="547" t="n">
        <f aca="false">F2685*G2685</f>
        <v>33000</v>
      </c>
      <c r="K2685" s="1365" t="n">
        <f aca="false">J2685/1792.8</f>
        <v>18.4069611780455</v>
      </c>
      <c r="L2685" s="547" t="n">
        <v>80</v>
      </c>
      <c r="M2685" s="819" t="n">
        <f aca="false">K2685*L2685/60</f>
        <v>24.5426149040607</v>
      </c>
    </row>
    <row r="2686" customFormat="false" ht="15" hidden="false" customHeight="false" outlineLevel="0" collapsed="false">
      <c r="A2686" s="216"/>
      <c r="B2686" s="1053" t="s">
        <v>4128</v>
      </c>
      <c r="C2686" s="1161"/>
      <c r="D2686" s="912"/>
      <c r="E2686" s="912"/>
      <c r="F2686" s="547"/>
      <c r="G2686" s="1413"/>
      <c r="H2686" s="547"/>
      <c r="I2686" s="547"/>
      <c r="J2686" s="547"/>
      <c r="K2686" s="1365" t="n">
        <f aca="false">J2686/1792.8</f>
        <v>0</v>
      </c>
      <c r="L2686" s="547"/>
      <c r="M2686" s="934" t="n">
        <f aca="false">SUM(M2682:M2685)</f>
        <v>29.1815084411721</v>
      </c>
    </row>
    <row r="2687" customFormat="false" ht="15" hidden="false" customHeight="false" outlineLevel="0" collapsed="false">
      <c r="A2687" s="216" t="s">
        <v>1229</v>
      </c>
      <c r="B2687" s="40" t="s">
        <v>3371</v>
      </c>
      <c r="C2687" s="1161" t="s">
        <v>7086</v>
      </c>
      <c r="D2687" s="912" t="n">
        <v>2006</v>
      </c>
      <c r="E2687" s="912" t="n">
        <f aca="false">2015-D2687</f>
        <v>9</v>
      </c>
      <c r="F2687" s="547" t="n">
        <v>133722</v>
      </c>
      <c r="G2687" s="1413" t="n">
        <v>0.1</v>
      </c>
      <c r="H2687" s="547" t="n">
        <f aca="false">E2687*F2687*G2687</f>
        <v>120349.8</v>
      </c>
      <c r="I2687" s="547" t="n">
        <f aca="false">F2687-H2687</f>
        <v>13372.2</v>
      </c>
      <c r="J2687" s="547" t="n">
        <f aca="false">F2687*G2687</f>
        <v>13372.2</v>
      </c>
      <c r="K2687" s="1365" t="n">
        <f aca="false">J2687/1792.8</f>
        <v>7.45883534136546</v>
      </c>
      <c r="L2687" s="547" t="n">
        <v>20</v>
      </c>
      <c r="M2687" s="819" t="n">
        <f aca="false">K2687*L2687/60</f>
        <v>2.48627844712182</v>
      </c>
    </row>
    <row r="2688" customFormat="false" ht="15" hidden="false" customHeight="false" outlineLevel="0" collapsed="false">
      <c r="A2688" s="216"/>
      <c r="B2688" s="40"/>
      <c r="C2688" s="1161" t="s">
        <v>7087</v>
      </c>
      <c r="D2688" s="912" t="n">
        <v>2007</v>
      </c>
      <c r="E2688" s="912" t="n">
        <f aca="false">2015-D2688</f>
        <v>8</v>
      </c>
      <c r="F2688" s="547" t="n">
        <v>61985</v>
      </c>
      <c r="G2688" s="1413" t="n">
        <v>0.1</v>
      </c>
      <c r="H2688" s="547" t="n">
        <f aca="false">E2688*F2688*G2688</f>
        <v>49588</v>
      </c>
      <c r="I2688" s="547" t="n">
        <f aca="false">F2688-H2688</f>
        <v>12397</v>
      </c>
      <c r="J2688" s="547" t="n">
        <f aca="false">F2688*G2688</f>
        <v>6198.5</v>
      </c>
      <c r="K2688" s="1365" t="n">
        <f aca="false">J2688/1792.8</f>
        <v>3.45744087460955</v>
      </c>
      <c r="L2688" s="547" t="n">
        <v>15</v>
      </c>
      <c r="M2688" s="819" t="n">
        <f aca="false">K2688*L2688/60</f>
        <v>0.864360218652387</v>
      </c>
    </row>
    <row r="2689" customFormat="false" ht="15" hidden="false" customHeight="false" outlineLevel="0" collapsed="false">
      <c r="A2689" s="216"/>
      <c r="B2689" s="40"/>
      <c r="C2689" s="1161" t="s">
        <v>7088</v>
      </c>
      <c r="D2689" s="912" t="n">
        <v>2006</v>
      </c>
      <c r="E2689" s="912" t="n">
        <f aca="false">2015-D2689</f>
        <v>9</v>
      </c>
      <c r="F2689" s="547" t="n">
        <v>138575</v>
      </c>
      <c r="G2689" s="1413" t="n">
        <v>0.1</v>
      </c>
      <c r="H2689" s="547" t="n">
        <f aca="false">E2689*F2689*G2689</f>
        <v>124717.5</v>
      </c>
      <c r="I2689" s="547" t="n">
        <f aca="false">F2689-H2689</f>
        <v>13857.5</v>
      </c>
      <c r="J2689" s="547" t="n">
        <f aca="false">F2689*G2689</f>
        <v>13857.5</v>
      </c>
      <c r="K2689" s="1365" t="n">
        <f aca="false">J2689/1792.8</f>
        <v>7.7295292280232</v>
      </c>
      <c r="L2689" s="547" t="n">
        <v>10</v>
      </c>
      <c r="M2689" s="819" t="n">
        <f aca="false">K2689*L2689/60</f>
        <v>1.2882548713372</v>
      </c>
    </row>
    <row r="2690" customFormat="false" ht="15" hidden="false" customHeight="false" outlineLevel="0" collapsed="false">
      <c r="A2690" s="216"/>
      <c r="B2690" s="40"/>
      <c r="C2690" s="1161" t="s">
        <v>6974</v>
      </c>
      <c r="D2690" s="912" t="n">
        <v>2015</v>
      </c>
      <c r="E2690" s="912" t="n">
        <f aca="false">2015-D2690</f>
        <v>0</v>
      </c>
      <c r="F2690" s="547" t="n">
        <v>330000</v>
      </c>
      <c r="G2690" s="1413" t="n">
        <v>0.1</v>
      </c>
      <c r="H2690" s="547" t="n">
        <f aca="false">E2690*F2690*G2690</f>
        <v>0</v>
      </c>
      <c r="I2690" s="547" t="n">
        <f aca="false">F2690-H2690</f>
        <v>330000</v>
      </c>
      <c r="J2690" s="547" t="n">
        <f aca="false">F2690*G2690</f>
        <v>33000</v>
      </c>
      <c r="K2690" s="1365" t="n">
        <f aca="false">J2690/1792.8</f>
        <v>18.4069611780455</v>
      </c>
      <c r="L2690" s="547" t="n">
        <v>80</v>
      </c>
      <c r="M2690" s="819" t="n">
        <f aca="false">K2690*L2690/60</f>
        <v>24.5426149040607</v>
      </c>
    </row>
    <row r="2691" customFormat="false" ht="15" hidden="false" customHeight="false" outlineLevel="0" collapsed="false">
      <c r="A2691" s="216"/>
      <c r="B2691" s="1053" t="s">
        <v>4128</v>
      </c>
      <c r="C2691" s="1161"/>
      <c r="D2691" s="912"/>
      <c r="E2691" s="912"/>
      <c r="F2691" s="547"/>
      <c r="G2691" s="1413"/>
      <c r="H2691" s="547"/>
      <c r="I2691" s="547"/>
      <c r="J2691" s="547"/>
      <c r="K2691" s="1365" t="n">
        <f aca="false">J2691/1792.8</f>
        <v>0</v>
      </c>
      <c r="L2691" s="547"/>
      <c r="M2691" s="934" t="n">
        <f aca="false">SUM(M2687:M2690)</f>
        <v>29.1815084411721</v>
      </c>
    </row>
    <row r="2692" customFormat="false" ht="15" hidden="false" customHeight="false" outlineLevel="0" collapsed="false">
      <c r="A2692" s="216" t="s">
        <v>1231</v>
      </c>
      <c r="B2692" s="40" t="s">
        <v>3372</v>
      </c>
      <c r="C2692" s="1161" t="s">
        <v>7086</v>
      </c>
      <c r="D2692" s="912" t="n">
        <v>2006</v>
      </c>
      <c r="E2692" s="912" t="n">
        <f aca="false">2015-D2692</f>
        <v>9</v>
      </c>
      <c r="F2692" s="547" t="n">
        <v>133722</v>
      </c>
      <c r="G2692" s="1413" t="n">
        <v>0.1</v>
      </c>
      <c r="H2692" s="547" t="n">
        <f aca="false">E2692*F2692*G2692</f>
        <v>120349.8</v>
      </c>
      <c r="I2692" s="547" t="n">
        <f aca="false">F2692-H2692</f>
        <v>13372.2</v>
      </c>
      <c r="J2692" s="547" t="n">
        <f aca="false">F2692*G2692</f>
        <v>13372.2</v>
      </c>
      <c r="K2692" s="1365" t="n">
        <f aca="false">J2692/1792.8</f>
        <v>7.45883534136546</v>
      </c>
      <c r="L2692" s="547" t="n">
        <v>20</v>
      </c>
      <c r="M2692" s="819" t="n">
        <f aca="false">K2692*L2692/60</f>
        <v>2.48627844712182</v>
      </c>
    </row>
    <row r="2693" customFormat="false" ht="15" hidden="false" customHeight="false" outlineLevel="0" collapsed="false">
      <c r="A2693" s="216"/>
      <c r="B2693" s="40"/>
      <c r="C2693" s="1161" t="s">
        <v>7087</v>
      </c>
      <c r="D2693" s="912" t="n">
        <v>2007</v>
      </c>
      <c r="E2693" s="912" t="n">
        <f aca="false">2015-D2693</f>
        <v>8</v>
      </c>
      <c r="F2693" s="547" t="n">
        <v>61985</v>
      </c>
      <c r="G2693" s="1413" t="n">
        <v>0.1</v>
      </c>
      <c r="H2693" s="547" t="n">
        <f aca="false">E2693*F2693*G2693</f>
        <v>49588</v>
      </c>
      <c r="I2693" s="547" t="n">
        <f aca="false">F2693-H2693</f>
        <v>12397</v>
      </c>
      <c r="J2693" s="547" t="n">
        <f aca="false">F2693*G2693</f>
        <v>6198.5</v>
      </c>
      <c r="K2693" s="1365" t="n">
        <f aca="false">J2693/1792.8</f>
        <v>3.45744087460955</v>
      </c>
      <c r="L2693" s="547" t="n">
        <v>15</v>
      </c>
      <c r="M2693" s="819" t="n">
        <f aca="false">K2693*L2693/60</f>
        <v>0.864360218652387</v>
      </c>
    </row>
    <row r="2694" customFormat="false" ht="15" hidden="false" customHeight="false" outlineLevel="0" collapsed="false">
      <c r="A2694" s="216"/>
      <c r="B2694" s="40"/>
      <c r="C2694" s="1161" t="s">
        <v>7088</v>
      </c>
      <c r="D2694" s="912" t="n">
        <v>2006</v>
      </c>
      <c r="E2694" s="912" t="n">
        <f aca="false">2015-D2694</f>
        <v>9</v>
      </c>
      <c r="F2694" s="547" t="n">
        <v>138575</v>
      </c>
      <c r="G2694" s="1413" t="n">
        <v>0.1</v>
      </c>
      <c r="H2694" s="547" t="n">
        <f aca="false">E2694*F2694*G2694</f>
        <v>124717.5</v>
      </c>
      <c r="I2694" s="547" t="n">
        <f aca="false">F2694-H2694</f>
        <v>13857.5</v>
      </c>
      <c r="J2694" s="547" t="n">
        <f aca="false">F2694*G2694</f>
        <v>13857.5</v>
      </c>
      <c r="K2694" s="1365" t="n">
        <f aca="false">J2694/1792.8</f>
        <v>7.7295292280232</v>
      </c>
      <c r="L2694" s="547" t="n">
        <v>10</v>
      </c>
      <c r="M2694" s="819" t="n">
        <f aca="false">K2694*L2694/60</f>
        <v>1.2882548713372</v>
      </c>
    </row>
    <row r="2695" customFormat="false" ht="15" hidden="false" customHeight="false" outlineLevel="0" collapsed="false">
      <c r="A2695" s="216"/>
      <c r="B2695" s="40"/>
      <c r="C2695" s="1161" t="s">
        <v>6974</v>
      </c>
      <c r="D2695" s="912" t="n">
        <v>2015</v>
      </c>
      <c r="E2695" s="912" t="n">
        <f aca="false">2015-D2695</f>
        <v>0</v>
      </c>
      <c r="F2695" s="547" t="n">
        <v>330000</v>
      </c>
      <c r="G2695" s="1413" t="n">
        <v>0.1</v>
      </c>
      <c r="H2695" s="547" t="n">
        <f aca="false">E2695*F2695*G2695</f>
        <v>0</v>
      </c>
      <c r="I2695" s="547" t="n">
        <f aca="false">F2695-H2695</f>
        <v>330000</v>
      </c>
      <c r="J2695" s="547" t="n">
        <f aca="false">F2695*G2695</f>
        <v>33000</v>
      </c>
      <c r="K2695" s="1365" t="n">
        <f aca="false">J2695/1792.8</f>
        <v>18.4069611780455</v>
      </c>
      <c r="L2695" s="547" t="n">
        <v>80</v>
      </c>
      <c r="M2695" s="819" t="n">
        <f aca="false">K2695*L2695/60</f>
        <v>24.5426149040607</v>
      </c>
    </row>
    <row r="2696" customFormat="false" ht="15" hidden="false" customHeight="false" outlineLevel="0" collapsed="false">
      <c r="A2696" s="216"/>
      <c r="B2696" s="1053" t="s">
        <v>4128</v>
      </c>
      <c r="C2696" s="1161"/>
      <c r="D2696" s="912"/>
      <c r="E2696" s="912"/>
      <c r="F2696" s="547"/>
      <c r="G2696" s="1413"/>
      <c r="H2696" s="547"/>
      <c r="I2696" s="547"/>
      <c r="J2696" s="547"/>
      <c r="K2696" s="1365" t="n">
        <f aca="false">J2696/1792.8</f>
        <v>0</v>
      </c>
      <c r="L2696" s="547"/>
      <c r="M2696" s="934" t="n">
        <f aca="false">SUM(M2692:M2695)</f>
        <v>29.1815084411721</v>
      </c>
    </row>
    <row r="2697" customFormat="false" ht="15" hidden="false" customHeight="false" outlineLevel="0" collapsed="false">
      <c r="A2697" s="216" t="s">
        <v>1233</v>
      </c>
      <c r="B2697" s="40" t="s">
        <v>3373</v>
      </c>
      <c r="C2697" s="1161" t="s">
        <v>7086</v>
      </c>
      <c r="D2697" s="912" t="n">
        <v>2006</v>
      </c>
      <c r="E2697" s="912" t="n">
        <f aca="false">2015-D2697</f>
        <v>9</v>
      </c>
      <c r="F2697" s="547" t="n">
        <v>133722</v>
      </c>
      <c r="G2697" s="1413" t="n">
        <v>0.1</v>
      </c>
      <c r="H2697" s="547" t="n">
        <f aca="false">E2697*F2697*G2697</f>
        <v>120349.8</v>
      </c>
      <c r="I2697" s="547" t="n">
        <f aca="false">F2697-H2697</f>
        <v>13372.2</v>
      </c>
      <c r="J2697" s="547" t="n">
        <f aca="false">F2697*G2697</f>
        <v>13372.2</v>
      </c>
      <c r="K2697" s="1365" t="n">
        <f aca="false">J2697/1792.8</f>
        <v>7.45883534136546</v>
      </c>
      <c r="L2697" s="547" t="n">
        <v>20</v>
      </c>
      <c r="M2697" s="819" t="n">
        <f aca="false">K2697*L2697/60</f>
        <v>2.48627844712182</v>
      </c>
    </row>
    <row r="2698" customFormat="false" ht="15" hidden="false" customHeight="false" outlineLevel="0" collapsed="false">
      <c r="A2698" s="216"/>
      <c r="B2698" s="40"/>
      <c r="C2698" s="1161" t="s">
        <v>7087</v>
      </c>
      <c r="D2698" s="912" t="n">
        <v>2007</v>
      </c>
      <c r="E2698" s="912" t="n">
        <f aca="false">2015-D2698</f>
        <v>8</v>
      </c>
      <c r="F2698" s="547" t="n">
        <v>61985</v>
      </c>
      <c r="G2698" s="1413" t="n">
        <v>0.1</v>
      </c>
      <c r="H2698" s="547" t="n">
        <f aca="false">E2698*F2698*G2698</f>
        <v>49588</v>
      </c>
      <c r="I2698" s="547" t="n">
        <f aca="false">F2698-H2698</f>
        <v>12397</v>
      </c>
      <c r="J2698" s="547" t="n">
        <f aca="false">F2698*G2698</f>
        <v>6198.5</v>
      </c>
      <c r="K2698" s="1365" t="n">
        <f aca="false">J2698/1792.8</f>
        <v>3.45744087460955</v>
      </c>
      <c r="L2698" s="547" t="n">
        <v>15</v>
      </c>
      <c r="M2698" s="819" t="n">
        <f aca="false">K2698*L2698/60</f>
        <v>0.864360218652387</v>
      </c>
    </row>
    <row r="2699" customFormat="false" ht="15" hidden="false" customHeight="false" outlineLevel="0" collapsed="false">
      <c r="A2699" s="216"/>
      <c r="B2699" s="40"/>
      <c r="C2699" s="1161" t="s">
        <v>7088</v>
      </c>
      <c r="D2699" s="912" t="n">
        <v>2006</v>
      </c>
      <c r="E2699" s="912" t="n">
        <f aca="false">2015-D2699</f>
        <v>9</v>
      </c>
      <c r="F2699" s="547" t="n">
        <v>138575</v>
      </c>
      <c r="G2699" s="1413" t="n">
        <v>0.1</v>
      </c>
      <c r="H2699" s="547" t="n">
        <f aca="false">E2699*F2699*G2699</f>
        <v>124717.5</v>
      </c>
      <c r="I2699" s="547" t="n">
        <f aca="false">F2699-H2699</f>
        <v>13857.5</v>
      </c>
      <c r="J2699" s="547" t="n">
        <f aca="false">F2699*G2699</f>
        <v>13857.5</v>
      </c>
      <c r="K2699" s="1365" t="n">
        <f aca="false">J2699/1792.8</f>
        <v>7.7295292280232</v>
      </c>
      <c r="L2699" s="547" t="n">
        <v>10</v>
      </c>
      <c r="M2699" s="819" t="n">
        <f aca="false">K2699*L2699/60</f>
        <v>1.2882548713372</v>
      </c>
    </row>
    <row r="2700" customFormat="false" ht="15" hidden="false" customHeight="false" outlineLevel="0" collapsed="false">
      <c r="A2700" s="216"/>
      <c r="B2700" s="40"/>
      <c r="C2700" s="1161" t="s">
        <v>6974</v>
      </c>
      <c r="D2700" s="912" t="n">
        <v>2015</v>
      </c>
      <c r="E2700" s="912" t="n">
        <f aca="false">2015-D2700</f>
        <v>0</v>
      </c>
      <c r="F2700" s="547" t="n">
        <v>330000</v>
      </c>
      <c r="G2700" s="1413" t="n">
        <v>0.1</v>
      </c>
      <c r="H2700" s="547" t="n">
        <f aca="false">E2700*F2700*G2700</f>
        <v>0</v>
      </c>
      <c r="I2700" s="547" t="n">
        <f aca="false">F2700-H2700</f>
        <v>330000</v>
      </c>
      <c r="J2700" s="547" t="n">
        <f aca="false">F2700*G2700</f>
        <v>33000</v>
      </c>
      <c r="K2700" s="1365" t="n">
        <f aca="false">J2700/1792.8</f>
        <v>18.4069611780455</v>
      </c>
      <c r="L2700" s="547" t="n">
        <v>80</v>
      </c>
      <c r="M2700" s="819" t="n">
        <f aca="false">K2700*L2700/60</f>
        <v>24.5426149040607</v>
      </c>
    </row>
    <row r="2701" customFormat="false" ht="15" hidden="false" customHeight="false" outlineLevel="0" collapsed="false">
      <c r="A2701" s="216"/>
      <c r="B2701" s="1053" t="s">
        <v>4128</v>
      </c>
      <c r="C2701" s="1161"/>
      <c r="D2701" s="912"/>
      <c r="E2701" s="912"/>
      <c r="F2701" s="547"/>
      <c r="G2701" s="1413"/>
      <c r="H2701" s="547"/>
      <c r="I2701" s="547"/>
      <c r="J2701" s="547"/>
      <c r="K2701" s="1365" t="n">
        <f aca="false">J2701/1792.8</f>
        <v>0</v>
      </c>
      <c r="L2701" s="547"/>
      <c r="M2701" s="934" t="n">
        <f aca="false">SUM(M2697:M2700)</f>
        <v>29.1815084411721</v>
      </c>
    </row>
    <row r="2702" customFormat="false" ht="30" hidden="false" customHeight="false" outlineLevel="0" collapsed="false">
      <c r="A2702" s="216" t="s">
        <v>1235</v>
      </c>
      <c r="B2702" s="40" t="s">
        <v>3374</v>
      </c>
      <c r="C2702" s="1161" t="s">
        <v>7086</v>
      </c>
      <c r="D2702" s="912" t="n">
        <v>2006</v>
      </c>
      <c r="E2702" s="912" t="n">
        <f aca="false">2015-D2702</f>
        <v>9</v>
      </c>
      <c r="F2702" s="547" t="n">
        <v>133722</v>
      </c>
      <c r="G2702" s="1413" t="n">
        <v>0.1</v>
      </c>
      <c r="H2702" s="547" t="n">
        <f aca="false">E2702*F2702*G2702</f>
        <v>120349.8</v>
      </c>
      <c r="I2702" s="547" t="n">
        <f aca="false">F2702-H2702</f>
        <v>13372.2</v>
      </c>
      <c r="J2702" s="547" t="n">
        <f aca="false">F2702*G2702</f>
        <v>13372.2</v>
      </c>
      <c r="K2702" s="1365" t="n">
        <f aca="false">J2702/1792.8</f>
        <v>7.45883534136546</v>
      </c>
      <c r="L2702" s="547" t="n">
        <v>20</v>
      </c>
      <c r="M2702" s="819" t="n">
        <f aca="false">K2702*L2702/60</f>
        <v>2.48627844712182</v>
      </c>
    </row>
    <row r="2703" customFormat="false" ht="15" hidden="false" customHeight="false" outlineLevel="0" collapsed="false">
      <c r="A2703" s="216"/>
      <c r="B2703" s="40"/>
      <c r="C2703" s="1161" t="s">
        <v>7087</v>
      </c>
      <c r="D2703" s="912" t="n">
        <v>2007</v>
      </c>
      <c r="E2703" s="912" t="n">
        <f aca="false">2015-D2703</f>
        <v>8</v>
      </c>
      <c r="F2703" s="547" t="n">
        <v>61985</v>
      </c>
      <c r="G2703" s="1413" t="n">
        <v>0.1</v>
      </c>
      <c r="H2703" s="547" t="n">
        <f aca="false">E2703*F2703*G2703</f>
        <v>49588</v>
      </c>
      <c r="I2703" s="547" t="n">
        <f aca="false">F2703-H2703</f>
        <v>12397</v>
      </c>
      <c r="J2703" s="547" t="n">
        <f aca="false">F2703*G2703</f>
        <v>6198.5</v>
      </c>
      <c r="K2703" s="1365" t="n">
        <f aca="false">J2703/1792.8</f>
        <v>3.45744087460955</v>
      </c>
      <c r="L2703" s="547" t="n">
        <v>15</v>
      </c>
      <c r="M2703" s="819" t="n">
        <f aca="false">K2703*L2703/60</f>
        <v>0.864360218652387</v>
      </c>
    </row>
    <row r="2704" customFormat="false" ht="15" hidden="false" customHeight="false" outlineLevel="0" collapsed="false">
      <c r="A2704" s="216"/>
      <c r="B2704" s="40"/>
      <c r="C2704" s="1161" t="s">
        <v>7088</v>
      </c>
      <c r="D2704" s="912" t="n">
        <v>2006</v>
      </c>
      <c r="E2704" s="912" t="n">
        <f aca="false">2015-D2704</f>
        <v>9</v>
      </c>
      <c r="F2704" s="547" t="n">
        <v>138575</v>
      </c>
      <c r="G2704" s="1413" t="n">
        <v>0.1</v>
      </c>
      <c r="H2704" s="547" t="n">
        <f aca="false">E2704*F2704*G2704</f>
        <v>124717.5</v>
      </c>
      <c r="I2704" s="547" t="n">
        <f aca="false">F2704-H2704</f>
        <v>13857.5</v>
      </c>
      <c r="J2704" s="547" t="n">
        <f aca="false">F2704*G2704</f>
        <v>13857.5</v>
      </c>
      <c r="K2704" s="1365" t="n">
        <f aca="false">J2704/1792.8</f>
        <v>7.7295292280232</v>
      </c>
      <c r="L2704" s="547" t="n">
        <v>10</v>
      </c>
      <c r="M2704" s="819" t="n">
        <f aca="false">K2704*L2704/60</f>
        <v>1.2882548713372</v>
      </c>
    </row>
    <row r="2705" customFormat="false" ht="15" hidden="false" customHeight="false" outlineLevel="0" collapsed="false">
      <c r="A2705" s="216"/>
      <c r="B2705" s="40"/>
      <c r="C2705" s="1161" t="s">
        <v>6974</v>
      </c>
      <c r="D2705" s="912" t="n">
        <v>2015</v>
      </c>
      <c r="E2705" s="912" t="n">
        <f aca="false">2015-D2705</f>
        <v>0</v>
      </c>
      <c r="F2705" s="547" t="n">
        <v>330000</v>
      </c>
      <c r="G2705" s="1413" t="n">
        <v>0.1</v>
      </c>
      <c r="H2705" s="547" t="n">
        <f aca="false">E2705*F2705*G2705</f>
        <v>0</v>
      </c>
      <c r="I2705" s="547" t="n">
        <f aca="false">F2705-H2705</f>
        <v>330000</v>
      </c>
      <c r="J2705" s="547" t="n">
        <f aca="false">F2705*G2705</f>
        <v>33000</v>
      </c>
      <c r="K2705" s="1365" t="n">
        <f aca="false">J2705/1792.8</f>
        <v>18.4069611780455</v>
      </c>
      <c r="L2705" s="547" t="n">
        <v>80</v>
      </c>
      <c r="M2705" s="819" t="n">
        <f aca="false">K2705*L2705/60</f>
        <v>24.5426149040607</v>
      </c>
    </row>
    <row r="2706" customFormat="false" ht="15" hidden="false" customHeight="false" outlineLevel="0" collapsed="false">
      <c r="A2706" s="216"/>
      <c r="B2706" s="1053" t="s">
        <v>4128</v>
      </c>
      <c r="C2706" s="1161"/>
      <c r="D2706" s="912"/>
      <c r="E2706" s="912"/>
      <c r="F2706" s="547"/>
      <c r="G2706" s="1413"/>
      <c r="H2706" s="547"/>
      <c r="I2706" s="547"/>
      <c r="J2706" s="547"/>
      <c r="K2706" s="1365" t="n">
        <f aca="false">J2706/1792.8</f>
        <v>0</v>
      </c>
      <c r="L2706" s="547"/>
      <c r="M2706" s="934" t="n">
        <f aca="false">SUM(M2702:M2705)</f>
        <v>29.1815084411721</v>
      </c>
    </row>
    <row r="2707" customFormat="false" ht="30" hidden="false" customHeight="false" outlineLevel="0" collapsed="false">
      <c r="A2707" s="216" t="s">
        <v>1237</v>
      </c>
      <c r="B2707" s="40" t="s">
        <v>3375</v>
      </c>
      <c r="C2707" s="1161" t="s">
        <v>7086</v>
      </c>
      <c r="D2707" s="912" t="n">
        <v>2006</v>
      </c>
      <c r="E2707" s="912" t="n">
        <f aca="false">2015-D2707</f>
        <v>9</v>
      </c>
      <c r="F2707" s="547" t="n">
        <v>133722</v>
      </c>
      <c r="G2707" s="1413" t="n">
        <v>0.1</v>
      </c>
      <c r="H2707" s="547" t="n">
        <f aca="false">E2707*F2707*G2707</f>
        <v>120349.8</v>
      </c>
      <c r="I2707" s="547" t="n">
        <f aca="false">F2707-H2707</f>
        <v>13372.2</v>
      </c>
      <c r="J2707" s="547" t="n">
        <f aca="false">F2707*G2707</f>
        <v>13372.2</v>
      </c>
      <c r="K2707" s="1365" t="n">
        <f aca="false">J2707/1792.8</f>
        <v>7.45883534136546</v>
      </c>
      <c r="L2707" s="547" t="n">
        <v>20</v>
      </c>
      <c r="M2707" s="819" t="n">
        <f aca="false">K2707*L2707/60</f>
        <v>2.48627844712182</v>
      </c>
    </row>
    <row r="2708" customFormat="false" ht="15" hidden="false" customHeight="false" outlineLevel="0" collapsed="false">
      <c r="A2708" s="216"/>
      <c r="B2708" s="40"/>
      <c r="C2708" s="1161" t="s">
        <v>7087</v>
      </c>
      <c r="D2708" s="912" t="n">
        <v>2007</v>
      </c>
      <c r="E2708" s="912" t="n">
        <f aca="false">2015-D2708</f>
        <v>8</v>
      </c>
      <c r="F2708" s="547" t="n">
        <v>61985</v>
      </c>
      <c r="G2708" s="1413" t="n">
        <v>0.1</v>
      </c>
      <c r="H2708" s="547" t="n">
        <f aca="false">E2708*F2708*G2708</f>
        <v>49588</v>
      </c>
      <c r="I2708" s="547" t="n">
        <f aca="false">F2708-H2708</f>
        <v>12397</v>
      </c>
      <c r="J2708" s="547" t="n">
        <f aca="false">F2708*G2708</f>
        <v>6198.5</v>
      </c>
      <c r="K2708" s="1365" t="n">
        <f aca="false">J2708/1792.8</f>
        <v>3.45744087460955</v>
      </c>
      <c r="L2708" s="547" t="n">
        <v>15</v>
      </c>
      <c r="M2708" s="819" t="n">
        <f aca="false">K2708*L2708/60</f>
        <v>0.864360218652387</v>
      </c>
    </row>
    <row r="2709" customFormat="false" ht="15" hidden="false" customHeight="false" outlineLevel="0" collapsed="false">
      <c r="A2709" s="216"/>
      <c r="B2709" s="40"/>
      <c r="C2709" s="1161" t="s">
        <v>7088</v>
      </c>
      <c r="D2709" s="912" t="n">
        <v>2006</v>
      </c>
      <c r="E2709" s="912" t="n">
        <f aca="false">2015-D2709</f>
        <v>9</v>
      </c>
      <c r="F2709" s="547" t="n">
        <v>138575</v>
      </c>
      <c r="G2709" s="1413" t="n">
        <v>0.1</v>
      </c>
      <c r="H2709" s="547" t="n">
        <f aca="false">E2709*F2709*G2709</f>
        <v>124717.5</v>
      </c>
      <c r="I2709" s="547" t="n">
        <f aca="false">F2709-H2709</f>
        <v>13857.5</v>
      </c>
      <c r="J2709" s="547" t="n">
        <f aca="false">F2709*G2709</f>
        <v>13857.5</v>
      </c>
      <c r="K2709" s="1365" t="n">
        <f aca="false">J2709/1792.8</f>
        <v>7.7295292280232</v>
      </c>
      <c r="L2709" s="547" t="n">
        <v>10</v>
      </c>
      <c r="M2709" s="819" t="n">
        <f aca="false">K2709*L2709/60</f>
        <v>1.2882548713372</v>
      </c>
    </row>
    <row r="2710" customFormat="false" ht="15" hidden="false" customHeight="false" outlineLevel="0" collapsed="false">
      <c r="A2710" s="216"/>
      <c r="B2710" s="40"/>
      <c r="C2710" s="1161" t="s">
        <v>6974</v>
      </c>
      <c r="D2710" s="912" t="n">
        <v>2015</v>
      </c>
      <c r="E2710" s="912" t="n">
        <f aca="false">2015-D2710</f>
        <v>0</v>
      </c>
      <c r="F2710" s="547" t="n">
        <v>330000</v>
      </c>
      <c r="G2710" s="1413" t="n">
        <v>0.1</v>
      </c>
      <c r="H2710" s="547" t="n">
        <f aca="false">E2710*F2710*G2710</f>
        <v>0</v>
      </c>
      <c r="I2710" s="547" t="n">
        <f aca="false">F2710-H2710</f>
        <v>330000</v>
      </c>
      <c r="J2710" s="547" t="n">
        <f aca="false">F2710*G2710</f>
        <v>33000</v>
      </c>
      <c r="K2710" s="1365" t="n">
        <f aca="false">J2710/1792.8</f>
        <v>18.4069611780455</v>
      </c>
      <c r="L2710" s="547" t="n">
        <v>80</v>
      </c>
      <c r="M2710" s="819" t="n">
        <f aca="false">K2710*L2710/60</f>
        <v>24.5426149040607</v>
      </c>
    </row>
    <row r="2711" customFormat="false" ht="15" hidden="false" customHeight="false" outlineLevel="0" collapsed="false">
      <c r="A2711" s="216"/>
      <c r="B2711" s="1053" t="s">
        <v>4128</v>
      </c>
      <c r="C2711" s="1161"/>
      <c r="D2711" s="912"/>
      <c r="E2711" s="912"/>
      <c r="F2711" s="547"/>
      <c r="G2711" s="1413"/>
      <c r="H2711" s="547"/>
      <c r="I2711" s="547"/>
      <c r="J2711" s="547"/>
      <c r="K2711" s="1365" t="n">
        <f aca="false">J2711/1792.8</f>
        <v>0</v>
      </c>
      <c r="L2711" s="547"/>
      <c r="M2711" s="934" t="n">
        <f aca="false">SUM(M2707:M2710)</f>
        <v>29.1815084411721</v>
      </c>
    </row>
    <row r="2712" customFormat="false" ht="30" hidden="false" customHeight="false" outlineLevel="0" collapsed="false">
      <c r="A2712" s="216" t="s">
        <v>1238</v>
      </c>
      <c r="B2712" s="40" t="s">
        <v>3376</v>
      </c>
      <c r="C2712" s="1161" t="s">
        <v>7086</v>
      </c>
      <c r="D2712" s="912" t="n">
        <v>2006</v>
      </c>
      <c r="E2712" s="912" t="n">
        <f aca="false">2015-D2712</f>
        <v>9</v>
      </c>
      <c r="F2712" s="547" t="n">
        <v>133722</v>
      </c>
      <c r="G2712" s="1413" t="n">
        <v>0.1</v>
      </c>
      <c r="H2712" s="547" t="n">
        <f aca="false">E2712*F2712*G2712</f>
        <v>120349.8</v>
      </c>
      <c r="I2712" s="547" t="n">
        <f aca="false">F2712-H2712</f>
        <v>13372.2</v>
      </c>
      <c r="J2712" s="547" t="n">
        <f aca="false">F2712*G2712</f>
        <v>13372.2</v>
      </c>
      <c r="K2712" s="1365" t="n">
        <f aca="false">J2712/1792.8</f>
        <v>7.45883534136546</v>
      </c>
      <c r="L2712" s="547" t="n">
        <v>20</v>
      </c>
      <c r="M2712" s="819" t="n">
        <f aca="false">K2712*L2712/60</f>
        <v>2.48627844712182</v>
      </c>
    </row>
    <row r="2713" customFormat="false" ht="15" hidden="false" customHeight="false" outlineLevel="0" collapsed="false">
      <c r="A2713" s="216"/>
      <c r="B2713" s="40"/>
      <c r="C2713" s="1161" t="s">
        <v>7087</v>
      </c>
      <c r="D2713" s="912" t="n">
        <v>2007</v>
      </c>
      <c r="E2713" s="912" t="n">
        <f aca="false">2015-D2713</f>
        <v>8</v>
      </c>
      <c r="F2713" s="547" t="n">
        <v>61985</v>
      </c>
      <c r="G2713" s="1413" t="n">
        <v>0.1</v>
      </c>
      <c r="H2713" s="547" t="n">
        <f aca="false">E2713*F2713*G2713</f>
        <v>49588</v>
      </c>
      <c r="I2713" s="547" t="n">
        <f aca="false">F2713-H2713</f>
        <v>12397</v>
      </c>
      <c r="J2713" s="547" t="n">
        <f aca="false">F2713*G2713</f>
        <v>6198.5</v>
      </c>
      <c r="K2713" s="1365" t="n">
        <f aca="false">J2713/1792.8</f>
        <v>3.45744087460955</v>
      </c>
      <c r="L2713" s="547" t="n">
        <v>15</v>
      </c>
      <c r="M2713" s="819" t="n">
        <f aca="false">K2713*L2713/60</f>
        <v>0.864360218652387</v>
      </c>
    </row>
    <row r="2714" customFormat="false" ht="15" hidden="false" customHeight="false" outlineLevel="0" collapsed="false">
      <c r="A2714" s="216"/>
      <c r="B2714" s="40"/>
      <c r="C2714" s="1161" t="s">
        <v>7088</v>
      </c>
      <c r="D2714" s="912" t="n">
        <v>2006</v>
      </c>
      <c r="E2714" s="912" t="n">
        <f aca="false">2015-D2714</f>
        <v>9</v>
      </c>
      <c r="F2714" s="547" t="n">
        <v>138575</v>
      </c>
      <c r="G2714" s="1413" t="n">
        <v>0.1</v>
      </c>
      <c r="H2714" s="547" t="n">
        <f aca="false">E2714*F2714*G2714</f>
        <v>124717.5</v>
      </c>
      <c r="I2714" s="547" t="n">
        <f aca="false">F2714-H2714</f>
        <v>13857.5</v>
      </c>
      <c r="J2714" s="547" t="n">
        <f aca="false">F2714*G2714</f>
        <v>13857.5</v>
      </c>
      <c r="K2714" s="1365" t="n">
        <f aca="false">J2714/1792.8</f>
        <v>7.7295292280232</v>
      </c>
      <c r="L2714" s="547" t="n">
        <v>10</v>
      </c>
      <c r="M2714" s="819" t="n">
        <f aca="false">K2714*L2714/60</f>
        <v>1.2882548713372</v>
      </c>
    </row>
    <row r="2715" customFormat="false" ht="15" hidden="false" customHeight="false" outlineLevel="0" collapsed="false">
      <c r="A2715" s="216"/>
      <c r="B2715" s="40"/>
      <c r="C2715" s="1161" t="s">
        <v>6974</v>
      </c>
      <c r="D2715" s="912" t="n">
        <v>2015</v>
      </c>
      <c r="E2715" s="912" t="n">
        <f aca="false">2015-D2715</f>
        <v>0</v>
      </c>
      <c r="F2715" s="547" t="n">
        <v>330000</v>
      </c>
      <c r="G2715" s="1413" t="n">
        <v>0.1</v>
      </c>
      <c r="H2715" s="547" t="n">
        <f aca="false">E2715*F2715*G2715</f>
        <v>0</v>
      </c>
      <c r="I2715" s="547" t="n">
        <f aca="false">F2715-H2715</f>
        <v>330000</v>
      </c>
      <c r="J2715" s="547" t="n">
        <f aca="false">F2715*G2715</f>
        <v>33000</v>
      </c>
      <c r="K2715" s="1365" t="n">
        <f aca="false">J2715/1792.8</f>
        <v>18.4069611780455</v>
      </c>
      <c r="L2715" s="547" t="n">
        <v>80</v>
      </c>
      <c r="M2715" s="819" t="n">
        <f aca="false">K2715*L2715/60</f>
        <v>24.5426149040607</v>
      </c>
    </row>
    <row r="2716" customFormat="false" ht="15" hidden="false" customHeight="false" outlineLevel="0" collapsed="false">
      <c r="A2716" s="216"/>
      <c r="B2716" s="1053" t="s">
        <v>4128</v>
      </c>
      <c r="C2716" s="1161"/>
      <c r="D2716" s="912"/>
      <c r="E2716" s="912"/>
      <c r="F2716" s="547"/>
      <c r="G2716" s="1413"/>
      <c r="H2716" s="547"/>
      <c r="I2716" s="547"/>
      <c r="J2716" s="547"/>
      <c r="K2716" s="1365" t="n">
        <f aca="false">J2716/1792.8</f>
        <v>0</v>
      </c>
      <c r="L2716" s="547"/>
      <c r="M2716" s="934" t="n">
        <f aca="false">SUM(M2712:M2715)</f>
        <v>29.1815084411721</v>
      </c>
    </row>
    <row r="2717" customFormat="false" ht="15" hidden="false" customHeight="false" outlineLevel="0" collapsed="false">
      <c r="A2717" s="216" t="s">
        <v>1240</v>
      </c>
      <c r="B2717" s="40" t="s">
        <v>3377</v>
      </c>
      <c r="C2717" s="1161" t="s">
        <v>7086</v>
      </c>
      <c r="D2717" s="912" t="n">
        <v>2006</v>
      </c>
      <c r="E2717" s="912" t="n">
        <f aca="false">2015-D2717</f>
        <v>9</v>
      </c>
      <c r="F2717" s="547" t="n">
        <v>133722</v>
      </c>
      <c r="G2717" s="1413" t="n">
        <v>0.1</v>
      </c>
      <c r="H2717" s="547" t="n">
        <f aca="false">E2717*F2717*G2717</f>
        <v>120349.8</v>
      </c>
      <c r="I2717" s="547" t="n">
        <f aca="false">F2717-H2717</f>
        <v>13372.2</v>
      </c>
      <c r="J2717" s="547" t="n">
        <f aca="false">F2717*G2717</f>
        <v>13372.2</v>
      </c>
      <c r="K2717" s="1365" t="n">
        <f aca="false">J2717/1792.8</f>
        <v>7.45883534136546</v>
      </c>
      <c r="L2717" s="547" t="n">
        <v>20</v>
      </c>
      <c r="M2717" s="819" t="n">
        <f aca="false">K2717*L2717/60</f>
        <v>2.48627844712182</v>
      </c>
    </row>
    <row r="2718" customFormat="false" ht="15" hidden="false" customHeight="false" outlineLevel="0" collapsed="false">
      <c r="A2718" s="216"/>
      <c r="B2718" s="40"/>
      <c r="C2718" s="1161" t="s">
        <v>7087</v>
      </c>
      <c r="D2718" s="912" t="n">
        <v>2007</v>
      </c>
      <c r="E2718" s="912" t="n">
        <f aca="false">2015-D2718</f>
        <v>8</v>
      </c>
      <c r="F2718" s="547" t="n">
        <v>61985</v>
      </c>
      <c r="G2718" s="1413" t="n">
        <v>0.1</v>
      </c>
      <c r="H2718" s="547" t="n">
        <f aca="false">E2718*F2718*G2718</f>
        <v>49588</v>
      </c>
      <c r="I2718" s="547" t="n">
        <f aca="false">F2718-H2718</f>
        <v>12397</v>
      </c>
      <c r="J2718" s="547" t="n">
        <f aca="false">F2718*G2718</f>
        <v>6198.5</v>
      </c>
      <c r="K2718" s="1365" t="n">
        <f aca="false">J2718/1792.8</f>
        <v>3.45744087460955</v>
      </c>
      <c r="L2718" s="547" t="n">
        <v>15</v>
      </c>
      <c r="M2718" s="819" t="n">
        <f aca="false">K2718*L2718/60</f>
        <v>0.864360218652387</v>
      </c>
    </row>
    <row r="2719" customFormat="false" ht="15" hidden="false" customHeight="false" outlineLevel="0" collapsed="false">
      <c r="A2719" s="216"/>
      <c r="B2719" s="40"/>
      <c r="C2719" s="1161" t="s">
        <v>7088</v>
      </c>
      <c r="D2719" s="912" t="n">
        <v>2006</v>
      </c>
      <c r="E2719" s="912" t="n">
        <f aca="false">2015-D2719</f>
        <v>9</v>
      </c>
      <c r="F2719" s="547" t="n">
        <v>138575</v>
      </c>
      <c r="G2719" s="1413" t="n">
        <v>0.1</v>
      </c>
      <c r="H2719" s="547" t="n">
        <f aca="false">E2719*F2719*G2719</f>
        <v>124717.5</v>
      </c>
      <c r="I2719" s="547" t="n">
        <f aca="false">F2719-H2719</f>
        <v>13857.5</v>
      </c>
      <c r="J2719" s="547" t="n">
        <f aca="false">F2719*G2719</f>
        <v>13857.5</v>
      </c>
      <c r="K2719" s="1365" t="n">
        <f aca="false">J2719/1792.8</f>
        <v>7.7295292280232</v>
      </c>
      <c r="L2719" s="547" t="n">
        <v>10</v>
      </c>
      <c r="M2719" s="819" t="n">
        <f aca="false">K2719*L2719/60</f>
        <v>1.2882548713372</v>
      </c>
    </row>
    <row r="2720" customFormat="false" ht="15" hidden="false" customHeight="false" outlineLevel="0" collapsed="false">
      <c r="A2720" s="216"/>
      <c r="B2720" s="40"/>
      <c r="C2720" s="1161" t="s">
        <v>6974</v>
      </c>
      <c r="D2720" s="912" t="n">
        <v>2015</v>
      </c>
      <c r="E2720" s="912" t="n">
        <f aca="false">2015-D2720</f>
        <v>0</v>
      </c>
      <c r="F2720" s="547" t="n">
        <v>330000</v>
      </c>
      <c r="G2720" s="1413" t="n">
        <v>0.1</v>
      </c>
      <c r="H2720" s="547" t="n">
        <f aca="false">E2720*F2720*G2720</f>
        <v>0</v>
      </c>
      <c r="I2720" s="547" t="n">
        <f aca="false">F2720-H2720</f>
        <v>330000</v>
      </c>
      <c r="J2720" s="547" t="n">
        <f aca="false">F2720*G2720</f>
        <v>33000</v>
      </c>
      <c r="K2720" s="1365" t="n">
        <f aca="false">J2720/1792.8</f>
        <v>18.4069611780455</v>
      </c>
      <c r="L2720" s="547" t="n">
        <v>80</v>
      </c>
      <c r="M2720" s="819" t="n">
        <f aca="false">K2720*L2720/60</f>
        <v>24.5426149040607</v>
      </c>
    </row>
    <row r="2721" customFormat="false" ht="15" hidden="false" customHeight="false" outlineLevel="0" collapsed="false">
      <c r="A2721" s="216"/>
      <c r="B2721" s="1053" t="s">
        <v>4128</v>
      </c>
      <c r="C2721" s="1161"/>
      <c r="D2721" s="912"/>
      <c r="E2721" s="912"/>
      <c r="F2721" s="547"/>
      <c r="G2721" s="1413"/>
      <c r="H2721" s="547"/>
      <c r="I2721" s="547"/>
      <c r="J2721" s="547"/>
      <c r="K2721" s="1365" t="n">
        <f aca="false">J2721/1792.8</f>
        <v>0</v>
      </c>
      <c r="L2721" s="547"/>
      <c r="M2721" s="934" t="n">
        <f aca="false">SUM(M2717:M2720)</f>
        <v>29.1815084411721</v>
      </c>
    </row>
    <row r="2722" customFormat="false" ht="15" hidden="false" customHeight="false" outlineLevel="0" collapsed="false">
      <c r="A2722" s="216" t="s">
        <v>1242</v>
      </c>
      <c r="B2722" s="40" t="s">
        <v>3378</v>
      </c>
      <c r="C2722" s="1161" t="s">
        <v>7086</v>
      </c>
      <c r="D2722" s="912" t="n">
        <v>2006</v>
      </c>
      <c r="E2722" s="912" t="n">
        <f aca="false">2015-D2722</f>
        <v>9</v>
      </c>
      <c r="F2722" s="547" t="n">
        <v>133722</v>
      </c>
      <c r="G2722" s="1413" t="n">
        <v>0.1</v>
      </c>
      <c r="H2722" s="547" t="n">
        <f aca="false">E2722*F2722*G2722</f>
        <v>120349.8</v>
      </c>
      <c r="I2722" s="547" t="n">
        <f aca="false">F2722-H2722</f>
        <v>13372.2</v>
      </c>
      <c r="J2722" s="547" t="n">
        <f aca="false">F2722*G2722</f>
        <v>13372.2</v>
      </c>
      <c r="K2722" s="1365" t="n">
        <f aca="false">J2722/1792.8</f>
        <v>7.45883534136546</v>
      </c>
      <c r="L2722" s="547" t="n">
        <v>20</v>
      </c>
      <c r="M2722" s="819" t="n">
        <f aca="false">K2722*L2722/60</f>
        <v>2.48627844712182</v>
      </c>
    </row>
    <row r="2723" customFormat="false" ht="15" hidden="false" customHeight="false" outlineLevel="0" collapsed="false">
      <c r="A2723" s="216"/>
      <c r="B2723" s="40"/>
      <c r="C2723" s="1161" t="s">
        <v>7087</v>
      </c>
      <c r="D2723" s="912" t="n">
        <v>2007</v>
      </c>
      <c r="E2723" s="912" t="n">
        <f aca="false">2015-D2723</f>
        <v>8</v>
      </c>
      <c r="F2723" s="547" t="n">
        <v>61985</v>
      </c>
      <c r="G2723" s="1413" t="n">
        <v>0.1</v>
      </c>
      <c r="H2723" s="547" t="n">
        <f aca="false">E2723*F2723*G2723</f>
        <v>49588</v>
      </c>
      <c r="I2723" s="547" t="n">
        <f aca="false">F2723-H2723</f>
        <v>12397</v>
      </c>
      <c r="J2723" s="547" t="n">
        <f aca="false">F2723*G2723</f>
        <v>6198.5</v>
      </c>
      <c r="K2723" s="1365" t="n">
        <f aca="false">J2723/1792.8</f>
        <v>3.45744087460955</v>
      </c>
      <c r="L2723" s="547" t="n">
        <v>15</v>
      </c>
      <c r="M2723" s="819" t="n">
        <f aca="false">K2723*L2723/60</f>
        <v>0.864360218652387</v>
      </c>
    </row>
    <row r="2724" customFormat="false" ht="15" hidden="false" customHeight="false" outlineLevel="0" collapsed="false">
      <c r="A2724" s="216"/>
      <c r="B2724" s="40"/>
      <c r="C2724" s="1161" t="s">
        <v>7088</v>
      </c>
      <c r="D2724" s="912" t="n">
        <v>2006</v>
      </c>
      <c r="E2724" s="912" t="n">
        <f aca="false">2015-D2724</f>
        <v>9</v>
      </c>
      <c r="F2724" s="547" t="n">
        <v>138575</v>
      </c>
      <c r="G2724" s="1413" t="n">
        <v>0.1</v>
      </c>
      <c r="H2724" s="547" t="n">
        <f aca="false">E2724*F2724*G2724</f>
        <v>124717.5</v>
      </c>
      <c r="I2724" s="547" t="n">
        <f aca="false">F2724-H2724</f>
        <v>13857.5</v>
      </c>
      <c r="J2724" s="547" t="n">
        <f aca="false">F2724*G2724</f>
        <v>13857.5</v>
      </c>
      <c r="K2724" s="1365" t="n">
        <f aca="false">J2724/1792.8</f>
        <v>7.7295292280232</v>
      </c>
      <c r="L2724" s="547" t="n">
        <v>10</v>
      </c>
      <c r="M2724" s="819" t="n">
        <f aca="false">K2724*L2724/60</f>
        <v>1.2882548713372</v>
      </c>
    </row>
    <row r="2725" customFormat="false" ht="15" hidden="false" customHeight="false" outlineLevel="0" collapsed="false">
      <c r="A2725" s="216"/>
      <c r="B2725" s="40"/>
      <c r="C2725" s="1161" t="s">
        <v>6974</v>
      </c>
      <c r="D2725" s="912" t="n">
        <v>2015</v>
      </c>
      <c r="E2725" s="912" t="n">
        <f aca="false">2015-D2725</f>
        <v>0</v>
      </c>
      <c r="F2725" s="547" t="n">
        <v>330000</v>
      </c>
      <c r="G2725" s="1413" t="n">
        <v>0.1</v>
      </c>
      <c r="H2725" s="547" t="n">
        <f aca="false">E2725*F2725*G2725</f>
        <v>0</v>
      </c>
      <c r="I2725" s="547" t="n">
        <f aca="false">F2725-H2725</f>
        <v>330000</v>
      </c>
      <c r="J2725" s="547" t="n">
        <f aca="false">F2725*G2725</f>
        <v>33000</v>
      </c>
      <c r="K2725" s="1365" t="n">
        <f aca="false">J2725/1792.8</f>
        <v>18.4069611780455</v>
      </c>
      <c r="L2725" s="547" t="n">
        <v>80</v>
      </c>
      <c r="M2725" s="819" t="n">
        <f aca="false">K2725*L2725/60</f>
        <v>24.5426149040607</v>
      </c>
    </row>
    <row r="2726" customFormat="false" ht="15" hidden="false" customHeight="false" outlineLevel="0" collapsed="false">
      <c r="A2726" s="216"/>
      <c r="B2726" s="1053" t="s">
        <v>4128</v>
      </c>
      <c r="C2726" s="1161"/>
      <c r="D2726" s="912"/>
      <c r="E2726" s="912"/>
      <c r="F2726" s="547"/>
      <c r="G2726" s="1413"/>
      <c r="H2726" s="547"/>
      <c r="I2726" s="547"/>
      <c r="J2726" s="547"/>
      <c r="K2726" s="1365" t="n">
        <f aca="false">J2726/1792.8</f>
        <v>0</v>
      </c>
      <c r="L2726" s="547"/>
      <c r="M2726" s="934" t="n">
        <f aca="false">SUM(M2722:M2725)</f>
        <v>29.1815084411721</v>
      </c>
    </row>
    <row r="2727" customFormat="false" ht="15" hidden="false" customHeight="false" outlineLevel="0" collapsed="false">
      <c r="A2727" s="216" t="s">
        <v>1244</v>
      </c>
      <c r="B2727" s="40" t="s">
        <v>3379</v>
      </c>
      <c r="C2727" s="1161" t="s">
        <v>7086</v>
      </c>
      <c r="D2727" s="912" t="n">
        <v>2006</v>
      </c>
      <c r="E2727" s="912" t="n">
        <f aca="false">2015-D2727</f>
        <v>9</v>
      </c>
      <c r="F2727" s="547" t="n">
        <v>133722</v>
      </c>
      <c r="G2727" s="1413" t="n">
        <v>0.1</v>
      </c>
      <c r="H2727" s="547" t="n">
        <f aca="false">E2727*F2727*G2727</f>
        <v>120349.8</v>
      </c>
      <c r="I2727" s="547" t="n">
        <f aca="false">F2727-H2727</f>
        <v>13372.2</v>
      </c>
      <c r="J2727" s="547" t="n">
        <f aca="false">F2727*G2727</f>
        <v>13372.2</v>
      </c>
      <c r="K2727" s="1365" t="n">
        <f aca="false">J2727/1792.8</f>
        <v>7.45883534136546</v>
      </c>
      <c r="L2727" s="547" t="n">
        <v>20</v>
      </c>
      <c r="M2727" s="819" t="n">
        <f aca="false">K2727*L2727/60</f>
        <v>2.48627844712182</v>
      </c>
    </row>
    <row r="2728" customFormat="false" ht="15" hidden="false" customHeight="false" outlineLevel="0" collapsed="false">
      <c r="A2728" s="216"/>
      <c r="B2728" s="40"/>
      <c r="C2728" s="1161" t="s">
        <v>7087</v>
      </c>
      <c r="D2728" s="912" t="n">
        <v>2007</v>
      </c>
      <c r="E2728" s="912" t="n">
        <f aca="false">2015-D2728</f>
        <v>8</v>
      </c>
      <c r="F2728" s="547" t="n">
        <v>61985</v>
      </c>
      <c r="G2728" s="1413" t="n">
        <v>0.1</v>
      </c>
      <c r="H2728" s="547" t="n">
        <f aca="false">E2728*F2728*G2728</f>
        <v>49588</v>
      </c>
      <c r="I2728" s="547" t="n">
        <f aca="false">F2728-H2728</f>
        <v>12397</v>
      </c>
      <c r="J2728" s="547" t="n">
        <f aca="false">F2728*G2728</f>
        <v>6198.5</v>
      </c>
      <c r="K2728" s="1365" t="n">
        <f aca="false">J2728/1792.8</f>
        <v>3.45744087460955</v>
      </c>
      <c r="L2728" s="547" t="n">
        <v>15</v>
      </c>
      <c r="M2728" s="819" t="n">
        <f aca="false">K2728*L2728/60</f>
        <v>0.864360218652387</v>
      </c>
    </row>
    <row r="2729" customFormat="false" ht="15" hidden="false" customHeight="false" outlineLevel="0" collapsed="false">
      <c r="A2729" s="216"/>
      <c r="B2729" s="40"/>
      <c r="C2729" s="1161" t="s">
        <v>7088</v>
      </c>
      <c r="D2729" s="912" t="n">
        <v>2006</v>
      </c>
      <c r="E2729" s="912" t="n">
        <f aca="false">2015-D2729</f>
        <v>9</v>
      </c>
      <c r="F2729" s="547" t="n">
        <v>138575</v>
      </c>
      <c r="G2729" s="1413" t="n">
        <v>0.1</v>
      </c>
      <c r="H2729" s="547" t="n">
        <f aca="false">E2729*F2729*G2729</f>
        <v>124717.5</v>
      </c>
      <c r="I2729" s="547" t="n">
        <f aca="false">F2729-H2729</f>
        <v>13857.5</v>
      </c>
      <c r="J2729" s="547" t="n">
        <f aca="false">F2729*G2729</f>
        <v>13857.5</v>
      </c>
      <c r="K2729" s="1365" t="n">
        <f aca="false">J2729/1792.8</f>
        <v>7.7295292280232</v>
      </c>
      <c r="L2729" s="547" t="n">
        <v>10</v>
      </c>
      <c r="M2729" s="819" t="n">
        <f aca="false">K2729*L2729/60</f>
        <v>1.2882548713372</v>
      </c>
    </row>
    <row r="2730" customFormat="false" ht="15" hidden="false" customHeight="false" outlineLevel="0" collapsed="false">
      <c r="A2730" s="216"/>
      <c r="B2730" s="40"/>
      <c r="C2730" s="1161" t="s">
        <v>6974</v>
      </c>
      <c r="D2730" s="912" t="n">
        <v>2015</v>
      </c>
      <c r="E2730" s="912" t="n">
        <f aca="false">2015-D2730</f>
        <v>0</v>
      </c>
      <c r="F2730" s="547" t="n">
        <v>330000</v>
      </c>
      <c r="G2730" s="1413" t="n">
        <v>0.1</v>
      </c>
      <c r="H2730" s="547" t="n">
        <f aca="false">E2730*F2730*G2730</f>
        <v>0</v>
      </c>
      <c r="I2730" s="547" t="n">
        <f aca="false">F2730-H2730</f>
        <v>330000</v>
      </c>
      <c r="J2730" s="547" t="n">
        <f aca="false">F2730*G2730</f>
        <v>33000</v>
      </c>
      <c r="K2730" s="1365" t="n">
        <f aca="false">J2730/1792.8</f>
        <v>18.4069611780455</v>
      </c>
      <c r="L2730" s="547" t="n">
        <v>80</v>
      </c>
      <c r="M2730" s="819" t="n">
        <f aca="false">K2730*L2730/60</f>
        <v>24.5426149040607</v>
      </c>
    </row>
    <row r="2731" customFormat="false" ht="15" hidden="false" customHeight="false" outlineLevel="0" collapsed="false">
      <c r="A2731" s="216"/>
      <c r="B2731" s="1053" t="s">
        <v>4128</v>
      </c>
      <c r="C2731" s="1161"/>
      <c r="D2731" s="912"/>
      <c r="E2731" s="912"/>
      <c r="F2731" s="547"/>
      <c r="G2731" s="1413"/>
      <c r="H2731" s="547"/>
      <c r="I2731" s="547"/>
      <c r="J2731" s="547"/>
      <c r="K2731" s="1365" t="n">
        <f aca="false">J2731/1792.8</f>
        <v>0</v>
      </c>
      <c r="L2731" s="547"/>
      <c r="M2731" s="934" t="n">
        <f aca="false">SUM(M2727:M2730)</f>
        <v>29.1815084411721</v>
      </c>
    </row>
    <row r="2732" customFormat="false" ht="15" hidden="false" customHeight="false" outlineLevel="0" collapsed="false">
      <c r="A2732" s="216" t="s">
        <v>1246</v>
      </c>
      <c r="B2732" s="40" t="s">
        <v>3380</v>
      </c>
      <c r="C2732" s="1161" t="s">
        <v>7086</v>
      </c>
      <c r="D2732" s="912" t="n">
        <v>2006</v>
      </c>
      <c r="E2732" s="912" t="n">
        <f aca="false">2015-D2732</f>
        <v>9</v>
      </c>
      <c r="F2732" s="547" t="n">
        <v>133722</v>
      </c>
      <c r="G2732" s="1413" t="n">
        <v>0.1</v>
      </c>
      <c r="H2732" s="547" t="n">
        <f aca="false">E2732*F2732*G2732</f>
        <v>120349.8</v>
      </c>
      <c r="I2732" s="547" t="n">
        <f aca="false">F2732-H2732</f>
        <v>13372.2</v>
      </c>
      <c r="J2732" s="547" t="n">
        <f aca="false">F2732*G2732</f>
        <v>13372.2</v>
      </c>
      <c r="K2732" s="1365" t="n">
        <f aca="false">J2732/1792.8</f>
        <v>7.45883534136546</v>
      </c>
      <c r="L2732" s="547" t="n">
        <v>20</v>
      </c>
      <c r="M2732" s="819" t="n">
        <f aca="false">K2732*L2732/60</f>
        <v>2.48627844712182</v>
      </c>
    </row>
    <row r="2733" customFormat="false" ht="15" hidden="false" customHeight="false" outlineLevel="0" collapsed="false">
      <c r="A2733" s="216"/>
      <c r="B2733" s="40"/>
      <c r="C2733" s="1161" t="s">
        <v>7087</v>
      </c>
      <c r="D2733" s="912" t="n">
        <v>2007</v>
      </c>
      <c r="E2733" s="912" t="n">
        <f aca="false">2015-D2733</f>
        <v>8</v>
      </c>
      <c r="F2733" s="547" t="n">
        <v>61985</v>
      </c>
      <c r="G2733" s="1413" t="n">
        <v>0.1</v>
      </c>
      <c r="H2733" s="547" t="n">
        <f aca="false">E2733*F2733*G2733</f>
        <v>49588</v>
      </c>
      <c r="I2733" s="547" t="n">
        <f aca="false">F2733-H2733</f>
        <v>12397</v>
      </c>
      <c r="J2733" s="547" t="n">
        <f aca="false">F2733*G2733</f>
        <v>6198.5</v>
      </c>
      <c r="K2733" s="1365" t="n">
        <f aca="false">J2733/1792.8</f>
        <v>3.45744087460955</v>
      </c>
      <c r="L2733" s="547" t="n">
        <v>15</v>
      </c>
      <c r="M2733" s="819" t="n">
        <f aca="false">K2733*L2733/60</f>
        <v>0.864360218652387</v>
      </c>
    </row>
    <row r="2734" customFormat="false" ht="15" hidden="false" customHeight="false" outlineLevel="0" collapsed="false">
      <c r="A2734" s="216"/>
      <c r="B2734" s="40"/>
      <c r="C2734" s="1161" t="s">
        <v>7088</v>
      </c>
      <c r="D2734" s="912" t="n">
        <v>2006</v>
      </c>
      <c r="E2734" s="912" t="n">
        <f aca="false">2015-D2734</f>
        <v>9</v>
      </c>
      <c r="F2734" s="547" t="n">
        <v>138575</v>
      </c>
      <c r="G2734" s="1413" t="n">
        <v>0.1</v>
      </c>
      <c r="H2734" s="547" t="n">
        <f aca="false">E2734*F2734*G2734</f>
        <v>124717.5</v>
      </c>
      <c r="I2734" s="547" t="n">
        <f aca="false">F2734-H2734</f>
        <v>13857.5</v>
      </c>
      <c r="J2734" s="547" t="n">
        <f aca="false">F2734*G2734</f>
        <v>13857.5</v>
      </c>
      <c r="K2734" s="1365" t="n">
        <f aca="false">J2734/1792.8</f>
        <v>7.7295292280232</v>
      </c>
      <c r="L2734" s="547" t="n">
        <v>10</v>
      </c>
      <c r="M2734" s="819" t="n">
        <f aca="false">K2734*L2734/60</f>
        <v>1.2882548713372</v>
      </c>
    </row>
    <row r="2735" customFormat="false" ht="15" hidden="false" customHeight="false" outlineLevel="0" collapsed="false">
      <c r="A2735" s="216"/>
      <c r="B2735" s="40"/>
      <c r="C2735" s="1161" t="s">
        <v>6974</v>
      </c>
      <c r="D2735" s="912" t="n">
        <v>2015</v>
      </c>
      <c r="E2735" s="912" t="n">
        <f aca="false">2015-D2735</f>
        <v>0</v>
      </c>
      <c r="F2735" s="547" t="n">
        <v>330000</v>
      </c>
      <c r="G2735" s="1413" t="n">
        <v>0.1</v>
      </c>
      <c r="H2735" s="547" t="n">
        <f aca="false">E2735*F2735*G2735</f>
        <v>0</v>
      </c>
      <c r="I2735" s="547" t="n">
        <f aca="false">F2735-H2735</f>
        <v>330000</v>
      </c>
      <c r="J2735" s="547" t="n">
        <f aca="false">F2735*G2735</f>
        <v>33000</v>
      </c>
      <c r="K2735" s="1365" t="n">
        <f aca="false">J2735/1792.8</f>
        <v>18.4069611780455</v>
      </c>
      <c r="L2735" s="547" t="n">
        <v>80</v>
      </c>
      <c r="M2735" s="819" t="n">
        <f aca="false">K2735*L2735/60</f>
        <v>24.5426149040607</v>
      </c>
    </row>
    <row r="2736" customFormat="false" ht="15" hidden="false" customHeight="false" outlineLevel="0" collapsed="false">
      <c r="A2736" s="216"/>
      <c r="B2736" s="1053" t="s">
        <v>4128</v>
      </c>
      <c r="C2736" s="1161"/>
      <c r="D2736" s="912"/>
      <c r="E2736" s="912"/>
      <c r="F2736" s="547"/>
      <c r="G2736" s="1413"/>
      <c r="H2736" s="547"/>
      <c r="I2736" s="547"/>
      <c r="J2736" s="547"/>
      <c r="K2736" s="1365" t="n">
        <f aca="false">J2736/1792.8</f>
        <v>0</v>
      </c>
      <c r="L2736" s="547"/>
      <c r="M2736" s="934" t="n">
        <f aca="false">SUM(M2732:M2735)</f>
        <v>29.1815084411721</v>
      </c>
    </row>
    <row r="2737" customFormat="false" ht="15" hidden="false" customHeight="false" outlineLevel="0" collapsed="false">
      <c r="A2737" s="216" t="s">
        <v>1248</v>
      </c>
      <c r="B2737" s="40" t="s">
        <v>3381</v>
      </c>
      <c r="C2737" s="1161" t="s">
        <v>7086</v>
      </c>
      <c r="D2737" s="912" t="n">
        <v>2006</v>
      </c>
      <c r="E2737" s="912" t="n">
        <f aca="false">2015-D2737</f>
        <v>9</v>
      </c>
      <c r="F2737" s="547" t="n">
        <v>133722</v>
      </c>
      <c r="G2737" s="1413" t="n">
        <v>0.1</v>
      </c>
      <c r="H2737" s="547" t="n">
        <f aca="false">E2737*F2737*G2737</f>
        <v>120349.8</v>
      </c>
      <c r="I2737" s="547" t="n">
        <f aca="false">F2737-H2737</f>
        <v>13372.2</v>
      </c>
      <c r="J2737" s="547" t="n">
        <f aca="false">F2737*G2737</f>
        <v>13372.2</v>
      </c>
      <c r="K2737" s="1365" t="n">
        <f aca="false">J2737/1792.8</f>
        <v>7.45883534136546</v>
      </c>
      <c r="L2737" s="547" t="n">
        <v>20</v>
      </c>
      <c r="M2737" s="819" t="n">
        <f aca="false">K2737*L2737/60</f>
        <v>2.48627844712182</v>
      </c>
    </row>
    <row r="2738" customFormat="false" ht="15" hidden="false" customHeight="false" outlineLevel="0" collapsed="false">
      <c r="A2738" s="216"/>
      <c r="B2738" s="40"/>
      <c r="C2738" s="1161" t="s">
        <v>7087</v>
      </c>
      <c r="D2738" s="912" t="n">
        <v>2007</v>
      </c>
      <c r="E2738" s="912" t="n">
        <f aca="false">2015-D2738</f>
        <v>8</v>
      </c>
      <c r="F2738" s="547" t="n">
        <v>61985</v>
      </c>
      <c r="G2738" s="1413" t="n">
        <v>0.1</v>
      </c>
      <c r="H2738" s="547" t="n">
        <f aca="false">E2738*F2738*G2738</f>
        <v>49588</v>
      </c>
      <c r="I2738" s="547" t="n">
        <f aca="false">F2738-H2738</f>
        <v>12397</v>
      </c>
      <c r="J2738" s="547" t="n">
        <f aca="false">F2738*G2738</f>
        <v>6198.5</v>
      </c>
      <c r="K2738" s="1365" t="n">
        <f aca="false">J2738/1792.8</f>
        <v>3.45744087460955</v>
      </c>
      <c r="L2738" s="547" t="n">
        <v>15</v>
      </c>
      <c r="M2738" s="819" t="n">
        <f aca="false">K2738*L2738/60</f>
        <v>0.864360218652387</v>
      </c>
    </row>
    <row r="2739" customFormat="false" ht="15" hidden="false" customHeight="false" outlineLevel="0" collapsed="false">
      <c r="A2739" s="216"/>
      <c r="B2739" s="40"/>
      <c r="C2739" s="1161" t="s">
        <v>7088</v>
      </c>
      <c r="D2739" s="912" t="n">
        <v>2006</v>
      </c>
      <c r="E2739" s="912" t="n">
        <f aca="false">2015-D2739</f>
        <v>9</v>
      </c>
      <c r="F2739" s="547" t="n">
        <v>138575</v>
      </c>
      <c r="G2739" s="1413" t="n">
        <v>0.1</v>
      </c>
      <c r="H2739" s="547" t="n">
        <f aca="false">E2739*F2739*G2739</f>
        <v>124717.5</v>
      </c>
      <c r="I2739" s="547" t="n">
        <f aca="false">F2739-H2739</f>
        <v>13857.5</v>
      </c>
      <c r="J2739" s="547" t="n">
        <f aca="false">F2739*G2739</f>
        <v>13857.5</v>
      </c>
      <c r="K2739" s="1365" t="n">
        <f aca="false">J2739/1792.8</f>
        <v>7.7295292280232</v>
      </c>
      <c r="L2739" s="547" t="n">
        <v>10</v>
      </c>
      <c r="M2739" s="819" t="n">
        <f aca="false">K2739*L2739/60</f>
        <v>1.2882548713372</v>
      </c>
    </row>
    <row r="2740" customFormat="false" ht="15" hidden="false" customHeight="false" outlineLevel="0" collapsed="false">
      <c r="A2740" s="216"/>
      <c r="B2740" s="40"/>
      <c r="C2740" s="1161" t="s">
        <v>6974</v>
      </c>
      <c r="D2740" s="912" t="n">
        <v>2015</v>
      </c>
      <c r="E2740" s="912" t="n">
        <f aca="false">2015-D2740</f>
        <v>0</v>
      </c>
      <c r="F2740" s="547" t="n">
        <v>330000</v>
      </c>
      <c r="G2740" s="1413" t="n">
        <v>0.1</v>
      </c>
      <c r="H2740" s="547" t="n">
        <f aca="false">E2740*F2740*G2740</f>
        <v>0</v>
      </c>
      <c r="I2740" s="547" t="n">
        <f aca="false">F2740-H2740</f>
        <v>330000</v>
      </c>
      <c r="J2740" s="547" t="n">
        <f aca="false">F2740*G2740</f>
        <v>33000</v>
      </c>
      <c r="K2740" s="1365" t="n">
        <f aca="false">J2740/1792.8</f>
        <v>18.4069611780455</v>
      </c>
      <c r="L2740" s="547" t="n">
        <v>80</v>
      </c>
      <c r="M2740" s="819" t="n">
        <f aca="false">K2740*L2740/60</f>
        <v>24.5426149040607</v>
      </c>
    </row>
    <row r="2741" customFormat="false" ht="15" hidden="false" customHeight="false" outlineLevel="0" collapsed="false">
      <c r="A2741" s="216"/>
      <c r="B2741" s="1053" t="s">
        <v>4128</v>
      </c>
      <c r="C2741" s="1161"/>
      <c r="D2741" s="912"/>
      <c r="E2741" s="912"/>
      <c r="F2741" s="547"/>
      <c r="G2741" s="1413"/>
      <c r="H2741" s="547"/>
      <c r="I2741" s="547"/>
      <c r="J2741" s="547"/>
      <c r="K2741" s="1365" t="n">
        <f aca="false">J2741/1792.8</f>
        <v>0</v>
      </c>
      <c r="L2741" s="547"/>
      <c r="M2741" s="934" t="n">
        <f aca="false">SUM(M2737:M2740)</f>
        <v>29.1815084411721</v>
      </c>
    </row>
    <row r="2742" customFormat="false" ht="15" hidden="false" customHeight="false" outlineLevel="0" collapsed="false">
      <c r="A2742" s="216" t="s">
        <v>1250</v>
      </c>
      <c r="B2742" s="40" t="s">
        <v>3382</v>
      </c>
      <c r="C2742" s="1161" t="s">
        <v>7086</v>
      </c>
      <c r="D2742" s="912" t="n">
        <v>2006</v>
      </c>
      <c r="E2742" s="912" t="n">
        <f aca="false">2015-D2742</f>
        <v>9</v>
      </c>
      <c r="F2742" s="547" t="n">
        <v>133722</v>
      </c>
      <c r="G2742" s="1413" t="n">
        <v>0.1</v>
      </c>
      <c r="H2742" s="547" t="n">
        <f aca="false">E2742*F2742*G2742</f>
        <v>120349.8</v>
      </c>
      <c r="I2742" s="547" t="n">
        <f aca="false">F2742-H2742</f>
        <v>13372.2</v>
      </c>
      <c r="J2742" s="547" t="n">
        <f aca="false">F2742*G2742</f>
        <v>13372.2</v>
      </c>
      <c r="K2742" s="1365" t="n">
        <f aca="false">J2742/1792.8</f>
        <v>7.45883534136546</v>
      </c>
      <c r="L2742" s="547" t="n">
        <v>20</v>
      </c>
      <c r="M2742" s="819" t="n">
        <f aca="false">K2742*L2742/60</f>
        <v>2.48627844712182</v>
      </c>
    </row>
    <row r="2743" customFormat="false" ht="15" hidden="false" customHeight="false" outlineLevel="0" collapsed="false">
      <c r="A2743" s="216"/>
      <c r="B2743" s="40"/>
      <c r="C2743" s="1161" t="s">
        <v>7087</v>
      </c>
      <c r="D2743" s="912" t="n">
        <v>2007</v>
      </c>
      <c r="E2743" s="912" t="n">
        <f aca="false">2015-D2743</f>
        <v>8</v>
      </c>
      <c r="F2743" s="547" t="n">
        <v>61985</v>
      </c>
      <c r="G2743" s="1413" t="n">
        <v>0.1</v>
      </c>
      <c r="H2743" s="547" t="n">
        <f aca="false">E2743*F2743*G2743</f>
        <v>49588</v>
      </c>
      <c r="I2743" s="547" t="n">
        <f aca="false">F2743-H2743</f>
        <v>12397</v>
      </c>
      <c r="J2743" s="547" t="n">
        <f aca="false">F2743*G2743</f>
        <v>6198.5</v>
      </c>
      <c r="K2743" s="1365" t="n">
        <f aca="false">J2743/1792.8</f>
        <v>3.45744087460955</v>
      </c>
      <c r="L2743" s="547" t="n">
        <v>15</v>
      </c>
      <c r="M2743" s="819" t="n">
        <f aca="false">K2743*L2743/60</f>
        <v>0.864360218652387</v>
      </c>
    </row>
    <row r="2744" customFormat="false" ht="15" hidden="false" customHeight="false" outlineLevel="0" collapsed="false">
      <c r="A2744" s="216"/>
      <c r="B2744" s="40"/>
      <c r="C2744" s="1161" t="s">
        <v>7088</v>
      </c>
      <c r="D2744" s="912" t="n">
        <v>2006</v>
      </c>
      <c r="E2744" s="912" t="n">
        <f aca="false">2015-D2744</f>
        <v>9</v>
      </c>
      <c r="F2744" s="547" t="n">
        <v>138575</v>
      </c>
      <c r="G2744" s="1413" t="n">
        <v>0.1</v>
      </c>
      <c r="H2744" s="547" t="n">
        <f aca="false">E2744*F2744*G2744</f>
        <v>124717.5</v>
      </c>
      <c r="I2744" s="547" t="n">
        <f aca="false">F2744-H2744</f>
        <v>13857.5</v>
      </c>
      <c r="J2744" s="547" t="n">
        <f aca="false">F2744*G2744</f>
        <v>13857.5</v>
      </c>
      <c r="K2744" s="1365" t="n">
        <f aca="false">J2744/1792.8</f>
        <v>7.7295292280232</v>
      </c>
      <c r="L2744" s="547" t="n">
        <v>10</v>
      </c>
      <c r="M2744" s="819" t="n">
        <f aca="false">K2744*L2744/60</f>
        <v>1.2882548713372</v>
      </c>
    </row>
    <row r="2745" customFormat="false" ht="15" hidden="false" customHeight="false" outlineLevel="0" collapsed="false">
      <c r="A2745" s="216"/>
      <c r="B2745" s="40"/>
      <c r="C2745" s="1161" t="s">
        <v>6974</v>
      </c>
      <c r="D2745" s="912" t="n">
        <v>2015</v>
      </c>
      <c r="E2745" s="912" t="n">
        <f aca="false">2015-D2745</f>
        <v>0</v>
      </c>
      <c r="F2745" s="547" t="n">
        <v>330000</v>
      </c>
      <c r="G2745" s="1413" t="n">
        <v>0.1</v>
      </c>
      <c r="H2745" s="547" t="n">
        <f aca="false">E2745*F2745*G2745</f>
        <v>0</v>
      </c>
      <c r="I2745" s="547" t="n">
        <f aca="false">F2745-H2745</f>
        <v>330000</v>
      </c>
      <c r="J2745" s="547" t="n">
        <f aca="false">F2745*G2745</f>
        <v>33000</v>
      </c>
      <c r="K2745" s="1365" t="n">
        <f aca="false">J2745/1792.8</f>
        <v>18.4069611780455</v>
      </c>
      <c r="L2745" s="547" t="n">
        <v>80</v>
      </c>
      <c r="M2745" s="819" t="n">
        <f aca="false">K2745*L2745/60</f>
        <v>24.5426149040607</v>
      </c>
    </row>
    <row r="2746" customFormat="false" ht="15" hidden="false" customHeight="false" outlineLevel="0" collapsed="false">
      <c r="A2746" s="216"/>
      <c r="B2746" s="1053" t="s">
        <v>4128</v>
      </c>
      <c r="C2746" s="1161"/>
      <c r="D2746" s="912"/>
      <c r="E2746" s="912"/>
      <c r="F2746" s="547"/>
      <c r="G2746" s="1413"/>
      <c r="H2746" s="547"/>
      <c r="I2746" s="547"/>
      <c r="J2746" s="547"/>
      <c r="K2746" s="1365" t="n">
        <f aca="false">J2746/1792.8</f>
        <v>0</v>
      </c>
      <c r="L2746" s="547"/>
      <c r="M2746" s="934" t="n">
        <f aca="false">SUM(M2742:M2745)</f>
        <v>29.1815084411721</v>
      </c>
    </row>
    <row r="2747" customFormat="false" ht="15" hidden="false" customHeight="false" outlineLevel="0" collapsed="false">
      <c r="A2747" s="216" t="s">
        <v>7089</v>
      </c>
      <c r="B2747" s="40" t="s">
        <v>3383</v>
      </c>
      <c r="C2747" s="1161" t="s">
        <v>7086</v>
      </c>
      <c r="D2747" s="912" t="n">
        <v>2006</v>
      </c>
      <c r="E2747" s="912" t="n">
        <f aca="false">2015-D2747</f>
        <v>9</v>
      </c>
      <c r="F2747" s="547" t="n">
        <v>133722</v>
      </c>
      <c r="G2747" s="1413" t="n">
        <v>0.1</v>
      </c>
      <c r="H2747" s="547" t="n">
        <f aca="false">E2747*F2747*G2747</f>
        <v>120349.8</v>
      </c>
      <c r="I2747" s="547" t="n">
        <f aca="false">F2747-H2747</f>
        <v>13372.2</v>
      </c>
      <c r="J2747" s="547" t="n">
        <f aca="false">F2747*G2747</f>
        <v>13372.2</v>
      </c>
      <c r="K2747" s="1365" t="n">
        <f aca="false">J2747/1792.8</f>
        <v>7.45883534136546</v>
      </c>
      <c r="L2747" s="547" t="n">
        <v>20</v>
      </c>
      <c r="M2747" s="819" t="n">
        <f aca="false">K2747*L2747/60</f>
        <v>2.48627844712182</v>
      </c>
    </row>
    <row r="2748" customFormat="false" ht="15" hidden="false" customHeight="false" outlineLevel="0" collapsed="false">
      <c r="A2748" s="216"/>
      <c r="B2748" s="40"/>
      <c r="C2748" s="1161" t="s">
        <v>7087</v>
      </c>
      <c r="D2748" s="912" t="n">
        <v>2007</v>
      </c>
      <c r="E2748" s="912" t="n">
        <f aca="false">2015-D2748</f>
        <v>8</v>
      </c>
      <c r="F2748" s="547" t="n">
        <v>61985</v>
      </c>
      <c r="G2748" s="1413" t="n">
        <v>0.1</v>
      </c>
      <c r="H2748" s="547" t="n">
        <f aca="false">E2748*F2748*G2748</f>
        <v>49588</v>
      </c>
      <c r="I2748" s="547" t="n">
        <f aca="false">F2748-H2748</f>
        <v>12397</v>
      </c>
      <c r="J2748" s="547" t="n">
        <f aca="false">F2748*G2748</f>
        <v>6198.5</v>
      </c>
      <c r="K2748" s="1365" t="n">
        <f aca="false">J2748/1792.8</f>
        <v>3.45744087460955</v>
      </c>
      <c r="L2748" s="547" t="n">
        <v>15</v>
      </c>
      <c r="M2748" s="819" t="n">
        <f aca="false">K2748*L2748/60</f>
        <v>0.864360218652387</v>
      </c>
    </row>
    <row r="2749" customFormat="false" ht="15" hidden="false" customHeight="false" outlineLevel="0" collapsed="false">
      <c r="A2749" s="216"/>
      <c r="B2749" s="40"/>
      <c r="C2749" s="1161" t="s">
        <v>7088</v>
      </c>
      <c r="D2749" s="912" t="n">
        <v>2006</v>
      </c>
      <c r="E2749" s="912" t="n">
        <f aca="false">2015-D2749</f>
        <v>9</v>
      </c>
      <c r="F2749" s="547" t="n">
        <v>138575</v>
      </c>
      <c r="G2749" s="1413" t="n">
        <v>0.1</v>
      </c>
      <c r="H2749" s="547" t="n">
        <f aca="false">E2749*F2749*G2749</f>
        <v>124717.5</v>
      </c>
      <c r="I2749" s="547" t="n">
        <f aca="false">F2749-H2749</f>
        <v>13857.5</v>
      </c>
      <c r="J2749" s="547" t="n">
        <f aca="false">F2749*G2749</f>
        <v>13857.5</v>
      </c>
      <c r="K2749" s="1365" t="n">
        <f aca="false">J2749/1792.8</f>
        <v>7.7295292280232</v>
      </c>
      <c r="L2749" s="547" t="n">
        <v>10</v>
      </c>
      <c r="M2749" s="819" t="n">
        <f aca="false">K2749*L2749/60</f>
        <v>1.2882548713372</v>
      </c>
    </row>
    <row r="2750" customFormat="false" ht="15" hidden="false" customHeight="false" outlineLevel="0" collapsed="false">
      <c r="A2750" s="216"/>
      <c r="B2750" s="40"/>
      <c r="C2750" s="1161" t="s">
        <v>6974</v>
      </c>
      <c r="D2750" s="912" t="n">
        <v>2015</v>
      </c>
      <c r="E2750" s="912" t="n">
        <f aca="false">2015-D2750</f>
        <v>0</v>
      </c>
      <c r="F2750" s="547" t="n">
        <v>330000</v>
      </c>
      <c r="G2750" s="1413" t="n">
        <v>0.1</v>
      </c>
      <c r="H2750" s="547" t="n">
        <f aca="false">E2750*F2750*G2750</f>
        <v>0</v>
      </c>
      <c r="I2750" s="547" t="n">
        <f aca="false">F2750-H2750</f>
        <v>330000</v>
      </c>
      <c r="J2750" s="547" t="n">
        <f aca="false">F2750*G2750</f>
        <v>33000</v>
      </c>
      <c r="K2750" s="1365" t="n">
        <f aca="false">J2750/1792.8</f>
        <v>18.4069611780455</v>
      </c>
      <c r="L2750" s="547" t="n">
        <v>80</v>
      </c>
      <c r="M2750" s="819" t="n">
        <f aca="false">K2750*L2750/60</f>
        <v>24.5426149040607</v>
      </c>
    </row>
    <row r="2751" customFormat="false" ht="15" hidden="false" customHeight="false" outlineLevel="0" collapsed="false">
      <c r="A2751" s="216"/>
      <c r="B2751" s="1053" t="s">
        <v>4128</v>
      </c>
      <c r="C2751" s="1161"/>
      <c r="D2751" s="912"/>
      <c r="E2751" s="912"/>
      <c r="F2751" s="547"/>
      <c r="G2751" s="1413"/>
      <c r="H2751" s="547"/>
      <c r="I2751" s="547"/>
      <c r="J2751" s="547"/>
      <c r="K2751" s="1365" t="n">
        <f aca="false">J2751/1792.8</f>
        <v>0</v>
      </c>
      <c r="L2751" s="547"/>
      <c r="M2751" s="934" t="n">
        <f aca="false">SUM(M2747:M2750)</f>
        <v>29.1815084411721</v>
      </c>
    </row>
    <row r="2752" customFormat="false" ht="15" hidden="false" customHeight="false" outlineLevel="0" collapsed="false">
      <c r="A2752" s="216" t="s">
        <v>1254</v>
      </c>
      <c r="B2752" s="40" t="s">
        <v>3384</v>
      </c>
      <c r="C2752" s="1161" t="s">
        <v>7086</v>
      </c>
      <c r="D2752" s="912" t="n">
        <v>2006</v>
      </c>
      <c r="E2752" s="912" t="n">
        <f aca="false">2015-D2752</f>
        <v>9</v>
      </c>
      <c r="F2752" s="547" t="n">
        <v>133722</v>
      </c>
      <c r="G2752" s="1413" t="n">
        <v>0.1</v>
      </c>
      <c r="H2752" s="547" t="n">
        <f aca="false">E2752*F2752*G2752</f>
        <v>120349.8</v>
      </c>
      <c r="I2752" s="547" t="n">
        <f aca="false">F2752-H2752</f>
        <v>13372.2</v>
      </c>
      <c r="J2752" s="547" t="n">
        <f aca="false">F2752*G2752</f>
        <v>13372.2</v>
      </c>
      <c r="K2752" s="1365" t="n">
        <f aca="false">J2752/1792.8</f>
        <v>7.45883534136546</v>
      </c>
      <c r="L2752" s="547" t="n">
        <v>20</v>
      </c>
      <c r="M2752" s="819" t="n">
        <f aca="false">K2752*L2752/60</f>
        <v>2.48627844712182</v>
      </c>
    </row>
    <row r="2753" customFormat="false" ht="15" hidden="false" customHeight="false" outlineLevel="0" collapsed="false">
      <c r="A2753" s="216"/>
      <c r="B2753" s="40"/>
      <c r="C2753" s="1161" t="s">
        <v>7087</v>
      </c>
      <c r="D2753" s="912" t="n">
        <v>2007</v>
      </c>
      <c r="E2753" s="912" t="n">
        <f aca="false">2015-D2753</f>
        <v>8</v>
      </c>
      <c r="F2753" s="547" t="n">
        <v>61985</v>
      </c>
      <c r="G2753" s="1413" t="n">
        <v>0.1</v>
      </c>
      <c r="H2753" s="547" t="n">
        <f aca="false">E2753*F2753*G2753</f>
        <v>49588</v>
      </c>
      <c r="I2753" s="547" t="n">
        <f aca="false">F2753-H2753</f>
        <v>12397</v>
      </c>
      <c r="J2753" s="547" t="n">
        <f aca="false">F2753*G2753</f>
        <v>6198.5</v>
      </c>
      <c r="K2753" s="1365" t="n">
        <f aca="false">J2753/1792.8</f>
        <v>3.45744087460955</v>
      </c>
      <c r="L2753" s="547" t="n">
        <v>15</v>
      </c>
      <c r="M2753" s="819" t="n">
        <f aca="false">K2753*L2753/60</f>
        <v>0.864360218652387</v>
      </c>
    </row>
    <row r="2754" customFormat="false" ht="15" hidden="false" customHeight="false" outlineLevel="0" collapsed="false">
      <c r="A2754" s="216"/>
      <c r="B2754" s="40"/>
      <c r="C2754" s="1161" t="s">
        <v>7088</v>
      </c>
      <c r="D2754" s="912" t="n">
        <v>2006</v>
      </c>
      <c r="E2754" s="912" t="n">
        <f aca="false">2015-D2754</f>
        <v>9</v>
      </c>
      <c r="F2754" s="547" t="n">
        <v>138575</v>
      </c>
      <c r="G2754" s="1413" t="n">
        <v>0.1</v>
      </c>
      <c r="H2754" s="547" t="n">
        <f aca="false">E2754*F2754*G2754</f>
        <v>124717.5</v>
      </c>
      <c r="I2754" s="547" t="n">
        <f aca="false">F2754-H2754</f>
        <v>13857.5</v>
      </c>
      <c r="J2754" s="547" t="n">
        <f aca="false">F2754*G2754</f>
        <v>13857.5</v>
      </c>
      <c r="K2754" s="1365" t="n">
        <f aca="false">J2754/1792.8</f>
        <v>7.7295292280232</v>
      </c>
      <c r="L2754" s="547" t="n">
        <v>10</v>
      </c>
      <c r="M2754" s="819" t="n">
        <f aca="false">K2754*L2754/60</f>
        <v>1.2882548713372</v>
      </c>
    </row>
    <row r="2755" customFormat="false" ht="15" hidden="false" customHeight="false" outlineLevel="0" collapsed="false">
      <c r="A2755" s="216"/>
      <c r="B2755" s="40"/>
      <c r="C2755" s="1161" t="s">
        <v>6974</v>
      </c>
      <c r="D2755" s="912" t="n">
        <v>2015</v>
      </c>
      <c r="E2755" s="912" t="n">
        <f aca="false">2015-D2755</f>
        <v>0</v>
      </c>
      <c r="F2755" s="547" t="n">
        <v>330000</v>
      </c>
      <c r="G2755" s="1413" t="n">
        <v>0.1</v>
      </c>
      <c r="H2755" s="547" t="n">
        <f aca="false">E2755*F2755*G2755</f>
        <v>0</v>
      </c>
      <c r="I2755" s="547" t="n">
        <f aca="false">F2755-H2755</f>
        <v>330000</v>
      </c>
      <c r="J2755" s="547" t="n">
        <f aca="false">F2755*G2755</f>
        <v>33000</v>
      </c>
      <c r="K2755" s="1365" t="n">
        <f aca="false">J2755/1792.8</f>
        <v>18.4069611780455</v>
      </c>
      <c r="L2755" s="547" t="n">
        <v>80</v>
      </c>
      <c r="M2755" s="819" t="n">
        <f aca="false">K2755*L2755/60</f>
        <v>24.5426149040607</v>
      </c>
    </row>
    <row r="2756" customFormat="false" ht="15" hidden="false" customHeight="false" outlineLevel="0" collapsed="false">
      <c r="A2756" s="216"/>
      <c r="B2756" s="1053" t="s">
        <v>4128</v>
      </c>
      <c r="C2756" s="1161"/>
      <c r="D2756" s="912"/>
      <c r="E2756" s="912"/>
      <c r="F2756" s="547"/>
      <c r="G2756" s="1413"/>
      <c r="H2756" s="547"/>
      <c r="I2756" s="547"/>
      <c r="J2756" s="547"/>
      <c r="K2756" s="1365" t="n">
        <f aca="false">J2756/1792.8</f>
        <v>0</v>
      </c>
      <c r="L2756" s="547"/>
      <c r="M2756" s="934" t="n">
        <f aca="false">SUM(M2752:M2755)</f>
        <v>29.1815084411721</v>
      </c>
    </row>
    <row r="2757" customFormat="false" ht="15" hidden="false" customHeight="false" outlineLevel="0" collapsed="false">
      <c r="A2757" s="216" t="s">
        <v>1256</v>
      </c>
      <c r="B2757" s="40" t="s">
        <v>3385</v>
      </c>
      <c r="C2757" s="1161" t="s">
        <v>7086</v>
      </c>
      <c r="D2757" s="912" t="n">
        <v>2006</v>
      </c>
      <c r="E2757" s="912" t="n">
        <f aca="false">2015-D2757</f>
        <v>9</v>
      </c>
      <c r="F2757" s="547" t="n">
        <v>133722</v>
      </c>
      <c r="G2757" s="1413" t="n">
        <v>0.1</v>
      </c>
      <c r="H2757" s="547" t="n">
        <f aca="false">E2757*F2757*G2757</f>
        <v>120349.8</v>
      </c>
      <c r="I2757" s="547" t="n">
        <f aca="false">F2757-H2757</f>
        <v>13372.2</v>
      </c>
      <c r="J2757" s="547" t="n">
        <f aca="false">F2757*G2757</f>
        <v>13372.2</v>
      </c>
      <c r="K2757" s="1365" t="n">
        <f aca="false">J2757/1792.8</f>
        <v>7.45883534136546</v>
      </c>
      <c r="L2757" s="547" t="n">
        <v>20</v>
      </c>
      <c r="M2757" s="819" t="n">
        <f aca="false">K2757*L2757/60</f>
        <v>2.48627844712182</v>
      </c>
    </row>
    <row r="2758" customFormat="false" ht="15" hidden="false" customHeight="false" outlineLevel="0" collapsed="false">
      <c r="A2758" s="216"/>
      <c r="B2758" s="40"/>
      <c r="C2758" s="1161" t="s">
        <v>7087</v>
      </c>
      <c r="D2758" s="912" t="n">
        <v>2007</v>
      </c>
      <c r="E2758" s="912" t="n">
        <f aca="false">2015-D2758</f>
        <v>8</v>
      </c>
      <c r="F2758" s="547" t="n">
        <v>61985</v>
      </c>
      <c r="G2758" s="1413" t="n">
        <v>0.1</v>
      </c>
      <c r="H2758" s="547" t="n">
        <f aca="false">E2758*F2758*G2758</f>
        <v>49588</v>
      </c>
      <c r="I2758" s="547" t="n">
        <f aca="false">F2758-H2758</f>
        <v>12397</v>
      </c>
      <c r="J2758" s="547" t="n">
        <f aca="false">F2758*G2758</f>
        <v>6198.5</v>
      </c>
      <c r="K2758" s="1365" t="n">
        <f aca="false">J2758/1792.8</f>
        <v>3.45744087460955</v>
      </c>
      <c r="L2758" s="547" t="n">
        <v>15</v>
      </c>
      <c r="M2758" s="819" t="n">
        <f aca="false">K2758*L2758/60</f>
        <v>0.864360218652387</v>
      </c>
    </row>
    <row r="2759" customFormat="false" ht="15" hidden="false" customHeight="false" outlineLevel="0" collapsed="false">
      <c r="A2759" s="216"/>
      <c r="B2759" s="40"/>
      <c r="C2759" s="1161" t="s">
        <v>7088</v>
      </c>
      <c r="D2759" s="912" t="n">
        <v>2006</v>
      </c>
      <c r="E2759" s="912" t="n">
        <f aca="false">2015-D2759</f>
        <v>9</v>
      </c>
      <c r="F2759" s="547" t="n">
        <v>138575</v>
      </c>
      <c r="G2759" s="1413" t="n">
        <v>0.1</v>
      </c>
      <c r="H2759" s="547" t="n">
        <f aca="false">E2759*F2759*G2759</f>
        <v>124717.5</v>
      </c>
      <c r="I2759" s="547" t="n">
        <f aca="false">F2759-H2759</f>
        <v>13857.5</v>
      </c>
      <c r="J2759" s="547" t="n">
        <f aca="false">F2759*G2759</f>
        <v>13857.5</v>
      </c>
      <c r="K2759" s="1365" t="n">
        <f aca="false">J2759/1792.8</f>
        <v>7.7295292280232</v>
      </c>
      <c r="L2759" s="547" t="n">
        <v>10</v>
      </c>
      <c r="M2759" s="819" t="n">
        <f aca="false">K2759*L2759/60</f>
        <v>1.2882548713372</v>
      </c>
    </row>
    <row r="2760" customFormat="false" ht="15" hidden="false" customHeight="false" outlineLevel="0" collapsed="false">
      <c r="A2760" s="216"/>
      <c r="B2760" s="40"/>
      <c r="C2760" s="1161" t="s">
        <v>6974</v>
      </c>
      <c r="D2760" s="912" t="n">
        <v>2015</v>
      </c>
      <c r="E2760" s="912" t="n">
        <f aca="false">2015-D2760</f>
        <v>0</v>
      </c>
      <c r="F2760" s="547" t="n">
        <v>330000</v>
      </c>
      <c r="G2760" s="1413" t="n">
        <v>0.1</v>
      </c>
      <c r="H2760" s="547" t="n">
        <f aca="false">E2760*F2760*G2760</f>
        <v>0</v>
      </c>
      <c r="I2760" s="547" t="n">
        <f aca="false">F2760-H2760</f>
        <v>330000</v>
      </c>
      <c r="J2760" s="547" t="n">
        <f aca="false">F2760*G2760</f>
        <v>33000</v>
      </c>
      <c r="K2760" s="1365" t="n">
        <f aca="false">J2760/1792.8</f>
        <v>18.4069611780455</v>
      </c>
      <c r="L2760" s="547" t="n">
        <v>80</v>
      </c>
      <c r="M2760" s="819" t="n">
        <f aca="false">K2760*L2760/60</f>
        <v>24.5426149040607</v>
      </c>
    </row>
    <row r="2761" customFormat="false" ht="15" hidden="false" customHeight="false" outlineLevel="0" collapsed="false">
      <c r="A2761" s="216"/>
      <c r="B2761" s="1053" t="s">
        <v>4128</v>
      </c>
      <c r="C2761" s="1161"/>
      <c r="D2761" s="912"/>
      <c r="E2761" s="912"/>
      <c r="F2761" s="547"/>
      <c r="G2761" s="1413"/>
      <c r="H2761" s="547"/>
      <c r="I2761" s="547"/>
      <c r="J2761" s="547"/>
      <c r="K2761" s="1365" t="n">
        <f aca="false">J2761/1792.8</f>
        <v>0</v>
      </c>
      <c r="L2761" s="547"/>
      <c r="M2761" s="934" t="n">
        <f aca="false">SUM(M2757:M2760)</f>
        <v>29.1815084411721</v>
      </c>
    </row>
    <row r="2762" customFormat="false" ht="30" hidden="false" customHeight="false" outlineLevel="0" collapsed="false">
      <c r="A2762" s="216" t="s">
        <v>1258</v>
      </c>
      <c r="B2762" s="40" t="s">
        <v>3386</v>
      </c>
      <c r="C2762" s="1161" t="s">
        <v>7086</v>
      </c>
      <c r="D2762" s="912" t="n">
        <v>2006</v>
      </c>
      <c r="E2762" s="912" t="n">
        <f aca="false">2015-D2762</f>
        <v>9</v>
      </c>
      <c r="F2762" s="547" t="n">
        <v>133722</v>
      </c>
      <c r="G2762" s="1413" t="n">
        <v>0.1</v>
      </c>
      <c r="H2762" s="547" t="n">
        <f aca="false">E2762*F2762*G2762</f>
        <v>120349.8</v>
      </c>
      <c r="I2762" s="547" t="n">
        <f aca="false">F2762-H2762</f>
        <v>13372.2</v>
      </c>
      <c r="J2762" s="547" t="n">
        <f aca="false">F2762*G2762</f>
        <v>13372.2</v>
      </c>
      <c r="K2762" s="1365" t="n">
        <f aca="false">J2762/1792.8</f>
        <v>7.45883534136546</v>
      </c>
      <c r="L2762" s="547" t="n">
        <v>20</v>
      </c>
      <c r="M2762" s="819" t="n">
        <f aca="false">K2762*L2762/60</f>
        <v>2.48627844712182</v>
      </c>
    </row>
    <row r="2763" customFormat="false" ht="15" hidden="false" customHeight="false" outlineLevel="0" collapsed="false">
      <c r="A2763" s="216"/>
      <c r="B2763" s="40"/>
      <c r="C2763" s="1161" t="s">
        <v>7087</v>
      </c>
      <c r="D2763" s="912" t="n">
        <v>2007</v>
      </c>
      <c r="E2763" s="912" t="n">
        <f aca="false">2015-D2763</f>
        <v>8</v>
      </c>
      <c r="F2763" s="547" t="n">
        <v>61985</v>
      </c>
      <c r="G2763" s="1413" t="n">
        <v>0.1</v>
      </c>
      <c r="H2763" s="547" t="n">
        <f aca="false">E2763*F2763*G2763</f>
        <v>49588</v>
      </c>
      <c r="I2763" s="547" t="n">
        <f aca="false">F2763-H2763</f>
        <v>12397</v>
      </c>
      <c r="J2763" s="547" t="n">
        <f aca="false">F2763*G2763</f>
        <v>6198.5</v>
      </c>
      <c r="K2763" s="1365" t="n">
        <f aca="false">J2763/1792.8</f>
        <v>3.45744087460955</v>
      </c>
      <c r="L2763" s="547" t="n">
        <v>15</v>
      </c>
      <c r="M2763" s="819" t="n">
        <f aca="false">K2763*L2763/60</f>
        <v>0.864360218652387</v>
      </c>
    </row>
    <row r="2764" customFormat="false" ht="15" hidden="false" customHeight="false" outlineLevel="0" collapsed="false">
      <c r="A2764" s="216"/>
      <c r="B2764" s="40"/>
      <c r="C2764" s="1161" t="s">
        <v>7088</v>
      </c>
      <c r="D2764" s="912" t="n">
        <v>2006</v>
      </c>
      <c r="E2764" s="912" t="n">
        <f aca="false">2015-D2764</f>
        <v>9</v>
      </c>
      <c r="F2764" s="547" t="n">
        <v>138575</v>
      </c>
      <c r="G2764" s="1413" t="n">
        <v>0.1</v>
      </c>
      <c r="H2764" s="547" t="n">
        <f aca="false">E2764*F2764*G2764</f>
        <v>124717.5</v>
      </c>
      <c r="I2764" s="547" t="n">
        <f aca="false">F2764-H2764</f>
        <v>13857.5</v>
      </c>
      <c r="J2764" s="547" t="n">
        <f aca="false">F2764*G2764</f>
        <v>13857.5</v>
      </c>
      <c r="K2764" s="1365" t="n">
        <f aca="false">J2764/1792.8</f>
        <v>7.7295292280232</v>
      </c>
      <c r="L2764" s="547" t="n">
        <v>10</v>
      </c>
      <c r="M2764" s="819" t="n">
        <f aca="false">K2764*L2764/60</f>
        <v>1.2882548713372</v>
      </c>
    </row>
    <row r="2765" customFormat="false" ht="15" hidden="false" customHeight="false" outlineLevel="0" collapsed="false">
      <c r="A2765" s="216"/>
      <c r="B2765" s="40"/>
      <c r="C2765" s="1161" t="s">
        <v>6974</v>
      </c>
      <c r="D2765" s="912" t="n">
        <v>2015</v>
      </c>
      <c r="E2765" s="912" t="n">
        <f aca="false">2015-D2765</f>
        <v>0</v>
      </c>
      <c r="F2765" s="547" t="n">
        <v>330000</v>
      </c>
      <c r="G2765" s="1413" t="n">
        <v>0.1</v>
      </c>
      <c r="H2765" s="547" t="n">
        <f aca="false">E2765*F2765*G2765</f>
        <v>0</v>
      </c>
      <c r="I2765" s="547" t="n">
        <f aca="false">F2765-H2765</f>
        <v>330000</v>
      </c>
      <c r="J2765" s="547" t="n">
        <f aca="false">F2765*G2765</f>
        <v>33000</v>
      </c>
      <c r="K2765" s="1365" t="n">
        <f aca="false">J2765/1792.8</f>
        <v>18.4069611780455</v>
      </c>
      <c r="L2765" s="547" t="n">
        <v>80</v>
      </c>
      <c r="M2765" s="819" t="n">
        <f aca="false">K2765*L2765/60</f>
        <v>24.5426149040607</v>
      </c>
    </row>
    <row r="2766" customFormat="false" ht="15" hidden="false" customHeight="false" outlineLevel="0" collapsed="false">
      <c r="A2766" s="216"/>
      <c r="B2766" s="1053" t="s">
        <v>4128</v>
      </c>
      <c r="C2766" s="1161"/>
      <c r="D2766" s="912"/>
      <c r="E2766" s="912"/>
      <c r="F2766" s="547"/>
      <c r="G2766" s="1413"/>
      <c r="H2766" s="547"/>
      <c r="I2766" s="547"/>
      <c r="J2766" s="547"/>
      <c r="K2766" s="1365" t="n">
        <f aca="false">J2766/1792.8</f>
        <v>0</v>
      </c>
      <c r="L2766" s="547"/>
      <c r="M2766" s="934" t="n">
        <f aca="false">SUM(M2762:M2765)</f>
        <v>29.1815084411721</v>
      </c>
    </row>
    <row r="2767" customFormat="false" ht="15" hidden="false" customHeight="false" outlineLevel="0" collapsed="false">
      <c r="A2767" s="216" t="s">
        <v>1260</v>
      </c>
      <c r="B2767" s="40" t="s">
        <v>3387</v>
      </c>
      <c r="C2767" s="1161" t="s">
        <v>7086</v>
      </c>
      <c r="D2767" s="912" t="n">
        <v>2006</v>
      </c>
      <c r="E2767" s="912" t="n">
        <f aca="false">2015-D2767</f>
        <v>9</v>
      </c>
      <c r="F2767" s="547" t="n">
        <v>133722</v>
      </c>
      <c r="G2767" s="1413" t="n">
        <v>0.1</v>
      </c>
      <c r="H2767" s="547" t="n">
        <f aca="false">E2767*F2767*G2767</f>
        <v>120349.8</v>
      </c>
      <c r="I2767" s="547" t="n">
        <f aca="false">F2767-H2767</f>
        <v>13372.2</v>
      </c>
      <c r="J2767" s="547" t="n">
        <f aca="false">F2767*G2767</f>
        <v>13372.2</v>
      </c>
      <c r="K2767" s="1365" t="n">
        <f aca="false">J2767/1792.8</f>
        <v>7.45883534136546</v>
      </c>
      <c r="L2767" s="547" t="n">
        <v>20</v>
      </c>
      <c r="M2767" s="819" t="n">
        <f aca="false">K2767*L2767/60</f>
        <v>2.48627844712182</v>
      </c>
    </row>
    <row r="2768" customFormat="false" ht="15" hidden="false" customHeight="false" outlineLevel="0" collapsed="false">
      <c r="A2768" s="216"/>
      <c r="B2768" s="40"/>
      <c r="C2768" s="1161" t="s">
        <v>7087</v>
      </c>
      <c r="D2768" s="912" t="n">
        <v>2007</v>
      </c>
      <c r="E2768" s="912" t="n">
        <f aca="false">2015-D2768</f>
        <v>8</v>
      </c>
      <c r="F2768" s="547" t="n">
        <v>61985</v>
      </c>
      <c r="G2768" s="1413" t="n">
        <v>0.1</v>
      </c>
      <c r="H2768" s="547" t="n">
        <f aca="false">E2768*F2768*G2768</f>
        <v>49588</v>
      </c>
      <c r="I2768" s="547" t="n">
        <f aca="false">F2768-H2768</f>
        <v>12397</v>
      </c>
      <c r="J2768" s="547" t="n">
        <f aca="false">F2768*G2768</f>
        <v>6198.5</v>
      </c>
      <c r="K2768" s="1365" t="n">
        <f aca="false">J2768/1792.8</f>
        <v>3.45744087460955</v>
      </c>
      <c r="L2768" s="547" t="n">
        <v>15</v>
      </c>
      <c r="M2768" s="819" t="n">
        <f aca="false">K2768*L2768/60</f>
        <v>0.864360218652387</v>
      </c>
    </row>
    <row r="2769" customFormat="false" ht="15" hidden="false" customHeight="false" outlineLevel="0" collapsed="false">
      <c r="A2769" s="216"/>
      <c r="B2769" s="40"/>
      <c r="C2769" s="1161" t="s">
        <v>7088</v>
      </c>
      <c r="D2769" s="912" t="n">
        <v>2006</v>
      </c>
      <c r="E2769" s="912" t="n">
        <f aca="false">2015-D2769</f>
        <v>9</v>
      </c>
      <c r="F2769" s="547" t="n">
        <v>138575</v>
      </c>
      <c r="G2769" s="1413" t="n">
        <v>0.1</v>
      </c>
      <c r="H2769" s="547" t="n">
        <f aca="false">E2769*F2769*G2769</f>
        <v>124717.5</v>
      </c>
      <c r="I2769" s="547" t="n">
        <f aca="false">F2769-H2769</f>
        <v>13857.5</v>
      </c>
      <c r="J2769" s="547" t="n">
        <f aca="false">F2769*G2769</f>
        <v>13857.5</v>
      </c>
      <c r="K2769" s="1365" t="n">
        <f aca="false">J2769/1792.8</f>
        <v>7.7295292280232</v>
      </c>
      <c r="L2769" s="547" t="n">
        <v>10</v>
      </c>
      <c r="M2769" s="819" t="n">
        <f aca="false">K2769*L2769/60</f>
        <v>1.2882548713372</v>
      </c>
    </row>
    <row r="2770" customFormat="false" ht="15" hidden="false" customHeight="false" outlineLevel="0" collapsed="false">
      <c r="A2770" s="216"/>
      <c r="B2770" s="40"/>
      <c r="C2770" s="1161" t="s">
        <v>6974</v>
      </c>
      <c r="D2770" s="912" t="n">
        <v>2015</v>
      </c>
      <c r="E2770" s="912" t="n">
        <f aca="false">2015-D2770</f>
        <v>0</v>
      </c>
      <c r="F2770" s="547" t="n">
        <v>330000</v>
      </c>
      <c r="G2770" s="1413" t="n">
        <v>0.1</v>
      </c>
      <c r="H2770" s="547" t="n">
        <f aca="false">E2770*F2770*G2770</f>
        <v>0</v>
      </c>
      <c r="I2770" s="547" t="n">
        <f aca="false">F2770-H2770</f>
        <v>330000</v>
      </c>
      <c r="J2770" s="547" t="n">
        <f aca="false">F2770*G2770</f>
        <v>33000</v>
      </c>
      <c r="K2770" s="1365" t="n">
        <f aca="false">J2770/1792.8</f>
        <v>18.4069611780455</v>
      </c>
      <c r="L2770" s="547" t="n">
        <v>80</v>
      </c>
      <c r="M2770" s="819" t="n">
        <f aca="false">K2770*L2770/60</f>
        <v>24.5426149040607</v>
      </c>
    </row>
    <row r="2771" customFormat="false" ht="15" hidden="false" customHeight="false" outlineLevel="0" collapsed="false">
      <c r="A2771" s="216"/>
      <c r="B2771" s="1053" t="s">
        <v>4128</v>
      </c>
      <c r="C2771" s="1161"/>
      <c r="D2771" s="912"/>
      <c r="E2771" s="912"/>
      <c r="F2771" s="547"/>
      <c r="G2771" s="1413"/>
      <c r="H2771" s="547"/>
      <c r="I2771" s="547"/>
      <c r="J2771" s="547"/>
      <c r="K2771" s="1365" t="n">
        <f aca="false">J2771/1792.8</f>
        <v>0</v>
      </c>
      <c r="L2771" s="547"/>
      <c r="M2771" s="934" t="n">
        <f aca="false">SUM(M2767:M2770)</f>
        <v>29.1815084411721</v>
      </c>
    </row>
    <row r="2772" customFormat="false" ht="15" hidden="false" customHeight="false" outlineLevel="0" collapsed="false">
      <c r="A2772" s="216" t="s">
        <v>1262</v>
      </c>
      <c r="B2772" s="40" t="s">
        <v>3388</v>
      </c>
      <c r="C2772" s="1161" t="s">
        <v>7086</v>
      </c>
      <c r="D2772" s="912" t="n">
        <v>2006</v>
      </c>
      <c r="E2772" s="912" t="n">
        <f aca="false">2015-D2772</f>
        <v>9</v>
      </c>
      <c r="F2772" s="547" t="n">
        <v>133722</v>
      </c>
      <c r="G2772" s="1413" t="n">
        <v>0.1</v>
      </c>
      <c r="H2772" s="547" t="n">
        <f aca="false">E2772*F2772*G2772</f>
        <v>120349.8</v>
      </c>
      <c r="I2772" s="547" t="n">
        <f aca="false">F2772-H2772</f>
        <v>13372.2</v>
      </c>
      <c r="J2772" s="547" t="n">
        <f aca="false">F2772*G2772</f>
        <v>13372.2</v>
      </c>
      <c r="K2772" s="1365" t="n">
        <f aca="false">J2772/1792.8</f>
        <v>7.45883534136546</v>
      </c>
      <c r="L2772" s="547" t="n">
        <v>20</v>
      </c>
      <c r="M2772" s="819" t="n">
        <f aca="false">K2772*L2772/60</f>
        <v>2.48627844712182</v>
      </c>
    </row>
    <row r="2773" customFormat="false" ht="15" hidden="false" customHeight="false" outlineLevel="0" collapsed="false">
      <c r="A2773" s="216"/>
      <c r="B2773" s="40"/>
      <c r="C2773" s="1161" t="s">
        <v>7087</v>
      </c>
      <c r="D2773" s="912" t="n">
        <v>2007</v>
      </c>
      <c r="E2773" s="912" t="n">
        <f aca="false">2015-D2773</f>
        <v>8</v>
      </c>
      <c r="F2773" s="547" t="n">
        <v>61985</v>
      </c>
      <c r="G2773" s="1413" t="n">
        <v>0.1</v>
      </c>
      <c r="H2773" s="547" t="n">
        <f aca="false">E2773*F2773*G2773</f>
        <v>49588</v>
      </c>
      <c r="I2773" s="547" t="n">
        <f aca="false">F2773-H2773</f>
        <v>12397</v>
      </c>
      <c r="J2773" s="547" t="n">
        <f aca="false">F2773*G2773</f>
        <v>6198.5</v>
      </c>
      <c r="K2773" s="1365" t="n">
        <f aca="false">J2773/1792.8</f>
        <v>3.45744087460955</v>
      </c>
      <c r="L2773" s="547" t="n">
        <v>15</v>
      </c>
      <c r="M2773" s="819" t="n">
        <f aca="false">K2773*L2773/60</f>
        <v>0.864360218652387</v>
      </c>
    </row>
    <row r="2774" customFormat="false" ht="15" hidden="false" customHeight="false" outlineLevel="0" collapsed="false">
      <c r="A2774" s="216"/>
      <c r="B2774" s="40"/>
      <c r="C2774" s="1161" t="s">
        <v>7088</v>
      </c>
      <c r="D2774" s="912" t="n">
        <v>2006</v>
      </c>
      <c r="E2774" s="912" t="n">
        <f aca="false">2015-D2774</f>
        <v>9</v>
      </c>
      <c r="F2774" s="547" t="n">
        <v>138575</v>
      </c>
      <c r="G2774" s="1413" t="n">
        <v>0.1</v>
      </c>
      <c r="H2774" s="547" t="n">
        <f aca="false">E2774*F2774*G2774</f>
        <v>124717.5</v>
      </c>
      <c r="I2774" s="547" t="n">
        <f aca="false">F2774-H2774</f>
        <v>13857.5</v>
      </c>
      <c r="J2774" s="547" t="n">
        <f aca="false">F2774*G2774</f>
        <v>13857.5</v>
      </c>
      <c r="K2774" s="1365" t="n">
        <f aca="false">J2774/1792.8</f>
        <v>7.7295292280232</v>
      </c>
      <c r="L2774" s="547" t="n">
        <v>10</v>
      </c>
      <c r="M2774" s="819" t="n">
        <f aca="false">K2774*L2774/60</f>
        <v>1.2882548713372</v>
      </c>
    </row>
    <row r="2775" customFormat="false" ht="15" hidden="false" customHeight="false" outlineLevel="0" collapsed="false">
      <c r="A2775" s="216"/>
      <c r="B2775" s="40"/>
      <c r="C2775" s="1161" t="s">
        <v>6974</v>
      </c>
      <c r="D2775" s="912" t="n">
        <v>2015</v>
      </c>
      <c r="E2775" s="912" t="n">
        <f aca="false">2015-D2775</f>
        <v>0</v>
      </c>
      <c r="F2775" s="547" t="n">
        <v>330000</v>
      </c>
      <c r="G2775" s="1413" t="n">
        <v>0.1</v>
      </c>
      <c r="H2775" s="547" t="n">
        <f aca="false">E2775*F2775*G2775</f>
        <v>0</v>
      </c>
      <c r="I2775" s="547" t="n">
        <f aca="false">F2775-H2775</f>
        <v>330000</v>
      </c>
      <c r="J2775" s="547" t="n">
        <f aca="false">F2775*G2775</f>
        <v>33000</v>
      </c>
      <c r="K2775" s="1365" t="n">
        <f aca="false">J2775/1792.8</f>
        <v>18.4069611780455</v>
      </c>
      <c r="L2775" s="547" t="n">
        <v>80</v>
      </c>
      <c r="M2775" s="819" t="n">
        <f aca="false">K2775*L2775/60</f>
        <v>24.5426149040607</v>
      </c>
    </row>
    <row r="2776" customFormat="false" ht="15" hidden="false" customHeight="false" outlineLevel="0" collapsed="false">
      <c r="A2776" s="216"/>
      <c r="B2776" s="1053" t="s">
        <v>4128</v>
      </c>
      <c r="C2776" s="1161"/>
      <c r="D2776" s="912"/>
      <c r="E2776" s="912"/>
      <c r="F2776" s="547"/>
      <c r="G2776" s="1413"/>
      <c r="H2776" s="547"/>
      <c r="I2776" s="547"/>
      <c r="J2776" s="547"/>
      <c r="K2776" s="1365" t="n">
        <f aca="false">J2776/1792.8</f>
        <v>0</v>
      </c>
      <c r="L2776" s="547"/>
      <c r="M2776" s="934" t="n">
        <f aca="false">SUM(M2772:M2775)</f>
        <v>29.1815084411721</v>
      </c>
    </row>
    <row r="2777" customFormat="false" ht="30" hidden="false" customHeight="false" outlineLevel="0" collapsed="false">
      <c r="A2777" s="216" t="s">
        <v>1264</v>
      </c>
      <c r="B2777" s="40" t="s">
        <v>3389</v>
      </c>
      <c r="C2777" s="1161" t="s">
        <v>7086</v>
      </c>
      <c r="D2777" s="912" t="n">
        <v>2006</v>
      </c>
      <c r="E2777" s="912" t="n">
        <f aca="false">2015-D2777</f>
        <v>9</v>
      </c>
      <c r="F2777" s="547" t="n">
        <v>133722</v>
      </c>
      <c r="G2777" s="1413" t="n">
        <v>0.1</v>
      </c>
      <c r="H2777" s="547" t="n">
        <f aca="false">E2777*F2777*G2777</f>
        <v>120349.8</v>
      </c>
      <c r="I2777" s="547" t="n">
        <f aca="false">F2777-H2777</f>
        <v>13372.2</v>
      </c>
      <c r="J2777" s="547" t="n">
        <f aca="false">F2777*G2777</f>
        <v>13372.2</v>
      </c>
      <c r="K2777" s="1365" t="n">
        <f aca="false">J2777/1792.8</f>
        <v>7.45883534136546</v>
      </c>
      <c r="L2777" s="547" t="n">
        <v>20</v>
      </c>
      <c r="M2777" s="819" t="n">
        <f aca="false">K2777*L2777/60</f>
        <v>2.48627844712182</v>
      </c>
    </row>
    <row r="2778" customFormat="false" ht="15" hidden="false" customHeight="false" outlineLevel="0" collapsed="false">
      <c r="A2778" s="216"/>
      <c r="B2778" s="40"/>
      <c r="C2778" s="1161" t="s">
        <v>7087</v>
      </c>
      <c r="D2778" s="912" t="n">
        <v>2007</v>
      </c>
      <c r="E2778" s="912" t="n">
        <f aca="false">2015-D2778</f>
        <v>8</v>
      </c>
      <c r="F2778" s="547" t="n">
        <v>61985</v>
      </c>
      <c r="G2778" s="1413" t="n">
        <v>0.1</v>
      </c>
      <c r="H2778" s="547" t="n">
        <f aca="false">E2778*F2778*G2778</f>
        <v>49588</v>
      </c>
      <c r="I2778" s="547" t="n">
        <f aca="false">F2778-H2778</f>
        <v>12397</v>
      </c>
      <c r="J2778" s="547" t="n">
        <f aca="false">F2778*G2778</f>
        <v>6198.5</v>
      </c>
      <c r="K2778" s="1365" t="n">
        <f aca="false">J2778/1792.8</f>
        <v>3.45744087460955</v>
      </c>
      <c r="L2778" s="547" t="n">
        <v>15</v>
      </c>
      <c r="M2778" s="819" t="n">
        <f aca="false">K2778*L2778/60</f>
        <v>0.864360218652387</v>
      </c>
    </row>
    <row r="2779" customFormat="false" ht="15" hidden="false" customHeight="false" outlineLevel="0" collapsed="false">
      <c r="A2779" s="216"/>
      <c r="B2779" s="40"/>
      <c r="C2779" s="1161" t="s">
        <v>7088</v>
      </c>
      <c r="D2779" s="912" t="n">
        <v>2006</v>
      </c>
      <c r="E2779" s="912" t="n">
        <f aca="false">2015-D2779</f>
        <v>9</v>
      </c>
      <c r="F2779" s="547" t="n">
        <v>138575</v>
      </c>
      <c r="G2779" s="1413" t="n">
        <v>0.1</v>
      </c>
      <c r="H2779" s="547" t="n">
        <f aca="false">E2779*F2779*G2779</f>
        <v>124717.5</v>
      </c>
      <c r="I2779" s="547" t="n">
        <f aca="false">F2779-H2779</f>
        <v>13857.5</v>
      </c>
      <c r="J2779" s="547" t="n">
        <f aca="false">F2779*G2779</f>
        <v>13857.5</v>
      </c>
      <c r="K2779" s="1365" t="n">
        <f aca="false">J2779/1792.8</f>
        <v>7.7295292280232</v>
      </c>
      <c r="L2779" s="547" t="n">
        <v>10</v>
      </c>
      <c r="M2779" s="819" t="n">
        <f aca="false">K2779*L2779/60</f>
        <v>1.2882548713372</v>
      </c>
    </row>
    <row r="2780" customFormat="false" ht="15" hidden="false" customHeight="false" outlineLevel="0" collapsed="false">
      <c r="A2780" s="216"/>
      <c r="B2780" s="40"/>
      <c r="C2780" s="1161" t="s">
        <v>6974</v>
      </c>
      <c r="D2780" s="912" t="n">
        <v>2015</v>
      </c>
      <c r="E2780" s="912" t="n">
        <f aca="false">2015-D2780</f>
        <v>0</v>
      </c>
      <c r="F2780" s="547" t="n">
        <v>330000</v>
      </c>
      <c r="G2780" s="1413" t="n">
        <v>0.1</v>
      </c>
      <c r="H2780" s="547" t="n">
        <f aca="false">E2780*F2780*G2780</f>
        <v>0</v>
      </c>
      <c r="I2780" s="547" t="n">
        <f aca="false">F2780-H2780</f>
        <v>330000</v>
      </c>
      <c r="J2780" s="547" t="n">
        <f aca="false">F2780*G2780</f>
        <v>33000</v>
      </c>
      <c r="K2780" s="1365" t="n">
        <f aca="false">J2780/1792.8</f>
        <v>18.4069611780455</v>
      </c>
      <c r="L2780" s="547" t="n">
        <v>80</v>
      </c>
      <c r="M2780" s="819" t="n">
        <f aca="false">K2780*L2780/60</f>
        <v>24.5426149040607</v>
      </c>
    </row>
    <row r="2781" customFormat="false" ht="15" hidden="false" customHeight="false" outlineLevel="0" collapsed="false">
      <c r="A2781" s="216"/>
      <c r="B2781" s="1053" t="s">
        <v>4128</v>
      </c>
      <c r="C2781" s="1161"/>
      <c r="D2781" s="912"/>
      <c r="E2781" s="912"/>
      <c r="F2781" s="547"/>
      <c r="G2781" s="1413"/>
      <c r="H2781" s="547"/>
      <c r="I2781" s="547"/>
      <c r="J2781" s="547"/>
      <c r="K2781" s="1365" t="n">
        <f aca="false">J2781/1792.8</f>
        <v>0</v>
      </c>
      <c r="L2781" s="547"/>
      <c r="M2781" s="934" t="n">
        <f aca="false">SUM(M2777:M2780)</f>
        <v>29.1815084411721</v>
      </c>
    </row>
    <row r="2782" customFormat="false" ht="45" hidden="false" customHeight="false" outlineLevel="0" collapsed="false">
      <c r="A2782" s="216" t="s">
        <v>1266</v>
      </c>
      <c r="B2782" s="40" t="s">
        <v>3390</v>
      </c>
      <c r="C2782" s="1161" t="s">
        <v>7086</v>
      </c>
      <c r="D2782" s="912" t="n">
        <v>2006</v>
      </c>
      <c r="E2782" s="912" t="n">
        <f aca="false">2015-D2782</f>
        <v>9</v>
      </c>
      <c r="F2782" s="547" t="n">
        <v>133722</v>
      </c>
      <c r="G2782" s="1413" t="n">
        <v>0.1</v>
      </c>
      <c r="H2782" s="547" t="n">
        <f aca="false">E2782*F2782*G2782</f>
        <v>120349.8</v>
      </c>
      <c r="I2782" s="547" t="n">
        <f aca="false">F2782-H2782</f>
        <v>13372.2</v>
      </c>
      <c r="J2782" s="547" t="n">
        <f aca="false">F2782*G2782</f>
        <v>13372.2</v>
      </c>
      <c r="K2782" s="1365" t="n">
        <f aca="false">J2782/1792.8</f>
        <v>7.45883534136546</v>
      </c>
      <c r="L2782" s="547" t="n">
        <v>20</v>
      </c>
      <c r="M2782" s="819" t="n">
        <f aca="false">K2782*L2782/60</f>
        <v>2.48627844712182</v>
      </c>
    </row>
    <row r="2783" customFormat="false" ht="15" hidden="false" customHeight="false" outlineLevel="0" collapsed="false">
      <c r="A2783" s="216"/>
      <c r="B2783" s="40"/>
      <c r="C2783" s="1161" t="s">
        <v>7087</v>
      </c>
      <c r="D2783" s="912" t="n">
        <v>2007</v>
      </c>
      <c r="E2783" s="912" t="n">
        <f aca="false">2015-D2783</f>
        <v>8</v>
      </c>
      <c r="F2783" s="547" t="n">
        <v>61985</v>
      </c>
      <c r="G2783" s="1413" t="n">
        <v>0.1</v>
      </c>
      <c r="H2783" s="547" t="n">
        <f aca="false">E2783*F2783*G2783</f>
        <v>49588</v>
      </c>
      <c r="I2783" s="547" t="n">
        <f aca="false">F2783-H2783</f>
        <v>12397</v>
      </c>
      <c r="J2783" s="547" t="n">
        <f aca="false">F2783*G2783</f>
        <v>6198.5</v>
      </c>
      <c r="K2783" s="1365" t="n">
        <f aca="false">J2783/1792.8</f>
        <v>3.45744087460955</v>
      </c>
      <c r="L2783" s="547" t="n">
        <v>15</v>
      </c>
      <c r="M2783" s="819" t="n">
        <f aca="false">K2783*L2783/60</f>
        <v>0.864360218652387</v>
      </c>
    </row>
    <row r="2784" customFormat="false" ht="15" hidden="false" customHeight="false" outlineLevel="0" collapsed="false">
      <c r="A2784" s="216"/>
      <c r="B2784" s="40"/>
      <c r="C2784" s="1161" t="s">
        <v>7088</v>
      </c>
      <c r="D2784" s="912" t="n">
        <v>2006</v>
      </c>
      <c r="E2784" s="912" t="n">
        <f aca="false">2015-D2784</f>
        <v>9</v>
      </c>
      <c r="F2784" s="547" t="n">
        <v>138575</v>
      </c>
      <c r="G2784" s="1413" t="n">
        <v>0.1</v>
      </c>
      <c r="H2784" s="547" t="n">
        <f aca="false">E2784*F2784*G2784</f>
        <v>124717.5</v>
      </c>
      <c r="I2784" s="547" t="n">
        <f aca="false">F2784-H2784</f>
        <v>13857.5</v>
      </c>
      <c r="J2784" s="547" t="n">
        <f aca="false">F2784*G2784</f>
        <v>13857.5</v>
      </c>
      <c r="K2784" s="1365" t="n">
        <f aca="false">J2784/1792.8</f>
        <v>7.7295292280232</v>
      </c>
      <c r="L2784" s="547" t="n">
        <v>10</v>
      </c>
      <c r="M2784" s="819" t="n">
        <f aca="false">K2784*L2784/60</f>
        <v>1.2882548713372</v>
      </c>
    </row>
    <row r="2785" customFormat="false" ht="15" hidden="false" customHeight="false" outlineLevel="0" collapsed="false">
      <c r="A2785" s="216"/>
      <c r="B2785" s="40"/>
      <c r="C2785" s="1161" t="s">
        <v>6974</v>
      </c>
      <c r="D2785" s="912" t="n">
        <v>2015</v>
      </c>
      <c r="E2785" s="912" t="n">
        <f aca="false">2015-D2785</f>
        <v>0</v>
      </c>
      <c r="F2785" s="547" t="n">
        <v>330000</v>
      </c>
      <c r="G2785" s="1413" t="n">
        <v>0.1</v>
      </c>
      <c r="H2785" s="547" t="n">
        <f aca="false">E2785*F2785*G2785</f>
        <v>0</v>
      </c>
      <c r="I2785" s="547" t="n">
        <f aca="false">F2785-H2785</f>
        <v>330000</v>
      </c>
      <c r="J2785" s="547" t="n">
        <f aca="false">F2785*G2785</f>
        <v>33000</v>
      </c>
      <c r="K2785" s="1365" t="n">
        <f aca="false">J2785/1792.8</f>
        <v>18.4069611780455</v>
      </c>
      <c r="L2785" s="547" t="n">
        <v>80</v>
      </c>
      <c r="M2785" s="819" t="n">
        <f aca="false">K2785*L2785/60</f>
        <v>24.5426149040607</v>
      </c>
    </row>
    <row r="2786" customFormat="false" ht="15" hidden="false" customHeight="false" outlineLevel="0" collapsed="false">
      <c r="A2786" s="216"/>
      <c r="B2786" s="1053" t="s">
        <v>4128</v>
      </c>
      <c r="C2786" s="1161"/>
      <c r="D2786" s="912"/>
      <c r="E2786" s="912"/>
      <c r="F2786" s="547"/>
      <c r="G2786" s="1413"/>
      <c r="H2786" s="547"/>
      <c r="I2786" s="547"/>
      <c r="J2786" s="547"/>
      <c r="K2786" s="1365" t="n">
        <f aca="false">J2786/1792.8</f>
        <v>0</v>
      </c>
      <c r="L2786" s="547"/>
      <c r="M2786" s="934" t="n">
        <f aca="false">SUM(M2782:M2785)</f>
        <v>29.1815084411721</v>
      </c>
    </row>
    <row r="2787" customFormat="false" ht="30" hidden="false" customHeight="false" outlineLevel="0" collapsed="false">
      <c r="A2787" s="216" t="s">
        <v>1268</v>
      </c>
      <c r="B2787" s="40" t="s">
        <v>3391</v>
      </c>
      <c r="C2787" s="1161" t="s">
        <v>7086</v>
      </c>
      <c r="D2787" s="912" t="n">
        <v>2006</v>
      </c>
      <c r="E2787" s="912" t="n">
        <f aca="false">2015-D2787</f>
        <v>9</v>
      </c>
      <c r="F2787" s="547" t="n">
        <v>133722</v>
      </c>
      <c r="G2787" s="1413" t="n">
        <v>0.1</v>
      </c>
      <c r="H2787" s="547" t="n">
        <f aca="false">E2787*F2787*G2787</f>
        <v>120349.8</v>
      </c>
      <c r="I2787" s="547" t="n">
        <f aca="false">F2787-H2787</f>
        <v>13372.2</v>
      </c>
      <c r="J2787" s="547" t="n">
        <f aca="false">F2787*G2787</f>
        <v>13372.2</v>
      </c>
      <c r="K2787" s="1365" t="n">
        <f aca="false">J2787/1792.8</f>
        <v>7.45883534136546</v>
      </c>
      <c r="L2787" s="547" t="n">
        <v>20</v>
      </c>
      <c r="M2787" s="819" t="n">
        <f aca="false">K2787*L2787/60</f>
        <v>2.48627844712182</v>
      </c>
    </row>
    <row r="2788" customFormat="false" ht="15" hidden="false" customHeight="false" outlineLevel="0" collapsed="false">
      <c r="A2788" s="216"/>
      <c r="B2788" s="40"/>
      <c r="C2788" s="1161" t="s">
        <v>7087</v>
      </c>
      <c r="D2788" s="912" t="n">
        <v>2007</v>
      </c>
      <c r="E2788" s="912" t="n">
        <f aca="false">2015-D2788</f>
        <v>8</v>
      </c>
      <c r="F2788" s="547" t="n">
        <v>61985</v>
      </c>
      <c r="G2788" s="1413" t="n">
        <v>0.1</v>
      </c>
      <c r="H2788" s="547" t="n">
        <f aca="false">E2788*F2788*G2788</f>
        <v>49588</v>
      </c>
      <c r="I2788" s="547" t="n">
        <f aca="false">F2788-H2788</f>
        <v>12397</v>
      </c>
      <c r="J2788" s="547" t="n">
        <f aca="false">F2788*G2788</f>
        <v>6198.5</v>
      </c>
      <c r="K2788" s="1365" t="n">
        <f aca="false">J2788/1792.8</f>
        <v>3.45744087460955</v>
      </c>
      <c r="L2788" s="547" t="n">
        <v>15</v>
      </c>
      <c r="M2788" s="819" t="n">
        <f aca="false">K2788*L2788/60</f>
        <v>0.864360218652387</v>
      </c>
    </row>
    <row r="2789" customFormat="false" ht="15" hidden="false" customHeight="false" outlineLevel="0" collapsed="false">
      <c r="A2789" s="216"/>
      <c r="B2789" s="40"/>
      <c r="C2789" s="1161" t="s">
        <v>7088</v>
      </c>
      <c r="D2789" s="912" t="n">
        <v>2006</v>
      </c>
      <c r="E2789" s="912" t="n">
        <f aca="false">2015-D2789</f>
        <v>9</v>
      </c>
      <c r="F2789" s="547" t="n">
        <v>138575</v>
      </c>
      <c r="G2789" s="1413" t="n">
        <v>0.1</v>
      </c>
      <c r="H2789" s="547" t="n">
        <f aca="false">E2789*F2789*G2789</f>
        <v>124717.5</v>
      </c>
      <c r="I2789" s="547" t="n">
        <f aca="false">F2789-H2789</f>
        <v>13857.5</v>
      </c>
      <c r="J2789" s="547" t="n">
        <f aca="false">F2789*G2789</f>
        <v>13857.5</v>
      </c>
      <c r="K2789" s="1365" t="n">
        <f aca="false">J2789/1792.8</f>
        <v>7.7295292280232</v>
      </c>
      <c r="L2789" s="547" t="n">
        <v>10</v>
      </c>
      <c r="M2789" s="819" t="n">
        <f aca="false">K2789*L2789/60</f>
        <v>1.2882548713372</v>
      </c>
    </row>
    <row r="2790" customFormat="false" ht="15" hidden="false" customHeight="false" outlineLevel="0" collapsed="false">
      <c r="A2790" s="216"/>
      <c r="B2790" s="40"/>
      <c r="C2790" s="1161" t="s">
        <v>6974</v>
      </c>
      <c r="D2790" s="912" t="n">
        <v>2015</v>
      </c>
      <c r="E2790" s="912" t="n">
        <f aca="false">2015-D2790</f>
        <v>0</v>
      </c>
      <c r="F2790" s="547" t="n">
        <v>330000</v>
      </c>
      <c r="G2790" s="1413" t="n">
        <v>0.1</v>
      </c>
      <c r="H2790" s="547" t="n">
        <f aca="false">E2790*F2790*G2790</f>
        <v>0</v>
      </c>
      <c r="I2790" s="547" t="n">
        <f aca="false">F2790-H2790</f>
        <v>330000</v>
      </c>
      <c r="J2790" s="547" t="n">
        <f aca="false">F2790*G2790</f>
        <v>33000</v>
      </c>
      <c r="K2790" s="1365" t="n">
        <f aca="false">J2790/1792.8</f>
        <v>18.4069611780455</v>
      </c>
      <c r="L2790" s="547" t="n">
        <v>80</v>
      </c>
      <c r="M2790" s="819" t="n">
        <f aca="false">K2790*L2790/60</f>
        <v>24.5426149040607</v>
      </c>
    </row>
    <row r="2791" customFormat="false" ht="15" hidden="false" customHeight="false" outlineLevel="0" collapsed="false">
      <c r="A2791" s="216"/>
      <c r="B2791" s="1053" t="s">
        <v>4128</v>
      </c>
      <c r="C2791" s="1161"/>
      <c r="D2791" s="912"/>
      <c r="E2791" s="912"/>
      <c r="F2791" s="547"/>
      <c r="G2791" s="1413"/>
      <c r="H2791" s="547"/>
      <c r="I2791" s="547"/>
      <c r="J2791" s="547"/>
      <c r="K2791" s="1365" t="n">
        <f aca="false">J2791/1792.8</f>
        <v>0</v>
      </c>
      <c r="L2791" s="547"/>
      <c r="M2791" s="934" t="n">
        <f aca="false">SUM(M2787:M2790)</f>
        <v>29.1815084411721</v>
      </c>
    </row>
    <row r="2792" customFormat="false" ht="30" hidden="false" customHeight="false" outlineLevel="0" collapsed="false">
      <c r="A2792" s="216" t="s">
        <v>1270</v>
      </c>
      <c r="B2792" s="40" t="s">
        <v>3392</v>
      </c>
      <c r="C2792" s="1161" t="s">
        <v>7086</v>
      </c>
      <c r="D2792" s="912" t="n">
        <v>2006</v>
      </c>
      <c r="E2792" s="912" t="n">
        <f aca="false">2015-D2792</f>
        <v>9</v>
      </c>
      <c r="F2792" s="547" t="n">
        <v>133722</v>
      </c>
      <c r="G2792" s="1413" t="n">
        <v>0.1</v>
      </c>
      <c r="H2792" s="547" t="n">
        <f aca="false">E2792*F2792*G2792</f>
        <v>120349.8</v>
      </c>
      <c r="I2792" s="547" t="n">
        <f aca="false">F2792-H2792</f>
        <v>13372.2</v>
      </c>
      <c r="J2792" s="547" t="n">
        <f aca="false">F2792*G2792</f>
        <v>13372.2</v>
      </c>
      <c r="K2792" s="1365" t="n">
        <f aca="false">J2792/1792.8</f>
        <v>7.45883534136546</v>
      </c>
      <c r="L2792" s="547" t="n">
        <v>20</v>
      </c>
      <c r="M2792" s="819" t="n">
        <f aca="false">K2792*L2792/60</f>
        <v>2.48627844712182</v>
      </c>
    </row>
    <row r="2793" customFormat="false" ht="15" hidden="false" customHeight="false" outlineLevel="0" collapsed="false">
      <c r="A2793" s="216"/>
      <c r="B2793" s="40"/>
      <c r="C2793" s="1161" t="s">
        <v>7087</v>
      </c>
      <c r="D2793" s="912" t="n">
        <v>2007</v>
      </c>
      <c r="E2793" s="912" t="n">
        <f aca="false">2015-D2793</f>
        <v>8</v>
      </c>
      <c r="F2793" s="547" t="n">
        <v>61985</v>
      </c>
      <c r="G2793" s="1413" t="n">
        <v>0.1</v>
      </c>
      <c r="H2793" s="547" t="n">
        <f aca="false">E2793*F2793*G2793</f>
        <v>49588</v>
      </c>
      <c r="I2793" s="547" t="n">
        <f aca="false">F2793-H2793</f>
        <v>12397</v>
      </c>
      <c r="J2793" s="547" t="n">
        <f aca="false">F2793*G2793</f>
        <v>6198.5</v>
      </c>
      <c r="K2793" s="1365" t="n">
        <f aca="false">J2793/1792.8</f>
        <v>3.45744087460955</v>
      </c>
      <c r="L2793" s="547" t="n">
        <v>15</v>
      </c>
      <c r="M2793" s="819" t="n">
        <f aca="false">K2793*L2793/60</f>
        <v>0.864360218652387</v>
      </c>
    </row>
    <row r="2794" customFormat="false" ht="15" hidden="false" customHeight="false" outlineLevel="0" collapsed="false">
      <c r="A2794" s="216"/>
      <c r="B2794" s="40"/>
      <c r="C2794" s="1161" t="s">
        <v>7088</v>
      </c>
      <c r="D2794" s="912" t="n">
        <v>2006</v>
      </c>
      <c r="E2794" s="912" t="n">
        <f aca="false">2015-D2794</f>
        <v>9</v>
      </c>
      <c r="F2794" s="547" t="n">
        <v>138575</v>
      </c>
      <c r="G2794" s="1413" t="n">
        <v>0.1</v>
      </c>
      <c r="H2794" s="547" t="n">
        <f aca="false">E2794*F2794*G2794</f>
        <v>124717.5</v>
      </c>
      <c r="I2794" s="547" t="n">
        <f aca="false">F2794-H2794</f>
        <v>13857.5</v>
      </c>
      <c r="J2794" s="547" t="n">
        <f aca="false">F2794*G2794</f>
        <v>13857.5</v>
      </c>
      <c r="K2794" s="1365" t="n">
        <f aca="false">J2794/1792.8</f>
        <v>7.7295292280232</v>
      </c>
      <c r="L2794" s="547" t="n">
        <v>10</v>
      </c>
      <c r="M2794" s="819" t="n">
        <f aca="false">K2794*L2794/60</f>
        <v>1.2882548713372</v>
      </c>
    </row>
    <row r="2795" customFormat="false" ht="15" hidden="false" customHeight="false" outlineLevel="0" collapsed="false">
      <c r="A2795" s="216"/>
      <c r="B2795" s="40"/>
      <c r="C2795" s="1161" t="s">
        <v>6974</v>
      </c>
      <c r="D2795" s="912" t="n">
        <v>2015</v>
      </c>
      <c r="E2795" s="912" t="n">
        <f aca="false">2015-D2795</f>
        <v>0</v>
      </c>
      <c r="F2795" s="547" t="n">
        <v>330000</v>
      </c>
      <c r="G2795" s="1413" t="n">
        <v>0.1</v>
      </c>
      <c r="H2795" s="547" t="n">
        <f aca="false">E2795*F2795*G2795</f>
        <v>0</v>
      </c>
      <c r="I2795" s="547" t="n">
        <f aca="false">F2795-H2795</f>
        <v>330000</v>
      </c>
      <c r="J2795" s="547" t="n">
        <f aca="false">F2795*G2795</f>
        <v>33000</v>
      </c>
      <c r="K2795" s="1365" t="n">
        <f aca="false">J2795/1792.8</f>
        <v>18.4069611780455</v>
      </c>
      <c r="L2795" s="547" t="n">
        <v>80</v>
      </c>
      <c r="M2795" s="819" t="n">
        <f aca="false">K2795*L2795/60</f>
        <v>24.5426149040607</v>
      </c>
    </row>
    <row r="2796" customFormat="false" ht="15" hidden="false" customHeight="false" outlineLevel="0" collapsed="false">
      <c r="A2796" s="216"/>
      <c r="B2796" s="1053" t="s">
        <v>4128</v>
      </c>
      <c r="C2796" s="1161"/>
      <c r="D2796" s="912"/>
      <c r="E2796" s="912"/>
      <c r="F2796" s="547"/>
      <c r="G2796" s="1413"/>
      <c r="H2796" s="547"/>
      <c r="I2796" s="547"/>
      <c r="J2796" s="547"/>
      <c r="K2796" s="1365" t="n">
        <f aca="false">J2796/1792.8</f>
        <v>0</v>
      </c>
      <c r="L2796" s="547"/>
      <c r="M2796" s="934" t="n">
        <f aca="false">SUM(M2792:M2795)</f>
        <v>29.1815084411721</v>
      </c>
    </row>
    <row r="2797" customFormat="false" ht="30" hidden="false" customHeight="false" outlineLevel="0" collapsed="false">
      <c r="A2797" s="216" t="s">
        <v>1272</v>
      </c>
      <c r="B2797" s="40" t="s">
        <v>3393</v>
      </c>
      <c r="C2797" s="1161" t="s">
        <v>7086</v>
      </c>
      <c r="D2797" s="912" t="n">
        <v>2006</v>
      </c>
      <c r="E2797" s="912" t="n">
        <f aca="false">2015-D2797</f>
        <v>9</v>
      </c>
      <c r="F2797" s="547" t="n">
        <v>133722</v>
      </c>
      <c r="G2797" s="1413" t="n">
        <v>0.1</v>
      </c>
      <c r="H2797" s="547" t="n">
        <f aca="false">E2797*F2797*G2797</f>
        <v>120349.8</v>
      </c>
      <c r="I2797" s="547" t="n">
        <f aca="false">F2797-H2797</f>
        <v>13372.2</v>
      </c>
      <c r="J2797" s="547" t="n">
        <f aca="false">F2797*G2797</f>
        <v>13372.2</v>
      </c>
      <c r="K2797" s="1365" t="n">
        <f aca="false">J2797/1792.8</f>
        <v>7.45883534136546</v>
      </c>
      <c r="L2797" s="547" t="n">
        <v>20</v>
      </c>
      <c r="M2797" s="819" t="n">
        <f aca="false">K2797*L2797/60</f>
        <v>2.48627844712182</v>
      </c>
    </row>
    <row r="2798" customFormat="false" ht="15" hidden="false" customHeight="false" outlineLevel="0" collapsed="false">
      <c r="A2798" s="216"/>
      <c r="B2798" s="40"/>
      <c r="C2798" s="1161" t="s">
        <v>7087</v>
      </c>
      <c r="D2798" s="912" t="n">
        <v>2007</v>
      </c>
      <c r="E2798" s="912" t="n">
        <f aca="false">2015-D2798</f>
        <v>8</v>
      </c>
      <c r="F2798" s="547" t="n">
        <v>61985</v>
      </c>
      <c r="G2798" s="1413" t="n">
        <v>0.1</v>
      </c>
      <c r="H2798" s="547" t="n">
        <f aca="false">E2798*F2798*G2798</f>
        <v>49588</v>
      </c>
      <c r="I2798" s="547" t="n">
        <f aca="false">F2798-H2798</f>
        <v>12397</v>
      </c>
      <c r="J2798" s="547" t="n">
        <f aca="false">F2798*G2798</f>
        <v>6198.5</v>
      </c>
      <c r="K2798" s="1365" t="n">
        <f aca="false">J2798/1792.8</f>
        <v>3.45744087460955</v>
      </c>
      <c r="L2798" s="547" t="n">
        <v>15</v>
      </c>
      <c r="M2798" s="819" t="n">
        <f aca="false">K2798*L2798/60</f>
        <v>0.864360218652387</v>
      </c>
    </row>
    <row r="2799" customFormat="false" ht="15" hidden="false" customHeight="false" outlineLevel="0" collapsed="false">
      <c r="A2799" s="216"/>
      <c r="B2799" s="40"/>
      <c r="C2799" s="1161" t="s">
        <v>7088</v>
      </c>
      <c r="D2799" s="912" t="n">
        <v>2006</v>
      </c>
      <c r="E2799" s="912" t="n">
        <f aca="false">2015-D2799</f>
        <v>9</v>
      </c>
      <c r="F2799" s="547" t="n">
        <v>138575</v>
      </c>
      <c r="G2799" s="1413" t="n">
        <v>0.1</v>
      </c>
      <c r="H2799" s="547" t="n">
        <f aca="false">E2799*F2799*G2799</f>
        <v>124717.5</v>
      </c>
      <c r="I2799" s="547" t="n">
        <f aca="false">F2799-H2799</f>
        <v>13857.5</v>
      </c>
      <c r="J2799" s="547" t="n">
        <f aca="false">F2799*G2799</f>
        <v>13857.5</v>
      </c>
      <c r="K2799" s="1365" t="n">
        <f aca="false">J2799/1792.8</f>
        <v>7.7295292280232</v>
      </c>
      <c r="L2799" s="547" t="n">
        <v>10</v>
      </c>
      <c r="M2799" s="819" t="n">
        <f aca="false">K2799*L2799/60</f>
        <v>1.2882548713372</v>
      </c>
    </row>
    <row r="2800" customFormat="false" ht="15" hidden="false" customHeight="false" outlineLevel="0" collapsed="false">
      <c r="A2800" s="216"/>
      <c r="B2800" s="40"/>
      <c r="C2800" s="1161" t="s">
        <v>6974</v>
      </c>
      <c r="D2800" s="912" t="n">
        <v>2015</v>
      </c>
      <c r="E2800" s="912" t="n">
        <f aca="false">2015-D2800</f>
        <v>0</v>
      </c>
      <c r="F2800" s="547" t="n">
        <v>330000</v>
      </c>
      <c r="G2800" s="1413" t="n">
        <v>0.1</v>
      </c>
      <c r="H2800" s="547" t="n">
        <f aca="false">E2800*F2800*G2800</f>
        <v>0</v>
      </c>
      <c r="I2800" s="547" t="n">
        <f aca="false">F2800-H2800</f>
        <v>330000</v>
      </c>
      <c r="J2800" s="547" t="n">
        <f aca="false">F2800*G2800</f>
        <v>33000</v>
      </c>
      <c r="K2800" s="1365" t="n">
        <f aca="false">J2800/1792.8</f>
        <v>18.4069611780455</v>
      </c>
      <c r="L2800" s="547" t="n">
        <v>80</v>
      </c>
      <c r="M2800" s="819" t="n">
        <f aca="false">K2800*L2800/60</f>
        <v>24.5426149040607</v>
      </c>
    </row>
    <row r="2801" customFormat="false" ht="15" hidden="false" customHeight="false" outlineLevel="0" collapsed="false">
      <c r="A2801" s="216"/>
      <c r="B2801" s="1053" t="s">
        <v>4128</v>
      </c>
      <c r="C2801" s="1161"/>
      <c r="D2801" s="912"/>
      <c r="E2801" s="912"/>
      <c r="F2801" s="547"/>
      <c r="G2801" s="1413"/>
      <c r="H2801" s="547"/>
      <c r="I2801" s="547"/>
      <c r="J2801" s="547"/>
      <c r="K2801" s="1365" t="n">
        <f aca="false">J2801/1792.8</f>
        <v>0</v>
      </c>
      <c r="L2801" s="547"/>
      <c r="M2801" s="934" t="n">
        <f aca="false">SUM(M2797:M2800)</f>
        <v>29.1815084411721</v>
      </c>
    </row>
    <row r="2802" customFormat="false" ht="15" hidden="false" customHeight="false" outlineLevel="0" collapsed="false">
      <c r="A2802" s="216" t="s">
        <v>1274</v>
      </c>
      <c r="B2802" s="40" t="s">
        <v>3394</v>
      </c>
      <c r="C2802" s="1161" t="s">
        <v>7086</v>
      </c>
      <c r="D2802" s="912" t="n">
        <v>2006</v>
      </c>
      <c r="E2802" s="912" t="n">
        <f aca="false">2015-D2802</f>
        <v>9</v>
      </c>
      <c r="F2802" s="547" t="n">
        <v>133722</v>
      </c>
      <c r="G2802" s="1413" t="n">
        <v>0.1</v>
      </c>
      <c r="H2802" s="547" t="n">
        <f aca="false">E2802*F2802*G2802</f>
        <v>120349.8</v>
      </c>
      <c r="I2802" s="547" t="n">
        <f aca="false">F2802-H2802</f>
        <v>13372.2</v>
      </c>
      <c r="J2802" s="547" t="n">
        <f aca="false">F2802*G2802</f>
        <v>13372.2</v>
      </c>
      <c r="K2802" s="1365" t="n">
        <f aca="false">J2802/1792.8</f>
        <v>7.45883534136546</v>
      </c>
      <c r="L2802" s="547" t="n">
        <v>20</v>
      </c>
      <c r="M2802" s="819" t="n">
        <f aca="false">K2802*L2802/60</f>
        <v>2.48627844712182</v>
      </c>
    </row>
    <row r="2803" customFormat="false" ht="15" hidden="false" customHeight="false" outlineLevel="0" collapsed="false">
      <c r="A2803" s="216"/>
      <c r="B2803" s="40"/>
      <c r="C2803" s="1161" t="s">
        <v>7087</v>
      </c>
      <c r="D2803" s="912" t="n">
        <v>2007</v>
      </c>
      <c r="E2803" s="912" t="n">
        <f aca="false">2015-D2803</f>
        <v>8</v>
      </c>
      <c r="F2803" s="547" t="n">
        <v>61985</v>
      </c>
      <c r="G2803" s="1413" t="n">
        <v>0.1</v>
      </c>
      <c r="H2803" s="547" t="n">
        <f aca="false">E2803*F2803*G2803</f>
        <v>49588</v>
      </c>
      <c r="I2803" s="547" t="n">
        <f aca="false">F2803-H2803</f>
        <v>12397</v>
      </c>
      <c r="J2803" s="547" t="n">
        <f aca="false">F2803*G2803</f>
        <v>6198.5</v>
      </c>
      <c r="K2803" s="1365" t="n">
        <f aca="false">J2803/1792.8</f>
        <v>3.45744087460955</v>
      </c>
      <c r="L2803" s="547" t="n">
        <v>15</v>
      </c>
      <c r="M2803" s="819" t="n">
        <f aca="false">K2803*L2803/60</f>
        <v>0.864360218652387</v>
      </c>
    </row>
    <row r="2804" customFormat="false" ht="15" hidden="false" customHeight="false" outlineLevel="0" collapsed="false">
      <c r="A2804" s="216"/>
      <c r="B2804" s="40"/>
      <c r="C2804" s="1161" t="s">
        <v>7088</v>
      </c>
      <c r="D2804" s="912" t="n">
        <v>2006</v>
      </c>
      <c r="E2804" s="912" t="n">
        <f aca="false">2015-D2804</f>
        <v>9</v>
      </c>
      <c r="F2804" s="547" t="n">
        <v>138575</v>
      </c>
      <c r="G2804" s="1413" t="n">
        <v>0.1</v>
      </c>
      <c r="H2804" s="547" t="n">
        <f aca="false">E2804*F2804*G2804</f>
        <v>124717.5</v>
      </c>
      <c r="I2804" s="547" t="n">
        <f aca="false">F2804-H2804</f>
        <v>13857.5</v>
      </c>
      <c r="J2804" s="547" t="n">
        <f aca="false">F2804*G2804</f>
        <v>13857.5</v>
      </c>
      <c r="K2804" s="1365" t="n">
        <f aca="false">J2804/1792.8</f>
        <v>7.7295292280232</v>
      </c>
      <c r="L2804" s="547" t="n">
        <v>10</v>
      </c>
      <c r="M2804" s="819" t="n">
        <f aca="false">K2804*L2804/60</f>
        <v>1.2882548713372</v>
      </c>
    </row>
    <row r="2805" customFormat="false" ht="15" hidden="false" customHeight="false" outlineLevel="0" collapsed="false">
      <c r="A2805" s="216"/>
      <c r="B2805" s="40"/>
      <c r="C2805" s="1161" t="s">
        <v>6974</v>
      </c>
      <c r="D2805" s="912" t="n">
        <v>2015</v>
      </c>
      <c r="E2805" s="912" t="n">
        <f aca="false">2015-D2805</f>
        <v>0</v>
      </c>
      <c r="F2805" s="547" t="n">
        <v>330000</v>
      </c>
      <c r="G2805" s="1413" t="n">
        <v>0.1</v>
      </c>
      <c r="H2805" s="547" t="n">
        <f aca="false">E2805*F2805*G2805</f>
        <v>0</v>
      </c>
      <c r="I2805" s="547" t="n">
        <f aca="false">F2805-H2805</f>
        <v>330000</v>
      </c>
      <c r="J2805" s="547" t="n">
        <f aca="false">F2805*G2805</f>
        <v>33000</v>
      </c>
      <c r="K2805" s="1365" t="n">
        <f aca="false">J2805/1792.8</f>
        <v>18.4069611780455</v>
      </c>
      <c r="L2805" s="547" t="n">
        <v>80</v>
      </c>
      <c r="M2805" s="819" t="n">
        <f aca="false">K2805*L2805/60</f>
        <v>24.5426149040607</v>
      </c>
    </row>
    <row r="2806" customFormat="false" ht="15" hidden="false" customHeight="false" outlineLevel="0" collapsed="false">
      <c r="A2806" s="216"/>
      <c r="B2806" s="1053" t="s">
        <v>4128</v>
      </c>
      <c r="C2806" s="1161"/>
      <c r="D2806" s="912"/>
      <c r="E2806" s="912"/>
      <c r="F2806" s="547"/>
      <c r="G2806" s="1413"/>
      <c r="H2806" s="547"/>
      <c r="I2806" s="547"/>
      <c r="J2806" s="547"/>
      <c r="K2806" s="1365" t="n">
        <f aca="false">J2806/1792.8</f>
        <v>0</v>
      </c>
      <c r="L2806" s="547"/>
      <c r="M2806" s="934" t="n">
        <f aca="false">SUM(M2802:M2805)</f>
        <v>29.1815084411721</v>
      </c>
    </row>
    <row r="2807" customFormat="false" ht="30" hidden="false" customHeight="false" outlineLevel="0" collapsed="false">
      <c r="A2807" s="216" t="s">
        <v>1276</v>
      </c>
      <c r="B2807" s="40" t="s">
        <v>3395</v>
      </c>
      <c r="C2807" s="1161" t="s">
        <v>7086</v>
      </c>
      <c r="D2807" s="912" t="n">
        <v>2006</v>
      </c>
      <c r="E2807" s="912" t="n">
        <f aca="false">2015-D2807</f>
        <v>9</v>
      </c>
      <c r="F2807" s="547" t="n">
        <v>133722</v>
      </c>
      <c r="G2807" s="1413" t="n">
        <v>0.1</v>
      </c>
      <c r="H2807" s="547" t="n">
        <f aca="false">E2807*F2807*G2807</f>
        <v>120349.8</v>
      </c>
      <c r="I2807" s="547" t="n">
        <f aca="false">F2807-H2807</f>
        <v>13372.2</v>
      </c>
      <c r="J2807" s="547" t="n">
        <f aca="false">F2807*G2807</f>
        <v>13372.2</v>
      </c>
      <c r="K2807" s="1365" t="n">
        <f aca="false">J2807/1792.8</f>
        <v>7.45883534136546</v>
      </c>
      <c r="L2807" s="547" t="n">
        <v>20</v>
      </c>
      <c r="M2807" s="819" t="n">
        <f aca="false">K2807*L2807/60</f>
        <v>2.48627844712182</v>
      </c>
    </row>
    <row r="2808" customFormat="false" ht="15" hidden="false" customHeight="false" outlineLevel="0" collapsed="false">
      <c r="A2808" s="216"/>
      <c r="B2808" s="40"/>
      <c r="C2808" s="1161" t="s">
        <v>7087</v>
      </c>
      <c r="D2808" s="912" t="n">
        <v>2007</v>
      </c>
      <c r="E2808" s="912" t="n">
        <f aca="false">2015-D2808</f>
        <v>8</v>
      </c>
      <c r="F2808" s="547" t="n">
        <v>61985</v>
      </c>
      <c r="G2808" s="1413" t="n">
        <v>0.1</v>
      </c>
      <c r="H2808" s="547" t="n">
        <f aca="false">E2808*F2808*G2808</f>
        <v>49588</v>
      </c>
      <c r="I2808" s="547" t="n">
        <f aca="false">F2808-H2808</f>
        <v>12397</v>
      </c>
      <c r="J2808" s="547" t="n">
        <f aca="false">F2808*G2808</f>
        <v>6198.5</v>
      </c>
      <c r="K2808" s="1365" t="n">
        <f aca="false">J2808/1792.8</f>
        <v>3.45744087460955</v>
      </c>
      <c r="L2808" s="547" t="n">
        <v>15</v>
      </c>
      <c r="M2808" s="819" t="n">
        <f aca="false">K2808*L2808/60</f>
        <v>0.864360218652387</v>
      </c>
    </row>
    <row r="2809" customFormat="false" ht="15" hidden="false" customHeight="false" outlineLevel="0" collapsed="false">
      <c r="A2809" s="216"/>
      <c r="B2809" s="40"/>
      <c r="C2809" s="1161" t="s">
        <v>7088</v>
      </c>
      <c r="D2809" s="912" t="n">
        <v>2006</v>
      </c>
      <c r="E2809" s="912" t="n">
        <f aca="false">2015-D2809</f>
        <v>9</v>
      </c>
      <c r="F2809" s="547" t="n">
        <v>138575</v>
      </c>
      <c r="G2809" s="1413" t="n">
        <v>0.1</v>
      </c>
      <c r="H2809" s="547" t="n">
        <f aca="false">E2809*F2809*G2809</f>
        <v>124717.5</v>
      </c>
      <c r="I2809" s="547" t="n">
        <f aca="false">F2809-H2809</f>
        <v>13857.5</v>
      </c>
      <c r="J2809" s="547" t="n">
        <f aca="false">F2809*G2809</f>
        <v>13857.5</v>
      </c>
      <c r="K2809" s="1365" t="n">
        <f aca="false">J2809/1792.8</f>
        <v>7.7295292280232</v>
      </c>
      <c r="L2809" s="547" t="n">
        <v>10</v>
      </c>
      <c r="M2809" s="819" t="n">
        <f aca="false">K2809*L2809/60</f>
        <v>1.2882548713372</v>
      </c>
    </row>
    <row r="2810" customFormat="false" ht="15" hidden="false" customHeight="false" outlineLevel="0" collapsed="false">
      <c r="A2810" s="216"/>
      <c r="B2810" s="40"/>
      <c r="C2810" s="1161" t="s">
        <v>6974</v>
      </c>
      <c r="D2810" s="912" t="n">
        <v>2015</v>
      </c>
      <c r="E2810" s="912" t="n">
        <f aca="false">2015-D2810</f>
        <v>0</v>
      </c>
      <c r="F2810" s="547" t="n">
        <v>330000</v>
      </c>
      <c r="G2810" s="1413" t="n">
        <v>0.1</v>
      </c>
      <c r="H2810" s="547" t="n">
        <f aca="false">E2810*F2810*G2810</f>
        <v>0</v>
      </c>
      <c r="I2810" s="547" t="n">
        <f aca="false">F2810-H2810</f>
        <v>330000</v>
      </c>
      <c r="J2810" s="547" t="n">
        <f aca="false">F2810*G2810</f>
        <v>33000</v>
      </c>
      <c r="K2810" s="1365" t="n">
        <f aca="false">J2810/1792.8</f>
        <v>18.4069611780455</v>
      </c>
      <c r="L2810" s="547" t="n">
        <v>80</v>
      </c>
      <c r="M2810" s="819" t="n">
        <f aca="false">K2810*L2810/60</f>
        <v>24.5426149040607</v>
      </c>
    </row>
    <row r="2811" customFormat="false" ht="15" hidden="false" customHeight="false" outlineLevel="0" collapsed="false">
      <c r="A2811" s="216"/>
      <c r="B2811" s="1053" t="s">
        <v>4128</v>
      </c>
      <c r="C2811" s="1161"/>
      <c r="D2811" s="912"/>
      <c r="E2811" s="912"/>
      <c r="F2811" s="547"/>
      <c r="G2811" s="1413"/>
      <c r="H2811" s="547"/>
      <c r="I2811" s="547"/>
      <c r="J2811" s="547"/>
      <c r="K2811" s="1365" t="n">
        <f aca="false">J2811/1792.8</f>
        <v>0</v>
      </c>
      <c r="L2811" s="547"/>
      <c r="M2811" s="934" t="n">
        <f aca="false">SUM(M2807:M2810)</f>
        <v>29.1815084411721</v>
      </c>
    </row>
    <row r="2812" customFormat="false" ht="15" hidden="false" customHeight="false" outlineLevel="0" collapsed="false">
      <c r="A2812" s="216" t="s">
        <v>1278</v>
      </c>
      <c r="B2812" s="40" t="s">
        <v>3396</v>
      </c>
      <c r="C2812" s="1161" t="s">
        <v>7086</v>
      </c>
      <c r="D2812" s="912" t="n">
        <v>2006</v>
      </c>
      <c r="E2812" s="912" t="n">
        <f aca="false">2015-D2812</f>
        <v>9</v>
      </c>
      <c r="F2812" s="547" t="n">
        <v>133722</v>
      </c>
      <c r="G2812" s="1413" t="n">
        <v>0.1</v>
      </c>
      <c r="H2812" s="547" t="n">
        <f aca="false">E2812*F2812*G2812</f>
        <v>120349.8</v>
      </c>
      <c r="I2812" s="547" t="n">
        <f aca="false">F2812-H2812</f>
        <v>13372.2</v>
      </c>
      <c r="J2812" s="547" t="n">
        <f aca="false">F2812*G2812</f>
        <v>13372.2</v>
      </c>
      <c r="K2812" s="1365" t="n">
        <f aca="false">J2812/1792.8</f>
        <v>7.45883534136546</v>
      </c>
      <c r="L2812" s="547" t="n">
        <v>20</v>
      </c>
      <c r="M2812" s="819" t="n">
        <f aca="false">K2812*L2812/60</f>
        <v>2.48627844712182</v>
      </c>
    </row>
    <row r="2813" customFormat="false" ht="15" hidden="false" customHeight="false" outlineLevel="0" collapsed="false">
      <c r="A2813" s="216"/>
      <c r="B2813" s="40"/>
      <c r="C2813" s="1161" t="s">
        <v>7087</v>
      </c>
      <c r="D2813" s="912" t="n">
        <v>2007</v>
      </c>
      <c r="E2813" s="912" t="n">
        <f aca="false">2015-D2813</f>
        <v>8</v>
      </c>
      <c r="F2813" s="547" t="n">
        <v>61985</v>
      </c>
      <c r="G2813" s="1413" t="n">
        <v>0.1</v>
      </c>
      <c r="H2813" s="547" t="n">
        <f aca="false">E2813*F2813*G2813</f>
        <v>49588</v>
      </c>
      <c r="I2813" s="547" t="n">
        <f aca="false">F2813-H2813</f>
        <v>12397</v>
      </c>
      <c r="J2813" s="547" t="n">
        <f aca="false">F2813*G2813</f>
        <v>6198.5</v>
      </c>
      <c r="K2813" s="1365" t="n">
        <f aca="false">J2813/1792.8</f>
        <v>3.45744087460955</v>
      </c>
      <c r="L2813" s="547" t="n">
        <v>15</v>
      </c>
      <c r="M2813" s="819" t="n">
        <f aca="false">K2813*L2813/60</f>
        <v>0.864360218652387</v>
      </c>
    </row>
    <row r="2814" customFormat="false" ht="15" hidden="false" customHeight="false" outlineLevel="0" collapsed="false">
      <c r="A2814" s="216"/>
      <c r="B2814" s="40"/>
      <c r="C2814" s="1161" t="s">
        <v>7088</v>
      </c>
      <c r="D2814" s="912" t="n">
        <v>2006</v>
      </c>
      <c r="E2814" s="912" t="n">
        <f aca="false">2015-D2814</f>
        <v>9</v>
      </c>
      <c r="F2814" s="547" t="n">
        <v>138575</v>
      </c>
      <c r="G2814" s="1413" t="n">
        <v>0.1</v>
      </c>
      <c r="H2814" s="547" t="n">
        <f aca="false">E2814*F2814*G2814</f>
        <v>124717.5</v>
      </c>
      <c r="I2814" s="547" t="n">
        <f aca="false">F2814-H2814</f>
        <v>13857.5</v>
      </c>
      <c r="J2814" s="547" t="n">
        <f aca="false">F2814*G2814</f>
        <v>13857.5</v>
      </c>
      <c r="K2814" s="1365" t="n">
        <f aca="false">J2814/1792.8</f>
        <v>7.7295292280232</v>
      </c>
      <c r="L2814" s="547" t="n">
        <v>10</v>
      </c>
      <c r="M2814" s="819" t="n">
        <f aca="false">K2814*L2814/60</f>
        <v>1.2882548713372</v>
      </c>
    </row>
    <row r="2815" customFormat="false" ht="15" hidden="false" customHeight="false" outlineLevel="0" collapsed="false">
      <c r="A2815" s="216"/>
      <c r="B2815" s="40"/>
      <c r="C2815" s="1161" t="s">
        <v>6974</v>
      </c>
      <c r="D2815" s="912" t="n">
        <v>2015</v>
      </c>
      <c r="E2815" s="912" t="n">
        <f aca="false">2015-D2815</f>
        <v>0</v>
      </c>
      <c r="F2815" s="547" t="n">
        <v>330000</v>
      </c>
      <c r="G2815" s="1413" t="n">
        <v>0.1</v>
      </c>
      <c r="H2815" s="547" t="n">
        <f aca="false">E2815*F2815*G2815</f>
        <v>0</v>
      </c>
      <c r="I2815" s="547" t="n">
        <f aca="false">F2815-H2815</f>
        <v>330000</v>
      </c>
      <c r="J2815" s="547" t="n">
        <f aca="false">F2815*G2815</f>
        <v>33000</v>
      </c>
      <c r="K2815" s="1365" t="n">
        <f aca="false">J2815/1792.8</f>
        <v>18.4069611780455</v>
      </c>
      <c r="L2815" s="547" t="n">
        <v>80</v>
      </c>
      <c r="M2815" s="819" t="n">
        <f aca="false">K2815*L2815/60</f>
        <v>24.5426149040607</v>
      </c>
    </row>
    <row r="2816" customFormat="false" ht="15" hidden="false" customHeight="false" outlineLevel="0" collapsed="false">
      <c r="A2816" s="216"/>
      <c r="B2816" s="1053" t="s">
        <v>4128</v>
      </c>
      <c r="C2816" s="1161"/>
      <c r="D2816" s="912"/>
      <c r="E2816" s="912"/>
      <c r="F2816" s="547"/>
      <c r="G2816" s="1413"/>
      <c r="H2816" s="547"/>
      <c r="I2816" s="547"/>
      <c r="J2816" s="547"/>
      <c r="K2816" s="1365" t="n">
        <f aca="false">J2816/1792.8</f>
        <v>0</v>
      </c>
      <c r="L2816" s="547"/>
      <c r="M2816" s="934" t="n">
        <f aca="false">SUM(M2812:M2815)</f>
        <v>29.1815084411721</v>
      </c>
    </row>
    <row r="2817" customFormat="false" ht="30" hidden="false" customHeight="false" outlineLevel="0" collapsed="false">
      <c r="A2817" s="341" t="s">
        <v>1280</v>
      </c>
      <c r="B2817" s="1451" t="s">
        <v>3397</v>
      </c>
      <c r="C2817" s="1404" t="s">
        <v>7070</v>
      </c>
      <c r="D2817" s="569" t="n">
        <v>2009</v>
      </c>
      <c r="E2817" s="569" t="n">
        <f aca="false">2021-D2817</f>
        <v>12</v>
      </c>
      <c r="F2817" s="1105" t="n">
        <v>181000</v>
      </c>
      <c r="G2817" s="1444" t="n">
        <v>0.1</v>
      </c>
      <c r="H2817" s="1105" t="n">
        <f aca="false">E2817*F2817*G2817</f>
        <v>217200</v>
      </c>
      <c r="I2817" s="1105" t="n">
        <f aca="false">F2817-H2817</f>
        <v>-36200</v>
      </c>
      <c r="J2817" s="1105" t="n">
        <f aca="false">F2817*G2817</f>
        <v>18100</v>
      </c>
      <c r="K2817" s="1365" t="n">
        <f aca="false">J2817/1792.8</f>
        <v>10.0959393128068</v>
      </c>
      <c r="L2817" s="547" t="n">
        <v>30</v>
      </c>
      <c r="M2817" s="819" t="n">
        <f aca="false">K2817*L2817/60</f>
        <v>5.04796965640339</v>
      </c>
    </row>
    <row r="2818" customFormat="false" ht="30" hidden="false" customHeight="false" outlineLevel="0" collapsed="false">
      <c r="A2818" s="216"/>
      <c r="B2818" s="29"/>
      <c r="C2818" s="1404" t="s">
        <v>6963</v>
      </c>
      <c r="D2818" s="1405" t="n">
        <v>2007</v>
      </c>
      <c r="E2818" s="1405" t="n">
        <f aca="false">2021-D2818</f>
        <v>14</v>
      </c>
      <c r="F2818" s="1406" t="n">
        <v>176358</v>
      </c>
      <c r="G2818" s="1407" t="n">
        <v>0.1</v>
      </c>
      <c r="H2818" s="1410" t="n">
        <f aca="false">E2818*F2818*G2818</f>
        <v>246901.2</v>
      </c>
      <c r="I2818" s="1410" t="n">
        <f aca="false">F2818-H2818</f>
        <v>-70543.2</v>
      </c>
      <c r="J2818" s="1410" t="n">
        <f aca="false">F2818*G2818</f>
        <v>17635.8</v>
      </c>
      <c r="K2818" s="1365" t="n">
        <f aca="false">J2818/1792.8</f>
        <v>9.83701472556894</v>
      </c>
      <c r="L2818" s="1445" t="n">
        <v>10</v>
      </c>
      <c r="M2818" s="1408" t="n">
        <f aca="false">K2818*L2818/60</f>
        <v>1.63950245426149</v>
      </c>
    </row>
    <row r="2819" customFormat="false" ht="30" hidden="false" customHeight="false" outlineLevel="0" collapsed="false">
      <c r="A2819" s="216"/>
      <c r="B2819" s="29"/>
      <c r="C2819" s="1404" t="s">
        <v>6959</v>
      </c>
      <c r="D2819" s="1405" t="n">
        <v>2007</v>
      </c>
      <c r="E2819" s="1405" t="n">
        <f aca="false">2021-D2819</f>
        <v>14</v>
      </c>
      <c r="F2819" s="1406" t="n">
        <v>350000</v>
      </c>
      <c r="G2819" s="1407" t="n">
        <v>0.1</v>
      </c>
      <c r="H2819" s="1410" t="n">
        <f aca="false">E2819*F2819*G2819</f>
        <v>490000</v>
      </c>
      <c r="I2819" s="1410" t="n">
        <f aca="false">F2819-H2819</f>
        <v>-140000</v>
      </c>
      <c r="J2819" s="1410" t="n">
        <f aca="false">F2819*G2819</f>
        <v>35000</v>
      </c>
      <c r="K2819" s="1365" t="n">
        <f aca="false">J2819/1792.8</f>
        <v>19.5225345827755</v>
      </c>
      <c r="L2819" s="1445" t="n">
        <v>10</v>
      </c>
      <c r="M2819" s="1408" t="n">
        <f aca="false">K2819*L2819/60</f>
        <v>3.25375576379592</v>
      </c>
    </row>
    <row r="2820" customFormat="false" ht="30" hidden="false" customHeight="false" outlineLevel="0" collapsed="false">
      <c r="A2820" s="216"/>
      <c r="B2820" s="29"/>
      <c r="C2820" s="1404" t="s">
        <v>7071</v>
      </c>
      <c r="D2820" s="569" t="n">
        <v>2006</v>
      </c>
      <c r="E2820" s="569" t="n">
        <f aca="false">2021-D2820</f>
        <v>15</v>
      </c>
      <c r="F2820" s="1105" t="n">
        <v>138575</v>
      </c>
      <c r="G2820" s="1444" t="n">
        <v>0.1</v>
      </c>
      <c r="H2820" s="1105" t="n">
        <f aca="false">E2820*F2820*G2820</f>
        <v>207862.5</v>
      </c>
      <c r="I2820" s="1105" t="n">
        <f aca="false">F2820-H2820</f>
        <v>-69287.5</v>
      </c>
      <c r="J2820" s="1105" t="n">
        <f aca="false">F2820*G2820</f>
        <v>13857.5</v>
      </c>
      <c r="K2820" s="1365" t="n">
        <f aca="false">J2820/1792.8</f>
        <v>7.7295292280232</v>
      </c>
      <c r="L2820" s="547" t="n">
        <v>20</v>
      </c>
      <c r="M2820" s="819" t="n">
        <f aca="false">K2820*L2820/60</f>
        <v>2.5765097426744</v>
      </c>
    </row>
    <row r="2821" customFormat="false" ht="15" hidden="false" customHeight="false" outlineLevel="0" collapsed="false">
      <c r="A2821" s="216"/>
      <c r="B2821" s="29"/>
      <c r="C2821" s="1404" t="s">
        <v>7075</v>
      </c>
      <c r="D2821" s="569" t="n">
        <v>2015</v>
      </c>
      <c r="E2821" s="569" t="n">
        <f aca="false">2021-D2821</f>
        <v>6</v>
      </c>
      <c r="F2821" s="1105" t="n">
        <v>1028020</v>
      </c>
      <c r="G2821" s="1444" t="n">
        <v>0.1</v>
      </c>
      <c r="H2821" s="1105" t="n">
        <f aca="false">E2821*F2821*G2821</f>
        <v>616812</v>
      </c>
      <c r="I2821" s="1105" t="n">
        <f aca="false">F2821-H2821</f>
        <v>411208</v>
      </c>
      <c r="J2821" s="1105" t="n">
        <f aca="false">F2821*G2821</f>
        <v>102802</v>
      </c>
      <c r="K2821" s="1365" t="n">
        <f aca="false">J2821/1792.8</f>
        <v>57.3415885765283</v>
      </c>
      <c r="L2821" s="547" t="n">
        <v>60</v>
      </c>
      <c r="M2821" s="819" t="n">
        <f aca="false">K2821*L2821/60</f>
        <v>57.3415885765283</v>
      </c>
    </row>
    <row r="2822" customFormat="false" ht="30" hidden="false" customHeight="false" outlineLevel="0" collapsed="false">
      <c r="A2822" s="216"/>
      <c r="B2822" s="29"/>
      <c r="C2822" s="1409" t="s">
        <v>6967</v>
      </c>
      <c r="D2822" s="569" t="n">
        <v>2016</v>
      </c>
      <c r="E2822" s="569" t="n">
        <f aca="false">2021-D2822</f>
        <v>5</v>
      </c>
      <c r="F2822" s="1105" t="n">
        <v>2302000</v>
      </c>
      <c r="G2822" s="1444" t="n">
        <v>0.1</v>
      </c>
      <c r="H2822" s="1105" t="n">
        <f aca="false">E2822*F2822*G2822</f>
        <v>1151000</v>
      </c>
      <c r="I2822" s="1105" t="n">
        <f aca="false">F2822-H2822</f>
        <v>1151000</v>
      </c>
      <c r="J2822" s="1105" t="n">
        <f aca="false">F2822*G2822</f>
        <v>230200</v>
      </c>
      <c r="K2822" s="1365" t="n">
        <f aca="false">J2822/1792.8</f>
        <v>128.402498884427</v>
      </c>
      <c r="L2822" s="547" t="n">
        <v>20</v>
      </c>
      <c r="M2822" s="819" t="n">
        <f aca="false">K2822*L2822/60</f>
        <v>42.8008329614755</v>
      </c>
    </row>
    <row r="2823" customFormat="false" ht="30" hidden="false" customHeight="false" outlineLevel="0" collapsed="false">
      <c r="A2823" s="216"/>
      <c r="B2823" s="29"/>
      <c r="C2823" s="1404" t="s">
        <v>7072</v>
      </c>
      <c r="D2823" s="569" t="n">
        <v>2013</v>
      </c>
      <c r="E2823" s="569" t="n">
        <f aca="false">2021-D2823</f>
        <v>8</v>
      </c>
      <c r="F2823" s="1105" t="n">
        <v>300000</v>
      </c>
      <c r="G2823" s="1444" t="n">
        <v>0.1</v>
      </c>
      <c r="H2823" s="1105" t="n">
        <f aca="false">E2823*F2823*G2823</f>
        <v>240000</v>
      </c>
      <c r="I2823" s="1105" t="n">
        <f aca="false">F2823-H2823</f>
        <v>60000</v>
      </c>
      <c r="J2823" s="1105" t="n">
        <f aca="false">F2823*G2823</f>
        <v>30000</v>
      </c>
      <c r="K2823" s="1365" t="n">
        <f aca="false">J2823/1792.8</f>
        <v>16.7336010709505</v>
      </c>
      <c r="L2823" s="1105" t="n">
        <v>50</v>
      </c>
      <c r="M2823" s="865" t="n">
        <f aca="false">K2823*L2823/60</f>
        <v>13.9446675591254</v>
      </c>
    </row>
    <row r="2824" customFormat="false" ht="30" hidden="false" customHeight="false" outlineLevel="0" collapsed="false">
      <c r="A2824" s="216"/>
      <c r="B2824" s="29"/>
      <c r="C2824" s="1161" t="s">
        <v>7073</v>
      </c>
      <c r="D2824" s="912" t="n">
        <v>2005</v>
      </c>
      <c r="E2824" s="912" t="n">
        <f aca="false">2021-D2824</f>
        <v>16</v>
      </c>
      <c r="F2824" s="547" t="n">
        <v>39263</v>
      </c>
      <c r="G2824" s="1413" t="n">
        <v>0.15</v>
      </c>
      <c r="H2824" s="547" t="n">
        <f aca="false">E2824*F2824*G2824</f>
        <v>94231.2</v>
      </c>
      <c r="I2824" s="547" t="n">
        <f aca="false">F2824-H2824</f>
        <v>-54968.2</v>
      </c>
      <c r="J2824" s="547" t="n">
        <f aca="false">F2824*G2824</f>
        <v>5889.45</v>
      </c>
      <c r="K2824" s="1365" t="n">
        <f aca="false">J2824/1792.8</f>
        <v>3.28505689424364</v>
      </c>
      <c r="L2824" s="547" t="n">
        <v>20</v>
      </c>
      <c r="M2824" s="819" t="n">
        <f aca="false">K2824*L2824/60</f>
        <v>1.09501896474788</v>
      </c>
    </row>
    <row r="2825" customFormat="false" ht="30" hidden="false" customHeight="false" outlineLevel="0" collapsed="false">
      <c r="A2825" s="216"/>
      <c r="B2825" s="29"/>
      <c r="C2825" s="1161" t="s">
        <v>7074</v>
      </c>
      <c r="D2825" s="912" t="n">
        <v>2003</v>
      </c>
      <c r="E2825" s="912" t="n">
        <f aca="false">2021-D2825</f>
        <v>18</v>
      </c>
      <c r="F2825" s="547" t="n">
        <v>2471090</v>
      </c>
      <c r="G2825" s="1413" t="n">
        <v>0.1</v>
      </c>
      <c r="H2825" s="547" t="n">
        <f aca="false">E2825*F2825*G2825</f>
        <v>4447962</v>
      </c>
      <c r="I2825" s="547" t="n">
        <f aca="false">F2825-H2825</f>
        <v>-1976872</v>
      </c>
      <c r="J2825" s="547" t="n">
        <f aca="false">F2825*G2825</f>
        <v>247109</v>
      </c>
      <c r="K2825" s="1365" t="n">
        <f aca="false">J2825/1792.8</f>
        <v>137.834114234717</v>
      </c>
      <c r="L2825" s="547" t="n">
        <v>120</v>
      </c>
      <c r="M2825" s="819" t="n">
        <f aca="false">K2825*L2825/60</f>
        <v>275.668228469433</v>
      </c>
    </row>
    <row r="2826" customFormat="false" ht="30" hidden="false" customHeight="false" outlineLevel="0" collapsed="false">
      <c r="A2826" s="216"/>
      <c r="B2826" s="29"/>
      <c r="C2826" s="1404" t="s">
        <v>7077</v>
      </c>
      <c r="D2826" s="569" t="n">
        <v>2012</v>
      </c>
      <c r="E2826" s="569" t="n">
        <f aca="false">2021-D2826</f>
        <v>9</v>
      </c>
      <c r="F2826" s="1105" t="n">
        <v>19245353.86</v>
      </c>
      <c r="G2826" s="1444" t="n">
        <v>0.1</v>
      </c>
      <c r="H2826" s="1105" t="n">
        <f aca="false">E2826*F2826*G2826</f>
        <v>17320818.474</v>
      </c>
      <c r="I2826" s="1105" t="n">
        <f aca="false">F2826-H2826</f>
        <v>1924535.386</v>
      </c>
      <c r="J2826" s="1105" t="n">
        <f aca="false">F2826*G2826</f>
        <v>1924535.386</v>
      </c>
      <c r="K2826" s="1365" t="n">
        <f aca="false">J2826/1792.8</f>
        <v>1073.48024654172</v>
      </c>
      <c r="L2826" s="547" t="n">
        <v>120</v>
      </c>
      <c r="M2826" s="819" t="n">
        <f aca="false">K2826*L2826/60</f>
        <v>2146.96049308345</v>
      </c>
    </row>
    <row r="2827" customFormat="false" ht="30" hidden="false" customHeight="false" outlineLevel="0" collapsed="false">
      <c r="A2827" s="216"/>
      <c r="B2827" s="29"/>
      <c r="C2827" s="1404" t="s">
        <v>7078</v>
      </c>
      <c r="D2827" s="569" t="n">
        <v>2012</v>
      </c>
      <c r="E2827" s="569" t="n">
        <f aca="false">2021-D2827</f>
        <v>9</v>
      </c>
      <c r="F2827" s="1105" t="n">
        <v>12268394.74</v>
      </c>
      <c r="G2827" s="1444" t="n">
        <v>0.1</v>
      </c>
      <c r="H2827" s="547" t="n">
        <f aca="false">E2827*F2827*G2827</f>
        <v>11041555.266</v>
      </c>
      <c r="I2827" s="547" t="n">
        <f aca="false">F2827-H2827</f>
        <v>1226839.474</v>
      </c>
      <c r="J2827" s="547" t="n">
        <f aca="false">F2827*G2827</f>
        <v>1226839.474</v>
      </c>
      <c r="K2827" s="1365" t="n">
        <f aca="false">J2827/1792.8</f>
        <v>684.31474453369</v>
      </c>
      <c r="L2827" s="547" t="n">
        <v>120</v>
      </c>
      <c r="M2827" s="819" t="n">
        <f aca="false">K2827*L2827/60</f>
        <v>1368.62948906738</v>
      </c>
    </row>
    <row r="2828" customFormat="false" ht="15" hidden="false" customHeight="false" outlineLevel="0" collapsed="false">
      <c r="A2828" s="216"/>
      <c r="B2828" s="972" t="s">
        <v>5806</v>
      </c>
      <c r="C2828" s="1161"/>
      <c r="D2828" s="912"/>
      <c r="E2828" s="912"/>
      <c r="F2828" s="547"/>
      <c r="G2828" s="1413"/>
      <c r="H2828" s="547"/>
      <c r="I2828" s="547"/>
      <c r="J2828" s="547"/>
      <c r="K2828" s="1365" t="n">
        <f aca="false">J2828/1792.8</f>
        <v>0</v>
      </c>
      <c r="L2828" s="714"/>
      <c r="M2828" s="934" t="n">
        <f aca="false">SUM(M2817:M2827)</f>
        <v>3918.95805629927</v>
      </c>
    </row>
    <row r="2829" customFormat="false" ht="15" hidden="false" customHeight="false" outlineLevel="0" collapsed="false">
      <c r="A2829" s="343" t="s">
        <v>1282</v>
      </c>
      <c r="B2829" s="318" t="s">
        <v>3399</v>
      </c>
      <c r="C2829" s="11"/>
      <c r="D2829" s="1452"/>
      <c r="E2829" s="1453"/>
      <c r="F2829" s="1453"/>
      <c r="G2829" s="1454"/>
      <c r="H2829" s="1453"/>
      <c r="I2829" s="1453"/>
      <c r="J2829" s="1455"/>
      <c r="K2829" s="1455"/>
      <c r="L2829" s="1453"/>
      <c r="M2829" s="1456"/>
    </row>
    <row r="2830" customFormat="false" ht="51" hidden="false" customHeight="true" outlineLevel="0" collapsed="false">
      <c r="A2830" s="216" t="s">
        <v>1284</v>
      </c>
      <c r="B2830" s="59" t="s">
        <v>3400</v>
      </c>
      <c r="C2830" s="1161" t="s">
        <v>7090</v>
      </c>
      <c r="D2830" s="1457" t="n">
        <v>2011</v>
      </c>
      <c r="E2830" s="1458" t="n">
        <f aca="false">2021-D2830</f>
        <v>10</v>
      </c>
      <c r="F2830" s="547" t="n">
        <v>1874800</v>
      </c>
      <c r="G2830" s="1413" t="n">
        <v>0.1</v>
      </c>
      <c r="H2830" s="547" t="n">
        <f aca="false">E2830*F2830*G2830</f>
        <v>1874800</v>
      </c>
      <c r="I2830" s="547" t="n">
        <f aca="false">F2830-H2830</f>
        <v>0</v>
      </c>
      <c r="J2830" s="547" t="n">
        <f aca="false">F2830*G2830</f>
        <v>187480</v>
      </c>
      <c r="K2830" s="1365" t="n">
        <f aca="false">J2830/1792.8</f>
        <v>104.573850959393</v>
      </c>
      <c r="L2830" s="1365" t="n">
        <f aca="false">'норма времени'!I776</f>
        <v>15</v>
      </c>
      <c r="M2830" s="934" t="n">
        <f aca="false">K2830*L2830/60</f>
        <v>26.1434627398483</v>
      </c>
    </row>
    <row r="2831" customFormat="false" ht="51" hidden="false" customHeight="true" outlineLevel="0" collapsed="false">
      <c r="A2831" s="216"/>
      <c r="B2831" s="59" t="s">
        <v>3400</v>
      </c>
      <c r="C2831" s="1161" t="s">
        <v>7091</v>
      </c>
      <c r="D2831" s="1457" t="n">
        <v>2005</v>
      </c>
      <c r="E2831" s="1458" t="n">
        <f aca="false">2021-D2831</f>
        <v>16</v>
      </c>
      <c r="F2831" s="547" t="n">
        <v>1874800</v>
      </c>
      <c r="G2831" s="1413" t="n">
        <v>0.1</v>
      </c>
      <c r="H2831" s="547" t="n">
        <f aca="false">E2831*F2831*G2831</f>
        <v>2999680</v>
      </c>
      <c r="I2831" s="547" t="n">
        <f aca="false">F2831-H2831</f>
        <v>-1124880</v>
      </c>
      <c r="J2831" s="547" t="n">
        <f aca="false">F2831*G2831</f>
        <v>187480</v>
      </c>
      <c r="K2831" s="1365" t="n">
        <f aca="false">J2831/1792.8</f>
        <v>104.573850959393</v>
      </c>
      <c r="L2831" s="1365" t="n">
        <f aca="false">'норма времени'!I776</f>
        <v>15</v>
      </c>
      <c r="M2831" s="934" t="n">
        <f aca="false">K2831*L2831/60</f>
        <v>26.1434627398483</v>
      </c>
    </row>
    <row r="2832" customFormat="false" ht="46.5" hidden="false" customHeight="true" outlineLevel="0" collapsed="false">
      <c r="A2832" s="1459" t="s">
        <v>1286</v>
      </c>
      <c r="B2832" s="59" t="s">
        <v>3401</v>
      </c>
      <c r="C2832" s="1161" t="s">
        <v>7092</v>
      </c>
      <c r="D2832" s="1460" t="n">
        <v>2005</v>
      </c>
      <c r="E2832" s="1458" t="n">
        <f aca="false">2021-D2832</f>
        <v>16</v>
      </c>
      <c r="F2832" s="547" t="n">
        <v>617682</v>
      </c>
      <c r="G2832" s="1413" t="n">
        <v>0.1</v>
      </c>
      <c r="H2832" s="547" t="n">
        <f aca="false">E2832*F2832*G2832</f>
        <v>988291.2</v>
      </c>
      <c r="I2832" s="547" t="n">
        <f aca="false">F2832-H2832</f>
        <v>-370609.2</v>
      </c>
      <c r="J2832" s="547" t="n">
        <f aca="false">F2832*G2832</f>
        <v>61768.2</v>
      </c>
      <c r="K2832" s="1365" t="n">
        <f aca="false">J2832/1792.8</f>
        <v>34.4534805890228</v>
      </c>
      <c r="L2832" s="1365" t="n">
        <f aca="false">'норма времени'!I777</f>
        <v>10</v>
      </c>
      <c r="M2832" s="934" t="n">
        <f aca="false">K2832*L2832/60</f>
        <v>5.74224676483713</v>
      </c>
    </row>
    <row r="2833" customFormat="false" ht="45" hidden="false" customHeight="false" outlineLevel="0" collapsed="false">
      <c r="A2833" s="216" t="s">
        <v>1288</v>
      </c>
      <c r="B2833" s="59" t="s">
        <v>3402</v>
      </c>
      <c r="C2833" s="1161" t="s">
        <v>7093</v>
      </c>
      <c r="D2833" s="1460" t="n">
        <v>2009</v>
      </c>
      <c r="E2833" s="1458" t="n">
        <f aca="false">2021-D2833</f>
        <v>12</v>
      </c>
      <c r="F2833" s="547" t="n">
        <v>891000</v>
      </c>
      <c r="G2833" s="1413" t="n">
        <v>0.1</v>
      </c>
      <c r="H2833" s="547" t="n">
        <f aca="false">E2833*F2833*G2833</f>
        <v>1069200</v>
      </c>
      <c r="I2833" s="547" t="n">
        <f aca="false">F2833-H2833</f>
        <v>-178200</v>
      </c>
      <c r="J2833" s="547" t="n">
        <f aca="false">F2833*G2833</f>
        <v>89100</v>
      </c>
      <c r="K2833" s="1365" t="n">
        <f aca="false">J2833/1792.8</f>
        <v>49.6987951807229</v>
      </c>
      <c r="L2833" s="1365" t="n">
        <f aca="false">'норма времени'!I778</f>
        <v>10</v>
      </c>
      <c r="M2833" s="934" t="n">
        <f aca="false">K2833*L2833/60</f>
        <v>8.28313253012048</v>
      </c>
    </row>
    <row r="2834" customFormat="false" ht="45" hidden="false" customHeight="false" outlineLevel="0" collapsed="false">
      <c r="A2834" s="1459" t="s">
        <v>1290</v>
      </c>
      <c r="B2834" s="59" t="s">
        <v>3403</v>
      </c>
      <c r="C2834" s="1161" t="s">
        <v>7094</v>
      </c>
      <c r="D2834" s="1460" t="n">
        <v>2002</v>
      </c>
      <c r="E2834" s="1458" t="n">
        <f aca="false">2021-D2834</f>
        <v>19</v>
      </c>
      <c r="F2834" s="547" t="n">
        <v>406000</v>
      </c>
      <c r="G2834" s="1413" t="n">
        <v>0.1</v>
      </c>
      <c r="H2834" s="547" t="n">
        <f aca="false">E2834*F2834*G2834</f>
        <v>771400</v>
      </c>
      <c r="I2834" s="547" t="n">
        <f aca="false">F2834-H2834</f>
        <v>-365400</v>
      </c>
      <c r="J2834" s="547" t="n">
        <f aca="false">F2834*G2834</f>
        <v>40600</v>
      </c>
      <c r="K2834" s="1365" t="n">
        <f aca="false">J2834/1792.8</f>
        <v>22.6461401160196</v>
      </c>
      <c r="L2834" s="1365" t="n">
        <f aca="false">'норма времени'!I779</f>
        <v>10</v>
      </c>
      <c r="M2834" s="934" t="n">
        <f aca="false">K2834*L2834/60</f>
        <v>3.77435668600327</v>
      </c>
    </row>
    <row r="2835" customFormat="false" ht="45" hidden="false" customHeight="false" outlineLevel="0" collapsed="false">
      <c r="A2835" s="216" t="s">
        <v>1292</v>
      </c>
      <c r="B2835" s="59" t="s">
        <v>3404</v>
      </c>
      <c r="C2835" s="1161" t="s">
        <v>7095</v>
      </c>
      <c r="D2835" s="1460" t="n">
        <v>2005</v>
      </c>
      <c r="E2835" s="1458" t="n">
        <f aca="false">2021-D2835</f>
        <v>16</v>
      </c>
      <c r="F2835" s="547" t="n">
        <v>388800</v>
      </c>
      <c r="G2835" s="1413" t="n">
        <v>0.1</v>
      </c>
      <c r="H2835" s="547" t="n">
        <f aca="false">E2835*F2835*G2835</f>
        <v>622080</v>
      </c>
      <c r="I2835" s="547" t="n">
        <f aca="false">F2835-H2835</f>
        <v>-233280</v>
      </c>
      <c r="J2835" s="547" t="n">
        <f aca="false">F2835*G2835</f>
        <v>38880</v>
      </c>
      <c r="K2835" s="1365" t="n">
        <f aca="false">J2835/1792.8</f>
        <v>21.6867469879518</v>
      </c>
      <c r="L2835" s="1365" t="n">
        <f aca="false">'норма времени'!I780</f>
        <v>10</v>
      </c>
      <c r="M2835" s="934" t="n">
        <f aca="false">K2835*L2835/60</f>
        <v>3.6144578313253</v>
      </c>
    </row>
    <row r="2836" customFormat="false" ht="45" hidden="false" customHeight="false" outlineLevel="0" collapsed="false">
      <c r="A2836" s="1459" t="s">
        <v>1294</v>
      </c>
      <c r="B2836" s="59" t="s">
        <v>3405</v>
      </c>
      <c r="C2836" s="1161" t="s">
        <v>7096</v>
      </c>
      <c r="D2836" s="1460" t="n">
        <v>2005</v>
      </c>
      <c r="E2836" s="1458" t="n">
        <f aca="false">2021-D2836</f>
        <v>16</v>
      </c>
      <c r="F2836" s="547" t="n">
        <v>138000</v>
      </c>
      <c r="G2836" s="1413" t="n">
        <v>0.1</v>
      </c>
      <c r="H2836" s="547" t="n">
        <f aca="false">E2836*F2836*G2836</f>
        <v>220800</v>
      </c>
      <c r="I2836" s="547" t="n">
        <f aca="false">F2836-H2836</f>
        <v>-82800</v>
      </c>
      <c r="J2836" s="547" t="n">
        <f aca="false">F2836*G2836</f>
        <v>13800</v>
      </c>
      <c r="K2836" s="1365" t="n">
        <f aca="false">J2836/1792.8</f>
        <v>7.69745649263722</v>
      </c>
      <c r="L2836" s="1365" t="n">
        <f aca="false">'норма времени'!I781</f>
        <v>15</v>
      </c>
      <c r="M2836" s="934" t="n">
        <f aca="false">K2836*L2836/60</f>
        <v>1.9243641231593</v>
      </c>
    </row>
    <row r="2837" customFormat="false" ht="30" hidden="false" customHeight="false" outlineLevel="0" collapsed="false">
      <c r="A2837" s="216" t="s">
        <v>1296</v>
      </c>
      <c r="B2837" s="59" t="s">
        <v>3406</v>
      </c>
      <c r="C2837" s="1161" t="s">
        <v>7097</v>
      </c>
      <c r="D2837" s="1460" t="n">
        <v>2007</v>
      </c>
      <c r="E2837" s="1458" t="n">
        <f aca="false">2021-D2837</f>
        <v>14</v>
      </c>
      <c r="F2837" s="547" t="n">
        <v>208552</v>
      </c>
      <c r="G2837" s="1413" t="n">
        <v>0.1</v>
      </c>
      <c r="H2837" s="547" t="n">
        <f aca="false">E2837*F2837*G2837</f>
        <v>291972.8</v>
      </c>
      <c r="I2837" s="547" t="n">
        <f aca="false">F2837-H2837</f>
        <v>-83420.8</v>
      </c>
      <c r="J2837" s="547" t="n">
        <f aca="false">F2837*G2837</f>
        <v>20855.2</v>
      </c>
      <c r="K2837" s="1365" t="n">
        <f aca="false">J2837/1792.8</f>
        <v>11.6327532351629</v>
      </c>
      <c r="L2837" s="1365" t="n">
        <f aca="false">'норма времени'!I782</f>
        <v>15</v>
      </c>
      <c r="M2837" s="934" t="n">
        <f aca="false">K2837*L2837/60</f>
        <v>2.90818830879072</v>
      </c>
    </row>
    <row r="2838" customFormat="false" ht="30" hidden="false" customHeight="false" outlineLevel="0" collapsed="false">
      <c r="A2838" s="1459" t="s">
        <v>1298</v>
      </c>
      <c r="B2838" s="59" t="s">
        <v>3407</v>
      </c>
      <c r="C2838" s="1161" t="s">
        <v>7098</v>
      </c>
      <c r="D2838" s="1460" t="n">
        <v>2008</v>
      </c>
      <c r="E2838" s="1458" t="n">
        <f aca="false">2021-D2838</f>
        <v>13</v>
      </c>
      <c r="F2838" s="547" t="n">
        <v>133722</v>
      </c>
      <c r="G2838" s="1413" t="n">
        <v>0.1</v>
      </c>
      <c r="H2838" s="547" t="n">
        <f aca="false">E2838*F2838*G2838</f>
        <v>173838.6</v>
      </c>
      <c r="I2838" s="547" t="n">
        <f aca="false">F2838-H2838</f>
        <v>-40116.6</v>
      </c>
      <c r="J2838" s="547" t="n">
        <f aca="false">F2838*G2838</f>
        <v>13372.2</v>
      </c>
      <c r="K2838" s="1365" t="n">
        <f aca="false">J2838/1792.8</f>
        <v>7.45883534136546</v>
      </c>
      <c r="L2838" s="1365" t="n">
        <f aca="false">'норма времени'!I783</f>
        <v>15</v>
      </c>
      <c r="M2838" s="934" t="n">
        <f aca="false">K2838*L2838/60</f>
        <v>1.86470883534137</v>
      </c>
    </row>
    <row r="2839" customFormat="false" ht="60" hidden="false" customHeight="false" outlineLevel="0" collapsed="false">
      <c r="A2839" s="216" t="s">
        <v>1300</v>
      </c>
      <c r="B2839" s="59" t="s">
        <v>3408</v>
      </c>
      <c r="C2839" s="1161" t="s">
        <v>7099</v>
      </c>
      <c r="D2839" s="1460" t="n">
        <v>2006</v>
      </c>
      <c r="E2839" s="1458" t="n">
        <f aca="false">2021-D2839</f>
        <v>15</v>
      </c>
      <c r="F2839" s="547" t="n">
        <v>859050</v>
      </c>
      <c r="G2839" s="1413" t="n">
        <v>0.1</v>
      </c>
      <c r="H2839" s="547" t="n">
        <f aca="false">E2839*F2839*G2839</f>
        <v>1288575</v>
      </c>
      <c r="I2839" s="547" t="n">
        <f aca="false">F2839-H2839</f>
        <v>-429525</v>
      </c>
      <c r="J2839" s="547" t="n">
        <f aca="false">F2839*G2839</f>
        <v>85905</v>
      </c>
      <c r="K2839" s="1365" t="n">
        <f aca="false">J2839/1792.8</f>
        <v>47.9166666666667</v>
      </c>
      <c r="L2839" s="1365" t="n">
        <f aca="false">'норма времени'!I784</f>
        <v>10</v>
      </c>
      <c r="M2839" s="934" t="n">
        <f aca="false">K2839*L2839/60</f>
        <v>7.98611111111111</v>
      </c>
    </row>
    <row r="2840" customFormat="false" ht="60" hidden="false" customHeight="false" outlineLevel="0" collapsed="false">
      <c r="A2840" s="1459" t="s">
        <v>1302</v>
      </c>
      <c r="B2840" s="59" t="s">
        <v>3409</v>
      </c>
      <c r="C2840" s="1161" t="s">
        <v>7100</v>
      </c>
      <c r="D2840" s="1460" t="n">
        <v>2006</v>
      </c>
      <c r="E2840" s="1458" t="n">
        <f aca="false">2021-D2840</f>
        <v>15</v>
      </c>
      <c r="F2840" s="547" t="n">
        <v>880000</v>
      </c>
      <c r="G2840" s="1413" t="n">
        <v>0.1</v>
      </c>
      <c r="H2840" s="547" t="n">
        <f aca="false">E2840*F2840*G2840</f>
        <v>1320000</v>
      </c>
      <c r="I2840" s="547" t="n">
        <f aca="false">F2840-H2840</f>
        <v>-440000</v>
      </c>
      <c r="J2840" s="547" t="n">
        <f aca="false">F2840*G2840</f>
        <v>88000</v>
      </c>
      <c r="K2840" s="1365" t="n">
        <f aca="false">J2840/1792.8</f>
        <v>49.0852298081214</v>
      </c>
      <c r="L2840" s="1365" t="n">
        <f aca="false">'норма времени'!I785</f>
        <v>10</v>
      </c>
      <c r="M2840" s="934" t="n">
        <f aca="false">K2840*L2840/60</f>
        <v>8.1808716346869</v>
      </c>
    </row>
    <row r="2841" customFormat="false" ht="60" hidden="false" customHeight="false" outlineLevel="0" collapsed="false">
      <c r="A2841" s="216" t="s">
        <v>1304</v>
      </c>
      <c r="B2841" s="59" t="s">
        <v>3410</v>
      </c>
      <c r="C2841" s="1161" t="s">
        <v>7100</v>
      </c>
      <c r="D2841" s="1460" t="n">
        <v>2006</v>
      </c>
      <c r="E2841" s="1458" t="n">
        <f aca="false">2021-D2841</f>
        <v>15</v>
      </c>
      <c r="F2841" s="547" t="n">
        <v>880000</v>
      </c>
      <c r="G2841" s="1413" t="n">
        <v>0.1</v>
      </c>
      <c r="H2841" s="547" t="n">
        <f aca="false">E2841*F2841*G2841</f>
        <v>1320000</v>
      </c>
      <c r="I2841" s="547" t="n">
        <f aca="false">F2841-H2841</f>
        <v>-440000</v>
      </c>
      <c r="J2841" s="547" t="n">
        <f aca="false">F2841*G2841</f>
        <v>88000</v>
      </c>
      <c r="K2841" s="1365" t="n">
        <f aca="false">J2841/1792.8</f>
        <v>49.0852298081214</v>
      </c>
      <c r="L2841" s="1365" t="n">
        <f aca="false">'норма времени'!I786</f>
        <v>10</v>
      </c>
      <c r="M2841" s="934" t="n">
        <f aca="false">K2841*L2841/60</f>
        <v>8.1808716346869</v>
      </c>
    </row>
    <row r="2842" customFormat="false" ht="45" hidden="false" customHeight="false" outlineLevel="0" collapsed="false">
      <c r="A2842" s="1459" t="s">
        <v>1306</v>
      </c>
      <c r="B2842" s="59" t="s">
        <v>3411</v>
      </c>
      <c r="C2842" s="1161" t="s">
        <v>7101</v>
      </c>
      <c r="D2842" s="1460" t="n">
        <v>2006</v>
      </c>
      <c r="E2842" s="1458" t="n">
        <f aca="false">2021-D2842</f>
        <v>15</v>
      </c>
      <c r="F2842" s="547" t="n">
        <v>880000</v>
      </c>
      <c r="G2842" s="1413" t="n">
        <v>0.1</v>
      </c>
      <c r="H2842" s="547" t="n">
        <f aca="false">E2842*F2842*G2842</f>
        <v>1320000</v>
      </c>
      <c r="I2842" s="547" t="n">
        <f aca="false">F2842-H2842</f>
        <v>-440000</v>
      </c>
      <c r="J2842" s="547" t="n">
        <f aca="false">F2842*G2842</f>
        <v>88000</v>
      </c>
      <c r="K2842" s="1365" t="n">
        <f aca="false">J2842/1792.8</f>
        <v>49.0852298081214</v>
      </c>
      <c r="L2842" s="1365" t="n">
        <f aca="false">'норма времени'!I787</f>
        <v>60</v>
      </c>
      <c r="M2842" s="934" t="n">
        <f aca="false">K2842*L2842/60</f>
        <v>49.0852298081214</v>
      </c>
    </row>
    <row r="2843" customFormat="false" ht="45.75" hidden="false" customHeight="true" outlineLevel="0" collapsed="false">
      <c r="A2843" s="216" t="s">
        <v>1308</v>
      </c>
      <c r="B2843" s="59" t="s">
        <v>3412</v>
      </c>
      <c r="C2843" s="1161" t="s">
        <v>7102</v>
      </c>
      <c r="D2843" s="1460" t="n">
        <v>2006</v>
      </c>
      <c r="E2843" s="1458" t="n">
        <f aca="false">2021-D2843</f>
        <v>15</v>
      </c>
      <c r="F2843" s="547" t="n">
        <v>880000</v>
      </c>
      <c r="G2843" s="1413" t="n">
        <v>0.1</v>
      </c>
      <c r="H2843" s="547" t="n">
        <f aca="false">E2843*F2843*G2843</f>
        <v>1320000</v>
      </c>
      <c r="I2843" s="547" t="n">
        <f aca="false">F2843-H2843</f>
        <v>-440000</v>
      </c>
      <c r="J2843" s="547" t="n">
        <f aca="false">F2843*G2843</f>
        <v>88000</v>
      </c>
      <c r="K2843" s="1365" t="n">
        <f aca="false">J2843/1792.8</f>
        <v>49.0852298081214</v>
      </c>
      <c r="L2843" s="1365" t="n">
        <f aca="false">'норма времени'!I788</f>
        <v>25</v>
      </c>
      <c r="M2843" s="934" t="n">
        <f aca="false">K2843*L2843/60</f>
        <v>20.4521790867172</v>
      </c>
    </row>
    <row r="2844" customFormat="false" ht="45" hidden="false" customHeight="false" outlineLevel="0" collapsed="false">
      <c r="A2844" s="1459" t="s">
        <v>1310</v>
      </c>
      <c r="B2844" s="72" t="s">
        <v>3413</v>
      </c>
      <c r="C2844" s="1161" t="s">
        <v>7103</v>
      </c>
      <c r="D2844" s="1460" t="n">
        <v>2006</v>
      </c>
      <c r="E2844" s="1458" t="n">
        <f aca="false">2021-D2844</f>
        <v>15</v>
      </c>
      <c r="F2844" s="547" t="n">
        <v>930000</v>
      </c>
      <c r="G2844" s="1413" t="n">
        <v>0.1</v>
      </c>
      <c r="H2844" s="547" t="n">
        <f aca="false">E2844*F2844*G2844</f>
        <v>1395000</v>
      </c>
      <c r="I2844" s="547" t="n">
        <f aca="false">F2844-H2844</f>
        <v>-465000</v>
      </c>
      <c r="J2844" s="547" t="n">
        <f aca="false">F2844*G2844</f>
        <v>93000</v>
      </c>
      <c r="K2844" s="1365" t="n">
        <f aca="false">J2844/1792.8</f>
        <v>51.8741633199465</v>
      </c>
      <c r="L2844" s="1365" t="n">
        <f aca="false">'норма времени'!I789</f>
        <v>15</v>
      </c>
      <c r="M2844" s="934" t="n">
        <f aca="false">K2844*L2844/60</f>
        <v>12.9685408299866</v>
      </c>
    </row>
    <row r="2845" customFormat="false" ht="45" hidden="false" customHeight="false" outlineLevel="0" collapsed="false">
      <c r="A2845" s="216" t="s">
        <v>1312</v>
      </c>
      <c r="B2845" s="59" t="s">
        <v>3414</v>
      </c>
      <c r="C2845" s="1161" t="s">
        <v>7104</v>
      </c>
      <c r="D2845" s="1460" t="n">
        <v>2006</v>
      </c>
      <c r="E2845" s="1458" t="n">
        <f aca="false">2021-D2845</f>
        <v>15</v>
      </c>
      <c r="F2845" s="547" t="n">
        <v>930000</v>
      </c>
      <c r="G2845" s="1413" t="n">
        <v>0.1</v>
      </c>
      <c r="H2845" s="547" t="n">
        <f aca="false">E2845*F2845*G2845</f>
        <v>1395000</v>
      </c>
      <c r="I2845" s="547" t="n">
        <f aca="false">F2845-H2845</f>
        <v>-465000</v>
      </c>
      <c r="J2845" s="547" t="n">
        <f aca="false">F2845*G2845</f>
        <v>93000</v>
      </c>
      <c r="K2845" s="1365" t="n">
        <f aca="false">J2845/1792.8</f>
        <v>51.8741633199465</v>
      </c>
      <c r="L2845" s="1365" t="n">
        <f aca="false">'норма времени'!I790</f>
        <v>20</v>
      </c>
      <c r="M2845" s="934" t="n">
        <f aca="false">K2845*L2845/60</f>
        <v>17.2913877733155</v>
      </c>
    </row>
    <row r="2846" customFormat="false" ht="45" hidden="false" customHeight="false" outlineLevel="0" collapsed="false">
      <c r="A2846" s="1459" t="s">
        <v>1314</v>
      </c>
      <c r="B2846" s="59" t="s">
        <v>3415</v>
      </c>
      <c r="C2846" s="1161" t="s">
        <v>7104</v>
      </c>
      <c r="D2846" s="1460" t="n">
        <v>2006</v>
      </c>
      <c r="E2846" s="1458" t="n">
        <f aca="false">2021-D2846</f>
        <v>15</v>
      </c>
      <c r="F2846" s="547" t="n">
        <v>930000</v>
      </c>
      <c r="G2846" s="1413" t="n">
        <v>0.1</v>
      </c>
      <c r="H2846" s="547" t="n">
        <f aca="false">E2846*F2846*G2846</f>
        <v>1395000</v>
      </c>
      <c r="I2846" s="547" t="n">
        <f aca="false">F2846-H2846</f>
        <v>-465000</v>
      </c>
      <c r="J2846" s="547" t="n">
        <f aca="false">F2846*G2846</f>
        <v>93000</v>
      </c>
      <c r="K2846" s="1365" t="n">
        <f aca="false">J2846/1792.8</f>
        <v>51.8741633199465</v>
      </c>
      <c r="L2846" s="1365" t="n">
        <f aca="false">'норма времени'!I791</f>
        <v>60</v>
      </c>
      <c r="M2846" s="934" t="n">
        <f aca="false">K2846*L2846/60</f>
        <v>51.8741633199465</v>
      </c>
    </row>
    <row r="2847" customFormat="false" ht="30" hidden="false" customHeight="false" outlineLevel="0" collapsed="false">
      <c r="A2847" s="216" t="s">
        <v>1316</v>
      </c>
      <c r="B2847" s="1461" t="s">
        <v>3416</v>
      </c>
      <c r="C2847" s="1161" t="s">
        <v>7105</v>
      </c>
      <c r="D2847" s="1460" t="n">
        <v>2009</v>
      </c>
      <c r="E2847" s="1458" t="n">
        <f aca="false">2021-D2847</f>
        <v>12</v>
      </c>
      <c r="F2847" s="1462" t="n">
        <v>930000</v>
      </c>
      <c r="G2847" s="1413" t="n">
        <v>0.1</v>
      </c>
      <c r="H2847" s="547" t="n">
        <f aca="false">E2847*F2847*G2847</f>
        <v>1116000</v>
      </c>
      <c r="I2847" s="547" t="n">
        <f aca="false">F2847-H2847</f>
        <v>-186000</v>
      </c>
      <c r="J2847" s="547" t="n">
        <f aca="false">F2847*G2847</f>
        <v>93000</v>
      </c>
      <c r="K2847" s="1365" t="n">
        <f aca="false">J2847/1792.8</f>
        <v>51.8741633199465</v>
      </c>
      <c r="L2847" s="1365" t="n">
        <f aca="false">'норма времени'!I792</f>
        <v>15</v>
      </c>
      <c r="M2847" s="934" t="n">
        <f aca="false">K2847*L2847/60</f>
        <v>12.9685408299866</v>
      </c>
    </row>
    <row r="2848" customFormat="false" ht="30" hidden="false" customHeight="false" outlineLevel="0" collapsed="false">
      <c r="A2848" s="1459" t="s">
        <v>1318</v>
      </c>
      <c r="B2848" s="53" t="s">
        <v>3417</v>
      </c>
      <c r="C2848" s="72" t="s">
        <v>7106</v>
      </c>
      <c r="D2848" s="1463"/>
      <c r="E2848" s="1458" t="n">
        <f aca="false">2021-D2848</f>
        <v>2021</v>
      </c>
      <c r="F2848" s="547" t="n">
        <v>0</v>
      </c>
      <c r="G2848" s="1413" t="n">
        <v>0.1</v>
      </c>
      <c r="H2848" s="547" t="n">
        <f aca="false">E2848*F2848*G2848</f>
        <v>0</v>
      </c>
      <c r="I2848" s="547" t="n">
        <f aca="false">F2848-H2848</f>
        <v>0</v>
      </c>
      <c r="J2848" s="547" t="n">
        <f aca="false">F2848*G2848</f>
        <v>0</v>
      </c>
      <c r="K2848" s="1365" t="n">
        <f aca="false">J2848/1792.8</f>
        <v>0</v>
      </c>
      <c r="L2848" s="1365" t="n">
        <f aca="false">'норма времени'!I793</f>
        <v>0</v>
      </c>
      <c r="M2848" s="934" t="n">
        <f aca="false">K2848*L2848/60</f>
        <v>0</v>
      </c>
    </row>
    <row r="2849" customFormat="false" ht="15" hidden="false" customHeight="false" outlineLevel="0" collapsed="false">
      <c r="A2849" s="1464" t="s">
        <v>1320</v>
      </c>
      <c r="B2849" s="1217" t="s">
        <v>7107</v>
      </c>
      <c r="C2849" s="1465"/>
      <c r="D2849" s="1217"/>
      <c r="E2849" s="1455"/>
      <c r="F2849" s="1455"/>
      <c r="G2849" s="1455"/>
      <c r="H2849" s="1455"/>
      <c r="I2849" s="1455"/>
      <c r="J2849" s="1455"/>
      <c r="K2849" s="1455"/>
      <c r="L2849" s="1455"/>
      <c r="M2849" s="1455"/>
    </row>
    <row r="2850" customFormat="false" ht="71.25" hidden="false" customHeight="false" outlineLevel="0" collapsed="false">
      <c r="A2850" s="15" t="s">
        <v>1322</v>
      </c>
      <c r="B2850" s="90" t="s">
        <v>3419</v>
      </c>
      <c r="C2850" s="88"/>
      <c r="D2850" s="90"/>
      <c r="E2850" s="1466"/>
      <c r="F2850" s="1466"/>
      <c r="G2850" s="1466"/>
      <c r="H2850" s="1466"/>
      <c r="I2850" s="1466"/>
      <c r="J2850" s="1466"/>
      <c r="K2850" s="1466"/>
      <c r="L2850" s="1466"/>
      <c r="M2850" s="1466"/>
    </row>
    <row r="2851" customFormat="false" ht="30" hidden="false" customHeight="false" outlineLevel="0" collapsed="false">
      <c r="A2851" s="216" t="s">
        <v>5395</v>
      </c>
      <c r="B2851" s="1467" t="s">
        <v>3420</v>
      </c>
      <c r="C2851" s="78"/>
      <c r="D2851" s="912"/>
      <c r="E2851" s="912"/>
      <c r="F2851" s="547"/>
      <c r="G2851" s="1413"/>
      <c r="H2851" s="547"/>
      <c r="I2851" s="547"/>
      <c r="J2851" s="547"/>
      <c r="K2851" s="1365" t="n">
        <f aca="false">J2851/1792.8</f>
        <v>0</v>
      </c>
      <c r="L2851" s="547" t="n">
        <v>30</v>
      </c>
      <c r="M2851" s="934"/>
    </row>
    <row r="2852" customFormat="false" ht="15" hidden="false" customHeight="false" outlineLevel="0" collapsed="false">
      <c r="A2852" s="216" t="s">
        <v>5398</v>
      </c>
      <c r="B2852" s="40" t="s">
        <v>3421</v>
      </c>
      <c r="C2852" s="1161"/>
      <c r="D2852" s="912"/>
      <c r="E2852" s="912"/>
      <c r="F2852" s="547"/>
      <c r="G2852" s="1413"/>
      <c r="H2852" s="547"/>
      <c r="I2852" s="547"/>
      <c r="J2852" s="547"/>
      <c r="K2852" s="1365" t="n">
        <f aca="false">J2852/1792.8</f>
        <v>0</v>
      </c>
      <c r="L2852" s="547" t="n">
        <v>30</v>
      </c>
      <c r="M2852" s="934"/>
    </row>
    <row r="2853" customFormat="false" ht="15" hidden="false" customHeight="false" outlineLevel="0" collapsed="false">
      <c r="A2853" s="216" t="s">
        <v>5399</v>
      </c>
      <c r="B2853" s="40" t="s">
        <v>3422</v>
      </c>
      <c r="C2853" s="217"/>
      <c r="D2853" s="912"/>
      <c r="E2853" s="912"/>
      <c r="F2853" s="547"/>
      <c r="G2853" s="1413"/>
      <c r="H2853" s="547"/>
      <c r="I2853" s="547"/>
      <c r="J2853" s="547"/>
      <c r="K2853" s="1365" t="n">
        <f aca="false">J2853/1792.8</f>
        <v>0</v>
      </c>
      <c r="L2853" s="547" t="n">
        <v>30</v>
      </c>
      <c r="M2853" s="934"/>
    </row>
    <row r="2854" customFormat="false" ht="15" hidden="false" customHeight="false" outlineLevel="0" collapsed="false">
      <c r="A2854" s="216" t="s">
        <v>1329</v>
      </c>
      <c r="B2854" s="78" t="s">
        <v>3423</v>
      </c>
      <c r="C2854" s="217"/>
      <c r="D2854" s="912"/>
      <c r="E2854" s="912"/>
      <c r="F2854" s="547"/>
      <c r="G2854" s="1413"/>
      <c r="H2854" s="547"/>
      <c r="I2854" s="547"/>
      <c r="J2854" s="547"/>
      <c r="K2854" s="1365" t="n">
        <f aca="false">J2854/1792.8</f>
        <v>0</v>
      </c>
      <c r="L2854" s="547" t="n">
        <v>30</v>
      </c>
      <c r="M2854" s="934"/>
    </row>
    <row r="2855" customFormat="false" ht="15" hidden="false" customHeight="false" outlineLevel="0" collapsed="false">
      <c r="A2855" s="216" t="s">
        <v>5402</v>
      </c>
      <c r="B2855" s="78" t="s">
        <v>3424</v>
      </c>
      <c r="C2855" s="217" t="s">
        <v>7108</v>
      </c>
      <c r="D2855" s="912"/>
      <c r="E2855" s="912"/>
      <c r="F2855" s="547"/>
      <c r="G2855" s="1413"/>
      <c r="H2855" s="547"/>
      <c r="I2855" s="547"/>
      <c r="J2855" s="547"/>
      <c r="K2855" s="1365" t="n">
        <f aca="false">J2855/1792.8</f>
        <v>0</v>
      </c>
      <c r="L2855" s="547" t="n">
        <v>30</v>
      </c>
      <c r="M2855" s="934"/>
    </row>
    <row r="2856" customFormat="false" ht="15" hidden="false" customHeight="false" outlineLevel="0" collapsed="false">
      <c r="A2856" s="216" t="s">
        <v>5403</v>
      </c>
      <c r="B2856" s="40" t="s">
        <v>3425</v>
      </c>
      <c r="C2856" s="1161" t="s">
        <v>7109</v>
      </c>
      <c r="D2856" s="912" t="n">
        <v>2006</v>
      </c>
      <c r="E2856" s="912" t="n">
        <f aca="false">2021-D2856</f>
        <v>15</v>
      </c>
      <c r="F2856" s="547" t="n">
        <v>2000000</v>
      </c>
      <c r="G2856" s="1413" t="n">
        <v>0.1</v>
      </c>
      <c r="H2856" s="547" t="n">
        <f aca="false">E2856*F2856*G2856</f>
        <v>3000000</v>
      </c>
      <c r="I2856" s="547" t="n">
        <f aca="false">F2856-H2856</f>
        <v>-1000000</v>
      </c>
      <c r="J2856" s="547" t="n">
        <f aca="false">F2856*G2856</f>
        <v>200000</v>
      </c>
      <c r="K2856" s="1365" t="n">
        <f aca="false">J2856/1792.8</f>
        <v>111.557340473003</v>
      </c>
      <c r="L2856" s="547" t="n">
        <v>30</v>
      </c>
      <c r="M2856" s="934" t="n">
        <f aca="false">K2856*L2856/60</f>
        <v>55.7786702365016</v>
      </c>
    </row>
    <row r="2857" customFormat="false" ht="30" hidden="false" customHeight="false" outlineLevel="0" collapsed="false">
      <c r="A2857" s="216" t="s">
        <v>5404</v>
      </c>
      <c r="B2857" s="40" t="s">
        <v>3426</v>
      </c>
      <c r="C2857" s="217"/>
      <c r="D2857" s="912"/>
      <c r="E2857" s="912"/>
      <c r="F2857" s="547"/>
      <c r="G2857" s="1413"/>
      <c r="H2857" s="547"/>
      <c r="I2857" s="547"/>
      <c r="J2857" s="547"/>
      <c r="K2857" s="1365" t="n">
        <f aca="false">J2857/1792.8</f>
        <v>0</v>
      </c>
      <c r="L2857" s="547" t="n">
        <v>30</v>
      </c>
      <c r="M2857" s="934"/>
    </row>
    <row r="2858" customFormat="false" ht="30" hidden="false" customHeight="false" outlineLevel="0" collapsed="false">
      <c r="A2858" s="216" t="s">
        <v>5406</v>
      </c>
      <c r="B2858" s="40" t="s">
        <v>3498</v>
      </c>
      <c r="C2858" s="1404" t="s">
        <v>7110</v>
      </c>
      <c r="D2858" s="912" t="n">
        <v>2006</v>
      </c>
      <c r="E2858" s="912" t="n">
        <f aca="false">2021-D2858</f>
        <v>15</v>
      </c>
      <c r="F2858" s="547" t="n">
        <v>1585000</v>
      </c>
      <c r="G2858" s="1413" t="n">
        <v>0.1</v>
      </c>
      <c r="H2858" s="547" t="n">
        <f aca="false">E2858*F2858*G2858</f>
        <v>2377500</v>
      </c>
      <c r="I2858" s="547" t="n">
        <f aca="false">F2858-H2858</f>
        <v>-792500</v>
      </c>
      <c r="J2858" s="547" t="n">
        <f aca="false">F2858*G2858</f>
        <v>158500</v>
      </c>
      <c r="K2858" s="1365" t="n">
        <f aca="false">J2858/1792.8</f>
        <v>88.409192324855</v>
      </c>
      <c r="L2858" s="547" t="n">
        <v>30</v>
      </c>
      <c r="M2858" s="934" t="n">
        <f aca="false">K2858*L2858/60</f>
        <v>44.2045961624275</v>
      </c>
    </row>
    <row r="2859" customFormat="false" ht="30" hidden="false" customHeight="false" outlineLevel="0" collapsed="false">
      <c r="A2859" s="216" t="s">
        <v>5410</v>
      </c>
      <c r="B2859" s="40" t="s">
        <v>3428</v>
      </c>
      <c r="C2859" s="1161" t="s">
        <v>7111</v>
      </c>
      <c r="D2859" s="912" t="n">
        <v>2006</v>
      </c>
      <c r="E2859" s="912" t="n">
        <f aca="false">2021-D2859</f>
        <v>15</v>
      </c>
      <c r="F2859" s="547" t="n">
        <v>1585000</v>
      </c>
      <c r="G2859" s="1413" t="n">
        <v>0.1</v>
      </c>
      <c r="H2859" s="547" t="n">
        <f aca="false">E2859*F2859*G2859</f>
        <v>2377500</v>
      </c>
      <c r="I2859" s="547" t="n">
        <f aca="false">F2859-H2859</f>
        <v>-792500</v>
      </c>
      <c r="J2859" s="547" t="n">
        <f aca="false">F2859*G2859</f>
        <v>158500</v>
      </c>
      <c r="K2859" s="1365" t="n">
        <f aca="false">J2859/1792.8</f>
        <v>88.409192324855</v>
      </c>
      <c r="L2859" s="547" t="n">
        <v>30</v>
      </c>
      <c r="M2859" s="934" t="n">
        <f aca="false">K2859*L2859/60</f>
        <v>44.2045961624275</v>
      </c>
    </row>
    <row r="2860" customFormat="false" ht="30" hidden="false" customHeight="false" outlineLevel="0" collapsed="false">
      <c r="A2860" s="216" t="s">
        <v>5414</v>
      </c>
      <c r="B2860" s="40" t="s">
        <v>3429</v>
      </c>
      <c r="C2860" s="1161" t="s">
        <v>7111</v>
      </c>
      <c r="D2860" s="912" t="n">
        <v>2006</v>
      </c>
      <c r="E2860" s="912" t="n">
        <f aca="false">2021-D2860</f>
        <v>15</v>
      </c>
      <c r="F2860" s="547" t="n">
        <v>1585000</v>
      </c>
      <c r="G2860" s="1413" t="n">
        <v>0.1</v>
      </c>
      <c r="H2860" s="547" t="n">
        <f aca="false">E2860*F2860*G2860</f>
        <v>2377500</v>
      </c>
      <c r="I2860" s="547" t="n">
        <f aca="false">F2860-H2860</f>
        <v>-792500</v>
      </c>
      <c r="J2860" s="547" t="n">
        <f aca="false">F2860*G2860</f>
        <v>158500</v>
      </c>
      <c r="K2860" s="1365" t="n">
        <f aca="false">J2860/1792.8</f>
        <v>88.409192324855</v>
      </c>
      <c r="L2860" s="547" t="n">
        <v>30</v>
      </c>
      <c r="M2860" s="934" t="n">
        <f aca="false">K2860*L2860/60</f>
        <v>44.2045961624275</v>
      </c>
    </row>
    <row r="2861" customFormat="false" ht="30" hidden="false" customHeight="false" outlineLevel="0" collapsed="false">
      <c r="A2861" s="216" t="s">
        <v>5417</v>
      </c>
      <c r="B2861" s="40" t="s">
        <v>7112</v>
      </c>
      <c r="C2861" s="1161" t="s">
        <v>7111</v>
      </c>
      <c r="D2861" s="912" t="n">
        <v>2006</v>
      </c>
      <c r="E2861" s="912" t="n">
        <f aca="false">2021-D2861</f>
        <v>15</v>
      </c>
      <c r="F2861" s="547" t="n">
        <v>1585000</v>
      </c>
      <c r="G2861" s="1413" t="n">
        <v>0.1</v>
      </c>
      <c r="H2861" s="547" t="n">
        <f aca="false">E2861*F2861*G2861</f>
        <v>2377500</v>
      </c>
      <c r="I2861" s="547" t="n">
        <f aca="false">F2861-H2861</f>
        <v>-792500</v>
      </c>
      <c r="J2861" s="547" t="n">
        <f aca="false">F2861*G2861</f>
        <v>158500</v>
      </c>
      <c r="K2861" s="1365" t="n">
        <f aca="false">J2861/1792.8</f>
        <v>88.409192324855</v>
      </c>
      <c r="L2861" s="547" t="n">
        <v>30</v>
      </c>
      <c r="M2861" s="934" t="n">
        <f aca="false">K2861*L2861/60</f>
        <v>44.2045961624275</v>
      </c>
    </row>
    <row r="2862" customFormat="false" ht="15" hidden="false" customHeight="false" outlineLevel="0" collapsed="false">
      <c r="A2862" s="216" t="s">
        <v>5419</v>
      </c>
      <c r="B2862" s="40" t="s">
        <v>3431</v>
      </c>
      <c r="C2862" s="1404" t="s">
        <v>7113</v>
      </c>
      <c r="D2862" s="912" t="n">
        <v>2006</v>
      </c>
      <c r="E2862" s="912" t="n">
        <f aca="false">2021-D2862</f>
        <v>15</v>
      </c>
      <c r="F2862" s="547" t="n">
        <v>2000000</v>
      </c>
      <c r="G2862" s="1413" t="n">
        <v>0.1</v>
      </c>
      <c r="H2862" s="547" t="n">
        <f aca="false">E2862*F2862*G2862</f>
        <v>3000000</v>
      </c>
      <c r="I2862" s="547" t="n">
        <f aca="false">F2862-H2862</f>
        <v>-1000000</v>
      </c>
      <c r="J2862" s="547" t="n">
        <f aca="false">F2862*G2862</f>
        <v>200000</v>
      </c>
      <c r="K2862" s="1365" t="n">
        <f aca="false">J2862/1792.8</f>
        <v>111.557340473003</v>
      </c>
      <c r="L2862" s="547" t="n">
        <v>30</v>
      </c>
      <c r="M2862" s="934" t="n">
        <f aca="false">K2862*L2862/60</f>
        <v>55.7786702365016</v>
      </c>
    </row>
    <row r="2863" customFormat="false" ht="15" hidden="false" customHeight="false" outlineLevel="0" collapsed="false">
      <c r="A2863" s="216" t="s">
        <v>7114</v>
      </c>
      <c r="B2863" s="40" t="s">
        <v>3199</v>
      </c>
      <c r="C2863" s="1161" t="s">
        <v>7109</v>
      </c>
      <c r="D2863" s="912" t="n">
        <v>2006</v>
      </c>
      <c r="E2863" s="912" t="n">
        <f aca="false">2021-D2863</f>
        <v>15</v>
      </c>
      <c r="F2863" s="547" t="n">
        <v>2000000</v>
      </c>
      <c r="G2863" s="1413" t="n">
        <v>0.1</v>
      </c>
      <c r="H2863" s="547" t="n">
        <f aca="false">E2863*F2863*G2863</f>
        <v>3000000</v>
      </c>
      <c r="I2863" s="547" t="n">
        <f aca="false">F2863-H2863</f>
        <v>-1000000</v>
      </c>
      <c r="J2863" s="547" t="n">
        <f aca="false">F2863*G2863</f>
        <v>200000</v>
      </c>
      <c r="K2863" s="1365" t="n">
        <f aca="false">J2863/1792.8</f>
        <v>111.557340473003</v>
      </c>
      <c r="L2863" s="547" t="n">
        <v>30</v>
      </c>
      <c r="M2863" s="934" t="n">
        <f aca="false">K2863*L2863/60</f>
        <v>55.7786702365016</v>
      </c>
    </row>
    <row r="2864" customFormat="false" ht="15" hidden="false" customHeight="false" outlineLevel="0" collapsed="false">
      <c r="A2864" s="216" t="s">
        <v>5423</v>
      </c>
      <c r="B2864" s="40" t="s">
        <v>4259</v>
      </c>
      <c r="C2864" s="1161" t="s">
        <v>7109</v>
      </c>
      <c r="D2864" s="912" t="n">
        <v>2006</v>
      </c>
      <c r="E2864" s="912" t="n">
        <f aca="false">2021-D2864</f>
        <v>15</v>
      </c>
      <c r="F2864" s="547" t="n">
        <v>2000000</v>
      </c>
      <c r="G2864" s="1413" t="n">
        <v>0.1</v>
      </c>
      <c r="H2864" s="547" t="n">
        <f aca="false">E2864*F2864*G2864</f>
        <v>3000000</v>
      </c>
      <c r="I2864" s="547" t="n">
        <f aca="false">F2864-H2864</f>
        <v>-1000000</v>
      </c>
      <c r="J2864" s="547" t="n">
        <f aca="false">F2864*G2864</f>
        <v>200000</v>
      </c>
      <c r="K2864" s="1365" t="n">
        <f aca="false">J2864/1792.8</f>
        <v>111.557340473003</v>
      </c>
      <c r="L2864" s="547" t="n">
        <v>30</v>
      </c>
      <c r="M2864" s="934" t="n">
        <f aca="false">K2864*L2864/60</f>
        <v>55.7786702365016</v>
      </c>
    </row>
    <row r="2865" customFormat="false" ht="15" hidden="false" customHeight="false" outlineLevel="0" collapsed="false">
      <c r="A2865" s="216" t="s">
        <v>5429</v>
      </c>
      <c r="B2865" s="40" t="s">
        <v>3433</v>
      </c>
      <c r="C2865" s="1161" t="s">
        <v>7109</v>
      </c>
      <c r="D2865" s="912" t="n">
        <v>2006</v>
      </c>
      <c r="E2865" s="912" t="n">
        <f aca="false">2021-D2865</f>
        <v>15</v>
      </c>
      <c r="F2865" s="547" t="n">
        <v>2000000</v>
      </c>
      <c r="G2865" s="1413" t="n">
        <v>0.1</v>
      </c>
      <c r="H2865" s="547" t="n">
        <f aca="false">E2865*F2865*G2865</f>
        <v>3000000</v>
      </c>
      <c r="I2865" s="547" t="n">
        <f aca="false">F2865-H2865</f>
        <v>-1000000</v>
      </c>
      <c r="J2865" s="547" t="n">
        <f aca="false">F2865*G2865</f>
        <v>200000</v>
      </c>
      <c r="K2865" s="1365" t="n">
        <f aca="false">J2865/1792.8</f>
        <v>111.557340473003</v>
      </c>
      <c r="L2865" s="547" t="n">
        <v>30</v>
      </c>
      <c r="M2865" s="934" t="n">
        <f aca="false">K2865*L2865/60</f>
        <v>55.7786702365016</v>
      </c>
    </row>
    <row r="2866" customFormat="false" ht="15" hidden="false" customHeight="false" outlineLevel="0" collapsed="false">
      <c r="A2866" s="216" t="s">
        <v>5432</v>
      </c>
      <c r="B2866" s="40" t="s">
        <v>3434</v>
      </c>
      <c r="C2866" s="1161" t="s">
        <v>7109</v>
      </c>
      <c r="D2866" s="912" t="n">
        <v>2006</v>
      </c>
      <c r="E2866" s="912" t="n">
        <f aca="false">2021-D2866</f>
        <v>15</v>
      </c>
      <c r="F2866" s="547" t="n">
        <v>2000000</v>
      </c>
      <c r="G2866" s="1413" t="n">
        <v>0.1</v>
      </c>
      <c r="H2866" s="547" t="n">
        <f aca="false">E2866*F2866*G2866</f>
        <v>3000000</v>
      </c>
      <c r="I2866" s="547" t="n">
        <f aca="false">F2866-H2866</f>
        <v>-1000000</v>
      </c>
      <c r="J2866" s="547" t="n">
        <f aca="false">F2866*G2866</f>
        <v>200000</v>
      </c>
      <c r="K2866" s="1365" t="n">
        <f aca="false">J2866/1792.8</f>
        <v>111.557340473003</v>
      </c>
      <c r="L2866" s="547" t="n">
        <v>30</v>
      </c>
      <c r="M2866" s="934" t="n">
        <f aca="false">K2866*L2866/60</f>
        <v>55.7786702365016</v>
      </c>
    </row>
    <row r="2867" customFormat="false" ht="15" hidden="false" customHeight="false" outlineLevel="0" collapsed="false">
      <c r="A2867" s="216" t="s">
        <v>5438</v>
      </c>
      <c r="B2867" s="40" t="s">
        <v>3435</v>
      </c>
      <c r="C2867" s="1161" t="s">
        <v>7109</v>
      </c>
      <c r="D2867" s="912" t="n">
        <v>2006</v>
      </c>
      <c r="E2867" s="912" t="n">
        <f aca="false">2021-D2867</f>
        <v>15</v>
      </c>
      <c r="F2867" s="547" t="n">
        <v>2000000</v>
      </c>
      <c r="G2867" s="1413" t="n">
        <v>0.1</v>
      </c>
      <c r="H2867" s="547" t="n">
        <f aca="false">E2867*F2867*G2867</f>
        <v>3000000</v>
      </c>
      <c r="I2867" s="547" t="n">
        <f aca="false">F2867-H2867</f>
        <v>-1000000</v>
      </c>
      <c r="J2867" s="547" t="n">
        <f aca="false">F2867*G2867</f>
        <v>200000</v>
      </c>
      <c r="K2867" s="1365" t="n">
        <f aca="false">J2867/1792.8</f>
        <v>111.557340473003</v>
      </c>
      <c r="L2867" s="547" t="n">
        <v>30</v>
      </c>
      <c r="M2867" s="934" t="n">
        <f aca="false">K2867*L2867/60</f>
        <v>55.7786702365016</v>
      </c>
    </row>
    <row r="2868" customFormat="false" ht="15" hidden="false" customHeight="false" outlineLevel="0" collapsed="false">
      <c r="A2868" s="216" t="s">
        <v>5440</v>
      </c>
      <c r="B2868" s="40" t="s">
        <v>4238</v>
      </c>
      <c r="C2868" s="1161" t="s">
        <v>7109</v>
      </c>
      <c r="D2868" s="912" t="n">
        <v>2006</v>
      </c>
      <c r="E2868" s="912" t="n">
        <f aca="false">2021-D2868</f>
        <v>15</v>
      </c>
      <c r="F2868" s="547" t="n">
        <v>2000000</v>
      </c>
      <c r="G2868" s="1413" t="n">
        <v>0.1</v>
      </c>
      <c r="H2868" s="547" t="n">
        <f aca="false">E2868*F2868*G2868</f>
        <v>3000000</v>
      </c>
      <c r="I2868" s="547" t="n">
        <f aca="false">F2868-H2868</f>
        <v>-1000000</v>
      </c>
      <c r="J2868" s="547" t="n">
        <f aca="false">F2868*G2868</f>
        <v>200000</v>
      </c>
      <c r="K2868" s="1365" t="n">
        <f aca="false">J2868/1792.8</f>
        <v>111.557340473003</v>
      </c>
      <c r="L2868" s="547" t="n">
        <v>30</v>
      </c>
      <c r="M2868" s="934" t="n">
        <f aca="false">K2868*L2868/60</f>
        <v>55.7786702365016</v>
      </c>
    </row>
    <row r="2869" customFormat="false" ht="15" hidden="false" customHeight="false" outlineLevel="0" collapsed="false">
      <c r="A2869" s="216" t="s">
        <v>5442</v>
      </c>
      <c r="B2869" s="78" t="s">
        <v>3104</v>
      </c>
      <c r="C2869" s="1161" t="s">
        <v>7109</v>
      </c>
      <c r="D2869" s="912" t="n">
        <v>2006</v>
      </c>
      <c r="E2869" s="912" t="n">
        <f aca="false">2021-D2869</f>
        <v>15</v>
      </c>
      <c r="F2869" s="547" t="n">
        <v>2000000</v>
      </c>
      <c r="G2869" s="1413" t="n">
        <v>0.1</v>
      </c>
      <c r="H2869" s="547" t="n">
        <f aca="false">E2869*F2869*G2869</f>
        <v>3000000</v>
      </c>
      <c r="I2869" s="547" t="n">
        <f aca="false">F2869-H2869</f>
        <v>-1000000</v>
      </c>
      <c r="J2869" s="547" t="n">
        <f aca="false">F2869*G2869</f>
        <v>200000</v>
      </c>
      <c r="K2869" s="1365" t="n">
        <f aca="false">J2869/1792.8</f>
        <v>111.557340473003</v>
      </c>
      <c r="L2869" s="547" t="n">
        <v>30</v>
      </c>
      <c r="M2869" s="934" t="n">
        <f aca="false">K2869*L2869/60</f>
        <v>55.7786702365016</v>
      </c>
    </row>
    <row r="2870" customFormat="false" ht="30" hidden="false" customHeight="false" outlineLevel="0" collapsed="false">
      <c r="A2870" s="216" t="s">
        <v>5444</v>
      </c>
      <c r="B2870" s="40" t="s">
        <v>3436</v>
      </c>
      <c r="C2870" s="1404" t="s">
        <v>7115</v>
      </c>
      <c r="D2870" s="912" t="n">
        <v>2006</v>
      </c>
      <c r="E2870" s="912" t="n">
        <f aca="false">2021-D2870</f>
        <v>15</v>
      </c>
      <c r="F2870" s="547" t="n">
        <v>5608600</v>
      </c>
      <c r="G2870" s="1413" t="n">
        <v>0.1</v>
      </c>
      <c r="H2870" s="547" t="n">
        <f aca="false">E2870*F2870*G2870</f>
        <v>8412900</v>
      </c>
      <c r="I2870" s="547" t="n">
        <f aca="false">F2870-H2870</f>
        <v>-2804300</v>
      </c>
      <c r="J2870" s="547" t="n">
        <f aca="false">F2870*G2870</f>
        <v>560860</v>
      </c>
      <c r="K2870" s="1365" t="n">
        <f aca="false">J2870/1792.8</f>
        <v>312.840249888443</v>
      </c>
      <c r="L2870" s="547" t="n">
        <v>30</v>
      </c>
      <c r="M2870" s="934" t="n">
        <f aca="false">K2870*L2870/60</f>
        <v>156.420124944221</v>
      </c>
    </row>
    <row r="2871" customFormat="false" ht="15" hidden="false" customHeight="false" outlineLevel="0" collapsed="false">
      <c r="A2871" s="216" t="s">
        <v>5446</v>
      </c>
      <c r="B2871" s="40" t="s">
        <v>3437</v>
      </c>
      <c r="C2871" s="1161" t="s">
        <v>7116</v>
      </c>
      <c r="D2871" s="912" t="n">
        <v>2006</v>
      </c>
      <c r="E2871" s="912" t="n">
        <f aca="false">2021-D2871</f>
        <v>15</v>
      </c>
      <c r="F2871" s="547" t="n">
        <v>5608600</v>
      </c>
      <c r="G2871" s="1413" t="n">
        <v>0.1</v>
      </c>
      <c r="H2871" s="547" t="n">
        <f aca="false">E2871*F2871*G2871</f>
        <v>8412900</v>
      </c>
      <c r="I2871" s="547" t="n">
        <f aca="false">F2871-H2871</f>
        <v>-2804300</v>
      </c>
      <c r="J2871" s="547" t="n">
        <f aca="false">F2871*G2871</f>
        <v>560860</v>
      </c>
      <c r="K2871" s="1365" t="n">
        <f aca="false">J2871/1792.8</f>
        <v>312.840249888443</v>
      </c>
      <c r="L2871" s="547" t="n">
        <v>30</v>
      </c>
      <c r="M2871" s="934" t="n">
        <f aca="false">K2871*L2871/60</f>
        <v>156.420124944221</v>
      </c>
    </row>
    <row r="2872" customFormat="false" ht="15" hidden="false" customHeight="false" outlineLevel="0" collapsed="false">
      <c r="A2872" s="216" t="s">
        <v>5449</v>
      </c>
      <c r="B2872" s="40" t="s">
        <v>3438</v>
      </c>
      <c r="C2872" s="1161" t="s">
        <v>7116</v>
      </c>
      <c r="D2872" s="912" t="n">
        <v>2006</v>
      </c>
      <c r="E2872" s="912" t="n">
        <f aca="false">2021-D2872</f>
        <v>15</v>
      </c>
      <c r="F2872" s="547" t="n">
        <v>5608600</v>
      </c>
      <c r="G2872" s="1413" t="n">
        <v>0.1</v>
      </c>
      <c r="H2872" s="547" t="n">
        <f aca="false">E2872*F2872*G2872</f>
        <v>8412900</v>
      </c>
      <c r="I2872" s="547" t="n">
        <f aca="false">F2872-H2872</f>
        <v>-2804300</v>
      </c>
      <c r="J2872" s="547" t="n">
        <f aca="false">F2872*G2872</f>
        <v>560860</v>
      </c>
      <c r="K2872" s="1365" t="n">
        <f aca="false">J2872/1792.8</f>
        <v>312.840249888443</v>
      </c>
      <c r="L2872" s="547" t="n">
        <v>30</v>
      </c>
      <c r="M2872" s="934" t="n">
        <f aca="false">K2872*L2872/60</f>
        <v>156.420124944221</v>
      </c>
    </row>
    <row r="2873" customFormat="false" ht="15" hidden="false" customHeight="false" outlineLevel="0" collapsed="false">
      <c r="A2873" s="216" t="s">
        <v>5454</v>
      </c>
      <c r="B2873" s="40" t="s">
        <v>3439</v>
      </c>
      <c r="C2873" s="1161" t="s">
        <v>7116</v>
      </c>
      <c r="D2873" s="912" t="n">
        <v>2006</v>
      </c>
      <c r="E2873" s="912" t="n">
        <f aca="false">2021-D2873</f>
        <v>15</v>
      </c>
      <c r="F2873" s="547" t="n">
        <v>5608600</v>
      </c>
      <c r="G2873" s="1413" t="n">
        <v>0.1</v>
      </c>
      <c r="H2873" s="547" t="n">
        <f aca="false">E2873*F2873*G2873</f>
        <v>8412900</v>
      </c>
      <c r="I2873" s="547" t="n">
        <f aca="false">F2873-H2873</f>
        <v>-2804300</v>
      </c>
      <c r="J2873" s="547" t="n">
        <f aca="false">F2873*G2873</f>
        <v>560860</v>
      </c>
      <c r="K2873" s="1365" t="n">
        <f aca="false">J2873/1792.8</f>
        <v>312.840249888443</v>
      </c>
      <c r="L2873" s="547" t="n">
        <v>30</v>
      </c>
      <c r="M2873" s="934" t="n">
        <f aca="false">K2873*L2873/60</f>
        <v>156.420124944221</v>
      </c>
    </row>
    <row r="2874" customFormat="false" ht="15" hidden="false" customHeight="false" outlineLevel="0" collapsed="false">
      <c r="A2874" s="216" t="s">
        <v>5456</v>
      </c>
      <c r="B2874" s="40" t="s">
        <v>3440</v>
      </c>
      <c r="C2874" s="1161" t="s">
        <v>7116</v>
      </c>
      <c r="D2874" s="912" t="n">
        <v>2006</v>
      </c>
      <c r="E2874" s="912" t="n">
        <f aca="false">2021-D2874</f>
        <v>15</v>
      </c>
      <c r="F2874" s="547" t="n">
        <v>5608600</v>
      </c>
      <c r="G2874" s="1413" t="n">
        <v>0.1</v>
      </c>
      <c r="H2874" s="547" t="n">
        <f aca="false">E2874*F2874*G2874</f>
        <v>8412900</v>
      </c>
      <c r="I2874" s="547" t="n">
        <f aca="false">F2874-H2874</f>
        <v>-2804300</v>
      </c>
      <c r="J2874" s="547" t="n">
        <f aca="false">F2874*G2874</f>
        <v>560860</v>
      </c>
      <c r="K2874" s="1365" t="n">
        <f aca="false">J2874/1792.8</f>
        <v>312.840249888443</v>
      </c>
      <c r="L2874" s="547" t="n">
        <v>30</v>
      </c>
      <c r="M2874" s="934" t="n">
        <f aca="false">K2874*L2874/60</f>
        <v>156.420124944221</v>
      </c>
    </row>
    <row r="2875" customFormat="false" ht="15" hidden="false" customHeight="false" outlineLevel="0" collapsed="false">
      <c r="A2875" s="216" t="s">
        <v>5458</v>
      </c>
      <c r="B2875" s="40" t="s">
        <v>3441</v>
      </c>
      <c r="C2875" s="1161" t="s">
        <v>7116</v>
      </c>
      <c r="D2875" s="912" t="n">
        <v>2006</v>
      </c>
      <c r="E2875" s="912" t="n">
        <f aca="false">2021-D2875</f>
        <v>15</v>
      </c>
      <c r="F2875" s="547" t="n">
        <v>5608600</v>
      </c>
      <c r="G2875" s="1413" t="n">
        <v>0.1</v>
      </c>
      <c r="H2875" s="547" t="n">
        <f aca="false">E2875*F2875*G2875</f>
        <v>8412900</v>
      </c>
      <c r="I2875" s="547" t="n">
        <f aca="false">F2875-H2875</f>
        <v>-2804300</v>
      </c>
      <c r="J2875" s="547" t="n">
        <f aca="false">F2875*G2875</f>
        <v>560860</v>
      </c>
      <c r="K2875" s="1365" t="n">
        <f aca="false">J2875/1792.8</f>
        <v>312.840249888443</v>
      </c>
      <c r="L2875" s="547" t="n">
        <v>30</v>
      </c>
      <c r="M2875" s="934" t="n">
        <f aca="false">K2875*L2875/60</f>
        <v>156.420124944221</v>
      </c>
    </row>
    <row r="2876" customFormat="false" ht="15" hidden="false" customHeight="false" outlineLevel="0" collapsed="false">
      <c r="A2876" s="216" t="s">
        <v>5460</v>
      </c>
      <c r="B2876" s="40" t="s">
        <v>3442</v>
      </c>
      <c r="C2876" s="1161" t="s">
        <v>7116</v>
      </c>
      <c r="D2876" s="912" t="n">
        <v>2006</v>
      </c>
      <c r="E2876" s="912" t="n">
        <f aca="false">2021-D2876</f>
        <v>15</v>
      </c>
      <c r="F2876" s="547" t="n">
        <v>5608600</v>
      </c>
      <c r="G2876" s="1413" t="n">
        <v>0.1</v>
      </c>
      <c r="H2876" s="547" t="n">
        <f aca="false">E2876*F2876*G2876</f>
        <v>8412900</v>
      </c>
      <c r="I2876" s="547" t="n">
        <f aca="false">F2876-H2876</f>
        <v>-2804300</v>
      </c>
      <c r="J2876" s="547" t="n">
        <f aca="false">F2876*G2876</f>
        <v>560860</v>
      </c>
      <c r="K2876" s="1365" t="n">
        <f aca="false">J2876/1792.8</f>
        <v>312.840249888443</v>
      </c>
      <c r="L2876" s="547" t="n">
        <v>30</v>
      </c>
      <c r="M2876" s="934" t="n">
        <f aca="false">K2876*L2876/60</f>
        <v>156.420124944221</v>
      </c>
    </row>
    <row r="2877" customFormat="false" ht="15" hidden="false" customHeight="false" outlineLevel="0" collapsed="false">
      <c r="A2877" s="216" t="s">
        <v>5462</v>
      </c>
      <c r="B2877" s="40" t="s">
        <v>3443</v>
      </c>
      <c r="C2877" s="1161" t="s">
        <v>7116</v>
      </c>
      <c r="D2877" s="912" t="n">
        <v>2006</v>
      </c>
      <c r="E2877" s="912" t="n">
        <f aca="false">2021-D2877</f>
        <v>15</v>
      </c>
      <c r="F2877" s="547" t="n">
        <v>5608600</v>
      </c>
      <c r="G2877" s="1413" t="n">
        <v>0.1</v>
      </c>
      <c r="H2877" s="547" t="n">
        <f aca="false">E2877*F2877*G2877</f>
        <v>8412900</v>
      </c>
      <c r="I2877" s="547" t="n">
        <f aca="false">F2877-H2877</f>
        <v>-2804300</v>
      </c>
      <c r="J2877" s="547" t="n">
        <f aca="false">F2877*G2877</f>
        <v>560860</v>
      </c>
      <c r="K2877" s="1365" t="n">
        <f aca="false">J2877/1792.8</f>
        <v>312.840249888443</v>
      </c>
      <c r="L2877" s="547" t="n">
        <v>30</v>
      </c>
      <c r="M2877" s="934" t="n">
        <f aca="false">K2877*L2877/60</f>
        <v>156.420124944221</v>
      </c>
    </row>
    <row r="2878" customFormat="false" ht="15" hidden="false" customHeight="false" outlineLevel="0" collapsed="false">
      <c r="A2878" s="216" t="s">
        <v>1369</v>
      </c>
      <c r="B2878" s="40" t="s">
        <v>3444</v>
      </c>
      <c r="C2878" s="1161" t="s">
        <v>7116</v>
      </c>
      <c r="D2878" s="912" t="n">
        <v>2006</v>
      </c>
      <c r="E2878" s="912" t="n">
        <f aca="false">2021-D2878</f>
        <v>15</v>
      </c>
      <c r="F2878" s="547" t="n">
        <v>5608600</v>
      </c>
      <c r="G2878" s="1413" t="n">
        <v>0.1</v>
      </c>
      <c r="H2878" s="547" t="n">
        <f aca="false">E2878*F2878*G2878</f>
        <v>8412900</v>
      </c>
      <c r="I2878" s="547" t="n">
        <f aca="false">F2878-H2878</f>
        <v>-2804300</v>
      </c>
      <c r="J2878" s="547" t="n">
        <f aca="false">F2878*G2878</f>
        <v>560860</v>
      </c>
      <c r="K2878" s="1365" t="n">
        <f aca="false">J2878/1792.8</f>
        <v>312.840249888443</v>
      </c>
      <c r="L2878" s="547" t="n">
        <v>30</v>
      </c>
      <c r="M2878" s="934" t="n">
        <f aca="false">K2878*L2878/60</f>
        <v>156.420124944221</v>
      </c>
    </row>
    <row r="2879" customFormat="false" ht="15" hidden="false" customHeight="false" outlineLevel="0" collapsed="false">
      <c r="A2879" s="216" t="s">
        <v>5467</v>
      </c>
      <c r="B2879" s="40" t="s">
        <v>3445</v>
      </c>
      <c r="C2879" s="1161" t="s">
        <v>7116</v>
      </c>
      <c r="D2879" s="912" t="n">
        <v>2006</v>
      </c>
      <c r="E2879" s="912" t="n">
        <f aca="false">2021-D2879</f>
        <v>15</v>
      </c>
      <c r="F2879" s="547" t="n">
        <v>5608600</v>
      </c>
      <c r="G2879" s="1413" t="n">
        <v>0.1</v>
      </c>
      <c r="H2879" s="547" t="n">
        <f aca="false">E2879*F2879*G2879</f>
        <v>8412900</v>
      </c>
      <c r="I2879" s="547" t="n">
        <f aca="false">F2879-H2879</f>
        <v>-2804300</v>
      </c>
      <c r="J2879" s="547" t="n">
        <f aca="false">F2879*G2879</f>
        <v>560860</v>
      </c>
      <c r="K2879" s="1365" t="n">
        <f aca="false">J2879/1792.8</f>
        <v>312.840249888443</v>
      </c>
      <c r="L2879" s="547" t="n">
        <v>30</v>
      </c>
      <c r="M2879" s="934" t="n">
        <f aca="false">K2879*L2879/60</f>
        <v>156.420124944221</v>
      </c>
    </row>
    <row r="2880" customFormat="false" ht="15" hidden="false" customHeight="false" outlineLevel="0" collapsed="false">
      <c r="A2880" s="216" t="s">
        <v>5469</v>
      </c>
      <c r="B2880" s="40" t="s">
        <v>5470</v>
      </c>
      <c r="C2880" s="1161" t="s">
        <v>7116</v>
      </c>
      <c r="D2880" s="912" t="n">
        <v>2006</v>
      </c>
      <c r="E2880" s="912" t="n">
        <f aca="false">2021-D2880</f>
        <v>15</v>
      </c>
      <c r="F2880" s="547" t="n">
        <v>5608600</v>
      </c>
      <c r="G2880" s="1413" t="n">
        <v>0.1</v>
      </c>
      <c r="H2880" s="547" t="n">
        <f aca="false">E2880*F2880*G2880</f>
        <v>8412900</v>
      </c>
      <c r="I2880" s="547" t="n">
        <f aca="false">F2880-H2880</f>
        <v>-2804300</v>
      </c>
      <c r="J2880" s="547" t="n">
        <f aca="false">F2880*G2880</f>
        <v>560860</v>
      </c>
      <c r="K2880" s="1365" t="n">
        <f aca="false">J2880/1792.8</f>
        <v>312.840249888443</v>
      </c>
      <c r="L2880" s="547" t="n">
        <v>30</v>
      </c>
      <c r="M2880" s="934" t="n">
        <f aca="false">K2880*L2880/60</f>
        <v>156.420124944221</v>
      </c>
    </row>
    <row r="2881" customFormat="false" ht="15" hidden="false" customHeight="false" outlineLevel="0" collapsed="false">
      <c r="A2881" s="216" t="s">
        <v>5472</v>
      </c>
      <c r="B2881" s="40" t="s">
        <v>3447</v>
      </c>
      <c r="C2881" s="1161" t="s">
        <v>7116</v>
      </c>
      <c r="D2881" s="912" t="n">
        <v>2006</v>
      </c>
      <c r="E2881" s="912" t="n">
        <f aca="false">2021-D2881</f>
        <v>15</v>
      </c>
      <c r="F2881" s="547" t="n">
        <v>5608600</v>
      </c>
      <c r="G2881" s="1413" t="n">
        <v>0.1</v>
      </c>
      <c r="H2881" s="547" t="n">
        <f aca="false">E2881*F2881*G2881</f>
        <v>8412900</v>
      </c>
      <c r="I2881" s="547" t="n">
        <f aca="false">F2881-H2881</f>
        <v>-2804300</v>
      </c>
      <c r="J2881" s="547" t="n">
        <f aca="false">F2881*G2881</f>
        <v>560860</v>
      </c>
      <c r="K2881" s="1365" t="n">
        <f aca="false">J2881/1792.8</f>
        <v>312.840249888443</v>
      </c>
      <c r="L2881" s="547" t="n">
        <v>30</v>
      </c>
      <c r="M2881" s="934" t="n">
        <f aca="false">K2881*L2881/60</f>
        <v>156.420124944221</v>
      </c>
    </row>
    <row r="2882" customFormat="false" ht="15" hidden="false" customHeight="false" outlineLevel="0" collapsed="false">
      <c r="A2882" s="216" t="s">
        <v>5474</v>
      </c>
      <c r="B2882" s="78" t="s">
        <v>3448</v>
      </c>
      <c r="C2882" s="1161" t="s">
        <v>7116</v>
      </c>
      <c r="D2882" s="912" t="n">
        <v>2006</v>
      </c>
      <c r="E2882" s="912" t="n">
        <f aca="false">2021-D2882</f>
        <v>15</v>
      </c>
      <c r="F2882" s="547" t="n">
        <v>5608600</v>
      </c>
      <c r="G2882" s="1413" t="n">
        <v>0.1</v>
      </c>
      <c r="H2882" s="547" t="n">
        <f aca="false">E2882*F2882*G2882</f>
        <v>8412900</v>
      </c>
      <c r="I2882" s="547" t="n">
        <f aca="false">F2882-H2882</f>
        <v>-2804300</v>
      </c>
      <c r="J2882" s="547" t="n">
        <f aca="false">F2882*G2882</f>
        <v>560860</v>
      </c>
      <c r="K2882" s="1365" t="n">
        <f aca="false">J2882/1792.8</f>
        <v>312.840249888443</v>
      </c>
      <c r="L2882" s="547" t="n">
        <v>30</v>
      </c>
      <c r="M2882" s="934" t="n">
        <f aca="false">K2882*L2882/60</f>
        <v>156.420124944221</v>
      </c>
    </row>
    <row r="2883" customFormat="false" ht="15" hidden="false" customHeight="false" outlineLevel="0" collapsed="false">
      <c r="A2883" s="216" t="s">
        <v>5475</v>
      </c>
      <c r="B2883" s="78" t="s">
        <v>3449</v>
      </c>
      <c r="C2883" s="1161" t="s">
        <v>7116</v>
      </c>
      <c r="D2883" s="912" t="n">
        <v>2006</v>
      </c>
      <c r="E2883" s="912" t="n">
        <f aca="false">2021-D2883</f>
        <v>15</v>
      </c>
      <c r="F2883" s="547" t="n">
        <v>5608600</v>
      </c>
      <c r="G2883" s="1413" t="n">
        <v>0.1</v>
      </c>
      <c r="H2883" s="547" t="n">
        <f aca="false">E2883*F2883*G2883</f>
        <v>8412900</v>
      </c>
      <c r="I2883" s="547" t="n">
        <f aca="false">F2883-H2883</f>
        <v>-2804300</v>
      </c>
      <c r="J2883" s="547" t="n">
        <f aca="false">F2883*G2883</f>
        <v>560860</v>
      </c>
      <c r="K2883" s="1365" t="n">
        <f aca="false">J2883/1792.8</f>
        <v>312.840249888443</v>
      </c>
      <c r="L2883" s="547" t="n">
        <v>30</v>
      </c>
      <c r="M2883" s="934" t="n">
        <f aca="false">K2883*L2883/60</f>
        <v>156.420124944221</v>
      </c>
    </row>
    <row r="2884" customFormat="false" ht="15" hidden="false" customHeight="false" outlineLevel="0" collapsed="false">
      <c r="A2884" s="216" t="s">
        <v>5477</v>
      </c>
      <c r="B2884" s="78" t="s">
        <v>3450</v>
      </c>
      <c r="C2884" s="1161" t="s">
        <v>7116</v>
      </c>
      <c r="D2884" s="912" t="n">
        <v>2006</v>
      </c>
      <c r="E2884" s="912" t="n">
        <f aca="false">2021-D2884</f>
        <v>15</v>
      </c>
      <c r="F2884" s="547" t="n">
        <v>5608600</v>
      </c>
      <c r="G2884" s="1413" t="n">
        <v>0.1</v>
      </c>
      <c r="H2884" s="547" t="n">
        <f aca="false">E2884*F2884*G2884</f>
        <v>8412900</v>
      </c>
      <c r="I2884" s="547" t="n">
        <f aca="false">F2884-H2884</f>
        <v>-2804300</v>
      </c>
      <c r="J2884" s="547" t="n">
        <f aca="false">F2884*G2884</f>
        <v>560860</v>
      </c>
      <c r="K2884" s="1365" t="n">
        <f aca="false">J2884/1792.8</f>
        <v>312.840249888443</v>
      </c>
      <c r="L2884" s="547" t="n">
        <v>30</v>
      </c>
      <c r="M2884" s="934" t="n">
        <f aca="false">K2884*L2884/60</f>
        <v>156.420124944221</v>
      </c>
    </row>
    <row r="2885" customFormat="false" ht="15" hidden="false" customHeight="false" outlineLevel="0" collapsed="false">
      <c r="A2885" s="216" t="s">
        <v>5479</v>
      </c>
      <c r="B2885" s="78" t="s">
        <v>3451</v>
      </c>
      <c r="C2885" s="1161" t="s">
        <v>7116</v>
      </c>
      <c r="D2885" s="912" t="n">
        <v>2006</v>
      </c>
      <c r="E2885" s="912" t="n">
        <f aca="false">2021-D2885</f>
        <v>15</v>
      </c>
      <c r="F2885" s="547" t="n">
        <v>5608600</v>
      </c>
      <c r="G2885" s="1413" t="n">
        <v>0.1</v>
      </c>
      <c r="H2885" s="547" t="n">
        <f aca="false">E2885*F2885*G2885</f>
        <v>8412900</v>
      </c>
      <c r="I2885" s="547" t="n">
        <f aca="false">F2885-H2885</f>
        <v>-2804300</v>
      </c>
      <c r="J2885" s="547" t="n">
        <f aca="false">F2885*G2885</f>
        <v>560860</v>
      </c>
      <c r="K2885" s="1365" t="n">
        <f aca="false">J2885/1792.8</f>
        <v>312.840249888443</v>
      </c>
      <c r="L2885" s="547" t="n">
        <v>30</v>
      </c>
      <c r="M2885" s="934" t="n">
        <f aca="false">K2885*L2885/60</f>
        <v>156.420124944221</v>
      </c>
    </row>
    <row r="2886" customFormat="false" ht="15" hidden="false" customHeight="false" outlineLevel="0" collapsed="false">
      <c r="A2886" s="216" t="s">
        <v>5481</v>
      </c>
      <c r="B2886" s="40" t="s">
        <v>3452</v>
      </c>
      <c r="C2886" s="1161" t="s">
        <v>7116</v>
      </c>
      <c r="D2886" s="912" t="n">
        <v>2006</v>
      </c>
      <c r="E2886" s="912" t="n">
        <f aca="false">2021-D2886</f>
        <v>15</v>
      </c>
      <c r="F2886" s="547" t="n">
        <v>5608600</v>
      </c>
      <c r="G2886" s="1413" t="n">
        <v>0.1</v>
      </c>
      <c r="H2886" s="547" t="n">
        <f aca="false">E2886*F2886*G2886</f>
        <v>8412900</v>
      </c>
      <c r="I2886" s="547" t="n">
        <f aca="false">F2886-H2886</f>
        <v>-2804300</v>
      </c>
      <c r="J2886" s="547" t="n">
        <f aca="false">F2886*G2886</f>
        <v>560860</v>
      </c>
      <c r="K2886" s="1365" t="n">
        <f aca="false">J2886/1792.8</f>
        <v>312.840249888443</v>
      </c>
      <c r="L2886" s="547" t="n">
        <v>30</v>
      </c>
      <c r="M2886" s="934" t="n">
        <f aca="false">K2886*L2886/60</f>
        <v>156.420124944221</v>
      </c>
    </row>
    <row r="2887" customFormat="false" ht="15" hidden="false" customHeight="false" outlineLevel="0" collapsed="false">
      <c r="A2887" s="216" t="s">
        <v>5483</v>
      </c>
      <c r="B2887" s="40" t="s">
        <v>3542</v>
      </c>
      <c r="C2887" s="1161" t="s">
        <v>7116</v>
      </c>
      <c r="D2887" s="912" t="n">
        <v>2006</v>
      </c>
      <c r="E2887" s="912" t="n">
        <f aca="false">2021-D2887</f>
        <v>15</v>
      </c>
      <c r="F2887" s="547" t="n">
        <v>5608600</v>
      </c>
      <c r="G2887" s="1413" t="n">
        <v>0.1</v>
      </c>
      <c r="H2887" s="547" t="n">
        <f aca="false">E2887*F2887*G2887</f>
        <v>8412900</v>
      </c>
      <c r="I2887" s="547" t="n">
        <f aca="false">F2887-H2887</f>
        <v>-2804300</v>
      </c>
      <c r="J2887" s="547" t="n">
        <f aca="false">F2887*G2887</f>
        <v>560860</v>
      </c>
      <c r="K2887" s="1365" t="n">
        <f aca="false">J2887/1792.8</f>
        <v>312.840249888443</v>
      </c>
      <c r="L2887" s="547" t="n">
        <v>30</v>
      </c>
      <c r="M2887" s="934" t="n">
        <f aca="false">K2887*L2887/60</f>
        <v>156.420124944221</v>
      </c>
    </row>
    <row r="2888" customFormat="false" ht="15" hidden="false" customHeight="false" outlineLevel="0" collapsed="false">
      <c r="A2888" s="216" t="s">
        <v>5485</v>
      </c>
      <c r="B2888" s="40" t="s">
        <v>3454</v>
      </c>
      <c r="C2888" s="1161" t="s">
        <v>7116</v>
      </c>
      <c r="D2888" s="912" t="n">
        <v>2006</v>
      </c>
      <c r="E2888" s="912" t="n">
        <f aca="false">2021-D2888</f>
        <v>15</v>
      </c>
      <c r="F2888" s="547" t="n">
        <v>5608600</v>
      </c>
      <c r="G2888" s="1413" t="n">
        <v>0.1</v>
      </c>
      <c r="H2888" s="547" t="n">
        <f aca="false">E2888*F2888*G2888</f>
        <v>8412900</v>
      </c>
      <c r="I2888" s="547" t="n">
        <f aca="false">F2888-H2888</f>
        <v>-2804300</v>
      </c>
      <c r="J2888" s="547" t="n">
        <f aca="false">F2888*G2888</f>
        <v>560860</v>
      </c>
      <c r="K2888" s="1365" t="n">
        <f aca="false">J2888/1792.8</f>
        <v>312.840249888443</v>
      </c>
      <c r="L2888" s="547" t="n">
        <v>30</v>
      </c>
      <c r="M2888" s="934" t="n">
        <f aca="false">K2888*L2888/60</f>
        <v>156.420124944221</v>
      </c>
    </row>
    <row r="2889" customFormat="false" ht="15" hidden="false" customHeight="false" outlineLevel="0" collapsed="false">
      <c r="A2889" s="216" t="s">
        <v>5487</v>
      </c>
      <c r="B2889" s="40" t="s">
        <v>3455</v>
      </c>
      <c r="C2889" s="1161" t="s">
        <v>7116</v>
      </c>
      <c r="D2889" s="912" t="n">
        <v>2006</v>
      </c>
      <c r="E2889" s="912" t="n">
        <f aca="false">2021-D2889</f>
        <v>15</v>
      </c>
      <c r="F2889" s="547" t="n">
        <v>5608600</v>
      </c>
      <c r="G2889" s="1413" t="n">
        <v>0.1</v>
      </c>
      <c r="H2889" s="547" t="n">
        <f aca="false">E2889*F2889*G2889</f>
        <v>8412900</v>
      </c>
      <c r="I2889" s="547" t="n">
        <f aca="false">F2889-H2889</f>
        <v>-2804300</v>
      </c>
      <c r="J2889" s="547" t="n">
        <f aca="false">F2889*G2889</f>
        <v>560860</v>
      </c>
      <c r="K2889" s="1365" t="n">
        <f aca="false">J2889/1792.8</f>
        <v>312.840249888443</v>
      </c>
      <c r="L2889" s="547" t="n">
        <v>30</v>
      </c>
      <c r="M2889" s="934" t="n">
        <f aca="false">K2889*L2889/60</f>
        <v>156.420124944221</v>
      </c>
    </row>
    <row r="2890" customFormat="false" ht="15" hidden="false" customHeight="false" outlineLevel="0" collapsed="false">
      <c r="A2890" s="216" t="s">
        <v>5491</v>
      </c>
      <c r="B2890" s="40" t="s">
        <v>3506</v>
      </c>
      <c r="C2890" s="1161" t="s">
        <v>7116</v>
      </c>
      <c r="D2890" s="912" t="n">
        <v>2006</v>
      </c>
      <c r="E2890" s="912" t="n">
        <f aca="false">2021-D2890</f>
        <v>15</v>
      </c>
      <c r="F2890" s="547" t="n">
        <v>5608600</v>
      </c>
      <c r="G2890" s="1413" t="n">
        <v>0.1</v>
      </c>
      <c r="H2890" s="547" t="n">
        <f aca="false">E2890*F2890*G2890</f>
        <v>8412900</v>
      </c>
      <c r="I2890" s="547" t="n">
        <f aca="false">F2890-H2890</f>
        <v>-2804300</v>
      </c>
      <c r="J2890" s="547" t="n">
        <f aca="false">F2890*G2890</f>
        <v>560860</v>
      </c>
      <c r="K2890" s="1365" t="n">
        <f aca="false">J2890/1792.8</f>
        <v>312.840249888443</v>
      </c>
      <c r="L2890" s="547" t="n">
        <v>30</v>
      </c>
      <c r="M2890" s="934" t="n">
        <f aca="false">K2890*L2890/60</f>
        <v>156.420124944221</v>
      </c>
    </row>
    <row r="2891" customFormat="false" ht="15" hidden="false" customHeight="false" outlineLevel="0" collapsed="false">
      <c r="A2891" s="216" t="s">
        <v>5496</v>
      </c>
      <c r="B2891" s="40" t="s">
        <v>3457</v>
      </c>
      <c r="C2891" s="1161" t="s">
        <v>7116</v>
      </c>
      <c r="D2891" s="912" t="n">
        <v>2006</v>
      </c>
      <c r="E2891" s="912" t="n">
        <f aca="false">2021-D2891</f>
        <v>15</v>
      </c>
      <c r="F2891" s="547" t="n">
        <v>5608600</v>
      </c>
      <c r="G2891" s="1413" t="n">
        <v>0.1</v>
      </c>
      <c r="H2891" s="547" t="n">
        <f aca="false">E2891*F2891*G2891</f>
        <v>8412900</v>
      </c>
      <c r="I2891" s="547" t="n">
        <f aca="false">F2891-H2891</f>
        <v>-2804300</v>
      </c>
      <c r="J2891" s="547" t="n">
        <f aca="false">F2891*G2891</f>
        <v>560860</v>
      </c>
      <c r="K2891" s="1365" t="n">
        <f aca="false">J2891/1792.8</f>
        <v>312.840249888443</v>
      </c>
      <c r="L2891" s="547" t="n">
        <v>30</v>
      </c>
      <c r="M2891" s="934" t="n">
        <f aca="false">K2891*L2891/60</f>
        <v>156.420124944221</v>
      </c>
    </row>
    <row r="2892" customFormat="false" ht="15" hidden="false" customHeight="false" outlineLevel="0" collapsed="false">
      <c r="A2892" s="216" t="s">
        <v>5498</v>
      </c>
      <c r="B2892" s="40" t="s">
        <v>3458</v>
      </c>
      <c r="C2892" s="1161" t="s">
        <v>7116</v>
      </c>
      <c r="D2892" s="912" t="n">
        <v>2006</v>
      </c>
      <c r="E2892" s="912" t="n">
        <f aca="false">2021-D2892</f>
        <v>15</v>
      </c>
      <c r="F2892" s="547" t="n">
        <v>5608600</v>
      </c>
      <c r="G2892" s="1413" t="n">
        <v>0.1</v>
      </c>
      <c r="H2892" s="547" t="n">
        <f aca="false">E2892*F2892*G2892</f>
        <v>8412900</v>
      </c>
      <c r="I2892" s="547" t="n">
        <f aca="false">F2892-H2892</f>
        <v>-2804300</v>
      </c>
      <c r="J2892" s="547" t="n">
        <f aca="false">F2892*G2892</f>
        <v>560860</v>
      </c>
      <c r="K2892" s="1365" t="n">
        <f aca="false">J2892/1792.8</f>
        <v>312.840249888443</v>
      </c>
      <c r="L2892" s="547" t="n">
        <v>30</v>
      </c>
      <c r="M2892" s="934" t="n">
        <f aca="false">K2892*L2892/60</f>
        <v>156.420124944221</v>
      </c>
    </row>
    <row r="2893" customFormat="false" ht="15" hidden="false" customHeight="false" outlineLevel="0" collapsed="false">
      <c r="A2893" s="216" t="s">
        <v>5500</v>
      </c>
      <c r="B2893" s="40" t="s">
        <v>3459</v>
      </c>
      <c r="C2893" s="1161" t="s">
        <v>7116</v>
      </c>
      <c r="D2893" s="912" t="n">
        <v>2006</v>
      </c>
      <c r="E2893" s="912" t="n">
        <f aca="false">2021-D2893</f>
        <v>15</v>
      </c>
      <c r="F2893" s="547" t="n">
        <v>5608600</v>
      </c>
      <c r="G2893" s="1413" t="n">
        <v>0.1</v>
      </c>
      <c r="H2893" s="547" t="n">
        <f aca="false">E2893*F2893*G2893</f>
        <v>8412900</v>
      </c>
      <c r="I2893" s="547" t="n">
        <f aca="false">F2893-H2893</f>
        <v>-2804300</v>
      </c>
      <c r="J2893" s="547" t="n">
        <f aca="false">F2893*G2893</f>
        <v>560860</v>
      </c>
      <c r="K2893" s="1365" t="n">
        <f aca="false">J2893/1792.8</f>
        <v>312.840249888443</v>
      </c>
      <c r="L2893" s="547" t="n">
        <v>30</v>
      </c>
      <c r="M2893" s="934" t="n">
        <f aca="false">K2893*L2893/60</f>
        <v>156.420124944221</v>
      </c>
    </row>
    <row r="2894" customFormat="false" ht="15" hidden="false" customHeight="false" outlineLevel="0" collapsed="false">
      <c r="A2894" s="216" t="s">
        <v>5502</v>
      </c>
      <c r="B2894" s="40" t="s">
        <v>3460</v>
      </c>
      <c r="C2894" s="1161" t="s">
        <v>7116</v>
      </c>
      <c r="D2894" s="912" t="n">
        <v>2006</v>
      </c>
      <c r="E2894" s="912" t="n">
        <f aca="false">2021-D2894</f>
        <v>15</v>
      </c>
      <c r="F2894" s="547" t="n">
        <v>5608600</v>
      </c>
      <c r="G2894" s="1413" t="n">
        <v>0.1</v>
      </c>
      <c r="H2894" s="547" t="n">
        <f aca="false">E2894*F2894*G2894</f>
        <v>8412900</v>
      </c>
      <c r="I2894" s="547" t="n">
        <f aca="false">F2894-H2894</f>
        <v>-2804300</v>
      </c>
      <c r="J2894" s="547" t="n">
        <f aca="false">F2894*G2894</f>
        <v>560860</v>
      </c>
      <c r="K2894" s="1365" t="n">
        <f aca="false">J2894/1792.8</f>
        <v>312.840249888443</v>
      </c>
      <c r="L2894" s="547" t="n">
        <v>30</v>
      </c>
      <c r="M2894" s="934" t="n">
        <f aca="false">K2894*L2894/60</f>
        <v>156.420124944221</v>
      </c>
    </row>
    <row r="2895" customFormat="false" ht="15" hidden="false" customHeight="false" outlineLevel="0" collapsed="false">
      <c r="A2895" s="216" t="s">
        <v>5504</v>
      </c>
      <c r="B2895" s="40" t="s">
        <v>3461</v>
      </c>
      <c r="C2895" s="1161" t="s">
        <v>7109</v>
      </c>
      <c r="D2895" s="912" t="n">
        <v>2006</v>
      </c>
      <c r="E2895" s="912" t="n">
        <f aca="false">2021-D2895</f>
        <v>15</v>
      </c>
      <c r="F2895" s="547" t="n">
        <v>2000000</v>
      </c>
      <c r="G2895" s="1413" t="n">
        <v>0.1</v>
      </c>
      <c r="H2895" s="547" t="n">
        <f aca="false">E2895*F2895*G2895</f>
        <v>3000000</v>
      </c>
      <c r="I2895" s="547" t="n">
        <f aca="false">F2895-H2895</f>
        <v>-1000000</v>
      </c>
      <c r="J2895" s="547" t="n">
        <f aca="false">F2895*G2895</f>
        <v>200000</v>
      </c>
      <c r="K2895" s="1365" t="n">
        <f aca="false">J2895/1792.8</f>
        <v>111.557340473003</v>
      </c>
      <c r="L2895" s="547" t="n">
        <v>30</v>
      </c>
      <c r="M2895" s="934" t="n">
        <f aca="false">K2895*L2895/60</f>
        <v>55.7786702365016</v>
      </c>
    </row>
    <row r="2896" customFormat="false" ht="15" hidden="false" customHeight="false" outlineLevel="0" collapsed="false">
      <c r="A2896" s="216" t="s">
        <v>5506</v>
      </c>
      <c r="B2896" s="40" t="s">
        <v>3462</v>
      </c>
      <c r="C2896" s="1161" t="s">
        <v>7109</v>
      </c>
      <c r="D2896" s="912" t="n">
        <v>2006</v>
      </c>
      <c r="E2896" s="912" t="n">
        <f aca="false">2021-D2896</f>
        <v>15</v>
      </c>
      <c r="F2896" s="547" t="n">
        <v>2000000</v>
      </c>
      <c r="G2896" s="1413" t="n">
        <v>0.1</v>
      </c>
      <c r="H2896" s="547" t="n">
        <f aca="false">E2896*F2896*G2896</f>
        <v>3000000</v>
      </c>
      <c r="I2896" s="547" t="n">
        <f aca="false">F2896-H2896</f>
        <v>-1000000</v>
      </c>
      <c r="J2896" s="547" t="n">
        <f aca="false">F2896*G2896</f>
        <v>200000</v>
      </c>
      <c r="K2896" s="1365" t="n">
        <f aca="false">J2896/1792.8</f>
        <v>111.557340473003</v>
      </c>
      <c r="L2896" s="547" t="n">
        <v>30</v>
      </c>
      <c r="M2896" s="934" t="n">
        <f aca="false">K2896*L2896/60</f>
        <v>55.7786702365016</v>
      </c>
    </row>
    <row r="2897" customFormat="false" ht="15" hidden="false" customHeight="false" outlineLevel="0" collapsed="false">
      <c r="A2897" s="216" t="s">
        <v>5510</v>
      </c>
      <c r="B2897" s="40" t="s">
        <v>3463</v>
      </c>
      <c r="C2897" s="1161" t="s">
        <v>7109</v>
      </c>
      <c r="D2897" s="912" t="n">
        <v>2006</v>
      </c>
      <c r="E2897" s="912" t="n">
        <f aca="false">2021-D2897</f>
        <v>15</v>
      </c>
      <c r="F2897" s="547" t="n">
        <v>2000000</v>
      </c>
      <c r="G2897" s="1413" t="n">
        <v>0.1</v>
      </c>
      <c r="H2897" s="547" t="n">
        <f aca="false">E2897*F2897*G2897</f>
        <v>3000000</v>
      </c>
      <c r="I2897" s="547" t="n">
        <f aca="false">F2897-H2897</f>
        <v>-1000000</v>
      </c>
      <c r="J2897" s="547" t="n">
        <f aca="false">F2897*G2897</f>
        <v>200000</v>
      </c>
      <c r="K2897" s="1365" t="n">
        <f aca="false">J2897/1792.8</f>
        <v>111.557340473003</v>
      </c>
      <c r="L2897" s="547" t="n">
        <v>30</v>
      </c>
      <c r="M2897" s="934" t="n">
        <f aca="false">K2897*L2897/60</f>
        <v>55.7786702365016</v>
      </c>
    </row>
    <row r="2898" customFormat="false" ht="15" hidden="false" customHeight="false" outlineLevel="0" collapsed="false">
      <c r="A2898" s="216" t="s">
        <v>5512</v>
      </c>
      <c r="B2898" s="40" t="s">
        <v>3464</v>
      </c>
      <c r="C2898" s="1161" t="s">
        <v>7109</v>
      </c>
      <c r="D2898" s="912" t="n">
        <v>2006</v>
      </c>
      <c r="E2898" s="912" t="n">
        <f aca="false">2021-D2898</f>
        <v>15</v>
      </c>
      <c r="F2898" s="547" t="n">
        <v>2000000</v>
      </c>
      <c r="G2898" s="1413" t="n">
        <v>0.1</v>
      </c>
      <c r="H2898" s="547" t="n">
        <f aca="false">E2898*F2898*G2898</f>
        <v>3000000</v>
      </c>
      <c r="I2898" s="547" t="n">
        <f aca="false">F2898-H2898</f>
        <v>-1000000</v>
      </c>
      <c r="J2898" s="547" t="n">
        <f aca="false">F2898*G2898</f>
        <v>200000</v>
      </c>
      <c r="K2898" s="1365" t="n">
        <f aca="false">J2898/1792.8</f>
        <v>111.557340473003</v>
      </c>
      <c r="L2898" s="547" t="n">
        <v>30</v>
      </c>
      <c r="M2898" s="934" t="n">
        <f aca="false">K2898*L2898/60</f>
        <v>55.7786702365016</v>
      </c>
    </row>
    <row r="2899" customFormat="false" ht="15" hidden="false" customHeight="false" outlineLevel="0" collapsed="false">
      <c r="A2899" s="216" t="s">
        <v>5515</v>
      </c>
      <c r="B2899" s="40" t="s">
        <v>3465</v>
      </c>
      <c r="C2899" s="1161" t="s">
        <v>7116</v>
      </c>
      <c r="D2899" s="912" t="n">
        <v>2006</v>
      </c>
      <c r="E2899" s="912" t="n">
        <f aca="false">2021-D2899</f>
        <v>15</v>
      </c>
      <c r="F2899" s="547" t="n">
        <v>5608600</v>
      </c>
      <c r="G2899" s="1413" t="n">
        <v>0.1</v>
      </c>
      <c r="H2899" s="547" t="n">
        <f aca="false">E2899*F2899*G2899</f>
        <v>8412900</v>
      </c>
      <c r="I2899" s="547" t="n">
        <f aca="false">F2899-H2899</f>
        <v>-2804300</v>
      </c>
      <c r="J2899" s="547" t="n">
        <f aca="false">F2899*G2899</f>
        <v>560860</v>
      </c>
      <c r="K2899" s="1365" t="n">
        <f aca="false">J2899/1792.8</f>
        <v>312.840249888443</v>
      </c>
      <c r="L2899" s="547" t="n">
        <v>30</v>
      </c>
      <c r="M2899" s="934" t="n">
        <f aca="false">K2899*L2899/60</f>
        <v>156.420124944221</v>
      </c>
    </row>
    <row r="2900" customFormat="false" ht="30" hidden="false" customHeight="false" outlineLevel="0" collapsed="false">
      <c r="A2900" s="216" t="s">
        <v>5517</v>
      </c>
      <c r="B2900" s="40" t="s">
        <v>3466</v>
      </c>
      <c r="C2900" s="1161" t="s">
        <v>7116</v>
      </c>
      <c r="D2900" s="912" t="n">
        <v>2006</v>
      </c>
      <c r="E2900" s="912" t="n">
        <f aca="false">2021-D2900</f>
        <v>15</v>
      </c>
      <c r="F2900" s="547" t="n">
        <v>5608600</v>
      </c>
      <c r="G2900" s="1413" t="n">
        <v>0.1</v>
      </c>
      <c r="H2900" s="547" t="n">
        <f aca="false">E2900*F2900*G2900</f>
        <v>8412900</v>
      </c>
      <c r="I2900" s="547" t="n">
        <f aca="false">F2900-H2900</f>
        <v>-2804300</v>
      </c>
      <c r="J2900" s="547" t="n">
        <f aca="false">F2900*G2900</f>
        <v>560860</v>
      </c>
      <c r="K2900" s="1365" t="n">
        <f aca="false">J2900/1792.8</f>
        <v>312.840249888443</v>
      </c>
      <c r="L2900" s="547" t="n">
        <v>30</v>
      </c>
      <c r="M2900" s="934" t="n">
        <f aca="false">K2900*L2900/60</f>
        <v>156.420124944221</v>
      </c>
    </row>
    <row r="2901" customFormat="false" ht="15" hidden="false" customHeight="false" outlineLevel="0" collapsed="false">
      <c r="A2901" s="216" t="s">
        <v>5519</v>
      </c>
      <c r="B2901" s="78" t="s">
        <v>3467</v>
      </c>
      <c r="C2901" s="1161" t="s">
        <v>7116</v>
      </c>
      <c r="D2901" s="912" t="n">
        <v>2006</v>
      </c>
      <c r="E2901" s="912" t="n">
        <f aca="false">2021-D2901</f>
        <v>15</v>
      </c>
      <c r="F2901" s="547" t="n">
        <v>5608600</v>
      </c>
      <c r="G2901" s="1413" t="n">
        <v>0.1</v>
      </c>
      <c r="H2901" s="547" t="n">
        <f aca="false">E2901*F2901*G2901</f>
        <v>8412900</v>
      </c>
      <c r="I2901" s="547" t="n">
        <f aca="false">F2901-H2901</f>
        <v>-2804300</v>
      </c>
      <c r="J2901" s="547" t="n">
        <f aca="false">F2901*G2901</f>
        <v>560860</v>
      </c>
      <c r="K2901" s="1365" t="n">
        <f aca="false">J2901/1792.8</f>
        <v>312.840249888443</v>
      </c>
      <c r="L2901" s="547" t="n">
        <v>30</v>
      </c>
      <c r="M2901" s="934" t="n">
        <f aca="false">K2901*L2901/60</f>
        <v>156.420124944221</v>
      </c>
    </row>
    <row r="2902" customFormat="false" ht="15" hidden="false" customHeight="false" outlineLevel="0" collapsed="false">
      <c r="A2902" s="216" t="s">
        <v>5520</v>
      </c>
      <c r="B2902" s="78" t="s">
        <v>3468</v>
      </c>
      <c r="C2902" s="1161" t="s">
        <v>4568</v>
      </c>
      <c r="D2902" s="912" t="n">
        <v>2006</v>
      </c>
      <c r="E2902" s="912" t="n">
        <f aca="false">2021-D2902</f>
        <v>15</v>
      </c>
      <c r="F2902" s="547" t="n">
        <v>133722</v>
      </c>
      <c r="G2902" s="1413" t="n">
        <v>0.1</v>
      </c>
      <c r="H2902" s="547" t="n">
        <f aca="false">E2902*F2902*G2902</f>
        <v>200583</v>
      </c>
      <c r="I2902" s="547" t="n">
        <f aca="false">F2902-H2902</f>
        <v>-66861</v>
      </c>
      <c r="J2902" s="547" t="n">
        <f aca="false">F2902*G2902</f>
        <v>13372.2</v>
      </c>
      <c r="K2902" s="1365" t="n">
        <f aca="false">J2902/1792.8</f>
        <v>7.45883534136546</v>
      </c>
      <c r="L2902" s="547" t="n">
        <v>160</v>
      </c>
      <c r="M2902" s="934" t="n">
        <f aca="false">K2902*L2902/60</f>
        <v>19.8902275769746</v>
      </c>
    </row>
    <row r="2903" customFormat="false" ht="15" hidden="false" customHeight="false" outlineLevel="0" collapsed="false">
      <c r="A2903" s="216" t="s">
        <v>5521</v>
      </c>
      <c r="B2903" s="1468" t="s">
        <v>3469</v>
      </c>
      <c r="C2903" s="1161" t="s">
        <v>7117</v>
      </c>
      <c r="D2903" s="912" t="n">
        <v>2006</v>
      </c>
      <c r="E2903" s="912" t="n">
        <f aca="false">2021-D2903</f>
        <v>15</v>
      </c>
      <c r="F2903" s="547" t="n">
        <v>133722</v>
      </c>
      <c r="G2903" s="1413" t="n">
        <v>0.1</v>
      </c>
      <c r="H2903" s="547" t="n">
        <f aca="false">E2903*F2903*G2903</f>
        <v>200583</v>
      </c>
      <c r="I2903" s="547" t="n">
        <f aca="false">F2903-H2903</f>
        <v>-66861</v>
      </c>
      <c r="J2903" s="547" t="n">
        <f aca="false">F2903*G2903</f>
        <v>13372.2</v>
      </c>
      <c r="K2903" s="1365" t="n">
        <f aca="false">J2903/1792.8</f>
        <v>7.45883534136546</v>
      </c>
      <c r="L2903" s="547" t="n">
        <v>180</v>
      </c>
      <c r="M2903" s="934" t="n">
        <f aca="false">K2903*L2903/60</f>
        <v>22.3765060240964</v>
      </c>
    </row>
    <row r="2904" customFormat="false" ht="28.5" hidden="false" customHeight="false" outlineLevel="0" collapsed="false">
      <c r="A2904" s="15" t="s">
        <v>5526</v>
      </c>
      <c r="B2904" s="88" t="s">
        <v>3470</v>
      </c>
      <c r="C2904" s="88"/>
      <c r="D2904" s="339"/>
      <c r="E2904" s="339"/>
      <c r="F2904" s="751"/>
      <c r="G2904" s="1412"/>
      <c r="H2904" s="751"/>
      <c r="I2904" s="751"/>
      <c r="J2904" s="751"/>
      <c r="K2904" s="751"/>
      <c r="L2904" s="712"/>
      <c r="M2904" s="818"/>
    </row>
    <row r="2905" customFormat="false" ht="30" hidden="false" customHeight="false" outlineLevel="0" collapsed="false">
      <c r="A2905" s="28" t="s">
        <v>5527</v>
      </c>
      <c r="B2905" s="1467" t="s">
        <v>5528</v>
      </c>
      <c r="C2905" s="971"/>
      <c r="D2905" s="391"/>
      <c r="E2905" s="391"/>
      <c r="F2905" s="714"/>
      <c r="G2905" s="1414"/>
      <c r="H2905" s="714"/>
      <c r="I2905" s="714"/>
      <c r="J2905" s="714"/>
      <c r="K2905" s="1365" t="n">
        <f aca="false">J2905/1792.8</f>
        <v>0</v>
      </c>
      <c r="L2905" s="547" t="n">
        <v>30</v>
      </c>
      <c r="M2905" s="934"/>
    </row>
    <row r="2906" customFormat="false" ht="45" hidden="false" customHeight="false" outlineLevel="0" collapsed="false">
      <c r="A2906" s="28" t="s">
        <v>5529</v>
      </c>
      <c r="B2906" s="40" t="s">
        <v>3472</v>
      </c>
      <c r="C2906" s="971"/>
      <c r="D2906" s="391"/>
      <c r="E2906" s="391"/>
      <c r="F2906" s="714"/>
      <c r="G2906" s="1414"/>
      <c r="H2906" s="714"/>
      <c r="I2906" s="714"/>
      <c r="J2906" s="714"/>
      <c r="K2906" s="1365" t="n">
        <f aca="false">J2906/1792.8</f>
        <v>0</v>
      </c>
      <c r="L2906" s="547" t="n">
        <v>30</v>
      </c>
      <c r="M2906" s="934"/>
    </row>
    <row r="2907" customFormat="false" ht="30" hidden="false" customHeight="false" outlineLevel="0" collapsed="false">
      <c r="A2907" s="216" t="s">
        <v>5532</v>
      </c>
      <c r="B2907" s="40" t="s">
        <v>3473</v>
      </c>
      <c r="C2907" s="1161" t="s">
        <v>7116</v>
      </c>
      <c r="D2907" s="912" t="n">
        <v>2006</v>
      </c>
      <c r="E2907" s="912" t="n">
        <f aca="false">2021-D2907</f>
        <v>15</v>
      </c>
      <c r="F2907" s="547" t="n">
        <v>5608600</v>
      </c>
      <c r="G2907" s="1413" t="n">
        <v>0.1</v>
      </c>
      <c r="H2907" s="547" t="n">
        <f aca="false">E2907*F2907*G2907</f>
        <v>8412900</v>
      </c>
      <c r="I2907" s="547" t="n">
        <f aca="false">F2907-H2907</f>
        <v>-2804300</v>
      </c>
      <c r="J2907" s="547" t="n">
        <f aca="false">F2907*G2907</f>
        <v>560860</v>
      </c>
      <c r="K2907" s="1365" t="n">
        <f aca="false">J2907/1792.8</f>
        <v>312.840249888443</v>
      </c>
      <c r="L2907" s="547" t="n">
        <v>30</v>
      </c>
      <c r="M2907" s="934" t="n">
        <f aca="false">K2907*L2907/60</f>
        <v>156.420124944221</v>
      </c>
    </row>
    <row r="2908" customFormat="false" ht="15" hidden="false" customHeight="false" outlineLevel="0" collapsed="false">
      <c r="A2908" s="216" t="s">
        <v>5534</v>
      </c>
      <c r="B2908" s="40" t="s">
        <v>3436</v>
      </c>
      <c r="C2908" s="1161" t="s">
        <v>7116</v>
      </c>
      <c r="D2908" s="912" t="n">
        <v>2006</v>
      </c>
      <c r="E2908" s="912" t="n">
        <f aca="false">2021-D2908</f>
        <v>15</v>
      </c>
      <c r="F2908" s="547" t="n">
        <v>5608600</v>
      </c>
      <c r="G2908" s="1413" t="n">
        <v>0.1</v>
      </c>
      <c r="H2908" s="547" t="n">
        <f aca="false">E2908*F2908*G2908</f>
        <v>8412900</v>
      </c>
      <c r="I2908" s="547" t="n">
        <f aca="false">F2908-H2908</f>
        <v>-2804300</v>
      </c>
      <c r="J2908" s="547" t="n">
        <f aca="false">F2908*G2908</f>
        <v>560860</v>
      </c>
      <c r="K2908" s="1365" t="n">
        <f aca="false">J2908/1792.8</f>
        <v>312.840249888443</v>
      </c>
      <c r="L2908" s="547" t="n">
        <v>30</v>
      </c>
      <c r="M2908" s="934" t="n">
        <f aca="false">K2908*L2908/60</f>
        <v>156.420124944221</v>
      </c>
    </row>
    <row r="2909" customFormat="false" ht="15" hidden="false" customHeight="false" outlineLevel="0" collapsed="false">
      <c r="A2909" s="216" t="s">
        <v>1428</v>
      </c>
      <c r="B2909" s="40" t="s">
        <v>3437</v>
      </c>
      <c r="C2909" s="1161" t="s">
        <v>7116</v>
      </c>
      <c r="D2909" s="912" t="n">
        <v>2006</v>
      </c>
      <c r="E2909" s="912" t="n">
        <f aca="false">2021-D2909</f>
        <v>15</v>
      </c>
      <c r="F2909" s="547" t="n">
        <v>5608600</v>
      </c>
      <c r="G2909" s="1413" t="n">
        <v>0.1</v>
      </c>
      <c r="H2909" s="547" t="n">
        <f aca="false">E2909*F2909*G2909</f>
        <v>8412900</v>
      </c>
      <c r="I2909" s="547" t="n">
        <f aca="false">F2909-H2909</f>
        <v>-2804300</v>
      </c>
      <c r="J2909" s="547" t="n">
        <f aca="false">F2909*G2909</f>
        <v>560860</v>
      </c>
      <c r="K2909" s="1365" t="n">
        <f aca="false">J2909/1792.8</f>
        <v>312.840249888443</v>
      </c>
      <c r="L2909" s="547" t="n">
        <v>30</v>
      </c>
      <c r="M2909" s="934" t="n">
        <f aca="false">K2909*L2909/60</f>
        <v>156.420124944221</v>
      </c>
    </row>
    <row r="2910" customFormat="false" ht="15" hidden="false" customHeight="false" outlineLevel="0" collapsed="false">
      <c r="A2910" s="216" t="s">
        <v>1429</v>
      </c>
      <c r="B2910" s="40" t="s">
        <v>3474</v>
      </c>
      <c r="C2910" s="1161" t="s">
        <v>7116</v>
      </c>
      <c r="D2910" s="912" t="n">
        <v>2006</v>
      </c>
      <c r="E2910" s="912" t="n">
        <f aca="false">2021-D2910</f>
        <v>15</v>
      </c>
      <c r="F2910" s="547" t="n">
        <v>5608600</v>
      </c>
      <c r="G2910" s="1413" t="n">
        <v>0.1</v>
      </c>
      <c r="H2910" s="547" t="n">
        <f aca="false">E2910*F2910*G2910</f>
        <v>8412900</v>
      </c>
      <c r="I2910" s="547" t="n">
        <f aca="false">F2910-H2910</f>
        <v>-2804300</v>
      </c>
      <c r="J2910" s="547" t="n">
        <f aca="false">F2910*G2910</f>
        <v>560860</v>
      </c>
      <c r="K2910" s="1365" t="n">
        <f aca="false">J2910/1792.8</f>
        <v>312.840249888443</v>
      </c>
      <c r="L2910" s="547" t="n">
        <v>30</v>
      </c>
      <c r="M2910" s="934" t="n">
        <f aca="false">K2910*L2910/60</f>
        <v>156.420124944221</v>
      </c>
    </row>
    <row r="2911" customFormat="false" ht="15" hidden="false" customHeight="false" outlineLevel="0" collapsed="false">
      <c r="A2911" s="216" t="s">
        <v>1430</v>
      </c>
      <c r="B2911" s="40" t="s">
        <v>3475</v>
      </c>
      <c r="C2911" s="1161" t="s">
        <v>7116</v>
      </c>
      <c r="D2911" s="912" t="n">
        <v>2006</v>
      </c>
      <c r="E2911" s="912" t="n">
        <f aca="false">2021-D2911</f>
        <v>15</v>
      </c>
      <c r="F2911" s="547" t="n">
        <v>5608600</v>
      </c>
      <c r="G2911" s="1413" t="n">
        <v>0.1</v>
      </c>
      <c r="H2911" s="547" t="n">
        <f aca="false">E2911*F2911*G2911</f>
        <v>8412900</v>
      </c>
      <c r="I2911" s="547" t="n">
        <f aca="false">F2911-H2911</f>
        <v>-2804300</v>
      </c>
      <c r="J2911" s="547" t="n">
        <f aca="false">F2911*G2911</f>
        <v>560860</v>
      </c>
      <c r="K2911" s="1365" t="n">
        <f aca="false">J2911/1792.8</f>
        <v>312.840249888443</v>
      </c>
      <c r="L2911" s="547" t="n">
        <v>30</v>
      </c>
      <c r="M2911" s="934" t="n">
        <f aca="false">K2911*L2911/60</f>
        <v>156.420124944221</v>
      </c>
    </row>
    <row r="2912" customFormat="false" ht="15" hidden="false" customHeight="false" outlineLevel="0" collapsed="false">
      <c r="A2912" s="216" t="s">
        <v>1432</v>
      </c>
      <c r="B2912" s="40" t="s">
        <v>3476</v>
      </c>
      <c r="C2912" s="1161" t="s">
        <v>7116</v>
      </c>
      <c r="D2912" s="912" t="n">
        <v>2006</v>
      </c>
      <c r="E2912" s="912" t="n">
        <f aca="false">2021-D2912</f>
        <v>15</v>
      </c>
      <c r="F2912" s="547" t="n">
        <v>5608600</v>
      </c>
      <c r="G2912" s="1413" t="n">
        <v>0.1</v>
      </c>
      <c r="H2912" s="547" t="n">
        <f aca="false">E2912*F2912*G2912</f>
        <v>8412900</v>
      </c>
      <c r="I2912" s="547" t="n">
        <f aca="false">F2912-H2912</f>
        <v>-2804300</v>
      </c>
      <c r="J2912" s="547" t="n">
        <f aca="false">F2912*G2912</f>
        <v>560860</v>
      </c>
      <c r="K2912" s="1365" t="n">
        <f aca="false">J2912/1792.8</f>
        <v>312.840249888443</v>
      </c>
      <c r="L2912" s="547" t="n">
        <v>30</v>
      </c>
      <c r="M2912" s="934" t="n">
        <f aca="false">K2912*L2912/60</f>
        <v>156.420124944221</v>
      </c>
    </row>
    <row r="2913" customFormat="false" ht="15" hidden="false" customHeight="false" outlineLevel="0" collapsed="false">
      <c r="A2913" s="216" t="s">
        <v>1433</v>
      </c>
      <c r="B2913" s="40" t="s">
        <v>3445</v>
      </c>
      <c r="C2913" s="1161" t="s">
        <v>7116</v>
      </c>
      <c r="D2913" s="912" t="n">
        <v>2006</v>
      </c>
      <c r="E2913" s="912" t="n">
        <f aca="false">2021-D2913</f>
        <v>15</v>
      </c>
      <c r="F2913" s="547" t="n">
        <v>5608600</v>
      </c>
      <c r="G2913" s="1413" t="n">
        <v>0.1</v>
      </c>
      <c r="H2913" s="547" t="n">
        <f aca="false">E2913*F2913*G2913</f>
        <v>8412900</v>
      </c>
      <c r="I2913" s="547" t="n">
        <f aca="false">F2913-H2913</f>
        <v>-2804300</v>
      </c>
      <c r="J2913" s="547" t="n">
        <f aca="false">F2913*G2913</f>
        <v>560860</v>
      </c>
      <c r="K2913" s="1365" t="n">
        <f aca="false">J2913/1792.8</f>
        <v>312.840249888443</v>
      </c>
      <c r="L2913" s="547" t="n">
        <v>30</v>
      </c>
      <c r="M2913" s="934" t="n">
        <f aca="false">K2913*L2913/60</f>
        <v>156.420124944221</v>
      </c>
    </row>
    <row r="2914" customFormat="false" ht="15" hidden="false" customHeight="false" outlineLevel="0" collapsed="false">
      <c r="A2914" s="216" t="s">
        <v>1434</v>
      </c>
      <c r="B2914" s="40" t="s">
        <v>3440</v>
      </c>
      <c r="C2914" s="1161" t="s">
        <v>7116</v>
      </c>
      <c r="D2914" s="912" t="n">
        <v>2006</v>
      </c>
      <c r="E2914" s="912" t="n">
        <f aca="false">2021-D2914</f>
        <v>15</v>
      </c>
      <c r="F2914" s="547" t="n">
        <v>5608600</v>
      </c>
      <c r="G2914" s="1413" t="n">
        <v>0.1</v>
      </c>
      <c r="H2914" s="547" t="n">
        <f aca="false">E2914*F2914*G2914</f>
        <v>8412900</v>
      </c>
      <c r="I2914" s="547" t="n">
        <f aca="false">F2914-H2914</f>
        <v>-2804300</v>
      </c>
      <c r="J2914" s="547" t="n">
        <f aca="false">F2914*G2914</f>
        <v>560860</v>
      </c>
      <c r="K2914" s="1365" t="n">
        <f aca="false">J2914/1792.8</f>
        <v>312.840249888443</v>
      </c>
      <c r="L2914" s="547" t="n">
        <v>30</v>
      </c>
      <c r="M2914" s="934" t="n">
        <f aca="false">K2914*L2914/60</f>
        <v>156.420124944221</v>
      </c>
    </row>
    <row r="2915" customFormat="false" ht="15" hidden="false" customHeight="false" outlineLevel="0" collapsed="false">
      <c r="A2915" s="216" t="s">
        <v>1435</v>
      </c>
      <c r="B2915" s="40" t="s">
        <v>3444</v>
      </c>
      <c r="C2915" s="1161" t="s">
        <v>7116</v>
      </c>
      <c r="D2915" s="912" t="n">
        <v>2006</v>
      </c>
      <c r="E2915" s="912" t="n">
        <f aca="false">2021-D2915</f>
        <v>15</v>
      </c>
      <c r="F2915" s="547" t="n">
        <v>5608600</v>
      </c>
      <c r="G2915" s="1413" t="n">
        <v>0.1</v>
      </c>
      <c r="H2915" s="547" t="n">
        <f aca="false">E2915*F2915*G2915</f>
        <v>8412900</v>
      </c>
      <c r="I2915" s="547" t="n">
        <f aca="false">F2915-H2915</f>
        <v>-2804300</v>
      </c>
      <c r="J2915" s="547" t="n">
        <f aca="false">F2915*G2915</f>
        <v>560860</v>
      </c>
      <c r="K2915" s="1365" t="n">
        <f aca="false">J2915/1792.8</f>
        <v>312.840249888443</v>
      </c>
      <c r="L2915" s="547" t="n">
        <v>30</v>
      </c>
      <c r="M2915" s="934" t="n">
        <f aca="false">K2915*L2915/60</f>
        <v>156.420124944221</v>
      </c>
    </row>
    <row r="2916" customFormat="false" ht="15" hidden="false" customHeight="false" outlineLevel="0" collapsed="false">
      <c r="A2916" s="216" t="s">
        <v>1436</v>
      </c>
      <c r="B2916" s="40" t="s">
        <v>3441</v>
      </c>
      <c r="C2916" s="1161" t="s">
        <v>7116</v>
      </c>
      <c r="D2916" s="912" t="n">
        <v>2006</v>
      </c>
      <c r="E2916" s="912" t="n">
        <f aca="false">2021-D2916</f>
        <v>15</v>
      </c>
      <c r="F2916" s="547" t="n">
        <v>5608600</v>
      </c>
      <c r="G2916" s="1413" t="n">
        <v>0.1</v>
      </c>
      <c r="H2916" s="547" t="n">
        <f aca="false">E2916*F2916*G2916</f>
        <v>8412900</v>
      </c>
      <c r="I2916" s="547" t="n">
        <f aca="false">F2916-H2916</f>
        <v>-2804300</v>
      </c>
      <c r="J2916" s="547" t="n">
        <f aca="false">F2916*G2916</f>
        <v>560860</v>
      </c>
      <c r="K2916" s="1365" t="n">
        <f aca="false">J2916/1792.8</f>
        <v>312.840249888443</v>
      </c>
      <c r="L2916" s="547" t="n">
        <v>30</v>
      </c>
      <c r="M2916" s="934" t="n">
        <f aca="false">K2916*L2916/60</f>
        <v>156.420124944221</v>
      </c>
    </row>
    <row r="2917" customFormat="false" ht="15" hidden="false" customHeight="false" outlineLevel="0" collapsed="false">
      <c r="A2917" s="216" t="s">
        <v>1437</v>
      </c>
      <c r="B2917" s="40" t="s">
        <v>3446</v>
      </c>
      <c r="C2917" s="1161" t="s">
        <v>7116</v>
      </c>
      <c r="D2917" s="912" t="n">
        <v>2006</v>
      </c>
      <c r="E2917" s="912" t="n">
        <f aca="false">2021-D2917</f>
        <v>15</v>
      </c>
      <c r="F2917" s="547" t="n">
        <v>5608600</v>
      </c>
      <c r="G2917" s="1413" t="n">
        <v>0.1</v>
      </c>
      <c r="H2917" s="547" t="n">
        <f aca="false">E2917*F2917*G2917</f>
        <v>8412900</v>
      </c>
      <c r="I2917" s="547" t="n">
        <f aca="false">F2917-H2917</f>
        <v>-2804300</v>
      </c>
      <c r="J2917" s="547" t="n">
        <f aca="false">F2917*G2917</f>
        <v>560860</v>
      </c>
      <c r="K2917" s="1365" t="n">
        <f aca="false">J2917/1792.8</f>
        <v>312.840249888443</v>
      </c>
      <c r="L2917" s="547" t="n">
        <v>30</v>
      </c>
      <c r="M2917" s="934" t="n">
        <f aca="false">K2917*L2917/60</f>
        <v>156.420124944221</v>
      </c>
    </row>
    <row r="2918" customFormat="false" ht="15" hidden="false" customHeight="false" outlineLevel="0" collapsed="false">
      <c r="A2918" s="216" t="s">
        <v>1438</v>
      </c>
      <c r="B2918" s="40" t="s">
        <v>3447</v>
      </c>
      <c r="C2918" s="1161" t="s">
        <v>7116</v>
      </c>
      <c r="D2918" s="912" t="n">
        <v>2006</v>
      </c>
      <c r="E2918" s="912" t="n">
        <f aca="false">2021-D2918</f>
        <v>15</v>
      </c>
      <c r="F2918" s="547" t="n">
        <v>5608600</v>
      </c>
      <c r="G2918" s="1413" t="n">
        <v>0.1</v>
      </c>
      <c r="H2918" s="547" t="n">
        <f aca="false">E2918*F2918*G2918</f>
        <v>8412900</v>
      </c>
      <c r="I2918" s="547" t="n">
        <f aca="false">F2918-H2918</f>
        <v>-2804300</v>
      </c>
      <c r="J2918" s="547" t="n">
        <f aca="false">F2918*G2918</f>
        <v>560860</v>
      </c>
      <c r="K2918" s="1365" t="n">
        <f aca="false">J2918/1792.8</f>
        <v>312.840249888443</v>
      </c>
      <c r="L2918" s="547" t="n">
        <v>30</v>
      </c>
      <c r="M2918" s="934" t="n">
        <f aca="false">K2918*L2918/60</f>
        <v>156.420124944221</v>
      </c>
    </row>
    <row r="2919" customFormat="false" ht="15" hidden="false" customHeight="false" outlineLevel="0" collapsed="false">
      <c r="A2919" s="216" t="s">
        <v>1439</v>
      </c>
      <c r="B2919" s="40" t="s">
        <v>3452</v>
      </c>
      <c r="C2919" s="1161" t="s">
        <v>7116</v>
      </c>
      <c r="D2919" s="912" t="n">
        <v>2006</v>
      </c>
      <c r="E2919" s="912" t="n">
        <f aca="false">2021-D2919</f>
        <v>15</v>
      </c>
      <c r="F2919" s="547" t="n">
        <v>5608600</v>
      </c>
      <c r="G2919" s="1413" t="n">
        <v>0.1</v>
      </c>
      <c r="H2919" s="547" t="n">
        <f aca="false">E2919*F2919*G2919</f>
        <v>8412900</v>
      </c>
      <c r="I2919" s="547" t="n">
        <f aca="false">F2919-H2919</f>
        <v>-2804300</v>
      </c>
      <c r="J2919" s="547" t="n">
        <f aca="false">F2919*G2919</f>
        <v>560860</v>
      </c>
      <c r="K2919" s="1365" t="n">
        <f aca="false">J2919/1792.8</f>
        <v>312.840249888443</v>
      </c>
      <c r="L2919" s="547" t="n">
        <v>30</v>
      </c>
      <c r="M2919" s="934" t="n">
        <f aca="false">K2919*L2919/60</f>
        <v>156.420124944221</v>
      </c>
    </row>
    <row r="2920" customFormat="false" ht="15" hidden="false" customHeight="false" outlineLevel="0" collapsed="false">
      <c r="A2920" s="216" t="s">
        <v>1440</v>
      </c>
      <c r="B2920" s="40" t="s">
        <v>3453</v>
      </c>
      <c r="C2920" s="1161" t="s">
        <v>7116</v>
      </c>
      <c r="D2920" s="912" t="n">
        <v>2006</v>
      </c>
      <c r="E2920" s="912" t="n">
        <f aca="false">2021-D2920</f>
        <v>15</v>
      </c>
      <c r="F2920" s="547" t="n">
        <v>5608600</v>
      </c>
      <c r="G2920" s="1413" t="n">
        <v>0.1</v>
      </c>
      <c r="H2920" s="547" t="n">
        <f aca="false">E2920*F2920*G2920</f>
        <v>8412900</v>
      </c>
      <c r="I2920" s="547" t="n">
        <f aca="false">F2920-H2920</f>
        <v>-2804300</v>
      </c>
      <c r="J2920" s="547" t="n">
        <f aca="false">F2920*G2920</f>
        <v>560860</v>
      </c>
      <c r="K2920" s="1365" t="n">
        <f aca="false">J2920/1792.8</f>
        <v>312.840249888443</v>
      </c>
      <c r="L2920" s="547" t="n">
        <v>30</v>
      </c>
      <c r="M2920" s="934" t="n">
        <f aca="false">K2920*L2920/60</f>
        <v>156.420124944221</v>
      </c>
    </row>
    <row r="2921" customFormat="false" ht="15" hidden="false" customHeight="false" outlineLevel="0" collapsed="false">
      <c r="A2921" s="216" t="s">
        <v>1441</v>
      </c>
      <c r="B2921" s="40" t="s">
        <v>7118</v>
      </c>
      <c r="C2921" s="1161" t="s">
        <v>7109</v>
      </c>
      <c r="D2921" s="912" t="n">
        <v>2006</v>
      </c>
      <c r="E2921" s="912" t="n">
        <f aca="false">2021-D2921</f>
        <v>15</v>
      </c>
      <c r="F2921" s="547" t="n">
        <v>2000000</v>
      </c>
      <c r="G2921" s="1413" t="n">
        <v>0.1</v>
      </c>
      <c r="H2921" s="547" t="n">
        <f aca="false">E2921*F2921*G2921</f>
        <v>3000000</v>
      </c>
      <c r="I2921" s="547" t="n">
        <f aca="false">F2921-H2921</f>
        <v>-1000000</v>
      </c>
      <c r="J2921" s="547" t="n">
        <f aca="false">F2921*G2921</f>
        <v>200000</v>
      </c>
      <c r="K2921" s="1365" t="n">
        <f aca="false">J2921/1792.8</f>
        <v>111.557340473003</v>
      </c>
      <c r="L2921" s="547" t="n">
        <v>30</v>
      </c>
      <c r="M2921" s="934" t="n">
        <f aca="false">K2921*L2921/60</f>
        <v>55.7786702365016</v>
      </c>
    </row>
    <row r="2922" customFormat="false" ht="30" hidden="false" customHeight="false" outlineLevel="0" collapsed="false">
      <c r="A2922" s="216" t="s">
        <v>5556</v>
      </c>
      <c r="B2922" s="40" t="s">
        <v>3478</v>
      </c>
      <c r="C2922" s="1161" t="s">
        <v>7111</v>
      </c>
      <c r="D2922" s="912" t="n">
        <v>2006</v>
      </c>
      <c r="E2922" s="912" t="n">
        <f aca="false">2021-D2922</f>
        <v>15</v>
      </c>
      <c r="F2922" s="547" t="n">
        <v>1585000</v>
      </c>
      <c r="G2922" s="1413" t="n">
        <v>0.1</v>
      </c>
      <c r="H2922" s="547" t="n">
        <f aca="false">E2922*F2922*G2922</f>
        <v>2377500</v>
      </c>
      <c r="I2922" s="547" t="n">
        <f aca="false">F2922-H2922</f>
        <v>-792500</v>
      </c>
      <c r="J2922" s="547" t="n">
        <f aca="false">F2922*G2922</f>
        <v>158500</v>
      </c>
      <c r="K2922" s="1365" t="n">
        <f aca="false">J2922/1792.8</f>
        <v>88.409192324855</v>
      </c>
      <c r="L2922" s="547" t="n">
        <v>30</v>
      </c>
      <c r="M2922" s="934" t="n">
        <f aca="false">K2922*L2922/60</f>
        <v>44.2045961624275</v>
      </c>
    </row>
    <row r="2923" customFormat="false" ht="30" hidden="false" customHeight="false" outlineLevel="0" collapsed="false">
      <c r="A2923" s="216" t="s">
        <v>5557</v>
      </c>
      <c r="B2923" s="40" t="s">
        <v>3501</v>
      </c>
      <c r="C2923" s="1161" t="s">
        <v>7111</v>
      </c>
      <c r="D2923" s="912" t="n">
        <v>2006</v>
      </c>
      <c r="E2923" s="912" t="n">
        <f aca="false">2021-D2923</f>
        <v>15</v>
      </c>
      <c r="F2923" s="547" t="n">
        <v>1585000</v>
      </c>
      <c r="G2923" s="1413" t="n">
        <v>0.1</v>
      </c>
      <c r="H2923" s="547" t="n">
        <f aca="false">E2923*F2923*G2923</f>
        <v>2377500</v>
      </c>
      <c r="I2923" s="547" t="n">
        <f aca="false">F2923-H2923</f>
        <v>-792500</v>
      </c>
      <c r="J2923" s="547" t="n">
        <f aca="false">F2923*G2923</f>
        <v>158500</v>
      </c>
      <c r="K2923" s="1365" t="n">
        <f aca="false">J2923/1792.8</f>
        <v>88.409192324855</v>
      </c>
      <c r="L2923" s="547" t="n">
        <v>30</v>
      </c>
      <c r="M2923" s="934" t="n">
        <f aca="false">K2923*L2923/60</f>
        <v>44.2045961624275</v>
      </c>
    </row>
    <row r="2924" customFormat="false" ht="15" hidden="false" customHeight="false" outlineLevel="0" collapsed="false">
      <c r="A2924" s="216" t="s">
        <v>5558</v>
      </c>
      <c r="B2924" s="40" t="s">
        <v>3480</v>
      </c>
      <c r="C2924" s="1161" t="s">
        <v>7111</v>
      </c>
      <c r="D2924" s="912" t="n">
        <v>2006</v>
      </c>
      <c r="E2924" s="912" t="n">
        <f aca="false">2021-D2924</f>
        <v>15</v>
      </c>
      <c r="F2924" s="547" t="n">
        <v>1585000</v>
      </c>
      <c r="G2924" s="1413" t="n">
        <v>0.1</v>
      </c>
      <c r="H2924" s="547" t="n">
        <f aca="false">E2924*F2924*G2924</f>
        <v>2377500</v>
      </c>
      <c r="I2924" s="547" t="n">
        <f aca="false">F2924-H2924</f>
        <v>-792500</v>
      </c>
      <c r="J2924" s="547" t="n">
        <f aca="false">F2924*G2924</f>
        <v>158500</v>
      </c>
      <c r="K2924" s="1365" t="n">
        <f aca="false">J2924/1792.8</f>
        <v>88.409192324855</v>
      </c>
      <c r="L2924" s="547" t="n">
        <v>30</v>
      </c>
      <c r="M2924" s="934" t="n">
        <f aca="false">K2924*L2924/60</f>
        <v>44.2045961624275</v>
      </c>
    </row>
    <row r="2925" customFormat="false" ht="30" hidden="false" customHeight="false" outlineLevel="0" collapsed="false">
      <c r="A2925" s="216" t="s">
        <v>5559</v>
      </c>
      <c r="B2925" s="40" t="s">
        <v>3432</v>
      </c>
      <c r="C2925" s="1161" t="s">
        <v>7111</v>
      </c>
      <c r="D2925" s="912" t="n">
        <v>2006</v>
      </c>
      <c r="E2925" s="912" t="n">
        <f aca="false">2021-D2925</f>
        <v>15</v>
      </c>
      <c r="F2925" s="547" t="n">
        <v>1585000</v>
      </c>
      <c r="G2925" s="1413" t="n">
        <v>0.1</v>
      </c>
      <c r="H2925" s="547" t="n">
        <f aca="false">E2925*F2925*G2925</f>
        <v>2377500</v>
      </c>
      <c r="I2925" s="547" t="n">
        <f aca="false">F2925-H2925</f>
        <v>-792500</v>
      </c>
      <c r="J2925" s="547" t="n">
        <f aca="false">F2925*G2925</f>
        <v>158500</v>
      </c>
      <c r="K2925" s="1365" t="n">
        <f aca="false">J2925/1792.8</f>
        <v>88.409192324855</v>
      </c>
      <c r="L2925" s="547" t="n">
        <v>30</v>
      </c>
      <c r="M2925" s="934" t="n">
        <f aca="false">K2925*L2925/60</f>
        <v>44.2045961624275</v>
      </c>
    </row>
    <row r="2926" customFormat="false" ht="15" hidden="false" customHeight="false" outlineLevel="0" collapsed="false">
      <c r="A2926" s="216" t="s">
        <v>5560</v>
      </c>
      <c r="B2926" s="40" t="s">
        <v>3149</v>
      </c>
      <c r="C2926" s="1161" t="s">
        <v>7111</v>
      </c>
      <c r="D2926" s="912" t="n">
        <v>2006</v>
      </c>
      <c r="E2926" s="912" t="n">
        <f aca="false">2021-D2926</f>
        <v>15</v>
      </c>
      <c r="F2926" s="547" t="n">
        <v>1585000</v>
      </c>
      <c r="G2926" s="1413" t="n">
        <v>0.1</v>
      </c>
      <c r="H2926" s="547" t="n">
        <f aca="false">E2926*F2926*G2926</f>
        <v>2377500</v>
      </c>
      <c r="I2926" s="547" t="n">
        <f aca="false">F2926-H2926</f>
        <v>-792500</v>
      </c>
      <c r="J2926" s="547" t="n">
        <f aca="false">F2926*G2926</f>
        <v>158500</v>
      </c>
      <c r="K2926" s="1365" t="n">
        <f aca="false">J2926/1792.8</f>
        <v>88.409192324855</v>
      </c>
      <c r="L2926" s="547" t="n">
        <v>30</v>
      </c>
      <c r="M2926" s="934" t="n">
        <f aca="false">K2926*L2926/60</f>
        <v>44.2045961624275</v>
      </c>
    </row>
    <row r="2927" customFormat="false" ht="15" hidden="false" customHeight="false" outlineLevel="0" collapsed="false">
      <c r="A2927" s="216" t="s">
        <v>5562</v>
      </c>
      <c r="B2927" s="40" t="s">
        <v>3461</v>
      </c>
      <c r="C2927" s="1161" t="s">
        <v>7109</v>
      </c>
      <c r="D2927" s="912" t="n">
        <v>2006</v>
      </c>
      <c r="E2927" s="912" t="n">
        <f aca="false">2021-D2927</f>
        <v>15</v>
      </c>
      <c r="F2927" s="547" t="n">
        <v>2000000</v>
      </c>
      <c r="G2927" s="1413" t="n">
        <v>0.1</v>
      </c>
      <c r="H2927" s="547" t="n">
        <f aca="false">E2927*F2927*G2927</f>
        <v>3000000</v>
      </c>
      <c r="I2927" s="547" t="n">
        <f aca="false">F2927-H2927</f>
        <v>-1000000</v>
      </c>
      <c r="J2927" s="547" t="n">
        <f aca="false">F2927*G2927</f>
        <v>200000</v>
      </c>
      <c r="K2927" s="1365" t="n">
        <f aca="false">J2927/1792.8</f>
        <v>111.557340473003</v>
      </c>
      <c r="L2927" s="547" t="n">
        <v>30</v>
      </c>
      <c r="M2927" s="934" t="n">
        <f aca="false">K2927*L2927/60</f>
        <v>55.7786702365016</v>
      </c>
    </row>
    <row r="2928" customFormat="false" ht="15" hidden="false" customHeight="false" outlineLevel="0" collapsed="false">
      <c r="A2928" s="216" t="s">
        <v>7119</v>
      </c>
      <c r="B2928" s="40" t="s">
        <v>3462</v>
      </c>
      <c r="C2928" s="1161" t="s">
        <v>7109</v>
      </c>
      <c r="D2928" s="912" t="n">
        <v>2006</v>
      </c>
      <c r="E2928" s="912" t="n">
        <f aca="false">2021-D2928</f>
        <v>15</v>
      </c>
      <c r="F2928" s="547" t="n">
        <v>2000000</v>
      </c>
      <c r="G2928" s="1413" t="n">
        <v>0.1</v>
      </c>
      <c r="H2928" s="547" t="n">
        <f aca="false">E2928*F2928*G2928</f>
        <v>3000000</v>
      </c>
      <c r="I2928" s="547" t="n">
        <f aca="false">F2928-H2928</f>
        <v>-1000000</v>
      </c>
      <c r="J2928" s="547" t="n">
        <f aca="false">F2928*G2928</f>
        <v>200000</v>
      </c>
      <c r="K2928" s="1365" t="n">
        <f aca="false">J2928/1792.8</f>
        <v>111.557340473003</v>
      </c>
      <c r="L2928" s="547" t="n">
        <v>30</v>
      </c>
      <c r="M2928" s="934" t="n">
        <f aca="false">K2928*L2928/60</f>
        <v>55.7786702365016</v>
      </c>
    </row>
    <row r="2929" customFormat="false" ht="15" hidden="false" customHeight="false" outlineLevel="0" collapsed="false">
      <c r="A2929" s="216" t="s">
        <v>1450</v>
      </c>
      <c r="B2929" s="40" t="s">
        <v>3463</v>
      </c>
      <c r="C2929" s="1161" t="s">
        <v>7109</v>
      </c>
      <c r="D2929" s="912" t="n">
        <v>2006</v>
      </c>
      <c r="E2929" s="912" t="n">
        <f aca="false">2021-D2929</f>
        <v>15</v>
      </c>
      <c r="F2929" s="547" t="n">
        <v>2000000</v>
      </c>
      <c r="G2929" s="1413" t="n">
        <v>0.1</v>
      </c>
      <c r="H2929" s="547" t="n">
        <f aca="false">E2929*F2929*G2929</f>
        <v>3000000</v>
      </c>
      <c r="I2929" s="547" t="n">
        <f aca="false">F2929-H2929</f>
        <v>-1000000</v>
      </c>
      <c r="J2929" s="547" t="n">
        <f aca="false">F2929*G2929</f>
        <v>200000</v>
      </c>
      <c r="K2929" s="1365" t="n">
        <f aca="false">J2929/1792.8</f>
        <v>111.557340473003</v>
      </c>
      <c r="L2929" s="547" t="n">
        <v>30</v>
      </c>
      <c r="M2929" s="934" t="n">
        <f aca="false">K2929*L2929/60</f>
        <v>55.7786702365016</v>
      </c>
    </row>
    <row r="2930" customFormat="false" ht="30" hidden="false" customHeight="false" outlineLevel="0" collapsed="false">
      <c r="A2930" s="216" t="s">
        <v>5568</v>
      </c>
      <c r="B2930" s="40" t="s">
        <v>3466</v>
      </c>
      <c r="C2930" s="1161" t="s">
        <v>7116</v>
      </c>
      <c r="D2930" s="912" t="n">
        <v>2006</v>
      </c>
      <c r="E2930" s="912" t="n">
        <f aca="false">2021-D2930</f>
        <v>15</v>
      </c>
      <c r="F2930" s="547" t="n">
        <v>5608600</v>
      </c>
      <c r="G2930" s="1413" t="n">
        <v>0.1</v>
      </c>
      <c r="H2930" s="547" t="n">
        <f aca="false">E2930*F2930*G2930</f>
        <v>8412900</v>
      </c>
      <c r="I2930" s="547" t="n">
        <f aca="false">F2930-H2930</f>
        <v>-2804300</v>
      </c>
      <c r="J2930" s="547" t="n">
        <f aca="false">F2930*G2930</f>
        <v>560860</v>
      </c>
      <c r="K2930" s="1365" t="n">
        <f aca="false">J2930/1792.8</f>
        <v>312.840249888443</v>
      </c>
      <c r="L2930" s="547" t="n">
        <v>30</v>
      </c>
      <c r="M2930" s="934" t="n">
        <f aca="false">K2930*L2930/60</f>
        <v>156.420124944221</v>
      </c>
    </row>
    <row r="2931" customFormat="false" ht="15" hidden="false" customHeight="false" outlineLevel="0" collapsed="false">
      <c r="A2931" s="216" t="s">
        <v>5569</v>
      </c>
      <c r="B2931" s="78" t="s">
        <v>3481</v>
      </c>
      <c r="C2931" s="1161" t="s">
        <v>7109</v>
      </c>
      <c r="D2931" s="912" t="n">
        <v>2006</v>
      </c>
      <c r="E2931" s="912" t="n">
        <f aca="false">2021-D2931</f>
        <v>15</v>
      </c>
      <c r="F2931" s="547" t="n">
        <v>1585000</v>
      </c>
      <c r="G2931" s="1413" t="n">
        <v>0.1</v>
      </c>
      <c r="H2931" s="547" t="n">
        <f aca="false">E2931*F2931*G2931</f>
        <v>2377500</v>
      </c>
      <c r="I2931" s="547" t="n">
        <f aca="false">F2931-H2931</f>
        <v>-792500</v>
      </c>
      <c r="J2931" s="547" t="n">
        <f aca="false">F2931*G2931</f>
        <v>158500</v>
      </c>
      <c r="K2931" s="1365" t="n">
        <f aca="false">J2931/1792.8</f>
        <v>88.409192324855</v>
      </c>
      <c r="L2931" s="547" t="n">
        <v>30</v>
      </c>
      <c r="M2931" s="934" t="n">
        <f aca="false">K2931*L2931/60</f>
        <v>44.2045961624275</v>
      </c>
    </row>
    <row r="2932" customFormat="false" ht="15" hidden="false" customHeight="false" outlineLevel="0" collapsed="false">
      <c r="A2932" s="216" t="s">
        <v>5571</v>
      </c>
      <c r="B2932" s="78" t="s">
        <v>3482</v>
      </c>
      <c r="C2932" s="1161" t="s">
        <v>7109</v>
      </c>
      <c r="D2932" s="912" t="n">
        <v>2006</v>
      </c>
      <c r="E2932" s="912" t="n">
        <f aca="false">2021-D2932</f>
        <v>15</v>
      </c>
      <c r="F2932" s="547" t="n">
        <v>1585000</v>
      </c>
      <c r="G2932" s="1413" t="n">
        <v>0.1</v>
      </c>
      <c r="H2932" s="547" t="n">
        <f aca="false">E2932*F2932*G2932</f>
        <v>2377500</v>
      </c>
      <c r="I2932" s="547" t="n">
        <f aca="false">F2932-H2932</f>
        <v>-792500</v>
      </c>
      <c r="J2932" s="547" t="n">
        <f aca="false">F2932*G2932</f>
        <v>158500</v>
      </c>
      <c r="K2932" s="1365" t="n">
        <f aca="false">J2932/1792.8</f>
        <v>88.409192324855</v>
      </c>
      <c r="L2932" s="547" t="n">
        <v>30</v>
      </c>
      <c r="M2932" s="934" t="n">
        <f aca="false">K2932*L2932/60</f>
        <v>44.2045961624275</v>
      </c>
    </row>
    <row r="2933" customFormat="false" ht="15" hidden="false" customHeight="false" outlineLevel="0" collapsed="false">
      <c r="A2933" s="216" t="s">
        <v>5573</v>
      </c>
      <c r="B2933" s="78" t="s">
        <v>3483</v>
      </c>
      <c r="C2933" s="1161" t="s">
        <v>7109</v>
      </c>
      <c r="D2933" s="912" t="n">
        <v>2006</v>
      </c>
      <c r="E2933" s="912" t="n">
        <f aca="false">2021-D2933</f>
        <v>15</v>
      </c>
      <c r="F2933" s="547" t="n">
        <v>1585000</v>
      </c>
      <c r="G2933" s="1413" t="n">
        <v>0.1</v>
      </c>
      <c r="H2933" s="547" t="n">
        <f aca="false">E2933*F2933*G2933</f>
        <v>2377500</v>
      </c>
      <c r="I2933" s="547" t="n">
        <f aca="false">F2933-H2933</f>
        <v>-792500</v>
      </c>
      <c r="J2933" s="547" t="n">
        <f aca="false">F2933*G2933</f>
        <v>158500</v>
      </c>
      <c r="K2933" s="1365" t="n">
        <f aca="false">J2933/1792.8</f>
        <v>88.409192324855</v>
      </c>
      <c r="L2933" s="547" t="n">
        <v>30</v>
      </c>
      <c r="M2933" s="934" t="n">
        <f aca="false">K2933*L2933/60</f>
        <v>44.2045961624275</v>
      </c>
    </row>
    <row r="2934" customFormat="false" ht="15" hidden="false" customHeight="false" outlineLevel="0" collapsed="false">
      <c r="A2934" s="216" t="s">
        <v>1456</v>
      </c>
      <c r="B2934" s="78" t="s">
        <v>3484</v>
      </c>
      <c r="C2934" s="1161" t="s">
        <v>7116</v>
      </c>
      <c r="D2934" s="912" t="n">
        <v>2006</v>
      </c>
      <c r="E2934" s="912" t="n">
        <f aca="false">2021-D2934</f>
        <v>15</v>
      </c>
      <c r="F2934" s="547" t="n">
        <v>5608600</v>
      </c>
      <c r="G2934" s="1413" t="n">
        <v>0.1</v>
      </c>
      <c r="H2934" s="547" t="n">
        <f aca="false">E2934*F2934*G2934</f>
        <v>8412900</v>
      </c>
      <c r="I2934" s="547" t="n">
        <f aca="false">F2934-H2934</f>
        <v>-2804300</v>
      </c>
      <c r="J2934" s="547" t="n">
        <f aca="false">F2934*G2934</f>
        <v>560860</v>
      </c>
      <c r="K2934" s="1365" t="n">
        <f aca="false">J2934/1792.8</f>
        <v>312.840249888443</v>
      </c>
      <c r="L2934" s="547" t="n">
        <v>30</v>
      </c>
      <c r="M2934" s="934" t="n">
        <f aca="false">K2934*L2934/60</f>
        <v>156.420124944221</v>
      </c>
    </row>
    <row r="2935" customFormat="false" ht="15" hidden="false" customHeight="false" outlineLevel="0" collapsed="false">
      <c r="A2935" s="216" t="s">
        <v>5576</v>
      </c>
      <c r="B2935" s="78" t="s">
        <v>3485</v>
      </c>
      <c r="C2935" s="1161" t="s">
        <v>7116</v>
      </c>
      <c r="D2935" s="912" t="n">
        <v>2006</v>
      </c>
      <c r="E2935" s="912" t="n">
        <f aca="false">2021-D2935</f>
        <v>15</v>
      </c>
      <c r="F2935" s="547" t="n">
        <v>5608600</v>
      </c>
      <c r="G2935" s="1413" t="n">
        <v>0.1</v>
      </c>
      <c r="H2935" s="547" t="n">
        <f aca="false">E2935*F2935*G2935</f>
        <v>8412900</v>
      </c>
      <c r="I2935" s="547" t="n">
        <f aca="false">F2935-H2935</f>
        <v>-2804300</v>
      </c>
      <c r="J2935" s="547" t="n">
        <f aca="false">F2935*G2935</f>
        <v>560860</v>
      </c>
      <c r="K2935" s="1365" t="n">
        <f aca="false">J2935/1792.8</f>
        <v>312.840249888443</v>
      </c>
      <c r="L2935" s="547" t="n">
        <v>30</v>
      </c>
      <c r="M2935" s="934" t="n">
        <f aca="false">K2935*L2935/60</f>
        <v>156.420124944221</v>
      </c>
    </row>
    <row r="2936" customFormat="false" ht="15" hidden="false" customHeight="false" outlineLevel="0" collapsed="false">
      <c r="A2936" s="216" t="s">
        <v>5578</v>
      </c>
      <c r="B2936" s="78" t="s">
        <v>3486</v>
      </c>
      <c r="C2936" s="1161" t="s">
        <v>7116</v>
      </c>
      <c r="D2936" s="912" t="n">
        <v>2006</v>
      </c>
      <c r="E2936" s="912" t="n">
        <f aca="false">2021-D2936</f>
        <v>15</v>
      </c>
      <c r="F2936" s="547" t="n">
        <v>5608600</v>
      </c>
      <c r="G2936" s="1413" t="n">
        <v>0.1</v>
      </c>
      <c r="H2936" s="547" t="n">
        <f aca="false">E2936*F2936*G2936</f>
        <v>8412900</v>
      </c>
      <c r="I2936" s="547" t="n">
        <f aca="false">F2936-H2936</f>
        <v>-2804300</v>
      </c>
      <c r="J2936" s="547" t="n">
        <f aca="false">F2936*G2936</f>
        <v>560860</v>
      </c>
      <c r="K2936" s="1365" t="n">
        <f aca="false">J2936/1792.8</f>
        <v>312.840249888443</v>
      </c>
      <c r="L2936" s="547" t="n">
        <v>30</v>
      </c>
      <c r="M2936" s="934" t="n">
        <f aca="false">K2936*L2936/60</f>
        <v>156.420124944221</v>
      </c>
    </row>
    <row r="2937" customFormat="false" ht="15" hidden="false" customHeight="false" outlineLevel="0" collapsed="false">
      <c r="A2937" s="216" t="s">
        <v>5579</v>
      </c>
      <c r="B2937" s="78" t="s">
        <v>3487</v>
      </c>
      <c r="C2937" s="1161" t="s">
        <v>4568</v>
      </c>
      <c r="D2937" s="912" t="n">
        <v>2006</v>
      </c>
      <c r="E2937" s="912" t="n">
        <f aca="false">2021-D2937</f>
        <v>15</v>
      </c>
      <c r="F2937" s="547" t="n">
        <v>133722</v>
      </c>
      <c r="G2937" s="1413" t="n">
        <v>0.1</v>
      </c>
      <c r="H2937" s="547" t="n">
        <f aca="false">E2937*F2937*G2937</f>
        <v>200583</v>
      </c>
      <c r="I2937" s="547" t="n">
        <f aca="false">F2937-H2937</f>
        <v>-66861</v>
      </c>
      <c r="J2937" s="547" t="n">
        <f aca="false">F2937*G2937</f>
        <v>13372.2</v>
      </c>
      <c r="K2937" s="1365" t="n">
        <f aca="false">J2937/1792.8</f>
        <v>7.45883534136546</v>
      </c>
      <c r="L2937" s="547" t="n">
        <v>30</v>
      </c>
      <c r="M2937" s="934" t="n">
        <f aca="false">K2937*L2937/60</f>
        <v>3.72941767068273</v>
      </c>
    </row>
    <row r="2938" customFormat="false" ht="15" hidden="false" customHeight="false" outlineLevel="0" collapsed="false">
      <c r="A2938" s="216" t="s">
        <v>5580</v>
      </c>
      <c r="B2938" s="1468" t="s">
        <v>3488</v>
      </c>
      <c r="C2938" s="1161" t="s">
        <v>7117</v>
      </c>
      <c r="D2938" s="912" t="n">
        <v>2006</v>
      </c>
      <c r="E2938" s="912" t="n">
        <f aca="false">2021-D2938</f>
        <v>15</v>
      </c>
      <c r="F2938" s="547" t="n">
        <v>133722</v>
      </c>
      <c r="G2938" s="1413" t="n">
        <v>0.1</v>
      </c>
      <c r="H2938" s="547" t="n">
        <f aca="false">E2938*F2938*G2938</f>
        <v>200583</v>
      </c>
      <c r="I2938" s="547" t="n">
        <f aca="false">F2938-H2938</f>
        <v>-66861</v>
      </c>
      <c r="J2938" s="547" t="n">
        <f aca="false">F2938*G2938</f>
        <v>13372.2</v>
      </c>
      <c r="K2938" s="1365" t="n">
        <f aca="false">J2938/1792.8</f>
        <v>7.45883534136546</v>
      </c>
      <c r="L2938" s="547" t="n">
        <v>180</v>
      </c>
      <c r="M2938" s="934" t="n">
        <f aca="false">K2938*L2938/60</f>
        <v>22.3765060240964</v>
      </c>
    </row>
    <row r="2939" customFormat="false" ht="30" hidden="false" customHeight="false" outlineLevel="0" collapsed="false">
      <c r="A2939" s="216" t="s">
        <v>5581</v>
      </c>
      <c r="B2939" s="40" t="s">
        <v>3489</v>
      </c>
      <c r="C2939" s="1161" t="s">
        <v>7120</v>
      </c>
      <c r="D2939" s="912" t="n">
        <v>2006</v>
      </c>
      <c r="E2939" s="912" t="n">
        <f aca="false">2021-D2939</f>
        <v>15</v>
      </c>
      <c r="F2939" s="547" t="n">
        <v>133722</v>
      </c>
      <c r="G2939" s="1413" t="n">
        <v>0.1</v>
      </c>
      <c r="H2939" s="547" t="n">
        <f aca="false">E2939*F2939*G2939</f>
        <v>200583</v>
      </c>
      <c r="I2939" s="547" t="n">
        <f aca="false">F2939-H2939</f>
        <v>-66861</v>
      </c>
      <c r="J2939" s="547" t="n">
        <f aca="false">F2939*G2939</f>
        <v>13372.2</v>
      </c>
      <c r="K2939" s="1365" t="n">
        <f aca="false">J2939/1792.8</f>
        <v>7.45883534136546</v>
      </c>
      <c r="L2939" s="547" t="n">
        <v>30</v>
      </c>
      <c r="M2939" s="934" t="n">
        <f aca="false">K2939*L2939/60</f>
        <v>3.72941767068273</v>
      </c>
    </row>
    <row r="2940" customFormat="false" ht="30" hidden="false" customHeight="false" outlineLevel="0" collapsed="false">
      <c r="A2940" s="216" t="s">
        <v>5583</v>
      </c>
      <c r="B2940" s="40" t="s">
        <v>3490</v>
      </c>
      <c r="C2940" s="1161" t="s">
        <v>7120</v>
      </c>
      <c r="D2940" s="912" t="n">
        <v>2006</v>
      </c>
      <c r="E2940" s="912" t="n">
        <f aca="false">2021-D2940</f>
        <v>15</v>
      </c>
      <c r="F2940" s="547" t="n">
        <v>133722</v>
      </c>
      <c r="G2940" s="1413" t="n">
        <v>0.1</v>
      </c>
      <c r="H2940" s="547" t="n">
        <f aca="false">E2940*F2940*G2940</f>
        <v>200583</v>
      </c>
      <c r="I2940" s="547" t="n">
        <f aca="false">F2940-H2940</f>
        <v>-66861</v>
      </c>
      <c r="J2940" s="547" t="n">
        <f aca="false">F2940*G2940</f>
        <v>13372.2</v>
      </c>
      <c r="K2940" s="1365" t="n">
        <f aca="false">J2940/1792.8</f>
        <v>7.45883534136546</v>
      </c>
      <c r="L2940" s="547" t="n">
        <v>120</v>
      </c>
      <c r="M2940" s="934" t="n">
        <f aca="false">K2940*L2940/60</f>
        <v>14.9176706827309</v>
      </c>
    </row>
    <row r="2941" customFormat="false" ht="30" hidden="false" customHeight="false" outlineLevel="0" collapsed="false">
      <c r="A2941" s="216" t="s">
        <v>5585</v>
      </c>
      <c r="B2941" s="78" t="s">
        <v>3491</v>
      </c>
      <c r="C2941" s="1161" t="s">
        <v>7120</v>
      </c>
      <c r="D2941" s="912" t="n">
        <v>2006</v>
      </c>
      <c r="E2941" s="912" t="n">
        <f aca="false">2021-D2941</f>
        <v>15</v>
      </c>
      <c r="F2941" s="547" t="n">
        <v>133722</v>
      </c>
      <c r="G2941" s="1413" t="n">
        <v>0.1</v>
      </c>
      <c r="H2941" s="547" t="n">
        <f aca="false">E2941*F2941*G2941</f>
        <v>200583</v>
      </c>
      <c r="I2941" s="547" t="n">
        <f aca="false">F2941-H2941</f>
        <v>-66861</v>
      </c>
      <c r="J2941" s="547" t="n">
        <f aca="false">F2941*G2941</f>
        <v>13372.2</v>
      </c>
      <c r="K2941" s="1365" t="n">
        <f aca="false">J2941/1792.8</f>
        <v>7.45883534136546</v>
      </c>
      <c r="L2941" s="547" t="n">
        <v>30</v>
      </c>
      <c r="M2941" s="934" t="n">
        <f aca="false">K2941*L2941/60</f>
        <v>3.72941767068273</v>
      </c>
    </row>
    <row r="2942" customFormat="false" ht="57" hidden="false" customHeight="false" outlineLevel="0" collapsed="false">
      <c r="A2942" s="15" t="s">
        <v>5586</v>
      </c>
      <c r="B2942" s="90" t="s">
        <v>3492</v>
      </c>
      <c r="C2942" s="88"/>
      <c r="D2942" s="339"/>
      <c r="E2942" s="339"/>
      <c r="F2942" s="751"/>
      <c r="G2942" s="1412"/>
      <c r="H2942" s="751"/>
      <c r="I2942" s="751"/>
      <c r="J2942" s="751"/>
      <c r="K2942" s="751"/>
      <c r="L2942" s="712"/>
      <c r="M2942" s="818"/>
    </row>
    <row r="2943" customFormat="false" ht="30" hidden="false" customHeight="false" outlineLevel="0" collapsed="false">
      <c r="A2943" s="216" t="s">
        <v>1473</v>
      </c>
      <c r="B2943" s="40" t="s">
        <v>5588</v>
      </c>
      <c r="C2943" s="78"/>
      <c r="D2943" s="912"/>
      <c r="E2943" s="912"/>
      <c r="F2943" s="547"/>
      <c r="G2943" s="1413"/>
      <c r="H2943" s="547"/>
      <c r="I2943" s="547"/>
      <c r="J2943" s="547"/>
      <c r="K2943" s="1365" t="n">
        <f aca="false">J2943/1792.8</f>
        <v>0</v>
      </c>
      <c r="L2943" s="547" t="n">
        <v>30</v>
      </c>
      <c r="M2943" s="934"/>
    </row>
    <row r="2944" customFormat="false" ht="15" hidden="false" customHeight="false" outlineLevel="0" collapsed="false">
      <c r="A2944" s="216" t="s">
        <v>1475</v>
      </c>
      <c r="B2944" s="40" t="s">
        <v>3494</v>
      </c>
      <c r="C2944" s="1161"/>
      <c r="D2944" s="912"/>
      <c r="E2944" s="912"/>
      <c r="F2944" s="547"/>
      <c r="G2944" s="1413"/>
      <c r="H2944" s="547"/>
      <c r="I2944" s="547"/>
      <c r="J2944" s="547"/>
      <c r="K2944" s="1365" t="n">
        <f aca="false">J2944/1792.8</f>
        <v>0</v>
      </c>
      <c r="L2944" s="547" t="n">
        <v>30</v>
      </c>
      <c r="M2944" s="934"/>
    </row>
    <row r="2945" customFormat="false" ht="15" hidden="false" customHeight="false" outlineLevel="0" collapsed="false">
      <c r="A2945" s="216" t="s">
        <v>1476</v>
      </c>
      <c r="B2945" s="40" t="s">
        <v>3495</v>
      </c>
      <c r="C2945" s="1161"/>
      <c r="D2945" s="912"/>
      <c r="E2945" s="912"/>
      <c r="F2945" s="547"/>
      <c r="G2945" s="1413"/>
      <c r="H2945" s="547"/>
      <c r="I2945" s="547"/>
      <c r="J2945" s="547"/>
      <c r="K2945" s="1365" t="n">
        <f aca="false">J2945/1792.8</f>
        <v>0</v>
      </c>
      <c r="L2945" s="547" t="n">
        <v>30</v>
      </c>
      <c r="M2945" s="934"/>
    </row>
    <row r="2946" customFormat="false" ht="15" hidden="false" customHeight="false" outlineLevel="0" collapsed="false">
      <c r="A2946" s="216" t="s">
        <v>1477</v>
      </c>
      <c r="B2946" s="40" t="s">
        <v>3496</v>
      </c>
      <c r="C2946" s="1161"/>
      <c r="D2946" s="912"/>
      <c r="E2946" s="912"/>
      <c r="F2946" s="547"/>
      <c r="G2946" s="1413"/>
      <c r="H2946" s="547"/>
      <c r="I2946" s="547"/>
      <c r="J2946" s="547"/>
      <c r="K2946" s="1365" t="n">
        <f aca="false">J2946/1792.8</f>
        <v>0</v>
      </c>
      <c r="L2946" s="547" t="n">
        <v>30</v>
      </c>
      <c r="M2946" s="934"/>
    </row>
    <row r="2947" customFormat="false" ht="30" hidden="false" customHeight="false" outlineLevel="0" collapsed="false">
      <c r="A2947" s="216" t="s">
        <v>1478</v>
      </c>
      <c r="B2947" s="40" t="s">
        <v>3497</v>
      </c>
      <c r="C2947" s="1161"/>
      <c r="D2947" s="912"/>
      <c r="E2947" s="912"/>
      <c r="F2947" s="547"/>
      <c r="G2947" s="1413"/>
      <c r="H2947" s="547"/>
      <c r="I2947" s="547"/>
      <c r="J2947" s="547"/>
      <c r="K2947" s="1365" t="n">
        <f aca="false">J2947/1792.8</f>
        <v>0</v>
      </c>
      <c r="L2947" s="547" t="n">
        <v>30</v>
      </c>
      <c r="M2947" s="934"/>
    </row>
    <row r="2948" customFormat="false" ht="30" hidden="false" customHeight="false" outlineLevel="0" collapsed="false">
      <c r="A2948" s="216" t="s">
        <v>1479</v>
      </c>
      <c r="B2948" s="40" t="s">
        <v>3498</v>
      </c>
      <c r="C2948" s="1161" t="s">
        <v>7111</v>
      </c>
      <c r="D2948" s="912" t="n">
        <v>2006</v>
      </c>
      <c r="E2948" s="912" t="n">
        <f aca="false">2021-D2948</f>
        <v>15</v>
      </c>
      <c r="F2948" s="547" t="n">
        <v>1585000</v>
      </c>
      <c r="G2948" s="1413" t="n">
        <v>0.1</v>
      </c>
      <c r="H2948" s="547" t="n">
        <f aca="false">E2948*F2948*G2948</f>
        <v>2377500</v>
      </c>
      <c r="I2948" s="547" t="n">
        <f aca="false">F2948-H2948</f>
        <v>-792500</v>
      </c>
      <c r="J2948" s="547" t="n">
        <f aca="false">F2948*G2948</f>
        <v>158500</v>
      </c>
      <c r="K2948" s="1365" t="n">
        <f aca="false">J2948/1792.8</f>
        <v>88.409192324855</v>
      </c>
      <c r="L2948" s="547" t="n">
        <v>30</v>
      </c>
      <c r="M2948" s="934" t="n">
        <f aca="false">K2948*L2948/60</f>
        <v>44.2045961624275</v>
      </c>
    </row>
    <row r="2949" customFormat="false" ht="30" hidden="false" customHeight="false" outlineLevel="0" collapsed="false">
      <c r="A2949" s="216" t="s">
        <v>1480</v>
      </c>
      <c r="B2949" s="40" t="s">
        <v>3499</v>
      </c>
      <c r="C2949" s="1161" t="s">
        <v>7111</v>
      </c>
      <c r="D2949" s="912" t="n">
        <v>2006</v>
      </c>
      <c r="E2949" s="912" t="n">
        <f aca="false">2021-D2949</f>
        <v>15</v>
      </c>
      <c r="F2949" s="547" t="n">
        <v>1585000</v>
      </c>
      <c r="G2949" s="1413" t="n">
        <v>0.1</v>
      </c>
      <c r="H2949" s="547" t="n">
        <f aca="false">E2949*F2949*G2949</f>
        <v>2377500</v>
      </c>
      <c r="I2949" s="547" t="n">
        <f aca="false">F2949-H2949</f>
        <v>-792500</v>
      </c>
      <c r="J2949" s="547" t="n">
        <f aca="false">F2949*G2949</f>
        <v>158500</v>
      </c>
      <c r="K2949" s="1365" t="n">
        <f aca="false">J2949/1792.8</f>
        <v>88.409192324855</v>
      </c>
      <c r="L2949" s="547" t="n">
        <v>30</v>
      </c>
      <c r="M2949" s="934" t="n">
        <f aca="false">K2949*L2949/60</f>
        <v>44.2045961624275</v>
      </c>
    </row>
    <row r="2950" customFormat="false" ht="30" hidden="false" customHeight="false" outlineLevel="0" collapsed="false">
      <c r="A2950" s="216" t="s">
        <v>1481</v>
      </c>
      <c r="B2950" s="40" t="s">
        <v>3500</v>
      </c>
      <c r="C2950" s="1161" t="s">
        <v>7111</v>
      </c>
      <c r="D2950" s="912" t="n">
        <v>2006</v>
      </c>
      <c r="E2950" s="912" t="n">
        <f aca="false">2021-D2950</f>
        <v>15</v>
      </c>
      <c r="F2950" s="547" t="n">
        <v>1585000</v>
      </c>
      <c r="G2950" s="1413" t="n">
        <v>0.1</v>
      </c>
      <c r="H2950" s="547" t="n">
        <f aca="false">E2950*F2950*G2950</f>
        <v>2377500</v>
      </c>
      <c r="I2950" s="547" t="n">
        <f aca="false">F2950-H2950</f>
        <v>-792500</v>
      </c>
      <c r="J2950" s="547" t="n">
        <f aca="false">F2950*G2950</f>
        <v>158500</v>
      </c>
      <c r="K2950" s="1365" t="n">
        <f aca="false">J2950/1792.8</f>
        <v>88.409192324855</v>
      </c>
      <c r="L2950" s="547" t="n">
        <v>30</v>
      </c>
      <c r="M2950" s="934" t="n">
        <f aca="false">K2950*L2950/60</f>
        <v>44.2045961624275</v>
      </c>
    </row>
    <row r="2951" customFormat="false" ht="30" hidden="false" customHeight="false" outlineLevel="0" collapsed="false">
      <c r="A2951" s="216" t="s">
        <v>1482</v>
      </c>
      <c r="B2951" s="40" t="s">
        <v>3501</v>
      </c>
      <c r="C2951" s="1161" t="s">
        <v>7111</v>
      </c>
      <c r="D2951" s="912" t="n">
        <v>2006</v>
      </c>
      <c r="E2951" s="912" t="n">
        <f aca="false">2021-D2951</f>
        <v>15</v>
      </c>
      <c r="F2951" s="547" t="n">
        <v>1585000</v>
      </c>
      <c r="G2951" s="1413" t="n">
        <v>0.1</v>
      </c>
      <c r="H2951" s="547" t="n">
        <f aca="false">E2951*F2951*G2951</f>
        <v>2377500</v>
      </c>
      <c r="I2951" s="547" t="n">
        <f aca="false">F2951-H2951</f>
        <v>-792500</v>
      </c>
      <c r="J2951" s="547" t="n">
        <f aca="false">F2951*G2951</f>
        <v>158500</v>
      </c>
      <c r="K2951" s="1365" t="n">
        <f aca="false">J2951/1792.8</f>
        <v>88.409192324855</v>
      </c>
      <c r="L2951" s="547" t="n">
        <v>30</v>
      </c>
      <c r="M2951" s="934" t="n">
        <f aca="false">K2951*L2951/60</f>
        <v>44.2045961624275</v>
      </c>
    </row>
    <row r="2952" customFormat="false" ht="15" hidden="false" customHeight="false" outlineLevel="0" collapsed="false">
      <c r="A2952" s="216" t="s">
        <v>1483</v>
      </c>
      <c r="B2952" s="40" t="s">
        <v>3431</v>
      </c>
      <c r="C2952" s="1161" t="s">
        <v>7109</v>
      </c>
      <c r="D2952" s="912" t="n">
        <v>2006</v>
      </c>
      <c r="E2952" s="912" t="n">
        <f aca="false">2021-D2952</f>
        <v>15</v>
      </c>
      <c r="F2952" s="547" t="n">
        <v>2000000</v>
      </c>
      <c r="G2952" s="1413" t="n">
        <v>0.1</v>
      </c>
      <c r="H2952" s="547" t="n">
        <f aca="false">E2952*F2952*G2952</f>
        <v>3000000</v>
      </c>
      <c r="I2952" s="547" t="n">
        <f aca="false">F2952-H2952</f>
        <v>-1000000</v>
      </c>
      <c r="J2952" s="547" t="n">
        <f aca="false">F2952*G2952</f>
        <v>200000</v>
      </c>
      <c r="K2952" s="1365" t="n">
        <f aca="false">J2952/1792.8</f>
        <v>111.557340473003</v>
      </c>
      <c r="L2952" s="547" t="n">
        <v>30</v>
      </c>
      <c r="M2952" s="934" t="n">
        <f aca="false">K2952*L2952/60</f>
        <v>55.7786702365016</v>
      </c>
    </row>
    <row r="2953" customFormat="false" ht="15" hidden="false" customHeight="false" outlineLevel="0" collapsed="false">
      <c r="A2953" s="216" t="s">
        <v>1484</v>
      </c>
      <c r="B2953" s="40" t="s">
        <v>3199</v>
      </c>
      <c r="C2953" s="1161" t="s">
        <v>7109</v>
      </c>
      <c r="D2953" s="912" t="n">
        <v>2006</v>
      </c>
      <c r="E2953" s="912" t="n">
        <f aca="false">2021-D2953</f>
        <v>15</v>
      </c>
      <c r="F2953" s="547" t="n">
        <v>2000000</v>
      </c>
      <c r="G2953" s="1413" t="n">
        <v>0.1</v>
      </c>
      <c r="H2953" s="547" t="n">
        <f aca="false">E2953*F2953*G2953</f>
        <v>3000000</v>
      </c>
      <c r="I2953" s="547" t="n">
        <f aca="false">F2953-H2953</f>
        <v>-1000000</v>
      </c>
      <c r="J2953" s="547" t="n">
        <f aca="false">F2953*G2953</f>
        <v>200000</v>
      </c>
      <c r="K2953" s="1365" t="n">
        <f aca="false">J2953/1792.8</f>
        <v>111.557340473003</v>
      </c>
      <c r="L2953" s="547" t="n">
        <v>30</v>
      </c>
      <c r="M2953" s="934" t="n">
        <f aca="false">K2953*L2953/60</f>
        <v>55.7786702365016</v>
      </c>
    </row>
    <row r="2954" customFormat="false" ht="30" hidden="false" customHeight="false" outlineLevel="0" collapsed="false">
      <c r="A2954" s="216" t="s">
        <v>1485</v>
      </c>
      <c r="B2954" s="40" t="s">
        <v>3502</v>
      </c>
      <c r="C2954" s="1161" t="s">
        <v>7109</v>
      </c>
      <c r="D2954" s="912" t="n">
        <v>2006</v>
      </c>
      <c r="E2954" s="912" t="n">
        <f aca="false">2021-D2954</f>
        <v>15</v>
      </c>
      <c r="F2954" s="547" t="n">
        <v>2000000</v>
      </c>
      <c r="G2954" s="1413" t="n">
        <v>0.1</v>
      </c>
      <c r="H2954" s="547" t="n">
        <f aca="false">E2954*F2954*G2954</f>
        <v>3000000</v>
      </c>
      <c r="I2954" s="547" t="n">
        <f aca="false">F2954-H2954</f>
        <v>-1000000</v>
      </c>
      <c r="J2954" s="547" t="n">
        <f aca="false">F2954*G2954</f>
        <v>200000</v>
      </c>
      <c r="K2954" s="1365" t="n">
        <f aca="false">J2954/1792.8</f>
        <v>111.557340473003</v>
      </c>
      <c r="L2954" s="547" t="n">
        <v>30</v>
      </c>
      <c r="M2954" s="934" t="n">
        <f aca="false">K2954*L2954/60</f>
        <v>55.7786702365016</v>
      </c>
    </row>
    <row r="2955" customFormat="false" ht="15" hidden="false" customHeight="false" outlineLevel="0" collapsed="false">
      <c r="A2955" s="216" t="s">
        <v>1486</v>
      </c>
      <c r="B2955" s="40" t="s">
        <v>3433</v>
      </c>
      <c r="C2955" s="1161" t="s">
        <v>7109</v>
      </c>
      <c r="D2955" s="912" t="n">
        <v>2006</v>
      </c>
      <c r="E2955" s="912" t="n">
        <f aca="false">2021-D2955</f>
        <v>15</v>
      </c>
      <c r="F2955" s="547" t="n">
        <v>2000000</v>
      </c>
      <c r="G2955" s="1413" t="n">
        <v>0.1</v>
      </c>
      <c r="H2955" s="547" t="n">
        <f aca="false">E2955*F2955*G2955</f>
        <v>3000000</v>
      </c>
      <c r="I2955" s="547" t="n">
        <f aca="false">F2955-H2955</f>
        <v>-1000000</v>
      </c>
      <c r="J2955" s="547" t="n">
        <f aca="false">F2955*G2955</f>
        <v>200000</v>
      </c>
      <c r="K2955" s="1365" t="n">
        <f aca="false">J2955/1792.8</f>
        <v>111.557340473003</v>
      </c>
      <c r="L2955" s="547" t="n">
        <v>30</v>
      </c>
      <c r="M2955" s="934" t="n">
        <f aca="false">K2955*L2955/60</f>
        <v>55.7786702365016</v>
      </c>
    </row>
    <row r="2956" customFormat="false" ht="15" hidden="false" customHeight="false" outlineLevel="0" collapsed="false">
      <c r="A2956" s="216" t="s">
        <v>1487</v>
      </c>
      <c r="B2956" s="40" t="s">
        <v>3434</v>
      </c>
      <c r="C2956" s="1161" t="s">
        <v>7109</v>
      </c>
      <c r="D2956" s="912" t="n">
        <v>2006</v>
      </c>
      <c r="E2956" s="912" t="n">
        <f aca="false">2021-D2956</f>
        <v>15</v>
      </c>
      <c r="F2956" s="547" t="n">
        <v>2000000</v>
      </c>
      <c r="G2956" s="1413" t="n">
        <v>0.1</v>
      </c>
      <c r="H2956" s="547" t="n">
        <f aca="false">E2956*F2956*G2956</f>
        <v>3000000</v>
      </c>
      <c r="I2956" s="547" t="n">
        <f aca="false">F2956-H2956</f>
        <v>-1000000</v>
      </c>
      <c r="J2956" s="547" t="n">
        <f aca="false">F2956*G2956</f>
        <v>200000</v>
      </c>
      <c r="K2956" s="1365" t="n">
        <f aca="false">J2956/1792.8</f>
        <v>111.557340473003</v>
      </c>
      <c r="L2956" s="547" t="n">
        <v>30</v>
      </c>
      <c r="M2956" s="934" t="n">
        <f aca="false">K2956*L2956/60</f>
        <v>55.7786702365016</v>
      </c>
    </row>
    <row r="2957" customFormat="false" ht="15" hidden="false" customHeight="false" outlineLevel="0" collapsed="false">
      <c r="A2957" s="216" t="s">
        <v>1488</v>
      </c>
      <c r="B2957" s="40" t="s">
        <v>3435</v>
      </c>
      <c r="C2957" s="1161" t="s">
        <v>7109</v>
      </c>
      <c r="D2957" s="912" t="n">
        <v>2006</v>
      </c>
      <c r="E2957" s="912" t="n">
        <f aca="false">2021-D2957</f>
        <v>15</v>
      </c>
      <c r="F2957" s="547" t="n">
        <v>2000000</v>
      </c>
      <c r="G2957" s="1413" t="n">
        <v>0.1</v>
      </c>
      <c r="H2957" s="547" t="n">
        <f aca="false">E2957*F2957*G2957</f>
        <v>3000000</v>
      </c>
      <c r="I2957" s="547" t="n">
        <f aca="false">F2957-H2957</f>
        <v>-1000000</v>
      </c>
      <c r="J2957" s="547" t="n">
        <f aca="false">F2957*G2957</f>
        <v>200000</v>
      </c>
      <c r="K2957" s="1365" t="n">
        <f aca="false">J2957/1792.8</f>
        <v>111.557340473003</v>
      </c>
      <c r="L2957" s="547" t="n">
        <v>30</v>
      </c>
      <c r="M2957" s="934" t="n">
        <f aca="false">K2957*L2957/60</f>
        <v>55.7786702365016</v>
      </c>
    </row>
    <row r="2958" customFormat="false" ht="15" hidden="false" customHeight="false" outlineLevel="0" collapsed="false">
      <c r="A2958" s="216" t="s">
        <v>1489</v>
      </c>
      <c r="B2958" s="40" t="s">
        <v>3436</v>
      </c>
      <c r="C2958" s="1161" t="s">
        <v>7116</v>
      </c>
      <c r="D2958" s="912" t="n">
        <v>2006</v>
      </c>
      <c r="E2958" s="912" t="n">
        <f aca="false">2021-D2958</f>
        <v>15</v>
      </c>
      <c r="F2958" s="547" t="n">
        <v>5608600</v>
      </c>
      <c r="G2958" s="1413" t="n">
        <v>0.1</v>
      </c>
      <c r="H2958" s="547" t="n">
        <f aca="false">E2958*F2958*G2958</f>
        <v>8412900</v>
      </c>
      <c r="I2958" s="547" t="n">
        <f aca="false">F2958-H2958</f>
        <v>-2804300</v>
      </c>
      <c r="J2958" s="547" t="n">
        <f aca="false">F2958*G2958</f>
        <v>560860</v>
      </c>
      <c r="K2958" s="1365" t="n">
        <f aca="false">J2958/1792.8</f>
        <v>312.840249888443</v>
      </c>
      <c r="L2958" s="547" t="n">
        <v>30</v>
      </c>
      <c r="M2958" s="934" t="n">
        <f aca="false">K2958*L2958/60</f>
        <v>156.420124944221</v>
      </c>
    </row>
    <row r="2959" customFormat="false" ht="15" hidden="false" customHeight="false" outlineLevel="0" collapsed="false">
      <c r="A2959" s="216" t="s">
        <v>1490</v>
      </c>
      <c r="B2959" s="40" t="s">
        <v>3437</v>
      </c>
      <c r="C2959" s="1161" t="s">
        <v>7116</v>
      </c>
      <c r="D2959" s="912" t="n">
        <v>2006</v>
      </c>
      <c r="E2959" s="912" t="n">
        <f aca="false">2021-D2959</f>
        <v>15</v>
      </c>
      <c r="F2959" s="547" t="n">
        <v>5608600</v>
      </c>
      <c r="G2959" s="1413" t="n">
        <v>0.1</v>
      </c>
      <c r="H2959" s="547" t="n">
        <f aca="false">E2959*F2959*G2959</f>
        <v>8412900</v>
      </c>
      <c r="I2959" s="547" t="n">
        <f aca="false">F2959-H2959</f>
        <v>-2804300</v>
      </c>
      <c r="J2959" s="547" t="n">
        <f aca="false">F2959*G2959</f>
        <v>560860</v>
      </c>
      <c r="K2959" s="1365" t="n">
        <f aca="false">J2959/1792.8</f>
        <v>312.840249888443</v>
      </c>
      <c r="L2959" s="547" t="n">
        <v>30</v>
      </c>
      <c r="M2959" s="934" t="n">
        <f aca="false">K2959*L2959/60</f>
        <v>156.420124944221</v>
      </c>
    </row>
    <row r="2960" customFormat="false" ht="15" hidden="false" customHeight="false" outlineLevel="0" collapsed="false">
      <c r="A2960" s="216" t="s">
        <v>1491</v>
      </c>
      <c r="B2960" s="40" t="s">
        <v>3438</v>
      </c>
      <c r="C2960" s="1161" t="s">
        <v>7116</v>
      </c>
      <c r="D2960" s="912" t="n">
        <v>2006</v>
      </c>
      <c r="E2960" s="912" t="n">
        <f aca="false">2021-D2960</f>
        <v>15</v>
      </c>
      <c r="F2960" s="547" t="n">
        <v>5608600</v>
      </c>
      <c r="G2960" s="1413" t="n">
        <v>0.1</v>
      </c>
      <c r="H2960" s="547" t="n">
        <f aca="false">E2960*F2960*G2960</f>
        <v>8412900</v>
      </c>
      <c r="I2960" s="547" t="n">
        <f aca="false">F2960-H2960</f>
        <v>-2804300</v>
      </c>
      <c r="J2960" s="547" t="n">
        <f aca="false">F2960*G2960</f>
        <v>560860</v>
      </c>
      <c r="K2960" s="1365" t="n">
        <f aca="false">J2960/1792.8</f>
        <v>312.840249888443</v>
      </c>
      <c r="L2960" s="547" t="n">
        <v>30</v>
      </c>
      <c r="M2960" s="934" t="n">
        <f aca="false">K2960*L2960/60</f>
        <v>156.420124944221</v>
      </c>
    </row>
    <row r="2961" customFormat="false" ht="15" hidden="false" customHeight="false" outlineLevel="0" collapsed="false">
      <c r="A2961" s="216" t="s">
        <v>1492</v>
      </c>
      <c r="B2961" s="40" t="s">
        <v>3503</v>
      </c>
      <c r="C2961" s="1161" t="s">
        <v>7116</v>
      </c>
      <c r="D2961" s="912" t="n">
        <v>2006</v>
      </c>
      <c r="E2961" s="912" t="n">
        <f aca="false">2021-D2961</f>
        <v>15</v>
      </c>
      <c r="F2961" s="547" t="n">
        <v>5608600</v>
      </c>
      <c r="G2961" s="1413" t="n">
        <v>0.1</v>
      </c>
      <c r="H2961" s="547" t="n">
        <f aca="false">E2961*F2961*G2961</f>
        <v>8412900</v>
      </c>
      <c r="I2961" s="547" t="n">
        <f aca="false">F2961-H2961</f>
        <v>-2804300</v>
      </c>
      <c r="J2961" s="547" t="n">
        <f aca="false">F2961*G2961</f>
        <v>560860</v>
      </c>
      <c r="K2961" s="1365" t="n">
        <f aca="false">J2961/1792.8</f>
        <v>312.840249888443</v>
      </c>
      <c r="L2961" s="547" t="n">
        <v>30</v>
      </c>
      <c r="M2961" s="934" t="n">
        <f aca="false">K2961*L2961/60</f>
        <v>156.420124944221</v>
      </c>
    </row>
    <row r="2962" customFormat="false" ht="15" hidden="false" customHeight="false" outlineLevel="0" collapsed="false">
      <c r="A2962" s="216" t="s">
        <v>1493</v>
      </c>
      <c r="B2962" s="40" t="s">
        <v>3504</v>
      </c>
      <c r="C2962" s="1161" t="s">
        <v>7109</v>
      </c>
      <c r="D2962" s="912" t="n">
        <v>2006</v>
      </c>
      <c r="E2962" s="912" t="n">
        <f aca="false">2021-D2962</f>
        <v>15</v>
      </c>
      <c r="F2962" s="547" t="n">
        <v>2000000</v>
      </c>
      <c r="G2962" s="1413" t="n">
        <v>0.1</v>
      </c>
      <c r="H2962" s="547" t="n">
        <f aca="false">E2962*F2962*G2962</f>
        <v>3000000</v>
      </c>
      <c r="I2962" s="547" t="n">
        <f aca="false">F2962-H2962</f>
        <v>-1000000</v>
      </c>
      <c r="J2962" s="547" t="n">
        <f aca="false">F2962*G2962</f>
        <v>200000</v>
      </c>
      <c r="K2962" s="1365" t="n">
        <f aca="false">J2962/1792.8</f>
        <v>111.557340473003</v>
      </c>
      <c r="L2962" s="547" t="n">
        <v>30</v>
      </c>
      <c r="M2962" s="934" t="n">
        <f aca="false">K2962*L2962/60</f>
        <v>55.7786702365016</v>
      </c>
    </row>
    <row r="2963" customFormat="false" ht="15" hidden="false" customHeight="false" outlineLevel="0" collapsed="false">
      <c r="A2963" s="216" t="s">
        <v>1494</v>
      </c>
      <c r="B2963" s="40" t="s">
        <v>3440</v>
      </c>
      <c r="C2963" s="1161" t="s">
        <v>7116</v>
      </c>
      <c r="D2963" s="912" t="n">
        <v>2006</v>
      </c>
      <c r="E2963" s="912" t="n">
        <f aca="false">2021-D2963</f>
        <v>15</v>
      </c>
      <c r="F2963" s="547" t="n">
        <v>5608600</v>
      </c>
      <c r="G2963" s="1413" t="n">
        <v>0.1</v>
      </c>
      <c r="H2963" s="547" t="n">
        <f aca="false">E2963*F2963*G2963</f>
        <v>8412900</v>
      </c>
      <c r="I2963" s="547" t="n">
        <f aca="false">F2963-H2963</f>
        <v>-2804300</v>
      </c>
      <c r="J2963" s="547" t="n">
        <f aca="false">F2963*G2963</f>
        <v>560860</v>
      </c>
      <c r="K2963" s="1365" t="n">
        <f aca="false">J2963/1792.8</f>
        <v>312.840249888443</v>
      </c>
      <c r="L2963" s="547" t="n">
        <v>30</v>
      </c>
      <c r="M2963" s="934" t="n">
        <f aca="false">K2963*L2963/60</f>
        <v>156.420124944221</v>
      </c>
    </row>
    <row r="2964" customFormat="false" ht="15" hidden="false" customHeight="false" outlineLevel="0" collapsed="false">
      <c r="A2964" s="216" t="s">
        <v>1495</v>
      </c>
      <c r="B2964" s="40" t="s">
        <v>3505</v>
      </c>
      <c r="C2964" s="1161" t="s">
        <v>7116</v>
      </c>
      <c r="D2964" s="912" t="n">
        <v>2006</v>
      </c>
      <c r="E2964" s="912" t="n">
        <f aca="false">2021-D2964</f>
        <v>15</v>
      </c>
      <c r="F2964" s="547" t="n">
        <v>5608600</v>
      </c>
      <c r="G2964" s="1413" t="n">
        <v>0.1</v>
      </c>
      <c r="H2964" s="547" t="n">
        <f aca="false">E2964*F2964*G2964</f>
        <v>8412900</v>
      </c>
      <c r="I2964" s="547" t="n">
        <f aca="false">F2964-H2964</f>
        <v>-2804300</v>
      </c>
      <c r="J2964" s="547" t="n">
        <f aca="false">F2964*G2964</f>
        <v>560860</v>
      </c>
      <c r="K2964" s="1365" t="n">
        <f aca="false">J2964/1792.8</f>
        <v>312.840249888443</v>
      </c>
      <c r="L2964" s="547" t="n">
        <v>30</v>
      </c>
      <c r="M2964" s="934" t="n">
        <f aca="false">K2964*L2964/60</f>
        <v>156.420124944221</v>
      </c>
    </row>
    <row r="2965" customFormat="false" ht="30" hidden="false" customHeight="false" outlineLevel="0" collapsed="false">
      <c r="A2965" s="216" t="s">
        <v>1496</v>
      </c>
      <c r="B2965" s="40" t="s">
        <v>3466</v>
      </c>
      <c r="C2965" s="1161" t="s">
        <v>7116</v>
      </c>
      <c r="D2965" s="912" t="n">
        <v>2006</v>
      </c>
      <c r="E2965" s="912" t="n">
        <f aca="false">2021-D2965</f>
        <v>15</v>
      </c>
      <c r="F2965" s="547" t="n">
        <v>5608600</v>
      </c>
      <c r="G2965" s="1413" t="n">
        <v>0.1</v>
      </c>
      <c r="H2965" s="547" t="n">
        <f aca="false">E2965*F2965*G2965</f>
        <v>8412900</v>
      </c>
      <c r="I2965" s="547" t="n">
        <f aca="false">F2965-H2965</f>
        <v>-2804300</v>
      </c>
      <c r="J2965" s="547" t="n">
        <f aca="false">F2965*G2965</f>
        <v>560860</v>
      </c>
      <c r="K2965" s="1365" t="n">
        <f aca="false">J2965/1792.8</f>
        <v>312.840249888443</v>
      </c>
      <c r="L2965" s="547" t="n">
        <v>30</v>
      </c>
      <c r="M2965" s="934" t="n">
        <f aca="false">K2965*L2965/60</f>
        <v>156.420124944221</v>
      </c>
    </row>
    <row r="2966" customFormat="false" ht="15" hidden="false" customHeight="false" outlineLevel="0" collapsed="false">
      <c r="A2966" s="216" t="s">
        <v>1497</v>
      </c>
      <c r="B2966" s="40" t="s">
        <v>3506</v>
      </c>
      <c r="C2966" s="1161" t="s">
        <v>7116</v>
      </c>
      <c r="D2966" s="912" t="n">
        <v>2006</v>
      </c>
      <c r="E2966" s="912" t="n">
        <f aca="false">2021-D2966</f>
        <v>15</v>
      </c>
      <c r="F2966" s="547" t="n">
        <v>5608600</v>
      </c>
      <c r="G2966" s="1413" t="n">
        <v>0.1</v>
      </c>
      <c r="H2966" s="547" t="n">
        <f aca="false">E2966*F2966*G2966</f>
        <v>8412900</v>
      </c>
      <c r="I2966" s="547" t="n">
        <f aca="false">F2966-H2966</f>
        <v>-2804300</v>
      </c>
      <c r="J2966" s="547" t="n">
        <f aca="false">F2966*G2966</f>
        <v>560860</v>
      </c>
      <c r="K2966" s="1365" t="n">
        <f aca="false">J2966/1792.8</f>
        <v>312.840249888443</v>
      </c>
      <c r="L2966" s="547" t="n">
        <v>30</v>
      </c>
      <c r="M2966" s="934" t="n">
        <f aca="false">K2966*L2966/60</f>
        <v>156.420124944221</v>
      </c>
    </row>
    <row r="2967" customFormat="false" ht="15" hidden="false" customHeight="false" outlineLevel="0" collapsed="false">
      <c r="A2967" s="216" t="s">
        <v>1498</v>
      </c>
      <c r="B2967" s="40" t="s">
        <v>3457</v>
      </c>
      <c r="C2967" s="1161" t="s">
        <v>7116</v>
      </c>
      <c r="D2967" s="912" t="n">
        <v>2006</v>
      </c>
      <c r="E2967" s="912" t="n">
        <f aca="false">2021-D2967</f>
        <v>15</v>
      </c>
      <c r="F2967" s="547" t="n">
        <v>5608600</v>
      </c>
      <c r="G2967" s="1413" t="n">
        <v>0.1</v>
      </c>
      <c r="H2967" s="547" t="n">
        <f aca="false">E2967*F2967*G2967</f>
        <v>8412900</v>
      </c>
      <c r="I2967" s="547" t="n">
        <f aca="false">F2967-H2967</f>
        <v>-2804300</v>
      </c>
      <c r="J2967" s="547" t="n">
        <f aca="false">F2967*G2967</f>
        <v>560860</v>
      </c>
      <c r="K2967" s="1365" t="n">
        <f aca="false">J2967/1792.8</f>
        <v>312.840249888443</v>
      </c>
      <c r="L2967" s="547" t="n">
        <v>30</v>
      </c>
      <c r="M2967" s="934" t="n">
        <f aca="false">K2967*L2967/60</f>
        <v>156.420124944221</v>
      </c>
    </row>
    <row r="2968" customFormat="false" ht="15" hidden="false" customHeight="false" outlineLevel="0" collapsed="false">
      <c r="A2968" s="216" t="s">
        <v>1499</v>
      </c>
      <c r="B2968" s="40" t="s">
        <v>3507</v>
      </c>
      <c r="C2968" s="1161" t="s">
        <v>7116</v>
      </c>
      <c r="D2968" s="912" t="n">
        <v>2006</v>
      </c>
      <c r="E2968" s="912" t="n">
        <f aca="false">2021-D2968</f>
        <v>15</v>
      </c>
      <c r="F2968" s="547" t="n">
        <v>5608600</v>
      </c>
      <c r="G2968" s="1413" t="n">
        <v>0.1</v>
      </c>
      <c r="H2968" s="547" t="n">
        <f aca="false">E2968*F2968*G2968</f>
        <v>8412900</v>
      </c>
      <c r="I2968" s="547" t="n">
        <f aca="false">F2968-H2968</f>
        <v>-2804300</v>
      </c>
      <c r="J2968" s="547" t="n">
        <f aca="false">F2968*G2968</f>
        <v>560860</v>
      </c>
      <c r="K2968" s="1365" t="n">
        <f aca="false">J2968/1792.8</f>
        <v>312.840249888443</v>
      </c>
      <c r="L2968" s="547" t="n">
        <v>30</v>
      </c>
      <c r="M2968" s="934" t="n">
        <f aca="false">K2968*L2968/60</f>
        <v>156.420124944221</v>
      </c>
    </row>
    <row r="2969" customFormat="false" ht="15" hidden="false" customHeight="false" outlineLevel="0" collapsed="false">
      <c r="A2969" s="216" t="s">
        <v>1500</v>
      </c>
      <c r="B2969" s="40" t="s">
        <v>3508</v>
      </c>
      <c r="C2969" s="1161" t="s">
        <v>7116</v>
      </c>
      <c r="D2969" s="912" t="n">
        <v>2006</v>
      </c>
      <c r="E2969" s="912" t="n">
        <f aca="false">2021-D2969</f>
        <v>15</v>
      </c>
      <c r="F2969" s="547" t="n">
        <v>5608600</v>
      </c>
      <c r="G2969" s="1413" t="n">
        <v>0.1</v>
      </c>
      <c r="H2969" s="547" t="n">
        <f aca="false">E2969*F2969*G2969</f>
        <v>8412900</v>
      </c>
      <c r="I2969" s="547" t="n">
        <f aca="false">F2969-H2969</f>
        <v>-2804300</v>
      </c>
      <c r="J2969" s="547" t="n">
        <f aca="false">F2969*G2969</f>
        <v>560860</v>
      </c>
      <c r="K2969" s="1365" t="n">
        <f aca="false">J2969/1792.8</f>
        <v>312.840249888443</v>
      </c>
      <c r="L2969" s="547" t="n">
        <v>30</v>
      </c>
      <c r="M2969" s="934" t="n">
        <f aca="false">K2969*L2969/60</f>
        <v>156.420124944221</v>
      </c>
    </row>
    <row r="2970" customFormat="false" ht="15" hidden="false" customHeight="false" outlineLevel="0" collapsed="false">
      <c r="A2970" s="216" t="s">
        <v>1501</v>
      </c>
      <c r="B2970" s="40" t="s">
        <v>3509</v>
      </c>
      <c r="C2970" s="1161" t="s">
        <v>7116</v>
      </c>
      <c r="D2970" s="912" t="n">
        <v>2006</v>
      </c>
      <c r="E2970" s="912" t="n">
        <f aca="false">2021-D2970</f>
        <v>15</v>
      </c>
      <c r="F2970" s="547" t="n">
        <v>5608600</v>
      </c>
      <c r="G2970" s="1413" t="n">
        <v>0.1</v>
      </c>
      <c r="H2970" s="547" t="n">
        <f aca="false">E2970*F2970*G2970</f>
        <v>8412900</v>
      </c>
      <c r="I2970" s="547" t="n">
        <f aca="false">F2970-H2970</f>
        <v>-2804300</v>
      </c>
      <c r="J2970" s="547" t="n">
        <f aca="false">F2970*G2970</f>
        <v>560860</v>
      </c>
      <c r="K2970" s="1365" t="n">
        <f aca="false">J2970/1792.8</f>
        <v>312.840249888443</v>
      </c>
      <c r="L2970" s="547" t="n">
        <v>30</v>
      </c>
      <c r="M2970" s="934" t="n">
        <f aca="false">K2970*L2970/60</f>
        <v>156.420124944221</v>
      </c>
    </row>
    <row r="2971" customFormat="false" ht="15" hidden="false" customHeight="false" outlineLevel="0" collapsed="false">
      <c r="A2971" s="216" t="s">
        <v>1502</v>
      </c>
      <c r="B2971" s="40" t="s">
        <v>3460</v>
      </c>
      <c r="C2971" s="1161" t="s">
        <v>7116</v>
      </c>
      <c r="D2971" s="912" t="n">
        <v>2006</v>
      </c>
      <c r="E2971" s="912" t="n">
        <f aca="false">2021-D2971</f>
        <v>15</v>
      </c>
      <c r="F2971" s="547" t="n">
        <v>5608600</v>
      </c>
      <c r="G2971" s="1413" t="n">
        <v>0.1</v>
      </c>
      <c r="H2971" s="547" t="n">
        <f aca="false">E2971*F2971*G2971</f>
        <v>8412900</v>
      </c>
      <c r="I2971" s="547" t="n">
        <f aca="false">F2971-H2971</f>
        <v>-2804300</v>
      </c>
      <c r="J2971" s="547" t="n">
        <f aca="false">F2971*G2971</f>
        <v>560860</v>
      </c>
      <c r="K2971" s="1365" t="n">
        <f aca="false">J2971/1792.8</f>
        <v>312.840249888443</v>
      </c>
      <c r="L2971" s="547" t="n">
        <v>30</v>
      </c>
      <c r="M2971" s="934" t="n">
        <f aca="false">K2971*L2971/60</f>
        <v>156.420124944221</v>
      </c>
    </row>
    <row r="2972" customFormat="false" ht="15" hidden="false" customHeight="false" outlineLevel="0" collapsed="false">
      <c r="A2972" s="216" t="s">
        <v>1503</v>
      </c>
      <c r="B2972" s="40" t="s">
        <v>3445</v>
      </c>
      <c r="C2972" s="1161" t="s">
        <v>7116</v>
      </c>
      <c r="D2972" s="912" t="n">
        <v>2006</v>
      </c>
      <c r="E2972" s="912" t="n">
        <f aca="false">2021-D2972</f>
        <v>15</v>
      </c>
      <c r="F2972" s="547" t="n">
        <v>5608600</v>
      </c>
      <c r="G2972" s="1413" t="n">
        <v>0.1</v>
      </c>
      <c r="H2972" s="547" t="n">
        <f aca="false">E2972*F2972*G2972</f>
        <v>8412900</v>
      </c>
      <c r="I2972" s="547" t="n">
        <f aca="false">F2972-H2972</f>
        <v>-2804300</v>
      </c>
      <c r="J2972" s="547" t="n">
        <f aca="false">F2972*G2972</f>
        <v>560860</v>
      </c>
      <c r="K2972" s="1365" t="n">
        <f aca="false">J2972/1792.8</f>
        <v>312.840249888443</v>
      </c>
      <c r="L2972" s="547" t="n">
        <v>30</v>
      </c>
      <c r="M2972" s="934" t="n">
        <f aca="false">K2972*L2972/60</f>
        <v>156.420124944221</v>
      </c>
    </row>
    <row r="2973" customFormat="false" ht="15" hidden="false" customHeight="false" outlineLevel="0" collapsed="false">
      <c r="A2973" s="216" t="s">
        <v>1504</v>
      </c>
      <c r="B2973" s="40" t="s">
        <v>3510</v>
      </c>
      <c r="C2973" s="1161" t="s">
        <v>7116</v>
      </c>
      <c r="D2973" s="912" t="n">
        <v>2006</v>
      </c>
      <c r="E2973" s="912" t="n">
        <f aca="false">2021-D2973</f>
        <v>15</v>
      </c>
      <c r="F2973" s="547" t="n">
        <v>5608600</v>
      </c>
      <c r="G2973" s="1413" t="n">
        <v>0.1</v>
      </c>
      <c r="H2973" s="547" t="n">
        <f aca="false">E2973*F2973*G2973</f>
        <v>8412900</v>
      </c>
      <c r="I2973" s="547" t="n">
        <f aca="false">F2973-H2973</f>
        <v>-2804300</v>
      </c>
      <c r="J2973" s="547" t="n">
        <f aca="false">F2973*G2973</f>
        <v>560860</v>
      </c>
      <c r="K2973" s="1365" t="n">
        <f aca="false">J2973/1792.8</f>
        <v>312.840249888443</v>
      </c>
      <c r="L2973" s="547" t="n">
        <v>30</v>
      </c>
      <c r="M2973" s="934" t="n">
        <f aca="false">K2973*L2973/60</f>
        <v>156.420124944221</v>
      </c>
    </row>
    <row r="2974" customFormat="false" ht="15" hidden="false" customHeight="false" outlineLevel="0" collapsed="false">
      <c r="A2974" s="216" t="s">
        <v>1505</v>
      </c>
      <c r="B2974" s="40" t="s">
        <v>3511</v>
      </c>
      <c r="C2974" s="1161" t="s">
        <v>7116</v>
      </c>
      <c r="D2974" s="912" t="n">
        <v>2006</v>
      </c>
      <c r="E2974" s="912" t="n">
        <f aca="false">2021-D2974</f>
        <v>15</v>
      </c>
      <c r="F2974" s="547" t="n">
        <v>5608600</v>
      </c>
      <c r="G2974" s="1413" t="n">
        <v>0.1</v>
      </c>
      <c r="H2974" s="547" t="n">
        <f aca="false">E2974*F2974*G2974</f>
        <v>8412900</v>
      </c>
      <c r="I2974" s="547" t="n">
        <f aca="false">F2974-H2974</f>
        <v>-2804300</v>
      </c>
      <c r="J2974" s="547" t="n">
        <f aca="false">F2974*G2974</f>
        <v>560860</v>
      </c>
      <c r="K2974" s="1365" t="n">
        <f aca="false">J2974/1792.8</f>
        <v>312.840249888443</v>
      </c>
      <c r="L2974" s="547" t="n">
        <v>30</v>
      </c>
      <c r="M2974" s="934" t="n">
        <f aca="false">K2974*L2974/60</f>
        <v>156.420124944221</v>
      </c>
    </row>
    <row r="2975" customFormat="false" ht="15" hidden="false" customHeight="false" outlineLevel="0" collapsed="false">
      <c r="A2975" s="216" t="s">
        <v>1507</v>
      </c>
      <c r="B2975" s="40" t="s">
        <v>3512</v>
      </c>
      <c r="C2975" s="1161" t="s">
        <v>7116</v>
      </c>
      <c r="D2975" s="912" t="n">
        <v>2006</v>
      </c>
      <c r="E2975" s="912" t="n">
        <f aca="false">2021-D2975</f>
        <v>15</v>
      </c>
      <c r="F2975" s="547" t="n">
        <v>5608600</v>
      </c>
      <c r="G2975" s="1413" t="n">
        <v>0.1</v>
      </c>
      <c r="H2975" s="547" t="n">
        <f aca="false">E2975*F2975*G2975</f>
        <v>8412900</v>
      </c>
      <c r="I2975" s="547" t="n">
        <f aca="false">F2975-H2975</f>
        <v>-2804300</v>
      </c>
      <c r="J2975" s="547" t="n">
        <f aca="false">F2975*G2975</f>
        <v>560860</v>
      </c>
      <c r="K2975" s="1365" t="n">
        <f aca="false">J2975/1792.8</f>
        <v>312.840249888443</v>
      </c>
      <c r="L2975" s="547" t="n">
        <v>30</v>
      </c>
      <c r="M2975" s="934" t="n">
        <f aca="false">K2975*L2975/60</f>
        <v>156.420124944221</v>
      </c>
    </row>
    <row r="2976" customFormat="false" ht="15" hidden="false" customHeight="false" outlineLevel="0" collapsed="false">
      <c r="A2976" s="216" t="s">
        <v>1509</v>
      </c>
      <c r="B2976" s="40" t="s">
        <v>3513</v>
      </c>
      <c r="C2976" s="1161" t="s">
        <v>7116</v>
      </c>
      <c r="D2976" s="912" t="n">
        <v>2006</v>
      </c>
      <c r="E2976" s="912" t="n">
        <f aca="false">2021-D2976</f>
        <v>15</v>
      </c>
      <c r="F2976" s="547" t="n">
        <v>5608600</v>
      </c>
      <c r="G2976" s="1413" t="n">
        <v>0.1</v>
      </c>
      <c r="H2976" s="547" t="n">
        <f aca="false">E2976*F2976*G2976</f>
        <v>8412900</v>
      </c>
      <c r="I2976" s="547" t="n">
        <f aca="false">F2976-H2976</f>
        <v>-2804300</v>
      </c>
      <c r="J2976" s="547" t="n">
        <f aca="false">F2976*G2976</f>
        <v>560860</v>
      </c>
      <c r="K2976" s="1365" t="n">
        <f aca="false">J2976/1792.8</f>
        <v>312.840249888443</v>
      </c>
      <c r="L2976" s="547" t="n">
        <v>30</v>
      </c>
      <c r="M2976" s="934" t="n">
        <f aca="false">K2976*L2976/60</f>
        <v>156.420124944221</v>
      </c>
    </row>
    <row r="2977" customFormat="false" ht="15" hidden="false" customHeight="false" outlineLevel="0" collapsed="false">
      <c r="A2977" s="216" t="s">
        <v>1510</v>
      </c>
      <c r="B2977" s="40" t="s">
        <v>3514</v>
      </c>
      <c r="C2977" s="1161" t="s">
        <v>7109</v>
      </c>
      <c r="D2977" s="912" t="n">
        <v>2006</v>
      </c>
      <c r="E2977" s="912" t="n">
        <f aca="false">2021-D2977</f>
        <v>15</v>
      </c>
      <c r="F2977" s="547" t="n">
        <v>2000000</v>
      </c>
      <c r="G2977" s="1413" t="n">
        <v>0.1</v>
      </c>
      <c r="H2977" s="547" t="n">
        <f aca="false">E2977*F2977*G2977</f>
        <v>3000000</v>
      </c>
      <c r="I2977" s="547" t="n">
        <f aca="false">F2977-H2977</f>
        <v>-1000000</v>
      </c>
      <c r="J2977" s="547" t="n">
        <f aca="false">F2977*G2977</f>
        <v>200000</v>
      </c>
      <c r="K2977" s="1365" t="n">
        <f aca="false">J2977/1792.8</f>
        <v>111.557340473003</v>
      </c>
      <c r="L2977" s="547" t="n">
        <v>30</v>
      </c>
      <c r="M2977" s="934" t="n">
        <f aca="false">K2977*L2977/60</f>
        <v>55.7786702365016</v>
      </c>
    </row>
    <row r="2978" customFormat="false" ht="15" hidden="false" customHeight="false" outlineLevel="0" collapsed="false">
      <c r="A2978" s="216" t="s">
        <v>1511</v>
      </c>
      <c r="B2978" s="40" t="s">
        <v>3453</v>
      </c>
      <c r="C2978" s="1161" t="s">
        <v>7116</v>
      </c>
      <c r="D2978" s="912" t="n">
        <v>2006</v>
      </c>
      <c r="E2978" s="912" t="n">
        <f aca="false">2021-D2978</f>
        <v>15</v>
      </c>
      <c r="F2978" s="547" t="n">
        <v>5608600</v>
      </c>
      <c r="G2978" s="1413" t="n">
        <v>0.1</v>
      </c>
      <c r="H2978" s="547" t="n">
        <f aca="false">E2978*F2978*G2978</f>
        <v>8412900</v>
      </c>
      <c r="I2978" s="547" t="n">
        <f aca="false">F2978-H2978</f>
        <v>-2804300</v>
      </c>
      <c r="J2978" s="547" t="n">
        <f aca="false">F2978*G2978</f>
        <v>560860</v>
      </c>
      <c r="K2978" s="1365" t="n">
        <f aca="false">J2978/1792.8</f>
        <v>312.840249888443</v>
      </c>
      <c r="L2978" s="547" t="n">
        <v>30</v>
      </c>
      <c r="M2978" s="934" t="n">
        <f aca="false">K2978*L2978/60</f>
        <v>156.420124944221</v>
      </c>
    </row>
    <row r="2979" customFormat="false" ht="15" hidden="false" customHeight="false" outlineLevel="0" collapsed="false">
      <c r="A2979" s="216" t="s">
        <v>1512</v>
      </c>
      <c r="B2979" s="40" t="s">
        <v>3462</v>
      </c>
      <c r="C2979" s="1161" t="s">
        <v>7109</v>
      </c>
      <c r="D2979" s="912" t="n">
        <v>2006</v>
      </c>
      <c r="E2979" s="912" t="n">
        <f aca="false">2021-D2979</f>
        <v>15</v>
      </c>
      <c r="F2979" s="547" t="n">
        <v>2000000</v>
      </c>
      <c r="G2979" s="1413" t="n">
        <v>0.1</v>
      </c>
      <c r="H2979" s="547" t="n">
        <f aca="false">E2979*F2979*G2979</f>
        <v>3000000</v>
      </c>
      <c r="I2979" s="547" t="n">
        <f aca="false">F2979-H2979</f>
        <v>-1000000</v>
      </c>
      <c r="J2979" s="547" t="n">
        <f aca="false">F2979*G2979</f>
        <v>200000</v>
      </c>
      <c r="K2979" s="1365" t="n">
        <f aca="false">J2979/1792.8</f>
        <v>111.557340473003</v>
      </c>
      <c r="L2979" s="547" t="n">
        <v>30</v>
      </c>
      <c r="M2979" s="934" t="n">
        <f aca="false">K2979*L2979/60</f>
        <v>55.7786702365016</v>
      </c>
    </row>
    <row r="2980" customFormat="false" ht="15" hidden="false" customHeight="false" outlineLevel="0" collapsed="false">
      <c r="A2980" s="216" t="s">
        <v>1513</v>
      </c>
      <c r="B2980" s="40" t="s">
        <v>3463</v>
      </c>
      <c r="C2980" s="1161" t="s">
        <v>7109</v>
      </c>
      <c r="D2980" s="912" t="n">
        <v>2006</v>
      </c>
      <c r="E2980" s="912" t="n">
        <f aca="false">2021-D2980</f>
        <v>15</v>
      </c>
      <c r="F2980" s="547" t="n">
        <v>2000000</v>
      </c>
      <c r="G2980" s="1413" t="n">
        <v>0.1</v>
      </c>
      <c r="H2980" s="547" t="n">
        <f aca="false">E2980*F2980*G2980</f>
        <v>3000000</v>
      </c>
      <c r="I2980" s="547" t="n">
        <f aca="false">F2980-H2980</f>
        <v>-1000000</v>
      </c>
      <c r="J2980" s="547" t="n">
        <f aca="false">F2980*G2980</f>
        <v>200000</v>
      </c>
      <c r="K2980" s="1365" t="n">
        <f aca="false">J2980/1792.8</f>
        <v>111.557340473003</v>
      </c>
      <c r="L2980" s="547" t="n">
        <v>30</v>
      </c>
      <c r="M2980" s="934" t="n">
        <f aca="false">K2980*L2980/60</f>
        <v>55.7786702365016</v>
      </c>
    </row>
    <row r="2981" customFormat="false" ht="15" hidden="false" customHeight="false" outlineLevel="0" collapsed="false">
      <c r="A2981" s="216" t="s">
        <v>1514</v>
      </c>
      <c r="B2981" s="40" t="s">
        <v>3455</v>
      </c>
      <c r="C2981" s="1161" t="s">
        <v>7109</v>
      </c>
      <c r="D2981" s="912" t="n">
        <v>2006</v>
      </c>
      <c r="E2981" s="912" t="n">
        <f aca="false">2021-D2981</f>
        <v>15</v>
      </c>
      <c r="F2981" s="547" t="n">
        <v>2000000</v>
      </c>
      <c r="G2981" s="1413" t="n">
        <v>0.1</v>
      </c>
      <c r="H2981" s="547" t="n">
        <f aca="false">E2981*F2981*G2981</f>
        <v>3000000</v>
      </c>
      <c r="I2981" s="547" t="n">
        <f aca="false">F2981-H2981</f>
        <v>-1000000</v>
      </c>
      <c r="J2981" s="547" t="n">
        <f aca="false">F2981*G2981</f>
        <v>200000</v>
      </c>
      <c r="K2981" s="1365" t="n">
        <f aca="false">J2981/1792.8</f>
        <v>111.557340473003</v>
      </c>
      <c r="L2981" s="547" t="n">
        <v>30</v>
      </c>
      <c r="M2981" s="934" t="n">
        <f aca="false">K2981*L2981/60</f>
        <v>55.7786702365016</v>
      </c>
    </row>
    <row r="2982" customFormat="false" ht="15" hidden="false" customHeight="false" outlineLevel="0" collapsed="false">
      <c r="A2982" s="216" t="s">
        <v>1515</v>
      </c>
      <c r="B2982" s="40" t="s">
        <v>3454</v>
      </c>
      <c r="C2982" s="1161" t="s">
        <v>7116</v>
      </c>
      <c r="D2982" s="912" t="n">
        <v>2006</v>
      </c>
      <c r="E2982" s="912" t="n">
        <f aca="false">2021-D2982</f>
        <v>15</v>
      </c>
      <c r="F2982" s="547" t="n">
        <v>5608600</v>
      </c>
      <c r="G2982" s="1413" t="n">
        <v>0.1</v>
      </c>
      <c r="H2982" s="547" t="n">
        <f aca="false">E2982*F2982*G2982</f>
        <v>8412900</v>
      </c>
      <c r="I2982" s="547" t="n">
        <f aca="false">F2982-H2982</f>
        <v>-2804300</v>
      </c>
      <c r="J2982" s="547" t="n">
        <f aca="false">F2982*G2982</f>
        <v>560860</v>
      </c>
      <c r="K2982" s="1365" t="n">
        <f aca="false">J2982/1792.8</f>
        <v>312.840249888443</v>
      </c>
      <c r="L2982" s="547" t="n">
        <v>30</v>
      </c>
      <c r="M2982" s="934" t="n">
        <f aca="false">K2982*L2982/60</f>
        <v>156.420124944221</v>
      </c>
    </row>
    <row r="2983" customFormat="false" ht="15" hidden="false" customHeight="false" outlineLevel="0" collapsed="false">
      <c r="A2983" s="216" t="s">
        <v>1516</v>
      </c>
      <c r="B2983" s="40" t="s">
        <v>3465</v>
      </c>
      <c r="C2983" s="1161" t="s">
        <v>7109</v>
      </c>
      <c r="D2983" s="912" t="n">
        <v>2006</v>
      </c>
      <c r="E2983" s="912" t="n">
        <f aca="false">2021-D2983</f>
        <v>15</v>
      </c>
      <c r="F2983" s="547" t="n">
        <v>2000000</v>
      </c>
      <c r="G2983" s="1413" t="n">
        <v>0.1</v>
      </c>
      <c r="H2983" s="547" t="n">
        <f aca="false">E2983*F2983*G2983</f>
        <v>3000000</v>
      </c>
      <c r="I2983" s="547" t="n">
        <f aca="false">F2983-H2983</f>
        <v>-1000000</v>
      </c>
      <c r="J2983" s="547" t="n">
        <f aca="false">F2983*G2983</f>
        <v>200000</v>
      </c>
      <c r="K2983" s="1365" t="n">
        <f aca="false">J2983/1792.8</f>
        <v>111.557340473003</v>
      </c>
      <c r="L2983" s="547" t="n">
        <v>30</v>
      </c>
      <c r="M2983" s="934" t="n">
        <f aca="false">K2983*L2983/60</f>
        <v>55.7786702365016</v>
      </c>
    </row>
    <row r="2984" customFormat="false" ht="75" hidden="false" customHeight="false" outlineLevel="0" collapsed="false">
      <c r="A2984" s="216" t="s">
        <v>1517</v>
      </c>
      <c r="B2984" s="40" t="s">
        <v>3515</v>
      </c>
      <c r="C2984" s="1161"/>
      <c r="D2984" s="912"/>
      <c r="E2984" s="912"/>
      <c r="F2984" s="547"/>
      <c r="G2984" s="1413"/>
      <c r="H2984" s="547"/>
      <c r="I2984" s="547"/>
      <c r="J2984" s="547"/>
      <c r="K2984" s="1365" t="n">
        <f aca="false">J2984/1792.8</f>
        <v>0</v>
      </c>
      <c r="L2984" s="547" t="n">
        <v>0</v>
      </c>
      <c r="M2984" s="934"/>
    </row>
    <row r="2985" customFormat="false" ht="15" hidden="false" customHeight="false" outlineLevel="0" collapsed="false">
      <c r="A2985" s="216" t="s">
        <v>1519</v>
      </c>
      <c r="B2985" s="78" t="s">
        <v>3486</v>
      </c>
      <c r="C2985" s="1161" t="s">
        <v>7116</v>
      </c>
      <c r="D2985" s="912" t="n">
        <v>2006</v>
      </c>
      <c r="E2985" s="912" t="n">
        <f aca="false">2021-D2985</f>
        <v>15</v>
      </c>
      <c r="F2985" s="547" t="n">
        <v>5608600</v>
      </c>
      <c r="G2985" s="1413" t="n">
        <v>0.1</v>
      </c>
      <c r="H2985" s="547" t="n">
        <f aca="false">E2985*F2985*G2985</f>
        <v>8412900</v>
      </c>
      <c r="I2985" s="547" t="n">
        <f aca="false">F2985-H2985</f>
        <v>-2804300</v>
      </c>
      <c r="J2985" s="547" t="n">
        <f aca="false">F2985*G2985</f>
        <v>560860</v>
      </c>
      <c r="K2985" s="1365" t="n">
        <f aca="false">J2985/1792.8</f>
        <v>312.840249888443</v>
      </c>
      <c r="L2985" s="547" t="n">
        <v>0</v>
      </c>
      <c r="M2985" s="934" t="n">
        <f aca="false">K2985*L2985/60</f>
        <v>0</v>
      </c>
    </row>
    <row r="2986" customFormat="false" ht="15" hidden="false" customHeight="false" outlineLevel="0" collapsed="false">
      <c r="A2986" s="216" t="s">
        <v>1521</v>
      </c>
      <c r="B2986" s="78" t="s">
        <v>3516</v>
      </c>
      <c r="C2986" s="1161" t="s">
        <v>4568</v>
      </c>
      <c r="D2986" s="912" t="n">
        <v>2006</v>
      </c>
      <c r="E2986" s="912" t="n">
        <f aca="false">2021-D2986</f>
        <v>15</v>
      </c>
      <c r="F2986" s="547" t="n">
        <v>133722</v>
      </c>
      <c r="G2986" s="1413" t="n">
        <v>0.1</v>
      </c>
      <c r="H2986" s="547" t="n">
        <f aca="false">E2986*F2986*G2986</f>
        <v>200583</v>
      </c>
      <c r="I2986" s="547" t="n">
        <f aca="false">F2986-H2986</f>
        <v>-66861</v>
      </c>
      <c r="J2986" s="547" t="n">
        <f aca="false">F2986*G2986</f>
        <v>13372.2</v>
      </c>
      <c r="K2986" s="1365" t="n">
        <f aca="false">J2986/1792.8</f>
        <v>7.45883534136546</v>
      </c>
      <c r="L2986" s="547" t="n">
        <v>160</v>
      </c>
      <c r="M2986" s="934" t="n">
        <f aca="false">K2986*L2986/60</f>
        <v>19.8902275769746</v>
      </c>
    </row>
    <row r="2987" customFormat="false" ht="42.75" hidden="false" customHeight="false" outlineLevel="0" collapsed="false">
      <c r="A2987" s="15" t="s">
        <v>1523</v>
      </c>
      <c r="B2987" s="16" t="s">
        <v>3517</v>
      </c>
      <c r="C2987" s="1387"/>
      <c r="D2987" s="339"/>
      <c r="E2987" s="541"/>
      <c r="F2987" s="751"/>
      <c r="G2987" s="1412"/>
      <c r="H2987" s="751"/>
      <c r="I2987" s="751"/>
      <c r="J2987" s="751"/>
      <c r="K2987" s="751"/>
      <c r="L2987" s="712"/>
      <c r="M2987" s="818"/>
    </row>
    <row r="2988" customFormat="false" ht="30" hidden="false" customHeight="false" outlineLevel="0" collapsed="false">
      <c r="A2988" s="216" t="s">
        <v>5645</v>
      </c>
      <c r="B2988" s="40" t="s">
        <v>3518</v>
      </c>
      <c r="C2988" s="78"/>
      <c r="D2988" s="912"/>
      <c r="E2988" s="912"/>
      <c r="F2988" s="547"/>
      <c r="G2988" s="1413"/>
      <c r="H2988" s="547"/>
      <c r="I2988" s="547"/>
      <c r="J2988" s="547"/>
      <c r="K2988" s="1365" t="n">
        <f aca="false">J2988/1792.8</f>
        <v>0</v>
      </c>
      <c r="L2988" s="547" t="n">
        <v>30</v>
      </c>
      <c r="M2988" s="934"/>
    </row>
    <row r="2989" customFormat="false" ht="15" hidden="false" customHeight="false" outlineLevel="0" collapsed="false">
      <c r="A2989" s="216" t="s">
        <v>5646</v>
      </c>
      <c r="B2989" s="40" t="s">
        <v>3139</v>
      </c>
      <c r="C2989" s="78"/>
      <c r="D2989" s="912"/>
      <c r="E2989" s="912"/>
      <c r="F2989" s="547"/>
      <c r="G2989" s="1413"/>
      <c r="H2989" s="547"/>
      <c r="I2989" s="547"/>
      <c r="J2989" s="547"/>
      <c r="K2989" s="1365" t="n">
        <f aca="false">J2989/1792.8</f>
        <v>0</v>
      </c>
      <c r="L2989" s="547" t="n">
        <v>30</v>
      </c>
      <c r="M2989" s="934"/>
    </row>
    <row r="2990" customFormat="false" ht="15" hidden="false" customHeight="false" outlineLevel="0" collapsed="false">
      <c r="A2990" s="216" t="s">
        <v>5648</v>
      </c>
      <c r="B2990" s="40" t="s">
        <v>2964</v>
      </c>
      <c r="C2990" s="1161" t="s">
        <v>7035</v>
      </c>
      <c r="D2990" s="912" t="n">
        <v>2006</v>
      </c>
      <c r="E2990" s="912" t="n">
        <f aca="false">2021-D2990</f>
        <v>15</v>
      </c>
      <c r="F2990" s="547" t="n">
        <v>133722</v>
      </c>
      <c r="G2990" s="1413" t="n">
        <v>0.1</v>
      </c>
      <c r="H2990" s="547" t="n">
        <f aca="false">E2990*F2990*G2990</f>
        <v>200583</v>
      </c>
      <c r="I2990" s="547" t="n">
        <f aca="false">F2990-H2990</f>
        <v>-66861</v>
      </c>
      <c r="J2990" s="547" t="n">
        <f aca="false">F2990*G2990</f>
        <v>13372.2</v>
      </c>
      <c r="K2990" s="1365" t="n">
        <f aca="false">J2990/1792.8</f>
        <v>7.45883534136546</v>
      </c>
      <c r="L2990" s="547" t="n">
        <v>30</v>
      </c>
      <c r="M2990" s="934" t="n">
        <f aca="false">K2990*L2990/60</f>
        <v>3.72941767068273</v>
      </c>
    </row>
    <row r="2991" customFormat="false" ht="30" hidden="false" customHeight="false" outlineLevel="0" collapsed="false">
      <c r="A2991" s="216" t="s">
        <v>5649</v>
      </c>
      <c r="B2991" s="40" t="s">
        <v>3519</v>
      </c>
      <c r="C2991" s="1161" t="s">
        <v>7111</v>
      </c>
      <c r="D2991" s="912" t="n">
        <v>2006</v>
      </c>
      <c r="E2991" s="912" t="n">
        <f aca="false">2021-D2991</f>
        <v>15</v>
      </c>
      <c r="F2991" s="547" t="n">
        <v>1585000</v>
      </c>
      <c r="G2991" s="1413" t="n">
        <v>0.1</v>
      </c>
      <c r="H2991" s="547" t="n">
        <f aca="false">E2991*F2991*G2991</f>
        <v>2377500</v>
      </c>
      <c r="I2991" s="547" t="n">
        <f aca="false">F2991-H2991</f>
        <v>-792500</v>
      </c>
      <c r="J2991" s="547" t="n">
        <f aca="false">F2991*G2991</f>
        <v>158500</v>
      </c>
      <c r="K2991" s="1365" t="n">
        <f aca="false">J2991/1792.8</f>
        <v>88.409192324855</v>
      </c>
      <c r="L2991" s="547" t="n">
        <v>30</v>
      </c>
      <c r="M2991" s="934" t="n">
        <f aca="false">K2991*L2991/60</f>
        <v>44.2045961624275</v>
      </c>
    </row>
    <row r="2992" customFormat="false" ht="30" hidden="false" customHeight="false" outlineLevel="0" collapsed="false">
      <c r="A2992" s="216" t="s">
        <v>5652</v>
      </c>
      <c r="B2992" s="40" t="s">
        <v>3520</v>
      </c>
      <c r="C2992" s="1161" t="s">
        <v>7111</v>
      </c>
      <c r="D2992" s="912" t="n">
        <v>2006</v>
      </c>
      <c r="E2992" s="912" t="n">
        <f aca="false">2021-D2992</f>
        <v>15</v>
      </c>
      <c r="F2992" s="547" t="n">
        <v>1585000</v>
      </c>
      <c r="G2992" s="1413" t="n">
        <v>0.1</v>
      </c>
      <c r="H2992" s="547" t="n">
        <f aca="false">E2992*F2992*G2992</f>
        <v>2377500</v>
      </c>
      <c r="I2992" s="547" t="n">
        <f aca="false">F2992-H2992</f>
        <v>-792500</v>
      </c>
      <c r="J2992" s="547" t="n">
        <f aca="false">F2992*G2992</f>
        <v>158500</v>
      </c>
      <c r="K2992" s="1365" t="n">
        <f aca="false">J2992/1792.8</f>
        <v>88.409192324855</v>
      </c>
      <c r="L2992" s="547" t="n">
        <v>30</v>
      </c>
      <c r="M2992" s="934" t="n">
        <f aca="false">K2992*L2992/60</f>
        <v>44.2045961624275</v>
      </c>
    </row>
    <row r="2993" customFormat="false" ht="15" hidden="false" customHeight="false" outlineLevel="0" collapsed="false">
      <c r="A2993" s="216" t="s">
        <v>5654</v>
      </c>
      <c r="B2993" s="78" t="s">
        <v>3129</v>
      </c>
      <c r="C2993" s="1161" t="s">
        <v>7111</v>
      </c>
      <c r="D2993" s="912" t="n">
        <v>2006</v>
      </c>
      <c r="E2993" s="912" t="n">
        <f aca="false">2021-D2993</f>
        <v>15</v>
      </c>
      <c r="F2993" s="547" t="n">
        <v>1585000</v>
      </c>
      <c r="G2993" s="1413" t="n">
        <v>0.1</v>
      </c>
      <c r="H2993" s="547" t="n">
        <f aca="false">E2993*F2993*G2993</f>
        <v>2377500</v>
      </c>
      <c r="I2993" s="547" t="n">
        <f aca="false">F2993-H2993</f>
        <v>-792500</v>
      </c>
      <c r="J2993" s="547" t="n">
        <f aca="false">F2993*G2993</f>
        <v>158500</v>
      </c>
      <c r="K2993" s="1365" t="n">
        <f aca="false">J2993/1792.8</f>
        <v>88.409192324855</v>
      </c>
      <c r="L2993" s="547" t="n">
        <v>30</v>
      </c>
      <c r="M2993" s="934" t="n">
        <f aca="false">K2993*L2993/60</f>
        <v>44.2045961624275</v>
      </c>
    </row>
    <row r="2994" customFormat="false" ht="15" hidden="false" customHeight="false" outlineLevel="0" collapsed="false">
      <c r="A2994" s="216" t="s">
        <v>5655</v>
      </c>
      <c r="B2994" s="78" t="s">
        <v>3521</v>
      </c>
      <c r="C2994" s="1161" t="s">
        <v>7111</v>
      </c>
      <c r="D2994" s="912" t="n">
        <v>2006</v>
      </c>
      <c r="E2994" s="912" t="n">
        <f aca="false">2021-D2994</f>
        <v>15</v>
      </c>
      <c r="F2994" s="547" t="n">
        <v>1585000</v>
      </c>
      <c r="G2994" s="1413" t="n">
        <v>0.1</v>
      </c>
      <c r="H2994" s="547" t="n">
        <f aca="false">E2994*F2994*G2994</f>
        <v>2377500</v>
      </c>
      <c r="I2994" s="547" t="n">
        <f aca="false">F2994-H2994</f>
        <v>-792500</v>
      </c>
      <c r="J2994" s="547" t="n">
        <f aca="false">F2994*G2994</f>
        <v>158500</v>
      </c>
      <c r="K2994" s="1365" t="n">
        <f aca="false">J2994/1792.8</f>
        <v>88.409192324855</v>
      </c>
      <c r="L2994" s="547" t="n">
        <v>30</v>
      </c>
      <c r="M2994" s="934" t="n">
        <f aca="false">K2994*L2994/60</f>
        <v>44.2045961624275</v>
      </c>
    </row>
    <row r="2995" customFormat="false" ht="15" hidden="false" customHeight="false" outlineLevel="0" collapsed="false">
      <c r="A2995" s="216" t="s">
        <v>5657</v>
      </c>
      <c r="B2995" s="78" t="s">
        <v>3269</v>
      </c>
      <c r="C2995" s="1161" t="s">
        <v>7111</v>
      </c>
      <c r="D2995" s="912" t="n">
        <v>2006</v>
      </c>
      <c r="E2995" s="912" t="n">
        <f aca="false">2021-D2995</f>
        <v>15</v>
      </c>
      <c r="F2995" s="547" t="n">
        <v>1585000</v>
      </c>
      <c r="G2995" s="1413" t="n">
        <v>0.1</v>
      </c>
      <c r="H2995" s="547" t="n">
        <f aca="false">E2995*F2995*G2995</f>
        <v>2377500</v>
      </c>
      <c r="I2995" s="547" t="n">
        <f aca="false">F2995-H2995</f>
        <v>-792500</v>
      </c>
      <c r="J2995" s="547" t="n">
        <f aca="false">F2995*G2995</f>
        <v>158500</v>
      </c>
      <c r="K2995" s="1365" t="n">
        <f aca="false">J2995/1792.8</f>
        <v>88.409192324855</v>
      </c>
      <c r="L2995" s="547" t="n">
        <v>30</v>
      </c>
      <c r="M2995" s="934" t="n">
        <f aca="false">K2995*L2995/60</f>
        <v>44.2045961624275</v>
      </c>
    </row>
    <row r="2996" customFormat="false" ht="15" hidden="false" customHeight="false" outlineLevel="0" collapsed="false">
      <c r="A2996" s="216" t="s">
        <v>5659</v>
      </c>
      <c r="B2996" s="40" t="s">
        <v>3522</v>
      </c>
      <c r="C2996" s="1161" t="s">
        <v>7109</v>
      </c>
      <c r="D2996" s="912" t="n">
        <v>2006</v>
      </c>
      <c r="E2996" s="912" t="n">
        <f aca="false">2021-D2996</f>
        <v>15</v>
      </c>
      <c r="F2996" s="547" t="n">
        <v>2000000</v>
      </c>
      <c r="G2996" s="1413" t="n">
        <v>0.1</v>
      </c>
      <c r="H2996" s="547" t="n">
        <f aca="false">E2996*F2996*G2996</f>
        <v>3000000</v>
      </c>
      <c r="I2996" s="547" t="n">
        <f aca="false">F2996-H2996</f>
        <v>-1000000</v>
      </c>
      <c r="J2996" s="547" t="n">
        <f aca="false">F2996*G2996</f>
        <v>200000</v>
      </c>
      <c r="K2996" s="1365" t="n">
        <f aca="false">J2996/1792.8</f>
        <v>111.557340473003</v>
      </c>
      <c r="L2996" s="547" t="n">
        <v>30</v>
      </c>
      <c r="M2996" s="934" t="n">
        <f aca="false">K2996*L2996/60</f>
        <v>55.7786702365016</v>
      </c>
    </row>
    <row r="2997" customFormat="false" ht="45" hidden="false" customHeight="false" outlineLevel="0" collapsed="false">
      <c r="A2997" s="216" t="s">
        <v>5660</v>
      </c>
      <c r="B2997" s="40" t="s">
        <v>3523</v>
      </c>
      <c r="C2997" s="1161" t="s">
        <v>7120</v>
      </c>
      <c r="D2997" s="912" t="n">
        <v>2006</v>
      </c>
      <c r="E2997" s="912" t="n">
        <f aca="false">2021-D2997</f>
        <v>15</v>
      </c>
      <c r="F2997" s="547" t="n">
        <v>133722</v>
      </c>
      <c r="G2997" s="1413" t="n">
        <v>0.1</v>
      </c>
      <c r="H2997" s="547" t="n">
        <f aca="false">E2997*F2997*G2997</f>
        <v>200583</v>
      </c>
      <c r="I2997" s="547" t="n">
        <f aca="false">F2997-H2997</f>
        <v>-66861</v>
      </c>
      <c r="J2997" s="547" t="n">
        <f aca="false">F2997*G2997</f>
        <v>13372.2</v>
      </c>
      <c r="K2997" s="1365" t="n">
        <f aca="false">J2997/1792.8</f>
        <v>7.45883534136546</v>
      </c>
      <c r="L2997" s="547" t="n">
        <v>30</v>
      </c>
      <c r="M2997" s="934" t="n">
        <f aca="false">K2997*L2997/60</f>
        <v>3.72941767068273</v>
      </c>
    </row>
    <row r="2998" customFormat="false" ht="15" hidden="false" customHeight="false" outlineLevel="0" collapsed="false">
      <c r="A2998" s="216" t="s">
        <v>1540</v>
      </c>
      <c r="B2998" s="40" t="s">
        <v>3524</v>
      </c>
      <c r="C2998" s="1161" t="s">
        <v>7109</v>
      </c>
      <c r="D2998" s="912" t="n">
        <v>2006</v>
      </c>
      <c r="E2998" s="912" t="n">
        <f aca="false">2021-D2998</f>
        <v>15</v>
      </c>
      <c r="F2998" s="547" t="n">
        <v>2000000</v>
      </c>
      <c r="G2998" s="1413" t="n">
        <v>0.1</v>
      </c>
      <c r="H2998" s="547" t="n">
        <f aca="false">E2998*F2998*G2998</f>
        <v>3000000</v>
      </c>
      <c r="I2998" s="547" t="n">
        <f aca="false">F2998-H2998</f>
        <v>-1000000</v>
      </c>
      <c r="J2998" s="547" t="n">
        <f aca="false">F2998*G2998</f>
        <v>200000</v>
      </c>
      <c r="K2998" s="1365" t="n">
        <f aca="false">J2998/1792.8</f>
        <v>111.557340473003</v>
      </c>
      <c r="L2998" s="547" t="n">
        <v>30</v>
      </c>
      <c r="M2998" s="934" t="n">
        <f aca="false">K2998*L2998/60</f>
        <v>55.7786702365016</v>
      </c>
    </row>
    <row r="2999" customFormat="false" ht="30" hidden="false" customHeight="false" outlineLevel="0" collapsed="false">
      <c r="A2999" s="216" t="s">
        <v>5663</v>
      </c>
      <c r="B2999" s="40" t="s">
        <v>3525</v>
      </c>
      <c r="C2999" s="1161" t="s">
        <v>7109</v>
      </c>
      <c r="D2999" s="912" t="n">
        <v>2006</v>
      </c>
      <c r="E2999" s="912" t="n">
        <f aca="false">2021-D2999</f>
        <v>15</v>
      </c>
      <c r="F2999" s="547" t="n">
        <v>2000000</v>
      </c>
      <c r="G2999" s="1413" t="n">
        <v>0.1</v>
      </c>
      <c r="H2999" s="547" t="n">
        <f aca="false">E2999*F2999*G2999</f>
        <v>3000000</v>
      </c>
      <c r="I2999" s="547" t="n">
        <f aca="false">F2999-H2999</f>
        <v>-1000000</v>
      </c>
      <c r="J2999" s="547" t="n">
        <f aca="false">F2999*G2999</f>
        <v>200000</v>
      </c>
      <c r="K2999" s="1365" t="n">
        <f aca="false">J2999/1792.8</f>
        <v>111.557340473003</v>
      </c>
      <c r="L2999" s="547" t="n">
        <v>30</v>
      </c>
      <c r="M2999" s="934" t="n">
        <f aca="false">K2999*L2999/60</f>
        <v>55.7786702365016</v>
      </c>
    </row>
    <row r="3000" customFormat="false" ht="30" hidden="false" customHeight="false" outlineLevel="0" collapsed="false">
      <c r="A3000" s="216" t="s">
        <v>5664</v>
      </c>
      <c r="B3000" s="40" t="s">
        <v>3526</v>
      </c>
      <c r="C3000" s="1161" t="s">
        <v>7109</v>
      </c>
      <c r="D3000" s="912" t="n">
        <v>2006</v>
      </c>
      <c r="E3000" s="912" t="n">
        <f aca="false">2021-D3000</f>
        <v>15</v>
      </c>
      <c r="F3000" s="547" t="n">
        <v>2000000</v>
      </c>
      <c r="G3000" s="1413" t="n">
        <v>0.1</v>
      </c>
      <c r="H3000" s="547" t="n">
        <f aca="false">E3000*F3000*G3000</f>
        <v>3000000</v>
      </c>
      <c r="I3000" s="547" t="n">
        <f aca="false">F3000-H3000</f>
        <v>-1000000</v>
      </c>
      <c r="J3000" s="547" t="n">
        <f aca="false">F3000*G3000</f>
        <v>200000</v>
      </c>
      <c r="K3000" s="1365" t="n">
        <f aca="false">J3000/1792.8</f>
        <v>111.557340473003</v>
      </c>
      <c r="L3000" s="547" t="n">
        <v>30</v>
      </c>
      <c r="M3000" s="934" t="n">
        <f aca="false">K3000*L3000/60</f>
        <v>55.7786702365016</v>
      </c>
    </row>
    <row r="3001" customFormat="false" ht="30" hidden="false" customHeight="false" outlineLevel="0" collapsed="false">
      <c r="A3001" s="216" t="s">
        <v>5665</v>
      </c>
      <c r="B3001" s="40" t="s">
        <v>3527</v>
      </c>
      <c r="C3001" s="1161" t="s">
        <v>7109</v>
      </c>
      <c r="D3001" s="912" t="n">
        <v>2006</v>
      </c>
      <c r="E3001" s="912" t="n">
        <f aca="false">2021-D3001</f>
        <v>15</v>
      </c>
      <c r="F3001" s="547" t="n">
        <v>2000000</v>
      </c>
      <c r="G3001" s="1413" t="n">
        <v>0.1</v>
      </c>
      <c r="H3001" s="547" t="n">
        <f aca="false">E3001*F3001*G3001</f>
        <v>3000000</v>
      </c>
      <c r="I3001" s="547" t="n">
        <f aca="false">F3001-H3001</f>
        <v>-1000000</v>
      </c>
      <c r="J3001" s="547" t="n">
        <f aca="false">F3001*G3001</f>
        <v>200000</v>
      </c>
      <c r="K3001" s="1365" t="n">
        <f aca="false">J3001/1792.8</f>
        <v>111.557340473003</v>
      </c>
      <c r="L3001" s="547" t="n">
        <v>30</v>
      </c>
      <c r="M3001" s="934" t="n">
        <f aca="false">K3001*L3001/60</f>
        <v>55.7786702365016</v>
      </c>
    </row>
    <row r="3002" customFormat="false" ht="30" hidden="false" customHeight="false" outlineLevel="0" collapsed="false">
      <c r="A3002" s="216" t="s">
        <v>7121</v>
      </c>
      <c r="B3002" s="40" t="s">
        <v>3528</v>
      </c>
      <c r="C3002" s="1161" t="s">
        <v>7109</v>
      </c>
      <c r="D3002" s="912" t="n">
        <v>2006</v>
      </c>
      <c r="E3002" s="912" t="n">
        <f aca="false">2021-D3002</f>
        <v>15</v>
      </c>
      <c r="F3002" s="547" t="n">
        <v>2000000</v>
      </c>
      <c r="G3002" s="1413" t="n">
        <v>0.1</v>
      </c>
      <c r="H3002" s="547" t="n">
        <f aca="false">E3002*F3002*G3002</f>
        <v>3000000</v>
      </c>
      <c r="I3002" s="547" t="n">
        <f aca="false">F3002-H3002</f>
        <v>-1000000</v>
      </c>
      <c r="J3002" s="547" t="n">
        <f aca="false">F3002*G3002</f>
        <v>200000</v>
      </c>
      <c r="K3002" s="1365" t="n">
        <f aca="false">J3002/1792.8</f>
        <v>111.557340473003</v>
      </c>
      <c r="L3002" s="547" t="n">
        <v>30</v>
      </c>
      <c r="M3002" s="934" t="n">
        <f aca="false">K3002*L3002/60</f>
        <v>55.7786702365016</v>
      </c>
    </row>
    <row r="3003" customFormat="false" ht="30" hidden="false" customHeight="false" outlineLevel="0" collapsed="false">
      <c r="A3003" s="216" t="s">
        <v>5666</v>
      </c>
      <c r="B3003" s="40" t="s">
        <v>3529</v>
      </c>
      <c r="C3003" s="1161" t="s">
        <v>7109</v>
      </c>
      <c r="D3003" s="912" t="n">
        <v>2006</v>
      </c>
      <c r="E3003" s="912" t="n">
        <f aca="false">2021-D3003</f>
        <v>15</v>
      </c>
      <c r="F3003" s="547" t="n">
        <v>2000000</v>
      </c>
      <c r="G3003" s="1413" t="n">
        <v>0.1</v>
      </c>
      <c r="H3003" s="547" t="n">
        <f aca="false">E3003*F3003*G3003</f>
        <v>3000000</v>
      </c>
      <c r="I3003" s="547" t="n">
        <f aca="false">F3003-H3003</f>
        <v>-1000000</v>
      </c>
      <c r="J3003" s="547" t="n">
        <f aca="false">F3003*G3003</f>
        <v>200000</v>
      </c>
      <c r="K3003" s="1365" t="n">
        <f aca="false">J3003/1792.8</f>
        <v>111.557340473003</v>
      </c>
      <c r="L3003" s="547" t="n">
        <v>30</v>
      </c>
      <c r="M3003" s="934" t="n">
        <f aca="false">K3003*L3003/60</f>
        <v>55.7786702365016</v>
      </c>
    </row>
    <row r="3004" customFormat="false" ht="45" hidden="false" customHeight="false" outlineLevel="0" collapsed="false">
      <c r="A3004" s="216" t="s">
        <v>5668</v>
      </c>
      <c r="B3004" s="40" t="s">
        <v>3530</v>
      </c>
      <c r="C3004" s="1161" t="s">
        <v>7120</v>
      </c>
      <c r="D3004" s="912" t="n">
        <v>2006</v>
      </c>
      <c r="E3004" s="912" t="n">
        <f aca="false">2021-D3004</f>
        <v>15</v>
      </c>
      <c r="F3004" s="547" t="n">
        <v>133722</v>
      </c>
      <c r="G3004" s="1413" t="n">
        <v>0.1</v>
      </c>
      <c r="H3004" s="547" t="n">
        <f aca="false">E3004*F3004*G3004</f>
        <v>200583</v>
      </c>
      <c r="I3004" s="547" t="n">
        <f aca="false">F3004-H3004</f>
        <v>-66861</v>
      </c>
      <c r="J3004" s="547" t="n">
        <f aca="false">F3004*G3004</f>
        <v>13372.2</v>
      </c>
      <c r="K3004" s="1365" t="n">
        <f aca="false">J3004/1792.8</f>
        <v>7.45883534136546</v>
      </c>
      <c r="L3004" s="547" t="n">
        <v>30</v>
      </c>
      <c r="M3004" s="934" t="n">
        <f aca="false">K3004*L3004/60</f>
        <v>3.72941767068273</v>
      </c>
    </row>
    <row r="3005" customFormat="false" ht="15" hidden="false" customHeight="false" outlineLevel="0" collapsed="false">
      <c r="A3005" s="216" t="s">
        <v>5670</v>
      </c>
      <c r="B3005" s="1468" t="s">
        <v>3488</v>
      </c>
      <c r="C3005" s="1161" t="s">
        <v>7117</v>
      </c>
      <c r="D3005" s="912" t="n">
        <v>2006</v>
      </c>
      <c r="E3005" s="912" t="n">
        <f aca="false">2021-D3005</f>
        <v>15</v>
      </c>
      <c r="F3005" s="547" t="n">
        <v>133722</v>
      </c>
      <c r="G3005" s="1413" t="n">
        <v>0.1</v>
      </c>
      <c r="H3005" s="547" t="n">
        <f aca="false">E3005*F3005*G3005</f>
        <v>200583</v>
      </c>
      <c r="I3005" s="547" t="n">
        <f aca="false">F3005-H3005</f>
        <v>-66861</v>
      </c>
      <c r="J3005" s="547" t="n">
        <f aca="false">F3005*G3005</f>
        <v>13372.2</v>
      </c>
      <c r="K3005" s="1365" t="n">
        <f aca="false">J3005/1792.8</f>
        <v>7.45883534136546</v>
      </c>
      <c r="L3005" s="547" t="n">
        <v>180</v>
      </c>
      <c r="M3005" s="934" t="n">
        <f aca="false">K3005*L3005/60</f>
        <v>22.3765060240964</v>
      </c>
    </row>
    <row r="3006" customFormat="false" ht="30" hidden="false" customHeight="false" outlineLevel="0" collapsed="false">
      <c r="A3006" s="216" t="s">
        <v>5671</v>
      </c>
      <c r="B3006" s="78" t="s">
        <v>3531</v>
      </c>
      <c r="C3006" s="1161" t="s">
        <v>7120</v>
      </c>
      <c r="D3006" s="912" t="n">
        <v>2006</v>
      </c>
      <c r="E3006" s="912" t="n">
        <f aca="false">2021-D3006</f>
        <v>15</v>
      </c>
      <c r="F3006" s="547" t="n">
        <v>133722</v>
      </c>
      <c r="G3006" s="1413" t="n">
        <v>0.1</v>
      </c>
      <c r="H3006" s="547" t="n">
        <f aca="false">E3006*F3006*G3006</f>
        <v>200583</v>
      </c>
      <c r="I3006" s="547" t="n">
        <f aca="false">F3006-H3006</f>
        <v>-66861</v>
      </c>
      <c r="J3006" s="547" t="n">
        <f aca="false">F3006*G3006</f>
        <v>13372.2</v>
      </c>
      <c r="K3006" s="1365" t="n">
        <f aca="false">J3006/1792.8</f>
        <v>7.45883534136546</v>
      </c>
      <c r="L3006" s="547" t="n">
        <v>12</v>
      </c>
      <c r="M3006" s="934" t="n">
        <f aca="false">K3006*L3006/60</f>
        <v>1.49176706827309</v>
      </c>
    </row>
    <row r="3007" customFormat="false" ht="30" hidden="false" customHeight="false" outlineLevel="0" collapsed="false">
      <c r="A3007" s="216" t="s">
        <v>5672</v>
      </c>
      <c r="B3007" s="78" t="s">
        <v>3532</v>
      </c>
      <c r="C3007" s="1161" t="s">
        <v>7120</v>
      </c>
      <c r="D3007" s="912" t="n">
        <v>2006</v>
      </c>
      <c r="E3007" s="912" t="n">
        <f aca="false">2021-D3007</f>
        <v>15</v>
      </c>
      <c r="F3007" s="547" t="n">
        <v>133722</v>
      </c>
      <c r="G3007" s="1413" t="n">
        <v>0.1</v>
      </c>
      <c r="H3007" s="547" t="n">
        <f aca="false">E3007*F3007*G3007</f>
        <v>200583</v>
      </c>
      <c r="I3007" s="547" t="n">
        <f aca="false">F3007-H3007</f>
        <v>-66861</v>
      </c>
      <c r="J3007" s="547" t="n">
        <f aca="false">F3007*G3007</f>
        <v>13372.2</v>
      </c>
      <c r="K3007" s="1365" t="n">
        <f aca="false">J3007/1792.8</f>
        <v>7.45883534136546</v>
      </c>
      <c r="L3007" s="547" t="n">
        <v>30</v>
      </c>
      <c r="M3007" s="934" t="n">
        <f aca="false">K3007*L3007/60</f>
        <v>3.72941767068273</v>
      </c>
    </row>
    <row r="3008" customFormat="false" ht="15" hidden="false" customHeight="false" outlineLevel="0" collapsed="false">
      <c r="A3008" s="216" t="s">
        <v>5674</v>
      </c>
      <c r="B3008" s="78" t="s">
        <v>7122</v>
      </c>
      <c r="C3008" s="1161" t="s">
        <v>7120</v>
      </c>
      <c r="D3008" s="912" t="n">
        <v>2006</v>
      </c>
      <c r="E3008" s="912" t="n">
        <f aca="false">2021-D3008</f>
        <v>15</v>
      </c>
      <c r="F3008" s="547" t="n">
        <v>133722</v>
      </c>
      <c r="G3008" s="1413" t="n">
        <v>0.1</v>
      </c>
      <c r="H3008" s="547" t="n">
        <f aca="false">E3008*F3008*G3008</f>
        <v>200583</v>
      </c>
      <c r="I3008" s="547" t="n">
        <f aca="false">F3008-H3008</f>
        <v>-66861</v>
      </c>
      <c r="J3008" s="547" t="n">
        <f aca="false">F3008*G3008</f>
        <v>13372.2</v>
      </c>
      <c r="K3008" s="1365" t="n">
        <f aca="false">J3008/1792.8</f>
        <v>7.45883534136546</v>
      </c>
      <c r="L3008" s="547" t="n">
        <v>30</v>
      </c>
      <c r="M3008" s="934" t="n">
        <f aca="false">K3008*L3008/60</f>
        <v>3.72941767068273</v>
      </c>
    </row>
    <row r="3009" customFormat="false" ht="30" hidden="false" customHeight="false" outlineLevel="0" collapsed="false">
      <c r="A3009" s="216" t="s">
        <v>5676</v>
      </c>
      <c r="B3009" s="78" t="s">
        <v>3491</v>
      </c>
      <c r="C3009" s="1161" t="s">
        <v>7120</v>
      </c>
      <c r="D3009" s="912" t="n">
        <v>2006</v>
      </c>
      <c r="E3009" s="912" t="n">
        <f aca="false">2021-D3009</f>
        <v>15</v>
      </c>
      <c r="F3009" s="547" t="n">
        <v>133722</v>
      </c>
      <c r="G3009" s="1413" t="n">
        <v>0.1</v>
      </c>
      <c r="H3009" s="547" t="n">
        <f aca="false">E3009*F3009*G3009</f>
        <v>200583</v>
      </c>
      <c r="I3009" s="547" t="n">
        <f aca="false">F3009-H3009</f>
        <v>-66861</v>
      </c>
      <c r="J3009" s="547" t="n">
        <f aca="false">F3009*G3009</f>
        <v>13372.2</v>
      </c>
      <c r="K3009" s="1365" t="n">
        <f aca="false">J3009/1792.8</f>
        <v>7.45883534136546</v>
      </c>
      <c r="L3009" s="547" t="n">
        <v>120</v>
      </c>
      <c r="M3009" s="934" t="n">
        <f aca="false">K3009*L3009/60</f>
        <v>14.9176706827309</v>
      </c>
    </row>
    <row r="3010" customFormat="false" ht="45" hidden="false" customHeight="false" outlineLevel="0" collapsed="false">
      <c r="A3010" s="216" t="s">
        <v>5677</v>
      </c>
      <c r="B3010" s="78" t="s">
        <v>3534</v>
      </c>
      <c r="C3010" s="1161" t="s">
        <v>7120</v>
      </c>
      <c r="D3010" s="912" t="n">
        <v>2006</v>
      </c>
      <c r="E3010" s="912" t="n">
        <f aca="false">2021-D3010</f>
        <v>15</v>
      </c>
      <c r="F3010" s="547" t="n">
        <v>133722</v>
      </c>
      <c r="G3010" s="1413" t="n">
        <v>0.1</v>
      </c>
      <c r="H3010" s="547" t="n">
        <f aca="false">E3010*F3010*G3010</f>
        <v>200583</v>
      </c>
      <c r="I3010" s="547" t="n">
        <f aca="false">F3010-H3010</f>
        <v>-66861</v>
      </c>
      <c r="J3010" s="547" t="n">
        <f aca="false">F3010*G3010</f>
        <v>13372.2</v>
      </c>
      <c r="K3010" s="1365" t="n">
        <f aca="false">J3010/1792.8</f>
        <v>7.45883534136546</v>
      </c>
      <c r="L3010" s="547" t="n">
        <v>30</v>
      </c>
      <c r="M3010" s="934" t="n">
        <f aca="false">K3010*L3010/60</f>
        <v>3.72941767068273</v>
      </c>
    </row>
    <row r="3011" customFormat="false" ht="57" hidden="false" customHeight="false" outlineLevel="0" collapsed="false">
      <c r="A3011" s="15" t="s">
        <v>1565</v>
      </c>
      <c r="B3011" s="16" t="s">
        <v>3535</v>
      </c>
      <c r="C3011" s="16"/>
      <c r="D3011" s="339"/>
      <c r="E3011" s="541"/>
      <c r="F3011" s="751"/>
      <c r="G3011" s="1412"/>
      <c r="H3011" s="751"/>
      <c r="I3011" s="751"/>
      <c r="J3011" s="751"/>
      <c r="K3011" s="751"/>
      <c r="L3011" s="712"/>
      <c r="M3011" s="818"/>
    </row>
    <row r="3012" customFormat="false" ht="15" hidden="false" customHeight="false" outlineLevel="0" collapsed="false">
      <c r="A3012" s="216" t="s">
        <v>1567</v>
      </c>
      <c r="B3012" s="40" t="s">
        <v>3139</v>
      </c>
      <c r="C3012" s="29"/>
      <c r="D3012" s="912"/>
      <c r="E3012" s="912"/>
      <c r="F3012" s="547"/>
      <c r="G3012" s="1413"/>
      <c r="H3012" s="547"/>
      <c r="I3012" s="547"/>
      <c r="J3012" s="547"/>
      <c r="K3012" s="1365" t="n">
        <f aca="false">J3012/1792.8</f>
        <v>0</v>
      </c>
      <c r="L3012" s="547" t="n">
        <v>0</v>
      </c>
      <c r="M3012" s="934"/>
    </row>
    <row r="3013" customFormat="false" ht="15" hidden="false" customHeight="false" outlineLevel="0" collapsed="false">
      <c r="A3013" s="216" t="s">
        <v>1568</v>
      </c>
      <c r="B3013" s="40" t="s">
        <v>3536</v>
      </c>
      <c r="C3013" s="1161" t="s">
        <v>7116</v>
      </c>
      <c r="D3013" s="912" t="n">
        <v>2006</v>
      </c>
      <c r="E3013" s="912" t="n">
        <f aca="false">2021-D3013</f>
        <v>15</v>
      </c>
      <c r="F3013" s="547" t="n">
        <v>5608600</v>
      </c>
      <c r="G3013" s="1413" t="n">
        <v>0.1</v>
      </c>
      <c r="H3013" s="547" t="n">
        <f aca="false">E3013*F3013*G3013</f>
        <v>8412900</v>
      </c>
      <c r="I3013" s="547" t="n">
        <f aca="false">F3013-H3013</f>
        <v>-2804300</v>
      </c>
      <c r="J3013" s="547" t="n">
        <f aca="false">F3013*G3013</f>
        <v>560860</v>
      </c>
      <c r="K3013" s="1365" t="n">
        <f aca="false">J3013/1792.8</f>
        <v>312.840249888443</v>
      </c>
      <c r="L3013" s="547" t="n">
        <v>30</v>
      </c>
      <c r="M3013" s="934" t="n">
        <f aca="false">K3013*L3013/60</f>
        <v>156.420124944221</v>
      </c>
    </row>
    <row r="3014" customFormat="false" ht="15" hidden="false" customHeight="false" outlineLevel="0" collapsed="false">
      <c r="A3014" s="216" t="s">
        <v>1569</v>
      </c>
      <c r="B3014" s="40" t="s">
        <v>3537</v>
      </c>
      <c r="C3014" s="1161" t="s">
        <v>7116</v>
      </c>
      <c r="D3014" s="912" t="n">
        <v>2006</v>
      </c>
      <c r="E3014" s="912" t="n">
        <f aca="false">2021-D3014</f>
        <v>15</v>
      </c>
      <c r="F3014" s="547" t="n">
        <v>5608600</v>
      </c>
      <c r="G3014" s="1413" t="n">
        <v>0.1</v>
      </c>
      <c r="H3014" s="547" t="n">
        <f aca="false">E3014*F3014*G3014</f>
        <v>8412900</v>
      </c>
      <c r="I3014" s="547" t="n">
        <f aca="false">F3014-H3014</f>
        <v>-2804300</v>
      </c>
      <c r="J3014" s="547" t="n">
        <f aca="false">F3014*G3014</f>
        <v>560860</v>
      </c>
      <c r="K3014" s="1365" t="n">
        <f aca="false">J3014/1792.8</f>
        <v>312.840249888443</v>
      </c>
      <c r="L3014" s="547" t="n">
        <v>30</v>
      </c>
      <c r="M3014" s="934" t="n">
        <f aca="false">K3014*L3014/60</f>
        <v>156.420124944221</v>
      </c>
    </row>
    <row r="3015" customFormat="false" ht="15" hidden="false" customHeight="false" outlineLevel="0" collapsed="false">
      <c r="A3015" s="216" t="s">
        <v>1570</v>
      </c>
      <c r="B3015" s="40" t="s">
        <v>3436</v>
      </c>
      <c r="C3015" s="1161" t="s">
        <v>7116</v>
      </c>
      <c r="D3015" s="912" t="n">
        <v>2006</v>
      </c>
      <c r="E3015" s="912" t="n">
        <f aca="false">2021-D3015</f>
        <v>15</v>
      </c>
      <c r="F3015" s="547" t="n">
        <v>5608600</v>
      </c>
      <c r="G3015" s="1413" t="n">
        <v>0.1</v>
      </c>
      <c r="H3015" s="547" t="n">
        <f aca="false">E3015*F3015*G3015</f>
        <v>8412900</v>
      </c>
      <c r="I3015" s="547" t="n">
        <f aca="false">F3015-H3015</f>
        <v>-2804300</v>
      </c>
      <c r="J3015" s="547" t="n">
        <f aca="false">F3015*G3015</f>
        <v>560860</v>
      </c>
      <c r="K3015" s="1365" t="n">
        <f aca="false">J3015/1792.8</f>
        <v>312.840249888443</v>
      </c>
      <c r="L3015" s="547" t="n">
        <v>30</v>
      </c>
      <c r="M3015" s="934" t="n">
        <f aca="false">K3015*L3015/60</f>
        <v>156.420124944221</v>
      </c>
    </row>
    <row r="3016" customFormat="false" ht="15" hidden="false" customHeight="false" outlineLevel="0" collapsed="false">
      <c r="A3016" s="216" t="s">
        <v>1571</v>
      </c>
      <c r="B3016" s="40" t="s">
        <v>3438</v>
      </c>
      <c r="C3016" s="1161" t="s">
        <v>7116</v>
      </c>
      <c r="D3016" s="912" t="n">
        <v>2006</v>
      </c>
      <c r="E3016" s="912" t="n">
        <f aca="false">2021-D3016</f>
        <v>15</v>
      </c>
      <c r="F3016" s="547" t="n">
        <v>5608600</v>
      </c>
      <c r="G3016" s="1413" t="n">
        <v>0.1</v>
      </c>
      <c r="H3016" s="547" t="n">
        <f aca="false">E3016*F3016*G3016</f>
        <v>8412900</v>
      </c>
      <c r="I3016" s="547" t="n">
        <f aca="false">F3016-H3016</f>
        <v>-2804300</v>
      </c>
      <c r="J3016" s="547" t="n">
        <f aca="false">F3016*G3016</f>
        <v>560860</v>
      </c>
      <c r="K3016" s="1365" t="n">
        <f aca="false">J3016/1792.8</f>
        <v>312.840249888443</v>
      </c>
      <c r="L3016" s="547" t="n">
        <v>30</v>
      </c>
      <c r="M3016" s="934" t="n">
        <f aca="false">K3016*L3016/60</f>
        <v>156.420124944221</v>
      </c>
    </row>
    <row r="3017" customFormat="false" ht="15" hidden="false" customHeight="false" outlineLevel="0" collapsed="false">
      <c r="A3017" s="216" t="s">
        <v>1572</v>
      </c>
      <c r="B3017" s="40" t="s">
        <v>3474</v>
      </c>
      <c r="C3017" s="1161" t="s">
        <v>7116</v>
      </c>
      <c r="D3017" s="912" t="n">
        <v>2006</v>
      </c>
      <c r="E3017" s="912" t="n">
        <f aca="false">2021-D3017</f>
        <v>15</v>
      </c>
      <c r="F3017" s="547" t="n">
        <v>5608600</v>
      </c>
      <c r="G3017" s="1413" t="n">
        <v>0.1</v>
      </c>
      <c r="H3017" s="547" t="n">
        <f aca="false">E3017*F3017*G3017</f>
        <v>8412900</v>
      </c>
      <c r="I3017" s="547" t="n">
        <f aca="false">F3017-H3017</f>
        <v>-2804300</v>
      </c>
      <c r="J3017" s="547" t="n">
        <f aca="false">F3017*G3017</f>
        <v>560860</v>
      </c>
      <c r="K3017" s="1365" t="n">
        <f aca="false">J3017/1792.8</f>
        <v>312.840249888443</v>
      </c>
      <c r="L3017" s="547" t="n">
        <v>30</v>
      </c>
      <c r="M3017" s="934" t="n">
        <f aca="false">K3017*L3017/60</f>
        <v>156.420124944221</v>
      </c>
    </row>
    <row r="3018" customFormat="false" ht="15" hidden="false" customHeight="false" outlineLevel="0" collapsed="false">
      <c r="A3018" s="216" t="s">
        <v>1573</v>
      </c>
      <c r="B3018" s="40" t="s">
        <v>3538</v>
      </c>
      <c r="C3018" s="1161" t="s">
        <v>7116</v>
      </c>
      <c r="D3018" s="912" t="n">
        <v>2006</v>
      </c>
      <c r="E3018" s="912" t="n">
        <f aca="false">2021-D3018</f>
        <v>15</v>
      </c>
      <c r="F3018" s="547" t="n">
        <v>5608600</v>
      </c>
      <c r="G3018" s="1413" t="n">
        <v>0.1</v>
      </c>
      <c r="H3018" s="547" t="n">
        <f aca="false">E3018*F3018*G3018</f>
        <v>8412900</v>
      </c>
      <c r="I3018" s="547" t="n">
        <f aca="false">F3018-H3018</f>
        <v>-2804300</v>
      </c>
      <c r="J3018" s="547" t="n">
        <f aca="false">F3018*G3018</f>
        <v>560860</v>
      </c>
      <c r="K3018" s="1365" t="n">
        <f aca="false">J3018/1792.8</f>
        <v>312.840249888443</v>
      </c>
      <c r="L3018" s="547" t="n">
        <v>30</v>
      </c>
      <c r="M3018" s="934" t="n">
        <f aca="false">K3018*L3018/60</f>
        <v>156.420124944221</v>
      </c>
    </row>
    <row r="3019" customFormat="false" ht="15" hidden="false" customHeight="false" outlineLevel="0" collapsed="false">
      <c r="A3019" s="216" t="s">
        <v>1575</v>
      </c>
      <c r="B3019" s="40" t="s">
        <v>3539</v>
      </c>
      <c r="C3019" s="1161" t="s">
        <v>7116</v>
      </c>
      <c r="D3019" s="912" t="n">
        <v>2006</v>
      </c>
      <c r="E3019" s="912" t="n">
        <f aca="false">2021-D3019</f>
        <v>15</v>
      </c>
      <c r="F3019" s="547" t="n">
        <v>5608600</v>
      </c>
      <c r="G3019" s="1413" t="n">
        <v>0.1</v>
      </c>
      <c r="H3019" s="547" t="n">
        <f aca="false">E3019*F3019*G3019</f>
        <v>8412900</v>
      </c>
      <c r="I3019" s="547" t="n">
        <f aca="false">F3019-H3019</f>
        <v>-2804300</v>
      </c>
      <c r="J3019" s="547" t="n">
        <f aca="false">F3019*G3019</f>
        <v>560860</v>
      </c>
      <c r="K3019" s="1365" t="n">
        <f aca="false">J3019/1792.8</f>
        <v>312.840249888443</v>
      </c>
      <c r="L3019" s="547" t="n">
        <v>30</v>
      </c>
      <c r="M3019" s="934" t="n">
        <f aca="false">K3019*L3019/60</f>
        <v>156.420124944221</v>
      </c>
    </row>
    <row r="3020" customFormat="false" ht="15" hidden="false" customHeight="false" outlineLevel="0" collapsed="false">
      <c r="A3020" s="216" t="s">
        <v>1576</v>
      </c>
      <c r="B3020" s="40" t="s">
        <v>3441</v>
      </c>
      <c r="C3020" s="1161" t="s">
        <v>7116</v>
      </c>
      <c r="D3020" s="912" t="n">
        <v>2006</v>
      </c>
      <c r="E3020" s="912" t="n">
        <f aca="false">2021-D3020</f>
        <v>15</v>
      </c>
      <c r="F3020" s="547" t="n">
        <v>5608600</v>
      </c>
      <c r="G3020" s="1413" t="n">
        <v>0.1</v>
      </c>
      <c r="H3020" s="547" t="n">
        <f aca="false">E3020*F3020*G3020</f>
        <v>8412900</v>
      </c>
      <c r="I3020" s="547" t="n">
        <f aca="false">F3020-H3020</f>
        <v>-2804300</v>
      </c>
      <c r="J3020" s="547" t="n">
        <f aca="false">F3020*G3020</f>
        <v>560860</v>
      </c>
      <c r="K3020" s="1365" t="n">
        <f aca="false">J3020/1792.8</f>
        <v>312.840249888443</v>
      </c>
      <c r="L3020" s="547" t="n">
        <v>30</v>
      </c>
      <c r="M3020" s="934" t="n">
        <f aca="false">K3020*L3020/60</f>
        <v>156.420124944221</v>
      </c>
    </row>
    <row r="3021" customFormat="false" ht="15" hidden="false" customHeight="false" outlineLevel="0" collapsed="false">
      <c r="A3021" s="216" t="s">
        <v>1577</v>
      </c>
      <c r="B3021" s="40" t="s">
        <v>3442</v>
      </c>
      <c r="C3021" s="1161" t="s">
        <v>7116</v>
      </c>
      <c r="D3021" s="912" t="n">
        <v>2006</v>
      </c>
      <c r="E3021" s="912" t="n">
        <f aca="false">2021-D3021</f>
        <v>15</v>
      </c>
      <c r="F3021" s="547" t="n">
        <v>5608600</v>
      </c>
      <c r="G3021" s="1413" t="n">
        <v>0.1</v>
      </c>
      <c r="H3021" s="547" t="n">
        <f aca="false">E3021*F3021*G3021</f>
        <v>8412900</v>
      </c>
      <c r="I3021" s="547" t="n">
        <f aca="false">F3021-H3021</f>
        <v>-2804300</v>
      </c>
      <c r="J3021" s="547" t="n">
        <f aca="false">F3021*G3021</f>
        <v>560860</v>
      </c>
      <c r="K3021" s="1365" t="n">
        <f aca="false">J3021/1792.8</f>
        <v>312.840249888443</v>
      </c>
      <c r="L3021" s="547" t="n">
        <v>30</v>
      </c>
      <c r="M3021" s="934" t="n">
        <f aca="false">K3021*L3021/60</f>
        <v>156.420124944221</v>
      </c>
    </row>
    <row r="3022" customFormat="false" ht="30" hidden="false" customHeight="false" outlineLevel="0" collapsed="false">
      <c r="A3022" s="216" t="s">
        <v>1578</v>
      </c>
      <c r="B3022" s="40" t="s">
        <v>3540</v>
      </c>
      <c r="C3022" s="1161" t="s">
        <v>7116</v>
      </c>
      <c r="D3022" s="912" t="n">
        <v>2006</v>
      </c>
      <c r="E3022" s="912" t="n">
        <f aca="false">2021-D3022</f>
        <v>15</v>
      </c>
      <c r="F3022" s="547" t="n">
        <v>5608600</v>
      </c>
      <c r="G3022" s="1413" t="n">
        <v>0.1</v>
      </c>
      <c r="H3022" s="547" t="n">
        <f aca="false">E3022*F3022*G3022</f>
        <v>8412900</v>
      </c>
      <c r="I3022" s="547" t="n">
        <f aca="false">F3022-H3022</f>
        <v>-2804300</v>
      </c>
      <c r="J3022" s="547" t="n">
        <f aca="false">F3022*G3022</f>
        <v>560860</v>
      </c>
      <c r="K3022" s="1365" t="n">
        <f aca="false">J3022/1792.8</f>
        <v>312.840249888443</v>
      </c>
      <c r="L3022" s="547" t="n">
        <v>30</v>
      </c>
      <c r="M3022" s="934" t="n">
        <f aca="false">K3022*L3022/60</f>
        <v>156.420124944221</v>
      </c>
    </row>
    <row r="3023" customFormat="false" ht="15" hidden="false" customHeight="false" outlineLevel="0" collapsed="false">
      <c r="A3023" s="216" t="s">
        <v>1579</v>
      </c>
      <c r="B3023" s="40" t="s">
        <v>3541</v>
      </c>
      <c r="C3023" s="1161" t="s">
        <v>7116</v>
      </c>
      <c r="D3023" s="912" t="n">
        <v>2006</v>
      </c>
      <c r="E3023" s="912" t="n">
        <f aca="false">2021-D3023</f>
        <v>15</v>
      </c>
      <c r="F3023" s="547" t="n">
        <v>5608600</v>
      </c>
      <c r="G3023" s="1413" t="n">
        <v>0.1</v>
      </c>
      <c r="H3023" s="547" t="n">
        <f aca="false">E3023*F3023*G3023</f>
        <v>8412900</v>
      </c>
      <c r="I3023" s="547" t="n">
        <f aca="false">F3023-H3023</f>
        <v>-2804300</v>
      </c>
      <c r="J3023" s="547" t="n">
        <f aca="false">F3023*G3023</f>
        <v>560860</v>
      </c>
      <c r="K3023" s="1365" t="n">
        <f aca="false">J3023/1792.8</f>
        <v>312.840249888443</v>
      </c>
      <c r="L3023" s="547" t="n">
        <v>30</v>
      </c>
      <c r="M3023" s="934" t="n">
        <f aca="false">K3023*L3023/60</f>
        <v>156.420124944221</v>
      </c>
    </row>
    <row r="3024" customFormat="false" ht="15" hidden="false" customHeight="false" outlineLevel="0" collapsed="false">
      <c r="A3024" s="216" t="s">
        <v>1580</v>
      </c>
      <c r="B3024" s="40" t="s">
        <v>3447</v>
      </c>
      <c r="C3024" s="1161" t="s">
        <v>7116</v>
      </c>
      <c r="D3024" s="912" t="n">
        <v>2006</v>
      </c>
      <c r="E3024" s="912" t="n">
        <f aca="false">2021-D3024</f>
        <v>15</v>
      </c>
      <c r="F3024" s="547" t="n">
        <v>5608600</v>
      </c>
      <c r="G3024" s="1413" t="n">
        <v>0.1</v>
      </c>
      <c r="H3024" s="547" t="n">
        <f aca="false">E3024*F3024*G3024</f>
        <v>8412900</v>
      </c>
      <c r="I3024" s="547" t="n">
        <f aca="false">F3024-H3024</f>
        <v>-2804300</v>
      </c>
      <c r="J3024" s="547" t="n">
        <f aca="false">F3024*G3024</f>
        <v>560860</v>
      </c>
      <c r="K3024" s="1365" t="n">
        <f aca="false">J3024/1792.8</f>
        <v>312.840249888443</v>
      </c>
      <c r="L3024" s="547" t="n">
        <v>30</v>
      </c>
      <c r="M3024" s="934" t="n">
        <f aca="false">K3024*L3024/60</f>
        <v>156.420124944221</v>
      </c>
    </row>
    <row r="3025" customFormat="false" ht="15" hidden="false" customHeight="false" outlineLevel="0" collapsed="false">
      <c r="A3025" s="216" t="s">
        <v>1581</v>
      </c>
      <c r="B3025" s="40" t="s">
        <v>3514</v>
      </c>
      <c r="C3025" s="1161" t="s">
        <v>7109</v>
      </c>
      <c r="D3025" s="912" t="n">
        <v>2006</v>
      </c>
      <c r="E3025" s="912" t="n">
        <f aca="false">2021-D3025</f>
        <v>15</v>
      </c>
      <c r="F3025" s="547" t="n">
        <v>2000000</v>
      </c>
      <c r="G3025" s="1413" t="n">
        <v>0.1</v>
      </c>
      <c r="H3025" s="547" t="n">
        <f aca="false">E3025*F3025*G3025</f>
        <v>3000000</v>
      </c>
      <c r="I3025" s="547" t="n">
        <f aca="false">F3025-H3025</f>
        <v>-1000000</v>
      </c>
      <c r="J3025" s="547" t="n">
        <f aca="false">F3025*G3025</f>
        <v>200000</v>
      </c>
      <c r="K3025" s="1365" t="n">
        <f aca="false">J3025/1792.8</f>
        <v>111.557340473003</v>
      </c>
      <c r="L3025" s="547" t="n">
        <v>30</v>
      </c>
      <c r="M3025" s="934" t="n">
        <f aca="false">K3025*L3025/60</f>
        <v>55.7786702365016</v>
      </c>
    </row>
    <row r="3026" customFormat="false" ht="15" hidden="false" customHeight="false" outlineLevel="0" collapsed="false">
      <c r="A3026" s="216" t="s">
        <v>1582</v>
      </c>
      <c r="B3026" s="40" t="s">
        <v>3513</v>
      </c>
      <c r="C3026" s="1161" t="s">
        <v>7116</v>
      </c>
      <c r="D3026" s="912" t="n">
        <v>2006</v>
      </c>
      <c r="E3026" s="912" t="n">
        <f aca="false">2021-D3026</f>
        <v>15</v>
      </c>
      <c r="F3026" s="547" t="n">
        <v>5608600</v>
      </c>
      <c r="G3026" s="1413" t="n">
        <v>0.1</v>
      </c>
      <c r="H3026" s="547" t="n">
        <f aca="false">E3026*F3026*G3026</f>
        <v>8412900</v>
      </c>
      <c r="I3026" s="547" t="n">
        <f aca="false">F3026-H3026</f>
        <v>-2804300</v>
      </c>
      <c r="J3026" s="547" t="n">
        <f aca="false">F3026*G3026</f>
        <v>560860</v>
      </c>
      <c r="K3026" s="1365" t="n">
        <f aca="false">J3026/1792.8</f>
        <v>312.840249888443</v>
      </c>
      <c r="L3026" s="547" t="n">
        <v>30</v>
      </c>
      <c r="M3026" s="934" t="n">
        <f aca="false">K3026*L3026/60</f>
        <v>156.420124944221</v>
      </c>
    </row>
    <row r="3027" customFormat="false" ht="15" hidden="false" customHeight="false" outlineLevel="0" collapsed="false">
      <c r="A3027" s="216" t="s">
        <v>1583</v>
      </c>
      <c r="B3027" s="29" t="s">
        <v>7123</v>
      </c>
      <c r="C3027" s="1161" t="s">
        <v>7116</v>
      </c>
      <c r="D3027" s="912" t="n">
        <v>2006</v>
      </c>
      <c r="E3027" s="912" t="n">
        <f aca="false">2021-D3027</f>
        <v>15</v>
      </c>
      <c r="F3027" s="547" t="n">
        <v>5608600</v>
      </c>
      <c r="G3027" s="1413" t="n">
        <v>0.1</v>
      </c>
      <c r="H3027" s="547" t="n">
        <f aca="false">E3027*F3027*G3027</f>
        <v>8412900</v>
      </c>
      <c r="I3027" s="547" t="n">
        <f aca="false">F3027-H3027</f>
        <v>-2804300</v>
      </c>
      <c r="J3027" s="547" t="n">
        <f aca="false">F3027*G3027</f>
        <v>560860</v>
      </c>
      <c r="K3027" s="1365" t="n">
        <f aca="false">J3027/1792.8</f>
        <v>312.840249888443</v>
      </c>
      <c r="L3027" s="547" t="n">
        <v>30</v>
      </c>
      <c r="M3027" s="934" t="n">
        <f aca="false">K3027*L3027/60</f>
        <v>156.420124944221</v>
      </c>
    </row>
    <row r="3028" customFormat="false" ht="15" hidden="false" customHeight="false" outlineLevel="0" collapsed="false">
      <c r="A3028" s="216" t="s">
        <v>1584</v>
      </c>
      <c r="B3028" s="40" t="s">
        <v>3543</v>
      </c>
      <c r="C3028" s="1161" t="s">
        <v>7116</v>
      </c>
      <c r="D3028" s="912" t="n">
        <v>2006</v>
      </c>
      <c r="E3028" s="912" t="n">
        <f aca="false">2021-D3028</f>
        <v>15</v>
      </c>
      <c r="F3028" s="547" t="n">
        <v>5608600</v>
      </c>
      <c r="G3028" s="1413" t="n">
        <v>0.1</v>
      </c>
      <c r="H3028" s="547" t="n">
        <f aca="false">E3028*F3028*G3028</f>
        <v>8412900</v>
      </c>
      <c r="I3028" s="547" t="n">
        <f aca="false">F3028-H3028</f>
        <v>-2804300</v>
      </c>
      <c r="J3028" s="547" t="n">
        <f aca="false">F3028*G3028</f>
        <v>560860</v>
      </c>
      <c r="K3028" s="1365" t="n">
        <f aca="false">J3028/1792.8</f>
        <v>312.840249888443</v>
      </c>
      <c r="L3028" s="547" t="n">
        <v>30</v>
      </c>
      <c r="M3028" s="934" t="n">
        <f aca="false">K3028*L3028/60</f>
        <v>156.420124944221</v>
      </c>
    </row>
    <row r="3029" customFormat="false" ht="15" hidden="false" customHeight="false" outlineLevel="0" collapsed="false">
      <c r="A3029" s="216" t="s">
        <v>1585</v>
      </c>
      <c r="B3029" s="40" t="s">
        <v>3544</v>
      </c>
      <c r="C3029" s="1161" t="s">
        <v>7116</v>
      </c>
      <c r="D3029" s="912" t="n">
        <v>2006</v>
      </c>
      <c r="E3029" s="912" t="n">
        <f aca="false">2021-D3029</f>
        <v>15</v>
      </c>
      <c r="F3029" s="547" t="n">
        <v>5608600</v>
      </c>
      <c r="G3029" s="1413" t="n">
        <v>0.1</v>
      </c>
      <c r="H3029" s="547" t="n">
        <f aca="false">E3029*F3029*G3029</f>
        <v>8412900</v>
      </c>
      <c r="I3029" s="547" t="n">
        <f aca="false">F3029-H3029</f>
        <v>-2804300</v>
      </c>
      <c r="J3029" s="547" t="n">
        <f aca="false">F3029*G3029</f>
        <v>560860</v>
      </c>
      <c r="K3029" s="1365" t="n">
        <f aca="false">J3029/1792.8</f>
        <v>312.840249888443</v>
      </c>
      <c r="L3029" s="547" t="n">
        <v>30</v>
      </c>
      <c r="M3029" s="934" t="n">
        <f aca="false">K3029*L3029/60</f>
        <v>156.420124944221</v>
      </c>
    </row>
    <row r="3030" customFormat="false" ht="15" hidden="false" customHeight="false" outlineLevel="0" collapsed="false">
      <c r="A3030" s="216" t="s">
        <v>1587</v>
      </c>
      <c r="B3030" s="40" t="s">
        <v>3458</v>
      </c>
      <c r="C3030" s="1161" t="s">
        <v>7116</v>
      </c>
      <c r="D3030" s="912" t="n">
        <v>2006</v>
      </c>
      <c r="E3030" s="912" t="n">
        <f aca="false">2021-D3030</f>
        <v>15</v>
      </c>
      <c r="F3030" s="547" t="n">
        <v>5608600</v>
      </c>
      <c r="G3030" s="1413" t="n">
        <v>0.1</v>
      </c>
      <c r="H3030" s="547" t="n">
        <f aca="false">E3030*F3030*G3030</f>
        <v>8412900</v>
      </c>
      <c r="I3030" s="547" t="n">
        <f aca="false">F3030-H3030</f>
        <v>-2804300</v>
      </c>
      <c r="J3030" s="547" t="n">
        <f aca="false">F3030*G3030</f>
        <v>560860</v>
      </c>
      <c r="K3030" s="1365" t="n">
        <f aca="false">J3030/1792.8</f>
        <v>312.840249888443</v>
      </c>
      <c r="L3030" s="547" t="n">
        <v>30</v>
      </c>
      <c r="M3030" s="934" t="n">
        <f aca="false">K3030*L3030/60</f>
        <v>156.420124944221</v>
      </c>
    </row>
    <row r="3031" customFormat="false" ht="15" hidden="false" customHeight="false" outlineLevel="0" collapsed="false">
      <c r="A3031" s="216" t="s">
        <v>1588</v>
      </c>
      <c r="B3031" s="40" t="s">
        <v>3443</v>
      </c>
      <c r="C3031" s="1161" t="s">
        <v>7116</v>
      </c>
      <c r="D3031" s="912" t="n">
        <v>2006</v>
      </c>
      <c r="E3031" s="912" t="n">
        <f aca="false">2021-D3031</f>
        <v>15</v>
      </c>
      <c r="F3031" s="547" t="n">
        <v>5608600</v>
      </c>
      <c r="G3031" s="1413" t="n">
        <v>0.1</v>
      </c>
      <c r="H3031" s="547" t="n">
        <f aca="false">E3031*F3031*G3031</f>
        <v>8412900</v>
      </c>
      <c r="I3031" s="547" t="n">
        <f aca="false">F3031-H3031</f>
        <v>-2804300</v>
      </c>
      <c r="J3031" s="547" t="n">
        <f aca="false">F3031*G3031</f>
        <v>560860</v>
      </c>
      <c r="K3031" s="1365" t="n">
        <f aca="false">J3031/1792.8</f>
        <v>312.840249888443</v>
      </c>
      <c r="L3031" s="547" t="n">
        <v>30</v>
      </c>
      <c r="M3031" s="934" t="n">
        <f aca="false">K3031*L3031/60</f>
        <v>156.420124944221</v>
      </c>
    </row>
    <row r="3032" customFormat="false" ht="15" hidden="false" customHeight="false" outlineLevel="0" collapsed="false">
      <c r="A3032" s="216" t="s">
        <v>1589</v>
      </c>
      <c r="B3032" s="40" t="s">
        <v>3545</v>
      </c>
      <c r="C3032" s="1161" t="s">
        <v>7116</v>
      </c>
      <c r="D3032" s="912" t="n">
        <v>2006</v>
      </c>
      <c r="E3032" s="912" t="n">
        <f aca="false">2021-D3032</f>
        <v>15</v>
      </c>
      <c r="F3032" s="547" t="n">
        <v>5608600</v>
      </c>
      <c r="G3032" s="1413" t="n">
        <v>0.1</v>
      </c>
      <c r="H3032" s="547" t="n">
        <f aca="false">E3032*F3032*G3032</f>
        <v>8412900</v>
      </c>
      <c r="I3032" s="547" t="n">
        <f aca="false">F3032-H3032</f>
        <v>-2804300</v>
      </c>
      <c r="J3032" s="547" t="n">
        <f aca="false">F3032*G3032</f>
        <v>560860</v>
      </c>
      <c r="K3032" s="1365" t="n">
        <f aca="false">J3032/1792.8</f>
        <v>312.840249888443</v>
      </c>
      <c r="L3032" s="547" t="n">
        <v>30</v>
      </c>
      <c r="M3032" s="934" t="n">
        <f aca="false">K3032*L3032/60</f>
        <v>156.420124944221</v>
      </c>
    </row>
    <row r="3033" customFormat="false" ht="15" hidden="false" customHeight="false" outlineLevel="0" collapsed="false">
      <c r="A3033" s="216" t="s">
        <v>1591</v>
      </c>
      <c r="B3033" s="40" t="s">
        <v>3444</v>
      </c>
      <c r="C3033" s="1161" t="s">
        <v>7116</v>
      </c>
      <c r="D3033" s="912" t="n">
        <v>2006</v>
      </c>
      <c r="E3033" s="912" t="n">
        <f aca="false">2021-D3033</f>
        <v>15</v>
      </c>
      <c r="F3033" s="547" t="n">
        <v>5608600</v>
      </c>
      <c r="G3033" s="1413" t="n">
        <v>0.1</v>
      </c>
      <c r="H3033" s="547" t="n">
        <f aca="false">E3033*F3033*G3033</f>
        <v>8412900</v>
      </c>
      <c r="I3033" s="547" t="n">
        <f aca="false">F3033-H3033</f>
        <v>-2804300</v>
      </c>
      <c r="J3033" s="547" t="n">
        <f aca="false">F3033*G3033</f>
        <v>560860</v>
      </c>
      <c r="K3033" s="1365" t="n">
        <f aca="false">J3033/1792.8</f>
        <v>312.840249888443</v>
      </c>
      <c r="L3033" s="547" t="n">
        <v>30</v>
      </c>
      <c r="M3033" s="934" t="n">
        <f aca="false">K3033*L3033/60</f>
        <v>156.420124944221</v>
      </c>
    </row>
    <row r="3034" customFormat="false" ht="15" hidden="false" customHeight="false" outlineLevel="0" collapsed="false">
      <c r="A3034" s="216" t="s">
        <v>1592</v>
      </c>
      <c r="B3034" s="40" t="s">
        <v>3546</v>
      </c>
      <c r="C3034" s="1161" t="s">
        <v>7116</v>
      </c>
      <c r="D3034" s="912" t="n">
        <v>2006</v>
      </c>
      <c r="E3034" s="912" t="n">
        <f aca="false">2021-D3034</f>
        <v>15</v>
      </c>
      <c r="F3034" s="547" t="n">
        <v>5608600</v>
      </c>
      <c r="G3034" s="1413" t="n">
        <v>0.1</v>
      </c>
      <c r="H3034" s="547" t="n">
        <f aca="false">E3034*F3034*G3034</f>
        <v>8412900</v>
      </c>
      <c r="I3034" s="547" t="n">
        <f aca="false">F3034-H3034</f>
        <v>-2804300</v>
      </c>
      <c r="J3034" s="547" t="n">
        <f aca="false">F3034*G3034</f>
        <v>560860</v>
      </c>
      <c r="K3034" s="1365" t="n">
        <f aca="false">J3034/1792.8</f>
        <v>312.840249888443</v>
      </c>
      <c r="L3034" s="547" t="n">
        <v>30</v>
      </c>
      <c r="M3034" s="934" t="n">
        <f aca="false">K3034*L3034/60</f>
        <v>156.420124944221</v>
      </c>
    </row>
    <row r="3035" customFormat="false" ht="15" hidden="false" customHeight="false" outlineLevel="0" collapsed="false">
      <c r="A3035" s="216" t="s">
        <v>1593</v>
      </c>
      <c r="B3035" s="40" t="s">
        <v>3547</v>
      </c>
      <c r="C3035" s="1161" t="s">
        <v>7116</v>
      </c>
      <c r="D3035" s="912" t="n">
        <v>2006</v>
      </c>
      <c r="E3035" s="912" t="n">
        <f aca="false">2021-D3035</f>
        <v>15</v>
      </c>
      <c r="F3035" s="547" t="n">
        <v>5608600</v>
      </c>
      <c r="G3035" s="1413" t="n">
        <v>0.1</v>
      </c>
      <c r="H3035" s="547" t="n">
        <f aca="false">E3035*F3035*G3035</f>
        <v>8412900</v>
      </c>
      <c r="I3035" s="547" t="n">
        <f aca="false">F3035-H3035</f>
        <v>-2804300</v>
      </c>
      <c r="J3035" s="547" t="n">
        <f aca="false">F3035*G3035</f>
        <v>560860</v>
      </c>
      <c r="K3035" s="1365" t="n">
        <f aca="false">J3035/1792.8</f>
        <v>312.840249888443</v>
      </c>
      <c r="L3035" s="547" t="n">
        <v>30</v>
      </c>
      <c r="M3035" s="934" t="n">
        <f aca="false">K3035*L3035/60</f>
        <v>156.420124944221</v>
      </c>
    </row>
    <row r="3036" customFormat="false" ht="15" hidden="false" customHeight="false" outlineLevel="0" collapsed="false">
      <c r="A3036" s="216" t="s">
        <v>1595</v>
      </c>
      <c r="B3036" s="40" t="s">
        <v>3548</v>
      </c>
      <c r="C3036" s="1161" t="s">
        <v>7109</v>
      </c>
      <c r="D3036" s="912" t="n">
        <v>2006</v>
      </c>
      <c r="E3036" s="912" t="n">
        <f aca="false">2021-D3036</f>
        <v>15</v>
      </c>
      <c r="F3036" s="547" t="n">
        <v>2000000</v>
      </c>
      <c r="G3036" s="1413" t="n">
        <v>0.1</v>
      </c>
      <c r="H3036" s="547" t="n">
        <f aca="false">E3036*F3036*G3036</f>
        <v>3000000</v>
      </c>
      <c r="I3036" s="547" t="n">
        <f aca="false">F3036-H3036</f>
        <v>-1000000</v>
      </c>
      <c r="J3036" s="547" t="n">
        <f aca="false">F3036*G3036</f>
        <v>200000</v>
      </c>
      <c r="K3036" s="1365" t="n">
        <f aca="false">J3036/1792.8</f>
        <v>111.557340473003</v>
      </c>
      <c r="L3036" s="547" t="n">
        <v>30</v>
      </c>
      <c r="M3036" s="934" t="n">
        <f aca="false">K3036*L3036/60</f>
        <v>55.7786702365016</v>
      </c>
    </row>
    <row r="3037" customFormat="false" ht="15" hidden="false" customHeight="false" outlineLevel="0" collapsed="false">
      <c r="A3037" s="216" t="s">
        <v>1596</v>
      </c>
      <c r="B3037" s="40" t="s">
        <v>3549</v>
      </c>
      <c r="C3037" s="1161" t="s">
        <v>7109</v>
      </c>
      <c r="D3037" s="912" t="n">
        <v>2006</v>
      </c>
      <c r="E3037" s="912" t="n">
        <f aca="false">2021-D3037</f>
        <v>15</v>
      </c>
      <c r="F3037" s="547" t="n">
        <v>2000000</v>
      </c>
      <c r="G3037" s="1413" t="n">
        <v>0.1</v>
      </c>
      <c r="H3037" s="547" t="n">
        <f aca="false">E3037*F3037*G3037</f>
        <v>3000000</v>
      </c>
      <c r="I3037" s="547" t="n">
        <f aca="false">F3037-H3037</f>
        <v>-1000000</v>
      </c>
      <c r="J3037" s="547" t="n">
        <f aca="false">F3037*G3037</f>
        <v>200000</v>
      </c>
      <c r="K3037" s="1365" t="n">
        <f aca="false">J3037/1792.8</f>
        <v>111.557340473003</v>
      </c>
      <c r="L3037" s="547" t="n">
        <v>30</v>
      </c>
      <c r="M3037" s="934" t="n">
        <f aca="false">K3037*L3037/60</f>
        <v>55.7786702365016</v>
      </c>
    </row>
    <row r="3038" customFormat="false" ht="15" hidden="false" customHeight="false" outlineLevel="0" collapsed="false">
      <c r="A3038" s="216" t="s">
        <v>1597</v>
      </c>
      <c r="B3038" s="40" t="s">
        <v>3550</v>
      </c>
      <c r="C3038" s="1161" t="s">
        <v>7109</v>
      </c>
      <c r="D3038" s="912" t="n">
        <v>2006</v>
      </c>
      <c r="E3038" s="912" t="n">
        <f aca="false">2021-D3038</f>
        <v>15</v>
      </c>
      <c r="F3038" s="547" t="n">
        <v>2000000</v>
      </c>
      <c r="G3038" s="1413" t="n">
        <v>0.1</v>
      </c>
      <c r="H3038" s="547" t="n">
        <f aca="false">E3038*F3038*G3038</f>
        <v>3000000</v>
      </c>
      <c r="I3038" s="547" t="n">
        <f aca="false">F3038-H3038</f>
        <v>-1000000</v>
      </c>
      <c r="J3038" s="547" t="n">
        <f aca="false">F3038*G3038</f>
        <v>200000</v>
      </c>
      <c r="K3038" s="1365" t="n">
        <f aca="false">J3038/1792.8</f>
        <v>111.557340473003</v>
      </c>
      <c r="L3038" s="547" t="n">
        <v>30</v>
      </c>
      <c r="M3038" s="934" t="n">
        <f aca="false">K3038*L3038/60</f>
        <v>55.7786702365016</v>
      </c>
    </row>
    <row r="3039" customFormat="false" ht="15" hidden="false" customHeight="false" outlineLevel="0" collapsed="false">
      <c r="A3039" s="216" t="s">
        <v>1598</v>
      </c>
      <c r="B3039" s="40" t="s">
        <v>3551</v>
      </c>
      <c r="C3039" s="1161" t="s">
        <v>7116</v>
      </c>
      <c r="D3039" s="912" t="n">
        <v>2006</v>
      </c>
      <c r="E3039" s="912" t="n">
        <f aca="false">2021-D3039</f>
        <v>15</v>
      </c>
      <c r="F3039" s="547" t="n">
        <v>5608600</v>
      </c>
      <c r="G3039" s="1413" t="n">
        <v>0.1</v>
      </c>
      <c r="H3039" s="547" t="n">
        <f aca="false">E3039*F3039*G3039</f>
        <v>8412900</v>
      </c>
      <c r="I3039" s="547" t="n">
        <f aca="false">F3039-H3039</f>
        <v>-2804300</v>
      </c>
      <c r="J3039" s="547" t="n">
        <f aca="false">F3039*G3039</f>
        <v>560860</v>
      </c>
      <c r="K3039" s="1365" t="n">
        <f aca="false">J3039/1792.8</f>
        <v>312.840249888443</v>
      </c>
      <c r="L3039" s="547" t="n">
        <v>30</v>
      </c>
      <c r="M3039" s="934" t="n">
        <f aca="false">K3039*L3039/60</f>
        <v>156.420124944221</v>
      </c>
    </row>
    <row r="3040" customFormat="false" ht="15" hidden="false" customHeight="false" outlineLevel="0" collapsed="false">
      <c r="A3040" s="216" t="s">
        <v>1600</v>
      </c>
      <c r="B3040" s="40" t="s">
        <v>3465</v>
      </c>
      <c r="C3040" s="1161" t="s">
        <v>7109</v>
      </c>
      <c r="D3040" s="912" t="n">
        <v>2006</v>
      </c>
      <c r="E3040" s="912" t="n">
        <f aca="false">2021-D3040</f>
        <v>15</v>
      </c>
      <c r="F3040" s="547" t="n">
        <v>2000000</v>
      </c>
      <c r="G3040" s="1413" t="n">
        <v>0.1</v>
      </c>
      <c r="H3040" s="547" t="n">
        <f aca="false">E3040*F3040*G3040</f>
        <v>3000000</v>
      </c>
      <c r="I3040" s="547" t="n">
        <f aca="false">F3040-H3040</f>
        <v>-1000000</v>
      </c>
      <c r="J3040" s="547" t="n">
        <f aca="false">F3040*G3040</f>
        <v>200000</v>
      </c>
      <c r="K3040" s="1365" t="n">
        <f aca="false">J3040/1792.8</f>
        <v>111.557340473003</v>
      </c>
      <c r="L3040" s="547" t="n">
        <v>30</v>
      </c>
      <c r="M3040" s="934" t="n">
        <f aca="false">K3040*L3040/60</f>
        <v>55.7786702365016</v>
      </c>
    </row>
    <row r="3041" customFormat="false" ht="15" hidden="false" customHeight="false" outlineLevel="0" collapsed="false">
      <c r="A3041" s="216" t="s">
        <v>1601</v>
      </c>
      <c r="B3041" s="40" t="s">
        <v>3552</v>
      </c>
      <c r="C3041" s="1161" t="s">
        <v>7116</v>
      </c>
      <c r="D3041" s="912" t="n">
        <v>2006</v>
      </c>
      <c r="E3041" s="912" t="n">
        <f aca="false">2021-D3041</f>
        <v>15</v>
      </c>
      <c r="F3041" s="547" t="n">
        <v>5608600</v>
      </c>
      <c r="G3041" s="1413" t="n">
        <v>0.1</v>
      </c>
      <c r="H3041" s="547" t="n">
        <f aca="false">E3041*F3041*G3041</f>
        <v>8412900</v>
      </c>
      <c r="I3041" s="547" t="n">
        <f aca="false">F3041-H3041</f>
        <v>-2804300</v>
      </c>
      <c r="J3041" s="547" t="n">
        <f aca="false">F3041*G3041</f>
        <v>560860</v>
      </c>
      <c r="K3041" s="1365" t="n">
        <f aca="false">J3041/1792.8</f>
        <v>312.840249888443</v>
      </c>
      <c r="L3041" s="547" t="n">
        <v>30</v>
      </c>
      <c r="M3041" s="934" t="n">
        <f aca="false">K3041*L3041/60</f>
        <v>156.420124944221</v>
      </c>
    </row>
    <row r="3042" customFormat="false" ht="30" hidden="false" customHeight="false" outlineLevel="0" collapsed="false">
      <c r="A3042" s="216" t="s">
        <v>1603</v>
      </c>
      <c r="B3042" s="40" t="s">
        <v>3553</v>
      </c>
      <c r="C3042" s="1161"/>
      <c r="D3042" s="912"/>
      <c r="E3042" s="912"/>
      <c r="F3042" s="547"/>
      <c r="G3042" s="1413"/>
      <c r="H3042" s="547"/>
      <c r="I3042" s="547"/>
      <c r="J3042" s="547"/>
      <c r="K3042" s="1365" t="n">
        <f aca="false">J3042/1792.8</f>
        <v>0</v>
      </c>
      <c r="L3042" s="547" t="n">
        <v>120</v>
      </c>
      <c r="M3042" s="934"/>
    </row>
    <row r="3043" customFormat="false" ht="15" hidden="false" customHeight="false" outlineLevel="0" collapsed="false">
      <c r="A3043" s="216" t="s">
        <v>1605</v>
      </c>
      <c r="B3043" s="78" t="s">
        <v>3481</v>
      </c>
      <c r="C3043" s="1161" t="s">
        <v>7109</v>
      </c>
      <c r="D3043" s="912" t="n">
        <v>2006</v>
      </c>
      <c r="E3043" s="912" t="n">
        <f aca="false">2021-D3043</f>
        <v>15</v>
      </c>
      <c r="F3043" s="547" t="n">
        <v>2000000</v>
      </c>
      <c r="G3043" s="1413" t="n">
        <v>0.1</v>
      </c>
      <c r="H3043" s="547" t="n">
        <f aca="false">E3043*F3043*G3043</f>
        <v>3000000</v>
      </c>
      <c r="I3043" s="547" t="n">
        <f aca="false">F3043-H3043</f>
        <v>-1000000</v>
      </c>
      <c r="J3043" s="547" t="n">
        <f aca="false">F3043*G3043</f>
        <v>200000</v>
      </c>
      <c r="K3043" s="1365" t="n">
        <f aca="false">J3043/1792.8</f>
        <v>111.557340473003</v>
      </c>
      <c r="L3043" s="547" t="n">
        <v>30</v>
      </c>
      <c r="M3043" s="934" t="n">
        <f aca="false">K3043*L3043/60</f>
        <v>55.7786702365016</v>
      </c>
    </row>
    <row r="3044" customFormat="false" ht="30" hidden="false" customHeight="false" outlineLevel="0" collapsed="false">
      <c r="A3044" s="216" t="s">
        <v>1606</v>
      </c>
      <c r="B3044" s="78" t="s">
        <v>3554</v>
      </c>
      <c r="C3044" s="1161" t="s">
        <v>7109</v>
      </c>
      <c r="D3044" s="912" t="n">
        <v>2006</v>
      </c>
      <c r="E3044" s="912" t="n">
        <f aca="false">2021-D3044</f>
        <v>15</v>
      </c>
      <c r="F3044" s="547" t="n">
        <v>2000000</v>
      </c>
      <c r="G3044" s="1413" t="n">
        <v>0.1</v>
      </c>
      <c r="H3044" s="547" t="n">
        <f aca="false">E3044*F3044*G3044</f>
        <v>3000000</v>
      </c>
      <c r="I3044" s="547" t="n">
        <f aca="false">F3044-H3044</f>
        <v>-1000000</v>
      </c>
      <c r="J3044" s="547" t="n">
        <f aca="false">F3044*G3044</f>
        <v>200000</v>
      </c>
      <c r="K3044" s="1365" t="n">
        <f aca="false">J3044/1792.8</f>
        <v>111.557340473003</v>
      </c>
      <c r="L3044" s="547" t="n">
        <v>30</v>
      </c>
      <c r="M3044" s="934" t="n">
        <f aca="false">K3044*L3044/60</f>
        <v>55.7786702365016</v>
      </c>
    </row>
    <row r="3045" customFormat="false" ht="15" hidden="false" customHeight="false" outlineLevel="0" collapsed="false">
      <c r="A3045" s="216" t="s">
        <v>1608</v>
      </c>
      <c r="B3045" s="78" t="s">
        <v>3486</v>
      </c>
      <c r="C3045" s="1161" t="s">
        <v>7116</v>
      </c>
      <c r="D3045" s="912" t="n">
        <v>2006</v>
      </c>
      <c r="E3045" s="912" t="n">
        <f aca="false">2021-D3045</f>
        <v>15</v>
      </c>
      <c r="F3045" s="547" t="n">
        <v>5608600</v>
      </c>
      <c r="G3045" s="1413" t="n">
        <v>0.1</v>
      </c>
      <c r="H3045" s="547" t="n">
        <f aca="false">E3045*F3045*G3045</f>
        <v>8412900</v>
      </c>
      <c r="I3045" s="547" t="n">
        <f aca="false">F3045-H3045</f>
        <v>-2804300</v>
      </c>
      <c r="J3045" s="547" t="n">
        <f aca="false">F3045*G3045</f>
        <v>560860</v>
      </c>
      <c r="K3045" s="1365" t="n">
        <f aca="false">J3045/1792.8</f>
        <v>312.840249888443</v>
      </c>
      <c r="L3045" s="547" t="n">
        <v>30</v>
      </c>
      <c r="M3045" s="934" t="n">
        <f aca="false">K3045*L3045/60</f>
        <v>156.420124944221</v>
      </c>
    </row>
    <row r="3046" customFormat="false" ht="30" hidden="false" customHeight="false" outlineLevel="0" collapsed="false">
      <c r="A3046" s="216" t="s">
        <v>1610</v>
      </c>
      <c r="B3046" s="78" t="s">
        <v>3532</v>
      </c>
      <c r="C3046" s="1161" t="s">
        <v>7120</v>
      </c>
      <c r="D3046" s="912" t="n">
        <v>2006</v>
      </c>
      <c r="E3046" s="912" t="n">
        <f aca="false">2021-D3046</f>
        <v>15</v>
      </c>
      <c r="F3046" s="547" t="n">
        <v>133722</v>
      </c>
      <c r="G3046" s="1413" t="n">
        <v>0.1</v>
      </c>
      <c r="H3046" s="547" t="n">
        <f aca="false">E3046*F3046*G3046</f>
        <v>200583</v>
      </c>
      <c r="I3046" s="547" t="n">
        <f aca="false">F3046-H3046</f>
        <v>-66861</v>
      </c>
      <c r="J3046" s="547" t="n">
        <f aca="false">F3046*G3046</f>
        <v>13372.2</v>
      </c>
      <c r="K3046" s="1365" t="n">
        <f aca="false">J3046/1792.8</f>
        <v>7.45883534136546</v>
      </c>
      <c r="L3046" s="547" t="n">
        <v>30</v>
      </c>
      <c r="M3046" s="934" t="n">
        <f aca="false">K3046*L3046/60</f>
        <v>3.72941767068273</v>
      </c>
    </row>
    <row r="3047" customFormat="false" ht="30" hidden="false" customHeight="false" outlineLevel="0" collapsed="false">
      <c r="A3047" s="216" t="s">
        <v>1611</v>
      </c>
      <c r="B3047" s="78" t="s">
        <v>3555</v>
      </c>
      <c r="C3047" s="1161" t="s">
        <v>7120</v>
      </c>
      <c r="D3047" s="912" t="n">
        <v>2006</v>
      </c>
      <c r="E3047" s="912" t="n">
        <f aca="false">2021-D3047</f>
        <v>15</v>
      </c>
      <c r="F3047" s="547" t="n">
        <v>133722</v>
      </c>
      <c r="G3047" s="1413" t="n">
        <v>0.1</v>
      </c>
      <c r="H3047" s="547" t="n">
        <f aca="false">E3047*F3047*G3047</f>
        <v>200583</v>
      </c>
      <c r="I3047" s="547" t="n">
        <f aca="false">F3047-H3047</f>
        <v>-66861</v>
      </c>
      <c r="J3047" s="547" t="n">
        <f aca="false">F3047*G3047</f>
        <v>13372.2</v>
      </c>
      <c r="K3047" s="1365" t="n">
        <f aca="false">J3047/1792.8</f>
        <v>7.45883534136546</v>
      </c>
      <c r="L3047" s="547" t="n">
        <v>120</v>
      </c>
      <c r="M3047" s="934" t="n">
        <f aca="false">K3047*L3047/60</f>
        <v>14.9176706827309</v>
      </c>
    </row>
    <row r="3048" customFormat="false" ht="42.75" hidden="false" customHeight="false" outlineLevel="0" collapsed="false">
      <c r="A3048" s="15" t="s">
        <v>1613</v>
      </c>
      <c r="B3048" s="88" t="s">
        <v>3556</v>
      </c>
      <c r="C3048" s="88"/>
      <c r="D3048" s="339"/>
      <c r="E3048" s="541"/>
      <c r="F3048" s="751"/>
      <c r="G3048" s="1412"/>
      <c r="H3048" s="751"/>
      <c r="I3048" s="751"/>
      <c r="J3048" s="751"/>
      <c r="K3048" s="751"/>
      <c r="L3048" s="712"/>
      <c r="M3048" s="818"/>
    </row>
    <row r="3049" customFormat="false" ht="15" hidden="false" customHeight="false" outlineLevel="0" collapsed="false">
      <c r="A3049" s="216" t="s">
        <v>1615</v>
      </c>
      <c r="B3049" s="40" t="s">
        <v>3139</v>
      </c>
      <c r="C3049" s="78"/>
      <c r="D3049" s="912"/>
      <c r="E3049" s="912"/>
      <c r="F3049" s="547"/>
      <c r="G3049" s="1413"/>
      <c r="H3049" s="547"/>
      <c r="I3049" s="547"/>
      <c r="J3049" s="547"/>
      <c r="K3049" s="1365" t="n">
        <f aca="false">J3049/1792.8</f>
        <v>0</v>
      </c>
      <c r="L3049" s="547" t="n">
        <v>30</v>
      </c>
      <c r="M3049" s="934"/>
    </row>
    <row r="3050" customFormat="false" ht="15" hidden="false" customHeight="false" outlineLevel="0" collapsed="false">
      <c r="A3050" s="216" t="s">
        <v>1616</v>
      </c>
      <c r="B3050" s="40" t="s">
        <v>3549</v>
      </c>
      <c r="C3050" s="1161" t="s">
        <v>7109</v>
      </c>
      <c r="D3050" s="912" t="n">
        <v>2006</v>
      </c>
      <c r="E3050" s="912" t="n">
        <f aca="false">2021-D3050</f>
        <v>15</v>
      </c>
      <c r="F3050" s="547" t="n">
        <v>2000000</v>
      </c>
      <c r="G3050" s="1413" t="n">
        <v>0.1</v>
      </c>
      <c r="H3050" s="547" t="n">
        <f aca="false">E3050*F3050*G3050</f>
        <v>3000000</v>
      </c>
      <c r="I3050" s="547" t="n">
        <f aca="false">F3050-H3050</f>
        <v>-1000000</v>
      </c>
      <c r="J3050" s="547" t="n">
        <f aca="false">F3050*G3050</f>
        <v>200000</v>
      </c>
      <c r="K3050" s="1365" t="n">
        <f aca="false">J3050/1792.8</f>
        <v>111.557340473003</v>
      </c>
      <c r="L3050" s="547" t="n">
        <v>30</v>
      </c>
      <c r="M3050" s="934" t="n">
        <f aca="false">K3050*L3050/60</f>
        <v>55.7786702365016</v>
      </c>
    </row>
    <row r="3051" customFormat="false" ht="15" hidden="false" customHeight="false" outlineLevel="0" collapsed="false">
      <c r="A3051" s="216" t="s">
        <v>1617</v>
      </c>
      <c r="B3051" s="40" t="s">
        <v>3548</v>
      </c>
      <c r="C3051" s="1161" t="s">
        <v>7109</v>
      </c>
      <c r="D3051" s="912" t="n">
        <v>2006</v>
      </c>
      <c r="E3051" s="912" t="n">
        <f aca="false">2021-D3051</f>
        <v>15</v>
      </c>
      <c r="F3051" s="547" t="n">
        <v>2000000</v>
      </c>
      <c r="G3051" s="1413" t="n">
        <v>0.1</v>
      </c>
      <c r="H3051" s="547" t="n">
        <f aca="false">E3051*F3051*G3051</f>
        <v>3000000</v>
      </c>
      <c r="I3051" s="547" t="n">
        <f aca="false">F3051-H3051</f>
        <v>-1000000</v>
      </c>
      <c r="J3051" s="547" t="n">
        <f aca="false">F3051*G3051</f>
        <v>200000</v>
      </c>
      <c r="K3051" s="1365" t="n">
        <f aca="false">J3051/1792.8</f>
        <v>111.557340473003</v>
      </c>
      <c r="L3051" s="547" t="n">
        <v>30</v>
      </c>
      <c r="M3051" s="934" t="n">
        <f aca="false">K3051*L3051/60</f>
        <v>55.7786702365016</v>
      </c>
    </row>
    <row r="3052" customFormat="false" ht="15" hidden="false" customHeight="false" outlineLevel="0" collapsed="false">
      <c r="A3052" s="216" t="s">
        <v>1618</v>
      </c>
      <c r="B3052" s="40" t="s">
        <v>3557</v>
      </c>
      <c r="C3052" s="1161" t="s">
        <v>7109</v>
      </c>
      <c r="D3052" s="912" t="n">
        <v>2006</v>
      </c>
      <c r="E3052" s="912" t="n">
        <f aca="false">2021-D3052</f>
        <v>15</v>
      </c>
      <c r="F3052" s="547" t="n">
        <v>2000000</v>
      </c>
      <c r="G3052" s="1413" t="n">
        <v>0.1</v>
      </c>
      <c r="H3052" s="547" t="n">
        <f aca="false">E3052*F3052*G3052</f>
        <v>3000000</v>
      </c>
      <c r="I3052" s="547" t="n">
        <f aca="false">F3052-H3052</f>
        <v>-1000000</v>
      </c>
      <c r="J3052" s="547" t="n">
        <f aca="false">F3052*G3052</f>
        <v>200000</v>
      </c>
      <c r="K3052" s="1365" t="n">
        <f aca="false">J3052/1792.8</f>
        <v>111.557340473003</v>
      </c>
      <c r="L3052" s="547" t="n">
        <v>30</v>
      </c>
      <c r="M3052" s="934" t="n">
        <f aca="false">K3052*L3052/60</f>
        <v>55.7786702365016</v>
      </c>
    </row>
    <row r="3053" customFormat="false" ht="15" hidden="false" customHeight="false" outlineLevel="0" collapsed="false">
      <c r="A3053" s="216" t="s">
        <v>1620</v>
      </c>
      <c r="B3053" s="40" t="s">
        <v>3546</v>
      </c>
      <c r="C3053" s="1161" t="s">
        <v>7116</v>
      </c>
      <c r="D3053" s="912" t="n">
        <v>2006</v>
      </c>
      <c r="E3053" s="912" t="n">
        <f aca="false">2021-D3053</f>
        <v>15</v>
      </c>
      <c r="F3053" s="547" t="n">
        <v>5608600</v>
      </c>
      <c r="G3053" s="1413" t="n">
        <v>0.1</v>
      </c>
      <c r="H3053" s="547" t="n">
        <f aca="false">E3053*F3053*G3053</f>
        <v>8412900</v>
      </c>
      <c r="I3053" s="547" t="n">
        <f aca="false">F3053-H3053</f>
        <v>-2804300</v>
      </c>
      <c r="J3053" s="547" t="n">
        <f aca="false">F3053*G3053</f>
        <v>560860</v>
      </c>
      <c r="K3053" s="1365" t="n">
        <f aca="false">J3053/1792.8</f>
        <v>312.840249888443</v>
      </c>
      <c r="L3053" s="547" t="n">
        <v>30</v>
      </c>
      <c r="M3053" s="934" t="n">
        <f aca="false">K3053*L3053/60</f>
        <v>156.420124944221</v>
      </c>
    </row>
    <row r="3054" customFormat="false" ht="15" hidden="false" customHeight="false" outlineLevel="0" collapsed="false">
      <c r="A3054" s="216" t="s">
        <v>1621</v>
      </c>
      <c r="B3054" s="40" t="s">
        <v>3558</v>
      </c>
      <c r="C3054" s="1161" t="s">
        <v>7116</v>
      </c>
      <c r="D3054" s="912" t="n">
        <v>2006</v>
      </c>
      <c r="E3054" s="912" t="n">
        <f aca="false">2021-D3054</f>
        <v>15</v>
      </c>
      <c r="F3054" s="547" t="n">
        <v>5608600</v>
      </c>
      <c r="G3054" s="1413" t="n">
        <v>0.1</v>
      </c>
      <c r="H3054" s="547" t="n">
        <f aca="false">E3054*F3054*G3054</f>
        <v>8412900</v>
      </c>
      <c r="I3054" s="547" t="n">
        <f aca="false">F3054-H3054</f>
        <v>-2804300</v>
      </c>
      <c r="J3054" s="547" t="n">
        <f aca="false">F3054*G3054</f>
        <v>560860</v>
      </c>
      <c r="K3054" s="1365" t="n">
        <f aca="false">J3054/1792.8</f>
        <v>312.840249888443</v>
      </c>
      <c r="L3054" s="547" t="n">
        <v>30</v>
      </c>
      <c r="M3054" s="934" t="n">
        <f aca="false">K3054*L3054/60</f>
        <v>156.420124944221</v>
      </c>
    </row>
    <row r="3055" customFormat="false" ht="15" hidden="false" customHeight="false" outlineLevel="0" collapsed="false">
      <c r="A3055" s="216" t="s">
        <v>1623</v>
      </c>
      <c r="B3055" s="40" t="s">
        <v>3543</v>
      </c>
      <c r="C3055" s="1161" t="s">
        <v>7116</v>
      </c>
      <c r="D3055" s="912" t="n">
        <v>2006</v>
      </c>
      <c r="E3055" s="912" t="n">
        <f aca="false">2021-D3055</f>
        <v>15</v>
      </c>
      <c r="F3055" s="547" t="n">
        <v>5608600</v>
      </c>
      <c r="G3055" s="1413" t="n">
        <v>0.1</v>
      </c>
      <c r="H3055" s="547" t="n">
        <f aca="false">E3055*F3055*G3055</f>
        <v>8412900</v>
      </c>
      <c r="I3055" s="547" t="n">
        <f aca="false">F3055-H3055</f>
        <v>-2804300</v>
      </c>
      <c r="J3055" s="547" t="n">
        <f aca="false">F3055*G3055</f>
        <v>560860</v>
      </c>
      <c r="K3055" s="1365" t="n">
        <f aca="false">J3055/1792.8</f>
        <v>312.840249888443</v>
      </c>
      <c r="L3055" s="547" t="n">
        <v>30</v>
      </c>
      <c r="M3055" s="934" t="n">
        <f aca="false">K3055*L3055/60</f>
        <v>156.420124944221</v>
      </c>
    </row>
    <row r="3056" customFormat="false" ht="15" hidden="false" customHeight="false" outlineLevel="0" collapsed="false">
      <c r="A3056" s="216" t="s">
        <v>1624</v>
      </c>
      <c r="B3056" s="40" t="s">
        <v>3514</v>
      </c>
      <c r="C3056" s="1161" t="s">
        <v>7109</v>
      </c>
      <c r="D3056" s="912" t="n">
        <v>2006</v>
      </c>
      <c r="E3056" s="912" t="n">
        <f aca="false">2021-D3056</f>
        <v>15</v>
      </c>
      <c r="F3056" s="547" t="n">
        <v>2000000</v>
      </c>
      <c r="G3056" s="1413" t="n">
        <v>0.1</v>
      </c>
      <c r="H3056" s="547" t="n">
        <f aca="false">E3056*F3056*G3056</f>
        <v>3000000</v>
      </c>
      <c r="I3056" s="547" t="n">
        <f aca="false">F3056-H3056</f>
        <v>-1000000</v>
      </c>
      <c r="J3056" s="547" t="n">
        <f aca="false">F3056*G3056</f>
        <v>200000</v>
      </c>
      <c r="K3056" s="1365" t="n">
        <f aca="false">J3056/1792.8</f>
        <v>111.557340473003</v>
      </c>
      <c r="L3056" s="547" t="n">
        <v>30</v>
      </c>
      <c r="M3056" s="934" t="n">
        <f aca="false">K3056*L3056/60</f>
        <v>55.7786702365016</v>
      </c>
    </row>
    <row r="3057" customFormat="false" ht="15" hidden="false" customHeight="false" outlineLevel="0" collapsed="false">
      <c r="A3057" s="216" t="s">
        <v>1625</v>
      </c>
      <c r="B3057" s="40" t="s">
        <v>3441</v>
      </c>
      <c r="C3057" s="1161" t="s">
        <v>7116</v>
      </c>
      <c r="D3057" s="912" t="n">
        <v>2006</v>
      </c>
      <c r="E3057" s="912" t="n">
        <f aca="false">2021-D3057</f>
        <v>15</v>
      </c>
      <c r="F3057" s="547" t="n">
        <v>5608600</v>
      </c>
      <c r="G3057" s="1413" t="n">
        <v>0.1</v>
      </c>
      <c r="H3057" s="547" t="n">
        <f aca="false">E3057*F3057*G3057</f>
        <v>8412900</v>
      </c>
      <c r="I3057" s="547" t="n">
        <f aca="false">F3057-H3057</f>
        <v>-2804300</v>
      </c>
      <c r="J3057" s="547" t="n">
        <f aca="false">F3057*G3057</f>
        <v>560860</v>
      </c>
      <c r="K3057" s="1365" t="n">
        <f aca="false">J3057/1792.8</f>
        <v>312.840249888443</v>
      </c>
      <c r="L3057" s="547" t="n">
        <v>30</v>
      </c>
      <c r="M3057" s="934" t="n">
        <f aca="false">K3057*L3057/60</f>
        <v>156.420124944221</v>
      </c>
    </row>
    <row r="3058" customFormat="false" ht="15" hidden="false" customHeight="false" outlineLevel="0" collapsed="false">
      <c r="A3058" s="216" t="s">
        <v>1626</v>
      </c>
      <c r="B3058" s="40" t="s">
        <v>3438</v>
      </c>
      <c r="C3058" s="1161" t="s">
        <v>7109</v>
      </c>
      <c r="D3058" s="912" t="n">
        <v>2006</v>
      </c>
      <c r="E3058" s="912" t="n">
        <f aca="false">2021-D3058</f>
        <v>15</v>
      </c>
      <c r="F3058" s="547" t="n">
        <v>2000000</v>
      </c>
      <c r="G3058" s="1413" t="n">
        <v>0.1</v>
      </c>
      <c r="H3058" s="547" t="n">
        <f aca="false">E3058*F3058*G3058</f>
        <v>3000000</v>
      </c>
      <c r="I3058" s="547" t="n">
        <f aca="false">F3058-H3058</f>
        <v>-1000000</v>
      </c>
      <c r="J3058" s="547" t="n">
        <f aca="false">F3058*G3058</f>
        <v>200000</v>
      </c>
      <c r="K3058" s="1365" t="n">
        <f aca="false">J3058/1792.8</f>
        <v>111.557340473003</v>
      </c>
      <c r="L3058" s="547" t="n">
        <v>30</v>
      </c>
      <c r="M3058" s="934" t="n">
        <f aca="false">K3058*L3058/60</f>
        <v>55.7786702365016</v>
      </c>
    </row>
    <row r="3059" customFormat="false" ht="15" hidden="false" customHeight="false" outlineLevel="0" collapsed="false">
      <c r="A3059" s="216" t="s">
        <v>1627</v>
      </c>
      <c r="B3059" s="40" t="s">
        <v>3465</v>
      </c>
      <c r="C3059" s="1161" t="s">
        <v>7109</v>
      </c>
      <c r="D3059" s="912" t="n">
        <v>2006</v>
      </c>
      <c r="E3059" s="912" t="n">
        <f aca="false">2021-D3059</f>
        <v>15</v>
      </c>
      <c r="F3059" s="547" t="n">
        <v>2000000</v>
      </c>
      <c r="G3059" s="1413" t="n">
        <v>0.1</v>
      </c>
      <c r="H3059" s="547" t="n">
        <f aca="false">E3059*F3059*G3059</f>
        <v>3000000</v>
      </c>
      <c r="I3059" s="547" t="n">
        <f aca="false">F3059-H3059</f>
        <v>-1000000</v>
      </c>
      <c r="J3059" s="547" t="n">
        <f aca="false">F3059*G3059</f>
        <v>200000</v>
      </c>
      <c r="K3059" s="1365" t="n">
        <f aca="false">J3059/1792.8</f>
        <v>111.557340473003</v>
      </c>
      <c r="L3059" s="547" t="n">
        <v>30</v>
      </c>
      <c r="M3059" s="934" t="n">
        <f aca="false">K3059*L3059/60</f>
        <v>55.7786702365016</v>
      </c>
    </row>
    <row r="3060" customFormat="false" ht="15" hidden="false" customHeight="false" outlineLevel="0" collapsed="false">
      <c r="A3060" s="216" t="s">
        <v>1628</v>
      </c>
      <c r="B3060" s="40" t="s">
        <v>3544</v>
      </c>
      <c r="C3060" s="1161" t="s">
        <v>7116</v>
      </c>
      <c r="D3060" s="912" t="n">
        <v>2006</v>
      </c>
      <c r="E3060" s="912" t="n">
        <f aca="false">2021-D3060</f>
        <v>15</v>
      </c>
      <c r="F3060" s="547" t="n">
        <v>5608600</v>
      </c>
      <c r="G3060" s="1413" t="n">
        <v>0.1</v>
      </c>
      <c r="H3060" s="547" t="n">
        <f aca="false">E3060*F3060*G3060</f>
        <v>8412900</v>
      </c>
      <c r="I3060" s="547" t="n">
        <f aca="false">F3060-H3060</f>
        <v>-2804300</v>
      </c>
      <c r="J3060" s="547" t="n">
        <f aca="false">F3060*G3060</f>
        <v>560860</v>
      </c>
      <c r="K3060" s="1365" t="n">
        <f aca="false">J3060/1792.8</f>
        <v>312.840249888443</v>
      </c>
      <c r="L3060" s="547" t="n">
        <v>30</v>
      </c>
      <c r="M3060" s="934" t="n">
        <f aca="false">K3060*L3060/60</f>
        <v>156.420124944221</v>
      </c>
    </row>
    <row r="3061" customFormat="false" ht="15" hidden="false" customHeight="false" outlineLevel="0" collapsed="false">
      <c r="A3061" s="216" t="s">
        <v>1629</v>
      </c>
      <c r="B3061" s="40" t="s">
        <v>3559</v>
      </c>
      <c r="C3061" s="1161" t="s">
        <v>7116</v>
      </c>
      <c r="D3061" s="912" t="n">
        <v>2006</v>
      </c>
      <c r="E3061" s="912" t="n">
        <f aca="false">2021-D3061</f>
        <v>15</v>
      </c>
      <c r="F3061" s="547" t="n">
        <v>5608600</v>
      </c>
      <c r="G3061" s="1413" t="n">
        <v>0.1</v>
      </c>
      <c r="H3061" s="547" t="n">
        <f aca="false">E3061*F3061*G3061</f>
        <v>8412900</v>
      </c>
      <c r="I3061" s="547" t="n">
        <f aca="false">F3061-H3061</f>
        <v>-2804300</v>
      </c>
      <c r="J3061" s="547" t="n">
        <f aca="false">F3061*G3061</f>
        <v>560860</v>
      </c>
      <c r="K3061" s="1365" t="n">
        <f aca="false">J3061/1792.8</f>
        <v>312.840249888443</v>
      </c>
      <c r="L3061" s="547" t="n">
        <v>30</v>
      </c>
      <c r="M3061" s="934" t="n">
        <f aca="false">K3061*L3061/60</f>
        <v>156.420124944221</v>
      </c>
    </row>
    <row r="3062" customFormat="false" ht="15" hidden="false" customHeight="false" outlineLevel="0" collapsed="false">
      <c r="A3062" s="216" t="s">
        <v>1630</v>
      </c>
      <c r="B3062" s="40" t="s">
        <v>3536</v>
      </c>
      <c r="C3062" s="1161" t="s">
        <v>7109</v>
      </c>
      <c r="D3062" s="912" t="n">
        <v>2006</v>
      </c>
      <c r="E3062" s="912" t="n">
        <f aca="false">2021-D3062</f>
        <v>15</v>
      </c>
      <c r="F3062" s="547" t="n">
        <v>2000000</v>
      </c>
      <c r="G3062" s="1413" t="n">
        <v>0.1</v>
      </c>
      <c r="H3062" s="547" t="n">
        <f aca="false">E3062*F3062*G3062</f>
        <v>3000000</v>
      </c>
      <c r="I3062" s="547" t="n">
        <f aca="false">F3062-H3062</f>
        <v>-1000000</v>
      </c>
      <c r="J3062" s="547" t="n">
        <f aca="false">F3062*G3062</f>
        <v>200000</v>
      </c>
      <c r="K3062" s="1365" t="n">
        <f aca="false">J3062/1792.8</f>
        <v>111.557340473003</v>
      </c>
      <c r="L3062" s="547" t="n">
        <v>30</v>
      </c>
      <c r="M3062" s="934" t="n">
        <f aca="false">K3062*L3062/60</f>
        <v>55.7786702365016</v>
      </c>
    </row>
    <row r="3063" customFormat="false" ht="15" hidden="false" customHeight="false" outlineLevel="0" collapsed="false">
      <c r="A3063" s="216" t="s">
        <v>1631</v>
      </c>
      <c r="B3063" s="40" t="s">
        <v>3552</v>
      </c>
      <c r="C3063" s="1161" t="s">
        <v>7116</v>
      </c>
      <c r="D3063" s="912" t="n">
        <v>2006</v>
      </c>
      <c r="E3063" s="912" t="n">
        <f aca="false">2021-D3063</f>
        <v>15</v>
      </c>
      <c r="F3063" s="547" t="n">
        <v>5608600</v>
      </c>
      <c r="G3063" s="1413" t="n">
        <v>0.1</v>
      </c>
      <c r="H3063" s="547" t="n">
        <f aca="false">E3063*F3063*G3063</f>
        <v>8412900</v>
      </c>
      <c r="I3063" s="547" t="n">
        <f aca="false">F3063-H3063</f>
        <v>-2804300</v>
      </c>
      <c r="J3063" s="547" t="n">
        <f aca="false">F3063*G3063</f>
        <v>560860</v>
      </c>
      <c r="K3063" s="1365" t="n">
        <f aca="false">J3063/1792.8</f>
        <v>312.840249888443</v>
      </c>
      <c r="L3063" s="547" t="n">
        <v>30</v>
      </c>
      <c r="M3063" s="934" t="n">
        <f aca="false">K3063*L3063/60</f>
        <v>156.420124944221</v>
      </c>
    </row>
    <row r="3064" customFormat="false" ht="15" hidden="false" customHeight="false" outlineLevel="0" collapsed="false">
      <c r="A3064" s="216" t="s">
        <v>1632</v>
      </c>
      <c r="B3064" s="40" t="s">
        <v>3129</v>
      </c>
      <c r="C3064" s="1161" t="s">
        <v>7111</v>
      </c>
      <c r="D3064" s="912" t="n">
        <v>2006</v>
      </c>
      <c r="E3064" s="912" t="n">
        <f aca="false">2021-D3064</f>
        <v>15</v>
      </c>
      <c r="F3064" s="547" t="n">
        <v>1585000</v>
      </c>
      <c r="G3064" s="1413" t="n">
        <v>0.1</v>
      </c>
      <c r="H3064" s="547" t="n">
        <f aca="false">E3064*F3064*G3064</f>
        <v>2377500</v>
      </c>
      <c r="I3064" s="547" t="n">
        <f aca="false">F3064-H3064</f>
        <v>-792500</v>
      </c>
      <c r="J3064" s="547" t="n">
        <f aca="false">F3064*G3064</f>
        <v>158500</v>
      </c>
      <c r="K3064" s="1365" t="n">
        <f aca="false">J3064/1792.8</f>
        <v>88.409192324855</v>
      </c>
      <c r="L3064" s="547" t="n">
        <v>30</v>
      </c>
      <c r="M3064" s="934" t="n">
        <f aca="false">K3064*L3064/60</f>
        <v>44.2045961624275</v>
      </c>
    </row>
    <row r="3065" customFormat="false" ht="15" hidden="false" customHeight="false" outlineLevel="0" collapsed="false">
      <c r="A3065" s="216" t="s">
        <v>1633</v>
      </c>
      <c r="B3065" s="40" t="s">
        <v>3269</v>
      </c>
      <c r="C3065" s="1161" t="s">
        <v>7111</v>
      </c>
      <c r="D3065" s="912" t="n">
        <v>2006</v>
      </c>
      <c r="E3065" s="912" t="n">
        <f aca="false">2021-D3065</f>
        <v>15</v>
      </c>
      <c r="F3065" s="547" t="n">
        <v>1585000</v>
      </c>
      <c r="G3065" s="1413" t="n">
        <v>0.1</v>
      </c>
      <c r="H3065" s="547" t="n">
        <f aca="false">E3065*F3065*G3065</f>
        <v>2377500</v>
      </c>
      <c r="I3065" s="547" t="n">
        <f aca="false">F3065-H3065</f>
        <v>-792500</v>
      </c>
      <c r="J3065" s="547" t="n">
        <f aca="false">F3065*G3065</f>
        <v>158500</v>
      </c>
      <c r="K3065" s="1365" t="n">
        <f aca="false">J3065/1792.8</f>
        <v>88.409192324855</v>
      </c>
      <c r="L3065" s="547" t="n">
        <v>30</v>
      </c>
      <c r="M3065" s="934" t="n">
        <f aca="false">K3065*L3065/60</f>
        <v>44.2045961624275</v>
      </c>
    </row>
    <row r="3066" customFormat="false" ht="15" hidden="false" customHeight="false" outlineLevel="0" collapsed="false">
      <c r="A3066" s="216" t="s">
        <v>1634</v>
      </c>
      <c r="B3066" s="40" t="s">
        <v>3254</v>
      </c>
      <c r="C3066" s="1161" t="s">
        <v>7111</v>
      </c>
      <c r="D3066" s="912" t="n">
        <v>2006</v>
      </c>
      <c r="E3066" s="912" t="n">
        <f aca="false">2021-D3066</f>
        <v>15</v>
      </c>
      <c r="F3066" s="547" t="n">
        <v>1585000</v>
      </c>
      <c r="G3066" s="1413" t="n">
        <v>0.1</v>
      </c>
      <c r="H3066" s="547" t="n">
        <f aca="false">E3066*F3066*G3066</f>
        <v>2377500</v>
      </c>
      <c r="I3066" s="547" t="n">
        <f aca="false">F3066-H3066</f>
        <v>-792500</v>
      </c>
      <c r="J3066" s="547" t="n">
        <f aca="false">F3066*G3066</f>
        <v>158500</v>
      </c>
      <c r="K3066" s="1365" t="n">
        <f aca="false">J3066/1792.8</f>
        <v>88.409192324855</v>
      </c>
      <c r="L3066" s="547" t="n">
        <v>30</v>
      </c>
      <c r="M3066" s="934" t="n">
        <f aca="false">K3066*L3066/60</f>
        <v>44.2045961624275</v>
      </c>
    </row>
    <row r="3067" customFormat="false" ht="15" hidden="false" customHeight="false" outlineLevel="0" collapsed="false">
      <c r="A3067" s="216" t="s">
        <v>1635</v>
      </c>
      <c r="B3067" s="40" t="s">
        <v>3486</v>
      </c>
      <c r="C3067" s="1161" t="s">
        <v>7116</v>
      </c>
      <c r="D3067" s="912" t="n">
        <v>2006</v>
      </c>
      <c r="E3067" s="912" t="n">
        <f aca="false">2021-D3067</f>
        <v>15</v>
      </c>
      <c r="F3067" s="547" t="n">
        <v>5608600</v>
      </c>
      <c r="G3067" s="1413" t="n">
        <v>0.1</v>
      </c>
      <c r="H3067" s="547" t="n">
        <f aca="false">E3067*F3067*G3067</f>
        <v>8412900</v>
      </c>
      <c r="I3067" s="547" t="n">
        <f aca="false">F3067-H3067</f>
        <v>-2804300</v>
      </c>
      <c r="J3067" s="547" t="n">
        <f aca="false">F3067*G3067</f>
        <v>560860</v>
      </c>
      <c r="K3067" s="1365" t="n">
        <f aca="false">J3067/1792.8</f>
        <v>312.840249888443</v>
      </c>
      <c r="L3067" s="547" t="n">
        <v>30</v>
      </c>
      <c r="M3067" s="934" t="n">
        <f aca="false">K3067*L3067/60</f>
        <v>156.420124944221</v>
      </c>
    </row>
    <row r="3068" customFormat="false" ht="15" hidden="false" customHeight="false" outlineLevel="0" collapsed="false">
      <c r="A3068" s="216" t="s">
        <v>1636</v>
      </c>
      <c r="B3068" s="40" t="s">
        <v>3560</v>
      </c>
      <c r="C3068" s="1161" t="s">
        <v>4568</v>
      </c>
      <c r="D3068" s="912" t="n">
        <v>2006</v>
      </c>
      <c r="E3068" s="912" t="n">
        <f aca="false">2021-D3068</f>
        <v>15</v>
      </c>
      <c r="F3068" s="547" t="n">
        <v>133722</v>
      </c>
      <c r="G3068" s="1413" t="n">
        <v>0.1</v>
      </c>
      <c r="H3068" s="547" t="n">
        <f aca="false">E3068*F3068*G3068</f>
        <v>200583</v>
      </c>
      <c r="I3068" s="547" t="n">
        <f aca="false">F3068-H3068</f>
        <v>-66861</v>
      </c>
      <c r="J3068" s="547" t="n">
        <f aca="false">F3068*G3068</f>
        <v>13372.2</v>
      </c>
      <c r="K3068" s="1365" t="n">
        <f aca="false">J3068/1792.8</f>
        <v>7.45883534136546</v>
      </c>
      <c r="L3068" s="547" t="n">
        <v>160</v>
      </c>
      <c r="M3068" s="934" t="n">
        <f aca="false">K3068*L3068/60</f>
        <v>19.8902275769746</v>
      </c>
    </row>
    <row r="3069" customFormat="false" ht="15" hidden="false" customHeight="false" outlineLevel="0" collapsed="false">
      <c r="A3069" s="216" t="s">
        <v>1637</v>
      </c>
      <c r="B3069" s="1469" t="s">
        <v>3488</v>
      </c>
      <c r="C3069" s="1161" t="s">
        <v>7117</v>
      </c>
      <c r="D3069" s="912" t="n">
        <v>2006</v>
      </c>
      <c r="E3069" s="912" t="n">
        <f aca="false">2021-D3069</f>
        <v>15</v>
      </c>
      <c r="F3069" s="547" t="n">
        <v>133722</v>
      </c>
      <c r="G3069" s="1413" t="n">
        <v>0.1</v>
      </c>
      <c r="H3069" s="547" t="n">
        <f aca="false">E3069*F3069*G3069</f>
        <v>200583</v>
      </c>
      <c r="I3069" s="547" t="n">
        <f aca="false">F3069-H3069</f>
        <v>-66861</v>
      </c>
      <c r="J3069" s="547" t="n">
        <f aca="false">F3069*G3069</f>
        <v>13372.2</v>
      </c>
      <c r="K3069" s="1365" t="n">
        <f aca="false">J3069/1792.8</f>
        <v>7.45883534136546</v>
      </c>
      <c r="L3069" s="547" t="n">
        <v>180</v>
      </c>
      <c r="M3069" s="934" t="n">
        <f aca="false">K3069*L3069/60</f>
        <v>22.3765060240964</v>
      </c>
    </row>
    <row r="3070" customFormat="false" ht="30" hidden="false" customHeight="false" outlineLevel="0" collapsed="false">
      <c r="A3070" s="216" t="s">
        <v>1638</v>
      </c>
      <c r="B3070" s="40" t="s">
        <v>3561</v>
      </c>
      <c r="C3070" s="1161" t="s">
        <v>7120</v>
      </c>
      <c r="D3070" s="912" t="n">
        <v>2006</v>
      </c>
      <c r="E3070" s="912" t="n">
        <f aca="false">2021-D3070</f>
        <v>15</v>
      </c>
      <c r="F3070" s="547" t="n">
        <v>133722</v>
      </c>
      <c r="G3070" s="1413" t="n">
        <v>0.1</v>
      </c>
      <c r="H3070" s="547" t="n">
        <f aca="false">E3070*F3070*G3070</f>
        <v>200583</v>
      </c>
      <c r="I3070" s="547" t="n">
        <f aca="false">F3070-H3070</f>
        <v>-66861</v>
      </c>
      <c r="J3070" s="547" t="n">
        <f aca="false">F3070*G3070</f>
        <v>13372.2</v>
      </c>
      <c r="K3070" s="1365" t="n">
        <f aca="false">J3070/1792.8</f>
        <v>7.45883534136546</v>
      </c>
      <c r="L3070" s="547" t="n">
        <v>30</v>
      </c>
      <c r="M3070" s="934" t="n">
        <f aca="false">K3070*L3070/60</f>
        <v>3.72941767068273</v>
      </c>
    </row>
    <row r="3071" customFormat="false" ht="30" hidden="false" customHeight="false" outlineLevel="0" collapsed="false">
      <c r="A3071" s="216" t="s">
        <v>1640</v>
      </c>
      <c r="B3071" s="40" t="s">
        <v>3562</v>
      </c>
      <c r="C3071" s="1161" t="s">
        <v>7120</v>
      </c>
      <c r="D3071" s="912" t="n">
        <v>2006</v>
      </c>
      <c r="E3071" s="912" t="n">
        <f aca="false">2021-D3071</f>
        <v>15</v>
      </c>
      <c r="F3071" s="547" t="n">
        <v>133722</v>
      </c>
      <c r="G3071" s="1413" t="n">
        <v>0.1</v>
      </c>
      <c r="H3071" s="547" t="n">
        <f aca="false">E3071*F3071*G3071</f>
        <v>200583</v>
      </c>
      <c r="I3071" s="547" t="n">
        <f aca="false">F3071-H3071</f>
        <v>-66861</v>
      </c>
      <c r="J3071" s="547" t="n">
        <f aca="false">F3071*G3071</f>
        <v>13372.2</v>
      </c>
      <c r="K3071" s="1365" t="n">
        <f aca="false">J3071/1792.8</f>
        <v>7.45883534136546</v>
      </c>
      <c r="L3071" s="547" t="n">
        <v>30</v>
      </c>
      <c r="M3071" s="934" t="n">
        <f aca="false">K3071*L3071/60</f>
        <v>3.72941767068273</v>
      </c>
    </row>
    <row r="3072" customFormat="false" ht="30" hidden="false" customHeight="false" outlineLevel="0" collapsed="false">
      <c r="A3072" s="216" t="s">
        <v>1642</v>
      </c>
      <c r="B3072" s="40" t="s">
        <v>3563</v>
      </c>
      <c r="C3072" s="1161" t="s">
        <v>7120</v>
      </c>
      <c r="D3072" s="912" t="n">
        <v>2006</v>
      </c>
      <c r="E3072" s="912" t="n">
        <f aca="false">2021-D3072</f>
        <v>15</v>
      </c>
      <c r="F3072" s="547" t="n">
        <v>133722</v>
      </c>
      <c r="G3072" s="1413" t="n">
        <v>0.1</v>
      </c>
      <c r="H3072" s="547" t="n">
        <f aca="false">E3072*F3072*G3072</f>
        <v>200583</v>
      </c>
      <c r="I3072" s="547" t="n">
        <f aca="false">F3072-H3072</f>
        <v>-66861</v>
      </c>
      <c r="J3072" s="547" t="n">
        <f aca="false">F3072*G3072</f>
        <v>13372.2</v>
      </c>
      <c r="K3072" s="1365" t="n">
        <f aca="false">J3072/1792.8</f>
        <v>7.45883534136546</v>
      </c>
      <c r="L3072" s="547" t="n">
        <v>120</v>
      </c>
      <c r="M3072" s="934" t="n">
        <f aca="false">K3072*L3072/60</f>
        <v>14.9176706827309</v>
      </c>
    </row>
    <row r="3073" customFormat="false" ht="30" hidden="false" customHeight="false" outlineLevel="0" collapsed="false">
      <c r="A3073" s="216" t="s">
        <v>1644</v>
      </c>
      <c r="B3073" s="40" t="s">
        <v>3564</v>
      </c>
      <c r="C3073" s="1161" t="s">
        <v>7120</v>
      </c>
      <c r="D3073" s="912" t="n">
        <v>2006</v>
      </c>
      <c r="E3073" s="912" t="n">
        <f aca="false">2021-D3073</f>
        <v>15</v>
      </c>
      <c r="F3073" s="547" t="n">
        <v>133722</v>
      </c>
      <c r="G3073" s="1413" t="n">
        <v>0.1</v>
      </c>
      <c r="H3073" s="547" t="n">
        <f aca="false">E3073*F3073*G3073</f>
        <v>200583</v>
      </c>
      <c r="I3073" s="547" t="n">
        <f aca="false">F3073-H3073</f>
        <v>-66861</v>
      </c>
      <c r="J3073" s="547" t="n">
        <f aca="false">F3073*G3073</f>
        <v>13372.2</v>
      </c>
      <c r="K3073" s="1365" t="n">
        <f aca="false">J3073/1792.8</f>
        <v>7.45883534136546</v>
      </c>
      <c r="L3073" s="547" t="n">
        <v>120</v>
      </c>
      <c r="M3073" s="934" t="n">
        <f aca="false">K3073*L3073/60</f>
        <v>14.9176706827309</v>
      </c>
    </row>
    <row r="3074" customFormat="false" ht="15" hidden="false" customHeight="false" outlineLevel="0" collapsed="false">
      <c r="A3074" s="216" t="s">
        <v>1646</v>
      </c>
      <c r="B3074" s="40" t="s">
        <v>7124</v>
      </c>
      <c r="C3074" s="1161" t="s">
        <v>7120</v>
      </c>
      <c r="D3074" s="912" t="n">
        <v>2006</v>
      </c>
      <c r="E3074" s="912" t="n">
        <f aca="false">2021-D3074</f>
        <v>15</v>
      </c>
      <c r="F3074" s="547" t="n">
        <v>133722</v>
      </c>
      <c r="G3074" s="1413" t="n">
        <v>0.1</v>
      </c>
      <c r="H3074" s="547" t="n">
        <f aca="false">E3074*F3074*G3074</f>
        <v>200583</v>
      </c>
      <c r="I3074" s="547" t="n">
        <f aca="false">F3074-H3074</f>
        <v>-66861</v>
      </c>
      <c r="J3074" s="547" t="n">
        <f aca="false">F3074*G3074</f>
        <v>13372.2</v>
      </c>
      <c r="K3074" s="1365" t="n">
        <f aca="false">J3074/1792.8</f>
        <v>7.45883534136546</v>
      </c>
      <c r="L3074" s="547" t="n">
        <v>30</v>
      </c>
      <c r="M3074" s="934" t="n">
        <f aca="false">K3074*L3074/60</f>
        <v>3.72941767068273</v>
      </c>
    </row>
    <row r="3075" customFormat="false" ht="45" hidden="false" customHeight="false" outlineLevel="0" collapsed="false">
      <c r="A3075" s="216" t="s">
        <v>1647</v>
      </c>
      <c r="B3075" s="40" t="s">
        <v>3534</v>
      </c>
      <c r="C3075" s="1161" t="s">
        <v>7120</v>
      </c>
      <c r="D3075" s="912" t="n">
        <v>2006</v>
      </c>
      <c r="E3075" s="912" t="n">
        <f aca="false">2021-D3075</f>
        <v>15</v>
      </c>
      <c r="F3075" s="547" t="n">
        <v>133722</v>
      </c>
      <c r="G3075" s="1413" t="n">
        <v>0.1</v>
      </c>
      <c r="H3075" s="547" t="n">
        <f aca="false">E3075*F3075*G3075</f>
        <v>200583</v>
      </c>
      <c r="I3075" s="547" t="n">
        <f aca="false">F3075-H3075</f>
        <v>-66861</v>
      </c>
      <c r="J3075" s="547" t="n">
        <f aca="false">F3075*G3075</f>
        <v>13372.2</v>
      </c>
      <c r="K3075" s="1365" t="n">
        <f aca="false">J3075/1792.8</f>
        <v>7.45883534136546</v>
      </c>
      <c r="L3075" s="547" t="n">
        <v>30</v>
      </c>
      <c r="M3075" s="934" t="n">
        <f aca="false">K3075*L3075/60</f>
        <v>3.72941767068273</v>
      </c>
    </row>
    <row r="3076" customFormat="false" ht="30" hidden="false" customHeight="false" outlineLevel="0" collapsed="false">
      <c r="A3076" s="216" t="s">
        <v>1648</v>
      </c>
      <c r="B3076" s="40" t="s">
        <v>3565</v>
      </c>
      <c r="C3076" s="1161" t="s">
        <v>7125</v>
      </c>
      <c r="D3076" s="912" t="n">
        <v>2006</v>
      </c>
      <c r="E3076" s="912" t="n">
        <f aca="false">2021-D3076</f>
        <v>15</v>
      </c>
      <c r="F3076" s="547" t="n">
        <v>133722</v>
      </c>
      <c r="G3076" s="1413" t="n">
        <v>0.1</v>
      </c>
      <c r="H3076" s="547" t="n">
        <f aca="false">E3076*F3076*G3076</f>
        <v>200583</v>
      </c>
      <c r="I3076" s="547" t="n">
        <f aca="false">F3076-H3076</f>
        <v>-66861</v>
      </c>
      <c r="J3076" s="547" t="n">
        <f aca="false">F3076*G3076</f>
        <v>13372.2</v>
      </c>
      <c r="K3076" s="1365" t="n">
        <f aca="false">J3076/1792.8</f>
        <v>7.45883534136546</v>
      </c>
      <c r="L3076" s="547" t="n">
        <v>30</v>
      </c>
      <c r="M3076" s="934" t="n">
        <f aca="false">K3076*L3076/60</f>
        <v>3.72941767068273</v>
      </c>
    </row>
    <row r="3077" customFormat="false" ht="57" hidden="false" customHeight="false" outlineLevel="0" collapsed="false">
      <c r="A3077" s="15" t="s">
        <v>1650</v>
      </c>
      <c r="B3077" s="1470" t="s">
        <v>3566</v>
      </c>
      <c r="C3077" s="16"/>
      <c r="D3077" s="339"/>
      <c r="E3077" s="541"/>
      <c r="F3077" s="751"/>
      <c r="G3077" s="1412"/>
      <c r="H3077" s="751"/>
      <c r="I3077" s="751"/>
      <c r="J3077" s="751"/>
      <c r="K3077" s="751"/>
      <c r="L3077" s="751"/>
      <c r="M3077" s="751"/>
    </row>
    <row r="3078" customFormat="false" ht="15" hidden="false" customHeight="false" outlineLevel="0" collapsed="false">
      <c r="A3078" s="216" t="s">
        <v>1652</v>
      </c>
      <c r="B3078" s="40" t="s">
        <v>3139</v>
      </c>
      <c r="C3078" s="29"/>
      <c r="D3078" s="912"/>
      <c r="E3078" s="912"/>
      <c r="F3078" s="547"/>
      <c r="G3078" s="1413"/>
      <c r="H3078" s="547"/>
      <c r="I3078" s="547"/>
      <c r="J3078" s="547"/>
      <c r="K3078" s="1365" t="n">
        <f aca="false">J3078/1792.8</f>
        <v>0</v>
      </c>
      <c r="L3078" s="547" t="n">
        <v>30</v>
      </c>
      <c r="M3078" s="934"/>
    </row>
    <row r="3079" customFormat="false" ht="15" hidden="false" customHeight="false" outlineLevel="0" collapsed="false">
      <c r="A3079" s="216" t="s">
        <v>1653</v>
      </c>
      <c r="B3079" s="40" t="s">
        <v>3567</v>
      </c>
      <c r="C3079" s="29"/>
      <c r="D3079" s="912"/>
      <c r="E3079" s="912"/>
      <c r="F3079" s="547"/>
      <c r="G3079" s="1413"/>
      <c r="H3079" s="547"/>
      <c r="I3079" s="547"/>
      <c r="J3079" s="547"/>
      <c r="K3079" s="1365" t="n">
        <f aca="false">J3079/1792.8</f>
        <v>0</v>
      </c>
      <c r="L3079" s="547" t="n">
        <v>30</v>
      </c>
      <c r="M3079" s="934"/>
    </row>
    <row r="3080" customFormat="false" ht="30" hidden="false" customHeight="false" outlineLevel="0" collapsed="false">
      <c r="A3080" s="216" t="s">
        <v>1654</v>
      </c>
      <c r="B3080" s="40" t="s">
        <v>3497</v>
      </c>
      <c r="C3080" s="29"/>
      <c r="D3080" s="912"/>
      <c r="E3080" s="912"/>
      <c r="F3080" s="547"/>
      <c r="G3080" s="1413"/>
      <c r="H3080" s="547"/>
      <c r="I3080" s="547"/>
      <c r="J3080" s="547"/>
      <c r="K3080" s="1365" t="n">
        <f aca="false">J3080/1792.8</f>
        <v>0</v>
      </c>
      <c r="L3080" s="547" t="n">
        <v>30</v>
      </c>
      <c r="M3080" s="934"/>
    </row>
    <row r="3081" customFormat="false" ht="15" hidden="false" customHeight="false" outlineLevel="0" collapsed="false">
      <c r="A3081" s="216" t="s">
        <v>1655</v>
      </c>
      <c r="B3081" s="40" t="s">
        <v>3568</v>
      </c>
      <c r="C3081" s="1161" t="s">
        <v>7109</v>
      </c>
      <c r="D3081" s="912" t="n">
        <v>2006</v>
      </c>
      <c r="E3081" s="912" t="n">
        <f aca="false">2021-D3081</f>
        <v>15</v>
      </c>
      <c r="F3081" s="547" t="n">
        <v>2000000</v>
      </c>
      <c r="G3081" s="1413" t="n">
        <v>0.1</v>
      </c>
      <c r="H3081" s="547" t="n">
        <f aca="false">E3081*F3081*G3081</f>
        <v>3000000</v>
      </c>
      <c r="I3081" s="547" t="n">
        <f aca="false">F3081-H3081</f>
        <v>-1000000</v>
      </c>
      <c r="J3081" s="547" t="n">
        <f aca="false">F3081*G3081</f>
        <v>200000</v>
      </c>
      <c r="K3081" s="1365" t="n">
        <f aca="false">J3081/1792.8</f>
        <v>111.557340473003</v>
      </c>
      <c r="L3081" s="547" t="n">
        <v>30</v>
      </c>
      <c r="M3081" s="934" t="n">
        <f aca="false">K3081*L3081/60</f>
        <v>55.7786702365016</v>
      </c>
    </row>
    <row r="3082" customFormat="false" ht="15" hidden="false" customHeight="false" outlineLevel="0" collapsed="false">
      <c r="A3082" s="216" t="s">
        <v>1656</v>
      </c>
      <c r="B3082" s="40" t="s">
        <v>3463</v>
      </c>
      <c r="C3082" s="1161" t="s">
        <v>7109</v>
      </c>
      <c r="D3082" s="912" t="n">
        <v>2006</v>
      </c>
      <c r="E3082" s="912" t="n">
        <f aca="false">2021-D3082</f>
        <v>15</v>
      </c>
      <c r="F3082" s="547" t="n">
        <v>2000000</v>
      </c>
      <c r="G3082" s="1413" t="n">
        <v>0.1</v>
      </c>
      <c r="H3082" s="547" t="n">
        <f aca="false">E3082*F3082*G3082</f>
        <v>3000000</v>
      </c>
      <c r="I3082" s="547" t="n">
        <f aca="false">F3082-H3082</f>
        <v>-1000000</v>
      </c>
      <c r="J3082" s="547" t="n">
        <f aca="false">F3082*G3082</f>
        <v>200000</v>
      </c>
      <c r="K3082" s="1365" t="n">
        <f aca="false">J3082/1792.8</f>
        <v>111.557340473003</v>
      </c>
      <c r="L3082" s="547" t="n">
        <v>30</v>
      </c>
      <c r="M3082" s="934" t="n">
        <f aca="false">K3082*L3082/60</f>
        <v>55.7786702365016</v>
      </c>
    </row>
    <row r="3083" customFormat="false" ht="30" hidden="false" customHeight="false" outlineLevel="0" collapsed="false">
      <c r="A3083" s="216" t="s">
        <v>1657</v>
      </c>
      <c r="B3083" s="40" t="s">
        <v>3466</v>
      </c>
      <c r="C3083" s="1161" t="s">
        <v>7116</v>
      </c>
      <c r="D3083" s="912" t="n">
        <v>2006</v>
      </c>
      <c r="E3083" s="912" t="n">
        <f aca="false">2021-D3083</f>
        <v>15</v>
      </c>
      <c r="F3083" s="547" t="n">
        <v>5608600</v>
      </c>
      <c r="G3083" s="1413" t="n">
        <v>0.1</v>
      </c>
      <c r="H3083" s="547" t="n">
        <f aca="false">E3083*F3083*G3083</f>
        <v>8412900</v>
      </c>
      <c r="I3083" s="547" t="n">
        <f aca="false">F3083-H3083</f>
        <v>-2804300</v>
      </c>
      <c r="J3083" s="547" t="n">
        <f aca="false">F3083*G3083</f>
        <v>560860</v>
      </c>
      <c r="K3083" s="1365" t="n">
        <f aca="false">J3083/1792.8</f>
        <v>312.840249888443</v>
      </c>
      <c r="L3083" s="547" t="n">
        <v>30</v>
      </c>
      <c r="M3083" s="934" t="n">
        <f aca="false">K3083*L3083/60</f>
        <v>156.420124944221</v>
      </c>
    </row>
    <row r="3084" customFormat="false" ht="15" hidden="false" customHeight="false" outlineLevel="0" collapsed="false">
      <c r="A3084" s="216" t="s">
        <v>1658</v>
      </c>
      <c r="B3084" s="78" t="s">
        <v>3486</v>
      </c>
      <c r="C3084" s="1161" t="s">
        <v>7116</v>
      </c>
      <c r="D3084" s="912" t="n">
        <v>2006</v>
      </c>
      <c r="E3084" s="912" t="n">
        <f aca="false">2021-D3084</f>
        <v>15</v>
      </c>
      <c r="F3084" s="547" t="n">
        <v>5608600</v>
      </c>
      <c r="G3084" s="1413" t="n">
        <v>0.1</v>
      </c>
      <c r="H3084" s="547" t="n">
        <f aca="false">E3084*F3084*G3084</f>
        <v>8412900</v>
      </c>
      <c r="I3084" s="547" t="n">
        <f aca="false">F3084-H3084</f>
        <v>-2804300</v>
      </c>
      <c r="J3084" s="547" t="n">
        <f aca="false">F3084*G3084</f>
        <v>560860</v>
      </c>
      <c r="K3084" s="1365" t="n">
        <f aca="false">J3084/1792.8</f>
        <v>312.840249888443</v>
      </c>
      <c r="L3084" s="547" t="n">
        <v>30</v>
      </c>
      <c r="M3084" s="934" t="n">
        <f aca="false">K3084*L3084/60</f>
        <v>156.420124944221</v>
      </c>
    </row>
    <row r="3085" customFormat="false" ht="15" hidden="false" customHeight="false" outlineLevel="0" collapsed="false">
      <c r="A3085" s="216" t="s">
        <v>1659</v>
      </c>
      <c r="B3085" s="78" t="s">
        <v>3560</v>
      </c>
      <c r="C3085" s="1161" t="s">
        <v>4568</v>
      </c>
      <c r="D3085" s="912" t="n">
        <v>2006</v>
      </c>
      <c r="E3085" s="912" t="n">
        <f aca="false">2021-D3085</f>
        <v>15</v>
      </c>
      <c r="F3085" s="547" t="n">
        <v>133722</v>
      </c>
      <c r="G3085" s="1413" t="n">
        <v>0.1</v>
      </c>
      <c r="H3085" s="547" t="n">
        <f aca="false">E3085*F3085*G3085</f>
        <v>200583</v>
      </c>
      <c r="I3085" s="547" t="n">
        <f aca="false">F3085-H3085</f>
        <v>-66861</v>
      </c>
      <c r="J3085" s="547" t="n">
        <f aca="false">F3085*G3085</f>
        <v>13372.2</v>
      </c>
      <c r="K3085" s="1365" t="n">
        <f aca="false">J3085/1792.8</f>
        <v>7.45883534136546</v>
      </c>
      <c r="L3085" s="547" t="n">
        <v>160</v>
      </c>
      <c r="M3085" s="934" t="n">
        <f aca="false">K3085*L3085/60</f>
        <v>19.8902275769746</v>
      </c>
    </row>
    <row r="3086" customFormat="false" ht="15" hidden="false" customHeight="false" outlineLevel="0" collapsed="false">
      <c r="A3086" s="216" t="s">
        <v>1660</v>
      </c>
      <c r="B3086" s="40" t="s">
        <v>3569</v>
      </c>
      <c r="C3086" s="1161" t="s">
        <v>7111</v>
      </c>
      <c r="D3086" s="912" t="n">
        <v>2006</v>
      </c>
      <c r="E3086" s="912" t="n">
        <f aca="false">2021-D3086</f>
        <v>15</v>
      </c>
      <c r="F3086" s="547" t="n">
        <v>1585000</v>
      </c>
      <c r="G3086" s="1413" t="n">
        <v>0.1</v>
      </c>
      <c r="H3086" s="547" t="n">
        <f aca="false">E3086*F3086*G3086</f>
        <v>2377500</v>
      </c>
      <c r="I3086" s="547" t="n">
        <f aca="false">F3086-H3086</f>
        <v>-792500</v>
      </c>
      <c r="J3086" s="547" t="n">
        <f aca="false">F3086*G3086</f>
        <v>158500</v>
      </c>
      <c r="K3086" s="1365" t="n">
        <f aca="false">J3086/1792.8</f>
        <v>88.409192324855</v>
      </c>
      <c r="L3086" s="547" t="n">
        <v>30</v>
      </c>
      <c r="M3086" s="934" t="n">
        <f aca="false">K3086*L3086/60</f>
        <v>44.2045961624275</v>
      </c>
    </row>
    <row r="3087" customFormat="false" ht="45" hidden="false" customHeight="false" outlineLevel="0" collapsed="false">
      <c r="A3087" s="216" t="s">
        <v>1662</v>
      </c>
      <c r="B3087" s="40" t="s">
        <v>3523</v>
      </c>
      <c r="C3087" s="1161" t="s">
        <v>7120</v>
      </c>
      <c r="D3087" s="912" t="n">
        <v>2006</v>
      </c>
      <c r="E3087" s="912" t="n">
        <f aca="false">2021-D3087</f>
        <v>15</v>
      </c>
      <c r="F3087" s="547" t="n">
        <v>133722</v>
      </c>
      <c r="G3087" s="1413" t="n">
        <v>0.1</v>
      </c>
      <c r="H3087" s="547" t="n">
        <f aca="false">E3087*F3087*G3087</f>
        <v>200583</v>
      </c>
      <c r="I3087" s="547" t="n">
        <f aca="false">F3087-H3087</f>
        <v>-66861</v>
      </c>
      <c r="J3087" s="547" t="n">
        <f aca="false">F3087*G3087</f>
        <v>13372.2</v>
      </c>
      <c r="K3087" s="1365" t="n">
        <f aca="false">J3087/1792.8</f>
        <v>7.45883534136546</v>
      </c>
      <c r="L3087" s="547" t="n">
        <v>30</v>
      </c>
      <c r="M3087" s="934" t="n">
        <f aca="false">K3087*L3087/60</f>
        <v>3.72941767068273</v>
      </c>
    </row>
    <row r="3088" customFormat="false" ht="102.75" hidden="false" customHeight="true" outlineLevel="0" collapsed="false">
      <c r="A3088" s="15" t="s">
        <v>1663</v>
      </c>
      <c r="B3088" s="348" t="s">
        <v>3570</v>
      </c>
      <c r="C3088" s="1471"/>
      <c r="D3088" s="541"/>
      <c r="E3088" s="541"/>
      <c r="F3088" s="712"/>
      <c r="G3088" s="1472"/>
      <c r="H3088" s="712"/>
      <c r="I3088" s="712"/>
      <c r="J3088" s="712"/>
      <c r="K3088" s="751"/>
      <c r="L3088" s="712"/>
      <c r="M3088" s="712"/>
    </row>
    <row r="3089" customFormat="false" ht="30" hidden="false" customHeight="false" outlineLevel="0" collapsed="false">
      <c r="A3089" s="28" t="s">
        <v>1665</v>
      </c>
      <c r="B3089" s="29" t="s">
        <v>3571</v>
      </c>
      <c r="C3089" s="1161" t="s">
        <v>7088</v>
      </c>
      <c r="D3089" s="912" t="n">
        <v>2006</v>
      </c>
      <c r="E3089" s="912" t="n">
        <f aca="false">2021-D3089</f>
        <v>15</v>
      </c>
      <c r="F3089" s="547" t="n">
        <v>138575</v>
      </c>
      <c r="G3089" s="1413" t="n">
        <v>0.1</v>
      </c>
      <c r="H3089" s="547" t="n">
        <f aca="false">E3089*F3089*G3089</f>
        <v>207862.5</v>
      </c>
      <c r="I3089" s="547" t="n">
        <f aca="false">F3089-H3089</f>
        <v>-69287.5</v>
      </c>
      <c r="J3089" s="547" t="n">
        <f aca="false">F3089*G3089</f>
        <v>13857.5</v>
      </c>
      <c r="K3089" s="1365" t="n">
        <f aca="false">J3089/1792.8</f>
        <v>7.7295292280232</v>
      </c>
      <c r="L3089" s="547" t="n">
        <v>30</v>
      </c>
      <c r="M3089" s="819" t="n">
        <f aca="false">K3089*L3089/60</f>
        <v>3.8647646140116</v>
      </c>
    </row>
    <row r="3090" customFormat="false" ht="45" hidden="false" customHeight="false" outlineLevel="0" collapsed="false">
      <c r="A3090" s="28" t="s">
        <v>1666</v>
      </c>
      <c r="B3090" s="29" t="s">
        <v>3572</v>
      </c>
      <c r="C3090" s="1161" t="s">
        <v>7088</v>
      </c>
      <c r="D3090" s="912" t="n">
        <v>2006</v>
      </c>
      <c r="E3090" s="912" t="n">
        <f aca="false">2021-D3090</f>
        <v>15</v>
      </c>
      <c r="F3090" s="547" t="n">
        <v>138575</v>
      </c>
      <c r="G3090" s="1413" t="n">
        <v>0.1</v>
      </c>
      <c r="H3090" s="547" t="n">
        <f aca="false">E3090*F3090*G3090</f>
        <v>207862.5</v>
      </c>
      <c r="I3090" s="547" t="n">
        <f aca="false">F3090-H3090</f>
        <v>-69287.5</v>
      </c>
      <c r="J3090" s="547" t="n">
        <f aca="false">F3090*G3090</f>
        <v>13857.5</v>
      </c>
      <c r="K3090" s="1365" t="n">
        <f aca="false">J3090/1792.8</f>
        <v>7.7295292280232</v>
      </c>
      <c r="L3090" s="547" t="n">
        <v>30</v>
      </c>
      <c r="M3090" s="819" t="n">
        <f aca="false">K3090*L3090/60</f>
        <v>3.8647646140116</v>
      </c>
    </row>
    <row r="3091" customFormat="false" ht="45" hidden="false" customHeight="false" outlineLevel="0" collapsed="false">
      <c r="A3091" s="28" t="s">
        <v>1667</v>
      </c>
      <c r="B3091" s="29" t="s">
        <v>3573</v>
      </c>
      <c r="C3091" s="1161" t="s">
        <v>7088</v>
      </c>
      <c r="D3091" s="912" t="n">
        <v>2006</v>
      </c>
      <c r="E3091" s="912" t="n">
        <f aca="false">2021-D3091</f>
        <v>15</v>
      </c>
      <c r="F3091" s="547" t="n">
        <v>138575</v>
      </c>
      <c r="G3091" s="1413" t="n">
        <v>0.1</v>
      </c>
      <c r="H3091" s="547" t="n">
        <f aca="false">E3091*F3091*G3091</f>
        <v>207862.5</v>
      </c>
      <c r="I3091" s="547" t="n">
        <f aca="false">F3091-H3091</f>
        <v>-69287.5</v>
      </c>
      <c r="J3091" s="547" t="n">
        <f aca="false">F3091*G3091</f>
        <v>13857.5</v>
      </c>
      <c r="K3091" s="1365" t="n">
        <f aca="false">J3091/1792.8</f>
        <v>7.7295292280232</v>
      </c>
      <c r="L3091" s="547" t="n">
        <v>30</v>
      </c>
      <c r="M3091" s="819" t="n">
        <f aca="false">K3091*L3091/60</f>
        <v>3.8647646140116</v>
      </c>
    </row>
    <row r="3092" customFormat="false" ht="30" hidden="false" customHeight="false" outlineLevel="0" collapsed="false">
      <c r="A3092" s="28" t="s">
        <v>1669</v>
      </c>
      <c r="B3092" s="29" t="s">
        <v>3574</v>
      </c>
      <c r="C3092" s="1161" t="s">
        <v>7088</v>
      </c>
      <c r="D3092" s="912" t="n">
        <v>2006</v>
      </c>
      <c r="E3092" s="912" t="n">
        <f aca="false">2021-D3092</f>
        <v>15</v>
      </c>
      <c r="F3092" s="547" t="n">
        <v>138575</v>
      </c>
      <c r="G3092" s="1413" t="n">
        <v>0.1</v>
      </c>
      <c r="H3092" s="547" t="n">
        <f aca="false">E3092*F3092*G3092</f>
        <v>207862.5</v>
      </c>
      <c r="I3092" s="547" t="n">
        <f aca="false">F3092-H3092</f>
        <v>-69287.5</v>
      </c>
      <c r="J3092" s="547" t="n">
        <f aca="false">F3092*G3092</f>
        <v>13857.5</v>
      </c>
      <c r="K3092" s="1365" t="n">
        <f aca="false">J3092/1792.8</f>
        <v>7.7295292280232</v>
      </c>
      <c r="L3092" s="547" t="n">
        <v>30</v>
      </c>
      <c r="M3092" s="819" t="n">
        <f aca="false">K3092*L3092/60</f>
        <v>3.8647646140116</v>
      </c>
    </row>
    <row r="3093" customFormat="false" ht="30" hidden="false" customHeight="false" outlineLevel="0" collapsed="false">
      <c r="A3093" s="28" t="s">
        <v>1671</v>
      </c>
      <c r="B3093" s="29" t="s">
        <v>3575</v>
      </c>
      <c r="C3093" s="1161" t="s">
        <v>7088</v>
      </c>
      <c r="D3093" s="912" t="n">
        <v>2006</v>
      </c>
      <c r="E3093" s="912" t="n">
        <f aca="false">2021-D3093</f>
        <v>15</v>
      </c>
      <c r="F3093" s="547" t="n">
        <v>138575</v>
      </c>
      <c r="G3093" s="1413" t="n">
        <v>0.1</v>
      </c>
      <c r="H3093" s="547" t="n">
        <f aca="false">E3093*F3093*G3093</f>
        <v>207862.5</v>
      </c>
      <c r="I3093" s="547" t="n">
        <f aca="false">F3093-H3093</f>
        <v>-69287.5</v>
      </c>
      <c r="J3093" s="547" t="n">
        <f aca="false">F3093*G3093</f>
        <v>13857.5</v>
      </c>
      <c r="K3093" s="1365" t="n">
        <f aca="false">J3093/1792.8</f>
        <v>7.7295292280232</v>
      </c>
      <c r="L3093" s="547" t="n">
        <v>30</v>
      </c>
      <c r="M3093" s="819" t="n">
        <f aca="false">K3093*L3093/60</f>
        <v>3.8647646140116</v>
      </c>
    </row>
    <row r="3094" customFormat="false" ht="60" hidden="false" customHeight="false" outlineLevel="0" collapsed="false">
      <c r="A3094" s="28" t="s">
        <v>1673</v>
      </c>
      <c r="B3094" s="29" t="s">
        <v>3576</v>
      </c>
      <c r="C3094" s="1161" t="s">
        <v>7088</v>
      </c>
      <c r="D3094" s="912" t="n">
        <v>2006</v>
      </c>
      <c r="E3094" s="912" t="n">
        <f aca="false">2021-D3094</f>
        <v>15</v>
      </c>
      <c r="F3094" s="547" t="n">
        <v>138575</v>
      </c>
      <c r="G3094" s="1413" t="n">
        <v>0.1</v>
      </c>
      <c r="H3094" s="547" t="n">
        <f aca="false">E3094*F3094*G3094</f>
        <v>207862.5</v>
      </c>
      <c r="I3094" s="547" t="n">
        <f aca="false">F3094-H3094</f>
        <v>-69287.5</v>
      </c>
      <c r="J3094" s="547" t="n">
        <f aca="false">F3094*G3094</f>
        <v>13857.5</v>
      </c>
      <c r="K3094" s="1365" t="n">
        <f aca="false">J3094/1792.8</f>
        <v>7.7295292280232</v>
      </c>
      <c r="L3094" s="547" t="n">
        <v>120</v>
      </c>
      <c r="M3094" s="819" t="n">
        <f aca="false">K3094*L3094/60</f>
        <v>15.4590584560464</v>
      </c>
    </row>
    <row r="3095" customFormat="false" ht="60" hidden="false" customHeight="false" outlineLevel="0" collapsed="false">
      <c r="A3095" s="28" t="s">
        <v>1675</v>
      </c>
      <c r="B3095" s="29" t="s">
        <v>3577</v>
      </c>
      <c r="C3095" s="1161" t="s">
        <v>7088</v>
      </c>
      <c r="D3095" s="912" t="n">
        <v>2006</v>
      </c>
      <c r="E3095" s="912" t="n">
        <f aca="false">2021-D3095</f>
        <v>15</v>
      </c>
      <c r="F3095" s="547" t="n">
        <v>138575</v>
      </c>
      <c r="G3095" s="1413" t="n">
        <v>0.1</v>
      </c>
      <c r="H3095" s="547" t="n">
        <f aca="false">E3095*F3095*G3095</f>
        <v>207862.5</v>
      </c>
      <c r="I3095" s="547" t="n">
        <f aca="false">F3095-H3095</f>
        <v>-69287.5</v>
      </c>
      <c r="J3095" s="547" t="n">
        <f aca="false">F3095*G3095</f>
        <v>13857.5</v>
      </c>
      <c r="K3095" s="1365" t="n">
        <f aca="false">J3095/1792.8</f>
        <v>7.7295292280232</v>
      </c>
      <c r="L3095" s="547" t="n">
        <v>120</v>
      </c>
      <c r="M3095" s="819" t="n">
        <f aca="false">K3095*L3095/60</f>
        <v>15.4590584560464</v>
      </c>
    </row>
    <row r="3096" customFormat="false" ht="45" hidden="false" customHeight="false" outlineLevel="0" collapsed="false">
      <c r="A3096" s="28" t="s">
        <v>1677</v>
      </c>
      <c r="B3096" s="29" t="s">
        <v>3578</v>
      </c>
      <c r="C3096" s="1161" t="s">
        <v>7088</v>
      </c>
      <c r="D3096" s="912" t="n">
        <v>2006</v>
      </c>
      <c r="E3096" s="912" t="n">
        <f aca="false">2021-D3096</f>
        <v>15</v>
      </c>
      <c r="F3096" s="547" t="n">
        <v>138575</v>
      </c>
      <c r="G3096" s="1413" t="n">
        <v>0.1</v>
      </c>
      <c r="H3096" s="547" t="n">
        <f aca="false">E3096*F3096*G3096</f>
        <v>207862.5</v>
      </c>
      <c r="I3096" s="547" t="n">
        <f aca="false">F3096-H3096</f>
        <v>-69287.5</v>
      </c>
      <c r="J3096" s="547" t="n">
        <f aca="false">F3096*G3096</f>
        <v>13857.5</v>
      </c>
      <c r="K3096" s="1365" t="n">
        <f aca="false">J3096/1792.8</f>
        <v>7.7295292280232</v>
      </c>
      <c r="L3096" s="547" t="n">
        <v>30</v>
      </c>
      <c r="M3096" s="819" t="n">
        <f aca="false">K3096*L3096/60</f>
        <v>3.8647646140116</v>
      </c>
    </row>
    <row r="3097" customFormat="false" ht="45" hidden="false" customHeight="false" outlineLevel="0" collapsed="false">
      <c r="A3097" s="28" t="s">
        <v>1678</v>
      </c>
      <c r="B3097" s="29" t="s">
        <v>3533</v>
      </c>
      <c r="C3097" s="1161" t="s">
        <v>7088</v>
      </c>
      <c r="D3097" s="912" t="n">
        <v>2006</v>
      </c>
      <c r="E3097" s="912" t="n">
        <f aca="false">2021-D3097</f>
        <v>15</v>
      </c>
      <c r="F3097" s="547" t="n">
        <v>138575</v>
      </c>
      <c r="G3097" s="1413" t="n">
        <v>0.1</v>
      </c>
      <c r="H3097" s="547" t="n">
        <f aca="false">E3097*F3097*G3097</f>
        <v>207862.5</v>
      </c>
      <c r="I3097" s="547" t="n">
        <f aca="false">F3097-H3097</f>
        <v>-69287.5</v>
      </c>
      <c r="J3097" s="547" t="n">
        <f aca="false">F3097*G3097</f>
        <v>13857.5</v>
      </c>
      <c r="K3097" s="1365" t="n">
        <f aca="false">J3097/1792.8</f>
        <v>7.7295292280232</v>
      </c>
      <c r="L3097" s="547" t="n">
        <v>30</v>
      </c>
      <c r="M3097" s="819" t="n">
        <f aca="false">K3097*L3097/60</f>
        <v>3.8647646140116</v>
      </c>
    </row>
    <row r="3098" customFormat="false" ht="45" hidden="false" customHeight="false" outlineLevel="0" collapsed="false">
      <c r="A3098" s="28" t="s">
        <v>1679</v>
      </c>
      <c r="B3098" s="29" t="s">
        <v>3579</v>
      </c>
      <c r="C3098" s="1161" t="s">
        <v>7088</v>
      </c>
      <c r="D3098" s="912" t="n">
        <v>2006</v>
      </c>
      <c r="E3098" s="912" t="n">
        <f aca="false">2021-D3098</f>
        <v>15</v>
      </c>
      <c r="F3098" s="547" t="n">
        <v>138575</v>
      </c>
      <c r="G3098" s="1413" t="n">
        <v>0.1</v>
      </c>
      <c r="H3098" s="547" t="n">
        <f aca="false">E3098*F3098*G3098</f>
        <v>207862.5</v>
      </c>
      <c r="I3098" s="547" t="n">
        <f aca="false">F3098-H3098</f>
        <v>-69287.5</v>
      </c>
      <c r="J3098" s="547" t="n">
        <f aca="false">F3098*G3098</f>
        <v>13857.5</v>
      </c>
      <c r="K3098" s="1365" t="n">
        <f aca="false">J3098/1792.8</f>
        <v>7.7295292280232</v>
      </c>
      <c r="L3098" s="547" t="n">
        <v>30</v>
      </c>
      <c r="M3098" s="819" t="n">
        <f aca="false">K3098*L3098/60</f>
        <v>3.8647646140116</v>
      </c>
    </row>
    <row r="3099" customFormat="false" ht="15" hidden="false" customHeight="false" outlineLevel="0" collapsed="false">
      <c r="A3099" s="28" t="s">
        <v>1681</v>
      </c>
      <c r="B3099" s="1473" t="s">
        <v>3488</v>
      </c>
      <c r="C3099" s="1161" t="s">
        <v>7117</v>
      </c>
      <c r="D3099" s="912" t="n">
        <v>2006</v>
      </c>
      <c r="E3099" s="912" t="n">
        <f aca="false">2021-D3099</f>
        <v>15</v>
      </c>
      <c r="F3099" s="547" t="n">
        <v>133722</v>
      </c>
      <c r="G3099" s="1413" t="n">
        <v>0.1</v>
      </c>
      <c r="H3099" s="547" t="n">
        <f aca="false">E3099*F3099*G3099</f>
        <v>200583</v>
      </c>
      <c r="I3099" s="547" t="n">
        <f aca="false">F3099-H3099</f>
        <v>-66861</v>
      </c>
      <c r="J3099" s="547" t="n">
        <f aca="false">F3099*G3099</f>
        <v>13372.2</v>
      </c>
      <c r="K3099" s="1365" t="n">
        <f aca="false">J3099/1792.8</f>
        <v>7.45883534136546</v>
      </c>
      <c r="L3099" s="547" t="n">
        <v>180</v>
      </c>
      <c r="M3099" s="934" t="n">
        <f aca="false">K3099*L3099/60</f>
        <v>22.3765060240964</v>
      </c>
    </row>
    <row r="3100" customFormat="false" ht="22.5" hidden="false" customHeight="true" outlineLevel="0" collapsed="false">
      <c r="A3100" s="15" t="s">
        <v>1682</v>
      </c>
      <c r="B3100" s="16" t="s">
        <v>3580</v>
      </c>
      <c r="C3100" s="1471"/>
      <c r="D3100" s="541"/>
      <c r="E3100" s="541"/>
      <c r="F3100" s="712"/>
      <c r="G3100" s="1472"/>
      <c r="H3100" s="712"/>
      <c r="I3100" s="712"/>
      <c r="J3100" s="712"/>
      <c r="K3100" s="751"/>
      <c r="L3100" s="712"/>
      <c r="M3100" s="818"/>
    </row>
    <row r="3101" customFormat="false" ht="45" hidden="false" customHeight="false" outlineLevel="0" collapsed="false">
      <c r="A3101" s="28" t="s">
        <v>1684</v>
      </c>
      <c r="B3101" s="29" t="s">
        <v>3581</v>
      </c>
      <c r="C3101" s="1161" t="s">
        <v>7126</v>
      </c>
      <c r="D3101" s="912" t="n">
        <v>2003</v>
      </c>
      <c r="E3101" s="912" t="n">
        <f aca="false">2021-D3101</f>
        <v>18</v>
      </c>
      <c r="F3101" s="547" t="n">
        <v>2471090</v>
      </c>
      <c r="G3101" s="1413" t="n">
        <v>0.1</v>
      </c>
      <c r="H3101" s="547" t="n">
        <f aca="false">E3101*F3101*G3101</f>
        <v>4447962</v>
      </c>
      <c r="I3101" s="547" t="n">
        <f aca="false">F3101-H3101</f>
        <v>-1976872</v>
      </c>
      <c r="J3101" s="547" t="n">
        <f aca="false">F3101*G3101</f>
        <v>247109</v>
      </c>
      <c r="K3101" s="1365" t="n">
        <f aca="false">J3101/1792.8</f>
        <v>137.834114234717</v>
      </c>
      <c r="L3101" s="547" t="n">
        <v>30</v>
      </c>
      <c r="M3101" s="819" t="n">
        <f aca="false">K3101*L3101/60</f>
        <v>68.9170571173583</v>
      </c>
    </row>
    <row r="3102" customFormat="false" ht="45" hidden="false" customHeight="false" outlineLevel="0" collapsed="false">
      <c r="A3102" s="28" t="s">
        <v>1686</v>
      </c>
      <c r="B3102" s="29" t="s">
        <v>3582</v>
      </c>
      <c r="C3102" s="1161"/>
      <c r="D3102" s="912"/>
      <c r="E3102" s="912"/>
      <c r="F3102" s="547"/>
      <c r="G3102" s="1413"/>
      <c r="H3102" s="547"/>
      <c r="I3102" s="547"/>
      <c r="J3102" s="547"/>
      <c r="K3102" s="1365" t="n">
        <f aca="false">J3102/1792.8</f>
        <v>0</v>
      </c>
      <c r="L3102" s="547" t="n">
        <v>30</v>
      </c>
      <c r="M3102" s="934"/>
    </row>
    <row r="3103" customFormat="false" ht="31.5" hidden="false" customHeight="true" outlineLevel="0" collapsed="false">
      <c r="A3103" s="343" t="s">
        <v>1688</v>
      </c>
      <c r="B3103" s="318" t="s">
        <v>3583</v>
      </c>
      <c r="C3103" s="1474"/>
      <c r="D3103" s="1475"/>
      <c r="E3103" s="1476"/>
      <c r="F3103" s="1477"/>
      <c r="G3103" s="1478"/>
      <c r="H3103" s="1478"/>
      <c r="I3103" s="1478"/>
      <c r="J3103" s="1478"/>
      <c r="K3103" s="1478"/>
      <c r="L3103" s="1478"/>
      <c r="M3103" s="1478"/>
    </row>
    <row r="3104" customFormat="false" ht="46.5" hidden="false" customHeight="true" outlineLevel="0" collapsed="false">
      <c r="A3104" s="350" t="s">
        <v>1690</v>
      </c>
      <c r="B3104" s="54" t="s">
        <v>6759</v>
      </c>
      <c r="C3104" s="1387"/>
      <c r="D3104" s="339"/>
      <c r="E3104" s="339"/>
      <c r="F3104" s="751"/>
      <c r="G3104" s="1412"/>
      <c r="H3104" s="751"/>
      <c r="I3104" s="751"/>
      <c r="J3104" s="751"/>
      <c r="K3104" s="751"/>
      <c r="L3104" s="751"/>
      <c r="M3104" s="818"/>
    </row>
    <row r="3105" customFormat="false" ht="30" hidden="false" customHeight="false" outlineLevel="0" collapsed="false">
      <c r="A3105" s="327" t="s">
        <v>1692</v>
      </c>
      <c r="B3105" s="40" t="s">
        <v>3585</v>
      </c>
      <c r="C3105" s="1161" t="s">
        <v>7127</v>
      </c>
      <c r="D3105" s="317" t="n">
        <v>2009</v>
      </c>
      <c r="E3105" s="912" t="n">
        <f aca="false">2021-D3105</f>
        <v>12</v>
      </c>
      <c r="F3105" s="1479" t="n">
        <v>783808</v>
      </c>
      <c r="G3105" s="1413" t="n">
        <v>0.1</v>
      </c>
      <c r="H3105" s="547" t="n">
        <f aca="false">E3105*F3105*G3105</f>
        <v>940569.6</v>
      </c>
      <c r="I3105" s="547" t="n">
        <f aca="false">F3105-H3105</f>
        <v>-156761.6</v>
      </c>
      <c r="J3105" s="547" t="n">
        <f aca="false">F3105*G3105</f>
        <v>78380.8</v>
      </c>
      <c r="K3105" s="547" t="n">
        <f aca="false">J3105/1792.8</f>
        <v>43.7197679607318</v>
      </c>
      <c r="L3105" s="1480" t="n">
        <v>2</v>
      </c>
      <c r="M3105" s="934" t="n">
        <f aca="false">K3105*L3105/60</f>
        <v>1.45732559869106</v>
      </c>
    </row>
    <row r="3106" customFormat="false" ht="30" hidden="false" customHeight="false" outlineLevel="0" collapsed="false">
      <c r="A3106" s="327" t="s">
        <v>1694</v>
      </c>
      <c r="B3106" s="40" t="s">
        <v>3586</v>
      </c>
      <c r="C3106" s="1161" t="s">
        <v>7128</v>
      </c>
      <c r="D3106" s="317" t="n">
        <v>2015</v>
      </c>
      <c r="E3106" s="912" t="n">
        <f aca="false">2021-D3106</f>
        <v>6</v>
      </c>
      <c r="F3106" s="1479" t="n">
        <v>2312140</v>
      </c>
      <c r="G3106" s="1413" t="n">
        <v>0.1</v>
      </c>
      <c r="H3106" s="547" t="n">
        <f aca="false">E3106*F3106*G3106</f>
        <v>1387284</v>
      </c>
      <c r="I3106" s="547" t="n">
        <f aca="false">F3106-H3106</f>
        <v>924856</v>
      </c>
      <c r="J3106" s="547" t="n">
        <f aca="false">F3106*G3106</f>
        <v>231214</v>
      </c>
      <c r="K3106" s="547" t="n">
        <f aca="false">J3106/1792.8</f>
        <v>128.968094600625</v>
      </c>
      <c r="L3106" s="1480" t="n">
        <v>60</v>
      </c>
      <c r="M3106" s="934" t="n">
        <f aca="false">K3106*L3106/60</f>
        <v>128.968094600625</v>
      </c>
    </row>
    <row r="3107" customFormat="false" ht="46.5" hidden="false" customHeight="true" outlineLevel="0" collapsed="false">
      <c r="A3107" s="350" t="s">
        <v>1696</v>
      </c>
      <c r="B3107" s="88" t="s">
        <v>3587</v>
      </c>
      <c r="C3107" s="54"/>
      <c r="D3107" s="907"/>
      <c r="E3107" s="339"/>
      <c r="F3107" s="1481"/>
      <c r="G3107" s="1412"/>
      <c r="H3107" s="751"/>
      <c r="I3107" s="751"/>
      <c r="J3107" s="751"/>
      <c r="K3107" s="751"/>
      <c r="L3107" s="1482"/>
      <c r="M3107" s="818"/>
    </row>
    <row r="3108" customFormat="false" ht="45" hidden="false" customHeight="false" outlineLevel="0" collapsed="false">
      <c r="A3108" s="327" t="s">
        <v>1698</v>
      </c>
      <c r="B3108" s="40" t="s">
        <v>3588</v>
      </c>
      <c r="C3108" s="1161" t="s">
        <v>7127</v>
      </c>
      <c r="D3108" s="317" t="n">
        <v>2009</v>
      </c>
      <c r="E3108" s="912" t="n">
        <f aca="false">2021-D3108</f>
        <v>12</v>
      </c>
      <c r="F3108" s="1479" t="n">
        <v>783808</v>
      </c>
      <c r="G3108" s="1413" t="n">
        <v>0.1</v>
      </c>
      <c r="H3108" s="547" t="n">
        <f aca="false">E3108*F3108*G3108</f>
        <v>940569.6</v>
      </c>
      <c r="I3108" s="547" t="n">
        <f aca="false">F3108-H3108</f>
        <v>-156761.6</v>
      </c>
      <c r="J3108" s="547" t="n">
        <f aca="false">F3108*G3108</f>
        <v>78380.8</v>
      </c>
      <c r="K3108" s="547" t="n">
        <f aca="false">J3108/1792.8</f>
        <v>43.7197679607318</v>
      </c>
      <c r="L3108" s="1480" t="n">
        <v>50</v>
      </c>
      <c r="M3108" s="934" t="n">
        <f aca="false">K3108*L3108/60</f>
        <v>36.4331399672765</v>
      </c>
    </row>
    <row r="3109" customFormat="false" ht="75" hidden="false" customHeight="false" outlineLevel="0" collapsed="false">
      <c r="A3109" s="571" t="s">
        <v>1700</v>
      </c>
      <c r="B3109" s="40" t="s">
        <v>3589</v>
      </c>
      <c r="C3109" s="1161" t="s">
        <v>7129</v>
      </c>
      <c r="D3109" s="317" t="n">
        <v>2009</v>
      </c>
      <c r="E3109" s="912" t="n">
        <f aca="false">2021-D3109</f>
        <v>12</v>
      </c>
      <c r="F3109" s="1479" t="n">
        <v>541000</v>
      </c>
      <c r="G3109" s="1413" t="n">
        <v>0.1</v>
      </c>
      <c r="H3109" s="547" t="n">
        <f aca="false">E3109*F3109*G3109</f>
        <v>649200</v>
      </c>
      <c r="I3109" s="547" t="n">
        <f aca="false">F3109-H3109</f>
        <v>-108200</v>
      </c>
      <c r="J3109" s="547" t="n">
        <f aca="false">F3109*G3109</f>
        <v>54100</v>
      </c>
      <c r="K3109" s="547" t="n">
        <f aca="false">J3109/1792.8</f>
        <v>30.1762605979473</v>
      </c>
      <c r="L3109" s="1480" t="n">
        <v>50</v>
      </c>
      <c r="M3109" s="934" t="n">
        <f aca="false">K3109*L3109/60</f>
        <v>25.1468838316228</v>
      </c>
    </row>
    <row r="3110" customFormat="false" ht="32.25" hidden="false" customHeight="true" outlineLevel="0" collapsed="false">
      <c r="A3110" s="351" t="s">
        <v>1702</v>
      </c>
      <c r="B3110" s="90" t="s">
        <v>3590</v>
      </c>
      <c r="C3110" s="54"/>
      <c r="D3110" s="907"/>
      <c r="E3110" s="339"/>
      <c r="F3110" s="1481"/>
      <c r="G3110" s="1412"/>
      <c r="H3110" s="751"/>
      <c r="I3110" s="751"/>
      <c r="J3110" s="751"/>
      <c r="K3110" s="751"/>
      <c r="L3110" s="1482"/>
      <c r="M3110" s="818"/>
    </row>
    <row r="3111" customFormat="false" ht="30" hidden="false" customHeight="false" outlineLevel="0" collapsed="false">
      <c r="A3111" s="571" t="s">
        <v>1704</v>
      </c>
      <c r="B3111" s="40" t="s">
        <v>3591</v>
      </c>
      <c r="C3111" s="1161" t="s">
        <v>7128</v>
      </c>
      <c r="D3111" s="317" t="n">
        <v>2015</v>
      </c>
      <c r="E3111" s="912" t="n">
        <f aca="false">2021-D3111</f>
        <v>6</v>
      </c>
      <c r="F3111" s="1479" t="n">
        <v>2312140</v>
      </c>
      <c r="G3111" s="1413" t="n">
        <v>0.1</v>
      </c>
      <c r="H3111" s="547" t="n">
        <f aca="false">E3111*F3111*G3111</f>
        <v>1387284</v>
      </c>
      <c r="I3111" s="547" t="n">
        <f aca="false">F3111-H3111</f>
        <v>924856</v>
      </c>
      <c r="J3111" s="547" t="n">
        <f aca="false">F3111*G3111</f>
        <v>231214</v>
      </c>
      <c r="K3111" s="1365" t="n">
        <f aca="false">J3111/1792.8</f>
        <v>128.968094600625</v>
      </c>
      <c r="L3111" s="1480" t="n">
        <v>55</v>
      </c>
      <c r="M3111" s="934" t="n">
        <f aca="false">K3111*L3111/60</f>
        <v>118.220753383906</v>
      </c>
    </row>
    <row r="3112" customFormat="false" ht="30" hidden="false" customHeight="false" outlineLevel="0" collapsed="false">
      <c r="A3112" s="571" t="s">
        <v>1706</v>
      </c>
      <c r="B3112" s="40" t="s">
        <v>3592</v>
      </c>
      <c r="C3112" s="1161" t="s">
        <v>7130</v>
      </c>
      <c r="D3112" s="317" t="n">
        <v>2010</v>
      </c>
      <c r="E3112" s="912" t="n">
        <f aca="false">2021-D3112</f>
        <v>11</v>
      </c>
      <c r="F3112" s="1479" t="n">
        <v>1835351</v>
      </c>
      <c r="G3112" s="1413" t="n">
        <v>0.1</v>
      </c>
      <c r="H3112" s="547" t="n">
        <f aca="false">E3112*F3112*G3112</f>
        <v>2018886.1</v>
      </c>
      <c r="I3112" s="547" t="n">
        <f aca="false">F3112-H3112</f>
        <v>-183535.1</v>
      </c>
      <c r="J3112" s="547" t="n">
        <f aca="false">F3112*G3112</f>
        <v>183535.1</v>
      </c>
      <c r="K3112" s="1365" t="n">
        <f aca="false">J3112/1792.8</f>
        <v>102.373438197233</v>
      </c>
      <c r="L3112" s="1480" t="n">
        <v>220</v>
      </c>
      <c r="M3112" s="819" t="n">
        <f aca="false">K3112*L3112/60</f>
        <v>375.369273389856</v>
      </c>
    </row>
    <row r="3113" customFormat="false" ht="15" hidden="false" customHeight="false" outlineLevel="0" collapsed="false">
      <c r="A3113" s="216"/>
      <c r="B3113" s="40"/>
      <c r="C3113" s="1161" t="s">
        <v>7131</v>
      </c>
      <c r="D3113" s="317" t="n">
        <v>2010</v>
      </c>
      <c r="E3113" s="912" t="n">
        <f aca="false">2021-D3113</f>
        <v>11</v>
      </c>
      <c r="F3113" s="1479" t="n">
        <v>90000</v>
      </c>
      <c r="G3113" s="1413" t="n">
        <v>0.1</v>
      </c>
      <c r="H3113" s="547" t="n">
        <f aca="false">E3113*F3113*G3113</f>
        <v>99000</v>
      </c>
      <c r="I3113" s="547" t="n">
        <f aca="false">F3113-H3113</f>
        <v>-9000</v>
      </c>
      <c r="J3113" s="547" t="n">
        <f aca="false">F3113*G3113</f>
        <v>9000</v>
      </c>
      <c r="K3113" s="1365" t="n">
        <f aca="false">J3113/1792.8</f>
        <v>5.02008032128514</v>
      </c>
      <c r="L3113" s="1480" t="n">
        <v>2</v>
      </c>
      <c r="M3113" s="819" t="n">
        <f aca="false">K3113*L3113/60</f>
        <v>0.167336010709505</v>
      </c>
    </row>
    <row r="3114" customFormat="false" ht="15" hidden="false" customHeight="false" outlineLevel="0" collapsed="false">
      <c r="A3114" s="216"/>
      <c r="B3114" s="40"/>
      <c r="C3114" s="1161" t="s">
        <v>7132</v>
      </c>
      <c r="D3114" s="317" t="n">
        <v>2003</v>
      </c>
      <c r="E3114" s="912" t="n">
        <f aca="false">2021-D3114</f>
        <v>18</v>
      </c>
      <c r="F3114" s="1479" t="n">
        <v>292000</v>
      </c>
      <c r="G3114" s="1413" t="n">
        <v>0.1</v>
      </c>
      <c r="H3114" s="547" t="n">
        <f aca="false">F3114</f>
        <v>292000</v>
      </c>
      <c r="I3114" s="547" t="n">
        <f aca="false">F3114-H3114</f>
        <v>0</v>
      </c>
      <c r="J3114" s="547" t="n">
        <f aca="false">F3114*G3114</f>
        <v>29200</v>
      </c>
      <c r="K3114" s="1365" t="n">
        <f aca="false">J3114/1792.8</f>
        <v>16.2873717090585</v>
      </c>
      <c r="L3114" s="1480" t="n">
        <v>150</v>
      </c>
      <c r="M3114" s="819" t="n">
        <f aca="false">K3114*L3114/60</f>
        <v>40.7184292726461</v>
      </c>
    </row>
    <row r="3115" customFormat="false" ht="15" hidden="false" customHeight="false" outlineLevel="0" collapsed="false">
      <c r="A3115" s="216"/>
      <c r="B3115" s="40"/>
      <c r="C3115" s="1161" t="s">
        <v>7133</v>
      </c>
      <c r="D3115" s="317" t="n">
        <v>2013</v>
      </c>
      <c r="E3115" s="912" t="n">
        <f aca="false">2021-D3115</f>
        <v>8</v>
      </c>
      <c r="F3115" s="1479" t="n">
        <v>745000</v>
      </c>
      <c r="G3115" s="1413" t="n">
        <v>0.1</v>
      </c>
      <c r="H3115" s="547" t="n">
        <f aca="false">E3115*F3115*G3115</f>
        <v>596000</v>
      </c>
      <c r="I3115" s="547" t="n">
        <f aca="false">F3115-H3115</f>
        <v>149000</v>
      </c>
      <c r="J3115" s="547" t="n">
        <f aca="false">F3115*G3115</f>
        <v>74500</v>
      </c>
      <c r="K3115" s="1365" t="n">
        <f aca="false">J3115/1792.8</f>
        <v>41.5551093261937</v>
      </c>
      <c r="L3115" s="1480" t="n">
        <v>3</v>
      </c>
      <c r="M3115" s="819" t="n">
        <f aca="false">K3115*L3115/60</f>
        <v>2.07775546630968</v>
      </c>
    </row>
    <row r="3116" customFormat="false" ht="15" hidden="false" customHeight="false" outlineLevel="0" collapsed="false">
      <c r="A3116" s="216"/>
      <c r="B3116" s="40"/>
      <c r="C3116" s="40" t="s">
        <v>7134</v>
      </c>
      <c r="D3116" s="316" t="n">
        <v>2013</v>
      </c>
      <c r="E3116" s="912" t="n">
        <f aca="false">2021-D3116</f>
        <v>8</v>
      </c>
      <c r="F3116" s="1483" t="n">
        <v>237440</v>
      </c>
      <c r="G3116" s="1413" t="n">
        <v>0.1</v>
      </c>
      <c r="H3116" s="547" t="n">
        <f aca="false">E3116*F3116*G3116</f>
        <v>189952</v>
      </c>
      <c r="I3116" s="547" t="n">
        <f aca="false">F3116-H3116</f>
        <v>47488</v>
      </c>
      <c r="J3116" s="547" t="n">
        <f aca="false">F3116*G3116</f>
        <v>23744</v>
      </c>
      <c r="K3116" s="1365" t="n">
        <f aca="false">J3116/1792.8</f>
        <v>13.2440874609549</v>
      </c>
      <c r="L3116" s="1480" t="n">
        <v>60</v>
      </c>
      <c r="M3116" s="819" t="n">
        <f aca="false">K3116*L3116/60</f>
        <v>13.2440874609549</v>
      </c>
    </row>
    <row r="3117" customFormat="false" ht="15" hidden="false" customHeight="false" outlineLevel="0" collapsed="false">
      <c r="A3117" s="216"/>
      <c r="B3117" s="40"/>
      <c r="C3117" s="40" t="s">
        <v>7135</v>
      </c>
      <c r="D3117" s="316" t="n">
        <v>2009</v>
      </c>
      <c r="E3117" s="912" t="n">
        <f aca="false">2021-D3117</f>
        <v>12</v>
      </c>
      <c r="F3117" s="1483" t="n">
        <v>190000</v>
      </c>
      <c r="G3117" s="1413" t="n">
        <v>0.1</v>
      </c>
      <c r="H3117" s="547" t="n">
        <f aca="false">E3117*F3117*G3117</f>
        <v>228000</v>
      </c>
      <c r="I3117" s="547" t="n">
        <f aca="false">F3117-H3117</f>
        <v>-38000</v>
      </c>
      <c r="J3117" s="547" t="n">
        <f aca="false">F3117*G3117</f>
        <v>19000</v>
      </c>
      <c r="K3117" s="1365" t="n">
        <f aca="false">J3117/1792.8</f>
        <v>10.5979473449353</v>
      </c>
      <c r="L3117" s="1480" t="n">
        <v>30</v>
      </c>
      <c r="M3117" s="819" t="n">
        <f aca="false">K3117*L3117/60</f>
        <v>5.29897367246765</v>
      </c>
    </row>
    <row r="3118" customFormat="false" ht="15" hidden="false" customHeight="false" outlineLevel="0" collapsed="false">
      <c r="A3118" s="216"/>
      <c r="B3118" s="1053" t="s">
        <v>4128</v>
      </c>
      <c r="C3118" s="40"/>
      <c r="D3118" s="316"/>
      <c r="E3118" s="912"/>
      <c r="F3118" s="1483"/>
      <c r="G3118" s="1413"/>
      <c r="H3118" s="547"/>
      <c r="I3118" s="547"/>
      <c r="J3118" s="547"/>
      <c r="K3118" s="1365" t="n">
        <f aca="false">J3118/1792.8</f>
        <v>0</v>
      </c>
      <c r="L3118" s="1484"/>
      <c r="M3118" s="934" t="n">
        <f aca="false">SUM(M3112:M3117)</f>
        <v>436.875855272944</v>
      </c>
    </row>
    <row r="3119" customFormat="false" ht="28.5" hidden="false" customHeight="false" outlineLevel="0" collapsed="false">
      <c r="A3119" s="350" t="s">
        <v>1708</v>
      </c>
      <c r="B3119" s="88" t="s">
        <v>5790</v>
      </c>
      <c r="C3119" s="54"/>
      <c r="D3119" s="907"/>
      <c r="E3119" s="339"/>
      <c r="F3119" s="1481"/>
      <c r="G3119" s="1412"/>
      <c r="H3119" s="751"/>
      <c r="I3119" s="751"/>
      <c r="J3119" s="751"/>
      <c r="K3119" s="751"/>
      <c r="L3119" s="1482"/>
      <c r="M3119" s="818"/>
    </row>
    <row r="3120" customFormat="false" ht="30" hidden="false" customHeight="false" outlineLevel="0" collapsed="false">
      <c r="A3120" s="571" t="s">
        <v>1710</v>
      </c>
      <c r="B3120" s="40" t="s">
        <v>3592</v>
      </c>
      <c r="C3120" s="1161" t="s">
        <v>7130</v>
      </c>
      <c r="D3120" s="317" t="n">
        <v>2010</v>
      </c>
      <c r="E3120" s="912" t="n">
        <f aca="false">2021-D3120</f>
        <v>11</v>
      </c>
      <c r="F3120" s="1479" t="n">
        <v>1835351</v>
      </c>
      <c r="G3120" s="1413" t="n">
        <v>0.1</v>
      </c>
      <c r="H3120" s="547" t="n">
        <f aca="false">E3120*F3120*G3120</f>
        <v>2018886.1</v>
      </c>
      <c r="I3120" s="547" t="n">
        <f aca="false">F3120-H3120</f>
        <v>-183535.1</v>
      </c>
      <c r="J3120" s="547" t="n">
        <f aca="false">F3120*G3120</f>
        <v>183535.1</v>
      </c>
      <c r="K3120" s="1365" t="n">
        <f aca="false">J3120/1792.8</f>
        <v>102.373438197233</v>
      </c>
      <c r="L3120" s="1480" t="n">
        <v>220</v>
      </c>
      <c r="M3120" s="819" t="n">
        <f aca="false">K3120*L3120/60</f>
        <v>375.369273389856</v>
      </c>
    </row>
    <row r="3121" customFormat="false" ht="15" hidden="false" customHeight="false" outlineLevel="0" collapsed="false">
      <c r="A3121" s="216"/>
      <c r="B3121" s="40"/>
      <c r="C3121" s="1161" t="s">
        <v>7132</v>
      </c>
      <c r="D3121" s="317" t="n">
        <v>2003</v>
      </c>
      <c r="E3121" s="912" t="n">
        <f aca="false">2021-D3121</f>
        <v>18</v>
      </c>
      <c r="F3121" s="1479" t="n">
        <v>292000</v>
      </c>
      <c r="G3121" s="1413" t="n">
        <v>0.1</v>
      </c>
      <c r="H3121" s="547" t="n">
        <f aca="false">E3121*F3121*G3121</f>
        <v>525600</v>
      </c>
      <c r="I3121" s="547" t="n">
        <f aca="false">F3121-H3121</f>
        <v>-233600</v>
      </c>
      <c r="J3121" s="547" t="n">
        <f aca="false">F3121*G3121</f>
        <v>29200</v>
      </c>
      <c r="K3121" s="1365" t="n">
        <f aca="false">J3121/1792.8</f>
        <v>16.2873717090585</v>
      </c>
      <c r="L3121" s="1480" t="n">
        <v>150</v>
      </c>
      <c r="M3121" s="819" t="n">
        <f aca="false">K3121*L3121/60</f>
        <v>40.7184292726461</v>
      </c>
    </row>
    <row r="3122" customFormat="false" ht="15" hidden="false" customHeight="false" outlineLevel="0" collapsed="false">
      <c r="A3122" s="216"/>
      <c r="B3122" s="40"/>
      <c r="C3122" s="1161" t="s">
        <v>7133</v>
      </c>
      <c r="D3122" s="317" t="n">
        <v>2009</v>
      </c>
      <c r="E3122" s="912" t="n">
        <f aca="false">2021-D3122</f>
        <v>12</v>
      </c>
      <c r="F3122" s="1479" t="n">
        <v>745000</v>
      </c>
      <c r="G3122" s="1413" t="n">
        <v>0.1</v>
      </c>
      <c r="H3122" s="547" t="n">
        <f aca="false">E3122*F3122*G3122</f>
        <v>894000</v>
      </c>
      <c r="I3122" s="547" t="n">
        <f aca="false">F3122-H3122</f>
        <v>-149000</v>
      </c>
      <c r="J3122" s="547" t="n">
        <f aca="false">F3122*G3122</f>
        <v>74500</v>
      </c>
      <c r="K3122" s="1365" t="n">
        <f aca="false">J3122/1792.8</f>
        <v>41.5551093261937</v>
      </c>
      <c r="L3122" s="1480" t="n">
        <v>3</v>
      </c>
      <c r="M3122" s="819" t="n">
        <f aca="false">K3122*L3122/60</f>
        <v>2.07775546630968</v>
      </c>
    </row>
    <row r="3123" customFormat="false" ht="15" hidden="false" customHeight="false" outlineLevel="0" collapsed="false">
      <c r="A3123" s="216"/>
      <c r="B3123" s="40"/>
      <c r="C3123" s="1161" t="s">
        <v>7136</v>
      </c>
      <c r="D3123" s="317" t="n">
        <v>2012</v>
      </c>
      <c r="E3123" s="912" t="n">
        <f aca="false">2021-D3123</f>
        <v>9</v>
      </c>
      <c r="F3123" s="1479" t="n">
        <v>198900</v>
      </c>
      <c r="G3123" s="1413" t="n">
        <v>0.1</v>
      </c>
      <c r="H3123" s="547" t="n">
        <f aca="false">E3123*F3123*G3123</f>
        <v>179010</v>
      </c>
      <c r="I3123" s="547" t="n">
        <f aca="false">F3123-H3123</f>
        <v>19890</v>
      </c>
      <c r="J3123" s="547" t="n">
        <f aca="false">F3123*G3123</f>
        <v>19890</v>
      </c>
      <c r="K3123" s="1365" t="n">
        <f aca="false">J3123/1792.8</f>
        <v>11.0943775100402</v>
      </c>
      <c r="L3123" s="1480" t="n">
        <v>30</v>
      </c>
      <c r="M3123" s="819" t="n">
        <f aca="false">K3123*L3123/60</f>
        <v>5.54718875502008</v>
      </c>
    </row>
    <row r="3124" customFormat="false" ht="15" hidden="false" customHeight="false" outlineLevel="0" collapsed="false">
      <c r="A3124" s="216"/>
      <c r="B3124" s="40"/>
      <c r="C3124" s="40" t="s">
        <v>7134</v>
      </c>
      <c r="D3124" s="316" t="n">
        <v>2013</v>
      </c>
      <c r="E3124" s="912" t="n">
        <f aca="false">2021-D3124</f>
        <v>8</v>
      </c>
      <c r="F3124" s="1483" t="n">
        <v>237440</v>
      </c>
      <c r="G3124" s="1413" t="n">
        <v>0.1</v>
      </c>
      <c r="H3124" s="547" t="n">
        <f aca="false">E3124*F3124*G3124</f>
        <v>189952</v>
      </c>
      <c r="I3124" s="547" t="n">
        <f aca="false">F3124-H3124</f>
        <v>47488</v>
      </c>
      <c r="J3124" s="547" t="n">
        <f aca="false">F3124*G3124</f>
        <v>23744</v>
      </c>
      <c r="K3124" s="1365" t="n">
        <f aca="false">J3124/1792.8</f>
        <v>13.2440874609549</v>
      </c>
      <c r="L3124" s="1480" t="n">
        <v>60</v>
      </c>
      <c r="M3124" s="819" t="n">
        <f aca="false">K3124*L3124/60</f>
        <v>13.2440874609549</v>
      </c>
    </row>
    <row r="3125" customFormat="false" ht="15" hidden="false" customHeight="false" outlineLevel="0" collapsed="false">
      <c r="A3125" s="216"/>
      <c r="B3125" s="40"/>
      <c r="C3125" s="40" t="s">
        <v>7135</v>
      </c>
      <c r="D3125" s="316" t="n">
        <v>2009</v>
      </c>
      <c r="E3125" s="912" t="n">
        <f aca="false">2021-D3125</f>
        <v>12</v>
      </c>
      <c r="F3125" s="1483" t="n">
        <v>190000</v>
      </c>
      <c r="G3125" s="1413" t="n">
        <v>0.1</v>
      </c>
      <c r="H3125" s="547"/>
      <c r="I3125" s="547"/>
      <c r="J3125" s="547"/>
      <c r="K3125" s="1365" t="n">
        <f aca="false">J3125/1792.8</f>
        <v>0</v>
      </c>
      <c r="L3125" s="1480" t="n">
        <v>30</v>
      </c>
      <c r="M3125" s="819" t="n">
        <v>0</v>
      </c>
    </row>
    <row r="3126" customFormat="false" ht="15" hidden="false" customHeight="false" outlineLevel="0" collapsed="false">
      <c r="A3126" s="216"/>
      <c r="B3126" s="971" t="s">
        <v>4128</v>
      </c>
      <c r="C3126" s="40"/>
      <c r="D3126" s="316"/>
      <c r="E3126" s="912"/>
      <c r="F3126" s="1483"/>
      <c r="G3126" s="1413"/>
      <c r="H3126" s="547"/>
      <c r="I3126" s="547"/>
      <c r="J3126" s="547"/>
      <c r="K3126" s="1365" t="n">
        <f aca="false">J3126/1792.8</f>
        <v>0</v>
      </c>
      <c r="L3126" s="1484"/>
      <c r="M3126" s="934" t="n">
        <f aca="false">SUM(M3120:M3125)</f>
        <v>436.956734344787</v>
      </c>
    </row>
    <row r="3127" customFormat="false" ht="30" hidden="false" customHeight="false" outlineLevel="0" collapsed="false">
      <c r="A3127" s="216" t="s">
        <v>1711</v>
      </c>
      <c r="B3127" s="40" t="s">
        <v>7137</v>
      </c>
      <c r="C3127" s="1161" t="s">
        <v>7130</v>
      </c>
      <c r="D3127" s="317" t="n">
        <v>2010</v>
      </c>
      <c r="E3127" s="912" t="n">
        <f aca="false">2021-D3127</f>
        <v>11</v>
      </c>
      <c r="F3127" s="1479" t="n">
        <v>1835351</v>
      </c>
      <c r="G3127" s="1413" t="n">
        <v>0.1</v>
      </c>
      <c r="H3127" s="547" t="n">
        <f aca="false">E3127*F3127*G3127</f>
        <v>2018886.1</v>
      </c>
      <c r="I3127" s="547" t="n">
        <f aca="false">F3127-H3127</f>
        <v>-183535.1</v>
      </c>
      <c r="J3127" s="547" t="n">
        <f aca="false">F3127*G3127</f>
        <v>183535.1</v>
      </c>
      <c r="K3127" s="1365" t="n">
        <f aca="false">J3127/1792.8</f>
        <v>102.373438197233</v>
      </c>
      <c r="L3127" s="1480" t="n">
        <v>220</v>
      </c>
      <c r="M3127" s="819" t="n">
        <f aca="false">K3127*L3127/60</f>
        <v>375.369273389856</v>
      </c>
    </row>
    <row r="3128" customFormat="false" ht="15" hidden="false" customHeight="false" outlineLevel="0" collapsed="false">
      <c r="A3128" s="216"/>
      <c r="B3128" s="40"/>
      <c r="C3128" s="1161" t="s">
        <v>7131</v>
      </c>
      <c r="D3128" s="317" t="n">
        <v>2010</v>
      </c>
      <c r="E3128" s="912" t="n">
        <f aca="false">2021-D3128</f>
        <v>11</v>
      </c>
      <c r="F3128" s="1479" t="n">
        <v>90000</v>
      </c>
      <c r="G3128" s="1413" t="n">
        <v>0.1</v>
      </c>
      <c r="H3128" s="547" t="n">
        <f aca="false">E3128*F3128*G3128</f>
        <v>99000</v>
      </c>
      <c r="I3128" s="547" t="n">
        <f aca="false">F3128-H3128</f>
        <v>-9000</v>
      </c>
      <c r="J3128" s="547" t="n">
        <f aca="false">F3128*G3128</f>
        <v>9000</v>
      </c>
      <c r="K3128" s="1365" t="n">
        <f aca="false">J3128/1792.8</f>
        <v>5.02008032128514</v>
      </c>
      <c r="L3128" s="1480" t="n">
        <v>2</v>
      </c>
      <c r="M3128" s="819" t="n">
        <f aca="false">K3128*L3128/60</f>
        <v>0.167336010709505</v>
      </c>
    </row>
    <row r="3129" customFormat="false" ht="15" hidden="false" customHeight="false" outlineLevel="0" collapsed="false">
      <c r="A3129" s="216"/>
      <c r="B3129" s="971"/>
      <c r="C3129" s="1161" t="s">
        <v>7133</v>
      </c>
      <c r="D3129" s="317" t="n">
        <v>2009</v>
      </c>
      <c r="E3129" s="912" t="n">
        <f aca="false">2021-D3129</f>
        <v>12</v>
      </c>
      <c r="F3129" s="1479" t="n">
        <v>745000</v>
      </c>
      <c r="G3129" s="1413" t="n">
        <v>0.1</v>
      </c>
      <c r="H3129" s="547" t="n">
        <f aca="false">E3129*F3129*G3129</f>
        <v>894000</v>
      </c>
      <c r="I3129" s="547" t="n">
        <f aca="false">F3129-H3129</f>
        <v>-149000</v>
      </c>
      <c r="J3129" s="547" t="n">
        <f aca="false">F3129*G3129</f>
        <v>74500</v>
      </c>
      <c r="K3129" s="1365" t="n">
        <f aca="false">J3129/1792.8</f>
        <v>41.5551093261937</v>
      </c>
      <c r="L3129" s="1480" t="n">
        <v>5</v>
      </c>
      <c r="M3129" s="819" t="n">
        <f aca="false">K3129*L3129/60</f>
        <v>3.46292577718281</v>
      </c>
    </row>
    <row r="3130" customFormat="false" ht="15" hidden="false" customHeight="false" outlineLevel="0" collapsed="false">
      <c r="A3130" s="216"/>
      <c r="B3130" s="971"/>
      <c r="C3130" s="40" t="s">
        <v>7134</v>
      </c>
      <c r="D3130" s="316" t="n">
        <v>2013</v>
      </c>
      <c r="E3130" s="912" t="n">
        <f aca="false">2021-D3130</f>
        <v>8</v>
      </c>
      <c r="F3130" s="1483" t="n">
        <v>237440</v>
      </c>
      <c r="G3130" s="1413" t="n">
        <v>0.1</v>
      </c>
      <c r="H3130" s="547" t="n">
        <f aca="false">E3130*F3130*G3130</f>
        <v>189952</v>
      </c>
      <c r="I3130" s="547" t="n">
        <f aca="false">F3130-H3130</f>
        <v>47488</v>
      </c>
      <c r="J3130" s="547" t="n">
        <f aca="false">F3130*G3130</f>
        <v>23744</v>
      </c>
      <c r="K3130" s="1365" t="n">
        <f aca="false">J3130/1792.8</f>
        <v>13.2440874609549</v>
      </c>
      <c r="L3130" s="1480" t="n">
        <v>60</v>
      </c>
      <c r="M3130" s="819" t="n">
        <f aca="false">K3130*L3130/60</f>
        <v>13.2440874609549</v>
      </c>
    </row>
    <row r="3131" customFormat="false" ht="15" hidden="false" customHeight="false" outlineLevel="0" collapsed="false">
      <c r="A3131" s="216"/>
      <c r="B3131" s="971"/>
      <c r="C3131" s="1161" t="s">
        <v>7136</v>
      </c>
      <c r="D3131" s="317" t="n">
        <v>2012</v>
      </c>
      <c r="E3131" s="912" t="n">
        <f aca="false">2021-D3131</f>
        <v>9</v>
      </c>
      <c r="F3131" s="1479" t="n">
        <v>198900</v>
      </c>
      <c r="G3131" s="1413" t="n">
        <v>0.1</v>
      </c>
      <c r="H3131" s="547" t="n">
        <f aca="false">E3131*F3131*G3131</f>
        <v>179010</v>
      </c>
      <c r="I3131" s="547" t="n">
        <f aca="false">F3131-H3131</f>
        <v>19890</v>
      </c>
      <c r="J3131" s="547" t="n">
        <f aca="false">F3131*G3131</f>
        <v>19890</v>
      </c>
      <c r="K3131" s="1365" t="n">
        <f aca="false">J3131/1792.8</f>
        <v>11.0943775100402</v>
      </c>
      <c r="L3131" s="1480" t="n">
        <v>30</v>
      </c>
      <c r="M3131" s="819" t="n">
        <f aca="false">K3131*L3131/60</f>
        <v>5.54718875502008</v>
      </c>
    </row>
    <row r="3132" customFormat="false" ht="15" hidden="false" customHeight="false" outlineLevel="0" collapsed="false">
      <c r="A3132" s="216"/>
      <c r="B3132" s="971"/>
      <c r="C3132" s="40" t="s">
        <v>7138</v>
      </c>
      <c r="D3132" s="316" t="n">
        <v>2006</v>
      </c>
      <c r="E3132" s="912" t="n">
        <f aca="false">2021-D3132</f>
        <v>15</v>
      </c>
      <c r="F3132" s="1483" t="n">
        <v>67676</v>
      </c>
      <c r="G3132" s="1413" t="n">
        <v>0.1</v>
      </c>
      <c r="H3132" s="547" t="n">
        <f aca="false">E3132*F3132*G3132</f>
        <v>101514</v>
      </c>
      <c r="I3132" s="547" t="n">
        <f aca="false">F3132-H3132</f>
        <v>-33838</v>
      </c>
      <c r="J3132" s="547" t="n">
        <f aca="false">F3132*G3132</f>
        <v>6767.6</v>
      </c>
      <c r="K3132" s="1365" t="n">
        <f aca="false">J3132/1792.8</f>
        <v>3.77487728692548</v>
      </c>
      <c r="L3132" s="1480" t="n">
        <v>20</v>
      </c>
      <c r="M3132" s="819" t="n">
        <f aca="false">K3132*L3132/60</f>
        <v>1.25829242897516</v>
      </c>
    </row>
    <row r="3133" customFormat="false" ht="15" hidden="false" customHeight="false" outlineLevel="0" collapsed="false">
      <c r="A3133" s="216"/>
      <c r="B3133" s="971"/>
      <c r="C3133" s="40" t="s">
        <v>7135</v>
      </c>
      <c r="D3133" s="316" t="n">
        <v>2009</v>
      </c>
      <c r="E3133" s="912" t="n">
        <f aca="false">2021-D3133</f>
        <v>12</v>
      </c>
      <c r="F3133" s="1483" t="n">
        <v>190000</v>
      </c>
      <c r="G3133" s="1413" t="n">
        <v>0.1</v>
      </c>
      <c r="H3133" s="547" t="n">
        <f aca="false">E3133*F3133*G3133</f>
        <v>228000</v>
      </c>
      <c r="I3133" s="547" t="n">
        <f aca="false">F3133-H3133</f>
        <v>-38000</v>
      </c>
      <c r="J3133" s="547" t="n">
        <f aca="false">F3133*G3133</f>
        <v>19000</v>
      </c>
      <c r="K3133" s="1365" t="n">
        <f aca="false">J3133/1792.8</f>
        <v>10.5979473449353</v>
      </c>
      <c r="L3133" s="1480" t="n">
        <v>30</v>
      </c>
      <c r="M3133" s="819" t="n">
        <f aca="false">K3133*L3133/60</f>
        <v>5.29897367246765</v>
      </c>
    </row>
    <row r="3134" customFormat="false" ht="15" hidden="false" customHeight="false" outlineLevel="0" collapsed="false">
      <c r="A3134" s="216"/>
      <c r="B3134" s="972" t="s">
        <v>4128</v>
      </c>
      <c r="C3134" s="40"/>
      <c r="D3134" s="316"/>
      <c r="E3134" s="912"/>
      <c r="F3134" s="1483"/>
      <c r="G3134" s="1413"/>
      <c r="H3134" s="547"/>
      <c r="I3134" s="547"/>
      <c r="J3134" s="547"/>
      <c r="K3134" s="1365" t="n">
        <f aca="false">J3134/1792.8</f>
        <v>0</v>
      </c>
      <c r="L3134" s="1484"/>
      <c r="M3134" s="934" t="n">
        <f aca="false">SUM(M3127:M3133)</f>
        <v>404.348077495166</v>
      </c>
    </row>
    <row r="3135" customFormat="false" ht="15" hidden="false" customHeight="false" outlineLevel="0" collapsed="false">
      <c r="A3135" s="216" t="s">
        <v>1713</v>
      </c>
      <c r="B3135" s="40" t="s">
        <v>3595</v>
      </c>
      <c r="C3135" s="1161" t="s">
        <v>7130</v>
      </c>
      <c r="D3135" s="317" t="n">
        <v>2010</v>
      </c>
      <c r="E3135" s="912" t="n">
        <f aca="false">2021-D3135</f>
        <v>11</v>
      </c>
      <c r="F3135" s="1479" t="n">
        <v>1835351</v>
      </c>
      <c r="G3135" s="1413" t="n">
        <v>0.1</v>
      </c>
      <c r="H3135" s="547" t="n">
        <f aca="false">E3135*F3135*G3135</f>
        <v>2018886.1</v>
      </c>
      <c r="I3135" s="547" t="n">
        <f aca="false">F3135-H3135</f>
        <v>-183535.1</v>
      </c>
      <c r="J3135" s="547" t="n">
        <f aca="false">F3135*G3135</f>
        <v>183535.1</v>
      </c>
      <c r="K3135" s="1365" t="n">
        <f aca="false">J3135/1792.8</f>
        <v>102.373438197233</v>
      </c>
      <c r="L3135" s="1480" t="n">
        <v>220</v>
      </c>
      <c r="M3135" s="819" t="n">
        <f aca="false">K3135*L3135/60</f>
        <v>375.369273389856</v>
      </c>
    </row>
    <row r="3136" customFormat="false" ht="15" hidden="false" customHeight="false" outlineLevel="0" collapsed="false">
      <c r="A3136" s="216"/>
      <c r="B3136" s="40"/>
      <c r="C3136" s="1161" t="s">
        <v>7131</v>
      </c>
      <c r="D3136" s="317" t="n">
        <v>2010</v>
      </c>
      <c r="E3136" s="912" t="n">
        <f aca="false">2021-D3136</f>
        <v>11</v>
      </c>
      <c r="F3136" s="1479" t="n">
        <v>90000</v>
      </c>
      <c r="G3136" s="1413" t="n">
        <v>0.1</v>
      </c>
      <c r="H3136" s="547" t="n">
        <f aca="false">E3136*F3136*G3136</f>
        <v>99000</v>
      </c>
      <c r="I3136" s="547" t="n">
        <f aca="false">F3136-H3136</f>
        <v>-9000</v>
      </c>
      <c r="J3136" s="547" t="n">
        <f aca="false">F3136*G3136</f>
        <v>9000</v>
      </c>
      <c r="K3136" s="1365" t="n">
        <f aca="false">J3136/1792.8</f>
        <v>5.02008032128514</v>
      </c>
      <c r="L3136" s="1480" t="n">
        <v>2</v>
      </c>
      <c r="M3136" s="819" t="n">
        <f aca="false">K3136*L3136/60</f>
        <v>0.167336010709505</v>
      </c>
    </row>
    <row r="3137" customFormat="false" ht="15" hidden="false" customHeight="false" outlineLevel="0" collapsed="false">
      <c r="A3137" s="216"/>
      <c r="B3137" s="1160"/>
      <c r="C3137" s="1161" t="s">
        <v>7133</v>
      </c>
      <c r="D3137" s="317" t="n">
        <v>2009</v>
      </c>
      <c r="E3137" s="912" t="n">
        <f aca="false">2021-D3137</f>
        <v>12</v>
      </c>
      <c r="F3137" s="1479" t="n">
        <v>745000</v>
      </c>
      <c r="G3137" s="1413" t="n">
        <v>0.1</v>
      </c>
      <c r="H3137" s="547" t="n">
        <f aca="false">E3137*F3137*G3137</f>
        <v>894000</v>
      </c>
      <c r="I3137" s="547" t="n">
        <f aca="false">F3137-H3137</f>
        <v>-149000</v>
      </c>
      <c r="J3137" s="547" t="n">
        <f aca="false">F3137*G3137</f>
        <v>74500</v>
      </c>
      <c r="K3137" s="1365" t="n">
        <f aca="false">J3137/1792.8</f>
        <v>41.5551093261937</v>
      </c>
      <c r="L3137" s="1480" t="n">
        <v>5</v>
      </c>
      <c r="M3137" s="819" t="n">
        <f aca="false">K3137*L3137/60</f>
        <v>3.46292577718281</v>
      </c>
    </row>
    <row r="3138" customFormat="false" ht="15" hidden="false" customHeight="false" outlineLevel="0" collapsed="false">
      <c r="A3138" s="216"/>
      <c r="B3138" s="1160"/>
      <c r="C3138" s="40" t="s">
        <v>7134</v>
      </c>
      <c r="D3138" s="316" t="n">
        <v>2013</v>
      </c>
      <c r="E3138" s="912" t="n">
        <f aca="false">2021-D3138</f>
        <v>8</v>
      </c>
      <c r="F3138" s="1483" t="n">
        <v>237440</v>
      </c>
      <c r="G3138" s="1413" t="n">
        <v>0.1</v>
      </c>
      <c r="H3138" s="547" t="n">
        <f aca="false">E3138*F3138*G3138</f>
        <v>189952</v>
      </c>
      <c r="I3138" s="547" t="n">
        <f aca="false">F3138-H3138</f>
        <v>47488</v>
      </c>
      <c r="J3138" s="547" t="n">
        <f aca="false">F3138*G3138</f>
        <v>23744</v>
      </c>
      <c r="K3138" s="1365" t="n">
        <f aca="false">J3138/1792.8</f>
        <v>13.2440874609549</v>
      </c>
      <c r="L3138" s="1480" t="n">
        <v>60</v>
      </c>
      <c r="M3138" s="819" t="n">
        <f aca="false">K3138*L3138/60</f>
        <v>13.2440874609549</v>
      </c>
    </row>
    <row r="3139" customFormat="false" ht="15" hidden="false" customHeight="false" outlineLevel="0" collapsed="false">
      <c r="A3139" s="216"/>
      <c r="B3139" s="1160"/>
      <c r="C3139" s="1161" t="s">
        <v>7136</v>
      </c>
      <c r="D3139" s="317" t="n">
        <v>2012</v>
      </c>
      <c r="E3139" s="912" t="n">
        <f aca="false">2021-D3139</f>
        <v>9</v>
      </c>
      <c r="F3139" s="1479" t="n">
        <v>198900</v>
      </c>
      <c r="G3139" s="1413" t="n">
        <v>0.1</v>
      </c>
      <c r="H3139" s="547" t="n">
        <f aca="false">E3139*F3139*G3139</f>
        <v>179010</v>
      </c>
      <c r="I3139" s="547" t="n">
        <f aca="false">F3139-H3139</f>
        <v>19890</v>
      </c>
      <c r="J3139" s="547" t="n">
        <f aca="false">F3139*G3139</f>
        <v>19890</v>
      </c>
      <c r="K3139" s="1365" t="n">
        <f aca="false">J3139/1792.8</f>
        <v>11.0943775100402</v>
      </c>
      <c r="L3139" s="1480" t="n">
        <v>30</v>
      </c>
      <c r="M3139" s="819" t="n">
        <f aca="false">K3139*L3139/60</f>
        <v>5.54718875502008</v>
      </c>
    </row>
    <row r="3140" customFormat="false" ht="15" hidden="false" customHeight="false" outlineLevel="0" collapsed="false">
      <c r="A3140" s="216"/>
      <c r="B3140" s="1160"/>
      <c r="C3140" s="40" t="s">
        <v>7138</v>
      </c>
      <c r="D3140" s="316" t="n">
        <v>2006</v>
      </c>
      <c r="E3140" s="912" t="n">
        <f aca="false">2021-D3140</f>
        <v>15</v>
      </c>
      <c r="F3140" s="1483" t="n">
        <v>67676</v>
      </c>
      <c r="G3140" s="1413" t="n">
        <v>0.1</v>
      </c>
      <c r="H3140" s="547" t="n">
        <f aca="false">E3140*F3140*G3140</f>
        <v>101514</v>
      </c>
      <c r="I3140" s="547" t="n">
        <f aca="false">F3140-H3140</f>
        <v>-33838</v>
      </c>
      <c r="J3140" s="547" t="n">
        <f aca="false">F3140*G3140</f>
        <v>6767.6</v>
      </c>
      <c r="K3140" s="1365" t="n">
        <f aca="false">J3140/1792.8</f>
        <v>3.77487728692548</v>
      </c>
      <c r="L3140" s="1480" t="n">
        <v>20</v>
      </c>
      <c r="M3140" s="819" t="n">
        <f aca="false">K3140*L3140/60</f>
        <v>1.25829242897516</v>
      </c>
    </row>
    <row r="3141" customFormat="false" ht="15" hidden="false" customHeight="false" outlineLevel="0" collapsed="false">
      <c r="A3141" s="216"/>
      <c r="B3141" s="1160"/>
      <c r="C3141" s="40" t="s">
        <v>7135</v>
      </c>
      <c r="D3141" s="316" t="n">
        <v>2009</v>
      </c>
      <c r="E3141" s="912" t="n">
        <f aca="false">2021-D3141</f>
        <v>12</v>
      </c>
      <c r="F3141" s="1483" t="n">
        <v>190000</v>
      </c>
      <c r="G3141" s="1413" t="n">
        <v>0.1</v>
      </c>
      <c r="H3141" s="547" t="n">
        <f aca="false">E3141*F3141*G3141</f>
        <v>228000</v>
      </c>
      <c r="I3141" s="547" t="n">
        <f aca="false">F3141-H3141</f>
        <v>-38000</v>
      </c>
      <c r="J3141" s="547" t="n">
        <f aca="false">F3141*G3141</f>
        <v>19000</v>
      </c>
      <c r="K3141" s="1365" t="n">
        <f aca="false">J3141/1792.8</f>
        <v>10.5979473449353</v>
      </c>
      <c r="L3141" s="1480" t="n">
        <v>30</v>
      </c>
      <c r="M3141" s="819" t="n">
        <f aca="false">K3141*L3141/60</f>
        <v>5.29897367246765</v>
      </c>
    </row>
    <row r="3142" customFormat="false" ht="15" hidden="false" customHeight="false" outlineLevel="0" collapsed="false">
      <c r="A3142" s="216"/>
      <c r="B3142" s="972" t="s">
        <v>4128</v>
      </c>
      <c r="C3142" s="40"/>
      <c r="D3142" s="316"/>
      <c r="E3142" s="912"/>
      <c r="F3142" s="1483"/>
      <c r="G3142" s="1413"/>
      <c r="H3142" s="547"/>
      <c r="I3142" s="547"/>
      <c r="J3142" s="547"/>
      <c r="K3142" s="1365" t="n">
        <f aca="false">J3142/1792.8</f>
        <v>0</v>
      </c>
      <c r="L3142" s="1484"/>
      <c r="M3142" s="934" t="n">
        <f aca="false">SUM(M3135:M3141)</f>
        <v>404.348077495166</v>
      </c>
    </row>
    <row r="3143" customFormat="false" ht="15" hidden="false" customHeight="false" outlineLevel="0" collapsed="false">
      <c r="A3143" s="216" t="s">
        <v>1715</v>
      </c>
      <c r="B3143" s="40" t="s">
        <v>3596</v>
      </c>
      <c r="C3143" s="1161" t="s">
        <v>7130</v>
      </c>
      <c r="D3143" s="317" t="n">
        <v>2010</v>
      </c>
      <c r="E3143" s="912" t="n">
        <f aca="false">2021-D3143</f>
        <v>11</v>
      </c>
      <c r="F3143" s="1479" t="n">
        <v>1835351</v>
      </c>
      <c r="G3143" s="1413" t="n">
        <v>0.1</v>
      </c>
      <c r="H3143" s="547" t="n">
        <f aca="false">E3143*F3143*G3143</f>
        <v>2018886.1</v>
      </c>
      <c r="I3143" s="547" t="n">
        <f aca="false">F3143-H3143</f>
        <v>-183535.1</v>
      </c>
      <c r="J3143" s="547" t="n">
        <f aca="false">F3143*G3143</f>
        <v>183535.1</v>
      </c>
      <c r="K3143" s="1365" t="n">
        <f aca="false">J3143/1792.8</f>
        <v>102.373438197233</v>
      </c>
      <c r="L3143" s="1480" t="n">
        <v>220</v>
      </c>
      <c r="M3143" s="819" t="n">
        <f aca="false">K3143*L3143/60</f>
        <v>375.369273389856</v>
      </c>
    </row>
    <row r="3144" customFormat="false" ht="15" hidden="false" customHeight="false" outlineLevel="0" collapsed="false">
      <c r="A3144" s="216"/>
      <c r="B3144" s="40"/>
      <c r="C3144" s="1161" t="s">
        <v>7131</v>
      </c>
      <c r="D3144" s="317" t="n">
        <v>2010</v>
      </c>
      <c r="E3144" s="912" t="n">
        <f aca="false">2021-D3144</f>
        <v>11</v>
      </c>
      <c r="F3144" s="1479" t="n">
        <v>90000</v>
      </c>
      <c r="G3144" s="1413" t="n">
        <v>0.1</v>
      </c>
      <c r="H3144" s="547" t="n">
        <f aca="false">E3144*F3144*G3144</f>
        <v>99000</v>
      </c>
      <c r="I3144" s="547" t="n">
        <f aca="false">F3144-H3144</f>
        <v>-9000</v>
      </c>
      <c r="J3144" s="547" t="n">
        <f aca="false">F3144*G3144</f>
        <v>9000</v>
      </c>
      <c r="K3144" s="1365" t="n">
        <f aca="false">J3144/1792.8</f>
        <v>5.02008032128514</v>
      </c>
      <c r="L3144" s="1480" t="n">
        <v>2</v>
      </c>
      <c r="M3144" s="819" t="n">
        <f aca="false">K3144*L3144/60</f>
        <v>0.167336010709505</v>
      </c>
    </row>
    <row r="3145" customFormat="false" ht="15" hidden="false" customHeight="false" outlineLevel="0" collapsed="false">
      <c r="A3145" s="216"/>
      <c r="B3145" s="972"/>
      <c r="C3145" s="1161" t="s">
        <v>7133</v>
      </c>
      <c r="D3145" s="317" t="n">
        <v>2009</v>
      </c>
      <c r="E3145" s="912" t="n">
        <f aca="false">2021-D3145</f>
        <v>12</v>
      </c>
      <c r="F3145" s="1479" t="n">
        <v>745000</v>
      </c>
      <c r="G3145" s="1413" t="n">
        <v>0.1</v>
      </c>
      <c r="H3145" s="547" t="n">
        <f aca="false">E3145*F3145*G3145</f>
        <v>894000</v>
      </c>
      <c r="I3145" s="547" t="n">
        <f aca="false">F3145-H3145</f>
        <v>-149000</v>
      </c>
      <c r="J3145" s="547" t="n">
        <f aca="false">F3145*G3145</f>
        <v>74500</v>
      </c>
      <c r="K3145" s="1365" t="n">
        <f aca="false">J3145/1792.8</f>
        <v>41.5551093261937</v>
      </c>
      <c r="L3145" s="1480" t="n">
        <v>5</v>
      </c>
      <c r="M3145" s="819" t="n">
        <f aca="false">K3145*L3145/60</f>
        <v>3.46292577718281</v>
      </c>
    </row>
    <row r="3146" customFormat="false" ht="15" hidden="false" customHeight="false" outlineLevel="0" collapsed="false">
      <c r="A3146" s="216"/>
      <c r="B3146" s="972"/>
      <c r="C3146" s="40" t="s">
        <v>7134</v>
      </c>
      <c r="D3146" s="316" t="n">
        <v>2013</v>
      </c>
      <c r="E3146" s="912" t="n">
        <f aca="false">2021-D3146</f>
        <v>8</v>
      </c>
      <c r="F3146" s="1483" t="n">
        <v>237440</v>
      </c>
      <c r="G3146" s="1413" t="n">
        <v>0.1</v>
      </c>
      <c r="H3146" s="547" t="n">
        <f aca="false">E3146*F3146*G3146</f>
        <v>189952</v>
      </c>
      <c r="I3146" s="547" t="n">
        <f aca="false">F3146-H3146</f>
        <v>47488</v>
      </c>
      <c r="J3146" s="547" t="n">
        <f aca="false">F3146*G3146</f>
        <v>23744</v>
      </c>
      <c r="K3146" s="1365" t="n">
        <f aca="false">J3146/1792.8</f>
        <v>13.2440874609549</v>
      </c>
      <c r="L3146" s="1480" t="n">
        <v>60</v>
      </c>
      <c r="M3146" s="819" t="n">
        <f aca="false">K3146*L3146/60</f>
        <v>13.2440874609549</v>
      </c>
    </row>
    <row r="3147" customFormat="false" ht="15" hidden="false" customHeight="false" outlineLevel="0" collapsed="false">
      <c r="A3147" s="216"/>
      <c r="B3147" s="972"/>
      <c r="C3147" s="1161" t="s">
        <v>7136</v>
      </c>
      <c r="D3147" s="317" t="n">
        <v>2012</v>
      </c>
      <c r="E3147" s="912" t="n">
        <f aca="false">2021-D3147</f>
        <v>9</v>
      </c>
      <c r="F3147" s="1479" t="n">
        <v>198900</v>
      </c>
      <c r="G3147" s="1413" t="n">
        <v>0.1</v>
      </c>
      <c r="H3147" s="547" t="n">
        <f aca="false">E3147*F3147*G3147</f>
        <v>179010</v>
      </c>
      <c r="I3147" s="547" t="n">
        <f aca="false">F3147-H3147</f>
        <v>19890</v>
      </c>
      <c r="J3147" s="547" t="n">
        <f aca="false">F3147*G3147</f>
        <v>19890</v>
      </c>
      <c r="K3147" s="1365" t="n">
        <f aca="false">J3147/1792.8</f>
        <v>11.0943775100402</v>
      </c>
      <c r="L3147" s="1480" t="n">
        <v>30</v>
      </c>
      <c r="M3147" s="819" t="n">
        <f aca="false">K3147*L3147/60</f>
        <v>5.54718875502008</v>
      </c>
    </row>
    <row r="3148" customFormat="false" ht="15" hidden="false" customHeight="false" outlineLevel="0" collapsed="false">
      <c r="A3148" s="216"/>
      <c r="B3148" s="972"/>
      <c r="C3148" s="40" t="s">
        <v>7138</v>
      </c>
      <c r="D3148" s="316" t="n">
        <v>2006</v>
      </c>
      <c r="E3148" s="912" t="n">
        <f aca="false">2021-D3148</f>
        <v>15</v>
      </c>
      <c r="F3148" s="1483" t="n">
        <v>67676</v>
      </c>
      <c r="G3148" s="1413" t="n">
        <v>0.1</v>
      </c>
      <c r="H3148" s="547" t="n">
        <f aca="false">E3148*F3148*G3148</f>
        <v>101514</v>
      </c>
      <c r="I3148" s="547" t="n">
        <f aca="false">F3148-H3148</f>
        <v>-33838</v>
      </c>
      <c r="J3148" s="547" t="n">
        <f aca="false">F3148*G3148</f>
        <v>6767.6</v>
      </c>
      <c r="K3148" s="1365" t="n">
        <f aca="false">J3148/1792.8</f>
        <v>3.77487728692548</v>
      </c>
      <c r="L3148" s="1480" t="n">
        <v>20</v>
      </c>
      <c r="M3148" s="819" t="n">
        <f aca="false">K3148*L3148/60</f>
        <v>1.25829242897516</v>
      </c>
    </row>
    <row r="3149" customFormat="false" ht="15" hidden="false" customHeight="false" outlineLevel="0" collapsed="false">
      <c r="A3149" s="216"/>
      <c r="B3149" s="972"/>
      <c r="C3149" s="40" t="s">
        <v>7135</v>
      </c>
      <c r="D3149" s="316" t="n">
        <v>2009</v>
      </c>
      <c r="E3149" s="912" t="n">
        <f aca="false">2021-D3149</f>
        <v>12</v>
      </c>
      <c r="F3149" s="1483" t="n">
        <v>190000</v>
      </c>
      <c r="G3149" s="1413" t="n">
        <v>0.1</v>
      </c>
      <c r="H3149" s="547" t="n">
        <f aca="false">E3149*F3149*G3149</f>
        <v>228000</v>
      </c>
      <c r="I3149" s="547" t="n">
        <f aca="false">F3149-H3149</f>
        <v>-38000</v>
      </c>
      <c r="J3149" s="547" t="n">
        <f aca="false">F3149*G3149</f>
        <v>19000</v>
      </c>
      <c r="K3149" s="1365" t="n">
        <f aca="false">J3149/1792.8</f>
        <v>10.5979473449353</v>
      </c>
      <c r="L3149" s="1480" t="n">
        <v>30</v>
      </c>
      <c r="M3149" s="819" t="n">
        <f aca="false">K3149*L3149/60</f>
        <v>5.29897367246765</v>
      </c>
    </row>
    <row r="3150" customFormat="false" ht="15" hidden="false" customHeight="false" outlineLevel="0" collapsed="false">
      <c r="A3150" s="216"/>
      <c r="B3150" s="972" t="s">
        <v>4128</v>
      </c>
      <c r="C3150" s="40"/>
      <c r="D3150" s="316"/>
      <c r="E3150" s="912"/>
      <c r="F3150" s="1483"/>
      <c r="G3150" s="1413"/>
      <c r="H3150" s="547"/>
      <c r="I3150" s="547"/>
      <c r="J3150" s="547"/>
      <c r="K3150" s="1365" t="n">
        <f aca="false">J3150/1792.8</f>
        <v>0</v>
      </c>
      <c r="L3150" s="1484"/>
      <c r="M3150" s="934" t="n">
        <f aca="false">SUM(M3143:M3149)</f>
        <v>404.348077495166</v>
      </c>
    </row>
    <row r="3151" customFormat="false" ht="15" hidden="false" customHeight="false" outlineLevel="0" collapsed="false">
      <c r="A3151" s="216" t="s">
        <v>1717</v>
      </c>
      <c r="B3151" s="40" t="s">
        <v>3597</v>
      </c>
      <c r="C3151" s="1161" t="s">
        <v>7130</v>
      </c>
      <c r="D3151" s="317" t="n">
        <v>2010</v>
      </c>
      <c r="E3151" s="912" t="n">
        <f aca="false">2021-D3151</f>
        <v>11</v>
      </c>
      <c r="F3151" s="1479" t="n">
        <v>1835351</v>
      </c>
      <c r="G3151" s="1413" t="n">
        <v>0.1</v>
      </c>
      <c r="H3151" s="547" t="n">
        <f aca="false">E3151*F3151*G3151</f>
        <v>2018886.1</v>
      </c>
      <c r="I3151" s="547" t="n">
        <f aca="false">F3151-H3151</f>
        <v>-183535.1</v>
      </c>
      <c r="J3151" s="547" t="n">
        <f aca="false">F3151*G3151</f>
        <v>183535.1</v>
      </c>
      <c r="K3151" s="1365" t="n">
        <f aca="false">J3151/1792.8</f>
        <v>102.373438197233</v>
      </c>
      <c r="L3151" s="1480" t="n">
        <v>220</v>
      </c>
      <c r="M3151" s="819" t="n">
        <f aca="false">K3151*L3151/60</f>
        <v>375.369273389856</v>
      </c>
    </row>
    <row r="3152" customFormat="false" ht="15" hidden="false" customHeight="false" outlineLevel="0" collapsed="false">
      <c r="A3152" s="216"/>
      <c r="B3152" s="40"/>
      <c r="C3152" s="1161" t="s">
        <v>7131</v>
      </c>
      <c r="D3152" s="317" t="n">
        <v>2010</v>
      </c>
      <c r="E3152" s="912" t="n">
        <f aca="false">2021-D3152</f>
        <v>11</v>
      </c>
      <c r="F3152" s="1479" t="n">
        <v>90000</v>
      </c>
      <c r="G3152" s="1413" t="n">
        <v>0.1</v>
      </c>
      <c r="H3152" s="547" t="n">
        <f aca="false">E3152*F3152*G3152</f>
        <v>99000</v>
      </c>
      <c r="I3152" s="547" t="n">
        <f aca="false">F3152-H3152</f>
        <v>-9000</v>
      </c>
      <c r="J3152" s="547" t="n">
        <f aca="false">F3152*G3152</f>
        <v>9000</v>
      </c>
      <c r="K3152" s="1365" t="n">
        <f aca="false">J3152/1792.8</f>
        <v>5.02008032128514</v>
      </c>
      <c r="L3152" s="1480" t="n">
        <v>2</v>
      </c>
      <c r="M3152" s="819" t="n">
        <f aca="false">K3152*L3152/60</f>
        <v>0.167336010709505</v>
      </c>
    </row>
    <row r="3153" customFormat="false" ht="15" hidden="false" customHeight="false" outlineLevel="0" collapsed="false">
      <c r="A3153" s="216"/>
      <c r="B3153" s="972"/>
      <c r="C3153" s="1161" t="s">
        <v>7133</v>
      </c>
      <c r="D3153" s="317" t="n">
        <v>2009</v>
      </c>
      <c r="E3153" s="912" t="n">
        <f aca="false">2021-D3153</f>
        <v>12</v>
      </c>
      <c r="F3153" s="1479" t="n">
        <v>745000</v>
      </c>
      <c r="G3153" s="1413" t="n">
        <v>0.1</v>
      </c>
      <c r="H3153" s="547" t="n">
        <f aca="false">E3153*F3153*G3153</f>
        <v>894000</v>
      </c>
      <c r="I3153" s="547" t="n">
        <f aca="false">F3153-H3153</f>
        <v>-149000</v>
      </c>
      <c r="J3153" s="547" t="n">
        <f aca="false">F3153*G3153</f>
        <v>74500</v>
      </c>
      <c r="K3153" s="1365" t="n">
        <f aca="false">J3153/1792.8</f>
        <v>41.5551093261937</v>
      </c>
      <c r="L3153" s="1480" t="n">
        <v>5</v>
      </c>
      <c r="M3153" s="819" t="n">
        <f aca="false">K3153*L3153/60</f>
        <v>3.46292577718281</v>
      </c>
    </row>
    <row r="3154" customFormat="false" ht="15" hidden="false" customHeight="false" outlineLevel="0" collapsed="false">
      <c r="A3154" s="216"/>
      <c r="B3154" s="972"/>
      <c r="C3154" s="40" t="s">
        <v>7134</v>
      </c>
      <c r="D3154" s="316" t="n">
        <v>2013</v>
      </c>
      <c r="E3154" s="912" t="n">
        <f aca="false">2021-D3154</f>
        <v>8</v>
      </c>
      <c r="F3154" s="1483" t="n">
        <v>237440</v>
      </c>
      <c r="G3154" s="1413" t="n">
        <v>0.1</v>
      </c>
      <c r="H3154" s="547" t="n">
        <f aca="false">E3154*F3154*G3154</f>
        <v>189952</v>
      </c>
      <c r="I3154" s="547" t="n">
        <f aca="false">F3154-H3154</f>
        <v>47488</v>
      </c>
      <c r="J3154" s="547" t="n">
        <f aca="false">F3154*G3154</f>
        <v>23744</v>
      </c>
      <c r="K3154" s="1365" t="n">
        <f aca="false">J3154/1792.8</f>
        <v>13.2440874609549</v>
      </c>
      <c r="L3154" s="1480" t="n">
        <v>60</v>
      </c>
      <c r="M3154" s="819" t="n">
        <f aca="false">K3154*L3154/60</f>
        <v>13.2440874609549</v>
      </c>
    </row>
    <row r="3155" customFormat="false" ht="15" hidden="false" customHeight="false" outlineLevel="0" collapsed="false">
      <c r="A3155" s="216"/>
      <c r="B3155" s="972"/>
      <c r="C3155" s="1161" t="s">
        <v>7136</v>
      </c>
      <c r="D3155" s="317" t="n">
        <v>2012</v>
      </c>
      <c r="E3155" s="912" t="n">
        <f aca="false">2021-D3155</f>
        <v>9</v>
      </c>
      <c r="F3155" s="1479" t="n">
        <v>198900</v>
      </c>
      <c r="G3155" s="1413" t="n">
        <v>0.1</v>
      </c>
      <c r="H3155" s="547" t="n">
        <f aca="false">E3155*F3155*G3155</f>
        <v>179010</v>
      </c>
      <c r="I3155" s="547" t="n">
        <f aca="false">F3155-H3155</f>
        <v>19890</v>
      </c>
      <c r="J3155" s="547" t="n">
        <f aca="false">F3155*G3155</f>
        <v>19890</v>
      </c>
      <c r="K3155" s="1365" t="n">
        <f aca="false">J3155/1792.8</f>
        <v>11.0943775100402</v>
      </c>
      <c r="L3155" s="1480" t="n">
        <v>30</v>
      </c>
      <c r="M3155" s="819" t="n">
        <f aca="false">K3155*L3155/60</f>
        <v>5.54718875502008</v>
      </c>
    </row>
    <row r="3156" customFormat="false" ht="15" hidden="false" customHeight="false" outlineLevel="0" collapsed="false">
      <c r="A3156" s="216"/>
      <c r="B3156" s="972"/>
      <c r="C3156" s="40" t="s">
        <v>7138</v>
      </c>
      <c r="D3156" s="316" t="n">
        <v>2006</v>
      </c>
      <c r="E3156" s="912" t="n">
        <f aca="false">2021-D3156</f>
        <v>15</v>
      </c>
      <c r="F3156" s="1483" t="n">
        <v>67676</v>
      </c>
      <c r="G3156" s="1413" t="n">
        <v>0.1</v>
      </c>
      <c r="H3156" s="547" t="n">
        <f aca="false">E3156*F3156*G3156</f>
        <v>101514</v>
      </c>
      <c r="I3156" s="547" t="n">
        <f aca="false">F3156-H3156</f>
        <v>-33838</v>
      </c>
      <c r="J3156" s="547" t="n">
        <f aca="false">F3156*G3156</f>
        <v>6767.6</v>
      </c>
      <c r="K3156" s="1365" t="n">
        <f aca="false">J3156/1792.8</f>
        <v>3.77487728692548</v>
      </c>
      <c r="L3156" s="1480" t="n">
        <v>20</v>
      </c>
      <c r="M3156" s="819" t="n">
        <f aca="false">K3156*L3156/60</f>
        <v>1.25829242897516</v>
      </c>
    </row>
    <row r="3157" customFormat="false" ht="15" hidden="false" customHeight="false" outlineLevel="0" collapsed="false">
      <c r="A3157" s="216"/>
      <c r="B3157" s="972"/>
      <c r="C3157" s="40" t="s">
        <v>7135</v>
      </c>
      <c r="D3157" s="316" t="n">
        <v>2009</v>
      </c>
      <c r="E3157" s="912" t="n">
        <f aca="false">2021-D3157</f>
        <v>12</v>
      </c>
      <c r="F3157" s="1483" t="n">
        <v>190000</v>
      </c>
      <c r="G3157" s="1413" t="n">
        <v>0.1</v>
      </c>
      <c r="H3157" s="547" t="n">
        <f aca="false">E3157*F3157*G3157</f>
        <v>228000</v>
      </c>
      <c r="I3157" s="547" t="n">
        <f aca="false">F3157-H3157</f>
        <v>-38000</v>
      </c>
      <c r="J3157" s="547" t="n">
        <f aca="false">F3157*G3157</f>
        <v>19000</v>
      </c>
      <c r="K3157" s="1365" t="n">
        <f aca="false">J3157/1792.8</f>
        <v>10.5979473449353</v>
      </c>
      <c r="L3157" s="1480" t="n">
        <v>30</v>
      </c>
      <c r="M3157" s="819" t="n">
        <f aca="false">K3157*L3157/60</f>
        <v>5.29897367246765</v>
      </c>
    </row>
    <row r="3158" customFormat="false" ht="15" hidden="false" customHeight="false" outlineLevel="0" collapsed="false">
      <c r="A3158" s="216"/>
      <c r="B3158" s="972" t="s">
        <v>4128</v>
      </c>
      <c r="C3158" s="40"/>
      <c r="D3158" s="316"/>
      <c r="E3158" s="912"/>
      <c r="F3158" s="1483"/>
      <c r="G3158" s="1413"/>
      <c r="H3158" s="547"/>
      <c r="I3158" s="547"/>
      <c r="J3158" s="547"/>
      <c r="K3158" s="1365" t="n">
        <f aca="false">J3158/1792.8</f>
        <v>0</v>
      </c>
      <c r="L3158" s="1484"/>
      <c r="M3158" s="934" t="n">
        <f aca="false">SUM(M3151:M3157)</f>
        <v>404.348077495166</v>
      </c>
    </row>
    <row r="3159" customFormat="false" ht="42.75" hidden="false" customHeight="false" outlineLevel="0" collapsed="false">
      <c r="A3159" s="350" t="s">
        <v>1719</v>
      </c>
      <c r="B3159" s="88" t="s">
        <v>3598</v>
      </c>
      <c r="C3159" s="54"/>
      <c r="D3159" s="907"/>
      <c r="E3159" s="339"/>
      <c r="F3159" s="1481"/>
      <c r="G3159" s="1412"/>
      <c r="H3159" s="751"/>
      <c r="I3159" s="751"/>
      <c r="J3159" s="751"/>
      <c r="K3159" s="751"/>
      <c r="L3159" s="1482"/>
      <c r="M3159" s="818"/>
    </row>
    <row r="3160" customFormat="false" ht="30" hidden="false" customHeight="false" outlineLevel="0" collapsed="false">
      <c r="A3160" s="571" t="s">
        <v>1721</v>
      </c>
      <c r="B3160" s="40" t="s">
        <v>3599</v>
      </c>
      <c r="C3160" s="1161" t="s">
        <v>7128</v>
      </c>
      <c r="D3160" s="317" t="n">
        <v>2015</v>
      </c>
      <c r="E3160" s="912" t="n">
        <f aca="false">2021-D3160</f>
        <v>6</v>
      </c>
      <c r="F3160" s="1479" t="n">
        <v>2312140</v>
      </c>
      <c r="G3160" s="1413" t="n">
        <v>0.1</v>
      </c>
      <c r="H3160" s="547" t="n">
        <f aca="false">E3160*F3160*G3160</f>
        <v>1387284</v>
      </c>
      <c r="I3160" s="547" t="n">
        <f aca="false">F3160-H3160</f>
        <v>924856</v>
      </c>
      <c r="J3160" s="547" t="n">
        <f aca="false">F3160*G3160</f>
        <v>231214</v>
      </c>
      <c r="K3160" s="1365" t="n">
        <f aca="false">J3160/1792.8</f>
        <v>128.968094600625</v>
      </c>
      <c r="L3160" s="1480" t="n">
        <v>50</v>
      </c>
      <c r="M3160" s="819" t="n">
        <f aca="false">K3160*L3160/60</f>
        <v>107.473412167187</v>
      </c>
    </row>
    <row r="3161" customFormat="false" ht="15" hidden="false" customHeight="false" outlineLevel="0" collapsed="false">
      <c r="A3161" s="571" t="s">
        <v>1723</v>
      </c>
      <c r="B3161" s="40" t="s">
        <v>3600</v>
      </c>
      <c r="C3161" s="1161" t="s">
        <v>7127</v>
      </c>
      <c r="D3161" s="317" t="n">
        <v>2009</v>
      </c>
      <c r="E3161" s="912" t="n">
        <f aca="false">2021-D3161</f>
        <v>12</v>
      </c>
      <c r="F3161" s="1479" t="n">
        <v>783808</v>
      </c>
      <c r="G3161" s="1413" t="n">
        <v>0.1</v>
      </c>
      <c r="H3161" s="547" t="n">
        <f aca="false">E3161*F3161*G3161</f>
        <v>940569.6</v>
      </c>
      <c r="I3161" s="547" t="n">
        <f aca="false">F3161-H3161</f>
        <v>-156761.6</v>
      </c>
      <c r="J3161" s="547" t="n">
        <f aca="false">F3161*G3161</f>
        <v>78380.8</v>
      </c>
      <c r="K3161" s="1365" t="n">
        <f aca="false">J3161/1792.8</f>
        <v>43.7197679607318</v>
      </c>
      <c r="L3161" s="1480" t="n">
        <v>45</v>
      </c>
      <c r="M3161" s="934" t="n">
        <f aca="false">K3161*L3161/60</f>
        <v>32.7898259705489</v>
      </c>
    </row>
    <row r="3162" customFormat="false" ht="15" hidden="false" customHeight="false" outlineLevel="0" collapsed="false">
      <c r="A3162" s="571" t="s">
        <v>1725</v>
      </c>
      <c r="B3162" s="40" t="s">
        <v>3601</v>
      </c>
      <c r="C3162" s="1161" t="s">
        <v>7127</v>
      </c>
      <c r="D3162" s="317" t="n">
        <v>2009</v>
      </c>
      <c r="E3162" s="912" t="n">
        <f aca="false">2021-D3162</f>
        <v>12</v>
      </c>
      <c r="F3162" s="1479" t="n">
        <v>783808</v>
      </c>
      <c r="G3162" s="1413" t="n">
        <v>0.1</v>
      </c>
      <c r="H3162" s="547" t="n">
        <f aca="false">E3162*F3162*G3162</f>
        <v>940569.6</v>
      </c>
      <c r="I3162" s="547" t="n">
        <f aca="false">F3162-H3162</f>
        <v>-156761.6</v>
      </c>
      <c r="J3162" s="547" t="n">
        <f aca="false">F3162*G3162</f>
        <v>78380.8</v>
      </c>
      <c r="K3162" s="547" t="n">
        <f aca="false">J3162/1792.8</f>
        <v>43.7197679607318</v>
      </c>
      <c r="L3162" s="1480" t="n">
        <v>2</v>
      </c>
      <c r="M3162" s="934" t="n">
        <f aca="false">K3162*L3162/60</f>
        <v>1.45732559869106</v>
      </c>
    </row>
    <row r="3163" customFormat="false" ht="15" hidden="false" customHeight="false" outlineLevel="0" collapsed="false">
      <c r="A3163" s="571" t="s">
        <v>1727</v>
      </c>
      <c r="B3163" s="40" t="s">
        <v>3602</v>
      </c>
      <c r="C3163" s="1161" t="s">
        <v>7127</v>
      </c>
      <c r="D3163" s="317" t="n">
        <v>2009</v>
      </c>
      <c r="E3163" s="912" t="n">
        <f aca="false">2021-D3163</f>
        <v>12</v>
      </c>
      <c r="F3163" s="1479" t="n">
        <v>783808</v>
      </c>
      <c r="G3163" s="1413" t="n">
        <v>0.1</v>
      </c>
      <c r="H3163" s="547" t="n">
        <f aca="false">E3163*F3163*G3163</f>
        <v>940569.6</v>
      </c>
      <c r="I3163" s="547" t="n">
        <f aca="false">F3163-H3163</f>
        <v>-156761.6</v>
      </c>
      <c r="J3163" s="547" t="n">
        <f aca="false">F3163*G3163</f>
        <v>78380.8</v>
      </c>
      <c r="K3163" s="1365" t="n">
        <f aca="false">J3163/1792.8</f>
        <v>43.7197679607318</v>
      </c>
      <c r="L3163" s="1480" t="n">
        <v>45</v>
      </c>
      <c r="M3163" s="934" t="n">
        <f aca="false">K3163*L3163/60</f>
        <v>32.7898259705489</v>
      </c>
    </row>
    <row r="3164" customFormat="false" ht="15" hidden="false" customHeight="false" outlineLevel="0" collapsed="false">
      <c r="A3164" s="571" t="s">
        <v>1729</v>
      </c>
      <c r="B3164" s="40" t="s">
        <v>3603</v>
      </c>
      <c r="C3164" s="1161" t="s">
        <v>7127</v>
      </c>
      <c r="D3164" s="317" t="n">
        <v>2009</v>
      </c>
      <c r="E3164" s="912" t="n">
        <f aca="false">2021-D3164</f>
        <v>12</v>
      </c>
      <c r="F3164" s="1479" t="n">
        <v>783808</v>
      </c>
      <c r="G3164" s="1413" t="n">
        <v>0.1</v>
      </c>
      <c r="H3164" s="547" t="n">
        <f aca="false">E3164*F3164*G3164</f>
        <v>940569.6</v>
      </c>
      <c r="I3164" s="547" t="n">
        <f aca="false">F3164-H3164</f>
        <v>-156761.6</v>
      </c>
      <c r="J3164" s="547" t="n">
        <f aca="false">F3164*G3164</f>
        <v>78380.8</v>
      </c>
      <c r="K3164" s="1365" t="n">
        <f aca="false">J3164/1792.8</f>
        <v>43.7197679607318</v>
      </c>
      <c r="L3164" s="1480" t="n">
        <v>45</v>
      </c>
      <c r="M3164" s="934" t="n">
        <f aca="false">K3164*L3164/60</f>
        <v>32.7898259705489</v>
      </c>
    </row>
    <row r="3165" customFormat="false" ht="15" hidden="false" customHeight="false" outlineLevel="0" collapsed="false">
      <c r="A3165" s="571" t="s">
        <v>1731</v>
      </c>
      <c r="B3165" s="40" t="s">
        <v>3604</v>
      </c>
      <c r="C3165" s="1161" t="s">
        <v>7127</v>
      </c>
      <c r="D3165" s="317" t="n">
        <v>2009</v>
      </c>
      <c r="E3165" s="912" t="n">
        <f aca="false">2021-D3165</f>
        <v>12</v>
      </c>
      <c r="F3165" s="1479" t="n">
        <v>783808</v>
      </c>
      <c r="G3165" s="1413" t="n">
        <v>0.1</v>
      </c>
      <c r="H3165" s="547" t="n">
        <f aca="false">E3165*F3165*G3165</f>
        <v>940569.6</v>
      </c>
      <c r="I3165" s="547" t="n">
        <f aca="false">F3165-H3165</f>
        <v>-156761.6</v>
      </c>
      <c r="J3165" s="547" t="n">
        <f aca="false">F3165*G3165</f>
        <v>78380.8</v>
      </c>
      <c r="K3165" s="1365" t="n">
        <f aca="false">J3165/1792.8</f>
        <v>43.7197679607318</v>
      </c>
      <c r="L3165" s="1480" t="n">
        <v>45</v>
      </c>
      <c r="M3165" s="934" t="n">
        <f aca="false">K3165*L3165/60</f>
        <v>32.7898259705489</v>
      </c>
    </row>
    <row r="3166" customFormat="false" ht="30" hidden="false" customHeight="false" outlineLevel="0" collapsed="false">
      <c r="A3166" s="571" t="s">
        <v>1733</v>
      </c>
      <c r="B3166" s="40" t="s">
        <v>3605</v>
      </c>
      <c r="C3166" s="1161" t="s">
        <v>7130</v>
      </c>
      <c r="D3166" s="317" t="n">
        <v>2010</v>
      </c>
      <c r="E3166" s="912" t="n">
        <f aca="false">2021-D3166</f>
        <v>11</v>
      </c>
      <c r="F3166" s="1479" t="n">
        <v>1835351</v>
      </c>
      <c r="G3166" s="1413" t="n">
        <v>0.1</v>
      </c>
      <c r="H3166" s="547" t="n">
        <f aca="false">E3166*F3166*G3166</f>
        <v>2018886.1</v>
      </c>
      <c r="I3166" s="547" t="n">
        <f aca="false">F3166-H3166</f>
        <v>-183535.1</v>
      </c>
      <c r="J3166" s="547" t="n">
        <f aca="false">F3166*G3166</f>
        <v>183535.1</v>
      </c>
      <c r="K3166" s="1365" t="n">
        <f aca="false">J3166/1792.8</f>
        <v>102.373438197233</v>
      </c>
      <c r="L3166" s="1480" t="n">
        <v>220</v>
      </c>
      <c r="M3166" s="819" t="n">
        <f aca="false">K3166*L3166/60</f>
        <v>375.369273389856</v>
      </c>
    </row>
    <row r="3167" customFormat="false" ht="15" hidden="false" customHeight="false" outlineLevel="0" collapsed="false">
      <c r="A3167" s="216"/>
      <c r="B3167" s="40"/>
      <c r="C3167" s="1161" t="s">
        <v>7131</v>
      </c>
      <c r="D3167" s="317" t="n">
        <v>2010</v>
      </c>
      <c r="E3167" s="912" t="n">
        <f aca="false">2021-D3167</f>
        <v>11</v>
      </c>
      <c r="F3167" s="1479" t="n">
        <v>90000</v>
      </c>
      <c r="G3167" s="1413" t="n">
        <v>0.1</v>
      </c>
      <c r="H3167" s="547" t="n">
        <f aca="false">E3167*F3167*G3167</f>
        <v>99000</v>
      </c>
      <c r="I3167" s="547" t="n">
        <f aca="false">F3167-H3167</f>
        <v>-9000</v>
      </c>
      <c r="J3167" s="547" t="n">
        <f aca="false">F3167*G3167</f>
        <v>9000</v>
      </c>
      <c r="K3167" s="1365" t="n">
        <f aca="false">J3167/1792.8</f>
        <v>5.02008032128514</v>
      </c>
      <c r="L3167" s="1480" t="n">
        <v>2</v>
      </c>
      <c r="M3167" s="819" t="n">
        <f aca="false">K3167*L3167/60</f>
        <v>0.167336010709505</v>
      </c>
    </row>
    <row r="3168" customFormat="false" ht="15" hidden="false" customHeight="false" outlineLevel="0" collapsed="false">
      <c r="A3168" s="216"/>
      <c r="B3168" s="972"/>
      <c r="C3168" s="1161" t="s">
        <v>7133</v>
      </c>
      <c r="D3168" s="317" t="n">
        <v>2009</v>
      </c>
      <c r="E3168" s="912" t="n">
        <f aca="false">2021-D3168</f>
        <v>12</v>
      </c>
      <c r="F3168" s="1479" t="n">
        <v>745000</v>
      </c>
      <c r="G3168" s="1413" t="n">
        <v>0.1</v>
      </c>
      <c r="H3168" s="547" t="n">
        <f aca="false">E3168*F3168*G3168</f>
        <v>894000</v>
      </c>
      <c r="I3168" s="547" t="n">
        <f aca="false">F3168-H3168</f>
        <v>-149000</v>
      </c>
      <c r="J3168" s="547" t="n">
        <f aca="false">F3168*G3168</f>
        <v>74500</v>
      </c>
      <c r="K3168" s="1365" t="n">
        <f aca="false">J3168/1792.8</f>
        <v>41.5551093261937</v>
      </c>
      <c r="L3168" s="1480" t="n">
        <v>3</v>
      </c>
      <c r="M3168" s="819" t="n">
        <f aca="false">K3168*L3168/60</f>
        <v>2.07775546630968</v>
      </c>
    </row>
    <row r="3169" customFormat="false" ht="15" hidden="false" customHeight="false" outlineLevel="0" collapsed="false">
      <c r="A3169" s="216"/>
      <c r="B3169" s="972"/>
      <c r="C3169" s="1161" t="s">
        <v>7136</v>
      </c>
      <c r="D3169" s="317" t="n">
        <v>2012</v>
      </c>
      <c r="E3169" s="912" t="n">
        <f aca="false">2021-D3169</f>
        <v>9</v>
      </c>
      <c r="F3169" s="1479" t="n">
        <v>198900</v>
      </c>
      <c r="G3169" s="1413" t="n">
        <v>0.1</v>
      </c>
      <c r="H3169" s="547" t="n">
        <f aca="false">E3169*F3169*G3169</f>
        <v>179010</v>
      </c>
      <c r="I3169" s="547" t="n">
        <f aca="false">F3169-H3169</f>
        <v>19890</v>
      </c>
      <c r="J3169" s="547" t="n">
        <f aca="false">F3169*G3169</f>
        <v>19890</v>
      </c>
      <c r="K3169" s="1365" t="n">
        <f aca="false">J3169/1792.8</f>
        <v>11.0943775100402</v>
      </c>
      <c r="L3169" s="1480" t="n">
        <v>30</v>
      </c>
      <c r="M3169" s="819" t="n">
        <f aca="false">K3169*L3169/60</f>
        <v>5.54718875502008</v>
      </c>
    </row>
    <row r="3170" customFormat="false" ht="15" hidden="false" customHeight="false" outlineLevel="0" collapsed="false">
      <c r="A3170" s="216"/>
      <c r="B3170" s="972"/>
      <c r="C3170" s="40" t="s">
        <v>7134</v>
      </c>
      <c r="D3170" s="316" t="n">
        <v>2013</v>
      </c>
      <c r="E3170" s="912" t="n">
        <f aca="false">2021-D3170</f>
        <v>8</v>
      </c>
      <c r="F3170" s="1483" t="n">
        <v>237440</v>
      </c>
      <c r="G3170" s="1413" t="n">
        <v>0.1</v>
      </c>
      <c r="H3170" s="547" t="n">
        <f aca="false">E3170*F3170*G3170</f>
        <v>189952</v>
      </c>
      <c r="I3170" s="547" t="n">
        <f aca="false">F3170-H3170</f>
        <v>47488</v>
      </c>
      <c r="J3170" s="547" t="n">
        <f aca="false">F3170*G3170</f>
        <v>23744</v>
      </c>
      <c r="K3170" s="1365" t="n">
        <f aca="false">J3170/1792.8</f>
        <v>13.2440874609549</v>
      </c>
      <c r="L3170" s="1480" t="n">
        <v>60</v>
      </c>
      <c r="M3170" s="819" t="n">
        <f aca="false">K3170*L3170/60</f>
        <v>13.2440874609549</v>
      </c>
    </row>
    <row r="3171" customFormat="false" ht="15" hidden="false" customHeight="false" outlineLevel="0" collapsed="false">
      <c r="A3171" s="216"/>
      <c r="B3171" s="972"/>
      <c r="C3171" s="40" t="s">
        <v>7135</v>
      </c>
      <c r="D3171" s="316" t="n">
        <v>2009</v>
      </c>
      <c r="E3171" s="912" t="n">
        <f aca="false">2021-D3171</f>
        <v>12</v>
      </c>
      <c r="F3171" s="1483" t="n">
        <v>190000</v>
      </c>
      <c r="G3171" s="1413" t="n">
        <v>0.1</v>
      </c>
      <c r="H3171" s="547" t="n">
        <f aca="false">E3171*F3171*G3171</f>
        <v>228000</v>
      </c>
      <c r="I3171" s="547" t="n">
        <f aca="false">F3171-H3171</f>
        <v>-38000</v>
      </c>
      <c r="J3171" s="547" t="n">
        <f aca="false">F3171*G3171</f>
        <v>19000</v>
      </c>
      <c r="K3171" s="1365" t="n">
        <f aca="false">J3171/1792.8</f>
        <v>10.5979473449353</v>
      </c>
      <c r="L3171" s="1480" t="n">
        <v>30</v>
      </c>
      <c r="M3171" s="819" t="n">
        <f aca="false">K3171*L3171/60</f>
        <v>5.29897367246765</v>
      </c>
    </row>
    <row r="3172" customFormat="false" ht="15" hidden="false" customHeight="false" outlineLevel="0" collapsed="false">
      <c r="A3172" s="216"/>
      <c r="B3172" s="972" t="s">
        <v>4128</v>
      </c>
      <c r="C3172" s="40"/>
      <c r="D3172" s="316"/>
      <c r="E3172" s="912"/>
      <c r="F3172" s="1483"/>
      <c r="G3172" s="1413"/>
      <c r="H3172" s="547"/>
      <c r="I3172" s="547"/>
      <c r="J3172" s="547"/>
      <c r="K3172" s="1365" t="n">
        <f aca="false">J3172/1792.8</f>
        <v>0</v>
      </c>
      <c r="L3172" s="1484"/>
      <c r="M3172" s="934" t="n">
        <f aca="false">SUM(M3166:M3171)</f>
        <v>401.704614755318</v>
      </c>
    </row>
    <row r="3173" customFormat="false" ht="45" hidden="false" customHeight="false" outlineLevel="0" collapsed="false">
      <c r="A3173" s="216" t="s">
        <v>7139</v>
      </c>
      <c r="B3173" s="40" t="s">
        <v>3606</v>
      </c>
      <c r="C3173" s="40" t="s">
        <v>7140</v>
      </c>
      <c r="D3173" s="316" t="n">
        <v>2012</v>
      </c>
      <c r="E3173" s="912" t="n">
        <f aca="false">2021-D3173</f>
        <v>9</v>
      </c>
      <c r="F3173" s="1483" t="n">
        <v>25366060</v>
      </c>
      <c r="G3173" s="1413" t="n">
        <v>0.1</v>
      </c>
      <c r="H3173" s="547" t="n">
        <f aca="false">E3173*F3173*G3173</f>
        <v>22829454</v>
      </c>
      <c r="I3173" s="547" t="n">
        <f aca="false">F3173-H3173</f>
        <v>2536606</v>
      </c>
      <c r="J3173" s="547" t="n">
        <f aca="false">F3173*G3173</f>
        <v>2536606</v>
      </c>
      <c r="K3173" s="1365" t="n">
        <f aca="false">J3173/1792.8</f>
        <v>1414.88509593931</v>
      </c>
      <c r="L3173" s="1484" t="n">
        <v>60</v>
      </c>
      <c r="M3173" s="819" t="n">
        <f aca="false">K3173*L3173/60</f>
        <v>1414.88509593931</v>
      </c>
    </row>
    <row r="3174" customFormat="false" ht="15" hidden="false" customHeight="false" outlineLevel="0" collapsed="false">
      <c r="A3174" s="216"/>
      <c r="B3174" s="40"/>
      <c r="C3174" s="1161" t="s">
        <v>7141</v>
      </c>
      <c r="D3174" s="316" t="n">
        <v>2009</v>
      </c>
      <c r="E3174" s="912" t="n">
        <f aca="false">2021-D3174</f>
        <v>12</v>
      </c>
      <c r="F3174" s="1483" t="n">
        <v>1625000</v>
      </c>
      <c r="G3174" s="1413" t="n">
        <v>0.1</v>
      </c>
      <c r="H3174" s="547" t="n">
        <f aca="false">E3174*F3174*G3174</f>
        <v>1950000</v>
      </c>
      <c r="I3174" s="547" t="n">
        <f aca="false">F3174-H3174</f>
        <v>-325000</v>
      </c>
      <c r="J3174" s="547" t="n">
        <f aca="false">F3174*G3174</f>
        <v>162500</v>
      </c>
      <c r="K3174" s="1365" t="n">
        <f aca="false">J3174/1792.8</f>
        <v>90.640339134315</v>
      </c>
      <c r="L3174" s="1484" t="n">
        <v>10</v>
      </c>
      <c r="M3174" s="819" t="n">
        <f aca="false">K3174*L3174/60</f>
        <v>15.1067231890525</v>
      </c>
    </row>
    <row r="3175" customFormat="false" ht="15" hidden="false" customHeight="false" outlineLevel="0" collapsed="false">
      <c r="A3175" s="216"/>
      <c r="B3175" s="972"/>
      <c r="C3175" s="1161" t="s">
        <v>7133</v>
      </c>
      <c r="D3175" s="317" t="n">
        <v>2009</v>
      </c>
      <c r="E3175" s="912" t="n">
        <f aca="false">2021-D3175</f>
        <v>12</v>
      </c>
      <c r="F3175" s="1479" t="n">
        <v>745000</v>
      </c>
      <c r="G3175" s="1413" t="n">
        <v>0.1</v>
      </c>
      <c r="H3175" s="547" t="n">
        <f aca="false">E3175*F3175*G3175</f>
        <v>894000</v>
      </c>
      <c r="I3175" s="547" t="n">
        <f aca="false">F3175-H3175</f>
        <v>-149000</v>
      </c>
      <c r="J3175" s="547" t="n">
        <f aca="false">F3175*G3175</f>
        <v>74500</v>
      </c>
      <c r="K3175" s="1365" t="n">
        <f aca="false">J3175/1792.8</f>
        <v>41.5551093261937</v>
      </c>
      <c r="L3175" s="1484" t="n">
        <v>3</v>
      </c>
      <c r="M3175" s="819" t="n">
        <f aca="false">K3175*L3175/60</f>
        <v>2.07775546630968</v>
      </c>
    </row>
    <row r="3176" customFormat="false" ht="15" hidden="false" customHeight="false" outlineLevel="0" collapsed="false">
      <c r="A3176" s="216"/>
      <c r="B3176" s="972" t="s">
        <v>4128</v>
      </c>
      <c r="C3176" s="40"/>
      <c r="D3176" s="316"/>
      <c r="E3176" s="912"/>
      <c r="F3176" s="1483"/>
      <c r="G3176" s="1413"/>
      <c r="H3176" s="547"/>
      <c r="I3176" s="547"/>
      <c r="J3176" s="547"/>
      <c r="K3176" s="1365" t="n">
        <f aca="false">J3176/1792.8</f>
        <v>0</v>
      </c>
      <c r="L3176" s="1484"/>
      <c r="M3176" s="934" t="n">
        <f aca="false">SUM(M3173:M3175)</f>
        <v>1432.06957459468</v>
      </c>
    </row>
    <row r="3177" customFormat="false" ht="45" hidden="false" customHeight="false" outlineLevel="0" collapsed="false">
      <c r="A3177" s="216" t="s">
        <v>1737</v>
      </c>
      <c r="B3177" s="40" t="s">
        <v>3607</v>
      </c>
      <c r="C3177" s="40" t="s">
        <v>7142</v>
      </c>
      <c r="D3177" s="316" t="n">
        <v>2011</v>
      </c>
      <c r="E3177" s="912" t="n">
        <f aca="false">2021-D3177</f>
        <v>10</v>
      </c>
      <c r="F3177" s="1483" t="n">
        <v>4258100</v>
      </c>
      <c r="G3177" s="1413" t="n">
        <v>0.1</v>
      </c>
      <c r="H3177" s="547" t="n">
        <f aca="false">E3177*F3177*G3177</f>
        <v>4258100</v>
      </c>
      <c r="I3177" s="547" t="n">
        <f aca="false">F3177-H3177</f>
        <v>0</v>
      </c>
      <c r="J3177" s="547" t="n">
        <f aca="false">F3177*G3177</f>
        <v>425810</v>
      </c>
      <c r="K3177" s="1365" t="n">
        <f aca="false">J3177/1792.8</f>
        <v>237.511155734047</v>
      </c>
      <c r="L3177" s="1484" t="n">
        <v>60</v>
      </c>
      <c r="M3177" s="819" t="n">
        <f aca="false">K3177*L3177/60</f>
        <v>237.511155734047</v>
      </c>
    </row>
    <row r="3178" customFormat="false" ht="15" hidden="false" customHeight="false" outlineLevel="0" collapsed="false">
      <c r="A3178" s="216"/>
      <c r="B3178" s="40"/>
      <c r="C3178" s="1161" t="s">
        <v>7133</v>
      </c>
      <c r="D3178" s="317" t="n">
        <v>2009</v>
      </c>
      <c r="E3178" s="912" t="n">
        <f aca="false">2021-D3178</f>
        <v>12</v>
      </c>
      <c r="F3178" s="1479" t="n">
        <v>745000</v>
      </c>
      <c r="G3178" s="1413" t="n">
        <v>0.1</v>
      </c>
      <c r="H3178" s="547" t="n">
        <f aca="false">E3178*F3178*G3178</f>
        <v>894000</v>
      </c>
      <c r="I3178" s="547" t="n">
        <f aca="false">F3178-H3178</f>
        <v>-149000</v>
      </c>
      <c r="J3178" s="547" t="n">
        <f aca="false">F3178*G3178</f>
        <v>74500</v>
      </c>
      <c r="K3178" s="1365" t="n">
        <f aca="false">J3178/1792.8</f>
        <v>41.5551093261937</v>
      </c>
      <c r="L3178" s="1484" t="n">
        <v>3</v>
      </c>
      <c r="M3178" s="819" t="n">
        <f aca="false">K3178*L3178/60</f>
        <v>2.07775546630968</v>
      </c>
    </row>
    <row r="3179" customFormat="false" ht="15" hidden="false" customHeight="false" outlineLevel="0" collapsed="false">
      <c r="A3179" s="216"/>
      <c r="B3179" s="40"/>
      <c r="C3179" s="40" t="s">
        <v>7134</v>
      </c>
      <c r="D3179" s="316" t="n">
        <v>2013</v>
      </c>
      <c r="E3179" s="912" t="n">
        <f aca="false">2021-D3179</f>
        <v>8</v>
      </c>
      <c r="F3179" s="1483" t="n">
        <v>237440</v>
      </c>
      <c r="G3179" s="1413" t="n">
        <v>0.1</v>
      </c>
      <c r="H3179" s="547" t="n">
        <f aca="false">E3179*F3179*G3179</f>
        <v>189952</v>
      </c>
      <c r="I3179" s="547" t="n">
        <f aca="false">F3179-H3179</f>
        <v>47488</v>
      </c>
      <c r="J3179" s="547" t="n">
        <f aca="false">F3179*G3179</f>
        <v>23744</v>
      </c>
      <c r="K3179" s="1365" t="n">
        <f aca="false">J3179/1792.8</f>
        <v>13.2440874609549</v>
      </c>
      <c r="L3179" s="1484" t="n">
        <v>60</v>
      </c>
      <c r="M3179" s="819" t="n">
        <f aca="false">K3179*L3179/60</f>
        <v>13.2440874609549</v>
      </c>
    </row>
    <row r="3180" customFormat="false" ht="15" hidden="false" customHeight="false" outlineLevel="0" collapsed="false">
      <c r="A3180" s="216"/>
      <c r="B3180" s="40"/>
      <c r="C3180" s="40" t="s">
        <v>7135</v>
      </c>
      <c r="D3180" s="316" t="n">
        <v>2009</v>
      </c>
      <c r="E3180" s="912" t="n">
        <f aca="false">2021-D3180</f>
        <v>12</v>
      </c>
      <c r="F3180" s="1483" t="n">
        <v>190000</v>
      </c>
      <c r="G3180" s="1413" t="n">
        <v>0.1</v>
      </c>
      <c r="H3180" s="547" t="n">
        <f aca="false">E3180*F3180*G3180</f>
        <v>228000</v>
      </c>
      <c r="I3180" s="547" t="n">
        <f aca="false">F3180-H3180</f>
        <v>-38000</v>
      </c>
      <c r="J3180" s="547" t="n">
        <f aca="false">F3180*G3180</f>
        <v>19000</v>
      </c>
      <c r="K3180" s="1365" t="n">
        <f aca="false">J3180/1792.8</f>
        <v>10.5979473449353</v>
      </c>
      <c r="L3180" s="1484" t="n">
        <v>30</v>
      </c>
      <c r="M3180" s="819" t="n">
        <f aca="false">K3180*L3180/60</f>
        <v>5.29897367246765</v>
      </c>
    </row>
    <row r="3181" customFormat="false" ht="15" hidden="false" customHeight="false" outlineLevel="0" collapsed="false">
      <c r="A3181" s="216"/>
      <c r="B3181" s="972" t="s">
        <v>4128</v>
      </c>
      <c r="C3181" s="40"/>
      <c r="D3181" s="316"/>
      <c r="E3181" s="912"/>
      <c r="F3181" s="1483"/>
      <c r="G3181" s="1413"/>
      <c r="H3181" s="547"/>
      <c r="I3181" s="547"/>
      <c r="J3181" s="547"/>
      <c r="K3181" s="1365" t="n">
        <f aca="false">J3181/1792.8</f>
        <v>0</v>
      </c>
      <c r="L3181" s="1484"/>
      <c r="M3181" s="934" t="n">
        <f aca="false">SUM(M3177:M3180)</f>
        <v>258.13197233378</v>
      </c>
    </row>
    <row r="3182" customFormat="false" ht="72.75" hidden="false" customHeight="true" outlineLevel="0" collapsed="false">
      <c r="A3182" s="350" t="s">
        <v>1739</v>
      </c>
      <c r="B3182" s="88" t="s">
        <v>3608</v>
      </c>
      <c r="C3182" s="54"/>
      <c r="D3182" s="907"/>
      <c r="E3182" s="339"/>
      <c r="F3182" s="1481"/>
      <c r="G3182" s="1412"/>
      <c r="H3182" s="751"/>
      <c r="I3182" s="751"/>
      <c r="J3182" s="751"/>
      <c r="K3182" s="751"/>
      <c r="L3182" s="1482"/>
      <c r="M3182" s="818"/>
    </row>
    <row r="3183" customFormat="false" ht="30" hidden="false" customHeight="false" outlineLevel="0" collapsed="false">
      <c r="A3183" s="571" t="s">
        <v>1741</v>
      </c>
      <c r="B3183" s="40" t="s">
        <v>3609</v>
      </c>
      <c r="C3183" s="40" t="s">
        <v>7140</v>
      </c>
      <c r="D3183" s="316" t="n">
        <v>2012</v>
      </c>
      <c r="E3183" s="912" t="n">
        <f aca="false">2021-D3183</f>
        <v>9</v>
      </c>
      <c r="F3183" s="1483" t="n">
        <v>25366060</v>
      </c>
      <c r="G3183" s="1413" t="n">
        <v>0.1</v>
      </c>
      <c r="H3183" s="547" t="n">
        <f aca="false">E3183*F3183*G3183</f>
        <v>22829454</v>
      </c>
      <c r="I3183" s="547" t="n">
        <f aca="false">F3183-H3183</f>
        <v>2536606</v>
      </c>
      <c r="J3183" s="547" t="n">
        <f aca="false">F3183*G3183</f>
        <v>2536606</v>
      </c>
      <c r="K3183" s="1365" t="n">
        <f aca="false">J3183/1792.8</f>
        <v>1414.88509593931</v>
      </c>
      <c r="L3183" s="1484" t="n">
        <v>90</v>
      </c>
      <c r="M3183" s="819" t="n">
        <f aca="false">K3183*L3183/60</f>
        <v>2122.32764390897</v>
      </c>
    </row>
    <row r="3184" customFormat="false" ht="15" hidden="false" customHeight="false" outlineLevel="0" collapsed="false">
      <c r="A3184" s="216"/>
      <c r="B3184" s="40"/>
      <c r="C3184" s="40" t="s">
        <v>7143</v>
      </c>
      <c r="D3184" s="316" t="n">
        <v>2011</v>
      </c>
      <c r="E3184" s="912" t="n">
        <f aca="false">2021-D3184</f>
        <v>10</v>
      </c>
      <c r="F3184" s="1483" t="n">
        <v>4258100</v>
      </c>
      <c r="G3184" s="1413" t="n">
        <v>0.1</v>
      </c>
      <c r="H3184" s="547" t="n">
        <f aca="false">E3184*F3184*G3184</f>
        <v>4258100</v>
      </c>
      <c r="I3184" s="547" t="n">
        <f aca="false">F3184-H3184</f>
        <v>0</v>
      </c>
      <c r="J3184" s="547" t="n">
        <f aca="false">F3184*G3184</f>
        <v>425810</v>
      </c>
      <c r="K3184" s="1365" t="n">
        <f aca="false">J3184/1792.8</f>
        <v>237.511155734047</v>
      </c>
      <c r="L3184" s="1484" t="n">
        <v>90</v>
      </c>
      <c r="M3184" s="819" t="n">
        <f aca="false">K3184*L3184/60</f>
        <v>356.266733601071</v>
      </c>
    </row>
    <row r="3185" customFormat="false" ht="15" hidden="false" customHeight="false" outlineLevel="0" collapsed="false">
      <c r="A3185" s="216"/>
      <c r="B3185" s="40"/>
      <c r="C3185" s="1161" t="s">
        <v>7136</v>
      </c>
      <c r="D3185" s="317" t="n">
        <v>2012</v>
      </c>
      <c r="E3185" s="912" t="n">
        <f aca="false">2021-D3185</f>
        <v>9</v>
      </c>
      <c r="F3185" s="1479" t="n">
        <v>198900</v>
      </c>
      <c r="G3185" s="1413" t="n">
        <v>0.1</v>
      </c>
      <c r="H3185" s="547" t="n">
        <f aca="false">E3185*F3185*G3185</f>
        <v>179010</v>
      </c>
      <c r="I3185" s="547" t="n">
        <f aca="false">F3185-H3185</f>
        <v>19890</v>
      </c>
      <c r="J3185" s="547" t="n">
        <f aca="false">F3185*G3185</f>
        <v>19890</v>
      </c>
      <c r="K3185" s="1365" t="n">
        <f aca="false">J3185/1792.8</f>
        <v>11.0943775100402</v>
      </c>
      <c r="L3185" s="1484" t="n">
        <v>30</v>
      </c>
      <c r="M3185" s="819" t="n">
        <f aca="false">K3185*L3185/60</f>
        <v>5.54718875502008</v>
      </c>
    </row>
    <row r="3186" customFormat="false" ht="15" hidden="false" customHeight="false" outlineLevel="0" collapsed="false">
      <c r="A3186" s="216"/>
      <c r="B3186" s="40"/>
      <c r="C3186" s="40" t="s">
        <v>7144</v>
      </c>
      <c r="D3186" s="316" t="n">
        <v>2013</v>
      </c>
      <c r="E3186" s="912" t="n">
        <f aca="false">2021-D3186</f>
        <v>8</v>
      </c>
      <c r="F3186" s="1483" t="n">
        <v>237440</v>
      </c>
      <c r="G3186" s="1413" t="n">
        <v>0.1</v>
      </c>
      <c r="H3186" s="547" t="n">
        <f aca="false">E3186*F3186*G3186</f>
        <v>189952</v>
      </c>
      <c r="I3186" s="547" t="n">
        <f aca="false">F3186-H3186</f>
        <v>47488</v>
      </c>
      <c r="J3186" s="547" t="n">
        <f aca="false">F3186*G3186</f>
        <v>23744</v>
      </c>
      <c r="K3186" s="1365" t="n">
        <f aca="false">J3186/1792.8</f>
        <v>13.2440874609549</v>
      </c>
      <c r="L3186" s="1484" t="n">
        <v>60</v>
      </c>
      <c r="M3186" s="819" t="n">
        <f aca="false">K3186*L3186/60</f>
        <v>13.2440874609549</v>
      </c>
    </row>
    <row r="3187" customFormat="false" ht="15" hidden="false" customHeight="false" outlineLevel="0" collapsed="false">
      <c r="A3187" s="216"/>
      <c r="B3187" s="40"/>
      <c r="C3187" s="1161" t="s">
        <v>7133</v>
      </c>
      <c r="D3187" s="317" t="n">
        <v>2009</v>
      </c>
      <c r="E3187" s="912" t="n">
        <f aca="false">2021-D3187</f>
        <v>12</v>
      </c>
      <c r="F3187" s="1479" t="n">
        <v>745000</v>
      </c>
      <c r="G3187" s="1413" t="n">
        <v>0.1</v>
      </c>
      <c r="H3187" s="547" t="n">
        <f aca="false">E3187*F3187*G3187</f>
        <v>894000</v>
      </c>
      <c r="I3187" s="547" t="n">
        <f aca="false">F3187-H3187</f>
        <v>-149000</v>
      </c>
      <c r="J3187" s="547" t="n">
        <f aca="false">F3187*G3187</f>
        <v>74500</v>
      </c>
      <c r="K3187" s="1365" t="n">
        <f aca="false">J3187/1792.8</f>
        <v>41.5551093261937</v>
      </c>
      <c r="L3187" s="1484" t="n">
        <v>3</v>
      </c>
      <c r="M3187" s="819" t="n">
        <f aca="false">K3187*L3187/60</f>
        <v>2.07775546630968</v>
      </c>
    </row>
    <row r="3188" customFormat="false" ht="15" hidden="false" customHeight="false" outlineLevel="0" collapsed="false">
      <c r="A3188" s="216"/>
      <c r="B3188" s="972" t="s">
        <v>4128</v>
      </c>
      <c r="C3188" s="40"/>
      <c r="D3188" s="316"/>
      <c r="E3188" s="912"/>
      <c r="F3188" s="1483"/>
      <c r="G3188" s="1413"/>
      <c r="H3188" s="547"/>
      <c r="I3188" s="547"/>
      <c r="J3188" s="547"/>
      <c r="K3188" s="1365" t="n">
        <f aca="false">J3188/1792.8</f>
        <v>0</v>
      </c>
      <c r="L3188" s="1484"/>
      <c r="M3188" s="934" t="n">
        <f aca="false">SUM(M3183:M3187)</f>
        <v>2499.46340919233</v>
      </c>
    </row>
    <row r="3189" customFormat="false" ht="57" hidden="false" customHeight="false" outlineLevel="0" collapsed="false">
      <c r="A3189" s="351" t="s">
        <v>1743</v>
      </c>
      <c r="B3189" s="54" t="s">
        <v>5808</v>
      </c>
      <c r="C3189" s="54"/>
      <c r="D3189" s="907"/>
      <c r="E3189" s="339"/>
      <c r="F3189" s="1481"/>
      <c r="G3189" s="1412"/>
      <c r="H3189" s="751"/>
      <c r="I3189" s="751"/>
      <c r="J3189" s="751"/>
      <c r="K3189" s="751"/>
      <c r="L3189" s="1482"/>
      <c r="M3189" s="818"/>
    </row>
    <row r="3190" customFormat="false" ht="15" hidden="false" customHeight="false" outlineLevel="0" collapsed="false">
      <c r="A3190" s="571" t="s">
        <v>1745</v>
      </c>
      <c r="B3190" s="40" t="s">
        <v>3611</v>
      </c>
      <c r="C3190" s="40" t="s">
        <v>7140</v>
      </c>
      <c r="D3190" s="316" t="n">
        <v>2012</v>
      </c>
      <c r="E3190" s="912" t="n">
        <f aca="false">2021-D3190</f>
        <v>9</v>
      </c>
      <c r="F3190" s="1483" t="n">
        <v>25366060</v>
      </c>
      <c r="G3190" s="1413" t="n">
        <v>0.1</v>
      </c>
      <c r="H3190" s="547" t="n">
        <f aca="false">E3190*F3190*G3190</f>
        <v>22829454</v>
      </c>
      <c r="I3190" s="547" t="n">
        <f aca="false">F3190-H3190</f>
        <v>2536606</v>
      </c>
      <c r="J3190" s="547" t="n">
        <f aca="false">F3190*G3190</f>
        <v>2536606</v>
      </c>
      <c r="K3190" s="547" t="n">
        <f aca="false">J3190/1792.8</f>
        <v>1414.88509593931</v>
      </c>
      <c r="L3190" s="1484" t="n">
        <v>90</v>
      </c>
      <c r="M3190" s="819" t="n">
        <f aca="false">K3190*L3190/60</f>
        <v>2122.32764390897</v>
      </c>
    </row>
    <row r="3191" customFormat="false" ht="15" hidden="false" customHeight="false" outlineLevel="0" collapsed="false">
      <c r="B3191" s="40"/>
      <c r="C3191" s="1161" t="s">
        <v>7133</v>
      </c>
      <c r="D3191" s="317" t="n">
        <v>2009</v>
      </c>
      <c r="E3191" s="912" t="n">
        <f aca="false">2021-D3191</f>
        <v>12</v>
      </c>
      <c r="F3191" s="1479" t="n">
        <v>745000</v>
      </c>
      <c r="G3191" s="1413" t="n">
        <v>0.1</v>
      </c>
      <c r="H3191" s="547" t="n">
        <f aca="false">E3191*F3191*G3191</f>
        <v>894000</v>
      </c>
      <c r="I3191" s="547" t="n">
        <f aca="false">F3191-H3191</f>
        <v>-149000</v>
      </c>
      <c r="J3191" s="547" t="n">
        <f aca="false">F3191*G3191</f>
        <v>74500</v>
      </c>
      <c r="K3191" s="547" t="n">
        <f aca="false">J3191/1792.8</f>
        <v>41.5551093261937</v>
      </c>
      <c r="L3191" s="1484" t="n">
        <v>3</v>
      </c>
      <c r="M3191" s="819" t="n">
        <f aca="false">K3191*L3191/60</f>
        <v>2.07775546630968</v>
      </c>
    </row>
    <row r="3192" customFormat="false" ht="15" hidden="false" customHeight="false" outlineLevel="0" collapsed="false">
      <c r="A3192" s="216"/>
      <c r="B3192" s="972" t="s">
        <v>4128</v>
      </c>
      <c r="C3192" s="40"/>
      <c r="D3192" s="316"/>
      <c r="E3192" s="912"/>
      <c r="F3192" s="1483"/>
      <c r="G3192" s="1413"/>
      <c r="H3192" s="547"/>
      <c r="I3192" s="547"/>
      <c r="J3192" s="547"/>
      <c r="K3192" s="547" t="n">
        <f aca="false">J3192/1792.8</f>
        <v>0</v>
      </c>
      <c r="L3192" s="1484"/>
      <c r="M3192" s="934" t="n">
        <f aca="false">SUM(M3190:M3191)</f>
        <v>2124.40539937528</v>
      </c>
    </row>
    <row r="3193" customFormat="false" ht="15" hidden="false" customHeight="false" outlineLevel="0" collapsed="false">
      <c r="A3193" s="571" t="s">
        <v>1747</v>
      </c>
      <c r="B3193" s="40" t="s">
        <v>3612</v>
      </c>
      <c r="C3193" s="40" t="s">
        <v>7142</v>
      </c>
      <c r="D3193" s="316" t="n">
        <v>2012</v>
      </c>
      <c r="E3193" s="912" t="n">
        <f aca="false">2021-D3193</f>
        <v>9</v>
      </c>
      <c r="F3193" s="1483" t="n">
        <v>4258100</v>
      </c>
      <c r="G3193" s="1413" t="n">
        <v>0.1</v>
      </c>
      <c r="H3193" s="547" t="n">
        <f aca="false">E3193*F3193*G3193</f>
        <v>3832290</v>
      </c>
      <c r="I3193" s="547" t="n">
        <f aca="false">F3193-H3193</f>
        <v>425810</v>
      </c>
      <c r="J3193" s="547" t="n">
        <f aca="false">F3193*G3193</f>
        <v>425810</v>
      </c>
      <c r="K3193" s="547" t="n">
        <f aca="false">J3193/1792.8</f>
        <v>237.511155734047</v>
      </c>
      <c r="L3193" s="1484" t="n">
        <v>182</v>
      </c>
      <c r="M3193" s="819" t="n">
        <f aca="false">K3193*L3193/60</f>
        <v>720.45050572661</v>
      </c>
    </row>
    <row r="3194" customFormat="false" ht="15" hidden="false" customHeight="false" outlineLevel="0" collapsed="false">
      <c r="A3194" s="216"/>
      <c r="B3194" s="40"/>
      <c r="C3194" s="1161" t="s">
        <v>7133</v>
      </c>
      <c r="D3194" s="317" t="n">
        <v>2009</v>
      </c>
      <c r="E3194" s="912" t="n">
        <f aca="false">2021-D3194</f>
        <v>12</v>
      </c>
      <c r="F3194" s="1479" t="n">
        <v>745000</v>
      </c>
      <c r="G3194" s="1413" t="n">
        <v>0.1</v>
      </c>
      <c r="H3194" s="547" t="n">
        <f aca="false">E3194*F3194*G3194</f>
        <v>894000</v>
      </c>
      <c r="I3194" s="547" t="n">
        <f aca="false">F3194-H3194</f>
        <v>-149000</v>
      </c>
      <c r="J3194" s="547" t="n">
        <f aca="false">F3194*G3194</f>
        <v>74500</v>
      </c>
      <c r="K3194" s="547" t="n">
        <f aca="false">J3194/1792.8</f>
        <v>41.5551093261937</v>
      </c>
      <c r="L3194" s="1484" t="n">
        <v>5</v>
      </c>
      <c r="M3194" s="819" t="n">
        <f aca="false">K3194*L3194/60</f>
        <v>3.46292577718281</v>
      </c>
    </row>
    <row r="3195" customFormat="false" ht="15" hidden="false" customHeight="false" outlineLevel="0" collapsed="false">
      <c r="A3195" s="216"/>
      <c r="B3195" s="40"/>
      <c r="C3195" s="40" t="s">
        <v>7134</v>
      </c>
      <c r="D3195" s="316" t="n">
        <v>2013</v>
      </c>
      <c r="E3195" s="912" t="n">
        <f aca="false">2021-D3195</f>
        <v>8</v>
      </c>
      <c r="F3195" s="1483" t="n">
        <v>237440</v>
      </c>
      <c r="G3195" s="1413" t="n">
        <v>0.1</v>
      </c>
      <c r="H3195" s="547" t="n">
        <f aca="false">E3195*F3195*G3195</f>
        <v>189952</v>
      </c>
      <c r="I3195" s="547" t="n">
        <f aca="false">F3195-H3195</f>
        <v>47488</v>
      </c>
      <c r="J3195" s="547" t="n">
        <f aca="false">F3195*G3195</f>
        <v>23744</v>
      </c>
      <c r="K3195" s="547" t="n">
        <f aca="false">J3195/1792.8</f>
        <v>13.2440874609549</v>
      </c>
      <c r="L3195" s="1484" t="n">
        <v>60</v>
      </c>
      <c r="M3195" s="819" t="n">
        <f aca="false">K3195*L3195/60</f>
        <v>13.2440874609549</v>
      </c>
    </row>
    <row r="3196" customFormat="false" ht="15" hidden="false" customHeight="false" outlineLevel="0" collapsed="false">
      <c r="A3196" s="216"/>
      <c r="B3196" s="40"/>
      <c r="C3196" s="40" t="s">
        <v>7135</v>
      </c>
      <c r="D3196" s="316" t="n">
        <v>2009</v>
      </c>
      <c r="E3196" s="912" t="n">
        <f aca="false">2021-D3196</f>
        <v>12</v>
      </c>
      <c r="F3196" s="1483" t="n">
        <v>190000</v>
      </c>
      <c r="G3196" s="1413" t="n">
        <v>0.1</v>
      </c>
      <c r="H3196" s="547" t="n">
        <f aca="false">E3196*F3196*G3196</f>
        <v>228000</v>
      </c>
      <c r="I3196" s="547" t="n">
        <f aca="false">F3196-H3196</f>
        <v>-38000</v>
      </c>
      <c r="J3196" s="547" t="n">
        <f aca="false">F3196*G3196</f>
        <v>19000</v>
      </c>
      <c r="K3196" s="547" t="n">
        <f aca="false">J3196/1792.8</f>
        <v>10.5979473449353</v>
      </c>
      <c r="L3196" s="1484" t="n">
        <v>30</v>
      </c>
      <c r="M3196" s="819" t="n">
        <f aca="false">K3196*L3196/60</f>
        <v>5.29897367246765</v>
      </c>
    </row>
    <row r="3197" customFormat="false" ht="15" hidden="false" customHeight="false" outlineLevel="0" collapsed="false">
      <c r="A3197" s="216"/>
      <c r="B3197" s="972" t="s">
        <v>4128</v>
      </c>
      <c r="C3197" s="40"/>
      <c r="D3197" s="316"/>
      <c r="E3197" s="912"/>
      <c r="F3197" s="1483"/>
      <c r="G3197" s="1413"/>
      <c r="H3197" s="547"/>
      <c r="I3197" s="547"/>
      <c r="J3197" s="547"/>
      <c r="K3197" s="547" t="n">
        <f aca="false">J3197/1792.8</f>
        <v>0</v>
      </c>
      <c r="L3197" s="1484"/>
      <c r="M3197" s="934" t="n">
        <f aca="false">SUM(M3193:M3196)</f>
        <v>742.456492637216</v>
      </c>
    </row>
    <row r="3198" customFormat="false" ht="24.75" hidden="false" customHeight="true" outlineLevel="0" collapsed="false">
      <c r="A3198" s="351" t="s">
        <v>1749</v>
      </c>
      <c r="B3198" s="54" t="s">
        <v>3613</v>
      </c>
      <c r="C3198" s="54"/>
      <c r="D3198" s="907"/>
      <c r="E3198" s="339"/>
      <c r="F3198" s="1481"/>
      <c r="G3198" s="1412"/>
      <c r="H3198" s="751"/>
      <c r="I3198" s="751"/>
      <c r="J3198" s="751"/>
      <c r="K3198" s="751"/>
      <c r="L3198" s="1482"/>
      <c r="M3198" s="818"/>
    </row>
    <row r="3199" customFormat="false" ht="45" hidden="false" customHeight="false" outlineLevel="0" collapsed="false">
      <c r="A3199" s="571" t="s">
        <v>1751</v>
      </c>
      <c r="B3199" s="40" t="s">
        <v>3614</v>
      </c>
      <c r="C3199" s="40" t="s">
        <v>7140</v>
      </c>
      <c r="D3199" s="316" t="n">
        <v>2012</v>
      </c>
      <c r="E3199" s="912" t="n">
        <f aca="false">2021-D3199</f>
        <v>9</v>
      </c>
      <c r="F3199" s="1483" t="n">
        <v>25366060</v>
      </c>
      <c r="G3199" s="1413" t="n">
        <v>0.1</v>
      </c>
      <c r="H3199" s="547" t="n">
        <f aca="false">E3199*F3199*G3199</f>
        <v>22829454</v>
      </c>
      <c r="I3199" s="547" t="n">
        <f aca="false">F3199-H3199</f>
        <v>2536606</v>
      </c>
      <c r="J3199" s="547" t="n">
        <f aca="false">F3199*G3199</f>
        <v>2536606</v>
      </c>
      <c r="K3199" s="1365" t="n">
        <f aca="false">J3199/1792.8</f>
        <v>1414.88509593931</v>
      </c>
      <c r="L3199" s="1484" t="n">
        <v>90</v>
      </c>
      <c r="M3199" s="819" t="n">
        <f aca="false">K3199*L3199/60</f>
        <v>2122.32764390897</v>
      </c>
    </row>
    <row r="3200" customFormat="false" ht="15" hidden="false" customHeight="false" outlineLevel="0" collapsed="false">
      <c r="A3200" s="216"/>
      <c r="B3200" s="40"/>
      <c r="C3200" s="40" t="s">
        <v>7143</v>
      </c>
      <c r="D3200" s="316" t="n">
        <v>2011</v>
      </c>
      <c r="E3200" s="912" t="n">
        <f aca="false">2021-D3200</f>
        <v>10</v>
      </c>
      <c r="F3200" s="1483" t="n">
        <v>4258100</v>
      </c>
      <c r="G3200" s="1413" t="n">
        <v>0.1</v>
      </c>
      <c r="H3200" s="547" t="n">
        <f aca="false">E3200*F3200*G3200</f>
        <v>4258100</v>
      </c>
      <c r="I3200" s="547" t="n">
        <f aca="false">F3200-H3200</f>
        <v>0</v>
      </c>
      <c r="J3200" s="547" t="n">
        <f aca="false">F3200*G3200</f>
        <v>425810</v>
      </c>
      <c r="K3200" s="1365" t="n">
        <f aca="false">J3200/1792.8</f>
        <v>237.511155734047</v>
      </c>
      <c r="L3200" s="1484" t="n">
        <v>90</v>
      </c>
      <c r="M3200" s="819" t="n">
        <f aca="false">K3200*L3200/60</f>
        <v>356.266733601071</v>
      </c>
    </row>
    <row r="3201" customFormat="false" ht="15" hidden="false" customHeight="false" outlineLevel="0" collapsed="false">
      <c r="A3201" s="216"/>
      <c r="B3201" s="40"/>
      <c r="C3201" s="1161" t="s">
        <v>7136</v>
      </c>
      <c r="D3201" s="317" t="n">
        <v>2012</v>
      </c>
      <c r="E3201" s="912" t="n">
        <f aca="false">2021-D3201</f>
        <v>9</v>
      </c>
      <c r="F3201" s="1479" t="n">
        <v>198900</v>
      </c>
      <c r="G3201" s="1413" t="n">
        <v>0.1</v>
      </c>
      <c r="H3201" s="547" t="n">
        <f aca="false">E3201*F3201*G3201</f>
        <v>179010</v>
      </c>
      <c r="I3201" s="547" t="n">
        <f aca="false">F3201-H3201</f>
        <v>19890</v>
      </c>
      <c r="J3201" s="547" t="n">
        <f aca="false">F3201*G3201</f>
        <v>19890</v>
      </c>
      <c r="K3201" s="1365" t="n">
        <f aca="false">J3201/1792.8</f>
        <v>11.0943775100402</v>
      </c>
      <c r="L3201" s="1484" t="n">
        <v>30</v>
      </c>
      <c r="M3201" s="819" t="n">
        <f aca="false">K3201*L3201/60</f>
        <v>5.54718875502008</v>
      </c>
    </row>
    <row r="3202" customFormat="false" ht="15" hidden="false" customHeight="false" outlineLevel="0" collapsed="false">
      <c r="A3202" s="216"/>
      <c r="B3202" s="40"/>
      <c r="C3202" s="40" t="s">
        <v>7144</v>
      </c>
      <c r="D3202" s="316" t="n">
        <v>2013</v>
      </c>
      <c r="E3202" s="912" t="n">
        <f aca="false">2021-D3202</f>
        <v>8</v>
      </c>
      <c r="F3202" s="1483" t="n">
        <v>237440</v>
      </c>
      <c r="G3202" s="1413" t="n">
        <v>0.1</v>
      </c>
      <c r="H3202" s="547" t="n">
        <f aca="false">E3202*F3202*G3202</f>
        <v>189952</v>
      </c>
      <c r="I3202" s="547" t="n">
        <f aca="false">F3202-H3202</f>
        <v>47488</v>
      </c>
      <c r="J3202" s="547" t="n">
        <f aca="false">F3202*G3202</f>
        <v>23744</v>
      </c>
      <c r="K3202" s="1365" t="n">
        <f aca="false">J3202/1792.8</f>
        <v>13.2440874609549</v>
      </c>
      <c r="L3202" s="1484" t="n">
        <v>60</v>
      </c>
      <c r="M3202" s="819" t="n">
        <f aca="false">K3202*L3202/60</f>
        <v>13.2440874609549</v>
      </c>
    </row>
    <row r="3203" customFormat="false" ht="15" hidden="false" customHeight="false" outlineLevel="0" collapsed="false">
      <c r="A3203" s="216"/>
      <c r="B3203" s="972"/>
      <c r="C3203" s="1161" t="s">
        <v>7133</v>
      </c>
      <c r="D3203" s="317" t="n">
        <v>2009</v>
      </c>
      <c r="E3203" s="912" t="n">
        <f aca="false">2021-D3203</f>
        <v>12</v>
      </c>
      <c r="F3203" s="1479" t="n">
        <v>745000</v>
      </c>
      <c r="G3203" s="1413" t="n">
        <v>0.1</v>
      </c>
      <c r="H3203" s="547" t="n">
        <f aca="false">E3203*F3203*G3203</f>
        <v>894000</v>
      </c>
      <c r="I3203" s="547" t="n">
        <f aca="false">F3203-H3203</f>
        <v>-149000</v>
      </c>
      <c r="J3203" s="547" t="n">
        <f aca="false">F3203*G3203</f>
        <v>74500</v>
      </c>
      <c r="K3203" s="1365" t="n">
        <f aca="false">J3203/1792.8</f>
        <v>41.5551093261937</v>
      </c>
      <c r="L3203" s="1484" t="n">
        <v>3</v>
      </c>
      <c r="M3203" s="819" t="n">
        <f aca="false">K3203*L3203/60</f>
        <v>2.07775546630968</v>
      </c>
    </row>
    <row r="3204" customFormat="false" ht="15" hidden="false" customHeight="false" outlineLevel="0" collapsed="false">
      <c r="A3204" s="216"/>
      <c r="B3204" s="972" t="s">
        <v>4128</v>
      </c>
      <c r="C3204" s="40"/>
      <c r="D3204" s="316"/>
      <c r="E3204" s="912"/>
      <c r="F3204" s="1483"/>
      <c r="G3204" s="1413"/>
      <c r="H3204" s="547"/>
      <c r="I3204" s="547"/>
      <c r="J3204" s="547"/>
      <c r="K3204" s="1365" t="n">
        <f aca="false">J3204/1792.8</f>
        <v>0</v>
      </c>
      <c r="L3204" s="1484"/>
      <c r="M3204" s="934" t="n">
        <f aca="false">SUM(M3199:M3203)</f>
        <v>2499.46340919233</v>
      </c>
    </row>
    <row r="3205" customFormat="false" ht="30" hidden="false" customHeight="false" outlineLevel="0" collapsed="false">
      <c r="A3205" s="216" t="s">
        <v>1753</v>
      </c>
      <c r="B3205" s="40" t="s">
        <v>3592</v>
      </c>
      <c r="C3205" s="1161" t="s">
        <v>7130</v>
      </c>
      <c r="D3205" s="317" t="n">
        <v>2010</v>
      </c>
      <c r="E3205" s="912" t="n">
        <f aca="false">2021-D3205</f>
        <v>11</v>
      </c>
      <c r="F3205" s="1479" t="n">
        <v>1835351</v>
      </c>
      <c r="G3205" s="1413" t="n">
        <v>0.1</v>
      </c>
      <c r="H3205" s="547" t="n">
        <f aca="false">E3205*F3205*G3205</f>
        <v>2018886.1</v>
      </c>
      <c r="I3205" s="547" t="n">
        <f aca="false">F3205-H3205</f>
        <v>-183535.1</v>
      </c>
      <c r="J3205" s="547" t="n">
        <f aca="false">F3205*G3205</f>
        <v>183535.1</v>
      </c>
      <c r="K3205" s="1365" t="n">
        <f aca="false">J3205/1792.8</f>
        <v>102.373438197233</v>
      </c>
      <c r="L3205" s="1484" t="n">
        <v>220</v>
      </c>
      <c r="M3205" s="819" t="n">
        <f aca="false">K3205*L3205/60</f>
        <v>375.369273389856</v>
      </c>
    </row>
    <row r="3206" customFormat="false" ht="15" hidden="false" customHeight="false" outlineLevel="0" collapsed="false">
      <c r="A3206" s="216"/>
      <c r="B3206" s="40"/>
      <c r="C3206" s="1161" t="s">
        <v>7131</v>
      </c>
      <c r="D3206" s="317" t="n">
        <v>2010</v>
      </c>
      <c r="E3206" s="912" t="n">
        <f aca="false">2021-D3206</f>
        <v>11</v>
      </c>
      <c r="F3206" s="1479" t="n">
        <v>90000</v>
      </c>
      <c r="G3206" s="1413" t="n">
        <v>0.1</v>
      </c>
      <c r="H3206" s="547" t="n">
        <f aca="false">E3206*F3206*G3206</f>
        <v>99000</v>
      </c>
      <c r="I3206" s="547" t="n">
        <f aca="false">F3206-H3206</f>
        <v>-9000</v>
      </c>
      <c r="J3206" s="547" t="n">
        <f aca="false">F3206*G3206</f>
        <v>9000</v>
      </c>
      <c r="K3206" s="1365" t="n">
        <f aca="false">J3206/1792.8</f>
        <v>5.02008032128514</v>
      </c>
      <c r="L3206" s="1484" t="n">
        <v>2</v>
      </c>
      <c r="M3206" s="819" t="n">
        <f aca="false">K3206*L3206/60</f>
        <v>0.167336010709505</v>
      </c>
    </row>
    <row r="3207" customFormat="false" ht="15" hidden="false" customHeight="false" outlineLevel="0" collapsed="false">
      <c r="A3207" s="216"/>
      <c r="B3207" s="972"/>
      <c r="C3207" s="1161" t="s">
        <v>7133</v>
      </c>
      <c r="D3207" s="317" t="n">
        <v>2009</v>
      </c>
      <c r="E3207" s="912" t="n">
        <f aca="false">2021-D3207</f>
        <v>12</v>
      </c>
      <c r="F3207" s="1479" t="n">
        <v>745000</v>
      </c>
      <c r="G3207" s="1413" t="n">
        <v>0.1</v>
      </c>
      <c r="H3207" s="547" t="n">
        <f aca="false">E3207*F3207*G3207</f>
        <v>894000</v>
      </c>
      <c r="I3207" s="547" t="n">
        <f aca="false">F3207-H3207</f>
        <v>-149000</v>
      </c>
      <c r="J3207" s="547" t="n">
        <f aca="false">F3207*G3207</f>
        <v>74500</v>
      </c>
      <c r="K3207" s="1365" t="n">
        <f aca="false">J3207/1792.8</f>
        <v>41.5551093261937</v>
      </c>
      <c r="L3207" s="1484" t="n">
        <v>5</v>
      </c>
      <c r="M3207" s="819" t="n">
        <f aca="false">K3207*L3207/60</f>
        <v>3.46292577718281</v>
      </c>
    </row>
    <row r="3208" customFormat="false" ht="15" hidden="false" customHeight="false" outlineLevel="0" collapsed="false">
      <c r="A3208" s="216"/>
      <c r="B3208" s="972"/>
      <c r="C3208" s="1161" t="s">
        <v>7136</v>
      </c>
      <c r="D3208" s="317" t="n">
        <v>2012</v>
      </c>
      <c r="E3208" s="912" t="n">
        <f aca="false">2021-D3208</f>
        <v>9</v>
      </c>
      <c r="F3208" s="1479" t="n">
        <v>198900</v>
      </c>
      <c r="G3208" s="1413" t="n">
        <v>0.1</v>
      </c>
      <c r="H3208" s="547" t="n">
        <f aca="false">E3208*F3208*G3208</f>
        <v>179010</v>
      </c>
      <c r="I3208" s="547" t="n">
        <f aca="false">F3208-H3208</f>
        <v>19890</v>
      </c>
      <c r="J3208" s="547" t="n">
        <f aca="false">F3208*G3208</f>
        <v>19890</v>
      </c>
      <c r="K3208" s="1365" t="n">
        <f aca="false">J3208/1792.8</f>
        <v>11.0943775100402</v>
      </c>
      <c r="L3208" s="1484" t="n">
        <v>60</v>
      </c>
      <c r="M3208" s="819" t="n">
        <f aca="false">K3208*L3208/60</f>
        <v>11.0943775100402</v>
      </c>
    </row>
    <row r="3209" customFormat="false" ht="15" hidden="false" customHeight="false" outlineLevel="0" collapsed="false">
      <c r="A3209" s="216"/>
      <c r="B3209" s="972"/>
      <c r="C3209" s="40" t="s">
        <v>7134</v>
      </c>
      <c r="D3209" s="316" t="n">
        <v>2013</v>
      </c>
      <c r="E3209" s="912" t="n">
        <f aca="false">2021-D3209</f>
        <v>8</v>
      </c>
      <c r="F3209" s="1483" t="n">
        <v>237440</v>
      </c>
      <c r="G3209" s="1413" t="n">
        <v>0.1</v>
      </c>
      <c r="H3209" s="547" t="n">
        <f aca="false">E3209*F3209*G3209</f>
        <v>189952</v>
      </c>
      <c r="I3209" s="547" t="n">
        <f aca="false">F3209-H3209</f>
        <v>47488</v>
      </c>
      <c r="J3209" s="547" t="n">
        <f aca="false">F3209*G3209</f>
        <v>23744</v>
      </c>
      <c r="K3209" s="1365" t="n">
        <f aca="false">J3209/1792.8</f>
        <v>13.2440874609549</v>
      </c>
      <c r="L3209" s="1484" t="n">
        <v>30</v>
      </c>
      <c r="M3209" s="819" t="n">
        <f aca="false">K3209*L3209/60</f>
        <v>6.62204373047747</v>
      </c>
    </row>
    <row r="3210" customFormat="false" ht="15" hidden="false" customHeight="false" outlineLevel="0" collapsed="false">
      <c r="A3210" s="216"/>
      <c r="B3210" s="972"/>
      <c r="C3210" s="40" t="s">
        <v>7135</v>
      </c>
      <c r="D3210" s="316" t="n">
        <v>2009</v>
      </c>
      <c r="E3210" s="912" t="n">
        <f aca="false">2021-D3210</f>
        <v>12</v>
      </c>
      <c r="F3210" s="1483" t="n">
        <v>190000</v>
      </c>
      <c r="G3210" s="1413" t="n">
        <v>0.1</v>
      </c>
      <c r="H3210" s="547" t="n">
        <f aca="false">E3210*F3210*G3210</f>
        <v>228000</v>
      </c>
      <c r="I3210" s="547" t="n">
        <f aca="false">F3210-H3210</f>
        <v>-38000</v>
      </c>
      <c r="J3210" s="547" t="n">
        <f aca="false">F3210*G3210</f>
        <v>19000</v>
      </c>
      <c r="K3210" s="1365" t="n">
        <f aca="false">J3210/1792.8</f>
        <v>10.5979473449353</v>
      </c>
      <c r="L3210" s="1484"/>
      <c r="M3210" s="819" t="n">
        <f aca="false">K3210*L3210/60</f>
        <v>0</v>
      </c>
    </row>
    <row r="3211" customFormat="false" ht="15" hidden="false" customHeight="false" outlineLevel="0" collapsed="false">
      <c r="A3211" s="216"/>
      <c r="B3211" s="972" t="s">
        <v>4128</v>
      </c>
      <c r="C3211" s="40"/>
      <c r="D3211" s="316"/>
      <c r="E3211" s="912"/>
      <c r="F3211" s="1483"/>
      <c r="G3211" s="1413"/>
      <c r="H3211" s="547"/>
      <c r="I3211" s="547"/>
      <c r="J3211" s="547"/>
      <c r="K3211" s="1365" t="n">
        <f aca="false">J3211/1792.8</f>
        <v>0</v>
      </c>
      <c r="L3211" s="1484"/>
      <c r="M3211" s="934" t="n">
        <f aca="false">SUM(M3205:M3210)</f>
        <v>396.715956418266</v>
      </c>
    </row>
    <row r="3212" customFormat="false" ht="48" hidden="false" customHeight="true" outlineLevel="0" collapsed="false">
      <c r="A3212" s="351" t="s">
        <v>1754</v>
      </c>
      <c r="B3212" s="54" t="s">
        <v>3615</v>
      </c>
      <c r="C3212" s="54"/>
      <c r="D3212" s="907"/>
      <c r="E3212" s="339"/>
      <c r="F3212" s="1481"/>
      <c r="G3212" s="1412"/>
      <c r="H3212" s="751"/>
      <c r="I3212" s="751"/>
      <c r="J3212" s="751"/>
      <c r="K3212" s="751"/>
      <c r="L3212" s="1482"/>
      <c r="M3212" s="818"/>
    </row>
    <row r="3213" customFormat="false" ht="30" hidden="false" customHeight="false" outlineLevel="0" collapsed="false">
      <c r="A3213" s="571" t="s">
        <v>1756</v>
      </c>
      <c r="B3213" s="40" t="s">
        <v>3616</v>
      </c>
      <c r="C3213" s="1161" t="s">
        <v>7130</v>
      </c>
      <c r="D3213" s="317" t="n">
        <v>2010</v>
      </c>
      <c r="E3213" s="912" t="n">
        <f aca="false">2021-D3213</f>
        <v>11</v>
      </c>
      <c r="F3213" s="1479" t="n">
        <v>1835351</v>
      </c>
      <c r="G3213" s="1413" t="n">
        <v>0.1</v>
      </c>
      <c r="H3213" s="547" t="n">
        <f aca="false">E3213*F3213*G3213</f>
        <v>2018886.1</v>
      </c>
      <c r="I3213" s="547" t="n">
        <f aca="false">F3213-H3213</f>
        <v>-183535.1</v>
      </c>
      <c r="J3213" s="547" t="n">
        <f aca="false">F3213*G3213</f>
        <v>183535.1</v>
      </c>
      <c r="K3213" s="1365" t="n">
        <f aca="false">J3213/1792.8</f>
        <v>102.373438197233</v>
      </c>
      <c r="L3213" s="1484" t="n">
        <v>220</v>
      </c>
      <c r="M3213" s="819" t="n">
        <f aca="false">K3213*L3213/60</f>
        <v>375.369273389856</v>
      </c>
    </row>
    <row r="3214" customFormat="false" ht="15" hidden="false" customHeight="false" outlineLevel="0" collapsed="false">
      <c r="A3214" s="216"/>
      <c r="B3214" s="40"/>
      <c r="C3214" s="1161" t="s">
        <v>7131</v>
      </c>
      <c r="D3214" s="317" t="n">
        <v>2010</v>
      </c>
      <c r="E3214" s="912" t="n">
        <f aca="false">2021-D3214</f>
        <v>11</v>
      </c>
      <c r="F3214" s="1479" t="n">
        <v>90000</v>
      </c>
      <c r="G3214" s="1413" t="n">
        <v>0.1</v>
      </c>
      <c r="H3214" s="547" t="n">
        <f aca="false">E3214*F3214*G3214</f>
        <v>99000</v>
      </c>
      <c r="I3214" s="547" t="n">
        <f aca="false">F3214-H3214</f>
        <v>-9000</v>
      </c>
      <c r="J3214" s="547" t="n">
        <f aca="false">F3214*G3214</f>
        <v>9000</v>
      </c>
      <c r="K3214" s="1365" t="n">
        <f aca="false">J3214/1792.8</f>
        <v>5.02008032128514</v>
      </c>
      <c r="L3214" s="1484" t="n">
        <v>2</v>
      </c>
      <c r="M3214" s="819" t="n">
        <f aca="false">K3214*L3214/60</f>
        <v>0.167336010709505</v>
      </c>
    </row>
    <row r="3215" customFormat="false" ht="15" hidden="false" customHeight="false" outlineLevel="0" collapsed="false">
      <c r="A3215" s="216"/>
      <c r="B3215" s="40"/>
      <c r="C3215" s="1161" t="s">
        <v>7133</v>
      </c>
      <c r="D3215" s="317" t="n">
        <v>2009</v>
      </c>
      <c r="E3215" s="912" t="n">
        <f aca="false">2021-D3215</f>
        <v>12</v>
      </c>
      <c r="F3215" s="1479" t="n">
        <v>745000</v>
      </c>
      <c r="G3215" s="1413" t="n">
        <v>0.1</v>
      </c>
      <c r="H3215" s="547" t="n">
        <f aca="false">E3215*F3215*G3215</f>
        <v>894000</v>
      </c>
      <c r="I3215" s="547" t="n">
        <f aca="false">F3215-H3215</f>
        <v>-149000</v>
      </c>
      <c r="J3215" s="547" t="n">
        <f aca="false">F3215*G3215</f>
        <v>74500</v>
      </c>
      <c r="K3215" s="1365" t="n">
        <f aca="false">J3215/1792.8</f>
        <v>41.5551093261937</v>
      </c>
      <c r="L3215" s="1484" t="n">
        <v>3</v>
      </c>
      <c r="M3215" s="819" t="n">
        <f aca="false">K3215*L3215/60</f>
        <v>2.07775546630968</v>
      </c>
    </row>
    <row r="3216" customFormat="false" ht="15" hidden="false" customHeight="false" outlineLevel="0" collapsed="false">
      <c r="A3216" s="216"/>
      <c r="B3216" s="40"/>
      <c r="C3216" s="1161" t="s">
        <v>7136</v>
      </c>
      <c r="D3216" s="317" t="n">
        <v>2012</v>
      </c>
      <c r="E3216" s="912" t="n">
        <f aca="false">2021-D3216</f>
        <v>9</v>
      </c>
      <c r="F3216" s="1479" t="n">
        <v>198900</v>
      </c>
      <c r="G3216" s="1413" t="n">
        <v>0.1</v>
      </c>
      <c r="H3216" s="547" t="n">
        <f aca="false">E3216*F3216*G3216</f>
        <v>179010</v>
      </c>
      <c r="I3216" s="547" t="n">
        <f aca="false">F3216-H3216</f>
        <v>19890</v>
      </c>
      <c r="J3216" s="547" t="n">
        <f aca="false">F3216*G3216</f>
        <v>19890</v>
      </c>
      <c r="K3216" s="1365" t="n">
        <f aca="false">J3216/1792.8</f>
        <v>11.0943775100402</v>
      </c>
      <c r="L3216" s="1484" t="n">
        <v>60</v>
      </c>
      <c r="M3216" s="819" t="n">
        <f aca="false">K3216*L3216/60</f>
        <v>11.0943775100402</v>
      </c>
    </row>
    <row r="3217" customFormat="false" ht="15" hidden="false" customHeight="false" outlineLevel="0" collapsed="false">
      <c r="A3217" s="216"/>
      <c r="B3217" s="40"/>
      <c r="C3217" s="40" t="s">
        <v>7134</v>
      </c>
      <c r="D3217" s="316" t="n">
        <v>2013</v>
      </c>
      <c r="E3217" s="912" t="n">
        <f aca="false">2021-D3217</f>
        <v>8</v>
      </c>
      <c r="F3217" s="1483" t="n">
        <v>237440</v>
      </c>
      <c r="G3217" s="1413" t="n">
        <v>0.1</v>
      </c>
      <c r="H3217" s="547" t="n">
        <f aca="false">E3217*F3217*G3217</f>
        <v>189952</v>
      </c>
      <c r="I3217" s="547" t="n">
        <f aca="false">F3217-H3217</f>
        <v>47488</v>
      </c>
      <c r="J3217" s="547" t="n">
        <f aca="false">F3217*G3217</f>
        <v>23744</v>
      </c>
      <c r="K3217" s="1365" t="n">
        <f aca="false">J3217/1792.8</f>
        <v>13.2440874609549</v>
      </c>
      <c r="L3217" s="1484" t="n">
        <v>30</v>
      </c>
      <c r="M3217" s="819" t="n">
        <f aca="false">K3217*L3217/60</f>
        <v>6.62204373047747</v>
      </c>
    </row>
    <row r="3218" customFormat="false" ht="15" hidden="false" customHeight="false" outlineLevel="0" collapsed="false">
      <c r="A3218" s="216"/>
      <c r="B3218" s="40"/>
      <c r="C3218" s="40" t="s">
        <v>7135</v>
      </c>
      <c r="D3218" s="316" t="n">
        <v>2009</v>
      </c>
      <c r="E3218" s="912" t="n">
        <f aca="false">2021-D3218</f>
        <v>12</v>
      </c>
      <c r="F3218" s="1483" t="n">
        <v>190000</v>
      </c>
      <c r="G3218" s="1413" t="n">
        <v>0.1</v>
      </c>
      <c r="H3218" s="547" t="n">
        <f aca="false">E3218*F3218*G3218</f>
        <v>228000</v>
      </c>
      <c r="I3218" s="547" t="n">
        <f aca="false">F3218-H3218</f>
        <v>-38000</v>
      </c>
      <c r="J3218" s="547" t="n">
        <f aca="false">F3218*G3218</f>
        <v>19000</v>
      </c>
      <c r="K3218" s="1365" t="n">
        <f aca="false">J3218/1792.8</f>
        <v>10.5979473449353</v>
      </c>
      <c r="L3218" s="1484"/>
      <c r="M3218" s="819" t="n">
        <f aca="false">K3218*L3218/60</f>
        <v>0</v>
      </c>
    </row>
    <row r="3219" customFormat="false" ht="15" hidden="false" customHeight="false" outlineLevel="0" collapsed="false">
      <c r="A3219" s="216"/>
      <c r="B3219" s="971" t="s">
        <v>4128</v>
      </c>
      <c r="C3219" s="40"/>
      <c r="D3219" s="316"/>
      <c r="E3219" s="912"/>
      <c r="F3219" s="1483"/>
      <c r="G3219" s="1413"/>
      <c r="H3219" s="547"/>
      <c r="I3219" s="547"/>
      <c r="J3219" s="547"/>
      <c r="K3219" s="1365" t="n">
        <f aca="false">J3219/1792.8</f>
        <v>0</v>
      </c>
      <c r="L3219" s="1484"/>
      <c r="M3219" s="934" t="n">
        <f aca="false">SUM(M3213:M3218)</f>
        <v>395.330786107393</v>
      </c>
    </row>
    <row r="3220" customFormat="false" ht="15" hidden="false" customHeight="false" outlineLevel="0" collapsed="false">
      <c r="A3220" s="216" t="s">
        <v>1758</v>
      </c>
      <c r="B3220" s="40" t="s">
        <v>3594</v>
      </c>
      <c r="C3220" s="1161" t="s">
        <v>7130</v>
      </c>
      <c r="D3220" s="317" t="n">
        <v>2010</v>
      </c>
      <c r="E3220" s="912" t="n">
        <f aca="false">2021-D3220</f>
        <v>11</v>
      </c>
      <c r="F3220" s="1479" t="n">
        <v>1835351</v>
      </c>
      <c r="G3220" s="1413" t="n">
        <v>0.1</v>
      </c>
      <c r="H3220" s="547" t="n">
        <f aca="false">E3220*F3220*G3220</f>
        <v>2018886.1</v>
      </c>
      <c r="I3220" s="547" t="n">
        <f aca="false">F3220-H3220</f>
        <v>-183535.1</v>
      </c>
      <c r="J3220" s="547" t="n">
        <f aca="false">F3220*G3220</f>
        <v>183535.1</v>
      </c>
      <c r="K3220" s="1365" t="n">
        <f aca="false">J3220/1792.8</f>
        <v>102.373438197233</v>
      </c>
      <c r="L3220" s="1480" t="n">
        <v>220</v>
      </c>
      <c r="M3220" s="819" t="n">
        <f aca="false">K3220*L3220/60</f>
        <v>375.369273389856</v>
      </c>
    </row>
    <row r="3221" customFormat="false" ht="15" hidden="false" customHeight="false" outlineLevel="0" collapsed="false">
      <c r="A3221" s="216"/>
      <c r="B3221" s="40"/>
      <c r="C3221" s="1161" t="s">
        <v>7131</v>
      </c>
      <c r="D3221" s="317" t="n">
        <v>2010</v>
      </c>
      <c r="E3221" s="912" t="n">
        <f aca="false">2021-D3221</f>
        <v>11</v>
      </c>
      <c r="F3221" s="1479" t="n">
        <v>90000</v>
      </c>
      <c r="G3221" s="1413" t="n">
        <v>0.1</v>
      </c>
      <c r="H3221" s="547" t="n">
        <f aca="false">E3221*F3221*G3221</f>
        <v>99000</v>
      </c>
      <c r="I3221" s="547" t="n">
        <f aca="false">F3221-H3221</f>
        <v>-9000</v>
      </c>
      <c r="J3221" s="547" t="n">
        <f aca="false">F3221*G3221</f>
        <v>9000</v>
      </c>
      <c r="K3221" s="1365" t="n">
        <f aca="false">J3221/1792.8</f>
        <v>5.02008032128514</v>
      </c>
      <c r="L3221" s="1480" t="n">
        <v>2</v>
      </c>
      <c r="M3221" s="819" t="n">
        <f aca="false">K3221*L3221/60</f>
        <v>0.167336010709505</v>
      </c>
    </row>
    <row r="3222" customFormat="false" ht="15" hidden="false" customHeight="false" outlineLevel="0" collapsed="false">
      <c r="A3222" s="216"/>
      <c r="B3222" s="40"/>
      <c r="C3222" s="1161" t="s">
        <v>7133</v>
      </c>
      <c r="D3222" s="317" t="n">
        <v>2009</v>
      </c>
      <c r="E3222" s="912" t="n">
        <f aca="false">2021-D3222</f>
        <v>12</v>
      </c>
      <c r="F3222" s="1479" t="n">
        <v>745000</v>
      </c>
      <c r="G3222" s="1413" t="n">
        <v>0.1</v>
      </c>
      <c r="H3222" s="547" t="n">
        <f aca="false">E3222*F3222*G3222</f>
        <v>894000</v>
      </c>
      <c r="I3222" s="547" t="n">
        <f aca="false">F3222-H3222</f>
        <v>-149000</v>
      </c>
      <c r="J3222" s="547" t="n">
        <f aca="false">F3222*G3222</f>
        <v>74500</v>
      </c>
      <c r="K3222" s="1365" t="n">
        <f aca="false">J3222/1792.8</f>
        <v>41.5551093261937</v>
      </c>
      <c r="L3222" s="1480" t="n">
        <v>5</v>
      </c>
      <c r="M3222" s="819" t="n">
        <f aca="false">K3222*L3222/60</f>
        <v>3.46292577718281</v>
      </c>
    </row>
    <row r="3223" customFormat="false" ht="15" hidden="false" customHeight="false" outlineLevel="0" collapsed="false">
      <c r="A3223" s="216"/>
      <c r="B3223" s="40"/>
      <c r="C3223" s="40" t="s">
        <v>7134</v>
      </c>
      <c r="D3223" s="316" t="n">
        <v>2013</v>
      </c>
      <c r="E3223" s="912" t="n">
        <f aca="false">2021-D3223</f>
        <v>8</v>
      </c>
      <c r="F3223" s="1483" t="n">
        <v>237440</v>
      </c>
      <c r="G3223" s="1413" t="n">
        <v>0.1</v>
      </c>
      <c r="H3223" s="547" t="n">
        <f aca="false">E3223*F3223*G3223</f>
        <v>189952</v>
      </c>
      <c r="I3223" s="547" t="n">
        <f aca="false">F3223-H3223</f>
        <v>47488</v>
      </c>
      <c r="J3223" s="547" t="n">
        <f aca="false">F3223*G3223</f>
        <v>23744</v>
      </c>
      <c r="K3223" s="1365" t="n">
        <f aca="false">J3223/1792.8</f>
        <v>13.2440874609549</v>
      </c>
      <c r="L3223" s="1480" t="n">
        <v>60</v>
      </c>
      <c r="M3223" s="819" t="n">
        <f aca="false">K3223*L3223/60</f>
        <v>13.2440874609549</v>
      </c>
    </row>
    <row r="3224" customFormat="false" ht="15" hidden="false" customHeight="false" outlineLevel="0" collapsed="false">
      <c r="A3224" s="216"/>
      <c r="B3224" s="40"/>
      <c r="C3224" s="1161" t="s">
        <v>7136</v>
      </c>
      <c r="D3224" s="317" t="n">
        <v>2012</v>
      </c>
      <c r="E3224" s="912" t="n">
        <f aca="false">2021-D3224</f>
        <v>9</v>
      </c>
      <c r="F3224" s="1479" t="n">
        <v>198900</v>
      </c>
      <c r="G3224" s="1413" t="n">
        <v>0.1</v>
      </c>
      <c r="H3224" s="547" t="n">
        <f aca="false">E3224*F3224*G3224</f>
        <v>179010</v>
      </c>
      <c r="I3224" s="547" t="n">
        <f aca="false">F3224-H3224</f>
        <v>19890</v>
      </c>
      <c r="J3224" s="547" t="n">
        <f aca="false">F3224*G3224</f>
        <v>19890</v>
      </c>
      <c r="K3224" s="1365" t="n">
        <f aca="false">J3224/1792.8</f>
        <v>11.0943775100402</v>
      </c>
      <c r="L3224" s="1480" t="n">
        <v>30</v>
      </c>
      <c r="M3224" s="819" t="n">
        <f aca="false">K3224*L3224/60</f>
        <v>5.54718875502008</v>
      </c>
    </row>
    <row r="3225" customFormat="false" ht="15" hidden="false" customHeight="false" outlineLevel="0" collapsed="false">
      <c r="A3225" s="216"/>
      <c r="B3225" s="40"/>
      <c r="C3225" s="40" t="s">
        <v>7138</v>
      </c>
      <c r="D3225" s="316" t="n">
        <v>2006</v>
      </c>
      <c r="E3225" s="912" t="n">
        <f aca="false">2021-D3225</f>
        <v>15</v>
      </c>
      <c r="F3225" s="1483" t="n">
        <v>67676</v>
      </c>
      <c r="G3225" s="1413" t="n">
        <v>0.1</v>
      </c>
      <c r="H3225" s="547" t="n">
        <f aca="false">E3225*F3225*G3225</f>
        <v>101514</v>
      </c>
      <c r="I3225" s="547" t="n">
        <f aca="false">F3225-H3225</f>
        <v>-33838</v>
      </c>
      <c r="J3225" s="547" t="n">
        <f aca="false">F3225*G3225</f>
        <v>6767.6</v>
      </c>
      <c r="K3225" s="1365" t="n">
        <f aca="false">J3225/1792.8</f>
        <v>3.77487728692548</v>
      </c>
      <c r="L3225" s="1480" t="n">
        <v>20</v>
      </c>
      <c r="M3225" s="819" t="n">
        <f aca="false">K3225*L3225/60</f>
        <v>1.25829242897516</v>
      </c>
    </row>
    <row r="3226" customFormat="false" ht="15" hidden="false" customHeight="false" outlineLevel="0" collapsed="false">
      <c r="A3226" s="216"/>
      <c r="B3226" s="40"/>
      <c r="C3226" s="40" t="s">
        <v>7135</v>
      </c>
      <c r="D3226" s="316" t="n">
        <v>2009</v>
      </c>
      <c r="E3226" s="912" t="n">
        <f aca="false">2021-D3226</f>
        <v>12</v>
      </c>
      <c r="F3226" s="1483" t="n">
        <v>190000</v>
      </c>
      <c r="G3226" s="1413" t="n">
        <v>0.1</v>
      </c>
      <c r="H3226" s="547" t="n">
        <f aca="false">E3226*F3226*G3226</f>
        <v>228000</v>
      </c>
      <c r="I3226" s="547" t="n">
        <f aca="false">F3226-H3226</f>
        <v>-38000</v>
      </c>
      <c r="J3226" s="547" t="n">
        <f aca="false">F3226*G3226</f>
        <v>19000</v>
      </c>
      <c r="K3226" s="1365" t="n">
        <f aca="false">J3226/1792.8</f>
        <v>10.5979473449353</v>
      </c>
      <c r="L3226" s="1480" t="n">
        <v>30</v>
      </c>
      <c r="M3226" s="819" t="n">
        <f aca="false">K3226*L3226/60</f>
        <v>5.29897367246765</v>
      </c>
    </row>
    <row r="3227" customFormat="false" ht="15" hidden="false" customHeight="false" outlineLevel="0" collapsed="false">
      <c r="A3227" s="216"/>
      <c r="B3227" s="971" t="s">
        <v>4128</v>
      </c>
      <c r="C3227" s="40"/>
      <c r="D3227" s="316"/>
      <c r="E3227" s="912"/>
      <c r="F3227" s="1483"/>
      <c r="G3227" s="1413"/>
      <c r="H3227" s="547"/>
      <c r="I3227" s="547"/>
      <c r="J3227" s="547"/>
      <c r="K3227" s="1365" t="n">
        <f aca="false">J3227/1792.8</f>
        <v>0</v>
      </c>
      <c r="L3227" s="1484"/>
      <c r="M3227" s="934" t="n">
        <f aca="false">SUM(M3220:M3226)</f>
        <v>404.348077495166</v>
      </c>
    </row>
    <row r="3228" customFormat="false" ht="15" hidden="false" customHeight="false" outlineLevel="0" collapsed="false">
      <c r="A3228" s="216" t="s">
        <v>1759</v>
      </c>
      <c r="B3228" s="40" t="s">
        <v>3595</v>
      </c>
      <c r="C3228" s="1161" t="s">
        <v>7130</v>
      </c>
      <c r="D3228" s="317" t="n">
        <v>2010</v>
      </c>
      <c r="E3228" s="912" t="n">
        <f aca="false">2021-D3228</f>
        <v>11</v>
      </c>
      <c r="F3228" s="1479" t="n">
        <v>1835351</v>
      </c>
      <c r="G3228" s="1413" t="n">
        <v>0.1</v>
      </c>
      <c r="H3228" s="547" t="n">
        <f aca="false">E3228*F3228*G3228</f>
        <v>2018886.1</v>
      </c>
      <c r="I3228" s="547" t="n">
        <f aca="false">F3228-H3228</f>
        <v>-183535.1</v>
      </c>
      <c r="J3228" s="547" t="n">
        <f aca="false">F3228*G3228</f>
        <v>183535.1</v>
      </c>
      <c r="K3228" s="1365" t="n">
        <f aca="false">J3228/1792.8</f>
        <v>102.373438197233</v>
      </c>
      <c r="L3228" s="1480" t="n">
        <v>220</v>
      </c>
      <c r="M3228" s="819" t="n">
        <f aca="false">K3228*L3228/60</f>
        <v>375.369273389856</v>
      </c>
    </row>
    <row r="3229" customFormat="false" ht="15" hidden="false" customHeight="false" outlineLevel="0" collapsed="false">
      <c r="A3229" s="216"/>
      <c r="B3229" s="40"/>
      <c r="C3229" s="1161" t="s">
        <v>7131</v>
      </c>
      <c r="D3229" s="317" t="n">
        <v>2010</v>
      </c>
      <c r="E3229" s="912" t="n">
        <f aca="false">2021-D3229</f>
        <v>11</v>
      </c>
      <c r="F3229" s="1479" t="n">
        <v>90000</v>
      </c>
      <c r="G3229" s="1413" t="n">
        <v>0.1</v>
      </c>
      <c r="H3229" s="547" t="n">
        <f aca="false">E3229*F3229*G3229</f>
        <v>99000</v>
      </c>
      <c r="I3229" s="547" t="n">
        <f aca="false">F3229-H3229</f>
        <v>-9000</v>
      </c>
      <c r="J3229" s="547" t="n">
        <f aca="false">F3229*G3229</f>
        <v>9000</v>
      </c>
      <c r="K3229" s="1365" t="n">
        <f aca="false">J3229/1792.8</f>
        <v>5.02008032128514</v>
      </c>
      <c r="L3229" s="1480" t="n">
        <v>2</v>
      </c>
      <c r="M3229" s="819" t="n">
        <f aca="false">K3229*L3229/60</f>
        <v>0.167336010709505</v>
      </c>
    </row>
    <row r="3230" customFormat="false" ht="15" hidden="false" customHeight="false" outlineLevel="0" collapsed="false">
      <c r="A3230" s="216"/>
      <c r="B3230" s="40"/>
      <c r="C3230" s="1161" t="s">
        <v>7133</v>
      </c>
      <c r="D3230" s="317" t="n">
        <v>2009</v>
      </c>
      <c r="E3230" s="912" t="n">
        <f aca="false">2021-D3230</f>
        <v>12</v>
      </c>
      <c r="F3230" s="1479" t="n">
        <v>745000</v>
      </c>
      <c r="G3230" s="1413" t="n">
        <v>0.1</v>
      </c>
      <c r="H3230" s="547" t="n">
        <f aca="false">E3230*F3230*G3230</f>
        <v>894000</v>
      </c>
      <c r="I3230" s="547" t="n">
        <f aca="false">F3230-H3230</f>
        <v>-149000</v>
      </c>
      <c r="J3230" s="547" t="n">
        <f aca="false">F3230*G3230</f>
        <v>74500</v>
      </c>
      <c r="K3230" s="1365" t="n">
        <f aca="false">J3230/1792.8</f>
        <v>41.5551093261937</v>
      </c>
      <c r="L3230" s="1480" t="n">
        <v>5</v>
      </c>
      <c r="M3230" s="819" t="n">
        <f aca="false">K3230*L3230/60</f>
        <v>3.46292577718281</v>
      </c>
    </row>
    <row r="3231" customFormat="false" ht="15" hidden="false" customHeight="false" outlineLevel="0" collapsed="false">
      <c r="A3231" s="216"/>
      <c r="B3231" s="40"/>
      <c r="C3231" s="40" t="s">
        <v>7134</v>
      </c>
      <c r="D3231" s="316" t="n">
        <v>2013</v>
      </c>
      <c r="E3231" s="912" t="n">
        <f aca="false">2021-D3231</f>
        <v>8</v>
      </c>
      <c r="F3231" s="1483" t="n">
        <v>237440</v>
      </c>
      <c r="G3231" s="1413" t="n">
        <v>0.1</v>
      </c>
      <c r="H3231" s="547" t="n">
        <f aca="false">E3231*F3231*G3231</f>
        <v>189952</v>
      </c>
      <c r="I3231" s="547" t="n">
        <f aca="false">F3231-H3231</f>
        <v>47488</v>
      </c>
      <c r="J3231" s="547" t="n">
        <f aca="false">F3231*G3231</f>
        <v>23744</v>
      </c>
      <c r="K3231" s="1365" t="n">
        <f aca="false">J3231/1792.8</f>
        <v>13.2440874609549</v>
      </c>
      <c r="L3231" s="1480" t="n">
        <v>60</v>
      </c>
      <c r="M3231" s="819" t="n">
        <f aca="false">K3231*L3231/60</f>
        <v>13.2440874609549</v>
      </c>
    </row>
    <row r="3232" customFormat="false" ht="15" hidden="false" customHeight="false" outlineLevel="0" collapsed="false">
      <c r="A3232" s="216"/>
      <c r="B3232" s="40"/>
      <c r="C3232" s="1161" t="s">
        <v>7136</v>
      </c>
      <c r="D3232" s="317" t="n">
        <v>2012</v>
      </c>
      <c r="E3232" s="912" t="n">
        <f aca="false">2021-D3232</f>
        <v>9</v>
      </c>
      <c r="F3232" s="1479" t="n">
        <v>198900</v>
      </c>
      <c r="G3232" s="1413" t="n">
        <v>0.1</v>
      </c>
      <c r="H3232" s="547" t="n">
        <f aca="false">E3232*F3232*G3232</f>
        <v>179010</v>
      </c>
      <c r="I3232" s="547" t="n">
        <f aca="false">F3232-H3232</f>
        <v>19890</v>
      </c>
      <c r="J3232" s="547" t="n">
        <f aca="false">F3232*G3232</f>
        <v>19890</v>
      </c>
      <c r="K3232" s="1365" t="n">
        <f aca="false">J3232/1792.8</f>
        <v>11.0943775100402</v>
      </c>
      <c r="L3232" s="1480" t="n">
        <v>30</v>
      </c>
      <c r="M3232" s="819" t="n">
        <f aca="false">K3232*L3232/60</f>
        <v>5.54718875502008</v>
      </c>
    </row>
    <row r="3233" customFormat="false" ht="15" hidden="false" customHeight="false" outlineLevel="0" collapsed="false">
      <c r="A3233" s="216"/>
      <c r="B3233" s="40"/>
      <c r="C3233" s="40" t="s">
        <v>7138</v>
      </c>
      <c r="D3233" s="316" t="n">
        <v>2006</v>
      </c>
      <c r="E3233" s="912" t="n">
        <f aca="false">2021-D3233</f>
        <v>15</v>
      </c>
      <c r="F3233" s="1483" t="n">
        <v>67676</v>
      </c>
      <c r="G3233" s="1413" t="n">
        <v>0.1</v>
      </c>
      <c r="H3233" s="547" t="n">
        <f aca="false">E3233*F3233*G3233</f>
        <v>101514</v>
      </c>
      <c r="I3233" s="547" t="n">
        <f aca="false">F3233-H3233</f>
        <v>-33838</v>
      </c>
      <c r="J3233" s="547" t="n">
        <f aca="false">F3233*G3233</f>
        <v>6767.6</v>
      </c>
      <c r="K3233" s="1365" t="n">
        <f aca="false">J3233/1792.8</f>
        <v>3.77487728692548</v>
      </c>
      <c r="L3233" s="1480" t="n">
        <v>20</v>
      </c>
      <c r="M3233" s="819" t="n">
        <f aca="false">K3233*L3233/60</f>
        <v>1.25829242897516</v>
      </c>
    </row>
    <row r="3234" customFormat="false" ht="15" hidden="false" customHeight="false" outlineLevel="0" collapsed="false">
      <c r="A3234" s="216"/>
      <c r="B3234" s="40"/>
      <c r="C3234" s="40" t="s">
        <v>7135</v>
      </c>
      <c r="D3234" s="316" t="n">
        <v>2009</v>
      </c>
      <c r="E3234" s="912" t="n">
        <f aca="false">2021-D3234</f>
        <v>12</v>
      </c>
      <c r="F3234" s="1483" t="n">
        <v>190000</v>
      </c>
      <c r="G3234" s="1413" t="n">
        <v>0.1</v>
      </c>
      <c r="H3234" s="547" t="n">
        <f aca="false">E3234*F3234*G3234</f>
        <v>228000</v>
      </c>
      <c r="I3234" s="547" t="n">
        <f aca="false">F3234-H3234</f>
        <v>-38000</v>
      </c>
      <c r="J3234" s="547" t="n">
        <f aca="false">F3234*G3234</f>
        <v>19000</v>
      </c>
      <c r="K3234" s="1365" t="n">
        <f aca="false">J3234/1792.8</f>
        <v>10.5979473449353</v>
      </c>
      <c r="L3234" s="1480" t="n">
        <v>30</v>
      </c>
      <c r="M3234" s="819" t="n">
        <f aca="false">K3234*L3234/60</f>
        <v>5.29897367246765</v>
      </c>
    </row>
    <row r="3235" customFormat="false" ht="15" hidden="false" customHeight="false" outlineLevel="0" collapsed="false">
      <c r="A3235" s="216"/>
      <c r="B3235" s="971" t="s">
        <v>4128</v>
      </c>
      <c r="C3235" s="40"/>
      <c r="D3235" s="316"/>
      <c r="E3235" s="912"/>
      <c r="F3235" s="1483"/>
      <c r="G3235" s="1413"/>
      <c r="H3235" s="547"/>
      <c r="I3235" s="547"/>
      <c r="J3235" s="547"/>
      <c r="K3235" s="1365" t="n">
        <f aca="false">J3235/1792.8</f>
        <v>0</v>
      </c>
      <c r="L3235" s="1484"/>
      <c r="M3235" s="934" t="n">
        <f aca="false">SUM(M3228:M3234)</f>
        <v>404.348077495166</v>
      </c>
    </row>
    <row r="3236" customFormat="false" ht="30" hidden="false" customHeight="false" outlineLevel="0" collapsed="false">
      <c r="A3236" s="216" t="s">
        <v>1760</v>
      </c>
      <c r="B3236" s="40" t="s">
        <v>3617</v>
      </c>
      <c r="C3236" s="1161" t="s">
        <v>7145</v>
      </c>
      <c r="D3236" s="317" t="n">
        <v>2014</v>
      </c>
      <c r="E3236" s="912" t="n">
        <f aca="false">2021-D3236</f>
        <v>7</v>
      </c>
      <c r="F3236" s="1479" t="n">
        <v>566496</v>
      </c>
      <c r="G3236" s="1413" t="n">
        <v>0.1</v>
      </c>
      <c r="H3236" s="547" t="n">
        <f aca="false">E3236*F3236*G3236</f>
        <v>396547.2</v>
      </c>
      <c r="I3236" s="547" t="n">
        <f aca="false">F3236-H3236</f>
        <v>169948.8</v>
      </c>
      <c r="J3236" s="547" t="n">
        <f aca="false">F3236*G3236</f>
        <v>56649.6</v>
      </c>
      <c r="K3236" s="1365" t="n">
        <f aca="false">J3236/1792.8</f>
        <v>31.5983935742972</v>
      </c>
      <c r="L3236" s="1484" t="n">
        <v>40</v>
      </c>
      <c r="M3236" s="819" t="n">
        <f aca="false">K3236*L3236/60</f>
        <v>21.0655957161981</v>
      </c>
    </row>
    <row r="3237" customFormat="false" ht="15" hidden="false" customHeight="false" outlineLevel="0" collapsed="false">
      <c r="A3237" s="216"/>
      <c r="B3237" s="78"/>
      <c r="C3237" s="1161" t="s">
        <v>7136</v>
      </c>
      <c r="D3237" s="317" t="n">
        <v>2012</v>
      </c>
      <c r="E3237" s="912" t="n">
        <f aca="false">2021-D3237</f>
        <v>9</v>
      </c>
      <c r="F3237" s="1479" t="n">
        <v>198900</v>
      </c>
      <c r="G3237" s="1413" t="n">
        <v>0.1</v>
      </c>
      <c r="H3237" s="547" t="n">
        <f aca="false">E3237*F3237*G3237</f>
        <v>179010</v>
      </c>
      <c r="I3237" s="547" t="n">
        <f aca="false">F3237-H3237</f>
        <v>19890</v>
      </c>
      <c r="J3237" s="547" t="n">
        <f aca="false">F3237*G3237</f>
        <v>19890</v>
      </c>
      <c r="K3237" s="1365" t="n">
        <f aca="false">J3237/1792.8</f>
        <v>11.0943775100402</v>
      </c>
      <c r="L3237" s="1484" t="n">
        <v>30</v>
      </c>
      <c r="M3237" s="819" t="n">
        <f aca="false">K3237*L3237/60</f>
        <v>5.54718875502008</v>
      </c>
    </row>
    <row r="3238" customFormat="false" ht="15" hidden="false" customHeight="false" outlineLevel="0" collapsed="false">
      <c r="A3238" s="216"/>
      <c r="B3238" s="78"/>
      <c r="C3238" s="40" t="s">
        <v>7138</v>
      </c>
      <c r="D3238" s="316" t="n">
        <v>2006</v>
      </c>
      <c r="E3238" s="912" t="n">
        <f aca="false">2021-D3238</f>
        <v>15</v>
      </c>
      <c r="F3238" s="1483" t="n">
        <v>67676</v>
      </c>
      <c r="G3238" s="1413" t="n">
        <v>0.1</v>
      </c>
      <c r="H3238" s="547" t="n">
        <f aca="false">E3238*F3238*G3238</f>
        <v>101514</v>
      </c>
      <c r="I3238" s="547" t="n">
        <f aca="false">F3238-H3238</f>
        <v>-33838</v>
      </c>
      <c r="J3238" s="547" t="n">
        <f aca="false">F3238*G3238</f>
        <v>6767.6</v>
      </c>
      <c r="K3238" s="1365" t="n">
        <f aca="false">J3238/1792.8</f>
        <v>3.77487728692548</v>
      </c>
      <c r="L3238" s="1484" t="n">
        <v>20</v>
      </c>
      <c r="M3238" s="819" t="n">
        <f aca="false">K3238*L3238/60</f>
        <v>1.25829242897516</v>
      </c>
    </row>
    <row r="3239" customFormat="false" ht="15" hidden="false" customHeight="false" outlineLevel="0" collapsed="false">
      <c r="A3239" s="216"/>
      <c r="B3239" s="78"/>
      <c r="C3239" s="40" t="s">
        <v>7135</v>
      </c>
      <c r="D3239" s="316" t="n">
        <v>2009</v>
      </c>
      <c r="E3239" s="912" t="n">
        <f aca="false">2021-D3239</f>
        <v>12</v>
      </c>
      <c r="F3239" s="1483" t="n">
        <v>190000</v>
      </c>
      <c r="G3239" s="1413" t="n">
        <v>0.1</v>
      </c>
      <c r="H3239" s="547" t="n">
        <f aca="false">E3239*F3239*G3239</f>
        <v>228000</v>
      </c>
      <c r="I3239" s="547" t="n">
        <f aca="false">F3239-H3239</f>
        <v>-38000</v>
      </c>
      <c r="J3239" s="547" t="n">
        <f aca="false">F3239*G3239</f>
        <v>19000</v>
      </c>
      <c r="K3239" s="1365" t="n">
        <f aca="false">J3239/1792.8</f>
        <v>10.5979473449353</v>
      </c>
      <c r="L3239" s="1484" t="n">
        <v>40</v>
      </c>
      <c r="M3239" s="819" t="n">
        <f aca="false">K3239*L3239/60</f>
        <v>7.06529822995687</v>
      </c>
    </row>
    <row r="3240" customFormat="false" ht="15" hidden="false" customHeight="false" outlineLevel="0" collapsed="false">
      <c r="A3240" s="216"/>
      <c r="B3240" s="971" t="s">
        <v>4128</v>
      </c>
      <c r="C3240" s="40"/>
      <c r="D3240" s="316"/>
      <c r="E3240" s="912"/>
      <c r="F3240" s="1483"/>
      <c r="G3240" s="1413"/>
      <c r="H3240" s="547"/>
      <c r="I3240" s="547"/>
      <c r="J3240" s="547"/>
      <c r="K3240" s="1365" t="n">
        <f aca="false">J3240/1792.8</f>
        <v>0</v>
      </c>
      <c r="L3240" s="1484"/>
      <c r="M3240" s="934" t="n">
        <f aca="false">SUM(M3236:M3239)</f>
        <v>34.9363751301502</v>
      </c>
    </row>
    <row r="3241" customFormat="false" ht="15" hidden="false" customHeight="false" outlineLevel="0" collapsed="false">
      <c r="A3241" s="216" t="s">
        <v>1762</v>
      </c>
      <c r="B3241" s="40" t="s">
        <v>3618</v>
      </c>
      <c r="C3241" s="1161" t="s">
        <v>7130</v>
      </c>
      <c r="D3241" s="317" t="n">
        <v>2010</v>
      </c>
      <c r="E3241" s="912" t="n">
        <f aca="false">2021-D3241</f>
        <v>11</v>
      </c>
      <c r="F3241" s="1479" t="n">
        <v>1835351</v>
      </c>
      <c r="G3241" s="1413" t="n">
        <v>0.1</v>
      </c>
      <c r="H3241" s="547" t="n">
        <f aca="false">E3241*F3241*G3241</f>
        <v>2018886.1</v>
      </c>
      <c r="I3241" s="547" t="n">
        <f aca="false">F3241-H3241</f>
        <v>-183535.1</v>
      </c>
      <c r="J3241" s="547" t="n">
        <f aca="false">F3241*G3241</f>
        <v>183535.1</v>
      </c>
      <c r="K3241" s="1365" t="n">
        <f aca="false">J3241/1792.8</f>
        <v>102.373438197233</v>
      </c>
      <c r="L3241" s="1480" t="n">
        <v>220</v>
      </c>
      <c r="M3241" s="819" t="n">
        <f aca="false">K3241*L3241/60</f>
        <v>375.369273389856</v>
      </c>
    </row>
    <row r="3242" customFormat="false" ht="15" hidden="false" customHeight="false" outlineLevel="0" collapsed="false">
      <c r="A3242" s="216"/>
      <c r="B3242" s="40"/>
      <c r="C3242" s="1161" t="s">
        <v>7131</v>
      </c>
      <c r="D3242" s="317" t="n">
        <v>2010</v>
      </c>
      <c r="E3242" s="912" t="n">
        <f aca="false">2021-D3242</f>
        <v>11</v>
      </c>
      <c r="F3242" s="1479" t="n">
        <v>90000</v>
      </c>
      <c r="G3242" s="1413" t="n">
        <v>0.1</v>
      </c>
      <c r="H3242" s="547" t="n">
        <f aca="false">E3242*F3242*G3242</f>
        <v>99000</v>
      </c>
      <c r="I3242" s="547" t="n">
        <f aca="false">F3242-H3242</f>
        <v>-9000</v>
      </c>
      <c r="J3242" s="547" t="n">
        <f aca="false">F3242*G3242</f>
        <v>9000</v>
      </c>
      <c r="K3242" s="1365" t="n">
        <f aca="false">J3242/1792.8</f>
        <v>5.02008032128514</v>
      </c>
      <c r="L3242" s="1480" t="n">
        <v>2</v>
      </c>
      <c r="M3242" s="819" t="n">
        <f aca="false">K3242*L3242/60</f>
        <v>0.167336010709505</v>
      </c>
    </row>
    <row r="3243" customFormat="false" ht="15" hidden="false" customHeight="false" outlineLevel="0" collapsed="false">
      <c r="A3243" s="216"/>
      <c r="B3243" s="40"/>
      <c r="C3243" s="1161" t="s">
        <v>7133</v>
      </c>
      <c r="D3243" s="317" t="n">
        <v>2009</v>
      </c>
      <c r="E3243" s="912" t="n">
        <f aca="false">2021-D3243</f>
        <v>12</v>
      </c>
      <c r="F3243" s="1479" t="n">
        <v>745000</v>
      </c>
      <c r="G3243" s="1413" t="n">
        <v>0.1</v>
      </c>
      <c r="H3243" s="547" t="n">
        <f aca="false">E3243*F3243*G3243</f>
        <v>894000</v>
      </c>
      <c r="I3243" s="547" t="n">
        <f aca="false">F3243-H3243</f>
        <v>-149000</v>
      </c>
      <c r="J3243" s="547" t="n">
        <f aca="false">F3243*G3243</f>
        <v>74500</v>
      </c>
      <c r="K3243" s="1365" t="n">
        <f aca="false">J3243/1792.8</f>
        <v>41.5551093261937</v>
      </c>
      <c r="L3243" s="1480" t="n">
        <v>5</v>
      </c>
      <c r="M3243" s="819" t="n">
        <f aca="false">K3243*L3243/60</f>
        <v>3.46292577718281</v>
      </c>
    </row>
    <row r="3244" customFormat="false" ht="15" hidden="false" customHeight="false" outlineLevel="0" collapsed="false">
      <c r="A3244" s="216"/>
      <c r="B3244" s="40"/>
      <c r="C3244" s="40" t="s">
        <v>7134</v>
      </c>
      <c r="D3244" s="316" t="n">
        <v>2013</v>
      </c>
      <c r="E3244" s="912" t="n">
        <f aca="false">2021-D3244</f>
        <v>8</v>
      </c>
      <c r="F3244" s="1483" t="n">
        <v>237440</v>
      </c>
      <c r="G3244" s="1413" t="n">
        <v>0.1</v>
      </c>
      <c r="H3244" s="547" t="n">
        <f aca="false">E3244*F3244*G3244</f>
        <v>189952</v>
      </c>
      <c r="I3244" s="547" t="n">
        <f aca="false">F3244-H3244</f>
        <v>47488</v>
      </c>
      <c r="J3244" s="547" t="n">
        <f aca="false">F3244*G3244</f>
        <v>23744</v>
      </c>
      <c r="K3244" s="1365" t="n">
        <f aca="false">J3244/1792.8</f>
        <v>13.2440874609549</v>
      </c>
      <c r="L3244" s="1480" t="n">
        <v>60</v>
      </c>
      <c r="M3244" s="819" t="n">
        <f aca="false">K3244*L3244/60</f>
        <v>13.2440874609549</v>
      </c>
    </row>
    <row r="3245" customFormat="false" ht="15" hidden="false" customHeight="false" outlineLevel="0" collapsed="false">
      <c r="A3245" s="216"/>
      <c r="B3245" s="40"/>
      <c r="C3245" s="1161" t="s">
        <v>7136</v>
      </c>
      <c r="D3245" s="317" t="n">
        <v>2012</v>
      </c>
      <c r="E3245" s="912" t="n">
        <f aca="false">2021-D3245</f>
        <v>9</v>
      </c>
      <c r="F3245" s="1479" t="n">
        <v>198900</v>
      </c>
      <c r="G3245" s="1413" t="n">
        <v>0.1</v>
      </c>
      <c r="H3245" s="547" t="n">
        <f aca="false">E3245*F3245*G3245</f>
        <v>179010</v>
      </c>
      <c r="I3245" s="547" t="n">
        <f aca="false">F3245-H3245</f>
        <v>19890</v>
      </c>
      <c r="J3245" s="547" t="n">
        <f aca="false">F3245*G3245</f>
        <v>19890</v>
      </c>
      <c r="K3245" s="1365" t="n">
        <f aca="false">J3245/1792.8</f>
        <v>11.0943775100402</v>
      </c>
      <c r="L3245" s="1480" t="n">
        <v>30</v>
      </c>
      <c r="M3245" s="819" t="n">
        <f aca="false">K3245*L3245/60</f>
        <v>5.54718875502008</v>
      </c>
    </row>
    <row r="3246" customFormat="false" ht="15" hidden="false" customHeight="false" outlineLevel="0" collapsed="false">
      <c r="A3246" s="216"/>
      <c r="B3246" s="40"/>
      <c r="C3246" s="40" t="s">
        <v>7138</v>
      </c>
      <c r="D3246" s="316" t="n">
        <v>2006</v>
      </c>
      <c r="E3246" s="912" t="n">
        <f aca="false">2021-D3246</f>
        <v>15</v>
      </c>
      <c r="F3246" s="1483" t="n">
        <v>67676</v>
      </c>
      <c r="G3246" s="1413" t="n">
        <v>0.1</v>
      </c>
      <c r="H3246" s="547" t="n">
        <f aca="false">E3246*F3246*G3246</f>
        <v>101514</v>
      </c>
      <c r="I3246" s="547" t="n">
        <f aca="false">F3246-H3246</f>
        <v>-33838</v>
      </c>
      <c r="J3246" s="547" t="n">
        <f aca="false">F3246*G3246</f>
        <v>6767.6</v>
      </c>
      <c r="K3246" s="1365" t="n">
        <f aca="false">J3246/1792.8</f>
        <v>3.77487728692548</v>
      </c>
      <c r="L3246" s="1480" t="n">
        <v>20</v>
      </c>
      <c r="M3246" s="819" t="n">
        <f aca="false">K3246*L3246/60</f>
        <v>1.25829242897516</v>
      </c>
    </row>
    <row r="3247" customFormat="false" ht="15" hidden="false" customHeight="false" outlineLevel="0" collapsed="false">
      <c r="A3247" s="216"/>
      <c r="B3247" s="40"/>
      <c r="C3247" s="40" t="s">
        <v>7135</v>
      </c>
      <c r="D3247" s="316" t="n">
        <v>2009</v>
      </c>
      <c r="E3247" s="912" t="n">
        <f aca="false">2021-D3247</f>
        <v>12</v>
      </c>
      <c r="F3247" s="1483" t="n">
        <v>190000</v>
      </c>
      <c r="G3247" s="1413" t="n">
        <v>0.1</v>
      </c>
      <c r="H3247" s="547" t="n">
        <f aca="false">E3247*F3247*G3247</f>
        <v>228000</v>
      </c>
      <c r="I3247" s="547" t="n">
        <f aca="false">F3247-H3247</f>
        <v>-38000</v>
      </c>
      <c r="J3247" s="547" t="n">
        <f aca="false">F3247*G3247</f>
        <v>19000</v>
      </c>
      <c r="K3247" s="1365" t="n">
        <f aca="false">J3247/1792.8</f>
        <v>10.5979473449353</v>
      </c>
      <c r="L3247" s="1480" t="n">
        <v>30</v>
      </c>
      <c r="M3247" s="819" t="n">
        <f aca="false">K3247*L3247/60</f>
        <v>5.29897367246765</v>
      </c>
    </row>
    <row r="3248" customFormat="false" ht="15" hidden="false" customHeight="false" outlineLevel="0" collapsed="false">
      <c r="A3248" s="216"/>
      <c r="B3248" s="971" t="s">
        <v>4128</v>
      </c>
      <c r="C3248" s="40"/>
      <c r="D3248" s="316"/>
      <c r="E3248" s="912"/>
      <c r="F3248" s="1483"/>
      <c r="G3248" s="1413"/>
      <c r="H3248" s="547"/>
      <c r="I3248" s="547"/>
      <c r="J3248" s="547"/>
      <c r="K3248" s="1365" t="n">
        <f aca="false">J3248/1792.8</f>
        <v>0</v>
      </c>
      <c r="L3248" s="1484"/>
      <c r="M3248" s="934" t="n">
        <f aca="false">SUM(M3241:M3247)</f>
        <v>404.348077495166</v>
      </c>
    </row>
    <row r="3249" customFormat="false" ht="15" hidden="false" customHeight="false" outlineLevel="0" collapsed="false">
      <c r="A3249" s="216" t="s">
        <v>1764</v>
      </c>
      <c r="B3249" s="40" t="s">
        <v>3619</v>
      </c>
      <c r="C3249" s="1161" t="s">
        <v>7130</v>
      </c>
      <c r="D3249" s="317" t="n">
        <v>2010</v>
      </c>
      <c r="E3249" s="912" t="n">
        <f aca="false">2021-D3249</f>
        <v>11</v>
      </c>
      <c r="F3249" s="1479" t="n">
        <v>1835351</v>
      </c>
      <c r="G3249" s="1413" t="n">
        <v>0.1</v>
      </c>
      <c r="H3249" s="547" t="n">
        <f aca="false">E3249*F3249*G3249</f>
        <v>2018886.1</v>
      </c>
      <c r="I3249" s="547" t="n">
        <f aca="false">F3249-H3249</f>
        <v>-183535.1</v>
      </c>
      <c r="J3249" s="547" t="n">
        <f aca="false">F3249*G3249</f>
        <v>183535.1</v>
      </c>
      <c r="K3249" s="1365" t="n">
        <f aca="false">J3249/1792.8</f>
        <v>102.373438197233</v>
      </c>
      <c r="L3249" s="1480" t="n">
        <v>220</v>
      </c>
      <c r="M3249" s="819" t="n">
        <f aca="false">K3249*L3249/60</f>
        <v>375.369273389856</v>
      </c>
    </row>
    <row r="3250" customFormat="false" ht="15" hidden="false" customHeight="false" outlineLevel="0" collapsed="false">
      <c r="A3250" s="216"/>
      <c r="B3250" s="40"/>
      <c r="C3250" s="1161" t="s">
        <v>7131</v>
      </c>
      <c r="D3250" s="317" t="n">
        <v>2010</v>
      </c>
      <c r="E3250" s="912" t="n">
        <f aca="false">2021-D3250</f>
        <v>11</v>
      </c>
      <c r="F3250" s="1479" t="n">
        <v>90000</v>
      </c>
      <c r="G3250" s="1413" t="n">
        <v>0.1</v>
      </c>
      <c r="H3250" s="547" t="n">
        <f aca="false">E3250*F3250*G3250</f>
        <v>99000</v>
      </c>
      <c r="I3250" s="547" t="n">
        <f aca="false">F3250-H3250</f>
        <v>-9000</v>
      </c>
      <c r="J3250" s="547" t="n">
        <f aca="false">F3250*G3250</f>
        <v>9000</v>
      </c>
      <c r="K3250" s="1365" t="n">
        <f aca="false">J3250/1792.8</f>
        <v>5.02008032128514</v>
      </c>
      <c r="L3250" s="1480" t="n">
        <v>2</v>
      </c>
      <c r="M3250" s="819" t="n">
        <f aca="false">K3250*L3250/60</f>
        <v>0.167336010709505</v>
      </c>
    </row>
    <row r="3251" customFormat="false" ht="15" hidden="false" customHeight="false" outlineLevel="0" collapsed="false">
      <c r="A3251" s="216"/>
      <c r="B3251" s="40"/>
      <c r="C3251" s="1161" t="s">
        <v>7133</v>
      </c>
      <c r="D3251" s="317" t="n">
        <v>2009</v>
      </c>
      <c r="E3251" s="912" t="n">
        <f aca="false">2021-D3251</f>
        <v>12</v>
      </c>
      <c r="F3251" s="1479" t="n">
        <v>745000</v>
      </c>
      <c r="G3251" s="1413" t="n">
        <v>0.1</v>
      </c>
      <c r="H3251" s="547" t="n">
        <f aca="false">E3251*F3251*G3251</f>
        <v>894000</v>
      </c>
      <c r="I3251" s="547" t="n">
        <f aca="false">F3251-H3251</f>
        <v>-149000</v>
      </c>
      <c r="J3251" s="547" t="n">
        <f aca="false">F3251*G3251</f>
        <v>74500</v>
      </c>
      <c r="K3251" s="1365" t="n">
        <f aca="false">J3251/1792.8</f>
        <v>41.5551093261937</v>
      </c>
      <c r="L3251" s="1480" t="n">
        <v>5</v>
      </c>
      <c r="M3251" s="819" t="n">
        <f aca="false">K3251*L3251/60</f>
        <v>3.46292577718281</v>
      </c>
    </row>
    <row r="3252" customFormat="false" ht="15" hidden="false" customHeight="false" outlineLevel="0" collapsed="false">
      <c r="A3252" s="216"/>
      <c r="B3252" s="40"/>
      <c r="C3252" s="40" t="s">
        <v>7134</v>
      </c>
      <c r="D3252" s="316" t="n">
        <v>2013</v>
      </c>
      <c r="E3252" s="912" t="n">
        <f aca="false">2021-D3252</f>
        <v>8</v>
      </c>
      <c r="F3252" s="1483" t="n">
        <v>237440</v>
      </c>
      <c r="G3252" s="1413" t="n">
        <v>0.1</v>
      </c>
      <c r="H3252" s="547" t="n">
        <f aca="false">E3252*F3252*G3252</f>
        <v>189952</v>
      </c>
      <c r="I3252" s="547" t="n">
        <f aca="false">F3252-H3252</f>
        <v>47488</v>
      </c>
      <c r="J3252" s="547" t="n">
        <f aca="false">F3252*G3252</f>
        <v>23744</v>
      </c>
      <c r="K3252" s="1365" t="n">
        <f aca="false">J3252/1792.8</f>
        <v>13.2440874609549</v>
      </c>
      <c r="L3252" s="1480" t="n">
        <v>60</v>
      </c>
      <c r="M3252" s="819" t="n">
        <f aca="false">K3252*L3252/60</f>
        <v>13.2440874609549</v>
      </c>
    </row>
    <row r="3253" customFormat="false" ht="15" hidden="false" customHeight="false" outlineLevel="0" collapsed="false">
      <c r="A3253" s="216"/>
      <c r="B3253" s="40"/>
      <c r="C3253" s="1161" t="s">
        <v>7136</v>
      </c>
      <c r="D3253" s="317" t="n">
        <v>2012</v>
      </c>
      <c r="E3253" s="912" t="n">
        <f aca="false">2021-D3253</f>
        <v>9</v>
      </c>
      <c r="F3253" s="1479" t="n">
        <v>198900</v>
      </c>
      <c r="G3253" s="1413" t="n">
        <v>0.1</v>
      </c>
      <c r="H3253" s="547" t="n">
        <f aca="false">E3253*F3253*G3253</f>
        <v>179010</v>
      </c>
      <c r="I3253" s="547" t="n">
        <f aca="false">F3253-H3253</f>
        <v>19890</v>
      </c>
      <c r="J3253" s="547" t="n">
        <f aca="false">F3253*G3253</f>
        <v>19890</v>
      </c>
      <c r="K3253" s="1365" t="n">
        <f aca="false">J3253/1792.8</f>
        <v>11.0943775100402</v>
      </c>
      <c r="L3253" s="1480" t="n">
        <v>30</v>
      </c>
      <c r="M3253" s="819" t="n">
        <f aca="false">K3253*L3253/60</f>
        <v>5.54718875502008</v>
      </c>
    </row>
    <row r="3254" customFormat="false" ht="15" hidden="false" customHeight="false" outlineLevel="0" collapsed="false">
      <c r="A3254" s="216"/>
      <c r="B3254" s="40"/>
      <c r="C3254" s="40" t="s">
        <v>7138</v>
      </c>
      <c r="D3254" s="316" t="n">
        <v>2006</v>
      </c>
      <c r="E3254" s="912" t="n">
        <f aca="false">2021-D3254</f>
        <v>15</v>
      </c>
      <c r="F3254" s="1483" t="n">
        <v>67676</v>
      </c>
      <c r="G3254" s="1413" t="n">
        <v>0.1</v>
      </c>
      <c r="H3254" s="547" t="n">
        <f aca="false">E3254*F3254*G3254</f>
        <v>101514</v>
      </c>
      <c r="I3254" s="547" t="n">
        <f aca="false">F3254-H3254</f>
        <v>-33838</v>
      </c>
      <c r="J3254" s="547" t="n">
        <f aca="false">F3254*G3254</f>
        <v>6767.6</v>
      </c>
      <c r="K3254" s="1365" t="n">
        <f aca="false">J3254/1792.8</f>
        <v>3.77487728692548</v>
      </c>
      <c r="L3254" s="1480" t="n">
        <v>20</v>
      </c>
      <c r="M3254" s="819" t="n">
        <f aca="false">K3254*L3254/60</f>
        <v>1.25829242897516</v>
      </c>
    </row>
    <row r="3255" customFormat="false" ht="15" hidden="false" customHeight="false" outlineLevel="0" collapsed="false">
      <c r="A3255" s="216"/>
      <c r="B3255" s="40"/>
      <c r="C3255" s="40" t="s">
        <v>7135</v>
      </c>
      <c r="D3255" s="316" t="n">
        <v>2009</v>
      </c>
      <c r="E3255" s="912" t="n">
        <f aca="false">2021-D3255</f>
        <v>12</v>
      </c>
      <c r="F3255" s="1483" t="n">
        <v>190000</v>
      </c>
      <c r="G3255" s="1413" t="n">
        <v>0.1</v>
      </c>
      <c r="H3255" s="547" t="n">
        <f aca="false">E3255*F3255*G3255</f>
        <v>228000</v>
      </c>
      <c r="I3255" s="547" t="n">
        <f aca="false">F3255-H3255</f>
        <v>-38000</v>
      </c>
      <c r="J3255" s="547" t="n">
        <f aca="false">F3255*G3255</f>
        <v>19000</v>
      </c>
      <c r="K3255" s="1365" t="n">
        <f aca="false">J3255/1792.8</f>
        <v>10.5979473449353</v>
      </c>
      <c r="L3255" s="1480" t="n">
        <v>30</v>
      </c>
      <c r="M3255" s="819" t="n">
        <f aca="false">K3255*L3255/60</f>
        <v>5.29897367246765</v>
      </c>
    </row>
    <row r="3256" customFormat="false" ht="15" hidden="false" customHeight="false" outlineLevel="0" collapsed="false">
      <c r="A3256" s="216"/>
      <c r="B3256" s="971" t="s">
        <v>4128</v>
      </c>
      <c r="C3256" s="40"/>
      <c r="D3256" s="316"/>
      <c r="E3256" s="912"/>
      <c r="F3256" s="1483"/>
      <c r="G3256" s="1413"/>
      <c r="H3256" s="547"/>
      <c r="I3256" s="547"/>
      <c r="J3256" s="547"/>
      <c r="K3256" s="1365" t="n">
        <f aca="false">J3256/1792.8</f>
        <v>0</v>
      </c>
      <c r="L3256" s="1484"/>
      <c r="M3256" s="934" t="n">
        <f aca="false">SUM(M3249:M3255)</f>
        <v>404.348077495166</v>
      </c>
    </row>
    <row r="3257" customFormat="false" ht="30" hidden="false" customHeight="false" outlineLevel="0" collapsed="false">
      <c r="A3257" s="216" t="s">
        <v>1766</v>
      </c>
      <c r="B3257" s="29" t="s">
        <v>7146</v>
      </c>
      <c r="C3257" s="1161" t="s">
        <v>7145</v>
      </c>
      <c r="D3257" s="317" t="n">
        <v>2014</v>
      </c>
      <c r="E3257" s="912" t="n">
        <f aca="false">2021-D3257</f>
        <v>7</v>
      </c>
      <c r="F3257" s="1479" t="n">
        <v>566496</v>
      </c>
      <c r="G3257" s="1413" t="n">
        <v>0.1</v>
      </c>
      <c r="H3257" s="547" t="n">
        <f aca="false">E3257*F3257*G3257</f>
        <v>396547.2</v>
      </c>
      <c r="I3257" s="547" t="n">
        <f aca="false">F3257-H3257</f>
        <v>169948.8</v>
      </c>
      <c r="J3257" s="547" t="n">
        <f aca="false">F3257*G3257</f>
        <v>56649.6</v>
      </c>
      <c r="K3257" s="1365" t="n">
        <f aca="false">J3257/1792.8</f>
        <v>31.5983935742972</v>
      </c>
      <c r="L3257" s="1484" t="n">
        <v>60</v>
      </c>
      <c r="M3257" s="819" t="n">
        <f aca="false">K3257*L3257/60</f>
        <v>31.5983935742972</v>
      </c>
    </row>
    <row r="3258" customFormat="false" ht="15" hidden="false" customHeight="false" outlineLevel="0" collapsed="false">
      <c r="A3258" s="216"/>
      <c r="B3258" s="40"/>
      <c r="C3258" s="40" t="s">
        <v>7138</v>
      </c>
      <c r="D3258" s="316" t="n">
        <v>2006</v>
      </c>
      <c r="E3258" s="912" t="n">
        <f aca="false">2021-D3258</f>
        <v>15</v>
      </c>
      <c r="F3258" s="1483" t="n">
        <v>67676</v>
      </c>
      <c r="G3258" s="1413" t="n">
        <v>0.1</v>
      </c>
      <c r="H3258" s="547" t="n">
        <f aca="false">E3258*F3258*G3258</f>
        <v>101514</v>
      </c>
      <c r="I3258" s="547" t="n">
        <f aca="false">F3258-H3258</f>
        <v>-33838</v>
      </c>
      <c r="J3258" s="547" t="n">
        <f aca="false">F3258*G3258</f>
        <v>6767.6</v>
      </c>
      <c r="K3258" s="1365" t="n">
        <f aca="false">J3258/1792.8</f>
        <v>3.77487728692548</v>
      </c>
      <c r="L3258" s="1484" t="n">
        <v>20</v>
      </c>
      <c r="M3258" s="819" t="n">
        <f aca="false">K3258*L3258/60</f>
        <v>1.25829242897516</v>
      </c>
    </row>
    <row r="3259" customFormat="false" ht="15" hidden="false" customHeight="false" outlineLevel="0" collapsed="false">
      <c r="A3259" s="216"/>
      <c r="B3259" s="40"/>
      <c r="C3259" s="40" t="s">
        <v>7135</v>
      </c>
      <c r="D3259" s="316" t="n">
        <v>2009</v>
      </c>
      <c r="E3259" s="912" t="n">
        <f aca="false">2021-D3259</f>
        <v>12</v>
      </c>
      <c r="F3259" s="1483" t="n">
        <v>190000</v>
      </c>
      <c r="G3259" s="1413" t="n">
        <v>0.1</v>
      </c>
      <c r="H3259" s="547" t="n">
        <f aca="false">E3259*F3259*G3259</f>
        <v>228000</v>
      </c>
      <c r="I3259" s="547" t="n">
        <f aca="false">F3259-H3259</f>
        <v>-38000</v>
      </c>
      <c r="J3259" s="547" t="n">
        <f aca="false">F3259*G3259</f>
        <v>19000</v>
      </c>
      <c r="K3259" s="1365" t="n">
        <f aca="false">J3259/1792.8</f>
        <v>10.5979473449353</v>
      </c>
      <c r="L3259" s="1484" t="n">
        <v>30</v>
      </c>
      <c r="M3259" s="819" t="n">
        <f aca="false">K3259*L3259/60</f>
        <v>5.29897367246765</v>
      </c>
    </row>
    <row r="3260" customFormat="false" ht="15" hidden="false" customHeight="false" outlineLevel="0" collapsed="false">
      <c r="A3260" s="216"/>
      <c r="B3260" s="971" t="s">
        <v>4128</v>
      </c>
      <c r="C3260" s="40"/>
      <c r="D3260" s="316"/>
      <c r="E3260" s="912"/>
      <c r="F3260" s="1483"/>
      <c r="G3260" s="1413"/>
      <c r="H3260" s="547"/>
      <c r="I3260" s="547"/>
      <c r="J3260" s="547"/>
      <c r="K3260" s="1365" t="n">
        <f aca="false">J3260/1792.8</f>
        <v>0</v>
      </c>
      <c r="L3260" s="1484"/>
      <c r="M3260" s="934" t="n">
        <f aca="false">SUM(M3257:M3259)</f>
        <v>38.15565967574</v>
      </c>
    </row>
    <row r="3261" customFormat="false" ht="30" hidden="false" customHeight="false" outlineLevel="0" collapsed="false">
      <c r="A3261" s="216" t="s">
        <v>1768</v>
      </c>
      <c r="B3261" s="40" t="s">
        <v>3621</v>
      </c>
      <c r="C3261" s="1161" t="s">
        <v>7130</v>
      </c>
      <c r="D3261" s="317" t="n">
        <v>2010</v>
      </c>
      <c r="E3261" s="912" t="n">
        <f aca="false">2021-D3261</f>
        <v>11</v>
      </c>
      <c r="F3261" s="1479" t="n">
        <v>1835351</v>
      </c>
      <c r="G3261" s="1413" t="n">
        <v>0.1</v>
      </c>
      <c r="H3261" s="547" t="n">
        <f aca="false">E3261*F3261*G3261</f>
        <v>2018886.1</v>
      </c>
      <c r="I3261" s="547" t="n">
        <f aca="false">F3261-H3261</f>
        <v>-183535.1</v>
      </c>
      <c r="J3261" s="547" t="n">
        <f aca="false">F3261*G3261</f>
        <v>183535.1</v>
      </c>
      <c r="K3261" s="1365" t="n">
        <f aca="false">J3261/1792.8</f>
        <v>102.373438197233</v>
      </c>
      <c r="L3261" s="1484" t="n">
        <v>220</v>
      </c>
      <c r="M3261" s="819" t="n">
        <f aca="false">K3261*L3261/60</f>
        <v>375.369273389856</v>
      </c>
    </row>
    <row r="3262" customFormat="false" ht="15" hidden="false" customHeight="false" outlineLevel="0" collapsed="false">
      <c r="A3262" s="216"/>
      <c r="B3262" s="40"/>
      <c r="C3262" s="1161" t="s">
        <v>7131</v>
      </c>
      <c r="D3262" s="317" t="n">
        <v>2010</v>
      </c>
      <c r="E3262" s="912" t="n">
        <f aca="false">2021-D3262</f>
        <v>11</v>
      </c>
      <c r="F3262" s="1479" t="n">
        <v>90000</v>
      </c>
      <c r="G3262" s="1413" t="n">
        <v>0.1</v>
      </c>
      <c r="H3262" s="547" t="n">
        <f aca="false">E3262*F3262*G3262</f>
        <v>99000</v>
      </c>
      <c r="I3262" s="547" t="n">
        <f aca="false">F3262-H3262</f>
        <v>-9000</v>
      </c>
      <c r="J3262" s="547" t="n">
        <f aca="false">F3262*G3262</f>
        <v>9000</v>
      </c>
      <c r="K3262" s="1365" t="n">
        <f aca="false">J3262/1792.8</f>
        <v>5.02008032128514</v>
      </c>
      <c r="L3262" s="1484" t="n">
        <v>2</v>
      </c>
      <c r="M3262" s="819" t="n">
        <f aca="false">K3262*L3262/60</f>
        <v>0.167336010709505</v>
      </c>
    </row>
    <row r="3263" customFormat="false" ht="15" hidden="false" customHeight="false" outlineLevel="0" collapsed="false">
      <c r="A3263" s="216"/>
      <c r="B3263" s="40"/>
      <c r="C3263" s="1161" t="s">
        <v>7133</v>
      </c>
      <c r="D3263" s="317" t="n">
        <v>2009</v>
      </c>
      <c r="E3263" s="912" t="n">
        <f aca="false">2021-D3263</f>
        <v>12</v>
      </c>
      <c r="F3263" s="1479" t="n">
        <v>745000</v>
      </c>
      <c r="G3263" s="1413" t="n">
        <v>0.1</v>
      </c>
      <c r="H3263" s="547" t="n">
        <f aca="false">E3263*F3263*G3263</f>
        <v>894000</v>
      </c>
      <c r="I3263" s="547" t="n">
        <f aca="false">F3263-H3263</f>
        <v>-149000</v>
      </c>
      <c r="J3263" s="547" t="n">
        <f aca="false">F3263*G3263</f>
        <v>74500</v>
      </c>
      <c r="K3263" s="1365" t="n">
        <f aca="false">J3263/1792.8</f>
        <v>41.5551093261937</v>
      </c>
      <c r="L3263" s="1484" t="n">
        <v>6</v>
      </c>
      <c r="M3263" s="819" t="n">
        <f aca="false">K3263*L3263/60</f>
        <v>4.15551093261937</v>
      </c>
    </row>
    <row r="3264" customFormat="false" ht="15" hidden="false" customHeight="false" outlineLevel="0" collapsed="false">
      <c r="A3264" s="216"/>
      <c r="B3264" s="40"/>
      <c r="C3264" s="40" t="s">
        <v>7134</v>
      </c>
      <c r="D3264" s="316" t="n">
        <v>2013</v>
      </c>
      <c r="E3264" s="912" t="n">
        <f aca="false">2021-D3264</f>
        <v>8</v>
      </c>
      <c r="F3264" s="1483" t="n">
        <v>237440</v>
      </c>
      <c r="G3264" s="1413" t="n">
        <v>0.1</v>
      </c>
      <c r="H3264" s="547" t="n">
        <f aca="false">E3264*F3264*G3264</f>
        <v>189952</v>
      </c>
      <c r="I3264" s="547" t="n">
        <f aca="false">F3264-H3264</f>
        <v>47488</v>
      </c>
      <c r="J3264" s="547" t="n">
        <f aca="false">F3264*G3264</f>
        <v>23744</v>
      </c>
      <c r="K3264" s="1365" t="n">
        <f aca="false">J3264/1792.8</f>
        <v>13.2440874609549</v>
      </c>
      <c r="L3264" s="1484" t="n">
        <v>60</v>
      </c>
      <c r="M3264" s="819" t="n">
        <f aca="false">K3264*L3264/60</f>
        <v>13.2440874609549</v>
      </c>
    </row>
    <row r="3265" customFormat="false" ht="15" hidden="false" customHeight="false" outlineLevel="0" collapsed="false">
      <c r="A3265" s="216"/>
      <c r="B3265" s="40"/>
      <c r="C3265" s="1161" t="s">
        <v>7147</v>
      </c>
      <c r="D3265" s="317" t="n">
        <v>2013</v>
      </c>
      <c r="E3265" s="912" t="n">
        <f aca="false">2021-D3265</f>
        <v>8</v>
      </c>
      <c r="F3265" s="1479" t="n">
        <v>3608</v>
      </c>
      <c r="G3265" s="1413" t="n">
        <v>0.1</v>
      </c>
      <c r="H3265" s="547" t="n">
        <f aca="false">E3265*F3265*G3265</f>
        <v>2886.4</v>
      </c>
      <c r="I3265" s="547" t="n">
        <f aca="false">F3265-H3265</f>
        <v>721.6</v>
      </c>
      <c r="J3265" s="547" t="n">
        <f aca="false">F3265*G3265</f>
        <v>360.8</v>
      </c>
      <c r="K3265" s="1365" t="n">
        <f aca="false">J3265/1792.8</f>
        <v>0.201249442213298</v>
      </c>
      <c r="L3265" s="1484" t="n">
        <v>60</v>
      </c>
      <c r="M3265" s="819" t="n">
        <f aca="false">K3265*L3265/60</f>
        <v>0.201249442213298</v>
      </c>
    </row>
    <row r="3266" customFormat="false" ht="15" hidden="false" customHeight="false" outlineLevel="0" collapsed="false">
      <c r="A3266" s="216"/>
      <c r="B3266" s="40"/>
      <c r="C3266" s="40" t="s">
        <v>7138</v>
      </c>
      <c r="D3266" s="316" t="n">
        <v>2006</v>
      </c>
      <c r="E3266" s="912" t="n">
        <f aca="false">2021-D3266</f>
        <v>15</v>
      </c>
      <c r="F3266" s="1483" t="n">
        <v>67676</v>
      </c>
      <c r="G3266" s="1413" t="n">
        <v>0.1</v>
      </c>
      <c r="H3266" s="547" t="n">
        <f aca="false">E3266*F3266*G3266</f>
        <v>101514</v>
      </c>
      <c r="I3266" s="547" t="n">
        <f aca="false">F3266-H3266</f>
        <v>-33838</v>
      </c>
      <c r="J3266" s="547" t="n">
        <f aca="false">F3266*G3266</f>
        <v>6767.6</v>
      </c>
      <c r="K3266" s="1365" t="n">
        <f aca="false">J3266/1792.8</f>
        <v>3.77487728692548</v>
      </c>
      <c r="L3266" s="1484" t="n">
        <v>20</v>
      </c>
      <c r="M3266" s="819" t="n">
        <f aca="false">K3266*L3266/60</f>
        <v>1.25829242897516</v>
      </c>
    </row>
    <row r="3267" customFormat="false" ht="15" hidden="false" customHeight="false" outlineLevel="0" collapsed="false">
      <c r="A3267" s="216"/>
      <c r="B3267" s="40"/>
      <c r="C3267" s="40" t="s">
        <v>7135</v>
      </c>
      <c r="D3267" s="316" t="n">
        <v>2009</v>
      </c>
      <c r="E3267" s="912" t="n">
        <f aca="false">2021-D3267</f>
        <v>12</v>
      </c>
      <c r="F3267" s="1483" t="n">
        <v>190000</v>
      </c>
      <c r="G3267" s="1413" t="n">
        <v>0.1</v>
      </c>
      <c r="H3267" s="547" t="n">
        <f aca="false">E3267*F3267*G3267</f>
        <v>228000</v>
      </c>
      <c r="I3267" s="547" t="n">
        <f aca="false">F3267-H3267</f>
        <v>-38000</v>
      </c>
      <c r="J3267" s="547" t="n">
        <f aca="false">F3267*G3267</f>
        <v>19000</v>
      </c>
      <c r="K3267" s="1365" t="n">
        <f aca="false">J3267/1792.8</f>
        <v>10.5979473449353</v>
      </c>
      <c r="L3267" s="1484" t="n">
        <v>30</v>
      </c>
      <c r="M3267" s="819" t="n">
        <f aca="false">K3267*L3267/60</f>
        <v>5.29897367246765</v>
      </c>
    </row>
    <row r="3268" customFormat="false" ht="15" hidden="false" customHeight="false" outlineLevel="0" collapsed="false">
      <c r="A3268" s="216"/>
      <c r="B3268" s="971" t="s">
        <v>4128</v>
      </c>
      <c r="C3268" s="40"/>
      <c r="D3268" s="316"/>
      <c r="E3268" s="912"/>
      <c r="F3268" s="1483"/>
      <c r="G3268" s="1413"/>
      <c r="H3268" s="547"/>
      <c r="I3268" s="547"/>
      <c r="J3268" s="547"/>
      <c r="K3268" s="1365" t="n">
        <f aca="false">J3268/1792.8</f>
        <v>0</v>
      </c>
      <c r="L3268" s="1484"/>
      <c r="M3268" s="934" t="n">
        <f aca="false">SUM(M3261:M3267)</f>
        <v>399.694723337796</v>
      </c>
    </row>
    <row r="3269" customFormat="false" ht="30" hidden="false" customHeight="false" outlineLevel="0" collapsed="false">
      <c r="A3269" s="216" t="s">
        <v>1770</v>
      </c>
      <c r="B3269" s="40" t="s">
        <v>3622</v>
      </c>
      <c r="C3269" s="1161" t="s">
        <v>7130</v>
      </c>
      <c r="D3269" s="317" t="n">
        <v>2010</v>
      </c>
      <c r="E3269" s="912" t="n">
        <f aca="false">2021-D3269</f>
        <v>11</v>
      </c>
      <c r="F3269" s="1479" t="n">
        <v>1835351</v>
      </c>
      <c r="G3269" s="1413" t="n">
        <v>0.1</v>
      </c>
      <c r="H3269" s="547" t="n">
        <f aca="false">E3269*F3269*G3269</f>
        <v>2018886.1</v>
      </c>
      <c r="I3269" s="547" t="n">
        <f aca="false">F3269-H3269</f>
        <v>-183535.1</v>
      </c>
      <c r="J3269" s="547" t="n">
        <f aca="false">F3269*G3269</f>
        <v>183535.1</v>
      </c>
      <c r="K3269" s="1365" t="n">
        <f aca="false">J3269/1792.8</f>
        <v>102.373438197233</v>
      </c>
      <c r="L3269" s="1480" t="n">
        <v>220</v>
      </c>
      <c r="M3269" s="819" t="n">
        <f aca="false">K3269*L3269/60</f>
        <v>375.369273389856</v>
      </c>
    </row>
    <row r="3270" customFormat="false" ht="15" hidden="false" customHeight="false" outlineLevel="0" collapsed="false">
      <c r="A3270" s="216"/>
      <c r="B3270" s="40"/>
      <c r="C3270" s="1161" t="s">
        <v>7131</v>
      </c>
      <c r="D3270" s="317" t="n">
        <v>2010</v>
      </c>
      <c r="E3270" s="912" t="n">
        <f aca="false">2021-D3270</f>
        <v>11</v>
      </c>
      <c r="F3270" s="1479" t="n">
        <v>90000</v>
      </c>
      <c r="G3270" s="1413" t="n">
        <v>0.1</v>
      </c>
      <c r="H3270" s="547" t="n">
        <f aca="false">E3270*F3270*G3270</f>
        <v>99000</v>
      </c>
      <c r="I3270" s="547" t="n">
        <f aca="false">F3270-H3270</f>
        <v>-9000</v>
      </c>
      <c r="J3270" s="547" t="n">
        <f aca="false">F3270*G3270</f>
        <v>9000</v>
      </c>
      <c r="K3270" s="1365" t="n">
        <f aca="false">J3270/1792.8</f>
        <v>5.02008032128514</v>
      </c>
      <c r="L3270" s="1480" t="n">
        <v>2</v>
      </c>
      <c r="M3270" s="819" t="n">
        <f aca="false">K3270*L3270/60</f>
        <v>0.167336010709505</v>
      </c>
    </row>
    <row r="3271" customFormat="false" ht="15" hidden="false" customHeight="false" outlineLevel="0" collapsed="false">
      <c r="A3271" s="216"/>
      <c r="B3271" s="40"/>
      <c r="C3271" s="1161" t="s">
        <v>7133</v>
      </c>
      <c r="D3271" s="317" t="n">
        <v>2009</v>
      </c>
      <c r="E3271" s="912" t="n">
        <f aca="false">2021-D3271</f>
        <v>12</v>
      </c>
      <c r="F3271" s="1479" t="n">
        <v>745000</v>
      </c>
      <c r="G3271" s="1413" t="n">
        <v>0.1</v>
      </c>
      <c r="H3271" s="547" t="n">
        <f aca="false">E3271*F3271*G3271</f>
        <v>894000</v>
      </c>
      <c r="I3271" s="547" t="n">
        <f aca="false">F3271-H3271</f>
        <v>-149000</v>
      </c>
      <c r="J3271" s="547" t="n">
        <f aca="false">F3271*G3271</f>
        <v>74500</v>
      </c>
      <c r="K3271" s="1365" t="n">
        <f aca="false">J3271/1792.8</f>
        <v>41.5551093261937</v>
      </c>
      <c r="L3271" s="1480" t="n">
        <v>5</v>
      </c>
      <c r="M3271" s="819" t="n">
        <f aca="false">K3271*L3271/60</f>
        <v>3.46292577718281</v>
      </c>
    </row>
    <row r="3272" customFormat="false" ht="15" hidden="false" customHeight="false" outlineLevel="0" collapsed="false">
      <c r="A3272" s="216"/>
      <c r="B3272" s="40"/>
      <c r="C3272" s="40" t="s">
        <v>7134</v>
      </c>
      <c r="D3272" s="316" t="n">
        <v>2013</v>
      </c>
      <c r="E3272" s="912" t="n">
        <f aca="false">2021-D3272</f>
        <v>8</v>
      </c>
      <c r="F3272" s="1483" t="n">
        <v>237440</v>
      </c>
      <c r="G3272" s="1413" t="n">
        <v>0.1</v>
      </c>
      <c r="H3272" s="547" t="n">
        <f aca="false">E3272*F3272*G3272</f>
        <v>189952</v>
      </c>
      <c r="I3272" s="547" t="n">
        <f aca="false">F3272-H3272</f>
        <v>47488</v>
      </c>
      <c r="J3272" s="547" t="n">
        <f aca="false">F3272*G3272</f>
        <v>23744</v>
      </c>
      <c r="K3272" s="1365" t="n">
        <f aca="false">J3272/1792.8</f>
        <v>13.2440874609549</v>
      </c>
      <c r="L3272" s="1480" t="n">
        <v>60</v>
      </c>
      <c r="M3272" s="819" t="n">
        <f aca="false">K3272*L3272/60</f>
        <v>13.2440874609549</v>
      </c>
    </row>
    <row r="3273" customFormat="false" ht="15" hidden="false" customHeight="false" outlineLevel="0" collapsed="false">
      <c r="A3273" s="216"/>
      <c r="B3273" s="40"/>
      <c r="C3273" s="1161" t="s">
        <v>7136</v>
      </c>
      <c r="D3273" s="317" t="n">
        <v>2012</v>
      </c>
      <c r="E3273" s="912" t="n">
        <f aca="false">2021-D3273</f>
        <v>9</v>
      </c>
      <c r="F3273" s="1479" t="n">
        <v>198900</v>
      </c>
      <c r="G3273" s="1413" t="n">
        <v>0.1</v>
      </c>
      <c r="H3273" s="547" t="n">
        <f aca="false">E3273*F3273*G3273</f>
        <v>179010</v>
      </c>
      <c r="I3273" s="547" t="n">
        <f aca="false">F3273-H3273</f>
        <v>19890</v>
      </c>
      <c r="J3273" s="547" t="n">
        <f aca="false">F3273*G3273</f>
        <v>19890</v>
      </c>
      <c r="K3273" s="1365" t="n">
        <f aca="false">J3273/1792.8</f>
        <v>11.0943775100402</v>
      </c>
      <c r="L3273" s="1480" t="n">
        <v>30</v>
      </c>
      <c r="M3273" s="819" t="n">
        <f aca="false">K3273*L3273/60</f>
        <v>5.54718875502008</v>
      </c>
    </row>
    <row r="3274" customFormat="false" ht="15" hidden="false" customHeight="false" outlineLevel="0" collapsed="false">
      <c r="A3274" s="216"/>
      <c r="B3274" s="40"/>
      <c r="C3274" s="40" t="s">
        <v>7138</v>
      </c>
      <c r="D3274" s="316" t="n">
        <v>2006</v>
      </c>
      <c r="E3274" s="912" t="n">
        <f aca="false">2021-D3274</f>
        <v>15</v>
      </c>
      <c r="F3274" s="1483" t="n">
        <v>67676</v>
      </c>
      <c r="G3274" s="1413" t="n">
        <v>0.1</v>
      </c>
      <c r="H3274" s="547" t="n">
        <f aca="false">E3274*F3274*G3274</f>
        <v>101514</v>
      </c>
      <c r="I3274" s="547" t="n">
        <f aca="false">F3274-H3274</f>
        <v>-33838</v>
      </c>
      <c r="J3274" s="547" t="n">
        <f aca="false">F3274*G3274</f>
        <v>6767.6</v>
      </c>
      <c r="K3274" s="1365" t="n">
        <f aca="false">J3274/1792.8</f>
        <v>3.77487728692548</v>
      </c>
      <c r="L3274" s="1480" t="n">
        <v>20</v>
      </c>
      <c r="M3274" s="819" t="n">
        <f aca="false">K3274*L3274/60</f>
        <v>1.25829242897516</v>
      </c>
    </row>
    <row r="3275" customFormat="false" ht="15" hidden="false" customHeight="false" outlineLevel="0" collapsed="false">
      <c r="A3275" s="216"/>
      <c r="B3275" s="40"/>
      <c r="C3275" s="40" t="s">
        <v>7135</v>
      </c>
      <c r="D3275" s="316" t="n">
        <v>2009</v>
      </c>
      <c r="E3275" s="912" t="n">
        <f aca="false">2021-D3275</f>
        <v>12</v>
      </c>
      <c r="F3275" s="1483" t="n">
        <v>190000</v>
      </c>
      <c r="G3275" s="1413" t="n">
        <v>0.1</v>
      </c>
      <c r="H3275" s="547" t="n">
        <f aca="false">E3275*F3275*G3275</f>
        <v>228000</v>
      </c>
      <c r="I3275" s="547" t="n">
        <f aca="false">F3275-H3275</f>
        <v>-38000</v>
      </c>
      <c r="J3275" s="547" t="n">
        <f aca="false">F3275*G3275</f>
        <v>19000</v>
      </c>
      <c r="K3275" s="1365" t="n">
        <f aca="false">J3275/1792.8</f>
        <v>10.5979473449353</v>
      </c>
      <c r="L3275" s="1480" t="n">
        <v>30</v>
      </c>
      <c r="M3275" s="819" t="n">
        <f aca="false">K3275*L3275/60</f>
        <v>5.29897367246765</v>
      </c>
    </row>
    <row r="3276" customFormat="false" ht="15" hidden="false" customHeight="false" outlineLevel="0" collapsed="false">
      <c r="A3276" s="216"/>
      <c r="B3276" s="971" t="s">
        <v>4128</v>
      </c>
      <c r="C3276" s="40"/>
      <c r="D3276" s="316"/>
      <c r="E3276" s="912"/>
      <c r="F3276" s="1483"/>
      <c r="G3276" s="1413"/>
      <c r="H3276" s="547"/>
      <c r="I3276" s="547"/>
      <c r="J3276" s="547"/>
      <c r="K3276" s="1365" t="n">
        <f aca="false">J3276/1792.8</f>
        <v>0</v>
      </c>
      <c r="L3276" s="1484"/>
      <c r="M3276" s="934" t="n">
        <f aca="false">SUM(M3269:M3275)</f>
        <v>404.348077495166</v>
      </c>
    </row>
    <row r="3277" customFormat="false" ht="15" hidden="false" customHeight="false" outlineLevel="0" collapsed="false">
      <c r="A3277" s="216" t="s">
        <v>1772</v>
      </c>
      <c r="B3277" s="40" t="s">
        <v>3623</v>
      </c>
      <c r="C3277" s="1161" t="s">
        <v>7128</v>
      </c>
      <c r="D3277" s="317" t="n">
        <v>2015</v>
      </c>
      <c r="E3277" s="912" t="n">
        <f aca="false">2021-D3277</f>
        <v>6</v>
      </c>
      <c r="F3277" s="1479" t="n">
        <v>2312140</v>
      </c>
      <c r="G3277" s="1413" t="n">
        <v>0.1</v>
      </c>
      <c r="H3277" s="547" t="n">
        <f aca="false">E3277*F3277*G3277</f>
        <v>1387284</v>
      </c>
      <c r="I3277" s="547" t="n">
        <f aca="false">F3277-H3277</f>
        <v>924856</v>
      </c>
      <c r="J3277" s="547" t="n">
        <f aca="false">F3277*G3277</f>
        <v>231214</v>
      </c>
      <c r="K3277" s="1365" t="n">
        <f aca="false">J3277/1792.8</f>
        <v>128.968094600625</v>
      </c>
      <c r="L3277" s="1484" t="n">
        <v>90</v>
      </c>
      <c r="M3277" s="819" t="n">
        <f aca="false">K3277*L3277/60</f>
        <v>193.452141900937</v>
      </c>
    </row>
    <row r="3278" customFormat="false" ht="15" hidden="false" customHeight="false" outlineLevel="0" collapsed="false">
      <c r="A3278" s="216"/>
      <c r="B3278" s="40"/>
      <c r="C3278" s="40" t="s">
        <v>7138</v>
      </c>
      <c r="D3278" s="316" t="n">
        <v>2006</v>
      </c>
      <c r="E3278" s="912" t="n">
        <f aca="false">2021-D3278</f>
        <v>15</v>
      </c>
      <c r="F3278" s="1483" t="n">
        <v>67676</v>
      </c>
      <c r="G3278" s="1413" t="n">
        <v>0.1</v>
      </c>
      <c r="H3278" s="547" t="n">
        <f aca="false">E3278*F3278*G3278</f>
        <v>101514</v>
      </c>
      <c r="I3278" s="547" t="n">
        <f aca="false">F3278-H3278</f>
        <v>-33838</v>
      </c>
      <c r="J3278" s="547" t="n">
        <f aca="false">F3278*G3278</f>
        <v>6767.6</v>
      </c>
      <c r="K3278" s="1365" t="n">
        <f aca="false">J3278/1792.8</f>
        <v>3.77487728692548</v>
      </c>
      <c r="L3278" s="1484" t="n">
        <v>20</v>
      </c>
      <c r="M3278" s="819" t="n">
        <f aca="false">K3278*L3278/60</f>
        <v>1.25829242897516</v>
      </c>
    </row>
    <row r="3279" customFormat="false" ht="15" hidden="false" customHeight="false" outlineLevel="0" collapsed="false">
      <c r="A3279" s="216"/>
      <c r="B3279" s="971" t="s">
        <v>4128</v>
      </c>
      <c r="C3279" s="1161"/>
      <c r="D3279" s="317"/>
      <c r="E3279" s="912"/>
      <c r="F3279" s="1479"/>
      <c r="G3279" s="1413"/>
      <c r="H3279" s="547"/>
      <c r="I3279" s="547"/>
      <c r="J3279" s="547"/>
      <c r="K3279" s="1365" t="n">
        <f aca="false">J3279/1792.8</f>
        <v>0</v>
      </c>
      <c r="L3279" s="1484"/>
      <c r="M3279" s="934" t="n">
        <f aca="false">SUM(M3277:M3278)</f>
        <v>194.710434329912</v>
      </c>
    </row>
    <row r="3280" customFormat="false" ht="14.25" hidden="false" customHeight="true" outlineLevel="0" collapsed="false">
      <c r="A3280" s="15" t="s">
        <v>1774</v>
      </c>
      <c r="B3280" s="16" t="s">
        <v>3624</v>
      </c>
      <c r="C3280" s="1387"/>
      <c r="D3280" s="1388"/>
      <c r="E3280" s="339"/>
      <c r="F3280" s="1485"/>
      <c r="G3280" s="1412"/>
      <c r="H3280" s="751"/>
      <c r="I3280" s="751"/>
      <c r="J3280" s="751"/>
      <c r="K3280" s="751"/>
      <c r="L3280" s="1482"/>
      <c r="M3280" s="818"/>
    </row>
    <row r="3281" customFormat="false" ht="14.25" hidden="false" customHeight="true" outlineLevel="0" collapsed="false">
      <c r="A3281" s="216" t="s">
        <v>7148</v>
      </c>
      <c r="B3281" s="40" t="s">
        <v>3625</v>
      </c>
      <c r="C3281" s="1161" t="s">
        <v>7149</v>
      </c>
      <c r="D3281" s="317" t="n">
        <v>2009</v>
      </c>
      <c r="E3281" s="912" t="n">
        <f aca="false">2021-D3281</f>
        <v>12</v>
      </c>
      <c r="F3281" s="1479" t="n">
        <v>1939200</v>
      </c>
      <c r="G3281" s="1413" t="n">
        <v>0.1</v>
      </c>
      <c r="H3281" s="547" t="n">
        <f aca="false">E3281*F3281*G3281</f>
        <v>2327040</v>
      </c>
      <c r="I3281" s="547" t="n">
        <f aca="false">F3281-H3281</f>
        <v>-387840</v>
      </c>
      <c r="J3281" s="547" t="n">
        <f aca="false">F3281*G3281</f>
        <v>193920</v>
      </c>
      <c r="K3281" s="547" t="n">
        <f aca="false">J3281/1792.8</f>
        <v>108.165997322624</v>
      </c>
      <c r="L3281" s="1484" t="n">
        <v>20</v>
      </c>
      <c r="M3281" s="819" t="n">
        <f aca="false">K3281*L3281/60</f>
        <v>36.0553324408746</v>
      </c>
    </row>
    <row r="3282" customFormat="false" ht="14.25" hidden="false" customHeight="true" outlineLevel="0" collapsed="false">
      <c r="A3282" s="216"/>
      <c r="B3282" s="40"/>
      <c r="C3282" s="78" t="s">
        <v>7150</v>
      </c>
      <c r="D3282" s="1486" t="s">
        <v>7151</v>
      </c>
      <c r="E3282" s="912" t="n">
        <f aca="false">2021-D3282</f>
        <v>6</v>
      </c>
      <c r="F3282" s="221" t="s">
        <v>7152</v>
      </c>
      <c r="G3282" s="1413" t="n">
        <v>0.1</v>
      </c>
      <c r="H3282" s="547" t="n">
        <f aca="false">E3282*F3282*G3282</f>
        <v>4866</v>
      </c>
      <c r="I3282" s="547" t="n">
        <f aca="false">F3282-H3282</f>
        <v>3244</v>
      </c>
      <c r="J3282" s="547" t="n">
        <f aca="false">F3282*G3282</f>
        <v>811</v>
      </c>
      <c r="K3282" s="547" t="n">
        <f aca="false">J3282/1792.8</f>
        <v>0.452365015618028</v>
      </c>
      <c r="L3282" s="1484" t="n">
        <v>20</v>
      </c>
      <c r="M3282" s="819" t="n">
        <f aca="false">K3282*L3282/60</f>
        <v>0.150788338539343</v>
      </c>
    </row>
    <row r="3283" customFormat="false" ht="14.25" hidden="false" customHeight="true" outlineLevel="0" collapsed="false">
      <c r="A3283" s="216"/>
      <c r="B3283" s="40"/>
      <c r="C3283" s="40" t="s">
        <v>7134</v>
      </c>
      <c r="D3283" s="316" t="n">
        <v>2013</v>
      </c>
      <c r="E3283" s="912" t="n">
        <f aca="false">2021-D3283</f>
        <v>8</v>
      </c>
      <c r="F3283" s="1483" t="n">
        <v>237440</v>
      </c>
      <c r="G3283" s="1413" t="n">
        <v>0.1</v>
      </c>
      <c r="H3283" s="547" t="n">
        <f aca="false">E3283*F3283*G3283</f>
        <v>189952</v>
      </c>
      <c r="I3283" s="547" t="n">
        <f aca="false">F3283-H3283</f>
        <v>47488</v>
      </c>
      <c r="J3283" s="547" t="n">
        <f aca="false">F3283*G3283</f>
        <v>23744</v>
      </c>
      <c r="K3283" s="547" t="n">
        <f aca="false">J3283/1792.8</f>
        <v>13.2440874609549</v>
      </c>
      <c r="L3283" s="1484" t="n">
        <v>50</v>
      </c>
      <c r="M3283" s="819" t="n">
        <f aca="false">K3283*L3283/60</f>
        <v>11.0367395507958</v>
      </c>
    </row>
    <row r="3284" customFormat="false" ht="14.25" hidden="false" customHeight="true" outlineLevel="0" collapsed="false">
      <c r="A3284" s="216"/>
      <c r="B3284" s="971" t="s">
        <v>4128</v>
      </c>
      <c r="C3284" s="40"/>
      <c r="D3284" s="316"/>
      <c r="E3284" s="912"/>
      <c r="F3284" s="1483"/>
      <c r="G3284" s="1413"/>
      <c r="H3284" s="547"/>
      <c r="I3284" s="547"/>
      <c r="J3284" s="547"/>
      <c r="K3284" s="547" t="n">
        <f aca="false">J3284/1792.8</f>
        <v>0</v>
      </c>
      <c r="L3284" s="1484"/>
      <c r="M3284" s="934" t="n">
        <f aca="false">SUM(M3281:M3283)</f>
        <v>47.2428603302097</v>
      </c>
    </row>
    <row r="3285" customFormat="false" ht="15" hidden="false" customHeight="false" outlineLevel="0" collapsed="false">
      <c r="A3285" s="15" t="s">
        <v>1778</v>
      </c>
      <c r="B3285" s="54" t="s">
        <v>3626</v>
      </c>
      <c r="C3285" s="88"/>
      <c r="D3285" s="15"/>
      <c r="E3285" s="339"/>
      <c r="F3285" s="127"/>
      <c r="G3285" s="1412"/>
      <c r="H3285" s="751"/>
      <c r="I3285" s="751"/>
      <c r="J3285" s="751"/>
      <c r="K3285" s="751"/>
      <c r="L3285" s="1482"/>
      <c r="M3285" s="818"/>
    </row>
    <row r="3286" customFormat="false" ht="30" hidden="false" customHeight="false" outlineLevel="0" collapsed="false">
      <c r="A3286" s="216" t="s">
        <v>1780</v>
      </c>
      <c r="B3286" s="40" t="s">
        <v>3627</v>
      </c>
      <c r="C3286" s="1161" t="s">
        <v>7153</v>
      </c>
      <c r="D3286" s="317" t="n">
        <v>2012</v>
      </c>
      <c r="E3286" s="912" t="n">
        <f aca="false">2021-D3286</f>
        <v>9</v>
      </c>
      <c r="F3286" s="1479" t="n">
        <v>6621561</v>
      </c>
      <c r="G3286" s="1413" t="n">
        <v>0.1</v>
      </c>
      <c r="H3286" s="547" t="n">
        <f aca="false">E3286*F3286*G3286</f>
        <v>5959404.9</v>
      </c>
      <c r="I3286" s="547" t="n">
        <f aca="false">F3286-H3286</f>
        <v>662156.1</v>
      </c>
      <c r="J3286" s="547" t="n">
        <f aca="false">F3286*G3286</f>
        <v>662156.1</v>
      </c>
      <c r="K3286" s="1365" t="n">
        <f aca="false">J3286/1792.8</f>
        <v>369.34186746988</v>
      </c>
      <c r="L3286" s="1484" t="n">
        <v>40</v>
      </c>
      <c r="M3286" s="934" t="n">
        <f aca="false">K3286*L3286/60</f>
        <v>246.227911646586</v>
      </c>
    </row>
    <row r="3287" customFormat="false" ht="25.5" hidden="false" customHeight="true" outlineLevel="0" collapsed="false">
      <c r="A3287" s="356" t="s">
        <v>1782</v>
      </c>
      <c r="B3287" s="357" t="s">
        <v>3628</v>
      </c>
      <c r="C3287" s="1487"/>
      <c r="D3287" s="1488"/>
      <c r="E3287" s="1489"/>
      <c r="F3287" s="1489"/>
      <c r="G3287" s="1489"/>
      <c r="H3287" s="1489"/>
      <c r="I3287" s="1489"/>
      <c r="J3287" s="1489"/>
      <c r="K3287" s="1489"/>
      <c r="L3287" s="1489"/>
      <c r="M3287" s="1489"/>
    </row>
    <row r="3288" customFormat="false" ht="15" hidden="false" customHeight="false" outlineLevel="0" collapsed="false">
      <c r="A3288" s="350" t="s">
        <v>1784</v>
      </c>
      <c r="B3288" s="90" t="s">
        <v>3629</v>
      </c>
      <c r="C3288" s="88"/>
      <c r="D3288" s="90"/>
      <c r="E3288" s="1466"/>
      <c r="F3288" s="1466"/>
      <c r="G3288" s="1466"/>
      <c r="H3288" s="1466"/>
      <c r="I3288" s="1466"/>
      <c r="J3288" s="1466"/>
      <c r="K3288" s="1466"/>
      <c r="L3288" s="1466"/>
      <c r="M3288" s="1466"/>
    </row>
    <row r="3289" customFormat="false" ht="30" hidden="false" customHeight="false" outlineLevel="0" collapsed="false">
      <c r="A3289" s="327" t="s">
        <v>1786</v>
      </c>
      <c r="B3289" s="40" t="s">
        <v>3630</v>
      </c>
      <c r="C3289" s="40" t="s">
        <v>7154</v>
      </c>
      <c r="D3289" s="316" t="n">
        <v>2007</v>
      </c>
      <c r="E3289" s="912" t="n">
        <f aca="false">2021-D3289</f>
        <v>14</v>
      </c>
      <c r="F3289" s="891" t="n">
        <v>407000</v>
      </c>
      <c r="G3289" s="1364" t="n">
        <v>0.1</v>
      </c>
      <c r="H3289" s="891" t="n">
        <f aca="false">E3289*F3289*G3289</f>
        <v>569800</v>
      </c>
      <c r="I3289" s="891" t="n">
        <f aca="false">F3289-H3289</f>
        <v>-162800</v>
      </c>
      <c r="J3289" s="1365" t="n">
        <f aca="false">F3289*G3289</f>
        <v>40700</v>
      </c>
      <c r="K3289" s="1365" t="n">
        <f aca="false">J3289/1792.8</f>
        <v>22.7019187862561</v>
      </c>
      <c r="L3289" s="891" t="n">
        <v>28.8</v>
      </c>
      <c r="M3289" s="1273" t="n">
        <f aca="false">K3289*L3289/60</f>
        <v>10.8969210174029</v>
      </c>
    </row>
    <row r="3290" customFormat="false" ht="15" hidden="false" customHeight="false" outlineLevel="0" collapsed="false">
      <c r="A3290" s="28"/>
      <c r="B3290" s="1053" t="s">
        <v>6013</v>
      </c>
      <c r="C3290" s="40" t="s">
        <v>7155</v>
      </c>
      <c r="D3290" s="316" t="n">
        <v>2007</v>
      </c>
      <c r="E3290" s="912" t="n">
        <f aca="false">2021-D3290</f>
        <v>14</v>
      </c>
      <c r="F3290" s="891" t="n">
        <v>810000</v>
      </c>
      <c r="G3290" s="1364" t="n">
        <v>0.1</v>
      </c>
      <c r="H3290" s="891" t="n">
        <f aca="false">E3290*F3290*G3290</f>
        <v>1134000</v>
      </c>
      <c r="I3290" s="891" t="n">
        <f aca="false">F3290-H3290</f>
        <v>-324000</v>
      </c>
      <c r="J3290" s="1365" t="n">
        <f aca="false">F3290*G3290</f>
        <v>81000</v>
      </c>
      <c r="K3290" s="1365" t="n">
        <f aca="false">J3290/1792.8</f>
        <v>45.1807228915663</v>
      </c>
      <c r="L3290" s="891" t="n">
        <v>4.8</v>
      </c>
      <c r="M3290" s="1273" t="n">
        <f aca="false">K3290*L3290/60</f>
        <v>3.6144578313253</v>
      </c>
    </row>
    <row r="3291" customFormat="false" ht="15" hidden="false" customHeight="false" outlineLevel="0" collapsed="false">
      <c r="A3291" s="28"/>
      <c r="B3291" s="1053"/>
      <c r="C3291" s="40" t="s">
        <v>7156</v>
      </c>
      <c r="D3291" s="316" t="n">
        <v>2015</v>
      </c>
      <c r="E3291" s="912" t="n">
        <f aca="false">2021-D3291</f>
        <v>6</v>
      </c>
      <c r="F3291" s="891" t="n">
        <v>694025</v>
      </c>
      <c r="G3291" s="1364" t="n">
        <v>0.1</v>
      </c>
      <c r="H3291" s="891" t="n">
        <f aca="false">E3291*F3291*G3291</f>
        <v>416415</v>
      </c>
      <c r="I3291" s="891" t="n">
        <f aca="false">F3291-H3291</f>
        <v>277610</v>
      </c>
      <c r="J3291" s="1365" t="n">
        <f aca="false">F3291*G3291</f>
        <v>69402.5</v>
      </c>
      <c r="K3291" s="1365" t="n">
        <f aca="false">J3291/1792.8</f>
        <v>38.711791610888</v>
      </c>
      <c r="L3291" s="891" t="n">
        <v>18</v>
      </c>
      <c r="M3291" s="1273" t="n">
        <f aca="false">K3291*L3291/60</f>
        <v>11.6135374832664</v>
      </c>
    </row>
    <row r="3292" customFormat="false" ht="15" hidden="false" customHeight="false" outlineLevel="0" collapsed="false">
      <c r="A3292" s="28"/>
      <c r="B3292" s="78"/>
      <c r="C3292" s="40" t="s">
        <v>7157</v>
      </c>
      <c r="D3292" s="316" t="n">
        <v>2006</v>
      </c>
      <c r="E3292" s="912" t="n">
        <f aca="false">2021-D3292</f>
        <v>15</v>
      </c>
      <c r="F3292" s="891" t="n">
        <v>77000</v>
      </c>
      <c r="G3292" s="1364" t="n">
        <v>0.05</v>
      </c>
      <c r="H3292" s="891" t="n">
        <f aca="false">E3292*F3292*G3292</f>
        <v>57750</v>
      </c>
      <c r="I3292" s="891" t="n">
        <f aca="false">F3292-H3292</f>
        <v>19250</v>
      </c>
      <c r="J3292" s="1365" t="n">
        <f aca="false">F3292*G3292</f>
        <v>3850</v>
      </c>
      <c r="K3292" s="1365" t="n">
        <f aca="false">J3292/1792.8</f>
        <v>2.14747880410531</v>
      </c>
      <c r="L3292" s="891" t="n">
        <v>9.6</v>
      </c>
      <c r="M3292" s="1273" t="n">
        <f aca="false">K3292*L3292/60</f>
        <v>0.34359660865685</v>
      </c>
    </row>
    <row r="3293" customFormat="false" ht="15" hidden="false" customHeight="false" outlineLevel="0" collapsed="false">
      <c r="A3293" s="28"/>
      <c r="B3293" s="78"/>
      <c r="C3293" s="40" t="s">
        <v>7158</v>
      </c>
      <c r="D3293" s="316" t="n">
        <v>2007</v>
      </c>
      <c r="E3293" s="912" t="n">
        <f aca="false">2021-D3293</f>
        <v>14</v>
      </c>
      <c r="F3293" s="891" t="n">
        <v>482500</v>
      </c>
      <c r="G3293" s="1364" t="n">
        <v>0.1</v>
      </c>
      <c r="H3293" s="891" t="n">
        <f aca="false">E3293*F3293*G3293</f>
        <v>675500</v>
      </c>
      <c r="I3293" s="891" t="n">
        <f aca="false">F3293-H3293</f>
        <v>-193000</v>
      </c>
      <c r="J3293" s="1365" t="n">
        <f aca="false">F3293*G3293</f>
        <v>48250</v>
      </c>
      <c r="K3293" s="1365" t="n">
        <f aca="false">J3293/1792.8</f>
        <v>26.913208389112</v>
      </c>
      <c r="L3293" s="891" t="n">
        <v>3.6</v>
      </c>
      <c r="M3293" s="1273" t="n">
        <f aca="false">K3293*L3293/60</f>
        <v>1.61479250334672</v>
      </c>
    </row>
    <row r="3294" customFormat="false" ht="15" hidden="false" customHeight="false" outlineLevel="0" collapsed="false">
      <c r="A3294" s="28"/>
      <c r="B3294" s="78"/>
      <c r="C3294" s="40" t="s">
        <v>7159</v>
      </c>
      <c r="D3294" s="316" t="n">
        <v>2007</v>
      </c>
      <c r="E3294" s="912" t="n">
        <f aca="false">2021-D3294</f>
        <v>14</v>
      </c>
      <c r="F3294" s="891" t="n">
        <v>68000</v>
      </c>
      <c r="G3294" s="1364" t="n">
        <v>0.1</v>
      </c>
      <c r="H3294" s="891" t="n">
        <f aca="false">E3294*F3294*G3294</f>
        <v>95200</v>
      </c>
      <c r="I3294" s="891" t="n">
        <f aca="false">F3294-H3294</f>
        <v>-27200</v>
      </c>
      <c r="J3294" s="1365" t="n">
        <f aca="false">F3294*G3294</f>
        <v>6800</v>
      </c>
      <c r="K3294" s="1365" t="n">
        <f aca="false">J3294/1792.8</f>
        <v>3.79294957608211</v>
      </c>
      <c r="L3294" s="891" t="n">
        <v>9.6</v>
      </c>
      <c r="M3294" s="1273" t="n">
        <f aca="false">K3294*L3294/60</f>
        <v>0.606871932173137</v>
      </c>
    </row>
    <row r="3295" customFormat="false" ht="15" hidden="false" customHeight="false" outlineLevel="0" collapsed="false">
      <c r="A3295" s="28"/>
      <c r="B3295" s="972" t="s">
        <v>4128</v>
      </c>
      <c r="C3295" s="1053"/>
      <c r="D3295" s="965"/>
      <c r="E3295" s="912"/>
      <c r="F3295" s="1490"/>
      <c r="G3295" s="1372"/>
      <c r="H3295" s="1490"/>
      <c r="I3295" s="1490"/>
      <c r="J3295" s="1370"/>
      <c r="K3295" s="1365" t="n">
        <f aca="false">J3295/1792.8</f>
        <v>0</v>
      </c>
      <c r="L3295" s="1490"/>
      <c r="M3295" s="1366" t="n">
        <f aca="false">SUM(M3289:M3294)</f>
        <v>28.6901773761714</v>
      </c>
    </row>
    <row r="3296" customFormat="false" ht="45" hidden="false" customHeight="false" outlineLevel="0" collapsed="false">
      <c r="A3296" s="28" t="s">
        <v>1788</v>
      </c>
      <c r="B3296" s="40" t="s">
        <v>3631</v>
      </c>
      <c r="C3296" s="40" t="s">
        <v>7154</v>
      </c>
      <c r="D3296" s="316" t="n">
        <v>2007</v>
      </c>
      <c r="E3296" s="912" t="n">
        <f aca="false">2021-D3296</f>
        <v>14</v>
      </c>
      <c r="F3296" s="891" t="n">
        <v>407000</v>
      </c>
      <c r="G3296" s="1364" t="n">
        <v>0.1</v>
      </c>
      <c r="H3296" s="891" t="n">
        <f aca="false">E3296*F3296*G3296</f>
        <v>569800</v>
      </c>
      <c r="I3296" s="891" t="n">
        <f aca="false">F3296-H3296</f>
        <v>-162800</v>
      </c>
      <c r="J3296" s="1365" t="n">
        <f aca="false">F3296*G3296</f>
        <v>40700</v>
      </c>
      <c r="K3296" s="1365" t="n">
        <f aca="false">J3296/1792.8</f>
        <v>22.7019187862561</v>
      </c>
      <c r="L3296" s="891" t="n">
        <v>28.8</v>
      </c>
      <c r="M3296" s="1273" t="n">
        <f aca="false">K3296*L3296/60</f>
        <v>10.8969210174029</v>
      </c>
    </row>
    <row r="3297" customFormat="false" ht="15" hidden="false" customHeight="false" outlineLevel="0" collapsed="false">
      <c r="A3297" s="28"/>
      <c r="B3297" s="78"/>
      <c r="C3297" s="40" t="s">
        <v>7155</v>
      </c>
      <c r="D3297" s="316" t="n">
        <v>2007</v>
      </c>
      <c r="E3297" s="912" t="n">
        <f aca="false">2021-D3297</f>
        <v>14</v>
      </c>
      <c r="F3297" s="891" t="n">
        <v>810000</v>
      </c>
      <c r="G3297" s="1364" t="n">
        <v>0.1</v>
      </c>
      <c r="H3297" s="891" t="n">
        <f aca="false">E3297*F3297*G3297</f>
        <v>1134000</v>
      </c>
      <c r="I3297" s="891" t="n">
        <f aca="false">F3297-H3297</f>
        <v>-324000</v>
      </c>
      <c r="J3297" s="1365" t="n">
        <f aca="false">F3297*G3297</f>
        <v>81000</v>
      </c>
      <c r="K3297" s="1365" t="n">
        <f aca="false">J3297/1792.8</f>
        <v>45.1807228915663</v>
      </c>
      <c r="L3297" s="891" t="n">
        <v>4.8</v>
      </c>
      <c r="M3297" s="1273" t="n">
        <f aca="false">K3297*L3297/60</f>
        <v>3.6144578313253</v>
      </c>
    </row>
    <row r="3298" customFormat="false" ht="15" hidden="false" customHeight="false" outlineLevel="0" collapsed="false">
      <c r="A3298" s="28"/>
      <c r="B3298" s="78"/>
      <c r="C3298" s="40" t="s">
        <v>7156</v>
      </c>
      <c r="D3298" s="316" t="n">
        <v>2015</v>
      </c>
      <c r="E3298" s="912" t="n">
        <f aca="false">2021-D3298</f>
        <v>6</v>
      </c>
      <c r="F3298" s="891" t="n">
        <v>694025</v>
      </c>
      <c r="G3298" s="1364" t="n">
        <v>0.1</v>
      </c>
      <c r="H3298" s="891" t="n">
        <f aca="false">E3298*F3298*G3298</f>
        <v>416415</v>
      </c>
      <c r="I3298" s="891" t="n">
        <f aca="false">F3298-H3298</f>
        <v>277610</v>
      </c>
      <c r="J3298" s="1365" t="n">
        <f aca="false">F3298*G3298</f>
        <v>69402.5</v>
      </c>
      <c r="K3298" s="1365" t="n">
        <f aca="false">J3298/1792.8</f>
        <v>38.711791610888</v>
      </c>
      <c r="L3298" s="891" t="n">
        <v>18</v>
      </c>
      <c r="M3298" s="1273" t="n">
        <f aca="false">K3298*L3298/60</f>
        <v>11.6135374832664</v>
      </c>
    </row>
    <row r="3299" customFormat="false" ht="15" hidden="false" customHeight="false" outlineLevel="0" collapsed="false">
      <c r="A3299" s="28"/>
      <c r="B3299" s="78"/>
      <c r="C3299" s="40" t="s">
        <v>7157</v>
      </c>
      <c r="D3299" s="316" t="n">
        <v>2006</v>
      </c>
      <c r="E3299" s="912" t="n">
        <f aca="false">2021-D3299</f>
        <v>15</v>
      </c>
      <c r="F3299" s="891" t="n">
        <v>77000</v>
      </c>
      <c r="G3299" s="1364" t="n">
        <v>0.05</v>
      </c>
      <c r="H3299" s="891" t="n">
        <f aca="false">E3299*F3299*G3299</f>
        <v>57750</v>
      </c>
      <c r="I3299" s="891" t="n">
        <f aca="false">F3299-H3299</f>
        <v>19250</v>
      </c>
      <c r="J3299" s="1365" t="n">
        <f aca="false">F3299*G3299</f>
        <v>3850</v>
      </c>
      <c r="K3299" s="1365" t="n">
        <f aca="false">J3299/1792.8</f>
        <v>2.14747880410531</v>
      </c>
      <c r="L3299" s="891" t="n">
        <v>9.6</v>
      </c>
      <c r="M3299" s="1273" t="n">
        <f aca="false">K3299*L3299/60</f>
        <v>0.34359660865685</v>
      </c>
    </row>
    <row r="3300" customFormat="false" ht="15" hidden="false" customHeight="false" outlineLevel="0" collapsed="false">
      <c r="A3300" s="28"/>
      <c r="B3300" s="1053"/>
      <c r="C3300" s="40" t="s">
        <v>7158</v>
      </c>
      <c r="D3300" s="316" t="n">
        <v>2007</v>
      </c>
      <c r="E3300" s="912" t="n">
        <f aca="false">2021-D3300</f>
        <v>14</v>
      </c>
      <c r="F3300" s="891" t="n">
        <v>482500</v>
      </c>
      <c r="G3300" s="1364" t="n">
        <v>0.1</v>
      </c>
      <c r="H3300" s="891" t="n">
        <f aca="false">E3300*F3300*G3300</f>
        <v>675500</v>
      </c>
      <c r="I3300" s="891" t="n">
        <f aca="false">F3300-H3300</f>
        <v>-193000</v>
      </c>
      <c r="J3300" s="1365" t="n">
        <f aca="false">F3300*G3300</f>
        <v>48250</v>
      </c>
      <c r="K3300" s="1365" t="n">
        <f aca="false">J3300/1792.8</f>
        <v>26.913208389112</v>
      </c>
      <c r="L3300" s="891" t="n">
        <v>3.6</v>
      </c>
      <c r="M3300" s="1273" t="n">
        <f aca="false">K3300*L3300/60</f>
        <v>1.61479250334672</v>
      </c>
    </row>
    <row r="3301" customFormat="false" ht="15" hidden="false" customHeight="false" outlineLevel="0" collapsed="false">
      <c r="A3301" s="28"/>
      <c r="B3301" s="1053"/>
      <c r="C3301" s="40" t="s">
        <v>7159</v>
      </c>
      <c r="D3301" s="316" t="n">
        <v>2007</v>
      </c>
      <c r="E3301" s="912" t="n">
        <f aca="false">2021-D3301</f>
        <v>14</v>
      </c>
      <c r="F3301" s="891" t="n">
        <v>68000</v>
      </c>
      <c r="G3301" s="1364" t="n">
        <v>0.1</v>
      </c>
      <c r="H3301" s="891" t="n">
        <f aca="false">E3301*F3301*G3301</f>
        <v>95200</v>
      </c>
      <c r="I3301" s="891" t="n">
        <f aca="false">F3301-H3301</f>
        <v>-27200</v>
      </c>
      <c r="J3301" s="1365" t="n">
        <f aca="false">F3301*G3301</f>
        <v>6800</v>
      </c>
      <c r="K3301" s="1365" t="n">
        <f aca="false">J3301/1792.8</f>
        <v>3.79294957608211</v>
      </c>
      <c r="L3301" s="891" t="n">
        <v>9.6</v>
      </c>
      <c r="M3301" s="1273" t="n">
        <f aca="false">K3301*L3301/60</f>
        <v>0.606871932173137</v>
      </c>
    </row>
    <row r="3302" customFormat="false" ht="15" hidden="false" customHeight="false" outlineLevel="0" collapsed="false">
      <c r="A3302" s="28"/>
      <c r="B3302" s="40"/>
      <c r="C3302" s="40" t="s">
        <v>7160</v>
      </c>
      <c r="D3302" s="316" t="n">
        <v>2006</v>
      </c>
      <c r="E3302" s="912" t="n">
        <f aca="false">2021-D3302</f>
        <v>15</v>
      </c>
      <c r="F3302" s="891" t="n">
        <v>139017</v>
      </c>
      <c r="G3302" s="1364" t="n">
        <v>0.1</v>
      </c>
      <c r="H3302" s="891" t="n">
        <f aca="false">E3302*F3302*G3302</f>
        <v>208525.5</v>
      </c>
      <c r="I3302" s="891" t="n">
        <f aca="false">F3302-H3302</f>
        <v>-69508.5</v>
      </c>
      <c r="J3302" s="1365" t="n">
        <f aca="false">F3302*G3302</f>
        <v>13901.7</v>
      </c>
      <c r="K3302" s="1365" t="n">
        <f aca="false">J3302/1792.8</f>
        <v>7.75418340026774</v>
      </c>
      <c r="L3302" s="891" t="n">
        <v>5</v>
      </c>
      <c r="M3302" s="1273" t="n">
        <f aca="false">K3302*L3302/60</f>
        <v>0.646181950022312</v>
      </c>
    </row>
    <row r="3303" customFormat="false" ht="15" hidden="false" customHeight="false" outlineLevel="0" collapsed="false">
      <c r="A3303" s="28"/>
      <c r="B3303" s="972" t="s">
        <v>4128</v>
      </c>
      <c r="C3303" s="1053"/>
      <c r="D3303" s="965"/>
      <c r="E3303" s="912"/>
      <c r="F3303" s="1490"/>
      <c r="G3303" s="1490"/>
      <c r="H3303" s="1490"/>
      <c r="I3303" s="1490"/>
      <c r="J3303" s="1490"/>
      <c r="K3303" s="1365" t="n">
        <f aca="false">J3303/1792.8</f>
        <v>0</v>
      </c>
      <c r="L3303" s="1490"/>
      <c r="M3303" s="1366" t="n">
        <f aca="false">SUM(M3296:M3302)</f>
        <v>29.3363593261937</v>
      </c>
    </row>
    <row r="3304" customFormat="false" ht="30" hidden="false" customHeight="false" outlineLevel="0" collapsed="false">
      <c r="A3304" s="28" t="s">
        <v>1790</v>
      </c>
      <c r="B3304" s="40" t="s">
        <v>3635</v>
      </c>
      <c r="C3304" s="40" t="s">
        <v>7154</v>
      </c>
      <c r="D3304" s="316" t="n">
        <v>2007</v>
      </c>
      <c r="E3304" s="912" t="n">
        <f aca="false">2021-D3304</f>
        <v>14</v>
      </c>
      <c r="F3304" s="891"/>
      <c r="G3304" s="1364" t="n">
        <v>0.1</v>
      </c>
      <c r="H3304" s="891" t="n">
        <f aca="false">E3304*F3304*G3304</f>
        <v>0</v>
      </c>
      <c r="I3304" s="891" t="n">
        <f aca="false">F3304-H3304</f>
        <v>0</v>
      </c>
      <c r="J3304" s="1365" t="n">
        <f aca="false">F3304*G3304</f>
        <v>0</v>
      </c>
      <c r="K3304" s="1365" t="n">
        <f aca="false">J3304/1792.8</f>
        <v>0</v>
      </c>
      <c r="L3304" s="891" t="n">
        <v>20</v>
      </c>
      <c r="M3304" s="1273" t="n">
        <f aca="false">K3304*L3304/60</f>
        <v>0</v>
      </c>
    </row>
    <row r="3305" customFormat="false" ht="15" hidden="false" customHeight="false" outlineLevel="0" collapsed="false">
      <c r="A3305" s="28"/>
      <c r="B3305" s="972"/>
      <c r="C3305" s="40" t="s">
        <v>7155</v>
      </c>
      <c r="D3305" s="316" t="n">
        <v>2007</v>
      </c>
      <c r="E3305" s="912" t="n">
        <f aca="false">2021-D3305</f>
        <v>14</v>
      </c>
      <c r="F3305" s="891" t="n">
        <v>810000</v>
      </c>
      <c r="G3305" s="1364" t="n">
        <v>0.1</v>
      </c>
      <c r="H3305" s="891" t="n">
        <f aca="false">E3305*F3305*G3305</f>
        <v>1134000</v>
      </c>
      <c r="I3305" s="891" t="n">
        <f aca="false">F3305-H3305</f>
        <v>-324000</v>
      </c>
      <c r="J3305" s="1365" t="n">
        <f aca="false">F3305*G3305</f>
        <v>81000</v>
      </c>
      <c r="K3305" s="1365" t="n">
        <f aca="false">J3305/1792.8</f>
        <v>45.1807228915663</v>
      </c>
      <c r="L3305" s="891" t="n">
        <v>4</v>
      </c>
      <c r="M3305" s="1273" t="n">
        <f aca="false">K3305*L3305/60</f>
        <v>3.01204819277108</v>
      </c>
    </row>
    <row r="3306" customFormat="false" ht="15" hidden="false" customHeight="false" outlineLevel="0" collapsed="false">
      <c r="A3306" s="28"/>
      <c r="B3306" s="972"/>
      <c r="C3306" s="40" t="s">
        <v>7156</v>
      </c>
      <c r="D3306" s="316" t="n">
        <v>2005</v>
      </c>
      <c r="E3306" s="912" t="n">
        <f aca="false">2021-D3306</f>
        <v>16</v>
      </c>
      <c r="F3306" s="891" t="n">
        <v>125000</v>
      </c>
      <c r="G3306" s="1364" t="n">
        <v>0.1</v>
      </c>
      <c r="H3306" s="891" t="n">
        <f aca="false">E3306*F3306*G3306</f>
        <v>200000</v>
      </c>
      <c r="I3306" s="891" t="n">
        <f aca="false">F3306-H3306</f>
        <v>-75000</v>
      </c>
      <c r="J3306" s="1365" t="n">
        <f aca="false">F3306*G3306</f>
        <v>12500</v>
      </c>
      <c r="K3306" s="1365" t="n">
        <f aca="false">J3306/1792.8</f>
        <v>6.9723337795627</v>
      </c>
      <c r="L3306" s="891" t="n">
        <v>10</v>
      </c>
      <c r="M3306" s="1273" t="n">
        <f aca="false">K3306*L3306/60</f>
        <v>1.16205562992712</v>
      </c>
    </row>
    <row r="3307" customFormat="false" ht="15" hidden="false" customHeight="false" outlineLevel="0" collapsed="false">
      <c r="A3307" s="28"/>
      <c r="B3307" s="972"/>
      <c r="C3307" s="40" t="s">
        <v>7157</v>
      </c>
      <c r="D3307" s="316" t="n">
        <v>2006</v>
      </c>
      <c r="E3307" s="912" t="n">
        <f aca="false">2021-D3307</f>
        <v>15</v>
      </c>
      <c r="F3307" s="891" t="n">
        <v>77000</v>
      </c>
      <c r="G3307" s="1364" t="n">
        <v>0.05</v>
      </c>
      <c r="H3307" s="891" t="n">
        <f aca="false">E3307*F3307*G3307</f>
        <v>57750</v>
      </c>
      <c r="I3307" s="891" t="n">
        <f aca="false">F3307-H3307</f>
        <v>19250</v>
      </c>
      <c r="J3307" s="1365" t="n">
        <f aca="false">F3307*G3307</f>
        <v>3850</v>
      </c>
      <c r="K3307" s="1365" t="n">
        <f aca="false">J3307/1792.8</f>
        <v>2.14747880410531</v>
      </c>
      <c r="L3307" s="891" t="n">
        <v>5</v>
      </c>
      <c r="M3307" s="1273" t="n">
        <f aca="false">K3307*L3307/60</f>
        <v>0.178956567008776</v>
      </c>
    </row>
    <row r="3308" customFormat="false" ht="15" hidden="false" customHeight="false" outlineLevel="0" collapsed="false">
      <c r="A3308" s="28"/>
      <c r="B3308" s="972"/>
      <c r="C3308" s="40" t="s">
        <v>7158</v>
      </c>
      <c r="D3308" s="316" t="n">
        <v>2007</v>
      </c>
      <c r="E3308" s="912" t="n">
        <f aca="false">2021-D3308</f>
        <v>14</v>
      </c>
      <c r="F3308" s="891" t="n">
        <v>482500</v>
      </c>
      <c r="G3308" s="1364" t="n">
        <v>0.1</v>
      </c>
      <c r="H3308" s="891" t="n">
        <f aca="false">E3308*F3308*G3308</f>
        <v>675500</v>
      </c>
      <c r="I3308" s="891" t="n">
        <f aca="false">F3308-H3308</f>
        <v>-193000</v>
      </c>
      <c r="J3308" s="1365" t="n">
        <f aca="false">F3308*G3308</f>
        <v>48250</v>
      </c>
      <c r="K3308" s="1365" t="n">
        <f aca="false">J3308/1792.8</f>
        <v>26.913208389112</v>
      </c>
      <c r="L3308" s="891" t="n">
        <v>5</v>
      </c>
      <c r="M3308" s="1273" t="n">
        <f aca="false">K3308*L3308/60</f>
        <v>2.24276736575933</v>
      </c>
    </row>
    <row r="3309" customFormat="false" ht="15" hidden="false" customHeight="false" outlineLevel="0" collapsed="false">
      <c r="A3309" s="28"/>
      <c r="B3309" s="972"/>
      <c r="C3309" s="40" t="s">
        <v>7159</v>
      </c>
      <c r="D3309" s="316" t="n">
        <v>2007</v>
      </c>
      <c r="E3309" s="912" t="n">
        <f aca="false">2021-D3309</f>
        <v>14</v>
      </c>
      <c r="F3309" s="891" t="n">
        <v>68000</v>
      </c>
      <c r="G3309" s="1364" t="n">
        <v>0.1</v>
      </c>
      <c r="H3309" s="891" t="n">
        <f aca="false">E3309*F3309*G3309</f>
        <v>95200</v>
      </c>
      <c r="I3309" s="891" t="n">
        <f aca="false">F3309-H3309</f>
        <v>-27200</v>
      </c>
      <c r="J3309" s="1365" t="n">
        <f aca="false">F3309*G3309</f>
        <v>6800</v>
      </c>
      <c r="K3309" s="1365" t="n">
        <f aca="false">J3309/1792.8</f>
        <v>3.79294957608211</v>
      </c>
      <c r="L3309" s="891" t="n">
        <v>10</v>
      </c>
      <c r="M3309" s="1273" t="n">
        <f aca="false">K3309*L3309/60</f>
        <v>0.632158262680351</v>
      </c>
    </row>
    <row r="3310" customFormat="false" ht="15" hidden="false" customHeight="false" outlineLevel="0" collapsed="false">
      <c r="A3310" s="28"/>
      <c r="B3310" s="972"/>
      <c r="C3310" s="40" t="s">
        <v>7161</v>
      </c>
      <c r="D3310" s="316" t="n">
        <v>2007</v>
      </c>
      <c r="E3310" s="912" t="n">
        <f aca="false">2021-D3310</f>
        <v>14</v>
      </c>
      <c r="F3310" s="891" t="n">
        <v>1849800</v>
      </c>
      <c r="G3310" s="1364" t="n">
        <v>0.1</v>
      </c>
      <c r="H3310" s="891" t="n">
        <f aca="false">E3310*F3310*G3310</f>
        <v>2589720</v>
      </c>
      <c r="I3310" s="891" t="n">
        <f aca="false">F3310-H3310</f>
        <v>-739920</v>
      </c>
      <c r="J3310" s="1365" t="n">
        <f aca="false">F3310*G3310</f>
        <v>184980</v>
      </c>
      <c r="K3310" s="1365" t="n">
        <f aca="false">J3310/1792.8</f>
        <v>103.179384203481</v>
      </c>
      <c r="L3310" s="891" t="n">
        <v>5</v>
      </c>
      <c r="M3310" s="1273" t="n">
        <f aca="false">K3310*L3310/60</f>
        <v>8.59828201695672</v>
      </c>
    </row>
    <row r="3311" customFormat="false" ht="15" hidden="false" customHeight="false" outlineLevel="0" collapsed="false">
      <c r="A3311" s="28"/>
      <c r="B3311" s="972"/>
      <c r="C3311" s="1053"/>
      <c r="D3311" s="965"/>
      <c r="E3311" s="912"/>
      <c r="F3311" s="1490"/>
      <c r="G3311" s="1490"/>
      <c r="H3311" s="891"/>
      <c r="I3311" s="891"/>
      <c r="J3311" s="1365"/>
      <c r="K3311" s="1365" t="n">
        <f aca="false">J3311/1792.8</f>
        <v>0</v>
      </c>
      <c r="L3311" s="1490"/>
      <c r="M3311" s="1366" t="n">
        <f aca="false">SUM(M3304:M3310)</f>
        <v>15.8262680351034</v>
      </c>
    </row>
    <row r="3312" customFormat="false" ht="45" hidden="false" customHeight="false" outlineLevel="0" collapsed="false">
      <c r="A3312" s="28" t="s">
        <v>1792</v>
      </c>
      <c r="B3312" s="40" t="s">
        <v>3636</v>
      </c>
      <c r="C3312" s="40" t="s">
        <v>7160</v>
      </c>
      <c r="D3312" s="316" t="n">
        <v>1994</v>
      </c>
      <c r="E3312" s="912" t="n">
        <f aca="false">2021-D3312</f>
        <v>27</v>
      </c>
      <c r="F3312" s="891" t="n">
        <v>156540</v>
      </c>
      <c r="G3312" s="1364" t="n">
        <v>0.1</v>
      </c>
      <c r="H3312" s="891" t="n">
        <v>156540</v>
      </c>
      <c r="I3312" s="891" t="n">
        <f aca="false">F3312-H3312</f>
        <v>0</v>
      </c>
      <c r="J3312" s="1365" t="n">
        <f aca="false">F3312*G3312</f>
        <v>15654</v>
      </c>
      <c r="K3312" s="1365" t="n">
        <f aca="false">J3312/1792.8</f>
        <v>8.73159303882196</v>
      </c>
      <c r="L3312" s="891" t="n">
        <v>5</v>
      </c>
      <c r="M3312" s="1273" t="n">
        <f aca="false">K3312*L3312/60</f>
        <v>0.727632753235163</v>
      </c>
    </row>
    <row r="3313" customFormat="false" ht="15" hidden="false" customHeight="false" outlineLevel="0" collapsed="false">
      <c r="A3313" s="28"/>
      <c r="B3313" s="40"/>
      <c r="C3313" s="40" t="s">
        <v>7158</v>
      </c>
      <c r="D3313" s="316" t="n">
        <v>2007</v>
      </c>
      <c r="E3313" s="912" t="n">
        <f aca="false">2021-D3313</f>
        <v>14</v>
      </c>
      <c r="F3313" s="891" t="n">
        <v>482500</v>
      </c>
      <c r="G3313" s="1364" t="n">
        <v>0.1</v>
      </c>
      <c r="H3313" s="891" t="n">
        <f aca="false">E3313*F3313*G3313</f>
        <v>675500</v>
      </c>
      <c r="I3313" s="891" t="n">
        <f aca="false">F3313-H3313</f>
        <v>-193000</v>
      </c>
      <c r="J3313" s="1365" t="n">
        <f aca="false">F3313*G3313</f>
        <v>48250</v>
      </c>
      <c r="K3313" s="1365" t="n">
        <f aca="false">J3313/1792.8</f>
        <v>26.913208389112</v>
      </c>
      <c r="L3313" s="891" t="n">
        <v>3</v>
      </c>
      <c r="M3313" s="1273" t="n">
        <f aca="false">K3313*L3313/60</f>
        <v>1.3456604194556</v>
      </c>
    </row>
    <row r="3314" customFormat="false" ht="15" hidden="false" customHeight="false" outlineLevel="0" collapsed="false">
      <c r="A3314" s="28"/>
      <c r="B3314" s="1053"/>
      <c r="C3314" s="59" t="s">
        <v>7162</v>
      </c>
      <c r="D3314" s="316" t="n">
        <v>2007</v>
      </c>
      <c r="E3314" s="912" t="n">
        <f aca="false">2021-D3314</f>
        <v>14</v>
      </c>
      <c r="F3314" s="891" t="n">
        <v>46650</v>
      </c>
      <c r="G3314" s="1364" t="n">
        <v>0.1</v>
      </c>
      <c r="H3314" s="891" t="n">
        <f aca="false">E3314*F3314*G3314</f>
        <v>65310</v>
      </c>
      <c r="I3314" s="891" t="n">
        <f aca="false">F3314-H3314</f>
        <v>-18660</v>
      </c>
      <c r="J3314" s="1365" t="n">
        <f aca="false">F3314*G3314</f>
        <v>4665</v>
      </c>
      <c r="K3314" s="1365" t="n">
        <f aca="false">J3314/1792.8</f>
        <v>2.6020749665328</v>
      </c>
      <c r="L3314" s="891" t="n">
        <v>10</v>
      </c>
      <c r="M3314" s="1273" t="n">
        <f aca="false">K3314*L3314/60</f>
        <v>0.4336791610888</v>
      </c>
    </row>
    <row r="3315" customFormat="false" ht="15" hidden="false" customHeight="false" outlineLevel="0" collapsed="false">
      <c r="A3315" s="28"/>
      <c r="B3315" s="1053"/>
      <c r="C3315" s="40" t="s">
        <v>7161</v>
      </c>
      <c r="D3315" s="316" t="n">
        <v>2007</v>
      </c>
      <c r="E3315" s="912" t="n">
        <f aca="false">2021-D3315</f>
        <v>14</v>
      </c>
      <c r="F3315" s="891" t="n">
        <v>1849800</v>
      </c>
      <c r="G3315" s="1364" t="n">
        <v>0.1</v>
      </c>
      <c r="H3315" s="891" t="n">
        <f aca="false">E3315*F3315*G3315</f>
        <v>2589720</v>
      </c>
      <c r="I3315" s="891" t="n">
        <f aca="false">F3315-H3315</f>
        <v>-739920</v>
      </c>
      <c r="J3315" s="1365" t="n">
        <f aca="false">F3315*G3315</f>
        <v>184980</v>
      </c>
      <c r="K3315" s="1365" t="n">
        <f aca="false">J3315/1792.8</f>
        <v>103.179384203481</v>
      </c>
      <c r="L3315" s="891" t="n">
        <v>5</v>
      </c>
      <c r="M3315" s="1273" t="n">
        <f aca="false">K3315*L3315/60</f>
        <v>8.59828201695672</v>
      </c>
    </row>
    <row r="3316" customFormat="false" ht="15" hidden="false" customHeight="false" outlineLevel="0" collapsed="false">
      <c r="A3316" s="28"/>
      <c r="B3316" s="972" t="s">
        <v>4128</v>
      </c>
      <c r="C3316" s="1053"/>
      <c r="D3316" s="965"/>
      <c r="E3316" s="912"/>
      <c r="F3316" s="1490"/>
      <c r="G3316" s="1490"/>
      <c r="H3316" s="1490"/>
      <c r="I3316" s="1490"/>
      <c r="J3316" s="1490"/>
      <c r="K3316" s="1365" t="n">
        <f aca="false">J3316/1792.8</f>
        <v>0</v>
      </c>
      <c r="L3316" s="1490"/>
      <c r="M3316" s="1366" t="n">
        <f aca="false">SUM(M3312:M3315)</f>
        <v>11.1052543507363</v>
      </c>
    </row>
    <row r="3317" customFormat="false" ht="30" hidden="false" customHeight="false" outlineLevel="0" collapsed="false">
      <c r="A3317" s="28" t="s">
        <v>1794</v>
      </c>
      <c r="B3317" s="40" t="s">
        <v>3634</v>
      </c>
      <c r="C3317" s="40" t="s">
        <v>7154</v>
      </c>
      <c r="D3317" s="316" t="n">
        <v>2007</v>
      </c>
      <c r="E3317" s="912" t="n">
        <f aca="false">2021-D3317</f>
        <v>14</v>
      </c>
      <c r="F3317" s="891"/>
      <c r="G3317" s="1364" t="n">
        <v>0.1</v>
      </c>
      <c r="H3317" s="891" t="n">
        <f aca="false">E3317*F3317*G3317</f>
        <v>0</v>
      </c>
      <c r="I3317" s="891" t="n">
        <f aca="false">F3317-H3317</f>
        <v>0</v>
      </c>
      <c r="J3317" s="1365" t="n">
        <f aca="false">F3317*G3317</f>
        <v>0</v>
      </c>
      <c r="K3317" s="1365" t="n">
        <f aca="false">J3317/1792.8</f>
        <v>0</v>
      </c>
      <c r="L3317" s="891" t="n">
        <v>20</v>
      </c>
      <c r="M3317" s="1273" t="n">
        <f aca="false">K3317*L3317/60</f>
        <v>0</v>
      </c>
    </row>
    <row r="3318" customFormat="false" ht="15" hidden="false" customHeight="false" outlineLevel="0" collapsed="false">
      <c r="A3318" s="28"/>
      <c r="B3318" s="1053"/>
      <c r="C3318" s="40" t="s">
        <v>7158</v>
      </c>
      <c r="D3318" s="316" t="n">
        <v>2007</v>
      </c>
      <c r="E3318" s="912" t="n">
        <f aca="false">2021-D3318</f>
        <v>14</v>
      </c>
      <c r="F3318" s="891" t="n">
        <v>482500</v>
      </c>
      <c r="G3318" s="1364" t="n">
        <v>0.1</v>
      </c>
      <c r="H3318" s="891" t="n">
        <f aca="false">E3318*F3318*G3318</f>
        <v>675500</v>
      </c>
      <c r="I3318" s="891" t="n">
        <f aca="false">F3318-H3318</f>
        <v>-193000</v>
      </c>
      <c r="J3318" s="1365" t="n">
        <f aca="false">F3318*G3318</f>
        <v>48250</v>
      </c>
      <c r="K3318" s="1365" t="n">
        <f aca="false">J3318/1792.8</f>
        <v>26.913208389112</v>
      </c>
      <c r="L3318" s="891" t="n">
        <v>3</v>
      </c>
      <c r="M3318" s="1273" t="n">
        <f aca="false">K3318*L3318/60</f>
        <v>1.3456604194556</v>
      </c>
    </row>
    <row r="3319" customFormat="false" ht="15" hidden="false" customHeight="false" outlineLevel="0" collapsed="false">
      <c r="A3319" s="28"/>
      <c r="B3319" s="1053"/>
      <c r="C3319" s="59" t="s">
        <v>7162</v>
      </c>
      <c r="D3319" s="316" t="n">
        <v>2007</v>
      </c>
      <c r="E3319" s="912" t="n">
        <f aca="false">2021-D3319</f>
        <v>14</v>
      </c>
      <c r="F3319" s="891" t="n">
        <v>46650</v>
      </c>
      <c r="G3319" s="1364" t="n">
        <v>0.1</v>
      </c>
      <c r="H3319" s="891" t="n">
        <f aca="false">E3319*F3319*G3319</f>
        <v>65310</v>
      </c>
      <c r="I3319" s="891" t="n">
        <f aca="false">F3319-H3319</f>
        <v>-18660</v>
      </c>
      <c r="J3319" s="1365" t="n">
        <f aca="false">F3319*G3319</f>
        <v>4665</v>
      </c>
      <c r="K3319" s="1365" t="n">
        <f aca="false">J3319/1792.8</f>
        <v>2.6020749665328</v>
      </c>
      <c r="L3319" s="891" t="n">
        <v>10</v>
      </c>
      <c r="M3319" s="1273" t="n">
        <f aca="false">K3319*L3319/60</f>
        <v>0.4336791610888</v>
      </c>
    </row>
    <row r="3320" customFormat="false" ht="15" hidden="false" customHeight="false" outlineLevel="0" collapsed="false">
      <c r="A3320" s="28"/>
      <c r="B3320" s="40"/>
      <c r="C3320" s="40" t="s">
        <v>7161</v>
      </c>
      <c r="D3320" s="316" t="n">
        <v>2007</v>
      </c>
      <c r="E3320" s="912" t="n">
        <f aca="false">2021-D3320</f>
        <v>14</v>
      </c>
      <c r="F3320" s="891" t="n">
        <v>1849800</v>
      </c>
      <c r="G3320" s="1364" t="n">
        <v>0.1</v>
      </c>
      <c r="H3320" s="891" t="n">
        <f aca="false">E3320*F3320*G3320</f>
        <v>2589720</v>
      </c>
      <c r="I3320" s="891" t="n">
        <f aca="false">F3320-H3320</f>
        <v>-739920</v>
      </c>
      <c r="J3320" s="1365" t="n">
        <f aca="false">F3320*G3320</f>
        <v>184980</v>
      </c>
      <c r="K3320" s="1365" t="n">
        <f aca="false">J3320/1792.8</f>
        <v>103.179384203481</v>
      </c>
      <c r="L3320" s="891" t="n">
        <v>5</v>
      </c>
      <c r="M3320" s="1273" t="n">
        <f aca="false">K3320*L3320/60</f>
        <v>8.59828201695672</v>
      </c>
    </row>
    <row r="3321" customFormat="false" ht="15" hidden="false" customHeight="false" outlineLevel="0" collapsed="false">
      <c r="A3321" s="28"/>
      <c r="B3321" s="972" t="s">
        <v>4128</v>
      </c>
      <c r="C3321" s="40"/>
      <c r="D3321" s="316"/>
      <c r="E3321" s="912"/>
      <c r="F3321" s="891"/>
      <c r="G3321" s="1364"/>
      <c r="H3321" s="891"/>
      <c r="I3321" s="891"/>
      <c r="J3321" s="1365"/>
      <c r="K3321" s="1365" t="n">
        <f aca="false">J3321/1792.8</f>
        <v>0</v>
      </c>
      <c r="L3321" s="891"/>
      <c r="M3321" s="1366" t="n">
        <f aca="false">SUM(M3317:M3320)</f>
        <v>10.3776215975011</v>
      </c>
    </row>
    <row r="3322" customFormat="false" ht="30" hidden="false" customHeight="false" outlineLevel="0" collapsed="false">
      <c r="A3322" s="28" t="s">
        <v>1796</v>
      </c>
      <c r="B3322" s="40" t="s">
        <v>3635</v>
      </c>
      <c r="C3322" s="40" t="s">
        <v>7154</v>
      </c>
      <c r="D3322" s="316" t="n">
        <v>2007</v>
      </c>
      <c r="E3322" s="912" t="n">
        <f aca="false">2021-D3322</f>
        <v>14</v>
      </c>
      <c r="F3322" s="891"/>
      <c r="G3322" s="1364" t="n">
        <v>0.1</v>
      </c>
      <c r="H3322" s="891" t="n">
        <f aca="false">E3322*F3322*G3322</f>
        <v>0</v>
      </c>
      <c r="I3322" s="891" t="n">
        <f aca="false">F3322-H3322</f>
        <v>0</v>
      </c>
      <c r="J3322" s="1365" t="n">
        <f aca="false">F3322*G3322</f>
        <v>0</v>
      </c>
      <c r="K3322" s="1365" t="n">
        <f aca="false">J3322/1792.8</f>
        <v>0</v>
      </c>
      <c r="L3322" s="891" t="n">
        <v>20</v>
      </c>
      <c r="M3322" s="1273" t="n">
        <f aca="false">K3322*L3322/60</f>
        <v>0</v>
      </c>
    </row>
    <row r="3323" customFormat="false" ht="15" hidden="false" customHeight="false" outlineLevel="0" collapsed="false">
      <c r="A3323" s="28"/>
      <c r="B3323" s="40"/>
      <c r="C3323" s="40" t="s">
        <v>7155</v>
      </c>
      <c r="D3323" s="316" t="n">
        <v>2007</v>
      </c>
      <c r="E3323" s="912" t="n">
        <f aca="false">2021-D3323</f>
        <v>14</v>
      </c>
      <c r="F3323" s="891" t="n">
        <v>810000</v>
      </c>
      <c r="G3323" s="1364" t="n">
        <v>0.1</v>
      </c>
      <c r="H3323" s="891" t="n">
        <f aca="false">E3323*F3323*G3323</f>
        <v>1134000</v>
      </c>
      <c r="I3323" s="891" t="n">
        <f aca="false">F3323-H3323</f>
        <v>-324000</v>
      </c>
      <c r="J3323" s="1365" t="n">
        <f aca="false">F3323*G3323</f>
        <v>81000</v>
      </c>
      <c r="K3323" s="1365" t="n">
        <f aca="false">J3323/1792.8</f>
        <v>45.1807228915663</v>
      </c>
      <c r="L3323" s="891" t="n">
        <v>3</v>
      </c>
      <c r="M3323" s="1273" t="n">
        <f aca="false">K3323*L3323/60</f>
        <v>2.25903614457831</v>
      </c>
    </row>
    <row r="3324" customFormat="false" ht="15" hidden="false" customHeight="false" outlineLevel="0" collapsed="false">
      <c r="A3324" s="28"/>
      <c r="B3324" s="40"/>
      <c r="C3324" s="40" t="s">
        <v>7156</v>
      </c>
      <c r="D3324" s="316" t="n">
        <v>2005</v>
      </c>
      <c r="E3324" s="912" t="n">
        <f aca="false">2021-D3324</f>
        <v>16</v>
      </c>
      <c r="F3324" s="891" t="n">
        <v>125000</v>
      </c>
      <c r="G3324" s="1364" t="n">
        <v>0.1</v>
      </c>
      <c r="H3324" s="891" t="n">
        <f aca="false">E3324*F3324*G3324</f>
        <v>200000</v>
      </c>
      <c r="I3324" s="891" t="n">
        <f aca="false">F3324-H3324</f>
        <v>-75000</v>
      </c>
      <c r="J3324" s="1365" t="n">
        <f aca="false">F3324*G3324</f>
        <v>12500</v>
      </c>
      <c r="K3324" s="1365" t="n">
        <f aca="false">J3324/1792.8</f>
        <v>6.9723337795627</v>
      </c>
      <c r="L3324" s="902" t="n">
        <v>10</v>
      </c>
      <c r="M3324" s="1273" t="n">
        <f aca="false">K3324*L3324/60</f>
        <v>1.16205562992712</v>
      </c>
    </row>
    <row r="3325" customFormat="false" ht="15" hidden="false" customHeight="false" outlineLevel="0" collapsed="false">
      <c r="A3325" s="28"/>
      <c r="B3325" s="40"/>
      <c r="C3325" s="40" t="s">
        <v>7157</v>
      </c>
      <c r="D3325" s="316" t="n">
        <v>2006</v>
      </c>
      <c r="E3325" s="912" t="n">
        <f aca="false">2021-D3325</f>
        <v>15</v>
      </c>
      <c r="F3325" s="891" t="n">
        <v>77000</v>
      </c>
      <c r="G3325" s="1364" t="n">
        <v>0.05</v>
      </c>
      <c r="H3325" s="891" t="n">
        <f aca="false">E3325*F3325*G3325</f>
        <v>57750</v>
      </c>
      <c r="I3325" s="891" t="n">
        <f aca="false">F3325-H3325</f>
        <v>19250</v>
      </c>
      <c r="J3325" s="1365" t="n">
        <f aca="false">F3325*G3325</f>
        <v>3850</v>
      </c>
      <c r="K3325" s="1365" t="n">
        <f aca="false">J3325/1792.8</f>
        <v>2.14747880410531</v>
      </c>
      <c r="L3325" s="902" t="n">
        <v>5</v>
      </c>
      <c r="M3325" s="1273" t="n">
        <f aca="false">K3325*L3325/60</f>
        <v>0.178956567008776</v>
      </c>
    </row>
    <row r="3326" customFormat="false" ht="15" hidden="false" customHeight="false" outlineLevel="0" collapsed="false">
      <c r="A3326" s="28"/>
      <c r="B3326" s="40"/>
      <c r="C3326" s="40" t="s">
        <v>7158</v>
      </c>
      <c r="D3326" s="316" t="n">
        <v>2007</v>
      </c>
      <c r="E3326" s="912" t="n">
        <f aca="false">2021-D3326</f>
        <v>14</v>
      </c>
      <c r="F3326" s="891" t="n">
        <v>482500</v>
      </c>
      <c r="G3326" s="1364" t="n">
        <v>0.1</v>
      </c>
      <c r="H3326" s="891" t="n">
        <f aca="false">E3326*F3326*G3326</f>
        <v>675500</v>
      </c>
      <c r="I3326" s="891" t="n">
        <f aca="false">F3326-H3326</f>
        <v>-193000</v>
      </c>
      <c r="J3326" s="1365" t="n">
        <f aca="false">F3326*G3326</f>
        <v>48250</v>
      </c>
      <c r="K3326" s="1365" t="n">
        <f aca="false">J3326/1792.8</f>
        <v>26.913208389112</v>
      </c>
      <c r="L3326" s="902" t="n">
        <v>10</v>
      </c>
      <c r="M3326" s="1273" t="n">
        <f aca="false">K3326*L3326/60</f>
        <v>4.48553473151867</v>
      </c>
    </row>
    <row r="3327" customFormat="false" ht="15" hidden="false" customHeight="false" outlineLevel="0" collapsed="false">
      <c r="A3327" s="28"/>
      <c r="B3327" s="40"/>
      <c r="C3327" s="40" t="s">
        <v>7159</v>
      </c>
      <c r="D3327" s="316" t="n">
        <v>2007</v>
      </c>
      <c r="E3327" s="912" t="n">
        <f aca="false">2021-D3327</f>
        <v>14</v>
      </c>
      <c r="F3327" s="891" t="n">
        <v>68000</v>
      </c>
      <c r="G3327" s="1364" t="n">
        <v>0.1</v>
      </c>
      <c r="H3327" s="891" t="n">
        <f aca="false">E3327*F3327*G3327</f>
        <v>95200</v>
      </c>
      <c r="I3327" s="891" t="n">
        <f aca="false">F3327-H3327</f>
        <v>-27200</v>
      </c>
      <c r="J3327" s="1365" t="n">
        <f aca="false">F3327*G3327</f>
        <v>6800</v>
      </c>
      <c r="K3327" s="1365" t="n">
        <f aca="false">J3327/1792.8</f>
        <v>3.79294957608211</v>
      </c>
      <c r="L3327" s="902" t="n">
        <v>3</v>
      </c>
      <c r="M3327" s="1273" t="n">
        <f aca="false">K3327*L3327/60</f>
        <v>0.189647478804105</v>
      </c>
    </row>
    <row r="3328" customFormat="false" ht="15" hidden="false" customHeight="false" outlineLevel="0" collapsed="false">
      <c r="A3328" s="28"/>
      <c r="B3328" s="972"/>
      <c r="C3328" s="40" t="s">
        <v>7161</v>
      </c>
      <c r="D3328" s="316" t="n">
        <v>2007</v>
      </c>
      <c r="E3328" s="912" t="n">
        <f aca="false">2021-D3328</f>
        <v>14</v>
      </c>
      <c r="F3328" s="891" t="n">
        <v>1849800</v>
      </c>
      <c r="G3328" s="1364" t="n">
        <v>0.1</v>
      </c>
      <c r="H3328" s="891" t="n">
        <f aca="false">E3328*F3328*G3328</f>
        <v>2589720</v>
      </c>
      <c r="I3328" s="891" t="n">
        <f aca="false">F3328-H3328</f>
        <v>-739920</v>
      </c>
      <c r="J3328" s="1365" t="n">
        <f aca="false">F3328*G3328</f>
        <v>184980</v>
      </c>
      <c r="K3328" s="1365" t="n">
        <f aca="false">J3328/1792.8</f>
        <v>103.179384203481</v>
      </c>
      <c r="L3328" s="902" t="n">
        <v>10</v>
      </c>
      <c r="M3328" s="1273" t="n">
        <f aca="false">K3328*L3328/60</f>
        <v>17.1965640339134</v>
      </c>
    </row>
    <row r="3329" customFormat="false" ht="15" hidden="false" customHeight="false" outlineLevel="0" collapsed="false">
      <c r="A3329" s="28"/>
      <c r="B3329" s="972" t="s">
        <v>4128</v>
      </c>
      <c r="C3329" s="40"/>
      <c r="D3329" s="316"/>
      <c r="E3329" s="912"/>
      <c r="F3329" s="891"/>
      <c r="G3329" s="1364"/>
      <c r="H3329" s="891"/>
      <c r="I3329" s="891"/>
      <c r="J3329" s="1365"/>
      <c r="K3329" s="1365" t="n">
        <f aca="false">J3329/1792.8</f>
        <v>0</v>
      </c>
      <c r="L3329" s="1490"/>
      <c r="M3329" s="1366" t="n">
        <f aca="false">SUM(M3322:M3328)</f>
        <v>25.4717945857504</v>
      </c>
    </row>
    <row r="3330" customFormat="false" ht="45" hidden="false" customHeight="false" outlineLevel="0" collapsed="false">
      <c r="A3330" s="28" t="s">
        <v>1798</v>
      </c>
      <c r="B3330" s="40" t="s">
        <v>3636</v>
      </c>
      <c r="C3330" s="40" t="s">
        <v>7160</v>
      </c>
      <c r="D3330" s="316" t="n">
        <v>1994</v>
      </c>
      <c r="E3330" s="912" t="n">
        <f aca="false">2021-D3330</f>
        <v>27</v>
      </c>
      <c r="F3330" s="891" t="n">
        <v>156540</v>
      </c>
      <c r="G3330" s="1364" t="n">
        <v>0.1</v>
      </c>
      <c r="H3330" s="891" t="n">
        <v>156540</v>
      </c>
      <c r="I3330" s="891" t="n">
        <f aca="false">F3330-H3330</f>
        <v>0</v>
      </c>
      <c r="J3330" s="1365" t="n">
        <f aca="false">F3330*G3330</f>
        <v>15654</v>
      </c>
      <c r="K3330" s="1365" t="n">
        <f aca="false">J3330/1792.8</f>
        <v>8.73159303882196</v>
      </c>
      <c r="L3330" s="891" t="n">
        <v>5</v>
      </c>
      <c r="M3330" s="1273" t="n">
        <f aca="false">K3330*L3330/60</f>
        <v>0.727632753235163</v>
      </c>
    </row>
    <row r="3331" customFormat="false" ht="15" hidden="false" customHeight="false" outlineLevel="0" collapsed="false">
      <c r="A3331" s="28"/>
      <c r="B3331" s="1053"/>
      <c r="C3331" s="40" t="s">
        <v>7158</v>
      </c>
      <c r="D3331" s="316" t="n">
        <v>2007</v>
      </c>
      <c r="E3331" s="912" t="n">
        <f aca="false">2021-D3331</f>
        <v>14</v>
      </c>
      <c r="F3331" s="891" t="n">
        <v>482500</v>
      </c>
      <c r="G3331" s="1364" t="n">
        <v>0.1</v>
      </c>
      <c r="H3331" s="891" t="n">
        <f aca="false">E3331*F3331*G3331</f>
        <v>675500</v>
      </c>
      <c r="I3331" s="891" t="n">
        <f aca="false">F3331-H3331</f>
        <v>-193000</v>
      </c>
      <c r="J3331" s="1365" t="n">
        <f aca="false">F3331*G3331</f>
        <v>48250</v>
      </c>
      <c r="K3331" s="1365" t="n">
        <f aca="false">J3331/1792.8</f>
        <v>26.913208389112</v>
      </c>
      <c r="L3331" s="891" t="n">
        <v>3</v>
      </c>
      <c r="M3331" s="1273" t="n">
        <f aca="false">K3331*L3331/60</f>
        <v>1.3456604194556</v>
      </c>
    </row>
    <row r="3332" customFormat="false" ht="15" hidden="false" customHeight="false" outlineLevel="0" collapsed="false">
      <c r="A3332" s="28"/>
      <c r="B3332" s="78"/>
      <c r="C3332" s="59" t="s">
        <v>7162</v>
      </c>
      <c r="D3332" s="316" t="n">
        <v>2007</v>
      </c>
      <c r="E3332" s="912" t="n">
        <f aca="false">2021-D3332</f>
        <v>14</v>
      </c>
      <c r="F3332" s="891" t="n">
        <v>46650</v>
      </c>
      <c r="G3332" s="1364" t="n">
        <v>0.1</v>
      </c>
      <c r="H3332" s="891" t="n">
        <f aca="false">E3332*F3332*G3332</f>
        <v>65310</v>
      </c>
      <c r="I3332" s="891" t="n">
        <f aca="false">F3332-H3332</f>
        <v>-18660</v>
      </c>
      <c r="J3332" s="1365" t="n">
        <f aca="false">F3332*G3332</f>
        <v>4665</v>
      </c>
      <c r="K3332" s="1365" t="n">
        <f aca="false">J3332/1792.8</f>
        <v>2.6020749665328</v>
      </c>
      <c r="L3332" s="891" t="n">
        <v>10</v>
      </c>
      <c r="M3332" s="1273" t="n">
        <f aca="false">K3332*L3332/60</f>
        <v>0.4336791610888</v>
      </c>
    </row>
    <row r="3333" customFormat="false" ht="15" hidden="false" customHeight="false" outlineLevel="0" collapsed="false">
      <c r="A3333" s="28"/>
      <c r="B3333" s="1053"/>
      <c r="C3333" s="40" t="s">
        <v>7161</v>
      </c>
      <c r="D3333" s="316" t="n">
        <v>2007</v>
      </c>
      <c r="E3333" s="912" t="n">
        <f aca="false">2021-D3333</f>
        <v>14</v>
      </c>
      <c r="F3333" s="891" t="n">
        <v>1849800</v>
      </c>
      <c r="G3333" s="1364" t="n">
        <v>0.1</v>
      </c>
      <c r="H3333" s="891" t="n">
        <f aca="false">E3333*F3333*G3333</f>
        <v>2589720</v>
      </c>
      <c r="I3333" s="891" t="n">
        <f aca="false">F3333-H3333</f>
        <v>-739920</v>
      </c>
      <c r="J3333" s="1365" t="n">
        <f aca="false">F3333*G3333</f>
        <v>184980</v>
      </c>
      <c r="K3333" s="1365" t="n">
        <f aca="false">J3333/1792.8</f>
        <v>103.179384203481</v>
      </c>
      <c r="L3333" s="891" t="n">
        <v>5</v>
      </c>
      <c r="M3333" s="1273" t="n">
        <f aca="false">K3333*L3333/60</f>
        <v>8.59828201695672</v>
      </c>
    </row>
    <row r="3334" customFormat="false" ht="15" hidden="false" customHeight="false" outlineLevel="0" collapsed="false">
      <c r="A3334" s="28"/>
      <c r="B3334" s="1053"/>
      <c r="C3334" s="1053"/>
      <c r="D3334" s="965"/>
      <c r="E3334" s="912"/>
      <c r="F3334" s="1490"/>
      <c r="G3334" s="1490"/>
      <c r="H3334" s="1490"/>
      <c r="I3334" s="1490"/>
      <c r="J3334" s="1490"/>
      <c r="K3334" s="1365" t="n">
        <f aca="false">J3334/1792.8</f>
        <v>0</v>
      </c>
      <c r="L3334" s="1490"/>
      <c r="M3334" s="1366" t="n">
        <f aca="false">SUM(M3330:M3333)</f>
        <v>11.1052543507363</v>
      </c>
    </row>
    <row r="3335" customFormat="false" ht="30" hidden="false" customHeight="false" outlineLevel="0" collapsed="false">
      <c r="A3335" s="28" t="s">
        <v>1800</v>
      </c>
      <c r="B3335" s="40" t="s">
        <v>3637</v>
      </c>
      <c r="C3335" s="40" t="s">
        <v>7154</v>
      </c>
      <c r="D3335" s="316" t="n">
        <v>2007</v>
      </c>
      <c r="E3335" s="912" t="n">
        <f aca="false">2021-D3335</f>
        <v>14</v>
      </c>
      <c r="F3335" s="891" t="n">
        <v>407000</v>
      </c>
      <c r="G3335" s="1364" t="n">
        <v>0.1</v>
      </c>
      <c r="H3335" s="891" t="n">
        <f aca="false">E3335*F3335*G3335</f>
        <v>569800</v>
      </c>
      <c r="I3335" s="891" t="n">
        <f aca="false">F3335-H3335</f>
        <v>-162800</v>
      </c>
      <c r="J3335" s="1365" t="n">
        <f aca="false">F3335*G3335</f>
        <v>40700</v>
      </c>
      <c r="K3335" s="1365" t="n">
        <f aca="false">J3335/1792.8</f>
        <v>22.7019187862561</v>
      </c>
      <c r="L3335" s="891" t="n">
        <v>20</v>
      </c>
      <c r="M3335" s="1273" t="n">
        <f aca="false">K3335*L3335/60</f>
        <v>7.56730626208538</v>
      </c>
    </row>
    <row r="3336" customFormat="false" ht="15" hidden="false" customHeight="false" outlineLevel="0" collapsed="false">
      <c r="A3336" s="28"/>
      <c r="B3336" s="78"/>
      <c r="C3336" s="40" t="s">
        <v>7155</v>
      </c>
      <c r="D3336" s="316" t="n">
        <v>2007</v>
      </c>
      <c r="E3336" s="912" t="n">
        <f aca="false">2021-D3336</f>
        <v>14</v>
      </c>
      <c r="F3336" s="891" t="n">
        <v>810000</v>
      </c>
      <c r="G3336" s="1364" t="n">
        <v>0.1</v>
      </c>
      <c r="H3336" s="891" t="n">
        <f aca="false">E3336*F3336*G3336</f>
        <v>1134000</v>
      </c>
      <c r="I3336" s="891" t="n">
        <f aca="false">F3336-H3336</f>
        <v>-324000</v>
      </c>
      <c r="J3336" s="1365" t="n">
        <f aca="false">F3336*G3336</f>
        <v>81000</v>
      </c>
      <c r="K3336" s="1365" t="n">
        <f aca="false">J3336/1792.8</f>
        <v>45.1807228915663</v>
      </c>
      <c r="L3336" s="891" t="n">
        <v>4.8</v>
      </c>
      <c r="M3336" s="1273" t="n">
        <f aca="false">K3336*L3336/60</f>
        <v>3.6144578313253</v>
      </c>
    </row>
    <row r="3337" customFormat="false" ht="15" hidden="false" customHeight="false" outlineLevel="0" collapsed="false">
      <c r="A3337" s="28"/>
      <c r="B3337" s="29"/>
      <c r="C3337" s="40" t="s">
        <v>7156</v>
      </c>
      <c r="D3337" s="316" t="n">
        <v>2015</v>
      </c>
      <c r="E3337" s="912" t="n">
        <f aca="false">2021-D3337</f>
        <v>6</v>
      </c>
      <c r="F3337" s="891" t="n">
        <v>694025</v>
      </c>
      <c r="G3337" s="1364" t="n">
        <v>0.1</v>
      </c>
      <c r="H3337" s="891" t="n">
        <f aca="false">E3337*F3337*G3337</f>
        <v>416415</v>
      </c>
      <c r="I3337" s="891" t="n">
        <f aca="false">F3337-H3337</f>
        <v>277610</v>
      </c>
      <c r="J3337" s="1365" t="n">
        <f aca="false">F3337*G3337</f>
        <v>69402.5</v>
      </c>
      <c r="K3337" s="1365" t="n">
        <f aca="false">J3337/1792.8</f>
        <v>38.711791610888</v>
      </c>
      <c r="L3337" s="891" t="n">
        <v>18</v>
      </c>
      <c r="M3337" s="1273" t="n">
        <f aca="false">K3337*L3337/60</f>
        <v>11.6135374832664</v>
      </c>
    </row>
    <row r="3338" customFormat="false" ht="15" hidden="false" customHeight="false" outlineLevel="0" collapsed="false">
      <c r="A3338" s="28"/>
      <c r="B3338" s="1053"/>
      <c r="C3338" s="40" t="s">
        <v>7157</v>
      </c>
      <c r="D3338" s="316" t="n">
        <v>2006</v>
      </c>
      <c r="E3338" s="912" t="n">
        <f aca="false">2021-D3338</f>
        <v>15</v>
      </c>
      <c r="F3338" s="891" t="n">
        <v>77000</v>
      </c>
      <c r="G3338" s="1364" t="n">
        <v>0.05</v>
      </c>
      <c r="H3338" s="891" t="n">
        <f aca="false">E3338*F3338*G3338</f>
        <v>57750</v>
      </c>
      <c r="I3338" s="891" t="n">
        <f aca="false">F3338-H3338</f>
        <v>19250</v>
      </c>
      <c r="J3338" s="1365" t="n">
        <f aca="false">F3338*G3338</f>
        <v>3850</v>
      </c>
      <c r="K3338" s="1365" t="n">
        <f aca="false">J3338/1792.8</f>
        <v>2.14747880410531</v>
      </c>
      <c r="L3338" s="891" t="n">
        <v>9.6</v>
      </c>
      <c r="M3338" s="1273" t="n">
        <f aca="false">K3338*L3338/60</f>
        <v>0.34359660865685</v>
      </c>
    </row>
    <row r="3339" customFormat="false" ht="15" hidden="false" customHeight="false" outlineLevel="0" collapsed="false">
      <c r="A3339" s="28"/>
      <c r="B3339" s="1053"/>
      <c r="C3339" s="40" t="s">
        <v>7158</v>
      </c>
      <c r="D3339" s="316" t="n">
        <v>2007</v>
      </c>
      <c r="E3339" s="912" t="n">
        <f aca="false">2021-D3339</f>
        <v>14</v>
      </c>
      <c r="F3339" s="891" t="n">
        <v>482500</v>
      </c>
      <c r="G3339" s="1364" t="n">
        <v>0.1</v>
      </c>
      <c r="H3339" s="891" t="n">
        <f aca="false">E3339*F3339*G3339</f>
        <v>675500</v>
      </c>
      <c r="I3339" s="891" t="n">
        <f aca="false">F3339-H3339</f>
        <v>-193000</v>
      </c>
      <c r="J3339" s="1365" t="n">
        <f aca="false">F3339*G3339</f>
        <v>48250</v>
      </c>
      <c r="K3339" s="1365" t="n">
        <f aca="false">J3339/1792.8</f>
        <v>26.913208389112</v>
      </c>
      <c r="L3339" s="891" t="n">
        <v>3.6</v>
      </c>
      <c r="M3339" s="1273" t="n">
        <f aca="false">K3339*L3339/60</f>
        <v>1.61479250334672</v>
      </c>
    </row>
    <row r="3340" customFormat="false" ht="15" hidden="false" customHeight="false" outlineLevel="0" collapsed="false">
      <c r="A3340" s="28"/>
      <c r="B3340" s="29"/>
      <c r="C3340" s="40" t="s">
        <v>7159</v>
      </c>
      <c r="D3340" s="316" t="n">
        <v>2007</v>
      </c>
      <c r="E3340" s="912" t="n">
        <f aca="false">2021-D3340</f>
        <v>14</v>
      </c>
      <c r="F3340" s="891" t="n">
        <v>68000</v>
      </c>
      <c r="G3340" s="1364" t="n">
        <v>0.1</v>
      </c>
      <c r="H3340" s="891" t="n">
        <f aca="false">E3340*F3340*G3340</f>
        <v>95200</v>
      </c>
      <c r="I3340" s="891" t="n">
        <f aca="false">F3340-H3340</f>
        <v>-27200</v>
      </c>
      <c r="J3340" s="1365" t="n">
        <f aca="false">F3340*G3340</f>
        <v>6800</v>
      </c>
      <c r="K3340" s="1365" t="n">
        <f aca="false">J3340/1792.8</f>
        <v>3.79294957608211</v>
      </c>
      <c r="L3340" s="891" t="n">
        <v>9.6</v>
      </c>
      <c r="M3340" s="1273" t="n">
        <f aca="false">K3340*L3340/60</f>
        <v>0.606871932173137</v>
      </c>
    </row>
    <row r="3341" customFormat="false" ht="15" hidden="false" customHeight="false" outlineLevel="0" collapsed="false">
      <c r="A3341" s="28"/>
      <c r="B3341" s="1053"/>
      <c r="C3341" s="40" t="s">
        <v>7161</v>
      </c>
      <c r="D3341" s="316" t="n">
        <v>2007</v>
      </c>
      <c r="E3341" s="912" t="n">
        <f aca="false">2021-D3341</f>
        <v>14</v>
      </c>
      <c r="F3341" s="891" t="n">
        <v>1849800</v>
      </c>
      <c r="G3341" s="1364" t="n">
        <v>0.1</v>
      </c>
      <c r="H3341" s="891" t="n">
        <f aca="false">E3341*F3341*G3341</f>
        <v>2589720</v>
      </c>
      <c r="I3341" s="891" t="n">
        <f aca="false">F3341-H3341</f>
        <v>-739920</v>
      </c>
      <c r="J3341" s="1365" t="n">
        <f aca="false">F3341*G3341</f>
        <v>184980</v>
      </c>
      <c r="K3341" s="1365" t="n">
        <f aca="false">J3341/1792.8</f>
        <v>103.179384203481</v>
      </c>
      <c r="L3341" s="891" t="n">
        <v>5</v>
      </c>
      <c r="M3341" s="1273" t="n">
        <f aca="false">K3341*L3341/60</f>
        <v>8.59828201695672</v>
      </c>
    </row>
    <row r="3342" customFormat="false" ht="15" hidden="false" customHeight="false" outlineLevel="0" collapsed="false">
      <c r="A3342" s="28"/>
      <c r="B3342" s="972" t="s">
        <v>4128</v>
      </c>
      <c r="C3342" s="1053"/>
      <c r="D3342" s="965"/>
      <c r="E3342" s="912"/>
      <c r="F3342" s="1490"/>
      <c r="G3342" s="1490"/>
      <c r="H3342" s="1490"/>
      <c r="I3342" s="1490"/>
      <c r="J3342" s="1490"/>
      <c r="K3342" s="1365" t="n">
        <f aca="false">J3342/1792.8</f>
        <v>0</v>
      </c>
      <c r="L3342" s="1490"/>
      <c r="M3342" s="1366" t="n">
        <f aca="false">SUM(M3335:M3341)</f>
        <v>33.9588446378105</v>
      </c>
    </row>
    <row r="3343" customFormat="false" ht="45" hidden="false" customHeight="false" outlineLevel="0" collapsed="false">
      <c r="A3343" s="28" t="s">
        <v>1802</v>
      </c>
      <c r="B3343" s="40" t="s">
        <v>3638</v>
      </c>
      <c r="C3343" s="40" t="s">
        <v>7160</v>
      </c>
      <c r="D3343" s="316" t="n">
        <v>1994</v>
      </c>
      <c r="E3343" s="912" t="n">
        <f aca="false">2021-D3343</f>
        <v>27</v>
      </c>
      <c r="F3343" s="891" t="n">
        <v>156540</v>
      </c>
      <c r="G3343" s="1364" t="n">
        <v>0.1</v>
      </c>
      <c r="H3343" s="891" t="n">
        <v>156540</v>
      </c>
      <c r="I3343" s="891" t="n">
        <f aca="false">F3343-H3343</f>
        <v>0</v>
      </c>
      <c r="J3343" s="1365" t="n">
        <f aca="false">F3343*G3343</f>
        <v>15654</v>
      </c>
      <c r="K3343" s="1365" t="n">
        <f aca="false">J3343/1792.8</f>
        <v>8.73159303882196</v>
      </c>
      <c r="L3343" s="891" t="n">
        <v>5</v>
      </c>
      <c r="M3343" s="1273" t="n">
        <f aca="false">K3343*L3343/60</f>
        <v>0.727632753235163</v>
      </c>
    </row>
    <row r="3344" customFormat="false" ht="15" hidden="false" customHeight="false" outlineLevel="0" collapsed="false">
      <c r="A3344" s="28"/>
      <c r="B3344" s="1053"/>
      <c r="C3344" s="40" t="s">
        <v>7158</v>
      </c>
      <c r="D3344" s="316" t="n">
        <v>2007</v>
      </c>
      <c r="E3344" s="912" t="n">
        <f aca="false">2021-D3344</f>
        <v>14</v>
      </c>
      <c r="F3344" s="891" t="n">
        <v>482500</v>
      </c>
      <c r="G3344" s="1364" t="n">
        <v>0.1</v>
      </c>
      <c r="H3344" s="891" t="n">
        <f aca="false">E3344*F3344*G3344</f>
        <v>675500</v>
      </c>
      <c r="I3344" s="891" t="n">
        <f aca="false">F3344-H3344</f>
        <v>-193000</v>
      </c>
      <c r="J3344" s="1365" t="n">
        <f aca="false">F3344*G3344</f>
        <v>48250</v>
      </c>
      <c r="K3344" s="1365" t="n">
        <f aca="false">J3344/1792.8</f>
        <v>26.913208389112</v>
      </c>
      <c r="L3344" s="891" t="n">
        <v>3</v>
      </c>
      <c r="M3344" s="1273" t="n">
        <f aca="false">K3344*L3344/60</f>
        <v>1.3456604194556</v>
      </c>
    </row>
    <row r="3345" customFormat="false" ht="15" hidden="false" customHeight="false" outlineLevel="0" collapsed="false">
      <c r="A3345" s="28"/>
      <c r="B3345" s="1053"/>
      <c r="C3345" s="59" t="s">
        <v>7162</v>
      </c>
      <c r="D3345" s="316" t="n">
        <v>2007</v>
      </c>
      <c r="E3345" s="912" t="n">
        <f aca="false">2021-D3345</f>
        <v>14</v>
      </c>
      <c r="F3345" s="891" t="n">
        <v>46650</v>
      </c>
      <c r="G3345" s="1364" t="n">
        <v>0.1</v>
      </c>
      <c r="H3345" s="891" t="n">
        <f aca="false">E3345*F3345*G3345</f>
        <v>65310</v>
      </c>
      <c r="I3345" s="891" t="n">
        <f aca="false">F3345-H3345</f>
        <v>-18660</v>
      </c>
      <c r="J3345" s="1365" t="n">
        <f aca="false">F3345*G3345</f>
        <v>4665</v>
      </c>
      <c r="K3345" s="1365" t="n">
        <f aca="false">J3345/1792.8</f>
        <v>2.6020749665328</v>
      </c>
      <c r="L3345" s="891" t="n">
        <v>10</v>
      </c>
      <c r="M3345" s="1273" t="n">
        <f aca="false">K3345*L3345/60</f>
        <v>0.4336791610888</v>
      </c>
    </row>
    <row r="3346" customFormat="false" ht="15" hidden="false" customHeight="false" outlineLevel="0" collapsed="false">
      <c r="A3346" s="28"/>
      <c r="B3346" s="78"/>
      <c r="C3346" s="40" t="s">
        <v>7161</v>
      </c>
      <c r="D3346" s="316" t="n">
        <v>2007</v>
      </c>
      <c r="E3346" s="912" t="n">
        <f aca="false">2021-D3346</f>
        <v>14</v>
      </c>
      <c r="F3346" s="891" t="n">
        <v>1849800</v>
      </c>
      <c r="G3346" s="1364" t="n">
        <v>0.1</v>
      </c>
      <c r="H3346" s="891" t="n">
        <f aca="false">E3346*F3346*G3346</f>
        <v>2589720</v>
      </c>
      <c r="I3346" s="891" t="n">
        <f aca="false">F3346-H3346</f>
        <v>-739920</v>
      </c>
      <c r="J3346" s="1365" t="n">
        <f aca="false">F3346*G3346</f>
        <v>184980</v>
      </c>
      <c r="K3346" s="1365" t="n">
        <f aca="false">J3346/1792.8</f>
        <v>103.179384203481</v>
      </c>
      <c r="L3346" s="891" t="n">
        <v>5</v>
      </c>
      <c r="M3346" s="1273" t="n">
        <f aca="false">K3346*L3346/60</f>
        <v>8.59828201695672</v>
      </c>
    </row>
    <row r="3347" customFormat="false" ht="15" hidden="false" customHeight="false" outlineLevel="0" collapsed="false">
      <c r="A3347" s="28"/>
      <c r="B3347" s="1053"/>
      <c r="C3347" s="1053"/>
      <c r="D3347" s="965"/>
      <c r="E3347" s="912"/>
      <c r="F3347" s="1490"/>
      <c r="G3347" s="1490"/>
      <c r="H3347" s="1490"/>
      <c r="I3347" s="1490"/>
      <c r="J3347" s="1490"/>
      <c r="K3347" s="1365" t="n">
        <f aca="false">J3347/1792.8</f>
        <v>0</v>
      </c>
      <c r="L3347" s="1490"/>
      <c r="M3347" s="1366" t="n">
        <f aca="false">SUM(M3343:M3346)</f>
        <v>11.1052543507363</v>
      </c>
    </row>
    <row r="3348" customFormat="false" ht="45" hidden="false" customHeight="false" outlineLevel="0" collapsed="false">
      <c r="A3348" s="28" t="s">
        <v>1804</v>
      </c>
      <c r="B3348" s="40" t="s">
        <v>3639</v>
      </c>
      <c r="C3348" s="40" t="s">
        <v>7154</v>
      </c>
      <c r="D3348" s="316" t="n">
        <v>2007</v>
      </c>
      <c r="E3348" s="912" t="n">
        <f aca="false">2021-D3348</f>
        <v>14</v>
      </c>
      <c r="F3348" s="891" t="n">
        <v>407000</v>
      </c>
      <c r="G3348" s="1364" t="n">
        <v>0.1</v>
      </c>
      <c r="H3348" s="891" t="n">
        <f aca="false">E3348*F3348*G3348</f>
        <v>569800</v>
      </c>
      <c r="I3348" s="891" t="n">
        <f aca="false">F3348-H3348</f>
        <v>-162800</v>
      </c>
      <c r="J3348" s="1365" t="n">
        <f aca="false">F3348*G3348</f>
        <v>40700</v>
      </c>
      <c r="K3348" s="1365" t="n">
        <f aca="false">J3348/1792.8</f>
        <v>22.7019187862561</v>
      </c>
      <c r="L3348" s="891" t="n">
        <v>28.8</v>
      </c>
      <c r="M3348" s="1273" t="n">
        <f aca="false">K3348*L3348/60</f>
        <v>10.8969210174029</v>
      </c>
    </row>
    <row r="3349" customFormat="false" ht="15" hidden="false" customHeight="false" outlineLevel="0" collapsed="false">
      <c r="A3349" s="28"/>
      <c r="B3349" s="40"/>
      <c r="C3349" s="40" t="s">
        <v>7155</v>
      </c>
      <c r="D3349" s="316" t="n">
        <v>2007</v>
      </c>
      <c r="E3349" s="912" t="n">
        <f aca="false">2021-D3349</f>
        <v>14</v>
      </c>
      <c r="F3349" s="891" t="n">
        <v>810000</v>
      </c>
      <c r="G3349" s="1364" t="n">
        <v>0.1</v>
      </c>
      <c r="H3349" s="891" t="n">
        <f aca="false">E3349*F3349*G3349</f>
        <v>1134000</v>
      </c>
      <c r="I3349" s="891" t="n">
        <f aca="false">F3349-H3349</f>
        <v>-324000</v>
      </c>
      <c r="J3349" s="1365" t="n">
        <f aca="false">F3349*G3349</f>
        <v>81000</v>
      </c>
      <c r="K3349" s="1365" t="n">
        <f aca="false">J3349/1792.8</f>
        <v>45.1807228915663</v>
      </c>
      <c r="L3349" s="891" t="n">
        <v>4.8</v>
      </c>
      <c r="M3349" s="1273" t="n">
        <f aca="false">K3349*L3349/60</f>
        <v>3.6144578313253</v>
      </c>
    </row>
    <row r="3350" customFormat="false" ht="15" hidden="false" customHeight="false" outlineLevel="0" collapsed="false">
      <c r="A3350" s="28"/>
      <c r="B3350" s="40"/>
      <c r="C3350" s="40" t="s">
        <v>7156</v>
      </c>
      <c r="D3350" s="316" t="n">
        <v>2015</v>
      </c>
      <c r="E3350" s="912" t="n">
        <f aca="false">2021-D3350</f>
        <v>6</v>
      </c>
      <c r="F3350" s="891" t="n">
        <v>694025</v>
      </c>
      <c r="G3350" s="1364" t="n">
        <v>0.1</v>
      </c>
      <c r="H3350" s="891" t="n">
        <f aca="false">E3350*F3350*G3350</f>
        <v>416415</v>
      </c>
      <c r="I3350" s="891" t="n">
        <f aca="false">F3350-H3350</f>
        <v>277610</v>
      </c>
      <c r="J3350" s="1365" t="n">
        <f aca="false">F3350*G3350</f>
        <v>69402.5</v>
      </c>
      <c r="K3350" s="1365" t="n">
        <f aca="false">J3350/1792.8</f>
        <v>38.711791610888</v>
      </c>
      <c r="L3350" s="891" t="n">
        <v>18</v>
      </c>
      <c r="M3350" s="1273" t="n">
        <f aca="false">K3350*L3350/60</f>
        <v>11.6135374832664</v>
      </c>
    </row>
    <row r="3351" customFormat="false" ht="15" hidden="false" customHeight="false" outlineLevel="0" collapsed="false">
      <c r="A3351" s="28"/>
      <c r="B3351" s="40"/>
      <c r="C3351" s="40" t="s">
        <v>7157</v>
      </c>
      <c r="D3351" s="316" t="n">
        <v>2006</v>
      </c>
      <c r="E3351" s="912" t="n">
        <f aca="false">2021-D3351</f>
        <v>15</v>
      </c>
      <c r="F3351" s="891" t="n">
        <v>77000</v>
      </c>
      <c r="G3351" s="1364" t="n">
        <v>0.05</v>
      </c>
      <c r="H3351" s="891" t="n">
        <f aca="false">E3351*F3351*G3351</f>
        <v>57750</v>
      </c>
      <c r="I3351" s="891" t="n">
        <f aca="false">F3351-H3351</f>
        <v>19250</v>
      </c>
      <c r="J3351" s="1365" t="n">
        <f aca="false">F3351*G3351</f>
        <v>3850</v>
      </c>
      <c r="K3351" s="1365" t="n">
        <f aca="false">J3351/1792.8</f>
        <v>2.14747880410531</v>
      </c>
      <c r="L3351" s="891" t="n">
        <v>9.6</v>
      </c>
      <c r="M3351" s="1273" t="n">
        <f aca="false">K3351*L3351/60</f>
        <v>0.34359660865685</v>
      </c>
    </row>
    <row r="3352" customFormat="false" ht="15" hidden="false" customHeight="false" outlineLevel="0" collapsed="false">
      <c r="A3352" s="28"/>
      <c r="B3352" s="40"/>
      <c r="C3352" s="40" t="s">
        <v>7158</v>
      </c>
      <c r="D3352" s="316" t="n">
        <v>2007</v>
      </c>
      <c r="E3352" s="912" t="n">
        <f aca="false">2021-D3352</f>
        <v>14</v>
      </c>
      <c r="F3352" s="891" t="n">
        <v>482500</v>
      </c>
      <c r="G3352" s="1364" t="n">
        <v>0.1</v>
      </c>
      <c r="H3352" s="891" t="n">
        <f aca="false">E3352*F3352*G3352</f>
        <v>675500</v>
      </c>
      <c r="I3352" s="891" t="n">
        <f aca="false">F3352-H3352</f>
        <v>-193000</v>
      </c>
      <c r="J3352" s="1365" t="n">
        <f aca="false">F3352*G3352</f>
        <v>48250</v>
      </c>
      <c r="K3352" s="1365" t="n">
        <f aca="false">J3352/1792.8</f>
        <v>26.913208389112</v>
      </c>
      <c r="L3352" s="891" t="n">
        <v>3.6</v>
      </c>
      <c r="M3352" s="1273" t="n">
        <f aca="false">K3352*L3352/60</f>
        <v>1.61479250334672</v>
      </c>
    </row>
    <row r="3353" customFormat="false" ht="15" hidden="false" customHeight="false" outlineLevel="0" collapsed="false">
      <c r="A3353" s="28"/>
      <c r="B3353" s="78"/>
      <c r="C3353" s="40" t="s">
        <v>7159</v>
      </c>
      <c r="D3353" s="316" t="n">
        <v>2007</v>
      </c>
      <c r="E3353" s="912" t="n">
        <f aca="false">2021-D3353</f>
        <v>14</v>
      </c>
      <c r="F3353" s="891" t="n">
        <v>68000</v>
      </c>
      <c r="G3353" s="1364" t="n">
        <v>0.1</v>
      </c>
      <c r="H3353" s="891" t="n">
        <f aca="false">E3353*F3353*G3353</f>
        <v>95200</v>
      </c>
      <c r="I3353" s="891" t="n">
        <f aca="false">F3353-H3353</f>
        <v>-27200</v>
      </c>
      <c r="J3353" s="1365" t="n">
        <f aca="false">F3353*G3353</f>
        <v>6800</v>
      </c>
      <c r="K3353" s="1365" t="n">
        <f aca="false">J3353/1792.8</f>
        <v>3.79294957608211</v>
      </c>
      <c r="L3353" s="891" t="n">
        <v>9.6</v>
      </c>
      <c r="M3353" s="1273" t="n">
        <f aca="false">K3353*L3353/60</f>
        <v>0.606871932173137</v>
      </c>
    </row>
    <row r="3354" customFormat="false" ht="15" hidden="false" customHeight="false" outlineLevel="0" collapsed="false">
      <c r="A3354" s="28"/>
      <c r="B3354" s="1053"/>
      <c r="C3354" s="40" t="s">
        <v>7161</v>
      </c>
      <c r="D3354" s="316" t="n">
        <v>2007</v>
      </c>
      <c r="E3354" s="912" t="n">
        <f aca="false">2021-D3354</f>
        <v>14</v>
      </c>
      <c r="F3354" s="891" t="n">
        <v>1849800</v>
      </c>
      <c r="G3354" s="1364" t="n">
        <v>0.1</v>
      </c>
      <c r="H3354" s="891" t="n">
        <f aca="false">E3354*F3354*G3354</f>
        <v>2589720</v>
      </c>
      <c r="I3354" s="891" t="n">
        <f aca="false">F3354-H3354</f>
        <v>-739920</v>
      </c>
      <c r="J3354" s="1365" t="n">
        <f aca="false">F3354*G3354</f>
        <v>184980</v>
      </c>
      <c r="K3354" s="1365" t="n">
        <f aca="false">J3354/1792.8</f>
        <v>103.179384203481</v>
      </c>
      <c r="L3354" s="891" t="n">
        <v>5</v>
      </c>
      <c r="M3354" s="1273" t="n">
        <f aca="false">K3354*L3354/60</f>
        <v>8.59828201695672</v>
      </c>
    </row>
    <row r="3355" customFormat="false" ht="15" hidden="false" customHeight="false" outlineLevel="0" collapsed="false">
      <c r="A3355" s="28"/>
      <c r="B3355" s="972" t="s">
        <v>4128</v>
      </c>
      <c r="C3355" s="1053"/>
      <c r="D3355" s="965"/>
      <c r="E3355" s="912"/>
      <c r="F3355" s="1490"/>
      <c r="G3355" s="1490"/>
      <c r="H3355" s="1490"/>
      <c r="I3355" s="1490"/>
      <c r="J3355" s="1490"/>
      <c r="K3355" s="1365" t="n">
        <f aca="false">J3355/1792.8</f>
        <v>0</v>
      </c>
      <c r="L3355" s="1490"/>
      <c r="M3355" s="1366" t="n">
        <f aca="false">SUM(M3348:M3354)</f>
        <v>37.2884593931281</v>
      </c>
    </row>
    <row r="3356" customFormat="false" ht="30" hidden="false" customHeight="false" outlineLevel="0" collapsed="false">
      <c r="A3356" s="28" t="s">
        <v>1806</v>
      </c>
      <c r="B3356" s="40" t="s">
        <v>3640</v>
      </c>
      <c r="C3356" s="40" t="s">
        <v>7160</v>
      </c>
      <c r="D3356" s="316" t="n">
        <v>1994</v>
      </c>
      <c r="E3356" s="912" t="n">
        <f aca="false">2021-D3356</f>
        <v>27</v>
      </c>
      <c r="F3356" s="891" t="n">
        <v>156540</v>
      </c>
      <c r="G3356" s="1364" t="n">
        <v>0.1</v>
      </c>
      <c r="H3356" s="891" t="n">
        <v>156540</v>
      </c>
      <c r="I3356" s="891" t="n">
        <f aca="false">F3356-H3356</f>
        <v>0</v>
      </c>
      <c r="J3356" s="1365" t="n">
        <f aca="false">F3356*G3356</f>
        <v>15654</v>
      </c>
      <c r="K3356" s="1365" t="n">
        <f aca="false">J3356/1792.8</f>
        <v>8.73159303882196</v>
      </c>
      <c r="L3356" s="891" t="n">
        <v>5</v>
      </c>
      <c r="M3356" s="1273" t="n">
        <f aca="false">K3356*L3356/60</f>
        <v>0.727632753235163</v>
      </c>
    </row>
    <row r="3357" customFormat="false" ht="15" hidden="false" customHeight="false" outlineLevel="0" collapsed="false">
      <c r="A3357" s="28"/>
      <c r="B3357" s="1053"/>
      <c r="C3357" s="40" t="s">
        <v>7158</v>
      </c>
      <c r="D3357" s="316" t="n">
        <v>2007</v>
      </c>
      <c r="E3357" s="912" t="n">
        <f aca="false">2021-D3357</f>
        <v>14</v>
      </c>
      <c r="F3357" s="891" t="n">
        <v>482500</v>
      </c>
      <c r="G3357" s="1364" t="n">
        <v>0.1</v>
      </c>
      <c r="H3357" s="891" t="n">
        <f aca="false">E3357*F3357*G3357</f>
        <v>675500</v>
      </c>
      <c r="I3357" s="891" t="n">
        <f aca="false">F3357-H3357</f>
        <v>-193000</v>
      </c>
      <c r="J3357" s="1365" t="n">
        <f aca="false">F3357*G3357</f>
        <v>48250</v>
      </c>
      <c r="K3357" s="1365" t="n">
        <f aca="false">J3357/1792.8</f>
        <v>26.913208389112</v>
      </c>
      <c r="L3357" s="891" t="n">
        <v>3</v>
      </c>
      <c r="M3357" s="1273" t="n">
        <f aca="false">K3357*L3357/60</f>
        <v>1.3456604194556</v>
      </c>
    </row>
    <row r="3358" customFormat="false" ht="15" hidden="false" customHeight="false" outlineLevel="0" collapsed="false">
      <c r="A3358" s="28"/>
      <c r="B3358" s="1053"/>
      <c r="C3358" s="59" t="s">
        <v>7162</v>
      </c>
      <c r="D3358" s="316" t="n">
        <v>2007</v>
      </c>
      <c r="E3358" s="912" t="n">
        <f aca="false">2021-D3358</f>
        <v>14</v>
      </c>
      <c r="F3358" s="891" t="n">
        <v>46650</v>
      </c>
      <c r="G3358" s="1364" t="n">
        <v>0.1</v>
      </c>
      <c r="H3358" s="891" t="n">
        <f aca="false">E3358*F3358*G3358</f>
        <v>65310</v>
      </c>
      <c r="I3358" s="891" t="n">
        <f aca="false">F3358-H3358</f>
        <v>-18660</v>
      </c>
      <c r="J3358" s="1365" t="n">
        <f aca="false">F3358*G3358</f>
        <v>4665</v>
      </c>
      <c r="K3358" s="1365" t="n">
        <f aca="false">J3358/1792.8</f>
        <v>2.6020749665328</v>
      </c>
      <c r="L3358" s="891" t="n">
        <v>10</v>
      </c>
      <c r="M3358" s="1273" t="n">
        <f aca="false">K3358*L3358/60</f>
        <v>0.4336791610888</v>
      </c>
    </row>
    <row r="3359" customFormat="false" ht="15" hidden="false" customHeight="false" outlineLevel="0" collapsed="false">
      <c r="A3359" s="28"/>
      <c r="B3359" s="1053"/>
      <c r="C3359" s="40" t="s">
        <v>7161</v>
      </c>
      <c r="D3359" s="316" t="n">
        <v>2007</v>
      </c>
      <c r="E3359" s="912" t="n">
        <f aca="false">2021-D3359</f>
        <v>14</v>
      </c>
      <c r="F3359" s="891" t="n">
        <v>1849800</v>
      </c>
      <c r="G3359" s="1364" t="n">
        <v>0.1</v>
      </c>
      <c r="H3359" s="891" t="n">
        <f aca="false">E3359*F3359*G3359</f>
        <v>2589720</v>
      </c>
      <c r="I3359" s="891" t="n">
        <f aca="false">F3359-H3359</f>
        <v>-739920</v>
      </c>
      <c r="J3359" s="1365" t="n">
        <f aca="false">F3359*G3359</f>
        <v>184980</v>
      </c>
      <c r="K3359" s="1365" t="n">
        <f aca="false">J3359/1792.8</f>
        <v>103.179384203481</v>
      </c>
      <c r="L3359" s="891" t="n">
        <v>5</v>
      </c>
      <c r="M3359" s="1273" t="n">
        <f aca="false">K3359*L3359/60</f>
        <v>8.59828201695672</v>
      </c>
    </row>
    <row r="3360" customFormat="false" ht="15" hidden="false" customHeight="false" outlineLevel="0" collapsed="false">
      <c r="A3360" s="28"/>
      <c r="B3360" s="972" t="s">
        <v>4128</v>
      </c>
      <c r="C3360" s="1053"/>
      <c r="D3360" s="965"/>
      <c r="E3360" s="912"/>
      <c r="F3360" s="1490"/>
      <c r="G3360" s="1490"/>
      <c r="H3360" s="1490"/>
      <c r="I3360" s="1490"/>
      <c r="J3360" s="1490"/>
      <c r="K3360" s="1365" t="n">
        <f aca="false">J3360/1792.8</f>
        <v>0</v>
      </c>
      <c r="L3360" s="1490"/>
      <c r="M3360" s="1366" t="n">
        <f aca="false">SUM(M3356:M3359)</f>
        <v>11.1052543507363</v>
      </c>
    </row>
    <row r="3361" s="122" customFormat="true" ht="30" hidden="false" customHeight="false" outlineLevel="0" collapsed="false">
      <c r="A3361" s="20" t="s">
        <v>1808</v>
      </c>
      <c r="B3361" s="118" t="s">
        <v>3641</v>
      </c>
      <c r="C3361" s="118" t="s">
        <v>7154</v>
      </c>
      <c r="D3361" s="877" t="n">
        <v>2007</v>
      </c>
      <c r="E3361" s="569" t="n">
        <f aca="false">2021-D3361</f>
        <v>14</v>
      </c>
      <c r="F3361" s="902" t="n">
        <v>407000</v>
      </c>
      <c r="G3361" s="1407" t="n">
        <v>0.1</v>
      </c>
      <c r="H3361" s="902" t="n">
        <f aca="false">E3361*F3361*G3361</f>
        <v>569800</v>
      </c>
      <c r="I3361" s="902" t="n">
        <f aca="false">F3361-H3361</f>
        <v>-162800</v>
      </c>
      <c r="J3361" s="1410" t="n">
        <f aca="false">F3361*G3361</f>
        <v>40700</v>
      </c>
      <c r="K3361" s="1365" t="n">
        <f aca="false">J3361/1792.8</f>
        <v>22.7019187862561</v>
      </c>
      <c r="L3361" s="902" t="n">
        <v>144</v>
      </c>
      <c r="M3361" s="1408" t="n">
        <f aca="false">K3361*L3361/60</f>
        <v>54.4846050870147</v>
      </c>
    </row>
    <row r="3362" s="122" customFormat="true" ht="15" hidden="false" customHeight="false" outlineLevel="0" collapsed="false">
      <c r="A3362" s="20"/>
      <c r="B3362" s="99"/>
      <c r="C3362" s="118" t="s">
        <v>7155</v>
      </c>
      <c r="D3362" s="877" t="n">
        <v>2007</v>
      </c>
      <c r="E3362" s="569" t="n">
        <f aca="false">2021-D3362</f>
        <v>14</v>
      </c>
      <c r="F3362" s="902" t="n">
        <v>810000</v>
      </c>
      <c r="G3362" s="1407" t="n">
        <v>0.1</v>
      </c>
      <c r="H3362" s="902" t="n">
        <f aca="false">E3362*F3362*G3362</f>
        <v>1134000</v>
      </c>
      <c r="I3362" s="902" t="n">
        <f aca="false">F3362-H3362</f>
        <v>-324000</v>
      </c>
      <c r="J3362" s="1410" t="n">
        <f aca="false">F3362*G3362</f>
        <v>81000</v>
      </c>
      <c r="K3362" s="1365" t="n">
        <f aca="false">J3362/1792.8</f>
        <v>45.1807228915663</v>
      </c>
      <c r="L3362" s="902" t="n">
        <v>4.8</v>
      </c>
      <c r="M3362" s="1408" t="n">
        <f aca="false">K3362*L3362/60</f>
        <v>3.6144578313253</v>
      </c>
    </row>
    <row r="3363" s="122" customFormat="true" ht="15" hidden="false" customHeight="false" outlineLevel="0" collapsed="false">
      <c r="A3363" s="20"/>
      <c r="B3363" s="99"/>
      <c r="C3363" s="118" t="s">
        <v>7156</v>
      </c>
      <c r="D3363" s="877" t="n">
        <v>2015</v>
      </c>
      <c r="E3363" s="569" t="n">
        <f aca="false">2021-D3363</f>
        <v>6</v>
      </c>
      <c r="F3363" s="902" t="n">
        <v>694025</v>
      </c>
      <c r="G3363" s="1407" t="n">
        <v>0.1</v>
      </c>
      <c r="H3363" s="902" t="n">
        <f aca="false">E3363*F3363*G3363</f>
        <v>416415</v>
      </c>
      <c r="I3363" s="902" t="n">
        <f aca="false">F3363-H3363</f>
        <v>277610</v>
      </c>
      <c r="J3363" s="1410" t="n">
        <f aca="false">F3363*G3363</f>
        <v>69402.5</v>
      </c>
      <c r="K3363" s="1365" t="n">
        <f aca="false">J3363/1792.8</f>
        <v>38.711791610888</v>
      </c>
      <c r="L3363" s="902" t="n">
        <v>180</v>
      </c>
      <c r="M3363" s="1408" t="n">
        <f aca="false">K3363*L3363/60</f>
        <v>116.135374832664</v>
      </c>
    </row>
    <row r="3364" s="122" customFormat="true" ht="15" hidden="false" customHeight="false" outlineLevel="0" collapsed="false">
      <c r="A3364" s="20"/>
      <c r="B3364" s="99"/>
      <c r="C3364" s="118" t="s">
        <v>7157</v>
      </c>
      <c r="D3364" s="877" t="n">
        <v>2006</v>
      </c>
      <c r="E3364" s="569" t="n">
        <f aca="false">2021-D3364</f>
        <v>15</v>
      </c>
      <c r="F3364" s="902" t="n">
        <v>77000</v>
      </c>
      <c r="G3364" s="1407" t="n">
        <v>0.05</v>
      </c>
      <c r="H3364" s="902" t="n">
        <f aca="false">E3364*F3364*G3364</f>
        <v>57750</v>
      </c>
      <c r="I3364" s="902" t="n">
        <f aca="false">F3364-H3364</f>
        <v>19250</v>
      </c>
      <c r="J3364" s="1410" t="n">
        <f aca="false">F3364*G3364</f>
        <v>3850</v>
      </c>
      <c r="K3364" s="1365" t="n">
        <f aca="false">J3364/1792.8</f>
        <v>2.14747880410531</v>
      </c>
      <c r="L3364" s="902" t="n">
        <v>48</v>
      </c>
      <c r="M3364" s="1408" t="n">
        <f aca="false">K3364*L3364/60</f>
        <v>1.71798304328425</v>
      </c>
    </row>
    <row r="3365" s="122" customFormat="true" ht="15" hidden="false" customHeight="false" outlineLevel="0" collapsed="false">
      <c r="A3365" s="20"/>
      <c r="B3365" s="1450"/>
      <c r="C3365" s="118" t="s">
        <v>7158</v>
      </c>
      <c r="D3365" s="877" t="n">
        <v>2007</v>
      </c>
      <c r="E3365" s="569" t="n">
        <f aca="false">2021-D3365</f>
        <v>14</v>
      </c>
      <c r="F3365" s="902" t="n">
        <v>482500</v>
      </c>
      <c r="G3365" s="1407" t="n">
        <v>0.1</v>
      </c>
      <c r="H3365" s="902" t="n">
        <f aca="false">E3365*F3365*G3365</f>
        <v>675500</v>
      </c>
      <c r="I3365" s="902" t="n">
        <f aca="false">F3365-H3365</f>
        <v>-193000</v>
      </c>
      <c r="J3365" s="1410" t="n">
        <f aca="false">F3365*G3365</f>
        <v>48250</v>
      </c>
      <c r="K3365" s="1365" t="n">
        <f aca="false">J3365/1792.8</f>
        <v>26.913208389112</v>
      </c>
      <c r="L3365" s="902" t="n">
        <v>18</v>
      </c>
      <c r="M3365" s="1408" t="n">
        <f aca="false">K3365*L3365/60</f>
        <v>8.0739625167336</v>
      </c>
    </row>
    <row r="3366" s="122" customFormat="true" ht="15" hidden="false" customHeight="false" outlineLevel="0" collapsed="false">
      <c r="A3366" s="20"/>
      <c r="B3366" s="1450"/>
      <c r="C3366" s="118" t="s">
        <v>7159</v>
      </c>
      <c r="D3366" s="877" t="n">
        <v>2007</v>
      </c>
      <c r="E3366" s="569" t="n">
        <f aca="false">2021-D3366</f>
        <v>14</v>
      </c>
      <c r="F3366" s="902" t="n">
        <v>68000</v>
      </c>
      <c r="G3366" s="1407" t="n">
        <v>0.1</v>
      </c>
      <c r="H3366" s="902" t="n">
        <f aca="false">E3366*F3366*G3366</f>
        <v>95200</v>
      </c>
      <c r="I3366" s="902" t="n">
        <f aca="false">F3366-H3366</f>
        <v>-27200</v>
      </c>
      <c r="J3366" s="1410" t="n">
        <f aca="false">F3366*G3366</f>
        <v>6800</v>
      </c>
      <c r="K3366" s="1365" t="n">
        <f aca="false">J3366/1792.8</f>
        <v>3.79294957608211</v>
      </c>
      <c r="L3366" s="902" t="n">
        <v>48</v>
      </c>
      <c r="M3366" s="1408" t="n">
        <f aca="false">K3366*L3366/60</f>
        <v>3.03435966086568</v>
      </c>
    </row>
    <row r="3367" s="122" customFormat="true" ht="15" hidden="false" customHeight="false" outlineLevel="0" collapsed="false">
      <c r="A3367" s="20"/>
      <c r="B3367" s="1491" t="s">
        <v>4128</v>
      </c>
      <c r="C3367" s="1450"/>
      <c r="D3367" s="1492"/>
      <c r="E3367" s="569"/>
      <c r="F3367" s="1493"/>
      <c r="G3367" s="1494"/>
      <c r="H3367" s="1493"/>
      <c r="I3367" s="1493"/>
      <c r="J3367" s="1493"/>
      <c r="K3367" s="1365" t="n">
        <f aca="false">J3367/1792.8</f>
        <v>0</v>
      </c>
      <c r="L3367" s="1493"/>
      <c r="M3367" s="1411" t="n">
        <f aca="false">SUM(M3361:M3366)</f>
        <v>187.060742971888</v>
      </c>
    </row>
    <row r="3368" s="122" customFormat="true" ht="30" hidden="false" customHeight="false" outlineLevel="0" collapsed="false">
      <c r="A3368" s="20" t="s">
        <v>1810</v>
      </c>
      <c r="B3368" s="118" t="s">
        <v>3642</v>
      </c>
      <c r="C3368" s="118" t="s">
        <v>7154</v>
      </c>
      <c r="D3368" s="877" t="n">
        <v>2007</v>
      </c>
      <c r="E3368" s="569" t="n">
        <f aca="false">2021-D3368</f>
        <v>14</v>
      </c>
      <c r="F3368" s="902" t="n">
        <v>407000</v>
      </c>
      <c r="G3368" s="1407" t="n">
        <v>0.1</v>
      </c>
      <c r="H3368" s="902" t="n">
        <f aca="false">E3368*F3368*G3368</f>
        <v>569800</v>
      </c>
      <c r="I3368" s="902" t="n">
        <f aca="false">F3368-H3368</f>
        <v>-162800</v>
      </c>
      <c r="J3368" s="1410" t="n">
        <f aca="false">F3368*G3368</f>
        <v>40700</v>
      </c>
      <c r="K3368" s="1365" t="n">
        <f aca="false">J3368/1792.8</f>
        <v>22.7019187862561</v>
      </c>
      <c r="L3368" s="902" t="n">
        <v>144</v>
      </c>
      <c r="M3368" s="1408" t="n">
        <f aca="false">K3368*L3368/60</f>
        <v>54.4846050870147</v>
      </c>
    </row>
    <row r="3369" s="122" customFormat="true" ht="15" hidden="false" customHeight="false" outlineLevel="0" collapsed="false">
      <c r="A3369" s="20"/>
      <c r="B3369" s="99"/>
      <c r="C3369" s="118" t="s">
        <v>7155</v>
      </c>
      <c r="D3369" s="877" t="n">
        <v>2007</v>
      </c>
      <c r="E3369" s="569" t="n">
        <f aca="false">2021-D3369</f>
        <v>14</v>
      </c>
      <c r="F3369" s="902" t="n">
        <v>810000</v>
      </c>
      <c r="G3369" s="1407" t="n">
        <v>0.1</v>
      </c>
      <c r="H3369" s="902" t="n">
        <f aca="false">E3369*F3369*G3369</f>
        <v>1134000</v>
      </c>
      <c r="I3369" s="902" t="n">
        <f aca="false">F3369-H3369</f>
        <v>-324000</v>
      </c>
      <c r="J3369" s="1410" t="n">
        <f aca="false">F3369*G3369</f>
        <v>81000</v>
      </c>
      <c r="K3369" s="1365" t="n">
        <f aca="false">J3369/1792.8</f>
        <v>45.1807228915663</v>
      </c>
      <c r="L3369" s="902" t="n">
        <v>4.8</v>
      </c>
      <c r="M3369" s="1408" t="n">
        <f aca="false">K3369*L3369/60</f>
        <v>3.6144578313253</v>
      </c>
    </row>
    <row r="3370" s="122" customFormat="true" ht="15" hidden="false" customHeight="false" outlineLevel="0" collapsed="false">
      <c r="A3370" s="20"/>
      <c r="B3370" s="1450"/>
      <c r="C3370" s="118" t="s">
        <v>7156</v>
      </c>
      <c r="D3370" s="877" t="n">
        <v>2015</v>
      </c>
      <c r="E3370" s="569" t="n">
        <f aca="false">2021-D3370</f>
        <v>6</v>
      </c>
      <c r="F3370" s="902" t="n">
        <v>694025</v>
      </c>
      <c r="G3370" s="1407" t="n">
        <v>0.1</v>
      </c>
      <c r="H3370" s="902" t="n">
        <f aca="false">E3370*F3370*G3370</f>
        <v>416415</v>
      </c>
      <c r="I3370" s="902" t="n">
        <f aca="false">F3370-H3370</f>
        <v>277610</v>
      </c>
      <c r="J3370" s="1410" t="n">
        <f aca="false">F3370*G3370</f>
        <v>69402.5</v>
      </c>
      <c r="K3370" s="1365" t="n">
        <f aca="false">J3370/1792.8</f>
        <v>38.711791610888</v>
      </c>
      <c r="L3370" s="902" t="n">
        <v>180</v>
      </c>
      <c r="M3370" s="1408" t="n">
        <f aca="false">K3370*L3370/60</f>
        <v>116.135374832664</v>
      </c>
    </row>
    <row r="3371" customFormat="false" ht="15" hidden="false" customHeight="false" outlineLevel="0" collapsed="false">
      <c r="A3371" s="28"/>
      <c r="B3371" s="1053"/>
      <c r="C3371" s="40" t="s">
        <v>7157</v>
      </c>
      <c r="D3371" s="316" t="n">
        <v>2006</v>
      </c>
      <c r="E3371" s="912" t="n">
        <f aca="false">2021-D3371</f>
        <v>15</v>
      </c>
      <c r="F3371" s="891" t="n">
        <v>77000</v>
      </c>
      <c r="G3371" s="1364" t="n">
        <v>0.05</v>
      </c>
      <c r="H3371" s="891" t="n">
        <f aca="false">E3371*F3371*G3371</f>
        <v>57750</v>
      </c>
      <c r="I3371" s="891" t="n">
        <f aca="false">F3371-H3371</f>
        <v>19250</v>
      </c>
      <c r="J3371" s="1365" t="n">
        <f aca="false">F3371*G3371</f>
        <v>3850</v>
      </c>
      <c r="K3371" s="1365" t="n">
        <f aca="false">J3371/1792.8</f>
        <v>2.14747880410531</v>
      </c>
      <c r="L3371" s="891" t="n">
        <v>48</v>
      </c>
      <c r="M3371" s="1273" t="n">
        <f aca="false">K3371*L3371/60</f>
        <v>1.71798304328425</v>
      </c>
    </row>
    <row r="3372" customFormat="false" ht="15" hidden="false" customHeight="false" outlineLevel="0" collapsed="false">
      <c r="A3372" s="28"/>
      <c r="B3372" s="1053"/>
      <c r="C3372" s="40" t="s">
        <v>7158</v>
      </c>
      <c r="D3372" s="316" t="n">
        <v>2007</v>
      </c>
      <c r="E3372" s="912" t="n">
        <f aca="false">2021-D3372</f>
        <v>14</v>
      </c>
      <c r="F3372" s="891" t="n">
        <v>482500</v>
      </c>
      <c r="G3372" s="1364" t="n">
        <v>0.1</v>
      </c>
      <c r="H3372" s="891" t="n">
        <f aca="false">E3372*F3372*G3372</f>
        <v>675500</v>
      </c>
      <c r="I3372" s="891" t="n">
        <f aca="false">F3372-H3372</f>
        <v>-193000</v>
      </c>
      <c r="J3372" s="1365" t="n">
        <f aca="false">F3372*G3372</f>
        <v>48250</v>
      </c>
      <c r="K3372" s="1365" t="n">
        <f aca="false">J3372/1792.8</f>
        <v>26.913208389112</v>
      </c>
      <c r="L3372" s="891" t="n">
        <v>18</v>
      </c>
      <c r="M3372" s="1273" t="n">
        <f aca="false">K3372*L3372/60</f>
        <v>8.0739625167336</v>
      </c>
    </row>
    <row r="3373" customFormat="false" ht="15" hidden="false" customHeight="false" outlineLevel="0" collapsed="false">
      <c r="A3373" s="28"/>
      <c r="B3373" s="78"/>
      <c r="C3373" s="40" t="s">
        <v>7159</v>
      </c>
      <c r="D3373" s="316" t="n">
        <v>2007</v>
      </c>
      <c r="E3373" s="912" t="n">
        <f aca="false">2021-D3373</f>
        <v>14</v>
      </c>
      <c r="F3373" s="891" t="n">
        <v>68000</v>
      </c>
      <c r="G3373" s="1364" t="n">
        <v>0.1</v>
      </c>
      <c r="H3373" s="891" t="n">
        <f aca="false">E3373*F3373*G3373</f>
        <v>95200</v>
      </c>
      <c r="I3373" s="891" t="n">
        <f aca="false">F3373-H3373</f>
        <v>-27200</v>
      </c>
      <c r="J3373" s="1365" t="n">
        <f aca="false">F3373*G3373</f>
        <v>6800</v>
      </c>
      <c r="K3373" s="1365" t="n">
        <f aca="false">J3373/1792.8</f>
        <v>3.79294957608211</v>
      </c>
      <c r="L3373" s="891" t="n">
        <v>48</v>
      </c>
      <c r="M3373" s="1273" t="n">
        <f aca="false">K3373*L3373/60</f>
        <v>3.03435966086568</v>
      </c>
    </row>
    <row r="3374" customFormat="false" ht="15" hidden="false" customHeight="false" outlineLevel="0" collapsed="false">
      <c r="A3374" s="28"/>
      <c r="B3374" s="972" t="s">
        <v>4128</v>
      </c>
      <c r="C3374" s="1053"/>
      <c r="D3374" s="965"/>
      <c r="E3374" s="912"/>
      <c r="F3374" s="1490"/>
      <c r="G3374" s="1372"/>
      <c r="H3374" s="1490"/>
      <c r="I3374" s="1490"/>
      <c r="J3374" s="1490"/>
      <c r="K3374" s="1365" t="n">
        <f aca="false">J3374/1792.8</f>
        <v>0</v>
      </c>
      <c r="L3374" s="1490"/>
      <c r="M3374" s="1366" t="n">
        <f aca="false">SUM(M3368:M3373)</f>
        <v>187.060742971888</v>
      </c>
    </row>
    <row r="3375" customFormat="false" ht="30" hidden="false" customHeight="false" outlineLevel="0" collapsed="false">
      <c r="A3375" s="28" t="s">
        <v>1812</v>
      </c>
      <c r="B3375" s="40" t="s">
        <v>3643</v>
      </c>
      <c r="C3375" s="40" t="s">
        <v>7160</v>
      </c>
      <c r="D3375" s="316" t="n">
        <v>1994</v>
      </c>
      <c r="E3375" s="912" t="n">
        <f aca="false">2021-D3375</f>
        <v>27</v>
      </c>
      <c r="F3375" s="891" t="n">
        <v>156540</v>
      </c>
      <c r="G3375" s="1364" t="n">
        <v>0.1</v>
      </c>
      <c r="H3375" s="891" t="n">
        <v>156540</v>
      </c>
      <c r="I3375" s="891" t="n">
        <f aca="false">F3375-H3375</f>
        <v>0</v>
      </c>
      <c r="J3375" s="1365" t="n">
        <f aca="false">F3375*G3375</f>
        <v>15654</v>
      </c>
      <c r="K3375" s="1365" t="n">
        <f aca="false">J3375/1792.8</f>
        <v>8.73159303882196</v>
      </c>
      <c r="L3375" s="891" t="n">
        <v>5</v>
      </c>
      <c r="M3375" s="1273" t="n">
        <f aca="false">K3375*L3375/60</f>
        <v>0.727632753235163</v>
      </c>
    </row>
    <row r="3376" customFormat="false" ht="15" hidden="false" customHeight="false" outlineLevel="0" collapsed="false">
      <c r="A3376" s="28"/>
      <c r="B3376" s="1053"/>
      <c r="C3376" s="40" t="s">
        <v>7158</v>
      </c>
      <c r="D3376" s="316" t="n">
        <v>2007</v>
      </c>
      <c r="E3376" s="912" t="n">
        <f aca="false">2021-D3376</f>
        <v>14</v>
      </c>
      <c r="F3376" s="891" t="n">
        <v>482500</v>
      </c>
      <c r="G3376" s="1364" t="n">
        <v>0.1</v>
      </c>
      <c r="H3376" s="891" t="n">
        <f aca="false">E3376*F3376*G3376</f>
        <v>675500</v>
      </c>
      <c r="I3376" s="891" t="n">
        <f aca="false">F3376-H3376</f>
        <v>-193000</v>
      </c>
      <c r="J3376" s="1365" t="n">
        <f aca="false">F3376*G3376</f>
        <v>48250</v>
      </c>
      <c r="K3376" s="1365" t="n">
        <f aca="false">J3376/1792.8</f>
        <v>26.913208389112</v>
      </c>
      <c r="L3376" s="891" t="n">
        <v>3</v>
      </c>
      <c r="M3376" s="1273" t="n">
        <f aca="false">K3376*L3376/60</f>
        <v>1.3456604194556</v>
      </c>
    </row>
    <row r="3377" s="122" customFormat="true" ht="15" hidden="false" customHeight="false" outlineLevel="0" collapsed="false">
      <c r="A3377" s="20"/>
      <c r="B3377" s="1450"/>
      <c r="C3377" s="1495" t="s">
        <v>7162</v>
      </c>
      <c r="D3377" s="877" t="n">
        <v>2007</v>
      </c>
      <c r="E3377" s="569" t="n">
        <f aca="false">2021-D3377</f>
        <v>14</v>
      </c>
      <c r="F3377" s="902" t="n">
        <v>46650</v>
      </c>
      <c r="G3377" s="1407" t="n">
        <v>0.1</v>
      </c>
      <c r="H3377" s="902" t="n">
        <f aca="false">E3377*F3377*G3377</f>
        <v>65310</v>
      </c>
      <c r="I3377" s="902" t="n">
        <f aca="false">F3377-H3377</f>
        <v>-18660</v>
      </c>
      <c r="J3377" s="1410" t="n">
        <f aca="false">F3377*G3377</f>
        <v>4665</v>
      </c>
      <c r="K3377" s="1365" t="n">
        <f aca="false">J3377/1792.8</f>
        <v>2.6020749665328</v>
      </c>
      <c r="L3377" s="902" t="n">
        <v>10</v>
      </c>
      <c r="M3377" s="1408" t="n">
        <f aca="false">K3377*L3377/60</f>
        <v>0.4336791610888</v>
      </c>
    </row>
    <row r="3378" customFormat="false" ht="15" hidden="false" customHeight="false" outlineLevel="0" collapsed="false">
      <c r="A3378" s="28"/>
      <c r="B3378" s="78"/>
      <c r="C3378" s="40" t="s">
        <v>7161</v>
      </c>
      <c r="D3378" s="316" t="n">
        <v>2007</v>
      </c>
      <c r="E3378" s="912" t="n">
        <f aca="false">2021-D3378</f>
        <v>14</v>
      </c>
      <c r="F3378" s="891" t="n">
        <v>1849800</v>
      </c>
      <c r="G3378" s="1364" t="n">
        <v>0.1</v>
      </c>
      <c r="H3378" s="891" t="n">
        <f aca="false">E3378*F3378*G3378</f>
        <v>2589720</v>
      </c>
      <c r="I3378" s="891" t="n">
        <f aca="false">F3378-H3378</f>
        <v>-739920</v>
      </c>
      <c r="J3378" s="1365" t="n">
        <f aca="false">F3378*G3378</f>
        <v>184980</v>
      </c>
      <c r="K3378" s="1365" t="n">
        <f aca="false">J3378/1792.8</f>
        <v>103.179384203481</v>
      </c>
      <c r="L3378" s="891" t="n">
        <v>5</v>
      </c>
      <c r="M3378" s="1273" t="n">
        <f aca="false">K3378*L3378/60</f>
        <v>8.59828201695672</v>
      </c>
    </row>
    <row r="3379" customFormat="false" ht="15" hidden="false" customHeight="false" outlineLevel="0" collapsed="false">
      <c r="A3379" s="28"/>
      <c r="B3379" s="972" t="s">
        <v>4128</v>
      </c>
      <c r="C3379" s="1053"/>
      <c r="D3379" s="965"/>
      <c r="E3379" s="912"/>
      <c r="F3379" s="1490"/>
      <c r="G3379" s="1490"/>
      <c r="H3379" s="1490"/>
      <c r="I3379" s="1490"/>
      <c r="J3379" s="1490"/>
      <c r="K3379" s="1365" t="n">
        <f aca="false">J3379/1792.8</f>
        <v>0</v>
      </c>
      <c r="L3379" s="1490"/>
      <c r="M3379" s="1366" t="n">
        <f aca="false">SUM(M3375:M3378)</f>
        <v>11.1052543507363</v>
      </c>
    </row>
    <row r="3380" customFormat="false" ht="30" hidden="false" customHeight="false" outlineLevel="0" collapsed="false">
      <c r="A3380" s="28" t="s">
        <v>1814</v>
      </c>
      <c r="B3380" s="40" t="s">
        <v>3644</v>
      </c>
      <c r="C3380" s="40" t="s">
        <v>7154</v>
      </c>
      <c r="D3380" s="316" t="n">
        <v>2007</v>
      </c>
      <c r="E3380" s="912" t="n">
        <f aca="false">2021-D3380</f>
        <v>14</v>
      </c>
      <c r="F3380" s="891" t="n">
        <v>407000</v>
      </c>
      <c r="G3380" s="1364" t="n">
        <v>0.1</v>
      </c>
      <c r="H3380" s="891" t="n">
        <f aca="false">E3380*F3380*G3380</f>
        <v>569800</v>
      </c>
      <c r="I3380" s="891" t="n">
        <f aca="false">F3380-H3380</f>
        <v>-162800</v>
      </c>
      <c r="J3380" s="1365" t="n">
        <f aca="false">F3380*G3380</f>
        <v>40700</v>
      </c>
      <c r="K3380" s="1365" t="n">
        <f aca="false">J3380/1792.8</f>
        <v>22.7019187862561</v>
      </c>
      <c r="L3380" s="891" t="n">
        <v>28.8</v>
      </c>
      <c r="M3380" s="1273" t="n">
        <f aca="false">K3380*L3380/60</f>
        <v>10.8969210174029</v>
      </c>
    </row>
    <row r="3381" customFormat="false" ht="15" hidden="false" customHeight="false" outlineLevel="0" collapsed="false">
      <c r="A3381" s="28"/>
      <c r="B3381" s="78"/>
      <c r="C3381" s="40" t="s">
        <v>7155</v>
      </c>
      <c r="D3381" s="316" t="n">
        <v>2007</v>
      </c>
      <c r="E3381" s="912" t="n">
        <f aca="false">2021-D3381</f>
        <v>14</v>
      </c>
      <c r="F3381" s="891" t="n">
        <v>810000</v>
      </c>
      <c r="G3381" s="1364" t="n">
        <v>0.1</v>
      </c>
      <c r="H3381" s="891" t="n">
        <f aca="false">E3381*F3381*G3381</f>
        <v>1134000</v>
      </c>
      <c r="I3381" s="891" t="n">
        <f aca="false">F3381-H3381</f>
        <v>-324000</v>
      </c>
      <c r="J3381" s="1365" t="n">
        <f aca="false">F3381*G3381</f>
        <v>81000</v>
      </c>
      <c r="K3381" s="1365" t="n">
        <f aca="false">J3381/1792.8</f>
        <v>45.1807228915663</v>
      </c>
      <c r="L3381" s="891" t="n">
        <v>4.8</v>
      </c>
      <c r="M3381" s="1273" t="n">
        <f aca="false">K3381*L3381/60</f>
        <v>3.6144578313253</v>
      </c>
    </row>
    <row r="3382" customFormat="false" ht="15" hidden="false" customHeight="false" outlineLevel="0" collapsed="false">
      <c r="A3382" s="28"/>
      <c r="B3382" s="78"/>
      <c r="C3382" s="40" t="s">
        <v>7156</v>
      </c>
      <c r="D3382" s="316" t="n">
        <v>2015</v>
      </c>
      <c r="E3382" s="912" t="n">
        <f aca="false">2021-D3382</f>
        <v>6</v>
      </c>
      <c r="F3382" s="891" t="n">
        <v>694025</v>
      </c>
      <c r="G3382" s="1364" t="n">
        <v>0.1</v>
      </c>
      <c r="H3382" s="891" t="n">
        <f aca="false">E3382*F3382*G3382</f>
        <v>416415</v>
      </c>
      <c r="I3382" s="891" t="n">
        <f aca="false">F3382-H3382</f>
        <v>277610</v>
      </c>
      <c r="J3382" s="1365" t="n">
        <f aca="false">F3382*G3382</f>
        <v>69402.5</v>
      </c>
      <c r="K3382" s="1365" t="n">
        <f aca="false">J3382/1792.8</f>
        <v>38.711791610888</v>
      </c>
      <c r="L3382" s="891" t="n">
        <v>18</v>
      </c>
      <c r="M3382" s="1273" t="n">
        <f aca="false">K3382*L3382/60</f>
        <v>11.6135374832664</v>
      </c>
    </row>
    <row r="3383" customFormat="false" ht="15" hidden="false" customHeight="false" outlineLevel="0" collapsed="false">
      <c r="A3383" s="28"/>
      <c r="B3383" s="1053"/>
      <c r="C3383" s="40" t="s">
        <v>7157</v>
      </c>
      <c r="D3383" s="316" t="n">
        <v>2006</v>
      </c>
      <c r="E3383" s="912" t="n">
        <f aca="false">2021-D3383</f>
        <v>15</v>
      </c>
      <c r="F3383" s="891" t="n">
        <v>77000</v>
      </c>
      <c r="G3383" s="1364" t="n">
        <v>0.05</v>
      </c>
      <c r="H3383" s="891" t="n">
        <f aca="false">E3383*F3383*G3383</f>
        <v>57750</v>
      </c>
      <c r="I3383" s="891" t="n">
        <f aca="false">F3383-H3383</f>
        <v>19250</v>
      </c>
      <c r="J3383" s="1365" t="n">
        <f aca="false">F3383*G3383</f>
        <v>3850</v>
      </c>
      <c r="K3383" s="1365" t="n">
        <f aca="false">J3383/1792.8</f>
        <v>2.14747880410531</v>
      </c>
      <c r="L3383" s="891" t="n">
        <v>9.6</v>
      </c>
      <c r="M3383" s="1273" t="n">
        <f aca="false">K3383*L3383/60</f>
        <v>0.34359660865685</v>
      </c>
    </row>
    <row r="3384" customFormat="false" ht="15" hidden="false" customHeight="false" outlineLevel="0" collapsed="false">
      <c r="A3384" s="28"/>
      <c r="B3384" s="1053"/>
      <c r="C3384" s="40" t="s">
        <v>7158</v>
      </c>
      <c r="D3384" s="316" t="n">
        <v>2007</v>
      </c>
      <c r="E3384" s="912" t="n">
        <f aca="false">2021-D3384</f>
        <v>14</v>
      </c>
      <c r="F3384" s="891" t="n">
        <v>482500</v>
      </c>
      <c r="G3384" s="1364" t="n">
        <v>0.1</v>
      </c>
      <c r="H3384" s="891" t="n">
        <f aca="false">E3384*F3384*G3384</f>
        <v>675500</v>
      </c>
      <c r="I3384" s="891" t="n">
        <f aca="false">F3384-H3384</f>
        <v>-193000</v>
      </c>
      <c r="J3384" s="1365" t="n">
        <f aca="false">F3384*G3384</f>
        <v>48250</v>
      </c>
      <c r="K3384" s="1365" t="n">
        <f aca="false">J3384/1792.8</f>
        <v>26.913208389112</v>
      </c>
      <c r="L3384" s="891" t="n">
        <v>3.6</v>
      </c>
      <c r="M3384" s="1273" t="n">
        <f aca="false">K3384*L3384/60</f>
        <v>1.61479250334672</v>
      </c>
    </row>
    <row r="3385" customFormat="false" ht="15" hidden="false" customHeight="false" outlineLevel="0" collapsed="false">
      <c r="A3385" s="28"/>
      <c r="B3385" s="1053"/>
      <c r="C3385" s="40" t="s">
        <v>7159</v>
      </c>
      <c r="D3385" s="316" t="n">
        <v>2007</v>
      </c>
      <c r="E3385" s="912" t="n">
        <f aca="false">2021-D3385</f>
        <v>14</v>
      </c>
      <c r="F3385" s="891" t="n">
        <v>68000</v>
      </c>
      <c r="G3385" s="1364" t="n">
        <v>0.1</v>
      </c>
      <c r="H3385" s="891" t="n">
        <f aca="false">E3385*F3385*G3385</f>
        <v>95200</v>
      </c>
      <c r="I3385" s="891" t="n">
        <f aca="false">F3385-H3385</f>
        <v>-27200</v>
      </c>
      <c r="J3385" s="1365" t="n">
        <f aca="false">F3385*G3385</f>
        <v>6800</v>
      </c>
      <c r="K3385" s="1365" t="n">
        <f aca="false">J3385/1792.8</f>
        <v>3.79294957608211</v>
      </c>
      <c r="L3385" s="891" t="n">
        <v>9.6</v>
      </c>
      <c r="M3385" s="1273" t="n">
        <f aca="false">K3385*L3385/60</f>
        <v>0.606871932173137</v>
      </c>
    </row>
    <row r="3386" customFormat="false" ht="15" hidden="false" customHeight="false" outlineLevel="0" collapsed="false">
      <c r="A3386" s="28"/>
      <c r="B3386" s="1053"/>
      <c r="C3386" s="40" t="s">
        <v>7161</v>
      </c>
      <c r="D3386" s="316" t="n">
        <v>2007</v>
      </c>
      <c r="E3386" s="912" t="n">
        <f aca="false">2021-D3386</f>
        <v>14</v>
      </c>
      <c r="F3386" s="891" t="n">
        <v>1849800</v>
      </c>
      <c r="G3386" s="1364" t="n">
        <v>0.1</v>
      </c>
      <c r="H3386" s="891" t="n">
        <f aca="false">E3386*F3386*G3386</f>
        <v>2589720</v>
      </c>
      <c r="I3386" s="891" t="n">
        <f aca="false">F3386-H3386</f>
        <v>-739920</v>
      </c>
      <c r="J3386" s="1365" t="n">
        <f aca="false">F3386*G3386</f>
        <v>184980</v>
      </c>
      <c r="K3386" s="1365" t="n">
        <f aca="false">J3386/1792.8</f>
        <v>103.179384203481</v>
      </c>
      <c r="L3386" s="891" t="n">
        <v>5</v>
      </c>
      <c r="M3386" s="1273" t="n">
        <f aca="false">K3386*L3386/60</f>
        <v>8.59828201695672</v>
      </c>
    </row>
    <row r="3387" customFormat="false" ht="15" hidden="false" customHeight="false" outlineLevel="0" collapsed="false">
      <c r="A3387" s="28"/>
      <c r="B3387" s="972" t="s">
        <v>4128</v>
      </c>
      <c r="C3387" s="1053"/>
      <c r="D3387" s="965"/>
      <c r="E3387" s="912"/>
      <c r="F3387" s="1490"/>
      <c r="G3387" s="1490"/>
      <c r="H3387" s="1490"/>
      <c r="I3387" s="1490"/>
      <c r="J3387" s="1490"/>
      <c r="K3387" s="1365" t="n">
        <f aca="false">J3387/1792.8</f>
        <v>0</v>
      </c>
      <c r="L3387" s="1490"/>
      <c r="M3387" s="1366" t="n">
        <f aca="false">SUM(M3380:M3386)</f>
        <v>37.2884593931281</v>
      </c>
    </row>
    <row r="3388" customFormat="false" ht="30" hidden="false" customHeight="false" outlineLevel="0" collapsed="false">
      <c r="A3388" s="28" t="s">
        <v>1816</v>
      </c>
      <c r="B3388" s="40" t="s">
        <v>3645</v>
      </c>
      <c r="C3388" s="40" t="s">
        <v>7160</v>
      </c>
      <c r="D3388" s="316" t="n">
        <v>1994</v>
      </c>
      <c r="E3388" s="912" t="n">
        <f aca="false">2021-D3388</f>
        <v>27</v>
      </c>
      <c r="F3388" s="891" t="n">
        <v>156540</v>
      </c>
      <c r="G3388" s="1364" t="n">
        <v>0.1</v>
      </c>
      <c r="H3388" s="891" t="n">
        <v>156540</v>
      </c>
      <c r="I3388" s="891" t="n">
        <f aca="false">F3388-H3388</f>
        <v>0</v>
      </c>
      <c r="J3388" s="1365" t="n">
        <f aca="false">F3388*G3388</f>
        <v>15654</v>
      </c>
      <c r="K3388" s="1365" t="n">
        <f aca="false">J3388/1792.8</f>
        <v>8.73159303882196</v>
      </c>
      <c r="L3388" s="891" t="n">
        <v>5</v>
      </c>
      <c r="M3388" s="1273" t="n">
        <f aca="false">K3388*L3388/60</f>
        <v>0.727632753235163</v>
      </c>
    </row>
    <row r="3389" customFormat="false" ht="15" hidden="false" customHeight="false" outlineLevel="0" collapsed="false">
      <c r="A3389" s="28"/>
      <c r="B3389" s="1053"/>
      <c r="C3389" s="40" t="s">
        <v>7158</v>
      </c>
      <c r="D3389" s="316" t="n">
        <v>2007</v>
      </c>
      <c r="E3389" s="912" t="n">
        <f aca="false">2021-D3389</f>
        <v>14</v>
      </c>
      <c r="F3389" s="891" t="n">
        <v>482500</v>
      </c>
      <c r="G3389" s="1364" t="n">
        <v>0.1</v>
      </c>
      <c r="H3389" s="891" t="n">
        <f aca="false">E3389*F3389*G3389</f>
        <v>675500</v>
      </c>
      <c r="I3389" s="891" t="n">
        <f aca="false">F3389-H3389</f>
        <v>-193000</v>
      </c>
      <c r="J3389" s="1365" t="n">
        <f aca="false">F3389*G3389</f>
        <v>48250</v>
      </c>
      <c r="K3389" s="1365" t="n">
        <f aca="false">J3389/1792.8</f>
        <v>26.913208389112</v>
      </c>
      <c r="L3389" s="891" t="n">
        <v>3</v>
      </c>
      <c r="M3389" s="1273" t="n">
        <f aca="false">K3389*L3389/60</f>
        <v>1.3456604194556</v>
      </c>
    </row>
    <row r="3390" customFormat="false" ht="15" hidden="false" customHeight="false" outlineLevel="0" collapsed="false">
      <c r="A3390" s="28"/>
      <c r="B3390" s="1053"/>
      <c r="C3390" s="59" t="s">
        <v>7162</v>
      </c>
      <c r="D3390" s="316" t="n">
        <v>2007</v>
      </c>
      <c r="E3390" s="912" t="n">
        <f aca="false">2021-D3390</f>
        <v>14</v>
      </c>
      <c r="F3390" s="891" t="n">
        <v>46650</v>
      </c>
      <c r="G3390" s="1364" t="n">
        <v>0.1</v>
      </c>
      <c r="H3390" s="891" t="n">
        <f aca="false">E3390*F3390*G3390</f>
        <v>65310</v>
      </c>
      <c r="I3390" s="891" t="n">
        <f aca="false">F3390-H3390</f>
        <v>-18660</v>
      </c>
      <c r="J3390" s="1365" t="n">
        <f aca="false">F3390*G3390</f>
        <v>4665</v>
      </c>
      <c r="K3390" s="1365" t="n">
        <f aca="false">J3390/1792.8</f>
        <v>2.6020749665328</v>
      </c>
      <c r="L3390" s="891" t="n">
        <v>10</v>
      </c>
      <c r="M3390" s="1273" t="n">
        <f aca="false">K3390*L3390/60</f>
        <v>0.4336791610888</v>
      </c>
    </row>
    <row r="3391" customFormat="false" ht="15" hidden="false" customHeight="false" outlineLevel="0" collapsed="false">
      <c r="A3391" s="28"/>
      <c r="B3391" s="29"/>
      <c r="C3391" s="40" t="s">
        <v>7161</v>
      </c>
      <c r="D3391" s="316" t="n">
        <v>2007</v>
      </c>
      <c r="E3391" s="912" t="n">
        <f aca="false">2021-D3391</f>
        <v>14</v>
      </c>
      <c r="F3391" s="891" t="n">
        <v>1849800</v>
      </c>
      <c r="G3391" s="1364" t="n">
        <v>0.1</v>
      </c>
      <c r="H3391" s="891" t="n">
        <f aca="false">E3391*F3391*G3391</f>
        <v>2589720</v>
      </c>
      <c r="I3391" s="891" t="n">
        <f aca="false">F3391-H3391</f>
        <v>-739920</v>
      </c>
      <c r="J3391" s="1365" t="n">
        <f aca="false">F3391*G3391</f>
        <v>184980</v>
      </c>
      <c r="K3391" s="1365" t="n">
        <f aca="false">J3391/1792.8</f>
        <v>103.179384203481</v>
      </c>
      <c r="L3391" s="891" t="n">
        <v>5</v>
      </c>
      <c r="M3391" s="1273" t="n">
        <f aca="false">K3391*L3391/60</f>
        <v>8.59828201695672</v>
      </c>
    </row>
    <row r="3392" customFormat="false" ht="15" hidden="false" customHeight="false" outlineLevel="0" collapsed="false">
      <c r="A3392" s="28"/>
      <c r="B3392" s="972" t="s">
        <v>4128</v>
      </c>
      <c r="C3392" s="1053"/>
      <c r="D3392" s="965"/>
      <c r="E3392" s="912"/>
      <c r="F3392" s="1490"/>
      <c r="G3392" s="1490"/>
      <c r="H3392" s="1490"/>
      <c r="I3392" s="1490"/>
      <c r="J3392" s="1490"/>
      <c r="K3392" s="1365" t="n">
        <f aca="false">J3392/1792.8</f>
        <v>0</v>
      </c>
      <c r="L3392" s="1490"/>
      <c r="M3392" s="1366" t="n">
        <f aca="false">SUM(M3388:M3391)</f>
        <v>11.1052543507363</v>
      </c>
    </row>
    <row r="3393" customFormat="false" ht="30" hidden="false" customHeight="false" outlineLevel="0" collapsed="false">
      <c r="A3393" s="28" t="s">
        <v>1818</v>
      </c>
      <c r="B3393" s="40" t="s">
        <v>3646</v>
      </c>
      <c r="C3393" s="40" t="s">
        <v>7154</v>
      </c>
      <c r="D3393" s="316" t="n">
        <v>2007</v>
      </c>
      <c r="E3393" s="912" t="n">
        <f aca="false">2021-D3393</f>
        <v>14</v>
      </c>
      <c r="F3393" s="891" t="n">
        <v>407000</v>
      </c>
      <c r="G3393" s="1364" t="n">
        <v>0.1</v>
      </c>
      <c r="H3393" s="891" t="n">
        <f aca="false">E3393*F3393*G3393</f>
        <v>569800</v>
      </c>
      <c r="I3393" s="891" t="n">
        <f aca="false">F3393-H3393</f>
        <v>-162800</v>
      </c>
      <c r="J3393" s="1365" t="n">
        <f aca="false">F3393*G3393</f>
        <v>40700</v>
      </c>
      <c r="K3393" s="1365" t="n">
        <f aca="false">J3393/1792.8</f>
        <v>22.7019187862561</v>
      </c>
      <c r="L3393" s="891" t="n">
        <v>20</v>
      </c>
      <c r="M3393" s="1273" t="n">
        <f aca="false">K3393*L3393/60</f>
        <v>7.56730626208538</v>
      </c>
    </row>
    <row r="3394" customFormat="false" ht="15" hidden="false" customHeight="false" outlineLevel="0" collapsed="false">
      <c r="A3394" s="28"/>
      <c r="B3394" s="40"/>
      <c r="C3394" s="40" t="s">
        <v>7155</v>
      </c>
      <c r="D3394" s="316" t="n">
        <v>2007</v>
      </c>
      <c r="E3394" s="912" t="n">
        <f aca="false">2021-D3394</f>
        <v>14</v>
      </c>
      <c r="F3394" s="891" t="n">
        <v>810000</v>
      </c>
      <c r="G3394" s="1364" t="n">
        <v>0.1</v>
      </c>
      <c r="H3394" s="891" t="n">
        <f aca="false">E3394*F3394*G3394</f>
        <v>1134000</v>
      </c>
      <c r="I3394" s="891" t="n">
        <f aca="false">F3394-H3394</f>
        <v>-324000</v>
      </c>
      <c r="J3394" s="1365" t="n">
        <f aca="false">F3394*G3394</f>
        <v>81000</v>
      </c>
      <c r="K3394" s="1365" t="n">
        <f aca="false">J3394/1792.8</f>
        <v>45.1807228915663</v>
      </c>
      <c r="L3394" s="891" t="n">
        <v>4.8</v>
      </c>
      <c r="M3394" s="1273" t="n">
        <f aca="false">K3394*L3394/60</f>
        <v>3.6144578313253</v>
      </c>
    </row>
    <row r="3395" customFormat="false" ht="15" hidden="false" customHeight="false" outlineLevel="0" collapsed="false">
      <c r="A3395" s="28"/>
      <c r="B3395" s="40"/>
      <c r="C3395" s="40" t="s">
        <v>7156</v>
      </c>
      <c r="D3395" s="316" t="n">
        <v>2015</v>
      </c>
      <c r="E3395" s="912" t="n">
        <f aca="false">2021-D3395</f>
        <v>6</v>
      </c>
      <c r="F3395" s="891" t="n">
        <v>694025</v>
      </c>
      <c r="G3395" s="1364" t="n">
        <v>0.1</v>
      </c>
      <c r="H3395" s="891" t="n">
        <f aca="false">E3395*F3395*G3395</f>
        <v>416415</v>
      </c>
      <c r="I3395" s="891" t="n">
        <f aca="false">F3395-H3395</f>
        <v>277610</v>
      </c>
      <c r="J3395" s="1365" t="n">
        <f aca="false">F3395*G3395</f>
        <v>69402.5</v>
      </c>
      <c r="K3395" s="1365" t="n">
        <f aca="false">J3395/1792.8</f>
        <v>38.711791610888</v>
      </c>
      <c r="L3395" s="891" t="n">
        <v>18</v>
      </c>
      <c r="M3395" s="1273" t="n">
        <f aca="false">K3395*L3395/60</f>
        <v>11.6135374832664</v>
      </c>
    </row>
    <row r="3396" customFormat="false" ht="15" hidden="false" customHeight="false" outlineLevel="0" collapsed="false">
      <c r="A3396" s="28"/>
      <c r="B3396" s="40"/>
      <c r="C3396" s="40" t="s">
        <v>7157</v>
      </c>
      <c r="D3396" s="316" t="n">
        <v>2006</v>
      </c>
      <c r="E3396" s="912" t="n">
        <f aca="false">2021-D3396</f>
        <v>15</v>
      </c>
      <c r="F3396" s="891" t="n">
        <v>77000</v>
      </c>
      <c r="G3396" s="1364" t="n">
        <v>0.05</v>
      </c>
      <c r="H3396" s="891" t="n">
        <f aca="false">E3396*F3396*G3396</f>
        <v>57750</v>
      </c>
      <c r="I3396" s="891" t="n">
        <f aca="false">F3396-H3396</f>
        <v>19250</v>
      </c>
      <c r="J3396" s="1365" t="n">
        <f aca="false">F3396*G3396</f>
        <v>3850</v>
      </c>
      <c r="K3396" s="1365" t="n">
        <f aca="false">J3396/1792.8</f>
        <v>2.14747880410531</v>
      </c>
      <c r="L3396" s="891" t="n">
        <v>9.6</v>
      </c>
      <c r="M3396" s="1273" t="n">
        <f aca="false">K3396*L3396/60</f>
        <v>0.34359660865685</v>
      </c>
    </row>
    <row r="3397" customFormat="false" ht="15" hidden="false" customHeight="false" outlineLevel="0" collapsed="false">
      <c r="A3397" s="28"/>
      <c r="B3397" s="78"/>
      <c r="C3397" s="40" t="s">
        <v>7158</v>
      </c>
      <c r="D3397" s="316" t="n">
        <v>2007</v>
      </c>
      <c r="E3397" s="912" t="n">
        <f aca="false">2021-D3397</f>
        <v>14</v>
      </c>
      <c r="F3397" s="891" t="n">
        <v>482500</v>
      </c>
      <c r="G3397" s="1364" t="n">
        <v>0.1</v>
      </c>
      <c r="H3397" s="891" t="n">
        <f aca="false">E3397*F3397*G3397</f>
        <v>675500</v>
      </c>
      <c r="I3397" s="891" t="n">
        <f aca="false">F3397-H3397</f>
        <v>-193000</v>
      </c>
      <c r="J3397" s="1365" t="n">
        <f aca="false">F3397*G3397</f>
        <v>48250</v>
      </c>
      <c r="K3397" s="1365" t="n">
        <f aca="false">J3397/1792.8</f>
        <v>26.913208389112</v>
      </c>
      <c r="L3397" s="891" t="n">
        <v>3.6</v>
      </c>
      <c r="M3397" s="1273" t="n">
        <f aca="false">K3397*L3397/60</f>
        <v>1.61479250334672</v>
      </c>
    </row>
    <row r="3398" customFormat="false" ht="15" hidden="false" customHeight="false" outlineLevel="0" collapsed="false">
      <c r="A3398" s="1496"/>
      <c r="B3398" s="1053"/>
      <c r="C3398" s="40" t="s">
        <v>7159</v>
      </c>
      <c r="D3398" s="316" t="n">
        <v>2007</v>
      </c>
      <c r="E3398" s="912" t="n">
        <f aca="false">2021-D3398</f>
        <v>14</v>
      </c>
      <c r="F3398" s="891" t="n">
        <v>68000</v>
      </c>
      <c r="G3398" s="1364" t="n">
        <v>0.1</v>
      </c>
      <c r="H3398" s="891" t="n">
        <f aca="false">E3398*F3398*G3398</f>
        <v>95200</v>
      </c>
      <c r="I3398" s="891" t="n">
        <f aca="false">F3398-H3398</f>
        <v>-27200</v>
      </c>
      <c r="J3398" s="1365" t="n">
        <f aca="false">F3398*G3398</f>
        <v>6800</v>
      </c>
      <c r="K3398" s="1365" t="n">
        <f aca="false">J3398/1792.8</f>
        <v>3.79294957608211</v>
      </c>
      <c r="L3398" s="891" t="n">
        <v>9.6</v>
      </c>
      <c r="M3398" s="1273" t="n">
        <f aca="false">K3398*L3398/60</f>
        <v>0.606871932173137</v>
      </c>
    </row>
    <row r="3399" customFormat="false" ht="15" hidden="false" customHeight="false" outlineLevel="0" collapsed="false">
      <c r="A3399" s="28"/>
      <c r="B3399" s="1053"/>
      <c r="C3399" s="40" t="s">
        <v>7161</v>
      </c>
      <c r="D3399" s="316" t="n">
        <v>2007</v>
      </c>
      <c r="E3399" s="912" t="n">
        <f aca="false">2021-D3399</f>
        <v>14</v>
      </c>
      <c r="F3399" s="891" t="n">
        <v>1849800</v>
      </c>
      <c r="G3399" s="1364" t="n">
        <v>0.1</v>
      </c>
      <c r="H3399" s="891" t="n">
        <f aca="false">E3399*F3399*G3399</f>
        <v>2589720</v>
      </c>
      <c r="I3399" s="891" t="n">
        <f aca="false">F3399-H3399</f>
        <v>-739920</v>
      </c>
      <c r="J3399" s="1365" t="n">
        <f aca="false">F3399*G3399</f>
        <v>184980</v>
      </c>
      <c r="K3399" s="1365" t="n">
        <f aca="false">J3399/1792.8</f>
        <v>103.179384203481</v>
      </c>
      <c r="L3399" s="891" t="n">
        <v>5</v>
      </c>
      <c r="M3399" s="1273" t="n">
        <f aca="false">K3399*L3399/60</f>
        <v>8.59828201695672</v>
      </c>
    </row>
    <row r="3400" customFormat="false" ht="15" hidden="false" customHeight="false" outlineLevel="0" collapsed="false">
      <c r="A3400" s="28"/>
      <c r="B3400" s="972" t="s">
        <v>4128</v>
      </c>
      <c r="C3400" s="1053"/>
      <c r="D3400" s="965"/>
      <c r="E3400" s="912"/>
      <c r="F3400" s="1490"/>
      <c r="G3400" s="1490"/>
      <c r="H3400" s="1490"/>
      <c r="I3400" s="1490"/>
      <c r="J3400" s="1490"/>
      <c r="K3400" s="1365" t="n">
        <f aca="false">J3400/1792.8</f>
        <v>0</v>
      </c>
      <c r="L3400" s="1490"/>
      <c r="M3400" s="1366" t="n">
        <f aca="false">SUM(M3393:M3399)</f>
        <v>33.9588446378105</v>
      </c>
    </row>
    <row r="3401" customFormat="false" ht="30" hidden="false" customHeight="false" outlineLevel="0" collapsed="false">
      <c r="A3401" s="28" t="s">
        <v>1820</v>
      </c>
      <c r="B3401" s="40" t="s">
        <v>3647</v>
      </c>
      <c r="C3401" s="40" t="s">
        <v>7160</v>
      </c>
      <c r="D3401" s="316" t="n">
        <v>1994</v>
      </c>
      <c r="E3401" s="912" t="n">
        <f aca="false">2021-D3401</f>
        <v>27</v>
      </c>
      <c r="F3401" s="891" t="n">
        <v>156540</v>
      </c>
      <c r="G3401" s="1364" t="n">
        <v>0.1</v>
      </c>
      <c r="H3401" s="891" t="n">
        <v>156540</v>
      </c>
      <c r="I3401" s="891" t="n">
        <f aca="false">F3401-H3401</f>
        <v>0</v>
      </c>
      <c r="J3401" s="1365" t="n">
        <f aca="false">F3401*G3401</f>
        <v>15654</v>
      </c>
      <c r="K3401" s="1365" t="n">
        <f aca="false">J3401/1792.8</f>
        <v>8.73159303882196</v>
      </c>
      <c r="L3401" s="891" t="n">
        <v>5</v>
      </c>
      <c r="M3401" s="1273" t="n">
        <f aca="false">K3401*L3401/60</f>
        <v>0.727632753235163</v>
      </c>
    </row>
    <row r="3402" customFormat="false" ht="15" hidden="false" customHeight="false" outlineLevel="0" collapsed="false">
      <c r="A3402" s="28"/>
      <c r="B3402" s="1053"/>
      <c r="C3402" s="40" t="s">
        <v>7158</v>
      </c>
      <c r="D3402" s="316" t="n">
        <v>2007</v>
      </c>
      <c r="E3402" s="912" t="n">
        <f aca="false">2021-D3402</f>
        <v>14</v>
      </c>
      <c r="F3402" s="891" t="n">
        <v>482500</v>
      </c>
      <c r="G3402" s="1364" t="n">
        <v>0.1</v>
      </c>
      <c r="H3402" s="891" t="n">
        <f aca="false">E3402*F3402*G3402</f>
        <v>675500</v>
      </c>
      <c r="I3402" s="891" t="n">
        <f aca="false">F3402-H3402</f>
        <v>-193000</v>
      </c>
      <c r="J3402" s="1365" t="n">
        <f aca="false">F3402*G3402</f>
        <v>48250</v>
      </c>
      <c r="K3402" s="1365" t="n">
        <f aca="false">J3402/1792.8</f>
        <v>26.913208389112</v>
      </c>
      <c r="L3402" s="891" t="n">
        <v>3</v>
      </c>
      <c r="M3402" s="1273" t="n">
        <f aca="false">K3402*L3402/60</f>
        <v>1.3456604194556</v>
      </c>
    </row>
    <row r="3403" customFormat="false" ht="15" hidden="false" customHeight="false" outlineLevel="0" collapsed="false">
      <c r="A3403" s="28"/>
      <c r="B3403" s="1053"/>
      <c r="C3403" s="59" t="s">
        <v>7162</v>
      </c>
      <c r="D3403" s="316" t="n">
        <v>2007</v>
      </c>
      <c r="E3403" s="912" t="n">
        <f aca="false">2021-D3403</f>
        <v>14</v>
      </c>
      <c r="F3403" s="891" t="n">
        <v>46650</v>
      </c>
      <c r="G3403" s="1364" t="n">
        <v>0.1</v>
      </c>
      <c r="H3403" s="891" t="n">
        <f aca="false">E3403*F3403*G3403</f>
        <v>65310</v>
      </c>
      <c r="I3403" s="891" t="n">
        <f aca="false">F3403-H3403</f>
        <v>-18660</v>
      </c>
      <c r="J3403" s="1365" t="n">
        <f aca="false">F3403*G3403</f>
        <v>4665</v>
      </c>
      <c r="K3403" s="1365" t="n">
        <f aca="false">J3403/1792.8</f>
        <v>2.6020749665328</v>
      </c>
      <c r="L3403" s="891" t="n">
        <v>10</v>
      </c>
      <c r="M3403" s="1273" t="n">
        <f aca="false">K3403*L3403/60</f>
        <v>0.4336791610888</v>
      </c>
    </row>
    <row r="3404" customFormat="false" ht="15" hidden="false" customHeight="false" outlineLevel="0" collapsed="false">
      <c r="A3404" s="28"/>
      <c r="B3404" s="40"/>
      <c r="C3404" s="40" t="s">
        <v>7161</v>
      </c>
      <c r="D3404" s="316" t="n">
        <v>2007</v>
      </c>
      <c r="E3404" s="912" t="n">
        <f aca="false">2021-D3404</f>
        <v>14</v>
      </c>
      <c r="F3404" s="891" t="n">
        <v>1849800</v>
      </c>
      <c r="G3404" s="1364" t="n">
        <v>0.1</v>
      </c>
      <c r="H3404" s="891" t="n">
        <f aca="false">E3404*F3404*G3404</f>
        <v>2589720</v>
      </c>
      <c r="I3404" s="891" t="n">
        <f aca="false">F3404-H3404</f>
        <v>-739920</v>
      </c>
      <c r="J3404" s="1365" t="n">
        <f aca="false">F3404*G3404</f>
        <v>184980</v>
      </c>
      <c r="K3404" s="1365" t="n">
        <f aca="false">J3404/1792.8</f>
        <v>103.179384203481</v>
      </c>
      <c r="L3404" s="891" t="n">
        <v>5</v>
      </c>
      <c r="M3404" s="1273" t="n">
        <f aca="false">K3404*L3404/60</f>
        <v>8.59828201695672</v>
      </c>
    </row>
    <row r="3405" customFormat="false" ht="15" hidden="false" customHeight="false" outlineLevel="0" collapsed="false">
      <c r="A3405" s="28"/>
      <c r="B3405" s="972" t="s">
        <v>4128</v>
      </c>
      <c r="C3405" s="1053"/>
      <c r="D3405" s="965"/>
      <c r="E3405" s="912"/>
      <c r="F3405" s="1490"/>
      <c r="G3405" s="1490"/>
      <c r="H3405" s="1490"/>
      <c r="I3405" s="1490"/>
      <c r="J3405" s="1490"/>
      <c r="K3405" s="1365" t="n">
        <f aca="false">J3405/1792.8</f>
        <v>0</v>
      </c>
      <c r="L3405" s="1490"/>
      <c r="M3405" s="1366" t="n">
        <f aca="false">SUM(M3401:M3404)</f>
        <v>11.1052543507363</v>
      </c>
    </row>
    <row r="3406" customFormat="false" ht="45" hidden="false" customHeight="false" outlineLevel="0" collapsed="false">
      <c r="A3406" s="28" t="s">
        <v>1822</v>
      </c>
      <c r="B3406" s="40" t="s">
        <v>3648</v>
      </c>
      <c r="C3406" s="40" t="s">
        <v>7154</v>
      </c>
      <c r="D3406" s="316" t="n">
        <v>2007</v>
      </c>
      <c r="E3406" s="912" t="n">
        <f aca="false">2021-D3406</f>
        <v>14</v>
      </c>
      <c r="F3406" s="891" t="n">
        <v>407000</v>
      </c>
      <c r="G3406" s="1364" t="n">
        <v>0.1</v>
      </c>
      <c r="H3406" s="891" t="n">
        <f aca="false">E3406*F3406*G3406</f>
        <v>569800</v>
      </c>
      <c r="I3406" s="891" t="n">
        <f aca="false">F3406-H3406</f>
        <v>-162800</v>
      </c>
      <c r="J3406" s="1365" t="n">
        <f aca="false">F3406*G3406</f>
        <v>40700</v>
      </c>
      <c r="K3406" s="1365" t="n">
        <f aca="false">J3406/1792.8</f>
        <v>22.7019187862561</v>
      </c>
      <c r="L3406" s="891" t="n">
        <v>28.8</v>
      </c>
      <c r="M3406" s="1273" t="n">
        <f aca="false">K3406*L3406/60</f>
        <v>10.8969210174029</v>
      </c>
    </row>
    <row r="3407" customFormat="false" ht="15" hidden="false" customHeight="false" outlineLevel="0" collapsed="false">
      <c r="A3407" s="28"/>
      <c r="B3407" s="40"/>
      <c r="C3407" s="40" t="s">
        <v>7155</v>
      </c>
      <c r="D3407" s="316" t="n">
        <v>2007</v>
      </c>
      <c r="E3407" s="912" t="n">
        <f aca="false">2021-D3407</f>
        <v>14</v>
      </c>
      <c r="F3407" s="891" t="n">
        <v>810000</v>
      </c>
      <c r="G3407" s="1364" t="n">
        <v>0.1</v>
      </c>
      <c r="H3407" s="891" t="n">
        <f aca="false">E3407*F3407*G3407</f>
        <v>1134000</v>
      </c>
      <c r="I3407" s="891" t="n">
        <f aca="false">F3407-H3407</f>
        <v>-324000</v>
      </c>
      <c r="J3407" s="1365" t="n">
        <f aca="false">F3407*G3407</f>
        <v>81000</v>
      </c>
      <c r="K3407" s="1365" t="n">
        <f aca="false">J3407/1792.8</f>
        <v>45.1807228915663</v>
      </c>
      <c r="L3407" s="891" t="n">
        <v>4.8</v>
      </c>
      <c r="M3407" s="1273" t="n">
        <f aca="false">K3407*L3407/60</f>
        <v>3.6144578313253</v>
      </c>
    </row>
    <row r="3408" customFormat="false" ht="15" hidden="false" customHeight="false" outlineLevel="0" collapsed="false">
      <c r="A3408" s="1496"/>
      <c r="B3408" s="1053"/>
      <c r="C3408" s="40" t="s">
        <v>7156</v>
      </c>
      <c r="D3408" s="316" t="n">
        <v>2015</v>
      </c>
      <c r="E3408" s="912" t="n">
        <f aca="false">2021-D3408</f>
        <v>6</v>
      </c>
      <c r="F3408" s="891" t="n">
        <v>694025</v>
      </c>
      <c r="G3408" s="1364" t="n">
        <v>0.1</v>
      </c>
      <c r="H3408" s="891" t="n">
        <f aca="false">E3408*F3408*G3408</f>
        <v>416415</v>
      </c>
      <c r="I3408" s="891" t="n">
        <f aca="false">F3408-H3408</f>
        <v>277610</v>
      </c>
      <c r="J3408" s="1365" t="n">
        <f aca="false">F3408*G3408</f>
        <v>69402.5</v>
      </c>
      <c r="K3408" s="1365" t="n">
        <f aca="false">J3408/1792.8</f>
        <v>38.711791610888</v>
      </c>
      <c r="L3408" s="891" t="n">
        <v>18</v>
      </c>
      <c r="M3408" s="1273" t="n">
        <f aca="false">K3408*L3408/60</f>
        <v>11.6135374832664</v>
      </c>
    </row>
    <row r="3409" customFormat="false" ht="15" hidden="false" customHeight="false" outlineLevel="0" collapsed="false">
      <c r="A3409" s="28"/>
      <c r="B3409" s="1053"/>
      <c r="C3409" s="40" t="s">
        <v>7157</v>
      </c>
      <c r="D3409" s="316" t="n">
        <v>2006</v>
      </c>
      <c r="E3409" s="912" t="n">
        <f aca="false">2021-D3409</f>
        <v>15</v>
      </c>
      <c r="F3409" s="891" t="n">
        <v>77000</v>
      </c>
      <c r="G3409" s="1364" t="n">
        <v>0.05</v>
      </c>
      <c r="H3409" s="891" t="n">
        <f aca="false">E3409*F3409*G3409</f>
        <v>57750</v>
      </c>
      <c r="I3409" s="891" t="n">
        <f aca="false">F3409-H3409</f>
        <v>19250</v>
      </c>
      <c r="J3409" s="1365" t="n">
        <f aca="false">F3409*G3409</f>
        <v>3850</v>
      </c>
      <c r="K3409" s="1365" t="n">
        <f aca="false">J3409/1792.8</f>
        <v>2.14747880410531</v>
      </c>
      <c r="L3409" s="891" t="n">
        <v>9.6</v>
      </c>
      <c r="M3409" s="1273" t="n">
        <f aca="false">K3409*L3409/60</f>
        <v>0.34359660865685</v>
      </c>
    </row>
    <row r="3410" customFormat="false" ht="15" hidden="false" customHeight="false" outlineLevel="0" collapsed="false">
      <c r="A3410" s="28"/>
      <c r="B3410" s="1053"/>
      <c r="C3410" s="40" t="s">
        <v>7158</v>
      </c>
      <c r="D3410" s="316" t="n">
        <v>2007</v>
      </c>
      <c r="E3410" s="912" t="n">
        <f aca="false">2021-D3410</f>
        <v>14</v>
      </c>
      <c r="F3410" s="891" t="n">
        <v>482500</v>
      </c>
      <c r="G3410" s="1364" t="n">
        <v>0.1</v>
      </c>
      <c r="H3410" s="891" t="n">
        <f aca="false">E3410*F3410*G3410</f>
        <v>675500</v>
      </c>
      <c r="I3410" s="891" t="n">
        <f aca="false">F3410-H3410</f>
        <v>-193000</v>
      </c>
      <c r="J3410" s="1365" t="n">
        <f aca="false">F3410*G3410</f>
        <v>48250</v>
      </c>
      <c r="K3410" s="1365" t="n">
        <f aca="false">J3410/1792.8</f>
        <v>26.913208389112</v>
      </c>
      <c r="L3410" s="891" t="n">
        <v>3.6</v>
      </c>
      <c r="M3410" s="1273" t="n">
        <f aca="false">K3410*L3410/60</f>
        <v>1.61479250334672</v>
      </c>
    </row>
    <row r="3411" customFormat="false" ht="15" hidden="false" customHeight="false" outlineLevel="0" collapsed="false">
      <c r="A3411" s="28"/>
      <c r="B3411" s="40"/>
      <c r="C3411" s="40" t="s">
        <v>7159</v>
      </c>
      <c r="D3411" s="316" t="n">
        <v>2007</v>
      </c>
      <c r="E3411" s="912" t="n">
        <f aca="false">2021-D3411</f>
        <v>14</v>
      </c>
      <c r="F3411" s="891" t="n">
        <v>68000</v>
      </c>
      <c r="G3411" s="1364" t="n">
        <v>0.1</v>
      </c>
      <c r="H3411" s="891" t="n">
        <f aca="false">E3411*F3411*G3411</f>
        <v>95200</v>
      </c>
      <c r="I3411" s="891" t="n">
        <f aca="false">F3411-H3411</f>
        <v>-27200</v>
      </c>
      <c r="J3411" s="1365" t="n">
        <f aca="false">F3411*G3411</f>
        <v>6800</v>
      </c>
      <c r="K3411" s="1365" t="n">
        <f aca="false">J3411/1792.8</f>
        <v>3.79294957608211</v>
      </c>
      <c r="L3411" s="891" t="n">
        <v>9.6</v>
      </c>
      <c r="M3411" s="1273" t="n">
        <f aca="false">K3411*L3411/60</f>
        <v>0.606871932173137</v>
      </c>
    </row>
    <row r="3412" customFormat="false" ht="15" hidden="false" customHeight="false" outlineLevel="0" collapsed="false">
      <c r="A3412" s="28"/>
      <c r="B3412" s="1053"/>
      <c r="C3412" s="40" t="s">
        <v>7160</v>
      </c>
      <c r="D3412" s="316" t="n">
        <v>1994</v>
      </c>
      <c r="E3412" s="912" t="n">
        <f aca="false">2021-D3412</f>
        <v>27</v>
      </c>
      <c r="F3412" s="891" t="n">
        <v>156540</v>
      </c>
      <c r="G3412" s="1364" t="n">
        <v>0.1</v>
      </c>
      <c r="H3412" s="891" t="n">
        <v>156540</v>
      </c>
      <c r="I3412" s="891" t="n">
        <f aca="false">F3412-H3412</f>
        <v>0</v>
      </c>
      <c r="J3412" s="1365" t="n">
        <f aca="false">F3412*G3412</f>
        <v>15654</v>
      </c>
      <c r="K3412" s="1365" t="n">
        <f aca="false">J3412/1792.8</f>
        <v>8.73159303882196</v>
      </c>
      <c r="L3412" s="891" t="n">
        <v>5</v>
      </c>
      <c r="M3412" s="1273" t="n">
        <f aca="false">K3412*L3412/60</f>
        <v>0.727632753235163</v>
      </c>
    </row>
    <row r="3413" customFormat="false" ht="15" hidden="false" customHeight="false" outlineLevel="0" collapsed="false">
      <c r="A3413" s="28"/>
      <c r="B3413" s="40"/>
      <c r="C3413" s="40" t="s">
        <v>7161</v>
      </c>
      <c r="D3413" s="316" t="n">
        <v>2007</v>
      </c>
      <c r="E3413" s="912" t="n">
        <f aca="false">2021-D3413</f>
        <v>14</v>
      </c>
      <c r="F3413" s="891" t="n">
        <v>1849800</v>
      </c>
      <c r="G3413" s="1364" t="n">
        <v>0.1</v>
      </c>
      <c r="H3413" s="891" t="n">
        <f aca="false">E3413*F3413*G3413</f>
        <v>2589720</v>
      </c>
      <c r="I3413" s="891" t="n">
        <f aca="false">F3413-H3413</f>
        <v>-739920</v>
      </c>
      <c r="J3413" s="1365" t="n">
        <f aca="false">F3413*G3413</f>
        <v>184980</v>
      </c>
      <c r="K3413" s="1365" t="n">
        <f aca="false">J3413/1792.8</f>
        <v>103.179384203481</v>
      </c>
      <c r="L3413" s="891" t="n">
        <v>5</v>
      </c>
      <c r="M3413" s="1273" t="n">
        <f aca="false">K3413*L3413/60</f>
        <v>8.59828201695672</v>
      </c>
    </row>
    <row r="3414" customFormat="false" ht="15" hidden="false" customHeight="false" outlineLevel="0" collapsed="false">
      <c r="A3414" s="28"/>
      <c r="B3414" s="972" t="s">
        <v>4128</v>
      </c>
      <c r="C3414" s="1053"/>
      <c r="D3414" s="965"/>
      <c r="E3414" s="912"/>
      <c r="F3414" s="1490"/>
      <c r="G3414" s="1490"/>
      <c r="H3414" s="1490"/>
      <c r="I3414" s="1490"/>
      <c r="J3414" s="1490"/>
      <c r="K3414" s="1365" t="n">
        <f aca="false">J3414/1792.8</f>
        <v>0</v>
      </c>
      <c r="L3414" s="1490"/>
      <c r="M3414" s="1366" t="n">
        <f aca="false">SUM(M3406:M3413)</f>
        <v>38.0160921463632</v>
      </c>
    </row>
    <row r="3415" customFormat="false" ht="45" hidden="false" customHeight="false" outlineLevel="0" collapsed="false">
      <c r="A3415" s="28" t="s">
        <v>1824</v>
      </c>
      <c r="B3415" s="40" t="s">
        <v>3649</v>
      </c>
      <c r="C3415" s="40" t="s">
        <v>7160</v>
      </c>
      <c r="D3415" s="316" t="n">
        <v>1994</v>
      </c>
      <c r="E3415" s="912" t="n">
        <f aca="false">2021-D3415</f>
        <v>27</v>
      </c>
      <c r="F3415" s="891" t="n">
        <v>156540</v>
      </c>
      <c r="G3415" s="1364" t="n">
        <v>0.1</v>
      </c>
      <c r="H3415" s="891" t="n">
        <v>156540</v>
      </c>
      <c r="I3415" s="891" t="n">
        <f aca="false">F3415-H3415</f>
        <v>0</v>
      </c>
      <c r="J3415" s="1365" t="n">
        <f aca="false">F3415*G3415</f>
        <v>15654</v>
      </c>
      <c r="K3415" s="1365" t="n">
        <f aca="false">J3415/1792.8</f>
        <v>8.73159303882196</v>
      </c>
      <c r="L3415" s="891" t="n">
        <v>5</v>
      </c>
      <c r="M3415" s="1273" t="n">
        <f aca="false">K3415*L3415/60</f>
        <v>0.727632753235163</v>
      </c>
    </row>
    <row r="3416" customFormat="false" ht="15" hidden="false" customHeight="false" outlineLevel="0" collapsed="false">
      <c r="A3416" s="28"/>
      <c r="B3416" s="78"/>
      <c r="C3416" s="40" t="s">
        <v>7158</v>
      </c>
      <c r="D3416" s="316" t="n">
        <v>2007</v>
      </c>
      <c r="E3416" s="912" t="n">
        <f aca="false">2021-D3416</f>
        <v>14</v>
      </c>
      <c r="F3416" s="891" t="n">
        <v>482500</v>
      </c>
      <c r="G3416" s="1364" t="n">
        <v>0.1</v>
      </c>
      <c r="H3416" s="891" t="n">
        <f aca="false">E3416*F3416*G3416</f>
        <v>675500</v>
      </c>
      <c r="I3416" s="891" t="n">
        <f aca="false">F3416-H3416</f>
        <v>-193000</v>
      </c>
      <c r="J3416" s="1365" t="n">
        <f aca="false">F3416*G3416</f>
        <v>48250</v>
      </c>
      <c r="K3416" s="1365" t="n">
        <f aca="false">J3416/1792.8</f>
        <v>26.913208389112</v>
      </c>
      <c r="L3416" s="891" t="n">
        <v>3</v>
      </c>
      <c r="M3416" s="1273" t="n">
        <f aca="false">K3416*L3416/60</f>
        <v>1.3456604194556</v>
      </c>
    </row>
    <row r="3417" customFormat="false" ht="15" hidden="false" customHeight="false" outlineLevel="0" collapsed="false">
      <c r="A3417" s="28"/>
      <c r="B3417" s="40"/>
      <c r="C3417" s="40" t="s">
        <v>7161</v>
      </c>
      <c r="D3417" s="316" t="n">
        <v>2007</v>
      </c>
      <c r="E3417" s="912" t="n">
        <f aca="false">2021-D3417</f>
        <v>14</v>
      </c>
      <c r="F3417" s="891" t="n">
        <v>1849800</v>
      </c>
      <c r="G3417" s="1364" t="n">
        <v>0.1</v>
      </c>
      <c r="H3417" s="891" t="n">
        <f aca="false">E3417*F3417*G3417</f>
        <v>2589720</v>
      </c>
      <c r="I3417" s="891" t="n">
        <f aca="false">F3417-H3417</f>
        <v>-739920</v>
      </c>
      <c r="J3417" s="1365" t="n">
        <f aca="false">F3417*G3417</f>
        <v>184980</v>
      </c>
      <c r="K3417" s="1365" t="n">
        <f aca="false">J3417/1792.8</f>
        <v>103.179384203481</v>
      </c>
      <c r="L3417" s="891" t="n">
        <v>5</v>
      </c>
      <c r="M3417" s="1273" t="n">
        <f aca="false">K3417*L3417/60</f>
        <v>8.59828201695672</v>
      </c>
    </row>
    <row r="3418" customFormat="false" ht="15" hidden="false" customHeight="false" outlineLevel="0" collapsed="false">
      <c r="A3418" s="1496"/>
      <c r="B3418" s="1053"/>
      <c r="C3418" s="40" t="s">
        <v>7158</v>
      </c>
      <c r="D3418" s="316" t="n">
        <v>2007</v>
      </c>
      <c r="E3418" s="912" t="n">
        <f aca="false">2021-D3418</f>
        <v>14</v>
      </c>
      <c r="F3418" s="891" t="n">
        <v>482500</v>
      </c>
      <c r="G3418" s="1364" t="n">
        <v>0.1</v>
      </c>
      <c r="H3418" s="891" t="n">
        <f aca="false">E3418*F3418*G3418</f>
        <v>675500</v>
      </c>
      <c r="I3418" s="891" t="n">
        <f aca="false">F3418-H3418</f>
        <v>-193000</v>
      </c>
      <c r="J3418" s="1365" t="n">
        <f aca="false">F3418*G3418</f>
        <v>48250</v>
      </c>
      <c r="K3418" s="1365" t="n">
        <f aca="false">J3418/1792.8</f>
        <v>26.913208389112</v>
      </c>
      <c r="L3418" s="891" t="n">
        <v>3.6</v>
      </c>
      <c r="M3418" s="1273" t="n">
        <f aca="false">K3418*L3418/60</f>
        <v>1.61479250334672</v>
      </c>
    </row>
    <row r="3419" customFormat="false" ht="15" hidden="false" customHeight="false" outlineLevel="0" collapsed="false">
      <c r="A3419" s="28"/>
      <c r="B3419" s="1053"/>
      <c r="C3419" s="40" t="s">
        <v>7161</v>
      </c>
      <c r="D3419" s="316" t="n">
        <v>2007</v>
      </c>
      <c r="E3419" s="912" t="n">
        <f aca="false">2021-D3419</f>
        <v>14</v>
      </c>
      <c r="F3419" s="891" t="n">
        <v>1849800</v>
      </c>
      <c r="G3419" s="1364" t="n">
        <v>0.1</v>
      </c>
      <c r="H3419" s="891" t="n">
        <f aca="false">E3419*F3419*G3419</f>
        <v>2589720</v>
      </c>
      <c r="I3419" s="891" t="n">
        <f aca="false">F3419-H3419</f>
        <v>-739920</v>
      </c>
      <c r="J3419" s="1365" t="n">
        <f aca="false">F3419*G3419</f>
        <v>184980</v>
      </c>
      <c r="K3419" s="1365" t="n">
        <f aca="false">J3419/1792.8</f>
        <v>103.179384203481</v>
      </c>
      <c r="L3419" s="891" t="n">
        <v>3</v>
      </c>
      <c r="M3419" s="1273" t="n">
        <f aca="false">K3419*L3419/60</f>
        <v>5.15896921017403</v>
      </c>
    </row>
    <row r="3420" customFormat="false" ht="15" hidden="false" customHeight="false" outlineLevel="0" collapsed="false">
      <c r="A3420" s="1496"/>
      <c r="B3420" s="972" t="s">
        <v>4128</v>
      </c>
      <c r="C3420" s="1053"/>
      <c r="D3420" s="965"/>
      <c r="E3420" s="912"/>
      <c r="F3420" s="1490"/>
      <c r="G3420" s="1490"/>
      <c r="H3420" s="1490"/>
      <c r="I3420" s="1490"/>
      <c r="J3420" s="1490"/>
      <c r="K3420" s="1365" t="n">
        <f aca="false">J3420/1792.8</f>
        <v>0</v>
      </c>
      <c r="L3420" s="1490"/>
      <c r="M3420" s="1366" t="n">
        <f aca="false">SUM(M3415:M3419)</f>
        <v>17.4453369031682</v>
      </c>
    </row>
    <row r="3421" customFormat="false" ht="15" hidden="false" customHeight="false" outlineLevel="0" collapsed="false">
      <c r="A3421" s="350" t="s">
        <v>1826</v>
      </c>
      <c r="B3421" s="1497" t="s">
        <v>3626</v>
      </c>
      <c r="C3421" s="1498"/>
      <c r="D3421" s="1499"/>
      <c r="E3421" s="1499"/>
      <c r="F3421" s="1499"/>
      <c r="G3421" s="1500"/>
      <c r="H3421" s="1500"/>
      <c r="I3421" s="1500"/>
      <c r="J3421" s="1500"/>
      <c r="K3421" s="1500"/>
      <c r="L3421" s="1500"/>
      <c r="M3421" s="1392"/>
    </row>
    <row r="3422" customFormat="false" ht="60" hidden="false" customHeight="false" outlineLevel="0" collapsed="false">
      <c r="A3422" s="327" t="s">
        <v>1827</v>
      </c>
      <c r="B3422" s="40" t="s">
        <v>3650</v>
      </c>
      <c r="C3422" s="40" t="s">
        <v>7154</v>
      </c>
      <c r="D3422" s="316" t="n">
        <v>2007</v>
      </c>
      <c r="E3422" s="912" t="n">
        <f aca="false">2021-D3422</f>
        <v>14</v>
      </c>
      <c r="F3422" s="891" t="n">
        <v>407000</v>
      </c>
      <c r="G3422" s="1364" t="n">
        <v>0.1</v>
      </c>
      <c r="H3422" s="891" t="n">
        <f aca="false">E3422*F3422*G3422</f>
        <v>569800</v>
      </c>
      <c r="I3422" s="891" t="n">
        <f aca="false">F3422-H3422</f>
        <v>-162800</v>
      </c>
      <c r="J3422" s="1365" t="n">
        <f aca="false">F3422*G3422</f>
        <v>40700</v>
      </c>
      <c r="K3422" s="1365" t="n">
        <f aca="false">J3422/1792.8</f>
        <v>22.7019187862561</v>
      </c>
      <c r="L3422" s="891" t="n">
        <v>28.8</v>
      </c>
      <c r="M3422" s="1273" t="n">
        <f aca="false">K3422*L3422/60</f>
        <v>10.8969210174029</v>
      </c>
    </row>
    <row r="3423" customFormat="false" ht="15" hidden="false" customHeight="false" outlineLevel="0" collapsed="false">
      <c r="A3423" s="28"/>
      <c r="B3423" s="40"/>
      <c r="C3423" s="40" t="s">
        <v>7155</v>
      </c>
      <c r="D3423" s="316" t="n">
        <v>2007</v>
      </c>
      <c r="E3423" s="912" t="n">
        <f aca="false">2021-D3423</f>
        <v>14</v>
      </c>
      <c r="F3423" s="891" t="n">
        <v>810000</v>
      </c>
      <c r="G3423" s="1364" t="n">
        <v>0.1</v>
      </c>
      <c r="H3423" s="891" t="n">
        <f aca="false">E3423*F3423*G3423</f>
        <v>1134000</v>
      </c>
      <c r="I3423" s="891" t="n">
        <f aca="false">F3423-H3423</f>
        <v>-324000</v>
      </c>
      <c r="J3423" s="1365" t="n">
        <f aca="false">F3423*G3423</f>
        <v>81000</v>
      </c>
      <c r="K3423" s="1365" t="n">
        <f aca="false">J3423/1792.8</f>
        <v>45.1807228915663</v>
      </c>
      <c r="L3423" s="891" t="n">
        <v>4.8</v>
      </c>
      <c r="M3423" s="1273" t="n">
        <f aca="false">K3423*L3423/60</f>
        <v>3.6144578313253</v>
      </c>
    </row>
    <row r="3424" customFormat="false" ht="15" hidden="false" customHeight="false" outlineLevel="0" collapsed="false">
      <c r="A3424" s="28"/>
      <c r="B3424" s="1053"/>
      <c r="C3424" s="40" t="s">
        <v>7156</v>
      </c>
      <c r="D3424" s="316" t="n">
        <v>2015</v>
      </c>
      <c r="E3424" s="912" t="n">
        <f aca="false">2021-D3424</f>
        <v>6</v>
      </c>
      <c r="F3424" s="891" t="n">
        <v>694025</v>
      </c>
      <c r="G3424" s="1364" t="n">
        <v>0.1</v>
      </c>
      <c r="H3424" s="891" t="n">
        <f aca="false">E3424*F3424*G3424</f>
        <v>416415</v>
      </c>
      <c r="I3424" s="891" t="n">
        <f aca="false">F3424-H3424</f>
        <v>277610</v>
      </c>
      <c r="J3424" s="1365" t="n">
        <f aca="false">F3424*G3424</f>
        <v>69402.5</v>
      </c>
      <c r="K3424" s="1365" t="n">
        <f aca="false">J3424/1792.8</f>
        <v>38.711791610888</v>
      </c>
      <c r="L3424" s="891" t="n">
        <v>18</v>
      </c>
      <c r="M3424" s="1273" t="n">
        <f aca="false">K3424*L3424/60</f>
        <v>11.6135374832664</v>
      </c>
    </row>
    <row r="3425" customFormat="false" ht="15" hidden="false" customHeight="false" outlineLevel="0" collapsed="false">
      <c r="A3425" s="28"/>
      <c r="B3425" s="1053"/>
      <c r="C3425" s="40" t="s">
        <v>7157</v>
      </c>
      <c r="D3425" s="316" t="n">
        <v>2006</v>
      </c>
      <c r="E3425" s="912" t="n">
        <f aca="false">2021-D3425</f>
        <v>15</v>
      </c>
      <c r="F3425" s="891" t="n">
        <v>77000</v>
      </c>
      <c r="G3425" s="1364" t="n">
        <v>0.05</v>
      </c>
      <c r="H3425" s="891" t="n">
        <f aca="false">E3425*F3425*G3425</f>
        <v>57750</v>
      </c>
      <c r="I3425" s="891" t="n">
        <f aca="false">F3425-H3425</f>
        <v>19250</v>
      </c>
      <c r="J3425" s="1365" t="n">
        <f aca="false">F3425*G3425</f>
        <v>3850</v>
      </c>
      <c r="K3425" s="1365" t="n">
        <f aca="false">J3425/1792.8</f>
        <v>2.14747880410531</v>
      </c>
      <c r="L3425" s="891" t="n">
        <v>9.6</v>
      </c>
      <c r="M3425" s="1273" t="n">
        <f aca="false">K3425*L3425/60</f>
        <v>0.34359660865685</v>
      </c>
    </row>
    <row r="3426" customFormat="false" ht="15" hidden="false" customHeight="false" outlineLevel="0" collapsed="false">
      <c r="A3426" s="28"/>
      <c r="B3426" s="1053"/>
      <c r="C3426" s="40" t="s">
        <v>7158</v>
      </c>
      <c r="D3426" s="316" t="n">
        <v>2007</v>
      </c>
      <c r="E3426" s="912" t="n">
        <f aca="false">2021-D3426</f>
        <v>14</v>
      </c>
      <c r="F3426" s="891" t="n">
        <v>482500</v>
      </c>
      <c r="G3426" s="1364" t="n">
        <v>0.1</v>
      </c>
      <c r="H3426" s="891" t="n">
        <f aca="false">E3426*F3426*G3426</f>
        <v>675500</v>
      </c>
      <c r="I3426" s="891" t="n">
        <f aca="false">F3426-H3426</f>
        <v>-193000</v>
      </c>
      <c r="J3426" s="1365" t="n">
        <f aca="false">F3426*G3426</f>
        <v>48250</v>
      </c>
      <c r="K3426" s="1365" t="n">
        <f aca="false">J3426/1792.8</f>
        <v>26.913208389112</v>
      </c>
      <c r="L3426" s="891" t="n">
        <v>3.6</v>
      </c>
      <c r="M3426" s="1273" t="n">
        <f aca="false">K3426*L3426/60</f>
        <v>1.61479250334672</v>
      </c>
    </row>
    <row r="3427" customFormat="false" ht="15" hidden="false" customHeight="false" outlineLevel="0" collapsed="false">
      <c r="A3427" s="28"/>
      <c r="B3427" s="40"/>
      <c r="C3427" s="40" t="s">
        <v>7159</v>
      </c>
      <c r="D3427" s="316" t="n">
        <v>2007</v>
      </c>
      <c r="E3427" s="912" t="n">
        <f aca="false">2021-D3427</f>
        <v>14</v>
      </c>
      <c r="F3427" s="891" t="n">
        <v>68000</v>
      </c>
      <c r="G3427" s="1364" t="n">
        <v>0.1</v>
      </c>
      <c r="H3427" s="891" t="n">
        <f aca="false">E3427*F3427*G3427</f>
        <v>95200</v>
      </c>
      <c r="I3427" s="891" t="n">
        <f aca="false">F3427-H3427</f>
        <v>-27200</v>
      </c>
      <c r="J3427" s="1365" t="n">
        <f aca="false">F3427*G3427</f>
        <v>6800</v>
      </c>
      <c r="K3427" s="1365" t="n">
        <f aca="false">J3427/1792.8</f>
        <v>3.79294957608211</v>
      </c>
      <c r="L3427" s="891" t="n">
        <v>9.6</v>
      </c>
      <c r="M3427" s="1273" t="n">
        <f aca="false">K3427*L3427/60</f>
        <v>0.606871932173137</v>
      </c>
    </row>
    <row r="3428" customFormat="false" ht="15" hidden="false" customHeight="false" outlineLevel="0" collapsed="false">
      <c r="A3428" s="28"/>
      <c r="B3428" s="1053"/>
      <c r="C3428" s="40" t="s">
        <v>7163</v>
      </c>
      <c r="D3428" s="316" t="n">
        <v>1994</v>
      </c>
      <c r="E3428" s="912" t="n">
        <f aca="false">2021-D3428</f>
        <v>27</v>
      </c>
      <c r="F3428" s="891"/>
      <c r="G3428" s="891"/>
      <c r="H3428" s="891" t="n">
        <f aca="false">E3428*F3428*G3428</f>
        <v>0</v>
      </c>
      <c r="I3428" s="891" t="n">
        <f aca="false">F3428-H3428</f>
        <v>0</v>
      </c>
      <c r="J3428" s="1365" t="n">
        <f aca="false">F3428*G3428</f>
        <v>0</v>
      </c>
      <c r="K3428" s="1365" t="n">
        <f aca="false">J3428/1792.8</f>
        <v>0</v>
      </c>
      <c r="L3428" s="891" t="n">
        <v>5</v>
      </c>
      <c r="M3428" s="1273" t="n">
        <f aca="false">K3428*L3428/60</f>
        <v>0</v>
      </c>
    </row>
    <row r="3429" customFormat="false" ht="15" hidden="false" customHeight="false" outlineLevel="0" collapsed="false">
      <c r="A3429" s="28"/>
      <c r="B3429" s="1053"/>
      <c r="C3429" s="40" t="s">
        <v>7161</v>
      </c>
      <c r="D3429" s="316" t="n">
        <v>2007</v>
      </c>
      <c r="E3429" s="912" t="n">
        <f aca="false">2021-D3429</f>
        <v>14</v>
      </c>
      <c r="F3429" s="891" t="n">
        <v>1849800</v>
      </c>
      <c r="G3429" s="1364" t="n">
        <v>0.1</v>
      </c>
      <c r="H3429" s="891" t="n">
        <f aca="false">E3429*F3429*G3429</f>
        <v>2589720</v>
      </c>
      <c r="I3429" s="891" t="n">
        <f aca="false">F3429-H3429</f>
        <v>-739920</v>
      </c>
      <c r="J3429" s="1365" t="n">
        <f aca="false">F3429*G3429</f>
        <v>184980</v>
      </c>
      <c r="K3429" s="1365" t="n">
        <f aca="false">J3429/1792.8</f>
        <v>103.179384203481</v>
      </c>
      <c r="L3429" s="891" t="n">
        <v>5</v>
      </c>
      <c r="M3429" s="1273" t="n">
        <f aca="false">K3429*L3429/60</f>
        <v>8.59828201695672</v>
      </c>
    </row>
    <row r="3430" customFormat="false" ht="15" hidden="false" customHeight="false" outlineLevel="0" collapsed="false">
      <c r="A3430" s="28"/>
      <c r="B3430" s="972" t="s">
        <v>4128</v>
      </c>
      <c r="C3430" s="1053"/>
      <c r="D3430" s="965"/>
      <c r="E3430" s="912"/>
      <c r="F3430" s="1490"/>
      <c r="G3430" s="1490"/>
      <c r="H3430" s="1490"/>
      <c r="I3430" s="1490"/>
      <c r="J3430" s="1490"/>
      <c r="K3430" s="1365" t="n">
        <f aca="false">J3430/1792.8</f>
        <v>0</v>
      </c>
      <c r="L3430" s="1490"/>
      <c r="M3430" s="1366" t="n">
        <f aca="false">SUM(M3422:M3429)</f>
        <v>37.2884593931281</v>
      </c>
    </row>
    <row r="3431" customFormat="false" ht="60" hidden="false" customHeight="false" outlineLevel="0" collapsed="false">
      <c r="A3431" s="28" t="s">
        <v>1829</v>
      </c>
      <c r="B3431" s="40" t="s">
        <v>3651</v>
      </c>
      <c r="C3431" s="40" t="s">
        <v>7154</v>
      </c>
      <c r="D3431" s="316" t="n">
        <v>2007</v>
      </c>
      <c r="E3431" s="912" t="n">
        <f aca="false">2021-D3431</f>
        <v>14</v>
      </c>
      <c r="F3431" s="891" t="n">
        <v>407000</v>
      </c>
      <c r="G3431" s="1364" t="n">
        <v>0.1</v>
      </c>
      <c r="H3431" s="891" t="n">
        <f aca="false">E3431*F3431*G3431</f>
        <v>569800</v>
      </c>
      <c r="I3431" s="891" t="n">
        <f aca="false">F3431-H3431</f>
        <v>-162800</v>
      </c>
      <c r="J3431" s="1365" t="n">
        <f aca="false">F3431*G3431</f>
        <v>40700</v>
      </c>
      <c r="K3431" s="1365" t="n">
        <f aca="false">J3431/1792.8</f>
        <v>22.7019187862561</v>
      </c>
      <c r="L3431" s="891" t="n">
        <v>28.8</v>
      </c>
      <c r="M3431" s="1273" t="n">
        <f aca="false">K3431*L3431/60</f>
        <v>10.8969210174029</v>
      </c>
    </row>
    <row r="3432" customFormat="false" ht="15" hidden="false" customHeight="false" outlineLevel="0" collapsed="false">
      <c r="A3432" s="28"/>
      <c r="B3432" s="1053"/>
      <c r="C3432" s="40" t="s">
        <v>7155</v>
      </c>
      <c r="D3432" s="316" t="n">
        <v>2007</v>
      </c>
      <c r="E3432" s="912" t="n">
        <f aca="false">2021-D3432</f>
        <v>14</v>
      </c>
      <c r="F3432" s="891" t="n">
        <v>810000</v>
      </c>
      <c r="G3432" s="1364" t="n">
        <v>0.1</v>
      </c>
      <c r="H3432" s="891" t="n">
        <f aca="false">E3432*F3432*G3432</f>
        <v>1134000</v>
      </c>
      <c r="I3432" s="891" t="n">
        <f aca="false">F3432-H3432</f>
        <v>-324000</v>
      </c>
      <c r="J3432" s="1365" t="n">
        <f aca="false">F3432*G3432</f>
        <v>81000</v>
      </c>
      <c r="K3432" s="1365" t="n">
        <f aca="false">J3432/1792.8</f>
        <v>45.1807228915663</v>
      </c>
      <c r="L3432" s="891" t="n">
        <v>4.8</v>
      </c>
      <c r="M3432" s="1273" t="n">
        <f aca="false">K3432*L3432/60</f>
        <v>3.6144578313253</v>
      </c>
    </row>
    <row r="3433" customFormat="false" ht="15" hidden="false" customHeight="false" outlineLevel="0" collapsed="false">
      <c r="A3433" s="28"/>
      <c r="B3433" s="1053"/>
      <c r="C3433" s="40" t="s">
        <v>7156</v>
      </c>
      <c r="D3433" s="316" t="n">
        <v>2015</v>
      </c>
      <c r="E3433" s="912" t="n">
        <f aca="false">2021-D3433</f>
        <v>6</v>
      </c>
      <c r="F3433" s="891" t="n">
        <v>694025</v>
      </c>
      <c r="G3433" s="1364" t="n">
        <v>0.1</v>
      </c>
      <c r="H3433" s="891" t="n">
        <f aca="false">E3433*F3433*G3433</f>
        <v>416415</v>
      </c>
      <c r="I3433" s="891" t="n">
        <f aca="false">F3433-H3433</f>
        <v>277610</v>
      </c>
      <c r="J3433" s="1365" t="n">
        <f aca="false">F3433*G3433</f>
        <v>69402.5</v>
      </c>
      <c r="K3433" s="1365" t="n">
        <f aca="false">J3433/1792.8</f>
        <v>38.711791610888</v>
      </c>
      <c r="L3433" s="891" t="n">
        <v>18</v>
      </c>
      <c r="M3433" s="1273" t="n">
        <f aca="false">K3433*L3433/60</f>
        <v>11.6135374832664</v>
      </c>
    </row>
    <row r="3434" customFormat="false" ht="15" hidden="false" customHeight="false" outlineLevel="0" collapsed="false">
      <c r="A3434" s="28"/>
      <c r="B3434" s="40"/>
      <c r="C3434" s="40" t="s">
        <v>7157</v>
      </c>
      <c r="D3434" s="316" t="n">
        <v>2006</v>
      </c>
      <c r="E3434" s="912" t="n">
        <f aca="false">2021-D3434</f>
        <v>15</v>
      </c>
      <c r="F3434" s="891" t="n">
        <v>77000</v>
      </c>
      <c r="G3434" s="1364" t="n">
        <v>0.05</v>
      </c>
      <c r="H3434" s="891" t="n">
        <f aca="false">E3434*F3434*G3434</f>
        <v>57750</v>
      </c>
      <c r="I3434" s="891" t="n">
        <f aca="false">F3434-H3434</f>
        <v>19250</v>
      </c>
      <c r="J3434" s="1365" t="n">
        <f aca="false">F3434*G3434</f>
        <v>3850</v>
      </c>
      <c r="K3434" s="1365" t="n">
        <f aca="false">J3434/1792.8</f>
        <v>2.14747880410531</v>
      </c>
      <c r="L3434" s="891" t="n">
        <v>9.6</v>
      </c>
      <c r="M3434" s="1273" t="n">
        <f aca="false">K3434*L3434/60</f>
        <v>0.34359660865685</v>
      </c>
    </row>
    <row r="3435" customFormat="false" ht="15" hidden="false" customHeight="false" outlineLevel="0" collapsed="false">
      <c r="A3435" s="1496"/>
      <c r="B3435" s="1053"/>
      <c r="C3435" s="40" t="s">
        <v>7158</v>
      </c>
      <c r="D3435" s="316" t="n">
        <v>2007</v>
      </c>
      <c r="E3435" s="912" t="n">
        <f aca="false">2021-D3435</f>
        <v>14</v>
      </c>
      <c r="F3435" s="891" t="n">
        <v>482500</v>
      </c>
      <c r="G3435" s="1364" t="n">
        <v>0.1</v>
      </c>
      <c r="H3435" s="891" t="n">
        <f aca="false">E3435*F3435*G3435</f>
        <v>675500</v>
      </c>
      <c r="I3435" s="891" t="n">
        <f aca="false">F3435-H3435</f>
        <v>-193000</v>
      </c>
      <c r="J3435" s="1365" t="n">
        <f aca="false">F3435*G3435</f>
        <v>48250</v>
      </c>
      <c r="K3435" s="1365" t="n">
        <f aca="false">J3435/1792.8</f>
        <v>26.913208389112</v>
      </c>
      <c r="L3435" s="891" t="n">
        <v>3.6</v>
      </c>
      <c r="M3435" s="1273" t="n">
        <f aca="false">K3435*L3435/60</f>
        <v>1.61479250334672</v>
      </c>
    </row>
    <row r="3436" customFormat="false" ht="15" hidden="false" customHeight="false" outlineLevel="0" collapsed="false">
      <c r="A3436" s="28"/>
      <c r="B3436" s="1053"/>
      <c r="C3436" s="40" t="s">
        <v>7159</v>
      </c>
      <c r="D3436" s="316" t="n">
        <v>2007</v>
      </c>
      <c r="E3436" s="912" t="n">
        <f aca="false">2021-D3436</f>
        <v>14</v>
      </c>
      <c r="F3436" s="891" t="n">
        <v>68000</v>
      </c>
      <c r="G3436" s="1364" t="n">
        <v>0.1</v>
      </c>
      <c r="H3436" s="891" t="n">
        <f aca="false">E3436*F3436*G3436</f>
        <v>95200</v>
      </c>
      <c r="I3436" s="891" t="n">
        <f aca="false">F3436-H3436</f>
        <v>-27200</v>
      </c>
      <c r="J3436" s="1365" t="n">
        <f aca="false">F3436*G3436</f>
        <v>6800</v>
      </c>
      <c r="K3436" s="1365" t="n">
        <f aca="false">J3436/1792.8</f>
        <v>3.79294957608211</v>
      </c>
      <c r="L3436" s="891" t="n">
        <v>9.6</v>
      </c>
      <c r="M3436" s="1273" t="n">
        <f aca="false">K3436*L3436/60</f>
        <v>0.606871932173137</v>
      </c>
    </row>
    <row r="3437" customFormat="false" ht="15" hidden="false" customHeight="false" outlineLevel="0" collapsed="false">
      <c r="A3437" s="28"/>
      <c r="B3437" s="40"/>
      <c r="C3437" s="40" t="s">
        <v>7160</v>
      </c>
      <c r="D3437" s="316" t="n">
        <v>1994</v>
      </c>
      <c r="E3437" s="912" t="n">
        <f aca="false">2021-D3437</f>
        <v>27</v>
      </c>
      <c r="F3437" s="891" t="n">
        <v>156540</v>
      </c>
      <c r="G3437" s="1364" t="n">
        <v>0.1</v>
      </c>
      <c r="H3437" s="891" t="n">
        <v>156540</v>
      </c>
      <c r="I3437" s="891" t="n">
        <f aca="false">F3437-H3437</f>
        <v>0</v>
      </c>
      <c r="J3437" s="1365" t="n">
        <f aca="false">F3437*G3437</f>
        <v>15654</v>
      </c>
      <c r="K3437" s="1365" t="n">
        <f aca="false">J3437/1792.8</f>
        <v>8.73159303882196</v>
      </c>
      <c r="L3437" s="891" t="n">
        <v>5</v>
      </c>
      <c r="M3437" s="1273" t="n">
        <f aca="false">K3437*L3437/60</f>
        <v>0.727632753235163</v>
      </c>
    </row>
    <row r="3438" customFormat="false" ht="15" hidden="false" customHeight="false" outlineLevel="0" collapsed="false">
      <c r="A3438" s="1496"/>
      <c r="B3438" s="972" t="s">
        <v>4128</v>
      </c>
      <c r="C3438" s="1053"/>
      <c r="D3438" s="965"/>
      <c r="E3438" s="912"/>
      <c r="F3438" s="1490"/>
      <c r="G3438" s="1490"/>
      <c r="H3438" s="1490"/>
      <c r="I3438" s="1490"/>
      <c r="J3438" s="1490"/>
      <c r="K3438" s="1365" t="n">
        <f aca="false">J3438/1792.8</f>
        <v>0</v>
      </c>
      <c r="L3438" s="1490"/>
      <c r="M3438" s="1366" t="n">
        <f aca="false">SUM(M3431:M3437)</f>
        <v>29.4178101294065</v>
      </c>
    </row>
    <row r="3439" customFormat="false" ht="30" hidden="false" customHeight="false" outlineLevel="0" collapsed="false">
      <c r="A3439" s="28" t="s">
        <v>1831</v>
      </c>
      <c r="B3439" s="40" t="s">
        <v>3652</v>
      </c>
      <c r="C3439" s="59" t="s">
        <v>7162</v>
      </c>
      <c r="D3439" s="316" t="n">
        <v>2007</v>
      </c>
      <c r="E3439" s="912" t="n">
        <f aca="false">2021-D3439</f>
        <v>14</v>
      </c>
      <c r="F3439" s="891" t="n">
        <v>46650</v>
      </c>
      <c r="G3439" s="1364" t="n">
        <v>0.1</v>
      </c>
      <c r="H3439" s="891" t="n">
        <f aca="false">E3439*F3439*G3439</f>
        <v>65310</v>
      </c>
      <c r="I3439" s="891" t="n">
        <f aca="false">F3439-H3439</f>
        <v>-18660</v>
      </c>
      <c r="J3439" s="1365" t="n">
        <f aca="false">F3439*G3439</f>
        <v>4665</v>
      </c>
      <c r="K3439" s="1365" t="n">
        <f aca="false">J3439/1792.8</f>
        <v>2.6020749665328</v>
      </c>
      <c r="L3439" s="891" t="n">
        <v>10</v>
      </c>
      <c r="M3439" s="1273" t="n">
        <f aca="false">K3439*L3439/60</f>
        <v>0.4336791610888</v>
      </c>
    </row>
    <row r="3440" customFormat="false" ht="15" hidden="false" customHeight="false" outlineLevel="0" collapsed="false">
      <c r="A3440" s="28"/>
      <c r="B3440" s="40"/>
      <c r="C3440" s="40" t="s">
        <v>7154</v>
      </c>
      <c r="D3440" s="316" t="n">
        <v>2007</v>
      </c>
      <c r="E3440" s="912" t="n">
        <f aca="false">2021-D3440</f>
        <v>14</v>
      </c>
      <c r="F3440" s="891" t="n">
        <v>407000</v>
      </c>
      <c r="G3440" s="1364" t="n">
        <v>0.1</v>
      </c>
      <c r="H3440" s="891" t="n">
        <f aca="false">E3440*F3440*G3440</f>
        <v>569800</v>
      </c>
      <c r="I3440" s="891" t="n">
        <f aca="false">F3440-H3440</f>
        <v>-162800</v>
      </c>
      <c r="J3440" s="1365" t="n">
        <f aca="false">F3440*G3440</f>
        <v>40700</v>
      </c>
      <c r="K3440" s="1365" t="n">
        <f aca="false">J3440/1792.8</f>
        <v>22.7019187862561</v>
      </c>
      <c r="L3440" s="891" t="n">
        <v>20</v>
      </c>
      <c r="M3440" s="1273" t="n">
        <f aca="false">K3440*L3440/60</f>
        <v>7.56730626208538</v>
      </c>
    </row>
    <row r="3441" customFormat="false" ht="15" hidden="false" customHeight="false" outlineLevel="0" collapsed="false">
      <c r="A3441" s="28"/>
      <c r="B3441" s="40"/>
      <c r="C3441" s="40" t="s">
        <v>7155</v>
      </c>
      <c r="D3441" s="316" t="n">
        <v>2007</v>
      </c>
      <c r="E3441" s="912" t="n">
        <f aca="false">2021-D3441</f>
        <v>14</v>
      </c>
      <c r="F3441" s="891" t="n">
        <v>810000</v>
      </c>
      <c r="G3441" s="1364" t="n">
        <v>0.1</v>
      </c>
      <c r="H3441" s="891" t="n">
        <f aca="false">E3441*F3441*G3441</f>
        <v>1134000</v>
      </c>
      <c r="I3441" s="891" t="n">
        <f aca="false">F3441-H3441</f>
        <v>-324000</v>
      </c>
      <c r="J3441" s="1365" t="n">
        <f aca="false">F3441*G3441</f>
        <v>81000</v>
      </c>
      <c r="K3441" s="1365" t="n">
        <f aca="false">J3441/1792.8</f>
        <v>45.1807228915663</v>
      </c>
      <c r="L3441" s="891" t="n">
        <v>4.8</v>
      </c>
      <c r="M3441" s="1273" t="n">
        <f aca="false">K3441*L3441/60</f>
        <v>3.6144578313253</v>
      </c>
    </row>
    <row r="3442" customFormat="false" ht="15" hidden="false" customHeight="false" outlineLevel="0" collapsed="false">
      <c r="A3442" s="28"/>
      <c r="B3442" s="40"/>
      <c r="C3442" s="40" t="s">
        <v>7156</v>
      </c>
      <c r="D3442" s="316" t="n">
        <v>2015</v>
      </c>
      <c r="E3442" s="912" t="n">
        <f aca="false">2021-D3442</f>
        <v>6</v>
      </c>
      <c r="F3442" s="891" t="n">
        <v>694025</v>
      </c>
      <c r="G3442" s="1364" t="n">
        <v>0.1</v>
      </c>
      <c r="H3442" s="891" t="n">
        <f aca="false">E3442*F3442*G3442</f>
        <v>416415</v>
      </c>
      <c r="I3442" s="891" t="n">
        <f aca="false">F3442-H3442</f>
        <v>277610</v>
      </c>
      <c r="J3442" s="1365" t="n">
        <f aca="false">F3442*G3442</f>
        <v>69402.5</v>
      </c>
      <c r="K3442" s="1365" t="n">
        <f aca="false">J3442/1792.8</f>
        <v>38.711791610888</v>
      </c>
      <c r="L3442" s="891" t="n">
        <v>18</v>
      </c>
      <c r="M3442" s="1273" t="n">
        <f aca="false">K3442*L3442/60</f>
        <v>11.6135374832664</v>
      </c>
    </row>
    <row r="3443" customFormat="false" ht="15" hidden="false" customHeight="false" outlineLevel="0" collapsed="false">
      <c r="A3443" s="28"/>
      <c r="B3443" s="40"/>
      <c r="C3443" s="40" t="s">
        <v>7157</v>
      </c>
      <c r="D3443" s="316" t="n">
        <v>2006</v>
      </c>
      <c r="E3443" s="912" t="n">
        <f aca="false">2021-D3443</f>
        <v>15</v>
      </c>
      <c r="F3443" s="891" t="n">
        <v>77000</v>
      </c>
      <c r="G3443" s="1364" t="n">
        <v>0.05</v>
      </c>
      <c r="H3443" s="891" t="n">
        <f aca="false">E3443*F3443*G3443</f>
        <v>57750</v>
      </c>
      <c r="I3443" s="891" t="n">
        <f aca="false">F3443-H3443</f>
        <v>19250</v>
      </c>
      <c r="J3443" s="1365" t="n">
        <f aca="false">F3443*G3443</f>
        <v>3850</v>
      </c>
      <c r="K3443" s="1365" t="n">
        <f aca="false">J3443/1792.8</f>
        <v>2.14747880410531</v>
      </c>
      <c r="L3443" s="891" t="n">
        <v>9.6</v>
      </c>
      <c r="M3443" s="1273" t="n">
        <f aca="false">K3443*L3443/60</f>
        <v>0.34359660865685</v>
      </c>
    </row>
    <row r="3444" customFormat="false" ht="15" hidden="false" customHeight="false" outlineLevel="0" collapsed="false">
      <c r="A3444" s="28"/>
      <c r="B3444" s="40"/>
      <c r="C3444" s="40" t="s">
        <v>7158</v>
      </c>
      <c r="D3444" s="316" t="n">
        <v>2007</v>
      </c>
      <c r="E3444" s="912" t="n">
        <f aca="false">2021-D3444</f>
        <v>14</v>
      </c>
      <c r="F3444" s="891" t="n">
        <v>482500</v>
      </c>
      <c r="G3444" s="1364" t="n">
        <v>0.1</v>
      </c>
      <c r="H3444" s="891" t="n">
        <f aca="false">E3444*F3444*G3444</f>
        <v>675500</v>
      </c>
      <c r="I3444" s="891" t="n">
        <f aca="false">F3444-H3444</f>
        <v>-193000</v>
      </c>
      <c r="J3444" s="1365" t="n">
        <f aca="false">F3444*G3444</f>
        <v>48250</v>
      </c>
      <c r="K3444" s="1365" t="n">
        <f aca="false">J3444/1792.8</f>
        <v>26.913208389112</v>
      </c>
      <c r="L3444" s="891" t="n">
        <v>3.6</v>
      </c>
      <c r="M3444" s="1273" t="n">
        <f aca="false">K3444*L3444/60</f>
        <v>1.61479250334672</v>
      </c>
    </row>
    <row r="3445" customFormat="false" ht="15" hidden="false" customHeight="false" outlineLevel="0" collapsed="false">
      <c r="A3445" s="28"/>
      <c r="B3445" s="78"/>
      <c r="C3445" s="40" t="s">
        <v>7159</v>
      </c>
      <c r="D3445" s="316" t="n">
        <v>2007</v>
      </c>
      <c r="E3445" s="912" t="n">
        <f aca="false">2021-D3445</f>
        <v>14</v>
      </c>
      <c r="F3445" s="891" t="n">
        <v>68000</v>
      </c>
      <c r="G3445" s="1364" t="n">
        <v>0.1</v>
      </c>
      <c r="H3445" s="891" t="n">
        <f aca="false">E3445*F3445*G3445</f>
        <v>95200</v>
      </c>
      <c r="I3445" s="891" t="n">
        <f aca="false">F3445-H3445</f>
        <v>-27200</v>
      </c>
      <c r="J3445" s="1365" t="n">
        <f aca="false">F3445*G3445</f>
        <v>6800</v>
      </c>
      <c r="K3445" s="1365" t="n">
        <f aca="false">J3445/1792.8</f>
        <v>3.79294957608211</v>
      </c>
      <c r="L3445" s="891" t="n">
        <v>9.6</v>
      </c>
      <c r="M3445" s="1273" t="n">
        <f aca="false">K3445*L3445/60</f>
        <v>0.606871932173137</v>
      </c>
    </row>
    <row r="3446" customFormat="false" ht="15" hidden="false" customHeight="false" outlineLevel="0" collapsed="false">
      <c r="A3446" s="1496"/>
      <c r="B3446" s="78"/>
      <c r="C3446" s="40" t="s">
        <v>7163</v>
      </c>
      <c r="D3446" s="316" t="n">
        <v>1994</v>
      </c>
      <c r="E3446" s="912" t="n">
        <f aca="false">2021-D3446</f>
        <v>27</v>
      </c>
      <c r="F3446" s="891"/>
      <c r="G3446" s="891"/>
      <c r="H3446" s="891" t="n">
        <f aca="false">E3446*F3446*G3446</f>
        <v>0</v>
      </c>
      <c r="I3446" s="891" t="n">
        <f aca="false">F3446-H3446</f>
        <v>0</v>
      </c>
      <c r="J3446" s="1365" t="n">
        <f aca="false">F3446*G3446</f>
        <v>0</v>
      </c>
      <c r="K3446" s="1365" t="n">
        <f aca="false">J3446/1792.8</f>
        <v>0</v>
      </c>
      <c r="L3446" s="891" t="n">
        <v>5</v>
      </c>
      <c r="M3446" s="1273" t="n">
        <f aca="false">K3446*L3446/60</f>
        <v>0</v>
      </c>
    </row>
    <row r="3447" customFormat="false" ht="15" hidden="false" customHeight="false" outlineLevel="0" collapsed="false">
      <c r="A3447" s="28"/>
      <c r="B3447" s="1053"/>
      <c r="C3447" s="40" t="s">
        <v>7161</v>
      </c>
      <c r="D3447" s="316" t="n">
        <v>2007</v>
      </c>
      <c r="E3447" s="912" t="n">
        <f aca="false">2021-D3447</f>
        <v>14</v>
      </c>
      <c r="F3447" s="891" t="n">
        <v>1849800</v>
      </c>
      <c r="G3447" s="1364" t="n">
        <v>0.1</v>
      </c>
      <c r="H3447" s="891" t="n">
        <f aca="false">E3447*F3447*G3447</f>
        <v>2589720</v>
      </c>
      <c r="I3447" s="891" t="n">
        <f aca="false">F3447-H3447</f>
        <v>-739920</v>
      </c>
      <c r="J3447" s="1365" t="n">
        <f aca="false">F3447*G3447</f>
        <v>184980</v>
      </c>
      <c r="K3447" s="1365" t="n">
        <f aca="false">J3447/1792.8</f>
        <v>103.179384203481</v>
      </c>
      <c r="L3447" s="891" t="n">
        <v>5</v>
      </c>
      <c r="M3447" s="1273" t="n">
        <f aca="false">K3447*L3447/60</f>
        <v>8.59828201695672</v>
      </c>
    </row>
    <row r="3448" customFormat="false" ht="15" hidden="false" customHeight="false" outlineLevel="0" collapsed="false">
      <c r="A3448" s="28"/>
      <c r="B3448" s="972" t="s">
        <v>4128</v>
      </c>
      <c r="C3448" s="40"/>
      <c r="D3448" s="316"/>
      <c r="E3448" s="912"/>
      <c r="F3448" s="891"/>
      <c r="G3448" s="891"/>
      <c r="H3448" s="891"/>
      <c r="I3448" s="891"/>
      <c r="J3448" s="1490"/>
      <c r="K3448" s="1365" t="n">
        <f aca="false">J3448/1792.8</f>
        <v>0</v>
      </c>
      <c r="L3448" s="1490"/>
      <c r="M3448" s="1366" t="n">
        <f aca="false">SUM(M3439:M3447)</f>
        <v>34.3925237988993</v>
      </c>
    </row>
    <row r="3449" customFormat="false" ht="30" hidden="false" customHeight="false" outlineLevel="0" collapsed="false">
      <c r="A3449" s="28" t="s">
        <v>1833</v>
      </c>
      <c r="B3449" s="40" t="s">
        <v>3653</v>
      </c>
      <c r="C3449" s="40" t="s">
        <v>7154</v>
      </c>
      <c r="D3449" s="316" t="n">
        <v>2007</v>
      </c>
      <c r="E3449" s="912" t="n">
        <f aca="false">2021-D3449</f>
        <v>14</v>
      </c>
      <c r="F3449" s="891" t="n">
        <v>407000</v>
      </c>
      <c r="G3449" s="1364" t="n">
        <v>0.1</v>
      </c>
      <c r="H3449" s="891" t="n">
        <f aca="false">E3449*F3449*G3449</f>
        <v>569800</v>
      </c>
      <c r="I3449" s="891" t="n">
        <f aca="false">F3449-H3449</f>
        <v>-162800</v>
      </c>
      <c r="J3449" s="1365" t="n">
        <f aca="false">F3449*G3449</f>
        <v>40700</v>
      </c>
      <c r="K3449" s="1365" t="n">
        <f aca="false">J3449/1792.8</f>
        <v>22.7019187862561</v>
      </c>
      <c r="L3449" s="891" t="n">
        <v>28.8</v>
      </c>
      <c r="M3449" s="1273" t="n">
        <f aca="false">K3449*L3449/60</f>
        <v>10.8969210174029</v>
      </c>
    </row>
    <row r="3450" customFormat="false" ht="15" hidden="false" customHeight="false" outlineLevel="0" collapsed="false">
      <c r="A3450" s="28"/>
      <c r="B3450" s="40"/>
      <c r="C3450" s="40" t="s">
        <v>7155</v>
      </c>
      <c r="D3450" s="316" t="n">
        <v>2007</v>
      </c>
      <c r="E3450" s="912" t="n">
        <f aca="false">2021-D3450</f>
        <v>14</v>
      </c>
      <c r="F3450" s="891" t="n">
        <v>810000</v>
      </c>
      <c r="G3450" s="1364" t="n">
        <v>0.1</v>
      </c>
      <c r="H3450" s="891" t="n">
        <f aca="false">E3450*F3450*G3450</f>
        <v>1134000</v>
      </c>
      <c r="I3450" s="891" t="n">
        <f aca="false">F3450-H3450</f>
        <v>-324000</v>
      </c>
      <c r="J3450" s="1365" t="n">
        <f aca="false">F3450*G3450</f>
        <v>81000</v>
      </c>
      <c r="K3450" s="1365" t="n">
        <f aca="false">J3450/1792.8</f>
        <v>45.1807228915663</v>
      </c>
      <c r="L3450" s="891" t="n">
        <v>4.8</v>
      </c>
      <c r="M3450" s="1273" t="n">
        <f aca="false">K3450*L3450/60</f>
        <v>3.6144578313253</v>
      </c>
    </row>
    <row r="3451" customFormat="false" ht="15" hidden="false" customHeight="false" outlineLevel="0" collapsed="false">
      <c r="A3451" s="1496"/>
      <c r="B3451" s="1053"/>
      <c r="C3451" s="40" t="s">
        <v>7156</v>
      </c>
      <c r="D3451" s="316" t="n">
        <v>2015</v>
      </c>
      <c r="E3451" s="912" t="n">
        <f aca="false">2021-D3451</f>
        <v>6</v>
      </c>
      <c r="F3451" s="891" t="n">
        <v>694025</v>
      </c>
      <c r="G3451" s="1364" t="n">
        <v>0.1</v>
      </c>
      <c r="H3451" s="891" t="n">
        <f aca="false">E3451*F3451*G3451</f>
        <v>416415</v>
      </c>
      <c r="I3451" s="891" t="n">
        <f aca="false">F3451-H3451</f>
        <v>277610</v>
      </c>
      <c r="J3451" s="1365" t="n">
        <f aca="false">F3451*G3451</f>
        <v>69402.5</v>
      </c>
      <c r="K3451" s="1365" t="n">
        <f aca="false">J3451/1792.8</f>
        <v>38.711791610888</v>
      </c>
      <c r="L3451" s="891" t="n">
        <v>18</v>
      </c>
      <c r="M3451" s="1273" t="n">
        <f aca="false">K3451*L3451/60</f>
        <v>11.6135374832664</v>
      </c>
    </row>
    <row r="3452" customFormat="false" ht="15" hidden="false" customHeight="false" outlineLevel="0" collapsed="false">
      <c r="A3452" s="28"/>
      <c r="B3452" s="1053"/>
      <c r="C3452" s="40" t="s">
        <v>7157</v>
      </c>
      <c r="D3452" s="316" t="n">
        <v>2006</v>
      </c>
      <c r="E3452" s="912" t="n">
        <f aca="false">2021-D3452</f>
        <v>15</v>
      </c>
      <c r="F3452" s="891" t="n">
        <v>77000</v>
      </c>
      <c r="G3452" s="1364" t="n">
        <v>0.05</v>
      </c>
      <c r="H3452" s="891" t="n">
        <f aca="false">E3452*F3452*G3452</f>
        <v>57750</v>
      </c>
      <c r="I3452" s="891" t="n">
        <f aca="false">F3452-H3452</f>
        <v>19250</v>
      </c>
      <c r="J3452" s="1365" t="n">
        <f aca="false">F3452*G3452</f>
        <v>3850</v>
      </c>
      <c r="K3452" s="1365" t="n">
        <f aca="false">J3452/1792.8</f>
        <v>2.14747880410531</v>
      </c>
      <c r="L3452" s="891" t="n">
        <v>9.6</v>
      </c>
      <c r="M3452" s="1273" t="n">
        <f aca="false">K3452*L3452/60</f>
        <v>0.34359660865685</v>
      </c>
    </row>
    <row r="3453" customFormat="false" ht="15" hidden="false" customHeight="false" outlineLevel="0" collapsed="false">
      <c r="A3453" s="28"/>
      <c r="B3453" s="1053"/>
      <c r="C3453" s="40" t="s">
        <v>7158</v>
      </c>
      <c r="D3453" s="316" t="n">
        <v>2007</v>
      </c>
      <c r="E3453" s="912" t="n">
        <f aca="false">2021-D3453</f>
        <v>14</v>
      </c>
      <c r="F3453" s="891" t="n">
        <v>482500</v>
      </c>
      <c r="G3453" s="1364" t="n">
        <v>0.1</v>
      </c>
      <c r="H3453" s="891" t="n">
        <f aca="false">E3453*F3453*G3453</f>
        <v>675500</v>
      </c>
      <c r="I3453" s="891" t="n">
        <f aca="false">F3453-H3453</f>
        <v>-193000</v>
      </c>
      <c r="J3453" s="1365" t="n">
        <f aca="false">F3453*G3453</f>
        <v>48250</v>
      </c>
      <c r="K3453" s="1365" t="n">
        <f aca="false">J3453/1792.8</f>
        <v>26.913208389112</v>
      </c>
      <c r="L3453" s="891" t="n">
        <v>3.6</v>
      </c>
      <c r="M3453" s="1273" t="n">
        <f aca="false">K3453*L3453/60</f>
        <v>1.61479250334672</v>
      </c>
    </row>
    <row r="3454" customFormat="false" ht="15" hidden="false" customHeight="false" outlineLevel="0" collapsed="false">
      <c r="A3454" s="28"/>
      <c r="B3454" s="40"/>
      <c r="C3454" s="40" t="s">
        <v>7159</v>
      </c>
      <c r="D3454" s="316" t="n">
        <v>2007</v>
      </c>
      <c r="E3454" s="912" t="n">
        <f aca="false">2021-D3454</f>
        <v>14</v>
      </c>
      <c r="F3454" s="891" t="n">
        <v>68000</v>
      </c>
      <c r="G3454" s="1364" t="n">
        <v>0.1</v>
      </c>
      <c r="H3454" s="891" t="n">
        <f aca="false">E3454*F3454*G3454</f>
        <v>95200</v>
      </c>
      <c r="I3454" s="891" t="n">
        <f aca="false">F3454-H3454</f>
        <v>-27200</v>
      </c>
      <c r="J3454" s="1365" t="n">
        <f aca="false">F3454*G3454</f>
        <v>6800</v>
      </c>
      <c r="K3454" s="1365" t="n">
        <f aca="false">J3454/1792.8</f>
        <v>3.79294957608211</v>
      </c>
      <c r="L3454" s="891" t="n">
        <v>9.6</v>
      </c>
      <c r="M3454" s="1273" t="n">
        <f aca="false">K3454*L3454/60</f>
        <v>0.606871932173137</v>
      </c>
    </row>
    <row r="3455" customFormat="false" ht="15" hidden="false" customHeight="false" outlineLevel="0" collapsed="false">
      <c r="A3455" s="28"/>
      <c r="B3455" s="1053"/>
      <c r="C3455" s="40" t="s">
        <v>7160</v>
      </c>
      <c r="D3455" s="316" t="n">
        <v>1994</v>
      </c>
      <c r="E3455" s="912" t="n">
        <f aca="false">2021-D3455</f>
        <v>27</v>
      </c>
      <c r="F3455" s="891" t="n">
        <v>156540</v>
      </c>
      <c r="G3455" s="1364" t="n">
        <v>0.1</v>
      </c>
      <c r="H3455" s="891" t="n">
        <v>156540</v>
      </c>
      <c r="I3455" s="891" t="n">
        <f aca="false">F3455-H3455</f>
        <v>0</v>
      </c>
      <c r="J3455" s="1365" t="n">
        <f aca="false">F3455*G3455</f>
        <v>15654</v>
      </c>
      <c r="K3455" s="1365" t="n">
        <f aca="false">J3455/1792.8</f>
        <v>8.73159303882196</v>
      </c>
      <c r="L3455" s="891" t="n">
        <v>5</v>
      </c>
      <c r="M3455" s="1273" t="n">
        <f aca="false">K3455*L3455/60</f>
        <v>0.727632753235163</v>
      </c>
    </row>
    <row r="3456" customFormat="false" ht="15" hidden="false" customHeight="false" outlineLevel="0" collapsed="false">
      <c r="A3456" s="28"/>
      <c r="B3456" s="972" t="s">
        <v>4128</v>
      </c>
      <c r="C3456" s="40"/>
      <c r="D3456" s="316"/>
      <c r="E3456" s="912"/>
      <c r="F3456" s="891"/>
      <c r="G3456" s="891"/>
      <c r="H3456" s="891"/>
      <c r="I3456" s="891"/>
      <c r="J3456" s="1490"/>
      <c r="K3456" s="1365" t="n">
        <f aca="false">J3456/1792.8</f>
        <v>0</v>
      </c>
      <c r="L3456" s="1490"/>
      <c r="M3456" s="1366" t="n">
        <f aca="false">SUM(M3449:M3455)</f>
        <v>29.4178101294065</v>
      </c>
    </row>
    <row r="3457" customFormat="false" ht="30" hidden="false" customHeight="false" outlineLevel="0" collapsed="false">
      <c r="A3457" s="28" t="s">
        <v>1835</v>
      </c>
      <c r="B3457" s="40" t="s">
        <v>3654</v>
      </c>
      <c r="C3457" s="40" t="s">
        <v>7154</v>
      </c>
      <c r="D3457" s="316" t="n">
        <v>2007</v>
      </c>
      <c r="E3457" s="912" t="n">
        <f aca="false">2021-D3457</f>
        <v>14</v>
      </c>
      <c r="F3457" s="891" t="n">
        <v>407000</v>
      </c>
      <c r="G3457" s="1364" t="n">
        <v>0.1</v>
      </c>
      <c r="H3457" s="891" t="n">
        <f aca="false">E3457*F3457*G3457</f>
        <v>569800</v>
      </c>
      <c r="I3457" s="891" t="n">
        <f aca="false">F3457-H3457</f>
        <v>-162800</v>
      </c>
      <c r="J3457" s="1365" t="n">
        <f aca="false">F3457*G3457</f>
        <v>40700</v>
      </c>
      <c r="K3457" s="1365" t="n">
        <f aca="false">J3457/1792.8</f>
        <v>22.7019187862561</v>
      </c>
      <c r="L3457" s="891" t="n">
        <v>28.8</v>
      </c>
      <c r="M3457" s="1273" t="n">
        <f aca="false">K3457*L3457/60</f>
        <v>10.8969210174029</v>
      </c>
    </row>
    <row r="3458" customFormat="false" ht="15" hidden="false" customHeight="false" outlineLevel="0" collapsed="false">
      <c r="A3458" s="28"/>
      <c r="B3458" s="40"/>
      <c r="C3458" s="40" t="s">
        <v>7155</v>
      </c>
      <c r="D3458" s="316" t="n">
        <v>2007</v>
      </c>
      <c r="E3458" s="912" t="n">
        <f aca="false">2021-D3458</f>
        <v>14</v>
      </c>
      <c r="F3458" s="891" t="n">
        <v>810000</v>
      </c>
      <c r="G3458" s="1364" t="n">
        <v>0.1</v>
      </c>
      <c r="H3458" s="891" t="n">
        <f aca="false">E3458*F3458*G3458</f>
        <v>1134000</v>
      </c>
      <c r="I3458" s="891" t="n">
        <f aca="false">F3458-H3458</f>
        <v>-324000</v>
      </c>
      <c r="J3458" s="1365" t="n">
        <f aca="false">F3458*G3458</f>
        <v>81000</v>
      </c>
      <c r="K3458" s="1365" t="n">
        <f aca="false">J3458/1792.8</f>
        <v>45.1807228915663</v>
      </c>
      <c r="L3458" s="891" t="n">
        <v>4.8</v>
      </c>
      <c r="M3458" s="1273" t="n">
        <f aca="false">K3458*L3458/60</f>
        <v>3.6144578313253</v>
      </c>
    </row>
    <row r="3459" customFormat="false" ht="15" hidden="false" customHeight="false" outlineLevel="0" collapsed="false">
      <c r="A3459" s="28"/>
      <c r="B3459" s="40"/>
      <c r="C3459" s="40" t="s">
        <v>7156</v>
      </c>
      <c r="D3459" s="316" t="n">
        <v>2015</v>
      </c>
      <c r="E3459" s="912" t="n">
        <f aca="false">2021-D3459</f>
        <v>6</v>
      </c>
      <c r="F3459" s="891" t="n">
        <v>694025</v>
      </c>
      <c r="G3459" s="1364" t="n">
        <v>0.1</v>
      </c>
      <c r="H3459" s="891" t="n">
        <f aca="false">E3459*F3459*G3459</f>
        <v>416415</v>
      </c>
      <c r="I3459" s="891" t="n">
        <f aca="false">F3459-H3459</f>
        <v>277610</v>
      </c>
      <c r="J3459" s="1365" t="n">
        <f aca="false">F3459*G3459</f>
        <v>69402.5</v>
      </c>
      <c r="K3459" s="1365" t="n">
        <f aca="false">J3459/1792.8</f>
        <v>38.711791610888</v>
      </c>
      <c r="L3459" s="891" t="n">
        <v>18</v>
      </c>
      <c r="M3459" s="1273" t="n">
        <f aca="false">K3459*L3459/60</f>
        <v>11.6135374832664</v>
      </c>
    </row>
    <row r="3460" customFormat="false" ht="15" hidden="false" customHeight="false" outlineLevel="0" collapsed="false">
      <c r="A3460" s="28"/>
      <c r="B3460" s="40"/>
      <c r="C3460" s="40" t="s">
        <v>7157</v>
      </c>
      <c r="D3460" s="316" t="n">
        <v>2006</v>
      </c>
      <c r="E3460" s="912" t="n">
        <f aca="false">2021-D3460</f>
        <v>15</v>
      </c>
      <c r="F3460" s="891" t="n">
        <v>77000</v>
      </c>
      <c r="G3460" s="1364" t="n">
        <v>0.05</v>
      </c>
      <c r="H3460" s="891" t="n">
        <f aca="false">E3460*F3460*G3460</f>
        <v>57750</v>
      </c>
      <c r="I3460" s="891" t="n">
        <f aca="false">F3460-H3460</f>
        <v>19250</v>
      </c>
      <c r="J3460" s="1365" t="n">
        <f aca="false">F3460*G3460</f>
        <v>3850</v>
      </c>
      <c r="K3460" s="1365" t="n">
        <f aca="false">J3460/1792.8</f>
        <v>2.14747880410531</v>
      </c>
      <c r="L3460" s="891" t="n">
        <v>9.6</v>
      </c>
      <c r="M3460" s="1273" t="n">
        <f aca="false">K3460*L3460/60</f>
        <v>0.34359660865685</v>
      </c>
    </row>
    <row r="3461" customFormat="false" ht="15" hidden="false" customHeight="false" outlineLevel="0" collapsed="false">
      <c r="A3461" s="28"/>
      <c r="B3461" s="78"/>
      <c r="C3461" s="40" t="s">
        <v>7158</v>
      </c>
      <c r="D3461" s="316" t="n">
        <v>2007</v>
      </c>
      <c r="E3461" s="912" t="n">
        <f aca="false">2021-D3461</f>
        <v>14</v>
      </c>
      <c r="F3461" s="891" t="n">
        <v>482500</v>
      </c>
      <c r="G3461" s="1364" t="n">
        <v>0.1</v>
      </c>
      <c r="H3461" s="891" t="n">
        <f aca="false">E3461*F3461*G3461</f>
        <v>675500</v>
      </c>
      <c r="I3461" s="891" t="n">
        <f aca="false">F3461-H3461</f>
        <v>-193000</v>
      </c>
      <c r="J3461" s="1365" t="n">
        <f aca="false">F3461*G3461</f>
        <v>48250</v>
      </c>
      <c r="K3461" s="1365" t="n">
        <f aca="false">J3461/1792.8</f>
        <v>26.913208389112</v>
      </c>
      <c r="L3461" s="891" t="n">
        <v>3.6</v>
      </c>
      <c r="M3461" s="1273" t="n">
        <f aca="false">K3461*L3461/60</f>
        <v>1.61479250334672</v>
      </c>
    </row>
    <row r="3462" customFormat="false" ht="15" hidden="false" customHeight="false" outlineLevel="0" collapsed="false">
      <c r="A3462" s="28"/>
      <c r="B3462" s="78"/>
      <c r="C3462" s="40" t="s">
        <v>7159</v>
      </c>
      <c r="D3462" s="316" t="n">
        <v>2007</v>
      </c>
      <c r="E3462" s="912" t="n">
        <f aca="false">2021-D3462</f>
        <v>14</v>
      </c>
      <c r="F3462" s="891" t="n">
        <v>68000</v>
      </c>
      <c r="G3462" s="1364" t="n">
        <v>0.1</v>
      </c>
      <c r="H3462" s="891" t="n">
        <f aca="false">E3462*F3462*G3462</f>
        <v>95200</v>
      </c>
      <c r="I3462" s="891" t="n">
        <f aca="false">F3462-H3462</f>
        <v>-27200</v>
      </c>
      <c r="J3462" s="1365" t="n">
        <f aca="false">F3462*G3462</f>
        <v>6800</v>
      </c>
      <c r="K3462" s="1365" t="n">
        <f aca="false">J3462/1792.8</f>
        <v>3.79294957608211</v>
      </c>
      <c r="L3462" s="891" t="n">
        <v>9.6</v>
      </c>
      <c r="M3462" s="1273" t="n">
        <f aca="false">K3462*L3462/60</f>
        <v>0.606871932173137</v>
      </c>
    </row>
    <row r="3463" customFormat="false" ht="15" hidden="false" customHeight="false" outlineLevel="0" collapsed="false">
      <c r="A3463" s="28"/>
      <c r="B3463" s="40"/>
      <c r="C3463" s="40" t="s">
        <v>7163</v>
      </c>
      <c r="D3463" s="316" t="n">
        <v>1994</v>
      </c>
      <c r="E3463" s="912" t="n">
        <f aca="false">2021-D3463</f>
        <v>27</v>
      </c>
      <c r="F3463" s="891"/>
      <c r="G3463" s="891"/>
      <c r="H3463" s="891" t="n">
        <f aca="false">E3463*F3463*G3463</f>
        <v>0</v>
      </c>
      <c r="I3463" s="891" t="n">
        <f aca="false">F3463-H3463</f>
        <v>0</v>
      </c>
      <c r="J3463" s="1365" t="n">
        <f aca="false">F3463*G3463</f>
        <v>0</v>
      </c>
      <c r="K3463" s="1365" t="n">
        <f aca="false">J3463/1792.8</f>
        <v>0</v>
      </c>
      <c r="L3463" s="891" t="n">
        <v>5</v>
      </c>
      <c r="M3463" s="1273" t="n">
        <f aca="false">K3463*L3463/60</f>
        <v>0</v>
      </c>
    </row>
    <row r="3464" customFormat="false" ht="15" hidden="false" customHeight="false" outlineLevel="0" collapsed="false">
      <c r="A3464" s="28"/>
      <c r="B3464" s="1053"/>
      <c r="C3464" s="40" t="s">
        <v>7161</v>
      </c>
      <c r="D3464" s="316" t="n">
        <v>2007</v>
      </c>
      <c r="E3464" s="912" t="n">
        <f aca="false">2021-D3464</f>
        <v>14</v>
      </c>
      <c r="F3464" s="891" t="n">
        <v>1849800</v>
      </c>
      <c r="G3464" s="1364" t="n">
        <v>0.1</v>
      </c>
      <c r="H3464" s="891" t="n">
        <f aca="false">E3464*F3464*G3464</f>
        <v>2589720</v>
      </c>
      <c r="I3464" s="891" t="n">
        <f aca="false">F3464-H3464</f>
        <v>-739920</v>
      </c>
      <c r="J3464" s="1365" t="n">
        <f aca="false">F3464*G3464</f>
        <v>184980</v>
      </c>
      <c r="K3464" s="1365" t="n">
        <f aca="false">J3464/1792.8</f>
        <v>103.179384203481</v>
      </c>
      <c r="L3464" s="891" t="n">
        <v>3</v>
      </c>
      <c r="M3464" s="1273" t="n">
        <f aca="false">K3464*L3464/60</f>
        <v>5.15896921017403</v>
      </c>
    </row>
    <row r="3465" customFormat="false" ht="15" hidden="false" customHeight="false" outlineLevel="0" collapsed="false">
      <c r="A3465" s="1496"/>
      <c r="B3465" s="972" t="s">
        <v>4128</v>
      </c>
      <c r="C3465" s="1053"/>
      <c r="D3465" s="965"/>
      <c r="E3465" s="912"/>
      <c r="F3465" s="1490"/>
      <c r="G3465" s="1490"/>
      <c r="H3465" s="1490"/>
      <c r="I3465" s="1490"/>
      <c r="J3465" s="1490"/>
      <c r="K3465" s="1365" t="n">
        <f aca="false">J3465/1792.8</f>
        <v>0</v>
      </c>
      <c r="L3465" s="1490"/>
      <c r="M3465" s="1366" t="n">
        <f aca="false">SUM(M3457:M3464)</f>
        <v>33.8491465863454</v>
      </c>
    </row>
    <row r="3466" customFormat="false" ht="30" hidden="false" customHeight="false" outlineLevel="0" collapsed="false">
      <c r="A3466" s="28" t="s">
        <v>1837</v>
      </c>
      <c r="B3466" s="40" t="s">
        <v>3655</v>
      </c>
      <c r="C3466" s="40" t="s">
        <v>7154</v>
      </c>
      <c r="D3466" s="316" t="n">
        <v>2007</v>
      </c>
      <c r="E3466" s="912" t="n">
        <f aca="false">2021-D3466</f>
        <v>14</v>
      </c>
      <c r="F3466" s="891" t="n">
        <v>407000</v>
      </c>
      <c r="G3466" s="1364" t="n">
        <v>0.1</v>
      </c>
      <c r="H3466" s="891" t="n">
        <f aca="false">E3466*F3466*G3466</f>
        <v>569800</v>
      </c>
      <c r="I3466" s="891" t="n">
        <f aca="false">F3466-H3466</f>
        <v>-162800</v>
      </c>
      <c r="J3466" s="1365" t="n">
        <f aca="false">F3466*G3466</f>
        <v>40700</v>
      </c>
      <c r="K3466" s="1365" t="n">
        <f aca="false">J3466/1792.8</f>
        <v>22.7019187862561</v>
      </c>
      <c r="L3466" s="891" t="n">
        <v>28.8</v>
      </c>
      <c r="M3466" s="1273" t="n">
        <f aca="false">K3466*L3466/60</f>
        <v>10.8969210174029</v>
      </c>
    </row>
    <row r="3467" customFormat="false" ht="15" hidden="false" customHeight="false" outlineLevel="0" collapsed="false">
      <c r="A3467" s="28"/>
      <c r="B3467" s="1053"/>
      <c r="C3467" s="40" t="s">
        <v>7155</v>
      </c>
      <c r="D3467" s="316" t="n">
        <v>2007</v>
      </c>
      <c r="E3467" s="912" t="n">
        <f aca="false">2021-D3467</f>
        <v>14</v>
      </c>
      <c r="F3467" s="891" t="n">
        <v>810000</v>
      </c>
      <c r="G3467" s="1364" t="n">
        <v>0.1</v>
      </c>
      <c r="H3467" s="891" t="n">
        <f aca="false">E3467*F3467*G3467</f>
        <v>1134000</v>
      </c>
      <c r="I3467" s="891" t="n">
        <f aca="false">F3467-H3467</f>
        <v>-324000</v>
      </c>
      <c r="J3467" s="1365" t="n">
        <f aca="false">F3467*G3467</f>
        <v>81000</v>
      </c>
      <c r="K3467" s="1365" t="n">
        <f aca="false">J3467/1792.8</f>
        <v>45.1807228915663</v>
      </c>
      <c r="L3467" s="891" t="n">
        <v>4.8</v>
      </c>
      <c r="M3467" s="1273" t="n">
        <f aca="false">K3467*L3467/60</f>
        <v>3.6144578313253</v>
      </c>
    </row>
    <row r="3468" customFormat="false" ht="15" hidden="false" customHeight="false" outlineLevel="0" collapsed="false">
      <c r="A3468" s="1496"/>
      <c r="B3468" s="40"/>
      <c r="C3468" s="40" t="s">
        <v>7156</v>
      </c>
      <c r="D3468" s="316" t="n">
        <v>2015</v>
      </c>
      <c r="E3468" s="912" t="n">
        <f aca="false">2021-D3468</f>
        <v>6</v>
      </c>
      <c r="F3468" s="891" t="n">
        <v>694025</v>
      </c>
      <c r="G3468" s="1364" t="n">
        <v>0.1</v>
      </c>
      <c r="H3468" s="891" t="n">
        <f aca="false">E3468*F3468*G3468</f>
        <v>416415</v>
      </c>
      <c r="I3468" s="891" t="n">
        <f aca="false">F3468-H3468</f>
        <v>277610</v>
      </c>
      <c r="J3468" s="1365" t="n">
        <f aca="false">F3468*G3468</f>
        <v>69402.5</v>
      </c>
      <c r="K3468" s="1365" t="n">
        <f aca="false">J3468/1792.8</f>
        <v>38.711791610888</v>
      </c>
      <c r="L3468" s="891" t="n">
        <v>18</v>
      </c>
      <c r="M3468" s="1273" t="n">
        <f aca="false">K3468*L3468/60</f>
        <v>11.6135374832664</v>
      </c>
    </row>
    <row r="3469" customFormat="false" ht="15" hidden="false" customHeight="false" outlineLevel="0" collapsed="false">
      <c r="A3469" s="28"/>
      <c r="B3469" s="1053"/>
      <c r="C3469" s="40" t="s">
        <v>7157</v>
      </c>
      <c r="D3469" s="316" t="n">
        <v>2006</v>
      </c>
      <c r="E3469" s="912" t="n">
        <f aca="false">2021-D3469</f>
        <v>15</v>
      </c>
      <c r="F3469" s="891" t="n">
        <v>77000</v>
      </c>
      <c r="G3469" s="1364" t="n">
        <v>0.05</v>
      </c>
      <c r="H3469" s="891" t="n">
        <f aca="false">E3469*F3469*G3469</f>
        <v>57750</v>
      </c>
      <c r="I3469" s="891" t="n">
        <f aca="false">F3469-H3469</f>
        <v>19250</v>
      </c>
      <c r="J3469" s="1365" t="n">
        <f aca="false">F3469*G3469</f>
        <v>3850</v>
      </c>
      <c r="K3469" s="1365" t="n">
        <f aca="false">J3469/1792.8</f>
        <v>2.14747880410531</v>
      </c>
      <c r="L3469" s="891" t="n">
        <v>9.6</v>
      </c>
      <c r="M3469" s="1273" t="n">
        <f aca="false">K3469*L3469/60</f>
        <v>0.34359660865685</v>
      </c>
    </row>
    <row r="3470" customFormat="false" ht="15" hidden="false" customHeight="false" outlineLevel="0" collapsed="false">
      <c r="A3470" s="28"/>
      <c r="B3470" s="1053"/>
      <c r="C3470" s="40" t="s">
        <v>7158</v>
      </c>
      <c r="D3470" s="316" t="n">
        <v>2007</v>
      </c>
      <c r="E3470" s="912" t="n">
        <f aca="false">2021-D3470</f>
        <v>14</v>
      </c>
      <c r="F3470" s="891" t="n">
        <v>482500</v>
      </c>
      <c r="G3470" s="1364" t="n">
        <v>0.1</v>
      </c>
      <c r="H3470" s="891" t="n">
        <f aca="false">E3470*F3470*G3470</f>
        <v>675500</v>
      </c>
      <c r="I3470" s="891" t="n">
        <f aca="false">F3470-H3470</f>
        <v>-193000</v>
      </c>
      <c r="J3470" s="1365" t="n">
        <f aca="false">F3470*G3470</f>
        <v>48250</v>
      </c>
      <c r="K3470" s="1365" t="n">
        <f aca="false">J3470/1792.8</f>
        <v>26.913208389112</v>
      </c>
      <c r="L3470" s="891" t="n">
        <v>3.6</v>
      </c>
      <c r="M3470" s="1273" t="n">
        <f aca="false">K3470*L3470/60</f>
        <v>1.61479250334672</v>
      </c>
    </row>
    <row r="3471" customFormat="false" ht="15" hidden="false" customHeight="false" outlineLevel="0" collapsed="false">
      <c r="A3471" s="28"/>
      <c r="B3471" s="40"/>
      <c r="C3471" s="40" t="s">
        <v>7159</v>
      </c>
      <c r="D3471" s="316" t="n">
        <v>2007</v>
      </c>
      <c r="E3471" s="912" t="n">
        <f aca="false">2021-D3471</f>
        <v>14</v>
      </c>
      <c r="F3471" s="891" t="n">
        <v>68000</v>
      </c>
      <c r="G3471" s="1364" t="n">
        <v>0.1</v>
      </c>
      <c r="H3471" s="891" t="n">
        <f aca="false">E3471*F3471*G3471</f>
        <v>95200</v>
      </c>
      <c r="I3471" s="891" t="n">
        <f aca="false">F3471-H3471</f>
        <v>-27200</v>
      </c>
      <c r="J3471" s="1365" t="n">
        <f aca="false">F3471*G3471</f>
        <v>6800</v>
      </c>
      <c r="K3471" s="1365" t="n">
        <f aca="false">J3471/1792.8</f>
        <v>3.79294957608211</v>
      </c>
      <c r="L3471" s="891" t="n">
        <v>9.6</v>
      </c>
      <c r="M3471" s="1273" t="n">
        <f aca="false">K3471*L3471/60</f>
        <v>0.606871932173137</v>
      </c>
    </row>
    <row r="3472" customFormat="false" ht="15" hidden="false" customHeight="false" outlineLevel="0" collapsed="false">
      <c r="A3472" s="28"/>
      <c r="B3472" s="1053"/>
      <c r="C3472" s="40" t="s">
        <v>7160</v>
      </c>
      <c r="D3472" s="316" t="n">
        <v>1994</v>
      </c>
      <c r="E3472" s="912" t="n">
        <f aca="false">2021-D3472</f>
        <v>27</v>
      </c>
      <c r="F3472" s="891" t="n">
        <v>156540</v>
      </c>
      <c r="G3472" s="1364" t="n">
        <v>0.1</v>
      </c>
      <c r="H3472" s="891" t="n">
        <v>156540</v>
      </c>
      <c r="I3472" s="891" t="n">
        <f aca="false">F3472-H3472</f>
        <v>0</v>
      </c>
      <c r="J3472" s="1365" t="n">
        <f aca="false">F3472*G3472</f>
        <v>15654</v>
      </c>
      <c r="K3472" s="1365" t="n">
        <f aca="false">J3472/1792.8</f>
        <v>8.73159303882196</v>
      </c>
      <c r="L3472" s="891" t="n">
        <v>5</v>
      </c>
      <c r="M3472" s="1273" t="n">
        <f aca="false">K3472*L3472/60</f>
        <v>0.727632753235163</v>
      </c>
    </row>
    <row r="3473" customFormat="false" ht="15" hidden="false" customHeight="false" outlineLevel="0" collapsed="false">
      <c r="A3473" s="28"/>
      <c r="B3473" s="972" t="s">
        <v>4128</v>
      </c>
      <c r="C3473" s="1053"/>
      <c r="D3473" s="965"/>
      <c r="E3473" s="912"/>
      <c r="F3473" s="1490"/>
      <c r="G3473" s="1490"/>
      <c r="H3473" s="1490"/>
      <c r="I3473" s="1490"/>
      <c r="J3473" s="1490"/>
      <c r="K3473" s="1365" t="n">
        <f aca="false">J3473/1792.8</f>
        <v>0</v>
      </c>
      <c r="L3473" s="1490"/>
      <c r="M3473" s="1366" t="n">
        <f aca="false">SUM(M3466:M3472)</f>
        <v>29.4178101294065</v>
      </c>
    </row>
    <row r="3474" customFormat="false" ht="30" hidden="false" customHeight="false" outlineLevel="0" collapsed="false">
      <c r="A3474" s="28" t="s">
        <v>1839</v>
      </c>
      <c r="B3474" s="40" t="s">
        <v>3642</v>
      </c>
      <c r="C3474" s="40" t="s">
        <v>7154</v>
      </c>
      <c r="D3474" s="316" t="n">
        <v>2007</v>
      </c>
      <c r="E3474" s="912" t="n">
        <f aca="false">2021-D3474</f>
        <v>14</v>
      </c>
      <c r="F3474" s="891" t="n">
        <v>407000</v>
      </c>
      <c r="G3474" s="1364" t="n">
        <v>0.1</v>
      </c>
      <c r="H3474" s="891" t="n">
        <f aca="false">E3474*F3474*G3474</f>
        <v>569800</v>
      </c>
      <c r="I3474" s="891" t="n">
        <f aca="false">F3474-H3474</f>
        <v>-162800</v>
      </c>
      <c r="J3474" s="1365" t="n">
        <f aca="false">F3474*G3474</f>
        <v>40700</v>
      </c>
      <c r="K3474" s="1365" t="n">
        <f aca="false">J3474/1792.8</f>
        <v>22.7019187862561</v>
      </c>
      <c r="L3474" s="891" t="n">
        <v>20</v>
      </c>
      <c r="M3474" s="1273" t="n">
        <f aca="false">K3474*L3474/60</f>
        <v>7.56730626208538</v>
      </c>
    </row>
    <row r="3475" customFormat="false" ht="15" hidden="false" customHeight="false" outlineLevel="0" collapsed="false">
      <c r="A3475" s="28"/>
      <c r="B3475" s="40"/>
      <c r="C3475" s="40" t="s">
        <v>7155</v>
      </c>
      <c r="D3475" s="316" t="n">
        <v>2007</v>
      </c>
      <c r="E3475" s="912" t="n">
        <f aca="false">2021-D3475</f>
        <v>14</v>
      </c>
      <c r="F3475" s="891" t="n">
        <v>810000</v>
      </c>
      <c r="G3475" s="1364" t="n">
        <v>0.1</v>
      </c>
      <c r="H3475" s="891" t="n">
        <f aca="false">E3475*F3475*G3475</f>
        <v>1134000</v>
      </c>
      <c r="I3475" s="891" t="n">
        <f aca="false">F3475-H3475</f>
        <v>-324000</v>
      </c>
      <c r="J3475" s="1365" t="n">
        <f aca="false">F3475*G3475</f>
        <v>81000</v>
      </c>
      <c r="K3475" s="1365" t="n">
        <f aca="false">J3475/1792.8</f>
        <v>45.1807228915663</v>
      </c>
      <c r="L3475" s="891" t="n">
        <v>4.8</v>
      </c>
      <c r="M3475" s="1273" t="n">
        <f aca="false">K3475*L3475/60</f>
        <v>3.6144578313253</v>
      </c>
    </row>
    <row r="3476" customFormat="false" ht="15" hidden="false" customHeight="false" outlineLevel="0" collapsed="false">
      <c r="A3476" s="28"/>
      <c r="B3476" s="40"/>
      <c r="C3476" s="40" t="s">
        <v>7156</v>
      </c>
      <c r="D3476" s="316" t="n">
        <v>2015</v>
      </c>
      <c r="E3476" s="912" t="n">
        <f aca="false">2021-D3476</f>
        <v>6</v>
      </c>
      <c r="F3476" s="891" t="n">
        <v>694025</v>
      </c>
      <c r="G3476" s="1364" t="n">
        <v>0.1</v>
      </c>
      <c r="H3476" s="891" t="n">
        <f aca="false">E3476*F3476*G3476</f>
        <v>416415</v>
      </c>
      <c r="I3476" s="891" t="n">
        <f aca="false">F3476-H3476</f>
        <v>277610</v>
      </c>
      <c r="J3476" s="1365" t="n">
        <f aca="false">F3476*G3476</f>
        <v>69402.5</v>
      </c>
      <c r="K3476" s="1365" t="n">
        <f aca="false">J3476/1792.8</f>
        <v>38.711791610888</v>
      </c>
      <c r="L3476" s="891" t="n">
        <v>18</v>
      </c>
      <c r="M3476" s="1273" t="n">
        <f aca="false">K3476*L3476/60</f>
        <v>11.6135374832664</v>
      </c>
    </row>
    <row r="3477" customFormat="false" ht="15" hidden="false" customHeight="false" outlineLevel="0" collapsed="false">
      <c r="A3477" s="28"/>
      <c r="B3477" s="40"/>
      <c r="C3477" s="40" t="s">
        <v>7157</v>
      </c>
      <c r="D3477" s="316" t="n">
        <v>2006</v>
      </c>
      <c r="E3477" s="912" t="n">
        <f aca="false">2021-D3477</f>
        <v>15</v>
      </c>
      <c r="F3477" s="891" t="n">
        <v>77000</v>
      </c>
      <c r="G3477" s="1364" t="n">
        <v>0.05</v>
      </c>
      <c r="H3477" s="891" t="n">
        <f aca="false">E3477*F3477*G3477</f>
        <v>57750</v>
      </c>
      <c r="I3477" s="891" t="n">
        <f aca="false">F3477-H3477</f>
        <v>19250</v>
      </c>
      <c r="J3477" s="1365" t="n">
        <f aca="false">F3477*G3477</f>
        <v>3850</v>
      </c>
      <c r="K3477" s="1365" t="n">
        <f aca="false">J3477/1792.8</f>
        <v>2.14747880410531</v>
      </c>
      <c r="L3477" s="891" t="n">
        <v>9.6</v>
      </c>
      <c r="M3477" s="1273" t="n">
        <f aca="false">K3477*L3477/60</f>
        <v>0.34359660865685</v>
      </c>
    </row>
    <row r="3478" customFormat="false" ht="15" hidden="false" customHeight="false" outlineLevel="0" collapsed="false">
      <c r="A3478" s="28"/>
      <c r="B3478" s="40"/>
      <c r="C3478" s="40" t="s">
        <v>7158</v>
      </c>
      <c r="D3478" s="316" t="n">
        <v>2007</v>
      </c>
      <c r="E3478" s="912" t="n">
        <f aca="false">2021-D3478</f>
        <v>14</v>
      </c>
      <c r="F3478" s="891" t="n">
        <v>482500</v>
      </c>
      <c r="G3478" s="1364" t="n">
        <v>0.1</v>
      </c>
      <c r="H3478" s="891" t="n">
        <f aca="false">E3478*F3478*G3478</f>
        <v>675500</v>
      </c>
      <c r="I3478" s="891" t="n">
        <f aca="false">F3478-H3478</f>
        <v>-193000</v>
      </c>
      <c r="J3478" s="1365" t="n">
        <f aca="false">F3478*G3478</f>
        <v>48250</v>
      </c>
      <c r="K3478" s="1365" t="n">
        <f aca="false">J3478/1792.8</f>
        <v>26.913208389112</v>
      </c>
      <c r="L3478" s="891" t="n">
        <v>3.6</v>
      </c>
      <c r="M3478" s="1273" t="n">
        <f aca="false">K3478*L3478/60</f>
        <v>1.61479250334672</v>
      </c>
    </row>
    <row r="3479" customFormat="false" ht="15" hidden="false" customHeight="false" outlineLevel="0" collapsed="false">
      <c r="A3479" s="28"/>
      <c r="B3479" s="78"/>
      <c r="C3479" s="40" t="s">
        <v>7159</v>
      </c>
      <c r="D3479" s="316" t="n">
        <v>2007</v>
      </c>
      <c r="E3479" s="912" t="n">
        <f aca="false">2021-D3479</f>
        <v>14</v>
      </c>
      <c r="F3479" s="891" t="n">
        <v>68000</v>
      </c>
      <c r="G3479" s="1364" t="n">
        <v>0.1</v>
      </c>
      <c r="H3479" s="891" t="n">
        <f aca="false">E3479*F3479*G3479</f>
        <v>95200</v>
      </c>
      <c r="I3479" s="891" t="n">
        <f aca="false">F3479-H3479</f>
        <v>-27200</v>
      </c>
      <c r="J3479" s="1365" t="n">
        <f aca="false">F3479*G3479</f>
        <v>6800</v>
      </c>
      <c r="K3479" s="1365" t="n">
        <f aca="false">J3479/1792.8</f>
        <v>3.79294957608211</v>
      </c>
      <c r="L3479" s="891" t="n">
        <v>9.6</v>
      </c>
      <c r="M3479" s="1273" t="n">
        <f aca="false">K3479*L3479/60</f>
        <v>0.606871932173137</v>
      </c>
    </row>
    <row r="3480" customFormat="false" ht="15" hidden="false" customHeight="false" outlineLevel="0" collapsed="false">
      <c r="A3480" s="28"/>
      <c r="B3480" s="78"/>
      <c r="C3480" s="40" t="s">
        <v>7161</v>
      </c>
      <c r="D3480" s="316" t="n">
        <v>2007</v>
      </c>
      <c r="E3480" s="912" t="n">
        <f aca="false">2021-D3480</f>
        <v>14</v>
      </c>
      <c r="F3480" s="891" t="n">
        <v>1849800</v>
      </c>
      <c r="G3480" s="1364" t="n">
        <v>0.1</v>
      </c>
      <c r="H3480" s="891" t="n">
        <f aca="false">E3480*F3480*G3480</f>
        <v>2589720</v>
      </c>
      <c r="I3480" s="891" t="n">
        <f aca="false">F3480-H3480</f>
        <v>-739920</v>
      </c>
      <c r="J3480" s="1365" t="n">
        <f aca="false">F3480*G3480</f>
        <v>184980</v>
      </c>
      <c r="K3480" s="1365" t="n">
        <f aca="false">J3480/1792.8</f>
        <v>103.179384203481</v>
      </c>
      <c r="L3480" s="891" t="n">
        <v>5</v>
      </c>
      <c r="M3480" s="1273" t="n">
        <f aca="false">K3480*L3480/60</f>
        <v>8.59828201695672</v>
      </c>
    </row>
    <row r="3481" customFormat="false" ht="15" hidden="false" customHeight="false" outlineLevel="0" collapsed="false">
      <c r="A3481" s="28"/>
      <c r="B3481" s="78"/>
      <c r="C3481" s="40" t="s">
        <v>7163</v>
      </c>
      <c r="D3481" s="316" t="n">
        <v>1994</v>
      </c>
      <c r="E3481" s="912" t="n">
        <f aca="false">2021-D3481</f>
        <v>27</v>
      </c>
      <c r="F3481" s="891"/>
      <c r="G3481" s="891"/>
      <c r="H3481" s="891" t="n">
        <f aca="false">E3481*F3481*G3481</f>
        <v>0</v>
      </c>
      <c r="I3481" s="891" t="n">
        <f aca="false">F3481-H3481</f>
        <v>0</v>
      </c>
      <c r="J3481" s="1365" t="n">
        <f aca="false">F3481*G3481</f>
        <v>0</v>
      </c>
      <c r="K3481" s="1365" t="n">
        <f aca="false">J3481/1792.8</f>
        <v>0</v>
      </c>
      <c r="L3481" s="891" t="n">
        <v>5</v>
      </c>
      <c r="M3481" s="1273" t="n">
        <f aca="false">K3481*L3481/60</f>
        <v>0</v>
      </c>
    </row>
    <row r="3482" customFormat="false" ht="15" hidden="false" customHeight="false" outlineLevel="0" collapsed="false">
      <c r="A3482" s="28"/>
      <c r="B3482" s="972" t="s">
        <v>4128</v>
      </c>
      <c r="C3482" s="1053"/>
      <c r="D3482" s="965"/>
      <c r="E3482" s="912"/>
      <c r="F3482" s="1490"/>
      <c r="G3482" s="1490"/>
      <c r="H3482" s="1490"/>
      <c r="I3482" s="1490"/>
      <c r="J3482" s="1490"/>
      <c r="K3482" s="1365" t="n">
        <f aca="false">J3482/1792.8</f>
        <v>0</v>
      </c>
      <c r="L3482" s="1490"/>
      <c r="M3482" s="1366" t="n">
        <f aca="false">SUM(M3474:M3481)</f>
        <v>33.9588446378105</v>
      </c>
    </row>
    <row r="3483" customFormat="false" ht="30" hidden="false" customHeight="false" outlineLevel="0" collapsed="false">
      <c r="A3483" s="28" t="s">
        <v>1840</v>
      </c>
      <c r="B3483" s="40" t="s">
        <v>3643</v>
      </c>
      <c r="C3483" s="40" t="s">
        <v>7154</v>
      </c>
      <c r="D3483" s="316" t="n">
        <v>2007</v>
      </c>
      <c r="E3483" s="912" t="n">
        <f aca="false">2021-D3483</f>
        <v>14</v>
      </c>
      <c r="F3483" s="891" t="n">
        <v>407000</v>
      </c>
      <c r="G3483" s="1364" t="n">
        <v>0.1</v>
      </c>
      <c r="H3483" s="891" t="n">
        <f aca="false">E3483*F3483*G3483</f>
        <v>569800</v>
      </c>
      <c r="I3483" s="891" t="n">
        <f aca="false">F3483-H3483</f>
        <v>-162800</v>
      </c>
      <c r="J3483" s="1365" t="n">
        <f aca="false">F3483*G3483</f>
        <v>40700</v>
      </c>
      <c r="K3483" s="1365" t="n">
        <f aca="false">J3483/1792.8</f>
        <v>22.7019187862561</v>
      </c>
      <c r="L3483" s="891" t="n">
        <v>28.8</v>
      </c>
      <c r="M3483" s="1273" t="n">
        <f aca="false">K3483*L3483/60</f>
        <v>10.8969210174029</v>
      </c>
    </row>
    <row r="3484" customFormat="false" ht="15" hidden="false" customHeight="false" outlineLevel="0" collapsed="false">
      <c r="A3484" s="28"/>
      <c r="B3484" s="1053"/>
      <c r="C3484" s="40" t="s">
        <v>7155</v>
      </c>
      <c r="D3484" s="316" t="n">
        <v>2007</v>
      </c>
      <c r="E3484" s="912" t="n">
        <f aca="false">2021-D3484</f>
        <v>14</v>
      </c>
      <c r="F3484" s="891" t="n">
        <v>810000</v>
      </c>
      <c r="G3484" s="1364" t="n">
        <v>0.1</v>
      </c>
      <c r="H3484" s="891" t="n">
        <f aca="false">E3484*F3484*G3484</f>
        <v>1134000</v>
      </c>
      <c r="I3484" s="891" t="n">
        <f aca="false">F3484-H3484</f>
        <v>-324000</v>
      </c>
      <c r="J3484" s="1365" t="n">
        <f aca="false">F3484*G3484</f>
        <v>81000</v>
      </c>
      <c r="K3484" s="1365" t="n">
        <f aca="false">J3484/1792.8</f>
        <v>45.1807228915663</v>
      </c>
      <c r="L3484" s="891" t="n">
        <v>4.8</v>
      </c>
      <c r="M3484" s="1273" t="n">
        <f aca="false">K3484*L3484/60</f>
        <v>3.6144578313253</v>
      </c>
    </row>
    <row r="3485" customFormat="false" ht="15" hidden="false" customHeight="false" outlineLevel="0" collapsed="false">
      <c r="A3485" s="28"/>
      <c r="B3485" s="40"/>
      <c r="C3485" s="40" t="s">
        <v>7156</v>
      </c>
      <c r="D3485" s="316" t="n">
        <v>2015</v>
      </c>
      <c r="E3485" s="912" t="n">
        <f aca="false">2021-D3485</f>
        <v>6</v>
      </c>
      <c r="F3485" s="891" t="n">
        <v>694025</v>
      </c>
      <c r="G3485" s="1364" t="n">
        <v>0.1</v>
      </c>
      <c r="H3485" s="891" t="n">
        <f aca="false">E3485*F3485*G3485</f>
        <v>416415</v>
      </c>
      <c r="I3485" s="891" t="n">
        <f aca="false">F3485-H3485</f>
        <v>277610</v>
      </c>
      <c r="J3485" s="1365" t="n">
        <f aca="false">F3485*G3485</f>
        <v>69402.5</v>
      </c>
      <c r="K3485" s="1365" t="n">
        <f aca="false">J3485/1792.8</f>
        <v>38.711791610888</v>
      </c>
      <c r="L3485" s="891" t="n">
        <v>18</v>
      </c>
      <c r="M3485" s="1273" t="n">
        <f aca="false">K3485*L3485/60</f>
        <v>11.6135374832664</v>
      </c>
    </row>
    <row r="3486" customFormat="false" ht="15" hidden="false" customHeight="false" outlineLevel="0" collapsed="false">
      <c r="A3486" s="1496"/>
      <c r="B3486" s="1053"/>
      <c r="C3486" s="40" t="s">
        <v>7157</v>
      </c>
      <c r="D3486" s="316" t="n">
        <v>2006</v>
      </c>
      <c r="E3486" s="912" t="n">
        <f aca="false">2021-D3486</f>
        <v>15</v>
      </c>
      <c r="F3486" s="891" t="n">
        <v>77000</v>
      </c>
      <c r="G3486" s="1364" t="n">
        <v>0.05</v>
      </c>
      <c r="H3486" s="891" t="n">
        <f aca="false">E3486*F3486*G3486</f>
        <v>57750</v>
      </c>
      <c r="I3486" s="891" t="n">
        <f aca="false">F3486-H3486</f>
        <v>19250</v>
      </c>
      <c r="J3486" s="1365" t="n">
        <f aca="false">F3486*G3486</f>
        <v>3850</v>
      </c>
      <c r="K3486" s="1365" t="n">
        <f aca="false">J3486/1792.8</f>
        <v>2.14747880410531</v>
      </c>
      <c r="L3486" s="891" t="n">
        <v>9.6</v>
      </c>
      <c r="M3486" s="1273" t="n">
        <f aca="false">K3486*L3486/60</f>
        <v>0.34359660865685</v>
      </c>
    </row>
    <row r="3487" customFormat="false" ht="15" hidden="false" customHeight="false" outlineLevel="0" collapsed="false">
      <c r="A3487" s="28"/>
      <c r="B3487" s="1053"/>
      <c r="C3487" s="40" t="s">
        <v>7158</v>
      </c>
      <c r="D3487" s="316" t="n">
        <v>2007</v>
      </c>
      <c r="E3487" s="912" t="n">
        <f aca="false">2021-D3487</f>
        <v>14</v>
      </c>
      <c r="F3487" s="891" t="n">
        <v>482500</v>
      </c>
      <c r="G3487" s="1364" t="n">
        <v>0.1</v>
      </c>
      <c r="H3487" s="891" t="n">
        <f aca="false">E3487*F3487*G3487</f>
        <v>675500</v>
      </c>
      <c r="I3487" s="891" t="n">
        <f aca="false">F3487-H3487</f>
        <v>-193000</v>
      </c>
      <c r="J3487" s="1365" t="n">
        <f aca="false">F3487*G3487</f>
        <v>48250</v>
      </c>
      <c r="K3487" s="1365" t="n">
        <f aca="false">J3487/1792.8</f>
        <v>26.913208389112</v>
      </c>
      <c r="L3487" s="891" t="n">
        <v>3.6</v>
      </c>
      <c r="M3487" s="1273" t="n">
        <f aca="false">K3487*L3487/60</f>
        <v>1.61479250334672</v>
      </c>
    </row>
    <row r="3488" customFormat="false" ht="15" hidden="false" customHeight="false" outlineLevel="0" collapsed="false">
      <c r="A3488" s="28"/>
      <c r="B3488" s="1053"/>
      <c r="C3488" s="40" t="s">
        <v>7159</v>
      </c>
      <c r="D3488" s="316" t="n">
        <v>2007</v>
      </c>
      <c r="E3488" s="912" t="n">
        <f aca="false">2021-D3488</f>
        <v>14</v>
      </c>
      <c r="F3488" s="891" t="n">
        <v>68000</v>
      </c>
      <c r="G3488" s="1364" t="n">
        <v>0.1</v>
      </c>
      <c r="H3488" s="891" t="n">
        <f aca="false">E3488*F3488*G3488</f>
        <v>95200</v>
      </c>
      <c r="I3488" s="891" t="n">
        <f aca="false">F3488-H3488</f>
        <v>-27200</v>
      </c>
      <c r="J3488" s="1365" t="n">
        <f aca="false">F3488*G3488</f>
        <v>6800</v>
      </c>
      <c r="K3488" s="1365" t="n">
        <f aca="false">J3488/1792.8</f>
        <v>3.79294957608211</v>
      </c>
      <c r="L3488" s="891" t="n">
        <v>9.6</v>
      </c>
      <c r="M3488" s="1273" t="n">
        <f aca="false">K3488*L3488/60</f>
        <v>0.606871932173137</v>
      </c>
    </row>
    <row r="3489" customFormat="false" ht="15" hidden="false" customHeight="false" outlineLevel="0" collapsed="false">
      <c r="A3489" s="28"/>
      <c r="B3489" s="1053"/>
      <c r="C3489" s="40" t="s">
        <v>7160</v>
      </c>
      <c r="D3489" s="316" t="n">
        <v>1994</v>
      </c>
      <c r="E3489" s="912" t="n">
        <f aca="false">2021-D3489</f>
        <v>27</v>
      </c>
      <c r="F3489" s="891" t="n">
        <v>156540</v>
      </c>
      <c r="G3489" s="1364" t="n">
        <v>0.1</v>
      </c>
      <c r="H3489" s="891" t="n">
        <v>156540</v>
      </c>
      <c r="I3489" s="891" t="n">
        <f aca="false">F3489-H3489</f>
        <v>0</v>
      </c>
      <c r="J3489" s="1365" t="n">
        <f aca="false">F3489*G3489</f>
        <v>15654</v>
      </c>
      <c r="K3489" s="1365" t="n">
        <f aca="false">J3489/1792.8</f>
        <v>8.73159303882196</v>
      </c>
      <c r="L3489" s="891" t="n">
        <v>5</v>
      </c>
      <c r="M3489" s="1273" t="n">
        <f aca="false">K3489*L3489/60</f>
        <v>0.727632753235163</v>
      </c>
    </row>
    <row r="3490" customFormat="false" ht="15" hidden="false" customHeight="false" outlineLevel="0" collapsed="false">
      <c r="A3490" s="28"/>
      <c r="B3490" s="972" t="s">
        <v>4128</v>
      </c>
      <c r="C3490" s="1053"/>
      <c r="D3490" s="965"/>
      <c r="E3490" s="912"/>
      <c r="F3490" s="1490"/>
      <c r="G3490" s="1490"/>
      <c r="H3490" s="1490"/>
      <c r="I3490" s="1490"/>
      <c r="J3490" s="1490"/>
      <c r="K3490" s="1365" t="n">
        <f aca="false">J3490/1792.8</f>
        <v>0</v>
      </c>
      <c r="L3490" s="1490"/>
      <c r="M3490" s="1366" t="n">
        <f aca="false">SUM(M3483:M3489)</f>
        <v>29.4178101294065</v>
      </c>
    </row>
    <row r="3491" customFormat="false" ht="15" hidden="false" customHeight="false" outlineLevel="0" collapsed="false">
      <c r="A3491" s="28" t="s">
        <v>1841</v>
      </c>
      <c r="B3491" s="40" t="s">
        <v>3656</v>
      </c>
      <c r="C3491" s="40" t="s">
        <v>7164</v>
      </c>
      <c r="D3491" s="316" t="n">
        <v>2007</v>
      </c>
      <c r="E3491" s="912" t="n">
        <f aca="false">2021-D3491</f>
        <v>14</v>
      </c>
      <c r="F3491" s="891" t="n">
        <v>407000</v>
      </c>
      <c r="G3491" s="1364" t="n">
        <v>0.1</v>
      </c>
      <c r="H3491" s="891" t="n">
        <f aca="false">E3491*F3491*G3491</f>
        <v>569800</v>
      </c>
      <c r="I3491" s="891" t="n">
        <f aca="false">F3491-H3491</f>
        <v>-162800</v>
      </c>
      <c r="J3491" s="1365" t="n">
        <f aca="false">F3491*G3491</f>
        <v>40700</v>
      </c>
      <c r="K3491" s="1365" t="n">
        <f aca="false">J3491/1792.8</f>
        <v>22.7019187862561</v>
      </c>
      <c r="L3491" s="891" t="n">
        <v>28.8</v>
      </c>
      <c r="M3491" s="1273" t="n">
        <f aca="false">K3491*L3491/60</f>
        <v>10.8969210174029</v>
      </c>
    </row>
    <row r="3492" customFormat="false" ht="15" hidden="false" customHeight="false" outlineLevel="0" collapsed="false">
      <c r="A3492" s="28"/>
      <c r="B3492" s="1053"/>
      <c r="C3492" s="40" t="s">
        <v>7165</v>
      </c>
      <c r="D3492" s="316" t="n">
        <v>2007</v>
      </c>
      <c r="E3492" s="912" t="n">
        <f aca="false">2021-D3492</f>
        <v>14</v>
      </c>
      <c r="F3492" s="891" t="n">
        <v>407000</v>
      </c>
      <c r="G3492" s="1364" t="n">
        <v>0.1</v>
      </c>
      <c r="H3492" s="891" t="n">
        <f aca="false">E3492*F3492*G3492</f>
        <v>569800</v>
      </c>
      <c r="I3492" s="891" t="n">
        <f aca="false">F3492-H3492</f>
        <v>-162800</v>
      </c>
      <c r="J3492" s="1365" t="n">
        <f aca="false">F3492*G3492</f>
        <v>40700</v>
      </c>
      <c r="K3492" s="1365" t="n">
        <f aca="false">J3492/1792.8</f>
        <v>22.7019187862561</v>
      </c>
      <c r="L3492" s="891" t="n">
        <v>28.8</v>
      </c>
      <c r="M3492" s="1273" t="n">
        <f aca="false">K3492*L3492/60</f>
        <v>10.8969210174029</v>
      </c>
    </row>
    <row r="3493" customFormat="false" ht="15" hidden="false" customHeight="false" outlineLevel="0" collapsed="false">
      <c r="A3493" s="28"/>
      <c r="B3493" s="40"/>
      <c r="C3493" s="40" t="s">
        <v>7155</v>
      </c>
      <c r="D3493" s="316" t="n">
        <v>2007</v>
      </c>
      <c r="E3493" s="912" t="n">
        <f aca="false">2021-D3493</f>
        <v>14</v>
      </c>
      <c r="F3493" s="891" t="n">
        <v>810000</v>
      </c>
      <c r="G3493" s="1364" t="n">
        <v>0.1</v>
      </c>
      <c r="H3493" s="891" t="n">
        <f aca="false">E3493*F3493*G3493</f>
        <v>1134000</v>
      </c>
      <c r="I3493" s="891" t="n">
        <f aca="false">F3493-H3493</f>
        <v>-324000</v>
      </c>
      <c r="J3493" s="1365" t="n">
        <f aca="false">F3493*G3493</f>
        <v>81000</v>
      </c>
      <c r="K3493" s="1365" t="n">
        <f aca="false">J3493/1792.8</f>
        <v>45.1807228915663</v>
      </c>
      <c r="L3493" s="891" t="n">
        <v>4.8</v>
      </c>
      <c r="M3493" s="1273" t="n">
        <f aca="false">K3493*L3493/60</f>
        <v>3.6144578313253</v>
      </c>
    </row>
    <row r="3494" customFormat="false" ht="15" hidden="false" customHeight="false" outlineLevel="0" collapsed="false">
      <c r="A3494" s="28"/>
      <c r="B3494" s="40"/>
      <c r="C3494" s="40" t="s">
        <v>7156</v>
      </c>
      <c r="D3494" s="316" t="n">
        <v>2015</v>
      </c>
      <c r="E3494" s="912" t="n">
        <f aca="false">2021-D3494</f>
        <v>6</v>
      </c>
      <c r="F3494" s="891" t="n">
        <v>694025</v>
      </c>
      <c r="G3494" s="1364" t="n">
        <v>0.1</v>
      </c>
      <c r="H3494" s="891" t="n">
        <f aca="false">E3494*F3494*G3494</f>
        <v>416415</v>
      </c>
      <c r="I3494" s="891" t="n">
        <f aca="false">F3494-H3494</f>
        <v>277610</v>
      </c>
      <c r="J3494" s="1365" t="n">
        <f aca="false">F3494*G3494</f>
        <v>69402.5</v>
      </c>
      <c r="K3494" s="1365" t="n">
        <f aca="false">J3494/1792.8</f>
        <v>38.711791610888</v>
      </c>
      <c r="L3494" s="891" t="n">
        <v>18</v>
      </c>
      <c r="M3494" s="1273" t="n">
        <f aca="false">K3494*L3494/60</f>
        <v>11.6135374832664</v>
      </c>
    </row>
    <row r="3495" customFormat="false" ht="15" hidden="false" customHeight="false" outlineLevel="0" collapsed="false">
      <c r="A3495" s="28"/>
      <c r="B3495" s="40"/>
      <c r="C3495" s="40" t="s">
        <v>7157</v>
      </c>
      <c r="D3495" s="316" t="n">
        <v>2006</v>
      </c>
      <c r="E3495" s="912" t="n">
        <f aca="false">2021-D3495</f>
        <v>15</v>
      </c>
      <c r="F3495" s="891" t="n">
        <v>77000</v>
      </c>
      <c r="G3495" s="1364" t="n">
        <v>0.05</v>
      </c>
      <c r="H3495" s="891" t="n">
        <f aca="false">E3495*F3495*G3495</f>
        <v>57750</v>
      </c>
      <c r="I3495" s="891" t="n">
        <f aca="false">F3495-H3495</f>
        <v>19250</v>
      </c>
      <c r="J3495" s="1365" t="n">
        <f aca="false">F3495*G3495</f>
        <v>3850</v>
      </c>
      <c r="K3495" s="1365" t="n">
        <f aca="false">J3495/1792.8</f>
        <v>2.14747880410531</v>
      </c>
      <c r="L3495" s="891" t="n">
        <v>9.6</v>
      </c>
      <c r="M3495" s="1273" t="n">
        <f aca="false">K3495*L3495/60</f>
        <v>0.34359660865685</v>
      </c>
    </row>
    <row r="3496" customFormat="false" ht="15" hidden="false" customHeight="false" outlineLevel="0" collapsed="false">
      <c r="A3496" s="28"/>
      <c r="B3496" s="40"/>
      <c r="C3496" s="40" t="s">
        <v>7158</v>
      </c>
      <c r="D3496" s="316" t="n">
        <v>2007</v>
      </c>
      <c r="E3496" s="912" t="n">
        <f aca="false">2021-D3496</f>
        <v>14</v>
      </c>
      <c r="F3496" s="891" t="n">
        <v>482500</v>
      </c>
      <c r="G3496" s="1364" t="n">
        <v>0.1</v>
      </c>
      <c r="H3496" s="891" t="n">
        <f aca="false">E3496*F3496*G3496</f>
        <v>675500</v>
      </c>
      <c r="I3496" s="891" t="n">
        <f aca="false">F3496-H3496</f>
        <v>-193000</v>
      </c>
      <c r="J3496" s="1365" t="n">
        <f aca="false">F3496*G3496</f>
        <v>48250</v>
      </c>
      <c r="K3496" s="1365" t="n">
        <f aca="false">J3496/1792.8</f>
        <v>26.913208389112</v>
      </c>
      <c r="L3496" s="891" t="n">
        <v>3.6</v>
      </c>
      <c r="M3496" s="1273" t="n">
        <f aca="false">K3496*L3496/60</f>
        <v>1.61479250334672</v>
      </c>
    </row>
    <row r="3497" customFormat="false" ht="15" hidden="false" customHeight="true" outlineLevel="0" collapsed="false">
      <c r="A3497" s="28"/>
      <c r="B3497" s="1053"/>
      <c r="C3497" s="40" t="s">
        <v>7159</v>
      </c>
      <c r="D3497" s="316" t="n">
        <v>2007</v>
      </c>
      <c r="E3497" s="912" t="n">
        <f aca="false">2021-D3497</f>
        <v>14</v>
      </c>
      <c r="F3497" s="891" t="n">
        <v>68000</v>
      </c>
      <c r="G3497" s="1364" t="n">
        <v>0.1</v>
      </c>
      <c r="H3497" s="891" t="n">
        <f aca="false">E3497*F3497*G3497</f>
        <v>95200</v>
      </c>
      <c r="I3497" s="891" t="n">
        <f aca="false">F3497-H3497</f>
        <v>-27200</v>
      </c>
      <c r="J3497" s="1365" t="n">
        <f aca="false">F3497*G3497</f>
        <v>6800</v>
      </c>
      <c r="K3497" s="1365" t="n">
        <f aca="false">J3497/1792.8</f>
        <v>3.79294957608211</v>
      </c>
      <c r="L3497" s="891" t="n">
        <v>9.6</v>
      </c>
      <c r="M3497" s="1273" t="n">
        <f aca="false">K3497*L3497/60</f>
        <v>0.606871932173137</v>
      </c>
    </row>
    <row r="3498" customFormat="false" ht="15" hidden="false" customHeight="false" outlineLevel="0" collapsed="false">
      <c r="A3498" s="28"/>
      <c r="B3498" s="40"/>
      <c r="C3498" s="40" t="s">
        <v>7163</v>
      </c>
      <c r="D3498" s="316" t="n">
        <v>1994</v>
      </c>
      <c r="E3498" s="912" t="n">
        <f aca="false">2021-D3498</f>
        <v>27</v>
      </c>
      <c r="F3498" s="891"/>
      <c r="G3498" s="891"/>
      <c r="H3498" s="891" t="n">
        <f aca="false">E3498*F3498*G3498</f>
        <v>0</v>
      </c>
      <c r="I3498" s="891" t="n">
        <f aca="false">F3498-H3498</f>
        <v>0</v>
      </c>
      <c r="J3498" s="1365" t="n">
        <f aca="false">F3498*G3498</f>
        <v>0</v>
      </c>
      <c r="K3498" s="1365" t="n">
        <f aca="false">J3498/1792.8</f>
        <v>0</v>
      </c>
      <c r="L3498" s="891" t="n">
        <v>5</v>
      </c>
      <c r="M3498" s="1273" t="n">
        <f aca="false">K3498*L3498/60</f>
        <v>0</v>
      </c>
    </row>
    <row r="3499" customFormat="false" ht="24" hidden="false" customHeight="true" outlineLevel="0" collapsed="false">
      <c r="A3499" s="28"/>
      <c r="B3499" s="1053"/>
      <c r="C3499" s="40" t="s">
        <v>7161</v>
      </c>
      <c r="D3499" s="316" t="n">
        <v>2007</v>
      </c>
      <c r="E3499" s="912" t="n">
        <f aca="false">2021-D3499</f>
        <v>14</v>
      </c>
      <c r="F3499" s="891" t="n">
        <v>1849800</v>
      </c>
      <c r="G3499" s="1364" t="n">
        <v>0.1</v>
      </c>
      <c r="H3499" s="891" t="n">
        <f aca="false">E3499*F3499*G3499</f>
        <v>2589720</v>
      </c>
      <c r="I3499" s="891" t="n">
        <f aca="false">F3499-H3499</f>
        <v>-739920</v>
      </c>
      <c r="J3499" s="1365" t="n">
        <f aca="false">F3499*G3499</f>
        <v>184980</v>
      </c>
      <c r="K3499" s="1365" t="n">
        <f aca="false">J3499/1792.8</f>
        <v>103.179384203481</v>
      </c>
      <c r="L3499" s="891" t="n">
        <v>5</v>
      </c>
      <c r="M3499" s="1273" t="n">
        <f aca="false">K3499*L3499/60</f>
        <v>8.59828201695672</v>
      </c>
    </row>
    <row r="3500" customFormat="false" ht="15" hidden="false" customHeight="false" outlineLevel="0" collapsed="false">
      <c r="A3500" s="28"/>
      <c r="B3500" s="972" t="s">
        <v>4128</v>
      </c>
      <c r="C3500" s="1053"/>
      <c r="D3500" s="965"/>
      <c r="E3500" s="912"/>
      <c r="F3500" s="1490"/>
      <c r="G3500" s="1490"/>
      <c r="H3500" s="1490"/>
      <c r="I3500" s="1490"/>
      <c r="J3500" s="1490"/>
      <c r="K3500" s="1365" t="n">
        <f aca="false">J3500/1792.8</f>
        <v>0</v>
      </c>
      <c r="L3500" s="1490"/>
      <c r="M3500" s="1366" t="n">
        <f aca="false">SUM(M3491:M3499)</f>
        <v>48.185380410531</v>
      </c>
    </row>
    <row r="3501" customFormat="false" ht="30" hidden="false" customHeight="false" outlineLevel="0" collapsed="false">
      <c r="A3501" s="28" t="s">
        <v>1843</v>
      </c>
      <c r="B3501" s="40" t="s">
        <v>3657</v>
      </c>
      <c r="C3501" s="40" t="s">
        <v>7154</v>
      </c>
      <c r="D3501" s="316" t="n">
        <v>2007</v>
      </c>
      <c r="E3501" s="912" t="n">
        <f aca="false">2021-D3501</f>
        <v>14</v>
      </c>
      <c r="F3501" s="891" t="n">
        <v>407000</v>
      </c>
      <c r="G3501" s="1364" t="n">
        <v>0.1</v>
      </c>
      <c r="H3501" s="891" t="n">
        <f aca="false">E3501*F3501*G3501</f>
        <v>569800</v>
      </c>
      <c r="I3501" s="891" t="n">
        <f aca="false">F3501-H3501</f>
        <v>-162800</v>
      </c>
      <c r="J3501" s="1365" t="n">
        <f aca="false">F3501*G3501</f>
        <v>40700</v>
      </c>
      <c r="K3501" s="1365" t="n">
        <f aca="false">J3501/1792.8</f>
        <v>22.7019187862561</v>
      </c>
      <c r="L3501" s="891" t="n">
        <v>28.8</v>
      </c>
      <c r="M3501" s="1273" t="n">
        <f aca="false">K3501*L3501/60</f>
        <v>10.8969210174029</v>
      </c>
    </row>
    <row r="3502" customFormat="false" ht="23.25" hidden="false" customHeight="true" outlineLevel="0" collapsed="false">
      <c r="A3502" s="28"/>
      <c r="B3502" s="40"/>
      <c r="C3502" s="40" t="s">
        <v>7155</v>
      </c>
      <c r="D3502" s="316" t="n">
        <v>2007</v>
      </c>
      <c r="E3502" s="912" t="n">
        <f aca="false">2021-D3502</f>
        <v>14</v>
      </c>
      <c r="F3502" s="891" t="n">
        <v>810000</v>
      </c>
      <c r="G3502" s="1364" t="n">
        <v>0.1</v>
      </c>
      <c r="H3502" s="891" t="n">
        <f aca="false">E3502*F3502*G3502</f>
        <v>1134000</v>
      </c>
      <c r="I3502" s="891" t="n">
        <f aca="false">F3502-H3502</f>
        <v>-324000</v>
      </c>
      <c r="J3502" s="1365" t="n">
        <f aca="false">F3502*G3502</f>
        <v>81000</v>
      </c>
      <c r="K3502" s="1365" t="n">
        <f aca="false">J3502/1792.8</f>
        <v>45.1807228915663</v>
      </c>
      <c r="L3502" s="891" t="n">
        <v>4.8</v>
      </c>
      <c r="M3502" s="1273" t="n">
        <f aca="false">K3502*L3502/60</f>
        <v>3.6144578313253</v>
      </c>
    </row>
    <row r="3503" customFormat="false" ht="15" hidden="false" customHeight="false" outlineLevel="0" collapsed="false">
      <c r="A3503" s="1496"/>
      <c r="B3503" s="1053"/>
      <c r="C3503" s="40" t="s">
        <v>7156</v>
      </c>
      <c r="D3503" s="316" t="n">
        <v>2015</v>
      </c>
      <c r="E3503" s="912" t="n">
        <f aca="false">2021-D3503</f>
        <v>6</v>
      </c>
      <c r="F3503" s="891" t="n">
        <v>694025</v>
      </c>
      <c r="G3503" s="1364" t="n">
        <v>0.1</v>
      </c>
      <c r="H3503" s="891" t="n">
        <f aca="false">E3503*F3503*G3503</f>
        <v>416415</v>
      </c>
      <c r="I3503" s="891" t="n">
        <f aca="false">F3503-H3503</f>
        <v>277610</v>
      </c>
      <c r="J3503" s="1365" t="n">
        <f aca="false">F3503*G3503</f>
        <v>69402.5</v>
      </c>
      <c r="K3503" s="1365" t="n">
        <f aca="false">J3503/1792.8</f>
        <v>38.711791610888</v>
      </c>
      <c r="L3503" s="891" t="n">
        <v>18</v>
      </c>
      <c r="M3503" s="1273" t="n">
        <f aca="false">K3503*L3503/60</f>
        <v>11.6135374832664</v>
      </c>
    </row>
    <row r="3504" customFormat="false" ht="21" hidden="false" customHeight="true" outlineLevel="0" collapsed="false">
      <c r="A3504" s="28"/>
      <c r="B3504" s="1053"/>
      <c r="C3504" s="40" t="s">
        <v>7157</v>
      </c>
      <c r="D3504" s="316" t="n">
        <v>2006</v>
      </c>
      <c r="E3504" s="912" t="n">
        <f aca="false">2021-D3504</f>
        <v>15</v>
      </c>
      <c r="F3504" s="891" t="n">
        <v>77000</v>
      </c>
      <c r="G3504" s="1364" t="n">
        <v>0.05</v>
      </c>
      <c r="H3504" s="891" t="n">
        <f aca="false">E3504*F3504*G3504</f>
        <v>57750</v>
      </c>
      <c r="I3504" s="891" t="n">
        <f aca="false">F3504-H3504</f>
        <v>19250</v>
      </c>
      <c r="J3504" s="1365" t="n">
        <f aca="false">F3504*G3504</f>
        <v>3850</v>
      </c>
      <c r="K3504" s="1365" t="n">
        <f aca="false">J3504/1792.8</f>
        <v>2.14747880410531</v>
      </c>
      <c r="L3504" s="891" t="n">
        <v>9.6</v>
      </c>
      <c r="M3504" s="1273" t="n">
        <f aca="false">K3504*L3504/60</f>
        <v>0.34359660865685</v>
      </c>
    </row>
    <row r="3505" customFormat="false" ht="15" hidden="false" customHeight="false" outlineLevel="0" collapsed="false">
      <c r="A3505" s="28"/>
      <c r="B3505" s="1053"/>
      <c r="C3505" s="40" t="s">
        <v>7158</v>
      </c>
      <c r="D3505" s="316" t="n">
        <v>2007</v>
      </c>
      <c r="E3505" s="912" t="n">
        <f aca="false">2021-D3505</f>
        <v>14</v>
      </c>
      <c r="F3505" s="891" t="n">
        <v>482500</v>
      </c>
      <c r="G3505" s="1364" t="n">
        <v>0.1</v>
      </c>
      <c r="H3505" s="891" t="n">
        <f aca="false">E3505*F3505*G3505</f>
        <v>675500</v>
      </c>
      <c r="I3505" s="891" t="n">
        <f aca="false">F3505-H3505</f>
        <v>-193000</v>
      </c>
      <c r="J3505" s="1365" t="n">
        <f aca="false">F3505*G3505</f>
        <v>48250</v>
      </c>
      <c r="K3505" s="1365" t="n">
        <f aca="false">J3505/1792.8</f>
        <v>26.913208389112</v>
      </c>
      <c r="L3505" s="891" t="n">
        <v>3.6</v>
      </c>
      <c r="M3505" s="1273" t="n">
        <f aca="false">K3505*L3505/60</f>
        <v>1.61479250334672</v>
      </c>
    </row>
    <row r="3506" customFormat="false" ht="15" hidden="false" customHeight="false" outlineLevel="0" collapsed="false">
      <c r="A3506" s="28"/>
      <c r="B3506" s="40"/>
      <c r="C3506" s="40" t="s">
        <v>7159</v>
      </c>
      <c r="D3506" s="316" t="n">
        <v>2007</v>
      </c>
      <c r="E3506" s="912" t="n">
        <f aca="false">2021-D3506</f>
        <v>14</v>
      </c>
      <c r="F3506" s="891" t="n">
        <v>68000</v>
      </c>
      <c r="G3506" s="1364" t="n">
        <v>0.1</v>
      </c>
      <c r="H3506" s="891" t="n">
        <f aca="false">E3506*F3506*G3506</f>
        <v>95200</v>
      </c>
      <c r="I3506" s="891" t="n">
        <f aca="false">F3506-H3506</f>
        <v>-27200</v>
      </c>
      <c r="J3506" s="1365" t="n">
        <f aca="false">F3506*G3506</f>
        <v>6800</v>
      </c>
      <c r="K3506" s="1365" t="n">
        <f aca="false">J3506/1792.8</f>
        <v>3.79294957608211</v>
      </c>
      <c r="L3506" s="891" t="n">
        <v>9.6</v>
      </c>
      <c r="M3506" s="1273" t="n">
        <f aca="false">K3506*L3506/60</f>
        <v>0.606871932173137</v>
      </c>
    </row>
    <row r="3507" customFormat="false" ht="15" hidden="false" customHeight="false" outlineLevel="0" collapsed="false">
      <c r="A3507" s="28"/>
      <c r="B3507" s="1053"/>
      <c r="C3507" s="40" t="s">
        <v>7160</v>
      </c>
      <c r="D3507" s="316" t="n">
        <v>1994</v>
      </c>
      <c r="E3507" s="912" t="n">
        <f aca="false">2021-D3507</f>
        <v>27</v>
      </c>
      <c r="F3507" s="891" t="n">
        <v>156540</v>
      </c>
      <c r="G3507" s="1364" t="n">
        <v>0.1</v>
      </c>
      <c r="H3507" s="891" t="n">
        <v>156540</v>
      </c>
      <c r="I3507" s="891" t="n">
        <f aca="false">F3507-H3507</f>
        <v>0</v>
      </c>
      <c r="J3507" s="1365" t="n">
        <f aca="false">F3507*G3507</f>
        <v>15654</v>
      </c>
      <c r="K3507" s="1365" t="n">
        <f aca="false">J3507/1792.8</f>
        <v>8.73159303882196</v>
      </c>
      <c r="L3507" s="891" t="n">
        <v>5</v>
      </c>
      <c r="M3507" s="1273" t="n">
        <f aca="false">K3507*L3507/60</f>
        <v>0.727632753235163</v>
      </c>
    </row>
    <row r="3508" customFormat="false" ht="18" hidden="false" customHeight="true" outlineLevel="0" collapsed="false">
      <c r="A3508" s="1496"/>
      <c r="B3508" s="972" t="s">
        <v>4128</v>
      </c>
      <c r="C3508" s="1053"/>
      <c r="D3508" s="965"/>
      <c r="E3508" s="912"/>
      <c r="F3508" s="1490"/>
      <c r="G3508" s="1490" t="n">
        <v>0</v>
      </c>
      <c r="H3508" s="1490"/>
      <c r="I3508" s="1490"/>
      <c r="J3508" s="1490"/>
      <c r="K3508" s="1365" t="n">
        <f aca="false">J3508/1792.8</f>
        <v>0</v>
      </c>
      <c r="L3508" s="1490"/>
      <c r="M3508" s="1366" t="n">
        <f aca="false">SUM(M3501:M3507)</f>
        <v>29.4178101294065</v>
      </c>
    </row>
    <row r="3509" customFormat="false" ht="45" hidden="false" customHeight="false" outlineLevel="0" collapsed="false">
      <c r="A3509" s="28" t="s">
        <v>1845</v>
      </c>
      <c r="B3509" s="40" t="s">
        <v>3658</v>
      </c>
      <c r="C3509" s="40" t="s">
        <v>7154</v>
      </c>
      <c r="D3509" s="316" t="n">
        <v>2007</v>
      </c>
      <c r="E3509" s="912" t="n">
        <f aca="false">2021-D3509</f>
        <v>14</v>
      </c>
      <c r="F3509" s="891" t="n">
        <v>407000</v>
      </c>
      <c r="G3509" s="1364" t="n">
        <v>0.1</v>
      </c>
      <c r="H3509" s="891" t="n">
        <f aca="false">E3509*F3509*G3509</f>
        <v>569800</v>
      </c>
      <c r="I3509" s="891" t="n">
        <f aca="false">F3509-H3509</f>
        <v>-162800</v>
      </c>
      <c r="J3509" s="1365" t="n">
        <f aca="false">F3509*G3509</f>
        <v>40700</v>
      </c>
      <c r="K3509" s="1365" t="n">
        <f aca="false">J3509/1792.8</f>
        <v>22.7019187862561</v>
      </c>
      <c r="L3509" s="891" t="n">
        <v>28.8</v>
      </c>
      <c r="M3509" s="1273" t="n">
        <f aca="false">K3509*L3509/60</f>
        <v>10.8969210174029</v>
      </c>
    </row>
    <row r="3510" customFormat="false" ht="15" hidden="false" customHeight="false" outlineLevel="0" collapsed="false">
      <c r="A3510" s="1496"/>
      <c r="B3510" s="972"/>
      <c r="C3510" s="40" t="s">
        <v>7155</v>
      </c>
      <c r="D3510" s="316" t="n">
        <v>2007</v>
      </c>
      <c r="E3510" s="912" t="n">
        <f aca="false">2021-D3510</f>
        <v>14</v>
      </c>
      <c r="F3510" s="891" t="n">
        <v>810000</v>
      </c>
      <c r="G3510" s="1364" t="n">
        <v>0.1</v>
      </c>
      <c r="H3510" s="891" t="n">
        <f aca="false">E3510*F3510*G3510</f>
        <v>1134000</v>
      </c>
      <c r="I3510" s="891" t="n">
        <f aca="false">F3510-H3510</f>
        <v>-324000</v>
      </c>
      <c r="J3510" s="1365" t="n">
        <f aca="false">F3510*G3510</f>
        <v>81000</v>
      </c>
      <c r="K3510" s="1365" t="n">
        <f aca="false">J3510/1792.8</f>
        <v>45.1807228915663</v>
      </c>
      <c r="L3510" s="891" t="n">
        <v>4.8</v>
      </c>
      <c r="M3510" s="1273" t="n">
        <f aca="false">K3510*L3510/60</f>
        <v>3.6144578313253</v>
      </c>
    </row>
    <row r="3511" customFormat="false" ht="15" hidden="false" customHeight="false" outlineLevel="0" collapsed="false">
      <c r="A3511" s="1496"/>
      <c r="B3511" s="972"/>
      <c r="C3511" s="40" t="s">
        <v>7156</v>
      </c>
      <c r="D3511" s="316" t="n">
        <v>2015</v>
      </c>
      <c r="E3511" s="912" t="n">
        <f aca="false">2021-D3511</f>
        <v>6</v>
      </c>
      <c r="F3511" s="891" t="n">
        <v>694025</v>
      </c>
      <c r="G3511" s="1364" t="n">
        <v>0.1</v>
      </c>
      <c r="H3511" s="891" t="n">
        <f aca="false">E3511*F3511*G3511</f>
        <v>416415</v>
      </c>
      <c r="I3511" s="891" t="n">
        <f aca="false">F3511-H3511</f>
        <v>277610</v>
      </c>
      <c r="J3511" s="1365" t="n">
        <f aca="false">F3511*G3511</f>
        <v>69402.5</v>
      </c>
      <c r="K3511" s="1365" t="n">
        <f aca="false">J3511/1792.8</f>
        <v>38.711791610888</v>
      </c>
      <c r="L3511" s="891" t="n">
        <v>18</v>
      </c>
      <c r="M3511" s="1273" t="n">
        <f aca="false">K3511*L3511/60</f>
        <v>11.6135374832664</v>
      </c>
    </row>
    <row r="3512" customFormat="false" ht="15" hidden="false" customHeight="false" outlineLevel="0" collapsed="false">
      <c r="A3512" s="1496"/>
      <c r="B3512" s="972"/>
      <c r="C3512" s="40" t="s">
        <v>7157</v>
      </c>
      <c r="D3512" s="316" t="n">
        <v>2006</v>
      </c>
      <c r="E3512" s="912" t="n">
        <f aca="false">2021-D3512</f>
        <v>15</v>
      </c>
      <c r="F3512" s="891" t="n">
        <v>77000</v>
      </c>
      <c r="G3512" s="1364" t="n">
        <v>0.05</v>
      </c>
      <c r="H3512" s="891" t="n">
        <f aca="false">E3512*F3512*G3512</f>
        <v>57750</v>
      </c>
      <c r="I3512" s="891" t="n">
        <f aca="false">F3512-H3512</f>
        <v>19250</v>
      </c>
      <c r="J3512" s="1365" t="n">
        <f aca="false">F3512*G3512</f>
        <v>3850</v>
      </c>
      <c r="K3512" s="1365" t="n">
        <f aca="false">J3512/1792.8</f>
        <v>2.14747880410531</v>
      </c>
      <c r="L3512" s="891" t="n">
        <v>9.6</v>
      </c>
      <c r="M3512" s="1273" t="n">
        <f aca="false">K3512*L3512/60</f>
        <v>0.34359660865685</v>
      </c>
    </row>
    <row r="3513" customFormat="false" ht="15" hidden="false" customHeight="false" outlineLevel="0" collapsed="false">
      <c r="A3513" s="1496"/>
      <c r="B3513" s="972"/>
      <c r="C3513" s="40" t="s">
        <v>7158</v>
      </c>
      <c r="D3513" s="316" t="n">
        <v>2007</v>
      </c>
      <c r="E3513" s="912" t="n">
        <f aca="false">2021-D3513</f>
        <v>14</v>
      </c>
      <c r="F3513" s="891" t="n">
        <v>482500</v>
      </c>
      <c r="G3513" s="1364" t="n">
        <v>0.1</v>
      </c>
      <c r="H3513" s="891" t="n">
        <f aca="false">E3513*F3513*G3513</f>
        <v>675500</v>
      </c>
      <c r="I3513" s="891" t="n">
        <f aca="false">F3513-H3513</f>
        <v>-193000</v>
      </c>
      <c r="J3513" s="1365" t="n">
        <f aca="false">F3513*G3513</f>
        <v>48250</v>
      </c>
      <c r="K3513" s="1365" t="n">
        <f aca="false">J3513/1792.8</f>
        <v>26.913208389112</v>
      </c>
      <c r="L3513" s="891" t="n">
        <v>3.6</v>
      </c>
      <c r="M3513" s="1273" t="n">
        <f aca="false">K3513*L3513/60</f>
        <v>1.61479250334672</v>
      </c>
    </row>
    <row r="3514" customFormat="false" ht="15" hidden="false" customHeight="false" outlineLevel="0" collapsed="false">
      <c r="A3514" s="1496"/>
      <c r="B3514" s="972"/>
      <c r="C3514" s="40" t="s">
        <v>7159</v>
      </c>
      <c r="D3514" s="316" t="n">
        <v>2007</v>
      </c>
      <c r="E3514" s="912" t="n">
        <f aca="false">2021-D3514</f>
        <v>14</v>
      </c>
      <c r="F3514" s="891" t="n">
        <v>68000</v>
      </c>
      <c r="G3514" s="1364" t="n">
        <v>0.1</v>
      </c>
      <c r="H3514" s="891" t="n">
        <f aca="false">E3514*F3514*G3514</f>
        <v>95200</v>
      </c>
      <c r="I3514" s="891" t="n">
        <f aca="false">F3514-H3514</f>
        <v>-27200</v>
      </c>
      <c r="J3514" s="1365" t="n">
        <f aca="false">F3514*G3514</f>
        <v>6800</v>
      </c>
      <c r="K3514" s="1365" t="n">
        <f aca="false">J3514/1792.8</f>
        <v>3.79294957608211</v>
      </c>
      <c r="L3514" s="891" t="n">
        <v>9.6</v>
      </c>
      <c r="M3514" s="1273" t="n">
        <f aca="false">K3514*L3514/60</f>
        <v>0.606871932173137</v>
      </c>
    </row>
    <row r="3515" customFormat="false" ht="15" hidden="false" customHeight="false" outlineLevel="0" collapsed="false">
      <c r="A3515" s="1496"/>
      <c r="B3515" s="972"/>
      <c r="C3515" s="40" t="s">
        <v>7166</v>
      </c>
      <c r="D3515" s="316" t="n">
        <v>2007</v>
      </c>
      <c r="E3515" s="912" t="n">
        <f aca="false">2021-D3515</f>
        <v>14</v>
      </c>
      <c r="F3515" s="891" t="n">
        <v>200000</v>
      </c>
      <c r="G3515" s="1364" t="n">
        <v>0.1</v>
      </c>
      <c r="H3515" s="891" t="n">
        <f aca="false">E3515*F3515*G3515</f>
        <v>280000</v>
      </c>
      <c r="I3515" s="891" t="n">
        <f aca="false">F3515-H3515</f>
        <v>-80000</v>
      </c>
      <c r="J3515" s="1365" t="n">
        <f aca="false">F3515*G3515</f>
        <v>20000</v>
      </c>
      <c r="K3515" s="1365" t="n">
        <f aca="false">J3515/1792.8</f>
        <v>11.1557340473003</v>
      </c>
      <c r="L3515" s="891" t="n">
        <v>20</v>
      </c>
      <c r="M3515" s="1273" t="n">
        <f aca="false">K3515*L3515/60</f>
        <v>3.71857801576677</v>
      </c>
    </row>
    <row r="3516" customFormat="false" ht="15" hidden="false" customHeight="false" outlineLevel="0" collapsed="false">
      <c r="A3516" s="1496"/>
      <c r="B3516" s="972"/>
      <c r="C3516" s="40" t="s">
        <v>7161</v>
      </c>
      <c r="D3516" s="316" t="n">
        <v>2007</v>
      </c>
      <c r="E3516" s="912" t="n">
        <f aca="false">2021-D3516</f>
        <v>14</v>
      </c>
      <c r="F3516" s="891" t="n">
        <v>1849800</v>
      </c>
      <c r="G3516" s="1364" t="n">
        <v>0.1</v>
      </c>
      <c r="H3516" s="891" t="n">
        <f aca="false">E3516*F3516*G3516</f>
        <v>2589720</v>
      </c>
      <c r="I3516" s="891" t="n">
        <f aca="false">F3516-H3516</f>
        <v>-739920</v>
      </c>
      <c r="J3516" s="1365" t="n">
        <f aca="false">F3516*G3516</f>
        <v>184980</v>
      </c>
      <c r="K3516" s="1365" t="n">
        <f aca="false">J3516/1792.8</f>
        <v>103.179384203481</v>
      </c>
      <c r="L3516" s="891" t="n">
        <v>5</v>
      </c>
      <c r="M3516" s="1273" t="n">
        <f aca="false">K3516*L3516/60</f>
        <v>8.59828201695672</v>
      </c>
    </row>
    <row r="3517" customFormat="false" ht="15" hidden="false" customHeight="false" outlineLevel="0" collapsed="false">
      <c r="A3517" s="1496"/>
      <c r="B3517" s="972"/>
      <c r="C3517" s="40" t="s">
        <v>7163</v>
      </c>
      <c r="D3517" s="316" t="n">
        <v>1994</v>
      </c>
      <c r="E3517" s="912" t="n">
        <f aca="false">2021-D3517</f>
        <v>27</v>
      </c>
      <c r="F3517" s="891"/>
      <c r="G3517" s="891"/>
      <c r="H3517" s="891" t="n">
        <f aca="false">E3517*F3517*G3517</f>
        <v>0</v>
      </c>
      <c r="I3517" s="891" t="n">
        <f aca="false">F3517-H3517</f>
        <v>0</v>
      </c>
      <c r="J3517" s="1365" t="n">
        <f aca="false">F3517*G3517</f>
        <v>0</v>
      </c>
      <c r="K3517" s="1365" t="n">
        <f aca="false">J3517/1792.8</f>
        <v>0</v>
      </c>
      <c r="L3517" s="891" t="n">
        <v>5</v>
      </c>
      <c r="M3517" s="1273" t="n">
        <f aca="false">K3517*L3517/60</f>
        <v>0</v>
      </c>
    </row>
    <row r="3518" customFormat="false" ht="15" hidden="false" customHeight="false" outlineLevel="0" collapsed="false">
      <c r="A3518" s="28"/>
      <c r="B3518" s="972" t="s">
        <v>4128</v>
      </c>
      <c r="C3518" s="1053"/>
      <c r="D3518" s="965"/>
      <c r="E3518" s="912"/>
      <c r="F3518" s="1490"/>
      <c r="G3518" s="1490"/>
      <c r="H3518" s="1490"/>
      <c r="I3518" s="1490"/>
      <c r="J3518" s="1490"/>
      <c r="K3518" s="1365" t="n">
        <f aca="false">J3518/1792.8</f>
        <v>0</v>
      </c>
      <c r="L3518" s="1490"/>
      <c r="M3518" s="1366" t="n">
        <f aca="false">SUM(M3509:M3517)</f>
        <v>41.0070374088948</v>
      </c>
    </row>
    <row r="3519" customFormat="false" ht="45" hidden="false" customHeight="false" outlineLevel="0" collapsed="false">
      <c r="A3519" s="28" t="s">
        <v>1847</v>
      </c>
      <c r="B3519" s="40" t="s">
        <v>3659</v>
      </c>
      <c r="C3519" s="40" t="s">
        <v>7164</v>
      </c>
      <c r="D3519" s="316" t="n">
        <v>2007</v>
      </c>
      <c r="E3519" s="912" t="n">
        <f aca="false">2021-D3519</f>
        <v>14</v>
      </c>
      <c r="F3519" s="891" t="n">
        <v>407000</v>
      </c>
      <c r="G3519" s="1364" t="n">
        <v>0.1</v>
      </c>
      <c r="H3519" s="891" t="n">
        <f aca="false">E3519*F3519*G3519</f>
        <v>569800</v>
      </c>
      <c r="I3519" s="891" t="n">
        <f aca="false">F3519-H3519</f>
        <v>-162800</v>
      </c>
      <c r="J3519" s="1365" t="n">
        <f aca="false">F3519*G3519</f>
        <v>40700</v>
      </c>
      <c r="K3519" s="1365" t="n">
        <f aca="false">J3519/1792.8</f>
        <v>22.7019187862561</v>
      </c>
      <c r="L3519" s="891" t="n">
        <v>28.8</v>
      </c>
      <c r="M3519" s="1273" t="n">
        <f aca="false">K3519*L3519/60</f>
        <v>10.8969210174029</v>
      </c>
    </row>
    <row r="3520" customFormat="false" ht="15" hidden="false" customHeight="false" outlineLevel="0" collapsed="false">
      <c r="A3520" s="1496"/>
      <c r="B3520" s="1053"/>
      <c r="C3520" s="40" t="s">
        <v>7165</v>
      </c>
      <c r="D3520" s="316" t="n">
        <v>2007</v>
      </c>
      <c r="E3520" s="912" t="n">
        <f aca="false">2021-D3520</f>
        <v>14</v>
      </c>
      <c r="F3520" s="891" t="n">
        <v>407000</v>
      </c>
      <c r="G3520" s="1364" t="n">
        <v>0.1</v>
      </c>
      <c r="H3520" s="891" t="n">
        <f aca="false">E3520*F3520*G3520</f>
        <v>569800</v>
      </c>
      <c r="I3520" s="891" t="n">
        <f aca="false">F3520-H3520</f>
        <v>-162800</v>
      </c>
      <c r="J3520" s="1365" t="n">
        <f aca="false">F3520*G3520</f>
        <v>40700</v>
      </c>
      <c r="K3520" s="1365" t="n">
        <f aca="false">J3520/1792.8</f>
        <v>22.7019187862561</v>
      </c>
      <c r="L3520" s="891" t="n">
        <v>28.8</v>
      </c>
      <c r="M3520" s="1273" t="n">
        <f aca="false">K3520*L3520/60</f>
        <v>10.8969210174029</v>
      </c>
    </row>
    <row r="3521" customFormat="false" ht="15" hidden="false" customHeight="false" outlineLevel="0" collapsed="false">
      <c r="A3521" s="28"/>
      <c r="B3521" s="40"/>
      <c r="C3521" s="40" t="s">
        <v>7155</v>
      </c>
      <c r="D3521" s="316" t="n">
        <v>2007</v>
      </c>
      <c r="E3521" s="912" t="n">
        <f aca="false">2021-D3521</f>
        <v>14</v>
      </c>
      <c r="F3521" s="891" t="n">
        <v>810000</v>
      </c>
      <c r="G3521" s="1364" t="n">
        <v>0.1</v>
      </c>
      <c r="H3521" s="891" t="n">
        <f aca="false">E3521*F3521*G3521</f>
        <v>1134000</v>
      </c>
      <c r="I3521" s="891" t="n">
        <f aca="false">F3521-H3521</f>
        <v>-324000</v>
      </c>
      <c r="J3521" s="1365" t="n">
        <f aca="false">F3521*G3521</f>
        <v>81000</v>
      </c>
      <c r="K3521" s="1365" t="n">
        <f aca="false">J3521/1792.8</f>
        <v>45.1807228915663</v>
      </c>
      <c r="L3521" s="891" t="n">
        <v>4.8</v>
      </c>
      <c r="M3521" s="1273" t="n">
        <f aca="false">K3521*L3521/60</f>
        <v>3.6144578313253</v>
      </c>
    </row>
    <row r="3522" customFormat="false" ht="15" hidden="false" customHeight="false" outlineLevel="0" collapsed="false">
      <c r="A3522" s="28"/>
      <c r="B3522" s="40"/>
      <c r="C3522" s="40" t="s">
        <v>7156</v>
      </c>
      <c r="D3522" s="316" t="n">
        <v>2015</v>
      </c>
      <c r="E3522" s="912" t="n">
        <f aca="false">2021-D3522</f>
        <v>6</v>
      </c>
      <c r="F3522" s="891" t="n">
        <v>694025</v>
      </c>
      <c r="G3522" s="1364" t="n">
        <v>0.1</v>
      </c>
      <c r="H3522" s="891" t="n">
        <f aca="false">E3522*F3522*G3522</f>
        <v>416415</v>
      </c>
      <c r="I3522" s="891" t="n">
        <f aca="false">F3522-H3522</f>
        <v>277610</v>
      </c>
      <c r="J3522" s="1365" t="n">
        <f aca="false">F3522*G3522</f>
        <v>69402.5</v>
      </c>
      <c r="K3522" s="1365" t="n">
        <f aca="false">J3522/1792.8</f>
        <v>38.711791610888</v>
      </c>
      <c r="L3522" s="891" t="n">
        <v>18</v>
      </c>
      <c r="M3522" s="1273" t="n">
        <f aca="false">K3522*L3522/60</f>
        <v>11.6135374832664</v>
      </c>
    </row>
    <row r="3523" customFormat="false" ht="15" hidden="false" customHeight="false" outlineLevel="0" collapsed="false">
      <c r="A3523" s="28"/>
      <c r="B3523" s="1053"/>
      <c r="C3523" s="40" t="s">
        <v>7157</v>
      </c>
      <c r="D3523" s="316" t="n">
        <v>2006</v>
      </c>
      <c r="E3523" s="912" t="n">
        <f aca="false">2021-D3523</f>
        <v>15</v>
      </c>
      <c r="F3523" s="891" t="n">
        <v>77000</v>
      </c>
      <c r="G3523" s="1364" t="n">
        <v>0.05</v>
      </c>
      <c r="H3523" s="891" t="n">
        <f aca="false">E3523*F3523*G3523</f>
        <v>57750</v>
      </c>
      <c r="I3523" s="891" t="n">
        <f aca="false">F3523-H3523</f>
        <v>19250</v>
      </c>
      <c r="J3523" s="1365" t="n">
        <f aca="false">F3523*G3523</f>
        <v>3850</v>
      </c>
      <c r="K3523" s="1365" t="n">
        <f aca="false">J3523/1792.8</f>
        <v>2.14747880410531</v>
      </c>
      <c r="L3523" s="891" t="n">
        <v>9.6</v>
      </c>
      <c r="M3523" s="1273" t="n">
        <f aca="false">K3523*L3523/60</f>
        <v>0.34359660865685</v>
      </c>
    </row>
    <row r="3524" customFormat="false" ht="15" hidden="false" customHeight="false" outlineLevel="0" collapsed="false">
      <c r="A3524" s="28"/>
      <c r="B3524" s="1053"/>
      <c r="C3524" s="40" t="s">
        <v>7158</v>
      </c>
      <c r="D3524" s="316" t="n">
        <v>2007</v>
      </c>
      <c r="E3524" s="912" t="n">
        <f aca="false">2021-D3524</f>
        <v>14</v>
      </c>
      <c r="F3524" s="891" t="n">
        <v>482500</v>
      </c>
      <c r="G3524" s="1364" t="n">
        <v>0.1</v>
      </c>
      <c r="H3524" s="891" t="n">
        <f aca="false">E3524*F3524*G3524</f>
        <v>675500</v>
      </c>
      <c r="I3524" s="891" t="n">
        <f aca="false">F3524-H3524</f>
        <v>-193000</v>
      </c>
      <c r="J3524" s="1365" t="n">
        <f aca="false">F3524*G3524</f>
        <v>48250</v>
      </c>
      <c r="K3524" s="1365" t="n">
        <f aca="false">J3524/1792.8</f>
        <v>26.913208389112</v>
      </c>
      <c r="L3524" s="891" t="n">
        <v>3.6</v>
      </c>
      <c r="M3524" s="1273" t="n">
        <f aca="false">K3524*L3524/60</f>
        <v>1.61479250334672</v>
      </c>
    </row>
    <row r="3525" customFormat="false" ht="15" hidden="false" customHeight="false" outlineLevel="0" collapsed="false">
      <c r="A3525" s="28"/>
      <c r="B3525" s="1053"/>
      <c r="C3525" s="40" t="s">
        <v>7159</v>
      </c>
      <c r="D3525" s="316" t="n">
        <v>2007</v>
      </c>
      <c r="E3525" s="912" t="n">
        <f aca="false">2021-D3525</f>
        <v>14</v>
      </c>
      <c r="F3525" s="891" t="n">
        <v>68000</v>
      </c>
      <c r="G3525" s="1364" t="n">
        <v>0.1</v>
      </c>
      <c r="H3525" s="891" t="n">
        <f aca="false">E3525*F3525*G3525</f>
        <v>95200</v>
      </c>
      <c r="I3525" s="891" t="n">
        <f aca="false">F3525-H3525</f>
        <v>-27200</v>
      </c>
      <c r="J3525" s="1365" t="n">
        <f aca="false">F3525*G3525</f>
        <v>6800</v>
      </c>
      <c r="K3525" s="1365" t="n">
        <f aca="false">J3525/1792.8</f>
        <v>3.79294957608211</v>
      </c>
      <c r="L3525" s="891" t="n">
        <v>9.6</v>
      </c>
      <c r="M3525" s="1273" t="n">
        <f aca="false">K3525*L3525/60</f>
        <v>0.606871932173137</v>
      </c>
    </row>
    <row r="3526" customFormat="false" ht="15" hidden="false" customHeight="false" outlineLevel="0" collapsed="false">
      <c r="A3526" s="28"/>
      <c r="B3526" s="1053"/>
      <c r="C3526" s="40" t="s">
        <v>7161</v>
      </c>
      <c r="D3526" s="316" t="n">
        <v>2007</v>
      </c>
      <c r="E3526" s="912" t="n">
        <f aca="false">2021-D3526</f>
        <v>14</v>
      </c>
      <c r="F3526" s="891" t="n">
        <v>1849800</v>
      </c>
      <c r="G3526" s="1364" t="n">
        <v>0.1</v>
      </c>
      <c r="H3526" s="891" t="n">
        <f aca="false">E3526*F3526*G3526</f>
        <v>2589720</v>
      </c>
      <c r="I3526" s="891" t="n">
        <f aca="false">F3526-H3526</f>
        <v>-739920</v>
      </c>
      <c r="J3526" s="1365" t="n">
        <f aca="false">F3526*G3526</f>
        <v>184980</v>
      </c>
      <c r="K3526" s="1365" t="n">
        <f aca="false">J3526/1792.8</f>
        <v>103.179384203481</v>
      </c>
      <c r="L3526" s="891" t="n">
        <v>5</v>
      </c>
      <c r="M3526" s="1273" t="n">
        <f aca="false">K3526*L3526/60</f>
        <v>8.59828201695672</v>
      </c>
    </row>
    <row r="3527" customFormat="false" ht="15" hidden="false" customHeight="false" outlineLevel="0" collapsed="false">
      <c r="A3527" s="28"/>
      <c r="B3527" s="1053"/>
      <c r="C3527" s="40" t="s">
        <v>7160</v>
      </c>
      <c r="D3527" s="316" t="n">
        <v>1994</v>
      </c>
      <c r="E3527" s="912" t="n">
        <f aca="false">2021-D3527</f>
        <v>27</v>
      </c>
      <c r="F3527" s="891" t="n">
        <v>156540</v>
      </c>
      <c r="G3527" s="1364" t="n">
        <v>0.1</v>
      </c>
      <c r="H3527" s="891" t="n">
        <v>156540</v>
      </c>
      <c r="I3527" s="891" t="n">
        <f aca="false">F3527-H3527</f>
        <v>0</v>
      </c>
      <c r="J3527" s="1365" t="n">
        <f aca="false">F3527*G3527</f>
        <v>15654</v>
      </c>
      <c r="K3527" s="1365" t="n">
        <f aca="false">J3527/1792.8</f>
        <v>8.73159303882196</v>
      </c>
      <c r="L3527" s="891" t="n">
        <v>5</v>
      </c>
      <c r="M3527" s="1273" t="n">
        <f aca="false">K3527*L3527/60</f>
        <v>0.727632753235163</v>
      </c>
    </row>
    <row r="3528" customFormat="false" ht="15" hidden="false" customHeight="false" outlineLevel="0" collapsed="false">
      <c r="A3528" s="28"/>
      <c r="B3528" s="972" t="s">
        <v>4128</v>
      </c>
      <c r="C3528" s="1053"/>
      <c r="D3528" s="965"/>
      <c r="E3528" s="912"/>
      <c r="F3528" s="1490"/>
      <c r="G3528" s="1490"/>
      <c r="H3528" s="1490"/>
      <c r="I3528" s="1490"/>
      <c r="J3528" s="1490"/>
      <c r="K3528" s="1365" t="n">
        <f aca="false">J3528/1792.8</f>
        <v>0</v>
      </c>
      <c r="L3528" s="1490"/>
      <c r="M3528" s="1366" t="n">
        <f aca="false">SUM(M3519:M3527)</f>
        <v>48.9130131637662</v>
      </c>
    </row>
    <row r="3529" customFormat="false" ht="30" hidden="false" customHeight="false" outlineLevel="0" collapsed="false">
      <c r="A3529" s="28" t="s">
        <v>1848</v>
      </c>
      <c r="B3529" s="40" t="s">
        <v>3660</v>
      </c>
      <c r="C3529" s="40" t="s">
        <v>7154</v>
      </c>
      <c r="D3529" s="316" t="n">
        <v>2007</v>
      </c>
      <c r="E3529" s="912" t="n">
        <f aca="false">2021-D3529</f>
        <v>14</v>
      </c>
      <c r="F3529" s="891" t="n">
        <v>407000</v>
      </c>
      <c r="G3529" s="1364" t="n">
        <v>0.1</v>
      </c>
      <c r="H3529" s="891" t="n">
        <f aca="false">E3529*F3529*G3529</f>
        <v>569800</v>
      </c>
      <c r="I3529" s="891" t="n">
        <f aca="false">F3529-H3529</f>
        <v>-162800</v>
      </c>
      <c r="J3529" s="1365" t="n">
        <f aca="false">F3529*G3529</f>
        <v>40700</v>
      </c>
      <c r="K3529" s="1365" t="n">
        <f aca="false">J3529/1792.8</f>
        <v>22.7019187862561</v>
      </c>
      <c r="L3529" s="891" t="n">
        <v>20</v>
      </c>
      <c r="M3529" s="1273" t="n">
        <f aca="false">K3529*L3529/60</f>
        <v>7.56730626208538</v>
      </c>
    </row>
    <row r="3530" customFormat="false" ht="15" hidden="false" customHeight="false" outlineLevel="0" collapsed="false">
      <c r="A3530" s="28"/>
      <c r="B3530" s="40"/>
      <c r="C3530" s="40" t="s">
        <v>7155</v>
      </c>
      <c r="D3530" s="316" t="n">
        <v>2007</v>
      </c>
      <c r="E3530" s="912" t="n">
        <f aca="false">2021-D3530</f>
        <v>14</v>
      </c>
      <c r="F3530" s="891" t="n">
        <v>810000</v>
      </c>
      <c r="G3530" s="1364" t="n">
        <v>0.1</v>
      </c>
      <c r="H3530" s="891" t="n">
        <f aca="false">E3530*F3530*G3530</f>
        <v>1134000</v>
      </c>
      <c r="I3530" s="891" t="n">
        <f aca="false">F3530-H3530</f>
        <v>-324000</v>
      </c>
      <c r="J3530" s="1365" t="n">
        <f aca="false">F3530*G3530</f>
        <v>81000</v>
      </c>
      <c r="K3530" s="1365" t="n">
        <f aca="false">J3530/1792.8</f>
        <v>45.1807228915663</v>
      </c>
      <c r="L3530" s="891" t="n">
        <v>4.8</v>
      </c>
      <c r="M3530" s="1273" t="n">
        <f aca="false">K3530*L3530/60</f>
        <v>3.6144578313253</v>
      </c>
    </row>
    <row r="3531" customFormat="false" ht="15" hidden="false" customHeight="false" outlineLevel="0" collapsed="false">
      <c r="A3531" s="28"/>
      <c r="B3531" s="40"/>
      <c r="C3531" s="40" t="s">
        <v>7156</v>
      </c>
      <c r="D3531" s="316" t="n">
        <v>2015</v>
      </c>
      <c r="E3531" s="912" t="n">
        <f aca="false">2021-D3531</f>
        <v>6</v>
      </c>
      <c r="F3531" s="891" t="n">
        <v>694025</v>
      </c>
      <c r="G3531" s="1364" t="n">
        <v>0.1</v>
      </c>
      <c r="H3531" s="891" t="n">
        <f aca="false">E3531*F3531*G3531</f>
        <v>416415</v>
      </c>
      <c r="I3531" s="891" t="n">
        <f aca="false">F3531-H3531</f>
        <v>277610</v>
      </c>
      <c r="J3531" s="1365" t="n">
        <f aca="false">F3531*G3531</f>
        <v>69402.5</v>
      </c>
      <c r="K3531" s="1365" t="n">
        <f aca="false">J3531/1792.8</f>
        <v>38.711791610888</v>
      </c>
      <c r="L3531" s="891" t="n">
        <v>18</v>
      </c>
      <c r="M3531" s="1273" t="n">
        <f aca="false">K3531*L3531/60</f>
        <v>11.6135374832664</v>
      </c>
    </row>
    <row r="3532" customFormat="false" ht="15" hidden="false" customHeight="false" outlineLevel="0" collapsed="false">
      <c r="A3532" s="28"/>
      <c r="B3532" s="40"/>
      <c r="C3532" s="40" t="s">
        <v>7157</v>
      </c>
      <c r="D3532" s="316" t="n">
        <v>2006</v>
      </c>
      <c r="E3532" s="912" t="n">
        <f aca="false">2021-D3532</f>
        <v>15</v>
      </c>
      <c r="F3532" s="891" t="n">
        <v>77000</v>
      </c>
      <c r="G3532" s="1364" t="n">
        <v>0.05</v>
      </c>
      <c r="H3532" s="891" t="n">
        <f aca="false">E3532*F3532*G3532</f>
        <v>57750</v>
      </c>
      <c r="I3532" s="891" t="n">
        <f aca="false">F3532-H3532</f>
        <v>19250</v>
      </c>
      <c r="J3532" s="1365" t="n">
        <f aca="false">F3532*G3532</f>
        <v>3850</v>
      </c>
      <c r="K3532" s="1365" t="n">
        <f aca="false">J3532/1792.8</f>
        <v>2.14747880410531</v>
      </c>
      <c r="L3532" s="891" t="n">
        <v>9.6</v>
      </c>
      <c r="M3532" s="1273" t="n">
        <f aca="false">K3532*L3532/60</f>
        <v>0.34359660865685</v>
      </c>
    </row>
    <row r="3533" customFormat="false" ht="15" hidden="false" customHeight="false" outlineLevel="0" collapsed="false">
      <c r="A3533" s="28"/>
      <c r="B3533" s="40"/>
      <c r="C3533" s="40" t="s">
        <v>7158</v>
      </c>
      <c r="D3533" s="316" t="n">
        <v>2007</v>
      </c>
      <c r="E3533" s="912" t="n">
        <f aca="false">2021-D3533</f>
        <v>14</v>
      </c>
      <c r="F3533" s="891" t="n">
        <v>482500</v>
      </c>
      <c r="G3533" s="1364" t="n">
        <v>0.1</v>
      </c>
      <c r="H3533" s="891" t="n">
        <f aca="false">E3533*F3533*G3533</f>
        <v>675500</v>
      </c>
      <c r="I3533" s="891" t="n">
        <f aca="false">F3533-H3533</f>
        <v>-193000</v>
      </c>
      <c r="J3533" s="1365" t="n">
        <f aca="false">F3533*G3533</f>
        <v>48250</v>
      </c>
      <c r="K3533" s="1365" t="n">
        <f aca="false">J3533/1792.8</f>
        <v>26.913208389112</v>
      </c>
      <c r="L3533" s="891" t="n">
        <v>3.6</v>
      </c>
      <c r="M3533" s="1273" t="n">
        <f aca="false">K3533*L3533/60</f>
        <v>1.61479250334672</v>
      </c>
    </row>
    <row r="3534" customFormat="false" ht="15" hidden="false" customHeight="false" outlineLevel="0" collapsed="false">
      <c r="A3534" s="28"/>
      <c r="B3534" s="40"/>
      <c r="C3534" s="40" t="s">
        <v>7159</v>
      </c>
      <c r="D3534" s="316" t="n">
        <v>2007</v>
      </c>
      <c r="E3534" s="912" t="n">
        <f aca="false">2021-D3534</f>
        <v>14</v>
      </c>
      <c r="F3534" s="891" t="n">
        <v>68000</v>
      </c>
      <c r="G3534" s="1364" t="n">
        <v>0.1</v>
      </c>
      <c r="H3534" s="891" t="n">
        <f aca="false">E3534*F3534*G3534</f>
        <v>95200</v>
      </c>
      <c r="I3534" s="891" t="n">
        <f aca="false">F3534-H3534</f>
        <v>-27200</v>
      </c>
      <c r="J3534" s="1365" t="n">
        <f aca="false">F3534*G3534</f>
        <v>6800</v>
      </c>
      <c r="K3534" s="1365" t="n">
        <f aca="false">J3534/1792.8</f>
        <v>3.79294957608211</v>
      </c>
      <c r="L3534" s="891" t="n">
        <v>9.6</v>
      </c>
      <c r="M3534" s="1273" t="n">
        <f aca="false">K3534*L3534/60</f>
        <v>0.606871932173137</v>
      </c>
    </row>
    <row r="3535" customFormat="false" ht="15" hidden="false" customHeight="false" outlineLevel="0" collapsed="false">
      <c r="A3535" s="28"/>
      <c r="B3535" s="40"/>
      <c r="C3535" s="40" t="s">
        <v>7163</v>
      </c>
      <c r="D3535" s="316" t="n">
        <v>1994</v>
      </c>
      <c r="E3535" s="912" t="n">
        <f aca="false">2021-D3535</f>
        <v>27</v>
      </c>
      <c r="F3535" s="891"/>
      <c r="G3535" s="891"/>
      <c r="H3535" s="891" t="n">
        <f aca="false">E3535*F3535*G3535</f>
        <v>0</v>
      </c>
      <c r="I3535" s="891" t="n">
        <f aca="false">F3535-H3535</f>
        <v>0</v>
      </c>
      <c r="J3535" s="1365" t="n">
        <f aca="false">F3535*G3535</f>
        <v>0</v>
      </c>
      <c r="K3535" s="1365" t="n">
        <f aca="false">J3535/1792.8</f>
        <v>0</v>
      </c>
      <c r="L3535" s="891" t="n">
        <v>5</v>
      </c>
      <c r="M3535" s="1273" t="n">
        <f aca="false">K3535*L3535/60</f>
        <v>0</v>
      </c>
    </row>
    <row r="3536" customFormat="false" ht="15" hidden="false" customHeight="false" outlineLevel="0" collapsed="false">
      <c r="A3536" s="28"/>
      <c r="B3536" s="40"/>
      <c r="C3536" s="40" t="s">
        <v>7161</v>
      </c>
      <c r="D3536" s="316" t="n">
        <v>2007</v>
      </c>
      <c r="E3536" s="912" t="n">
        <f aca="false">2021-D3536</f>
        <v>14</v>
      </c>
      <c r="F3536" s="891" t="n">
        <v>1849800</v>
      </c>
      <c r="G3536" s="1364" t="n">
        <v>0.1</v>
      </c>
      <c r="H3536" s="891" t="n">
        <f aca="false">E3536*F3536*G3536</f>
        <v>2589720</v>
      </c>
      <c r="I3536" s="891" t="n">
        <f aca="false">F3536-H3536</f>
        <v>-739920</v>
      </c>
      <c r="J3536" s="1365" t="n">
        <f aca="false">F3536*G3536</f>
        <v>184980</v>
      </c>
      <c r="K3536" s="1365" t="n">
        <f aca="false">J3536/1792.8</f>
        <v>103.179384203481</v>
      </c>
      <c r="L3536" s="891" t="n">
        <v>5</v>
      </c>
      <c r="M3536" s="1273" t="n">
        <f aca="false">K3536*L3536/60</f>
        <v>8.59828201695672</v>
      </c>
    </row>
    <row r="3537" customFormat="false" ht="15" hidden="false" customHeight="false" outlineLevel="0" collapsed="false">
      <c r="A3537" s="28"/>
      <c r="B3537" s="972" t="s">
        <v>4128</v>
      </c>
      <c r="C3537" s="1053"/>
      <c r="D3537" s="965"/>
      <c r="E3537" s="912"/>
      <c r="F3537" s="1490"/>
      <c r="G3537" s="1490"/>
      <c r="H3537" s="1490"/>
      <c r="I3537" s="1490"/>
      <c r="J3537" s="1490"/>
      <c r="K3537" s="1365" t="n">
        <f aca="false">J3537/1792.8</f>
        <v>0</v>
      </c>
      <c r="L3537" s="1490"/>
      <c r="M3537" s="1366" t="n">
        <f aca="false">SUM(M3529:M3536)</f>
        <v>33.9588446378105</v>
      </c>
    </row>
    <row r="3538" customFormat="false" ht="30" hidden="false" customHeight="false" outlineLevel="0" collapsed="false">
      <c r="A3538" s="28" t="s">
        <v>1850</v>
      </c>
      <c r="B3538" s="40" t="s">
        <v>3661</v>
      </c>
      <c r="C3538" s="40" t="s">
        <v>7164</v>
      </c>
      <c r="D3538" s="316" t="n">
        <v>2007</v>
      </c>
      <c r="E3538" s="912" t="n">
        <f aca="false">2021-D3538</f>
        <v>14</v>
      </c>
      <c r="F3538" s="891" t="n">
        <v>407000</v>
      </c>
      <c r="G3538" s="1364" t="n">
        <v>0.1</v>
      </c>
      <c r="H3538" s="891" t="n">
        <f aca="false">E3538*F3538*G3538</f>
        <v>569800</v>
      </c>
      <c r="I3538" s="891" t="n">
        <f aca="false">F3538-H3538</f>
        <v>-162800</v>
      </c>
      <c r="J3538" s="1365" t="n">
        <f aca="false">F3538*G3538</f>
        <v>40700</v>
      </c>
      <c r="K3538" s="1365" t="n">
        <f aca="false">J3538/1792.8</f>
        <v>22.7019187862561</v>
      </c>
      <c r="L3538" s="891" t="n">
        <v>28.8</v>
      </c>
      <c r="M3538" s="1273" t="n">
        <f aca="false">K3538*L3538/60</f>
        <v>10.8969210174029</v>
      </c>
    </row>
    <row r="3539" customFormat="false" ht="15" hidden="false" customHeight="false" outlineLevel="0" collapsed="false">
      <c r="A3539" s="28"/>
      <c r="B3539" s="40"/>
      <c r="C3539" s="40" t="s">
        <v>7155</v>
      </c>
      <c r="D3539" s="316" t="n">
        <v>2007</v>
      </c>
      <c r="E3539" s="912" t="n">
        <f aca="false">2021-D3539</f>
        <v>14</v>
      </c>
      <c r="F3539" s="891" t="n">
        <v>810000</v>
      </c>
      <c r="G3539" s="1364" t="n">
        <v>0.1</v>
      </c>
      <c r="H3539" s="891" t="n">
        <f aca="false">E3539*F3539*G3539</f>
        <v>1134000</v>
      </c>
      <c r="I3539" s="891" t="n">
        <f aca="false">F3539-H3539</f>
        <v>-324000</v>
      </c>
      <c r="J3539" s="1365" t="n">
        <f aca="false">F3539*G3539</f>
        <v>81000</v>
      </c>
      <c r="K3539" s="1365" t="n">
        <f aca="false">J3539/1792.8</f>
        <v>45.1807228915663</v>
      </c>
      <c r="L3539" s="891" t="n">
        <v>4.8</v>
      </c>
      <c r="M3539" s="1273" t="n">
        <f aca="false">K3539*L3539/60</f>
        <v>3.6144578313253</v>
      </c>
    </row>
    <row r="3540" customFormat="false" ht="15" hidden="false" customHeight="false" outlineLevel="0" collapsed="false">
      <c r="A3540" s="28"/>
      <c r="B3540" s="40"/>
      <c r="C3540" s="40" t="s">
        <v>7158</v>
      </c>
      <c r="D3540" s="316" t="n">
        <v>2007</v>
      </c>
      <c r="E3540" s="912" t="n">
        <f aca="false">2021-D3540</f>
        <v>14</v>
      </c>
      <c r="F3540" s="891" t="n">
        <v>482500</v>
      </c>
      <c r="G3540" s="1364" t="n">
        <v>0.1</v>
      </c>
      <c r="H3540" s="891" t="n">
        <f aca="false">E3540*F3540*G3540</f>
        <v>675500</v>
      </c>
      <c r="I3540" s="891" t="n">
        <f aca="false">F3540-H3540</f>
        <v>-193000</v>
      </c>
      <c r="J3540" s="1365" t="n">
        <f aca="false">F3540*G3540</f>
        <v>48250</v>
      </c>
      <c r="K3540" s="1365" t="n">
        <f aca="false">J3540/1792.8</f>
        <v>26.913208389112</v>
      </c>
      <c r="L3540" s="891" t="n">
        <v>3.6</v>
      </c>
      <c r="M3540" s="1273" t="n">
        <f aca="false">K3540*L3540/60</f>
        <v>1.61479250334672</v>
      </c>
    </row>
    <row r="3541" customFormat="false" ht="15" hidden="false" customHeight="false" outlineLevel="0" collapsed="false">
      <c r="A3541" s="28"/>
      <c r="B3541" s="40"/>
      <c r="C3541" s="40" t="s">
        <v>7161</v>
      </c>
      <c r="D3541" s="316" t="n">
        <v>2007</v>
      </c>
      <c r="E3541" s="912" t="n">
        <f aca="false">2021-D3541</f>
        <v>14</v>
      </c>
      <c r="F3541" s="891" t="n">
        <v>1849800</v>
      </c>
      <c r="G3541" s="1364" t="n">
        <v>0.1</v>
      </c>
      <c r="H3541" s="891" t="n">
        <f aca="false">E3541*F3541*G3541</f>
        <v>2589720</v>
      </c>
      <c r="I3541" s="891" t="n">
        <f aca="false">F3541-H3541</f>
        <v>-739920</v>
      </c>
      <c r="J3541" s="1365" t="n">
        <f aca="false">F3541*G3541</f>
        <v>184980</v>
      </c>
      <c r="K3541" s="1365" t="n">
        <f aca="false">J3541/1792.8</f>
        <v>103.179384203481</v>
      </c>
      <c r="L3541" s="891" t="n">
        <v>5</v>
      </c>
      <c r="M3541" s="1273" t="n">
        <f aca="false">K3541*L3541/60</f>
        <v>8.59828201695672</v>
      </c>
    </row>
    <row r="3542" customFormat="false" ht="15" hidden="false" customHeight="false" outlineLevel="0" collapsed="false">
      <c r="A3542" s="28"/>
      <c r="B3542" s="40"/>
      <c r="C3542" s="40" t="s">
        <v>7160</v>
      </c>
      <c r="D3542" s="316" t="n">
        <v>1994</v>
      </c>
      <c r="E3542" s="912" t="n">
        <f aca="false">2021-D3542</f>
        <v>27</v>
      </c>
      <c r="F3542" s="891" t="n">
        <v>156540</v>
      </c>
      <c r="G3542" s="1364" t="n">
        <v>0.1</v>
      </c>
      <c r="H3542" s="891" t="n">
        <v>156540</v>
      </c>
      <c r="I3542" s="891" t="n">
        <f aca="false">F3542-H3542</f>
        <v>0</v>
      </c>
      <c r="J3542" s="1365" t="n">
        <f aca="false">F3542*G3542</f>
        <v>15654</v>
      </c>
      <c r="K3542" s="1365" t="n">
        <f aca="false">J3542/1792.8</f>
        <v>8.73159303882196</v>
      </c>
      <c r="L3542" s="891" t="n">
        <v>5</v>
      </c>
      <c r="M3542" s="1273" t="n">
        <f aca="false">K3542*L3542/60</f>
        <v>0.727632753235163</v>
      </c>
    </row>
    <row r="3543" customFormat="false" ht="15" hidden="false" customHeight="false" outlineLevel="0" collapsed="false">
      <c r="A3543" s="28"/>
      <c r="B3543" s="972" t="s">
        <v>4128</v>
      </c>
      <c r="C3543" s="1053"/>
      <c r="D3543" s="965"/>
      <c r="E3543" s="912"/>
      <c r="F3543" s="1490"/>
      <c r="G3543" s="1490"/>
      <c r="H3543" s="1490"/>
      <c r="I3543" s="1490"/>
      <c r="J3543" s="1490"/>
      <c r="K3543" s="1365" t="n">
        <f aca="false">J3543/1792.8</f>
        <v>0</v>
      </c>
      <c r="L3543" s="1490"/>
      <c r="M3543" s="1366" t="n">
        <f aca="false">SUM(M3538:M3542)</f>
        <v>25.4520861222669</v>
      </c>
    </row>
    <row r="3544" customFormat="false" ht="30" hidden="false" customHeight="false" outlineLevel="0" collapsed="false">
      <c r="A3544" s="28" t="s">
        <v>1852</v>
      </c>
      <c r="B3544" s="40" t="s">
        <v>3662</v>
      </c>
      <c r="C3544" s="40" t="s">
        <v>7164</v>
      </c>
      <c r="D3544" s="316" t="n">
        <v>2007</v>
      </c>
      <c r="E3544" s="912" t="n">
        <f aca="false">2021-D3544</f>
        <v>14</v>
      </c>
      <c r="F3544" s="891" t="n">
        <v>407000</v>
      </c>
      <c r="G3544" s="1364" t="n">
        <v>0.1</v>
      </c>
      <c r="H3544" s="891" t="n">
        <f aca="false">E3544*F3544*G3544</f>
        <v>569800</v>
      </c>
      <c r="I3544" s="891" t="n">
        <f aca="false">F3544-H3544</f>
        <v>-162800</v>
      </c>
      <c r="J3544" s="1365" t="n">
        <f aca="false">F3544*G3544</f>
        <v>40700</v>
      </c>
      <c r="K3544" s="1365" t="n">
        <f aca="false">J3544/1792.8</f>
        <v>22.7019187862561</v>
      </c>
      <c r="L3544" s="891" t="n">
        <v>28.8</v>
      </c>
      <c r="M3544" s="1273" t="n">
        <f aca="false">K3544*L3544/60</f>
        <v>10.8969210174029</v>
      </c>
    </row>
    <row r="3545" customFormat="false" ht="15" hidden="false" customHeight="false" outlineLevel="0" collapsed="false">
      <c r="A3545" s="28"/>
      <c r="B3545" s="40"/>
      <c r="C3545" s="40" t="s">
        <v>7155</v>
      </c>
      <c r="D3545" s="316" t="n">
        <v>2007</v>
      </c>
      <c r="E3545" s="912" t="n">
        <f aca="false">2021-D3545</f>
        <v>14</v>
      </c>
      <c r="F3545" s="891" t="n">
        <v>810000</v>
      </c>
      <c r="G3545" s="1364" t="n">
        <v>0.1</v>
      </c>
      <c r="H3545" s="891" t="n">
        <f aca="false">E3545*F3545*G3545</f>
        <v>1134000</v>
      </c>
      <c r="I3545" s="891" t="n">
        <f aca="false">F3545-H3545</f>
        <v>-324000</v>
      </c>
      <c r="J3545" s="1365" t="n">
        <f aca="false">F3545*G3545</f>
        <v>81000</v>
      </c>
      <c r="K3545" s="1365" t="n">
        <f aca="false">J3545/1792.8</f>
        <v>45.1807228915663</v>
      </c>
      <c r="L3545" s="891" t="n">
        <v>4.8</v>
      </c>
      <c r="M3545" s="1273" t="n">
        <f aca="false">K3545*L3545/60</f>
        <v>3.6144578313253</v>
      </c>
    </row>
    <row r="3546" customFormat="false" ht="15" hidden="false" customHeight="false" outlineLevel="0" collapsed="false">
      <c r="A3546" s="28"/>
      <c r="B3546" s="40"/>
      <c r="C3546" s="40" t="s">
        <v>7158</v>
      </c>
      <c r="D3546" s="316" t="n">
        <v>2007</v>
      </c>
      <c r="E3546" s="912" t="n">
        <f aca="false">2021-D3546</f>
        <v>14</v>
      </c>
      <c r="F3546" s="891" t="n">
        <v>482500</v>
      </c>
      <c r="G3546" s="1364" t="n">
        <v>0.1</v>
      </c>
      <c r="H3546" s="891" t="n">
        <f aca="false">E3546*F3546*G3546</f>
        <v>675500</v>
      </c>
      <c r="I3546" s="891" t="n">
        <f aca="false">F3546-H3546</f>
        <v>-193000</v>
      </c>
      <c r="J3546" s="1365" t="n">
        <f aca="false">F3546*G3546</f>
        <v>48250</v>
      </c>
      <c r="K3546" s="1365" t="n">
        <f aca="false">J3546/1792.8</f>
        <v>26.913208389112</v>
      </c>
      <c r="L3546" s="891" t="n">
        <v>3.6</v>
      </c>
      <c r="M3546" s="1273" t="n">
        <f aca="false">K3546*L3546/60</f>
        <v>1.61479250334672</v>
      </c>
    </row>
    <row r="3547" customFormat="false" ht="15" hidden="false" customHeight="false" outlineLevel="0" collapsed="false">
      <c r="A3547" s="28"/>
      <c r="B3547" s="40"/>
      <c r="C3547" s="40" t="s">
        <v>7161</v>
      </c>
      <c r="D3547" s="316" t="n">
        <v>2007</v>
      </c>
      <c r="E3547" s="912" t="n">
        <f aca="false">2021-D3547</f>
        <v>14</v>
      </c>
      <c r="F3547" s="891" t="n">
        <v>1849800</v>
      </c>
      <c r="G3547" s="1364" t="n">
        <v>0.1</v>
      </c>
      <c r="H3547" s="891" t="n">
        <f aca="false">E3547*F3547*G3547</f>
        <v>2589720</v>
      </c>
      <c r="I3547" s="891" t="n">
        <f aca="false">F3547-H3547</f>
        <v>-739920</v>
      </c>
      <c r="J3547" s="1365" t="n">
        <f aca="false">F3547*G3547</f>
        <v>184980</v>
      </c>
      <c r="K3547" s="1365" t="n">
        <f aca="false">J3547/1792.8</f>
        <v>103.179384203481</v>
      </c>
      <c r="L3547" s="891" t="n">
        <v>5</v>
      </c>
      <c r="M3547" s="1273" t="n">
        <f aca="false">K3547*L3547/60</f>
        <v>8.59828201695672</v>
      </c>
    </row>
    <row r="3548" customFormat="false" ht="15" hidden="false" customHeight="false" outlineLevel="0" collapsed="false">
      <c r="A3548" s="28"/>
      <c r="B3548" s="40"/>
      <c r="C3548" s="40" t="s">
        <v>7160</v>
      </c>
      <c r="D3548" s="316" t="n">
        <v>1994</v>
      </c>
      <c r="E3548" s="912" t="n">
        <f aca="false">2021-D3548</f>
        <v>27</v>
      </c>
      <c r="F3548" s="891" t="n">
        <v>156540</v>
      </c>
      <c r="G3548" s="1364" t="n">
        <v>0.1</v>
      </c>
      <c r="H3548" s="891" t="n">
        <v>156540</v>
      </c>
      <c r="I3548" s="891" t="n">
        <f aca="false">F3548-H3548</f>
        <v>0</v>
      </c>
      <c r="J3548" s="1365" t="n">
        <f aca="false">F3548*G3548</f>
        <v>15654</v>
      </c>
      <c r="K3548" s="1365" t="n">
        <f aca="false">J3548/1792.8</f>
        <v>8.73159303882196</v>
      </c>
      <c r="L3548" s="891" t="n">
        <v>5</v>
      </c>
      <c r="M3548" s="1273" t="n">
        <f aca="false">K3548*L3548/60</f>
        <v>0.727632753235163</v>
      </c>
    </row>
    <row r="3549" customFormat="false" ht="15" hidden="false" customHeight="false" outlineLevel="0" collapsed="false">
      <c r="A3549" s="28"/>
      <c r="B3549" s="972" t="s">
        <v>4128</v>
      </c>
      <c r="C3549" s="1053"/>
      <c r="D3549" s="965"/>
      <c r="E3549" s="912"/>
      <c r="F3549" s="1490"/>
      <c r="G3549" s="1490"/>
      <c r="H3549" s="1490"/>
      <c r="I3549" s="1490"/>
      <c r="J3549" s="1490"/>
      <c r="K3549" s="1365" t="n">
        <f aca="false">J3549/1792.8</f>
        <v>0</v>
      </c>
      <c r="L3549" s="1490"/>
      <c r="M3549" s="1366" t="n">
        <f aca="false">SUM(M3544:M3548)</f>
        <v>25.4520861222669</v>
      </c>
    </row>
    <row r="3550" customFormat="false" ht="45" hidden="false" customHeight="false" outlineLevel="0" collapsed="false">
      <c r="A3550" s="28" t="s">
        <v>1854</v>
      </c>
      <c r="B3550" s="40" t="s">
        <v>3663</v>
      </c>
      <c r="C3550" s="40" t="s">
        <v>7154</v>
      </c>
      <c r="D3550" s="316" t="n">
        <v>2007</v>
      </c>
      <c r="E3550" s="912" t="n">
        <f aca="false">2021-D3550</f>
        <v>14</v>
      </c>
      <c r="F3550" s="891" t="n">
        <v>407000</v>
      </c>
      <c r="G3550" s="1364" t="n">
        <v>0.1</v>
      </c>
      <c r="H3550" s="891" t="n">
        <f aca="false">E3550*F3550*G3550</f>
        <v>569800</v>
      </c>
      <c r="I3550" s="891" t="n">
        <f aca="false">F3550-H3550</f>
        <v>-162800</v>
      </c>
      <c r="J3550" s="1365" t="n">
        <f aca="false">F3550*G3550</f>
        <v>40700</v>
      </c>
      <c r="K3550" s="1365" t="n">
        <f aca="false">J3550/1792.8</f>
        <v>22.7019187862561</v>
      </c>
      <c r="L3550" s="891" t="n">
        <v>20</v>
      </c>
      <c r="M3550" s="1273" t="n">
        <f aca="false">K3550*L3550/60</f>
        <v>7.56730626208538</v>
      </c>
    </row>
    <row r="3551" customFormat="false" ht="15" hidden="false" customHeight="false" outlineLevel="0" collapsed="false">
      <c r="A3551" s="28"/>
      <c r="B3551" s="40"/>
      <c r="C3551" s="40" t="s">
        <v>7155</v>
      </c>
      <c r="D3551" s="316" t="n">
        <v>2007</v>
      </c>
      <c r="E3551" s="912" t="n">
        <f aca="false">2021-D3551</f>
        <v>14</v>
      </c>
      <c r="F3551" s="891" t="n">
        <v>810000</v>
      </c>
      <c r="G3551" s="1364" t="n">
        <v>0.1</v>
      </c>
      <c r="H3551" s="891" t="n">
        <f aca="false">E3551*F3551*G3551</f>
        <v>1134000</v>
      </c>
      <c r="I3551" s="891" t="n">
        <f aca="false">F3551-H3551</f>
        <v>-324000</v>
      </c>
      <c r="J3551" s="1365" t="n">
        <f aca="false">F3551*G3551</f>
        <v>81000</v>
      </c>
      <c r="K3551" s="1365" t="n">
        <f aca="false">J3551/1792.8</f>
        <v>45.1807228915663</v>
      </c>
      <c r="L3551" s="891" t="n">
        <v>4.8</v>
      </c>
      <c r="M3551" s="1273" t="n">
        <f aca="false">K3551*L3551/60</f>
        <v>3.6144578313253</v>
      </c>
    </row>
    <row r="3552" customFormat="false" ht="15" hidden="false" customHeight="false" outlineLevel="0" collapsed="false">
      <c r="A3552" s="28"/>
      <c r="B3552" s="40"/>
      <c r="C3552" s="40" t="s">
        <v>7156</v>
      </c>
      <c r="D3552" s="316" t="n">
        <v>2015</v>
      </c>
      <c r="E3552" s="912" t="n">
        <f aca="false">2021-D3552</f>
        <v>6</v>
      </c>
      <c r="F3552" s="891" t="n">
        <v>694025</v>
      </c>
      <c r="G3552" s="1364" t="n">
        <v>0.1</v>
      </c>
      <c r="H3552" s="891" t="n">
        <f aca="false">E3552*F3552*G3552</f>
        <v>416415</v>
      </c>
      <c r="I3552" s="891" t="n">
        <f aca="false">F3552-H3552</f>
        <v>277610</v>
      </c>
      <c r="J3552" s="1365" t="n">
        <f aca="false">F3552*G3552</f>
        <v>69402.5</v>
      </c>
      <c r="K3552" s="1365" t="n">
        <f aca="false">J3552/1792.8</f>
        <v>38.711791610888</v>
      </c>
      <c r="L3552" s="891" t="n">
        <v>18</v>
      </c>
      <c r="M3552" s="1273" t="n">
        <f aca="false">K3552*L3552/60</f>
        <v>11.6135374832664</v>
      </c>
    </row>
    <row r="3553" customFormat="false" ht="15" hidden="false" customHeight="false" outlineLevel="0" collapsed="false">
      <c r="A3553" s="28"/>
      <c r="B3553" s="40"/>
      <c r="C3553" s="40" t="s">
        <v>7157</v>
      </c>
      <c r="D3553" s="316" t="n">
        <v>2006</v>
      </c>
      <c r="E3553" s="912" t="n">
        <f aca="false">2021-D3553</f>
        <v>15</v>
      </c>
      <c r="F3553" s="891" t="n">
        <v>77000</v>
      </c>
      <c r="G3553" s="1364" t="n">
        <v>0.05</v>
      </c>
      <c r="H3553" s="891" t="n">
        <f aca="false">E3553*F3553*G3553</f>
        <v>57750</v>
      </c>
      <c r="I3553" s="891" t="n">
        <f aca="false">F3553-H3553</f>
        <v>19250</v>
      </c>
      <c r="J3553" s="1365" t="n">
        <f aca="false">F3553*G3553</f>
        <v>3850</v>
      </c>
      <c r="K3553" s="1365" t="n">
        <f aca="false">J3553/1792.8</f>
        <v>2.14747880410531</v>
      </c>
      <c r="L3553" s="891" t="n">
        <v>9.6</v>
      </c>
      <c r="M3553" s="1273" t="n">
        <f aca="false">K3553*L3553/60</f>
        <v>0.34359660865685</v>
      </c>
    </row>
    <row r="3554" customFormat="false" ht="15" hidden="false" customHeight="false" outlineLevel="0" collapsed="false">
      <c r="A3554" s="28"/>
      <c r="B3554" s="40"/>
      <c r="C3554" s="40" t="s">
        <v>7158</v>
      </c>
      <c r="D3554" s="316" t="n">
        <v>2007</v>
      </c>
      <c r="E3554" s="912" t="n">
        <f aca="false">2021-D3554</f>
        <v>14</v>
      </c>
      <c r="F3554" s="891" t="n">
        <v>482500</v>
      </c>
      <c r="G3554" s="1364" t="n">
        <v>0.1</v>
      </c>
      <c r="H3554" s="891" t="n">
        <f aca="false">E3554*F3554*G3554</f>
        <v>675500</v>
      </c>
      <c r="I3554" s="891" t="n">
        <f aca="false">F3554-H3554</f>
        <v>-193000</v>
      </c>
      <c r="J3554" s="1365" t="n">
        <f aca="false">F3554*G3554</f>
        <v>48250</v>
      </c>
      <c r="K3554" s="1365" t="n">
        <f aca="false">J3554/1792.8</f>
        <v>26.913208389112</v>
      </c>
      <c r="L3554" s="891" t="n">
        <v>3.6</v>
      </c>
      <c r="M3554" s="1273" t="n">
        <f aca="false">K3554*L3554/60</f>
        <v>1.61479250334672</v>
      </c>
    </row>
    <row r="3555" customFormat="false" ht="15" hidden="false" customHeight="false" outlineLevel="0" collapsed="false">
      <c r="A3555" s="28"/>
      <c r="B3555" s="40"/>
      <c r="C3555" s="40" t="s">
        <v>7159</v>
      </c>
      <c r="D3555" s="316" t="n">
        <v>2007</v>
      </c>
      <c r="E3555" s="912" t="n">
        <f aca="false">2021-D3555</f>
        <v>14</v>
      </c>
      <c r="F3555" s="891" t="n">
        <v>68000</v>
      </c>
      <c r="G3555" s="1364" t="n">
        <v>0.1</v>
      </c>
      <c r="H3555" s="891" t="n">
        <f aca="false">E3555*F3555*G3555</f>
        <v>95200</v>
      </c>
      <c r="I3555" s="891" t="n">
        <f aca="false">F3555-H3555</f>
        <v>-27200</v>
      </c>
      <c r="J3555" s="1365" t="n">
        <f aca="false">F3555*G3555</f>
        <v>6800</v>
      </c>
      <c r="K3555" s="1365" t="n">
        <f aca="false">J3555/1792.8</f>
        <v>3.79294957608211</v>
      </c>
      <c r="L3555" s="891" t="n">
        <v>9.6</v>
      </c>
      <c r="M3555" s="1273" t="n">
        <f aca="false">K3555*L3555/60</f>
        <v>0.606871932173137</v>
      </c>
    </row>
    <row r="3556" customFormat="false" ht="15" hidden="false" customHeight="false" outlineLevel="0" collapsed="false">
      <c r="A3556" s="28"/>
      <c r="B3556" s="40"/>
      <c r="C3556" s="40" t="s">
        <v>7161</v>
      </c>
      <c r="D3556" s="316" t="n">
        <v>2007</v>
      </c>
      <c r="E3556" s="912" t="n">
        <f aca="false">2021-D3556</f>
        <v>14</v>
      </c>
      <c r="F3556" s="891" t="n">
        <v>1849800</v>
      </c>
      <c r="G3556" s="1364" t="n">
        <v>0.1</v>
      </c>
      <c r="H3556" s="891" t="n">
        <f aca="false">E3556*F3556*G3556</f>
        <v>2589720</v>
      </c>
      <c r="I3556" s="891" t="n">
        <f aca="false">F3556-H3556</f>
        <v>-739920</v>
      </c>
      <c r="J3556" s="1365" t="n">
        <f aca="false">F3556*G3556</f>
        <v>184980</v>
      </c>
      <c r="K3556" s="1365" t="n">
        <f aca="false">J3556/1792.8</f>
        <v>103.179384203481</v>
      </c>
      <c r="L3556" s="891" t="n">
        <v>5</v>
      </c>
      <c r="M3556" s="1273" t="n">
        <f aca="false">K3556*L3556/60</f>
        <v>8.59828201695672</v>
      </c>
    </row>
    <row r="3557" customFormat="false" ht="15" hidden="false" customHeight="false" outlineLevel="0" collapsed="false">
      <c r="A3557" s="28"/>
      <c r="B3557" s="40"/>
      <c r="C3557" s="40" t="s">
        <v>7163</v>
      </c>
      <c r="D3557" s="316" t="n">
        <v>1994</v>
      </c>
      <c r="E3557" s="912" t="n">
        <f aca="false">2021-D3557</f>
        <v>27</v>
      </c>
      <c r="F3557" s="891"/>
      <c r="G3557" s="891"/>
      <c r="H3557" s="891" t="n">
        <f aca="false">E3557*F3557*G3557</f>
        <v>0</v>
      </c>
      <c r="I3557" s="891" t="n">
        <f aca="false">F3557-H3557</f>
        <v>0</v>
      </c>
      <c r="J3557" s="1365" t="n">
        <f aca="false">F3557*G3557</f>
        <v>0</v>
      </c>
      <c r="K3557" s="1365" t="n">
        <f aca="false">J3557/1792.8</f>
        <v>0</v>
      </c>
      <c r="L3557" s="891" t="n">
        <v>5</v>
      </c>
      <c r="M3557" s="1273" t="n">
        <f aca="false">K3557*L3557/60</f>
        <v>0</v>
      </c>
    </row>
    <row r="3558" customFormat="false" ht="15" hidden="false" customHeight="false" outlineLevel="0" collapsed="false">
      <c r="A3558" s="28"/>
      <c r="B3558" s="972" t="s">
        <v>4128</v>
      </c>
      <c r="C3558" s="1053"/>
      <c r="D3558" s="965"/>
      <c r="E3558" s="912"/>
      <c r="F3558" s="1490"/>
      <c r="G3558" s="1490"/>
      <c r="H3558" s="1490"/>
      <c r="I3558" s="1490"/>
      <c r="J3558" s="1490"/>
      <c r="K3558" s="1365" t="n">
        <f aca="false">J3558/1792.8</f>
        <v>0</v>
      </c>
      <c r="L3558" s="1490"/>
      <c r="M3558" s="1366" t="n">
        <f aca="false">SUM(M3550:M3557)</f>
        <v>33.9588446378105</v>
      </c>
    </row>
    <row r="3559" customFormat="false" ht="30" hidden="false" customHeight="false" outlineLevel="0" collapsed="false">
      <c r="A3559" s="28" t="s">
        <v>1856</v>
      </c>
      <c r="B3559" s="40" t="s">
        <v>3664</v>
      </c>
      <c r="C3559" s="40" t="s">
        <v>7154</v>
      </c>
      <c r="D3559" s="316" t="n">
        <v>2007</v>
      </c>
      <c r="E3559" s="912" t="n">
        <f aca="false">2021-D3559</f>
        <v>14</v>
      </c>
      <c r="F3559" s="891" t="n">
        <v>407000</v>
      </c>
      <c r="G3559" s="1364" t="n">
        <v>0.1</v>
      </c>
      <c r="H3559" s="891" t="n">
        <f aca="false">E3559*F3559*G3559</f>
        <v>569800</v>
      </c>
      <c r="I3559" s="891" t="n">
        <f aca="false">F3559-H3559</f>
        <v>-162800</v>
      </c>
      <c r="J3559" s="1365" t="n">
        <f aca="false">F3559*G3559</f>
        <v>40700</v>
      </c>
      <c r="K3559" s="1365" t="n">
        <f aca="false">J3559/1792.8</f>
        <v>22.7019187862561</v>
      </c>
      <c r="L3559" s="891" t="n">
        <v>28.8</v>
      </c>
      <c r="M3559" s="1273" t="n">
        <f aca="false">K3559*L3559/60</f>
        <v>10.8969210174029</v>
      </c>
    </row>
    <row r="3560" customFormat="false" ht="15" hidden="false" customHeight="false" outlineLevel="0" collapsed="false">
      <c r="A3560" s="28"/>
      <c r="B3560" s="40"/>
      <c r="C3560" s="40" t="s">
        <v>7155</v>
      </c>
      <c r="D3560" s="316" t="n">
        <v>2007</v>
      </c>
      <c r="E3560" s="912" t="n">
        <f aca="false">2021-D3560</f>
        <v>14</v>
      </c>
      <c r="F3560" s="891" t="n">
        <v>810000</v>
      </c>
      <c r="G3560" s="1364" t="n">
        <v>0.1</v>
      </c>
      <c r="H3560" s="891" t="n">
        <f aca="false">E3560*F3560*G3560</f>
        <v>1134000</v>
      </c>
      <c r="I3560" s="891" t="n">
        <f aca="false">F3560-H3560</f>
        <v>-324000</v>
      </c>
      <c r="J3560" s="1365" t="n">
        <f aca="false">F3560*G3560</f>
        <v>81000</v>
      </c>
      <c r="K3560" s="1365" t="n">
        <f aca="false">J3560/1792.8</f>
        <v>45.1807228915663</v>
      </c>
      <c r="L3560" s="891" t="n">
        <v>4.8</v>
      </c>
      <c r="M3560" s="1273" t="n">
        <f aca="false">K3560*L3560/60</f>
        <v>3.6144578313253</v>
      </c>
    </row>
    <row r="3561" customFormat="false" ht="15" hidden="false" customHeight="false" outlineLevel="0" collapsed="false">
      <c r="A3561" s="28"/>
      <c r="B3561" s="40"/>
      <c r="C3561" s="40" t="s">
        <v>7156</v>
      </c>
      <c r="D3561" s="316" t="n">
        <v>2015</v>
      </c>
      <c r="E3561" s="912" t="n">
        <f aca="false">2021-D3561</f>
        <v>6</v>
      </c>
      <c r="F3561" s="891" t="n">
        <v>694025</v>
      </c>
      <c r="G3561" s="1364" t="n">
        <v>0.1</v>
      </c>
      <c r="H3561" s="891" t="n">
        <f aca="false">E3561*F3561*G3561</f>
        <v>416415</v>
      </c>
      <c r="I3561" s="891" t="n">
        <f aca="false">F3561-H3561</f>
        <v>277610</v>
      </c>
      <c r="J3561" s="1365" t="n">
        <f aca="false">F3561*G3561</f>
        <v>69402.5</v>
      </c>
      <c r="K3561" s="1365" t="n">
        <f aca="false">J3561/1792.8</f>
        <v>38.711791610888</v>
      </c>
      <c r="L3561" s="891" t="n">
        <v>18</v>
      </c>
      <c r="M3561" s="1273" t="n">
        <f aca="false">K3561*L3561/60</f>
        <v>11.6135374832664</v>
      </c>
    </row>
    <row r="3562" customFormat="false" ht="15" hidden="false" customHeight="false" outlineLevel="0" collapsed="false">
      <c r="A3562" s="28"/>
      <c r="B3562" s="40"/>
      <c r="C3562" s="40" t="s">
        <v>7157</v>
      </c>
      <c r="D3562" s="316" t="n">
        <v>2006</v>
      </c>
      <c r="E3562" s="912" t="n">
        <f aca="false">2021-D3562</f>
        <v>15</v>
      </c>
      <c r="F3562" s="891" t="n">
        <v>77000</v>
      </c>
      <c r="G3562" s="1364" t="n">
        <v>0.05</v>
      </c>
      <c r="H3562" s="891" t="n">
        <f aca="false">E3562*F3562*G3562</f>
        <v>57750</v>
      </c>
      <c r="I3562" s="891" t="n">
        <f aca="false">F3562-H3562</f>
        <v>19250</v>
      </c>
      <c r="J3562" s="1365" t="n">
        <f aca="false">F3562*G3562</f>
        <v>3850</v>
      </c>
      <c r="K3562" s="1365" t="n">
        <f aca="false">J3562/1792.8</f>
        <v>2.14747880410531</v>
      </c>
      <c r="L3562" s="891" t="n">
        <v>9.6</v>
      </c>
      <c r="M3562" s="1273" t="n">
        <f aca="false">K3562*L3562/60</f>
        <v>0.34359660865685</v>
      </c>
    </row>
    <row r="3563" customFormat="false" ht="15" hidden="false" customHeight="false" outlineLevel="0" collapsed="false">
      <c r="A3563" s="28"/>
      <c r="B3563" s="40"/>
      <c r="C3563" s="40" t="s">
        <v>7158</v>
      </c>
      <c r="D3563" s="316" t="n">
        <v>2007</v>
      </c>
      <c r="E3563" s="912" t="n">
        <f aca="false">2021-D3563</f>
        <v>14</v>
      </c>
      <c r="F3563" s="891" t="n">
        <v>482500</v>
      </c>
      <c r="G3563" s="1364" t="n">
        <v>0.1</v>
      </c>
      <c r="H3563" s="891" t="n">
        <f aca="false">E3563*F3563*G3563</f>
        <v>675500</v>
      </c>
      <c r="I3563" s="891" t="n">
        <f aca="false">F3563-H3563</f>
        <v>-193000</v>
      </c>
      <c r="J3563" s="1365" t="n">
        <f aca="false">F3563*G3563</f>
        <v>48250</v>
      </c>
      <c r="K3563" s="1365" t="n">
        <f aca="false">J3563/1792.8</f>
        <v>26.913208389112</v>
      </c>
      <c r="L3563" s="891" t="n">
        <v>3.6</v>
      </c>
      <c r="M3563" s="1273" t="n">
        <f aca="false">K3563*L3563/60</f>
        <v>1.61479250334672</v>
      </c>
    </row>
    <row r="3564" customFormat="false" ht="15" hidden="false" customHeight="false" outlineLevel="0" collapsed="false">
      <c r="A3564" s="28"/>
      <c r="B3564" s="40"/>
      <c r="C3564" s="40" t="s">
        <v>7159</v>
      </c>
      <c r="D3564" s="316" t="n">
        <v>2007</v>
      </c>
      <c r="E3564" s="912" t="n">
        <f aca="false">2021-D3564</f>
        <v>14</v>
      </c>
      <c r="F3564" s="891" t="n">
        <v>68000</v>
      </c>
      <c r="G3564" s="1364" t="n">
        <v>0.1</v>
      </c>
      <c r="H3564" s="891" t="n">
        <f aca="false">E3564*F3564*G3564</f>
        <v>95200</v>
      </c>
      <c r="I3564" s="891" t="n">
        <f aca="false">F3564-H3564</f>
        <v>-27200</v>
      </c>
      <c r="J3564" s="1365" t="n">
        <f aca="false">F3564*G3564</f>
        <v>6800</v>
      </c>
      <c r="K3564" s="1365" t="n">
        <f aca="false">J3564/1792.8</f>
        <v>3.79294957608211</v>
      </c>
      <c r="L3564" s="891" t="n">
        <v>9.6</v>
      </c>
      <c r="M3564" s="1273" t="n">
        <f aca="false">K3564*L3564/60</f>
        <v>0.606871932173137</v>
      </c>
    </row>
    <row r="3565" customFormat="false" ht="15" hidden="false" customHeight="false" outlineLevel="0" collapsed="false">
      <c r="A3565" s="28"/>
      <c r="B3565" s="40"/>
      <c r="C3565" s="40" t="s">
        <v>7163</v>
      </c>
      <c r="D3565" s="316" t="n">
        <v>1994</v>
      </c>
      <c r="E3565" s="912" t="n">
        <f aca="false">2021-D3565</f>
        <v>27</v>
      </c>
      <c r="F3565" s="891"/>
      <c r="G3565" s="891"/>
      <c r="H3565" s="891" t="n">
        <f aca="false">E3565*F3565*G3565</f>
        <v>0</v>
      </c>
      <c r="I3565" s="891" t="n">
        <f aca="false">F3565-H3565</f>
        <v>0</v>
      </c>
      <c r="J3565" s="1365" t="n">
        <f aca="false">F3565*G3565</f>
        <v>0</v>
      </c>
      <c r="K3565" s="1365" t="n">
        <f aca="false">J3565/1792.8</f>
        <v>0</v>
      </c>
      <c r="L3565" s="891" t="n">
        <v>5</v>
      </c>
      <c r="M3565" s="1273" t="n">
        <f aca="false">K3565*L3565/60</f>
        <v>0</v>
      </c>
    </row>
    <row r="3566" customFormat="false" ht="15" hidden="false" customHeight="false" outlineLevel="0" collapsed="false">
      <c r="A3566" s="28"/>
      <c r="B3566" s="40"/>
      <c r="C3566" s="40" t="s">
        <v>7161</v>
      </c>
      <c r="D3566" s="316" t="n">
        <v>2007</v>
      </c>
      <c r="E3566" s="912" t="n">
        <f aca="false">2021-D3566</f>
        <v>14</v>
      </c>
      <c r="F3566" s="891" t="n">
        <v>1849800</v>
      </c>
      <c r="G3566" s="1364" t="n">
        <v>0.1</v>
      </c>
      <c r="H3566" s="891" t="n">
        <f aca="false">E3566*F3566*G3566</f>
        <v>2589720</v>
      </c>
      <c r="I3566" s="891" t="n">
        <f aca="false">F3566-H3566</f>
        <v>-739920</v>
      </c>
      <c r="J3566" s="1365" t="n">
        <f aca="false">F3566*G3566</f>
        <v>184980</v>
      </c>
      <c r="K3566" s="1365" t="n">
        <f aca="false">J3566/1792.8</f>
        <v>103.179384203481</v>
      </c>
      <c r="L3566" s="891" t="n">
        <v>5</v>
      </c>
      <c r="M3566" s="1273" t="n">
        <f aca="false">K3566*L3566/60</f>
        <v>8.59828201695672</v>
      </c>
    </row>
    <row r="3567" customFormat="false" ht="15" hidden="false" customHeight="false" outlineLevel="0" collapsed="false">
      <c r="A3567" s="28"/>
      <c r="B3567" s="972" t="s">
        <v>4128</v>
      </c>
      <c r="C3567" s="1053"/>
      <c r="D3567" s="965"/>
      <c r="E3567" s="912"/>
      <c r="F3567" s="1490"/>
      <c r="G3567" s="1490"/>
      <c r="H3567" s="1490"/>
      <c r="I3567" s="1490"/>
      <c r="J3567" s="1490"/>
      <c r="K3567" s="1365" t="n">
        <f aca="false">J3567/1792.8</f>
        <v>0</v>
      </c>
      <c r="L3567" s="1490"/>
      <c r="M3567" s="1366" t="n">
        <f aca="false">SUM(M3559:M3566)</f>
        <v>37.2884593931281</v>
      </c>
    </row>
    <row r="3568" customFormat="false" ht="45" hidden="false" customHeight="false" outlineLevel="0" collapsed="false">
      <c r="A3568" s="28" t="s">
        <v>1858</v>
      </c>
      <c r="B3568" s="40" t="s">
        <v>3665</v>
      </c>
      <c r="C3568" s="40" t="s">
        <v>7154</v>
      </c>
      <c r="D3568" s="316" t="n">
        <v>2007</v>
      </c>
      <c r="E3568" s="912" t="n">
        <f aca="false">2021-D3568</f>
        <v>14</v>
      </c>
      <c r="F3568" s="891" t="n">
        <v>407000</v>
      </c>
      <c r="G3568" s="1364" t="n">
        <v>0.1</v>
      </c>
      <c r="H3568" s="891" t="n">
        <f aca="false">E3568*F3568*G3568</f>
        <v>569800</v>
      </c>
      <c r="I3568" s="891" t="n">
        <f aca="false">F3568-H3568</f>
        <v>-162800</v>
      </c>
      <c r="J3568" s="1365" t="n">
        <f aca="false">F3568*G3568</f>
        <v>40700</v>
      </c>
      <c r="K3568" s="1365" t="n">
        <f aca="false">J3568/1792.8</f>
        <v>22.7019187862561</v>
      </c>
      <c r="L3568" s="891" t="n">
        <v>28.8</v>
      </c>
      <c r="M3568" s="1273" t="n">
        <f aca="false">K3568*L3568/60</f>
        <v>10.8969210174029</v>
      </c>
    </row>
    <row r="3569" customFormat="false" ht="15" hidden="false" customHeight="false" outlineLevel="0" collapsed="false">
      <c r="A3569" s="28"/>
      <c r="B3569" s="40"/>
      <c r="C3569" s="40" t="s">
        <v>7155</v>
      </c>
      <c r="D3569" s="316" t="n">
        <v>2007</v>
      </c>
      <c r="E3569" s="912" t="n">
        <f aca="false">2021-D3569</f>
        <v>14</v>
      </c>
      <c r="F3569" s="891" t="n">
        <v>810000</v>
      </c>
      <c r="G3569" s="1364" t="n">
        <v>0.1</v>
      </c>
      <c r="H3569" s="891" t="n">
        <f aca="false">E3569*F3569*G3569</f>
        <v>1134000</v>
      </c>
      <c r="I3569" s="891" t="n">
        <f aca="false">F3569-H3569</f>
        <v>-324000</v>
      </c>
      <c r="J3569" s="1365" t="n">
        <f aca="false">F3569*G3569</f>
        <v>81000</v>
      </c>
      <c r="K3569" s="1365" t="n">
        <f aca="false">J3569/1792.8</f>
        <v>45.1807228915663</v>
      </c>
      <c r="L3569" s="891" t="n">
        <v>4.8</v>
      </c>
      <c r="M3569" s="1273" t="n">
        <f aca="false">K3569*L3569/60</f>
        <v>3.6144578313253</v>
      </c>
    </row>
    <row r="3570" customFormat="false" ht="15" hidden="false" customHeight="false" outlineLevel="0" collapsed="false">
      <c r="A3570" s="28"/>
      <c r="B3570" s="40"/>
      <c r="C3570" s="40" t="s">
        <v>7156</v>
      </c>
      <c r="D3570" s="316" t="n">
        <v>2015</v>
      </c>
      <c r="E3570" s="912" t="n">
        <f aca="false">2021-D3570</f>
        <v>6</v>
      </c>
      <c r="F3570" s="891" t="n">
        <v>694025</v>
      </c>
      <c r="G3570" s="1364" t="n">
        <v>0.1</v>
      </c>
      <c r="H3570" s="891" t="n">
        <f aca="false">E3570*F3570*G3570</f>
        <v>416415</v>
      </c>
      <c r="I3570" s="891" t="n">
        <f aca="false">F3570-H3570</f>
        <v>277610</v>
      </c>
      <c r="J3570" s="1365" t="n">
        <f aca="false">F3570*G3570</f>
        <v>69402.5</v>
      </c>
      <c r="K3570" s="1365" t="n">
        <f aca="false">J3570/1792.8</f>
        <v>38.711791610888</v>
      </c>
      <c r="L3570" s="891" t="n">
        <v>18</v>
      </c>
      <c r="M3570" s="1273" t="n">
        <f aca="false">K3570*L3570/60</f>
        <v>11.6135374832664</v>
      </c>
    </row>
    <row r="3571" customFormat="false" ht="15" hidden="false" customHeight="false" outlineLevel="0" collapsed="false">
      <c r="A3571" s="28"/>
      <c r="B3571" s="40"/>
      <c r="C3571" s="40" t="s">
        <v>7157</v>
      </c>
      <c r="D3571" s="316" t="n">
        <v>2006</v>
      </c>
      <c r="E3571" s="912" t="n">
        <f aca="false">2021-D3571</f>
        <v>15</v>
      </c>
      <c r="F3571" s="891" t="n">
        <v>77000</v>
      </c>
      <c r="G3571" s="1364" t="n">
        <v>0.05</v>
      </c>
      <c r="H3571" s="891" t="n">
        <f aca="false">E3571*F3571*G3571</f>
        <v>57750</v>
      </c>
      <c r="I3571" s="891" t="n">
        <f aca="false">F3571-H3571</f>
        <v>19250</v>
      </c>
      <c r="J3571" s="1365" t="n">
        <f aca="false">F3571*G3571</f>
        <v>3850</v>
      </c>
      <c r="K3571" s="1365" t="n">
        <f aca="false">J3571/1792.8</f>
        <v>2.14747880410531</v>
      </c>
      <c r="L3571" s="891" t="n">
        <v>9.6</v>
      </c>
      <c r="M3571" s="1273" t="n">
        <f aca="false">K3571*L3571/60</f>
        <v>0.34359660865685</v>
      </c>
    </row>
    <row r="3572" customFormat="false" ht="15" hidden="false" customHeight="false" outlineLevel="0" collapsed="false">
      <c r="A3572" s="28"/>
      <c r="B3572" s="40"/>
      <c r="C3572" s="40" t="s">
        <v>7158</v>
      </c>
      <c r="D3572" s="316" t="n">
        <v>2007</v>
      </c>
      <c r="E3572" s="912" t="n">
        <f aca="false">2021-D3572</f>
        <v>14</v>
      </c>
      <c r="F3572" s="891" t="n">
        <v>482500</v>
      </c>
      <c r="G3572" s="1364" t="n">
        <v>0.1</v>
      </c>
      <c r="H3572" s="891" t="n">
        <f aca="false">E3572*F3572*G3572</f>
        <v>675500</v>
      </c>
      <c r="I3572" s="891" t="n">
        <f aca="false">F3572-H3572</f>
        <v>-193000</v>
      </c>
      <c r="J3572" s="1365" t="n">
        <f aca="false">F3572*G3572</f>
        <v>48250</v>
      </c>
      <c r="K3572" s="1365" t="n">
        <f aca="false">J3572/1792.8</f>
        <v>26.913208389112</v>
      </c>
      <c r="L3572" s="891" t="n">
        <v>3.6</v>
      </c>
      <c r="M3572" s="1273" t="n">
        <f aca="false">K3572*L3572/60</f>
        <v>1.61479250334672</v>
      </c>
    </row>
    <row r="3573" customFormat="false" ht="15" hidden="false" customHeight="false" outlineLevel="0" collapsed="false">
      <c r="A3573" s="28"/>
      <c r="B3573" s="40"/>
      <c r="C3573" s="40" t="s">
        <v>7159</v>
      </c>
      <c r="D3573" s="316" t="n">
        <v>2007</v>
      </c>
      <c r="E3573" s="912" t="n">
        <f aca="false">2021-D3573</f>
        <v>14</v>
      </c>
      <c r="F3573" s="891" t="n">
        <v>68000</v>
      </c>
      <c r="G3573" s="1364" t="n">
        <v>0.1</v>
      </c>
      <c r="H3573" s="891" t="n">
        <f aca="false">E3573*F3573*G3573</f>
        <v>95200</v>
      </c>
      <c r="I3573" s="891" t="n">
        <f aca="false">F3573-H3573</f>
        <v>-27200</v>
      </c>
      <c r="J3573" s="1365" t="n">
        <f aca="false">F3573*G3573</f>
        <v>6800</v>
      </c>
      <c r="K3573" s="1365" t="n">
        <f aca="false">J3573/1792.8</f>
        <v>3.79294957608211</v>
      </c>
      <c r="L3573" s="891" t="n">
        <v>9.6</v>
      </c>
      <c r="M3573" s="1273" t="n">
        <f aca="false">K3573*L3573/60</f>
        <v>0.606871932173137</v>
      </c>
    </row>
    <row r="3574" customFormat="false" ht="15" hidden="false" customHeight="false" outlineLevel="0" collapsed="false">
      <c r="A3574" s="28"/>
      <c r="B3574" s="40"/>
      <c r="C3574" s="40" t="s">
        <v>7163</v>
      </c>
      <c r="D3574" s="316" t="n">
        <v>1994</v>
      </c>
      <c r="E3574" s="912" t="n">
        <f aca="false">2021-D3574</f>
        <v>27</v>
      </c>
      <c r="F3574" s="891"/>
      <c r="G3574" s="891"/>
      <c r="H3574" s="891" t="n">
        <f aca="false">E3574*F3574*G3574</f>
        <v>0</v>
      </c>
      <c r="I3574" s="891" t="n">
        <f aca="false">F3574-H3574</f>
        <v>0</v>
      </c>
      <c r="J3574" s="1365" t="n">
        <f aca="false">F3574*G3574</f>
        <v>0</v>
      </c>
      <c r="K3574" s="1365" t="n">
        <f aca="false">J3574/1792.8</f>
        <v>0</v>
      </c>
      <c r="L3574" s="891" t="n">
        <v>5</v>
      </c>
      <c r="M3574" s="1273" t="n">
        <f aca="false">K3574*L3574/60</f>
        <v>0</v>
      </c>
    </row>
    <row r="3575" customFormat="false" ht="15" hidden="false" customHeight="false" outlineLevel="0" collapsed="false">
      <c r="A3575" s="28"/>
      <c r="B3575" s="40"/>
      <c r="C3575" s="40" t="s">
        <v>7161</v>
      </c>
      <c r="D3575" s="316" t="n">
        <v>2007</v>
      </c>
      <c r="E3575" s="912" t="n">
        <f aca="false">2021-D3575</f>
        <v>14</v>
      </c>
      <c r="F3575" s="891" t="n">
        <v>1849800</v>
      </c>
      <c r="G3575" s="1364" t="n">
        <v>0.1</v>
      </c>
      <c r="H3575" s="891" t="n">
        <f aca="false">E3575*F3575*G3575</f>
        <v>2589720</v>
      </c>
      <c r="I3575" s="891" t="n">
        <f aca="false">F3575-H3575</f>
        <v>-739920</v>
      </c>
      <c r="J3575" s="1365" t="n">
        <f aca="false">F3575*G3575</f>
        <v>184980</v>
      </c>
      <c r="K3575" s="1365" t="n">
        <f aca="false">J3575/1792.8</f>
        <v>103.179384203481</v>
      </c>
      <c r="L3575" s="891" t="n">
        <v>5</v>
      </c>
      <c r="M3575" s="1273" t="n">
        <f aca="false">K3575*L3575/60</f>
        <v>8.59828201695672</v>
      </c>
    </row>
    <row r="3576" customFormat="false" ht="15" hidden="false" customHeight="false" outlineLevel="0" collapsed="false">
      <c r="A3576" s="28"/>
      <c r="B3576" s="972" t="s">
        <v>4128</v>
      </c>
      <c r="C3576" s="1053"/>
      <c r="D3576" s="965"/>
      <c r="E3576" s="912"/>
      <c r="F3576" s="1490"/>
      <c r="G3576" s="1490"/>
      <c r="H3576" s="1490"/>
      <c r="I3576" s="1490"/>
      <c r="J3576" s="1490"/>
      <c r="K3576" s="1365" t="n">
        <f aca="false">J3576/1792.8</f>
        <v>0</v>
      </c>
      <c r="L3576" s="1490"/>
      <c r="M3576" s="1366" t="n">
        <f aca="false">SUM(M3568:M3575)</f>
        <v>37.2884593931281</v>
      </c>
    </row>
    <row r="3577" customFormat="false" ht="30" hidden="false" customHeight="false" outlineLevel="0" collapsed="false">
      <c r="A3577" s="28" t="s">
        <v>1860</v>
      </c>
      <c r="B3577" s="40" t="s">
        <v>3666</v>
      </c>
      <c r="C3577" s="40" t="s">
        <v>7164</v>
      </c>
      <c r="D3577" s="316" t="n">
        <v>2007</v>
      </c>
      <c r="E3577" s="912" t="n">
        <f aca="false">2021-D3577</f>
        <v>14</v>
      </c>
      <c r="F3577" s="891" t="n">
        <v>407000</v>
      </c>
      <c r="G3577" s="1364" t="n">
        <v>0.1</v>
      </c>
      <c r="H3577" s="891" t="n">
        <f aca="false">E3577*F3577*G3577</f>
        <v>569800</v>
      </c>
      <c r="I3577" s="891" t="n">
        <f aca="false">F3577-H3577</f>
        <v>-162800</v>
      </c>
      <c r="J3577" s="1365" t="n">
        <f aca="false">F3577*G3577</f>
        <v>40700</v>
      </c>
      <c r="K3577" s="1365" t="n">
        <f aca="false">J3577/1792.8</f>
        <v>22.7019187862561</v>
      </c>
      <c r="L3577" s="891" t="n">
        <v>28.8</v>
      </c>
      <c r="M3577" s="1273" t="n">
        <f aca="false">K3577*L3577/60</f>
        <v>10.8969210174029</v>
      </c>
    </row>
    <row r="3578" customFormat="false" ht="15" hidden="false" customHeight="false" outlineLevel="0" collapsed="false">
      <c r="A3578" s="28"/>
      <c r="B3578" s="40"/>
      <c r="C3578" s="40" t="s">
        <v>7155</v>
      </c>
      <c r="D3578" s="316" t="n">
        <v>2007</v>
      </c>
      <c r="E3578" s="912" t="n">
        <f aca="false">2021-D3578</f>
        <v>14</v>
      </c>
      <c r="F3578" s="891" t="n">
        <v>810000</v>
      </c>
      <c r="G3578" s="1364" t="n">
        <v>0.1</v>
      </c>
      <c r="H3578" s="891" t="n">
        <f aca="false">E3578*F3578*G3578</f>
        <v>1134000</v>
      </c>
      <c r="I3578" s="891" t="n">
        <f aca="false">F3578-H3578</f>
        <v>-324000</v>
      </c>
      <c r="J3578" s="1365" t="n">
        <f aca="false">F3578*G3578</f>
        <v>81000</v>
      </c>
      <c r="K3578" s="1365" t="n">
        <f aca="false">J3578/1792.8</f>
        <v>45.1807228915663</v>
      </c>
      <c r="L3578" s="891" t="n">
        <v>4.8</v>
      </c>
      <c r="M3578" s="1273" t="n">
        <f aca="false">K3578*L3578/60</f>
        <v>3.6144578313253</v>
      </c>
    </row>
    <row r="3579" customFormat="false" ht="15" hidden="false" customHeight="false" outlineLevel="0" collapsed="false">
      <c r="A3579" s="28"/>
      <c r="B3579" s="40"/>
      <c r="C3579" s="40" t="s">
        <v>7158</v>
      </c>
      <c r="D3579" s="316" t="n">
        <v>2007</v>
      </c>
      <c r="E3579" s="912" t="n">
        <f aca="false">2021-D3579</f>
        <v>14</v>
      </c>
      <c r="F3579" s="891" t="n">
        <v>482500</v>
      </c>
      <c r="G3579" s="1364" t="n">
        <v>0.1</v>
      </c>
      <c r="H3579" s="891" t="n">
        <f aca="false">E3579*F3579*G3579</f>
        <v>675500</v>
      </c>
      <c r="I3579" s="891" t="n">
        <f aca="false">F3579-H3579</f>
        <v>-193000</v>
      </c>
      <c r="J3579" s="1365" t="n">
        <f aca="false">F3579*G3579</f>
        <v>48250</v>
      </c>
      <c r="K3579" s="1365" t="n">
        <f aca="false">J3579/1792.8</f>
        <v>26.913208389112</v>
      </c>
      <c r="L3579" s="891" t="n">
        <v>3.6</v>
      </c>
      <c r="M3579" s="1273" t="n">
        <f aca="false">K3579*L3579/60</f>
        <v>1.61479250334672</v>
      </c>
    </row>
    <row r="3580" customFormat="false" ht="15" hidden="false" customHeight="false" outlineLevel="0" collapsed="false">
      <c r="A3580" s="28"/>
      <c r="B3580" s="40"/>
      <c r="C3580" s="40" t="s">
        <v>7161</v>
      </c>
      <c r="D3580" s="316" t="n">
        <v>2007</v>
      </c>
      <c r="E3580" s="912" t="n">
        <f aca="false">2021-D3580</f>
        <v>14</v>
      </c>
      <c r="F3580" s="891" t="n">
        <v>1849800</v>
      </c>
      <c r="G3580" s="1364" t="n">
        <v>0.1</v>
      </c>
      <c r="H3580" s="891" t="n">
        <f aca="false">E3580*F3580*G3580</f>
        <v>2589720</v>
      </c>
      <c r="I3580" s="891" t="n">
        <f aca="false">F3580-H3580</f>
        <v>-739920</v>
      </c>
      <c r="J3580" s="1365" t="n">
        <f aca="false">F3580*G3580</f>
        <v>184980</v>
      </c>
      <c r="K3580" s="1365" t="n">
        <f aca="false">J3580/1792.8</f>
        <v>103.179384203481</v>
      </c>
      <c r="L3580" s="891" t="n">
        <v>5</v>
      </c>
      <c r="M3580" s="1273" t="n">
        <f aca="false">K3580*L3580/60</f>
        <v>8.59828201695672</v>
      </c>
    </row>
    <row r="3581" customFormat="false" ht="15" hidden="false" customHeight="false" outlineLevel="0" collapsed="false">
      <c r="A3581" s="28"/>
      <c r="B3581" s="40"/>
      <c r="C3581" s="40" t="s">
        <v>7160</v>
      </c>
      <c r="D3581" s="316" t="n">
        <v>1994</v>
      </c>
      <c r="E3581" s="912" t="n">
        <f aca="false">2021-D3581</f>
        <v>27</v>
      </c>
      <c r="F3581" s="891" t="n">
        <v>156540</v>
      </c>
      <c r="G3581" s="1364" t="n">
        <v>0.1</v>
      </c>
      <c r="H3581" s="891" t="n">
        <v>156540</v>
      </c>
      <c r="I3581" s="891" t="n">
        <f aca="false">F3581-H3581</f>
        <v>0</v>
      </c>
      <c r="J3581" s="1365" t="n">
        <f aca="false">F3581*G3581</f>
        <v>15654</v>
      </c>
      <c r="K3581" s="1365" t="n">
        <f aca="false">J3581/1792.8</f>
        <v>8.73159303882196</v>
      </c>
      <c r="L3581" s="891" t="n">
        <v>5</v>
      </c>
      <c r="M3581" s="1273" t="n">
        <f aca="false">K3581*L3581/60</f>
        <v>0.727632753235163</v>
      </c>
    </row>
    <row r="3582" customFormat="false" ht="15" hidden="false" customHeight="false" outlineLevel="0" collapsed="false">
      <c r="A3582" s="28"/>
      <c r="B3582" s="972" t="s">
        <v>4128</v>
      </c>
      <c r="C3582" s="1053"/>
      <c r="D3582" s="965"/>
      <c r="E3582" s="912"/>
      <c r="F3582" s="1490"/>
      <c r="G3582" s="1372"/>
      <c r="H3582" s="1490"/>
      <c r="I3582" s="1490"/>
      <c r="J3582" s="1490"/>
      <c r="K3582" s="1365" t="n">
        <f aca="false">J3582/1792.8</f>
        <v>0</v>
      </c>
      <c r="L3582" s="1490"/>
      <c r="M3582" s="1366" t="n">
        <f aca="false">SUM(M3577:M3581)</f>
        <v>25.4520861222669</v>
      </c>
    </row>
    <row r="3583" s="122" customFormat="true" ht="30" hidden="false" customHeight="false" outlineLevel="0" collapsed="false">
      <c r="A3583" s="20" t="s">
        <v>1862</v>
      </c>
      <c r="B3583" s="118" t="s">
        <v>3667</v>
      </c>
      <c r="C3583" s="118" t="s">
        <v>7154</v>
      </c>
      <c r="D3583" s="877" t="n">
        <v>2007</v>
      </c>
      <c r="E3583" s="569" t="n">
        <f aca="false">2021-D3583</f>
        <v>14</v>
      </c>
      <c r="F3583" s="902" t="n">
        <v>407000</v>
      </c>
      <c r="G3583" s="1407" t="n">
        <v>0.1</v>
      </c>
      <c r="H3583" s="902" t="n">
        <f aca="false">E3583*F3583*G3583</f>
        <v>569800</v>
      </c>
      <c r="I3583" s="902" t="n">
        <f aca="false">F3583-H3583</f>
        <v>-162800</v>
      </c>
      <c r="J3583" s="1410" t="n">
        <f aca="false">F3583*G3583</f>
        <v>40700</v>
      </c>
      <c r="K3583" s="1365" t="n">
        <f aca="false">J3583/1792.8</f>
        <v>22.7019187862561</v>
      </c>
      <c r="L3583" s="902" t="n">
        <v>20</v>
      </c>
      <c r="M3583" s="1408" t="n">
        <f aca="false">K3583*L3583/60</f>
        <v>7.56730626208538</v>
      </c>
    </row>
    <row r="3584" s="122" customFormat="true" ht="15" hidden="false" customHeight="false" outlineLevel="0" collapsed="false">
      <c r="A3584" s="20"/>
      <c r="B3584" s="118"/>
      <c r="C3584" s="118" t="s">
        <v>7155</v>
      </c>
      <c r="D3584" s="877" t="n">
        <v>2007</v>
      </c>
      <c r="E3584" s="569" t="n">
        <f aca="false">2021-D3584</f>
        <v>14</v>
      </c>
      <c r="F3584" s="902" t="n">
        <v>810000</v>
      </c>
      <c r="G3584" s="1407" t="n">
        <v>0.1</v>
      </c>
      <c r="H3584" s="902" t="n">
        <f aca="false">E3584*F3584*G3584</f>
        <v>1134000</v>
      </c>
      <c r="I3584" s="902" t="n">
        <f aca="false">F3584-H3584</f>
        <v>-324000</v>
      </c>
      <c r="J3584" s="1410" t="n">
        <f aca="false">F3584*G3584</f>
        <v>81000</v>
      </c>
      <c r="K3584" s="1365" t="n">
        <f aca="false">J3584/1792.8</f>
        <v>45.1807228915663</v>
      </c>
      <c r="L3584" s="902" t="n">
        <v>4.8</v>
      </c>
      <c r="M3584" s="1408" t="n">
        <f aca="false">K3584*L3584/60</f>
        <v>3.6144578313253</v>
      </c>
    </row>
    <row r="3585" s="122" customFormat="true" ht="15" hidden="false" customHeight="false" outlineLevel="0" collapsed="false">
      <c r="A3585" s="20"/>
      <c r="B3585" s="118"/>
      <c r="C3585" s="118" t="s">
        <v>7156</v>
      </c>
      <c r="D3585" s="877" t="n">
        <v>2015</v>
      </c>
      <c r="E3585" s="569" t="n">
        <f aca="false">2021-D3585</f>
        <v>6</v>
      </c>
      <c r="F3585" s="902" t="n">
        <v>694025</v>
      </c>
      <c r="G3585" s="1407" t="n">
        <v>0.1</v>
      </c>
      <c r="H3585" s="902" t="n">
        <f aca="false">E3585*F3585*G3585</f>
        <v>416415</v>
      </c>
      <c r="I3585" s="902" t="n">
        <f aca="false">F3585-H3585</f>
        <v>277610</v>
      </c>
      <c r="J3585" s="1410" t="n">
        <f aca="false">F3585*G3585</f>
        <v>69402.5</v>
      </c>
      <c r="K3585" s="1365" t="n">
        <f aca="false">J3585/1792.8</f>
        <v>38.711791610888</v>
      </c>
      <c r="L3585" s="902" t="n">
        <v>18</v>
      </c>
      <c r="M3585" s="1408" t="n">
        <f aca="false">K3585*L3585/60</f>
        <v>11.6135374832664</v>
      </c>
    </row>
    <row r="3586" s="122" customFormat="true" ht="30.75" hidden="false" customHeight="true" outlineLevel="0" collapsed="false">
      <c r="A3586" s="20"/>
      <c r="B3586" s="118"/>
      <c r="C3586" s="118" t="s">
        <v>7157</v>
      </c>
      <c r="D3586" s="877" t="n">
        <v>2006</v>
      </c>
      <c r="E3586" s="569" t="n">
        <f aca="false">2021-D3586</f>
        <v>15</v>
      </c>
      <c r="F3586" s="902" t="n">
        <v>77000</v>
      </c>
      <c r="G3586" s="1407" t="n">
        <v>0.05</v>
      </c>
      <c r="H3586" s="902" t="n">
        <f aca="false">E3586*F3586*G3586</f>
        <v>57750</v>
      </c>
      <c r="I3586" s="902" t="n">
        <f aca="false">F3586-H3586</f>
        <v>19250</v>
      </c>
      <c r="J3586" s="1410" t="n">
        <f aca="false">F3586*G3586</f>
        <v>3850</v>
      </c>
      <c r="K3586" s="1365" t="n">
        <f aca="false">J3586/1792.8</f>
        <v>2.14747880410531</v>
      </c>
      <c r="L3586" s="902" t="n">
        <v>9.6</v>
      </c>
      <c r="M3586" s="1408" t="n">
        <f aca="false">K3586*L3586/60</f>
        <v>0.34359660865685</v>
      </c>
    </row>
    <row r="3587" s="122" customFormat="true" ht="15" hidden="false" customHeight="false" outlineLevel="0" collapsed="false">
      <c r="A3587" s="20"/>
      <c r="B3587" s="118"/>
      <c r="C3587" s="118" t="s">
        <v>7158</v>
      </c>
      <c r="D3587" s="877" t="n">
        <v>2007</v>
      </c>
      <c r="E3587" s="569" t="n">
        <f aca="false">2021-D3587</f>
        <v>14</v>
      </c>
      <c r="F3587" s="902" t="n">
        <v>482500</v>
      </c>
      <c r="G3587" s="1407" t="n">
        <v>0.1</v>
      </c>
      <c r="H3587" s="902" t="n">
        <f aca="false">E3587*F3587*G3587</f>
        <v>675500</v>
      </c>
      <c r="I3587" s="902" t="n">
        <f aca="false">F3587-H3587</f>
        <v>-193000</v>
      </c>
      <c r="J3587" s="1410" t="n">
        <f aca="false">F3587*G3587</f>
        <v>48250</v>
      </c>
      <c r="K3587" s="1365" t="n">
        <f aca="false">J3587/1792.8</f>
        <v>26.913208389112</v>
      </c>
      <c r="L3587" s="902" t="n">
        <v>3.6</v>
      </c>
      <c r="M3587" s="1408" t="n">
        <f aca="false">K3587*L3587/60</f>
        <v>1.61479250334672</v>
      </c>
    </row>
    <row r="3588" s="122" customFormat="true" ht="15" hidden="false" customHeight="false" outlineLevel="0" collapsed="false">
      <c r="A3588" s="20"/>
      <c r="B3588" s="99"/>
      <c r="C3588" s="118" t="s">
        <v>7159</v>
      </c>
      <c r="D3588" s="877" t="n">
        <v>2007</v>
      </c>
      <c r="E3588" s="569" t="n">
        <f aca="false">2021-D3588</f>
        <v>14</v>
      </c>
      <c r="F3588" s="902" t="n">
        <v>68000</v>
      </c>
      <c r="G3588" s="1407" t="n">
        <v>0.1</v>
      </c>
      <c r="H3588" s="902" t="n">
        <f aca="false">E3588*F3588*G3588</f>
        <v>95200</v>
      </c>
      <c r="I3588" s="902" t="n">
        <f aca="false">F3588-H3588</f>
        <v>-27200</v>
      </c>
      <c r="J3588" s="1410" t="n">
        <f aca="false">F3588*G3588</f>
        <v>6800</v>
      </c>
      <c r="K3588" s="1365" t="n">
        <f aca="false">J3588/1792.8</f>
        <v>3.79294957608211</v>
      </c>
      <c r="L3588" s="902" t="n">
        <v>9.6</v>
      </c>
      <c r="M3588" s="1408" t="n">
        <f aca="false">K3588*L3588/60</f>
        <v>0.606871932173137</v>
      </c>
    </row>
    <row r="3589" s="122" customFormat="true" ht="15" hidden="false" customHeight="false" outlineLevel="0" collapsed="false">
      <c r="A3589" s="20"/>
      <c r="B3589" s="99"/>
      <c r="C3589" s="118" t="s">
        <v>7163</v>
      </c>
      <c r="D3589" s="877" t="n">
        <v>1994</v>
      </c>
      <c r="E3589" s="569" t="n">
        <f aca="false">2021-D3589</f>
        <v>27</v>
      </c>
      <c r="F3589" s="902"/>
      <c r="G3589" s="902"/>
      <c r="H3589" s="902" t="n">
        <f aca="false">E3589*F3589*G3589</f>
        <v>0</v>
      </c>
      <c r="I3589" s="902" t="n">
        <f aca="false">F3589-H3589</f>
        <v>0</v>
      </c>
      <c r="J3589" s="1410" t="n">
        <f aca="false">F3589*G3589</f>
        <v>0</v>
      </c>
      <c r="K3589" s="1365" t="n">
        <f aca="false">J3589/1792.8</f>
        <v>0</v>
      </c>
      <c r="L3589" s="902" t="n">
        <v>5</v>
      </c>
      <c r="M3589" s="1408" t="n">
        <f aca="false">K3589*L3589/60</f>
        <v>0</v>
      </c>
    </row>
    <row r="3590" s="122" customFormat="true" ht="15" hidden="false" customHeight="false" outlineLevel="0" collapsed="false">
      <c r="A3590" s="20"/>
      <c r="B3590" s="99"/>
      <c r="C3590" s="118" t="s">
        <v>7166</v>
      </c>
      <c r="D3590" s="877" t="n">
        <v>2007</v>
      </c>
      <c r="E3590" s="569" t="n">
        <f aca="false">2021-D3590</f>
        <v>14</v>
      </c>
      <c r="F3590" s="902" t="n">
        <v>200000</v>
      </c>
      <c r="G3590" s="1407" t="n">
        <v>0.1</v>
      </c>
      <c r="H3590" s="902" t="n">
        <f aca="false">E3590*F3590*G3590</f>
        <v>280000</v>
      </c>
      <c r="I3590" s="902" t="n">
        <f aca="false">F3590-H3590</f>
        <v>-80000</v>
      </c>
      <c r="J3590" s="1410" t="n">
        <f aca="false">F3590*G3590</f>
        <v>20000</v>
      </c>
      <c r="K3590" s="1365" t="n">
        <f aca="false">J3590/1792.8</f>
        <v>11.1557340473003</v>
      </c>
      <c r="L3590" s="902" t="n">
        <v>5</v>
      </c>
      <c r="M3590" s="1408" t="n">
        <f aca="false">K3590*L3590/60</f>
        <v>0.929644503941693</v>
      </c>
    </row>
    <row r="3591" s="122" customFormat="true" ht="15" hidden="false" customHeight="false" outlineLevel="0" collapsed="false">
      <c r="A3591" s="20"/>
      <c r="B3591" s="118"/>
      <c r="C3591" s="118" t="s">
        <v>7161</v>
      </c>
      <c r="D3591" s="877" t="n">
        <v>2007</v>
      </c>
      <c r="E3591" s="569" t="n">
        <f aca="false">2021-D3591</f>
        <v>14</v>
      </c>
      <c r="F3591" s="902" t="n">
        <v>1849800</v>
      </c>
      <c r="G3591" s="1407" t="n">
        <v>0.1</v>
      </c>
      <c r="H3591" s="902" t="n">
        <f aca="false">E3591*F3591*G3591</f>
        <v>2589720</v>
      </c>
      <c r="I3591" s="902" t="n">
        <f aca="false">F3591-H3591</f>
        <v>-739920</v>
      </c>
      <c r="J3591" s="1410" t="n">
        <f aca="false">F3591*G3591</f>
        <v>184980</v>
      </c>
      <c r="K3591" s="1365" t="n">
        <f aca="false">J3591/1792.8</f>
        <v>103.179384203481</v>
      </c>
      <c r="L3591" s="902" t="n">
        <v>5</v>
      </c>
      <c r="M3591" s="1408" t="n">
        <f aca="false">K3591*L3591/60</f>
        <v>8.59828201695672</v>
      </c>
    </row>
    <row r="3592" s="122" customFormat="true" ht="15" hidden="false" customHeight="false" outlineLevel="0" collapsed="false">
      <c r="A3592" s="20"/>
      <c r="B3592" s="1450"/>
      <c r="C3592" s="1450"/>
      <c r="D3592" s="1492"/>
      <c r="E3592" s="569"/>
      <c r="F3592" s="1493"/>
      <c r="G3592" s="1493"/>
      <c r="H3592" s="1493"/>
      <c r="I3592" s="1493"/>
      <c r="J3592" s="1493"/>
      <c r="K3592" s="1365" t="n">
        <f aca="false">J3592/1792.8</f>
        <v>0</v>
      </c>
      <c r="L3592" s="1493"/>
      <c r="M3592" s="1411" t="n">
        <f aca="false">SUM(M3583:M3591)</f>
        <v>34.8884891417522</v>
      </c>
    </row>
    <row r="3593" customFormat="false" ht="30" hidden="false" customHeight="false" outlineLevel="0" collapsed="false">
      <c r="A3593" s="28" t="s">
        <v>1864</v>
      </c>
      <c r="B3593" s="40" t="s">
        <v>3668</v>
      </c>
      <c r="C3593" s="40" t="s">
        <v>7154</v>
      </c>
      <c r="D3593" s="316" t="n">
        <v>2007</v>
      </c>
      <c r="E3593" s="912" t="n">
        <f aca="false">2021-D3593</f>
        <v>14</v>
      </c>
      <c r="F3593" s="891" t="n">
        <v>407000</v>
      </c>
      <c r="G3593" s="1364" t="n">
        <v>0.1</v>
      </c>
      <c r="H3593" s="891" t="n">
        <f aca="false">E3593*F3593*G3593</f>
        <v>569800</v>
      </c>
      <c r="I3593" s="891" t="n">
        <f aca="false">F3593-H3593</f>
        <v>-162800</v>
      </c>
      <c r="J3593" s="1365" t="n">
        <f aca="false">F3593*G3593</f>
        <v>40700</v>
      </c>
      <c r="K3593" s="1365" t="n">
        <f aca="false">J3593/1792.8</f>
        <v>22.7019187862561</v>
      </c>
      <c r="L3593" s="891" t="n">
        <v>20</v>
      </c>
      <c r="M3593" s="1273" t="n">
        <f aca="false">K3593*L3593/60</f>
        <v>7.56730626208538</v>
      </c>
    </row>
    <row r="3594" customFormat="false" ht="15" hidden="false" customHeight="false" outlineLevel="0" collapsed="false">
      <c r="A3594" s="28"/>
      <c r="B3594" s="40"/>
      <c r="C3594" s="40" t="s">
        <v>7155</v>
      </c>
      <c r="D3594" s="316" t="n">
        <v>2007</v>
      </c>
      <c r="E3594" s="912" t="n">
        <f aca="false">2021-D3594</f>
        <v>14</v>
      </c>
      <c r="F3594" s="891" t="n">
        <v>810000</v>
      </c>
      <c r="G3594" s="1364" t="n">
        <v>0.1</v>
      </c>
      <c r="H3594" s="891" t="n">
        <f aca="false">E3594*F3594*G3594</f>
        <v>1134000</v>
      </c>
      <c r="I3594" s="891" t="n">
        <f aca="false">F3594-H3594</f>
        <v>-324000</v>
      </c>
      <c r="J3594" s="1365" t="n">
        <f aca="false">F3594*G3594</f>
        <v>81000</v>
      </c>
      <c r="K3594" s="1365" t="n">
        <f aca="false">J3594/1792.8</f>
        <v>45.1807228915663</v>
      </c>
      <c r="L3594" s="891" t="n">
        <v>4.8</v>
      </c>
      <c r="M3594" s="1273" t="n">
        <f aca="false">K3594*L3594/60</f>
        <v>3.6144578313253</v>
      </c>
    </row>
    <row r="3595" customFormat="false" ht="15" hidden="false" customHeight="false" outlineLevel="0" collapsed="false">
      <c r="A3595" s="28"/>
      <c r="B3595" s="40"/>
      <c r="C3595" s="40" t="s">
        <v>7156</v>
      </c>
      <c r="D3595" s="316" t="n">
        <v>2015</v>
      </c>
      <c r="E3595" s="912" t="n">
        <f aca="false">2021-D3595</f>
        <v>6</v>
      </c>
      <c r="F3595" s="891" t="n">
        <v>694025</v>
      </c>
      <c r="G3595" s="1364" t="n">
        <v>0.1</v>
      </c>
      <c r="H3595" s="891" t="n">
        <f aca="false">E3595*F3595*G3595</f>
        <v>416415</v>
      </c>
      <c r="I3595" s="891" t="n">
        <f aca="false">F3595-H3595</f>
        <v>277610</v>
      </c>
      <c r="J3595" s="1365" t="n">
        <f aca="false">F3595*G3595</f>
        <v>69402.5</v>
      </c>
      <c r="K3595" s="1365" t="n">
        <f aca="false">J3595/1792.8</f>
        <v>38.711791610888</v>
      </c>
      <c r="L3595" s="891" t="n">
        <v>18</v>
      </c>
      <c r="M3595" s="1273" t="n">
        <f aca="false">K3595*L3595/60</f>
        <v>11.6135374832664</v>
      </c>
    </row>
    <row r="3596" customFormat="false" ht="15" hidden="false" customHeight="false" outlineLevel="0" collapsed="false">
      <c r="A3596" s="28"/>
      <c r="B3596" s="40"/>
      <c r="C3596" s="40" t="s">
        <v>7157</v>
      </c>
      <c r="D3596" s="316" t="n">
        <v>2006</v>
      </c>
      <c r="E3596" s="912" t="n">
        <f aca="false">2021-D3596</f>
        <v>15</v>
      </c>
      <c r="F3596" s="891" t="n">
        <v>77000</v>
      </c>
      <c r="G3596" s="1364" t="n">
        <v>0.05</v>
      </c>
      <c r="H3596" s="891" t="n">
        <f aca="false">E3596*F3596*G3596</f>
        <v>57750</v>
      </c>
      <c r="I3596" s="891" t="n">
        <f aca="false">F3596-H3596</f>
        <v>19250</v>
      </c>
      <c r="J3596" s="1365" t="n">
        <f aca="false">F3596*G3596</f>
        <v>3850</v>
      </c>
      <c r="K3596" s="1365" t="n">
        <f aca="false">J3596/1792.8</f>
        <v>2.14747880410531</v>
      </c>
      <c r="L3596" s="891" t="n">
        <v>9.6</v>
      </c>
      <c r="M3596" s="1273" t="n">
        <f aca="false">K3596*L3596/60</f>
        <v>0.34359660865685</v>
      </c>
    </row>
    <row r="3597" customFormat="false" ht="15" hidden="false" customHeight="false" outlineLevel="0" collapsed="false">
      <c r="A3597" s="28"/>
      <c r="B3597" s="40"/>
      <c r="C3597" s="40" t="s">
        <v>7158</v>
      </c>
      <c r="D3597" s="316" t="n">
        <v>2007</v>
      </c>
      <c r="E3597" s="912" t="n">
        <f aca="false">2021-D3597</f>
        <v>14</v>
      </c>
      <c r="F3597" s="891" t="n">
        <v>482500</v>
      </c>
      <c r="G3597" s="1364" t="n">
        <v>0.1</v>
      </c>
      <c r="H3597" s="891" t="n">
        <f aca="false">E3597*F3597*G3597</f>
        <v>675500</v>
      </c>
      <c r="I3597" s="891" t="n">
        <f aca="false">F3597-H3597</f>
        <v>-193000</v>
      </c>
      <c r="J3597" s="1365" t="n">
        <f aca="false">F3597*G3597</f>
        <v>48250</v>
      </c>
      <c r="K3597" s="1365" t="n">
        <f aca="false">J3597/1792.8</f>
        <v>26.913208389112</v>
      </c>
      <c r="L3597" s="891" t="n">
        <v>3.6</v>
      </c>
      <c r="M3597" s="1273" t="n">
        <f aca="false">K3597*L3597/60</f>
        <v>1.61479250334672</v>
      </c>
    </row>
    <row r="3598" customFormat="false" ht="15" hidden="false" customHeight="false" outlineLevel="0" collapsed="false">
      <c r="A3598" s="28"/>
      <c r="B3598" s="40"/>
      <c r="C3598" s="40" t="s">
        <v>7159</v>
      </c>
      <c r="D3598" s="316" t="n">
        <v>2007</v>
      </c>
      <c r="E3598" s="912" t="n">
        <f aca="false">2021-D3598</f>
        <v>14</v>
      </c>
      <c r="F3598" s="891" t="n">
        <v>68000</v>
      </c>
      <c r="G3598" s="1364" t="n">
        <v>0.1</v>
      </c>
      <c r="H3598" s="891" t="n">
        <f aca="false">E3598*F3598*G3598</f>
        <v>95200</v>
      </c>
      <c r="I3598" s="891" t="n">
        <f aca="false">F3598-H3598</f>
        <v>-27200</v>
      </c>
      <c r="J3598" s="1365" t="n">
        <f aca="false">F3598*G3598</f>
        <v>6800</v>
      </c>
      <c r="K3598" s="1365" t="n">
        <f aca="false">J3598/1792.8</f>
        <v>3.79294957608211</v>
      </c>
      <c r="L3598" s="891" t="n">
        <v>9.6</v>
      </c>
      <c r="M3598" s="1273" t="n">
        <f aca="false">K3598*L3598/60</f>
        <v>0.606871932173137</v>
      </c>
    </row>
    <row r="3599" customFormat="false" ht="15" hidden="false" customHeight="false" outlineLevel="0" collapsed="false">
      <c r="A3599" s="28"/>
      <c r="B3599" s="40"/>
      <c r="C3599" s="40" t="s">
        <v>7163</v>
      </c>
      <c r="D3599" s="316" t="n">
        <v>1994</v>
      </c>
      <c r="E3599" s="912" t="n">
        <f aca="false">2021-D3599</f>
        <v>27</v>
      </c>
      <c r="F3599" s="891"/>
      <c r="G3599" s="891"/>
      <c r="H3599" s="891" t="n">
        <f aca="false">E3599*F3599*G3599</f>
        <v>0</v>
      </c>
      <c r="I3599" s="891" t="n">
        <f aca="false">F3599-H3599</f>
        <v>0</v>
      </c>
      <c r="J3599" s="1365" t="n">
        <f aca="false">F3599*G3599</f>
        <v>0</v>
      </c>
      <c r="K3599" s="1365" t="n">
        <f aca="false">J3599/1792.8</f>
        <v>0</v>
      </c>
      <c r="L3599" s="891" t="n">
        <v>5</v>
      </c>
      <c r="M3599" s="1273" t="n">
        <f aca="false">K3599*L3599/60</f>
        <v>0</v>
      </c>
    </row>
    <row r="3600" customFormat="false" ht="15" hidden="false" customHeight="false" outlineLevel="0" collapsed="false">
      <c r="A3600" s="28"/>
      <c r="B3600" s="40"/>
      <c r="C3600" s="40" t="s">
        <v>7166</v>
      </c>
      <c r="D3600" s="316" t="n">
        <v>2007</v>
      </c>
      <c r="E3600" s="912" t="n">
        <f aca="false">2021-D3600</f>
        <v>14</v>
      </c>
      <c r="F3600" s="891" t="n">
        <v>200000</v>
      </c>
      <c r="G3600" s="1364" t="n">
        <v>0.1</v>
      </c>
      <c r="H3600" s="891" t="n">
        <f aca="false">E3600*F3600*G3600</f>
        <v>280000</v>
      </c>
      <c r="I3600" s="891" t="n">
        <f aca="false">F3600-H3600</f>
        <v>-80000</v>
      </c>
      <c r="J3600" s="1365" t="n">
        <f aca="false">F3600*G3600</f>
        <v>20000</v>
      </c>
      <c r="K3600" s="1365" t="n">
        <f aca="false">J3600/1792.8</f>
        <v>11.1557340473003</v>
      </c>
      <c r="L3600" s="891" t="n">
        <v>5</v>
      </c>
      <c r="M3600" s="1273" t="n">
        <f aca="false">K3600*L3600/60</f>
        <v>0.929644503941693</v>
      </c>
    </row>
    <row r="3601" customFormat="false" ht="15" hidden="false" customHeight="false" outlineLevel="0" collapsed="false">
      <c r="A3601" s="28"/>
      <c r="B3601" s="40"/>
      <c r="C3601" s="40" t="s">
        <v>7161</v>
      </c>
      <c r="D3601" s="316" t="n">
        <v>2007</v>
      </c>
      <c r="E3601" s="912" t="n">
        <f aca="false">2021-D3601</f>
        <v>14</v>
      </c>
      <c r="F3601" s="891" t="n">
        <v>1849800</v>
      </c>
      <c r="G3601" s="1364" t="n">
        <v>0.1</v>
      </c>
      <c r="H3601" s="891" t="n">
        <f aca="false">E3601*F3601*G3601</f>
        <v>2589720</v>
      </c>
      <c r="I3601" s="891" t="n">
        <f aca="false">F3601-H3601</f>
        <v>-739920</v>
      </c>
      <c r="J3601" s="1365" t="n">
        <f aca="false">F3601*G3601</f>
        <v>184980</v>
      </c>
      <c r="K3601" s="1365" t="n">
        <f aca="false">J3601/1792.8</f>
        <v>103.179384203481</v>
      </c>
      <c r="L3601" s="891" t="n">
        <v>5</v>
      </c>
      <c r="M3601" s="1273" t="n">
        <f aca="false">K3601*L3601/60</f>
        <v>8.59828201695672</v>
      </c>
    </row>
    <row r="3602" customFormat="false" ht="15" hidden="false" customHeight="false" outlineLevel="0" collapsed="false">
      <c r="A3602" s="28"/>
      <c r="B3602" s="972" t="s">
        <v>4128</v>
      </c>
      <c r="C3602" s="1053"/>
      <c r="D3602" s="965"/>
      <c r="E3602" s="912"/>
      <c r="F3602" s="1490"/>
      <c r="G3602" s="1490"/>
      <c r="H3602" s="1490"/>
      <c r="I3602" s="1490"/>
      <c r="J3602" s="1490"/>
      <c r="K3602" s="1365" t="n">
        <f aca="false">J3602/1792.8</f>
        <v>0</v>
      </c>
      <c r="L3602" s="1490"/>
      <c r="M3602" s="1366" t="n">
        <f aca="false">SUM(M3593:M3601)</f>
        <v>34.8884891417522</v>
      </c>
    </row>
    <row r="3603" customFormat="false" ht="30" hidden="false" customHeight="false" outlineLevel="0" collapsed="false">
      <c r="A3603" s="28" t="s">
        <v>1866</v>
      </c>
      <c r="B3603" s="40" t="s">
        <v>3669</v>
      </c>
      <c r="C3603" s="40" t="s">
        <v>7154</v>
      </c>
      <c r="D3603" s="316" t="n">
        <v>2007</v>
      </c>
      <c r="E3603" s="912" t="n">
        <f aca="false">2021-D3603</f>
        <v>14</v>
      </c>
      <c r="F3603" s="891" t="n">
        <v>407000</v>
      </c>
      <c r="G3603" s="1364" t="n">
        <v>0.1</v>
      </c>
      <c r="H3603" s="891" t="n">
        <f aca="false">E3603*F3603*G3603</f>
        <v>569800</v>
      </c>
      <c r="I3603" s="891" t="n">
        <f aca="false">F3603-H3603</f>
        <v>-162800</v>
      </c>
      <c r="J3603" s="1365" t="n">
        <f aca="false">F3603*G3603</f>
        <v>40700</v>
      </c>
      <c r="K3603" s="1365" t="n">
        <f aca="false">J3603/1792.8</f>
        <v>22.7019187862561</v>
      </c>
      <c r="L3603" s="891" t="n">
        <v>20</v>
      </c>
      <c r="M3603" s="1273" t="n">
        <f aca="false">K3603*L3603/60</f>
        <v>7.56730626208538</v>
      </c>
    </row>
    <row r="3604" customFormat="false" ht="15" hidden="false" customHeight="false" outlineLevel="0" collapsed="false">
      <c r="A3604" s="28"/>
      <c r="B3604" s="40"/>
      <c r="C3604" s="40" t="s">
        <v>7155</v>
      </c>
      <c r="D3604" s="316" t="n">
        <v>2007</v>
      </c>
      <c r="E3604" s="912" t="n">
        <f aca="false">2021-D3604</f>
        <v>14</v>
      </c>
      <c r="F3604" s="891" t="n">
        <v>810000</v>
      </c>
      <c r="G3604" s="1364" t="n">
        <v>0.1</v>
      </c>
      <c r="H3604" s="891" t="n">
        <f aca="false">E3604*F3604*G3604</f>
        <v>1134000</v>
      </c>
      <c r="I3604" s="891" t="n">
        <f aca="false">F3604-H3604</f>
        <v>-324000</v>
      </c>
      <c r="J3604" s="1365" t="n">
        <f aca="false">F3604*G3604</f>
        <v>81000</v>
      </c>
      <c r="K3604" s="1365" t="n">
        <f aca="false">J3604/1792.8</f>
        <v>45.1807228915663</v>
      </c>
      <c r="L3604" s="891" t="n">
        <v>4.8</v>
      </c>
      <c r="M3604" s="1273" t="n">
        <f aca="false">K3604*L3604/60</f>
        <v>3.6144578313253</v>
      </c>
    </row>
    <row r="3605" customFormat="false" ht="15" hidden="false" customHeight="false" outlineLevel="0" collapsed="false">
      <c r="A3605" s="28"/>
      <c r="B3605" s="40"/>
      <c r="C3605" s="40" t="s">
        <v>7157</v>
      </c>
      <c r="D3605" s="316" t="n">
        <v>2006</v>
      </c>
      <c r="E3605" s="912" t="n">
        <f aca="false">2021-D3605</f>
        <v>15</v>
      </c>
      <c r="F3605" s="891" t="n">
        <v>77000</v>
      </c>
      <c r="G3605" s="1364" t="n">
        <v>0.05</v>
      </c>
      <c r="H3605" s="891" t="n">
        <f aca="false">E3605*F3605*G3605</f>
        <v>57750</v>
      </c>
      <c r="I3605" s="891" t="n">
        <f aca="false">F3605-H3605</f>
        <v>19250</v>
      </c>
      <c r="J3605" s="1365" t="n">
        <f aca="false">F3605*G3605</f>
        <v>3850</v>
      </c>
      <c r="K3605" s="1365" t="n">
        <f aca="false">J3605/1792.8</f>
        <v>2.14747880410531</v>
      </c>
      <c r="L3605" s="891" t="n">
        <v>18</v>
      </c>
      <c r="M3605" s="1273" t="n">
        <f aca="false">K3605*L3605/60</f>
        <v>0.644243641231593</v>
      </c>
    </row>
    <row r="3606" customFormat="false" ht="15" hidden="false" customHeight="false" outlineLevel="0" collapsed="false">
      <c r="A3606" s="28"/>
      <c r="B3606" s="40"/>
      <c r="C3606" s="40" t="s">
        <v>7158</v>
      </c>
      <c r="D3606" s="316" t="n">
        <v>2007</v>
      </c>
      <c r="E3606" s="912" t="n">
        <f aca="false">2021-D3606</f>
        <v>14</v>
      </c>
      <c r="F3606" s="891" t="n">
        <v>482500</v>
      </c>
      <c r="G3606" s="1364" t="n">
        <v>0.1</v>
      </c>
      <c r="H3606" s="891" t="n">
        <f aca="false">E3606*F3606*G3606</f>
        <v>675500</v>
      </c>
      <c r="I3606" s="891" t="n">
        <f aca="false">F3606-H3606</f>
        <v>-193000</v>
      </c>
      <c r="J3606" s="1365" t="n">
        <f aca="false">F3606*G3606</f>
        <v>48250</v>
      </c>
      <c r="K3606" s="1365" t="n">
        <f aca="false">J3606/1792.8</f>
        <v>26.913208389112</v>
      </c>
      <c r="L3606" s="891" t="n">
        <v>9.6</v>
      </c>
      <c r="M3606" s="1273" t="n">
        <f aca="false">K3606*L3606/60</f>
        <v>4.30611334225792</v>
      </c>
    </row>
    <row r="3607" customFormat="false" ht="15" hidden="false" customHeight="false" outlineLevel="0" collapsed="false">
      <c r="A3607" s="28"/>
      <c r="B3607" s="40"/>
      <c r="C3607" s="40" t="s">
        <v>7159</v>
      </c>
      <c r="D3607" s="316" t="n">
        <v>2007</v>
      </c>
      <c r="E3607" s="912" t="n">
        <f aca="false">2021-D3607</f>
        <v>14</v>
      </c>
      <c r="F3607" s="891" t="n">
        <v>68000</v>
      </c>
      <c r="G3607" s="1364" t="n">
        <v>0.1</v>
      </c>
      <c r="H3607" s="891" t="n">
        <f aca="false">E3607*F3607*G3607</f>
        <v>95200</v>
      </c>
      <c r="I3607" s="891" t="n">
        <f aca="false">F3607-H3607</f>
        <v>-27200</v>
      </c>
      <c r="J3607" s="1365" t="n">
        <f aca="false">F3607*G3607</f>
        <v>6800</v>
      </c>
      <c r="K3607" s="1365" t="n">
        <f aca="false">J3607/1792.8</f>
        <v>3.79294957608211</v>
      </c>
      <c r="L3607" s="891" t="n">
        <v>3.6</v>
      </c>
      <c r="M3607" s="1273" t="n">
        <f aca="false">K3607*L3607/60</f>
        <v>0.227576974564926</v>
      </c>
    </row>
    <row r="3608" customFormat="false" ht="15" hidden="false" customHeight="false" outlineLevel="0" collapsed="false">
      <c r="A3608" s="28"/>
      <c r="B3608" s="40"/>
      <c r="C3608" s="40" t="s">
        <v>7163</v>
      </c>
      <c r="D3608" s="316" t="n">
        <v>1994</v>
      </c>
      <c r="E3608" s="912" t="n">
        <f aca="false">2021-D3608</f>
        <v>27</v>
      </c>
      <c r="F3608" s="891"/>
      <c r="G3608" s="891"/>
      <c r="H3608" s="891" t="n">
        <f aca="false">E3608*F3608*G3608</f>
        <v>0</v>
      </c>
      <c r="I3608" s="891" t="n">
        <f aca="false">F3608-H3608</f>
        <v>0</v>
      </c>
      <c r="J3608" s="1365" t="n">
        <f aca="false">F3608*G3608</f>
        <v>0</v>
      </c>
      <c r="K3608" s="1365" t="n">
        <f aca="false">J3608/1792.8</f>
        <v>0</v>
      </c>
      <c r="L3608" s="891" t="n">
        <v>6</v>
      </c>
      <c r="M3608" s="1273" t="n">
        <f aca="false">K3608*L3608/60</f>
        <v>0</v>
      </c>
    </row>
    <row r="3609" customFormat="false" ht="15" hidden="false" customHeight="false" outlineLevel="0" collapsed="false">
      <c r="A3609" s="28"/>
      <c r="B3609" s="40"/>
      <c r="C3609" s="40" t="s">
        <v>7166</v>
      </c>
      <c r="D3609" s="316" t="n">
        <v>2007</v>
      </c>
      <c r="E3609" s="912" t="n">
        <f aca="false">2021-D3609</f>
        <v>14</v>
      </c>
      <c r="F3609" s="891" t="n">
        <v>200000</v>
      </c>
      <c r="G3609" s="1364" t="n">
        <v>0.1</v>
      </c>
      <c r="H3609" s="891" t="n">
        <f aca="false">E3609*F3609*G3609</f>
        <v>280000</v>
      </c>
      <c r="I3609" s="891" t="n">
        <f aca="false">F3609-H3609</f>
        <v>-80000</v>
      </c>
      <c r="J3609" s="1365" t="n">
        <f aca="false">F3609*G3609</f>
        <v>20000</v>
      </c>
      <c r="K3609" s="1365" t="n">
        <f aca="false">J3609/1792.8</f>
        <v>11.1557340473003</v>
      </c>
      <c r="L3609" s="891" t="n">
        <v>5</v>
      </c>
      <c r="M3609" s="1273" t="n">
        <f aca="false">K3609*L3609/60</f>
        <v>0.929644503941693</v>
      </c>
    </row>
    <row r="3610" customFormat="false" ht="15" hidden="false" customHeight="false" outlineLevel="0" collapsed="false">
      <c r="A3610" s="28"/>
      <c r="B3610" s="40"/>
      <c r="C3610" s="40" t="s">
        <v>7161</v>
      </c>
      <c r="D3610" s="316" t="n">
        <v>2007</v>
      </c>
      <c r="E3610" s="912" t="n">
        <f aca="false">2021-D3610</f>
        <v>14</v>
      </c>
      <c r="F3610" s="891" t="n">
        <v>1849800</v>
      </c>
      <c r="G3610" s="1364" t="n">
        <v>0.1</v>
      </c>
      <c r="H3610" s="891" t="n">
        <f aca="false">E3610*F3610*G3610</f>
        <v>2589720</v>
      </c>
      <c r="I3610" s="891" t="n">
        <f aca="false">F3610-H3610</f>
        <v>-739920</v>
      </c>
      <c r="J3610" s="1365" t="n">
        <f aca="false">F3610*G3610</f>
        <v>184980</v>
      </c>
      <c r="K3610" s="1365" t="n">
        <f aca="false">J3610/1792.8</f>
        <v>103.179384203481</v>
      </c>
      <c r="L3610" s="891" t="n">
        <v>5</v>
      </c>
      <c r="M3610" s="1273" t="n">
        <f aca="false">K3610*L3610/60</f>
        <v>8.59828201695672</v>
      </c>
    </row>
    <row r="3611" customFormat="false" ht="15" hidden="false" customHeight="false" outlineLevel="0" collapsed="false">
      <c r="A3611" s="28"/>
      <c r="B3611" s="972" t="s">
        <v>4128</v>
      </c>
      <c r="C3611" s="1053"/>
      <c r="D3611" s="965"/>
      <c r="E3611" s="912"/>
      <c r="F3611" s="1490"/>
      <c r="G3611" s="1490"/>
      <c r="H3611" s="1490"/>
      <c r="I3611" s="1490"/>
      <c r="J3611" s="1490"/>
      <c r="K3611" s="1365" t="n">
        <f aca="false">J3611/1792.8</f>
        <v>0</v>
      </c>
      <c r="L3611" s="1490"/>
      <c r="M3611" s="1366" t="n">
        <f aca="false">SUM(M3603:M3610)</f>
        <v>25.8876245723635</v>
      </c>
    </row>
    <row r="3612" customFormat="false" ht="45" hidden="false" customHeight="false" outlineLevel="0" collapsed="false">
      <c r="A3612" s="28" t="s">
        <v>1868</v>
      </c>
      <c r="B3612" s="40" t="s">
        <v>3670</v>
      </c>
      <c r="C3612" s="40" t="s">
        <v>7164</v>
      </c>
      <c r="D3612" s="316" t="n">
        <v>2007</v>
      </c>
      <c r="E3612" s="912" t="n">
        <f aca="false">2021-D3612</f>
        <v>14</v>
      </c>
      <c r="F3612" s="891" t="n">
        <v>407000</v>
      </c>
      <c r="G3612" s="1364" t="n">
        <v>0.1</v>
      </c>
      <c r="H3612" s="891" t="n">
        <f aca="false">E3612*F3612*G3612</f>
        <v>569800</v>
      </c>
      <c r="I3612" s="891" t="n">
        <f aca="false">F3612-H3612</f>
        <v>-162800</v>
      </c>
      <c r="J3612" s="1365" t="n">
        <f aca="false">F3612*G3612</f>
        <v>40700</v>
      </c>
      <c r="K3612" s="1365" t="n">
        <f aca="false">J3612/1792.8</f>
        <v>22.7019187862561</v>
      </c>
      <c r="L3612" s="891" t="n">
        <v>20</v>
      </c>
      <c r="M3612" s="1273" t="n">
        <f aca="false">K3612*L3612/60</f>
        <v>7.56730626208538</v>
      </c>
    </row>
    <row r="3613" customFormat="false" ht="15" hidden="false" customHeight="false" outlineLevel="0" collapsed="false">
      <c r="A3613" s="28"/>
      <c r="B3613" s="78"/>
      <c r="C3613" s="40" t="s">
        <v>7167</v>
      </c>
      <c r="D3613" s="316" t="n">
        <v>2007</v>
      </c>
      <c r="E3613" s="912" t="n">
        <f aca="false">2021-D3613</f>
        <v>14</v>
      </c>
      <c r="F3613" s="891" t="n">
        <v>407000</v>
      </c>
      <c r="G3613" s="1364" t="n">
        <v>0.1</v>
      </c>
      <c r="H3613" s="891" t="n">
        <f aca="false">E3613*F3613*G3613</f>
        <v>569800</v>
      </c>
      <c r="I3613" s="891" t="n">
        <f aca="false">F3613-H3613</f>
        <v>-162800</v>
      </c>
      <c r="J3613" s="1365" t="n">
        <f aca="false">F3613*G3613</f>
        <v>40700</v>
      </c>
      <c r="K3613" s="1365" t="n">
        <f aca="false">J3613/1792.8</f>
        <v>22.7019187862561</v>
      </c>
      <c r="L3613" s="891" t="n">
        <v>20</v>
      </c>
      <c r="M3613" s="1273" t="n">
        <f aca="false">K3613*L3613/60</f>
        <v>7.56730626208538</v>
      </c>
    </row>
    <row r="3614" customFormat="false" ht="15" hidden="false" customHeight="false" outlineLevel="0" collapsed="false">
      <c r="A3614" s="28"/>
      <c r="B3614" s="40"/>
      <c r="C3614" s="40" t="s">
        <v>7168</v>
      </c>
      <c r="D3614" s="316" t="n">
        <v>2007</v>
      </c>
      <c r="E3614" s="912" t="n">
        <f aca="false">2021-D3614</f>
        <v>14</v>
      </c>
      <c r="F3614" s="891" t="n">
        <v>407000</v>
      </c>
      <c r="G3614" s="1364" t="n">
        <v>0.1</v>
      </c>
      <c r="H3614" s="891" t="n">
        <f aca="false">E3614*F3614*G3614</f>
        <v>569800</v>
      </c>
      <c r="I3614" s="891" t="n">
        <f aca="false">F3614-H3614</f>
        <v>-162800</v>
      </c>
      <c r="J3614" s="1365" t="n">
        <f aca="false">F3614*G3614</f>
        <v>40700</v>
      </c>
      <c r="K3614" s="1365" t="n">
        <f aca="false">J3614/1792.8</f>
        <v>22.7019187862561</v>
      </c>
      <c r="L3614" s="891" t="n">
        <v>20</v>
      </c>
      <c r="M3614" s="1273" t="n">
        <f aca="false">K3614*L3614/60</f>
        <v>7.56730626208538</v>
      </c>
    </row>
    <row r="3615" customFormat="false" ht="15" hidden="false" customHeight="false" outlineLevel="0" collapsed="false">
      <c r="A3615" s="28"/>
      <c r="B3615" s="40"/>
      <c r="C3615" s="40" t="s">
        <v>7169</v>
      </c>
      <c r="D3615" s="316" t="n">
        <v>2007</v>
      </c>
      <c r="E3615" s="912" t="n">
        <f aca="false">2021-D3615</f>
        <v>14</v>
      </c>
      <c r="F3615" s="891" t="n">
        <v>407000</v>
      </c>
      <c r="G3615" s="1364" t="n">
        <v>0.1</v>
      </c>
      <c r="H3615" s="891" t="n">
        <f aca="false">E3615*F3615*G3615</f>
        <v>569800</v>
      </c>
      <c r="I3615" s="891" t="n">
        <f aca="false">F3615-H3615</f>
        <v>-162800</v>
      </c>
      <c r="J3615" s="1365" t="n">
        <f aca="false">F3615*G3615</f>
        <v>40700</v>
      </c>
      <c r="K3615" s="1365" t="n">
        <f aca="false">J3615/1792.8</f>
        <v>22.7019187862561</v>
      </c>
      <c r="L3615" s="891" t="n">
        <v>20</v>
      </c>
      <c r="M3615" s="1273" t="n">
        <f aca="false">K3615*L3615/60</f>
        <v>7.56730626208538</v>
      </c>
    </row>
    <row r="3616" customFormat="false" ht="15" hidden="false" customHeight="false" outlineLevel="0" collapsed="false">
      <c r="A3616" s="28"/>
      <c r="B3616" s="40"/>
      <c r="C3616" s="40" t="s">
        <v>7155</v>
      </c>
      <c r="D3616" s="316" t="n">
        <v>2007</v>
      </c>
      <c r="E3616" s="912" t="n">
        <f aca="false">2021-D3616</f>
        <v>14</v>
      </c>
      <c r="F3616" s="891" t="n">
        <v>810000</v>
      </c>
      <c r="G3616" s="1364" t="n">
        <v>0.1</v>
      </c>
      <c r="H3616" s="891" t="n">
        <f aca="false">E3616*F3616*G3616</f>
        <v>1134000</v>
      </c>
      <c r="I3616" s="891" t="n">
        <f aca="false">F3616-H3616</f>
        <v>-324000</v>
      </c>
      <c r="J3616" s="1365" t="n">
        <f aca="false">F3616*G3616</f>
        <v>81000</v>
      </c>
      <c r="K3616" s="1365" t="n">
        <f aca="false">J3616/1792.8</f>
        <v>45.1807228915663</v>
      </c>
      <c r="L3616" s="891" t="n">
        <v>4.8</v>
      </c>
      <c r="M3616" s="1273" t="n">
        <f aca="false">K3616*L3616/60</f>
        <v>3.6144578313253</v>
      </c>
    </row>
    <row r="3617" customFormat="false" ht="15" hidden="false" customHeight="false" outlineLevel="0" collapsed="false">
      <c r="A3617" s="28"/>
      <c r="B3617" s="40"/>
      <c r="C3617" s="40" t="s">
        <v>7156</v>
      </c>
      <c r="D3617" s="316" t="n">
        <v>2015</v>
      </c>
      <c r="E3617" s="912" t="n">
        <f aca="false">2021-D3617</f>
        <v>6</v>
      </c>
      <c r="F3617" s="891" t="n">
        <v>694025</v>
      </c>
      <c r="G3617" s="1364" t="n">
        <v>0.1</v>
      </c>
      <c r="H3617" s="891" t="n">
        <f aca="false">E3617*F3617*G3617</f>
        <v>416415</v>
      </c>
      <c r="I3617" s="891" t="n">
        <f aca="false">F3617-H3617</f>
        <v>277610</v>
      </c>
      <c r="J3617" s="1365" t="n">
        <f aca="false">F3617*G3617</f>
        <v>69402.5</v>
      </c>
      <c r="K3617" s="1365" t="n">
        <f aca="false">J3617/1792.8</f>
        <v>38.711791610888</v>
      </c>
      <c r="L3617" s="891" t="n">
        <v>18</v>
      </c>
      <c r="M3617" s="1273" t="n">
        <f aca="false">K3617*L3617/60</f>
        <v>11.6135374832664</v>
      </c>
    </row>
    <row r="3618" customFormat="false" ht="15" hidden="false" customHeight="false" outlineLevel="0" collapsed="false">
      <c r="A3618" s="28"/>
      <c r="B3618" s="40"/>
      <c r="C3618" s="40" t="s">
        <v>7157</v>
      </c>
      <c r="D3618" s="316" t="n">
        <v>2006</v>
      </c>
      <c r="E3618" s="912" t="n">
        <f aca="false">2021-D3618</f>
        <v>15</v>
      </c>
      <c r="F3618" s="891" t="n">
        <v>77000</v>
      </c>
      <c r="G3618" s="1364" t="n">
        <v>0.05</v>
      </c>
      <c r="H3618" s="891" t="n">
        <f aca="false">E3618*F3618*G3618</f>
        <v>57750</v>
      </c>
      <c r="I3618" s="891" t="n">
        <f aca="false">F3618-H3618</f>
        <v>19250</v>
      </c>
      <c r="J3618" s="1365" t="n">
        <f aca="false">F3618*G3618</f>
        <v>3850</v>
      </c>
      <c r="K3618" s="1365" t="n">
        <f aca="false">J3618/1792.8</f>
        <v>2.14747880410531</v>
      </c>
      <c r="L3618" s="891" t="n">
        <v>9.6</v>
      </c>
      <c r="M3618" s="1273" t="n">
        <f aca="false">K3618*L3618/60</f>
        <v>0.34359660865685</v>
      </c>
    </row>
    <row r="3619" customFormat="false" ht="15" hidden="false" customHeight="false" outlineLevel="0" collapsed="false">
      <c r="A3619" s="28"/>
      <c r="B3619" s="40"/>
      <c r="C3619" s="40" t="s">
        <v>7158</v>
      </c>
      <c r="D3619" s="316" t="n">
        <v>2007</v>
      </c>
      <c r="E3619" s="912" t="n">
        <f aca="false">2021-D3619</f>
        <v>14</v>
      </c>
      <c r="F3619" s="891" t="n">
        <v>482500</v>
      </c>
      <c r="G3619" s="1364" t="n">
        <v>0.1</v>
      </c>
      <c r="H3619" s="891" t="n">
        <f aca="false">E3619*F3619*G3619</f>
        <v>675500</v>
      </c>
      <c r="I3619" s="891" t="n">
        <f aca="false">F3619-H3619</f>
        <v>-193000</v>
      </c>
      <c r="J3619" s="1365" t="n">
        <f aca="false">F3619*G3619</f>
        <v>48250</v>
      </c>
      <c r="K3619" s="1365" t="n">
        <f aca="false">J3619/1792.8</f>
        <v>26.913208389112</v>
      </c>
      <c r="L3619" s="891" t="n">
        <v>9.6</v>
      </c>
      <c r="M3619" s="1273" t="n">
        <f aca="false">K3619*L3619/60</f>
        <v>4.30611334225792</v>
      </c>
    </row>
    <row r="3620" customFormat="false" ht="15" hidden="false" customHeight="false" outlineLevel="0" collapsed="false">
      <c r="A3620" s="28"/>
      <c r="B3620" s="40"/>
      <c r="C3620" s="40" t="s">
        <v>7166</v>
      </c>
      <c r="D3620" s="316" t="n">
        <v>2007</v>
      </c>
      <c r="E3620" s="912" t="n">
        <f aca="false">2021-D3620</f>
        <v>14</v>
      </c>
      <c r="F3620" s="891" t="n">
        <v>200000</v>
      </c>
      <c r="G3620" s="1364" t="n">
        <v>0.1</v>
      </c>
      <c r="H3620" s="891" t="n">
        <f aca="false">E3620*F3620*G3620</f>
        <v>280000</v>
      </c>
      <c r="I3620" s="891" t="n">
        <f aca="false">F3620-H3620</f>
        <v>-80000</v>
      </c>
      <c r="J3620" s="1365" t="n">
        <f aca="false">F3620*G3620</f>
        <v>20000</v>
      </c>
      <c r="K3620" s="1365" t="n">
        <f aca="false">J3620/1792.8</f>
        <v>11.1557340473003</v>
      </c>
      <c r="L3620" s="891" t="n">
        <v>20</v>
      </c>
      <c r="M3620" s="1273" t="n">
        <f aca="false">K3620*L3620/60</f>
        <v>3.71857801576677</v>
      </c>
    </row>
    <row r="3621" customFormat="false" ht="15" hidden="false" customHeight="false" outlineLevel="0" collapsed="false">
      <c r="A3621" s="28"/>
      <c r="B3621" s="40"/>
      <c r="C3621" s="40" t="s">
        <v>7161</v>
      </c>
      <c r="D3621" s="316" t="n">
        <v>2007</v>
      </c>
      <c r="E3621" s="912" t="n">
        <f aca="false">2021-D3621</f>
        <v>14</v>
      </c>
      <c r="F3621" s="891" t="n">
        <v>1849800</v>
      </c>
      <c r="G3621" s="1364" t="n">
        <v>0.1</v>
      </c>
      <c r="H3621" s="891" t="n">
        <f aca="false">E3621*F3621*G3621</f>
        <v>2589720</v>
      </c>
      <c r="I3621" s="891" t="n">
        <f aca="false">F3621-H3621</f>
        <v>-739920</v>
      </c>
      <c r="J3621" s="1365" t="n">
        <f aca="false">F3621*G3621</f>
        <v>184980</v>
      </c>
      <c r="K3621" s="1365" t="n">
        <f aca="false">J3621/1792.8</f>
        <v>103.179384203481</v>
      </c>
      <c r="L3621" s="891" t="n">
        <v>5</v>
      </c>
      <c r="M3621" s="1273" t="n">
        <f aca="false">K3621*L3621/60</f>
        <v>8.59828201695672</v>
      </c>
    </row>
    <row r="3622" customFormat="false" ht="15" hidden="false" customHeight="false" outlineLevel="0" collapsed="false">
      <c r="A3622" s="28"/>
      <c r="B3622" s="40"/>
      <c r="C3622" s="40" t="s">
        <v>7159</v>
      </c>
      <c r="D3622" s="316" t="n">
        <v>2007</v>
      </c>
      <c r="E3622" s="912" t="n">
        <f aca="false">2021-D3622</f>
        <v>14</v>
      </c>
      <c r="F3622" s="891" t="n">
        <v>68000</v>
      </c>
      <c r="G3622" s="1364" t="n">
        <v>0.1</v>
      </c>
      <c r="H3622" s="891" t="n">
        <f aca="false">E3622*F3622*G3622</f>
        <v>95200</v>
      </c>
      <c r="I3622" s="891" t="n">
        <f aca="false">F3622-H3622</f>
        <v>-27200</v>
      </c>
      <c r="J3622" s="1365" t="n">
        <f aca="false">F3622*G3622</f>
        <v>6800</v>
      </c>
      <c r="K3622" s="1365" t="n">
        <f aca="false">J3622/1792.8</f>
        <v>3.79294957608211</v>
      </c>
      <c r="L3622" s="891" t="n">
        <v>3.6</v>
      </c>
      <c r="M3622" s="1273" t="n">
        <f aca="false">K3622*L3622/60</f>
        <v>0.227576974564926</v>
      </c>
    </row>
    <row r="3623" customFormat="false" ht="15" hidden="false" customHeight="false" outlineLevel="0" collapsed="false">
      <c r="A3623" s="28"/>
      <c r="B3623" s="972" t="s">
        <v>4128</v>
      </c>
      <c r="C3623" s="1053"/>
      <c r="D3623" s="965"/>
      <c r="E3623" s="912"/>
      <c r="F3623" s="1490"/>
      <c r="G3623" s="1490"/>
      <c r="H3623" s="1490"/>
      <c r="I3623" s="1490"/>
      <c r="J3623" s="1490"/>
      <c r="K3623" s="1365" t="n">
        <f aca="false">J3623/1792.8</f>
        <v>0</v>
      </c>
      <c r="L3623" s="1490"/>
      <c r="M3623" s="1366" t="n">
        <f aca="false">SUM(M3612:M3622)</f>
        <v>62.6913673211364</v>
      </c>
    </row>
    <row r="3624" s="122" customFormat="true" ht="30" hidden="false" customHeight="false" outlineLevel="0" collapsed="false">
      <c r="A3624" s="20" t="s">
        <v>1870</v>
      </c>
      <c r="B3624" s="118" t="s">
        <v>3671</v>
      </c>
      <c r="C3624" s="118" t="s">
        <v>7164</v>
      </c>
      <c r="D3624" s="877" t="n">
        <v>2007</v>
      </c>
      <c r="E3624" s="569" t="n">
        <f aca="false">2021-D3624</f>
        <v>14</v>
      </c>
      <c r="F3624" s="902" t="n">
        <v>407000</v>
      </c>
      <c r="G3624" s="1407" t="n">
        <v>0.1</v>
      </c>
      <c r="H3624" s="902" t="n">
        <f aca="false">E3624*F3624*G3624</f>
        <v>569800</v>
      </c>
      <c r="I3624" s="902" t="n">
        <f aca="false">F3624-H3624</f>
        <v>-162800</v>
      </c>
      <c r="J3624" s="1410" t="n">
        <f aca="false">F3624*G3624</f>
        <v>40700</v>
      </c>
      <c r="K3624" s="1365" t="n">
        <f aca="false">J3624/1792.8</f>
        <v>22.7019187862561</v>
      </c>
      <c r="L3624" s="902" t="n">
        <v>28.8</v>
      </c>
      <c r="M3624" s="1408" t="n">
        <f aca="false">K3624*L3624/60</f>
        <v>10.8969210174029</v>
      </c>
    </row>
    <row r="3625" s="122" customFormat="true" ht="15" hidden="false" customHeight="false" outlineLevel="0" collapsed="false">
      <c r="A3625" s="20"/>
      <c r="B3625" s="118"/>
      <c r="C3625" s="118" t="s">
        <v>7168</v>
      </c>
      <c r="D3625" s="877" t="n">
        <v>2007</v>
      </c>
      <c r="E3625" s="569" t="n">
        <f aca="false">2021-D3625</f>
        <v>14</v>
      </c>
      <c r="F3625" s="902" t="n">
        <v>407000</v>
      </c>
      <c r="G3625" s="1407" t="n">
        <v>0.1</v>
      </c>
      <c r="H3625" s="902" t="n">
        <f aca="false">E3625*F3625*G3625</f>
        <v>569800</v>
      </c>
      <c r="I3625" s="902" t="n">
        <f aca="false">F3625-H3625</f>
        <v>-162800</v>
      </c>
      <c r="J3625" s="1410" t="n">
        <f aca="false">F3625*G3625</f>
        <v>40700</v>
      </c>
      <c r="K3625" s="1365" t="n">
        <f aca="false">J3625/1792.8</f>
        <v>22.7019187862561</v>
      </c>
      <c r="L3625" s="902" t="n">
        <v>20</v>
      </c>
      <c r="M3625" s="1408" t="n">
        <f aca="false">K3625*L3625/60</f>
        <v>7.56730626208538</v>
      </c>
    </row>
    <row r="3626" s="122" customFormat="true" ht="15" hidden="false" customHeight="false" outlineLevel="0" collapsed="false">
      <c r="A3626" s="20"/>
      <c r="B3626" s="118"/>
      <c r="C3626" s="118" t="s">
        <v>7155</v>
      </c>
      <c r="D3626" s="877" t="n">
        <v>2007</v>
      </c>
      <c r="E3626" s="569" t="n">
        <f aca="false">2021-D3626</f>
        <v>14</v>
      </c>
      <c r="F3626" s="902" t="n">
        <v>810000</v>
      </c>
      <c r="G3626" s="1407" t="n">
        <v>0.1</v>
      </c>
      <c r="H3626" s="902" t="n">
        <f aca="false">E3626*F3626*G3626</f>
        <v>1134000</v>
      </c>
      <c r="I3626" s="902" t="n">
        <f aca="false">F3626-H3626</f>
        <v>-324000</v>
      </c>
      <c r="J3626" s="1410" t="n">
        <f aca="false">F3626*G3626</f>
        <v>81000</v>
      </c>
      <c r="K3626" s="1365" t="n">
        <f aca="false">J3626/1792.8</f>
        <v>45.1807228915663</v>
      </c>
      <c r="L3626" s="902" t="n">
        <v>4.8</v>
      </c>
      <c r="M3626" s="1408" t="n">
        <f aca="false">K3626*L3626/60</f>
        <v>3.6144578313253</v>
      </c>
    </row>
    <row r="3627" customFormat="false" ht="15" hidden="false" customHeight="false" outlineLevel="0" collapsed="false">
      <c r="A3627" s="28"/>
      <c r="B3627" s="40"/>
      <c r="C3627" s="40" t="s">
        <v>7156</v>
      </c>
      <c r="D3627" s="316" t="n">
        <v>2015</v>
      </c>
      <c r="E3627" s="912" t="n">
        <f aca="false">2021-D3627</f>
        <v>6</v>
      </c>
      <c r="F3627" s="891" t="n">
        <v>694025</v>
      </c>
      <c r="G3627" s="1364" t="n">
        <v>0.1</v>
      </c>
      <c r="H3627" s="891" t="n">
        <f aca="false">E3627*F3627*G3627</f>
        <v>416415</v>
      </c>
      <c r="I3627" s="891" t="n">
        <f aca="false">F3627-H3627</f>
        <v>277610</v>
      </c>
      <c r="J3627" s="1365" t="n">
        <f aca="false">F3627*G3627</f>
        <v>69402.5</v>
      </c>
      <c r="K3627" s="1365" t="n">
        <f aca="false">J3627/1792.8</f>
        <v>38.711791610888</v>
      </c>
      <c r="L3627" s="891" t="n">
        <v>18</v>
      </c>
      <c r="M3627" s="1273" t="n">
        <f aca="false">K3627*L3627/60</f>
        <v>11.6135374832664</v>
      </c>
    </row>
    <row r="3628" customFormat="false" ht="15" hidden="false" customHeight="false" outlineLevel="0" collapsed="false">
      <c r="A3628" s="28"/>
      <c r="B3628" s="40"/>
      <c r="C3628" s="40" t="s">
        <v>7157</v>
      </c>
      <c r="D3628" s="316" t="n">
        <v>2006</v>
      </c>
      <c r="E3628" s="912" t="n">
        <f aca="false">2021-D3628</f>
        <v>15</v>
      </c>
      <c r="F3628" s="891" t="n">
        <v>77000</v>
      </c>
      <c r="G3628" s="1364" t="n">
        <v>0.05</v>
      </c>
      <c r="H3628" s="891" t="n">
        <f aca="false">E3628*F3628*G3628</f>
        <v>57750</v>
      </c>
      <c r="I3628" s="891" t="n">
        <f aca="false">F3628-H3628</f>
        <v>19250</v>
      </c>
      <c r="J3628" s="1365" t="n">
        <f aca="false">F3628*G3628</f>
        <v>3850</v>
      </c>
      <c r="K3628" s="1365" t="n">
        <f aca="false">J3628/1792.8</f>
        <v>2.14747880410531</v>
      </c>
      <c r="L3628" s="891" t="n">
        <v>9.6</v>
      </c>
      <c r="M3628" s="1273" t="n">
        <f aca="false">K3628*L3628/60</f>
        <v>0.34359660865685</v>
      </c>
    </row>
    <row r="3629" customFormat="false" ht="15" hidden="false" customHeight="false" outlineLevel="0" collapsed="false">
      <c r="A3629" s="28"/>
      <c r="B3629" s="40"/>
      <c r="C3629" s="40" t="s">
        <v>7158</v>
      </c>
      <c r="D3629" s="316" t="n">
        <v>2007</v>
      </c>
      <c r="E3629" s="912" t="n">
        <f aca="false">2021-D3629</f>
        <v>14</v>
      </c>
      <c r="F3629" s="891" t="n">
        <v>482500</v>
      </c>
      <c r="G3629" s="1364" t="n">
        <v>0.1</v>
      </c>
      <c r="H3629" s="891" t="n">
        <f aca="false">E3629*F3629*G3629</f>
        <v>675500</v>
      </c>
      <c r="I3629" s="891" t="n">
        <f aca="false">F3629-H3629</f>
        <v>-193000</v>
      </c>
      <c r="J3629" s="1365" t="n">
        <f aca="false">F3629*G3629</f>
        <v>48250</v>
      </c>
      <c r="K3629" s="1365" t="n">
        <f aca="false">J3629/1792.8</f>
        <v>26.913208389112</v>
      </c>
      <c r="L3629" s="891" t="n">
        <v>9.6</v>
      </c>
      <c r="M3629" s="1273" t="n">
        <f aca="false">K3629*L3629/60</f>
        <v>4.30611334225792</v>
      </c>
    </row>
    <row r="3630" customFormat="false" ht="15" hidden="false" customHeight="false" outlineLevel="0" collapsed="false">
      <c r="A3630" s="28"/>
      <c r="B3630" s="40"/>
      <c r="C3630" s="40" t="s">
        <v>7159</v>
      </c>
      <c r="D3630" s="316" t="n">
        <v>2007</v>
      </c>
      <c r="E3630" s="912" t="n">
        <f aca="false">2021-D3630</f>
        <v>14</v>
      </c>
      <c r="F3630" s="891" t="n">
        <v>68000</v>
      </c>
      <c r="G3630" s="1364" t="n">
        <v>0.1</v>
      </c>
      <c r="H3630" s="891" t="n">
        <f aca="false">E3630*F3630*G3630</f>
        <v>95200</v>
      </c>
      <c r="I3630" s="891" t="n">
        <f aca="false">F3630-H3630</f>
        <v>-27200</v>
      </c>
      <c r="J3630" s="1365" t="n">
        <f aca="false">F3630*G3630</f>
        <v>6800</v>
      </c>
      <c r="K3630" s="1365" t="n">
        <f aca="false">J3630/1792.8</f>
        <v>3.79294957608211</v>
      </c>
      <c r="L3630" s="891" t="n">
        <v>3.6</v>
      </c>
      <c r="M3630" s="1273" t="n">
        <f aca="false">K3630*L3630/60</f>
        <v>0.227576974564926</v>
      </c>
    </row>
    <row r="3631" customFormat="false" ht="15" hidden="false" customHeight="false" outlineLevel="0" collapsed="false">
      <c r="A3631" s="28"/>
      <c r="B3631" s="40"/>
      <c r="C3631" s="40" t="s">
        <v>7163</v>
      </c>
      <c r="D3631" s="316" t="n">
        <v>1994</v>
      </c>
      <c r="E3631" s="912" t="n">
        <f aca="false">2021-D3631</f>
        <v>27</v>
      </c>
      <c r="F3631" s="891"/>
      <c r="G3631" s="891"/>
      <c r="H3631" s="891" t="n">
        <f aca="false">E3631*F3631*G3631</f>
        <v>0</v>
      </c>
      <c r="I3631" s="891" t="n">
        <f aca="false">F3631-H3631</f>
        <v>0</v>
      </c>
      <c r="J3631" s="1365" t="n">
        <f aca="false">F3631*G3631</f>
        <v>0</v>
      </c>
      <c r="K3631" s="1365" t="n">
        <f aca="false">J3631/1792.8</f>
        <v>0</v>
      </c>
      <c r="L3631" s="891" t="n">
        <v>5</v>
      </c>
      <c r="M3631" s="1273" t="n">
        <f aca="false">K3631*L3631/60</f>
        <v>0</v>
      </c>
    </row>
    <row r="3632" customFormat="false" ht="15" hidden="false" customHeight="false" outlineLevel="0" collapsed="false">
      <c r="A3632" s="28"/>
      <c r="B3632" s="972" t="s">
        <v>4128</v>
      </c>
      <c r="C3632" s="1053"/>
      <c r="D3632" s="965"/>
      <c r="E3632" s="912"/>
      <c r="F3632" s="1490"/>
      <c r="G3632" s="1490"/>
      <c r="H3632" s="1490"/>
      <c r="I3632" s="1490"/>
      <c r="J3632" s="1490"/>
      <c r="K3632" s="1365" t="n">
        <f aca="false">J3632/1792.8</f>
        <v>0</v>
      </c>
      <c r="L3632" s="1490"/>
      <c r="M3632" s="1366" t="n">
        <f aca="false">SUM(M3624:M3631)</f>
        <v>38.5695095195597</v>
      </c>
    </row>
    <row r="3633" customFormat="false" ht="45" hidden="false" customHeight="false" outlineLevel="0" collapsed="false">
      <c r="A3633" s="28" t="s">
        <v>1872</v>
      </c>
      <c r="B3633" s="40" t="s">
        <v>3672</v>
      </c>
      <c r="C3633" s="40" t="s">
        <v>7154</v>
      </c>
      <c r="D3633" s="316" t="n">
        <v>2007</v>
      </c>
      <c r="E3633" s="912" t="n">
        <f aca="false">2021-D3633</f>
        <v>14</v>
      </c>
      <c r="F3633" s="891" t="n">
        <v>407000</v>
      </c>
      <c r="G3633" s="1364" t="n">
        <v>0.1</v>
      </c>
      <c r="H3633" s="891" t="n">
        <f aca="false">E3633*F3633*G3633</f>
        <v>569800</v>
      </c>
      <c r="I3633" s="891" t="n">
        <f aca="false">F3633-H3633</f>
        <v>-162800</v>
      </c>
      <c r="J3633" s="1365" t="n">
        <f aca="false">F3633*G3633</f>
        <v>40700</v>
      </c>
      <c r="K3633" s="1365" t="n">
        <f aca="false">J3633/1792.8</f>
        <v>22.7019187862561</v>
      </c>
      <c r="L3633" s="891" t="n">
        <v>28.8</v>
      </c>
      <c r="M3633" s="1273" t="n">
        <f aca="false">K3633*L3633/60</f>
        <v>10.8969210174029</v>
      </c>
    </row>
    <row r="3634" customFormat="false" ht="15" hidden="false" customHeight="false" outlineLevel="0" collapsed="false">
      <c r="A3634" s="28"/>
      <c r="B3634" s="40"/>
      <c r="C3634" s="40" t="s">
        <v>7155</v>
      </c>
      <c r="D3634" s="316" t="n">
        <v>2007</v>
      </c>
      <c r="E3634" s="912" t="n">
        <f aca="false">2021-D3634</f>
        <v>14</v>
      </c>
      <c r="F3634" s="891" t="n">
        <v>810000</v>
      </c>
      <c r="G3634" s="1364" t="n">
        <v>0.1</v>
      </c>
      <c r="H3634" s="891" t="n">
        <f aca="false">E3634*F3634*G3634</f>
        <v>1134000</v>
      </c>
      <c r="I3634" s="891" t="n">
        <f aca="false">F3634-H3634</f>
        <v>-324000</v>
      </c>
      <c r="J3634" s="1365" t="n">
        <f aca="false">F3634*G3634</f>
        <v>81000</v>
      </c>
      <c r="K3634" s="1365" t="n">
        <f aca="false">J3634/1792.8</f>
        <v>45.1807228915663</v>
      </c>
      <c r="L3634" s="891" t="n">
        <v>4.8</v>
      </c>
      <c r="M3634" s="1273" t="n">
        <f aca="false">K3634*L3634/60</f>
        <v>3.6144578313253</v>
      </c>
    </row>
    <row r="3635" customFormat="false" ht="15" hidden="false" customHeight="false" outlineLevel="0" collapsed="false">
      <c r="A3635" s="28"/>
      <c r="B3635" s="40"/>
      <c r="C3635" s="40" t="s">
        <v>7156</v>
      </c>
      <c r="D3635" s="316" t="n">
        <v>2015</v>
      </c>
      <c r="E3635" s="912" t="n">
        <f aca="false">2021-D3635</f>
        <v>6</v>
      </c>
      <c r="F3635" s="891" t="n">
        <v>694025</v>
      </c>
      <c r="G3635" s="1364" t="n">
        <v>0.1</v>
      </c>
      <c r="H3635" s="891" t="n">
        <f aca="false">E3635*F3635*G3635</f>
        <v>416415</v>
      </c>
      <c r="I3635" s="891" t="n">
        <f aca="false">F3635-H3635</f>
        <v>277610</v>
      </c>
      <c r="J3635" s="1365" t="n">
        <f aca="false">F3635*G3635</f>
        <v>69402.5</v>
      </c>
      <c r="K3635" s="1365" t="n">
        <f aca="false">J3635/1792.8</f>
        <v>38.711791610888</v>
      </c>
      <c r="L3635" s="891" t="n">
        <v>18</v>
      </c>
      <c r="M3635" s="1273" t="n">
        <f aca="false">K3635*L3635/60</f>
        <v>11.6135374832664</v>
      </c>
    </row>
    <row r="3636" customFormat="false" ht="15" hidden="false" customHeight="false" outlineLevel="0" collapsed="false">
      <c r="A3636" s="28"/>
      <c r="B3636" s="40"/>
      <c r="C3636" s="40" t="s">
        <v>7157</v>
      </c>
      <c r="D3636" s="316" t="n">
        <v>2006</v>
      </c>
      <c r="E3636" s="912" t="n">
        <f aca="false">2021-D3636</f>
        <v>15</v>
      </c>
      <c r="F3636" s="891" t="n">
        <v>77000</v>
      </c>
      <c r="G3636" s="1364" t="n">
        <v>0.05</v>
      </c>
      <c r="H3636" s="891" t="n">
        <f aca="false">E3636*F3636*G3636</f>
        <v>57750</v>
      </c>
      <c r="I3636" s="891" t="n">
        <f aca="false">F3636-H3636</f>
        <v>19250</v>
      </c>
      <c r="J3636" s="1365" t="n">
        <f aca="false">F3636*G3636</f>
        <v>3850</v>
      </c>
      <c r="K3636" s="1365" t="n">
        <f aca="false">J3636/1792.8</f>
        <v>2.14747880410531</v>
      </c>
      <c r="L3636" s="891" t="n">
        <v>9.6</v>
      </c>
      <c r="M3636" s="1273" t="n">
        <f aca="false">K3636*L3636/60</f>
        <v>0.34359660865685</v>
      </c>
    </row>
    <row r="3637" customFormat="false" ht="15" hidden="false" customHeight="false" outlineLevel="0" collapsed="false">
      <c r="A3637" s="28"/>
      <c r="B3637" s="40"/>
      <c r="C3637" s="40" t="s">
        <v>7158</v>
      </c>
      <c r="D3637" s="316" t="n">
        <v>2007</v>
      </c>
      <c r="E3637" s="912" t="n">
        <f aca="false">2021-D3637</f>
        <v>14</v>
      </c>
      <c r="F3637" s="891" t="n">
        <v>482500</v>
      </c>
      <c r="G3637" s="1364" t="n">
        <v>0.1</v>
      </c>
      <c r="H3637" s="891" t="n">
        <f aca="false">E3637*F3637*G3637</f>
        <v>675500</v>
      </c>
      <c r="I3637" s="891" t="n">
        <f aca="false">F3637-H3637</f>
        <v>-193000</v>
      </c>
      <c r="J3637" s="1365" t="n">
        <f aca="false">F3637*G3637</f>
        <v>48250</v>
      </c>
      <c r="K3637" s="1365" t="n">
        <f aca="false">J3637/1792.8</f>
        <v>26.913208389112</v>
      </c>
      <c r="L3637" s="891" t="n">
        <v>9.6</v>
      </c>
      <c r="M3637" s="1273" t="n">
        <f aca="false">K3637*L3637/60</f>
        <v>4.30611334225792</v>
      </c>
    </row>
    <row r="3638" customFormat="false" ht="15" hidden="false" customHeight="false" outlineLevel="0" collapsed="false">
      <c r="A3638" s="28"/>
      <c r="B3638" s="40"/>
      <c r="C3638" s="40" t="s">
        <v>7159</v>
      </c>
      <c r="D3638" s="316" t="n">
        <v>2007</v>
      </c>
      <c r="E3638" s="912" t="n">
        <f aca="false">2021-D3638</f>
        <v>14</v>
      </c>
      <c r="F3638" s="891" t="n">
        <v>68000</v>
      </c>
      <c r="G3638" s="1364" t="n">
        <v>0.1</v>
      </c>
      <c r="H3638" s="891" t="n">
        <f aca="false">E3638*F3638*G3638</f>
        <v>95200</v>
      </c>
      <c r="I3638" s="891" t="n">
        <f aca="false">F3638-H3638</f>
        <v>-27200</v>
      </c>
      <c r="J3638" s="1365" t="n">
        <f aca="false">F3638*G3638</f>
        <v>6800</v>
      </c>
      <c r="K3638" s="1365" t="n">
        <f aca="false">J3638/1792.8</f>
        <v>3.79294957608211</v>
      </c>
      <c r="L3638" s="891" t="n">
        <v>3.6</v>
      </c>
      <c r="M3638" s="1273" t="n">
        <f aca="false">K3638*L3638/60</f>
        <v>0.227576974564926</v>
      </c>
    </row>
    <row r="3639" customFormat="false" ht="15" hidden="false" customHeight="false" outlineLevel="0" collapsed="false">
      <c r="A3639" s="28"/>
      <c r="B3639" s="40"/>
      <c r="C3639" s="40" t="s">
        <v>7163</v>
      </c>
      <c r="D3639" s="316" t="n">
        <v>1994</v>
      </c>
      <c r="E3639" s="912" t="n">
        <f aca="false">2021-D3639</f>
        <v>27</v>
      </c>
      <c r="F3639" s="891"/>
      <c r="G3639" s="891"/>
      <c r="H3639" s="891" t="n">
        <f aca="false">E3639*F3639*G3639</f>
        <v>0</v>
      </c>
      <c r="I3639" s="891" t="n">
        <f aca="false">F3639-H3639</f>
        <v>0</v>
      </c>
      <c r="J3639" s="1365" t="n">
        <f aca="false">F3639*G3639</f>
        <v>0</v>
      </c>
      <c r="K3639" s="1365" t="n">
        <f aca="false">J3639/1792.8</f>
        <v>0</v>
      </c>
      <c r="L3639" s="891" t="n">
        <v>5</v>
      </c>
      <c r="M3639" s="1273" t="n">
        <f aca="false">K3639*L3639/60</f>
        <v>0</v>
      </c>
    </row>
    <row r="3640" customFormat="false" ht="15" hidden="false" customHeight="false" outlineLevel="0" collapsed="false">
      <c r="A3640" s="28"/>
      <c r="B3640" s="972" t="s">
        <v>4128</v>
      </c>
      <c r="C3640" s="1053"/>
      <c r="D3640" s="965"/>
      <c r="E3640" s="912"/>
      <c r="F3640" s="1490"/>
      <c r="G3640" s="1490"/>
      <c r="H3640" s="1490"/>
      <c r="I3640" s="1490"/>
      <c r="J3640" s="1490"/>
      <c r="K3640" s="1365" t="n">
        <f aca="false">J3640/1792.8</f>
        <v>0</v>
      </c>
      <c r="L3640" s="1490"/>
      <c r="M3640" s="1366" t="n">
        <f aca="false">SUM(M3633:M3639)</f>
        <v>31.0022032574743</v>
      </c>
    </row>
    <row r="3641" customFormat="false" ht="30" hidden="false" customHeight="false" outlineLevel="0" collapsed="false">
      <c r="A3641" s="28" t="s">
        <v>1874</v>
      </c>
      <c r="B3641" s="40" t="s">
        <v>3673</v>
      </c>
      <c r="C3641" s="40" t="s">
        <v>7154</v>
      </c>
      <c r="D3641" s="316" t="n">
        <v>2007</v>
      </c>
      <c r="E3641" s="912" t="n">
        <f aca="false">2021-D3641</f>
        <v>14</v>
      </c>
      <c r="F3641" s="891" t="n">
        <v>407000</v>
      </c>
      <c r="G3641" s="1364" t="n">
        <v>0.1</v>
      </c>
      <c r="H3641" s="891" t="n">
        <f aca="false">E3641*F3641*G3641</f>
        <v>569800</v>
      </c>
      <c r="I3641" s="891" t="n">
        <f aca="false">F3641-H3641</f>
        <v>-162800</v>
      </c>
      <c r="J3641" s="1365" t="n">
        <f aca="false">F3641*G3641</f>
        <v>40700</v>
      </c>
      <c r="K3641" s="1365" t="n">
        <f aca="false">J3641/1792.8</f>
        <v>22.7019187862561</v>
      </c>
      <c r="L3641" s="891" t="n">
        <v>20</v>
      </c>
      <c r="M3641" s="1273" t="n">
        <f aca="false">K3641*L3641/60</f>
        <v>7.56730626208538</v>
      </c>
    </row>
    <row r="3642" customFormat="false" ht="15" hidden="false" customHeight="false" outlineLevel="0" collapsed="false">
      <c r="A3642" s="28"/>
      <c r="B3642" s="78"/>
      <c r="C3642" s="40" t="s">
        <v>7155</v>
      </c>
      <c r="D3642" s="316" t="n">
        <v>2007</v>
      </c>
      <c r="E3642" s="912" t="n">
        <f aca="false">2021-D3642</f>
        <v>14</v>
      </c>
      <c r="F3642" s="891" t="n">
        <v>810000</v>
      </c>
      <c r="G3642" s="1364" t="n">
        <v>0.1</v>
      </c>
      <c r="H3642" s="891" t="n">
        <f aca="false">E3642*F3642*G3642</f>
        <v>1134000</v>
      </c>
      <c r="I3642" s="891" t="n">
        <f aca="false">F3642-H3642</f>
        <v>-324000</v>
      </c>
      <c r="J3642" s="1365" t="n">
        <f aca="false">F3642*G3642</f>
        <v>81000</v>
      </c>
      <c r="K3642" s="1365" t="n">
        <f aca="false">J3642/1792.8</f>
        <v>45.1807228915663</v>
      </c>
      <c r="L3642" s="891" t="n">
        <v>4.8</v>
      </c>
      <c r="M3642" s="1273" t="n">
        <f aca="false">K3642*L3642/60</f>
        <v>3.6144578313253</v>
      </c>
    </row>
    <row r="3643" customFormat="false" ht="15" hidden="false" customHeight="false" outlineLevel="0" collapsed="false">
      <c r="A3643" s="28"/>
      <c r="B3643" s="78"/>
      <c r="C3643" s="40" t="s">
        <v>7156</v>
      </c>
      <c r="D3643" s="316" t="n">
        <v>2015</v>
      </c>
      <c r="E3643" s="912" t="n">
        <f aca="false">2021-D3643</f>
        <v>6</v>
      </c>
      <c r="F3643" s="891" t="n">
        <v>694025</v>
      </c>
      <c r="G3643" s="1364" t="n">
        <v>0.1</v>
      </c>
      <c r="H3643" s="891" t="n">
        <f aca="false">E3643*F3643*G3643</f>
        <v>416415</v>
      </c>
      <c r="I3643" s="891" t="n">
        <f aca="false">F3643-H3643</f>
        <v>277610</v>
      </c>
      <c r="J3643" s="1365" t="n">
        <f aca="false">F3643*G3643</f>
        <v>69402.5</v>
      </c>
      <c r="K3643" s="1365" t="n">
        <f aca="false">J3643/1792.8</f>
        <v>38.711791610888</v>
      </c>
      <c r="L3643" s="891" t="n">
        <v>18</v>
      </c>
      <c r="M3643" s="1273" t="n">
        <f aca="false">K3643*L3643/60</f>
        <v>11.6135374832664</v>
      </c>
    </row>
    <row r="3644" customFormat="false" ht="15" hidden="false" customHeight="false" outlineLevel="0" collapsed="false">
      <c r="A3644" s="28"/>
      <c r="B3644" s="78"/>
      <c r="C3644" s="40" t="s">
        <v>7157</v>
      </c>
      <c r="D3644" s="316" t="n">
        <v>2006</v>
      </c>
      <c r="E3644" s="912" t="n">
        <f aca="false">2021-D3644</f>
        <v>15</v>
      </c>
      <c r="F3644" s="891" t="n">
        <v>77000</v>
      </c>
      <c r="G3644" s="1364" t="n">
        <v>0.05</v>
      </c>
      <c r="H3644" s="891" t="n">
        <f aca="false">E3644*F3644*G3644</f>
        <v>57750</v>
      </c>
      <c r="I3644" s="891" t="n">
        <f aca="false">F3644-H3644</f>
        <v>19250</v>
      </c>
      <c r="J3644" s="1365" t="n">
        <f aca="false">F3644*G3644</f>
        <v>3850</v>
      </c>
      <c r="K3644" s="1365" t="n">
        <f aca="false">J3644/1792.8</f>
        <v>2.14747880410531</v>
      </c>
      <c r="L3644" s="891" t="n">
        <v>9.6</v>
      </c>
      <c r="M3644" s="1273" t="n">
        <f aca="false">K3644*L3644/60</f>
        <v>0.34359660865685</v>
      </c>
    </row>
    <row r="3645" customFormat="false" ht="15" hidden="false" customHeight="false" outlineLevel="0" collapsed="false">
      <c r="A3645" s="28"/>
      <c r="B3645" s="40"/>
      <c r="C3645" s="40" t="s">
        <v>7158</v>
      </c>
      <c r="D3645" s="316" t="n">
        <v>2007</v>
      </c>
      <c r="E3645" s="912" t="n">
        <f aca="false">2021-D3645</f>
        <v>14</v>
      </c>
      <c r="F3645" s="891" t="n">
        <v>482500</v>
      </c>
      <c r="G3645" s="1364" t="n">
        <v>0.1</v>
      </c>
      <c r="H3645" s="891" t="n">
        <f aca="false">E3645*F3645*G3645</f>
        <v>675500</v>
      </c>
      <c r="I3645" s="891" t="n">
        <f aca="false">F3645-H3645</f>
        <v>-193000</v>
      </c>
      <c r="J3645" s="1365" t="n">
        <f aca="false">F3645*G3645</f>
        <v>48250</v>
      </c>
      <c r="K3645" s="1365" t="n">
        <f aca="false">J3645/1792.8</f>
        <v>26.913208389112</v>
      </c>
      <c r="L3645" s="891" t="n">
        <v>9.6</v>
      </c>
      <c r="M3645" s="1273" t="n">
        <f aca="false">K3645*L3645/60</f>
        <v>4.30611334225792</v>
      </c>
    </row>
    <row r="3646" customFormat="false" ht="15" hidden="false" customHeight="false" outlineLevel="0" collapsed="false">
      <c r="A3646" s="28"/>
      <c r="B3646" s="40"/>
      <c r="C3646" s="40" t="s">
        <v>7159</v>
      </c>
      <c r="D3646" s="316" t="n">
        <v>2007</v>
      </c>
      <c r="E3646" s="912" t="n">
        <f aca="false">2021-D3646</f>
        <v>14</v>
      </c>
      <c r="F3646" s="891" t="n">
        <v>68000</v>
      </c>
      <c r="G3646" s="1364" t="n">
        <v>0.1</v>
      </c>
      <c r="H3646" s="891" t="n">
        <f aca="false">E3646*F3646*G3646</f>
        <v>95200</v>
      </c>
      <c r="I3646" s="891" t="n">
        <f aca="false">F3646-H3646</f>
        <v>-27200</v>
      </c>
      <c r="J3646" s="1365" t="n">
        <f aca="false">F3646*G3646</f>
        <v>6800</v>
      </c>
      <c r="K3646" s="1365" t="n">
        <f aca="false">J3646/1792.8</f>
        <v>3.79294957608211</v>
      </c>
      <c r="L3646" s="891" t="n">
        <v>3.6</v>
      </c>
      <c r="M3646" s="1273" t="n">
        <f aca="false">K3646*L3646/60</f>
        <v>0.227576974564926</v>
      </c>
    </row>
    <row r="3647" customFormat="false" ht="15" hidden="false" customHeight="false" outlineLevel="0" collapsed="false">
      <c r="A3647" s="28"/>
      <c r="B3647" s="40"/>
      <c r="C3647" s="40" t="s">
        <v>7161</v>
      </c>
      <c r="D3647" s="316" t="n">
        <v>2007</v>
      </c>
      <c r="E3647" s="912" t="n">
        <f aca="false">2021-D3647</f>
        <v>14</v>
      </c>
      <c r="F3647" s="891" t="n">
        <v>1849800</v>
      </c>
      <c r="G3647" s="1364" t="n">
        <v>0.1</v>
      </c>
      <c r="H3647" s="891" t="n">
        <f aca="false">E3647*F3647*G3647</f>
        <v>2589720</v>
      </c>
      <c r="I3647" s="891" t="n">
        <f aca="false">F3647-H3647</f>
        <v>-739920</v>
      </c>
      <c r="J3647" s="1365" t="n">
        <f aca="false">F3647*G3647</f>
        <v>184980</v>
      </c>
      <c r="K3647" s="1365" t="n">
        <f aca="false">J3647/1792.8</f>
        <v>103.179384203481</v>
      </c>
      <c r="L3647" s="891" t="n">
        <v>6</v>
      </c>
      <c r="M3647" s="1273" t="n">
        <f aca="false">K3647*L3647/60</f>
        <v>10.3179384203481</v>
      </c>
    </row>
    <row r="3648" customFormat="false" ht="15" hidden="false" customHeight="false" outlineLevel="0" collapsed="false">
      <c r="A3648" s="28"/>
      <c r="B3648" s="972" t="s">
        <v>4128</v>
      </c>
      <c r="C3648" s="1053"/>
      <c r="D3648" s="965"/>
      <c r="E3648" s="912"/>
      <c r="F3648" s="1490"/>
      <c r="G3648" s="1372"/>
      <c r="H3648" s="1490"/>
      <c r="I3648" s="1490"/>
      <c r="J3648" s="1490"/>
      <c r="K3648" s="1365" t="n">
        <f aca="false">J3648/1792.8</f>
        <v>0</v>
      </c>
      <c r="L3648" s="1490"/>
      <c r="M3648" s="1366" t="n">
        <f aca="false">SUM(M3641:M3647)</f>
        <v>37.9905269225048</v>
      </c>
    </row>
    <row r="3649" customFormat="false" ht="30" hidden="false" customHeight="false" outlineLevel="0" collapsed="false">
      <c r="A3649" s="28" t="s">
        <v>1876</v>
      </c>
      <c r="B3649" s="40" t="s">
        <v>3674</v>
      </c>
      <c r="C3649" s="40" t="s">
        <v>7155</v>
      </c>
      <c r="D3649" s="316" t="n">
        <v>2007</v>
      </c>
      <c r="E3649" s="912" t="n">
        <f aca="false">2021-D3649</f>
        <v>14</v>
      </c>
      <c r="F3649" s="891" t="n">
        <v>810000</v>
      </c>
      <c r="G3649" s="1364" t="n">
        <v>0.1</v>
      </c>
      <c r="H3649" s="891" t="n">
        <f aca="false">E3649*F3649*G3649</f>
        <v>1134000</v>
      </c>
      <c r="I3649" s="891" t="n">
        <f aca="false">F3649-H3649</f>
        <v>-324000</v>
      </c>
      <c r="J3649" s="1365" t="n">
        <f aca="false">F3649*G3649</f>
        <v>81000</v>
      </c>
      <c r="K3649" s="1365" t="n">
        <f aca="false">J3649/1792.8</f>
        <v>45.1807228915663</v>
      </c>
      <c r="L3649" s="891" t="n">
        <v>4.8</v>
      </c>
      <c r="M3649" s="1273" t="n">
        <f aca="false">K3649*L3649/60</f>
        <v>3.6144578313253</v>
      </c>
    </row>
    <row r="3650" customFormat="false" ht="15" hidden="false" customHeight="false" outlineLevel="0" collapsed="false">
      <c r="A3650" s="28"/>
      <c r="B3650" s="78"/>
      <c r="C3650" s="40" t="s">
        <v>7156</v>
      </c>
      <c r="D3650" s="316" t="n">
        <v>2015</v>
      </c>
      <c r="E3650" s="912" t="n">
        <f aca="false">2021-D3650</f>
        <v>6</v>
      </c>
      <c r="F3650" s="891" t="n">
        <v>694025</v>
      </c>
      <c r="G3650" s="1364" t="n">
        <v>0.1</v>
      </c>
      <c r="H3650" s="891" t="n">
        <f aca="false">E3650*F3650*G3650</f>
        <v>416415</v>
      </c>
      <c r="I3650" s="891" t="n">
        <f aca="false">F3650-H3650</f>
        <v>277610</v>
      </c>
      <c r="J3650" s="1365" t="n">
        <f aca="false">F3650*G3650</f>
        <v>69402.5</v>
      </c>
      <c r="K3650" s="1365" t="n">
        <f aca="false">J3650/1792.8</f>
        <v>38.711791610888</v>
      </c>
      <c r="L3650" s="891" t="n">
        <v>18</v>
      </c>
      <c r="M3650" s="1273" t="n">
        <f aca="false">K3650*L3650/60</f>
        <v>11.6135374832664</v>
      </c>
    </row>
    <row r="3651" customFormat="false" ht="15" hidden="false" customHeight="false" outlineLevel="0" collapsed="false">
      <c r="A3651" s="28"/>
      <c r="B3651" s="78"/>
      <c r="C3651" s="40" t="s">
        <v>7158</v>
      </c>
      <c r="D3651" s="316" t="n">
        <v>2007</v>
      </c>
      <c r="E3651" s="912" t="n">
        <f aca="false">2021-D3651</f>
        <v>14</v>
      </c>
      <c r="F3651" s="891" t="n">
        <v>482500</v>
      </c>
      <c r="G3651" s="1364" t="n">
        <v>0.1</v>
      </c>
      <c r="H3651" s="891" t="n">
        <f aca="false">E3651*F3651*G3651</f>
        <v>675500</v>
      </c>
      <c r="I3651" s="891" t="n">
        <f aca="false">F3651-H3651</f>
        <v>-193000</v>
      </c>
      <c r="J3651" s="1365" t="n">
        <f aca="false">F3651*G3651</f>
        <v>48250</v>
      </c>
      <c r="K3651" s="1365" t="n">
        <f aca="false">J3651/1792.8</f>
        <v>26.913208389112</v>
      </c>
      <c r="L3651" s="891" t="n">
        <v>9.6</v>
      </c>
      <c r="M3651" s="1273" t="n">
        <f aca="false">K3651*L3651/60</f>
        <v>4.30611334225792</v>
      </c>
    </row>
    <row r="3652" customFormat="false" ht="15" hidden="false" customHeight="false" outlineLevel="0" collapsed="false">
      <c r="A3652" s="28"/>
      <c r="B3652" s="40"/>
      <c r="C3652" s="40" t="s">
        <v>7157</v>
      </c>
      <c r="D3652" s="316" t="n">
        <v>2006</v>
      </c>
      <c r="E3652" s="912" t="n">
        <f aca="false">2021-D3652</f>
        <v>15</v>
      </c>
      <c r="F3652" s="891" t="n">
        <v>77000</v>
      </c>
      <c r="G3652" s="1364" t="n">
        <v>0.05</v>
      </c>
      <c r="H3652" s="891" t="n">
        <f aca="false">E3652*F3652*G3652</f>
        <v>57750</v>
      </c>
      <c r="I3652" s="891" t="n">
        <f aca="false">F3652-H3652</f>
        <v>19250</v>
      </c>
      <c r="J3652" s="1365" t="n">
        <f aca="false">F3652*G3652</f>
        <v>3850</v>
      </c>
      <c r="K3652" s="1365" t="n">
        <f aca="false">J3652/1792.8</f>
        <v>2.14747880410531</v>
      </c>
      <c r="L3652" s="891" t="n">
        <v>9.6</v>
      </c>
      <c r="M3652" s="1273" t="n">
        <f aca="false">K3652*L3652/60</f>
        <v>0.34359660865685</v>
      </c>
    </row>
    <row r="3653" customFormat="false" ht="15" hidden="false" customHeight="false" outlineLevel="0" collapsed="false">
      <c r="A3653" s="28"/>
      <c r="B3653" s="40"/>
      <c r="C3653" s="40" t="s">
        <v>7170</v>
      </c>
      <c r="D3653" s="316" t="n">
        <v>2010</v>
      </c>
      <c r="E3653" s="912" t="n">
        <f aca="false">2021-D3653</f>
        <v>11</v>
      </c>
      <c r="F3653" s="891" t="n">
        <v>223200</v>
      </c>
      <c r="G3653" s="1364" t="n">
        <v>0</v>
      </c>
      <c r="H3653" s="891" t="n">
        <f aca="false">E3653*F3653*G3653</f>
        <v>0</v>
      </c>
      <c r="I3653" s="891" t="n">
        <f aca="false">F3653-H3653</f>
        <v>223200</v>
      </c>
      <c r="J3653" s="1365" t="n">
        <f aca="false">F3653*G3653</f>
        <v>0</v>
      </c>
      <c r="K3653" s="1365" t="n">
        <f aca="false">J3653/1792.8</f>
        <v>0</v>
      </c>
      <c r="L3653" s="891" t="n">
        <v>3.6</v>
      </c>
      <c r="M3653" s="1273" t="n">
        <f aca="false">K3653*L3653/60</f>
        <v>0</v>
      </c>
    </row>
    <row r="3654" customFormat="false" ht="30" hidden="false" customHeight="false" outlineLevel="0" collapsed="false">
      <c r="A3654" s="28"/>
      <c r="B3654" s="40"/>
      <c r="C3654" s="40" t="s">
        <v>7171</v>
      </c>
      <c r="D3654" s="316"/>
      <c r="E3654" s="912"/>
      <c r="F3654" s="891" t="n">
        <v>0</v>
      </c>
      <c r="G3654" s="1364" t="n">
        <v>0</v>
      </c>
      <c r="H3654" s="891" t="n">
        <f aca="false">E3654*F3654*G3654</f>
        <v>0</v>
      </c>
      <c r="I3654" s="891" t="n">
        <f aca="false">F3654-H3654</f>
        <v>0</v>
      </c>
      <c r="J3654" s="1365" t="n">
        <f aca="false">F3654*G3654</f>
        <v>0</v>
      </c>
      <c r="K3654" s="1365" t="n">
        <f aca="false">J3654/1792.8</f>
        <v>0</v>
      </c>
      <c r="L3654" s="891" t="n">
        <v>0</v>
      </c>
      <c r="M3654" s="1273" t="n">
        <f aca="false">K3654*L3654/60</f>
        <v>0</v>
      </c>
    </row>
    <row r="3655" customFormat="false" ht="15" hidden="false" customHeight="false" outlineLevel="0" collapsed="false">
      <c r="A3655" s="28"/>
      <c r="B3655" s="972" t="s">
        <v>4128</v>
      </c>
      <c r="C3655" s="1053"/>
      <c r="D3655" s="965"/>
      <c r="E3655" s="912"/>
      <c r="F3655" s="1490"/>
      <c r="G3655" s="1490"/>
      <c r="H3655" s="1490"/>
      <c r="I3655" s="1490"/>
      <c r="J3655" s="1490"/>
      <c r="K3655" s="1365" t="n">
        <f aca="false">J3655/1792.8</f>
        <v>0</v>
      </c>
      <c r="L3655" s="1490"/>
      <c r="M3655" s="1366" t="n">
        <f aca="false">SUM(M3649:M3654)</f>
        <v>19.8777052655065</v>
      </c>
    </row>
    <row r="3656" customFormat="false" ht="60" hidden="false" customHeight="false" outlineLevel="0" collapsed="false">
      <c r="A3656" s="28" t="s">
        <v>1878</v>
      </c>
      <c r="B3656" s="40" t="s">
        <v>3675</v>
      </c>
      <c r="C3656" s="40" t="s">
        <v>7154</v>
      </c>
      <c r="D3656" s="316" t="n">
        <v>2007</v>
      </c>
      <c r="E3656" s="912" t="n">
        <f aca="false">2021-D3656</f>
        <v>14</v>
      </c>
      <c r="F3656" s="891" t="n">
        <v>407000</v>
      </c>
      <c r="G3656" s="1364" t="n">
        <v>0.1</v>
      </c>
      <c r="H3656" s="891" t="n">
        <f aca="false">E3656*F3656*G3656</f>
        <v>569800</v>
      </c>
      <c r="I3656" s="891" t="n">
        <f aca="false">F3656-H3656</f>
        <v>-162800</v>
      </c>
      <c r="J3656" s="1365" t="n">
        <f aca="false">F3656*G3656</f>
        <v>40700</v>
      </c>
      <c r="K3656" s="1365" t="n">
        <f aca="false">J3656/1792.8</f>
        <v>22.7019187862561</v>
      </c>
      <c r="L3656" s="891" t="n">
        <v>28.8</v>
      </c>
      <c r="M3656" s="1273" t="n">
        <f aca="false">K3656*L3656/60</f>
        <v>10.8969210174029</v>
      </c>
    </row>
    <row r="3657" customFormat="false" ht="15" hidden="false" customHeight="false" outlineLevel="0" collapsed="false">
      <c r="A3657" s="28"/>
      <c r="B3657" s="78"/>
      <c r="C3657" s="40" t="s">
        <v>7155</v>
      </c>
      <c r="D3657" s="316" t="n">
        <v>2007</v>
      </c>
      <c r="E3657" s="912" t="n">
        <f aca="false">2021-D3657</f>
        <v>14</v>
      </c>
      <c r="F3657" s="891" t="n">
        <v>810000</v>
      </c>
      <c r="G3657" s="1364" t="n">
        <v>0.1</v>
      </c>
      <c r="H3657" s="891" t="n">
        <f aca="false">E3657*F3657*G3657</f>
        <v>1134000</v>
      </c>
      <c r="I3657" s="891" t="n">
        <f aca="false">F3657-H3657</f>
        <v>-324000</v>
      </c>
      <c r="J3657" s="1365" t="n">
        <f aca="false">F3657*G3657</f>
        <v>81000</v>
      </c>
      <c r="K3657" s="1365" t="n">
        <f aca="false">J3657/1792.8</f>
        <v>45.1807228915663</v>
      </c>
      <c r="L3657" s="891" t="n">
        <v>4.8</v>
      </c>
      <c r="M3657" s="1273" t="n">
        <f aca="false">K3657*L3657/60</f>
        <v>3.6144578313253</v>
      </c>
    </row>
    <row r="3658" customFormat="false" ht="15" hidden="false" customHeight="false" outlineLevel="0" collapsed="false">
      <c r="A3658" s="28"/>
      <c r="B3658" s="78"/>
      <c r="C3658" s="40" t="s">
        <v>7156</v>
      </c>
      <c r="D3658" s="316" t="n">
        <v>2015</v>
      </c>
      <c r="E3658" s="912" t="n">
        <f aca="false">2021-D3658</f>
        <v>6</v>
      </c>
      <c r="F3658" s="891" t="n">
        <v>694025</v>
      </c>
      <c r="G3658" s="1364" t="n">
        <v>0.1</v>
      </c>
      <c r="H3658" s="891" t="n">
        <f aca="false">E3658*F3658*G3658</f>
        <v>416415</v>
      </c>
      <c r="I3658" s="891" t="n">
        <f aca="false">F3658-H3658</f>
        <v>277610</v>
      </c>
      <c r="J3658" s="1365" t="n">
        <f aca="false">F3658*G3658</f>
        <v>69402.5</v>
      </c>
      <c r="K3658" s="1365" t="n">
        <f aca="false">J3658/1792.8</f>
        <v>38.711791610888</v>
      </c>
      <c r="L3658" s="891" t="n">
        <v>18</v>
      </c>
      <c r="M3658" s="1273" t="n">
        <f aca="false">K3658*L3658/60</f>
        <v>11.6135374832664</v>
      </c>
    </row>
    <row r="3659" customFormat="false" ht="15" hidden="false" customHeight="false" outlineLevel="0" collapsed="false">
      <c r="A3659" s="28"/>
      <c r="B3659" s="78"/>
      <c r="C3659" s="40" t="s">
        <v>7157</v>
      </c>
      <c r="D3659" s="316" t="n">
        <v>2006</v>
      </c>
      <c r="E3659" s="912" t="n">
        <f aca="false">2021-D3659</f>
        <v>15</v>
      </c>
      <c r="F3659" s="891" t="n">
        <v>77000</v>
      </c>
      <c r="G3659" s="1364" t="n">
        <v>0.05</v>
      </c>
      <c r="H3659" s="891" t="n">
        <f aca="false">E3659*F3659*G3659</f>
        <v>57750</v>
      </c>
      <c r="I3659" s="891" t="n">
        <f aca="false">F3659-H3659</f>
        <v>19250</v>
      </c>
      <c r="J3659" s="1365" t="n">
        <f aca="false">F3659*G3659</f>
        <v>3850</v>
      </c>
      <c r="K3659" s="1365" t="n">
        <f aca="false">J3659/1792.8</f>
        <v>2.14747880410531</v>
      </c>
      <c r="L3659" s="891" t="n">
        <v>9.6</v>
      </c>
      <c r="M3659" s="1273" t="n">
        <f aca="false">K3659*L3659/60</f>
        <v>0.34359660865685</v>
      </c>
    </row>
    <row r="3660" customFormat="false" ht="15" hidden="false" customHeight="false" outlineLevel="0" collapsed="false">
      <c r="A3660" s="28"/>
      <c r="B3660" s="78"/>
      <c r="C3660" s="40" t="s">
        <v>7158</v>
      </c>
      <c r="D3660" s="316" t="n">
        <v>2007</v>
      </c>
      <c r="E3660" s="912" t="n">
        <f aca="false">2021-D3660</f>
        <v>14</v>
      </c>
      <c r="F3660" s="891" t="n">
        <v>482500</v>
      </c>
      <c r="G3660" s="1364" t="n">
        <v>0.1</v>
      </c>
      <c r="H3660" s="891" t="n">
        <f aca="false">E3660*F3660*G3660</f>
        <v>675500</v>
      </c>
      <c r="I3660" s="891" t="n">
        <f aca="false">F3660-H3660</f>
        <v>-193000</v>
      </c>
      <c r="J3660" s="1365" t="n">
        <f aca="false">F3660*G3660</f>
        <v>48250</v>
      </c>
      <c r="K3660" s="1365" t="n">
        <f aca="false">J3660/1792.8</f>
        <v>26.913208389112</v>
      </c>
      <c r="L3660" s="891" t="n">
        <v>9.6</v>
      </c>
      <c r="M3660" s="1273" t="n">
        <f aca="false">K3660*L3660/60</f>
        <v>4.30611334225792</v>
      </c>
    </row>
    <row r="3661" customFormat="false" ht="15" hidden="false" customHeight="false" outlineLevel="0" collapsed="false">
      <c r="A3661" s="28"/>
      <c r="B3661" s="78"/>
      <c r="C3661" s="40" t="s">
        <v>7159</v>
      </c>
      <c r="D3661" s="316" t="n">
        <v>2007</v>
      </c>
      <c r="E3661" s="912" t="n">
        <f aca="false">2021-D3661</f>
        <v>14</v>
      </c>
      <c r="F3661" s="891" t="n">
        <v>68000</v>
      </c>
      <c r="G3661" s="1364" t="n">
        <v>0.1</v>
      </c>
      <c r="H3661" s="891" t="n">
        <f aca="false">E3661*F3661*G3661</f>
        <v>95200</v>
      </c>
      <c r="I3661" s="891" t="n">
        <f aca="false">F3661-H3661</f>
        <v>-27200</v>
      </c>
      <c r="J3661" s="1365" t="n">
        <f aca="false">F3661*G3661</f>
        <v>6800</v>
      </c>
      <c r="K3661" s="1365" t="n">
        <f aca="false">J3661/1792.8</f>
        <v>3.79294957608211</v>
      </c>
      <c r="L3661" s="891" t="n">
        <v>3.6</v>
      </c>
      <c r="M3661" s="1273" t="n">
        <f aca="false">K3661*L3661/60</f>
        <v>0.227576974564926</v>
      </c>
    </row>
    <row r="3662" customFormat="false" ht="15" hidden="false" customHeight="false" outlineLevel="0" collapsed="false">
      <c r="A3662" s="28"/>
      <c r="B3662" s="78"/>
      <c r="C3662" s="40" t="s">
        <v>7166</v>
      </c>
      <c r="D3662" s="316" t="n">
        <v>2007</v>
      </c>
      <c r="E3662" s="912" t="n">
        <f aca="false">2021-D3662</f>
        <v>14</v>
      </c>
      <c r="F3662" s="891" t="n">
        <v>200000</v>
      </c>
      <c r="G3662" s="1364" t="n">
        <v>0.1</v>
      </c>
      <c r="H3662" s="891" t="n">
        <f aca="false">E3662*F3662*G3662</f>
        <v>280000</v>
      </c>
      <c r="I3662" s="891" t="n">
        <f aca="false">F3662-H3662</f>
        <v>-80000</v>
      </c>
      <c r="J3662" s="1365" t="n">
        <f aca="false">F3662*G3662</f>
        <v>20000</v>
      </c>
      <c r="K3662" s="1365" t="n">
        <f aca="false">J3662/1792.8</f>
        <v>11.1557340473003</v>
      </c>
      <c r="L3662" s="891" t="n">
        <v>5</v>
      </c>
      <c r="M3662" s="1273" t="n">
        <f aca="false">K3662*L3662/60</f>
        <v>0.929644503941693</v>
      </c>
    </row>
    <row r="3663" customFormat="false" ht="15" hidden="false" customHeight="false" outlineLevel="0" collapsed="false">
      <c r="A3663" s="28"/>
      <c r="B3663" s="78"/>
      <c r="C3663" s="40" t="s">
        <v>7161</v>
      </c>
      <c r="D3663" s="316" t="n">
        <v>2007</v>
      </c>
      <c r="E3663" s="912" t="n">
        <f aca="false">2021-D3663</f>
        <v>14</v>
      </c>
      <c r="F3663" s="891" t="n">
        <v>1849800</v>
      </c>
      <c r="G3663" s="1364" t="n">
        <v>0.1</v>
      </c>
      <c r="H3663" s="891" t="n">
        <f aca="false">E3663*F3663*G3663</f>
        <v>2589720</v>
      </c>
      <c r="I3663" s="891" t="n">
        <f aca="false">F3663-H3663</f>
        <v>-739920</v>
      </c>
      <c r="J3663" s="1365" t="n">
        <f aca="false">F3663*G3663</f>
        <v>184980</v>
      </c>
      <c r="K3663" s="1365" t="n">
        <f aca="false">J3663/1792.8</f>
        <v>103.179384203481</v>
      </c>
      <c r="L3663" s="891" t="n">
        <v>5</v>
      </c>
      <c r="M3663" s="1273" t="n">
        <f aca="false">K3663*L3663/60</f>
        <v>8.59828201695672</v>
      </c>
    </row>
    <row r="3664" customFormat="false" ht="15" hidden="false" customHeight="false" outlineLevel="0" collapsed="false">
      <c r="A3664" s="28"/>
      <c r="B3664" s="78"/>
      <c r="C3664" s="40" t="s">
        <v>7163</v>
      </c>
      <c r="D3664" s="316" t="n">
        <v>1994</v>
      </c>
      <c r="E3664" s="912" t="n">
        <f aca="false">2021-D3664</f>
        <v>27</v>
      </c>
      <c r="F3664" s="891"/>
      <c r="G3664" s="891"/>
      <c r="H3664" s="891" t="n">
        <f aca="false">E3664*F3664*G3664</f>
        <v>0</v>
      </c>
      <c r="I3664" s="891" t="n">
        <f aca="false">F3664-H3664</f>
        <v>0</v>
      </c>
      <c r="J3664" s="1365" t="n">
        <f aca="false">F3664*G3664</f>
        <v>0</v>
      </c>
      <c r="K3664" s="1365" t="n">
        <f aca="false">J3664/1792.8</f>
        <v>0</v>
      </c>
      <c r="L3664" s="891" t="n">
        <v>5</v>
      </c>
      <c r="M3664" s="1273" t="n">
        <f aca="false">K3664*L3664/60</f>
        <v>0</v>
      </c>
    </row>
    <row r="3665" customFormat="false" ht="15" hidden="false" customHeight="false" outlineLevel="0" collapsed="false">
      <c r="A3665" s="28"/>
      <c r="B3665" s="78"/>
      <c r="C3665" s="40" t="s">
        <v>7172</v>
      </c>
      <c r="D3665" s="316" t="n">
        <v>2004</v>
      </c>
      <c r="E3665" s="912" t="n">
        <f aca="false">2021-D3665</f>
        <v>17</v>
      </c>
      <c r="F3665" s="891" t="n">
        <v>93423</v>
      </c>
      <c r="G3665" s="1364" t="n">
        <v>0.1</v>
      </c>
      <c r="H3665" s="891" t="n">
        <v>93423</v>
      </c>
      <c r="I3665" s="891" t="n">
        <f aca="false">F3665-H3665</f>
        <v>0</v>
      </c>
      <c r="J3665" s="1365" t="n">
        <f aca="false">F3665*G3665</f>
        <v>9342.3</v>
      </c>
      <c r="K3665" s="1365" t="n">
        <f aca="false">J3665/1792.8</f>
        <v>5.21101070950469</v>
      </c>
      <c r="L3665" s="891" t="n">
        <v>288</v>
      </c>
      <c r="M3665" s="1273" t="n">
        <f aca="false">K3665*L3665/60</f>
        <v>25.0128514056225</v>
      </c>
    </row>
    <row r="3666" customFormat="false" ht="15" hidden="false" customHeight="false" outlineLevel="0" collapsed="false">
      <c r="A3666" s="28"/>
      <c r="B3666" s="972" t="s">
        <v>4128</v>
      </c>
      <c r="C3666" s="1053"/>
      <c r="D3666" s="965"/>
      <c r="E3666" s="912"/>
      <c r="F3666" s="1490"/>
      <c r="G3666" s="1490"/>
      <c r="H3666" s="1490"/>
      <c r="I3666" s="1490"/>
      <c r="J3666" s="1490"/>
      <c r="K3666" s="1365" t="n">
        <f aca="false">J3666/1792.8</f>
        <v>0</v>
      </c>
      <c r="L3666" s="1490"/>
      <c r="M3666" s="1366" t="n">
        <f aca="false">SUM(M3656:M3665)</f>
        <v>65.5429811839952</v>
      </c>
    </row>
    <row r="3667" customFormat="false" ht="90" hidden="false" customHeight="false" outlineLevel="0" collapsed="false">
      <c r="A3667" s="28" t="s">
        <v>1880</v>
      </c>
      <c r="B3667" s="1501" t="s">
        <v>7173</v>
      </c>
      <c r="C3667" s="40" t="s">
        <v>7174</v>
      </c>
      <c r="D3667" s="316" t="n">
        <v>2007</v>
      </c>
      <c r="E3667" s="912" t="n">
        <f aca="false">2021-D3667</f>
        <v>14</v>
      </c>
      <c r="F3667" s="891" t="n">
        <v>1068000</v>
      </c>
      <c r="G3667" s="1364" t="n">
        <v>0.1</v>
      </c>
      <c r="H3667" s="891" t="n">
        <f aca="false">E3667*F3667*G3667</f>
        <v>1495200</v>
      </c>
      <c r="I3667" s="891" t="n">
        <f aca="false">F3667-H3667</f>
        <v>-427200</v>
      </c>
      <c r="J3667" s="1365" t="n">
        <f aca="false">F3667*G3667</f>
        <v>106800</v>
      </c>
      <c r="K3667" s="1365" t="n">
        <f aca="false">J3667/1792.8</f>
        <v>59.5716198125837</v>
      </c>
      <c r="L3667" s="891" t="n">
        <v>60</v>
      </c>
      <c r="M3667" s="1273" t="n">
        <f aca="false">K3667*L3667/60</f>
        <v>59.5716198125837</v>
      </c>
    </row>
    <row r="3668" customFormat="false" ht="15" hidden="false" customHeight="false" outlineLevel="0" collapsed="false">
      <c r="A3668" s="28"/>
      <c r="B3668" s="78"/>
      <c r="C3668" s="40" t="s">
        <v>7175</v>
      </c>
      <c r="D3668" s="316" t="n">
        <v>2007</v>
      </c>
      <c r="E3668" s="912" t="n">
        <f aca="false">2021-D3668</f>
        <v>14</v>
      </c>
      <c r="F3668" s="891" t="n">
        <v>250000</v>
      </c>
      <c r="G3668" s="1364" t="n">
        <v>0.1</v>
      </c>
      <c r="H3668" s="891" t="n">
        <f aca="false">E3668*F3668*G3668</f>
        <v>350000</v>
      </c>
      <c r="I3668" s="891" t="n">
        <f aca="false">F3668-H3668</f>
        <v>-100000</v>
      </c>
      <c r="J3668" s="1365" t="n">
        <f aca="false">F3668*G3668</f>
        <v>25000</v>
      </c>
      <c r="K3668" s="1365" t="n">
        <f aca="false">J3668/1792.8</f>
        <v>13.9446675591254</v>
      </c>
      <c r="L3668" s="891" t="n">
        <v>10</v>
      </c>
      <c r="M3668" s="1273" t="n">
        <f aca="false">K3668*L3668/60</f>
        <v>2.32411125985423</v>
      </c>
    </row>
    <row r="3669" customFormat="false" ht="15" hidden="false" customHeight="false" outlineLevel="0" collapsed="false">
      <c r="A3669" s="28"/>
      <c r="B3669" s="78"/>
      <c r="C3669" s="40" t="s">
        <v>7176</v>
      </c>
      <c r="D3669" s="316" t="n">
        <v>2007</v>
      </c>
      <c r="E3669" s="912" t="n">
        <f aca="false">2021-D3669</f>
        <v>14</v>
      </c>
      <c r="F3669" s="891" t="n">
        <v>25000</v>
      </c>
      <c r="G3669" s="1364" t="n">
        <v>0.1</v>
      </c>
      <c r="H3669" s="891" t="n">
        <f aca="false">E3669*F3669*G3669</f>
        <v>35000</v>
      </c>
      <c r="I3669" s="891" t="n">
        <f aca="false">F3669-H3669</f>
        <v>-10000</v>
      </c>
      <c r="J3669" s="1365" t="n">
        <f aca="false">F3669*G3669</f>
        <v>2500</v>
      </c>
      <c r="K3669" s="1365" t="n">
        <f aca="false">J3669/1792.8</f>
        <v>1.39446675591254</v>
      </c>
      <c r="L3669" s="891" t="n">
        <v>10</v>
      </c>
      <c r="M3669" s="1273" t="n">
        <f aca="false">K3669*L3669/60</f>
        <v>0.232411125985423</v>
      </c>
    </row>
    <row r="3670" customFormat="false" ht="15" hidden="false" customHeight="false" outlineLevel="0" collapsed="false">
      <c r="A3670" s="28"/>
      <c r="B3670" s="78"/>
      <c r="C3670" s="40" t="s">
        <v>7177</v>
      </c>
      <c r="D3670" s="316" t="n">
        <v>2007</v>
      </c>
      <c r="E3670" s="912" t="n">
        <f aca="false">2021-D3670</f>
        <v>14</v>
      </c>
      <c r="F3670" s="891" t="n">
        <v>92000</v>
      </c>
      <c r="G3670" s="1364" t="n">
        <v>0.1</v>
      </c>
      <c r="H3670" s="891" t="n">
        <f aca="false">E3670*F3670*G3670</f>
        <v>128800</v>
      </c>
      <c r="I3670" s="891" t="n">
        <f aca="false">F3670-H3670</f>
        <v>-36800</v>
      </c>
      <c r="J3670" s="1365" t="n">
        <f aca="false">F3670*G3670</f>
        <v>9200</v>
      </c>
      <c r="K3670" s="1365" t="n">
        <f aca="false">J3670/1792.8</f>
        <v>5.13163766175814</v>
      </c>
      <c r="L3670" s="891" t="n">
        <v>60</v>
      </c>
      <c r="M3670" s="1273" t="n">
        <f aca="false">K3670*L3670/60</f>
        <v>5.13163766175814</v>
      </c>
    </row>
    <row r="3671" customFormat="false" ht="15" hidden="false" customHeight="false" outlineLevel="0" collapsed="false">
      <c r="A3671" s="28"/>
      <c r="B3671" s="78"/>
      <c r="C3671" s="40" t="s">
        <v>7178</v>
      </c>
      <c r="D3671" s="316" t="n">
        <v>2007</v>
      </c>
      <c r="E3671" s="912" t="n">
        <f aca="false">2021-D3671</f>
        <v>14</v>
      </c>
      <c r="F3671" s="891" t="n">
        <v>3000000</v>
      </c>
      <c r="G3671" s="1364" t="n">
        <v>0.1</v>
      </c>
      <c r="H3671" s="891" t="n">
        <f aca="false">E3671*F3671*G3671</f>
        <v>4200000</v>
      </c>
      <c r="I3671" s="891" t="n">
        <f aca="false">F3671-H3671</f>
        <v>-1200000</v>
      </c>
      <c r="J3671" s="1365" t="n">
        <f aca="false">F3671*G3671</f>
        <v>300000</v>
      </c>
      <c r="K3671" s="1365" t="n">
        <f aca="false">J3671/1792.8</f>
        <v>167.336010709505</v>
      </c>
      <c r="L3671" s="891" t="n">
        <v>240</v>
      </c>
      <c r="M3671" s="1273" t="n">
        <f aca="false">K3671*L3671/60</f>
        <v>669.344042838019</v>
      </c>
    </row>
    <row r="3672" customFormat="false" ht="15" hidden="false" customHeight="false" outlineLevel="0" collapsed="false">
      <c r="A3672" s="28"/>
      <c r="B3672" s="78"/>
      <c r="C3672" s="40" t="s">
        <v>7159</v>
      </c>
      <c r="D3672" s="316" t="n">
        <v>2007</v>
      </c>
      <c r="E3672" s="912" t="n">
        <f aca="false">2021-D3672</f>
        <v>14</v>
      </c>
      <c r="F3672" s="891" t="n">
        <v>68000</v>
      </c>
      <c r="G3672" s="1364" t="n">
        <v>0.1</v>
      </c>
      <c r="H3672" s="891" t="n">
        <f aca="false">E3672*F3672*G3672</f>
        <v>95200</v>
      </c>
      <c r="I3672" s="891" t="n">
        <f aca="false">F3672-H3672</f>
        <v>-27200</v>
      </c>
      <c r="J3672" s="1365" t="n">
        <f aca="false">F3672*G3672</f>
        <v>6800</v>
      </c>
      <c r="K3672" s="1365" t="n">
        <f aca="false">J3672/1792.8</f>
        <v>3.79294957608211</v>
      </c>
      <c r="L3672" s="891" t="n">
        <v>10</v>
      </c>
      <c r="M3672" s="1273" t="n">
        <f aca="false">K3672*L3672/60</f>
        <v>0.632158262680351</v>
      </c>
    </row>
    <row r="3673" customFormat="false" ht="15" hidden="false" customHeight="false" outlineLevel="0" collapsed="false">
      <c r="A3673" s="28"/>
      <c r="B3673" s="78"/>
      <c r="C3673" s="40" t="s">
        <v>7179</v>
      </c>
      <c r="D3673" s="316" t="n">
        <v>2007</v>
      </c>
      <c r="E3673" s="912" t="n">
        <f aca="false">2021-D3673</f>
        <v>14</v>
      </c>
      <c r="F3673" s="891" t="n">
        <v>18000</v>
      </c>
      <c r="G3673" s="1364" t="n">
        <v>0.1</v>
      </c>
      <c r="H3673" s="891" t="n">
        <f aca="false">E3673*F3673*G3673</f>
        <v>25200</v>
      </c>
      <c r="I3673" s="891" t="n">
        <f aca="false">F3673-H3673</f>
        <v>-7200</v>
      </c>
      <c r="J3673" s="1365" t="n">
        <f aca="false">F3673*G3673</f>
        <v>1800</v>
      </c>
      <c r="K3673" s="1365" t="n">
        <f aca="false">J3673/1792.8</f>
        <v>1.00401606425703</v>
      </c>
      <c r="L3673" s="891" t="n">
        <v>60</v>
      </c>
      <c r="M3673" s="1273" t="n">
        <f aca="false">K3673*L3673/60</f>
        <v>1.00401606425703</v>
      </c>
    </row>
    <row r="3674" customFormat="false" ht="15" hidden="false" customHeight="false" outlineLevel="0" collapsed="false">
      <c r="A3674" s="28"/>
      <c r="B3674" s="78"/>
      <c r="C3674" s="40" t="s">
        <v>7180</v>
      </c>
      <c r="D3674" s="316" t="n">
        <v>2007</v>
      </c>
      <c r="E3674" s="912" t="n">
        <f aca="false">2021-D3674</f>
        <v>14</v>
      </c>
      <c r="F3674" s="891" t="n">
        <v>60000</v>
      </c>
      <c r="G3674" s="1364" t="n">
        <v>0.1</v>
      </c>
      <c r="H3674" s="891" t="n">
        <f aca="false">E3674*F3674*G3674</f>
        <v>84000</v>
      </c>
      <c r="I3674" s="891" t="n">
        <f aca="false">F3674-H3674</f>
        <v>-24000</v>
      </c>
      <c r="J3674" s="1365" t="n">
        <f aca="false">F3674*G3674</f>
        <v>6000</v>
      </c>
      <c r="K3674" s="1365" t="n">
        <f aca="false">J3674/1792.8</f>
        <v>3.34672021419009</v>
      </c>
      <c r="L3674" s="891" t="n">
        <v>240</v>
      </c>
      <c r="M3674" s="1273" t="n">
        <f aca="false">K3674*L3674/60</f>
        <v>13.3868808567604</v>
      </c>
    </row>
    <row r="3675" customFormat="false" ht="45" hidden="false" customHeight="false" outlineLevel="0" collapsed="false">
      <c r="A3675" s="28"/>
      <c r="B3675" s="78"/>
      <c r="C3675" s="1502" t="s">
        <v>7181</v>
      </c>
      <c r="D3675" s="1503" t="n">
        <v>2020</v>
      </c>
      <c r="E3675" s="912" t="n">
        <f aca="false">2021-D3675</f>
        <v>1</v>
      </c>
      <c r="F3675" s="1504" t="n">
        <v>16217249.17</v>
      </c>
      <c r="G3675" s="1505" t="n">
        <v>0.1</v>
      </c>
      <c r="H3675" s="1504" t="n">
        <v>1621724.917</v>
      </c>
      <c r="I3675" s="1504" t="n">
        <v>14595524.253</v>
      </c>
      <c r="J3675" s="1504" t="n">
        <v>1459552.4253</v>
      </c>
      <c r="K3675" s="1365" t="n">
        <f aca="false">J3675/1792.8</f>
        <v>814.118934236948</v>
      </c>
      <c r="L3675" s="1506" t="n">
        <v>3.2</v>
      </c>
      <c r="M3675" s="1273" t="n">
        <f aca="false">K3675*L3675/60</f>
        <v>43.4196764926372</v>
      </c>
    </row>
    <row r="3676" customFormat="false" ht="15" hidden="false" customHeight="false" outlineLevel="0" collapsed="false">
      <c r="A3676" s="28"/>
      <c r="B3676" s="78"/>
      <c r="C3676" s="40" t="s">
        <v>7163</v>
      </c>
      <c r="D3676" s="316" t="n">
        <v>1994</v>
      </c>
      <c r="E3676" s="912" t="n">
        <f aca="false">2021-D3676</f>
        <v>27</v>
      </c>
      <c r="F3676" s="891"/>
      <c r="G3676" s="891"/>
      <c r="H3676" s="891" t="n">
        <f aca="false">E3676*F3676*G3676</f>
        <v>0</v>
      </c>
      <c r="I3676" s="891" t="n">
        <f aca="false">F3676-H3676</f>
        <v>0</v>
      </c>
      <c r="J3676" s="1365" t="n">
        <f aca="false">F3676*G3676</f>
        <v>0</v>
      </c>
      <c r="K3676" s="1365" t="n">
        <f aca="false">J3676/1792.8</f>
        <v>0</v>
      </c>
      <c r="L3676" s="891" t="n">
        <v>30</v>
      </c>
      <c r="M3676" s="1273" t="n">
        <f aca="false">K3676*L3676/60</f>
        <v>0</v>
      </c>
    </row>
    <row r="3677" customFormat="false" ht="15" hidden="false" customHeight="false" outlineLevel="0" collapsed="false">
      <c r="A3677" s="28"/>
      <c r="B3677" s="972" t="s">
        <v>4128</v>
      </c>
      <c r="C3677" s="1053"/>
      <c r="D3677" s="965"/>
      <c r="E3677" s="912"/>
      <c r="F3677" s="1490"/>
      <c r="G3677" s="1372"/>
      <c r="H3677" s="1490"/>
      <c r="I3677" s="1490"/>
      <c r="J3677" s="1490"/>
      <c r="K3677" s="1365" t="n">
        <f aca="false">J3677/1792.8</f>
        <v>0</v>
      </c>
      <c r="L3677" s="1490"/>
      <c r="M3677" s="1366" t="n">
        <f aca="false">SUM(M3667:M3676)</f>
        <v>795.046554374535</v>
      </c>
    </row>
    <row r="3678" customFormat="false" ht="90" hidden="false" customHeight="false" outlineLevel="0" collapsed="false">
      <c r="A3678" s="28" t="s">
        <v>1882</v>
      </c>
      <c r="B3678" s="1501" t="s">
        <v>7182</v>
      </c>
      <c r="C3678" s="40" t="s">
        <v>7174</v>
      </c>
      <c r="D3678" s="316" t="n">
        <v>2007</v>
      </c>
      <c r="E3678" s="912" t="n">
        <f aca="false">2021-D3678</f>
        <v>14</v>
      </c>
      <c r="F3678" s="891" t="n">
        <v>1068000</v>
      </c>
      <c r="G3678" s="1364" t="n">
        <v>0.1</v>
      </c>
      <c r="H3678" s="891" t="n">
        <f aca="false">E3678*F3678*G3678</f>
        <v>1495200</v>
      </c>
      <c r="I3678" s="891" t="n">
        <f aca="false">F3678-H3678</f>
        <v>-427200</v>
      </c>
      <c r="J3678" s="1365" t="n">
        <f aca="false">F3678*G3678</f>
        <v>106800</v>
      </c>
      <c r="K3678" s="1365" t="n">
        <f aca="false">J3678/1792.8</f>
        <v>59.5716198125837</v>
      </c>
      <c r="L3678" s="891" t="n">
        <v>60</v>
      </c>
      <c r="M3678" s="1273" t="n">
        <f aca="false">K3678*L3678/60</f>
        <v>59.5716198125837</v>
      </c>
    </row>
    <row r="3679" customFormat="false" ht="15" hidden="false" customHeight="false" outlineLevel="0" collapsed="false">
      <c r="A3679" s="28"/>
      <c r="B3679" s="78"/>
      <c r="C3679" s="40" t="s">
        <v>7175</v>
      </c>
      <c r="D3679" s="316" t="n">
        <v>2007</v>
      </c>
      <c r="E3679" s="912" t="n">
        <f aca="false">2021-D3679</f>
        <v>14</v>
      </c>
      <c r="F3679" s="891" t="n">
        <v>250000</v>
      </c>
      <c r="G3679" s="1364" t="n">
        <v>0.1</v>
      </c>
      <c r="H3679" s="891" t="n">
        <f aca="false">E3679*F3679*G3679</f>
        <v>350000</v>
      </c>
      <c r="I3679" s="891" t="n">
        <f aca="false">F3679-H3679</f>
        <v>-100000</v>
      </c>
      <c r="J3679" s="1365" t="n">
        <f aca="false">F3679*G3679</f>
        <v>25000</v>
      </c>
      <c r="K3679" s="1365" t="n">
        <f aca="false">J3679/1792.8</f>
        <v>13.9446675591254</v>
      </c>
      <c r="L3679" s="891" t="n">
        <v>10</v>
      </c>
      <c r="M3679" s="1273" t="n">
        <f aca="false">K3679*L3679/60</f>
        <v>2.32411125985423</v>
      </c>
    </row>
    <row r="3680" customFormat="false" ht="15" hidden="false" customHeight="false" outlineLevel="0" collapsed="false">
      <c r="A3680" s="28"/>
      <c r="B3680" s="78"/>
      <c r="C3680" s="40" t="s">
        <v>7176</v>
      </c>
      <c r="D3680" s="316" t="n">
        <v>2007</v>
      </c>
      <c r="E3680" s="912" t="n">
        <f aca="false">2021-D3680</f>
        <v>14</v>
      </c>
      <c r="F3680" s="891" t="n">
        <v>25000</v>
      </c>
      <c r="G3680" s="1364" t="n">
        <v>0.1</v>
      </c>
      <c r="H3680" s="891" t="n">
        <f aca="false">E3680*F3680*G3680</f>
        <v>35000</v>
      </c>
      <c r="I3680" s="891" t="n">
        <f aca="false">F3680-H3680</f>
        <v>-10000</v>
      </c>
      <c r="J3680" s="1365" t="n">
        <f aca="false">F3680*G3680</f>
        <v>2500</v>
      </c>
      <c r="K3680" s="1365" t="n">
        <f aca="false">J3680/1792.8</f>
        <v>1.39446675591254</v>
      </c>
      <c r="L3680" s="891" t="n">
        <v>10</v>
      </c>
      <c r="M3680" s="1273" t="n">
        <f aca="false">K3680*L3680/60</f>
        <v>0.232411125985423</v>
      </c>
    </row>
    <row r="3681" customFormat="false" ht="15" hidden="false" customHeight="false" outlineLevel="0" collapsed="false">
      <c r="A3681" s="28"/>
      <c r="B3681" s="78"/>
      <c r="C3681" s="40" t="s">
        <v>7177</v>
      </c>
      <c r="D3681" s="316" t="n">
        <v>2007</v>
      </c>
      <c r="E3681" s="912" t="n">
        <f aca="false">2021-D3681</f>
        <v>14</v>
      </c>
      <c r="F3681" s="891" t="n">
        <v>92000</v>
      </c>
      <c r="G3681" s="1364" t="n">
        <v>0.1</v>
      </c>
      <c r="H3681" s="891" t="n">
        <f aca="false">E3681*F3681*G3681</f>
        <v>128800</v>
      </c>
      <c r="I3681" s="891" t="n">
        <f aca="false">F3681-H3681</f>
        <v>-36800</v>
      </c>
      <c r="J3681" s="1365" t="n">
        <f aca="false">F3681*G3681</f>
        <v>9200</v>
      </c>
      <c r="K3681" s="1365" t="n">
        <f aca="false">J3681/1792.8</f>
        <v>5.13163766175814</v>
      </c>
      <c r="L3681" s="891" t="n">
        <v>60</v>
      </c>
      <c r="M3681" s="1273" t="n">
        <f aca="false">K3681*L3681/60</f>
        <v>5.13163766175814</v>
      </c>
    </row>
    <row r="3682" customFormat="false" ht="15" hidden="false" customHeight="false" outlineLevel="0" collapsed="false">
      <c r="A3682" s="28"/>
      <c r="B3682" s="78"/>
      <c r="C3682" s="40" t="s">
        <v>7178</v>
      </c>
      <c r="D3682" s="316" t="n">
        <v>2007</v>
      </c>
      <c r="E3682" s="912" t="n">
        <f aca="false">2021-D3682</f>
        <v>14</v>
      </c>
      <c r="F3682" s="891" t="n">
        <v>3000000</v>
      </c>
      <c r="G3682" s="1364" t="n">
        <v>0.1</v>
      </c>
      <c r="H3682" s="891" t="n">
        <f aca="false">E3682*F3682*G3682</f>
        <v>4200000</v>
      </c>
      <c r="I3682" s="891" t="n">
        <f aca="false">F3682-H3682</f>
        <v>-1200000</v>
      </c>
      <c r="J3682" s="1365" t="n">
        <f aca="false">F3682*G3682</f>
        <v>300000</v>
      </c>
      <c r="K3682" s="1365" t="n">
        <f aca="false">J3682/1792.8</f>
        <v>167.336010709505</v>
      </c>
      <c r="L3682" s="891" t="n">
        <v>240</v>
      </c>
      <c r="M3682" s="1273" t="n">
        <f aca="false">K3682*L3682/60</f>
        <v>669.344042838019</v>
      </c>
    </row>
    <row r="3683" customFormat="false" ht="15" hidden="false" customHeight="false" outlineLevel="0" collapsed="false">
      <c r="A3683" s="28"/>
      <c r="B3683" s="78"/>
      <c r="C3683" s="40" t="s">
        <v>7159</v>
      </c>
      <c r="D3683" s="316" t="n">
        <v>2007</v>
      </c>
      <c r="E3683" s="912" t="n">
        <f aca="false">2021-D3683</f>
        <v>14</v>
      </c>
      <c r="F3683" s="891" t="n">
        <v>68000</v>
      </c>
      <c r="G3683" s="1364" t="n">
        <v>0.1</v>
      </c>
      <c r="H3683" s="891" t="n">
        <f aca="false">E3683*F3683*G3683</f>
        <v>95200</v>
      </c>
      <c r="I3683" s="891" t="n">
        <f aca="false">F3683-H3683</f>
        <v>-27200</v>
      </c>
      <c r="J3683" s="1365" t="n">
        <f aca="false">F3683*G3683</f>
        <v>6800</v>
      </c>
      <c r="K3683" s="1365" t="n">
        <f aca="false">J3683/1792.8</f>
        <v>3.79294957608211</v>
      </c>
      <c r="L3683" s="891" t="n">
        <v>10</v>
      </c>
      <c r="M3683" s="1273" t="n">
        <f aca="false">K3683*L3683/60</f>
        <v>0.632158262680351</v>
      </c>
    </row>
    <row r="3684" customFormat="false" ht="15" hidden="false" customHeight="false" outlineLevel="0" collapsed="false">
      <c r="A3684" s="28"/>
      <c r="B3684" s="78"/>
      <c r="C3684" s="40" t="s">
        <v>7179</v>
      </c>
      <c r="D3684" s="316" t="n">
        <v>2007</v>
      </c>
      <c r="E3684" s="912" t="n">
        <f aca="false">2021-D3684</f>
        <v>14</v>
      </c>
      <c r="F3684" s="891" t="n">
        <v>18000</v>
      </c>
      <c r="G3684" s="1364" t="n">
        <v>0.1</v>
      </c>
      <c r="H3684" s="891" t="n">
        <f aca="false">E3684*F3684*G3684</f>
        <v>25200</v>
      </c>
      <c r="I3684" s="891" t="n">
        <f aca="false">F3684-H3684</f>
        <v>-7200</v>
      </c>
      <c r="J3684" s="1365" t="n">
        <f aca="false">F3684*G3684</f>
        <v>1800</v>
      </c>
      <c r="K3684" s="1365" t="n">
        <f aca="false">J3684/1792.8</f>
        <v>1.00401606425703</v>
      </c>
      <c r="L3684" s="891" t="n">
        <v>60</v>
      </c>
      <c r="M3684" s="1273" t="n">
        <f aca="false">K3684*L3684/60</f>
        <v>1.00401606425703</v>
      </c>
    </row>
    <row r="3685" customFormat="false" ht="15" hidden="false" customHeight="false" outlineLevel="0" collapsed="false">
      <c r="A3685" s="28"/>
      <c r="B3685" s="78"/>
      <c r="C3685" s="40" t="s">
        <v>7180</v>
      </c>
      <c r="D3685" s="316" t="n">
        <v>2007</v>
      </c>
      <c r="E3685" s="912" t="n">
        <f aca="false">2021-D3685</f>
        <v>14</v>
      </c>
      <c r="F3685" s="891" t="n">
        <v>60000</v>
      </c>
      <c r="G3685" s="1364" t="n">
        <v>0.1</v>
      </c>
      <c r="H3685" s="891" t="n">
        <f aca="false">E3685*F3685*G3685</f>
        <v>84000</v>
      </c>
      <c r="I3685" s="891" t="n">
        <f aca="false">F3685-H3685</f>
        <v>-24000</v>
      </c>
      <c r="J3685" s="1365" t="n">
        <f aca="false">F3685*G3685</f>
        <v>6000</v>
      </c>
      <c r="K3685" s="1365" t="n">
        <f aca="false">J3685/1792.8</f>
        <v>3.34672021419009</v>
      </c>
      <c r="L3685" s="891" t="n">
        <v>240</v>
      </c>
      <c r="M3685" s="1273" t="n">
        <f aca="false">K3685*L3685/60</f>
        <v>13.3868808567604</v>
      </c>
    </row>
    <row r="3686" customFormat="false" ht="15" hidden="false" customHeight="false" outlineLevel="0" collapsed="false">
      <c r="A3686" s="28"/>
      <c r="B3686" s="78"/>
      <c r="C3686" s="40" t="s">
        <v>7163</v>
      </c>
      <c r="D3686" s="316" t="n">
        <v>1994</v>
      </c>
      <c r="E3686" s="912" t="n">
        <f aca="false">2021-D3686</f>
        <v>27</v>
      </c>
      <c r="F3686" s="891"/>
      <c r="G3686" s="891"/>
      <c r="H3686" s="891" t="n">
        <f aca="false">E3686*F3686*G3686</f>
        <v>0</v>
      </c>
      <c r="I3686" s="891" t="n">
        <f aca="false">F3686-H3686</f>
        <v>0</v>
      </c>
      <c r="J3686" s="1365" t="n">
        <f aca="false">F3686*G3686</f>
        <v>0</v>
      </c>
      <c r="K3686" s="1365" t="n">
        <f aca="false">J3686/1792.8</f>
        <v>0</v>
      </c>
      <c r="L3686" s="891" t="n">
        <v>30</v>
      </c>
      <c r="M3686" s="1273" t="n">
        <f aca="false">K3686*L3686/60</f>
        <v>0</v>
      </c>
    </row>
    <row r="3687" customFormat="false" ht="45" hidden="false" customHeight="false" outlineLevel="0" collapsed="false">
      <c r="A3687" s="28"/>
      <c r="B3687" s="78"/>
      <c r="C3687" s="1502" t="s">
        <v>7181</v>
      </c>
      <c r="D3687" s="1503" t="n">
        <v>2020</v>
      </c>
      <c r="E3687" s="912" t="n">
        <f aca="false">2021-D3687</f>
        <v>1</v>
      </c>
      <c r="F3687" s="1504" t="n">
        <v>16217249.17</v>
      </c>
      <c r="G3687" s="1505" t="n">
        <v>0.1</v>
      </c>
      <c r="H3687" s="1504" t="n">
        <v>1621724.917</v>
      </c>
      <c r="I3687" s="1504" t="n">
        <v>14595524.253</v>
      </c>
      <c r="J3687" s="1504" t="n">
        <v>1459552.4253</v>
      </c>
      <c r="K3687" s="1365" t="n">
        <f aca="false">J3687/1792.8</f>
        <v>814.118934236948</v>
      </c>
      <c r="L3687" s="1506" t="n">
        <v>3.2</v>
      </c>
      <c r="M3687" s="1273" t="n">
        <f aca="false">K3687*L3687/60</f>
        <v>43.4196764926372</v>
      </c>
    </row>
    <row r="3688" customFormat="false" ht="15" hidden="false" customHeight="false" outlineLevel="0" collapsed="false">
      <c r="A3688" s="28"/>
      <c r="B3688" s="972" t="s">
        <v>4128</v>
      </c>
      <c r="C3688" s="1053"/>
      <c r="D3688" s="965"/>
      <c r="E3688" s="912"/>
      <c r="F3688" s="1490"/>
      <c r="G3688" s="1372"/>
      <c r="H3688" s="1490"/>
      <c r="I3688" s="1490"/>
      <c r="J3688" s="1490"/>
      <c r="K3688" s="1365" t="n">
        <f aca="false">J3688/1792.8</f>
        <v>0</v>
      </c>
      <c r="L3688" s="1490"/>
      <c r="M3688" s="1366" t="n">
        <f aca="false">SUM(M3678:M3687)</f>
        <v>795.046554374535</v>
      </c>
    </row>
    <row r="3689" customFormat="false" ht="30" hidden="false" customHeight="false" outlineLevel="0" collapsed="false">
      <c r="A3689" s="28" t="s">
        <v>1884</v>
      </c>
      <c r="B3689" s="40" t="s">
        <v>3678</v>
      </c>
      <c r="C3689" s="40" t="s">
        <v>7154</v>
      </c>
      <c r="D3689" s="316" t="n">
        <v>2007</v>
      </c>
      <c r="E3689" s="912" t="n">
        <f aca="false">2021-D3689</f>
        <v>14</v>
      </c>
      <c r="F3689" s="891" t="n">
        <v>407000</v>
      </c>
      <c r="G3689" s="1364" t="n">
        <v>0.1</v>
      </c>
      <c r="H3689" s="891" t="n">
        <f aca="false">E3689*F3689*G3689</f>
        <v>569800</v>
      </c>
      <c r="I3689" s="891" t="n">
        <f aca="false">F3689-H3689</f>
        <v>-162800</v>
      </c>
      <c r="J3689" s="1365" t="n">
        <f aca="false">F3689*G3689</f>
        <v>40700</v>
      </c>
      <c r="K3689" s="1365" t="n">
        <f aca="false">J3689/1792.8</f>
        <v>22.7019187862561</v>
      </c>
      <c r="L3689" s="891" t="n">
        <v>20</v>
      </c>
      <c r="M3689" s="1273" t="n">
        <f aca="false">K3689*L3689/60</f>
        <v>7.56730626208538</v>
      </c>
    </row>
    <row r="3690" customFormat="false" ht="15" hidden="false" customHeight="false" outlineLevel="0" collapsed="false">
      <c r="A3690" s="28"/>
      <c r="B3690" s="40"/>
      <c r="C3690" s="40" t="s">
        <v>7155</v>
      </c>
      <c r="D3690" s="316" t="n">
        <v>2007</v>
      </c>
      <c r="E3690" s="912" t="n">
        <f aca="false">2021-D3690</f>
        <v>14</v>
      </c>
      <c r="F3690" s="891" t="n">
        <v>810000</v>
      </c>
      <c r="G3690" s="1364" t="n">
        <v>0.1</v>
      </c>
      <c r="H3690" s="891" t="n">
        <f aca="false">E3690*F3690*G3690</f>
        <v>1134000</v>
      </c>
      <c r="I3690" s="891" t="n">
        <f aca="false">F3690-H3690</f>
        <v>-324000</v>
      </c>
      <c r="J3690" s="1365" t="n">
        <f aca="false">F3690*G3690</f>
        <v>81000</v>
      </c>
      <c r="K3690" s="1365" t="n">
        <f aca="false">J3690/1792.8</f>
        <v>45.1807228915663</v>
      </c>
      <c r="L3690" s="891" t="n">
        <v>4.8</v>
      </c>
      <c r="M3690" s="1273" t="n">
        <f aca="false">K3690*L3690/60</f>
        <v>3.6144578313253</v>
      </c>
    </row>
    <row r="3691" customFormat="false" ht="15" hidden="false" customHeight="false" outlineLevel="0" collapsed="false">
      <c r="A3691" s="28"/>
      <c r="B3691" s="40"/>
      <c r="C3691" s="40" t="s">
        <v>7156</v>
      </c>
      <c r="D3691" s="316" t="n">
        <v>2015</v>
      </c>
      <c r="E3691" s="912" t="n">
        <f aca="false">2021-D3691</f>
        <v>6</v>
      </c>
      <c r="F3691" s="891" t="n">
        <v>694025</v>
      </c>
      <c r="G3691" s="1364" t="n">
        <v>0.1</v>
      </c>
      <c r="H3691" s="891" t="n">
        <f aca="false">E3691*F3691*G3691</f>
        <v>416415</v>
      </c>
      <c r="I3691" s="891" t="n">
        <f aca="false">F3691-H3691</f>
        <v>277610</v>
      </c>
      <c r="J3691" s="1365" t="n">
        <f aca="false">F3691*G3691</f>
        <v>69402.5</v>
      </c>
      <c r="K3691" s="1365" t="n">
        <f aca="false">J3691/1792.8</f>
        <v>38.711791610888</v>
      </c>
      <c r="L3691" s="891" t="n">
        <v>18</v>
      </c>
      <c r="M3691" s="1273" t="n">
        <f aca="false">K3691*L3691/60</f>
        <v>11.6135374832664</v>
      </c>
    </row>
    <row r="3692" customFormat="false" ht="15" hidden="false" customHeight="false" outlineLevel="0" collapsed="false">
      <c r="A3692" s="28"/>
      <c r="B3692" s="40"/>
      <c r="C3692" s="40" t="s">
        <v>7157</v>
      </c>
      <c r="D3692" s="316" t="n">
        <v>2006</v>
      </c>
      <c r="E3692" s="912" t="n">
        <f aca="false">2021-D3692</f>
        <v>15</v>
      </c>
      <c r="F3692" s="891" t="n">
        <v>77000</v>
      </c>
      <c r="G3692" s="1364" t="n">
        <v>0.05</v>
      </c>
      <c r="H3692" s="891" t="n">
        <f aca="false">E3692*F3692*G3692</f>
        <v>57750</v>
      </c>
      <c r="I3692" s="891" t="n">
        <f aca="false">F3692-H3692</f>
        <v>19250</v>
      </c>
      <c r="J3692" s="1365" t="n">
        <f aca="false">F3692*G3692</f>
        <v>3850</v>
      </c>
      <c r="K3692" s="1365" t="n">
        <f aca="false">J3692/1792.8</f>
        <v>2.14747880410531</v>
      </c>
      <c r="L3692" s="891" t="n">
        <v>9.6</v>
      </c>
      <c r="M3692" s="1273" t="n">
        <f aca="false">K3692*L3692/60</f>
        <v>0.34359660865685</v>
      </c>
    </row>
    <row r="3693" customFormat="false" ht="15" hidden="false" customHeight="false" outlineLevel="0" collapsed="false">
      <c r="A3693" s="28"/>
      <c r="B3693" s="40"/>
      <c r="C3693" s="40" t="s">
        <v>7158</v>
      </c>
      <c r="D3693" s="316" t="n">
        <v>2007</v>
      </c>
      <c r="E3693" s="912" t="n">
        <f aca="false">2021-D3693</f>
        <v>14</v>
      </c>
      <c r="F3693" s="891" t="n">
        <v>482500</v>
      </c>
      <c r="G3693" s="1364" t="n">
        <v>0.1</v>
      </c>
      <c r="H3693" s="891" t="n">
        <f aca="false">E3693*F3693*G3693</f>
        <v>675500</v>
      </c>
      <c r="I3693" s="891" t="n">
        <f aca="false">F3693-H3693</f>
        <v>-193000</v>
      </c>
      <c r="J3693" s="1365" t="n">
        <f aca="false">F3693*G3693</f>
        <v>48250</v>
      </c>
      <c r="K3693" s="1365" t="n">
        <f aca="false">J3693/1792.8</f>
        <v>26.913208389112</v>
      </c>
      <c r="L3693" s="891" t="n">
        <v>3.6</v>
      </c>
      <c r="M3693" s="1273" t="n">
        <f aca="false">K3693*L3693/60</f>
        <v>1.61479250334672</v>
      </c>
    </row>
    <row r="3694" customFormat="false" ht="15" hidden="false" customHeight="false" outlineLevel="0" collapsed="false">
      <c r="A3694" s="28"/>
      <c r="B3694" s="78"/>
      <c r="C3694" s="40" t="s">
        <v>7159</v>
      </c>
      <c r="D3694" s="316" t="n">
        <v>2007</v>
      </c>
      <c r="E3694" s="912" t="n">
        <f aca="false">2021-D3694</f>
        <v>14</v>
      </c>
      <c r="F3694" s="891" t="n">
        <v>68000</v>
      </c>
      <c r="G3694" s="1364" t="n">
        <v>0.1</v>
      </c>
      <c r="H3694" s="891" t="n">
        <f aca="false">E3694*F3694*G3694</f>
        <v>95200</v>
      </c>
      <c r="I3694" s="891" t="n">
        <f aca="false">F3694-H3694</f>
        <v>-27200</v>
      </c>
      <c r="J3694" s="1365" t="n">
        <f aca="false">F3694*G3694</f>
        <v>6800</v>
      </c>
      <c r="K3694" s="1365" t="n">
        <f aca="false">J3694/1792.8</f>
        <v>3.79294957608211</v>
      </c>
      <c r="L3694" s="891" t="n">
        <v>9.6</v>
      </c>
      <c r="M3694" s="1273" t="n">
        <f aca="false">K3694*L3694/60</f>
        <v>0.606871932173137</v>
      </c>
    </row>
    <row r="3695" customFormat="false" ht="15" hidden="false" customHeight="false" outlineLevel="0" collapsed="false">
      <c r="A3695" s="28"/>
      <c r="B3695" s="78"/>
      <c r="C3695" s="40" t="s">
        <v>7163</v>
      </c>
      <c r="D3695" s="316" t="n">
        <v>1994</v>
      </c>
      <c r="E3695" s="912" t="n">
        <f aca="false">2021-D3695</f>
        <v>27</v>
      </c>
      <c r="F3695" s="891"/>
      <c r="G3695" s="891"/>
      <c r="H3695" s="891" t="n">
        <f aca="false">E3695*F3695*G3695</f>
        <v>0</v>
      </c>
      <c r="I3695" s="891" t="n">
        <f aca="false">F3695-H3695</f>
        <v>0</v>
      </c>
      <c r="J3695" s="1365" t="n">
        <f aca="false">F3695*G3695</f>
        <v>0</v>
      </c>
      <c r="K3695" s="1365" t="n">
        <f aca="false">J3695/1792.8</f>
        <v>0</v>
      </c>
      <c r="L3695" s="891" t="n">
        <v>5</v>
      </c>
      <c r="M3695" s="1273" t="n">
        <f aca="false">K3695*L3695/60</f>
        <v>0</v>
      </c>
    </row>
    <row r="3696" customFormat="false" ht="15" hidden="false" customHeight="false" outlineLevel="0" collapsed="false">
      <c r="A3696" s="28"/>
      <c r="B3696" s="78"/>
      <c r="C3696" s="40" t="s">
        <v>7161</v>
      </c>
      <c r="D3696" s="316" t="n">
        <v>2007</v>
      </c>
      <c r="E3696" s="912" t="n">
        <f aca="false">2021-D3696</f>
        <v>14</v>
      </c>
      <c r="F3696" s="891" t="n">
        <v>1849800</v>
      </c>
      <c r="G3696" s="1364" t="n">
        <v>0.1</v>
      </c>
      <c r="H3696" s="891" t="n">
        <f aca="false">E3696*F3696*G3696</f>
        <v>2589720</v>
      </c>
      <c r="I3696" s="891" t="n">
        <f aca="false">F3696-H3696</f>
        <v>-739920</v>
      </c>
      <c r="J3696" s="1365" t="n">
        <f aca="false">F3696*G3696</f>
        <v>184980</v>
      </c>
      <c r="K3696" s="1365" t="n">
        <f aca="false">J3696/1792.8</f>
        <v>103.179384203481</v>
      </c>
      <c r="L3696" s="891" t="n">
        <v>5</v>
      </c>
      <c r="M3696" s="1273" t="n">
        <f aca="false">K3696*L3696/60</f>
        <v>8.59828201695672</v>
      </c>
    </row>
    <row r="3697" customFormat="false" ht="15" hidden="false" customHeight="false" outlineLevel="0" collapsed="false">
      <c r="A3697" s="28"/>
      <c r="B3697" s="972" t="s">
        <v>4128</v>
      </c>
      <c r="C3697" s="1053"/>
      <c r="D3697" s="965"/>
      <c r="E3697" s="912"/>
      <c r="F3697" s="1490"/>
      <c r="G3697" s="1490"/>
      <c r="H3697" s="1490"/>
      <c r="I3697" s="1490"/>
      <c r="J3697" s="1490"/>
      <c r="K3697" s="1365" t="n">
        <f aca="false">J3697/1792.8</f>
        <v>0</v>
      </c>
      <c r="L3697" s="1490"/>
      <c r="M3697" s="1366" t="n">
        <f aca="false">SUM(M3689:M3696)</f>
        <v>33.9588446378105</v>
      </c>
    </row>
    <row r="3698" customFormat="false" ht="15" hidden="false" customHeight="false" outlineLevel="0" collapsed="false">
      <c r="A3698" s="1507" t="s">
        <v>1886</v>
      </c>
      <c r="B3698" s="1497" t="s">
        <v>3580</v>
      </c>
      <c r="C3698" s="54"/>
      <c r="D3698" s="907"/>
      <c r="E3698" s="1499"/>
      <c r="F3698" s="1500"/>
      <c r="G3698" s="1391"/>
      <c r="H3698" s="1500"/>
      <c r="I3698" s="1500"/>
      <c r="J3698" s="1500"/>
      <c r="K3698" s="1500"/>
      <c r="L3698" s="1500"/>
      <c r="M3698" s="1392"/>
    </row>
    <row r="3699" customFormat="false" ht="45" hidden="false" customHeight="false" outlineLevel="0" collapsed="false">
      <c r="A3699" s="28" t="s">
        <v>1887</v>
      </c>
      <c r="B3699" s="40" t="s">
        <v>3679</v>
      </c>
      <c r="C3699" s="40" t="s">
        <v>7154</v>
      </c>
      <c r="D3699" s="316" t="n">
        <v>2007</v>
      </c>
      <c r="E3699" s="912" t="n">
        <f aca="false">2021-D3699</f>
        <v>14</v>
      </c>
      <c r="F3699" s="891" t="n">
        <v>407000</v>
      </c>
      <c r="G3699" s="1364" t="n">
        <v>0.1</v>
      </c>
      <c r="H3699" s="891" t="n">
        <f aca="false">E3699*F3699*G3699</f>
        <v>569800</v>
      </c>
      <c r="I3699" s="891" t="n">
        <f aca="false">F3699-H3699</f>
        <v>-162800</v>
      </c>
      <c r="J3699" s="1365" t="n">
        <f aca="false">F3699*G3699</f>
        <v>40700</v>
      </c>
      <c r="K3699" s="1365" t="n">
        <f aca="false">J3699/1792.8</f>
        <v>22.7019187862561</v>
      </c>
      <c r="L3699" s="891" t="n">
        <v>28.8</v>
      </c>
      <c r="M3699" s="1273" t="n">
        <f aca="false">K3699*L3699/60</f>
        <v>10.8969210174029</v>
      </c>
    </row>
    <row r="3700" customFormat="false" ht="15" hidden="false" customHeight="false" outlineLevel="0" collapsed="false">
      <c r="A3700" s="28"/>
      <c r="B3700" s="78"/>
      <c r="C3700" s="40" t="s">
        <v>7155</v>
      </c>
      <c r="D3700" s="316" t="n">
        <v>2007</v>
      </c>
      <c r="E3700" s="912" t="n">
        <f aca="false">2021-D3700</f>
        <v>14</v>
      </c>
      <c r="F3700" s="891" t="n">
        <v>810000</v>
      </c>
      <c r="G3700" s="1364" t="n">
        <v>0.1</v>
      </c>
      <c r="H3700" s="891" t="n">
        <f aca="false">E3700*F3700*G3700</f>
        <v>1134000</v>
      </c>
      <c r="I3700" s="891" t="n">
        <f aca="false">F3700-H3700</f>
        <v>-324000</v>
      </c>
      <c r="J3700" s="1365" t="n">
        <f aca="false">F3700*G3700</f>
        <v>81000</v>
      </c>
      <c r="K3700" s="1365" t="n">
        <f aca="false">J3700/1792.8</f>
        <v>45.1807228915663</v>
      </c>
      <c r="L3700" s="891" t="n">
        <v>4.8</v>
      </c>
      <c r="M3700" s="1273" t="n">
        <f aca="false">K3700*L3700/60</f>
        <v>3.6144578313253</v>
      </c>
    </row>
    <row r="3701" customFormat="false" ht="15" hidden="false" customHeight="false" outlineLevel="0" collapsed="false">
      <c r="A3701" s="28"/>
      <c r="B3701" s="78"/>
      <c r="C3701" s="40" t="s">
        <v>7156</v>
      </c>
      <c r="D3701" s="316" t="n">
        <v>2015</v>
      </c>
      <c r="E3701" s="912" t="n">
        <f aca="false">2021-D3701</f>
        <v>6</v>
      </c>
      <c r="F3701" s="891" t="n">
        <v>694025</v>
      </c>
      <c r="G3701" s="1364" t="n">
        <v>0.1</v>
      </c>
      <c r="H3701" s="891" t="n">
        <f aca="false">E3701*F3701*G3701</f>
        <v>416415</v>
      </c>
      <c r="I3701" s="891" t="n">
        <f aca="false">F3701-H3701</f>
        <v>277610</v>
      </c>
      <c r="J3701" s="1365" t="n">
        <f aca="false">F3701*G3701</f>
        <v>69402.5</v>
      </c>
      <c r="K3701" s="1365" t="n">
        <f aca="false">J3701/1792.8</f>
        <v>38.711791610888</v>
      </c>
      <c r="L3701" s="891" t="n">
        <v>18</v>
      </c>
      <c r="M3701" s="1273" t="n">
        <f aca="false">K3701*L3701/60</f>
        <v>11.6135374832664</v>
      </c>
    </row>
    <row r="3702" customFormat="false" ht="15" hidden="false" customHeight="false" outlineLevel="0" collapsed="false">
      <c r="A3702" s="28"/>
      <c r="B3702" s="78"/>
      <c r="C3702" s="40" t="s">
        <v>7157</v>
      </c>
      <c r="D3702" s="316" t="n">
        <v>2006</v>
      </c>
      <c r="E3702" s="912" t="n">
        <f aca="false">2021-D3702</f>
        <v>15</v>
      </c>
      <c r="F3702" s="891" t="n">
        <v>77000</v>
      </c>
      <c r="G3702" s="1364" t="n">
        <v>0.05</v>
      </c>
      <c r="H3702" s="891" t="n">
        <f aca="false">E3702*F3702*G3702</f>
        <v>57750</v>
      </c>
      <c r="I3702" s="891" t="n">
        <f aca="false">F3702-H3702</f>
        <v>19250</v>
      </c>
      <c r="J3702" s="1365" t="n">
        <f aca="false">F3702*G3702</f>
        <v>3850</v>
      </c>
      <c r="K3702" s="1365" t="n">
        <f aca="false">J3702/1792.8</f>
        <v>2.14747880410531</v>
      </c>
      <c r="L3702" s="891" t="n">
        <v>9.6</v>
      </c>
      <c r="M3702" s="1273" t="n">
        <f aca="false">K3702*L3702/60</f>
        <v>0.34359660865685</v>
      </c>
    </row>
    <row r="3703" customFormat="false" ht="15" hidden="false" customHeight="false" outlineLevel="0" collapsed="false">
      <c r="A3703" s="28"/>
      <c r="B3703" s="78"/>
      <c r="C3703" s="40" t="s">
        <v>7159</v>
      </c>
      <c r="D3703" s="316" t="n">
        <v>2007</v>
      </c>
      <c r="E3703" s="912" t="n">
        <f aca="false">2021-D3703</f>
        <v>14</v>
      </c>
      <c r="F3703" s="891" t="n">
        <v>68000</v>
      </c>
      <c r="G3703" s="1364" t="n">
        <v>0.1</v>
      </c>
      <c r="H3703" s="891" t="n">
        <f aca="false">E3703*F3703*G3703</f>
        <v>95200</v>
      </c>
      <c r="I3703" s="891" t="n">
        <f aca="false">F3703-H3703</f>
        <v>-27200</v>
      </c>
      <c r="J3703" s="1365" t="n">
        <f aca="false">F3703*G3703</f>
        <v>6800</v>
      </c>
      <c r="K3703" s="1365" t="n">
        <f aca="false">J3703/1792.8</f>
        <v>3.79294957608211</v>
      </c>
      <c r="L3703" s="891" t="n">
        <v>3.6</v>
      </c>
      <c r="M3703" s="1273" t="n">
        <f aca="false">K3703*L3703/60</f>
        <v>0.227576974564926</v>
      </c>
    </row>
    <row r="3704" customFormat="false" ht="15" hidden="false" customHeight="false" outlineLevel="0" collapsed="false">
      <c r="A3704" s="28"/>
      <c r="B3704" s="78"/>
      <c r="C3704" s="40" t="s">
        <v>7161</v>
      </c>
      <c r="D3704" s="316" t="n">
        <v>2007</v>
      </c>
      <c r="E3704" s="912" t="n">
        <f aca="false">2021-D3704</f>
        <v>14</v>
      </c>
      <c r="F3704" s="891" t="n">
        <v>1849800</v>
      </c>
      <c r="G3704" s="1364" t="n">
        <v>0.1</v>
      </c>
      <c r="H3704" s="891" t="n">
        <f aca="false">E3704*F3704*G3704</f>
        <v>2589720</v>
      </c>
      <c r="I3704" s="891" t="n">
        <f aca="false">F3704-H3704</f>
        <v>-739920</v>
      </c>
      <c r="J3704" s="1365" t="n">
        <f aca="false">F3704*G3704</f>
        <v>184980</v>
      </c>
      <c r="K3704" s="1365" t="n">
        <f aca="false">J3704/1792.8</f>
        <v>103.179384203481</v>
      </c>
      <c r="L3704" s="891" t="n">
        <v>5</v>
      </c>
      <c r="M3704" s="1273" t="n">
        <f aca="false">K3704*L3704/60</f>
        <v>8.59828201695672</v>
      </c>
    </row>
    <row r="3705" customFormat="false" ht="15" hidden="false" customHeight="false" outlineLevel="0" collapsed="false">
      <c r="A3705" s="28"/>
      <c r="B3705" s="78"/>
      <c r="C3705" s="40" t="s">
        <v>7158</v>
      </c>
      <c r="D3705" s="316" t="n">
        <v>2007</v>
      </c>
      <c r="E3705" s="912" t="n">
        <f aca="false">2021-D3705</f>
        <v>14</v>
      </c>
      <c r="F3705" s="891" t="n">
        <v>482500</v>
      </c>
      <c r="G3705" s="1364" t="n">
        <v>0.1</v>
      </c>
      <c r="H3705" s="891" t="n">
        <f aca="false">E3705*F3705*G3705</f>
        <v>675500</v>
      </c>
      <c r="I3705" s="891" t="n">
        <f aca="false">F3705-H3705</f>
        <v>-193000</v>
      </c>
      <c r="J3705" s="1365" t="n">
        <f aca="false">F3705*G3705</f>
        <v>48250</v>
      </c>
      <c r="K3705" s="1365" t="n">
        <f aca="false">J3705/1792.8</f>
        <v>26.913208389112</v>
      </c>
      <c r="L3705" s="891" t="n">
        <v>9.6</v>
      </c>
      <c r="M3705" s="1273" t="n">
        <f aca="false">K3705*L3705/60</f>
        <v>4.30611334225792</v>
      </c>
    </row>
    <row r="3706" customFormat="false" ht="15" hidden="false" customHeight="false" outlineLevel="0" collapsed="false">
      <c r="A3706" s="28"/>
      <c r="B3706" s="972" t="s">
        <v>4128</v>
      </c>
      <c r="C3706" s="1053"/>
      <c r="D3706" s="965"/>
      <c r="E3706" s="912"/>
      <c r="F3706" s="1490"/>
      <c r="G3706" s="1490"/>
      <c r="H3706" s="1490"/>
      <c r="I3706" s="1490"/>
      <c r="J3706" s="1490"/>
      <c r="K3706" s="1365" t="n">
        <f aca="false">J3706/1792.8</f>
        <v>0</v>
      </c>
      <c r="L3706" s="1490"/>
      <c r="M3706" s="1366" t="n">
        <f aca="false">SUM(M3699:M3705)</f>
        <v>39.6004852744311</v>
      </c>
    </row>
    <row r="3707" customFormat="false" ht="45" hidden="false" customHeight="false" outlineLevel="0" collapsed="false">
      <c r="A3707" s="28" t="s">
        <v>1889</v>
      </c>
      <c r="B3707" s="40" t="s">
        <v>5909</v>
      </c>
      <c r="C3707" s="40" t="s">
        <v>7154</v>
      </c>
      <c r="D3707" s="316" t="n">
        <v>2007</v>
      </c>
      <c r="E3707" s="912" t="n">
        <f aca="false">2021-D3707</f>
        <v>14</v>
      </c>
      <c r="F3707" s="891" t="n">
        <v>407000</v>
      </c>
      <c r="G3707" s="1364" t="n">
        <v>0.1</v>
      </c>
      <c r="H3707" s="891" t="n">
        <f aca="false">E3707*F3707*G3707</f>
        <v>569800</v>
      </c>
      <c r="I3707" s="891" t="n">
        <f aca="false">F3707-H3707</f>
        <v>-162800</v>
      </c>
      <c r="J3707" s="1365" t="n">
        <f aca="false">F3707*G3707</f>
        <v>40700</v>
      </c>
      <c r="K3707" s="1365" t="n">
        <f aca="false">J3707/1792.8</f>
        <v>22.7019187862561</v>
      </c>
      <c r="L3707" s="891" t="n">
        <v>460.8</v>
      </c>
      <c r="M3707" s="1273" t="n">
        <f aca="false">K3707*L3707/60</f>
        <v>174.350736278447</v>
      </c>
    </row>
    <row r="3708" customFormat="false" ht="15" hidden="false" customHeight="false" outlineLevel="0" collapsed="false">
      <c r="A3708" s="28"/>
      <c r="B3708" s="78"/>
      <c r="C3708" s="40" t="s">
        <v>7155</v>
      </c>
      <c r="D3708" s="316" t="n">
        <v>2007</v>
      </c>
      <c r="E3708" s="912" t="n">
        <f aca="false">2021-D3708</f>
        <v>14</v>
      </c>
      <c r="F3708" s="891" t="n">
        <v>810000</v>
      </c>
      <c r="G3708" s="1364" t="n">
        <v>0.1</v>
      </c>
      <c r="H3708" s="891" t="n">
        <f aca="false">E3708*F3708*G3708</f>
        <v>1134000</v>
      </c>
      <c r="I3708" s="891" t="n">
        <f aca="false">F3708-H3708</f>
        <v>-324000</v>
      </c>
      <c r="J3708" s="1365" t="n">
        <f aca="false">F3708*G3708</f>
        <v>81000</v>
      </c>
      <c r="K3708" s="1365" t="n">
        <f aca="false">J3708/1792.8</f>
        <v>45.1807228915663</v>
      </c>
      <c r="L3708" s="891" t="n">
        <v>4.8</v>
      </c>
      <c r="M3708" s="1273" t="n">
        <f aca="false">K3708*L3708/60</f>
        <v>3.6144578313253</v>
      </c>
    </row>
    <row r="3709" customFormat="false" ht="15" hidden="false" customHeight="false" outlineLevel="0" collapsed="false">
      <c r="A3709" s="28"/>
      <c r="B3709" s="78"/>
      <c r="C3709" s="40" t="s">
        <v>7156</v>
      </c>
      <c r="D3709" s="316" t="n">
        <v>2015</v>
      </c>
      <c r="E3709" s="912" t="n">
        <f aca="false">2021-D3709</f>
        <v>6</v>
      </c>
      <c r="F3709" s="891" t="n">
        <v>694025</v>
      </c>
      <c r="G3709" s="1364" t="n">
        <v>0.1</v>
      </c>
      <c r="H3709" s="891" t="n">
        <f aca="false">E3709*F3709*G3709</f>
        <v>416415</v>
      </c>
      <c r="I3709" s="891" t="n">
        <f aca="false">F3709-H3709</f>
        <v>277610</v>
      </c>
      <c r="J3709" s="1365" t="n">
        <f aca="false">F3709*G3709</f>
        <v>69402.5</v>
      </c>
      <c r="K3709" s="1365" t="n">
        <f aca="false">J3709/1792.8</f>
        <v>38.711791610888</v>
      </c>
      <c r="L3709" s="891" t="n">
        <v>18</v>
      </c>
      <c r="M3709" s="1273" t="n">
        <f aca="false">K3709*L3709/60</f>
        <v>11.6135374832664</v>
      </c>
    </row>
    <row r="3710" customFormat="false" ht="15" hidden="false" customHeight="false" outlineLevel="0" collapsed="false">
      <c r="A3710" s="28"/>
      <c r="B3710" s="78"/>
      <c r="C3710" s="40" t="s">
        <v>7157</v>
      </c>
      <c r="D3710" s="316" t="n">
        <v>2006</v>
      </c>
      <c r="E3710" s="912" t="n">
        <f aca="false">2021-D3710</f>
        <v>15</v>
      </c>
      <c r="F3710" s="891" t="n">
        <v>77000</v>
      </c>
      <c r="G3710" s="1364" t="n">
        <v>0.05</v>
      </c>
      <c r="H3710" s="891" t="n">
        <f aca="false">E3710*F3710*G3710</f>
        <v>57750</v>
      </c>
      <c r="I3710" s="891" t="n">
        <f aca="false">F3710-H3710</f>
        <v>19250</v>
      </c>
      <c r="J3710" s="1365" t="n">
        <f aca="false">F3710*G3710</f>
        <v>3850</v>
      </c>
      <c r="K3710" s="1365" t="n">
        <f aca="false">J3710/1792.8</f>
        <v>2.14747880410531</v>
      </c>
      <c r="L3710" s="891" t="n">
        <v>9.6</v>
      </c>
      <c r="M3710" s="1273" t="n">
        <f aca="false">K3710*L3710/60</f>
        <v>0.34359660865685</v>
      </c>
    </row>
    <row r="3711" customFormat="false" ht="15" hidden="false" customHeight="false" outlineLevel="0" collapsed="false">
      <c r="A3711" s="28"/>
      <c r="B3711" s="78"/>
      <c r="C3711" s="40" t="s">
        <v>7158</v>
      </c>
      <c r="D3711" s="316" t="n">
        <v>2007</v>
      </c>
      <c r="E3711" s="912" t="n">
        <f aca="false">2021-D3711</f>
        <v>14</v>
      </c>
      <c r="F3711" s="891" t="n">
        <v>482500</v>
      </c>
      <c r="G3711" s="1364" t="n">
        <v>0.1</v>
      </c>
      <c r="H3711" s="891" t="n">
        <f aca="false">E3711*F3711*G3711</f>
        <v>675500</v>
      </c>
      <c r="I3711" s="891" t="n">
        <f aca="false">F3711-H3711</f>
        <v>-193000</v>
      </c>
      <c r="J3711" s="1365" t="n">
        <f aca="false">F3711*G3711</f>
        <v>48250</v>
      </c>
      <c r="K3711" s="1365" t="n">
        <f aca="false">J3711/1792.8</f>
        <v>26.913208389112</v>
      </c>
      <c r="L3711" s="891" t="n">
        <v>9.6</v>
      </c>
      <c r="M3711" s="1273" t="n">
        <f aca="false">K3711*L3711/60</f>
        <v>4.30611334225792</v>
      </c>
    </row>
    <row r="3712" customFormat="false" ht="15" hidden="false" customHeight="false" outlineLevel="0" collapsed="false">
      <c r="A3712" s="28"/>
      <c r="B3712" s="78"/>
      <c r="C3712" s="40" t="s">
        <v>7159</v>
      </c>
      <c r="D3712" s="316" t="n">
        <v>2007</v>
      </c>
      <c r="E3712" s="912" t="n">
        <f aca="false">2021-D3712</f>
        <v>14</v>
      </c>
      <c r="F3712" s="891" t="n">
        <v>68000</v>
      </c>
      <c r="G3712" s="1364" t="n">
        <v>0.1</v>
      </c>
      <c r="H3712" s="891" t="n">
        <f aca="false">E3712*F3712*G3712</f>
        <v>95200</v>
      </c>
      <c r="I3712" s="891" t="n">
        <f aca="false">F3712-H3712</f>
        <v>-27200</v>
      </c>
      <c r="J3712" s="1365" t="n">
        <f aca="false">F3712*G3712</f>
        <v>6800</v>
      </c>
      <c r="K3712" s="1365" t="n">
        <f aca="false">J3712/1792.8</f>
        <v>3.79294957608211</v>
      </c>
      <c r="L3712" s="891" t="n">
        <v>3.6</v>
      </c>
      <c r="M3712" s="1273" t="n">
        <f aca="false">K3712*L3712/60</f>
        <v>0.227576974564926</v>
      </c>
    </row>
    <row r="3713" customFormat="false" ht="15" hidden="false" customHeight="false" outlineLevel="0" collapsed="false">
      <c r="A3713" s="28"/>
      <c r="B3713" s="78"/>
      <c r="C3713" s="40" t="s">
        <v>7161</v>
      </c>
      <c r="D3713" s="316" t="n">
        <v>2007</v>
      </c>
      <c r="E3713" s="912" t="n">
        <f aca="false">2021-D3713</f>
        <v>14</v>
      </c>
      <c r="F3713" s="891" t="n">
        <v>1849800</v>
      </c>
      <c r="G3713" s="1364" t="n">
        <v>0.1</v>
      </c>
      <c r="H3713" s="891" t="n">
        <f aca="false">E3713*F3713*G3713</f>
        <v>2589720</v>
      </c>
      <c r="I3713" s="891" t="n">
        <f aca="false">F3713-H3713</f>
        <v>-739920</v>
      </c>
      <c r="J3713" s="1365" t="n">
        <f aca="false">F3713*G3713</f>
        <v>184980</v>
      </c>
      <c r="K3713" s="1365" t="n">
        <f aca="false">J3713/1792.8</f>
        <v>103.179384203481</v>
      </c>
      <c r="L3713" s="891" t="n">
        <v>5</v>
      </c>
      <c r="M3713" s="1273" t="n">
        <f aca="false">K3713*L3713/60</f>
        <v>8.59828201695672</v>
      </c>
    </row>
    <row r="3714" customFormat="false" ht="15" hidden="false" customHeight="false" outlineLevel="0" collapsed="false">
      <c r="A3714" s="28"/>
      <c r="B3714" s="972" t="s">
        <v>4128</v>
      </c>
      <c r="C3714" s="1053"/>
      <c r="D3714" s="965"/>
      <c r="E3714" s="912"/>
      <c r="F3714" s="1490"/>
      <c r="G3714" s="1372"/>
      <c r="H3714" s="1490"/>
      <c r="I3714" s="1490"/>
      <c r="J3714" s="1490"/>
      <c r="K3714" s="1365" t="n">
        <f aca="false">J3714/1792.8</f>
        <v>0</v>
      </c>
      <c r="L3714" s="1490"/>
      <c r="M3714" s="1366" t="n">
        <f aca="false">SUM(M3707:M3713)</f>
        <v>203.054300535475</v>
      </c>
    </row>
    <row r="3715" customFormat="false" ht="30" hidden="false" customHeight="false" outlineLevel="0" collapsed="false">
      <c r="A3715" s="28" t="s">
        <v>1891</v>
      </c>
      <c r="B3715" s="40" t="s">
        <v>3681</v>
      </c>
      <c r="C3715" s="40" t="s">
        <v>7154</v>
      </c>
      <c r="D3715" s="316" t="n">
        <v>2007</v>
      </c>
      <c r="E3715" s="912" t="n">
        <f aca="false">2021-D3715</f>
        <v>14</v>
      </c>
      <c r="F3715" s="891" t="n">
        <v>407000</v>
      </c>
      <c r="G3715" s="1364" t="n">
        <v>0.1</v>
      </c>
      <c r="H3715" s="891" t="n">
        <f aca="false">E3715*F3715*G3715</f>
        <v>569800</v>
      </c>
      <c r="I3715" s="891" t="n">
        <f aca="false">F3715-H3715</f>
        <v>-162800</v>
      </c>
      <c r="J3715" s="1365" t="n">
        <f aca="false">F3715*G3715</f>
        <v>40700</v>
      </c>
      <c r="K3715" s="1365" t="n">
        <f aca="false">J3715/1792.8</f>
        <v>22.7019187862561</v>
      </c>
      <c r="L3715" s="891" t="n">
        <v>403.2</v>
      </c>
      <c r="M3715" s="1273" t="n">
        <f aca="false">K3715*L3715/60</f>
        <v>152.556894243641</v>
      </c>
    </row>
    <row r="3716" customFormat="false" ht="15" hidden="false" customHeight="false" outlineLevel="0" collapsed="false">
      <c r="A3716" s="28"/>
      <c r="B3716" s="78"/>
      <c r="C3716" s="40" t="s">
        <v>7155</v>
      </c>
      <c r="D3716" s="316" t="n">
        <v>2007</v>
      </c>
      <c r="E3716" s="912" t="n">
        <f aca="false">2021-D3716</f>
        <v>14</v>
      </c>
      <c r="F3716" s="891" t="n">
        <v>810000</v>
      </c>
      <c r="G3716" s="1364" t="n">
        <v>0.1</v>
      </c>
      <c r="H3716" s="891" t="n">
        <f aca="false">E3716*F3716*G3716</f>
        <v>1134000</v>
      </c>
      <c r="I3716" s="891" t="n">
        <f aca="false">F3716-H3716</f>
        <v>-324000</v>
      </c>
      <c r="J3716" s="1365" t="n">
        <f aca="false">F3716*G3716</f>
        <v>81000</v>
      </c>
      <c r="K3716" s="1365" t="n">
        <f aca="false">J3716/1792.8</f>
        <v>45.1807228915663</v>
      </c>
      <c r="L3716" s="891" t="n">
        <v>4.8</v>
      </c>
      <c r="M3716" s="1273" t="n">
        <f aca="false">K3716*L3716/60</f>
        <v>3.6144578313253</v>
      </c>
    </row>
    <row r="3717" customFormat="false" ht="15" hidden="false" customHeight="false" outlineLevel="0" collapsed="false">
      <c r="A3717" s="28"/>
      <c r="B3717" s="78"/>
      <c r="C3717" s="40" t="s">
        <v>7156</v>
      </c>
      <c r="D3717" s="316" t="n">
        <v>2015</v>
      </c>
      <c r="E3717" s="912" t="n">
        <f aca="false">2021-D3717</f>
        <v>6</v>
      </c>
      <c r="F3717" s="891" t="n">
        <v>694025</v>
      </c>
      <c r="G3717" s="1364" t="n">
        <v>0.1</v>
      </c>
      <c r="H3717" s="891" t="n">
        <f aca="false">E3717*F3717*G3717</f>
        <v>416415</v>
      </c>
      <c r="I3717" s="891" t="n">
        <f aca="false">F3717-H3717</f>
        <v>277610</v>
      </c>
      <c r="J3717" s="1365" t="n">
        <f aca="false">F3717*G3717</f>
        <v>69402.5</v>
      </c>
      <c r="K3717" s="1365" t="n">
        <f aca="false">J3717/1792.8</f>
        <v>38.711791610888</v>
      </c>
      <c r="L3717" s="891" t="n">
        <v>18</v>
      </c>
      <c r="M3717" s="1273" t="n">
        <f aca="false">K3717*L3717/60</f>
        <v>11.6135374832664</v>
      </c>
    </row>
    <row r="3718" customFormat="false" ht="15" hidden="false" customHeight="false" outlineLevel="0" collapsed="false">
      <c r="A3718" s="28"/>
      <c r="B3718" s="78"/>
      <c r="C3718" s="40" t="s">
        <v>7157</v>
      </c>
      <c r="D3718" s="316" t="n">
        <v>2006</v>
      </c>
      <c r="E3718" s="912" t="n">
        <f aca="false">2021-D3718</f>
        <v>15</v>
      </c>
      <c r="F3718" s="891" t="n">
        <v>77000</v>
      </c>
      <c r="G3718" s="1364" t="n">
        <v>0.05</v>
      </c>
      <c r="H3718" s="891" t="n">
        <f aca="false">E3718*F3718*G3718</f>
        <v>57750</v>
      </c>
      <c r="I3718" s="891" t="n">
        <f aca="false">F3718-H3718</f>
        <v>19250</v>
      </c>
      <c r="J3718" s="1365" t="n">
        <f aca="false">F3718*G3718</f>
        <v>3850</v>
      </c>
      <c r="K3718" s="1365" t="n">
        <f aca="false">J3718/1792.8</f>
        <v>2.14747880410531</v>
      </c>
      <c r="L3718" s="891" t="n">
        <v>9.6</v>
      </c>
      <c r="M3718" s="1273" t="n">
        <f aca="false">K3718*L3718/60</f>
        <v>0.34359660865685</v>
      </c>
    </row>
    <row r="3719" customFormat="false" ht="15" hidden="false" customHeight="false" outlineLevel="0" collapsed="false">
      <c r="A3719" s="28"/>
      <c r="B3719" s="78"/>
      <c r="C3719" s="40" t="s">
        <v>7158</v>
      </c>
      <c r="D3719" s="316" t="n">
        <v>2007</v>
      </c>
      <c r="E3719" s="912" t="n">
        <f aca="false">2021-D3719</f>
        <v>14</v>
      </c>
      <c r="F3719" s="891" t="n">
        <v>482500</v>
      </c>
      <c r="G3719" s="1364" t="n">
        <v>0.1</v>
      </c>
      <c r="H3719" s="891" t="n">
        <f aca="false">E3719*F3719*G3719</f>
        <v>675500</v>
      </c>
      <c r="I3719" s="891" t="n">
        <f aca="false">F3719-H3719</f>
        <v>-193000</v>
      </c>
      <c r="J3719" s="1365" t="n">
        <f aca="false">F3719*G3719</f>
        <v>48250</v>
      </c>
      <c r="K3719" s="1365" t="n">
        <f aca="false">J3719/1792.8</f>
        <v>26.913208389112</v>
      </c>
      <c r="L3719" s="891" t="n">
        <v>9.6</v>
      </c>
      <c r="M3719" s="1273" t="n">
        <f aca="false">K3719*L3719/60</f>
        <v>4.30611334225792</v>
      </c>
    </row>
    <row r="3720" customFormat="false" ht="15" hidden="false" customHeight="false" outlineLevel="0" collapsed="false">
      <c r="A3720" s="28"/>
      <c r="B3720" s="78"/>
      <c r="C3720" s="40" t="s">
        <v>7159</v>
      </c>
      <c r="D3720" s="316" t="n">
        <v>2007</v>
      </c>
      <c r="E3720" s="912" t="n">
        <f aca="false">2021-D3720</f>
        <v>14</v>
      </c>
      <c r="F3720" s="891" t="n">
        <v>68000</v>
      </c>
      <c r="G3720" s="1364" t="n">
        <v>0.1</v>
      </c>
      <c r="H3720" s="891" t="n">
        <f aca="false">E3720*F3720*G3720</f>
        <v>95200</v>
      </c>
      <c r="I3720" s="891" t="n">
        <f aca="false">F3720-H3720</f>
        <v>-27200</v>
      </c>
      <c r="J3720" s="1365" t="n">
        <f aca="false">F3720*G3720</f>
        <v>6800</v>
      </c>
      <c r="K3720" s="1365" t="n">
        <f aca="false">J3720/1792.8</f>
        <v>3.79294957608211</v>
      </c>
      <c r="L3720" s="891" t="n">
        <v>3.6</v>
      </c>
      <c r="M3720" s="1273" t="n">
        <f aca="false">K3720*L3720/60</f>
        <v>0.227576974564926</v>
      </c>
    </row>
    <row r="3721" customFormat="false" ht="15" hidden="false" customHeight="false" outlineLevel="0" collapsed="false">
      <c r="A3721" s="28"/>
      <c r="B3721" s="78"/>
      <c r="C3721" s="40" t="s">
        <v>7161</v>
      </c>
      <c r="D3721" s="316" t="n">
        <v>2007</v>
      </c>
      <c r="E3721" s="912" t="n">
        <f aca="false">2021-D3721</f>
        <v>14</v>
      </c>
      <c r="F3721" s="891" t="n">
        <v>1849800</v>
      </c>
      <c r="G3721" s="1364" t="n">
        <v>0.1</v>
      </c>
      <c r="H3721" s="891" t="n">
        <f aca="false">E3721*F3721*G3721</f>
        <v>2589720</v>
      </c>
      <c r="I3721" s="891" t="n">
        <f aca="false">F3721-H3721</f>
        <v>-739920</v>
      </c>
      <c r="J3721" s="1365" t="n">
        <f aca="false">F3721*G3721</f>
        <v>184980</v>
      </c>
      <c r="K3721" s="1365" t="n">
        <f aca="false">J3721/1792.8</f>
        <v>103.179384203481</v>
      </c>
      <c r="L3721" s="891" t="n">
        <v>5</v>
      </c>
      <c r="M3721" s="1273" t="n">
        <f aca="false">K3721*L3721/60</f>
        <v>8.59828201695672</v>
      </c>
    </row>
    <row r="3722" customFormat="false" ht="15" hidden="false" customHeight="false" outlineLevel="0" collapsed="false">
      <c r="A3722" s="28"/>
      <c r="B3722" s="972" t="s">
        <v>4128</v>
      </c>
      <c r="C3722" s="1053"/>
      <c r="D3722" s="965"/>
      <c r="E3722" s="912"/>
      <c r="F3722" s="1490"/>
      <c r="G3722" s="1372"/>
      <c r="H3722" s="1490"/>
      <c r="I3722" s="1490"/>
      <c r="J3722" s="1490"/>
      <c r="K3722" s="1365" t="n">
        <f aca="false">J3722/1792.8</f>
        <v>0</v>
      </c>
      <c r="L3722" s="1490"/>
      <c r="M3722" s="1366" t="n">
        <f aca="false">SUM(M3715:M3721)</f>
        <v>181.260458500669</v>
      </c>
    </row>
    <row r="3723" customFormat="false" ht="30" hidden="false" customHeight="false" outlineLevel="0" collapsed="false">
      <c r="A3723" s="28" t="s">
        <v>1893</v>
      </c>
      <c r="B3723" s="40" t="s">
        <v>3682</v>
      </c>
      <c r="C3723" s="40" t="s">
        <v>7154</v>
      </c>
      <c r="D3723" s="316" t="n">
        <v>2007</v>
      </c>
      <c r="E3723" s="912" t="n">
        <f aca="false">2021-D3723</f>
        <v>14</v>
      </c>
      <c r="F3723" s="891" t="n">
        <v>407000</v>
      </c>
      <c r="G3723" s="1364" t="n">
        <v>0.1</v>
      </c>
      <c r="H3723" s="891" t="n">
        <f aca="false">E3723*F3723*G3723</f>
        <v>569800</v>
      </c>
      <c r="I3723" s="891" t="n">
        <f aca="false">F3723-H3723</f>
        <v>-162800</v>
      </c>
      <c r="J3723" s="1365" t="n">
        <f aca="false">F3723*G3723</f>
        <v>40700</v>
      </c>
      <c r="K3723" s="1365" t="n">
        <f aca="false">J3723/1792.8</f>
        <v>22.7019187862561</v>
      </c>
      <c r="L3723" s="891" t="n">
        <v>403.2</v>
      </c>
      <c r="M3723" s="1273" t="n">
        <f aca="false">K3723*L3723/60</f>
        <v>152.556894243641</v>
      </c>
    </row>
    <row r="3724" customFormat="false" ht="15" hidden="false" customHeight="false" outlineLevel="0" collapsed="false">
      <c r="A3724" s="28"/>
      <c r="B3724" s="78"/>
      <c r="C3724" s="40" t="s">
        <v>7155</v>
      </c>
      <c r="D3724" s="316" t="n">
        <v>2007</v>
      </c>
      <c r="E3724" s="912" t="n">
        <f aca="false">2021-D3724</f>
        <v>14</v>
      </c>
      <c r="F3724" s="891" t="n">
        <v>810000</v>
      </c>
      <c r="G3724" s="1364" t="n">
        <v>0.1</v>
      </c>
      <c r="H3724" s="891" t="n">
        <f aca="false">E3724*F3724*G3724</f>
        <v>1134000</v>
      </c>
      <c r="I3724" s="891" t="n">
        <f aca="false">F3724-H3724</f>
        <v>-324000</v>
      </c>
      <c r="J3724" s="1365" t="n">
        <f aca="false">F3724*G3724</f>
        <v>81000</v>
      </c>
      <c r="K3724" s="1365" t="n">
        <f aca="false">J3724/1792.8</f>
        <v>45.1807228915663</v>
      </c>
      <c r="L3724" s="891" t="n">
        <v>4.8</v>
      </c>
      <c r="M3724" s="1273" t="n">
        <f aca="false">K3724*L3724/60</f>
        <v>3.6144578313253</v>
      </c>
    </row>
    <row r="3725" customFormat="false" ht="15" hidden="false" customHeight="false" outlineLevel="0" collapsed="false">
      <c r="A3725" s="28"/>
      <c r="B3725" s="78"/>
      <c r="C3725" s="40" t="s">
        <v>7160</v>
      </c>
      <c r="D3725" s="316" t="n">
        <v>1994</v>
      </c>
      <c r="E3725" s="912" t="n">
        <f aca="false">2021-D3725</f>
        <v>27</v>
      </c>
      <c r="F3725" s="891" t="n">
        <v>156540</v>
      </c>
      <c r="G3725" s="1364" t="n">
        <v>0.1</v>
      </c>
      <c r="H3725" s="891" t="n">
        <v>156540</v>
      </c>
      <c r="I3725" s="891" t="n">
        <f aca="false">F3725-H3725</f>
        <v>0</v>
      </c>
      <c r="J3725" s="1365" t="n">
        <f aca="false">F3725*G3725</f>
        <v>15654</v>
      </c>
      <c r="K3725" s="1365" t="n">
        <f aca="false">J3725/1792.8</f>
        <v>8.73159303882196</v>
      </c>
      <c r="L3725" s="891" t="n">
        <v>5</v>
      </c>
      <c r="M3725" s="1273" t="n">
        <f aca="false">K3725*L3725/60</f>
        <v>0.727632753235163</v>
      </c>
    </row>
    <row r="3726" customFormat="false" ht="15" hidden="false" customHeight="false" outlineLevel="0" collapsed="false">
      <c r="A3726" s="28"/>
      <c r="B3726" s="78"/>
      <c r="C3726" s="40" t="s">
        <v>7158</v>
      </c>
      <c r="D3726" s="316" t="n">
        <v>2007</v>
      </c>
      <c r="E3726" s="912" t="n">
        <f aca="false">2021-D3726</f>
        <v>14</v>
      </c>
      <c r="F3726" s="891" t="n">
        <v>482500</v>
      </c>
      <c r="G3726" s="1364" t="n">
        <v>0.1</v>
      </c>
      <c r="H3726" s="891" t="n">
        <f aca="false">E3726*F3726*G3726</f>
        <v>675500</v>
      </c>
      <c r="I3726" s="891" t="n">
        <f aca="false">F3726-H3726</f>
        <v>-193000</v>
      </c>
      <c r="J3726" s="1365" t="n">
        <f aca="false">F3726*G3726</f>
        <v>48250</v>
      </c>
      <c r="K3726" s="1365" t="n">
        <f aca="false">J3726/1792.8</f>
        <v>26.913208389112</v>
      </c>
      <c r="L3726" s="891" t="n">
        <v>9.6</v>
      </c>
      <c r="M3726" s="1273" t="n">
        <f aca="false">K3726*L3726/60</f>
        <v>4.30611334225792</v>
      </c>
    </row>
    <row r="3727" customFormat="false" ht="15" hidden="false" customHeight="false" outlineLevel="0" collapsed="false">
      <c r="A3727" s="28"/>
      <c r="B3727" s="78"/>
      <c r="C3727" s="40" t="s">
        <v>7161</v>
      </c>
      <c r="D3727" s="316" t="n">
        <v>2007</v>
      </c>
      <c r="E3727" s="912" t="n">
        <f aca="false">2021-D3727</f>
        <v>14</v>
      </c>
      <c r="F3727" s="891" t="n">
        <v>1849800</v>
      </c>
      <c r="G3727" s="1364" t="n">
        <v>0.1</v>
      </c>
      <c r="H3727" s="891" t="n">
        <f aca="false">E3727*F3727*G3727</f>
        <v>2589720</v>
      </c>
      <c r="I3727" s="891" t="n">
        <f aca="false">F3727-H3727</f>
        <v>-739920</v>
      </c>
      <c r="J3727" s="1365" t="n">
        <f aca="false">F3727*G3727</f>
        <v>184980</v>
      </c>
      <c r="K3727" s="1365" t="n">
        <f aca="false">J3727/1792.8</f>
        <v>103.179384203481</v>
      </c>
      <c r="L3727" s="891" t="n">
        <v>5</v>
      </c>
      <c r="M3727" s="1273" t="n">
        <f aca="false">K3727*L3727/60</f>
        <v>8.59828201695672</v>
      </c>
    </row>
    <row r="3728" customFormat="false" ht="15" hidden="false" customHeight="false" outlineLevel="0" collapsed="false">
      <c r="A3728" s="28"/>
      <c r="B3728" s="972" t="s">
        <v>4128</v>
      </c>
      <c r="C3728" s="1053"/>
      <c r="D3728" s="965"/>
      <c r="E3728" s="912"/>
      <c r="F3728" s="1490"/>
      <c r="G3728" s="1372"/>
      <c r="H3728" s="1490"/>
      <c r="I3728" s="1490"/>
      <c r="J3728" s="1490"/>
      <c r="K3728" s="1365" t="n">
        <f aca="false">J3728/1792.8</f>
        <v>0</v>
      </c>
      <c r="L3728" s="1490"/>
      <c r="M3728" s="1366" t="n">
        <f aca="false">SUM(M3723:M3727)</f>
        <v>169.803380187416</v>
      </c>
    </row>
    <row r="3729" customFormat="false" ht="60" hidden="false" customHeight="false" outlineLevel="0" collapsed="false">
      <c r="A3729" s="28" t="s">
        <v>1895</v>
      </c>
      <c r="B3729" s="40" t="s">
        <v>3683</v>
      </c>
      <c r="C3729" s="40" t="s">
        <v>7154</v>
      </c>
      <c r="D3729" s="316" t="n">
        <v>2007</v>
      </c>
      <c r="E3729" s="912" t="n">
        <f aca="false">2021-D3729</f>
        <v>14</v>
      </c>
      <c r="F3729" s="891" t="n">
        <v>407000</v>
      </c>
      <c r="G3729" s="1364" t="n">
        <v>0.1</v>
      </c>
      <c r="H3729" s="891" t="n">
        <f aca="false">E3729*F3729*G3729</f>
        <v>569800</v>
      </c>
      <c r="I3729" s="891" t="n">
        <f aca="false">F3729-H3729</f>
        <v>-162800</v>
      </c>
      <c r="J3729" s="1365" t="n">
        <f aca="false">F3729*G3729</f>
        <v>40700</v>
      </c>
      <c r="K3729" s="1365" t="n">
        <f aca="false">J3729/1792.8</f>
        <v>22.7019187862561</v>
      </c>
      <c r="L3729" s="891" t="n">
        <v>28.8</v>
      </c>
      <c r="M3729" s="1273" t="n">
        <f aca="false">K3729*L3729/60</f>
        <v>10.8969210174029</v>
      </c>
    </row>
    <row r="3730" customFormat="false" ht="15" hidden="false" customHeight="false" outlineLevel="0" collapsed="false">
      <c r="A3730" s="28"/>
      <c r="B3730" s="78"/>
      <c r="C3730" s="40" t="s">
        <v>7155</v>
      </c>
      <c r="D3730" s="316" t="n">
        <v>2007</v>
      </c>
      <c r="E3730" s="912" t="n">
        <f aca="false">2021-D3730</f>
        <v>14</v>
      </c>
      <c r="F3730" s="891" t="n">
        <v>810000</v>
      </c>
      <c r="G3730" s="1364" t="n">
        <v>0.1</v>
      </c>
      <c r="H3730" s="891" t="n">
        <f aca="false">E3730*F3730*G3730</f>
        <v>1134000</v>
      </c>
      <c r="I3730" s="891" t="n">
        <f aca="false">F3730-H3730</f>
        <v>-324000</v>
      </c>
      <c r="J3730" s="1365" t="n">
        <f aca="false">F3730*G3730</f>
        <v>81000</v>
      </c>
      <c r="K3730" s="1365" t="n">
        <f aca="false">J3730/1792.8</f>
        <v>45.1807228915663</v>
      </c>
      <c r="L3730" s="891" t="n">
        <v>4.8</v>
      </c>
      <c r="M3730" s="1273" t="n">
        <f aca="false">K3730*L3730/60</f>
        <v>3.6144578313253</v>
      </c>
    </row>
    <row r="3731" customFormat="false" ht="15" hidden="false" customHeight="false" outlineLevel="0" collapsed="false">
      <c r="A3731" s="28"/>
      <c r="B3731" s="78"/>
      <c r="C3731" s="40" t="s">
        <v>7156</v>
      </c>
      <c r="D3731" s="316" t="n">
        <v>2015</v>
      </c>
      <c r="E3731" s="912" t="n">
        <f aca="false">2021-D3731</f>
        <v>6</v>
      </c>
      <c r="F3731" s="891" t="n">
        <v>694025</v>
      </c>
      <c r="G3731" s="1364" t="n">
        <v>0.1</v>
      </c>
      <c r="H3731" s="891" t="n">
        <f aca="false">E3731*F3731*G3731</f>
        <v>416415</v>
      </c>
      <c r="I3731" s="891" t="n">
        <f aca="false">F3731-H3731</f>
        <v>277610</v>
      </c>
      <c r="J3731" s="1365" t="n">
        <f aca="false">F3731*G3731</f>
        <v>69402.5</v>
      </c>
      <c r="K3731" s="1365" t="n">
        <f aca="false">J3731/1792.8</f>
        <v>38.711791610888</v>
      </c>
      <c r="L3731" s="891" t="n">
        <v>18</v>
      </c>
      <c r="M3731" s="1273" t="n">
        <f aca="false">K3731*L3731/60</f>
        <v>11.6135374832664</v>
      </c>
    </row>
    <row r="3732" customFormat="false" ht="15" hidden="false" customHeight="false" outlineLevel="0" collapsed="false">
      <c r="A3732" s="28"/>
      <c r="B3732" s="78"/>
      <c r="C3732" s="40" t="s">
        <v>7157</v>
      </c>
      <c r="D3732" s="316" t="n">
        <v>2006</v>
      </c>
      <c r="E3732" s="912" t="n">
        <f aca="false">2021-D3732</f>
        <v>15</v>
      </c>
      <c r="F3732" s="891" t="n">
        <v>77000</v>
      </c>
      <c r="G3732" s="1364" t="n">
        <v>0.05</v>
      </c>
      <c r="H3732" s="891" t="n">
        <f aca="false">E3732*F3732*G3732</f>
        <v>57750</v>
      </c>
      <c r="I3732" s="891" t="n">
        <f aca="false">F3732-H3732</f>
        <v>19250</v>
      </c>
      <c r="J3732" s="1365" t="n">
        <f aca="false">F3732*G3732</f>
        <v>3850</v>
      </c>
      <c r="K3732" s="1365" t="n">
        <f aca="false">J3732/1792.8</f>
        <v>2.14747880410531</v>
      </c>
      <c r="L3732" s="891" t="n">
        <v>9.6</v>
      </c>
      <c r="M3732" s="1273" t="n">
        <f aca="false">K3732*L3732/60</f>
        <v>0.34359660865685</v>
      </c>
    </row>
    <row r="3733" customFormat="false" ht="15" hidden="false" customHeight="false" outlineLevel="0" collapsed="false">
      <c r="A3733" s="28"/>
      <c r="B3733" s="78"/>
      <c r="C3733" s="40" t="s">
        <v>7158</v>
      </c>
      <c r="D3733" s="316" t="n">
        <v>2007</v>
      </c>
      <c r="E3733" s="912" t="n">
        <f aca="false">2021-D3733</f>
        <v>14</v>
      </c>
      <c r="F3733" s="891" t="n">
        <v>482500</v>
      </c>
      <c r="G3733" s="1364" t="n">
        <v>0.1</v>
      </c>
      <c r="H3733" s="891" t="n">
        <f aca="false">E3733*F3733*G3733</f>
        <v>675500</v>
      </c>
      <c r="I3733" s="891" t="n">
        <f aca="false">F3733-H3733</f>
        <v>-193000</v>
      </c>
      <c r="J3733" s="1365" t="n">
        <f aca="false">F3733*G3733</f>
        <v>48250</v>
      </c>
      <c r="K3733" s="1365" t="n">
        <f aca="false">J3733/1792.8</f>
        <v>26.913208389112</v>
      </c>
      <c r="L3733" s="891" t="n">
        <v>9.6</v>
      </c>
      <c r="M3733" s="1273" t="n">
        <f aca="false">K3733*L3733/60</f>
        <v>4.30611334225792</v>
      </c>
    </row>
    <row r="3734" customFormat="false" ht="15" hidden="false" customHeight="false" outlineLevel="0" collapsed="false">
      <c r="A3734" s="28"/>
      <c r="B3734" s="78"/>
      <c r="C3734" s="40" t="s">
        <v>7159</v>
      </c>
      <c r="D3734" s="316" t="n">
        <v>2007</v>
      </c>
      <c r="E3734" s="912" t="n">
        <f aca="false">2021-D3734</f>
        <v>14</v>
      </c>
      <c r="F3734" s="891" t="n">
        <v>68000</v>
      </c>
      <c r="G3734" s="1364" t="n">
        <v>0.1</v>
      </c>
      <c r="H3734" s="891" t="n">
        <f aca="false">E3734*F3734*G3734</f>
        <v>95200</v>
      </c>
      <c r="I3734" s="891" t="n">
        <f aca="false">F3734-H3734</f>
        <v>-27200</v>
      </c>
      <c r="J3734" s="1365" t="n">
        <f aca="false">F3734*G3734</f>
        <v>6800</v>
      </c>
      <c r="K3734" s="1365" t="n">
        <f aca="false">J3734/1792.8</f>
        <v>3.79294957608211</v>
      </c>
      <c r="L3734" s="891" t="n">
        <v>3.6</v>
      </c>
      <c r="M3734" s="1273" t="n">
        <f aca="false">K3734*L3734/60</f>
        <v>0.227576974564926</v>
      </c>
    </row>
    <row r="3735" customFormat="false" ht="15" hidden="false" customHeight="false" outlineLevel="0" collapsed="false">
      <c r="A3735" s="28"/>
      <c r="B3735" s="78"/>
      <c r="C3735" s="40" t="s">
        <v>7161</v>
      </c>
      <c r="D3735" s="316" t="n">
        <v>2007</v>
      </c>
      <c r="E3735" s="912" t="n">
        <f aca="false">2021-D3735</f>
        <v>14</v>
      </c>
      <c r="F3735" s="891" t="n">
        <v>1849800</v>
      </c>
      <c r="G3735" s="1364" t="n">
        <v>0.1</v>
      </c>
      <c r="H3735" s="891" t="n">
        <f aca="false">E3735*F3735*G3735</f>
        <v>2589720</v>
      </c>
      <c r="I3735" s="891" t="n">
        <f aca="false">F3735-H3735</f>
        <v>-739920</v>
      </c>
      <c r="J3735" s="1365" t="n">
        <f aca="false">F3735*G3735</f>
        <v>184980</v>
      </c>
      <c r="K3735" s="1365" t="n">
        <f aca="false">J3735/1792.8</f>
        <v>103.179384203481</v>
      </c>
      <c r="L3735" s="891" t="n">
        <v>5</v>
      </c>
      <c r="M3735" s="1273" t="n">
        <f aca="false">K3735*L3735/60</f>
        <v>8.59828201695672</v>
      </c>
    </row>
    <row r="3736" customFormat="false" ht="15" hidden="false" customHeight="false" outlineLevel="0" collapsed="false">
      <c r="A3736" s="28"/>
      <c r="B3736" s="972" t="s">
        <v>4128</v>
      </c>
      <c r="C3736" s="1053"/>
      <c r="D3736" s="965"/>
      <c r="E3736" s="912"/>
      <c r="F3736" s="1490"/>
      <c r="G3736" s="1372"/>
      <c r="H3736" s="1490"/>
      <c r="I3736" s="1490"/>
      <c r="J3736" s="1490"/>
      <c r="K3736" s="1365" t="n">
        <f aca="false">J3736/1792.8</f>
        <v>0</v>
      </c>
      <c r="L3736" s="1490"/>
      <c r="M3736" s="1366" t="n">
        <f aca="false">SUM(M3729:M3735)</f>
        <v>39.6004852744311</v>
      </c>
    </row>
    <row r="3737" customFormat="false" ht="60" hidden="false" customHeight="false" outlineLevel="0" collapsed="false">
      <c r="A3737" s="28" t="s">
        <v>1897</v>
      </c>
      <c r="B3737" s="40" t="s">
        <v>3684</v>
      </c>
      <c r="C3737" s="40" t="s">
        <v>7154</v>
      </c>
      <c r="D3737" s="316" t="n">
        <v>2007</v>
      </c>
      <c r="E3737" s="912" t="n">
        <f aca="false">2021-D3737</f>
        <v>14</v>
      </c>
      <c r="F3737" s="891" t="n">
        <v>407000</v>
      </c>
      <c r="G3737" s="1364" t="n">
        <v>0.1</v>
      </c>
      <c r="H3737" s="891" t="n">
        <f aca="false">E3737*F3737*G3737</f>
        <v>569800</v>
      </c>
      <c r="I3737" s="891" t="n">
        <f aca="false">F3737-H3737</f>
        <v>-162800</v>
      </c>
      <c r="J3737" s="1365" t="n">
        <f aca="false">F3737*G3737</f>
        <v>40700</v>
      </c>
      <c r="K3737" s="1365" t="n">
        <f aca="false">J3737/1792.8</f>
        <v>22.7019187862561</v>
      </c>
      <c r="L3737" s="891" t="n">
        <v>28.8</v>
      </c>
      <c r="M3737" s="1273" t="n">
        <f aca="false">K3737*L3737/60</f>
        <v>10.8969210174029</v>
      </c>
    </row>
    <row r="3738" customFormat="false" ht="15" hidden="false" customHeight="false" outlineLevel="0" collapsed="false">
      <c r="A3738" s="28"/>
      <c r="B3738" s="78"/>
      <c r="C3738" s="40" t="s">
        <v>7155</v>
      </c>
      <c r="D3738" s="316" t="n">
        <v>2007</v>
      </c>
      <c r="E3738" s="912" t="n">
        <f aca="false">2021-D3738</f>
        <v>14</v>
      </c>
      <c r="F3738" s="891" t="n">
        <v>810000</v>
      </c>
      <c r="G3738" s="1364" t="n">
        <v>0.1</v>
      </c>
      <c r="H3738" s="891" t="n">
        <f aca="false">E3738*F3738*G3738</f>
        <v>1134000</v>
      </c>
      <c r="I3738" s="891" t="n">
        <f aca="false">F3738-H3738</f>
        <v>-324000</v>
      </c>
      <c r="J3738" s="1365" t="n">
        <f aca="false">F3738*G3738</f>
        <v>81000</v>
      </c>
      <c r="K3738" s="1365" t="n">
        <f aca="false">J3738/1792.8</f>
        <v>45.1807228915663</v>
      </c>
      <c r="L3738" s="891" t="n">
        <v>4.8</v>
      </c>
      <c r="M3738" s="1273" t="n">
        <f aca="false">K3738*L3738/60</f>
        <v>3.6144578313253</v>
      </c>
    </row>
    <row r="3739" customFormat="false" ht="15" hidden="false" customHeight="false" outlineLevel="0" collapsed="false">
      <c r="A3739" s="28"/>
      <c r="B3739" s="78"/>
      <c r="C3739" s="40" t="s">
        <v>7156</v>
      </c>
      <c r="D3739" s="316" t="n">
        <v>2015</v>
      </c>
      <c r="E3739" s="912" t="n">
        <f aca="false">2021-D3739</f>
        <v>6</v>
      </c>
      <c r="F3739" s="891" t="n">
        <v>694025</v>
      </c>
      <c r="G3739" s="1364" t="n">
        <v>0.1</v>
      </c>
      <c r="H3739" s="891" t="n">
        <f aca="false">E3739*F3739*G3739</f>
        <v>416415</v>
      </c>
      <c r="I3739" s="891" t="n">
        <f aca="false">F3739-H3739</f>
        <v>277610</v>
      </c>
      <c r="J3739" s="1365" t="n">
        <f aca="false">F3739*G3739</f>
        <v>69402.5</v>
      </c>
      <c r="K3739" s="1365" t="n">
        <f aca="false">J3739/1792.8</f>
        <v>38.711791610888</v>
      </c>
      <c r="L3739" s="891" t="n">
        <v>18</v>
      </c>
      <c r="M3739" s="1273" t="n">
        <f aca="false">K3739*L3739/60</f>
        <v>11.6135374832664</v>
      </c>
    </row>
    <row r="3740" customFormat="false" ht="15" hidden="false" customHeight="false" outlineLevel="0" collapsed="false">
      <c r="A3740" s="28"/>
      <c r="B3740" s="78"/>
      <c r="C3740" s="40" t="s">
        <v>7157</v>
      </c>
      <c r="D3740" s="316" t="n">
        <v>2006</v>
      </c>
      <c r="E3740" s="912" t="n">
        <f aca="false">2021-D3740</f>
        <v>15</v>
      </c>
      <c r="F3740" s="891" t="n">
        <v>77000</v>
      </c>
      <c r="G3740" s="1364" t="n">
        <v>0.05</v>
      </c>
      <c r="H3740" s="891" t="n">
        <f aca="false">E3740*F3740*G3740</f>
        <v>57750</v>
      </c>
      <c r="I3740" s="891" t="n">
        <f aca="false">F3740-H3740</f>
        <v>19250</v>
      </c>
      <c r="J3740" s="1365" t="n">
        <f aca="false">F3740*G3740</f>
        <v>3850</v>
      </c>
      <c r="K3740" s="1365" t="n">
        <f aca="false">J3740/1792.8</f>
        <v>2.14747880410531</v>
      </c>
      <c r="L3740" s="891" t="n">
        <v>9.6</v>
      </c>
      <c r="M3740" s="1273" t="n">
        <f aca="false">K3740*L3740/60</f>
        <v>0.34359660865685</v>
      </c>
    </row>
    <row r="3741" customFormat="false" ht="15" hidden="false" customHeight="false" outlineLevel="0" collapsed="false">
      <c r="A3741" s="28"/>
      <c r="B3741" s="78"/>
      <c r="C3741" s="40" t="s">
        <v>7158</v>
      </c>
      <c r="D3741" s="316" t="n">
        <v>2007</v>
      </c>
      <c r="E3741" s="912" t="n">
        <f aca="false">2021-D3741</f>
        <v>14</v>
      </c>
      <c r="F3741" s="891" t="n">
        <v>482500</v>
      </c>
      <c r="G3741" s="1364" t="n">
        <v>0.1</v>
      </c>
      <c r="H3741" s="891" t="n">
        <f aca="false">E3741*F3741*G3741</f>
        <v>675500</v>
      </c>
      <c r="I3741" s="891" t="n">
        <f aca="false">F3741-H3741</f>
        <v>-193000</v>
      </c>
      <c r="J3741" s="1365" t="n">
        <f aca="false">F3741*G3741</f>
        <v>48250</v>
      </c>
      <c r="K3741" s="1365" t="n">
        <f aca="false">J3741/1792.8</f>
        <v>26.913208389112</v>
      </c>
      <c r="L3741" s="891" t="n">
        <v>9.6</v>
      </c>
      <c r="M3741" s="1273" t="n">
        <f aca="false">K3741*L3741/60</f>
        <v>4.30611334225792</v>
      </c>
    </row>
    <row r="3742" customFormat="false" ht="15" hidden="false" customHeight="false" outlineLevel="0" collapsed="false">
      <c r="A3742" s="28"/>
      <c r="B3742" s="78"/>
      <c r="C3742" s="40" t="s">
        <v>7159</v>
      </c>
      <c r="D3742" s="316" t="n">
        <v>2007</v>
      </c>
      <c r="E3742" s="912" t="n">
        <f aca="false">2021-D3742</f>
        <v>14</v>
      </c>
      <c r="F3742" s="891" t="n">
        <v>68000</v>
      </c>
      <c r="G3742" s="1364" t="n">
        <v>0.1</v>
      </c>
      <c r="H3742" s="891" t="n">
        <f aca="false">E3742*F3742*G3742</f>
        <v>95200</v>
      </c>
      <c r="I3742" s="891" t="n">
        <f aca="false">F3742-H3742</f>
        <v>-27200</v>
      </c>
      <c r="J3742" s="1365" t="n">
        <f aca="false">F3742*G3742</f>
        <v>6800</v>
      </c>
      <c r="K3742" s="1365" t="n">
        <f aca="false">J3742/1792.8</f>
        <v>3.79294957608211</v>
      </c>
      <c r="L3742" s="891" t="n">
        <v>3.6</v>
      </c>
      <c r="M3742" s="1273" t="n">
        <f aca="false">K3742*L3742/60</f>
        <v>0.227576974564926</v>
      </c>
    </row>
    <row r="3743" customFormat="false" ht="15" hidden="false" customHeight="false" outlineLevel="0" collapsed="false">
      <c r="A3743" s="28"/>
      <c r="B3743" s="78"/>
      <c r="C3743" s="40" t="s">
        <v>7163</v>
      </c>
      <c r="D3743" s="316" t="n">
        <v>1994</v>
      </c>
      <c r="E3743" s="912" t="n">
        <f aca="false">2021-D3743</f>
        <v>27</v>
      </c>
      <c r="F3743" s="891"/>
      <c r="G3743" s="891"/>
      <c r="H3743" s="891" t="n">
        <f aca="false">E3743*F3743*G3743</f>
        <v>0</v>
      </c>
      <c r="I3743" s="891" t="n">
        <f aca="false">F3743-H3743</f>
        <v>0</v>
      </c>
      <c r="J3743" s="1365" t="n">
        <f aca="false">F3743*G3743</f>
        <v>0</v>
      </c>
      <c r="K3743" s="1365" t="n">
        <f aca="false">J3743/1792.8</f>
        <v>0</v>
      </c>
      <c r="L3743" s="891" t="n">
        <v>5</v>
      </c>
      <c r="M3743" s="1273" t="n">
        <f aca="false">K3743*L3743/60</f>
        <v>0</v>
      </c>
    </row>
    <row r="3744" customFormat="false" ht="15" hidden="false" customHeight="false" outlineLevel="0" collapsed="false">
      <c r="A3744" s="28"/>
      <c r="B3744" s="972" t="s">
        <v>4128</v>
      </c>
      <c r="C3744" s="1053"/>
      <c r="D3744" s="965"/>
      <c r="E3744" s="912"/>
      <c r="F3744" s="1490"/>
      <c r="G3744" s="1490"/>
      <c r="H3744" s="1490"/>
      <c r="I3744" s="1490"/>
      <c r="J3744" s="1490"/>
      <c r="K3744" s="1365" t="n">
        <f aca="false">J3744/1792.8</f>
        <v>0</v>
      </c>
      <c r="L3744" s="1490"/>
      <c r="M3744" s="1366" t="n">
        <f aca="false">SUM(M3737:M3743)</f>
        <v>31.0022032574743</v>
      </c>
    </row>
    <row r="3745" customFormat="false" ht="30" hidden="false" customHeight="false" outlineLevel="0" collapsed="false">
      <c r="A3745" s="28" t="s">
        <v>1899</v>
      </c>
      <c r="B3745" s="40" t="s">
        <v>3685</v>
      </c>
      <c r="C3745" s="40" t="s">
        <v>7154</v>
      </c>
      <c r="D3745" s="316" t="n">
        <v>2007</v>
      </c>
      <c r="E3745" s="912" t="n">
        <f aca="false">2021-D3745</f>
        <v>14</v>
      </c>
      <c r="F3745" s="891" t="n">
        <v>407000</v>
      </c>
      <c r="G3745" s="1364" t="n">
        <v>0.1</v>
      </c>
      <c r="H3745" s="891" t="n">
        <f aca="false">E3745*F3745*G3745</f>
        <v>569800</v>
      </c>
      <c r="I3745" s="891" t="n">
        <f aca="false">F3745-H3745</f>
        <v>-162800</v>
      </c>
      <c r="J3745" s="1365" t="n">
        <f aca="false">F3745*G3745</f>
        <v>40700</v>
      </c>
      <c r="K3745" s="1365" t="n">
        <f aca="false">J3745/1792.8</f>
        <v>22.7019187862561</v>
      </c>
      <c r="L3745" s="891" t="n">
        <v>20</v>
      </c>
      <c r="M3745" s="1273" t="n">
        <f aca="false">K3745*L3745/60</f>
        <v>7.56730626208538</v>
      </c>
    </row>
    <row r="3746" customFormat="false" ht="15" hidden="false" customHeight="false" outlineLevel="0" collapsed="false">
      <c r="A3746" s="28"/>
      <c r="B3746" s="78"/>
      <c r="C3746" s="40" t="s">
        <v>7155</v>
      </c>
      <c r="D3746" s="316" t="n">
        <v>2007</v>
      </c>
      <c r="E3746" s="912" t="n">
        <f aca="false">2021-D3746</f>
        <v>14</v>
      </c>
      <c r="F3746" s="891" t="n">
        <v>810000</v>
      </c>
      <c r="G3746" s="1364" t="n">
        <v>0.1</v>
      </c>
      <c r="H3746" s="891" t="n">
        <f aca="false">E3746*F3746*G3746</f>
        <v>1134000</v>
      </c>
      <c r="I3746" s="891" t="n">
        <f aca="false">F3746-H3746</f>
        <v>-324000</v>
      </c>
      <c r="J3746" s="1365" t="n">
        <f aca="false">F3746*G3746</f>
        <v>81000</v>
      </c>
      <c r="K3746" s="1365" t="n">
        <f aca="false">J3746/1792.8</f>
        <v>45.1807228915663</v>
      </c>
      <c r="L3746" s="891" t="n">
        <v>4.8</v>
      </c>
      <c r="M3746" s="1273" t="n">
        <f aca="false">K3746*L3746/60</f>
        <v>3.6144578313253</v>
      </c>
    </row>
    <row r="3747" customFormat="false" ht="15" hidden="false" customHeight="false" outlineLevel="0" collapsed="false">
      <c r="A3747" s="28"/>
      <c r="B3747" s="78"/>
      <c r="C3747" s="40" t="s">
        <v>7156</v>
      </c>
      <c r="D3747" s="316" t="n">
        <v>2015</v>
      </c>
      <c r="E3747" s="912" t="n">
        <f aca="false">2021-D3747</f>
        <v>6</v>
      </c>
      <c r="F3747" s="891" t="n">
        <v>694025</v>
      </c>
      <c r="G3747" s="1364" t="n">
        <v>0.1</v>
      </c>
      <c r="H3747" s="891" t="n">
        <f aca="false">E3747*F3747*G3747</f>
        <v>416415</v>
      </c>
      <c r="I3747" s="891" t="n">
        <f aca="false">F3747-H3747</f>
        <v>277610</v>
      </c>
      <c r="J3747" s="1365" t="n">
        <f aca="false">F3747*G3747</f>
        <v>69402.5</v>
      </c>
      <c r="K3747" s="1365" t="n">
        <f aca="false">J3747/1792.8</f>
        <v>38.711791610888</v>
      </c>
      <c r="L3747" s="891" t="n">
        <v>18</v>
      </c>
      <c r="M3747" s="1273" t="n">
        <f aca="false">K3747*L3747/60</f>
        <v>11.6135374832664</v>
      </c>
    </row>
    <row r="3748" customFormat="false" ht="15" hidden="false" customHeight="false" outlineLevel="0" collapsed="false">
      <c r="A3748" s="28"/>
      <c r="B3748" s="78"/>
      <c r="C3748" s="40" t="s">
        <v>7157</v>
      </c>
      <c r="D3748" s="316" t="n">
        <v>2006</v>
      </c>
      <c r="E3748" s="912" t="n">
        <f aca="false">2021-D3748</f>
        <v>15</v>
      </c>
      <c r="F3748" s="891" t="n">
        <v>77000</v>
      </c>
      <c r="G3748" s="1364" t="n">
        <v>0.05</v>
      </c>
      <c r="H3748" s="891" t="n">
        <f aca="false">E3748*F3748*G3748</f>
        <v>57750</v>
      </c>
      <c r="I3748" s="891" t="n">
        <f aca="false">F3748-H3748</f>
        <v>19250</v>
      </c>
      <c r="J3748" s="1365" t="n">
        <f aca="false">F3748*G3748</f>
        <v>3850</v>
      </c>
      <c r="K3748" s="1365" t="n">
        <f aca="false">J3748/1792.8</f>
        <v>2.14747880410531</v>
      </c>
      <c r="L3748" s="891" t="n">
        <v>9.6</v>
      </c>
      <c r="M3748" s="1273" t="n">
        <f aca="false">K3748*L3748/60</f>
        <v>0.34359660865685</v>
      </c>
    </row>
    <row r="3749" customFormat="false" ht="15" hidden="false" customHeight="false" outlineLevel="0" collapsed="false">
      <c r="A3749" s="28"/>
      <c r="B3749" s="78"/>
      <c r="C3749" s="40" t="s">
        <v>7158</v>
      </c>
      <c r="D3749" s="316" t="n">
        <v>2007</v>
      </c>
      <c r="E3749" s="912" t="n">
        <f aca="false">2021-D3749</f>
        <v>14</v>
      </c>
      <c r="F3749" s="891" t="n">
        <v>482500</v>
      </c>
      <c r="G3749" s="1364" t="n">
        <v>0.1</v>
      </c>
      <c r="H3749" s="891" t="n">
        <f aca="false">E3749*F3749*G3749</f>
        <v>675500</v>
      </c>
      <c r="I3749" s="891" t="n">
        <f aca="false">F3749-H3749</f>
        <v>-193000</v>
      </c>
      <c r="J3749" s="1365" t="n">
        <f aca="false">F3749*G3749</f>
        <v>48250</v>
      </c>
      <c r="K3749" s="1365" t="n">
        <f aca="false">J3749/1792.8</f>
        <v>26.913208389112</v>
      </c>
      <c r="L3749" s="891" t="n">
        <v>9.6</v>
      </c>
      <c r="M3749" s="1273" t="n">
        <f aca="false">K3749*L3749/60</f>
        <v>4.30611334225792</v>
      </c>
    </row>
    <row r="3750" customFormat="false" ht="15" hidden="false" customHeight="false" outlineLevel="0" collapsed="false">
      <c r="A3750" s="28"/>
      <c r="B3750" s="78"/>
      <c r="C3750" s="40" t="s">
        <v>7159</v>
      </c>
      <c r="D3750" s="316" t="n">
        <v>2007</v>
      </c>
      <c r="E3750" s="912" t="n">
        <f aca="false">2021-D3750</f>
        <v>14</v>
      </c>
      <c r="F3750" s="891" t="n">
        <v>68000</v>
      </c>
      <c r="G3750" s="1364" t="n">
        <v>0.1</v>
      </c>
      <c r="H3750" s="891" t="n">
        <f aca="false">E3750*F3750*G3750</f>
        <v>95200</v>
      </c>
      <c r="I3750" s="891" t="n">
        <f aca="false">F3750-H3750</f>
        <v>-27200</v>
      </c>
      <c r="J3750" s="1365" t="n">
        <f aca="false">F3750*G3750</f>
        <v>6800</v>
      </c>
      <c r="K3750" s="1365" t="n">
        <f aca="false">J3750/1792.8</f>
        <v>3.79294957608211</v>
      </c>
      <c r="L3750" s="891" t="n">
        <v>3.6</v>
      </c>
      <c r="M3750" s="1273" t="n">
        <f aca="false">K3750*L3750/60</f>
        <v>0.227576974564926</v>
      </c>
    </row>
    <row r="3751" customFormat="false" ht="15" hidden="false" customHeight="false" outlineLevel="0" collapsed="false">
      <c r="A3751" s="28"/>
      <c r="B3751" s="972" t="s">
        <v>4128</v>
      </c>
      <c r="C3751" s="1053"/>
      <c r="D3751" s="965"/>
      <c r="E3751" s="912"/>
      <c r="F3751" s="1490"/>
      <c r="G3751" s="1490"/>
      <c r="H3751" s="1490"/>
      <c r="I3751" s="1490"/>
      <c r="J3751" s="1490"/>
      <c r="K3751" s="1365" t="n">
        <f aca="false">J3751/1792.8</f>
        <v>0</v>
      </c>
      <c r="L3751" s="1490"/>
      <c r="M3751" s="1366" t="n">
        <f aca="false">SUM(M3745:M3750)</f>
        <v>27.6725885021568</v>
      </c>
    </row>
    <row r="3752" customFormat="false" ht="30" hidden="false" customHeight="false" outlineLevel="0" collapsed="false">
      <c r="A3752" s="28" t="s">
        <v>1901</v>
      </c>
      <c r="B3752" s="40" t="s">
        <v>3686</v>
      </c>
      <c r="C3752" s="40" t="s">
        <v>7154</v>
      </c>
      <c r="D3752" s="316" t="n">
        <v>2007</v>
      </c>
      <c r="E3752" s="912" t="n">
        <f aca="false">2021-D3752</f>
        <v>14</v>
      </c>
      <c r="F3752" s="891" t="n">
        <v>407000</v>
      </c>
      <c r="G3752" s="1364" t="n">
        <v>0.1</v>
      </c>
      <c r="H3752" s="891" t="n">
        <f aca="false">E3752*F3752*G3752</f>
        <v>569800</v>
      </c>
      <c r="I3752" s="891" t="n">
        <f aca="false">F3752-H3752</f>
        <v>-162800</v>
      </c>
      <c r="J3752" s="1365" t="n">
        <f aca="false">F3752*G3752</f>
        <v>40700</v>
      </c>
      <c r="K3752" s="1365" t="n">
        <f aca="false">J3752/1792.8</f>
        <v>22.7019187862561</v>
      </c>
      <c r="L3752" s="891" t="n">
        <v>28.8</v>
      </c>
      <c r="M3752" s="1273" t="n">
        <f aca="false">K3752*L3752/60</f>
        <v>10.8969210174029</v>
      </c>
    </row>
    <row r="3753" customFormat="false" ht="15" hidden="false" customHeight="false" outlineLevel="0" collapsed="false">
      <c r="A3753" s="28"/>
      <c r="B3753" s="78"/>
      <c r="C3753" s="40" t="s">
        <v>7155</v>
      </c>
      <c r="D3753" s="316" t="n">
        <v>2007</v>
      </c>
      <c r="E3753" s="912" t="n">
        <f aca="false">2021-D3753</f>
        <v>14</v>
      </c>
      <c r="F3753" s="891" t="n">
        <v>810000</v>
      </c>
      <c r="G3753" s="1364" t="n">
        <v>0.1</v>
      </c>
      <c r="H3753" s="891" t="n">
        <f aca="false">E3753*F3753*G3753</f>
        <v>1134000</v>
      </c>
      <c r="I3753" s="891" t="n">
        <f aca="false">F3753-H3753</f>
        <v>-324000</v>
      </c>
      <c r="J3753" s="1365" t="n">
        <f aca="false">F3753*G3753</f>
        <v>81000</v>
      </c>
      <c r="K3753" s="1365" t="n">
        <f aca="false">J3753/1792.8</f>
        <v>45.1807228915663</v>
      </c>
      <c r="L3753" s="891" t="n">
        <v>4.8</v>
      </c>
      <c r="M3753" s="1273" t="n">
        <f aca="false">K3753*L3753/60</f>
        <v>3.6144578313253</v>
      </c>
    </row>
    <row r="3754" customFormat="false" ht="15" hidden="false" customHeight="false" outlineLevel="0" collapsed="false">
      <c r="A3754" s="28"/>
      <c r="B3754" s="78"/>
      <c r="C3754" s="40" t="s">
        <v>7160</v>
      </c>
      <c r="D3754" s="316" t="n">
        <v>1994</v>
      </c>
      <c r="E3754" s="912" t="n">
        <f aca="false">2021-D3754</f>
        <v>27</v>
      </c>
      <c r="F3754" s="891" t="n">
        <v>156540</v>
      </c>
      <c r="G3754" s="1364" t="n">
        <v>0.1</v>
      </c>
      <c r="H3754" s="891" t="n">
        <v>156540</v>
      </c>
      <c r="I3754" s="891" t="n">
        <f aca="false">F3754-H3754</f>
        <v>0</v>
      </c>
      <c r="J3754" s="1365" t="n">
        <f aca="false">F3754*G3754</f>
        <v>15654</v>
      </c>
      <c r="K3754" s="1365" t="n">
        <f aca="false">J3754/1792.8</f>
        <v>8.73159303882196</v>
      </c>
      <c r="L3754" s="891" t="n">
        <v>5</v>
      </c>
      <c r="M3754" s="1273" t="n">
        <f aca="false">K3754*L3754/60</f>
        <v>0.727632753235163</v>
      </c>
    </row>
    <row r="3755" customFormat="false" ht="15" hidden="false" customHeight="false" outlineLevel="0" collapsed="false">
      <c r="A3755" s="28"/>
      <c r="B3755" s="78"/>
      <c r="C3755" s="40" t="s">
        <v>7158</v>
      </c>
      <c r="D3755" s="316" t="n">
        <v>2007</v>
      </c>
      <c r="E3755" s="912" t="n">
        <f aca="false">2021-D3755</f>
        <v>14</v>
      </c>
      <c r="F3755" s="891" t="n">
        <v>482500</v>
      </c>
      <c r="G3755" s="1364" t="n">
        <v>0.1</v>
      </c>
      <c r="H3755" s="891" t="n">
        <f aca="false">E3755*F3755*G3755</f>
        <v>675500</v>
      </c>
      <c r="I3755" s="891" t="n">
        <f aca="false">F3755-H3755</f>
        <v>-193000</v>
      </c>
      <c r="J3755" s="1365" t="n">
        <f aca="false">F3755*G3755</f>
        <v>48250</v>
      </c>
      <c r="K3755" s="1365" t="n">
        <f aca="false">J3755/1792.8</f>
        <v>26.913208389112</v>
      </c>
      <c r="L3755" s="891" t="n">
        <v>9.6</v>
      </c>
      <c r="M3755" s="1273" t="n">
        <f aca="false">K3755*L3755/60</f>
        <v>4.30611334225792</v>
      </c>
    </row>
    <row r="3756" customFormat="false" ht="15" hidden="false" customHeight="false" outlineLevel="0" collapsed="false">
      <c r="A3756" s="28"/>
      <c r="B3756" s="78"/>
      <c r="C3756" s="40" t="s">
        <v>7161</v>
      </c>
      <c r="D3756" s="316" t="n">
        <v>2007</v>
      </c>
      <c r="E3756" s="912" t="n">
        <f aca="false">2021-D3756</f>
        <v>14</v>
      </c>
      <c r="F3756" s="891" t="n">
        <v>1849800</v>
      </c>
      <c r="G3756" s="1364" t="n">
        <v>0.1</v>
      </c>
      <c r="H3756" s="891" t="n">
        <f aca="false">E3756*F3756*G3756</f>
        <v>2589720</v>
      </c>
      <c r="I3756" s="891" t="n">
        <f aca="false">F3756-H3756</f>
        <v>-739920</v>
      </c>
      <c r="J3756" s="1365" t="n">
        <f aca="false">F3756*G3756</f>
        <v>184980</v>
      </c>
      <c r="K3756" s="1365" t="n">
        <f aca="false">J3756/1792.8</f>
        <v>103.179384203481</v>
      </c>
      <c r="L3756" s="891" t="n">
        <v>5</v>
      </c>
      <c r="M3756" s="1273" t="n">
        <f aca="false">K3756*L3756/60</f>
        <v>8.59828201695672</v>
      </c>
    </row>
    <row r="3757" customFormat="false" ht="15" hidden="false" customHeight="false" outlineLevel="0" collapsed="false">
      <c r="A3757" s="28"/>
      <c r="B3757" s="972" t="s">
        <v>4128</v>
      </c>
      <c r="C3757" s="1053"/>
      <c r="D3757" s="965"/>
      <c r="E3757" s="912"/>
      <c r="F3757" s="1490"/>
      <c r="G3757" s="1490"/>
      <c r="H3757" s="1490"/>
      <c r="I3757" s="1490"/>
      <c r="J3757" s="1490"/>
      <c r="K3757" s="1365" t="n">
        <f aca="false">J3757/1792.8</f>
        <v>0</v>
      </c>
      <c r="L3757" s="1490"/>
      <c r="M3757" s="1366" t="n">
        <f aca="false">SUM(M3752:M3756)</f>
        <v>28.143406961178</v>
      </c>
    </row>
    <row r="3758" customFormat="false" ht="30" hidden="false" customHeight="false" outlineLevel="0" collapsed="false">
      <c r="A3758" s="28" t="s">
        <v>1903</v>
      </c>
      <c r="B3758" s="40" t="s">
        <v>3687</v>
      </c>
      <c r="C3758" s="40" t="s">
        <v>7154</v>
      </c>
      <c r="D3758" s="316" t="n">
        <v>2007</v>
      </c>
      <c r="E3758" s="912" t="n">
        <f aca="false">2021-D3758</f>
        <v>14</v>
      </c>
      <c r="F3758" s="891" t="n">
        <v>407000</v>
      </c>
      <c r="G3758" s="1364" t="n">
        <v>0.1</v>
      </c>
      <c r="H3758" s="891" t="n">
        <f aca="false">E3758*F3758*G3758</f>
        <v>569800</v>
      </c>
      <c r="I3758" s="891" t="n">
        <f aca="false">F3758-H3758</f>
        <v>-162800</v>
      </c>
      <c r="J3758" s="1365" t="n">
        <f aca="false">F3758*G3758</f>
        <v>40700</v>
      </c>
      <c r="K3758" s="1365" t="n">
        <f aca="false">J3758/1792.8</f>
        <v>22.7019187862561</v>
      </c>
      <c r="L3758" s="891" t="n">
        <v>20</v>
      </c>
      <c r="M3758" s="1273" t="n">
        <f aca="false">K3758*L3758/60</f>
        <v>7.56730626208538</v>
      </c>
    </row>
    <row r="3759" customFormat="false" ht="15" hidden="false" customHeight="false" outlineLevel="0" collapsed="false">
      <c r="A3759" s="28"/>
      <c r="B3759" s="78"/>
      <c r="C3759" s="40" t="s">
        <v>7155</v>
      </c>
      <c r="D3759" s="316" t="n">
        <v>2007</v>
      </c>
      <c r="E3759" s="912" t="n">
        <f aca="false">2021-D3759</f>
        <v>14</v>
      </c>
      <c r="F3759" s="891" t="n">
        <v>810000</v>
      </c>
      <c r="G3759" s="1364" t="n">
        <v>0.1</v>
      </c>
      <c r="H3759" s="891" t="n">
        <f aca="false">E3759*F3759*G3759</f>
        <v>1134000</v>
      </c>
      <c r="I3759" s="891" t="n">
        <f aca="false">F3759-H3759</f>
        <v>-324000</v>
      </c>
      <c r="J3759" s="1365" t="n">
        <f aca="false">F3759*G3759</f>
        <v>81000</v>
      </c>
      <c r="K3759" s="1365" t="n">
        <f aca="false">J3759/1792.8</f>
        <v>45.1807228915663</v>
      </c>
      <c r="L3759" s="891" t="n">
        <v>4.8</v>
      </c>
      <c r="M3759" s="1273" t="n">
        <f aca="false">K3759*L3759/60</f>
        <v>3.6144578313253</v>
      </c>
    </row>
    <row r="3760" customFormat="false" ht="15" hidden="false" customHeight="false" outlineLevel="0" collapsed="false">
      <c r="A3760" s="28"/>
      <c r="B3760" s="78"/>
      <c r="C3760" s="40" t="s">
        <v>7156</v>
      </c>
      <c r="D3760" s="316" t="n">
        <v>2015</v>
      </c>
      <c r="E3760" s="912" t="n">
        <f aca="false">2021-D3760</f>
        <v>6</v>
      </c>
      <c r="F3760" s="891" t="n">
        <v>694025</v>
      </c>
      <c r="G3760" s="1364" t="n">
        <v>0.1</v>
      </c>
      <c r="H3760" s="891" t="n">
        <f aca="false">E3760*F3760*G3760</f>
        <v>416415</v>
      </c>
      <c r="I3760" s="891" t="n">
        <f aca="false">F3760-H3760</f>
        <v>277610</v>
      </c>
      <c r="J3760" s="1365" t="n">
        <f aca="false">F3760*G3760</f>
        <v>69402.5</v>
      </c>
      <c r="K3760" s="1365" t="n">
        <f aca="false">J3760/1792.8</f>
        <v>38.711791610888</v>
      </c>
      <c r="L3760" s="891" t="n">
        <v>18</v>
      </c>
      <c r="M3760" s="1273" t="n">
        <f aca="false">K3760*L3760/60</f>
        <v>11.6135374832664</v>
      </c>
    </row>
    <row r="3761" customFormat="false" ht="15" hidden="false" customHeight="false" outlineLevel="0" collapsed="false">
      <c r="A3761" s="28"/>
      <c r="B3761" s="78"/>
      <c r="C3761" s="40" t="s">
        <v>7157</v>
      </c>
      <c r="D3761" s="316" t="n">
        <v>2006</v>
      </c>
      <c r="E3761" s="912" t="n">
        <f aca="false">2021-D3761</f>
        <v>15</v>
      </c>
      <c r="F3761" s="891" t="n">
        <v>77000</v>
      </c>
      <c r="G3761" s="1364" t="n">
        <v>0.05</v>
      </c>
      <c r="H3761" s="891" t="n">
        <f aca="false">E3761*F3761*G3761</f>
        <v>57750</v>
      </c>
      <c r="I3761" s="891" t="n">
        <f aca="false">F3761-H3761</f>
        <v>19250</v>
      </c>
      <c r="J3761" s="1365" t="n">
        <f aca="false">F3761*G3761</f>
        <v>3850</v>
      </c>
      <c r="K3761" s="1365" t="n">
        <f aca="false">J3761/1792.8</f>
        <v>2.14747880410531</v>
      </c>
      <c r="L3761" s="891" t="n">
        <v>9.6</v>
      </c>
      <c r="M3761" s="1273" t="n">
        <f aca="false">K3761*L3761/60</f>
        <v>0.34359660865685</v>
      </c>
    </row>
    <row r="3762" customFormat="false" ht="15" hidden="false" customHeight="false" outlineLevel="0" collapsed="false">
      <c r="A3762" s="28"/>
      <c r="B3762" s="78"/>
      <c r="C3762" s="40" t="s">
        <v>7158</v>
      </c>
      <c r="D3762" s="316" t="n">
        <v>2007</v>
      </c>
      <c r="E3762" s="912" t="n">
        <f aca="false">2021-D3762</f>
        <v>14</v>
      </c>
      <c r="F3762" s="891" t="n">
        <v>482500</v>
      </c>
      <c r="G3762" s="1364" t="n">
        <v>0.1</v>
      </c>
      <c r="H3762" s="891" t="n">
        <f aca="false">E3762*F3762*G3762</f>
        <v>675500</v>
      </c>
      <c r="I3762" s="891" t="n">
        <f aca="false">F3762-H3762</f>
        <v>-193000</v>
      </c>
      <c r="J3762" s="1365" t="n">
        <f aca="false">F3762*G3762</f>
        <v>48250</v>
      </c>
      <c r="K3762" s="1365" t="n">
        <f aca="false">J3762/1792.8</f>
        <v>26.913208389112</v>
      </c>
      <c r="L3762" s="891" t="n">
        <v>9.6</v>
      </c>
      <c r="M3762" s="1273" t="n">
        <f aca="false">K3762*L3762/60</f>
        <v>4.30611334225792</v>
      </c>
    </row>
    <row r="3763" customFormat="false" ht="15" hidden="false" customHeight="false" outlineLevel="0" collapsed="false">
      <c r="A3763" s="28"/>
      <c r="B3763" s="78"/>
      <c r="C3763" s="40" t="s">
        <v>7159</v>
      </c>
      <c r="D3763" s="316" t="n">
        <v>2007</v>
      </c>
      <c r="E3763" s="912" t="n">
        <f aca="false">2021-D3763</f>
        <v>14</v>
      </c>
      <c r="F3763" s="891" t="n">
        <v>68000</v>
      </c>
      <c r="G3763" s="1364" t="n">
        <v>0.1</v>
      </c>
      <c r="H3763" s="891" t="n">
        <f aca="false">E3763*F3763*G3763</f>
        <v>95200</v>
      </c>
      <c r="I3763" s="891" t="n">
        <f aca="false">F3763-H3763</f>
        <v>-27200</v>
      </c>
      <c r="J3763" s="1365" t="n">
        <f aca="false">F3763*G3763</f>
        <v>6800</v>
      </c>
      <c r="K3763" s="1365" t="n">
        <f aca="false">J3763/1792.8</f>
        <v>3.79294957608211</v>
      </c>
      <c r="L3763" s="891" t="n">
        <v>3.6</v>
      </c>
      <c r="M3763" s="1273" t="n">
        <f aca="false">K3763*L3763/60</f>
        <v>0.227576974564926</v>
      </c>
    </row>
    <row r="3764" customFormat="false" ht="15" hidden="false" customHeight="false" outlineLevel="0" collapsed="false">
      <c r="A3764" s="28"/>
      <c r="B3764" s="78"/>
      <c r="C3764" s="40" t="s">
        <v>7161</v>
      </c>
      <c r="D3764" s="316" t="n">
        <v>2007</v>
      </c>
      <c r="E3764" s="912" t="n">
        <f aca="false">2021-D3764</f>
        <v>14</v>
      </c>
      <c r="F3764" s="891" t="n">
        <v>1849800</v>
      </c>
      <c r="G3764" s="1364" t="n">
        <v>0.1</v>
      </c>
      <c r="H3764" s="891" t="n">
        <f aca="false">E3764*F3764*G3764</f>
        <v>2589720</v>
      </c>
      <c r="I3764" s="891" t="n">
        <f aca="false">F3764-H3764</f>
        <v>-739920</v>
      </c>
      <c r="J3764" s="1365" t="n">
        <f aca="false">F3764*G3764</f>
        <v>184980</v>
      </c>
      <c r="K3764" s="1365" t="n">
        <f aca="false">J3764/1792.8</f>
        <v>103.179384203481</v>
      </c>
      <c r="L3764" s="891" t="n">
        <v>5</v>
      </c>
      <c r="M3764" s="1273" t="n">
        <f aca="false">K3764*L3764/60</f>
        <v>8.59828201695672</v>
      </c>
    </row>
    <row r="3765" customFormat="false" ht="15" hidden="false" customHeight="false" outlineLevel="0" collapsed="false">
      <c r="A3765" s="28"/>
      <c r="B3765" s="972" t="s">
        <v>4128</v>
      </c>
      <c r="C3765" s="1053"/>
      <c r="D3765" s="965"/>
      <c r="E3765" s="912"/>
      <c r="F3765" s="1490"/>
      <c r="G3765" s="1490"/>
      <c r="H3765" s="1490"/>
      <c r="I3765" s="1490"/>
      <c r="J3765" s="1490"/>
      <c r="K3765" s="1365" t="n">
        <f aca="false">J3765/1792.8</f>
        <v>0</v>
      </c>
      <c r="L3765" s="1490"/>
      <c r="M3765" s="1366" t="n">
        <f aca="false">SUM(M3758:M3764)</f>
        <v>36.2708705191135</v>
      </c>
    </row>
    <row r="3766" customFormat="false" ht="30" hidden="false" customHeight="false" outlineLevel="0" collapsed="false">
      <c r="A3766" s="28" t="s">
        <v>1905</v>
      </c>
      <c r="B3766" s="40" t="s">
        <v>5917</v>
      </c>
      <c r="C3766" s="40" t="s">
        <v>7154</v>
      </c>
      <c r="D3766" s="316" t="n">
        <v>2007</v>
      </c>
      <c r="E3766" s="912" t="n">
        <f aca="false">2021-D3766</f>
        <v>14</v>
      </c>
      <c r="F3766" s="891" t="n">
        <v>407000</v>
      </c>
      <c r="G3766" s="1364" t="n">
        <v>0.1</v>
      </c>
      <c r="H3766" s="891" t="n">
        <f aca="false">E3766*F3766*G3766</f>
        <v>569800</v>
      </c>
      <c r="I3766" s="891" t="n">
        <f aca="false">F3766-H3766</f>
        <v>-162800</v>
      </c>
      <c r="J3766" s="1365" t="n">
        <f aca="false">F3766*G3766</f>
        <v>40700</v>
      </c>
      <c r="K3766" s="1365" t="n">
        <f aca="false">J3766/1792.8</f>
        <v>22.7019187862561</v>
      </c>
      <c r="L3766" s="891" t="n">
        <v>20</v>
      </c>
      <c r="M3766" s="1273" t="n">
        <f aca="false">K3766*L3766/60</f>
        <v>7.56730626208538</v>
      </c>
    </row>
    <row r="3767" customFormat="false" ht="15" hidden="false" customHeight="false" outlineLevel="0" collapsed="false">
      <c r="A3767" s="28"/>
      <c r="B3767" s="78"/>
      <c r="C3767" s="40" t="s">
        <v>7155</v>
      </c>
      <c r="D3767" s="316" t="n">
        <v>2007</v>
      </c>
      <c r="E3767" s="912" t="n">
        <f aca="false">2021-D3767</f>
        <v>14</v>
      </c>
      <c r="F3767" s="891" t="n">
        <v>810000</v>
      </c>
      <c r="G3767" s="1364" t="n">
        <v>0.1</v>
      </c>
      <c r="H3767" s="891" t="n">
        <f aca="false">E3767*F3767*G3767</f>
        <v>1134000</v>
      </c>
      <c r="I3767" s="891" t="n">
        <f aca="false">F3767-H3767</f>
        <v>-324000</v>
      </c>
      <c r="J3767" s="1365" t="n">
        <f aca="false">F3767*G3767</f>
        <v>81000</v>
      </c>
      <c r="K3767" s="1365" t="n">
        <f aca="false">J3767/1792.8</f>
        <v>45.1807228915663</v>
      </c>
      <c r="L3767" s="891" t="n">
        <v>4.8</v>
      </c>
      <c r="M3767" s="1273" t="n">
        <f aca="false">K3767*L3767/60</f>
        <v>3.6144578313253</v>
      </c>
    </row>
    <row r="3768" customFormat="false" ht="15" hidden="false" customHeight="false" outlineLevel="0" collapsed="false">
      <c r="A3768" s="28"/>
      <c r="B3768" s="78"/>
      <c r="C3768" s="40" t="s">
        <v>7160</v>
      </c>
      <c r="D3768" s="316" t="n">
        <v>1994</v>
      </c>
      <c r="E3768" s="912" t="n">
        <f aca="false">2021-D3768</f>
        <v>27</v>
      </c>
      <c r="F3768" s="891" t="n">
        <v>156540</v>
      </c>
      <c r="G3768" s="1364" t="n">
        <v>0.1</v>
      </c>
      <c r="H3768" s="891" t="n">
        <v>156540</v>
      </c>
      <c r="I3768" s="891" t="n">
        <f aca="false">F3768-H3768</f>
        <v>0</v>
      </c>
      <c r="J3768" s="1365" t="n">
        <f aca="false">F3768*G3768</f>
        <v>15654</v>
      </c>
      <c r="K3768" s="1365" t="n">
        <f aca="false">J3768/1792.8</f>
        <v>8.73159303882196</v>
      </c>
      <c r="L3768" s="891" t="n">
        <v>5</v>
      </c>
      <c r="M3768" s="1273" t="n">
        <f aca="false">K3768*L3768/60</f>
        <v>0.727632753235163</v>
      </c>
    </row>
    <row r="3769" customFormat="false" ht="15" hidden="false" customHeight="false" outlineLevel="0" collapsed="false">
      <c r="A3769" s="28"/>
      <c r="B3769" s="78"/>
      <c r="C3769" s="40" t="s">
        <v>7158</v>
      </c>
      <c r="D3769" s="316" t="n">
        <v>2007</v>
      </c>
      <c r="E3769" s="912" t="n">
        <f aca="false">2021-D3769</f>
        <v>14</v>
      </c>
      <c r="F3769" s="891" t="n">
        <v>482500</v>
      </c>
      <c r="G3769" s="1364" t="n">
        <v>0.1</v>
      </c>
      <c r="H3769" s="891" t="n">
        <f aca="false">E3769*F3769*G3769</f>
        <v>675500</v>
      </c>
      <c r="I3769" s="891" t="n">
        <f aca="false">F3769-H3769</f>
        <v>-193000</v>
      </c>
      <c r="J3769" s="1365" t="n">
        <f aca="false">F3769*G3769</f>
        <v>48250</v>
      </c>
      <c r="K3769" s="1365" t="n">
        <f aca="false">J3769/1792.8</f>
        <v>26.913208389112</v>
      </c>
      <c r="L3769" s="891" t="n">
        <v>9.6</v>
      </c>
      <c r="M3769" s="1273" t="n">
        <f aca="false">K3769*L3769/60</f>
        <v>4.30611334225792</v>
      </c>
    </row>
    <row r="3770" customFormat="false" ht="15" hidden="false" customHeight="false" outlineLevel="0" collapsed="false">
      <c r="A3770" s="28"/>
      <c r="B3770" s="78"/>
      <c r="C3770" s="40" t="s">
        <v>7161</v>
      </c>
      <c r="D3770" s="316" t="n">
        <v>2007</v>
      </c>
      <c r="E3770" s="912" t="n">
        <f aca="false">2021-D3770</f>
        <v>14</v>
      </c>
      <c r="F3770" s="891" t="n">
        <v>1849800</v>
      </c>
      <c r="G3770" s="1364" t="n">
        <v>0.1</v>
      </c>
      <c r="H3770" s="891" t="n">
        <f aca="false">E3770*F3770*G3770</f>
        <v>2589720</v>
      </c>
      <c r="I3770" s="891" t="n">
        <f aca="false">F3770-H3770</f>
        <v>-739920</v>
      </c>
      <c r="J3770" s="1365" t="n">
        <f aca="false">F3770*G3770</f>
        <v>184980</v>
      </c>
      <c r="K3770" s="1365" t="n">
        <f aca="false">J3770/1792.8</f>
        <v>103.179384203481</v>
      </c>
      <c r="L3770" s="891" t="n">
        <v>5</v>
      </c>
      <c r="M3770" s="1273" t="n">
        <f aca="false">K3770*L3770/60</f>
        <v>8.59828201695672</v>
      </c>
    </row>
    <row r="3771" customFormat="false" ht="15" hidden="false" customHeight="false" outlineLevel="0" collapsed="false">
      <c r="A3771" s="28"/>
      <c r="B3771" s="972" t="s">
        <v>4128</v>
      </c>
      <c r="C3771" s="1053"/>
      <c r="D3771" s="965"/>
      <c r="E3771" s="912"/>
      <c r="F3771" s="1490"/>
      <c r="G3771" s="1490"/>
      <c r="H3771" s="1490"/>
      <c r="I3771" s="1490"/>
      <c r="J3771" s="1490"/>
      <c r="K3771" s="1365" t="n">
        <f aca="false">J3771/1792.8</f>
        <v>0</v>
      </c>
      <c r="L3771" s="1490"/>
      <c r="M3771" s="1366" t="n">
        <f aca="false">SUM(M3766:M3770)</f>
        <v>24.8137922058605</v>
      </c>
    </row>
    <row r="3772" customFormat="false" ht="30" hidden="false" customHeight="false" outlineLevel="0" collapsed="false">
      <c r="A3772" s="28" t="s">
        <v>1907</v>
      </c>
      <c r="B3772" s="40" t="s">
        <v>3689</v>
      </c>
      <c r="C3772" s="40" t="s">
        <v>7154</v>
      </c>
      <c r="D3772" s="316" t="n">
        <v>2007</v>
      </c>
      <c r="E3772" s="912" t="n">
        <f aca="false">2021-D3772</f>
        <v>14</v>
      </c>
      <c r="F3772" s="891" t="n">
        <v>407000</v>
      </c>
      <c r="G3772" s="1364" t="n">
        <v>0.1</v>
      </c>
      <c r="H3772" s="891" t="n">
        <f aca="false">E3772*F3772*G3772</f>
        <v>569800</v>
      </c>
      <c r="I3772" s="891" t="n">
        <f aca="false">F3772-H3772</f>
        <v>-162800</v>
      </c>
      <c r="J3772" s="1365" t="n">
        <f aca="false">F3772*G3772</f>
        <v>40700</v>
      </c>
      <c r="K3772" s="1365" t="n">
        <f aca="false">J3772/1792.8</f>
        <v>22.7019187862561</v>
      </c>
      <c r="L3772" s="891" t="n">
        <v>20</v>
      </c>
      <c r="M3772" s="1273" t="n">
        <f aca="false">K3772*L3772/60</f>
        <v>7.56730626208538</v>
      </c>
    </row>
    <row r="3773" customFormat="false" ht="15" hidden="false" customHeight="false" outlineLevel="0" collapsed="false">
      <c r="A3773" s="28"/>
      <c r="B3773" s="78"/>
      <c r="C3773" s="40" t="s">
        <v>7155</v>
      </c>
      <c r="D3773" s="316" t="n">
        <v>2007</v>
      </c>
      <c r="E3773" s="912" t="n">
        <f aca="false">2021-D3773</f>
        <v>14</v>
      </c>
      <c r="F3773" s="891" t="n">
        <v>810000</v>
      </c>
      <c r="G3773" s="1364" t="n">
        <v>0.1</v>
      </c>
      <c r="H3773" s="891" t="n">
        <f aca="false">E3773*F3773*G3773</f>
        <v>1134000</v>
      </c>
      <c r="I3773" s="891" t="n">
        <f aca="false">F3773-H3773</f>
        <v>-324000</v>
      </c>
      <c r="J3773" s="1365" t="n">
        <f aca="false">F3773*G3773</f>
        <v>81000</v>
      </c>
      <c r="K3773" s="1365" t="n">
        <f aca="false">J3773/1792.8</f>
        <v>45.1807228915663</v>
      </c>
      <c r="L3773" s="891" t="n">
        <v>4.8</v>
      </c>
      <c r="M3773" s="1273" t="n">
        <f aca="false">K3773*L3773/60</f>
        <v>3.6144578313253</v>
      </c>
    </row>
    <row r="3774" customFormat="false" ht="15" hidden="false" customHeight="false" outlineLevel="0" collapsed="false">
      <c r="A3774" s="28"/>
      <c r="B3774" s="78"/>
      <c r="C3774" s="40" t="s">
        <v>7156</v>
      </c>
      <c r="D3774" s="316" t="n">
        <v>2015</v>
      </c>
      <c r="E3774" s="912" t="n">
        <f aca="false">2021-D3774</f>
        <v>6</v>
      </c>
      <c r="F3774" s="891" t="n">
        <v>694025</v>
      </c>
      <c r="G3774" s="1364" t="n">
        <v>0.1</v>
      </c>
      <c r="H3774" s="891" t="n">
        <f aca="false">E3774*F3774*G3774</f>
        <v>416415</v>
      </c>
      <c r="I3774" s="891" t="n">
        <f aca="false">F3774-H3774</f>
        <v>277610</v>
      </c>
      <c r="J3774" s="1365" t="n">
        <f aca="false">F3774*G3774</f>
        <v>69402.5</v>
      </c>
      <c r="K3774" s="1365" t="n">
        <f aca="false">J3774/1792.8</f>
        <v>38.711791610888</v>
      </c>
      <c r="L3774" s="891" t="n">
        <v>18</v>
      </c>
      <c r="M3774" s="1273" t="n">
        <f aca="false">K3774*L3774/60</f>
        <v>11.6135374832664</v>
      </c>
    </row>
    <row r="3775" customFormat="false" ht="15" hidden="false" customHeight="false" outlineLevel="0" collapsed="false">
      <c r="A3775" s="28"/>
      <c r="B3775" s="78"/>
      <c r="C3775" s="40" t="s">
        <v>7157</v>
      </c>
      <c r="D3775" s="316" t="n">
        <v>2006</v>
      </c>
      <c r="E3775" s="912" t="n">
        <f aca="false">2021-D3775</f>
        <v>15</v>
      </c>
      <c r="F3775" s="891" t="n">
        <v>77000</v>
      </c>
      <c r="G3775" s="1364" t="n">
        <v>0.05</v>
      </c>
      <c r="H3775" s="891" t="n">
        <f aca="false">E3775*F3775*G3775</f>
        <v>57750</v>
      </c>
      <c r="I3775" s="891" t="n">
        <f aca="false">F3775-H3775</f>
        <v>19250</v>
      </c>
      <c r="J3775" s="1365" t="n">
        <f aca="false">F3775*G3775</f>
        <v>3850</v>
      </c>
      <c r="K3775" s="1365" t="n">
        <f aca="false">J3775/1792.8</f>
        <v>2.14747880410531</v>
      </c>
      <c r="L3775" s="891" t="n">
        <v>9.6</v>
      </c>
      <c r="M3775" s="1273" t="n">
        <f aca="false">K3775*L3775/60</f>
        <v>0.34359660865685</v>
      </c>
    </row>
    <row r="3776" customFormat="false" ht="15" hidden="false" customHeight="false" outlineLevel="0" collapsed="false">
      <c r="A3776" s="28"/>
      <c r="B3776" s="78"/>
      <c r="C3776" s="40" t="s">
        <v>7158</v>
      </c>
      <c r="D3776" s="316" t="n">
        <v>2007</v>
      </c>
      <c r="E3776" s="912" t="n">
        <f aca="false">2021-D3776</f>
        <v>14</v>
      </c>
      <c r="F3776" s="891" t="n">
        <v>482500</v>
      </c>
      <c r="G3776" s="1364" t="n">
        <v>0.1</v>
      </c>
      <c r="H3776" s="891" t="n">
        <f aca="false">E3776*F3776*G3776</f>
        <v>675500</v>
      </c>
      <c r="I3776" s="891" t="n">
        <f aca="false">F3776-H3776</f>
        <v>-193000</v>
      </c>
      <c r="J3776" s="1365" t="n">
        <f aca="false">F3776*G3776</f>
        <v>48250</v>
      </c>
      <c r="K3776" s="1365" t="n">
        <f aca="false">J3776/1792.8</f>
        <v>26.913208389112</v>
      </c>
      <c r="L3776" s="891" t="n">
        <v>9.6</v>
      </c>
      <c r="M3776" s="1273" t="n">
        <f aca="false">K3776*L3776/60</f>
        <v>4.30611334225792</v>
      </c>
    </row>
    <row r="3777" customFormat="false" ht="15" hidden="false" customHeight="false" outlineLevel="0" collapsed="false">
      <c r="A3777" s="28"/>
      <c r="B3777" s="78"/>
      <c r="C3777" s="40" t="s">
        <v>7159</v>
      </c>
      <c r="D3777" s="316" t="n">
        <v>2007</v>
      </c>
      <c r="E3777" s="912" t="n">
        <f aca="false">2021-D3777</f>
        <v>14</v>
      </c>
      <c r="F3777" s="891" t="n">
        <v>68000</v>
      </c>
      <c r="G3777" s="1364" t="n">
        <v>0.1</v>
      </c>
      <c r="H3777" s="891" t="n">
        <f aca="false">E3777*F3777*G3777</f>
        <v>95200</v>
      </c>
      <c r="I3777" s="891" t="n">
        <f aca="false">F3777-H3777</f>
        <v>-27200</v>
      </c>
      <c r="J3777" s="1365" t="n">
        <f aca="false">F3777*G3777</f>
        <v>6800</v>
      </c>
      <c r="K3777" s="1365" t="n">
        <f aca="false">J3777/1792.8</f>
        <v>3.79294957608211</v>
      </c>
      <c r="L3777" s="891" t="n">
        <v>3.6</v>
      </c>
      <c r="M3777" s="1273" t="n">
        <f aca="false">K3777*L3777/60</f>
        <v>0.227576974564926</v>
      </c>
    </row>
    <row r="3778" customFormat="false" ht="15" hidden="false" customHeight="false" outlineLevel="0" collapsed="false">
      <c r="A3778" s="28"/>
      <c r="B3778" s="78"/>
      <c r="C3778" s="40" t="s">
        <v>7163</v>
      </c>
      <c r="D3778" s="316" t="n">
        <v>1994</v>
      </c>
      <c r="E3778" s="912" t="n">
        <f aca="false">2021-D3778</f>
        <v>27</v>
      </c>
      <c r="F3778" s="891"/>
      <c r="G3778" s="891"/>
      <c r="H3778" s="891" t="n">
        <f aca="false">E3778*F3778*G3778</f>
        <v>0</v>
      </c>
      <c r="I3778" s="891" t="n">
        <f aca="false">F3778-H3778</f>
        <v>0</v>
      </c>
      <c r="J3778" s="1365" t="n">
        <f aca="false">F3778*G3778</f>
        <v>0</v>
      </c>
      <c r="K3778" s="1365" t="n">
        <f aca="false">J3778/1792.8</f>
        <v>0</v>
      </c>
      <c r="L3778" s="891" t="n">
        <v>5</v>
      </c>
      <c r="M3778" s="1273" t="n">
        <f aca="false">K3778*L3778/60</f>
        <v>0</v>
      </c>
    </row>
    <row r="3779" customFormat="false" ht="15" hidden="false" customHeight="false" outlineLevel="0" collapsed="false">
      <c r="A3779" s="28"/>
      <c r="B3779" s="972" t="s">
        <v>4128</v>
      </c>
      <c r="C3779" s="1053"/>
      <c r="D3779" s="965"/>
      <c r="E3779" s="912"/>
      <c r="F3779" s="1490"/>
      <c r="G3779" s="1490"/>
      <c r="H3779" s="1490"/>
      <c r="I3779" s="1490"/>
      <c r="J3779" s="1490"/>
      <c r="K3779" s="1365" t="n">
        <f aca="false">J3779/1792.8</f>
        <v>0</v>
      </c>
      <c r="L3779" s="1490"/>
      <c r="M3779" s="1366" t="n">
        <f aca="false">SUM(M3772:M3778)</f>
        <v>27.6725885021568</v>
      </c>
    </row>
    <row r="3780" customFormat="false" ht="30" hidden="false" customHeight="false" outlineLevel="0" collapsed="false">
      <c r="A3780" s="28" t="s">
        <v>1909</v>
      </c>
      <c r="B3780" s="40" t="s">
        <v>5920</v>
      </c>
      <c r="C3780" s="40" t="s">
        <v>7154</v>
      </c>
      <c r="D3780" s="316" t="n">
        <v>2007</v>
      </c>
      <c r="E3780" s="912" t="n">
        <f aca="false">2021-D3780</f>
        <v>14</v>
      </c>
      <c r="F3780" s="891" t="n">
        <v>407000</v>
      </c>
      <c r="G3780" s="1364" t="n">
        <v>0.1</v>
      </c>
      <c r="H3780" s="891" t="n">
        <f aca="false">E3780*F3780*G3780</f>
        <v>569800</v>
      </c>
      <c r="I3780" s="891" t="n">
        <f aca="false">F3780-H3780</f>
        <v>-162800</v>
      </c>
      <c r="J3780" s="1365" t="n">
        <f aca="false">F3780*G3780</f>
        <v>40700</v>
      </c>
      <c r="K3780" s="1365" t="n">
        <f aca="false">J3780/1792.8</f>
        <v>22.7019187862561</v>
      </c>
      <c r="L3780" s="891" t="n">
        <v>20</v>
      </c>
      <c r="M3780" s="1273" t="n">
        <f aca="false">K3780*L3780/60</f>
        <v>7.56730626208538</v>
      </c>
    </row>
    <row r="3781" customFormat="false" ht="15" hidden="false" customHeight="false" outlineLevel="0" collapsed="false">
      <c r="A3781" s="28"/>
      <c r="B3781" s="78"/>
      <c r="C3781" s="40" t="s">
        <v>7155</v>
      </c>
      <c r="D3781" s="316" t="n">
        <v>2007</v>
      </c>
      <c r="E3781" s="912" t="n">
        <f aca="false">2021-D3781</f>
        <v>14</v>
      </c>
      <c r="F3781" s="891" t="n">
        <v>810000</v>
      </c>
      <c r="G3781" s="1364" t="n">
        <v>0.1</v>
      </c>
      <c r="H3781" s="891" t="n">
        <f aca="false">E3781*F3781*G3781</f>
        <v>1134000</v>
      </c>
      <c r="I3781" s="891" t="n">
        <f aca="false">F3781-H3781</f>
        <v>-324000</v>
      </c>
      <c r="J3781" s="1365" t="n">
        <f aca="false">F3781*G3781</f>
        <v>81000</v>
      </c>
      <c r="K3781" s="1365" t="n">
        <f aca="false">J3781/1792.8</f>
        <v>45.1807228915663</v>
      </c>
      <c r="L3781" s="891" t="n">
        <v>4.8</v>
      </c>
      <c r="M3781" s="1273" t="n">
        <f aca="false">K3781*L3781/60</f>
        <v>3.6144578313253</v>
      </c>
    </row>
    <row r="3782" customFormat="false" ht="15" hidden="false" customHeight="false" outlineLevel="0" collapsed="false">
      <c r="A3782" s="28"/>
      <c r="B3782" s="78"/>
      <c r="C3782" s="40" t="s">
        <v>7160</v>
      </c>
      <c r="D3782" s="316" t="n">
        <v>1994</v>
      </c>
      <c r="E3782" s="912" t="n">
        <f aca="false">2021-D3782</f>
        <v>27</v>
      </c>
      <c r="F3782" s="891" t="n">
        <v>156540</v>
      </c>
      <c r="G3782" s="1364" t="n">
        <v>0.1</v>
      </c>
      <c r="H3782" s="891" t="n">
        <v>156540</v>
      </c>
      <c r="I3782" s="891" t="n">
        <f aca="false">F3782-H3782</f>
        <v>0</v>
      </c>
      <c r="J3782" s="1365" t="n">
        <f aca="false">F3782*G3782</f>
        <v>15654</v>
      </c>
      <c r="K3782" s="1365" t="n">
        <f aca="false">J3782/1792.8</f>
        <v>8.73159303882196</v>
      </c>
      <c r="L3782" s="891" t="n">
        <v>5</v>
      </c>
      <c r="M3782" s="1273" t="n">
        <f aca="false">K3782*L3782/60</f>
        <v>0.727632753235163</v>
      </c>
    </row>
    <row r="3783" customFormat="false" ht="15" hidden="false" customHeight="false" outlineLevel="0" collapsed="false">
      <c r="A3783" s="28"/>
      <c r="B3783" s="78"/>
      <c r="C3783" s="40" t="s">
        <v>7158</v>
      </c>
      <c r="D3783" s="316" t="n">
        <v>2007</v>
      </c>
      <c r="E3783" s="912" t="n">
        <f aca="false">2021-D3783</f>
        <v>14</v>
      </c>
      <c r="F3783" s="891" t="n">
        <v>482500</v>
      </c>
      <c r="G3783" s="1364" t="n">
        <v>0.1</v>
      </c>
      <c r="H3783" s="891" t="n">
        <f aca="false">E3783*F3783*G3783</f>
        <v>675500</v>
      </c>
      <c r="I3783" s="891" t="n">
        <f aca="false">F3783-H3783</f>
        <v>-193000</v>
      </c>
      <c r="J3783" s="1365" t="n">
        <f aca="false">F3783*G3783</f>
        <v>48250</v>
      </c>
      <c r="K3783" s="1365" t="n">
        <f aca="false">J3783/1792.8</f>
        <v>26.913208389112</v>
      </c>
      <c r="L3783" s="891" t="n">
        <v>9.6</v>
      </c>
      <c r="M3783" s="1273" t="n">
        <f aca="false">K3783*L3783/60</f>
        <v>4.30611334225792</v>
      </c>
    </row>
    <row r="3784" customFormat="false" ht="15" hidden="false" customHeight="false" outlineLevel="0" collapsed="false">
      <c r="A3784" s="28"/>
      <c r="B3784" s="78"/>
      <c r="C3784" s="40" t="s">
        <v>7161</v>
      </c>
      <c r="D3784" s="316" t="n">
        <v>2007</v>
      </c>
      <c r="E3784" s="912" t="n">
        <f aca="false">2021-D3784</f>
        <v>14</v>
      </c>
      <c r="F3784" s="891" t="n">
        <v>1849800</v>
      </c>
      <c r="G3784" s="1364" t="n">
        <v>0.1</v>
      </c>
      <c r="H3784" s="891" t="n">
        <f aca="false">E3784*F3784*G3784</f>
        <v>2589720</v>
      </c>
      <c r="I3784" s="891" t="n">
        <f aca="false">F3784-H3784</f>
        <v>-739920</v>
      </c>
      <c r="J3784" s="1365" t="n">
        <f aca="false">F3784*G3784</f>
        <v>184980</v>
      </c>
      <c r="K3784" s="1365" t="n">
        <f aca="false">J3784/1792.8</f>
        <v>103.179384203481</v>
      </c>
      <c r="L3784" s="891" t="n">
        <v>5</v>
      </c>
      <c r="M3784" s="1273" t="n">
        <f aca="false">K3784*L3784/60</f>
        <v>8.59828201695672</v>
      </c>
    </row>
    <row r="3785" customFormat="false" ht="15" hidden="false" customHeight="false" outlineLevel="0" collapsed="false">
      <c r="A3785" s="28"/>
      <c r="B3785" s="972" t="s">
        <v>4128</v>
      </c>
      <c r="C3785" s="1053"/>
      <c r="D3785" s="965"/>
      <c r="E3785" s="912"/>
      <c r="F3785" s="1490"/>
      <c r="G3785" s="1490"/>
      <c r="H3785" s="1490"/>
      <c r="I3785" s="1490"/>
      <c r="J3785" s="1490"/>
      <c r="K3785" s="1365" t="n">
        <f aca="false">J3785/1792.8</f>
        <v>0</v>
      </c>
      <c r="L3785" s="1490"/>
      <c r="M3785" s="1366" t="n">
        <f aca="false">SUM(M3780:M3784)</f>
        <v>24.8137922058605</v>
      </c>
    </row>
    <row r="3786" customFormat="false" ht="30" hidden="false" customHeight="false" outlineLevel="0" collapsed="false">
      <c r="A3786" s="28" t="s">
        <v>1911</v>
      </c>
      <c r="B3786" s="40" t="s">
        <v>3691</v>
      </c>
      <c r="C3786" s="40" t="s">
        <v>7164</v>
      </c>
      <c r="D3786" s="316" t="n">
        <v>2007</v>
      </c>
      <c r="E3786" s="912" t="n">
        <f aca="false">2021-D3786</f>
        <v>14</v>
      </c>
      <c r="F3786" s="891" t="n">
        <v>407000</v>
      </c>
      <c r="G3786" s="1364" t="n">
        <v>0.1</v>
      </c>
      <c r="H3786" s="891" t="n">
        <f aca="false">E3786*F3786*G3786</f>
        <v>569800</v>
      </c>
      <c r="I3786" s="891" t="n">
        <f aca="false">F3786-H3786</f>
        <v>-162800</v>
      </c>
      <c r="J3786" s="1365" t="n">
        <f aca="false">F3786*G3786</f>
        <v>40700</v>
      </c>
      <c r="K3786" s="1365" t="n">
        <f aca="false">J3786/1792.8</f>
        <v>22.7019187862561</v>
      </c>
      <c r="L3786" s="891" t="n">
        <v>20</v>
      </c>
      <c r="M3786" s="1273" t="n">
        <f aca="false">K3786*L3786/60</f>
        <v>7.56730626208538</v>
      </c>
    </row>
    <row r="3787" customFormat="false" ht="15" hidden="false" customHeight="false" outlineLevel="0" collapsed="false">
      <c r="A3787" s="28"/>
      <c r="B3787" s="78"/>
      <c r="C3787" s="40" t="s">
        <v>7165</v>
      </c>
      <c r="D3787" s="316" t="n">
        <v>2007</v>
      </c>
      <c r="E3787" s="912" t="n">
        <f aca="false">2021-D3787</f>
        <v>14</v>
      </c>
      <c r="F3787" s="891" t="n">
        <v>407000</v>
      </c>
      <c r="G3787" s="1364" t="n">
        <v>0.1</v>
      </c>
      <c r="H3787" s="891" t="n">
        <f aca="false">E3787*F3787*G3787</f>
        <v>569800</v>
      </c>
      <c r="I3787" s="891" t="n">
        <f aca="false">F3787-H3787</f>
        <v>-162800</v>
      </c>
      <c r="J3787" s="1365" t="n">
        <f aca="false">F3787*G3787</f>
        <v>40700</v>
      </c>
      <c r="K3787" s="1365" t="n">
        <f aca="false">J3787/1792.8</f>
        <v>22.7019187862561</v>
      </c>
      <c r="L3787" s="891" t="n">
        <v>20</v>
      </c>
      <c r="M3787" s="1273" t="n">
        <f aca="false">K3787*L3787/60</f>
        <v>7.56730626208538</v>
      </c>
    </row>
    <row r="3788" customFormat="false" ht="15" hidden="false" customHeight="false" outlineLevel="0" collapsed="false">
      <c r="A3788" s="28"/>
      <c r="B3788" s="78"/>
      <c r="C3788" s="40" t="s">
        <v>7155</v>
      </c>
      <c r="D3788" s="316" t="n">
        <v>2007</v>
      </c>
      <c r="E3788" s="912" t="n">
        <f aca="false">2021-D3788</f>
        <v>14</v>
      </c>
      <c r="F3788" s="891" t="n">
        <v>810000</v>
      </c>
      <c r="G3788" s="1364" t="n">
        <v>0.1</v>
      </c>
      <c r="H3788" s="891" t="n">
        <f aca="false">E3788*F3788*G3788</f>
        <v>1134000</v>
      </c>
      <c r="I3788" s="891" t="n">
        <f aca="false">F3788-H3788</f>
        <v>-324000</v>
      </c>
      <c r="J3788" s="1365" t="n">
        <f aca="false">F3788*G3788</f>
        <v>81000</v>
      </c>
      <c r="K3788" s="1365" t="n">
        <f aca="false">J3788/1792.8</f>
        <v>45.1807228915663</v>
      </c>
      <c r="L3788" s="891" t="n">
        <v>4.8</v>
      </c>
      <c r="M3788" s="1273" t="n">
        <f aca="false">K3788*L3788/60</f>
        <v>3.6144578313253</v>
      </c>
    </row>
    <row r="3789" customFormat="false" ht="15" hidden="false" customHeight="false" outlineLevel="0" collapsed="false">
      <c r="A3789" s="28"/>
      <c r="B3789" s="78"/>
      <c r="C3789" s="40" t="s">
        <v>7156</v>
      </c>
      <c r="D3789" s="316" t="n">
        <v>2015</v>
      </c>
      <c r="E3789" s="912" t="n">
        <f aca="false">2021-D3789</f>
        <v>6</v>
      </c>
      <c r="F3789" s="891" t="n">
        <v>694025</v>
      </c>
      <c r="G3789" s="1364" t="n">
        <v>0.1</v>
      </c>
      <c r="H3789" s="891" t="n">
        <f aca="false">E3789*F3789*G3789</f>
        <v>416415</v>
      </c>
      <c r="I3789" s="891" t="n">
        <f aca="false">F3789-H3789</f>
        <v>277610</v>
      </c>
      <c r="J3789" s="1365" t="n">
        <f aca="false">F3789*G3789</f>
        <v>69402.5</v>
      </c>
      <c r="K3789" s="1365" t="n">
        <f aca="false">J3789/1792.8</f>
        <v>38.711791610888</v>
      </c>
      <c r="L3789" s="891" t="n">
        <v>18</v>
      </c>
      <c r="M3789" s="1273" t="n">
        <f aca="false">K3789*L3789/60</f>
        <v>11.6135374832664</v>
      </c>
    </row>
    <row r="3790" customFormat="false" ht="15" hidden="false" customHeight="false" outlineLevel="0" collapsed="false">
      <c r="A3790" s="28"/>
      <c r="B3790" s="78"/>
      <c r="C3790" s="40" t="s">
        <v>7157</v>
      </c>
      <c r="D3790" s="316" t="n">
        <v>2006</v>
      </c>
      <c r="E3790" s="912" t="n">
        <f aca="false">2021-D3790</f>
        <v>15</v>
      </c>
      <c r="F3790" s="891" t="n">
        <v>77000</v>
      </c>
      <c r="G3790" s="1364" t="n">
        <v>0.05</v>
      </c>
      <c r="H3790" s="891" t="n">
        <f aca="false">E3790*F3790*G3790</f>
        <v>57750</v>
      </c>
      <c r="I3790" s="891" t="n">
        <f aca="false">F3790-H3790</f>
        <v>19250</v>
      </c>
      <c r="J3790" s="1365" t="n">
        <f aca="false">F3790*G3790</f>
        <v>3850</v>
      </c>
      <c r="K3790" s="1365" t="n">
        <f aca="false">J3790/1792.8</f>
        <v>2.14747880410531</v>
      </c>
      <c r="L3790" s="891" t="n">
        <v>9.6</v>
      </c>
      <c r="M3790" s="1273" t="n">
        <f aca="false">K3790*L3790/60</f>
        <v>0.34359660865685</v>
      </c>
    </row>
    <row r="3791" customFormat="false" ht="15" hidden="false" customHeight="false" outlineLevel="0" collapsed="false">
      <c r="A3791" s="28"/>
      <c r="B3791" s="78"/>
      <c r="C3791" s="40" t="s">
        <v>7158</v>
      </c>
      <c r="D3791" s="316" t="n">
        <v>2007</v>
      </c>
      <c r="E3791" s="912" t="n">
        <f aca="false">2021-D3791</f>
        <v>14</v>
      </c>
      <c r="F3791" s="891" t="n">
        <v>482500</v>
      </c>
      <c r="G3791" s="1364" t="n">
        <v>0.1</v>
      </c>
      <c r="H3791" s="891" t="n">
        <f aca="false">E3791*F3791*G3791</f>
        <v>675500</v>
      </c>
      <c r="I3791" s="891" t="n">
        <f aca="false">F3791-H3791</f>
        <v>-193000</v>
      </c>
      <c r="J3791" s="1365" t="n">
        <f aca="false">F3791*G3791</f>
        <v>48250</v>
      </c>
      <c r="K3791" s="1365" t="n">
        <f aca="false">J3791/1792.8</f>
        <v>26.913208389112</v>
      </c>
      <c r="L3791" s="891" t="n">
        <v>9.6</v>
      </c>
      <c r="M3791" s="1273" t="n">
        <f aca="false">K3791*L3791/60</f>
        <v>4.30611334225792</v>
      </c>
    </row>
    <row r="3792" customFormat="false" ht="15" hidden="false" customHeight="false" outlineLevel="0" collapsed="false">
      <c r="A3792" s="28"/>
      <c r="B3792" s="78"/>
      <c r="C3792" s="40" t="s">
        <v>7159</v>
      </c>
      <c r="D3792" s="316" t="n">
        <v>2007</v>
      </c>
      <c r="E3792" s="912" t="n">
        <f aca="false">2021-D3792</f>
        <v>14</v>
      </c>
      <c r="F3792" s="891" t="n">
        <v>68000</v>
      </c>
      <c r="G3792" s="1364" t="n">
        <v>0.1</v>
      </c>
      <c r="H3792" s="891" t="n">
        <f aca="false">E3792*F3792*G3792</f>
        <v>95200</v>
      </c>
      <c r="I3792" s="891" t="n">
        <f aca="false">F3792-H3792</f>
        <v>-27200</v>
      </c>
      <c r="J3792" s="1365" t="n">
        <f aca="false">F3792*G3792</f>
        <v>6800</v>
      </c>
      <c r="K3792" s="1365" t="n">
        <f aca="false">J3792/1792.8</f>
        <v>3.79294957608211</v>
      </c>
      <c r="L3792" s="891" t="n">
        <v>3.6</v>
      </c>
      <c r="M3792" s="1273" t="n">
        <f aca="false">K3792*L3792/60</f>
        <v>0.227576974564926</v>
      </c>
    </row>
    <row r="3793" customFormat="false" ht="15" hidden="false" customHeight="false" outlineLevel="0" collapsed="false">
      <c r="A3793" s="28"/>
      <c r="B3793" s="78"/>
      <c r="C3793" s="40" t="s">
        <v>7163</v>
      </c>
      <c r="D3793" s="316" t="n">
        <v>1994</v>
      </c>
      <c r="E3793" s="912" t="n">
        <f aca="false">2021-D3793</f>
        <v>27</v>
      </c>
      <c r="F3793" s="891"/>
      <c r="G3793" s="891"/>
      <c r="H3793" s="891" t="n">
        <f aca="false">E3793*F3793*G3793</f>
        <v>0</v>
      </c>
      <c r="I3793" s="891" t="n">
        <f aca="false">F3793-H3793</f>
        <v>0</v>
      </c>
      <c r="J3793" s="1365" t="n">
        <f aca="false">F3793*G3793</f>
        <v>0</v>
      </c>
      <c r="K3793" s="1365" t="n">
        <f aca="false">J3793/1792.8</f>
        <v>0</v>
      </c>
      <c r="L3793" s="891" t="n">
        <v>5</v>
      </c>
      <c r="M3793" s="1273" t="n">
        <f aca="false">K3793*L3793/60</f>
        <v>0</v>
      </c>
    </row>
    <row r="3794" customFormat="false" ht="15" hidden="false" customHeight="false" outlineLevel="0" collapsed="false">
      <c r="A3794" s="28"/>
      <c r="B3794" s="78"/>
      <c r="C3794" s="40" t="s">
        <v>7161</v>
      </c>
      <c r="D3794" s="316" t="n">
        <v>2007</v>
      </c>
      <c r="E3794" s="912" t="n">
        <f aca="false">2021-D3794</f>
        <v>14</v>
      </c>
      <c r="F3794" s="891" t="n">
        <v>1849800</v>
      </c>
      <c r="G3794" s="1364" t="n">
        <v>0.1</v>
      </c>
      <c r="H3794" s="891" t="n">
        <f aca="false">E3794*F3794*G3794</f>
        <v>2589720</v>
      </c>
      <c r="I3794" s="891" t="n">
        <f aca="false">F3794-H3794</f>
        <v>-739920</v>
      </c>
      <c r="J3794" s="1365" t="n">
        <f aca="false">F3794*G3794</f>
        <v>184980</v>
      </c>
      <c r="K3794" s="1365" t="n">
        <f aca="false">J3794/1792.8</f>
        <v>103.179384203481</v>
      </c>
      <c r="L3794" s="891" t="n">
        <v>5</v>
      </c>
      <c r="M3794" s="1273" t="n">
        <f aca="false">K3794*L3794/60</f>
        <v>8.59828201695672</v>
      </c>
    </row>
    <row r="3795" customFormat="false" ht="15" hidden="false" customHeight="false" outlineLevel="0" collapsed="false">
      <c r="A3795" s="28"/>
      <c r="B3795" s="972" t="s">
        <v>4128</v>
      </c>
      <c r="C3795" s="1053"/>
      <c r="D3795" s="965"/>
      <c r="E3795" s="912"/>
      <c r="F3795" s="1490"/>
      <c r="G3795" s="1490"/>
      <c r="H3795" s="1490"/>
      <c r="I3795" s="1490"/>
      <c r="J3795" s="1490"/>
      <c r="K3795" s="1365" t="n">
        <f aca="false">J3795/1792.8</f>
        <v>0</v>
      </c>
      <c r="L3795" s="1490"/>
      <c r="M3795" s="1366" t="n">
        <f aca="false">SUM(M3786:M3794)</f>
        <v>43.8381767811989</v>
      </c>
    </row>
    <row r="3796" customFormat="false" ht="30" hidden="false" customHeight="false" outlineLevel="0" collapsed="false">
      <c r="A3796" s="28" t="s">
        <v>1913</v>
      </c>
      <c r="B3796" s="40" t="s">
        <v>3692</v>
      </c>
      <c r="C3796" s="40" t="s">
        <v>7154</v>
      </c>
      <c r="D3796" s="316" t="n">
        <v>2007</v>
      </c>
      <c r="E3796" s="912" t="n">
        <f aca="false">2021-D3796</f>
        <v>14</v>
      </c>
      <c r="F3796" s="891" t="n">
        <v>407000</v>
      </c>
      <c r="G3796" s="1364" t="n">
        <v>0.1</v>
      </c>
      <c r="H3796" s="891" t="n">
        <f aca="false">E3796*F3796*G3796</f>
        <v>569800</v>
      </c>
      <c r="I3796" s="891" t="n">
        <f aca="false">F3796-H3796</f>
        <v>-162800</v>
      </c>
      <c r="J3796" s="1365" t="n">
        <f aca="false">F3796*G3796</f>
        <v>40700</v>
      </c>
      <c r="K3796" s="1365" t="n">
        <f aca="false">J3796/1792.8</f>
        <v>22.7019187862561</v>
      </c>
      <c r="L3796" s="891" t="n">
        <v>20</v>
      </c>
      <c r="M3796" s="1273" t="n">
        <f aca="false">K3796*L3796/60</f>
        <v>7.56730626208538</v>
      </c>
    </row>
    <row r="3797" customFormat="false" ht="15" hidden="false" customHeight="false" outlineLevel="0" collapsed="false">
      <c r="A3797" s="28"/>
      <c r="B3797" s="78"/>
      <c r="C3797" s="40" t="s">
        <v>7155</v>
      </c>
      <c r="D3797" s="316" t="n">
        <v>2007</v>
      </c>
      <c r="E3797" s="912" t="n">
        <f aca="false">2021-D3797</f>
        <v>14</v>
      </c>
      <c r="F3797" s="891" t="n">
        <v>810000</v>
      </c>
      <c r="G3797" s="1364" t="n">
        <v>0.1</v>
      </c>
      <c r="H3797" s="891" t="n">
        <f aca="false">E3797*F3797*G3797</f>
        <v>1134000</v>
      </c>
      <c r="I3797" s="891" t="n">
        <f aca="false">F3797-H3797</f>
        <v>-324000</v>
      </c>
      <c r="J3797" s="1365" t="n">
        <f aca="false">F3797*G3797</f>
        <v>81000</v>
      </c>
      <c r="K3797" s="1365" t="n">
        <f aca="false">J3797/1792.8</f>
        <v>45.1807228915663</v>
      </c>
      <c r="L3797" s="891" t="n">
        <v>4.8</v>
      </c>
      <c r="M3797" s="1273" t="n">
        <f aca="false">K3797*L3797/60</f>
        <v>3.6144578313253</v>
      </c>
    </row>
    <row r="3798" customFormat="false" ht="15" hidden="false" customHeight="false" outlineLevel="0" collapsed="false">
      <c r="A3798" s="28"/>
      <c r="B3798" s="78"/>
      <c r="C3798" s="40" t="s">
        <v>7160</v>
      </c>
      <c r="D3798" s="316" t="n">
        <v>1994</v>
      </c>
      <c r="E3798" s="912" t="n">
        <f aca="false">2021-D3798</f>
        <v>27</v>
      </c>
      <c r="F3798" s="891" t="n">
        <v>156540</v>
      </c>
      <c r="G3798" s="1364" t="n">
        <v>0.1</v>
      </c>
      <c r="H3798" s="891" t="n">
        <v>156540</v>
      </c>
      <c r="I3798" s="891" t="n">
        <f aca="false">F3798-H3798</f>
        <v>0</v>
      </c>
      <c r="J3798" s="1365" t="n">
        <f aca="false">F3798*G3798</f>
        <v>15654</v>
      </c>
      <c r="K3798" s="1365" t="n">
        <f aca="false">J3798/1792.8</f>
        <v>8.73159303882196</v>
      </c>
      <c r="L3798" s="891" t="n">
        <v>5</v>
      </c>
      <c r="M3798" s="1273" t="n">
        <f aca="false">K3798*L3798/60</f>
        <v>0.727632753235163</v>
      </c>
    </row>
    <row r="3799" customFormat="false" ht="15" hidden="false" customHeight="false" outlineLevel="0" collapsed="false">
      <c r="A3799" s="28"/>
      <c r="B3799" s="78"/>
      <c r="C3799" s="40" t="s">
        <v>7158</v>
      </c>
      <c r="D3799" s="316" t="n">
        <v>2007</v>
      </c>
      <c r="E3799" s="912" t="n">
        <f aca="false">2021-D3799</f>
        <v>14</v>
      </c>
      <c r="F3799" s="891" t="n">
        <v>482500</v>
      </c>
      <c r="G3799" s="1364" t="n">
        <v>0.1</v>
      </c>
      <c r="H3799" s="891" t="n">
        <f aca="false">E3799*F3799*G3799</f>
        <v>675500</v>
      </c>
      <c r="I3799" s="891" t="n">
        <f aca="false">F3799-H3799</f>
        <v>-193000</v>
      </c>
      <c r="J3799" s="1365" t="n">
        <f aca="false">F3799*G3799</f>
        <v>48250</v>
      </c>
      <c r="K3799" s="1365" t="n">
        <f aca="false">J3799/1792.8</f>
        <v>26.913208389112</v>
      </c>
      <c r="L3799" s="891" t="n">
        <v>9.6</v>
      </c>
      <c r="M3799" s="1273" t="n">
        <f aca="false">K3799*L3799/60</f>
        <v>4.30611334225792</v>
      </c>
    </row>
    <row r="3800" customFormat="false" ht="15" hidden="false" customHeight="false" outlineLevel="0" collapsed="false">
      <c r="A3800" s="28"/>
      <c r="B3800" s="78"/>
      <c r="C3800" s="40" t="s">
        <v>7161</v>
      </c>
      <c r="D3800" s="316" t="n">
        <v>2007</v>
      </c>
      <c r="E3800" s="912" t="n">
        <f aca="false">2021-D3800</f>
        <v>14</v>
      </c>
      <c r="F3800" s="891" t="n">
        <v>1849800</v>
      </c>
      <c r="G3800" s="1364" t="n">
        <v>0.1</v>
      </c>
      <c r="H3800" s="891" t="n">
        <f aca="false">E3800*F3800*G3800</f>
        <v>2589720</v>
      </c>
      <c r="I3800" s="891" t="n">
        <f aca="false">F3800-H3800</f>
        <v>-739920</v>
      </c>
      <c r="J3800" s="1365" t="n">
        <f aca="false">F3800*G3800</f>
        <v>184980</v>
      </c>
      <c r="K3800" s="1365" t="n">
        <f aca="false">J3800/1792.8</f>
        <v>103.179384203481</v>
      </c>
      <c r="L3800" s="891" t="n">
        <v>5</v>
      </c>
      <c r="M3800" s="1273" t="n">
        <f aca="false">K3800*L3800/60</f>
        <v>8.59828201695672</v>
      </c>
    </row>
    <row r="3801" customFormat="false" ht="15" hidden="false" customHeight="false" outlineLevel="0" collapsed="false">
      <c r="A3801" s="28"/>
      <c r="B3801" s="972" t="s">
        <v>4128</v>
      </c>
      <c r="C3801" s="1053"/>
      <c r="D3801" s="965"/>
      <c r="E3801" s="912"/>
      <c r="F3801" s="1490"/>
      <c r="G3801" s="1490"/>
      <c r="H3801" s="1490"/>
      <c r="I3801" s="1490"/>
      <c r="J3801" s="1490"/>
      <c r="K3801" s="1365" t="n">
        <f aca="false">J3801/1792.8</f>
        <v>0</v>
      </c>
      <c r="L3801" s="1490"/>
      <c r="M3801" s="1366" t="n">
        <f aca="false">SUM(M3796:M3800)</f>
        <v>24.8137922058605</v>
      </c>
    </row>
    <row r="3802" s="122" customFormat="true" ht="30" hidden="false" customHeight="false" outlineLevel="0" collapsed="false">
      <c r="A3802" s="20" t="s">
        <v>1915</v>
      </c>
      <c r="B3802" s="118" t="s">
        <v>3693</v>
      </c>
      <c r="C3802" s="118" t="s">
        <v>7183</v>
      </c>
      <c r="D3802" s="877" t="n">
        <v>2007</v>
      </c>
      <c r="E3802" s="569" t="n">
        <f aca="false">2021-D3802</f>
        <v>14</v>
      </c>
      <c r="F3802" s="902" t="n">
        <v>407000</v>
      </c>
      <c r="G3802" s="1407" t="n">
        <v>0.1</v>
      </c>
      <c r="H3802" s="902" t="n">
        <f aca="false">E3802*F3802*G3802</f>
        <v>569800</v>
      </c>
      <c r="I3802" s="902" t="n">
        <f aca="false">F3802-H3802</f>
        <v>-162800</v>
      </c>
      <c r="J3802" s="1410" t="n">
        <f aca="false">F3802*G3802</f>
        <v>40700</v>
      </c>
      <c r="K3802" s="1365" t="n">
        <f aca="false">J3802/1792.8</f>
        <v>22.7019187862561</v>
      </c>
      <c r="L3802" s="902" t="n">
        <v>20</v>
      </c>
      <c r="M3802" s="1408" t="n">
        <f aca="false">K3802*L3802/60</f>
        <v>7.56730626208538</v>
      </c>
    </row>
    <row r="3803" customFormat="false" ht="15" hidden="false" customHeight="false" outlineLevel="0" collapsed="false">
      <c r="A3803" s="28"/>
      <c r="B3803" s="972"/>
      <c r="C3803" s="40" t="s">
        <v>7155</v>
      </c>
      <c r="D3803" s="316" t="n">
        <v>2007</v>
      </c>
      <c r="E3803" s="912" t="n">
        <f aca="false">2021-D3803</f>
        <v>14</v>
      </c>
      <c r="F3803" s="891" t="n">
        <v>810000</v>
      </c>
      <c r="G3803" s="1364" t="n">
        <v>0.1</v>
      </c>
      <c r="H3803" s="891" t="n">
        <f aca="false">E3803*F3803*G3803</f>
        <v>1134000</v>
      </c>
      <c r="I3803" s="891" t="n">
        <f aca="false">F3803-H3803</f>
        <v>-324000</v>
      </c>
      <c r="J3803" s="1365" t="n">
        <f aca="false">F3803*G3803</f>
        <v>81000</v>
      </c>
      <c r="K3803" s="1365" t="n">
        <f aca="false">J3803/1792.8</f>
        <v>45.1807228915663</v>
      </c>
      <c r="L3803" s="891" t="n">
        <v>4.8</v>
      </c>
      <c r="M3803" s="1273" t="n">
        <f aca="false">K3803*L3803/60</f>
        <v>3.6144578313253</v>
      </c>
    </row>
    <row r="3804" customFormat="false" ht="15" hidden="false" customHeight="false" outlineLevel="0" collapsed="false">
      <c r="A3804" s="28"/>
      <c r="B3804" s="972"/>
      <c r="C3804" s="40" t="s">
        <v>7156</v>
      </c>
      <c r="D3804" s="316" t="n">
        <v>2015</v>
      </c>
      <c r="E3804" s="912" t="n">
        <f aca="false">2021-D3804</f>
        <v>6</v>
      </c>
      <c r="F3804" s="891" t="n">
        <v>694025</v>
      </c>
      <c r="G3804" s="1364" t="n">
        <v>0.1</v>
      </c>
      <c r="H3804" s="891" t="n">
        <f aca="false">E3804*F3804*G3804</f>
        <v>416415</v>
      </c>
      <c r="I3804" s="891" t="n">
        <f aca="false">F3804-H3804</f>
        <v>277610</v>
      </c>
      <c r="J3804" s="1365" t="n">
        <f aca="false">F3804*G3804</f>
        <v>69402.5</v>
      </c>
      <c r="K3804" s="1365" t="n">
        <f aca="false">J3804/1792.8</f>
        <v>38.711791610888</v>
      </c>
      <c r="L3804" s="891" t="n">
        <v>18</v>
      </c>
      <c r="M3804" s="1273" t="n">
        <f aca="false">K3804*L3804/60</f>
        <v>11.6135374832664</v>
      </c>
    </row>
    <row r="3805" customFormat="false" ht="15" hidden="false" customHeight="false" outlineLevel="0" collapsed="false">
      <c r="A3805" s="28"/>
      <c r="B3805" s="972"/>
      <c r="C3805" s="40" t="s">
        <v>7157</v>
      </c>
      <c r="D3805" s="316" t="n">
        <v>2006</v>
      </c>
      <c r="E3805" s="912" t="n">
        <f aca="false">2021-D3805</f>
        <v>15</v>
      </c>
      <c r="F3805" s="891" t="n">
        <v>77000</v>
      </c>
      <c r="G3805" s="1364" t="n">
        <v>0.05</v>
      </c>
      <c r="H3805" s="891" t="n">
        <f aca="false">E3805*F3805*G3805</f>
        <v>57750</v>
      </c>
      <c r="I3805" s="891" t="n">
        <f aca="false">F3805-H3805</f>
        <v>19250</v>
      </c>
      <c r="J3805" s="1365" t="n">
        <f aca="false">F3805*G3805</f>
        <v>3850</v>
      </c>
      <c r="K3805" s="1365" t="n">
        <f aca="false">J3805/1792.8</f>
        <v>2.14747880410531</v>
      </c>
      <c r="L3805" s="891" t="n">
        <v>9.6</v>
      </c>
      <c r="M3805" s="1273" t="n">
        <f aca="false">K3805*L3805/60</f>
        <v>0.34359660865685</v>
      </c>
    </row>
    <row r="3806" customFormat="false" ht="15" hidden="false" customHeight="false" outlineLevel="0" collapsed="false">
      <c r="A3806" s="28"/>
      <c r="B3806" s="972"/>
      <c r="C3806" s="40" t="s">
        <v>7158</v>
      </c>
      <c r="D3806" s="316" t="n">
        <v>2007</v>
      </c>
      <c r="E3806" s="912" t="n">
        <f aca="false">2021-D3806</f>
        <v>14</v>
      </c>
      <c r="F3806" s="891" t="n">
        <v>482500</v>
      </c>
      <c r="G3806" s="1364" t="n">
        <v>0.1</v>
      </c>
      <c r="H3806" s="891" t="n">
        <f aca="false">E3806*F3806*G3806</f>
        <v>675500</v>
      </c>
      <c r="I3806" s="891" t="n">
        <f aca="false">F3806-H3806</f>
        <v>-193000</v>
      </c>
      <c r="J3806" s="1365" t="n">
        <f aca="false">F3806*G3806</f>
        <v>48250</v>
      </c>
      <c r="K3806" s="1365" t="n">
        <f aca="false">J3806/1792.8</f>
        <v>26.913208389112</v>
      </c>
      <c r="L3806" s="891" t="n">
        <v>9.6</v>
      </c>
      <c r="M3806" s="1273" t="n">
        <f aca="false">K3806*L3806/60</f>
        <v>4.30611334225792</v>
      </c>
    </row>
    <row r="3807" customFormat="false" ht="15" hidden="false" customHeight="false" outlineLevel="0" collapsed="false">
      <c r="A3807" s="28"/>
      <c r="B3807" s="972"/>
      <c r="C3807" s="40" t="s">
        <v>7159</v>
      </c>
      <c r="D3807" s="316" t="n">
        <v>2007</v>
      </c>
      <c r="E3807" s="912" t="n">
        <f aca="false">2021-D3807</f>
        <v>14</v>
      </c>
      <c r="F3807" s="891" t="n">
        <v>68000</v>
      </c>
      <c r="G3807" s="1364" t="n">
        <v>0.1</v>
      </c>
      <c r="H3807" s="891" t="n">
        <f aca="false">E3807*F3807*G3807</f>
        <v>95200</v>
      </c>
      <c r="I3807" s="891" t="n">
        <f aca="false">F3807-H3807</f>
        <v>-27200</v>
      </c>
      <c r="J3807" s="1365" t="n">
        <f aca="false">F3807*G3807</f>
        <v>6800</v>
      </c>
      <c r="K3807" s="1365" t="n">
        <f aca="false">J3807/1792.8</f>
        <v>3.79294957608211</v>
      </c>
      <c r="L3807" s="891" t="n">
        <v>3.6</v>
      </c>
      <c r="M3807" s="1273" t="n">
        <f aca="false">K3807*L3807/60</f>
        <v>0.227576974564926</v>
      </c>
    </row>
    <row r="3808" customFormat="false" ht="15" hidden="false" customHeight="false" outlineLevel="0" collapsed="false">
      <c r="A3808" s="28"/>
      <c r="B3808" s="972"/>
      <c r="C3808" s="40" t="s">
        <v>7161</v>
      </c>
      <c r="D3808" s="316" t="n">
        <v>2007</v>
      </c>
      <c r="E3808" s="912" t="n">
        <f aca="false">2021-D3808</f>
        <v>14</v>
      </c>
      <c r="F3808" s="891" t="n">
        <v>1849800</v>
      </c>
      <c r="G3808" s="1364" t="n">
        <v>0.1</v>
      </c>
      <c r="H3808" s="891" t="n">
        <f aca="false">E3808*F3808*G3808</f>
        <v>2589720</v>
      </c>
      <c r="I3808" s="891" t="n">
        <f aca="false">F3808-H3808</f>
        <v>-739920</v>
      </c>
      <c r="J3808" s="1365" t="n">
        <f aca="false">F3808*G3808</f>
        <v>184980</v>
      </c>
      <c r="K3808" s="1365" t="n">
        <f aca="false">J3808/1792.8</f>
        <v>103.179384203481</v>
      </c>
      <c r="L3808" s="891" t="n">
        <v>5</v>
      </c>
      <c r="M3808" s="1273" t="n">
        <f aca="false">K3808*L3808/60</f>
        <v>8.59828201695672</v>
      </c>
    </row>
    <row r="3809" customFormat="false" ht="15" hidden="false" customHeight="false" outlineLevel="0" collapsed="false">
      <c r="A3809" s="28"/>
      <c r="B3809" s="972" t="s">
        <v>4128</v>
      </c>
      <c r="C3809" s="1053"/>
      <c r="D3809" s="965"/>
      <c r="E3809" s="912"/>
      <c r="F3809" s="1490"/>
      <c r="G3809" s="1490"/>
      <c r="H3809" s="1490"/>
      <c r="I3809" s="1490"/>
      <c r="J3809" s="1490"/>
      <c r="K3809" s="1365" t="n">
        <f aca="false">J3809/1792.8</f>
        <v>0</v>
      </c>
      <c r="L3809" s="1490"/>
      <c r="M3809" s="1366" t="n">
        <f aca="false">SUM(M3802:M3808)</f>
        <v>36.2708705191135</v>
      </c>
    </row>
    <row r="3810" customFormat="false" ht="30" hidden="false" customHeight="false" outlineLevel="0" collapsed="false">
      <c r="A3810" s="28" t="s">
        <v>1917</v>
      </c>
      <c r="B3810" s="40" t="s">
        <v>3694</v>
      </c>
      <c r="C3810" s="40" t="s">
        <v>7164</v>
      </c>
      <c r="D3810" s="316" t="n">
        <v>2007</v>
      </c>
      <c r="E3810" s="912" t="n">
        <f aca="false">2021-D3810</f>
        <v>14</v>
      </c>
      <c r="F3810" s="891" t="n">
        <v>407000</v>
      </c>
      <c r="G3810" s="1364" t="n">
        <v>0.1</v>
      </c>
      <c r="H3810" s="891" t="n">
        <f aca="false">E3810*F3810*G3810</f>
        <v>569800</v>
      </c>
      <c r="I3810" s="891" t="n">
        <f aca="false">F3810-H3810</f>
        <v>-162800</v>
      </c>
      <c r="J3810" s="1365" t="n">
        <f aca="false">F3810*G3810</f>
        <v>40700</v>
      </c>
      <c r="K3810" s="1365" t="n">
        <f aca="false">J3810/1792.8</f>
        <v>22.7019187862561</v>
      </c>
      <c r="L3810" s="891" t="n">
        <v>20</v>
      </c>
      <c r="M3810" s="1273" t="n">
        <f aca="false">K3810*L3810/60</f>
        <v>7.56730626208538</v>
      </c>
    </row>
    <row r="3811" customFormat="false" ht="15" hidden="false" customHeight="false" outlineLevel="0" collapsed="false">
      <c r="A3811" s="28"/>
      <c r="B3811" s="78"/>
      <c r="C3811" s="40" t="s">
        <v>7155</v>
      </c>
      <c r="D3811" s="316" t="n">
        <v>2007</v>
      </c>
      <c r="E3811" s="912" t="n">
        <f aca="false">2021-D3811</f>
        <v>14</v>
      </c>
      <c r="F3811" s="891" t="n">
        <v>810000</v>
      </c>
      <c r="G3811" s="1364" t="n">
        <v>0.1</v>
      </c>
      <c r="H3811" s="891" t="n">
        <f aca="false">E3811*F3811*G3811</f>
        <v>1134000</v>
      </c>
      <c r="I3811" s="891" t="n">
        <f aca="false">F3811-H3811</f>
        <v>-324000</v>
      </c>
      <c r="J3811" s="1365" t="n">
        <f aca="false">F3811*G3811</f>
        <v>81000</v>
      </c>
      <c r="K3811" s="1365" t="n">
        <f aca="false">J3811/1792.8</f>
        <v>45.1807228915663</v>
      </c>
      <c r="L3811" s="891" t="n">
        <v>4.8</v>
      </c>
      <c r="M3811" s="1273" t="n">
        <f aca="false">K3811*L3811/60</f>
        <v>3.6144578313253</v>
      </c>
    </row>
    <row r="3812" customFormat="false" ht="15" hidden="false" customHeight="false" outlineLevel="0" collapsed="false">
      <c r="A3812" s="28"/>
      <c r="B3812" s="78"/>
      <c r="C3812" s="40" t="s">
        <v>7156</v>
      </c>
      <c r="D3812" s="316" t="n">
        <v>2015</v>
      </c>
      <c r="E3812" s="912" t="n">
        <f aca="false">2021-D3812</f>
        <v>6</v>
      </c>
      <c r="F3812" s="891" t="n">
        <v>694025</v>
      </c>
      <c r="G3812" s="1364" t="n">
        <v>0.1</v>
      </c>
      <c r="H3812" s="891" t="n">
        <f aca="false">E3812*F3812*G3812</f>
        <v>416415</v>
      </c>
      <c r="I3812" s="891" t="n">
        <f aca="false">F3812-H3812</f>
        <v>277610</v>
      </c>
      <c r="J3812" s="1365" t="n">
        <f aca="false">F3812*G3812</f>
        <v>69402.5</v>
      </c>
      <c r="K3812" s="1365" t="n">
        <f aca="false">J3812/1792.8</f>
        <v>38.711791610888</v>
      </c>
      <c r="L3812" s="891" t="n">
        <v>18</v>
      </c>
      <c r="M3812" s="1273" t="n">
        <f aca="false">K3812*L3812/60</f>
        <v>11.6135374832664</v>
      </c>
    </row>
    <row r="3813" customFormat="false" ht="15" hidden="false" customHeight="false" outlineLevel="0" collapsed="false">
      <c r="A3813" s="28"/>
      <c r="B3813" s="78"/>
      <c r="C3813" s="40" t="s">
        <v>7157</v>
      </c>
      <c r="D3813" s="316" t="n">
        <v>2006</v>
      </c>
      <c r="E3813" s="912" t="n">
        <f aca="false">2021-D3813</f>
        <v>15</v>
      </c>
      <c r="F3813" s="891" t="n">
        <v>77000</v>
      </c>
      <c r="G3813" s="1364" t="n">
        <v>0.05</v>
      </c>
      <c r="H3813" s="891" t="n">
        <f aca="false">E3813*F3813*G3813</f>
        <v>57750</v>
      </c>
      <c r="I3813" s="891" t="n">
        <f aca="false">F3813-H3813</f>
        <v>19250</v>
      </c>
      <c r="J3813" s="1365" t="n">
        <f aca="false">F3813*G3813</f>
        <v>3850</v>
      </c>
      <c r="K3813" s="1365" t="n">
        <f aca="false">J3813/1792.8</f>
        <v>2.14747880410531</v>
      </c>
      <c r="L3813" s="891" t="n">
        <v>9.6</v>
      </c>
      <c r="M3813" s="1273" t="n">
        <f aca="false">K3813*L3813/60</f>
        <v>0.34359660865685</v>
      </c>
    </row>
    <row r="3814" customFormat="false" ht="15" hidden="false" customHeight="false" outlineLevel="0" collapsed="false">
      <c r="A3814" s="28"/>
      <c r="B3814" s="78"/>
      <c r="C3814" s="40" t="s">
        <v>7158</v>
      </c>
      <c r="D3814" s="316" t="n">
        <v>2007</v>
      </c>
      <c r="E3814" s="912" t="n">
        <f aca="false">2021-D3814</f>
        <v>14</v>
      </c>
      <c r="F3814" s="891" t="n">
        <v>482500</v>
      </c>
      <c r="G3814" s="1364" t="n">
        <v>0.1</v>
      </c>
      <c r="H3814" s="891" t="n">
        <f aca="false">E3814*F3814*G3814</f>
        <v>675500</v>
      </c>
      <c r="I3814" s="891" t="n">
        <f aca="false">F3814-H3814</f>
        <v>-193000</v>
      </c>
      <c r="J3814" s="1365" t="n">
        <f aca="false">F3814*G3814</f>
        <v>48250</v>
      </c>
      <c r="K3814" s="1365" t="n">
        <f aca="false">J3814/1792.8</f>
        <v>26.913208389112</v>
      </c>
      <c r="L3814" s="891" t="n">
        <v>9.6</v>
      </c>
      <c r="M3814" s="1273" t="n">
        <f aca="false">K3814*L3814/60</f>
        <v>4.30611334225792</v>
      </c>
    </row>
    <row r="3815" customFormat="false" ht="15" hidden="false" customHeight="false" outlineLevel="0" collapsed="false">
      <c r="A3815" s="28"/>
      <c r="B3815" s="78"/>
      <c r="C3815" s="40" t="s">
        <v>7159</v>
      </c>
      <c r="D3815" s="316" t="n">
        <v>2007</v>
      </c>
      <c r="E3815" s="912" t="n">
        <f aca="false">2021-D3815</f>
        <v>14</v>
      </c>
      <c r="F3815" s="891" t="n">
        <v>68000</v>
      </c>
      <c r="G3815" s="1364" t="n">
        <v>0.1</v>
      </c>
      <c r="H3815" s="891" t="n">
        <f aca="false">E3815*F3815*G3815</f>
        <v>95200</v>
      </c>
      <c r="I3815" s="891" t="n">
        <f aca="false">F3815-H3815</f>
        <v>-27200</v>
      </c>
      <c r="J3815" s="1365" t="n">
        <f aca="false">F3815*G3815</f>
        <v>6800</v>
      </c>
      <c r="K3815" s="1365" t="n">
        <f aca="false">J3815/1792.8</f>
        <v>3.79294957608211</v>
      </c>
      <c r="L3815" s="891" t="n">
        <v>3.6</v>
      </c>
      <c r="M3815" s="1273" t="n">
        <f aca="false">K3815*L3815/60</f>
        <v>0.227576974564926</v>
      </c>
    </row>
    <row r="3816" customFormat="false" ht="15" hidden="false" customHeight="false" outlineLevel="0" collapsed="false">
      <c r="A3816" s="28"/>
      <c r="B3816" s="78"/>
      <c r="C3816" s="40" t="s">
        <v>7163</v>
      </c>
      <c r="D3816" s="316" t="n">
        <v>1994</v>
      </c>
      <c r="E3816" s="912" t="n">
        <f aca="false">2021-D3816</f>
        <v>27</v>
      </c>
      <c r="F3816" s="891"/>
      <c r="G3816" s="891"/>
      <c r="H3816" s="891" t="n">
        <f aca="false">E3816*F3816*G3816</f>
        <v>0</v>
      </c>
      <c r="I3816" s="891" t="n">
        <f aca="false">F3816-H3816</f>
        <v>0</v>
      </c>
      <c r="J3816" s="1365" t="n">
        <f aca="false">F3816*G3816</f>
        <v>0</v>
      </c>
      <c r="K3816" s="1365" t="n">
        <f aca="false">J3816/1792.8</f>
        <v>0</v>
      </c>
      <c r="L3816" s="891" t="n">
        <v>5</v>
      </c>
      <c r="M3816" s="1273" t="n">
        <f aca="false">K3816*L3816/60</f>
        <v>0</v>
      </c>
    </row>
    <row r="3817" customFormat="false" ht="15" hidden="false" customHeight="false" outlineLevel="0" collapsed="false">
      <c r="A3817" s="28"/>
      <c r="B3817" s="78"/>
      <c r="C3817" s="40" t="s">
        <v>7161</v>
      </c>
      <c r="D3817" s="316" t="n">
        <v>2007</v>
      </c>
      <c r="E3817" s="912" t="n">
        <f aca="false">2021-D3817</f>
        <v>14</v>
      </c>
      <c r="F3817" s="891" t="n">
        <v>1849800</v>
      </c>
      <c r="G3817" s="1364" t="n">
        <v>0.1</v>
      </c>
      <c r="H3817" s="891" t="n">
        <f aca="false">E3817*F3817*G3817</f>
        <v>2589720</v>
      </c>
      <c r="I3817" s="891" t="n">
        <f aca="false">F3817-H3817</f>
        <v>-739920</v>
      </c>
      <c r="J3817" s="1365" t="n">
        <f aca="false">F3817*G3817</f>
        <v>184980</v>
      </c>
      <c r="K3817" s="1365" t="n">
        <f aca="false">J3817/1792.8</f>
        <v>103.179384203481</v>
      </c>
      <c r="L3817" s="891" t="n">
        <v>5</v>
      </c>
      <c r="M3817" s="1273" t="n">
        <f aca="false">K3817*L3817/60</f>
        <v>8.59828201695672</v>
      </c>
    </row>
    <row r="3818" customFormat="false" ht="15" hidden="false" customHeight="false" outlineLevel="0" collapsed="false">
      <c r="A3818" s="28"/>
      <c r="B3818" s="78"/>
      <c r="C3818" s="40" t="s">
        <v>7160</v>
      </c>
      <c r="D3818" s="316" t="n">
        <v>1994</v>
      </c>
      <c r="E3818" s="912" t="n">
        <f aca="false">2021-D3818</f>
        <v>27</v>
      </c>
      <c r="F3818" s="891" t="n">
        <v>156540</v>
      </c>
      <c r="G3818" s="1364" t="n">
        <v>0.1</v>
      </c>
      <c r="H3818" s="891" t="n">
        <v>156540</v>
      </c>
      <c r="I3818" s="891" t="n">
        <f aca="false">F3818-H3818</f>
        <v>0</v>
      </c>
      <c r="J3818" s="1365" t="n">
        <f aca="false">F3818*G3818</f>
        <v>15654</v>
      </c>
      <c r="K3818" s="1365" t="n">
        <f aca="false">J3818/1792.8</f>
        <v>8.73159303882196</v>
      </c>
      <c r="L3818" s="891" t="n">
        <v>5</v>
      </c>
      <c r="M3818" s="1273" t="n">
        <f aca="false">K3818*L3818/60</f>
        <v>0.727632753235163</v>
      </c>
    </row>
    <row r="3819" customFormat="false" ht="15" hidden="false" customHeight="false" outlineLevel="0" collapsed="false">
      <c r="A3819" s="28"/>
      <c r="B3819" s="972" t="s">
        <v>4128</v>
      </c>
      <c r="C3819" s="1053"/>
      <c r="D3819" s="965"/>
      <c r="E3819" s="912"/>
      <c r="F3819" s="1490"/>
      <c r="G3819" s="1372"/>
      <c r="H3819" s="1490"/>
      <c r="I3819" s="1490"/>
      <c r="J3819" s="1490"/>
      <c r="K3819" s="1365" t="n">
        <f aca="false">J3819/1792.8</f>
        <v>0</v>
      </c>
      <c r="L3819" s="1490"/>
      <c r="M3819" s="1366" t="n">
        <f aca="false">SUM(M3810:M3818)</f>
        <v>36.9985032723487</v>
      </c>
    </row>
    <row r="3820" customFormat="false" ht="30" hidden="false" customHeight="false" outlineLevel="0" collapsed="false">
      <c r="A3820" s="28" t="s">
        <v>1919</v>
      </c>
      <c r="B3820" s="40" t="s">
        <v>5924</v>
      </c>
      <c r="C3820" s="40" t="s">
        <v>7183</v>
      </c>
      <c r="D3820" s="316" t="n">
        <v>2007</v>
      </c>
      <c r="E3820" s="912" t="n">
        <f aca="false">2021-D3820</f>
        <v>14</v>
      </c>
      <c r="F3820" s="891" t="n">
        <v>407000</v>
      </c>
      <c r="G3820" s="1364" t="n">
        <v>0.1</v>
      </c>
      <c r="H3820" s="891" t="n">
        <f aca="false">E3820*F3820*G3820</f>
        <v>569800</v>
      </c>
      <c r="I3820" s="891" t="n">
        <f aca="false">F3820-H3820</f>
        <v>-162800</v>
      </c>
      <c r="J3820" s="1365" t="n">
        <f aca="false">F3820*G3820</f>
        <v>40700</v>
      </c>
      <c r="K3820" s="1365" t="n">
        <f aca="false">J3820/1792.8</f>
        <v>22.7019187862561</v>
      </c>
      <c r="L3820" s="891" t="n">
        <v>20</v>
      </c>
      <c r="M3820" s="1273" t="n">
        <f aca="false">K3820*L3820/60</f>
        <v>7.56730626208538</v>
      </c>
    </row>
    <row r="3821" customFormat="false" ht="15" hidden="false" customHeight="false" outlineLevel="0" collapsed="false">
      <c r="A3821" s="28"/>
      <c r="B3821" s="78"/>
      <c r="C3821" s="40" t="s">
        <v>7155</v>
      </c>
      <c r="D3821" s="316" t="n">
        <v>2007</v>
      </c>
      <c r="E3821" s="912" t="n">
        <f aca="false">2021-D3821</f>
        <v>14</v>
      </c>
      <c r="F3821" s="891" t="n">
        <v>810000</v>
      </c>
      <c r="G3821" s="1364" t="n">
        <v>0.1</v>
      </c>
      <c r="H3821" s="891" t="n">
        <f aca="false">E3821*F3821*G3821</f>
        <v>1134000</v>
      </c>
      <c r="I3821" s="891" t="n">
        <f aca="false">F3821-H3821</f>
        <v>-324000</v>
      </c>
      <c r="J3821" s="1365" t="n">
        <f aca="false">F3821*G3821</f>
        <v>81000</v>
      </c>
      <c r="K3821" s="1365" t="n">
        <f aca="false">J3821/1792.8</f>
        <v>45.1807228915663</v>
      </c>
      <c r="L3821" s="891" t="n">
        <v>4.8</v>
      </c>
      <c r="M3821" s="1273" t="n">
        <f aca="false">K3821*L3821/60</f>
        <v>3.6144578313253</v>
      </c>
    </row>
    <row r="3822" customFormat="false" ht="15" hidden="false" customHeight="false" outlineLevel="0" collapsed="false">
      <c r="A3822" s="28"/>
      <c r="B3822" s="78"/>
      <c r="C3822" s="40" t="s">
        <v>7156</v>
      </c>
      <c r="D3822" s="316" t="n">
        <v>2015</v>
      </c>
      <c r="E3822" s="912" t="n">
        <f aca="false">2021-D3822</f>
        <v>6</v>
      </c>
      <c r="F3822" s="891" t="n">
        <v>694025</v>
      </c>
      <c r="G3822" s="1364" t="n">
        <v>0.1</v>
      </c>
      <c r="H3822" s="891" t="n">
        <f aca="false">E3822*F3822*G3822</f>
        <v>416415</v>
      </c>
      <c r="I3822" s="891" t="n">
        <f aca="false">F3822-H3822</f>
        <v>277610</v>
      </c>
      <c r="J3822" s="1365" t="n">
        <f aca="false">F3822*G3822</f>
        <v>69402.5</v>
      </c>
      <c r="K3822" s="1365" t="n">
        <f aca="false">J3822/1792.8</f>
        <v>38.711791610888</v>
      </c>
      <c r="L3822" s="891" t="n">
        <v>18</v>
      </c>
      <c r="M3822" s="1273" t="n">
        <f aca="false">K3822*L3822/60</f>
        <v>11.6135374832664</v>
      </c>
    </row>
    <row r="3823" customFormat="false" ht="15" hidden="false" customHeight="false" outlineLevel="0" collapsed="false">
      <c r="A3823" s="28"/>
      <c r="B3823" s="78"/>
      <c r="C3823" s="40" t="s">
        <v>7157</v>
      </c>
      <c r="D3823" s="316" t="n">
        <v>2006</v>
      </c>
      <c r="E3823" s="912" t="n">
        <f aca="false">2021-D3823</f>
        <v>15</v>
      </c>
      <c r="F3823" s="891" t="n">
        <v>77000</v>
      </c>
      <c r="G3823" s="1364" t="n">
        <v>0.05</v>
      </c>
      <c r="H3823" s="891" t="n">
        <f aca="false">E3823*F3823*G3823</f>
        <v>57750</v>
      </c>
      <c r="I3823" s="891" t="n">
        <f aca="false">F3823-H3823</f>
        <v>19250</v>
      </c>
      <c r="J3823" s="1365" t="n">
        <f aca="false">F3823*G3823</f>
        <v>3850</v>
      </c>
      <c r="K3823" s="1365" t="n">
        <f aca="false">J3823/1792.8</f>
        <v>2.14747880410531</v>
      </c>
      <c r="L3823" s="891" t="n">
        <v>9.6</v>
      </c>
      <c r="M3823" s="1273" t="n">
        <f aca="false">K3823*L3823/60</f>
        <v>0.34359660865685</v>
      </c>
    </row>
    <row r="3824" customFormat="false" ht="15" hidden="false" customHeight="false" outlineLevel="0" collapsed="false">
      <c r="A3824" s="28"/>
      <c r="B3824" s="78"/>
      <c r="C3824" s="40" t="s">
        <v>7158</v>
      </c>
      <c r="D3824" s="316" t="n">
        <v>2007</v>
      </c>
      <c r="E3824" s="912" t="n">
        <f aca="false">2021-D3824</f>
        <v>14</v>
      </c>
      <c r="F3824" s="891" t="n">
        <v>482500</v>
      </c>
      <c r="G3824" s="1364" t="n">
        <v>0.1</v>
      </c>
      <c r="H3824" s="891" t="n">
        <f aca="false">E3824*F3824*G3824</f>
        <v>675500</v>
      </c>
      <c r="I3824" s="891" t="n">
        <f aca="false">F3824-H3824</f>
        <v>-193000</v>
      </c>
      <c r="J3824" s="1365" t="n">
        <f aca="false">F3824*G3824</f>
        <v>48250</v>
      </c>
      <c r="K3824" s="1365" t="n">
        <f aca="false">J3824/1792.8</f>
        <v>26.913208389112</v>
      </c>
      <c r="L3824" s="891" t="n">
        <v>9.6</v>
      </c>
      <c r="M3824" s="1273" t="n">
        <f aca="false">K3824*L3824/60</f>
        <v>4.30611334225792</v>
      </c>
    </row>
    <row r="3825" customFormat="false" ht="15" hidden="false" customHeight="false" outlineLevel="0" collapsed="false">
      <c r="A3825" s="28"/>
      <c r="B3825" s="78"/>
      <c r="C3825" s="40" t="s">
        <v>7159</v>
      </c>
      <c r="D3825" s="316" t="n">
        <v>2007</v>
      </c>
      <c r="E3825" s="912" t="n">
        <f aca="false">2021-D3825</f>
        <v>14</v>
      </c>
      <c r="F3825" s="891" t="n">
        <v>68000</v>
      </c>
      <c r="G3825" s="1364" t="n">
        <v>0.1</v>
      </c>
      <c r="H3825" s="891" t="n">
        <f aca="false">E3825*F3825*G3825</f>
        <v>95200</v>
      </c>
      <c r="I3825" s="891" t="n">
        <f aca="false">F3825-H3825</f>
        <v>-27200</v>
      </c>
      <c r="J3825" s="1365" t="n">
        <f aca="false">F3825*G3825</f>
        <v>6800</v>
      </c>
      <c r="K3825" s="1365" t="n">
        <f aca="false">J3825/1792.8</f>
        <v>3.79294957608211</v>
      </c>
      <c r="L3825" s="891" t="n">
        <v>3.6</v>
      </c>
      <c r="M3825" s="1273" t="n">
        <f aca="false">K3825*L3825/60</f>
        <v>0.227576974564926</v>
      </c>
    </row>
    <row r="3826" customFormat="false" ht="15" hidden="false" customHeight="false" outlineLevel="0" collapsed="false">
      <c r="A3826" s="28"/>
      <c r="B3826" s="78"/>
      <c r="C3826" s="40" t="s">
        <v>7161</v>
      </c>
      <c r="D3826" s="316" t="n">
        <v>2007</v>
      </c>
      <c r="E3826" s="912" t="n">
        <f aca="false">2021-D3826</f>
        <v>14</v>
      </c>
      <c r="F3826" s="891" t="n">
        <v>1849800</v>
      </c>
      <c r="G3826" s="1364" t="n">
        <v>0.1</v>
      </c>
      <c r="H3826" s="891" t="n">
        <f aca="false">E3826*F3826*G3826</f>
        <v>2589720</v>
      </c>
      <c r="I3826" s="891" t="n">
        <f aca="false">F3826-H3826</f>
        <v>-739920</v>
      </c>
      <c r="J3826" s="1365" t="n">
        <f aca="false">F3826*G3826</f>
        <v>184980</v>
      </c>
      <c r="K3826" s="1365" t="n">
        <f aca="false">J3826/1792.8</f>
        <v>103.179384203481</v>
      </c>
      <c r="L3826" s="891" t="n">
        <v>5</v>
      </c>
      <c r="M3826" s="1273" t="n">
        <f aca="false">K3826*L3826/60</f>
        <v>8.59828201695672</v>
      </c>
    </row>
    <row r="3827" customFormat="false" ht="15" hidden="false" customHeight="false" outlineLevel="0" collapsed="false">
      <c r="A3827" s="28"/>
      <c r="B3827" s="972" t="s">
        <v>4128</v>
      </c>
      <c r="C3827" s="1053"/>
      <c r="D3827" s="965"/>
      <c r="E3827" s="912"/>
      <c r="F3827" s="1490"/>
      <c r="G3827" s="1490"/>
      <c r="H3827" s="1490"/>
      <c r="I3827" s="1490"/>
      <c r="J3827" s="1490"/>
      <c r="K3827" s="1365" t="n">
        <f aca="false">J3827/1792.8</f>
        <v>0</v>
      </c>
      <c r="L3827" s="1490"/>
      <c r="M3827" s="1366" t="n">
        <f aca="false">SUM(M3820:M3826)</f>
        <v>36.2708705191135</v>
      </c>
    </row>
    <row r="3828" customFormat="false" ht="30" hidden="false" customHeight="false" outlineLevel="0" collapsed="false">
      <c r="A3828" s="28" t="s">
        <v>1921</v>
      </c>
      <c r="B3828" s="40" t="s">
        <v>3696</v>
      </c>
      <c r="C3828" s="40" t="s">
        <v>7183</v>
      </c>
      <c r="D3828" s="316" t="n">
        <v>2007</v>
      </c>
      <c r="E3828" s="912" t="n">
        <f aca="false">2021-D3828</f>
        <v>14</v>
      </c>
      <c r="F3828" s="891" t="n">
        <v>407000</v>
      </c>
      <c r="G3828" s="1364" t="n">
        <v>0.1</v>
      </c>
      <c r="H3828" s="891" t="n">
        <f aca="false">E3828*F3828*G3828</f>
        <v>569800</v>
      </c>
      <c r="I3828" s="891" t="n">
        <f aca="false">F3828-H3828</f>
        <v>-162800</v>
      </c>
      <c r="J3828" s="1365" t="n">
        <f aca="false">F3828*G3828</f>
        <v>40700</v>
      </c>
      <c r="K3828" s="1365" t="n">
        <f aca="false">J3828/1792.8</f>
        <v>22.7019187862561</v>
      </c>
      <c r="L3828" s="891" t="n">
        <v>20</v>
      </c>
      <c r="M3828" s="1273" t="n">
        <f aca="false">K3828*L3828/60</f>
        <v>7.56730626208538</v>
      </c>
    </row>
    <row r="3829" customFormat="false" ht="15" hidden="false" customHeight="false" outlineLevel="0" collapsed="false">
      <c r="A3829" s="28"/>
      <c r="B3829" s="78"/>
      <c r="C3829" s="40" t="s">
        <v>7155</v>
      </c>
      <c r="D3829" s="316" t="n">
        <v>2007</v>
      </c>
      <c r="E3829" s="912" t="n">
        <f aca="false">2021-D3829</f>
        <v>14</v>
      </c>
      <c r="F3829" s="891" t="n">
        <v>810000</v>
      </c>
      <c r="G3829" s="1364" t="n">
        <v>0.1</v>
      </c>
      <c r="H3829" s="891" t="n">
        <f aca="false">E3829*F3829*G3829</f>
        <v>1134000</v>
      </c>
      <c r="I3829" s="891" t="n">
        <f aca="false">F3829-H3829</f>
        <v>-324000</v>
      </c>
      <c r="J3829" s="1365" t="n">
        <f aca="false">F3829*G3829</f>
        <v>81000</v>
      </c>
      <c r="K3829" s="1365" t="n">
        <f aca="false">J3829/1792.8</f>
        <v>45.1807228915663</v>
      </c>
      <c r="L3829" s="891" t="n">
        <v>4.8</v>
      </c>
      <c r="M3829" s="1273" t="n">
        <f aca="false">K3829*L3829/60</f>
        <v>3.6144578313253</v>
      </c>
    </row>
    <row r="3830" customFormat="false" ht="15" hidden="false" customHeight="false" outlineLevel="0" collapsed="false">
      <c r="A3830" s="28"/>
      <c r="B3830" s="78"/>
      <c r="C3830" s="40" t="s">
        <v>7160</v>
      </c>
      <c r="D3830" s="316" t="n">
        <v>1994</v>
      </c>
      <c r="E3830" s="912" t="n">
        <f aca="false">2021-D3830</f>
        <v>27</v>
      </c>
      <c r="F3830" s="891" t="n">
        <v>156540</v>
      </c>
      <c r="G3830" s="1364" t="n">
        <v>0.1</v>
      </c>
      <c r="H3830" s="891" t="n">
        <v>156540</v>
      </c>
      <c r="I3830" s="891" t="n">
        <f aca="false">F3830-H3830</f>
        <v>0</v>
      </c>
      <c r="J3830" s="1365" t="n">
        <f aca="false">F3830*G3830</f>
        <v>15654</v>
      </c>
      <c r="K3830" s="1365" t="n">
        <f aca="false">J3830/1792.8</f>
        <v>8.73159303882196</v>
      </c>
      <c r="L3830" s="891" t="n">
        <v>5</v>
      </c>
      <c r="M3830" s="1273" t="n">
        <f aca="false">K3830*L3830/60</f>
        <v>0.727632753235163</v>
      </c>
    </row>
    <row r="3831" customFormat="false" ht="15" hidden="false" customHeight="false" outlineLevel="0" collapsed="false">
      <c r="A3831" s="28"/>
      <c r="B3831" s="78"/>
      <c r="C3831" s="40" t="s">
        <v>7158</v>
      </c>
      <c r="D3831" s="316" t="n">
        <v>2007</v>
      </c>
      <c r="E3831" s="912" t="n">
        <f aca="false">2021-D3831</f>
        <v>14</v>
      </c>
      <c r="F3831" s="891" t="n">
        <v>482500</v>
      </c>
      <c r="G3831" s="1364" t="n">
        <v>0.1</v>
      </c>
      <c r="H3831" s="891" t="n">
        <f aca="false">E3831*F3831*G3831</f>
        <v>675500</v>
      </c>
      <c r="I3831" s="891" t="n">
        <f aca="false">F3831-H3831</f>
        <v>-193000</v>
      </c>
      <c r="J3831" s="1365" t="n">
        <f aca="false">F3831*G3831</f>
        <v>48250</v>
      </c>
      <c r="K3831" s="1365" t="n">
        <f aca="false">J3831/1792.8</f>
        <v>26.913208389112</v>
      </c>
      <c r="L3831" s="891" t="n">
        <v>9.6</v>
      </c>
      <c r="M3831" s="1273" t="n">
        <f aca="false">K3831*L3831/60</f>
        <v>4.30611334225792</v>
      </c>
    </row>
    <row r="3832" customFormat="false" ht="15" hidden="false" customHeight="false" outlineLevel="0" collapsed="false">
      <c r="A3832" s="28"/>
      <c r="B3832" s="78"/>
      <c r="C3832" s="40" t="s">
        <v>7161</v>
      </c>
      <c r="D3832" s="316" t="n">
        <v>2007</v>
      </c>
      <c r="E3832" s="912" t="n">
        <f aca="false">2021-D3832</f>
        <v>14</v>
      </c>
      <c r="F3832" s="891" t="n">
        <v>1849800</v>
      </c>
      <c r="G3832" s="1364" t="n">
        <v>0.1</v>
      </c>
      <c r="H3832" s="891" t="n">
        <f aca="false">E3832*F3832*G3832</f>
        <v>2589720</v>
      </c>
      <c r="I3832" s="891" t="n">
        <f aca="false">F3832-H3832</f>
        <v>-739920</v>
      </c>
      <c r="J3832" s="1365" t="n">
        <f aca="false">F3832*G3832</f>
        <v>184980</v>
      </c>
      <c r="K3832" s="1365" t="n">
        <f aca="false">J3832/1792.8</f>
        <v>103.179384203481</v>
      </c>
      <c r="L3832" s="891" t="n">
        <v>5</v>
      </c>
      <c r="M3832" s="1273" t="n">
        <f aca="false">K3832*L3832/60</f>
        <v>8.59828201695672</v>
      </c>
    </row>
    <row r="3833" customFormat="false" ht="15" hidden="false" customHeight="false" outlineLevel="0" collapsed="false">
      <c r="A3833" s="28"/>
      <c r="B3833" s="972" t="s">
        <v>4128</v>
      </c>
      <c r="C3833" s="1053"/>
      <c r="D3833" s="965"/>
      <c r="E3833" s="912"/>
      <c r="F3833" s="1490"/>
      <c r="G3833" s="1372"/>
      <c r="H3833" s="1490"/>
      <c r="I3833" s="1490"/>
      <c r="J3833" s="1490"/>
      <c r="K3833" s="1365" t="n">
        <f aca="false">J3833/1792.8</f>
        <v>0</v>
      </c>
      <c r="L3833" s="1490"/>
      <c r="M3833" s="1366" t="n">
        <f aca="false">SUM(M3828:M3832)</f>
        <v>24.8137922058605</v>
      </c>
    </row>
    <row r="3834" customFormat="false" ht="28.5" hidden="false" customHeight="false" outlineLevel="0" collapsed="false">
      <c r="A3834" s="350" t="s">
        <v>1922</v>
      </c>
      <c r="B3834" s="509" t="s">
        <v>3697</v>
      </c>
      <c r="C3834" s="1275"/>
      <c r="D3834" s="599"/>
      <c r="E3834" s="541"/>
      <c r="F3834" s="1508"/>
      <c r="G3834" s="1508"/>
      <c r="H3834" s="1508"/>
      <c r="I3834" s="1508"/>
      <c r="J3834" s="1508"/>
      <c r="K3834" s="1508"/>
      <c r="L3834" s="1508"/>
      <c r="M3834" s="1508"/>
    </row>
    <row r="3835" customFormat="false" ht="45" hidden="false" customHeight="false" outlineLevel="0" collapsed="false">
      <c r="A3835" s="28" t="s">
        <v>1924</v>
      </c>
      <c r="B3835" s="40" t="s">
        <v>3698</v>
      </c>
      <c r="C3835" s="40" t="s">
        <v>7183</v>
      </c>
      <c r="D3835" s="316" t="n">
        <v>2007</v>
      </c>
      <c r="E3835" s="912" t="n">
        <f aca="false">2021-D3835</f>
        <v>14</v>
      </c>
      <c r="F3835" s="891" t="n">
        <v>407000</v>
      </c>
      <c r="G3835" s="1364" t="n">
        <v>0.1</v>
      </c>
      <c r="H3835" s="891" t="n">
        <f aca="false">E3835*F3835*G3835</f>
        <v>569800</v>
      </c>
      <c r="I3835" s="891" t="n">
        <f aca="false">F3835-H3835</f>
        <v>-162800</v>
      </c>
      <c r="J3835" s="1365" t="n">
        <f aca="false">F3835*G3835</f>
        <v>40700</v>
      </c>
      <c r="K3835" s="1365" t="n">
        <f aca="false">J3835/1792.8</f>
        <v>22.7019187862561</v>
      </c>
      <c r="L3835" s="891" t="n">
        <v>20</v>
      </c>
      <c r="M3835" s="1273" t="n">
        <f aca="false">K3835*L3835/60</f>
        <v>7.56730626208538</v>
      </c>
    </row>
    <row r="3836" customFormat="false" ht="15" hidden="false" customHeight="false" outlineLevel="0" collapsed="false">
      <c r="A3836" s="28"/>
      <c r="B3836" s="78"/>
      <c r="C3836" s="40" t="s">
        <v>7155</v>
      </c>
      <c r="D3836" s="316" t="n">
        <v>2007</v>
      </c>
      <c r="E3836" s="912" t="n">
        <f aca="false">2021-D3836</f>
        <v>14</v>
      </c>
      <c r="F3836" s="891" t="n">
        <v>810000</v>
      </c>
      <c r="G3836" s="1364" t="n">
        <v>0.1</v>
      </c>
      <c r="H3836" s="891" t="n">
        <f aca="false">E3836*F3836*G3836</f>
        <v>1134000</v>
      </c>
      <c r="I3836" s="891" t="n">
        <f aca="false">F3836-H3836</f>
        <v>-324000</v>
      </c>
      <c r="J3836" s="1365" t="n">
        <f aca="false">F3836*G3836</f>
        <v>81000</v>
      </c>
      <c r="K3836" s="1365" t="n">
        <f aca="false">J3836/1792.8</f>
        <v>45.1807228915663</v>
      </c>
      <c r="L3836" s="891" t="n">
        <v>4.8</v>
      </c>
      <c r="M3836" s="1273" t="n">
        <f aca="false">K3836*L3836/60</f>
        <v>3.6144578313253</v>
      </c>
    </row>
    <row r="3837" customFormat="false" ht="15" hidden="false" customHeight="false" outlineLevel="0" collapsed="false">
      <c r="A3837" s="28"/>
      <c r="B3837" s="78"/>
      <c r="C3837" s="40" t="s">
        <v>7156</v>
      </c>
      <c r="D3837" s="316" t="n">
        <v>2015</v>
      </c>
      <c r="E3837" s="912" t="n">
        <f aca="false">2021-D3837</f>
        <v>6</v>
      </c>
      <c r="F3837" s="891" t="n">
        <v>694025</v>
      </c>
      <c r="G3837" s="1364" t="n">
        <v>0.1</v>
      </c>
      <c r="H3837" s="891" t="n">
        <f aca="false">E3837*F3837*G3837</f>
        <v>416415</v>
      </c>
      <c r="I3837" s="891" t="n">
        <f aca="false">F3837-H3837</f>
        <v>277610</v>
      </c>
      <c r="J3837" s="1365" t="n">
        <f aca="false">F3837*G3837</f>
        <v>69402.5</v>
      </c>
      <c r="K3837" s="1365" t="n">
        <f aca="false">J3837/1792.8</f>
        <v>38.711791610888</v>
      </c>
      <c r="L3837" s="891" t="n">
        <v>18</v>
      </c>
      <c r="M3837" s="1273" t="n">
        <f aca="false">K3837*L3837/60</f>
        <v>11.6135374832664</v>
      </c>
    </row>
    <row r="3838" customFormat="false" ht="15" hidden="false" customHeight="false" outlineLevel="0" collapsed="false">
      <c r="A3838" s="28"/>
      <c r="B3838" s="78"/>
      <c r="C3838" s="40" t="s">
        <v>7157</v>
      </c>
      <c r="D3838" s="316" t="n">
        <v>2006</v>
      </c>
      <c r="E3838" s="912" t="n">
        <f aca="false">2021-D3838</f>
        <v>15</v>
      </c>
      <c r="F3838" s="891" t="n">
        <v>77000</v>
      </c>
      <c r="G3838" s="1364" t="n">
        <v>0.05</v>
      </c>
      <c r="H3838" s="891" t="n">
        <f aca="false">E3838*F3838*G3838</f>
        <v>57750</v>
      </c>
      <c r="I3838" s="891" t="n">
        <f aca="false">F3838-H3838</f>
        <v>19250</v>
      </c>
      <c r="J3838" s="1365" t="n">
        <f aca="false">F3838*G3838</f>
        <v>3850</v>
      </c>
      <c r="K3838" s="1365" t="n">
        <f aca="false">J3838/1792.8</f>
        <v>2.14747880410531</v>
      </c>
      <c r="L3838" s="891" t="n">
        <v>9.6</v>
      </c>
      <c r="M3838" s="1273" t="n">
        <f aca="false">K3838*L3838/60</f>
        <v>0.34359660865685</v>
      </c>
    </row>
    <row r="3839" customFormat="false" ht="15" hidden="false" customHeight="false" outlineLevel="0" collapsed="false">
      <c r="A3839" s="28"/>
      <c r="B3839" s="78"/>
      <c r="C3839" s="40" t="s">
        <v>7158</v>
      </c>
      <c r="D3839" s="316" t="n">
        <v>2007</v>
      </c>
      <c r="E3839" s="912" t="n">
        <f aca="false">2021-D3839</f>
        <v>14</v>
      </c>
      <c r="F3839" s="891" t="n">
        <v>482500</v>
      </c>
      <c r="G3839" s="1364" t="n">
        <v>0.1</v>
      </c>
      <c r="H3839" s="891" t="n">
        <f aca="false">E3839*F3839*G3839</f>
        <v>675500</v>
      </c>
      <c r="I3839" s="891" t="n">
        <f aca="false">F3839-H3839</f>
        <v>-193000</v>
      </c>
      <c r="J3839" s="1365" t="n">
        <f aca="false">F3839*G3839</f>
        <v>48250</v>
      </c>
      <c r="K3839" s="1365" t="n">
        <f aca="false">J3839/1792.8</f>
        <v>26.913208389112</v>
      </c>
      <c r="L3839" s="891" t="n">
        <v>9.6</v>
      </c>
      <c r="M3839" s="1273" t="n">
        <f aca="false">K3839*L3839/60</f>
        <v>4.30611334225792</v>
      </c>
    </row>
    <row r="3840" customFormat="false" ht="15" hidden="false" customHeight="false" outlineLevel="0" collapsed="false">
      <c r="A3840" s="28"/>
      <c r="B3840" s="78"/>
      <c r="C3840" s="40" t="s">
        <v>7159</v>
      </c>
      <c r="D3840" s="316" t="n">
        <v>2007</v>
      </c>
      <c r="E3840" s="912" t="n">
        <f aca="false">2021-D3840</f>
        <v>14</v>
      </c>
      <c r="F3840" s="891" t="n">
        <v>68000</v>
      </c>
      <c r="G3840" s="1364" t="n">
        <v>0.1</v>
      </c>
      <c r="H3840" s="891" t="n">
        <f aca="false">E3840*F3840*G3840</f>
        <v>95200</v>
      </c>
      <c r="I3840" s="891" t="n">
        <f aca="false">F3840-H3840</f>
        <v>-27200</v>
      </c>
      <c r="J3840" s="1365" t="n">
        <f aca="false">F3840*G3840</f>
        <v>6800</v>
      </c>
      <c r="K3840" s="1365" t="n">
        <f aca="false">J3840/1792.8</f>
        <v>3.79294957608211</v>
      </c>
      <c r="L3840" s="891" t="n">
        <v>3.6</v>
      </c>
      <c r="M3840" s="1273" t="n">
        <f aca="false">K3840*L3840/60</f>
        <v>0.227576974564926</v>
      </c>
    </row>
    <row r="3841" customFormat="false" ht="15" hidden="false" customHeight="false" outlineLevel="0" collapsed="false">
      <c r="A3841" s="28"/>
      <c r="B3841" s="78"/>
      <c r="C3841" s="40" t="s">
        <v>7161</v>
      </c>
      <c r="D3841" s="316" t="n">
        <v>2007</v>
      </c>
      <c r="E3841" s="912" t="n">
        <f aca="false">2021-D3841</f>
        <v>14</v>
      </c>
      <c r="F3841" s="891" t="n">
        <v>1849800</v>
      </c>
      <c r="G3841" s="1364" t="n">
        <v>0.1</v>
      </c>
      <c r="H3841" s="891" t="n">
        <f aca="false">E3841*F3841*G3841</f>
        <v>2589720</v>
      </c>
      <c r="I3841" s="891" t="n">
        <f aca="false">F3841-H3841</f>
        <v>-739920</v>
      </c>
      <c r="J3841" s="1365" t="n">
        <f aca="false">F3841*G3841</f>
        <v>184980</v>
      </c>
      <c r="K3841" s="1365" t="n">
        <f aca="false">J3841/1792.8</f>
        <v>103.179384203481</v>
      </c>
      <c r="L3841" s="891" t="n">
        <v>5</v>
      </c>
      <c r="M3841" s="1273" t="n">
        <f aca="false">K3841*L3841/60</f>
        <v>8.59828201695672</v>
      </c>
    </row>
    <row r="3842" customFormat="false" ht="15" hidden="false" customHeight="false" outlineLevel="0" collapsed="false">
      <c r="A3842" s="28"/>
      <c r="B3842" s="972" t="s">
        <v>4128</v>
      </c>
      <c r="C3842" s="1053"/>
      <c r="D3842" s="965"/>
      <c r="E3842" s="912"/>
      <c r="F3842" s="1490"/>
      <c r="G3842" s="1372"/>
      <c r="H3842" s="1490"/>
      <c r="I3842" s="1490"/>
      <c r="J3842" s="1490"/>
      <c r="K3842" s="1365" t="n">
        <f aca="false">J3842/1792.8</f>
        <v>0</v>
      </c>
      <c r="L3842" s="1490"/>
      <c r="M3842" s="1366" t="n">
        <f aca="false">SUM(M3835:M3841)</f>
        <v>36.2708705191135</v>
      </c>
    </row>
    <row r="3843" s="122" customFormat="true" ht="30" hidden="false" customHeight="false" outlineLevel="0" collapsed="false">
      <c r="A3843" s="20" t="s">
        <v>1926</v>
      </c>
      <c r="B3843" s="118" t="s">
        <v>3699</v>
      </c>
      <c r="C3843" s="118" t="s">
        <v>7183</v>
      </c>
      <c r="D3843" s="877" t="n">
        <v>2007</v>
      </c>
      <c r="E3843" s="569" t="n">
        <f aca="false">2021-D3843</f>
        <v>14</v>
      </c>
      <c r="F3843" s="902" t="n">
        <v>407000</v>
      </c>
      <c r="G3843" s="1407" t="n">
        <v>0.1</v>
      </c>
      <c r="H3843" s="902" t="n">
        <f aca="false">E3843*F3843*G3843</f>
        <v>569800</v>
      </c>
      <c r="I3843" s="902" t="n">
        <f aca="false">F3843-H3843</f>
        <v>-162800</v>
      </c>
      <c r="J3843" s="1410" t="n">
        <f aca="false">F3843*G3843</f>
        <v>40700</v>
      </c>
      <c r="K3843" s="1365" t="n">
        <f aca="false">J3843/1792.8</f>
        <v>22.7019187862561</v>
      </c>
      <c r="L3843" s="902" t="n">
        <v>20</v>
      </c>
      <c r="M3843" s="1408" t="n">
        <f aca="false">K3843*L3843/60</f>
        <v>7.56730626208538</v>
      </c>
    </row>
    <row r="3844" customFormat="false" ht="15" hidden="false" customHeight="false" outlineLevel="0" collapsed="false">
      <c r="A3844" s="28"/>
      <c r="B3844" s="78"/>
      <c r="C3844" s="40" t="s">
        <v>7155</v>
      </c>
      <c r="D3844" s="316" t="n">
        <v>2007</v>
      </c>
      <c r="E3844" s="912" t="n">
        <f aca="false">2021-D3844</f>
        <v>14</v>
      </c>
      <c r="F3844" s="891" t="n">
        <v>810000</v>
      </c>
      <c r="G3844" s="1364" t="n">
        <v>0.1</v>
      </c>
      <c r="H3844" s="891" t="n">
        <f aca="false">E3844*F3844*G3844</f>
        <v>1134000</v>
      </c>
      <c r="I3844" s="891" t="n">
        <f aca="false">F3844-H3844</f>
        <v>-324000</v>
      </c>
      <c r="J3844" s="1365" t="n">
        <f aca="false">F3844*G3844</f>
        <v>81000</v>
      </c>
      <c r="K3844" s="1365" t="n">
        <f aca="false">J3844/1792.8</f>
        <v>45.1807228915663</v>
      </c>
      <c r="L3844" s="891" t="n">
        <v>4.8</v>
      </c>
      <c r="M3844" s="1273" t="n">
        <f aca="false">K3844*L3844/60</f>
        <v>3.6144578313253</v>
      </c>
    </row>
    <row r="3845" customFormat="false" ht="15" hidden="false" customHeight="false" outlineLevel="0" collapsed="false">
      <c r="A3845" s="28"/>
      <c r="B3845" s="78"/>
      <c r="C3845" s="40" t="s">
        <v>7156</v>
      </c>
      <c r="D3845" s="316" t="n">
        <v>2015</v>
      </c>
      <c r="E3845" s="912" t="n">
        <f aca="false">2021-D3845</f>
        <v>6</v>
      </c>
      <c r="F3845" s="891" t="n">
        <v>694025</v>
      </c>
      <c r="G3845" s="1364" t="n">
        <v>0.1</v>
      </c>
      <c r="H3845" s="891" t="n">
        <f aca="false">E3845*F3845*G3845</f>
        <v>416415</v>
      </c>
      <c r="I3845" s="891" t="n">
        <f aca="false">F3845-H3845</f>
        <v>277610</v>
      </c>
      <c r="J3845" s="1365" t="n">
        <f aca="false">F3845*G3845</f>
        <v>69402.5</v>
      </c>
      <c r="K3845" s="1365" t="n">
        <f aca="false">J3845/1792.8</f>
        <v>38.711791610888</v>
      </c>
      <c r="L3845" s="891" t="n">
        <v>18</v>
      </c>
      <c r="M3845" s="1273" t="n">
        <f aca="false">K3845*L3845/60</f>
        <v>11.6135374832664</v>
      </c>
    </row>
    <row r="3846" customFormat="false" ht="15" hidden="false" customHeight="false" outlineLevel="0" collapsed="false">
      <c r="A3846" s="28"/>
      <c r="B3846" s="78"/>
      <c r="C3846" s="40" t="s">
        <v>7157</v>
      </c>
      <c r="D3846" s="316" t="n">
        <v>2006</v>
      </c>
      <c r="E3846" s="912" t="n">
        <f aca="false">2021-D3846</f>
        <v>15</v>
      </c>
      <c r="F3846" s="891" t="n">
        <v>77000</v>
      </c>
      <c r="G3846" s="1364" t="n">
        <v>0.05</v>
      </c>
      <c r="H3846" s="891" t="n">
        <f aca="false">E3846*F3846*G3846</f>
        <v>57750</v>
      </c>
      <c r="I3846" s="891" t="n">
        <f aca="false">F3846-H3846</f>
        <v>19250</v>
      </c>
      <c r="J3846" s="1365" t="n">
        <f aca="false">F3846*G3846</f>
        <v>3850</v>
      </c>
      <c r="K3846" s="1365" t="n">
        <f aca="false">J3846/1792.8</f>
        <v>2.14747880410531</v>
      </c>
      <c r="L3846" s="891" t="n">
        <v>9.6</v>
      </c>
      <c r="M3846" s="1273" t="n">
        <f aca="false">K3846*L3846/60</f>
        <v>0.34359660865685</v>
      </c>
    </row>
    <row r="3847" customFormat="false" ht="15" hidden="false" customHeight="false" outlineLevel="0" collapsed="false">
      <c r="A3847" s="28"/>
      <c r="B3847" s="78"/>
      <c r="C3847" s="40" t="s">
        <v>7158</v>
      </c>
      <c r="D3847" s="316" t="n">
        <v>2007</v>
      </c>
      <c r="E3847" s="912" t="n">
        <f aca="false">2021-D3847</f>
        <v>14</v>
      </c>
      <c r="F3847" s="891" t="n">
        <v>482500</v>
      </c>
      <c r="G3847" s="1364" t="n">
        <v>0.1</v>
      </c>
      <c r="H3847" s="891" t="n">
        <f aca="false">E3847*F3847*G3847</f>
        <v>675500</v>
      </c>
      <c r="I3847" s="891" t="n">
        <f aca="false">F3847-H3847</f>
        <v>-193000</v>
      </c>
      <c r="J3847" s="1365" t="n">
        <f aca="false">F3847*G3847</f>
        <v>48250</v>
      </c>
      <c r="K3847" s="1365" t="n">
        <f aca="false">J3847/1792.8</f>
        <v>26.913208389112</v>
      </c>
      <c r="L3847" s="891" t="n">
        <v>9.6</v>
      </c>
      <c r="M3847" s="1273" t="n">
        <f aca="false">K3847*L3847/60</f>
        <v>4.30611334225792</v>
      </c>
    </row>
    <row r="3848" customFormat="false" ht="15" hidden="false" customHeight="false" outlineLevel="0" collapsed="false">
      <c r="A3848" s="28"/>
      <c r="B3848" s="78"/>
      <c r="C3848" s="40" t="s">
        <v>7159</v>
      </c>
      <c r="D3848" s="316" t="n">
        <v>2007</v>
      </c>
      <c r="E3848" s="912" t="n">
        <f aca="false">2021-D3848</f>
        <v>14</v>
      </c>
      <c r="F3848" s="891" t="n">
        <v>68000</v>
      </c>
      <c r="G3848" s="1364" t="n">
        <v>0.1</v>
      </c>
      <c r="H3848" s="891" t="n">
        <f aca="false">E3848*F3848*G3848</f>
        <v>95200</v>
      </c>
      <c r="I3848" s="891" t="n">
        <f aca="false">F3848-H3848</f>
        <v>-27200</v>
      </c>
      <c r="J3848" s="1365" t="n">
        <f aca="false">F3848*G3848</f>
        <v>6800</v>
      </c>
      <c r="K3848" s="1365" t="n">
        <f aca="false">J3848/1792.8</f>
        <v>3.79294957608211</v>
      </c>
      <c r="L3848" s="891" t="n">
        <v>3.6</v>
      </c>
      <c r="M3848" s="1273" t="n">
        <f aca="false">K3848*L3848/60</f>
        <v>0.227576974564926</v>
      </c>
    </row>
    <row r="3849" customFormat="false" ht="15" hidden="false" customHeight="false" outlineLevel="0" collapsed="false">
      <c r="A3849" s="28"/>
      <c r="B3849" s="78"/>
      <c r="C3849" s="40" t="s">
        <v>7161</v>
      </c>
      <c r="D3849" s="316" t="n">
        <v>2007</v>
      </c>
      <c r="E3849" s="912" t="n">
        <f aca="false">2021-D3849</f>
        <v>14</v>
      </c>
      <c r="F3849" s="891" t="n">
        <v>1849800</v>
      </c>
      <c r="G3849" s="1364" t="n">
        <v>0.1</v>
      </c>
      <c r="H3849" s="891" t="n">
        <f aca="false">E3849*F3849*G3849</f>
        <v>2589720</v>
      </c>
      <c r="I3849" s="891" t="n">
        <f aca="false">F3849-H3849</f>
        <v>-739920</v>
      </c>
      <c r="J3849" s="1365" t="n">
        <f aca="false">F3849*G3849</f>
        <v>184980</v>
      </c>
      <c r="K3849" s="1365" t="n">
        <f aca="false">J3849/1792.8</f>
        <v>103.179384203481</v>
      </c>
      <c r="L3849" s="891" t="n">
        <v>5</v>
      </c>
      <c r="M3849" s="1273" t="n">
        <f aca="false">K3849*L3849/60</f>
        <v>8.59828201695672</v>
      </c>
    </row>
    <row r="3850" customFormat="false" ht="15" hidden="false" customHeight="false" outlineLevel="0" collapsed="false">
      <c r="A3850" s="28"/>
      <c r="B3850" s="972" t="s">
        <v>4128</v>
      </c>
      <c r="C3850" s="1053"/>
      <c r="D3850" s="965"/>
      <c r="E3850" s="912"/>
      <c r="F3850" s="1490"/>
      <c r="G3850" s="1490"/>
      <c r="H3850" s="1490"/>
      <c r="I3850" s="1490"/>
      <c r="J3850" s="1490"/>
      <c r="K3850" s="1365" t="n">
        <f aca="false">J3850/1792.8</f>
        <v>0</v>
      </c>
      <c r="L3850" s="1490"/>
      <c r="M3850" s="1366" t="n">
        <f aca="false">SUM(M3843:M3849)</f>
        <v>36.2708705191135</v>
      </c>
    </row>
    <row r="3851" customFormat="false" ht="30" hidden="false" customHeight="false" outlineLevel="0" collapsed="false">
      <c r="A3851" s="28" t="s">
        <v>1927</v>
      </c>
      <c r="B3851" s="40" t="s">
        <v>3700</v>
      </c>
      <c r="C3851" s="40" t="s">
        <v>7183</v>
      </c>
      <c r="D3851" s="316" t="n">
        <v>2007</v>
      </c>
      <c r="E3851" s="912" t="n">
        <f aca="false">2021-D3851</f>
        <v>14</v>
      </c>
      <c r="F3851" s="891" t="n">
        <v>407000</v>
      </c>
      <c r="G3851" s="1364" t="n">
        <v>0.1</v>
      </c>
      <c r="H3851" s="891" t="n">
        <f aca="false">E3851*F3851*G3851</f>
        <v>569800</v>
      </c>
      <c r="I3851" s="891" t="n">
        <f aca="false">F3851-H3851</f>
        <v>-162800</v>
      </c>
      <c r="J3851" s="1365" t="n">
        <f aca="false">F3851*G3851</f>
        <v>40700</v>
      </c>
      <c r="K3851" s="1365" t="n">
        <f aca="false">J3851/1792.8</f>
        <v>22.7019187862561</v>
      </c>
      <c r="L3851" s="891" t="n">
        <v>20</v>
      </c>
      <c r="M3851" s="1273" t="n">
        <f aca="false">K3851*L3851/60</f>
        <v>7.56730626208538</v>
      </c>
    </row>
    <row r="3852" customFormat="false" ht="15" hidden="false" customHeight="false" outlineLevel="0" collapsed="false">
      <c r="A3852" s="28"/>
      <c r="B3852" s="78"/>
      <c r="C3852" s="40" t="s">
        <v>7155</v>
      </c>
      <c r="D3852" s="316" t="n">
        <v>2007</v>
      </c>
      <c r="E3852" s="912" t="n">
        <f aca="false">2021-D3852</f>
        <v>14</v>
      </c>
      <c r="F3852" s="891" t="n">
        <v>810000</v>
      </c>
      <c r="G3852" s="1364" t="n">
        <v>0.1</v>
      </c>
      <c r="H3852" s="891" t="n">
        <f aca="false">E3852*F3852*G3852</f>
        <v>1134000</v>
      </c>
      <c r="I3852" s="891" t="n">
        <f aca="false">F3852-H3852</f>
        <v>-324000</v>
      </c>
      <c r="J3852" s="1365" t="n">
        <f aca="false">F3852*G3852</f>
        <v>81000</v>
      </c>
      <c r="K3852" s="1365" t="n">
        <f aca="false">J3852/1792.8</f>
        <v>45.1807228915663</v>
      </c>
      <c r="L3852" s="891" t="n">
        <v>4.8</v>
      </c>
      <c r="M3852" s="1273" t="n">
        <f aca="false">K3852*L3852/60</f>
        <v>3.6144578313253</v>
      </c>
    </row>
    <row r="3853" customFormat="false" ht="15" hidden="false" customHeight="false" outlineLevel="0" collapsed="false">
      <c r="A3853" s="28"/>
      <c r="B3853" s="78"/>
      <c r="C3853" s="40" t="s">
        <v>7156</v>
      </c>
      <c r="D3853" s="316" t="n">
        <v>2015</v>
      </c>
      <c r="E3853" s="912" t="n">
        <f aca="false">2021-D3853</f>
        <v>6</v>
      </c>
      <c r="F3853" s="891" t="n">
        <v>694025</v>
      </c>
      <c r="G3853" s="1364" t="n">
        <v>0.1</v>
      </c>
      <c r="H3853" s="891" t="n">
        <f aca="false">E3853*F3853*G3853</f>
        <v>416415</v>
      </c>
      <c r="I3853" s="891" t="n">
        <f aca="false">F3853-H3853</f>
        <v>277610</v>
      </c>
      <c r="J3853" s="1365" t="n">
        <f aca="false">F3853*G3853</f>
        <v>69402.5</v>
      </c>
      <c r="K3853" s="1365" t="n">
        <f aca="false">J3853/1792.8</f>
        <v>38.711791610888</v>
      </c>
      <c r="L3853" s="891" t="n">
        <v>18</v>
      </c>
      <c r="M3853" s="1273" t="n">
        <f aca="false">K3853*L3853/60</f>
        <v>11.6135374832664</v>
      </c>
    </row>
    <row r="3854" s="122" customFormat="true" ht="15" hidden="false" customHeight="false" outlineLevel="0" collapsed="false">
      <c r="A3854" s="20"/>
      <c r="B3854" s="99"/>
      <c r="C3854" s="118" t="s">
        <v>7157</v>
      </c>
      <c r="D3854" s="877" t="n">
        <v>2006</v>
      </c>
      <c r="E3854" s="569" t="n">
        <f aca="false">2021-D3854</f>
        <v>15</v>
      </c>
      <c r="F3854" s="902" t="n">
        <v>77000</v>
      </c>
      <c r="G3854" s="1407" t="n">
        <v>0.05</v>
      </c>
      <c r="H3854" s="902" t="n">
        <f aca="false">E3854*F3854*G3854</f>
        <v>57750</v>
      </c>
      <c r="I3854" s="902" t="n">
        <f aca="false">F3854-H3854</f>
        <v>19250</v>
      </c>
      <c r="J3854" s="1410" t="n">
        <f aca="false">F3854*G3854</f>
        <v>3850</v>
      </c>
      <c r="K3854" s="1365" t="n">
        <f aca="false">J3854/1792.8</f>
        <v>2.14747880410531</v>
      </c>
      <c r="L3854" s="902" t="n">
        <v>9.6</v>
      </c>
      <c r="M3854" s="1408" t="n">
        <f aca="false">K3854*L3854/60</f>
        <v>0.34359660865685</v>
      </c>
    </row>
    <row r="3855" customFormat="false" ht="15" hidden="false" customHeight="false" outlineLevel="0" collapsed="false">
      <c r="A3855" s="28"/>
      <c r="B3855" s="78"/>
      <c r="C3855" s="40" t="s">
        <v>7158</v>
      </c>
      <c r="D3855" s="316" t="n">
        <v>2007</v>
      </c>
      <c r="E3855" s="912" t="n">
        <f aca="false">2021-D3855</f>
        <v>14</v>
      </c>
      <c r="F3855" s="891" t="n">
        <v>482500</v>
      </c>
      <c r="G3855" s="1364" t="n">
        <v>0.1</v>
      </c>
      <c r="H3855" s="891" t="n">
        <f aca="false">E3855*F3855*G3855</f>
        <v>675500</v>
      </c>
      <c r="I3855" s="891" t="n">
        <f aca="false">F3855-H3855</f>
        <v>-193000</v>
      </c>
      <c r="J3855" s="1365" t="n">
        <f aca="false">F3855*G3855</f>
        <v>48250</v>
      </c>
      <c r="K3855" s="1365" t="n">
        <f aca="false">J3855/1792.8</f>
        <v>26.913208389112</v>
      </c>
      <c r="L3855" s="891" t="n">
        <v>9.6</v>
      </c>
      <c r="M3855" s="1273" t="n">
        <f aca="false">K3855*L3855/60</f>
        <v>4.30611334225792</v>
      </c>
    </row>
    <row r="3856" customFormat="false" ht="15" hidden="false" customHeight="false" outlineLevel="0" collapsed="false">
      <c r="A3856" s="28"/>
      <c r="B3856" s="78"/>
      <c r="C3856" s="40" t="s">
        <v>7159</v>
      </c>
      <c r="D3856" s="316" t="n">
        <v>2007</v>
      </c>
      <c r="E3856" s="912" t="n">
        <f aca="false">2021-D3856</f>
        <v>14</v>
      </c>
      <c r="F3856" s="891" t="n">
        <v>68000</v>
      </c>
      <c r="G3856" s="1364" t="n">
        <v>0.1</v>
      </c>
      <c r="H3856" s="891" t="n">
        <f aca="false">E3856*F3856*G3856</f>
        <v>95200</v>
      </c>
      <c r="I3856" s="891" t="n">
        <f aca="false">F3856-H3856</f>
        <v>-27200</v>
      </c>
      <c r="J3856" s="1365" t="n">
        <f aca="false">F3856*G3856</f>
        <v>6800</v>
      </c>
      <c r="K3856" s="1365" t="n">
        <f aca="false">J3856/1792.8</f>
        <v>3.79294957608211</v>
      </c>
      <c r="L3856" s="891" t="n">
        <v>3.6</v>
      </c>
      <c r="M3856" s="1273" t="n">
        <f aca="false">K3856*L3856/60</f>
        <v>0.227576974564926</v>
      </c>
    </row>
    <row r="3857" customFormat="false" ht="15" hidden="false" customHeight="false" outlineLevel="0" collapsed="false">
      <c r="A3857" s="28"/>
      <c r="B3857" s="78"/>
      <c r="C3857" s="40" t="s">
        <v>7161</v>
      </c>
      <c r="D3857" s="316" t="n">
        <v>2007</v>
      </c>
      <c r="E3857" s="912" t="n">
        <f aca="false">2021-D3857</f>
        <v>14</v>
      </c>
      <c r="F3857" s="891" t="n">
        <v>1849800</v>
      </c>
      <c r="G3857" s="1364" t="n">
        <v>0.1</v>
      </c>
      <c r="H3857" s="891" t="n">
        <f aca="false">E3857*F3857*G3857</f>
        <v>2589720</v>
      </c>
      <c r="I3857" s="891" t="n">
        <f aca="false">F3857-H3857</f>
        <v>-739920</v>
      </c>
      <c r="J3857" s="1365" t="n">
        <f aca="false">F3857*G3857</f>
        <v>184980</v>
      </c>
      <c r="K3857" s="1365" t="n">
        <f aca="false">J3857/1792.8</f>
        <v>103.179384203481</v>
      </c>
      <c r="L3857" s="891" t="n">
        <v>5</v>
      </c>
      <c r="M3857" s="1273" t="n">
        <f aca="false">K3857*L3857/60</f>
        <v>8.59828201695672</v>
      </c>
    </row>
    <row r="3858" customFormat="false" ht="15" hidden="false" customHeight="false" outlineLevel="0" collapsed="false">
      <c r="A3858" s="28"/>
      <c r="B3858" s="972" t="s">
        <v>4128</v>
      </c>
      <c r="C3858" s="1053"/>
      <c r="D3858" s="965"/>
      <c r="E3858" s="912"/>
      <c r="F3858" s="1490"/>
      <c r="G3858" s="1490"/>
      <c r="H3858" s="1490"/>
      <c r="I3858" s="1490"/>
      <c r="J3858" s="1490"/>
      <c r="K3858" s="1365" t="n">
        <f aca="false">J3858/1792.8</f>
        <v>0</v>
      </c>
      <c r="L3858" s="1490"/>
      <c r="M3858" s="1366" t="n">
        <f aca="false">SUM(M3851:M3857)</f>
        <v>36.2708705191135</v>
      </c>
    </row>
    <row r="3859" customFormat="false" ht="45" hidden="false" customHeight="false" outlineLevel="0" collapsed="false">
      <c r="A3859" s="28" t="s">
        <v>1929</v>
      </c>
      <c r="B3859" s="40" t="s">
        <v>3701</v>
      </c>
      <c r="C3859" s="40" t="s">
        <v>7183</v>
      </c>
      <c r="D3859" s="316" t="n">
        <v>2007</v>
      </c>
      <c r="E3859" s="912" t="n">
        <f aca="false">2021-D3859</f>
        <v>14</v>
      </c>
      <c r="F3859" s="891" t="n">
        <v>407000</v>
      </c>
      <c r="G3859" s="1364" t="n">
        <v>0.1</v>
      </c>
      <c r="H3859" s="891" t="n">
        <f aca="false">E3859*F3859*G3859</f>
        <v>569800</v>
      </c>
      <c r="I3859" s="891" t="n">
        <f aca="false">F3859-H3859</f>
        <v>-162800</v>
      </c>
      <c r="J3859" s="1365" t="n">
        <f aca="false">F3859*G3859</f>
        <v>40700</v>
      </c>
      <c r="K3859" s="1365" t="n">
        <f aca="false">J3859/1792.8</f>
        <v>22.7019187862561</v>
      </c>
      <c r="L3859" s="891" t="n">
        <v>20</v>
      </c>
      <c r="M3859" s="1273" t="n">
        <f aca="false">K3859*L3859/60</f>
        <v>7.56730626208538</v>
      </c>
    </row>
    <row r="3860" customFormat="false" ht="15" hidden="false" customHeight="false" outlineLevel="0" collapsed="false">
      <c r="A3860" s="28"/>
      <c r="B3860" s="78"/>
      <c r="C3860" s="40" t="s">
        <v>7155</v>
      </c>
      <c r="D3860" s="316" t="n">
        <v>2007</v>
      </c>
      <c r="E3860" s="912" t="n">
        <f aca="false">2021-D3860</f>
        <v>14</v>
      </c>
      <c r="F3860" s="891" t="n">
        <v>810000</v>
      </c>
      <c r="G3860" s="1364" t="n">
        <v>0.1</v>
      </c>
      <c r="H3860" s="891" t="n">
        <f aca="false">E3860*F3860*G3860</f>
        <v>1134000</v>
      </c>
      <c r="I3860" s="891" t="n">
        <f aca="false">F3860-H3860</f>
        <v>-324000</v>
      </c>
      <c r="J3860" s="1365" t="n">
        <f aca="false">F3860*G3860</f>
        <v>81000</v>
      </c>
      <c r="K3860" s="1365" t="n">
        <f aca="false">J3860/1792.8</f>
        <v>45.1807228915663</v>
      </c>
      <c r="L3860" s="891" t="n">
        <v>4.8</v>
      </c>
      <c r="M3860" s="1273" t="n">
        <f aca="false">K3860*L3860/60</f>
        <v>3.6144578313253</v>
      </c>
    </row>
    <row r="3861" customFormat="false" ht="15" hidden="false" customHeight="false" outlineLevel="0" collapsed="false">
      <c r="A3861" s="28"/>
      <c r="B3861" s="78"/>
      <c r="C3861" s="40" t="s">
        <v>7156</v>
      </c>
      <c r="D3861" s="316" t="n">
        <v>2015</v>
      </c>
      <c r="E3861" s="912" t="n">
        <f aca="false">2021-D3861</f>
        <v>6</v>
      </c>
      <c r="F3861" s="891" t="n">
        <v>694025</v>
      </c>
      <c r="G3861" s="1364" t="n">
        <v>0.1</v>
      </c>
      <c r="H3861" s="891" t="n">
        <f aca="false">E3861*F3861*G3861</f>
        <v>416415</v>
      </c>
      <c r="I3861" s="891" t="n">
        <f aca="false">F3861-H3861</f>
        <v>277610</v>
      </c>
      <c r="J3861" s="1365" t="n">
        <f aca="false">F3861*G3861</f>
        <v>69402.5</v>
      </c>
      <c r="K3861" s="1365" t="n">
        <f aca="false">J3861/1792.8</f>
        <v>38.711791610888</v>
      </c>
      <c r="L3861" s="891" t="n">
        <v>18</v>
      </c>
      <c r="M3861" s="1273" t="n">
        <f aca="false">K3861*L3861/60</f>
        <v>11.6135374832664</v>
      </c>
    </row>
    <row r="3862" customFormat="false" ht="15" hidden="false" customHeight="false" outlineLevel="0" collapsed="false">
      <c r="A3862" s="28"/>
      <c r="B3862" s="78"/>
      <c r="C3862" s="40" t="s">
        <v>7157</v>
      </c>
      <c r="D3862" s="316" t="n">
        <v>2006</v>
      </c>
      <c r="E3862" s="912" t="n">
        <f aca="false">2021-D3862</f>
        <v>15</v>
      </c>
      <c r="F3862" s="891" t="n">
        <v>77000</v>
      </c>
      <c r="G3862" s="1364" t="n">
        <v>0.05</v>
      </c>
      <c r="H3862" s="891" t="n">
        <f aca="false">E3862*F3862*G3862</f>
        <v>57750</v>
      </c>
      <c r="I3862" s="891" t="n">
        <f aca="false">F3862-H3862</f>
        <v>19250</v>
      </c>
      <c r="J3862" s="1365" t="n">
        <f aca="false">F3862*G3862</f>
        <v>3850</v>
      </c>
      <c r="K3862" s="1365" t="n">
        <f aca="false">J3862/1792.8</f>
        <v>2.14747880410531</v>
      </c>
      <c r="L3862" s="891" t="n">
        <v>9.6</v>
      </c>
      <c r="M3862" s="1273" t="n">
        <f aca="false">K3862*L3862/60</f>
        <v>0.34359660865685</v>
      </c>
    </row>
    <row r="3863" customFormat="false" ht="15" hidden="false" customHeight="false" outlineLevel="0" collapsed="false">
      <c r="A3863" s="28"/>
      <c r="B3863" s="78"/>
      <c r="C3863" s="40" t="s">
        <v>7158</v>
      </c>
      <c r="D3863" s="316" t="n">
        <v>2007</v>
      </c>
      <c r="E3863" s="912" t="n">
        <f aca="false">2021-D3863</f>
        <v>14</v>
      </c>
      <c r="F3863" s="891" t="n">
        <v>482500</v>
      </c>
      <c r="G3863" s="1364" t="n">
        <v>0.1</v>
      </c>
      <c r="H3863" s="891" t="n">
        <f aca="false">E3863*F3863*G3863</f>
        <v>675500</v>
      </c>
      <c r="I3863" s="891" t="n">
        <f aca="false">F3863-H3863</f>
        <v>-193000</v>
      </c>
      <c r="J3863" s="1365" t="n">
        <f aca="false">F3863*G3863</f>
        <v>48250</v>
      </c>
      <c r="K3863" s="1365" t="n">
        <f aca="false">J3863/1792.8</f>
        <v>26.913208389112</v>
      </c>
      <c r="L3863" s="891" t="n">
        <v>9.6</v>
      </c>
      <c r="M3863" s="1273" t="n">
        <f aca="false">K3863*L3863/60</f>
        <v>4.30611334225792</v>
      </c>
    </row>
    <row r="3864" customFormat="false" ht="15" hidden="false" customHeight="false" outlineLevel="0" collapsed="false">
      <c r="A3864" s="28"/>
      <c r="B3864" s="78"/>
      <c r="C3864" s="40" t="s">
        <v>7159</v>
      </c>
      <c r="D3864" s="316" t="n">
        <v>2007</v>
      </c>
      <c r="E3864" s="912" t="n">
        <f aca="false">2021-D3864</f>
        <v>14</v>
      </c>
      <c r="F3864" s="891" t="n">
        <v>68000</v>
      </c>
      <c r="G3864" s="1364" t="n">
        <v>0.1</v>
      </c>
      <c r="H3864" s="891" t="n">
        <f aca="false">E3864*F3864*G3864</f>
        <v>95200</v>
      </c>
      <c r="I3864" s="891" t="n">
        <f aca="false">F3864-H3864</f>
        <v>-27200</v>
      </c>
      <c r="J3864" s="1365" t="n">
        <f aca="false">F3864*G3864</f>
        <v>6800</v>
      </c>
      <c r="K3864" s="1365" t="n">
        <f aca="false">J3864/1792.8</f>
        <v>3.79294957608211</v>
      </c>
      <c r="L3864" s="891" t="n">
        <v>3.6</v>
      </c>
      <c r="M3864" s="1273" t="n">
        <f aca="false">K3864*L3864/60</f>
        <v>0.227576974564926</v>
      </c>
    </row>
    <row r="3865" customFormat="false" ht="15" hidden="false" customHeight="false" outlineLevel="0" collapsed="false">
      <c r="A3865" s="28"/>
      <c r="B3865" s="78"/>
      <c r="C3865" s="40" t="s">
        <v>7161</v>
      </c>
      <c r="D3865" s="316" t="n">
        <v>2007</v>
      </c>
      <c r="E3865" s="912" t="n">
        <f aca="false">2021-D3865</f>
        <v>14</v>
      </c>
      <c r="F3865" s="891" t="n">
        <v>1849800</v>
      </c>
      <c r="G3865" s="1364" t="n">
        <v>0.1</v>
      </c>
      <c r="H3865" s="891" t="n">
        <f aca="false">E3865*F3865*G3865</f>
        <v>2589720</v>
      </c>
      <c r="I3865" s="891" t="n">
        <f aca="false">F3865-H3865</f>
        <v>-739920</v>
      </c>
      <c r="J3865" s="1365" t="n">
        <f aca="false">F3865*G3865</f>
        <v>184980</v>
      </c>
      <c r="K3865" s="1365" t="n">
        <f aca="false">J3865/1792.8</f>
        <v>103.179384203481</v>
      </c>
      <c r="L3865" s="891" t="n">
        <v>5</v>
      </c>
      <c r="M3865" s="1273" t="n">
        <f aca="false">K3865*L3865/60</f>
        <v>8.59828201695672</v>
      </c>
    </row>
    <row r="3866" customFormat="false" ht="15" hidden="false" customHeight="false" outlineLevel="0" collapsed="false">
      <c r="A3866" s="28"/>
      <c r="B3866" s="972" t="s">
        <v>4128</v>
      </c>
      <c r="C3866" s="1053"/>
      <c r="D3866" s="965"/>
      <c r="E3866" s="912"/>
      <c r="F3866" s="1490"/>
      <c r="G3866" s="1490"/>
      <c r="H3866" s="1490"/>
      <c r="I3866" s="1490"/>
      <c r="J3866" s="1490"/>
      <c r="K3866" s="1365" t="n">
        <f aca="false">J3866/1792.8</f>
        <v>0</v>
      </c>
      <c r="L3866" s="1490"/>
      <c r="M3866" s="1366" t="n">
        <f aca="false">SUM(M3859:M3865)</f>
        <v>36.2708705191135</v>
      </c>
    </row>
    <row r="3867" customFormat="false" ht="15" hidden="false" customHeight="false" outlineLevel="0" collapsed="false">
      <c r="A3867" s="15" t="s">
        <v>1931</v>
      </c>
      <c r="B3867" s="16" t="s">
        <v>3702</v>
      </c>
      <c r="C3867" s="1509"/>
      <c r="D3867" s="387"/>
      <c r="E3867" s="541"/>
      <c r="F3867" s="1510"/>
      <c r="G3867" s="1510"/>
      <c r="H3867" s="1510"/>
      <c r="I3867" s="1510"/>
      <c r="J3867" s="1510"/>
      <c r="K3867" s="1510"/>
      <c r="L3867" s="1510"/>
      <c r="M3867" s="1511"/>
    </row>
    <row r="3868" customFormat="false" ht="30" hidden="false" customHeight="false" outlineLevel="0" collapsed="false">
      <c r="A3868" s="28" t="s">
        <v>1933</v>
      </c>
      <c r="B3868" s="40" t="s">
        <v>3703</v>
      </c>
      <c r="C3868" s="40" t="s">
        <v>7183</v>
      </c>
      <c r="D3868" s="316" t="n">
        <v>2007</v>
      </c>
      <c r="E3868" s="912" t="n">
        <f aca="false">2021-D3868</f>
        <v>14</v>
      </c>
      <c r="F3868" s="891" t="n">
        <v>407000</v>
      </c>
      <c r="G3868" s="1364" t="n">
        <v>0.1</v>
      </c>
      <c r="H3868" s="891" t="n">
        <f aca="false">E3868*F3868*G3868</f>
        <v>569800</v>
      </c>
      <c r="I3868" s="891" t="n">
        <f aca="false">F3868-H3868</f>
        <v>-162800</v>
      </c>
      <c r="J3868" s="1365" t="n">
        <f aca="false">F3868*G3868</f>
        <v>40700</v>
      </c>
      <c r="K3868" s="1365" t="n">
        <f aca="false">J3868/1792.8</f>
        <v>22.7019187862561</v>
      </c>
      <c r="L3868" s="891" t="n">
        <v>20</v>
      </c>
      <c r="M3868" s="1273" t="n">
        <f aca="false">K3868*L3868/60</f>
        <v>7.56730626208538</v>
      </c>
    </row>
    <row r="3869" customFormat="false" ht="15" hidden="false" customHeight="false" outlineLevel="0" collapsed="false">
      <c r="A3869" s="28"/>
      <c r="B3869" s="78"/>
      <c r="C3869" s="40" t="s">
        <v>7155</v>
      </c>
      <c r="D3869" s="316" t="n">
        <v>2007</v>
      </c>
      <c r="E3869" s="912" t="n">
        <f aca="false">2021-D3869</f>
        <v>14</v>
      </c>
      <c r="F3869" s="891" t="n">
        <v>810000</v>
      </c>
      <c r="G3869" s="1364" t="n">
        <v>0.1</v>
      </c>
      <c r="H3869" s="891" t="n">
        <f aca="false">E3869*F3869*G3869</f>
        <v>1134000</v>
      </c>
      <c r="I3869" s="891" t="n">
        <f aca="false">F3869-H3869</f>
        <v>-324000</v>
      </c>
      <c r="J3869" s="1365" t="n">
        <f aca="false">F3869*G3869</f>
        <v>81000</v>
      </c>
      <c r="K3869" s="1365" t="n">
        <f aca="false">J3869/1792.8</f>
        <v>45.1807228915663</v>
      </c>
      <c r="L3869" s="891" t="n">
        <v>4.8</v>
      </c>
      <c r="M3869" s="1273" t="n">
        <f aca="false">K3869*L3869/60</f>
        <v>3.6144578313253</v>
      </c>
    </row>
    <row r="3870" customFormat="false" ht="15" hidden="false" customHeight="false" outlineLevel="0" collapsed="false">
      <c r="A3870" s="28"/>
      <c r="B3870" s="78"/>
      <c r="C3870" s="40" t="s">
        <v>7156</v>
      </c>
      <c r="D3870" s="316" t="n">
        <v>2015</v>
      </c>
      <c r="E3870" s="912" t="n">
        <f aca="false">2021-D3870</f>
        <v>6</v>
      </c>
      <c r="F3870" s="891" t="n">
        <v>694025</v>
      </c>
      <c r="G3870" s="1364" t="n">
        <v>0.1</v>
      </c>
      <c r="H3870" s="891" t="n">
        <f aca="false">E3870*F3870*G3870</f>
        <v>416415</v>
      </c>
      <c r="I3870" s="891" t="n">
        <f aca="false">F3870-H3870</f>
        <v>277610</v>
      </c>
      <c r="J3870" s="1365" t="n">
        <f aca="false">F3870*G3870</f>
        <v>69402.5</v>
      </c>
      <c r="K3870" s="1365" t="n">
        <f aca="false">J3870/1792.8</f>
        <v>38.711791610888</v>
      </c>
      <c r="L3870" s="891" t="n">
        <v>18</v>
      </c>
      <c r="M3870" s="1273" t="n">
        <f aca="false">K3870*L3870/60</f>
        <v>11.6135374832664</v>
      </c>
    </row>
    <row r="3871" customFormat="false" ht="15" hidden="false" customHeight="false" outlineLevel="0" collapsed="false">
      <c r="A3871" s="28"/>
      <c r="B3871" s="78"/>
      <c r="C3871" s="40" t="s">
        <v>7157</v>
      </c>
      <c r="D3871" s="316" t="n">
        <v>2006</v>
      </c>
      <c r="E3871" s="912" t="n">
        <f aca="false">2021-D3871</f>
        <v>15</v>
      </c>
      <c r="F3871" s="891" t="n">
        <v>77000</v>
      </c>
      <c r="G3871" s="1364" t="n">
        <v>0.05</v>
      </c>
      <c r="H3871" s="891" t="n">
        <f aca="false">E3871*F3871*G3871</f>
        <v>57750</v>
      </c>
      <c r="I3871" s="891" t="n">
        <f aca="false">F3871-H3871</f>
        <v>19250</v>
      </c>
      <c r="J3871" s="1365" t="n">
        <f aca="false">F3871*G3871</f>
        <v>3850</v>
      </c>
      <c r="K3871" s="1365" t="n">
        <f aca="false">J3871/1792.8</f>
        <v>2.14747880410531</v>
      </c>
      <c r="L3871" s="891" t="n">
        <v>9.6</v>
      </c>
      <c r="M3871" s="1273" t="n">
        <f aca="false">K3871*L3871/60</f>
        <v>0.34359660865685</v>
      </c>
    </row>
    <row r="3872" customFormat="false" ht="15" hidden="false" customHeight="false" outlineLevel="0" collapsed="false">
      <c r="A3872" s="28"/>
      <c r="B3872" s="78"/>
      <c r="C3872" s="40" t="s">
        <v>7158</v>
      </c>
      <c r="D3872" s="316" t="n">
        <v>2007</v>
      </c>
      <c r="E3872" s="912" t="n">
        <f aca="false">2021-D3872</f>
        <v>14</v>
      </c>
      <c r="F3872" s="891" t="n">
        <v>482500</v>
      </c>
      <c r="G3872" s="1364" t="n">
        <v>0.1</v>
      </c>
      <c r="H3872" s="891" t="n">
        <f aca="false">E3872*F3872*G3872</f>
        <v>675500</v>
      </c>
      <c r="I3872" s="891" t="n">
        <f aca="false">F3872-H3872</f>
        <v>-193000</v>
      </c>
      <c r="J3872" s="1365" t="n">
        <f aca="false">F3872*G3872</f>
        <v>48250</v>
      </c>
      <c r="K3872" s="1365" t="n">
        <f aca="false">J3872/1792.8</f>
        <v>26.913208389112</v>
      </c>
      <c r="L3872" s="891" t="n">
        <v>9.6</v>
      </c>
      <c r="M3872" s="1273" t="n">
        <f aca="false">K3872*L3872/60</f>
        <v>4.30611334225792</v>
      </c>
    </row>
    <row r="3873" customFormat="false" ht="15" hidden="false" customHeight="false" outlineLevel="0" collapsed="false">
      <c r="A3873" s="28"/>
      <c r="B3873" s="78"/>
      <c r="C3873" s="40" t="s">
        <v>7159</v>
      </c>
      <c r="D3873" s="316" t="n">
        <v>2007</v>
      </c>
      <c r="E3873" s="912" t="n">
        <f aca="false">2021-D3873</f>
        <v>14</v>
      </c>
      <c r="F3873" s="891" t="n">
        <v>68000</v>
      </c>
      <c r="G3873" s="1364" t="n">
        <v>0.1</v>
      </c>
      <c r="H3873" s="891" t="n">
        <f aca="false">E3873*F3873*G3873</f>
        <v>95200</v>
      </c>
      <c r="I3873" s="891" t="n">
        <f aca="false">F3873-H3873</f>
        <v>-27200</v>
      </c>
      <c r="J3873" s="1365" t="n">
        <f aca="false">F3873*G3873</f>
        <v>6800</v>
      </c>
      <c r="K3873" s="1365" t="n">
        <f aca="false">J3873/1792.8</f>
        <v>3.79294957608211</v>
      </c>
      <c r="L3873" s="891" t="n">
        <v>3.6</v>
      </c>
      <c r="M3873" s="1273" t="n">
        <f aca="false">K3873*L3873/60</f>
        <v>0.227576974564926</v>
      </c>
    </row>
    <row r="3874" customFormat="false" ht="15" hidden="false" customHeight="false" outlineLevel="0" collapsed="false">
      <c r="A3874" s="28"/>
      <c r="B3874" s="78"/>
      <c r="C3874" s="40" t="s">
        <v>7161</v>
      </c>
      <c r="D3874" s="316" t="n">
        <v>2007</v>
      </c>
      <c r="E3874" s="912" t="n">
        <f aca="false">2021-D3874</f>
        <v>14</v>
      </c>
      <c r="F3874" s="891" t="n">
        <v>1849800</v>
      </c>
      <c r="G3874" s="1364" t="n">
        <v>0.1</v>
      </c>
      <c r="H3874" s="891" t="n">
        <f aca="false">E3874*F3874*G3874</f>
        <v>2589720</v>
      </c>
      <c r="I3874" s="891" t="n">
        <f aca="false">F3874-H3874</f>
        <v>-739920</v>
      </c>
      <c r="J3874" s="1365" t="n">
        <f aca="false">F3874*G3874</f>
        <v>184980</v>
      </c>
      <c r="K3874" s="1365" t="n">
        <f aca="false">J3874/1792.8</f>
        <v>103.179384203481</v>
      </c>
      <c r="L3874" s="891" t="n">
        <v>5</v>
      </c>
      <c r="M3874" s="1273" t="n">
        <f aca="false">K3874*L3874/60</f>
        <v>8.59828201695672</v>
      </c>
    </row>
    <row r="3875" customFormat="false" ht="15" hidden="false" customHeight="false" outlineLevel="0" collapsed="false">
      <c r="A3875" s="28"/>
      <c r="B3875" s="972" t="s">
        <v>4128</v>
      </c>
      <c r="C3875" s="1053"/>
      <c r="D3875" s="965"/>
      <c r="E3875" s="912"/>
      <c r="F3875" s="1490"/>
      <c r="G3875" s="1490"/>
      <c r="H3875" s="1490"/>
      <c r="I3875" s="1490"/>
      <c r="J3875" s="1490"/>
      <c r="K3875" s="1365" t="n">
        <f aca="false">J3875/1792.8</f>
        <v>0</v>
      </c>
      <c r="L3875" s="1490"/>
      <c r="M3875" s="1366" t="n">
        <f aca="false">SUM(M3868:M3874)</f>
        <v>36.2708705191135</v>
      </c>
    </row>
    <row r="3876" customFormat="false" ht="30" hidden="false" customHeight="false" outlineLevel="0" collapsed="false">
      <c r="A3876" s="28" t="s">
        <v>1935</v>
      </c>
      <c r="B3876" s="40" t="s">
        <v>3704</v>
      </c>
      <c r="C3876" s="40" t="s">
        <v>7183</v>
      </c>
      <c r="D3876" s="316" t="n">
        <v>2007</v>
      </c>
      <c r="E3876" s="912" t="n">
        <f aca="false">2021-D3876</f>
        <v>14</v>
      </c>
      <c r="F3876" s="891" t="n">
        <v>407000</v>
      </c>
      <c r="G3876" s="1364" t="n">
        <v>0.1</v>
      </c>
      <c r="H3876" s="891" t="n">
        <f aca="false">E3876*F3876*G3876</f>
        <v>569800</v>
      </c>
      <c r="I3876" s="891" t="n">
        <f aca="false">F3876-H3876</f>
        <v>-162800</v>
      </c>
      <c r="J3876" s="1365" t="n">
        <f aca="false">F3876*G3876</f>
        <v>40700</v>
      </c>
      <c r="K3876" s="1365" t="n">
        <f aca="false">J3876/1792.8</f>
        <v>22.7019187862561</v>
      </c>
      <c r="L3876" s="891" t="n">
        <v>20</v>
      </c>
      <c r="M3876" s="1273" t="n">
        <f aca="false">K3876*L3876/60</f>
        <v>7.56730626208538</v>
      </c>
    </row>
    <row r="3877" customFormat="false" ht="15" hidden="false" customHeight="false" outlineLevel="0" collapsed="false">
      <c r="A3877" s="28"/>
      <c r="B3877" s="78"/>
      <c r="C3877" s="40" t="s">
        <v>7155</v>
      </c>
      <c r="D3877" s="316" t="n">
        <v>2007</v>
      </c>
      <c r="E3877" s="912" t="n">
        <f aca="false">2021-D3877</f>
        <v>14</v>
      </c>
      <c r="F3877" s="891" t="n">
        <v>810000</v>
      </c>
      <c r="G3877" s="1364" t="n">
        <v>0.1</v>
      </c>
      <c r="H3877" s="891" t="n">
        <f aca="false">E3877*F3877*G3877</f>
        <v>1134000</v>
      </c>
      <c r="I3877" s="891" t="n">
        <f aca="false">F3877-H3877</f>
        <v>-324000</v>
      </c>
      <c r="J3877" s="1365" t="n">
        <f aca="false">F3877*G3877</f>
        <v>81000</v>
      </c>
      <c r="K3877" s="1365" t="n">
        <f aca="false">J3877/1792.8</f>
        <v>45.1807228915663</v>
      </c>
      <c r="L3877" s="891" t="n">
        <v>4.8</v>
      </c>
      <c r="M3877" s="1273" t="n">
        <f aca="false">K3877*L3877/60</f>
        <v>3.6144578313253</v>
      </c>
    </row>
    <row r="3878" customFormat="false" ht="15" hidden="false" customHeight="false" outlineLevel="0" collapsed="false">
      <c r="A3878" s="28"/>
      <c r="B3878" s="78"/>
      <c r="C3878" s="40" t="s">
        <v>7156</v>
      </c>
      <c r="D3878" s="316" t="n">
        <v>2015</v>
      </c>
      <c r="E3878" s="912" t="n">
        <f aca="false">2021-D3878</f>
        <v>6</v>
      </c>
      <c r="F3878" s="891" t="n">
        <v>694025</v>
      </c>
      <c r="G3878" s="1364" t="n">
        <v>0.1</v>
      </c>
      <c r="H3878" s="891" t="n">
        <f aca="false">E3878*F3878*G3878</f>
        <v>416415</v>
      </c>
      <c r="I3878" s="891" t="n">
        <f aca="false">F3878-H3878</f>
        <v>277610</v>
      </c>
      <c r="J3878" s="1365" t="n">
        <f aca="false">F3878*G3878</f>
        <v>69402.5</v>
      </c>
      <c r="K3878" s="1365" t="n">
        <f aca="false">J3878/1792.8</f>
        <v>38.711791610888</v>
      </c>
      <c r="L3878" s="891" t="n">
        <v>18</v>
      </c>
      <c r="M3878" s="1273" t="n">
        <f aca="false">K3878*L3878/60</f>
        <v>11.6135374832664</v>
      </c>
    </row>
    <row r="3879" customFormat="false" ht="15" hidden="false" customHeight="false" outlineLevel="0" collapsed="false">
      <c r="A3879" s="28"/>
      <c r="B3879" s="78"/>
      <c r="C3879" s="40" t="s">
        <v>7157</v>
      </c>
      <c r="D3879" s="316" t="n">
        <v>2006</v>
      </c>
      <c r="E3879" s="912" t="n">
        <f aca="false">2021-D3879</f>
        <v>15</v>
      </c>
      <c r="F3879" s="891" t="n">
        <v>77000</v>
      </c>
      <c r="G3879" s="1364" t="n">
        <v>0.05</v>
      </c>
      <c r="H3879" s="891" t="n">
        <f aca="false">E3879*F3879*G3879</f>
        <v>57750</v>
      </c>
      <c r="I3879" s="891" t="n">
        <f aca="false">F3879-H3879</f>
        <v>19250</v>
      </c>
      <c r="J3879" s="1365" t="n">
        <f aca="false">F3879*G3879</f>
        <v>3850</v>
      </c>
      <c r="K3879" s="1365" t="n">
        <f aca="false">J3879/1792.8</f>
        <v>2.14747880410531</v>
      </c>
      <c r="L3879" s="891" t="n">
        <v>9.6</v>
      </c>
      <c r="M3879" s="1273" t="n">
        <f aca="false">K3879*L3879/60</f>
        <v>0.34359660865685</v>
      </c>
    </row>
    <row r="3880" customFormat="false" ht="15" hidden="false" customHeight="false" outlineLevel="0" collapsed="false">
      <c r="A3880" s="28"/>
      <c r="B3880" s="78"/>
      <c r="C3880" s="40" t="s">
        <v>7158</v>
      </c>
      <c r="D3880" s="316" t="n">
        <v>2007</v>
      </c>
      <c r="E3880" s="912" t="n">
        <f aca="false">2021-D3880</f>
        <v>14</v>
      </c>
      <c r="F3880" s="891" t="n">
        <v>482500</v>
      </c>
      <c r="G3880" s="1364" t="n">
        <v>0.1</v>
      </c>
      <c r="H3880" s="891" t="n">
        <f aca="false">E3880*F3880*G3880</f>
        <v>675500</v>
      </c>
      <c r="I3880" s="891" t="n">
        <f aca="false">F3880-H3880</f>
        <v>-193000</v>
      </c>
      <c r="J3880" s="1365" t="n">
        <f aca="false">F3880*G3880</f>
        <v>48250</v>
      </c>
      <c r="K3880" s="1365" t="n">
        <f aca="false">J3880/1792.8</f>
        <v>26.913208389112</v>
      </c>
      <c r="L3880" s="891" t="n">
        <v>9.6</v>
      </c>
      <c r="M3880" s="1273" t="n">
        <f aca="false">K3880*L3880/60</f>
        <v>4.30611334225792</v>
      </c>
    </row>
    <row r="3881" customFormat="false" ht="15" hidden="false" customHeight="false" outlineLevel="0" collapsed="false">
      <c r="A3881" s="28"/>
      <c r="B3881" s="78"/>
      <c r="C3881" s="40" t="s">
        <v>7159</v>
      </c>
      <c r="D3881" s="316" t="n">
        <v>2007</v>
      </c>
      <c r="E3881" s="912" t="n">
        <f aca="false">2021-D3881</f>
        <v>14</v>
      </c>
      <c r="F3881" s="891" t="n">
        <v>68000</v>
      </c>
      <c r="G3881" s="1364" t="n">
        <v>0.1</v>
      </c>
      <c r="H3881" s="891" t="n">
        <f aca="false">E3881*F3881*G3881</f>
        <v>95200</v>
      </c>
      <c r="I3881" s="891" t="n">
        <f aca="false">F3881-H3881</f>
        <v>-27200</v>
      </c>
      <c r="J3881" s="1365" t="n">
        <f aca="false">F3881*G3881</f>
        <v>6800</v>
      </c>
      <c r="K3881" s="1365" t="n">
        <f aca="false">J3881/1792.8</f>
        <v>3.79294957608211</v>
      </c>
      <c r="L3881" s="891" t="n">
        <v>3.6</v>
      </c>
      <c r="M3881" s="1273" t="n">
        <f aca="false">K3881*L3881/60</f>
        <v>0.227576974564926</v>
      </c>
    </row>
    <row r="3882" customFormat="false" ht="15" hidden="false" customHeight="false" outlineLevel="0" collapsed="false">
      <c r="A3882" s="28"/>
      <c r="B3882" s="972" t="s">
        <v>4128</v>
      </c>
      <c r="C3882" s="1053"/>
      <c r="D3882" s="965"/>
      <c r="E3882" s="912"/>
      <c r="F3882" s="1490"/>
      <c r="G3882" s="1372"/>
      <c r="H3882" s="1490"/>
      <c r="I3882" s="1490"/>
      <c r="J3882" s="1490"/>
      <c r="K3882" s="1365" t="n">
        <f aca="false">J3882/1792.8</f>
        <v>0</v>
      </c>
      <c r="L3882" s="1490"/>
      <c r="M3882" s="1366" t="n">
        <f aca="false">SUM(M3876:M3881)</f>
        <v>27.6725885021568</v>
      </c>
    </row>
    <row r="3883" customFormat="false" ht="30" hidden="false" customHeight="false" outlineLevel="0" collapsed="false">
      <c r="A3883" s="28" t="s">
        <v>1937</v>
      </c>
      <c r="B3883" s="40" t="s">
        <v>3705</v>
      </c>
      <c r="C3883" s="40" t="s">
        <v>7183</v>
      </c>
      <c r="D3883" s="316" t="n">
        <v>2007</v>
      </c>
      <c r="E3883" s="912" t="n">
        <f aca="false">2021-D3883</f>
        <v>14</v>
      </c>
      <c r="F3883" s="891" t="n">
        <v>407000</v>
      </c>
      <c r="G3883" s="1364" t="n">
        <v>0.1</v>
      </c>
      <c r="H3883" s="891" t="n">
        <f aca="false">E3883*F3883*G3883</f>
        <v>569800</v>
      </c>
      <c r="I3883" s="891" t="n">
        <f aca="false">F3883-H3883</f>
        <v>-162800</v>
      </c>
      <c r="J3883" s="1365" t="n">
        <f aca="false">F3883*G3883</f>
        <v>40700</v>
      </c>
      <c r="K3883" s="1365" t="n">
        <f aca="false">J3883/1792.8</f>
        <v>22.7019187862561</v>
      </c>
      <c r="L3883" s="891" t="n">
        <v>28.8</v>
      </c>
      <c r="M3883" s="1273" t="n">
        <f aca="false">K3883*L3883/60</f>
        <v>10.8969210174029</v>
      </c>
    </row>
    <row r="3884" customFormat="false" ht="15" hidden="false" customHeight="false" outlineLevel="0" collapsed="false">
      <c r="A3884" s="28"/>
      <c r="B3884" s="78"/>
      <c r="C3884" s="40" t="s">
        <v>7155</v>
      </c>
      <c r="D3884" s="316" t="n">
        <v>2007</v>
      </c>
      <c r="E3884" s="912" t="n">
        <f aca="false">2021-D3884</f>
        <v>14</v>
      </c>
      <c r="F3884" s="891" t="n">
        <v>810000</v>
      </c>
      <c r="G3884" s="1364" t="n">
        <v>0.1</v>
      </c>
      <c r="H3884" s="891" t="n">
        <f aca="false">E3884*F3884*G3884</f>
        <v>1134000</v>
      </c>
      <c r="I3884" s="891" t="n">
        <f aca="false">F3884-H3884</f>
        <v>-324000</v>
      </c>
      <c r="J3884" s="1365" t="n">
        <f aca="false">F3884*G3884</f>
        <v>81000</v>
      </c>
      <c r="K3884" s="1365" t="n">
        <f aca="false">J3884/1792.8</f>
        <v>45.1807228915663</v>
      </c>
      <c r="L3884" s="891" t="n">
        <v>4.8</v>
      </c>
      <c r="M3884" s="1273" t="n">
        <f aca="false">K3884*L3884/60</f>
        <v>3.6144578313253</v>
      </c>
    </row>
    <row r="3885" customFormat="false" ht="15" hidden="false" customHeight="false" outlineLevel="0" collapsed="false">
      <c r="A3885" s="28"/>
      <c r="B3885" s="78"/>
      <c r="C3885" s="40" t="s">
        <v>7156</v>
      </c>
      <c r="D3885" s="316" t="n">
        <v>2015</v>
      </c>
      <c r="E3885" s="912" t="n">
        <f aca="false">2021-D3885</f>
        <v>6</v>
      </c>
      <c r="F3885" s="891" t="n">
        <v>694025</v>
      </c>
      <c r="G3885" s="1364" t="n">
        <v>0.1</v>
      </c>
      <c r="H3885" s="891" t="n">
        <f aca="false">E3885*F3885*G3885</f>
        <v>416415</v>
      </c>
      <c r="I3885" s="891" t="n">
        <f aca="false">F3885-H3885</f>
        <v>277610</v>
      </c>
      <c r="J3885" s="1365" t="n">
        <f aca="false">F3885*G3885</f>
        <v>69402.5</v>
      </c>
      <c r="K3885" s="1365" t="n">
        <f aca="false">J3885/1792.8</f>
        <v>38.711791610888</v>
      </c>
      <c r="L3885" s="891" t="n">
        <v>18</v>
      </c>
      <c r="M3885" s="1273" t="n">
        <f aca="false">K3885*L3885/60</f>
        <v>11.6135374832664</v>
      </c>
    </row>
    <row r="3886" customFormat="false" ht="15" hidden="false" customHeight="false" outlineLevel="0" collapsed="false">
      <c r="A3886" s="28"/>
      <c r="B3886" s="78"/>
      <c r="C3886" s="40" t="s">
        <v>7157</v>
      </c>
      <c r="D3886" s="316" t="n">
        <v>2006</v>
      </c>
      <c r="E3886" s="912" t="n">
        <f aca="false">2021-D3886</f>
        <v>15</v>
      </c>
      <c r="F3886" s="891" t="n">
        <v>77000</v>
      </c>
      <c r="G3886" s="1364" t="n">
        <v>0.05</v>
      </c>
      <c r="H3886" s="891" t="n">
        <f aca="false">E3886*F3886*G3886</f>
        <v>57750</v>
      </c>
      <c r="I3886" s="891" t="n">
        <f aca="false">F3886-H3886</f>
        <v>19250</v>
      </c>
      <c r="J3886" s="1365" t="n">
        <f aca="false">F3886*G3886</f>
        <v>3850</v>
      </c>
      <c r="K3886" s="1365" t="n">
        <f aca="false">J3886/1792.8</f>
        <v>2.14747880410531</v>
      </c>
      <c r="L3886" s="891" t="n">
        <v>9.6</v>
      </c>
      <c r="M3886" s="1273" t="n">
        <f aca="false">K3886*L3886/60</f>
        <v>0.34359660865685</v>
      </c>
    </row>
    <row r="3887" customFormat="false" ht="15" hidden="false" customHeight="false" outlineLevel="0" collapsed="false">
      <c r="A3887" s="28"/>
      <c r="B3887" s="78"/>
      <c r="C3887" s="40" t="s">
        <v>7158</v>
      </c>
      <c r="D3887" s="316" t="n">
        <v>2007</v>
      </c>
      <c r="E3887" s="912" t="n">
        <f aca="false">2021-D3887</f>
        <v>14</v>
      </c>
      <c r="F3887" s="891" t="n">
        <v>482500</v>
      </c>
      <c r="G3887" s="1364" t="n">
        <v>0.1</v>
      </c>
      <c r="H3887" s="891" t="n">
        <f aca="false">E3887*F3887*G3887</f>
        <v>675500</v>
      </c>
      <c r="I3887" s="891" t="n">
        <f aca="false">F3887-H3887</f>
        <v>-193000</v>
      </c>
      <c r="J3887" s="1365" t="n">
        <f aca="false">F3887*G3887</f>
        <v>48250</v>
      </c>
      <c r="K3887" s="1365" t="n">
        <f aca="false">J3887/1792.8</f>
        <v>26.913208389112</v>
      </c>
      <c r="L3887" s="891" t="n">
        <v>9.6</v>
      </c>
      <c r="M3887" s="1273" t="n">
        <f aca="false">K3887*L3887/60</f>
        <v>4.30611334225792</v>
      </c>
    </row>
    <row r="3888" customFormat="false" ht="15" hidden="false" customHeight="false" outlineLevel="0" collapsed="false">
      <c r="A3888" s="28"/>
      <c r="B3888" s="78"/>
      <c r="C3888" s="40" t="s">
        <v>7159</v>
      </c>
      <c r="D3888" s="316" t="n">
        <v>2007</v>
      </c>
      <c r="E3888" s="912" t="n">
        <f aca="false">2021-D3888</f>
        <v>14</v>
      </c>
      <c r="F3888" s="891" t="n">
        <v>68000</v>
      </c>
      <c r="G3888" s="1364" t="n">
        <v>0.1</v>
      </c>
      <c r="H3888" s="891" t="n">
        <f aca="false">E3888*F3888*G3888</f>
        <v>95200</v>
      </c>
      <c r="I3888" s="891" t="n">
        <f aca="false">F3888-H3888</f>
        <v>-27200</v>
      </c>
      <c r="J3888" s="1365" t="n">
        <f aca="false">F3888*G3888</f>
        <v>6800</v>
      </c>
      <c r="K3888" s="1365" t="n">
        <f aca="false">J3888/1792.8</f>
        <v>3.79294957608211</v>
      </c>
      <c r="L3888" s="891" t="n">
        <v>3.6</v>
      </c>
      <c r="M3888" s="1273" t="n">
        <f aca="false">K3888*L3888/60</f>
        <v>0.227576974564926</v>
      </c>
    </row>
    <row r="3889" customFormat="false" ht="15" hidden="false" customHeight="false" outlineLevel="0" collapsed="false">
      <c r="A3889" s="28"/>
      <c r="B3889" s="78"/>
      <c r="C3889" s="40" t="s">
        <v>7184</v>
      </c>
      <c r="D3889" s="316" t="n">
        <v>2004</v>
      </c>
      <c r="E3889" s="912" t="n">
        <f aca="false">2021-D3889</f>
        <v>17</v>
      </c>
      <c r="F3889" s="891" t="n">
        <v>277875</v>
      </c>
      <c r="G3889" s="1364" t="n">
        <v>0.1</v>
      </c>
      <c r="H3889" s="891" t="n">
        <f aca="false">E3889*F3889*G3889</f>
        <v>472387.5</v>
      </c>
      <c r="I3889" s="891" t="n">
        <f aca="false">F3889-H3889</f>
        <v>-194512.5</v>
      </c>
      <c r="J3889" s="1365" t="n">
        <f aca="false">F3889*G3889</f>
        <v>27787.5</v>
      </c>
      <c r="K3889" s="1365" t="n">
        <f aca="false">J3889/1792.8</f>
        <v>15.4994979919679</v>
      </c>
      <c r="L3889" s="891" t="n">
        <v>10</v>
      </c>
      <c r="M3889" s="1273" t="n">
        <f aca="false">K3889*L3889/60</f>
        <v>2.58324966532798</v>
      </c>
    </row>
    <row r="3890" customFormat="false" ht="15" hidden="false" customHeight="false" outlineLevel="0" collapsed="false">
      <c r="A3890" s="28"/>
      <c r="B3890" s="972" t="s">
        <v>4128</v>
      </c>
      <c r="C3890" s="1053"/>
      <c r="D3890" s="965"/>
      <c r="E3890" s="912"/>
      <c r="F3890" s="1490"/>
      <c r="G3890" s="1372"/>
      <c r="H3890" s="1490"/>
      <c r="I3890" s="1490"/>
      <c r="J3890" s="1490"/>
      <c r="K3890" s="1365" t="n">
        <f aca="false">J3890/1792.8</f>
        <v>0</v>
      </c>
      <c r="L3890" s="1490"/>
      <c r="M3890" s="1366" t="n">
        <f aca="false">SUM(M3883:M3889)</f>
        <v>33.5854529228023</v>
      </c>
    </row>
    <row r="3891" customFormat="false" ht="30" hidden="false" customHeight="false" outlineLevel="0" collapsed="false">
      <c r="A3891" s="28" t="s">
        <v>1939</v>
      </c>
      <c r="B3891" s="40" t="s">
        <v>3706</v>
      </c>
      <c r="C3891" s="40" t="s">
        <v>7183</v>
      </c>
      <c r="D3891" s="316" t="n">
        <v>2007</v>
      </c>
      <c r="E3891" s="912" t="n">
        <f aca="false">2021-D3891</f>
        <v>14</v>
      </c>
      <c r="F3891" s="891" t="n">
        <v>407000</v>
      </c>
      <c r="G3891" s="1364" t="n">
        <v>0.1</v>
      </c>
      <c r="H3891" s="891" t="n">
        <f aca="false">E3891*F3891*G3891</f>
        <v>569800</v>
      </c>
      <c r="I3891" s="891" t="n">
        <f aca="false">F3891-H3891</f>
        <v>-162800</v>
      </c>
      <c r="J3891" s="1365" t="n">
        <f aca="false">F3891*G3891</f>
        <v>40700</v>
      </c>
      <c r="K3891" s="1365" t="n">
        <f aca="false">J3891/1792.8</f>
        <v>22.7019187862561</v>
      </c>
      <c r="L3891" s="891" t="n">
        <v>20</v>
      </c>
      <c r="M3891" s="1273" t="n">
        <f aca="false">K3891*L3891/60</f>
        <v>7.56730626208538</v>
      </c>
    </row>
    <row r="3892" customFormat="false" ht="15" hidden="false" customHeight="false" outlineLevel="0" collapsed="false">
      <c r="A3892" s="28"/>
      <c r="B3892" s="78"/>
      <c r="C3892" s="40" t="s">
        <v>7155</v>
      </c>
      <c r="D3892" s="316" t="n">
        <v>2007</v>
      </c>
      <c r="E3892" s="912" t="n">
        <f aca="false">2021-D3892</f>
        <v>14</v>
      </c>
      <c r="F3892" s="891" t="n">
        <v>810000</v>
      </c>
      <c r="G3892" s="1364" t="n">
        <v>0.1</v>
      </c>
      <c r="H3892" s="891" t="n">
        <f aca="false">E3892*F3892*G3892</f>
        <v>1134000</v>
      </c>
      <c r="I3892" s="891" t="n">
        <f aca="false">F3892-H3892</f>
        <v>-324000</v>
      </c>
      <c r="J3892" s="1365" t="n">
        <f aca="false">F3892*G3892</f>
        <v>81000</v>
      </c>
      <c r="K3892" s="1365" t="n">
        <f aca="false">J3892/1792.8</f>
        <v>45.1807228915663</v>
      </c>
      <c r="L3892" s="891" t="n">
        <v>4.8</v>
      </c>
      <c r="M3892" s="1273" t="n">
        <f aca="false">K3892*L3892/60</f>
        <v>3.6144578313253</v>
      </c>
    </row>
    <row r="3893" customFormat="false" ht="15" hidden="false" customHeight="false" outlineLevel="0" collapsed="false">
      <c r="A3893" s="28"/>
      <c r="B3893" s="78"/>
      <c r="C3893" s="40" t="s">
        <v>7156</v>
      </c>
      <c r="D3893" s="316" t="n">
        <v>2015</v>
      </c>
      <c r="E3893" s="912" t="n">
        <f aca="false">2021-D3893</f>
        <v>6</v>
      </c>
      <c r="F3893" s="891" t="n">
        <v>694025</v>
      </c>
      <c r="G3893" s="1364" t="n">
        <v>0.1</v>
      </c>
      <c r="H3893" s="891" t="n">
        <f aca="false">E3893*F3893*G3893</f>
        <v>416415</v>
      </c>
      <c r="I3893" s="891" t="n">
        <f aca="false">F3893-H3893</f>
        <v>277610</v>
      </c>
      <c r="J3893" s="1365" t="n">
        <f aca="false">F3893*G3893</f>
        <v>69402.5</v>
      </c>
      <c r="K3893" s="1365" t="n">
        <f aca="false">J3893/1792.8</f>
        <v>38.711791610888</v>
      </c>
      <c r="L3893" s="891" t="n">
        <v>18</v>
      </c>
      <c r="M3893" s="1273" t="n">
        <f aca="false">K3893*L3893/60</f>
        <v>11.6135374832664</v>
      </c>
    </row>
    <row r="3894" customFormat="false" ht="15" hidden="false" customHeight="false" outlineLevel="0" collapsed="false">
      <c r="A3894" s="28"/>
      <c r="B3894" s="78"/>
      <c r="C3894" s="40" t="s">
        <v>7157</v>
      </c>
      <c r="D3894" s="316" t="n">
        <v>2006</v>
      </c>
      <c r="E3894" s="912" t="n">
        <f aca="false">2021-D3894</f>
        <v>15</v>
      </c>
      <c r="F3894" s="891" t="n">
        <v>77000</v>
      </c>
      <c r="G3894" s="1364" t="n">
        <v>0.05</v>
      </c>
      <c r="H3894" s="891" t="n">
        <f aca="false">E3894*F3894*G3894</f>
        <v>57750</v>
      </c>
      <c r="I3894" s="891" t="n">
        <f aca="false">F3894-H3894</f>
        <v>19250</v>
      </c>
      <c r="J3894" s="1365" t="n">
        <f aca="false">F3894*G3894</f>
        <v>3850</v>
      </c>
      <c r="K3894" s="1365" t="n">
        <f aca="false">J3894/1792.8</f>
        <v>2.14747880410531</v>
      </c>
      <c r="L3894" s="891" t="n">
        <v>9.6</v>
      </c>
      <c r="M3894" s="1273" t="n">
        <f aca="false">K3894*L3894/60</f>
        <v>0.34359660865685</v>
      </c>
    </row>
    <row r="3895" customFormat="false" ht="15" hidden="false" customHeight="false" outlineLevel="0" collapsed="false">
      <c r="A3895" s="28"/>
      <c r="B3895" s="78"/>
      <c r="C3895" s="40" t="s">
        <v>7158</v>
      </c>
      <c r="D3895" s="316" t="n">
        <v>2007</v>
      </c>
      <c r="E3895" s="912" t="n">
        <f aca="false">2021-D3895</f>
        <v>14</v>
      </c>
      <c r="F3895" s="891" t="n">
        <v>482500</v>
      </c>
      <c r="G3895" s="1364" t="n">
        <v>0.1</v>
      </c>
      <c r="H3895" s="891" t="n">
        <f aca="false">E3895*F3895*G3895</f>
        <v>675500</v>
      </c>
      <c r="I3895" s="891" t="n">
        <f aca="false">F3895-H3895</f>
        <v>-193000</v>
      </c>
      <c r="J3895" s="1365" t="n">
        <f aca="false">F3895*G3895</f>
        <v>48250</v>
      </c>
      <c r="K3895" s="1365" t="n">
        <f aca="false">J3895/1792.8</f>
        <v>26.913208389112</v>
      </c>
      <c r="L3895" s="891" t="n">
        <v>9.6</v>
      </c>
      <c r="M3895" s="1273" t="n">
        <f aca="false">K3895*L3895/60</f>
        <v>4.30611334225792</v>
      </c>
    </row>
    <row r="3896" customFormat="false" ht="15" hidden="false" customHeight="false" outlineLevel="0" collapsed="false">
      <c r="A3896" s="28"/>
      <c r="B3896" s="78"/>
      <c r="C3896" s="40" t="s">
        <v>7159</v>
      </c>
      <c r="D3896" s="316" t="n">
        <v>2007</v>
      </c>
      <c r="E3896" s="912" t="n">
        <f aca="false">2021-D3896</f>
        <v>14</v>
      </c>
      <c r="F3896" s="891" t="n">
        <v>68000</v>
      </c>
      <c r="G3896" s="1364" t="n">
        <v>0.1</v>
      </c>
      <c r="H3896" s="891" t="n">
        <f aca="false">E3896*F3896*G3896</f>
        <v>95200</v>
      </c>
      <c r="I3896" s="891" t="n">
        <f aca="false">F3896-H3896</f>
        <v>-27200</v>
      </c>
      <c r="J3896" s="1365" t="n">
        <f aca="false">F3896*G3896</f>
        <v>6800</v>
      </c>
      <c r="K3896" s="1365" t="n">
        <f aca="false">J3896/1792.8</f>
        <v>3.79294957608211</v>
      </c>
      <c r="L3896" s="891" t="n">
        <v>3.6</v>
      </c>
      <c r="M3896" s="1273" t="n">
        <f aca="false">K3896*L3896/60</f>
        <v>0.227576974564926</v>
      </c>
    </row>
    <row r="3897" customFormat="false" ht="15" hidden="false" customHeight="false" outlineLevel="0" collapsed="false">
      <c r="A3897" s="28"/>
      <c r="B3897" s="972" t="s">
        <v>4128</v>
      </c>
      <c r="C3897" s="1053"/>
      <c r="D3897" s="965"/>
      <c r="E3897" s="912"/>
      <c r="F3897" s="1490"/>
      <c r="G3897" s="1490"/>
      <c r="H3897" s="1490"/>
      <c r="I3897" s="1490"/>
      <c r="J3897" s="1490"/>
      <c r="K3897" s="1365" t="n">
        <f aca="false">J3897/1792.8</f>
        <v>0</v>
      </c>
      <c r="L3897" s="1490"/>
      <c r="M3897" s="1366" t="n">
        <f aca="false">SUM(M3891:M3896)</f>
        <v>27.6725885021568</v>
      </c>
    </row>
    <row r="3898" customFormat="false" ht="30" hidden="false" customHeight="false" outlineLevel="0" collapsed="false">
      <c r="A3898" s="28" t="s">
        <v>1941</v>
      </c>
      <c r="B3898" s="40" t="s">
        <v>3707</v>
      </c>
      <c r="C3898" s="40" t="s">
        <v>7183</v>
      </c>
      <c r="D3898" s="316" t="n">
        <v>2007</v>
      </c>
      <c r="E3898" s="912" t="n">
        <f aca="false">2021-D3898</f>
        <v>14</v>
      </c>
      <c r="F3898" s="891" t="n">
        <v>407000</v>
      </c>
      <c r="G3898" s="1364" t="n">
        <v>0.1</v>
      </c>
      <c r="H3898" s="891" t="n">
        <f aca="false">E3898*F3898*G3898</f>
        <v>569800</v>
      </c>
      <c r="I3898" s="891" t="n">
        <f aca="false">F3898-H3898</f>
        <v>-162800</v>
      </c>
      <c r="J3898" s="1365" t="n">
        <f aca="false">F3898*G3898</f>
        <v>40700</v>
      </c>
      <c r="K3898" s="1365" t="n">
        <f aca="false">J3898/1792.8</f>
        <v>22.7019187862561</v>
      </c>
      <c r="L3898" s="891" t="n">
        <v>20</v>
      </c>
      <c r="M3898" s="1273" t="n">
        <f aca="false">K3898*L3898/60</f>
        <v>7.56730626208538</v>
      </c>
    </row>
    <row r="3899" customFormat="false" ht="15" hidden="false" customHeight="false" outlineLevel="0" collapsed="false">
      <c r="A3899" s="28"/>
      <c r="B3899" s="78"/>
      <c r="C3899" s="40" t="s">
        <v>7155</v>
      </c>
      <c r="D3899" s="316" t="n">
        <v>2007</v>
      </c>
      <c r="E3899" s="912" t="n">
        <f aca="false">2021-D3899</f>
        <v>14</v>
      </c>
      <c r="F3899" s="891" t="n">
        <v>810000</v>
      </c>
      <c r="G3899" s="1364" t="n">
        <v>0.1</v>
      </c>
      <c r="H3899" s="891" t="n">
        <f aca="false">E3899*F3899*G3899</f>
        <v>1134000</v>
      </c>
      <c r="I3899" s="891" t="n">
        <f aca="false">F3899-H3899</f>
        <v>-324000</v>
      </c>
      <c r="J3899" s="1365" t="n">
        <f aca="false">F3899*G3899</f>
        <v>81000</v>
      </c>
      <c r="K3899" s="1365" t="n">
        <f aca="false">J3899/1792.8</f>
        <v>45.1807228915663</v>
      </c>
      <c r="L3899" s="891" t="n">
        <v>4.8</v>
      </c>
      <c r="M3899" s="1273" t="n">
        <f aca="false">K3899*L3899/60</f>
        <v>3.6144578313253</v>
      </c>
    </row>
    <row r="3900" s="122" customFormat="true" ht="15" hidden="false" customHeight="false" outlineLevel="0" collapsed="false">
      <c r="A3900" s="20"/>
      <c r="B3900" s="99"/>
      <c r="C3900" s="118" t="s">
        <v>7156</v>
      </c>
      <c r="D3900" s="877" t="n">
        <v>2015</v>
      </c>
      <c r="E3900" s="912" t="n">
        <f aca="false">2021-D3900</f>
        <v>6</v>
      </c>
      <c r="F3900" s="902" t="n">
        <v>694025</v>
      </c>
      <c r="G3900" s="1407" t="n">
        <v>0.1</v>
      </c>
      <c r="H3900" s="902" t="n">
        <f aca="false">E3900*F3900*G3900</f>
        <v>416415</v>
      </c>
      <c r="I3900" s="902" t="n">
        <f aca="false">F3900-H3900</f>
        <v>277610</v>
      </c>
      <c r="J3900" s="1410" t="n">
        <f aca="false">F3900*G3900</f>
        <v>69402.5</v>
      </c>
      <c r="K3900" s="1365" t="n">
        <f aca="false">J3900/1792.8</f>
        <v>38.711791610888</v>
      </c>
      <c r="L3900" s="902" t="n">
        <v>18</v>
      </c>
      <c r="M3900" s="1408" t="n">
        <f aca="false">K3900*L3900/60</f>
        <v>11.6135374832664</v>
      </c>
    </row>
    <row r="3901" customFormat="false" ht="15" hidden="false" customHeight="false" outlineLevel="0" collapsed="false">
      <c r="A3901" s="28"/>
      <c r="B3901" s="78"/>
      <c r="C3901" s="40" t="s">
        <v>7157</v>
      </c>
      <c r="D3901" s="316" t="n">
        <v>2006</v>
      </c>
      <c r="E3901" s="912" t="n">
        <f aca="false">2021-D3901</f>
        <v>15</v>
      </c>
      <c r="F3901" s="891" t="n">
        <v>77000</v>
      </c>
      <c r="G3901" s="1364" t="n">
        <v>0.05</v>
      </c>
      <c r="H3901" s="891" t="n">
        <f aca="false">E3901*F3901*G3901</f>
        <v>57750</v>
      </c>
      <c r="I3901" s="891" t="n">
        <f aca="false">F3901-H3901</f>
        <v>19250</v>
      </c>
      <c r="J3901" s="1365" t="n">
        <f aca="false">F3901*G3901</f>
        <v>3850</v>
      </c>
      <c r="K3901" s="1365" t="n">
        <f aca="false">J3901/1792.8</f>
        <v>2.14747880410531</v>
      </c>
      <c r="L3901" s="891" t="n">
        <v>9.6</v>
      </c>
      <c r="M3901" s="1273" t="n">
        <f aca="false">K3901*L3901/60</f>
        <v>0.34359660865685</v>
      </c>
    </row>
    <row r="3902" customFormat="false" ht="15" hidden="false" customHeight="false" outlineLevel="0" collapsed="false">
      <c r="A3902" s="28"/>
      <c r="B3902" s="78"/>
      <c r="C3902" s="40" t="s">
        <v>7158</v>
      </c>
      <c r="D3902" s="316" t="n">
        <v>2007</v>
      </c>
      <c r="E3902" s="912" t="n">
        <f aca="false">2021-D3902</f>
        <v>14</v>
      </c>
      <c r="F3902" s="891" t="n">
        <v>482500</v>
      </c>
      <c r="G3902" s="1364" t="n">
        <v>0.1</v>
      </c>
      <c r="H3902" s="891" t="n">
        <f aca="false">E3902*F3902*G3902</f>
        <v>675500</v>
      </c>
      <c r="I3902" s="891" t="n">
        <f aca="false">F3902-H3902</f>
        <v>-193000</v>
      </c>
      <c r="J3902" s="1365" t="n">
        <f aca="false">F3902*G3902</f>
        <v>48250</v>
      </c>
      <c r="K3902" s="1365" t="n">
        <f aca="false">J3902/1792.8</f>
        <v>26.913208389112</v>
      </c>
      <c r="L3902" s="891" t="n">
        <v>9.6</v>
      </c>
      <c r="M3902" s="1273" t="n">
        <f aca="false">K3902*L3902/60</f>
        <v>4.30611334225792</v>
      </c>
    </row>
    <row r="3903" customFormat="false" ht="15" hidden="false" customHeight="false" outlineLevel="0" collapsed="false">
      <c r="A3903" s="28"/>
      <c r="B3903" s="78"/>
      <c r="C3903" s="40" t="s">
        <v>7159</v>
      </c>
      <c r="D3903" s="316" t="n">
        <v>2007</v>
      </c>
      <c r="E3903" s="912" t="n">
        <f aca="false">2021-D3903</f>
        <v>14</v>
      </c>
      <c r="F3903" s="891" t="n">
        <v>68000</v>
      </c>
      <c r="G3903" s="1364" t="n">
        <v>0.1</v>
      </c>
      <c r="H3903" s="891" t="n">
        <f aca="false">E3903*F3903*G3903</f>
        <v>95200</v>
      </c>
      <c r="I3903" s="891" t="n">
        <f aca="false">F3903-H3903</f>
        <v>-27200</v>
      </c>
      <c r="J3903" s="1365" t="n">
        <f aca="false">F3903*G3903</f>
        <v>6800</v>
      </c>
      <c r="K3903" s="1365" t="n">
        <f aca="false">J3903/1792.8</f>
        <v>3.79294957608211</v>
      </c>
      <c r="L3903" s="891" t="n">
        <v>3.6</v>
      </c>
      <c r="M3903" s="1273" t="n">
        <f aca="false">K3903*L3903/60</f>
        <v>0.227576974564926</v>
      </c>
    </row>
    <row r="3904" customFormat="false" ht="15" hidden="false" customHeight="false" outlineLevel="0" collapsed="false">
      <c r="A3904" s="28"/>
      <c r="B3904" s="78"/>
      <c r="C3904" s="40" t="s">
        <v>7184</v>
      </c>
      <c r="D3904" s="316" t="n">
        <v>2004</v>
      </c>
      <c r="E3904" s="912" t="n">
        <f aca="false">2021-D3904</f>
        <v>17</v>
      </c>
      <c r="F3904" s="891" t="n">
        <v>277875</v>
      </c>
      <c r="G3904" s="1364" t="n">
        <v>0.1</v>
      </c>
      <c r="H3904" s="891" t="n">
        <v>277875</v>
      </c>
      <c r="I3904" s="891" t="n">
        <f aca="false">F3904-H3904</f>
        <v>0</v>
      </c>
      <c r="J3904" s="1365" t="n">
        <f aca="false">F3904*G3904</f>
        <v>27787.5</v>
      </c>
      <c r="K3904" s="1365" t="n">
        <f aca="false">J3904/1792.8</f>
        <v>15.4994979919679</v>
      </c>
      <c r="L3904" s="891" t="n">
        <v>10</v>
      </c>
      <c r="M3904" s="1273" t="n">
        <f aca="false">K3904*L3904/60</f>
        <v>2.58324966532798</v>
      </c>
    </row>
    <row r="3905" customFormat="false" ht="15" hidden="false" customHeight="false" outlineLevel="0" collapsed="false">
      <c r="A3905" s="28"/>
      <c r="B3905" s="972" t="s">
        <v>4128</v>
      </c>
      <c r="C3905" s="1053"/>
      <c r="D3905" s="965"/>
      <c r="E3905" s="912"/>
      <c r="F3905" s="1490"/>
      <c r="G3905" s="1490"/>
      <c r="H3905" s="1490"/>
      <c r="I3905" s="1490"/>
      <c r="J3905" s="1490"/>
      <c r="K3905" s="1365" t="n">
        <f aca="false">J3905/1792.8</f>
        <v>0</v>
      </c>
      <c r="L3905" s="1490"/>
      <c r="M3905" s="1366" t="n">
        <f aca="false">SUM(M3898:M3904)</f>
        <v>30.2558381674848</v>
      </c>
    </row>
    <row r="3906" customFormat="false" ht="30" hidden="false" customHeight="false" outlineLevel="0" collapsed="false">
      <c r="A3906" s="28" t="s">
        <v>1943</v>
      </c>
      <c r="B3906" s="40" t="s">
        <v>3708</v>
      </c>
      <c r="C3906" s="40" t="s">
        <v>7183</v>
      </c>
      <c r="D3906" s="316" t="n">
        <v>2007</v>
      </c>
      <c r="E3906" s="912" t="n">
        <f aca="false">2021-D3906</f>
        <v>14</v>
      </c>
      <c r="F3906" s="891" t="n">
        <v>407000</v>
      </c>
      <c r="G3906" s="1364" t="n">
        <v>0.1</v>
      </c>
      <c r="H3906" s="891" t="n">
        <f aca="false">E3906*F3906*G3906</f>
        <v>569800</v>
      </c>
      <c r="I3906" s="891" t="n">
        <f aca="false">F3906-H3906</f>
        <v>-162800</v>
      </c>
      <c r="J3906" s="1365" t="n">
        <f aca="false">F3906*G3906</f>
        <v>40700</v>
      </c>
      <c r="K3906" s="1365" t="n">
        <f aca="false">J3906/1792.8</f>
        <v>22.7019187862561</v>
      </c>
      <c r="L3906" s="891" t="n">
        <v>20</v>
      </c>
      <c r="M3906" s="1273" t="n">
        <f aca="false">K3906*L3906/60</f>
        <v>7.56730626208538</v>
      </c>
    </row>
    <row r="3907" customFormat="false" ht="15" hidden="false" customHeight="false" outlineLevel="0" collapsed="false">
      <c r="A3907" s="28"/>
      <c r="B3907" s="78"/>
      <c r="C3907" s="40" t="s">
        <v>7155</v>
      </c>
      <c r="D3907" s="316" t="n">
        <v>2007</v>
      </c>
      <c r="E3907" s="912" t="n">
        <f aca="false">2021-D3907</f>
        <v>14</v>
      </c>
      <c r="F3907" s="891" t="n">
        <v>810000</v>
      </c>
      <c r="G3907" s="1364" t="n">
        <v>0.1</v>
      </c>
      <c r="H3907" s="891" t="n">
        <f aca="false">E3907*F3907*G3907</f>
        <v>1134000</v>
      </c>
      <c r="I3907" s="891" t="n">
        <f aca="false">F3907-H3907</f>
        <v>-324000</v>
      </c>
      <c r="J3907" s="1365" t="n">
        <f aca="false">F3907*G3907</f>
        <v>81000</v>
      </c>
      <c r="K3907" s="1365" t="n">
        <f aca="false">J3907/1792.8</f>
        <v>45.1807228915663</v>
      </c>
      <c r="L3907" s="891" t="n">
        <v>4.8</v>
      </c>
      <c r="M3907" s="1273" t="n">
        <f aca="false">K3907*L3907/60</f>
        <v>3.6144578313253</v>
      </c>
    </row>
    <row r="3908" customFormat="false" ht="15" hidden="false" customHeight="false" outlineLevel="0" collapsed="false">
      <c r="A3908" s="28"/>
      <c r="B3908" s="78"/>
      <c r="C3908" s="40" t="s">
        <v>7156</v>
      </c>
      <c r="D3908" s="316" t="n">
        <v>2015</v>
      </c>
      <c r="E3908" s="912" t="n">
        <f aca="false">2021-D3908</f>
        <v>6</v>
      </c>
      <c r="F3908" s="891" t="n">
        <v>694025</v>
      </c>
      <c r="G3908" s="1364" t="n">
        <v>0.1</v>
      </c>
      <c r="H3908" s="891" t="n">
        <f aca="false">E3908*F3908*G3908</f>
        <v>416415</v>
      </c>
      <c r="I3908" s="891" t="n">
        <f aca="false">F3908-H3908</f>
        <v>277610</v>
      </c>
      <c r="J3908" s="1365" t="n">
        <f aca="false">F3908*G3908</f>
        <v>69402.5</v>
      </c>
      <c r="K3908" s="1365" t="n">
        <f aca="false">J3908/1792.8</f>
        <v>38.711791610888</v>
      </c>
      <c r="L3908" s="891" t="n">
        <v>18</v>
      </c>
      <c r="M3908" s="1273" t="n">
        <f aca="false">K3908*L3908/60</f>
        <v>11.6135374832664</v>
      </c>
    </row>
    <row r="3909" customFormat="false" ht="15" hidden="false" customHeight="false" outlineLevel="0" collapsed="false">
      <c r="A3909" s="28"/>
      <c r="B3909" s="78"/>
      <c r="C3909" s="40" t="s">
        <v>7157</v>
      </c>
      <c r="D3909" s="316" t="n">
        <v>2006</v>
      </c>
      <c r="E3909" s="912" t="n">
        <f aca="false">2021-D3909</f>
        <v>15</v>
      </c>
      <c r="F3909" s="891" t="n">
        <v>77000</v>
      </c>
      <c r="G3909" s="1364" t="n">
        <v>0.05</v>
      </c>
      <c r="H3909" s="891" t="n">
        <f aca="false">E3909*F3909*G3909</f>
        <v>57750</v>
      </c>
      <c r="I3909" s="891" t="n">
        <f aca="false">F3909-H3909</f>
        <v>19250</v>
      </c>
      <c r="J3909" s="1365" t="n">
        <f aca="false">F3909*G3909</f>
        <v>3850</v>
      </c>
      <c r="K3909" s="1365" t="n">
        <f aca="false">J3909/1792.8</f>
        <v>2.14747880410531</v>
      </c>
      <c r="L3909" s="891" t="n">
        <v>9.6</v>
      </c>
      <c r="M3909" s="1273" t="n">
        <f aca="false">K3909*L3909/60</f>
        <v>0.34359660865685</v>
      </c>
    </row>
    <row r="3910" customFormat="false" ht="15" hidden="false" customHeight="false" outlineLevel="0" collapsed="false">
      <c r="A3910" s="28"/>
      <c r="B3910" s="78"/>
      <c r="C3910" s="40" t="s">
        <v>7158</v>
      </c>
      <c r="D3910" s="316" t="n">
        <v>2007</v>
      </c>
      <c r="E3910" s="912" t="n">
        <f aca="false">2021-D3910</f>
        <v>14</v>
      </c>
      <c r="F3910" s="891" t="n">
        <v>482500</v>
      </c>
      <c r="G3910" s="1364" t="n">
        <v>0.1</v>
      </c>
      <c r="H3910" s="891" t="n">
        <f aca="false">E3910*F3910*G3910</f>
        <v>675500</v>
      </c>
      <c r="I3910" s="891" t="n">
        <f aca="false">F3910-H3910</f>
        <v>-193000</v>
      </c>
      <c r="J3910" s="1365" t="n">
        <f aca="false">F3910*G3910</f>
        <v>48250</v>
      </c>
      <c r="K3910" s="1365" t="n">
        <f aca="false">J3910/1792.8</f>
        <v>26.913208389112</v>
      </c>
      <c r="L3910" s="891" t="n">
        <v>9.6</v>
      </c>
      <c r="M3910" s="1273" t="n">
        <f aca="false">K3910*L3910/60</f>
        <v>4.30611334225792</v>
      </c>
    </row>
    <row r="3911" customFormat="false" ht="15" hidden="false" customHeight="false" outlineLevel="0" collapsed="false">
      <c r="A3911" s="28"/>
      <c r="B3911" s="78"/>
      <c r="C3911" s="40" t="s">
        <v>7159</v>
      </c>
      <c r="D3911" s="316" t="n">
        <v>2007</v>
      </c>
      <c r="E3911" s="912" t="n">
        <f aca="false">2021-D3911</f>
        <v>14</v>
      </c>
      <c r="F3911" s="891" t="n">
        <v>68000</v>
      </c>
      <c r="G3911" s="1364" t="n">
        <v>0.1</v>
      </c>
      <c r="H3911" s="891" t="n">
        <f aca="false">E3911*F3911*G3911</f>
        <v>95200</v>
      </c>
      <c r="I3911" s="891" t="n">
        <f aca="false">F3911-H3911</f>
        <v>-27200</v>
      </c>
      <c r="J3911" s="1365" t="n">
        <f aca="false">F3911*G3911</f>
        <v>6800</v>
      </c>
      <c r="K3911" s="1365" t="n">
        <f aca="false">J3911/1792.8</f>
        <v>3.79294957608211</v>
      </c>
      <c r="L3911" s="891" t="n">
        <v>3.6</v>
      </c>
      <c r="M3911" s="1273" t="n">
        <f aca="false">K3911*L3911/60</f>
        <v>0.227576974564926</v>
      </c>
    </row>
    <row r="3912" customFormat="false" ht="15" hidden="false" customHeight="false" outlineLevel="0" collapsed="false">
      <c r="A3912" s="28"/>
      <c r="B3912" s="972" t="s">
        <v>4128</v>
      </c>
      <c r="C3912" s="1053"/>
      <c r="D3912" s="965"/>
      <c r="E3912" s="912"/>
      <c r="F3912" s="1490"/>
      <c r="G3912" s="1490"/>
      <c r="H3912" s="1490"/>
      <c r="I3912" s="1490"/>
      <c r="J3912" s="1490"/>
      <c r="K3912" s="1365" t="n">
        <f aca="false">J3912/1792.8</f>
        <v>0</v>
      </c>
      <c r="L3912" s="1490"/>
      <c r="M3912" s="1366" t="n">
        <f aca="false">SUM(M3906:M3911)</f>
        <v>27.6725885021568</v>
      </c>
    </row>
    <row r="3913" customFormat="false" ht="17.25" hidden="false" customHeight="true" outlineLevel="0" collapsed="false">
      <c r="A3913" s="15" t="s">
        <v>1945</v>
      </c>
      <c r="B3913" s="16" t="s">
        <v>3709</v>
      </c>
      <c r="C3913" s="54"/>
      <c r="D3913" s="907"/>
      <c r="E3913" s="541"/>
      <c r="F3913" s="1500"/>
      <c r="G3913" s="1500"/>
      <c r="H3913" s="1500"/>
      <c r="I3913" s="1500"/>
      <c r="J3913" s="1500"/>
      <c r="K3913" s="1500"/>
      <c r="L3913" s="1500"/>
      <c r="M3913" s="1392"/>
    </row>
    <row r="3914" customFormat="false" ht="60" hidden="false" customHeight="false" outlineLevel="0" collapsed="false">
      <c r="A3914" s="28" t="s">
        <v>1947</v>
      </c>
      <c r="B3914" s="40" t="s">
        <v>3710</v>
      </c>
      <c r="C3914" s="40" t="s">
        <v>7183</v>
      </c>
      <c r="D3914" s="316" t="n">
        <v>2007</v>
      </c>
      <c r="E3914" s="912" t="n">
        <f aca="false">2021-D3914</f>
        <v>14</v>
      </c>
      <c r="F3914" s="891" t="n">
        <v>407000</v>
      </c>
      <c r="G3914" s="1364" t="n">
        <v>0.1</v>
      </c>
      <c r="H3914" s="891" t="n">
        <f aca="false">E3914*F3914*G3914</f>
        <v>569800</v>
      </c>
      <c r="I3914" s="891" t="n">
        <f aca="false">F3914-H3914</f>
        <v>-162800</v>
      </c>
      <c r="J3914" s="1365" t="n">
        <f aca="false">F3914*G3914</f>
        <v>40700</v>
      </c>
      <c r="K3914" s="1365" t="n">
        <f aca="false">J3914/1792.8</f>
        <v>22.7019187862561</v>
      </c>
      <c r="L3914" s="891" t="n">
        <v>20</v>
      </c>
      <c r="M3914" s="1273" t="n">
        <f aca="false">K3914*L3914/60</f>
        <v>7.56730626208538</v>
      </c>
    </row>
    <row r="3915" customFormat="false" ht="15" hidden="false" customHeight="false" outlineLevel="0" collapsed="false">
      <c r="A3915" s="28"/>
      <c r="B3915" s="78"/>
      <c r="C3915" s="40" t="s">
        <v>7155</v>
      </c>
      <c r="D3915" s="316" t="n">
        <v>2007</v>
      </c>
      <c r="E3915" s="912" t="n">
        <f aca="false">2021-D3915</f>
        <v>14</v>
      </c>
      <c r="F3915" s="891" t="n">
        <v>810000</v>
      </c>
      <c r="G3915" s="1364" t="n">
        <v>0.1</v>
      </c>
      <c r="H3915" s="891" t="n">
        <f aca="false">E3915*F3915*G3915</f>
        <v>1134000</v>
      </c>
      <c r="I3915" s="891" t="n">
        <f aca="false">F3915-H3915</f>
        <v>-324000</v>
      </c>
      <c r="J3915" s="1365" t="n">
        <f aca="false">F3915*G3915</f>
        <v>81000</v>
      </c>
      <c r="K3915" s="1365" t="n">
        <f aca="false">J3915/1792.8</f>
        <v>45.1807228915663</v>
      </c>
      <c r="L3915" s="891" t="n">
        <v>4.8</v>
      </c>
      <c r="M3915" s="1273" t="n">
        <f aca="false">K3915*L3915/60</f>
        <v>3.6144578313253</v>
      </c>
    </row>
    <row r="3916" customFormat="false" ht="15" hidden="false" customHeight="false" outlineLevel="0" collapsed="false">
      <c r="A3916" s="28"/>
      <c r="B3916" s="78"/>
      <c r="C3916" s="40" t="s">
        <v>7156</v>
      </c>
      <c r="D3916" s="316" t="n">
        <v>2015</v>
      </c>
      <c r="E3916" s="912" t="n">
        <f aca="false">2021-D3916</f>
        <v>6</v>
      </c>
      <c r="F3916" s="891" t="n">
        <v>694025</v>
      </c>
      <c r="G3916" s="1364" t="n">
        <v>0.1</v>
      </c>
      <c r="H3916" s="891" t="n">
        <f aca="false">E3916*F3916*G3916</f>
        <v>416415</v>
      </c>
      <c r="I3916" s="891" t="n">
        <f aca="false">F3916-H3916</f>
        <v>277610</v>
      </c>
      <c r="J3916" s="1365" t="n">
        <f aca="false">F3916*G3916</f>
        <v>69402.5</v>
      </c>
      <c r="K3916" s="1365" t="n">
        <f aca="false">J3916/1792.8</f>
        <v>38.711791610888</v>
      </c>
      <c r="L3916" s="891" t="n">
        <v>18</v>
      </c>
      <c r="M3916" s="1273" t="n">
        <f aca="false">K3916*L3916/60</f>
        <v>11.6135374832664</v>
      </c>
    </row>
    <row r="3917" customFormat="false" ht="15" hidden="false" customHeight="false" outlineLevel="0" collapsed="false">
      <c r="A3917" s="28"/>
      <c r="B3917" s="78"/>
      <c r="C3917" s="40" t="s">
        <v>7157</v>
      </c>
      <c r="D3917" s="316" t="n">
        <v>2006</v>
      </c>
      <c r="E3917" s="912" t="n">
        <f aca="false">2021-D3917</f>
        <v>15</v>
      </c>
      <c r="F3917" s="891" t="n">
        <v>77000</v>
      </c>
      <c r="G3917" s="1364" t="n">
        <v>0.05</v>
      </c>
      <c r="H3917" s="891" t="n">
        <f aca="false">E3917*F3917*G3917</f>
        <v>57750</v>
      </c>
      <c r="I3917" s="891" t="n">
        <f aca="false">F3917-H3917</f>
        <v>19250</v>
      </c>
      <c r="J3917" s="1365" t="n">
        <f aca="false">F3917*G3917</f>
        <v>3850</v>
      </c>
      <c r="K3917" s="1365" t="n">
        <f aca="false">J3917/1792.8</f>
        <v>2.14747880410531</v>
      </c>
      <c r="L3917" s="891" t="n">
        <v>9.6</v>
      </c>
      <c r="M3917" s="1273" t="n">
        <f aca="false">K3917*L3917/60</f>
        <v>0.34359660865685</v>
      </c>
    </row>
    <row r="3918" customFormat="false" ht="15" hidden="false" customHeight="false" outlineLevel="0" collapsed="false">
      <c r="A3918" s="28"/>
      <c r="B3918" s="78"/>
      <c r="C3918" s="40" t="s">
        <v>7158</v>
      </c>
      <c r="D3918" s="316" t="n">
        <v>2007</v>
      </c>
      <c r="E3918" s="912" t="n">
        <f aca="false">2021-D3918</f>
        <v>14</v>
      </c>
      <c r="F3918" s="891" t="n">
        <v>482500</v>
      </c>
      <c r="G3918" s="1364" t="n">
        <v>0.1</v>
      </c>
      <c r="H3918" s="891" t="n">
        <f aca="false">E3918*F3918*G3918</f>
        <v>675500</v>
      </c>
      <c r="I3918" s="891" t="n">
        <f aca="false">F3918-H3918</f>
        <v>-193000</v>
      </c>
      <c r="J3918" s="1365" t="n">
        <f aca="false">F3918*G3918</f>
        <v>48250</v>
      </c>
      <c r="K3918" s="1365" t="n">
        <f aca="false">J3918/1792.8</f>
        <v>26.913208389112</v>
      </c>
      <c r="L3918" s="891" t="n">
        <v>9.6</v>
      </c>
      <c r="M3918" s="1273" t="n">
        <f aca="false">K3918*L3918/60</f>
        <v>4.30611334225792</v>
      </c>
    </row>
    <row r="3919" customFormat="false" ht="15" hidden="false" customHeight="false" outlineLevel="0" collapsed="false">
      <c r="A3919" s="28"/>
      <c r="B3919" s="78"/>
      <c r="C3919" s="40" t="s">
        <v>7159</v>
      </c>
      <c r="D3919" s="316" t="n">
        <v>2007</v>
      </c>
      <c r="E3919" s="912" t="n">
        <f aca="false">2021-D3919</f>
        <v>14</v>
      </c>
      <c r="F3919" s="891" t="n">
        <v>68000</v>
      </c>
      <c r="G3919" s="1364" t="n">
        <v>0.1</v>
      </c>
      <c r="H3919" s="891" t="n">
        <f aca="false">E3919*F3919*G3919</f>
        <v>95200</v>
      </c>
      <c r="I3919" s="891" t="n">
        <f aca="false">F3919-H3919</f>
        <v>-27200</v>
      </c>
      <c r="J3919" s="1365" t="n">
        <f aca="false">F3919*G3919</f>
        <v>6800</v>
      </c>
      <c r="K3919" s="1365" t="n">
        <f aca="false">J3919/1792.8</f>
        <v>3.79294957608211</v>
      </c>
      <c r="L3919" s="891" t="n">
        <v>3.6</v>
      </c>
      <c r="M3919" s="1273" t="n">
        <f aca="false">K3919*L3919/60</f>
        <v>0.227576974564926</v>
      </c>
    </row>
    <row r="3920" customFormat="false" ht="15" hidden="false" customHeight="false" outlineLevel="0" collapsed="false">
      <c r="A3920" s="28"/>
      <c r="B3920" s="78"/>
      <c r="C3920" s="40" t="s">
        <v>7184</v>
      </c>
      <c r="D3920" s="316" t="n">
        <v>2004</v>
      </c>
      <c r="E3920" s="912" t="n">
        <f aca="false">2021-D3920</f>
        <v>17</v>
      </c>
      <c r="F3920" s="891" t="n">
        <v>277875</v>
      </c>
      <c r="G3920" s="1364" t="n">
        <v>0.1</v>
      </c>
      <c r="H3920" s="891" t="n">
        <v>277875</v>
      </c>
      <c r="I3920" s="891" t="n">
        <f aca="false">F3920-H3920</f>
        <v>0</v>
      </c>
      <c r="J3920" s="1365" t="n">
        <f aca="false">F3920*G3920</f>
        <v>27787.5</v>
      </c>
      <c r="K3920" s="1365" t="n">
        <f aca="false">J3920/1792.8</f>
        <v>15.4994979919679</v>
      </c>
      <c r="L3920" s="891" t="n">
        <v>10</v>
      </c>
      <c r="M3920" s="1273" t="n">
        <f aca="false">K3920*L3920/60</f>
        <v>2.58324966532798</v>
      </c>
    </row>
    <row r="3921" customFormat="false" ht="15" hidden="false" customHeight="false" outlineLevel="0" collapsed="false">
      <c r="A3921" s="28"/>
      <c r="B3921" s="972" t="s">
        <v>4128</v>
      </c>
      <c r="C3921" s="1053"/>
      <c r="D3921" s="965"/>
      <c r="E3921" s="912"/>
      <c r="F3921" s="1490"/>
      <c r="G3921" s="1372"/>
      <c r="H3921" s="1490"/>
      <c r="I3921" s="1490"/>
      <c r="J3921" s="1490"/>
      <c r="K3921" s="1365" t="n">
        <f aca="false">J3921/1792.8</f>
        <v>0</v>
      </c>
      <c r="L3921" s="1490"/>
      <c r="M3921" s="1366" t="n">
        <f aca="false">SUM(M3914:M3920)</f>
        <v>30.2558381674848</v>
      </c>
    </row>
    <row r="3922" customFormat="false" ht="30" hidden="false" customHeight="false" outlineLevel="0" collapsed="false">
      <c r="A3922" s="28" t="s">
        <v>1949</v>
      </c>
      <c r="B3922" s="40" t="s">
        <v>3711</v>
      </c>
      <c r="C3922" s="40" t="s">
        <v>7183</v>
      </c>
      <c r="D3922" s="316" t="n">
        <v>2007</v>
      </c>
      <c r="E3922" s="912" t="n">
        <f aca="false">2021-D3922</f>
        <v>14</v>
      </c>
      <c r="F3922" s="891" t="n">
        <v>407000</v>
      </c>
      <c r="G3922" s="1364" t="n">
        <v>0.1</v>
      </c>
      <c r="H3922" s="891" t="n">
        <f aca="false">E3922*F3922*G3922</f>
        <v>569800</v>
      </c>
      <c r="I3922" s="891" t="n">
        <f aca="false">F3922-H3922</f>
        <v>-162800</v>
      </c>
      <c r="J3922" s="1365" t="n">
        <f aca="false">F3922*G3922</f>
        <v>40700</v>
      </c>
      <c r="K3922" s="1365" t="n">
        <f aca="false">J3922/1792.8</f>
        <v>22.7019187862561</v>
      </c>
      <c r="L3922" s="891" t="n">
        <v>20</v>
      </c>
      <c r="M3922" s="1273" t="n">
        <f aca="false">K3922*L3922/60</f>
        <v>7.56730626208538</v>
      </c>
    </row>
    <row r="3923" customFormat="false" ht="15" hidden="false" customHeight="false" outlineLevel="0" collapsed="false">
      <c r="A3923" s="28"/>
      <c r="B3923" s="78"/>
      <c r="C3923" s="40" t="s">
        <v>7155</v>
      </c>
      <c r="D3923" s="316" t="n">
        <v>2007</v>
      </c>
      <c r="E3923" s="912" t="n">
        <f aca="false">2021-D3923</f>
        <v>14</v>
      </c>
      <c r="F3923" s="891" t="n">
        <v>810000</v>
      </c>
      <c r="G3923" s="1364" t="n">
        <v>0.1</v>
      </c>
      <c r="H3923" s="891" t="n">
        <f aca="false">E3923*F3923*G3923</f>
        <v>1134000</v>
      </c>
      <c r="I3923" s="891" t="n">
        <f aca="false">F3923-H3923</f>
        <v>-324000</v>
      </c>
      <c r="J3923" s="1365" t="n">
        <f aca="false">F3923*G3923</f>
        <v>81000</v>
      </c>
      <c r="K3923" s="1365" t="n">
        <f aca="false">J3923/1792.8</f>
        <v>45.1807228915663</v>
      </c>
      <c r="L3923" s="891" t="n">
        <v>4.8</v>
      </c>
      <c r="M3923" s="1273" t="n">
        <f aca="false">K3923*L3923/60</f>
        <v>3.6144578313253</v>
      </c>
    </row>
    <row r="3924" customFormat="false" ht="15" hidden="false" customHeight="false" outlineLevel="0" collapsed="false">
      <c r="A3924" s="28"/>
      <c r="B3924" s="78"/>
      <c r="C3924" s="40" t="s">
        <v>7156</v>
      </c>
      <c r="D3924" s="316" t="n">
        <v>2015</v>
      </c>
      <c r="E3924" s="912" t="n">
        <f aca="false">2021-D3924</f>
        <v>6</v>
      </c>
      <c r="F3924" s="891" t="n">
        <v>694025</v>
      </c>
      <c r="G3924" s="1364" t="n">
        <v>0.1</v>
      </c>
      <c r="H3924" s="891" t="n">
        <f aca="false">E3924*F3924*G3924</f>
        <v>416415</v>
      </c>
      <c r="I3924" s="891" t="n">
        <f aca="false">F3924-H3924</f>
        <v>277610</v>
      </c>
      <c r="J3924" s="1365" t="n">
        <f aca="false">F3924*G3924</f>
        <v>69402.5</v>
      </c>
      <c r="K3924" s="1365" t="n">
        <f aca="false">J3924/1792.8</f>
        <v>38.711791610888</v>
      </c>
      <c r="L3924" s="891" t="n">
        <v>18</v>
      </c>
      <c r="M3924" s="1273" t="n">
        <f aca="false">K3924*L3924/60</f>
        <v>11.6135374832664</v>
      </c>
    </row>
    <row r="3925" customFormat="false" ht="15" hidden="false" customHeight="false" outlineLevel="0" collapsed="false">
      <c r="A3925" s="28"/>
      <c r="B3925" s="78"/>
      <c r="C3925" s="40" t="s">
        <v>7157</v>
      </c>
      <c r="D3925" s="316" t="n">
        <v>2006</v>
      </c>
      <c r="E3925" s="912" t="n">
        <f aca="false">2021-D3925</f>
        <v>15</v>
      </c>
      <c r="F3925" s="891" t="n">
        <v>77000</v>
      </c>
      <c r="G3925" s="1364" t="n">
        <v>0.05</v>
      </c>
      <c r="H3925" s="891" t="n">
        <f aca="false">E3925*F3925*G3925</f>
        <v>57750</v>
      </c>
      <c r="I3925" s="891" t="n">
        <f aca="false">F3925-H3925</f>
        <v>19250</v>
      </c>
      <c r="J3925" s="1365" t="n">
        <f aca="false">F3925*G3925</f>
        <v>3850</v>
      </c>
      <c r="K3925" s="1365" t="n">
        <f aca="false">J3925/1792.8</f>
        <v>2.14747880410531</v>
      </c>
      <c r="L3925" s="891" t="n">
        <v>9.6</v>
      </c>
      <c r="M3925" s="1273" t="n">
        <f aca="false">K3925*L3925/60</f>
        <v>0.34359660865685</v>
      </c>
    </row>
    <row r="3926" customFormat="false" ht="15" hidden="false" customHeight="false" outlineLevel="0" collapsed="false">
      <c r="A3926" s="28"/>
      <c r="B3926" s="78"/>
      <c r="C3926" s="40" t="s">
        <v>7158</v>
      </c>
      <c r="D3926" s="316" t="n">
        <v>2007</v>
      </c>
      <c r="E3926" s="912" t="n">
        <f aca="false">2021-D3926</f>
        <v>14</v>
      </c>
      <c r="F3926" s="891" t="n">
        <v>482500</v>
      </c>
      <c r="G3926" s="1364" t="n">
        <v>0.1</v>
      </c>
      <c r="H3926" s="891" t="n">
        <f aca="false">E3926*F3926*G3926</f>
        <v>675500</v>
      </c>
      <c r="I3926" s="891" t="n">
        <f aca="false">F3926-H3926</f>
        <v>-193000</v>
      </c>
      <c r="J3926" s="1365" t="n">
        <f aca="false">F3926*G3926</f>
        <v>48250</v>
      </c>
      <c r="K3926" s="1365" t="n">
        <f aca="false">J3926/1792.8</f>
        <v>26.913208389112</v>
      </c>
      <c r="L3926" s="891" t="n">
        <v>9.6</v>
      </c>
      <c r="M3926" s="1273" t="n">
        <f aca="false">K3926*L3926/60</f>
        <v>4.30611334225792</v>
      </c>
    </row>
    <row r="3927" customFormat="false" ht="15" hidden="false" customHeight="false" outlineLevel="0" collapsed="false">
      <c r="A3927" s="28"/>
      <c r="B3927" s="78"/>
      <c r="C3927" s="40" t="s">
        <v>7159</v>
      </c>
      <c r="D3927" s="316" t="n">
        <v>2007</v>
      </c>
      <c r="E3927" s="912" t="n">
        <f aca="false">2021-D3927</f>
        <v>14</v>
      </c>
      <c r="F3927" s="891" t="n">
        <v>68000</v>
      </c>
      <c r="G3927" s="1364" t="n">
        <v>0.1</v>
      </c>
      <c r="H3927" s="891" t="n">
        <f aca="false">E3927*F3927*G3927</f>
        <v>95200</v>
      </c>
      <c r="I3927" s="891" t="n">
        <f aca="false">F3927-H3927</f>
        <v>-27200</v>
      </c>
      <c r="J3927" s="1365" t="n">
        <f aca="false">F3927*G3927</f>
        <v>6800</v>
      </c>
      <c r="K3927" s="1365" t="n">
        <f aca="false">J3927/1792.8</f>
        <v>3.79294957608211</v>
      </c>
      <c r="L3927" s="891" t="n">
        <v>3.6</v>
      </c>
      <c r="M3927" s="1273" t="n">
        <f aca="false">K3927*L3927/60</f>
        <v>0.227576974564926</v>
      </c>
    </row>
    <row r="3928" customFormat="false" ht="15" hidden="false" customHeight="false" outlineLevel="0" collapsed="false">
      <c r="A3928" s="28"/>
      <c r="B3928" s="78"/>
      <c r="C3928" s="40" t="s">
        <v>7163</v>
      </c>
      <c r="D3928" s="316" t="n">
        <v>1994</v>
      </c>
      <c r="E3928" s="912" t="n">
        <f aca="false">2021-D3928</f>
        <v>27</v>
      </c>
      <c r="F3928" s="891"/>
      <c r="G3928" s="891"/>
      <c r="H3928" s="891" t="n">
        <f aca="false">E3928*F3928*G3928</f>
        <v>0</v>
      </c>
      <c r="I3928" s="891" t="n">
        <f aca="false">F3928-H3928</f>
        <v>0</v>
      </c>
      <c r="J3928" s="1365" t="n">
        <f aca="false">F3928*G3928</f>
        <v>0</v>
      </c>
      <c r="K3928" s="1365" t="n">
        <f aca="false">J3928/1792.8</f>
        <v>0</v>
      </c>
      <c r="L3928" s="891" t="n">
        <v>5</v>
      </c>
      <c r="M3928" s="1273" t="n">
        <f aca="false">K3928*L3928/60</f>
        <v>0</v>
      </c>
    </row>
    <row r="3929" customFormat="false" ht="15" hidden="false" customHeight="false" outlineLevel="0" collapsed="false">
      <c r="A3929" s="28"/>
      <c r="B3929" s="972" t="s">
        <v>4128</v>
      </c>
      <c r="C3929" s="1053"/>
      <c r="D3929" s="965"/>
      <c r="E3929" s="912"/>
      <c r="F3929" s="1490"/>
      <c r="G3929" s="1372"/>
      <c r="H3929" s="1490"/>
      <c r="I3929" s="1490"/>
      <c r="J3929" s="1490"/>
      <c r="K3929" s="1365" t="n">
        <f aca="false">J3929/1792.8</f>
        <v>0</v>
      </c>
      <c r="L3929" s="1490"/>
      <c r="M3929" s="1366" t="n">
        <f aca="false">SUM(M3922:M3928)</f>
        <v>27.6725885021568</v>
      </c>
    </row>
    <row r="3930" s="122" customFormat="true" ht="30" hidden="false" customHeight="false" outlineLevel="0" collapsed="false">
      <c r="A3930" s="20" t="s">
        <v>1950</v>
      </c>
      <c r="B3930" s="118" t="s">
        <v>3693</v>
      </c>
      <c r="C3930" s="118" t="s">
        <v>7183</v>
      </c>
      <c r="D3930" s="877" t="n">
        <v>2007</v>
      </c>
      <c r="E3930" s="912" t="n">
        <f aca="false">2021-D3930</f>
        <v>14</v>
      </c>
      <c r="F3930" s="902" t="n">
        <v>407000</v>
      </c>
      <c r="G3930" s="1407" t="n">
        <v>0.1</v>
      </c>
      <c r="H3930" s="902" t="n">
        <f aca="false">E3930*F3930*G3930</f>
        <v>569800</v>
      </c>
      <c r="I3930" s="902" t="n">
        <f aca="false">F3930-H3930</f>
        <v>-162800</v>
      </c>
      <c r="J3930" s="1410" t="n">
        <f aca="false">F3930*G3930</f>
        <v>40700</v>
      </c>
      <c r="K3930" s="1365" t="n">
        <f aca="false">J3930/1792.8</f>
        <v>22.7019187862561</v>
      </c>
      <c r="L3930" s="902" t="n">
        <v>20</v>
      </c>
      <c r="M3930" s="1408" t="n">
        <f aca="false">K3930*L3930/60</f>
        <v>7.56730626208538</v>
      </c>
    </row>
    <row r="3931" customFormat="false" ht="15" hidden="false" customHeight="false" outlineLevel="0" collapsed="false">
      <c r="A3931" s="28"/>
      <c r="B3931" s="78"/>
      <c r="C3931" s="40" t="s">
        <v>7155</v>
      </c>
      <c r="D3931" s="316" t="n">
        <v>2007</v>
      </c>
      <c r="E3931" s="912" t="n">
        <f aca="false">2021-D3931</f>
        <v>14</v>
      </c>
      <c r="F3931" s="891" t="n">
        <v>810000</v>
      </c>
      <c r="G3931" s="1364" t="n">
        <v>0.1</v>
      </c>
      <c r="H3931" s="891" t="n">
        <f aca="false">E3931*F3931*G3931</f>
        <v>1134000</v>
      </c>
      <c r="I3931" s="891" t="n">
        <f aca="false">F3931-H3931</f>
        <v>-324000</v>
      </c>
      <c r="J3931" s="1365" t="n">
        <f aca="false">F3931*G3931</f>
        <v>81000</v>
      </c>
      <c r="K3931" s="1365" t="n">
        <f aca="false">J3931/1792.8</f>
        <v>45.1807228915663</v>
      </c>
      <c r="L3931" s="891" t="n">
        <v>4.8</v>
      </c>
      <c r="M3931" s="1273" t="n">
        <f aca="false">K3931*L3931/60</f>
        <v>3.6144578313253</v>
      </c>
    </row>
    <row r="3932" customFormat="false" ht="15" hidden="false" customHeight="false" outlineLevel="0" collapsed="false">
      <c r="A3932" s="28"/>
      <c r="B3932" s="78"/>
      <c r="C3932" s="40" t="s">
        <v>7156</v>
      </c>
      <c r="D3932" s="316" t="n">
        <v>2015</v>
      </c>
      <c r="E3932" s="912" t="n">
        <f aca="false">2021-D3932</f>
        <v>6</v>
      </c>
      <c r="F3932" s="891" t="n">
        <v>694025</v>
      </c>
      <c r="G3932" s="1364" t="n">
        <v>0.1</v>
      </c>
      <c r="H3932" s="891" t="n">
        <f aca="false">E3932*F3932*G3932</f>
        <v>416415</v>
      </c>
      <c r="I3932" s="891" t="n">
        <f aca="false">F3932-H3932</f>
        <v>277610</v>
      </c>
      <c r="J3932" s="1365" t="n">
        <f aca="false">F3932*G3932</f>
        <v>69402.5</v>
      </c>
      <c r="K3932" s="1365" t="n">
        <f aca="false">J3932/1792.8</f>
        <v>38.711791610888</v>
      </c>
      <c r="L3932" s="891" t="n">
        <v>18</v>
      </c>
      <c r="M3932" s="1273" t="n">
        <f aca="false">K3932*L3932/60</f>
        <v>11.6135374832664</v>
      </c>
    </row>
    <row r="3933" customFormat="false" ht="15" hidden="false" customHeight="false" outlineLevel="0" collapsed="false">
      <c r="A3933" s="28"/>
      <c r="B3933" s="78"/>
      <c r="C3933" s="40" t="s">
        <v>7157</v>
      </c>
      <c r="D3933" s="316" t="n">
        <v>2006</v>
      </c>
      <c r="E3933" s="912" t="n">
        <f aca="false">2021-D3933</f>
        <v>15</v>
      </c>
      <c r="F3933" s="891" t="n">
        <v>77000</v>
      </c>
      <c r="G3933" s="1364" t="n">
        <v>0.05</v>
      </c>
      <c r="H3933" s="891" t="n">
        <f aca="false">E3933*F3933*G3933</f>
        <v>57750</v>
      </c>
      <c r="I3933" s="891" t="n">
        <f aca="false">F3933-H3933</f>
        <v>19250</v>
      </c>
      <c r="J3933" s="1365" t="n">
        <f aca="false">F3933*G3933</f>
        <v>3850</v>
      </c>
      <c r="K3933" s="1365" t="n">
        <f aca="false">J3933/1792.8</f>
        <v>2.14747880410531</v>
      </c>
      <c r="L3933" s="891" t="n">
        <v>9.6</v>
      </c>
      <c r="M3933" s="1273" t="n">
        <f aca="false">K3933*L3933/60</f>
        <v>0.34359660865685</v>
      </c>
    </row>
    <row r="3934" customFormat="false" ht="24.75" hidden="false" customHeight="true" outlineLevel="0" collapsed="false">
      <c r="A3934" s="28"/>
      <c r="B3934" s="78"/>
      <c r="C3934" s="40" t="s">
        <v>7158</v>
      </c>
      <c r="D3934" s="316" t="n">
        <v>2007</v>
      </c>
      <c r="E3934" s="912" t="n">
        <f aca="false">2021-D3934</f>
        <v>14</v>
      </c>
      <c r="F3934" s="891" t="n">
        <v>482500</v>
      </c>
      <c r="G3934" s="1364" t="n">
        <v>0.1</v>
      </c>
      <c r="H3934" s="891" t="n">
        <f aca="false">E3934*F3934*G3934</f>
        <v>675500</v>
      </c>
      <c r="I3934" s="891" t="n">
        <f aca="false">F3934-H3934</f>
        <v>-193000</v>
      </c>
      <c r="J3934" s="1365" t="n">
        <f aca="false">F3934*G3934</f>
        <v>48250</v>
      </c>
      <c r="K3934" s="1365" t="n">
        <f aca="false">J3934/1792.8</f>
        <v>26.913208389112</v>
      </c>
      <c r="L3934" s="891" t="n">
        <v>9.6</v>
      </c>
      <c r="M3934" s="1273" t="n">
        <f aca="false">K3934*L3934/60</f>
        <v>4.30611334225792</v>
      </c>
    </row>
    <row r="3935" customFormat="false" ht="15" hidden="false" customHeight="false" outlineLevel="0" collapsed="false">
      <c r="A3935" s="28"/>
      <c r="B3935" s="78"/>
      <c r="C3935" s="40" t="s">
        <v>7159</v>
      </c>
      <c r="D3935" s="316" t="n">
        <v>2007</v>
      </c>
      <c r="E3935" s="912" t="n">
        <f aca="false">2021-D3935</f>
        <v>14</v>
      </c>
      <c r="F3935" s="891" t="n">
        <v>68000</v>
      </c>
      <c r="G3935" s="1364" t="n">
        <v>0.1</v>
      </c>
      <c r="H3935" s="891" t="n">
        <f aca="false">E3935*F3935*G3935</f>
        <v>95200</v>
      </c>
      <c r="I3935" s="891" t="n">
        <f aca="false">F3935-H3935</f>
        <v>-27200</v>
      </c>
      <c r="J3935" s="1365" t="n">
        <f aca="false">F3935*G3935</f>
        <v>6800</v>
      </c>
      <c r="K3935" s="1365" t="n">
        <f aca="false">J3935/1792.8</f>
        <v>3.79294957608211</v>
      </c>
      <c r="L3935" s="891" t="n">
        <v>3.6</v>
      </c>
      <c r="M3935" s="1273" t="n">
        <f aca="false">K3935*L3935/60</f>
        <v>0.227576974564926</v>
      </c>
    </row>
    <row r="3936" customFormat="false" ht="15" hidden="false" customHeight="false" outlineLevel="0" collapsed="false">
      <c r="A3936" s="28"/>
      <c r="B3936" s="78"/>
      <c r="C3936" s="40" t="s">
        <v>7163</v>
      </c>
      <c r="D3936" s="316" t="n">
        <v>1994</v>
      </c>
      <c r="E3936" s="912" t="n">
        <f aca="false">2021-D3936</f>
        <v>27</v>
      </c>
      <c r="F3936" s="891"/>
      <c r="G3936" s="891"/>
      <c r="H3936" s="891" t="n">
        <f aca="false">E3936*F3936*G3936</f>
        <v>0</v>
      </c>
      <c r="I3936" s="891" t="n">
        <f aca="false">F3936-H3936</f>
        <v>0</v>
      </c>
      <c r="J3936" s="1365" t="n">
        <f aca="false">F3936*G3936</f>
        <v>0</v>
      </c>
      <c r="K3936" s="1365" t="n">
        <f aca="false">J3936/1792.8</f>
        <v>0</v>
      </c>
      <c r="L3936" s="891" t="n">
        <v>5</v>
      </c>
      <c r="M3936" s="1273" t="n">
        <f aca="false">K3936*L3936/60</f>
        <v>0</v>
      </c>
    </row>
    <row r="3937" customFormat="false" ht="15" hidden="false" customHeight="false" outlineLevel="0" collapsed="false">
      <c r="A3937" s="28"/>
      <c r="B3937" s="78"/>
      <c r="C3937" s="40" t="s">
        <v>7161</v>
      </c>
      <c r="D3937" s="316" t="n">
        <v>2007</v>
      </c>
      <c r="E3937" s="912" t="n">
        <f aca="false">2021-D3937</f>
        <v>14</v>
      </c>
      <c r="F3937" s="891" t="n">
        <v>1849800</v>
      </c>
      <c r="G3937" s="1364" t="n">
        <v>0.1</v>
      </c>
      <c r="H3937" s="891" t="n">
        <f aca="false">E3937*F3937*G3937</f>
        <v>2589720</v>
      </c>
      <c r="I3937" s="891" t="n">
        <f aca="false">F3937-H3937</f>
        <v>-739920</v>
      </c>
      <c r="J3937" s="1365" t="n">
        <f aca="false">F3937*G3937</f>
        <v>184980</v>
      </c>
      <c r="K3937" s="1365" t="n">
        <f aca="false">J3937/1792.8</f>
        <v>103.179384203481</v>
      </c>
      <c r="L3937" s="891" t="n">
        <v>5</v>
      </c>
      <c r="M3937" s="1273" t="n">
        <f aca="false">K3937*L3937/60</f>
        <v>8.59828201695672</v>
      </c>
    </row>
    <row r="3938" customFormat="false" ht="15" hidden="false" customHeight="false" outlineLevel="0" collapsed="false">
      <c r="A3938" s="28"/>
      <c r="B3938" s="972" t="s">
        <v>4128</v>
      </c>
      <c r="C3938" s="1053"/>
      <c r="D3938" s="965"/>
      <c r="E3938" s="912"/>
      <c r="F3938" s="1490"/>
      <c r="G3938" s="1490"/>
      <c r="H3938" s="1490"/>
      <c r="I3938" s="1490"/>
      <c r="J3938" s="1490"/>
      <c r="K3938" s="1365" t="n">
        <f aca="false">J3938/1792.8</f>
        <v>0</v>
      </c>
      <c r="L3938" s="1490"/>
      <c r="M3938" s="1366" t="n">
        <f aca="false">SUM(M3930:M3937)</f>
        <v>36.2708705191135</v>
      </c>
    </row>
    <row r="3939" customFormat="false" ht="30" hidden="false" customHeight="false" outlineLevel="0" collapsed="false">
      <c r="A3939" s="28" t="s">
        <v>1951</v>
      </c>
      <c r="B3939" s="40" t="s">
        <v>3691</v>
      </c>
      <c r="C3939" s="40" t="s">
        <v>7183</v>
      </c>
      <c r="D3939" s="316" t="n">
        <v>2007</v>
      </c>
      <c r="E3939" s="912" t="n">
        <f aca="false">2021-D3939</f>
        <v>14</v>
      </c>
      <c r="F3939" s="891" t="n">
        <v>407000</v>
      </c>
      <c r="G3939" s="1364" t="n">
        <v>0.1</v>
      </c>
      <c r="H3939" s="891" t="n">
        <f aca="false">E3939*F3939*G3939</f>
        <v>569800</v>
      </c>
      <c r="I3939" s="891" t="n">
        <f aca="false">F3939-H3939</f>
        <v>-162800</v>
      </c>
      <c r="J3939" s="1365" t="n">
        <f aca="false">F3939*G3939</f>
        <v>40700</v>
      </c>
      <c r="K3939" s="1365" t="n">
        <f aca="false">J3939/1792.8</f>
        <v>22.7019187862561</v>
      </c>
      <c r="L3939" s="891" t="n">
        <v>20</v>
      </c>
      <c r="M3939" s="1273" t="n">
        <f aca="false">K3939*L3939/60</f>
        <v>7.56730626208538</v>
      </c>
    </row>
    <row r="3940" customFormat="false" ht="15" hidden="false" customHeight="false" outlineLevel="0" collapsed="false">
      <c r="A3940" s="28"/>
      <c r="B3940" s="78"/>
      <c r="C3940" s="40" t="s">
        <v>7155</v>
      </c>
      <c r="D3940" s="316" t="n">
        <v>2007</v>
      </c>
      <c r="E3940" s="912" t="n">
        <f aca="false">2021-D3940</f>
        <v>14</v>
      </c>
      <c r="F3940" s="891" t="n">
        <v>810000</v>
      </c>
      <c r="G3940" s="1364" t="n">
        <v>0.1</v>
      </c>
      <c r="H3940" s="891" t="n">
        <f aca="false">E3940*F3940*G3940</f>
        <v>1134000</v>
      </c>
      <c r="I3940" s="891" t="n">
        <f aca="false">F3940-H3940</f>
        <v>-324000</v>
      </c>
      <c r="J3940" s="1365" t="n">
        <f aca="false">F3940*G3940</f>
        <v>81000</v>
      </c>
      <c r="K3940" s="1365" t="n">
        <f aca="false">J3940/1792.8</f>
        <v>45.1807228915663</v>
      </c>
      <c r="L3940" s="891" t="n">
        <v>4.8</v>
      </c>
      <c r="M3940" s="1273" t="n">
        <f aca="false">K3940*L3940/60</f>
        <v>3.6144578313253</v>
      </c>
    </row>
    <row r="3941" customFormat="false" ht="15" hidden="false" customHeight="false" outlineLevel="0" collapsed="false">
      <c r="A3941" s="28"/>
      <c r="B3941" s="78"/>
      <c r="C3941" s="40" t="s">
        <v>7156</v>
      </c>
      <c r="D3941" s="316" t="n">
        <v>2015</v>
      </c>
      <c r="E3941" s="912" t="n">
        <f aca="false">2021-D3941</f>
        <v>6</v>
      </c>
      <c r="F3941" s="891" t="n">
        <v>694025</v>
      </c>
      <c r="G3941" s="1364" t="n">
        <v>0.1</v>
      </c>
      <c r="H3941" s="891" t="n">
        <f aca="false">E3941*F3941*G3941</f>
        <v>416415</v>
      </c>
      <c r="I3941" s="891" t="n">
        <f aca="false">F3941-H3941</f>
        <v>277610</v>
      </c>
      <c r="J3941" s="1365" t="n">
        <f aca="false">F3941*G3941</f>
        <v>69402.5</v>
      </c>
      <c r="K3941" s="1365" t="n">
        <f aca="false">J3941/1792.8</f>
        <v>38.711791610888</v>
      </c>
      <c r="L3941" s="891" t="n">
        <v>18</v>
      </c>
      <c r="M3941" s="1273" t="n">
        <f aca="false">K3941*L3941/60</f>
        <v>11.6135374832664</v>
      </c>
    </row>
    <row r="3942" customFormat="false" ht="15" hidden="false" customHeight="false" outlineLevel="0" collapsed="false">
      <c r="A3942" s="28"/>
      <c r="B3942" s="78"/>
      <c r="C3942" s="40" t="s">
        <v>7157</v>
      </c>
      <c r="D3942" s="316" t="n">
        <v>2006</v>
      </c>
      <c r="E3942" s="912" t="n">
        <f aca="false">2021-D3942</f>
        <v>15</v>
      </c>
      <c r="F3942" s="891" t="n">
        <v>77000</v>
      </c>
      <c r="G3942" s="1364" t="n">
        <v>0.05</v>
      </c>
      <c r="H3942" s="891" t="n">
        <f aca="false">E3942*F3942*G3942</f>
        <v>57750</v>
      </c>
      <c r="I3942" s="891" t="n">
        <f aca="false">F3942-H3942</f>
        <v>19250</v>
      </c>
      <c r="J3942" s="1365" t="n">
        <f aca="false">F3942*G3942</f>
        <v>3850</v>
      </c>
      <c r="K3942" s="1365" t="n">
        <f aca="false">J3942/1792.8</f>
        <v>2.14747880410531</v>
      </c>
      <c r="L3942" s="891" t="n">
        <v>9.6</v>
      </c>
      <c r="M3942" s="1273" t="n">
        <f aca="false">K3942*L3942/60</f>
        <v>0.34359660865685</v>
      </c>
    </row>
    <row r="3943" customFormat="false" ht="15" hidden="false" customHeight="false" outlineLevel="0" collapsed="false">
      <c r="A3943" s="28"/>
      <c r="B3943" s="78"/>
      <c r="C3943" s="40" t="s">
        <v>7158</v>
      </c>
      <c r="D3943" s="316" t="n">
        <v>2007</v>
      </c>
      <c r="E3943" s="912" t="n">
        <f aca="false">2021-D3943</f>
        <v>14</v>
      </c>
      <c r="F3943" s="891" t="n">
        <v>482500</v>
      </c>
      <c r="G3943" s="1364" t="n">
        <v>0.1</v>
      </c>
      <c r="H3943" s="891" t="n">
        <f aca="false">E3943*F3943*G3943</f>
        <v>675500</v>
      </c>
      <c r="I3943" s="891" t="n">
        <f aca="false">F3943-H3943</f>
        <v>-193000</v>
      </c>
      <c r="J3943" s="1365" t="n">
        <f aca="false">F3943*G3943</f>
        <v>48250</v>
      </c>
      <c r="K3943" s="1365" t="n">
        <f aca="false">J3943/1792.8</f>
        <v>26.913208389112</v>
      </c>
      <c r="L3943" s="891" t="n">
        <v>9.6</v>
      </c>
      <c r="M3943" s="1273" t="n">
        <f aca="false">K3943*L3943/60</f>
        <v>4.30611334225792</v>
      </c>
    </row>
    <row r="3944" customFormat="false" ht="15" hidden="false" customHeight="false" outlineLevel="0" collapsed="false">
      <c r="A3944" s="28"/>
      <c r="B3944" s="78"/>
      <c r="C3944" s="40" t="s">
        <v>7159</v>
      </c>
      <c r="D3944" s="316" t="n">
        <v>2007</v>
      </c>
      <c r="E3944" s="912" t="n">
        <f aca="false">2021-D3944</f>
        <v>14</v>
      </c>
      <c r="F3944" s="891" t="n">
        <v>68000</v>
      </c>
      <c r="G3944" s="1364" t="n">
        <v>0.1</v>
      </c>
      <c r="H3944" s="891" t="n">
        <f aca="false">E3944*F3944*G3944</f>
        <v>95200</v>
      </c>
      <c r="I3944" s="891" t="n">
        <f aca="false">F3944-H3944</f>
        <v>-27200</v>
      </c>
      <c r="J3944" s="1365" t="n">
        <f aca="false">F3944*G3944</f>
        <v>6800</v>
      </c>
      <c r="K3944" s="1365" t="n">
        <f aca="false">J3944/1792.8</f>
        <v>3.79294957608211</v>
      </c>
      <c r="L3944" s="891" t="n">
        <v>3.6</v>
      </c>
      <c r="M3944" s="1273" t="n">
        <f aca="false">K3944*L3944/60</f>
        <v>0.227576974564926</v>
      </c>
    </row>
    <row r="3945" customFormat="false" ht="15" hidden="false" customHeight="false" outlineLevel="0" collapsed="false">
      <c r="A3945" s="28"/>
      <c r="B3945" s="78"/>
      <c r="C3945" s="40" t="s">
        <v>7161</v>
      </c>
      <c r="D3945" s="316" t="n">
        <v>2007</v>
      </c>
      <c r="E3945" s="912" t="n">
        <f aca="false">2021-D3945</f>
        <v>14</v>
      </c>
      <c r="F3945" s="891" t="n">
        <v>1849800</v>
      </c>
      <c r="G3945" s="1364" t="n">
        <v>0.1</v>
      </c>
      <c r="H3945" s="891" t="n">
        <f aca="false">E3945*F3945*G3945</f>
        <v>2589720</v>
      </c>
      <c r="I3945" s="891" t="n">
        <f aca="false">F3945-H3945</f>
        <v>-739920</v>
      </c>
      <c r="J3945" s="1365" t="n">
        <f aca="false">F3945*G3945</f>
        <v>184980</v>
      </c>
      <c r="K3945" s="1365" t="n">
        <f aca="false">J3945/1792.8</f>
        <v>103.179384203481</v>
      </c>
      <c r="L3945" s="891" t="n">
        <v>5</v>
      </c>
      <c r="M3945" s="1273" t="n">
        <f aca="false">K3945*L3945/60</f>
        <v>8.59828201695672</v>
      </c>
    </row>
    <row r="3946" customFormat="false" ht="15" hidden="false" customHeight="false" outlineLevel="0" collapsed="false">
      <c r="A3946" s="28"/>
      <c r="B3946" s="78"/>
      <c r="C3946" s="40" t="s">
        <v>7163</v>
      </c>
      <c r="D3946" s="316" t="n">
        <v>1994</v>
      </c>
      <c r="E3946" s="912" t="n">
        <f aca="false">2021-D3946</f>
        <v>27</v>
      </c>
      <c r="F3946" s="891"/>
      <c r="G3946" s="891"/>
      <c r="H3946" s="891" t="n">
        <f aca="false">E3946*F3946*G3946</f>
        <v>0</v>
      </c>
      <c r="I3946" s="891" t="n">
        <f aca="false">F3946-H3946</f>
        <v>0</v>
      </c>
      <c r="J3946" s="1365" t="n">
        <f aca="false">F3946*G3946</f>
        <v>0</v>
      </c>
      <c r="K3946" s="1365" t="n">
        <f aca="false">J3946/1792.8</f>
        <v>0</v>
      </c>
      <c r="L3946" s="891" t="n">
        <v>10</v>
      </c>
      <c r="M3946" s="1273" t="n">
        <f aca="false">K3946*L3946/60</f>
        <v>0</v>
      </c>
    </row>
    <row r="3947" customFormat="false" ht="15" hidden="false" customHeight="false" outlineLevel="0" collapsed="false">
      <c r="A3947" s="28"/>
      <c r="B3947" s="972" t="s">
        <v>4128</v>
      </c>
      <c r="C3947" s="1053"/>
      <c r="D3947" s="965"/>
      <c r="E3947" s="912"/>
      <c r="F3947" s="1490"/>
      <c r="G3947" s="1490"/>
      <c r="H3947" s="1490"/>
      <c r="I3947" s="1490"/>
      <c r="J3947" s="1490"/>
      <c r="K3947" s="1365" t="n">
        <f aca="false">J3947/1792.8</f>
        <v>0</v>
      </c>
      <c r="L3947" s="1490"/>
      <c r="M3947" s="1366" t="n">
        <f aca="false">SUM(M3939:M3946)</f>
        <v>36.2708705191135</v>
      </c>
    </row>
    <row r="3948" customFormat="false" ht="45" hidden="false" customHeight="false" outlineLevel="0" collapsed="false">
      <c r="A3948" s="28" t="s">
        <v>1952</v>
      </c>
      <c r="B3948" s="40" t="s">
        <v>3712</v>
      </c>
      <c r="C3948" s="40" t="s">
        <v>7164</v>
      </c>
      <c r="D3948" s="316" t="n">
        <v>2007</v>
      </c>
      <c r="E3948" s="912" t="n">
        <f aca="false">2021-D3948</f>
        <v>14</v>
      </c>
      <c r="F3948" s="891" t="n">
        <v>407000</v>
      </c>
      <c r="G3948" s="1364" t="n">
        <v>0.1</v>
      </c>
      <c r="H3948" s="891" t="n">
        <f aca="false">E3948*F3948*G3948</f>
        <v>569800</v>
      </c>
      <c r="I3948" s="891" t="n">
        <f aca="false">F3948-H3948</f>
        <v>-162800</v>
      </c>
      <c r="J3948" s="1365" t="n">
        <f aca="false">F3948*G3948</f>
        <v>40700</v>
      </c>
      <c r="K3948" s="1365" t="n">
        <f aca="false">J3948/1792.8</f>
        <v>22.7019187862561</v>
      </c>
      <c r="L3948" s="891" t="n">
        <v>20</v>
      </c>
      <c r="M3948" s="1273" t="n">
        <f aca="false">K3948*L3948/60</f>
        <v>7.56730626208538</v>
      </c>
    </row>
    <row r="3949" customFormat="false" ht="15" hidden="false" customHeight="false" outlineLevel="0" collapsed="false">
      <c r="A3949" s="28"/>
      <c r="B3949" s="78"/>
      <c r="C3949" s="40" t="s">
        <v>7165</v>
      </c>
      <c r="D3949" s="316" t="n">
        <v>2007</v>
      </c>
      <c r="E3949" s="912" t="n">
        <f aca="false">2021-D3949</f>
        <v>14</v>
      </c>
      <c r="F3949" s="891" t="n">
        <v>407000</v>
      </c>
      <c r="G3949" s="1364" t="n">
        <v>0.1</v>
      </c>
      <c r="H3949" s="891" t="n">
        <f aca="false">E3949*F3949*G3949</f>
        <v>569800</v>
      </c>
      <c r="I3949" s="891" t="n">
        <f aca="false">F3949-H3949</f>
        <v>-162800</v>
      </c>
      <c r="J3949" s="1365" t="n">
        <f aca="false">F3949*G3949</f>
        <v>40700</v>
      </c>
      <c r="K3949" s="1365" t="n">
        <f aca="false">J3949/1792.8</f>
        <v>22.7019187862561</v>
      </c>
      <c r="L3949" s="891" t="n">
        <v>20</v>
      </c>
      <c r="M3949" s="1273" t="n">
        <f aca="false">K3949*L3949/60</f>
        <v>7.56730626208538</v>
      </c>
    </row>
    <row r="3950" customFormat="false" ht="15" hidden="false" customHeight="false" outlineLevel="0" collapsed="false">
      <c r="A3950" s="28"/>
      <c r="B3950" s="78"/>
      <c r="C3950" s="40" t="s">
        <v>7155</v>
      </c>
      <c r="D3950" s="316" t="n">
        <v>2007</v>
      </c>
      <c r="E3950" s="912" t="n">
        <f aca="false">2021-D3950</f>
        <v>14</v>
      </c>
      <c r="F3950" s="891" t="n">
        <v>810000</v>
      </c>
      <c r="G3950" s="1364" t="n">
        <v>0.1</v>
      </c>
      <c r="H3950" s="891" t="n">
        <f aca="false">E3950*F3950*G3950</f>
        <v>1134000</v>
      </c>
      <c r="I3950" s="891" t="n">
        <f aca="false">F3950-H3950</f>
        <v>-324000</v>
      </c>
      <c r="J3950" s="1365" t="n">
        <f aca="false">F3950*G3950</f>
        <v>81000</v>
      </c>
      <c r="K3950" s="1365" t="n">
        <f aca="false">J3950/1792.8</f>
        <v>45.1807228915663</v>
      </c>
      <c r="L3950" s="891" t="n">
        <v>18</v>
      </c>
      <c r="M3950" s="1273" t="n">
        <f aca="false">K3950*L3950/60</f>
        <v>13.5542168674699</v>
      </c>
    </row>
    <row r="3951" customFormat="false" ht="15" hidden="false" customHeight="false" outlineLevel="0" collapsed="false">
      <c r="A3951" s="28"/>
      <c r="B3951" s="78"/>
      <c r="C3951" s="40" t="s">
        <v>7156</v>
      </c>
      <c r="D3951" s="316" t="n">
        <v>2015</v>
      </c>
      <c r="E3951" s="912" t="n">
        <f aca="false">2021-D3951</f>
        <v>6</v>
      </c>
      <c r="F3951" s="891" t="n">
        <v>694025</v>
      </c>
      <c r="G3951" s="1364" t="n">
        <v>0.1</v>
      </c>
      <c r="H3951" s="891" t="n">
        <f aca="false">E3951*F3951*G3951</f>
        <v>416415</v>
      </c>
      <c r="I3951" s="891" t="n">
        <f aca="false">F3951-H3951</f>
        <v>277610</v>
      </c>
      <c r="J3951" s="1365" t="n">
        <f aca="false">F3951*G3951</f>
        <v>69402.5</v>
      </c>
      <c r="K3951" s="1365" t="n">
        <f aca="false">J3951/1792.8</f>
        <v>38.711791610888</v>
      </c>
      <c r="L3951" s="891" t="n">
        <v>9.6</v>
      </c>
      <c r="M3951" s="1273" t="n">
        <f aca="false">K3951*L3951/60</f>
        <v>6.19388665774208</v>
      </c>
    </row>
    <row r="3952" customFormat="false" ht="15" hidden="false" customHeight="false" outlineLevel="0" collapsed="false">
      <c r="A3952" s="28"/>
      <c r="B3952" s="78"/>
      <c r="C3952" s="40" t="s">
        <v>7157</v>
      </c>
      <c r="D3952" s="316" t="n">
        <v>2006</v>
      </c>
      <c r="E3952" s="912" t="n">
        <f aca="false">2021-D3952</f>
        <v>15</v>
      </c>
      <c r="F3952" s="891" t="n">
        <v>77000</v>
      </c>
      <c r="G3952" s="1364" t="n">
        <v>0.05</v>
      </c>
      <c r="H3952" s="891" t="n">
        <f aca="false">E3952*F3952*G3952</f>
        <v>57750</v>
      </c>
      <c r="I3952" s="891" t="n">
        <f aca="false">F3952-H3952</f>
        <v>19250</v>
      </c>
      <c r="J3952" s="1365" t="n">
        <f aca="false">F3952*G3952</f>
        <v>3850</v>
      </c>
      <c r="K3952" s="1365" t="n">
        <f aca="false">J3952/1792.8</f>
        <v>2.14747880410531</v>
      </c>
      <c r="L3952" s="891" t="n">
        <v>9.6</v>
      </c>
      <c r="M3952" s="1273" t="n">
        <f aca="false">K3952*L3952/60</f>
        <v>0.34359660865685</v>
      </c>
    </row>
    <row r="3953" customFormat="false" ht="15" hidden="false" customHeight="false" outlineLevel="0" collapsed="false">
      <c r="A3953" s="28"/>
      <c r="B3953" s="78"/>
      <c r="C3953" s="40" t="s">
        <v>7158</v>
      </c>
      <c r="D3953" s="316" t="n">
        <v>2007</v>
      </c>
      <c r="E3953" s="912" t="n">
        <f aca="false">2021-D3953</f>
        <v>14</v>
      </c>
      <c r="F3953" s="891" t="n">
        <v>482500</v>
      </c>
      <c r="G3953" s="1364" t="n">
        <v>0.1</v>
      </c>
      <c r="H3953" s="891" t="n">
        <f aca="false">E3953*F3953*G3953</f>
        <v>675500</v>
      </c>
      <c r="I3953" s="891" t="n">
        <f aca="false">F3953-H3953</f>
        <v>-193000</v>
      </c>
      <c r="J3953" s="1365" t="n">
        <f aca="false">F3953*G3953</f>
        <v>48250</v>
      </c>
      <c r="K3953" s="1365" t="n">
        <f aca="false">J3953/1792.8</f>
        <v>26.913208389112</v>
      </c>
      <c r="L3953" s="891" t="n">
        <v>3.6</v>
      </c>
      <c r="M3953" s="1273" t="n">
        <f aca="false">K3953*L3953/60</f>
        <v>1.61479250334672</v>
      </c>
    </row>
    <row r="3954" customFormat="false" ht="15" hidden="false" customHeight="false" outlineLevel="0" collapsed="false">
      <c r="A3954" s="28"/>
      <c r="B3954" s="78"/>
      <c r="C3954" s="40" t="s">
        <v>7159</v>
      </c>
      <c r="D3954" s="316" t="n">
        <v>2007</v>
      </c>
      <c r="E3954" s="912" t="n">
        <f aca="false">2021-D3954</f>
        <v>14</v>
      </c>
      <c r="F3954" s="891" t="n">
        <v>68000</v>
      </c>
      <c r="G3954" s="1364" t="n">
        <v>0.1</v>
      </c>
      <c r="H3954" s="891" t="n">
        <f aca="false">E3954*F3954*G3954</f>
        <v>95200</v>
      </c>
      <c r="I3954" s="891" t="n">
        <f aca="false">F3954-H3954</f>
        <v>-27200</v>
      </c>
      <c r="J3954" s="1365" t="n">
        <f aca="false">F3954*G3954</f>
        <v>6800</v>
      </c>
      <c r="K3954" s="1365" t="n">
        <f aca="false">J3954/1792.8</f>
        <v>3.79294957608211</v>
      </c>
      <c r="L3954" s="891" t="n">
        <v>6</v>
      </c>
      <c r="M3954" s="1273" t="n">
        <f aca="false">K3954*L3954/60</f>
        <v>0.379294957608211</v>
      </c>
    </row>
    <row r="3955" customFormat="false" ht="15" hidden="false" customHeight="false" outlineLevel="0" collapsed="false">
      <c r="A3955" s="28"/>
      <c r="B3955" s="78"/>
      <c r="C3955" s="40" t="s">
        <v>7163</v>
      </c>
      <c r="D3955" s="316" t="n">
        <v>1994</v>
      </c>
      <c r="E3955" s="912" t="n">
        <f aca="false">2021-D3955</f>
        <v>27</v>
      </c>
      <c r="F3955" s="891"/>
      <c r="G3955" s="891"/>
      <c r="H3955" s="891" t="n">
        <f aca="false">E3955*F3955*G3955</f>
        <v>0</v>
      </c>
      <c r="I3955" s="891" t="n">
        <f aca="false">F3955-H3955</f>
        <v>0</v>
      </c>
      <c r="J3955" s="1365" t="n">
        <f aca="false">F3955*G3955</f>
        <v>0</v>
      </c>
      <c r="K3955" s="1365" t="n">
        <f aca="false">J3955/1792.8</f>
        <v>0</v>
      </c>
      <c r="L3955" s="891" t="n">
        <v>5</v>
      </c>
      <c r="M3955" s="1273" t="n">
        <f aca="false">K3955*L3955/60</f>
        <v>0</v>
      </c>
    </row>
    <row r="3956" customFormat="false" ht="15" hidden="false" customHeight="false" outlineLevel="0" collapsed="false">
      <c r="A3956" s="28"/>
      <c r="B3956" s="78"/>
      <c r="C3956" s="40" t="s">
        <v>7161</v>
      </c>
      <c r="D3956" s="316" t="n">
        <v>2007</v>
      </c>
      <c r="E3956" s="912" t="n">
        <f aca="false">2021-D3956</f>
        <v>14</v>
      </c>
      <c r="F3956" s="891" t="n">
        <v>1849800</v>
      </c>
      <c r="G3956" s="1364" t="n">
        <v>0.1</v>
      </c>
      <c r="H3956" s="891" t="n">
        <f aca="false">E3956*F3956*G3956</f>
        <v>2589720</v>
      </c>
      <c r="I3956" s="891" t="n">
        <f aca="false">F3956-H3956</f>
        <v>-739920</v>
      </c>
      <c r="J3956" s="1365" t="n">
        <f aca="false">F3956*G3956</f>
        <v>184980</v>
      </c>
      <c r="K3956" s="1365" t="n">
        <f aca="false">J3956/1792.8</f>
        <v>103.179384203481</v>
      </c>
      <c r="L3956" s="891" t="n">
        <v>5</v>
      </c>
      <c r="M3956" s="1273" t="n">
        <f aca="false">K3956*L3956/60</f>
        <v>8.59828201695672</v>
      </c>
    </row>
    <row r="3957" customFormat="false" ht="15" hidden="false" customHeight="false" outlineLevel="0" collapsed="false">
      <c r="A3957" s="28"/>
      <c r="B3957" s="972" t="s">
        <v>4128</v>
      </c>
      <c r="C3957" s="1053"/>
      <c r="D3957" s="965"/>
      <c r="E3957" s="912"/>
      <c r="F3957" s="1490"/>
      <c r="G3957" s="1490"/>
      <c r="H3957" s="1490"/>
      <c r="I3957" s="1490"/>
      <c r="J3957" s="1490"/>
      <c r="K3957" s="1365" t="n">
        <f aca="false">J3957/1792.8</f>
        <v>0</v>
      </c>
      <c r="L3957" s="1490"/>
      <c r="M3957" s="1366" t="n">
        <f aca="false">SUM(M3948:M3956)</f>
        <v>45.8186821359512</v>
      </c>
    </row>
    <row r="3958" customFormat="false" ht="15" hidden="false" customHeight="false" outlineLevel="0" collapsed="false">
      <c r="A3958" s="15" t="s">
        <v>1954</v>
      </c>
      <c r="B3958" s="88" t="s">
        <v>3713</v>
      </c>
      <c r="C3958" s="1471"/>
      <c r="D3958" s="1389"/>
      <c r="E3958" s="541"/>
      <c r="F3958" s="1512"/>
      <c r="G3958" s="1513"/>
      <c r="H3958" s="1512"/>
      <c r="I3958" s="1512"/>
      <c r="J3958" s="1512"/>
      <c r="K3958" s="1512"/>
      <c r="L3958" s="1512"/>
      <c r="M3958" s="1511"/>
    </row>
    <row r="3959" customFormat="false" ht="30" hidden="false" customHeight="false" outlineLevel="0" collapsed="false">
      <c r="A3959" s="28" t="s">
        <v>1956</v>
      </c>
      <c r="B3959" s="40" t="s">
        <v>3714</v>
      </c>
      <c r="C3959" s="40" t="s">
        <v>7185</v>
      </c>
      <c r="D3959" s="316" t="n">
        <v>2007</v>
      </c>
      <c r="E3959" s="912" t="n">
        <f aca="false">2021-D3959</f>
        <v>14</v>
      </c>
      <c r="F3959" s="891" t="n">
        <v>407000</v>
      </c>
      <c r="G3959" s="1364" t="n">
        <v>0.1</v>
      </c>
      <c r="H3959" s="891" t="n">
        <f aca="false">E3959*F3959*G3959</f>
        <v>569800</v>
      </c>
      <c r="I3959" s="891" t="n">
        <f aca="false">F3959-H3959</f>
        <v>-162800</v>
      </c>
      <c r="J3959" s="1365" t="n">
        <f aca="false">F3959*G3959</f>
        <v>40700</v>
      </c>
      <c r="K3959" s="1365" t="n">
        <f aca="false">J3959/1792.8</f>
        <v>22.7019187862561</v>
      </c>
      <c r="L3959" s="891" t="n">
        <v>20</v>
      </c>
      <c r="M3959" s="1273" t="n">
        <f aca="false">K3959*L3959/60</f>
        <v>7.56730626208538</v>
      </c>
    </row>
    <row r="3960" customFormat="false" ht="15" hidden="false" customHeight="false" outlineLevel="0" collapsed="false">
      <c r="A3960" s="28"/>
      <c r="B3960" s="78"/>
      <c r="C3960" s="40" t="s">
        <v>7155</v>
      </c>
      <c r="D3960" s="316" t="n">
        <v>2007</v>
      </c>
      <c r="E3960" s="912" t="n">
        <f aca="false">2021-D3960</f>
        <v>14</v>
      </c>
      <c r="F3960" s="891" t="n">
        <v>810000</v>
      </c>
      <c r="G3960" s="1364" t="n">
        <v>0.1</v>
      </c>
      <c r="H3960" s="891" t="n">
        <f aca="false">E3960*F3960*G3960</f>
        <v>1134000</v>
      </c>
      <c r="I3960" s="891" t="n">
        <f aca="false">F3960-H3960</f>
        <v>-324000</v>
      </c>
      <c r="J3960" s="1365" t="n">
        <f aca="false">F3960*G3960</f>
        <v>81000</v>
      </c>
      <c r="K3960" s="1365" t="n">
        <f aca="false">J3960/1792.8</f>
        <v>45.1807228915663</v>
      </c>
      <c r="L3960" s="891" t="n">
        <v>4.8</v>
      </c>
      <c r="M3960" s="1273" t="n">
        <f aca="false">K3960*L3960/60</f>
        <v>3.6144578313253</v>
      </c>
    </row>
    <row r="3961" customFormat="false" ht="15" hidden="false" customHeight="false" outlineLevel="0" collapsed="false">
      <c r="A3961" s="28"/>
      <c r="B3961" s="78"/>
      <c r="C3961" s="40" t="s">
        <v>7157</v>
      </c>
      <c r="D3961" s="316" t="n">
        <v>2006</v>
      </c>
      <c r="E3961" s="912" t="n">
        <f aca="false">2021-D3961</f>
        <v>15</v>
      </c>
      <c r="F3961" s="891" t="n">
        <v>77000</v>
      </c>
      <c r="G3961" s="1364" t="n">
        <v>0.05</v>
      </c>
      <c r="H3961" s="891" t="n">
        <f aca="false">E3961*F3961*G3961</f>
        <v>57750</v>
      </c>
      <c r="I3961" s="891" t="n">
        <f aca="false">F3961-H3961</f>
        <v>19250</v>
      </c>
      <c r="J3961" s="1365" t="n">
        <f aca="false">F3961*G3961</f>
        <v>3850</v>
      </c>
      <c r="K3961" s="1365" t="n">
        <f aca="false">J3961/1792.8</f>
        <v>2.14747880410531</v>
      </c>
      <c r="L3961" s="891" t="n">
        <v>18</v>
      </c>
      <c r="M3961" s="1273" t="n">
        <f aca="false">K3961*L3961/60</f>
        <v>0.644243641231593</v>
      </c>
    </row>
    <row r="3962" customFormat="false" ht="15" hidden="false" customHeight="false" outlineLevel="0" collapsed="false">
      <c r="A3962" s="28"/>
      <c r="B3962" s="78"/>
      <c r="C3962" s="40" t="s">
        <v>7158</v>
      </c>
      <c r="D3962" s="316" t="n">
        <v>2007</v>
      </c>
      <c r="E3962" s="912" t="n">
        <f aca="false">2021-D3962</f>
        <v>14</v>
      </c>
      <c r="F3962" s="891" t="n">
        <v>482500</v>
      </c>
      <c r="G3962" s="1364" t="n">
        <v>0.1</v>
      </c>
      <c r="H3962" s="891" t="n">
        <f aca="false">E3962*F3962*G3962</f>
        <v>675500</v>
      </c>
      <c r="I3962" s="891" t="n">
        <f aca="false">F3962-H3962</f>
        <v>-193000</v>
      </c>
      <c r="J3962" s="1365" t="n">
        <f aca="false">F3962*G3962</f>
        <v>48250</v>
      </c>
      <c r="K3962" s="1365" t="n">
        <f aca="false">J3962/1792.8</f>
        <v>26.913208389112</v>
      </c>
      <c r="L3962" s="891" t="n">
        <v>9.6</v>
      </c>
      <c r="M3962" s="1273" t="n">
        <f aca="false">K3962*L3962/60</f>
        <v>4.30611334225792</v>
      </c>
    </row>
    <row r="3963" customFormat="false" ht="15" hidden="false" customHeight="false" outlineLevel="0" collapsed="false">
      <c r="A3963" s="28"/>
      <c r="B3963" s="78"/>
      <c r="C3963" s="40" t="s">
        <v>7159</v>
      </c>
      <c r="D3963" s="316" t="n">
        <v>2007</v>
      </c>
      <c r="E3963" s="912" t="n">
        <f aca="false">2021-D3963</f>
        <v>14</v>
      </c>
      <c r="F3963" s="891" t="n">
        <v>68000</v>
      </c>
      <c r="G3963" s="1364" t="n">
        <v>0.1</v>
      </c>
      <c r="H3963" s="891" t="n">
        <f aca="false">E3963*F3963*G3963</f>
        <v>95200</v>
      </c>
      <c r="I3963" s="891" t="n">
        <f aca="false">F3963-H3963</f>
        <v>-27200</v>
      </c>
      <c r="J3963" s="1365" t="n">
        <f aca="false">F3963*G3963</f>
        <v>6800</v>
      </c>
      <c r="K3963" s="1365" t="n">
        <f aca="false">J3963/1792.8</f>
        <v>3.79294957608211</v>
      </c>
      <c r="L3963" s="891" t="n">
        <v>9.6</v>
      </c>
      <c r="M3963" s="1273" t="n">
        <f aca="false">K3963*L3963/60</f>
        <v>0.606871932173137</v>
      </c>
    </row>
    <row r="3964" customFormat="false" ht="15" hidden="false" customHeight="false" outlineLevel="0" collapsed="false">
      <c r="A3964" s="28"/>
      <c r="B3964" s="78"/>
      <c r="C3964" s="40" t="s">
        <v>7161</v>
      </c>
      <c r="D3964" s="316" t="n">
        <v>2007</v>
      </c>
      <c r="E3964" s="912" t="n">
        <f aca="false">2021-D3964</f>
        <v>14</v>
      </c>
      <c r="F3964" s="891" t="n">
        <v>1849800</v>
      </c>
      <c r="G3964" s="1364" t="n">
        <v>0.1</v>
      </c>
      <c r="H3964" s="891" t="n">
        <f aca="false">E3964*F3964*G3964</f>
        <v>2589720</v>
      </c>
      <c r="I3964" s="891" t="n">
        <f aca="false">F3964-H3964</f>
        <v>-739920</v>
      </c>
      <c r="J3964" s="1365" t="n">
        <f aca="false">F3964*G3964</f>
        <v>184980</v>
      </c>
      <c r="K3964" s="1365" t="n">
        <f aca="false">J3964/1792.8</f>
        <v>103.179384203481</v>
      </c>
      <c r="L3964" s="891" t="n">
        <v>6</v>
      </c>
      <c r="M3964" s="1273" t="n">
        <f aca="false">K3964*L3964/60</f>
        <v>10.3179384203481</v>
      </c>
    </row>
    <row r="3965" customFormat="false" ht="15" hidden="false" customHeight="false" outlineLevel="0" collapsed="false">
      <c r="A3965" s="28"/>
      <c r="B3965" s="78"/>
      <c r="C3965" s="40" t="s">
        <v>7163</v>
      </c>
      <c r="D3965" s="316" t="n">
        <v>1994</v>
      </c>
      <c r="E3965" s="912" t="n">
        <f aca="false">2021-D3965</f>
        <v>27</v>
      </c>
      <c r="F3965" s="891"/>
      <c r="G3965" s="891"/>
      <c r="H3965" s="891" t="n">
        <f aca="false">E3965*F3965*G3965</f>
        <v>0</v>
      </c>
      <c r="I3965" s="891" t="n">
        <f aca="false">F3965-H3965</f>
        <v>0</v>
      </c>
      <c r="J3965" s="1365" t="n">
        <f aca="false">F3965*G3965</f>
        <v>0</v>
      </c>
      <c r="K3965" s="1365" t="n">
        <f aca="false">J3965/1792.8</f>
        <v>0</v>
      </c>
      <c r="L3965" s="891" t="n">
        <v>5</v>
      </c>
      <c r="M3965" s="1273" t="n">
        <f aca="false">K3965*L3965/60</f>
        <v>0</v>
      </c>
    </row>
    <row r="3966" customFormat="false" ht="15" hidden="false" customHeight="false" outlineLevel="0" collapsed="false">
      <c r="A3966" s="28"/>
      <c r="B3966" s="78"/>
      <c r="C3966" s="40" t="s">
        <v>7156</v>
      </c>
      <c r="D3966" s="316" t="n">
        <v>2005</v>
      </c>
      <c r="E3966" s="912" t="n">
        <f aca="false">2021-D3966</f>
        <v>16</v>
      </c>
      <c r="F3966" s="891" t="n">
        <v>125000</v>
      </c>
      <c r="G3966" s="1364" t="n">
        <v>0.1</v>
      </c>
      <c r="H3966" s="891" t="n">
        <f aca="false">E3966*F3966*G3966</f>
        <v>200000</v>
      </c>
      <c r="I3966" s="891" t="n">
        <f aca="false">F3966-H3966</f>
        <v>-75000</v>
      </c>
      <c r="J3966" s="1365" t="n">
        <f aca="false">F3966*G3966</f>
        <v>12500</v>
      </c>
      <c r="K3966" s="1365" t="n">
        <f aca="false">J3966/1792.8</f>
        <v>6.9723337795627</v>
      </c>
      <c r="L3966" s="891" t="n">
        <v>9.6</v>
      </c>
      <c r="M3966" s="1273" t="n">
        <f aca="false">K3966*L3966/60</f>
        <v>1.11557340473003</v>
      </c>
    </row>
    <row r="3967" customFormat="false" ht="15" hidden="false" customHeight="false" outlineLevel="0" collapsed="false">
      <c r="A3967" s="28"/>
      <c r="B3967" s="972" t="s">
        <v>4128</v>
      </c>
      <c r="C3967" s="1053"/>
      <c r="D3967" s="965"/>
      <c r="E3967" s="912"/>
      <c r="F3967" s="1490"/>
      <c r="G3967" s="1490"/>
      <c r="H3967" s="1490"/>
      <c r="I3967" s="1490"/>
      <c r="J3967" s="1490"/>
      <c r="K3967" s="1365" t="n">
        <f aca="false">J3967/1792.8</f>
        <v>0</v>
      </c>
      <c r="L3967" s="1490"/>
      <c r="M3967" s="1366" t="n">
        <f aca="false">SUM(M3959:M3966)</f>
        <v>28.1725048341514</v>
      </c>
    </row>
    <row r="3968" s="122" customFormat="true" ht="30" hidden="false" customHeight="false" outlineLevel="0" collapsed="false">
      <c r="A3968" s="20" t="s">
        <v>1958</v>
      </c>
      <c r="B3968" s="118" t="s">
        <v>3715</v>
      </c>
      <c r="C3968" s="118" t="s">
        <v>7183</v>
      </c>
      <c r="D3968" s="877" t="n">
        <v>2007</v>
      </c>
      <c r="E3968" s="912" t="n">
        <f aca="false">2021-D3968</f>
        <v>14</v>
      </c>
      <c r="F3968" s="902" t="n">
        <v>407000</v>
      </c>
      <c r="G3968" s="1407" t="n">
        <v>0.1</v>
      </c>
      <c r="H3968" s="902" t="n">
        <f aca="false">E3968*F3968*G3968</f>
        <v>569800</v>
      </c>
      <c r="I3968" s="902" t="n">
        <f aca="false">F3968-H3968</f>
        <v>-162800</v>
      </c>
      <c r="J3968" s="1410" t="n">
        <f aca="false">F3968*G3968</f>
        <v>40700</v>
      </c>
      <c r="K3968" s="1365" t="n">
        <f aca="false">J3968/1792.8</f>
        <v>22.7019187862561</v>
      </c>
      <c r="L3968" s="902" t="n">
        <v>20</v>
      </c>
      <c r="M3968" s="1408" t="n">
        <f aca="false">K3968*L3968/60</f>
        <v>7.56730626208538</v>
      </c>
    </row>
    <row r="3969" customFormat="false" ht="15" hidden="false" customHeight="false" outlineLevel="0" collapsed="false">
      <c r="A3969" s="28"/>
      <c r="B3969" s="78"/>
      <c r="C3969" s="40" t="s">
        <v>7155</v>
      </c>
      <c r="D3969" s="316" t="n">
        <v>2007</v>
      </c>
      <c r="E3969" s="912" t="n">
        <f aca="false">2021-D3969</f>
        <v>14</v>
      </c>
      <c r="F3969" s="891" t="n">
        <v>810000</v>
      </c>
      <c r="G3969" s="1364" t="n">
        <v>0.1</v>
      </c>
      <c r="H3969" s="891" t="n">
        <f aca="false">E3969*F3969*G3969</f>
        <v>1134000</v>
      </c>
      <c r="I3969" s="891" t="n">
        <f aca="false">F3969-H3969</f>
        <v>-324000</v>
      </c>
      <c r="J3969" s="1365" t="n">
        <f aca="false">F3969*G3969</f>
        <v>81000</v>
      </c>
      <c r="K3969" s="1365" t="n">
        <f aca="false">J3969/1792.8</f>
        <v>45.1807228915663</v>
      </c>
      <c r="L3969" s="891" t="n">
        <v>4.8</v>
      </c>
      <c r="M3969" s="1273" t="n">
        <f aca="false">K3969*L3969/60</f>
        <v>3.6144578313253</v>
      </c>
    </row>
    <row r="3970" customFormat="false" ht="15" hidden="false" customHeight="false" outlineLevel="0" collapsed="false">
      <c r="A3970" s="28"/>
      <c r="B3970" s="78"/>
      <c r="C3970" s="40" t="s">
        <v>7156</v>
      </c>
      <c r="D3970" s="316" t="n">
        <v>2015</v>
      </c>
      <c r="E3970" s="912" t="n">
        <f aca="false">2021-D3970</f>
        <v>6</v>
      </c>
      <c r="F3970" s="891" t="n">
        <v>694025</v>
      </c>
      <c r="G3970" s="1364" t="n">
        <v>0.1</v>
      </c>
      <c r="H3970" s="891" t="n">
        <f aca="false">E3970*F3970*G3970</f>
        <v>416415</v>
      </c>
      <c r="I3970" s="891" t="n">
        <f aca="false">F3970-H3970</f>
        <v>277610</v>
      </c>
      <c r="J3970" s="1365" t="n">
        <f aca="false">F3970*G3970</f>
        <v>69402.5</v>
      </c>
      <c r="K3970" s="1365" t="n">
        <f aca="false">J3970/1792.8</f>
        <v>38.711791610888</v>
      </c>
      <c r="L3970" s="891" t="n">
        <v>18</v>
      </c>
      <c r="M3970" s="1273" t="n">
        <f aca="false">K3970*L3970/60</f>
        <v>11.6135374832664</v>
      </c>
    </row>
    <row r="3971" customFormat="false" ht="15" hidden="false" customHeight="false" outlineLevel="0" collapsed="false">
      <c r="A3971" s="28"/>
      <c r="B3971" s="78"/>
      <c r="C3971" s="40" t="s">
        <v>7157</v>
      </c>
      <c r="D3971" s="316" t="n">
        <v>2006</v>
      </c>
      <c r="E3971" s="912" t="n">
        <f aca="false">2021-D3971</f>
        <v>15</v>
      </c>
      <c r="F3971" s="891" t="n">
        <v>77000</v>
      </c>
      <c r="G3971" s="1364" t="n">
        <v>0.05</v>
      </c>
      <c r="H3971" s="891" t="n">
        <f aca="false">E3971*F3971*G3971</f>
        <v>57750</v>
      </c>
      <c r="I3971" s="891" t="n">
        <f aca="false">F3971-H3971</f>
        <v>19250</v>
      </c>
      <c r="J3971" s="1365" t="n">
        <f aca="false">F3971*G3971</f>
        <v>3850</v>
      </c>
      <c r="K3971" s="1365" t="n">
        <f aca="false">J3971/1792.8</f>
        <v>2.14747880410531</v>
      </c>
      <c r="L3971" s="891" t="n">
        <v>9.6</v>
      </c>
      <c r="M3971" s="1273" t="n">
        <f aca="false">K3971*L3971/60</f>
        <v>0.34359660865685</v>
      </c>
    </row>
    <row r="3972" customFormat="false" ht="15" hidden="false" customHeight="false" outlineLevel="0" collapsed="false">
      <c r="A3972" s="28"/>
      <c r="B3972" s="78"/>
      <c r="C3972" s="40" t="s">
        <v>7158</v>
      </c>
      <c r="D3972" s="316" t="n">
        <v>2007</v>
      </c>
      <c r="E3972" s="912" t="n">
        <f aca="false">2021-D3972</f>
        <v>14</v>
      </c>
      <c r="F3972" s="891" t="n">
        <v>482500</v>
      </c>
      <c r="G3972" s="1364" t="n">
        <v>0.1</v>
      </c>
      <c r="H3972" s="891" t="n">
        <f aca="false">E3972*F3972*G3972</f>
        <v>675500</v>
      </c>
      <c r="I3972" s="891" t="n">
        <f aca="false">F3972-H3972</f>
        <v>-193000</v>
      </c>
      <c r="J3972" s="1365" t="n">
        <f aca="false">F3972*G3972</f>
        <v>48250</v>
      </c>
      <c r="K3972" s="1365" t="n">
        <f aca="false">J3972/1792.8</f>
        <v>26.913208389112</v>
      </c>
      <c r="L3972" s="891" t="n">
        <v>9.6</v>
      </c>
      <c r="M3972" s="1273" t="n">
        <f aca="false">K3972*L3972/60</f>
        <v>4.30611334225792</v>
      </c>
    </row>
    <row r="3973" customFormat="false" ht="15" hidden="false" customHeight="false" outlineLevel="0" collapsed="false">
      <c r="A3973" s="28"/>
      <c r="B3973" s="78"/>
      <c r="C3973" s="40" t="s">
        <v>7159</v>
      </c>
      <c r="D3973" s="316" t="n">
        <v>2007</v>
      </c>
      <c r="E3973" s="912" t="n">
        <f aca="false">2021-D3973</f>
        <v>14</v>
      </c>
      <c r="F3973" s="891" t="n">
        <v>68000</v>
      </c>
      <c r="G3973" s="1364" t="n">
        <v>0.1</v>
      </c>
      <c r="H3973" s="891" t="n">
        <f aca="false">E3973*F3973*G3973</f>
        <v>95200</v>
      </c>
      <c r="I3973" s="891" t="n">
        <f aca="false">F3973-H3973</f>
        <v>-27200</v>
      </c>
      <c r="J3973" s="1365" t="n">
        <f aca="false">F3973*G3973</f>
        <v>6800</v>
      </c>
      <c r="K3973" s="1365" t="n">
        <f aca="false">J3973/1792.8</f>
        <v>3.79294957608211</v>
      </c>
      <c r="L3973" s="891" t="n">
        <v>3.6</v>
      </c>
      <c r="M3973" s="1273" t="n">
        <f aca="false">K3973*L3973/60</f>
        <v>0.227576974564926</v>
      </c>
    </row>
    <row r="3974" customFormat="false" ht="15" hidden="false" customHeight="false" outlineLevel="0" collapsed="false">
      <c r="A3974" s="28"/>
      <c r="B3974" s="78"/>
      <c r="C3974" s="40" t="s">
        <v>7163</v>
      </c>
      <c r="D3974" s="316" t="n">
        <v>1994</v>
      </c>
      <c r="E3974" s="912" t="n">
        <f aca="false">2021-D3974</f>
        <v>27</v>
      </c>
      <c r="F3974" s="891"/>
      <c r="G3974" s="891"/>
      <c r="H3974" s="891" t="n">
        <f aca="false">E3974*F3974*G3974</f>
        <v>0</v>
      </c>
      <c r="I3974" s="891" t="n">
        <f aca="false">F3974-H3974</f>
        <v>0</v>
      </c>
      <c r="J3974" s="1365" t="n">
        <f aca="false">F3974*G3974</f>
        <v>0</v>
      </c>
      <c r="K3974" s="1365" t="n">
        <f aca="false">J3974/1792.8</f>
        <v>0</v>
      </c>
      <c r="L3974" s="891" t="n">
        <v>5</v>
      </c>
      <c r="M3974" s="1273" t="n">
        <f aca="false">K3974*L3974/60</f>
        <v>0</v>
      </c>
    </row>
    <row r="3975" customFormat="false" ht="15" hidden="false" customHeight="false" outlineLevel="0" collapsed="false">
      <c r="A3975" s="28"/>
      <c r="B3975" s="972" t="s">
        <v>4128</v>
      </c>
      <c r="C3975" s="1053"/>
      <c r="D3975" s="965"/>
      <c r="E3975" s="912"/>
      <c r="F3975" s="1490"/>
      <c r="G3975" s="1372"/>
      <c r="H3975" s="1490"/>
      <c r="I3975" s="1490"/>
      <c r="J3975" s="1490"/>
      <c r="K3975" s="1365" t="n">
        <f aca="false">J3975/1792.8</f>
        <v>0</v>
      </c>
      <c r="L3975" s="1490"/>
      <c r="M3975" s="1366" t="n">
        <f aca="false">SUM(M3968:M3974)</f>
        <v>27.6725885021568</v>
      </c>
    </row>
    <row r="3976" customFormat="false" ht="30" hidden="false" customHeight="false" outlineLevel="0" collapsed="false">
      <c r="A3976" s="28" t="s">
        <v>1960</v>
      </c>
      <c r="B3976" s="40" t="s">
        <v>3716</v>
      </c>
      <c r="C3976" s="40" t="s">
        <v>7183</v>
      </c>
      <c r="D3976" s="316" t="n">
        <v>2007</v>
      </c>
      <c r="E3976" s="912" t="n">
        <f aca="false">2021-D3976</f>
        <v>14</v>
      </c>
      <c r="F3976" s="891" t="n">
        <v>407000</v>
      </c>
      <c r="G3976" s="1364" t="n">
        <v>0.1</v>
      </c>
      <c r="H3976" s="891" t="n">
        <f aca="false">E3976*F3976*G3976</f>
        <v>569800</v>
      </c>
      <c r="I3976" s="891" t="n">
        <f aca="false">F3976-H3976</f>
        <v>-162800</v>
      </c>
      <c r="J3976" s="1365" t="n">
        <f aca="false">F3976*G3976</f>
        <v>40700</v>
      </c>
      <c r="K3976" s="1365" t="n">
        <f aca="false">J3976/1792.8</f>
        <v>22.7019187862561</v>
      </c>
      <c r="L3976" s="891" t="n">
        <v>20</v>
      </c>
      <c r="M3976" s="1273" t="n">
        <f aca="false">K3976*L3976/60</f>
        <v>7.56730626208538</v>
      </c>
    </row>
    <row r="3977" customFormat="false" ht="15" hidden="false" customHeight="false" outlineLevel="0" collapsed="false">
      <c r="A3977" s="28"/>
      <c r="B3977" s="78"/>
      <c r="C3977" s="40" t="s">
        <v>7155</v>
      </c>
      <c r="D3977" s="316" t="n">
        <v>2007</v>
      </c>
      <c r="E3977" s="912" t="n">
        <f aca="false">2021-D3977</f>
        <v>14</v>
      </c>
      <c r="F3977" s="891" t="n">
        <v>810000</v>
      </c>
      <c r="G3977" s="1364" t="n">
        <v>0.1</v>
      </c>
      <c r="H3977" s="891" t="n">
        <f aca="false">E3977*F3977*G3977</f>
        <v>1134000</v>
      </c>
      <c r="I3977" s="891" t="n">
        <f aca="false">F3977-H3977</f>
        <v>-324000</v>
      </c>
      <c r="J3977" s="1365" t="n">
        <f aca="false">F3977*G3977</f>
        <v>81000</v>
      </c>
      <c r="K3977" s="1365" t="n">
        <f aca="false">J3977/1792.8</f>
        <v>45.1807228915663</v>
      </c>
      <c r="L3977" s="891" t="n">
        <v>4.8</v>
      </c>
      <c r="M3977" s="1273" t="n">
        <f aca="false">K3977*L3977/60</f>
        <v>3.6144578313253</v>
      </c>
    </row>
    <row r="3978" customFormat="false" ht="15" hidden="false" customHeight="false" outlineLevel="0" collapsed="false">
      <c r="A3978" s="28"/>
      <c r="B3978" s="78"/>
      <c r="C3978" s="40" t="s">
        <v>7156</v>
      </c>
      <c r="D3978" s="316" t="n">
        <v>2015</v>
      </c>
      <c r="E3978" s="912" t="n">
        <f aca="false">2021-D3978</f>
        <v>6</v>
      </c>
      <c r="F3978" s="891" t="n">
        <v>694025</v>
      </c>
      <c r="G3978" s="1364" t="n">
        <v>0.1</v>
      </c>
      <c r="H3978" s="891" t="n">
        <f aca="false">E3978*F3978*G3978</f>
        <v>416415</v>
      </c>
      <c r="I3978" s="891" t="n">
        <f aca="false">F3978-H3978</f>
        <v>277610</v>
      </c>
      <c r="J3978" s="1365" t="n">
        <f aca="false">F3978*G3978</f>
        <v>69402.5</v>
      </c>
      <c r="K3978" s="1365" t="n">
        <f aca="false">J3978/1792.8</f>
        <v>38.711791610888</v>
      </c>
      <c r="L3978" s="891" t="n">
        <v>18</v>
      </c>
      <c r="M3978" s="1273" t="n">
        <f aca="false">K3978*L3978/60</f>
        <v>11.6135374832664</v>
      </c>
    </row>
    <row r="3979" customFormat="false" ht="15" hidden="false" customHeight="false" outlineLevel="0" collapsed="false">
      <c r="A3979" s="28"/>
      <c r="B3979" s="78"/>
      <c r="C3979" s="40" t="s">
        <v>7157</v>
      </c>
      <c r="D3979" s="316" t="n">
        <v>2006</v>
      </c>
      <c r="E3979" s="912" t="n">
        <f aca="false">2021-D3979</f>
        <v>15</v>
      </c>
      <c r="F3979" s="891" t="n">
        <v>77000</v>
      </c>
      <c r="G3979" s="1364" t="n">
        <v>0.05</v>
      </c>
      <c r="H3979" s="891" t="n">
        <f aca="false">E3979*F3979*G3979</f>
        <v>57750</v>
      </c>
      <c r="I3979" s="891" t="n">
        <f aca="false">F3979-H3979</f>
        <v>19250</v>
      </c>
      <c r="J3979" s="1365" t="n">
        <f aca="false">F3979*G3979</f>
        <v>3850</v>
      </c>
      <c r="K3979" s="1365" t="n">
        <f aca="false">J3979/1792.8</f>
        <v>2.14747880410531</v>
      </c>
      <c r="L3979" s="891" t="n">
        <v>9.6</v>
      </c>
      <c r="M3979" s="1273" t="n">
        <f aca="false">K3979*L3979/60</f>
        <v>0.34359660865685</v>
      </c>
    </row>
    <row r="3980" customFormat="false" ht="15" hidden="false" customHeight="false" outlineLevel="0" collapsed="false">
      <c r="A3980" s="28"/>
      <c r="B3980" s="78"/>
      <c r="C3980" s="40" t="s">
        <v>7158</v>
      </c>
      <c r="D3980" s="316" t="n">
        <v>2007</v>
      </c>
      <c r="E3980" s="912" t="n">
        <f aca="false">2021-D3980</f>
        <v>14</v>
      </c>
      <c r="F3980" s="891" t="n">
        <v>482500</v>
      </c>
      <c r="G3980" s="1364" t="n">
        <v>0.1</v>
      </c>
      <c r="H3980" s="891" t="n">
        <f aca="false">E3980*F3980*G3980</f>
        <v>675500</v>
      </c>
      <c r="I3980" s="891" t="n">
        <f aca="false">F3980-H3980</f>
        <v>-193000</v>
      </c>
      <c r="J3980" s="1365" t="n">
        <f aca="false">F3980*G3980</f>
        <v>48250</v>
      </c>
      <c r="K3980" s="1365" t="n">
        <f aca="false">J3980/1792.8</f>
        <v>26.913208389112</v>
      </c>
      <c r="L3980" s="891" t="n">
        <v>9.6</v>
      </c>
      <c r="M3980" s="1273" t="n">
        <f aca="false">K3980*L3980/60</f>
        <v>4.30611334225792</v>
      </c>
    </row>
    <row r="3981" customFormat="false" ht="15" hidden="false" customHeight="false" outlineLevel="0" collapsed="false">
      <c r="A3981" s="28"/>
      <c r="B3981" s="78"/>
      <c r="C3981" s="40" t="s">
        <v>7159</v>
      </c>
      <c r="D3981" s="316" t="n">
        <v>2007</v>
      </c>
      <c r="E3981" s="912" t="n">
        <f aca="false">2021-D3981</f>
        <v>14</v>
      </c>
      <c r="F3981" s="891" t="n">
        <v>68000</v>
      </c>
      <c r="G3981" s="1364" t="n">
        <v>0.1</v>
      </c>
      <c r="H3981" s="891" t="n">
        <f aca="false">E3981*F3981*G3981</f>
        <v>95200</v>
      </c>
      <c r="I3981" s="891" t="n">
        <f aca="false">F3981-H3981</f>
        <v>-27200</v>
      </c>
      <c r="J3981" s="1365" t="n">
        <f aca="false">F3981*G3981</f>
        <v>6800</v>
      </c>
      <c r="K3981" s="1365" t="n">
        <f aca="false">J3981/1792.8</f>
        <v>3.79294957608211</v>
      </c>
      <c r="L3981" s="891" t="n">
        <v>3.6</v>
      </c>
      <c r="M3981" s="1273" t="n">
        <f aca="false">K3981*L3981/60</f>
        <v>0.227576974564926</v>
      </c>
    </row>
    <row r="3982" customFormat="false" ht="15" hidden="false" customHeight="false" outlineLevel="0" collapsed="false">
      <c r="A3982" s="28"/>
      <c r="B3982" s="78"/>
      <c r="C3982" s="40" t="s">
        <v>7161</v>
      </c>
      <c r="D3982" s="316" t="n">
        <v>2007</v>
      </c>
      <c r="E3982" s="912" t="n">
        <f aca="false">2021-D3982</f>
        <v>14</v>
      </c>
      <c r="F3982" s="891" t="n">
        <v>1849800</v>
      </c>
      <c r="G3982" s="1364" t="n">
        <v>0.1</v>
      </c>
      <c r="H3982" s="891" t="n">
        <f aca="false">E3982*F3982*G3982</f>
        <v>2589720</v>
      </c>
      <c r="I3982" s="891" t="n">
        <f aca="false">F3982-H3982</f>
        <v>-739920</v>
      </c>
      <c r="J3982" s="1365" t="n">
        <f aca="false">F3982*G3982</f>
        <v>184980</v>
      </c>
      <c r="K3982" s="1365" t="n">
        <f aca="false">J3982/1792.8</f>
        <v>103.179384203481</v>
      </c>
      <c r="L3982" s="891" t="n">
        <v>5</v>
      </c>
      <c r="M3982" s="1273" t="n">
        <f aca="false">K3982*L3982/60</f>
        <v>8.59828201695672</v>
      </c>
    </row>
    <row r="3983" customFormat="false" ht="15" hidden="false" customHeight="false" outlineLevel="0" collapsed="false">
      <c r="A3983" s="28"/>
      <c r="B3983" s="78"/>
      <c r="C3983" s="40" t="s">
        <v>7163</v>
      </c>
      <c r="D3983" s="316" t="n">
        <v>1994</v>
      </c>
      <c r="E3983" s="912" t="n">
        <f aca="false">2021-D3983</f>
        <v>27</v>
      </c>
      <c r="F3983" s="891"/>
      <c r="G3983" s="891"/>
      <c r="H3983" s="891" t="n">
        <f aca="false">E3983*F3983*G3983</f>
        <v>0</v>
      </c>
      <c r="I3983" s="891" t="n">
        <f aca="false">F3983-H3983</f>
        <v>0</v>
      </c>
      <c r="J3983" s="1365" t="n">
        <f aca="false">F3983*G3983</f>
        <v>0</v>
      </c>
      <c r="K3983" s="1365" t="n">
        <f aca="false">J3983/1792.8</f>
        <v>0</v>
      </c>
      <c r="L3983" s="891" t="n">
        <v>5</v>
      </c>
      <c r="M3983" s="1273" t="n">
        <f aca="false">K3983*L3983/60</f>
        <v>0</v>
      </c>
    </row>
    <row r="3984" customFormat="false" ht="15" hidden="false" customHeight="false" outlineLevel="0" collapsed="false">
      <c r="A3984" s="28"/>
      <c r="B3984" s="972" t="s">
        <v>4128</v>
      </c>
      <c r="C3984" s="1053"/>
      <c r="D3984" s="965"/>
      <c r="E3984" s="912"/>
      <c r="F3984" s="1490"/>
      <c r="G3984" s="1490"/>
      <c r="H3984" s="1490"/>
      <c r="I3984" s="1490"/>
      <c r="J3984" s="1490"/>
      <c r="K3984" s="1365" t="n">
        <f aca="false">J3984/1792.8</f>
        <v>0</v>
      </c>
      <c r="L3984" s="1490"/>
      <c r="M3984" s="1366" t="n">
        <f aca="false">SUM(M3976:M3983)</f>
        <v>36.2708705191135</v>
      </c>
    </row>
    <row r="3985" customFormat="false" ht="30" hidden="false" customHeight="false" outlineLevel="0" collapsed="false">
      <c r="A3985" s="28" t="s">
        <v>1962</v>
      </c>
      <c r="B3985" s="40" t="s">
        <v>3717</v>
      </c>
      <c r="C3985" s="40" t="s">
        <v>7164</v>
      </c>
      <c r="D3985" s="316" t="n">
        <v>2007</v>
      </c>
      <c r="E3985" s="912" t="n">
        <f aca="false">2021-D3985</f>
        <v>14</v>
      </c>
      <c r="F3985" s="891" t="n">
        <v>407000</v>
      </c>
      <c r="G3985" s="1364" t="n">
        <v>0.1</v>
      </c>
      <c r="H3985" s="891" t="n">
        <f aca="false">E3985*F3985*G3985</f>
        <v>569800</v>
      </c>
      <c r="I3985" s="891" t="n">
        <f aca="false">F3985-H3985</f>
        <v>-162800</v>
      </c>
      <c r="J3985" s="1365" t="n">
        <f aca="false">F3985*G3985</f>
        <v>40700</v>
      </c>
      <c r="K3985" s="1365" t="n">
        <f aca="false">J3985/1792.8</f>
        <v>22.7019187862561</v>
      </c>
      <c r="L3985" s="891" t="n">
        <v>20</v>
      </c>
      <c r="M3985" s="1273" t="n">
        <f aca="false">K3985*L3985/60</f>
        <v>7.56730626208538</v>
      </c>
    </row>
    <row r="3986" customFormat="false" ht="15" hidden="false" customHeight="false" outlineLevel="0" collapsed="false">
      <c r="A3986" s="28"/>
      <c r="B3986" s="78"/>
      <c r="C3986" s="40" t="s">
        <v>7165</v>
      </c>
      <c r="D3986" s="316" t="n">
        <v>2007</v>
      </c>
      <c r="E3986" s="912" t="n">
        <f aca="false">2021-D3986</f>
        <v>14</v>
      </c>
      <c r="F3986" s="891" t="n">
        <v>407000</v>
      </c>
      <c r="G3986" s="1364" t="n">
        <v>0.1</v>
      </c>
      <c r="H3986" s="891" t="n">
        <f aca="false">E3986*F3986*G3986</f>
        <v>569800</v>
      </c>
      <c r="I3986" s="891" t="n">
        <f aca="false">F3986-H3986</f>
        <v>-162800</v>
      </c>
      <c r="J3986" s="1365" t="n">
        <f aca="false">F3986*G3986</f>
        <v>40700</v>
      </c>
      <c r="K3986" s="1365" t="n">
        <f aca="false">J3986/1792.8</f>
        <v>22.7019187862561</v>
      </c>
      <c r="L3986" s="891" t="n">
        <v>20</v>
      </c>
      <c r="M3986" s="1273" t="n">
        <f aca="false">K3986*L3986/60</f>
        <v>7.56730626208538</v>
      </c>
    </row>
    <row r="3987" customFormat="false" ht="15" hidden="false" customHeight="false" outlineLevel="0" collapsed="false">
      <c r="A3987" s="28"/>
      <c r="B3987" s="78"/>
      <c r="C3987" s="40" t="s">
        <v>7155</v>
      </c>
      <c r="D3987" s="316" t="n">
        <v>2007</v>
      </c>
      <c r="E3987" s="912" t="n">
        <f aca="false">2021-D3987</f>
        <v>14</v>
      </c>
      <c r="F3987" s="891" t="n">
        <v>810000</v>
      </c>
      <c r="G3987" s="1364" t="n">
        <v>0.1</v>
      </c>
      <c r="H3987" s="891" t="n">
        <f aca="false">E3987*F3987*G3987</f>
        <v>1134000</v>
      </c>
      <c r="I3987" s="891" t="n">
        <f aca="false">F3987-H3987</f>
        <v>-324000</v>
      </c>
      <c r="J3987" s="1365" t="n">
        <f aca="false">F3987*G3987</f>
        <v>81000</v>
      </c>
      <c r="K3987" s="1365" t="n">
        <f aca="false">J3987/1792.8</f>
        <v>45.1807228915663</v>
      </c>
      <c r="L3987" s="891" t="n">
        <v>4.8</v>
      </c>
      <c r="M3987" s="1273" t="n">
        <f aca="false">K3987*L3987/60</f>
        <v>3.6144578313253</v>
      </c>
    </row>
    <row r="3988" customFormat="false" ht="15" hidden="false" customHeight="false" outlineLevel="0" collapsed="false">
      <c r="A3988" s="28"/>
      <c r="B3988" s="78"/>
      <c r="C3988" s="40" t="s">
        <v>7156</v>
      </c>
      <c r="D3988" s="316" t="n">
        <v>2015</v>
      </c>
      <c r="E3988" s="912" t="n">
        <f aca="false">2021-D3988</f>
        <v>6</v>
      </c>
      <c r="F3988" s="891" t="n">
        <v>694025</v>
      </c>
      <c r="G3988" s="1364" t="n">
        <v>0.1</v>
      </c>
      <c r="H3988" s="891" t="n">
        <f aca="false">E3988*F3988*G3988</f>
        <v>416415</v>
      </c>
      <c r="I3988" s="891" t="n">
        <f aca="false">F3988-H3988</f>
        <v>277610</v>
      </c>
      <c r="J3988" s="1365" t="n">
        <f aca="false">F3988*G3988</f>
        <v>69402.5</v>
      </c>
      <c r="K3988" s="1365" t="n">
        <f aca="false">J3988/1792.8</f>
        <v>38.711791610888</v>
      </c>
      <c r="L3988" s="891" t="n">
        <v>18</v>
      </c>
      <c r="M3988" s="1273" t="n">
        <f aca="false">K3988*L3988/60</f>
        <v>11.6135374832664</v>
      </c>
    </row>
    <row r="3989" customFormat="false" ht="15" hidden="false" customHeight="false" outlineLevel="0" collapsed="false">
      <c r="A3989" s="28"/>
      <c r="B3989" s="78"/>
      <c r="C3989" s="40" t="s">
        <v>7157</v>
      </c>
      <c r="D3989" s="316" t="n">
        <v>2006</v>
      </c>
      <c r="E3989" s="912" t="n">
        <f aca="false">2021-D3989</f>
        <v>15</v>
      </c>
      <c r="F3989" s="891" t="n">
        <v>77000</v>
      </c>
      <c r="G3989" s="1364" t="n">
        <v>0.05</v>
      </c>
      <c r="H3989" s="891" t="n">
        <f aca="false">E3989*F3989*G3989</f>
        <v>57750</v>
      </c>
      <c r="I3989" s="891" t="n">
        <f aca="false">F3989-H3989</f>
        <v>19250</v>
      </c>
      <c r="J3989" s="1365" t="n">
        <f aca="false">F3989*G3989</f>
        <v>3850</v>
      </c>
      <c r="K3989" s="1365" t="n">
        <f aca="false">J3989/1792.8</f>
        <v>2.14747880410531</v>
      </c>
      <c r="L3989" s="891" t="n">
        <v>9.6</v>
      </c>
      <c r="M3989" s="1273" t="n">
        <f aca="false">K3989*L3989/60</f>
        <v>0.34359660865685</v>
      </c>
    </row>
    <row r="3990" customFormat="false" ht="15" hidden="false" customHeight="false" outlineLevel="0" collapsed="false">
      <c r="A3990" s="28"/>
      <c r="B3990" s="78"/>
      <c r="C3990" s="40" t="s">
        <v>7158</v>
      </c>
      <c r="D3990" s="316" t="n">
        <v>2007</v>
      </c>
      <c r="E3990" s="912" t="n">
        <f aca="false">2021-D3990</f>
        <v>14</v>
      </c>
      <c r="F3990" s="891" t="n">
        <v>482500</v>
      </c>
      <c r="G3990" s="1364" t="n">
        <v>0.1</v>
      </c>
      <c r="H3990" s="891" t="n">
        <f aca="false">E3990*F3990*G3990</f>
        <v>675500</v>
      </c>
      <c r="I3990" s="891" t="n">
        <f aca="false">F3990-H3990</f>
        <v>-193000</v>
      </c>
      <c r="J3990" s="1365" t="n">
        <f aca="false">F3990*G3990</f>
        <v>48250</v>
      </c>
      <c r="K3990" s="1365" t="n">
        <f aca="false">J3990/1792.8</f>
        <v>26.913208389112</v>
      </c>
      <c r="L3990" s="891" t="n">
        <v>9.6</v>
      </c>
      <c r="M3990" s="1273" t="n">
        <f aca="false">K3990*L3990/60</f>
        <v>4.30611334225792</v>
      </c>
    </row>
    <row r="3991" customFormat="false" ht="15" hidden="false" customHeight="false" outlineLevel="0" collapsed="false">
      <c r="A3991" s="28"/>
      <c r="B3991" s="78"/>
      <c r="C3991" s="40" t="s">
        <v>7159</v>
      </c>
      <c r="D3991" s="316" t="n">
        <v>2007</v>
      </c>
      <c r="E3991" s="912" t="n">
        <f aca="false">2021-D3991</f>
        <v>14</v>
      </c>
      <c r="F3991" s="891" t="n">
        <v>68000</v>
      </c>
      <c r="G3991" s="1364" t="n">
        <v>0.1</v>
      </c>
      <c r="H3991" s="891" t="n">
        <f aca="false">E3991*F3991*G3991</f>
        <v>95200</v>
      </c>
      <c r="I3991" s="891" t="n">
        <f aca="false">F3991-H3991</f>
        <v>-27200</v>
      </c>
      <c r="J3991" s="1365" t="n">
        <f aca="false">F3991*G3991</f>
        <v>6800</v>
      </c>
      <c r="K3991" s="1365" t="n">
        <f aca="false">J3991/1792.8</f>
        <v>3.79294957608211</v>
      </c>
      <c r="L3991" s="891" t="n">
        <v>3.6</v>
      </c>
      <c r="M3991" s="1273" t="n">
        <f aca="false">K3991*L3991/60</f>
        <v>0.227576974564926</v>
      </c>
    </row>
    <row r="3992" customFormat="false" ht="15" hidden="false" customHeight="false" outlineLevel="0" collapsed="false">
      <c r="A3992" s="28"/>
      <c r="B3992" s="78"/>
      <c r="C3992" s="40" t="s">
        <v>7161</v>
      </c>
      <c r="D3992" s="316" t="n">
        <v>2007</v>
      </c>
      <c r="E3992" s="912" t="n">
        <f aca="false">2021-D3992</f>
        <v>14</v>
      </c>
      <c r="F3992" s="891" t="n">
        <v>1849800</v>
      </c>
      <c r="G3992" s="1364" t="n">
        <v>0.1</v>
      </c>
      <c r="H3992" s="891" t="n">
        <f aca="false">E3992*F3992*G3992</f>
        <v>2589720</v>
      </c>
      <c r="I3992" s="891" t="n">
        <f aca="false">F3992-H3992</f>
        <v>-739920</v>
      </c>
      <c r="J3992" s="1365" t="n">
        <f aca="false">F3992*G3992</f>
        <v>184980</v>
      </c>
      <c r="K3992" s="1365" t="n">
        <f aca="false">J3992/1792.8</f>
        <v>103.179384203481</v>
      </c>
      <c r="L3992" s="891" t="n">
        <v>5</v>
      </c>
      <c r="M3992" s="1273" t="n">
        <f aca="false">K3992*L3992/60</f>
        <v>8.59828201695672</v>
      </c>
    </row>
    <row r="3993" customFormat="false" ht="15" hidden="false" customHeight="false" outlineLevel="0" collapsed="false">
      <c r="A3993" s="28"/>
      <c r="B3993" s="78"/>
      <c r="C3993" s="40" t="s">
        <v>7163</v>
      </c>
      <c r="D3993" s="316" t="n">
        <v>1994</v>
      </c>
      <c r="E3993" s="912" t="n">
        <f aca="false">2021-D3993</f>
        <v>27</v>
      </c>
      <c r="F3993" s="891"/>
      <c r="G3993" s="891"/>
      <c r="H3993" s="891" t="n">
        <f aca="false">E3993*F3993*G3993</f>
        <v>0</v>
      </c>
      <c r="I3993" s="891" t="n">
        <f aca="false">F3993-H3993</f>
        <v>0</v>
      </c>
      <c r="J3993" s="1365" t="n">
        <f aca="false">F3993*G3993</f>
        <v>0</v>
      </c>
      <c r="K3993" s="1365" t="n">
        <f aca="false">J3993/1792.8</f>
        <v>0</v>
      </c>
      <c r="L3993" s="891" t="n">
        <v>5</v>
      </c>
      <c r="M3993" s="1273" t="n">
        <f aca="false">K3993*L3993/60</f>
        <v>0</v>
      </c>
    </row>
    <row r="3994" customFormat="false" ht="15" hidden="false" customHeight="false" outlineLevel="0" collapsed="false">
      <c r="A3994" s="28"/>
      <c r="B3994" s="972" t="s">
        <v>4128</v>
      </c>
      <c r="C3994" s="1053"/>
      <c r="D3994" s="965"/>
      <c r="E3994" s="912"/>
      <c r="F3994" s="1490"/>
      <c r="G3994" s="1490"/>
      <c r="H3994" s="1490"/>
      <c r="I3994" s="1490"/>
      <c r="J3994" s="1490"/>
      <c r="K3994" s="1365" t="n">
        <f aca="false">J3994/1792.8</f>
        <v>0</v>
      </c>
      <c r="L3994" s="1490"/>
      <c r="M3994" s="1366" t="n">
        <f aca="false">SUM(M3985:M3993)</f>
        <v>43.8381767811989</v>
      </c>
    </row>
    <row r="3995" s="122" customFormat="true" ht="30" hidden="false" customHeight="false" outlineLevel="0" collapsed="false">
      <c r="A3995" s="20" t="s">
        <v>1964</v>
      </c>
      <c r="B3995" s="118" t="s">
        <v>3693</v>
      </c>
      <c r="C3995" s="118" t="s">
        <v>7183</v>
      </c>
      <c r="D3995" s="877" t="n">
        <v>2007</v>
      </c>
      <c r="E3995" s="912" t="n">
        <f aca="false">2021-D3995</f>
        <v>14</v>
      </c>
      <c r="F3995" s="902" t="n">
        <v>407000</v>
      </c>
      <c r="G3995" s="1407" t="n">
        <v>0.1</v>
      </c>
      <c r="H3995" s="902" t="n">
        <f aca="false">E3995*F3995*G3995</f>
        <v>569800</v>
      </c>
      <c r="I3995" s="902" t="n">
        <f aca="false">F3995-H3995</f>
        <v>-162800</v>
      </c>
      <c r="J3995" s="1410" t="n">
        <f aca="false">F3995*G3995</f>
        <v>40700</v>
      </c>
      <c r="K3995" s="1365" t="n">
        <f aca="false">J3995/1792.8</f>
        <v>22.7019187862561</v>
      </c>
      <c r="L3995" s="902" t="n">
        <v>20</v>
      </c>
      <c r="M3995" s="1408" t="n">
        <f aca="false">K3995*L3995/60</f>
        <v>7.56730626208538</v>
      </c>
    </row>
    <row r="3996" customFormat="false" ht="15" hidden="false" customHeight="false" outlineLevel="0" collapsed="false">
      <c r="A3996" s="28"/>
      <c r="B3996" s="78"/>
      <c r="C3996" s="40" t="s">
        <v>7155</v>
      </c>
      <c r="D3996" s="316" t="n">
        <v>2007</v>
      </c>
      <c r="E3996" s="912" t="n">
        <f aca="false">2021-D3996</f>
        <v>14</v>
      </c>
      <c r="F3996" s="891" t="n">
        <v>810000</v>
      </c>
      <c r="G3996" s="1364" t="n">
        <v>0.1</v>
      </c>
      <c r="H3996" s="891" t="n">
        <f aca="false">E3996*F3996*G3996</f>
        <v>1134000</v>
      </c>
      <c r="I3996" s="891" t="n">
        <f aca="false">F3996-H3996</f>
        <v>-324000</v>
      </c>
      <c r="J3996" s="1365" t="n">
        <f aca="false">F3996*G3996</f>
        <v>81000</v>
      </c>
      <c r="K3996" s="1365" t="n">
        <f aca="false">J3996/1792.8</f>
        <v>45.1807228915663</v>
      </c>
      <c r="L3996" s="891" t="n">
        <v>4.8</v>
      </c>
      <c r="M3996" s="1273" t="n">
        <f aca="false">K3996*L3996/60</f>
        <v>3.6144578313253</v>
      </c>
    </row>
    <row r="3997" customFormat="false" ht="15" hidden="false" customHeight="false" outlineLevel="0" collapsed="false">
      <c r="A3997" s="28"/>
      <c r="B3997" s="78"/>
      <c r="C3997" s="40" t="s">
        <v>7156</v>
      </c>
      <c r="D3997" s="316" t="n">
        <v>2015</v>
      </c>
      <c r="E3997" s="912" t="n">
        <f aca="false">2021-D3997</f>
        <v>6</v>
      </c>
      <c r="F3997" s="891" t="n">
        <v>694025</v>
      </c>
      <c r="G3997" s="1364" t="n">
        <v>0.1</v>
      </c>
      <c r="H3997" s="891" t="n">
        <f aca="false">E3997*F3997*G3997</f>
        <v>416415</v>
      </c>
      <c r="I3997" s="891" t="n">
        <f aca="false">F3997-H3997</f>
        <v>277610</v>
      </c>
      <c r="J3997" s="1365" t="n">
        <f aca="false">F3997*G3997</f>
        <v>69402.5</v>
      </c>
      <c r="K3997" s="1365" t="n">
        <f aca="false">J3997/1792.8</f>
        <v>38.711791610888</v>
      </c>
      <c r="L3997" s="891" t="n">
        <v>18</v>
      </c>
      <c r="M3997" s="1273" t="n">
        <f aca="false">K3997*L3997/60</f>
        <v>11.6135374832664</v>
      </c>
    </row>
    <row r="3998" customFormat="false" ht="15" hidden="false" customHeight="false" outlineLevel="0" collapsed="false">
      <c r="A3998" s="28"/>
      <c r="B3998" s="78"/>
      <c r="C3998" s="40" t="s">
        <v>7157</v>
      </c>
      <c r="D3998" s="316" t="n">
        <v>2006</v>
      </c>
      <c r="E3998" s="912" t="n">
        <f aca="false">2021-D3998</f>
        <v>15</v>
      </c>
      <c r="F3998" s="891" t="n">
        <v>77000</v>
      </c>
      <c r="G3998" s="1364" t="n">
        <v>0.05</v>
      </c>
      <c r="H3998" s="891" t="n">
        <f aca="false">E3998*F3998*G3998</f>
        <v>57750</v>
      </c>
      <c r="I3998" s="891" t="n">
        <f aca="false">F3998-H3998</f>
        <v>19250</v>
      </c>
      <c r="J3998" s="1365" t="n">
        <f aca="false">F3998*G3998</f>
        <v>3850</v>
      </c>
      <c r="K3998" s="1365" t="n">
        <f aca="false">J3998/1792.8</f>
        <v>2.14747880410531</v>
      </c>
      <c r="L3998" s="891" t="n">
        <v>9.6</v>
      </c>
      <c r="M3998" s="1273" t="n">
        <f aca="false">K3998*L3998/60</f>
        <v>0.34359660865685</v>
      </c>
    </row>
    <row r="3999" customFormat="false" ht="15" hidden="false" customHeight="false" outlineLevel="0" collapsed="false">
      <c r="A3999" s="28"/>
      <c r="B3999" s="78"/>
      <c r="C3999" s="40" t="s">
        <v>7158</v>
      </c>
      <c r="D3999" s="316" t="n">
        <v>2007</v>
      </c>
      <c r="E3999" s="912" t="n">
        <f aca="false">2021-D3999</f>
        <v>14</v>
      </c>
      <c r="F3999" s="891" t="n">
        <v>482500</v>
      </c>
      <c r="G3999" s="1364" t="n">
        <v>0.1</v>
      </c>
      <c r="H3999" s="891" t="n">
        <f aca="false">E3999*F3999*G3999</f>
        <v>675500</v>
      </c>
      <c r="I3999" s="891" t="n">
        <f aca="false">F3999-H3999</f>
        <v>-193000</v>
      </c>
      <c r="J3999" s="1365" t="n">
        <f aca="false">F3999*G3999</f>
        <v>48250</v>
      </c>
      <c r="K3999" s="1365" t="n">
        <f aca="false">J3999/1792.8</f>
        <v>26.913208389112</v>
      </c>
      <c r="L3999" s="891" t="n">
        <v>9.6</v>
      </c>
      <c r="M3999" s="1273" t="n">
        <f aca="false">K3999*L3999/60</f>
        <v>4.30611334225792</v>
      </c>
    </row>
    <row r="4000" customFormat="false" ht="15" hidden="false" customHeight="false" outlineLevel="0" collapsed="false">
      <c r="A4000" s="28"/>
      <c r="B4000" s="78"/>
      <c r="C4000" s="40" t="s">
        <v>7159</v>
      </c>
      <c r="D4000" s="316" t="n">
        <v>2007</v>
      </c>
      <c r="E4000" s="912" t="n">
        <f aca="false">2021-D4000</f>
        <v>14</v>
      </c>
      <c r="F4000" s="891" t="n">
        <v>68000</v>
      </c>
      <c r="G4000" s="1364" t="n">
        <v>0.1</v>
      </c>
      <c r="H4000" s="891" t="n">
        <f aca="false">E4000*F4000*G4000</f>
        <v>95200</v>
      </c>
      <c r="I4000" s="891" t="n">
        <f aca="false">F4000-H4000</f>
        <v>-27200</v>
      </c>
      <c r="J4000" s="1365" t="n">
        <f aca="false">F4000*G4000</f>
        <v>6800</v>
      </c>
      <c r="K4000" s="1365" t="n">
        <f aca="false">J4000/1792.8</f>
        <v>3.79294957608211</v>
      </c>
      <c r="L4000" s="891" t="n">
        <v>3.6</v>
      </c>
      <c r="M4000" s="1273" t="n">
        <f aca="false">K4000*L4000/60</f>
        <v>0.227576974564926</v>
      </c>
    </row>
    <row r="4001" customFormat="false" ht="15" hidden="false" customHeight="false" outlineLevel="0" collapsed="false">
      <c r="A4001" s="28"/>
      <c r="B4001" s="78"/>
      <c r="C4001" s="40" t="s">
        <v>7163</v>
      </c>
      <c r="D4001" s="316" t="n">
        <v>1994</v>
      </c>
      <c r="E4001" s="912" t="n">
        <f aca="false">2021-D4001</f>
        <v>27</v>
      </c>
      <c r="F4001" s="891"/>
      <c r="G4001" s="891"/>
      <c r="H4001" s="891" t="n">
        <f aca="false">E4001*F4001*G4001</f>
        <v>0</v>
      </c>
      <c r="I4001" s="891" t="n">
        <f aca="false">F4001-H4001</f>
        <v>0</v>
      </c>
      <c r="J4001" s="1365" t="n">
        <f aca="false">F4001*G4001</f>
        <v>0</v>
      </c>
      <c r="K4001" s="1365" t="n">
        <f aca="false">J4001/1792.8</f>
        <v>0</v>
      </c>
      <c r="L4001" s="891" t="n">
        <v>5</v>
      </c>
      <c r="M4001" s="1273" t="n">
        <f aca="false">K4001*L4001/60</f>
        <v>0</v>
      </c>
    </row>
    <row r="4002" customFormat="false" ht="15" hidden="false" customHeight="false" outlineLevel="0" collapsed="false">
      <c r="A4002" s="28"/>
      <c r="B4002" s="972" t="s">
        <v>4128</v>
      </c>
      <c r="C4002" s="1053"/>
      <c r="D4002" s="965"/>
      <c r="E4002" s="912"/>
      <c r="F4002" s="1490"/>
      <c r="G4002" s="1372"/>
      <c r="H4002" s="1490"/>
      <c r="I4002" s="1490"/>
      <c r="J4002" s="1490"/>
      <c r="K4002" s="1365" t="n">
        <f aca="false">J4002/1792.8</f>
        <v>0</v>
      </c>
      <c r="L4002" s="1490"/>
      <c r="M4002" s="1366" t="n">
        <f aca="false">SUM(M3995:M4001)</f>
        <v>27.6725885021568</v>
      </c>
    </row>
    <row r="4003" customFormat="false" ht="30" hidden="false" customHeight="false" outlineLevel="0" collapsed="false">
      <c r="A4003" s="28" t="s">
        <v>1965</v>
      </c>
      <c r="B4003" s="40" t="s">
        <v>3691</v>
      </c>
      <c r="C4003" s="40" t="s">
        <v>7183</v>
      </c>
      <c r="D4003" s="316" t="n">
        <v>2007</v>
      </c>
      <c r="E4003" s="912" t="n">
        <f aca="false">2021-D4003</f>
        <v>14</v>
      </c>
      <c r="F4003" s="891" t="n">
        <v>407000</v>
      </c>
      <c r="G4003" s="1364" t="n">
        <v>0.1</v>
      </c>
      <c r="H4003" s="891" t="n">
        <f aca="false">E4003*F4003*G4003</f>
        <v>569800</v>
      </c>
      <c r="I4003" s="891" t="n">
        <f aca="false">F4003-H4003</f>
        <v>-162800</v>
      </c>
      <c r="J4003" s="1365" t="n">
        <f aca="false">F4003*G4003</f>
        <v>40700</v>
      </c>
      <c r="K4003" s="1365" t="n">
        <f aca="false">J4003/1792.8</f>
        <v>22.7019187862561</v>
      </c>
      <c r="L4003" s="891" t="n">
        <v>20</v>
      </c>
      <c r="M4003" s="1273" t="n">
        <f aca="false">K4003*L4003/60</f>
        <v>7.56730626208538</v>
      </c>
    </row>
    <row r="4004" customFormat="false" ht="15" hidden="false" customHeight="false" outlineLevel="0" collapsed="false">
      <c r="A4004" s="28"/>
      <c r="B4004" s="78"/>
      <c r="C4004" s="40" t="s">
        <v>7155</v>
      </c>
      <c r="D4004" s="316" t="n">
        <v>2007</v>
      </c>
      <c r="E4004" s="912" t="n">
        <f aca="false">2021-D4004</f>
        <v>14</v>
      </c>
      <c r="F4004" s="891" t="n">
        <v>810000</v>
      </c>
      <c r="G4004" s="1364" t="n">
        <v>0.1</v>
      </c>
      <c r="H4004" s="891" t="n">
        <f aca="false">E4004*F4004*G4004</f>
        <v>1134000</v>
      </c>
      <c r="I4004" s="891" t="n">
        <f aca="false">F4004-H4004</f>
        <v>-324000</v>
      </c>
      <c r="J4004" s="1365" t="n">
        <f aca="false">F4004*G4004</f>
        <v>81000</v>
      </c>
      <c r="K4004" s="1365" t="n">
        <f aca="false">J4004/1792.8</f>
        <v>45.1807228915663</v>
      </c>
      <c r="L4004" s="891" t="n">
        <v>4.8</v>
      </c>
      <c r="M4004" s="1273" t="n">
        <f aca="false">K4004*L4004/60</f>
        <v>3.6144578313253</v>
      </c>
    </row>
    <row r="4005" customFormat="false" ht="15" hidden="false" customHeight="false" outlineLevel="0" collapsed="false">
      <c r="A4005" s="28"/>
      <c r="B4005" s="78"/>
      <c r="C4005" s="40" t="s">
        <v>7156</v>
      </c>
      <c r="D4005" s="316" t="n">
        <v>2015</v>
      </c>
      <c r="E4005" s="912" t="n">
        <f aca="false">2021-D4005</f>
        <v>6</v>
      </c>
      <c r="F4005" s="891" t="n">
        <v>694025</v>
      </c>
      <c r="G4005" s="1364" t="n">
        <v>0.1</v>
      </c>
      <c r="H4005" s="891" t="n">
        <f aca="false">E4005*F4005*G4005</f>
        <v>416415</v>
      </c>
      <c r="I4005" s="891" t="n">
        <f aca="false">F4005-H4005</f>
        <v>277610</v>
      </c>
      <c r="J4005" s="1365" t="n">
        <f aca="false">F4005*G4005</f>
        <v>69402.5</v>
      </c>
      <c r="K4005" s="1365" t="n">
        <f aca="false">J4005/1792.8</f>
        <v>38.711791610888</v>
      </c>
      <c r="L4005" s="891" t="n">
        <v>18</v>
      </c>
      <c r="M4005" s="1273" t="n">
        <f aca="false">K4005*L4005/60</f>
        <v>11.6135374832664</v>
      </c>
    </row>
    <row r="4006" customFormat="false" ht="15" hidden="false" customHeight="false" outlineLevel="0" collapsed="false">
      <c r="A4006" s="28"/>
      <c r="B4006" s="78"/>
      <c r="C4006" s="40" t="s">
        <v>7157</v>
      </c>
      <c r="D4006" s="316" t="n">
        <v>2006</v>
      </c>
      <c r="E4006" s="912" t="n">
        <f aca="false">2021-D4006</f>
        <v>15</v>
      </c>
      <c r="F4006" s="891" t="n">
        <v>77000</v>
      </c>
      <c r="G4006" s="1364" t="n">
        <v>0.05</v>
      </c>
      <c r="H4006" s="891" t="n">
        <f aca="false">E4006*F4006*G4006</f>
        <v>57750</v>
      </c>
      <c r="I4006" s="891" t="n">
        <f aca="false">F4006-H4006</f>
        <v>19250</v>
      </c>
      <c r="J4006" s="1365" t="n">
        <f aca="false">F4006*G4006</f>
        <v>3850</v>
      </c>
      <c r="K4006" s="1365" t="n">
        <f aca="false">J4006/1792.8</f>
        <v>2.14747880410531</v>
      </c>
      <c r="L4006" s="891" t="n">
        <v>9.6</v>
      </c>
      <c r="M4006" s="1273" t="n">
        <f aca="false">K4006*L4006/60</f>
        <v>0.34359660865685</v>
      </c>
    </row>
    <row r="4007" customFormat="false" ht="15" hidden="false" customHeight="false" outlineLevel="0" collapsed="false">
      <c r="A4007" s="28"/>
      <c r="B4007" s="78"/>
      <c r="C4007" s="40" t="s">
        <v>7158</v>
      </c>
      <c r="D4007" s="316" t="n">
        <v>2007</v>
      </c>
      <c r="E4007" s="912" t="n">
        <f aca="false">2021-D4007</f>
        <v>14</v>
      </c>
      <c r="F4007" s="891" t="n">
        <v>482500</v>
      </c>
      <c r="G4007" s="1364" t="n">
        <v>0.1</v>
      </c>
      <c r="H4007" s="891" t="n">
        <f aca="false">E4007*F4007*G4007</f>
        <v>675500</v>
      </c>
      <c r="I4007" s="891" t="n">
        <f aca="false">F4007-H4007</f>
        <v>-193000</v>
      </c>
      <c r="J4007" s="1365" t="n">
        <f aca="false">F4007*G4007</f>
        <v>48250</v>
      </c>
      <c r="K4007" s="1365" t="n">
        <f aca="false">J4007/1792.8</f>
        <v>26.913208389112</v>
      </c>
      <c r="L4007" s="891" t="n">
        <v>9.6</v>
      </c>
      <c r="M4007" s="1273" t="n">
        <f aca="false">K4007*L4007/60</f>
        <v>4.30611334225792</v>
      </c>
    </row>
    <row r="4008" customFormat="false" ht="15" hidden="false" customHeight="false" outlineLevel="0" collapsed="false">
      <c r="A4008" s="28"/>
      <c r="B4008" s="78"/>
      <c r="C4008" s="40" t="s">
        <v>7159</v>
      </c>
      <c r="D4008" s="316" t="n">
        <v>2007</v>
      </c>
      <c r="E4008" s="912" t="n">
        <f aca="false">2021-D4008</f>
        <v>14</v>
      </c>
      <c r="F4008" s="891" t="n">
        <v>68000</v>
      </c>
      <c r="G4008" s="1364" t="n">
        <v>0.1</v>
      </c>
      <c r="H4008" s="891" t="n">
        <f aca="false">E4008*F4008*G4008</f>
        <v>95200</v>
      </c>
      <c r="I4008" s="891" t="n">
        <f aca="false">F4008-H4008</f>
        <v>-27200</v>
      </c>
      <c r="J4008" s="1365" t="n">
        <f aca="false">F4008*G4008</f>
        <v>6800</v>
      </c>
      <c r="K4008" s="1365" t="n">
        <f aca="false">J4008/1792.8</f>
        <v>3.79294957608211</v>
      </c>
      <c r="L4008" s="891" t="n">
        <v>3.6</v>
      </c>
      <c r="M4008" s="1273" t="n">
        <f aca="false">K4008*L4008/60</f>
        <v>0.227576974564926</v>
      </c>
    </row>
    <row r="4009" customFormat="false" ht="15" hidden="false" customHeight="false" outlineLevel="0" collapsed="false">
      <c r="A4009" s="28"/>
      <c r="B4009" s="78"/>
      <c r="C4009" s="40" t="s">
        <v>7161</v>
      </c>
      <c r="D4009" s="316" t="n">
        <v>2007</v>
      </c>
      <c r="E4009" s="912" t="n">
        <f aca="false">2021-D4009</f>
        <v>14</v>
      </c>
      <c r="F4009" s="891" t="n">
        <v>1849800</v>
      </c>
      <c r="G4009" s="1364" t="n">
        <v>0.1</v>
      </c>
      <c r="H4009" s="891" t="n">
        <f aca="false">E4009*F4009*G4009</f>
        <v>2589720</v>
      </c>
      <c r="I4009" s="891" t="n">
        <f aca="false">F4009-H4009</f>
        <v>-739920</v>
      </c>
      <c r="J4009" s="1365" t="n">
        <f aca="false">F4009*G4009</f>
        <v>184980</v>
      </c>
      <c r="K4009" s="1365" t="n">
        <f aca="false">J4009/1792.8</f>
        <v>103.179384203481</v>
      </c>
      <c r="L4009" s="891" t="n">
        <v>5</v>
      </c>
      <c r="M4009" s="1273" t="n">
        <f aca="false">K4009*L4009/60</f>
        <v>8.59828201695672</v>
      </c>
    </row>
    <row r="4010" customFormat="false" ht="15" hidden="false" customHeight="false" outlineLevel="0" collapsed="false">
      <c r="A4010" s="28"/>
      <c r="B4010" s="78"/>
      <c r="C4010" s="40" t="s">
        <v>7163</v>
      </c>
      <c r="D4010" s="316" t="n">
        <v>1994</v>
      </c>
      <c r="E4010" s="912" t="n">
        <f aca="false">2021-D4010</f>
        <v>27</v>
      </c>
      <c r="F4010" s="891"/>
      <c r="G4010" s="891"/>
      <c r="H4010" s="891" t="n">
        <f aca="false">E4010*F4010*G4010</f>
        <v>0</v>
      </c>
      <c r="I4010" s="891" t="n">
        <f aca="false">F4010-H4010</f>
        <v>0</v>
      </c>
      <c r="J4010" s="1365" t="n">
        <f aca="false">F4010*G4010</f>
        <v>0</v>
      </c>
      <c r="K4010" s="1365" t="n">
        <f aca="false">J4010/1792.8</f>
        <v>0</v>
      </c>
      <c r="L4010" s="891" t="n">
        <v>5</v>
      </c>
      <c r="M4010" s="1273" t="n">
        <f aca="false">K4010*L4010/60</f>
        <v>0</v>
      </c>
    </row>
    <row r="4011" customFormat="false" ht="15" hidden="false" customHeight="false" outlineLevel="0" collapsed="false">
      <c r="A4011" s="28"/>
      <c r="B4011" s="972" t="s">
        <v>4128</v>
      </c>
      <c r="C4011" s="1053"/>
      <c r="D4011" s="965"/>
      <c r="E4011" s="912"/>
      <c r="F4011" s="1490"/>
      <c r="G4011" s="1490"/>
      <c r="H4011" s="1490"/>
      <c r="I4011" s="1490"/>
      <c r="J4011" s="1490"/>
      <c r="K4011" s="1365" t="n">
        <f aca="false">J4011/1792.8</f>
        <v>0</v>
      </c>
      <c r="L4011" s="1490"/>
      <c r="M4011" s="1366" t="n">
        <f aca="false">SUM(M4003:M4010)</f>
        <v>36.2708705191135</v>
      </c>
    </row>
    <row r="4012" customFormat="false" ht="45" hidden="false" customHeight="false" outlineLevel="0" collapsed="false">
      <c r="A4012" s="28" t="s">
        <v>1966</v>
      </c>
      <c r="B4012" s="40" t="s">
        <v>3718</v>
      </c>
      <c r="C4012" s="40" t="s">
        <v>7183</v>
      </c>
      <c r="D4012" s="316" t="n">
        <v>2007</v>
      </c>
      <c r="E4012" s="912" t="n">
        <f aca="false">2021-D4012</f>
        <v>14</v>
      </c>
      <c r="F4012" s="891" t="n">
        <v>407000</v>
      </c>
      <c r="G4012" s="1364" t="n">
        <v>0.1</v>
      </c>
      <c r="H4012" s="891" t="n">
        <f aca="false">E4012*F4012*G4012</f>
        <v>569800</v>
      </c>
      <c r="I4012" s="891" t="n">
        <f aca="false">F4012-H4012</f>
        <v>-162800</v>
      </c>
      <c r="J4012" s="1365" t="n">
        <f aca="false">F4012*G4012</f>
        <v>40700</v>
      </c>
      <c r="K4012" s="1365" t="n">
        <f aca="false">J4012/1792.8</f>
        <v>22.7019187862561</v>
      </c>
      <c r="L4012" s="891" t="n">
        <v>20</v>
      </c>
      <c r="M4012" s="1273" t="n">
        <f aca="false">K4012*L4012/60</f>
        <v>7.56730626208538</v>
      </c>
    </row>
    <row r="4013" customFormat="false" ht="15" hidden="false" customHeight="false" outlineLevel="0" collapsed="false">
      <c r="A4013" s="28"/>
      <c r="B4013" s="78"/>
      <c r="C4013" s="40" t="s">
        <v>7155</v>
      </c>
      <c r="D4013" s="316" t="n">
        <v>2007</v>
      </c>
      <c r="E4013" s="912" t="n">
        <f aca="false">2021-D4013</f>
        <v>14</v>
      </c>
      <c r="F4013" s="891" t="n">
        <v>810000</v>
      </c>
      <c r="G4013" s="1364" t="n">
        <v>0.1</v>
      </c>
      <c r="H4013" s="891" t="n">
        <f aca="false">E4013*F4013*G4013</f>
        <v>1134000</v>
      </c>
      <c r="I4013" s="891" t="n">
        <f aca="false">F4013-H4013</f>
        <v>-324000</v>
      </c>
      <c r="J4013" s="1365" t="n">
        <f aca="false">F4013*G4013</f>
        <v>81000</v>
      </c>
      <c r="K4013" s="1365" t="n">
        <f aca="false">J4013/1792.8</f>
        <v>45.1807228915663</v>
      </c>
      <c r="L4013" s="891" t="n">
        <v>4.8</v>
      </c>
      <c r="M4013" s="1273" t="n">
        <f aca="false">K4013*L4013/60</f>
        <v>3.6144578313253</v>
      </c>
    </row>
    <row r="4014" customFormat="false" ht="15" hidden="false" customHeight="false" outlineLevel="0" collapsed="false">
      <c r="A4014" s="28"/>
      <c r="B4014" s="78"/>
      <c r="C4014" s="40" t="s">
        <v>7156</v>
      </c>
      <c r="D4014" s="316" t="n">
        <v>2015</v>
      </c>
      <c r="E4014" s="912" t="n">
        <f aca="false">2021-D4014</f>
        <v>6</v>
      </c>
      <c r="F4014" s="891" t="n">
        <v>694025</v>
      </c>
      <c r="G4014" s="1364" t="n">
        <v>0.1</v>
      </c>
      <c r="H4014" s="891" t="n">
        <f aca="false">E4014*F4014*G4014</f>
        <v>416415</v>
      </c>
      <c r="I4014" s="891" t="n">
        <f aca="false">F4014-H4014</f>
        <v>277610</v>
      </c>
      <c r="J4014" s="1365" t="n">
        <f aca="false">F4014*G4014</f>
        <v>69402.5</v>
      </c>
      <c r="K4014" s="1365" t="n">
        <f aca="false">J4014/1792.8</f>
        <v>38.711791610888</v>
      </c>
      <c r="L4014" s="891" t="n">
        <v>18</v>
      </c>
      <c r="M4014" s="1273" t="n">
        <f aca="false">K4014*L4014/60</f>
        <v>11.6135374832664</v>
      </c>
    </row>
    <row r="4015" customFormat="false" ht="15" hidden="false" customHeight="false" outlineLevel="0" collapsed="false">
      <c r="A4015" s="28"/>
      <c r="B4015" s="78"/>
      <c r="C4015" s="40" t="s">
        <v>7157</v>
      </c>
      <c r="D4015" s="316" t="n">
        <v>2006</v>
      </c>
      <c r="E4015" s="912" t="n">
        <f aca="false">2021-D4015</f>
        <v>15</v>
      </c>
      <c r="F4015" s="891" t="n">
        <v>77000</v>
      </c>
      <c r="G4015" s="1364" t="n">
        <v>0.05</v>
      </c>
      <c r="H4015" s="891" t="n">
        <f aca="false">E4015*F4015*G4015</f>
        <v>57750</v>
      </c>
      <c r="I4015" s="891" t="n">
        <f aca="false">F4015-H4015</f>
        <v>19250</v>
      </c>
      <c r="J4015" s="1365" t="n">
        <f aca="false">F4015*G4015</f>
        <v>3850</v>
      </c>
      <c r="K4015" s="1365" t="n">
        <f aca="false">J4015/1792.8</f>
        <v>2.14747880410531</v>
      </c>
      <c r="L4015" s="891" t="n">
        <v>9.6</v>
      </c>
      <c r="M4015" s="1273" t="n">
        <f aca="false">K4015*L4015/60</f>
        <v>0.34359660865685</v>
      </c>
    </row>
    <row r="4016" customFormat="false" ht="15" hidden="false" customHeight="false" outlineLevel="0" collapsed="false">
      <c r="A4016" s="28"/>
      <c r="B4016" s="78"/>
      <c r="C4016" s="40" t="s">
        <v>7158</v>
      </c>
      <c r="D4016" s="316" t="n">
        <v>2007</v>
      </c>
      <c r="E4016" s="912" t="n">
        <f aca="false">2021-D4016</f>
        <v>14</v>
      </c>
      <c r="F4016" s="891" t="n">
        <v>482500</v>
      </c>
      <c r="G4016" s="1364" t="n">
        <v>0.1</v>
      </c>
      <c r="H4016" s="891" t="n">
        <f aca="false">E4016*F4016*G4016</f>
        <v>675500</v>
      </c>
      <c r="I4016" s="891" t="n">
        <f aca="false">F4016-H4016</f>
        <v>-193000</v>
      </c>
      <c r="J4016" s="1365" t="n">
        <f aca="false">F4016*G4016</f>
        <v>48250</v>
      </c>
      <c r="K4016" s="1365" t="n">
        <f aca="false">J4016/1792.8</f>
        <v>26.913208389112</v>
      </c>
      <c r="L4016" s="891" t="n">
        <v>9.6</v>
      </c>
      <c r="M4016" s="1273" t="n">
        <f aca="false">K4016*L4016/60</f>
        <v>4.30611334225792</v>
      </c>
    </row>
    <row r="4017" customFormat="false" ht="15" hidden="false" customHeight="false" outlineLevel="0" collapsed="false">
      <c r="A4017" s="28"/>
      <c r="B4017" s="78"/>
      <c r="C4017" s="40" t="s">
        <v>7159</v>
      </c>
      <c r="D4017" s="316" t="n">
        <v>2007</v>
      </c>
      <c r="E4017" s="912" t="n">
        <f aca="false">2021-D4017</f>
        <v>14</v>
      </c>
      <c r="F4017" s="891" t="n">
        <v>68000</v>
      </c>
      <c r="G4017" s="1364" t="n">
        <v>0.1</v>
      </c>
      <c r="H4017" s="891" t="n">
        <f aca="false">E4017*F4017*G4017</f>
        <v>95200</v>
      </c>
      <c r="I4017" s="891" t="n">
        <f aca="false">F4017-H4017</f>
        <v>-27200</v>
      </c>
      <c r="J4017" s="1365" t="n">
        <f aca="false">F4017*G4017</f>
        <v>6800</v>
      </c>
      <c r="K4017" s="1365" t="n">
        <f aca="false">J4017/1792.8</f>
        <v>3.79294957608211</v>
      </c>
      <c r="L4017" s="891" t="n">
        <v>3.6</v>
      </c>
      <c r="M4017" s="1273" t="n">
        <f aca="false">K4017*L4017/60</f>
        <v>0.227576974564926</v>
      </c>
    </row>
    <row r="4018" customFormat="false" ht="15" hidden="false" customHeight="false" outlineLevel="0" collapsed="false">
      <c r="A4018" s="28"/>
      <c r="B4018" s="78"/>
      <c r="C4018" s="40" t="s">
        <v>7163</v>
      </c>
      <c r="D4018" s="316" t="n">
        <v>1994</v>
      </c>
      <c r="E4018" s="912" t="n">
        <f aca="false">2021-D4018</f>
        <v>27</v>
      </c>
      <c r="F4018" s="891"/>
      <c r="G4018" s="891"/>
      <c r="H4018" s="891" t="n">
        <f aca="false">E4018*F4018*G4018</f>
        <v>0</v>
      </c>
      <c r="I4018" s="891" t="n">
        <f aca="false">F4018-H4018</f>
        <v>0</v>
      </c>
      <c r="J4018" s="1365" t="n">
        <f aca="false">F4018*G4018</f>
        <v>0</v>
      </c>
      <c r="K4018" s="1365" t="n">
        <f aca="false">J4018/1792.8</f>
        <v>0</v>
      </c>
      <c r="L4018" s="891" t="n">
        <v>5</v>
      </c>
      <c r="M4018" s="1273" t="n">
        <f aca="false">K4018*L4018/60</f>
        <v>0</v>
      </c>
    </row>
    <row r="4019" customFormat="false" ht="20.25" hidden="false" customHeight="true" outlineLevel="0" collapsed="false">
      <c r="A4019" s="28"/>
      <c r="B4019" s="78"/>
      <c r="C4019" s="40" t="s">
        <v>7161</v>
      </c>
      <c r="D4019" s="316" t="n">
        <v>2007</v>
      </c>
      <c r="E4019" s="912" t="n">
        <f aca="false">2021-D4019</f>
        <v>14</v>
      </c>
      <c r="F4019" s="891" t="n">
        <v>1849800</v>
      </c>
      <c r="G4019" s="1364" t="n">
        <v>0.1</v>
      </c>
      <c r="H4019" s="891" t="n">
        <f aca="false">E4019*F4019*G4019</f>
        <v>2589720</v>
      </c>
      <c r="I4019" s="891" t="n">
        <f aca="false">F4019-H4019</f>
        <v>-739920</v>
      </c>
      <c r="J4019" s="1365" t="n">
        <f aca="false">F4019*G4019</f>
        <v>184980</v>
      </c>
      <c r="K4019" s="1365" t="n">
        <f aca="false">J4019/1792.8</f>
        <v>103.179384203481</v>
      </c>
      <c r="L4019" s="891" t="n">
        <v>5</v>
      </c>
      <c r="M4019" s="1273" t="n">
        <f aca="false">K4019*L4019/60</f>
        <v>8.59828201695672</v>
      </c>
    </row>
    <row r="4020" customFormat="false" ht="15" hidden="false" customHeight="false" outlineLevel="0" collapsed="false">
      <c r="A4020" s="28"/>
      <c r="B4020" s="972" t="s">
        <v>4128</v>
      </c>
      <c r="C4020" s="1053"/>
      <c r="D4020" s="965"/>
      <c r="E4020" s="912"/>
      <c r="F4020" s="1490"/>
      <c r="G4020" s="1490"/>
      <c r="H4020" s="1490"/>
      <c r="I4020" s="1490"/>
      <c r="J4020" s="1490"/>
      <c r="K4020" s="1365" t="n">
        <f aca="false">J4020/1792.8</f>
        <v>0</v>
      </c>
      <c r="L4020" s="1490"/>
      <c r="M4020" s="1366" t="n">
        <f aca="false">SUM(M4012:M4019)</f>
        <v>36.2708705191135</v>
      </c>
    </row>
    <row r="4021" customFormat="false" ht="30" hidden="false" customHeight="false" outlineLevel="0" collapsed="false">
      <c r="A4021" s="28" t="s">
        <v>1968</v>
      </c>
      <c r="B4021" s="40" t="s">
        <v>3719</v>
      </c>
      <c r="C4021" s="40" t="s">
        <v>7165</v>
      </c>
      <c r="D4021" s="316" t="n">
        <v>2007</v>
      </c>
      <c r="E4021" s="912" t="n">
        <f aca="false">2021-D4021</f>
        <v>14</v>
      </c>
      <c r="F4021" s="891" t="n">
        <v>407000</v>
      </c>
      <c r="G4021" s="1364" t="n">
        <v>0.1</v>
      </c>
      <c r="H4021" s="891" t="n">
        <f aca="false">E4021*F4021*G4021</f>
        <v>569800</v>
      </c>
      <c r="I4021" s="891" t="n">
        <f aca="false">F4021-H4021</f>
        <v>-162800</v>
      </c>
      <c r="J4021" s="1365" t="n">
        <f aca="false">F4021*G4021</f>
        <v>40700</v>
      </c>
      <c r="K4021" s="1365" t="n">
        <f aca="false">J4021/1792.8</f>
        <v>22.7019187862561</v>
      </c>
      <c r="L4021" s="891" t="n">
        <v>20</v>
      </c>
      <c r="M4021" s="1273" t="n">
        <f aca="false">K4021*L4021/60</f>
        <v>7.56730626208538</v>
      </c>
    </row>
    <row r="4022" customFormat="false" ht="15" hidden="false" customHeight="false" outlineLevel="0" collapsed="false">
      <c r="A4022" s="28"/>
      <c r="B4022" s="78"/>
      <c r="C4022" s="40" t="s">
        <v>7155</v>
      </c>
      <c r="D4022" s="316" t="n">
        <v>2007</v>
      </c>
      <c r="E4022" s="912" t="n">
        <f aca="false">2021-D4022</f>
        <v>14</v>
      </c>
      <c r="F4022" s="891" t="n">
        <v>810000</v>
      </c>
      <c r="G4022" s="1364" t="n">
        <v>0.1</v>
      </c>
      <c r="H4022" s="891" t="n">
        <f aca="false">E4022*F4022*G4022</f>
        <v>1134000</v>
      </c>
      <c r="I4022" s="891" t="n">
        <f aca="false">F4022-H4022</f>
        <v>-324000</v>
      </c>
      <c r="J4022" s="1365" t="n">
        <f aca="false">F4022*G4022</f>
        <v>81000</v>
      </c>
      <c r="K4022" s="1365" t="n">
        <f aca="false">J4022/1792.8</f>
        <v>45.1807228915663</v>
      </c>
      <c r="L4022" s="891" t="n">
        <v>4.8</v>
      </c>
      <c r="M4022" s="1273" t="n">
        <f aca="false">K4022*L4022/60</f>
        <v>3.6144578313253</v>
      </c>
    </row>
    <row r="4023" customFormat="false" ht="15" hidden="false" customHeight="false" outlineLevel="0" collapsed="false">
      <c r="A4023" s="28"/>
      <c r="B4023" s="78"/>
      <c r="C4023" s="40" t="s">
        <v>7156</v>
      </c>
      <c r="D4023" s="316" t="n">
        <v>2015</v>
      </c>
      <c r="E4023" s="912" t="n">
        <f aca="false">2021-D4023</f>
        <v>6</v>
      </c>
      <c r="F4023" s="891" t="n">
        <v>694025</v>
      </c>
      <c r="G4023" s="1364" t="n">
        <v>0.1</v>
      </c>
      <c r="H4023" s="891" t="n">
        <f aca="false">E4023*F4023*G4023</f>
        <v>416415</v>
      </c>
      <c r="I4023" s="891" t="n">
        <f aca="false">F4023-H4023</f>
        <v>277610</v>
      </c>
      <c r="J4023" s="1365" t="n">
        <f aca="false">F4023*G4023</f>
        <v>69402.5</v>
      </c>
      <c r="K4023" s="1365" t="n">
        <f aca="false">J4023/1792.8</f>
        <v>38.711791610888</v>
      </c>
      <c r="L4023" s="891" t="n">
        <v>18</v>
      </c>
      <c r="M4023" s="1273" t="n">
        <f aca="false">K4023*L4023/60</f>
        <v>11.6135374832664</v>
      </c>
    </row>
    <row r="4024" customFormat="false" ht="15" hidden="false" customHeight="false" outlineLevel="0" collapsed="false">
      <c r="A4024" s="28"/>
      <c r="B4024" s="78"/>
      <c r="C4024" s="40" t="s">
        <v>7157</v>
      </c>
      <c r="D4024" s="316" t="n">
        <v>2006</v>
      </c>
      <c r="E4024" s="912" t="n">
        <f aca="false">2021-D4024</f>
        <v>15</v>
      </c>
      <c r="F4024" s="891" t="n">
        <v>77000</v>
      </c>
      <c r="G4024" s="1364" t="n">
        <v>0.05</v>
      </c>
      <c r="H4024" s="891" t="n">
        <f aca="false">E4024*F4024*G4024</f>
        <v>57750</v>
      </c>
      <c r="I4024" s="891" t="n">
        <f aca="false">F4024-H4024</f>
        <v>19250</v>
      </c>
      <c r="J4024" s="1365" t="n">
        <f aca="false">F4024*G4024</f>
        <v>3850</v>
      </c>
      <c r="K4024" s="1365" t="n">
        <f aca="false">J4024/1792.8</f>
        <v>2.14747880410531</v>
      </c>
      <c r="L4024" s="891" t="n">
        <v>9.6</v>
      </c>
      <c r="M4024" s="1273" t="n">
        <f aca="false">K4024*L4024/60</f>
        <v>0.34359660865685</v>
      </c>
    </row>
    <row r="4025" customFormat="false" ht="15" hidden="false" customHeight="false" outlineLevel="0" collapsed="false">
      <c r="A4025" s="28"/>
      <c r="B4025" s="78"/>
      <c r="C4025" s="40" t="s">
        <v>7158</v>
      </c>
      <c r="D4025" s="316" t="n">
        <v>2007</v>
      </c>
      <c r="E4025" s="912" t="n">
        <f aca="false">2021-D4025</f>
        <v>14</v>
      </c>
      <c r="F4025" s="891" t="n">
        <v>482500</v>
      </c>
      <c r="G4025" s="1364" t="n">
        <v>0.1</v>
      </c>
      <c r="H4025" s="891" t="n">
        <f aca="false">E4025*F4025*G4025</f>
        <v>675500</v>
      </c>
      <c r="I4025" s="891" t="n">
        <f aca="false">F4025-H4025</f>
        <v>-193000</v>
      </c>
      <c r="J4025" s="1365" t="n">
        <f aca="false">F4025*G4025</f>
        <v>48250</v>
      </c>
      <c r="K4025" s="1365" t="n">
        <f aca="false">J4025/1792.8</f>
        <v>26.913208389112</v>
      </c>
      <c r="L4025" s="891" t="n">
        <v>9.6</v>
      </c>
      <c r="M4025" s="1273" t="n">
        <f aca="false">K4025*L4025/60</f>
        <v>4.30611334225792</v>
      </c>
    </row>
    <row r="4026" customFormat="false" ht="15" hidden="false" customHeight="false" outlineLevel="0" collapsed="false">
      <c r="A4026" s="28"/>
      <c r="B4026" s="78"/>
      <c r="C4026" s="40" t="s">
        <v>7159</v>
      </c>
      <c r="D4026" s="316" t="n">
        <v>2007</v>
      </c>
      <c r="E4026" s="912" t="n">
        <f aca="false">2021-D4026</f>
        <v>14</v>
      </c>
      <c r="F4026" s="891" t="n">
        <v>68000</v>
      </c>
      <c r="G4026" s="1364" t="n">
        <v>0.1</v>
      </c>
      <c r="H4026" s="891" t="n">
        <f aca="false">E4026*F4026*G4026</f>
        <v>95200</v>
      </c>
      <c r="I4026" s="891" t="n">
        <f aca="false">F4026-H4026</f>
        <v>-27200</v>
      </c>
      <c r="J4026" s="1365" t="n">
        <f aca="false">F4026*G4026</f>
        <v>6800</v>
      </c>
      <c r="K4026" s="1365" t="n">
        <f aca="false">J4026/1792.8</f>
        <v>3.79294957608211</v>
      </c>
      <c r="L4026" s="891" t="n">
        <v>3.6</v>
      </c>
      <c r="M4026" s="1273" t="n">
        <f aca="false">K4026*L4026/60</f>
        <v>0.227576974564926</v>
      </c>
    </row>
    <row r="4027" customFormat="false" ht="15" hidden="false" customHeight="false" outlineLevel="0" collapsed="false">
      <c r="A4027" s="28"/>
      <c r="B4027" s="78"/>
      <c r="C4027" s="40" t="s">
        <v>7163</v>
      </c>
      <c r="D4027" s="316" t="n">
        <v>1994</v>
      </c>
      <c r="E4027" s="912" t="n">
        <f aca="false">2021-D4027</f>
        <v>27</v>
      </c>
      <c r="F4027" s="891"/>
      <c r="G4027" s="891"/>
      <c r="H4027" s="891" t="n">
        <f aca="false">E4027*F4027*G4027</f>
        <v>0</v>
      </c>
      <c r="I4027" s="891" t="n">
        <f aca="false">F4027-H4027</f>
        <v>0</v>
      </c>
      <c r="J4027" s="1365" t="n">
        <f aca="false">F4027*G4027</f>
        <v>0</v>
      </c>
      <c r="K4027" s="1365" t="n">
        <f aca="false">J4027/1792.8</f>
        <v>0</v>
      </c>
      <c r="L4027" s="891" t="n">
        <v>5</v>
      </c>
      <c r="M4027" s="1273" t="n">
        <f aca="false">K4027*L4027/60</f>
        <v>0</v>
      </c>
    </row>
    <row r="4028" customFormat="false" ht="15" hidden="false" customHeight="false" outlineLevel="0" collapsed="false">
      <c r="A4028" s="28"/>
      <c r="B4028" s="78"/>
      <c r="C4028" s="40" t="s">
        <v>7166</v>
      </c>
      <c r="D4028" s="316" t="n">
        <v>2007</v>
      </c>
      <c r="E4028" s="912" t="n">
        <f aca="false">2021-D4028</f>
        <v>14</v>
      </c>
      <c r="F4028" s="891" t="n">
        <v>200000</v>
      </c>
      <c r="G4028" s="891"/>
      <c r="H4028" s="891" t="n">
        <f aca="false">E4028*F4028*G4028</f>
        <v>0</v>
      </c>
      <c r="I4028" s="891" t="n">
        <f aca="false">F4028-H4028</f>
        <v>200000</v>
      </c>
      <c r="J4028" s="1365" t="n">
        <f aca="false">F4028*G4028</f>
        <v>0</v>
      </c>
      <c r="K4028" s="1365" t="n">
        <f aca="false">J4028/1792.8</f>
        <v>0</v>
      </c>
      <c r="L4028" s="891" t="n">
        <v>10</v>
      </c>
      <c r="M4028" s="1273" t="n">
        <f aca="false">K4028*L4028/60</f>
        <v>0</v>
      </c>
    </row>
    <row r="4029" customFormat="false" ht="15" hidden="false" customHeight="false" outlineLevel="0" collapsed="false">
      <c r="A4029" s="28"/>
      <c r="B4029" s="78"/>
      <c r="C4029" s="40" t="s">
        <v>7161</v>
      </c>
      <c r="D4029" s="316" t="n">
        <v>2007</v>
      </c>
      <c r="E4029" s="912" t="n">
        <f aca="false">2021-D4029</f>
        <v>14</v>
      </c>
      <c r="F4029" s="891" t="n">
        <v>1849800</v>
      </c>
      <c r="G4029" s="1364" t="n">
        <v>0.1</v>
      </c>
      <c r="H4029" s="891" t="n">
        <f aca="false">E4029*F4029*G4029</f>
        <v>2589720</v>
      </c>
      <c r="I4029" s="891" t="n">
        <f aca="false">F4029-H4029</f>
        <v>-739920</v>
      </c>
      <c r="J4029" s="1365" t="n">
        <f aca="false">F4029*G4029</f>
        <v>184980</v>
      </c>
      <c r="K4029" s="1365" t="n">
        <f aca="false">J4029/1792.8</f>
        <v>103.179384203481</v>
      </c>
      <c r="L4029" s="891" t="n">
        <v>5</v>
      </c>
      <c r="M4029" s="1273" t="n">
        <f aca="false">K4029*L4029/60</f>
        <v>8.59828201695672</v>
      </c>
    </row>
    <row r="4030" customFormat="false" ht="15" hidden="false" customHeight="false" outlineLevel="0" collapsed="false">
      <c r="A4030" s="28"/>
      <c r="B4030" s="972" t="s">
        <v>4128</v>
      </c>
      <c r="C4030" s="1053"/>
      <c r="D4030" s="965"/>
      <c r="E4030" s="912"/>
      <c r="F4030" s="1490"/>
      <c r="G4030" s="1372"/>
      <c r="H4030" s="1490"/>
      <c r="I4030" s="1490"/>
      <c r="J4030" s="1490"/>
      <c r="K4030" s="1365" t="n">
        <f aca="false">J4030/1792.8</f>
        <v>0</v>
      </c>
      <c r="L4030" s="1490"/>
      <c r="M4030" s="1366" t="n">
        <f aca="false">SUM(M4021:M4029)</f>
        <v>36.2708705191135</v>
      </c>
    </row>
    <row r="4031" customFormat="false" ht="15" hidden="false" customHeight="false" outlineLevel="0" collapsed="false">
      <c r="A4031" s="15" t="s">
        <v>1969</v>
      </c>
      <c r="B4031" s="88" t="s">
        <v>3720</v>
      </c>
      <c r="C4031" s="54"/>
      <c r="D4031" s="907"/>
      <c r="E4031" s="541"/>
      <c r="F4031" s="1500"/>
      <c r="G4031" s="1391"/>
      <c r="H4031" s="1500"/>
      <c r="I4031" s="1500"/>
      <c r="J4031" s="1500"/>
      <c r="K4031" s="1500"/>
      <c r="L4031" s="1500"/>
      <c r="M4031" s="1392"/>
    </row>
    <row r="4032" customFormat="false" ht="30" hidden="false" customHeight="false" outlineLevel="0" collapsed="false">
      <c r="A4032" s="28" t="s">
        <v>1971</v>
      </c>
      <c r="B4032" s="40" t="s">
        <v>3721</v>
      </c>
      <c r="C4032" s="40" t="s">
        <v>7183</v>
      </c>
      <c r="D4032" s="316" t="n">
        <v>2007</v>
      </c>
      <c r="E4032" s="912" t="n">
        <f aca="false">2021-D4032</f>
        <v>14</v>
      </c>
      <c r="F4032" s="891" t="n">
        <v>407000</v>
      </c>
      <c r="G4032" s="1364" t="n">
        <v>0.1</v>
      </c>
      <c r="H4032" s="891" t="n">
        <f aca="false">E4032*F4032*G4032</f>
        <v>569800</v>
      </c>
      <c r="I4032" s="891" t="n">
        <f aca="false">F4032-H4032</f>
        <v>-162800</v>
      </c>
      <c r="J4032" s="1365" t="n">
        <f aca="false">F4032*G4032</f>
        <v>40700</v>
      </c>
      <c r="K4032" s="1365" t="n">
        <f aca="false">J4032/1792.8</f>
        <v>22.7019187862561</v>
      </c>
      <c r="L4032" s="891" t="n">
        <v>20</v>
      </c>
      <c r="M4032" s="1273" t="n">
        <f aca="false">K4032*L4032/60</f>
        <v>7.56730626208538</v>
      </c>
    </row>
    <row r="4033" customFormat="false" ht="15" hidden="false" customHeight="false" outlineLevel="0" collapsed="false">
      <c r="A4033" s="28"/>
      <c r="B4033" s="78"/>
      <c r="C4033" s="40" t="s">
        <v>7155</v>
      </c>
      <c r="D4033" s="316" t="n">
        <v>2007</v>
      </c>
      <c r="E4033" s="912" t="n">
        <f aca="false">2021-D4033</f>
        <v>14</v>
      </c>
      <c r="F4033" s="891" t="n">
        <v>810000</v>
      </c>
      <c r="G4033" s="1364" t="n">
        <v>0.1</v>
      </c>
      <c r="H4033" s="891" t="n">
        <f aca="false">E4033*F4033*G4033</f>
        <v>1134000</v>
      </c>
      <c r="I4033" s="891" t="n">
        <f aca="false">F4033-H4033</f>
        <v>-324000</v>
      </c>
      <c r="J4033" s="1365" t="n">
        <f aca="false">F4033*G4033</f>
        <v>81000</v>
      </c>
      <c r="K4033" s="1365" t="n">
        <f aca="false">J4033/1792.8</f>
        <v>45.1807228915663</v>
      </c>
      <c r="L4033" s="891" t="n">
        <v>4.8</v>
      </c>
      <c r="M4033" s="1273" t="n">
        <f aca="false">K4033*L4033/60</f>
        <v>3.6144578313253</v>
      </c>
    </row>
    <row r="4034" customFormat="false" ht="15" hidden="false" customHeight="false" outlineLevel="0" collapsed="false">
      <c r="A4034" s="28"/>
      <c r="B4034" s="78"/>
      <c r="C4034" s="40" t="s">
        <v>7156</v>
      </c>
      <c r="D4034" s="316" t="n">
        <v>2015</v>
      </c>
      <c r="E4034" s="912" t="n">
        <f aca="false">2021-D4034</f>
        <v>6</v>
      </c>
      <c r="F4034" s="891" t="n">
        <v>694025</v>
      </c>
      <c r="G4034" s="1364" t="n">
        <v>0.1</v>
      </c>
      <c r="H4034" s="891" t="n">
        <f aca="false">E4034*F4034*G4034</f>
        <v>416415</v>
      </c>
      <c r="I4034" s="891" t="n">
        <f aca="false">F4034-H4034</f>
        <v>277610</v>
      </c>
      <c r="J4034" s="1365" t="n">
        <f aca="false">F4034*G4034</f>
        <v>69402.5</v>
      </c>
      <c r="K4034" s="1365" t="n">
        <f aca="false">J4034/1792.8</f>
        <v>38.711791610888</v>
      </c>
      <c r="L4034" s="891" t="n">
        <v>18</v>
      </c>
      <c r="M4034" s="1273" t="n">
        <f aca="false">K4034*L4034/60</f>
        <v>11.6135374832664</v>
      </c>
    </row>
    <row r="4035" customFormat="false" ht="15" hidden="false" customHeight="false" outlineLevel="0" collapsed="false">
      <c r="A4035" s="28"/>
      <c r="B4035" s="78"/>
      <c r="C4035" s="40" t="s">
        <v>7157</v>
      </c>
      <c r="D4035" s="316" t="n">
        <v>2006</v>
      </c>
      <c r="E4035" s="912" t="n">
        <f aca="false">2021-D4035</f>
        <v>15</v>
      </c>
      <c r="F4035" s="891" t="n">
        <v>77000</v>
      </c>
      <c r="G4035" s="1364" t="n">
        <v>0.05</v>
      </c>
      <c r="H4035" s="891" t="n">
        <f aca="false">E4035*F4035*G4035</f>
        <v>57750</v>
      </c>
      <c r="I4035" s="891" t="n">
        <f aca="false">F4035-H4035</f>
        <v>19250</v>
      </c>
      <c r="J4035" s="1365" t="n">
        <f aca="false">F4035*G4035</f>
        <v>3850</v>
      </c>
      <c r="K4035" s="1365" t="n">
        <f aca="false">J4035/1792.8</f>
        <v>2.14747880410531</v>
      </c>
      <c r="L4035" s="891" t="n">
        <v>9.6</v>
      </c>
      <c r="M4035" s="1273" t="n">
        <f aca="false">K4035*L4035/60</f>
        <v>0.34359660865685</v>
      </c>
    </row>
    <row r="4036" customFormat="false" ht="15" hidden="false" customHeight="false" outlineLevel="0" collapsed="false">
      <c r="A4036" s="28"/>
      <c r="B4036" s="78"/>
      <c r="C4036" s="40" t="s">
        <v>7158</v>
      </c>
      <c r="D4036" s="316" t="n">
        <v>2007</v>
      </c>
      <c r="E4036" s="912" t="n">
        <f aca="false">2021-D4036</f>
        <v>14</v>
      </c>
      <c r="F4036" s="891" t="n">
        <v>482500</v>
      </c>
      <c r="G4036" s="1364" t="n">
        <v>0.1</v>
      </c>
      <c r="H4036" s="891" t="n">
        <f aca="false">E4036*F4036*G4036</f>
        <v>675500</v>
      </c>
      <c r="I4036" s="891" t="n">
        <f aca="false">F4036-H4036</f>
        <v>-193000</v>
      </c>
      <c r="J4036" s="1365" t="n">
        <f aca="false">F4036*G4036</f>
        <v>48250</v>
      </c>
      <c r="K4036" s="1365" t="n">
        <f aca="false">J4036/1792.8</f>
        <v>26.913208389112</v>
      </c>
      <c r="L4036" s="891" t="n">
        <v>9.6</v>
      </c>
      <c r="M4036" s="1273" t="n">
        <f aca="false">K4036*L4036/60</f>
        <v>4.30611334225792</v>
      </c>
    </row>
    <row r="4037" customFormat="false" ht="15" hidden="false" customHeight="false" outlineLevel="0" collapsed="false">
      <c r="A4037" s="28"/>
      <c r="B4037" s="78"/>
      <c r="C4037" s="40" t="s">
        <v>7159</v>
      </c>
      <c r="D4037" s="316" t="n">
        <v>2007</v>
      </c>
      <c r="E4037" s="912" t="n">
        <f aca="false">2021-D4037</f>
        <v>14</v>
      </c>
      <c r="F4037" s="891" t="n">
        <v>68000</v>
      </c>
      <c r="G4037" s="1364" t="n">
        <v>0.1</v>
      </c>
      <c r="H4037" s="891" t="n">
        <f aca="false">E4037*F4037*G4037</f>
        <v>95200</v>
      </c>
      <c r="I4037" s="891" t="n">
        <f aca="false">F4037-H4037</f>
        <v>-27200</v>
      </c>
      <c r="J4037" s="1365" t="n">
        <f aca="false">F4037*G4037</f>
        <v>6800</v>
      </c>
      <c r="K4037" s="1365" t="n">
        <f aca="false">J4037/1792.8</f>
        <v>3.79294957608211</v>
      </c>
      <c r="L4037" s="891" t="n">
        <v>3.6</v>
      </c>
      <c r="M4037" s="1273" t="n">
        <f aca="false">K4037*L4037/60</f>
        <v>0.227576974564926</v>
      </c>
    </row>
    <row r="4038" customFormat="false" ht="15" hidden="false" customHeight="false" outlineLevel="0" collapsed="false">
      <c r="A4038" s="28"/>
      <c r="B4038" s="78"/>
      <c r="C4038" s="40" t="s">
        <v>7161</v>
      </c>
      <c r="D4038" s="316" t="n">
        <v>2007</v>
      </c>
      <c r="E4038" s="912" t="n">
        <f aca="false">2021-D4038</f>
        <v>14</v>
      </c>
      <c r="F4038" s="891" t="n">
        <v>1849800</v>
      </c>
      <c r="G4038" s="1364" t="n">
        <v>0.1</v>
      </c>
      <c r="H4038" s="891" t="n">
        <f aca="false">E4038*F4038*G4038</f>
        <v>2589720</v>
      </c>
      <c r="I4038" s="891" t="n">
        <f aca="false">F4038-H4038</f>
        <v>-739920</v>
      </c>
      <c r="J4038" s="1365" t="n">
        <f aca="false">F4038*G4038</f>
        <v>184980</v>
      </c>
      <c r="K4038" s="1365" t="n">
        <f aca="false">J4038/1792.8</f>
        <v>103.179384203481</v>
      </c>
      <c r="L4038" s="891" t="n">
        <v>5</v>
      </c>
      <c r="M4038" s="1273" t="n">
        <f aca="false">K4038*L4038/60</f>
        <v>8.59828201695672</v>
      </c>
    </row>
    <row r="4039" customFormat="false" ht="15" hidden="false" customHeight="false" outlineLevel="0" collapsed="false">
      <c r="A4039" s="28"/>
      <c r="B4039" s="78"/>
      <c r="C4039" s="40" t="s">
        <v>7163</v>
      </c>
      <c r="D4039" s="316" t="n">
        <v>1994</v>
      </c>
      <c r="E4039" s="912" t="n">
        <f aca="false">2021-D4039</f>
        <v>27</v>
      </c>
      <c r="F4039" s="891"/>
      <c r="G4039" s="891"/>
      <c r="H4039" s="891" t="n">
        <f aca="false">E4039*F4039*G4039</f>
        <v>0</v>
      </c>
      <c r="I4039" s="891" t="n">
        <f aca="false">F4039-H4039</f>
        <v>0</v>
      </c>
      <c r="J4039" s="1365" t="n">
        <f aca="false">F4039*G4039</f>
        <v>0</v>
      </c>
      <c r="K4039" s="1365" t="n">
        <f aca="false">J4039/1792.8</f>
        <v>0</v>
      </c>
      <c r="L4039" s="891" t="n">
        <v>5</v>
      </c>
      <c r="M4039" s="1273" t="n">
        <f aca="false">K4039*L4039/60</f>
        <v>0</v>
      </c>
    </row>
    <row r="4040" customFormat="false" ht="15" hidden="false" customHeight="false" outlineLevel="0" collapsed="false">
      <c r="A4040" s="28"/>
      <c r="B4040" s="972" t="s">
        <v>4128</v>
      </c>
      <c r="C4040" s="1053"/>
      <c r="D4040" s="965"/>
      <c r="E4040" s="912"/>
      <c r="F4040" s="1490"/>
      <c r="G4040" s="1490"/>
      <c r="H4040" s="1490"/>
      <c r="I4040" s="1490"/>
      <c r="J4040" s="1490"/>
      <c r="K4040" s="1365" t="n">
        <f aca="false">J4040/1792.8</f>
        <v>0</v>
      </c>
      <c r="L4040" s="1490"/>
      <c r="M4040" s="1366" t="n">
        <f aca="false">SUM(M4032:M4039)</f>
        <v>36.2708705191135</v>
      </c>
    </row>
    <row r="4041" customFormat="false" ht="30" hidden="false" customHeight="false" outlineLevel="0" collapsed="false">
      <c r="A4041" s="28" t="s">
        <v>1973</v>
      </c>
      <c r="B4041" s="29" t="s">
        <v>3722</v>
      </c>
      <c r="C4041" s="40" t="s">
        <v>7183</v>
      </c>
      <c r="D4041" s="316" t="n">
        <v>2007</v>
      </c>
      <c r="E4041" s="912" t="n">
        <f aca="false">2021-D4041</f>
        <v>14</v>
      </c>
      <c r="F4041" s="891" t="n">
        <v>407000</v>
      </c>
      <c r="G4041" s="1364" t="n">
        <v>0.1</v>
      </c>
      <c r="H4041" s="891" t="n">
        <f aca="false">E4041*F4041*G4041</f>
        <v>569800</v>
      </c>
      <c r="I4041" s="891" t="n">
        <f aca="false">F4041-H4041</f>
        <v>-162800</v>
      </c>
      <c r="J4041" s="1365" t="n">
        <f aca="false">F4041*G4041</f>
        <v>40700</v>
      </c>
      <c r="K4041" s="1365" t="n">
        <f aca="false">J4041/1792.8</f>
        <v>22.7019187862561</v>
      </c>
      <c r="L4041" s="891" t="n">
        <v>20</v>
      </c>
      <c r="M4041" s="1273" t="n">
        <f aca="false">K4041*L4041/60</f>
        <v>7.56730626208538</v>
      </c>
    </row>
    <row r="4042" customFormat="false" ht="15" hidden="false" customHeight="false" outlineLevel="0" collapsed="false">
      <c r="A4042" s="28"/>
      <c r="B4042" s="29"/>
      <c r="C4042" s="40" t="s">
        <v>7155</v>
      </c>
      <c r="D4042" s="316" t="n">
        <v>2007</v>
      </c>
      <c r="E4042" s="912" t="n">
        <f aca="false">2021-D4042</f>
        <v>14</v>
      </c>
      <c r="F4042" s="891" t="n">
        <v>810000</v>
      </c>
      <c r="G4042" s="1364" t="n">
        <v>0.1</v>
      </c>
      <c r="H4042" s="891" t="n">
        <f aca="false">E4042*F4042*G4042</f>
        <v>1134000</v>
      </c>
      <c r="I4042" s="891" t="n">
        <f aca="false">F4042-H4042</f>
        <v>-324000</v>
      </c>
      <c r="J4042" s="1365" t="n">
        <f aca="false">F4042*G4042</f>
        <v>81000</v>
      </c>
      <c r="K4042" s="1365" t="n">
        <f aca="false">J4042/1792.8</f>
        <v>45.1807228915663</v>
      </c>
      <c r="L4042" s="891" t="n">
        <v>4.8</v>
      </c>
      <c r="M4042" s="1273" t="n">
        <f aca="false">K4042*L4042/60</f>
        <v>3.6144578313253</v>
      </c>
    </row>
    <row r="4043" customFormat="false" ht="15" hidden="false" customHeight="false" outlineLevel="0" collapsed="false">
      <c r="A4043" s="28"/>
      <c r="B4043" s="29"/>
      <c r="C4043" s="40" t="s">
        <v>7156</v>
      </c>
      <c r="D4043" s="316" t="n">
        <v>2015</v>
      </c>
      <c r="E4043" s="912" t="n">
        <f aca="false">2021-D4043</f>
        <v>6</v>
      </c>
      <c r="F4043" s="891" t="n">
        <v>694025</v>
      </c>
      <c r="G4043" s="1364" t="n">
        <v>0.1</v>
      </c>
      <c r="H4043" s="891" t="n">
        <f aca="false">E4043*F4043*G4043</f>
        <v>416415</v>
      </c>
      <c r="I4043" s="891" t="n">
        <f aca="false">F4043-H4043</f>
        <v>277610</v>
      </c>
      <c r="J4043" s="1365" t="n">
        <f aca="false">F4043*G4043</f>
        <v>69402.5</v>
      </c>
      <c r="K4043" s="1365" t="n">
        <f aca="false">J4043/1792.8</f>
        <v>38.711791610888</v>
      </c>
      <c r="L4043" s="891" t="n">
        <v>18</v>
      </c>
      <c r="M4043" s="1273" t="n">
        <f aca="false">K4043*L4043/60</f>
        <v>11.6135374832664</v>
      </c>
    </row>
    <row r="4044" customFormat="false" ht="15" hidden="false" customHeight="false" outlineLevel="0" collapsed="false">
      <c r="A4044" s="28"/>
      <c r="B4044" s="29"/>
      <c r="C4044" s="40" t="s">
        <v>7157</v>
      </c>
      <c r="D4044" s="316" t="n">
        <v>2006</v>
      </c>
      <c r="E4044" s="912" t="n">
        <f aca="false">2021-D4044</f>
        <v>15</v>
      </c>
      <c r="F4044" s="891" t="n">
        <v>77000</v>
      </c>
      <c r="G4044" s="1364" t="n">
        <v>0.05</v>
      </c>
      <c r="H4044" s="891" t="n">
        <f aca="false">E4044*F4044*G4044</f>
        <v>57750</v>
      </c>
      <c r="I4044" s="891" t="n">
        <f aca="false">F4044-H4044</f>
        <v>19250</v>
      </c>
      <c r="J4044" s="1365" t="n">
        <f aca="false">F4044*G4044</f>
        <v>3850</v>
      </c>
      <c r="K4044" s="1365" t="n">
        <f aca="false">J4044/1792.8</f>
        <v>2.14747880410531</v>
      </c>
      <c r="L4044" s="891" t="n">
        <v>9.6</v>
      </c>
      <c r="M4044" s="1273" t="n">
        <f aca="false">K4044*L4044/60</f>
        <v>0.34359660865685</v>
      </c>
    </row>
    <row r="4045" customFormat="false" ht="15" hidden="false" customHeight="false" outlineLevel="0" collapsed="false">
      <c r="A4045" s="28"/>
      <c r="B4045" s="29"/>
      <c r="C4045" s="40" t="s">
        <v>7158</v>
      </c>
      <c r="D4045" s="316" t="n">
        <v>2007</v>
      </c>
      <c r="E4045" s="912" t="n">
        <f aca="false">2021-D4045</f>
        <v>14</v>
      </c>
      <c r="F4045" s="891" t="n">
        <v>482500</v>
      </c>
      <c r="G4045" s="1364" t="n">
        <v>0.1</v>
      </c>
      <c r="H4045" s="891" t="n">
        <f aca="false">E4045*F4045*G4045</f>
        <v>675500</v>
      </c>
      <c r="I4045" s="891" t="n">
        <f aca="false">F4045-H4045</f>
        <v>-193000</v>
      </c>
      <c r="J4045" s="1365" t="n">
        <f aca="false">F4045*G4045</f>
        <v>48250</v>
      </c>
      <c r="K4045" s="1365" t="n">
        <f aca="false">J4045/1792.8</f>
        <v>26.913208389112</v>
      </c>
      <c r="L4045" s="891" t="n">
        <v>9.6</v>
      </c>
      <c r="M4045" s="1273" t="n">
        <f aca="false">K4045*L4045/60</f>
        <v>4.30611334225792</v>
      </c>
    </row>
    <row r="4046" customFormat="false" ht="15" hidden="false" customHeight="false" outlineLevel="0" collapsed="false">
      <c r="A4046" s="28"/>
      <c r="B4046" s="29"/>
      <c r="C4046" s="40" t="s">
        <v>7159</v>
      </c>
      <c r="D4046" s="316" t="n">
        <v>2007</v>
      </c>
      <c r="E4046" s="912" t="n">
        <f aca="false">2021-D4046</f>
        <v>14</v>
      </c>
      <c r="F4046" s="891" t="n">
        <v>68000</v>
      </c>
      <c r="G4046" s="1364" t="n">
        <v>0.1</v>
      </c>
      <c r="H4046" s="891" t="n">
        <f aca="false">E4046*F4046*G4046</f>
        <v>95200</v>
      </c>
      <c r="I4046" s="891" t="n">
        <f aca="false">F4046-H4046</f>
        <v>-27200</v>
      </c>
      <c r="J4046" s="1365" t="n">
        <f aca="false">F4046*G4046</f>
        <v>6800</v>
      </c>
      <c r="K4046" s="1365" t="n">
        <f aca="false">J4046/1792.8</f>
        <v>3.79294957608211</v>
      </c>
      <c r="L4046" s="891" t="n">
        <v>3.6</v>
      </c>
      <c r="M4046" s="1273" t="n">
        <f aca="false">K4046*L4046/60</f>
        <v>0.227576974564926</v>
      </c>
    </row>
    <row r="4047" customFormat="false" ht="15" hidden="false" customHeight="false" outlineLevel="0" collapsed="false">
      <c r="A4047" s="28"/>
      <c r="B4047" s="29"/>
      <c r="C4047" s="40" t="s">
        <v>7161</v>
      </c>
      <c r="D4047" s="316" t="n">
        <v>2007</v>
      </c>
      <c r="E4047" s="912" t="n">
        <f aca="false">2021-D4047</f>
        <v>14</v>
      </c>
      <c r="F4047" s="891" t="n">
        <v>1849800</v>
      </c>
      <c r="G4047" s="1364" t="n">
        <v>0.1</v>
      </c>
      <c r="H4047" s="891" t="n">
        <f aca="false">E4047*F4047*G4047</f>
        <v>2589720</v>
      </c>
      <c r="I4047" s="891" t="n">
        <f aca="false">F4047-H4047</f>
        <v>-739920</v>
      </c>
      <c r="J4047" s="1365" t="n">
        <f aca="false">F4047*G4047</f>
        <v>184980</v>
      </c>
      <c r="K4047" s="1365" t="n">
        <f aca="false">J4047/1792.8</f>
        <v>103.179384203481</v>
      </c>
      <c r="L4047" s="891" t="n">
        <v>5</v>
      </c>
      <c r="M4047" s="1273" t="n">
        <f aca="false">K4047*L4047/60</f>
        <v>8.59828201695672</v>
      </c>
    </row>
    <row r="4048" customFormat="false" ht="15" hidden="false" customHeight="false" outlineLevel="0" collapsed="false">
      <c r="A4048" s="28"/>
      <c r="B4048" s="29"/>
      <c r="C4048" s="40" t="s">
        <v>7163</v>
      </c>
      <c r="D4048" s="316" t="n">
        <v>1994</v>
      </c>
      <c r="E4048" s="912" t="n">
        <f aca="false">2021-D4048</f>
        <v>27</v>
      </c>
      <c r="F4048" s="891"/>
      <c r="G4048" s="891"/>
      <c r="H4048" s="891" t="n">
        <f aca="false">E4048*F4048*G4048</f>
        <v>0</v>
      </c>
      <c r="I4048" s="891" t="n">
        <f aca="false">F4048-H4048</f>
        <v>0</v>
      </c>
      <c r="J4048" s="1365" t="n">
        <f aca="false">F4048*G4048</f>
        <v>0</v>
      </c>
      <c r="K4048" s="1365" t="n">
        <f aca="false">J4048/1792.8</f>
        <v>0</v>
      </c>
      <c r="L4048" s="891" t="n">
        <v>5</v>
      </c>
      <c r="M4048" s="1273" t="n">
        <f aca="false">K4048*L4048/60</f>
        <v>0</v>
      </c>
    </row>
    <row r="4049" customFormat="false" ht="15" hidden="false" customHeight="false" outlineLevel="0" collapsed="false">
      <c r="A4049" s="28"/>
      <c r="B4049" s="29"/>
      <c r="C4049" s="1053"/>
      <c r="D4049" s="965"/>
      <c r="E4049" s="912"/>
      <c r="F4049" s="1490"/>
      <c r="G4049" s="1490"/>
      <c r="H4049" s="1490"/>
      <c r="I4049" s="1490"/>
      <c r="J4049" s="1490"/>
      <c r="K4049" s="1365" t="n">
        <f aca="false">J4049/1792.8</f>
        <v>0</v>
      </c>
      <c r="L4049" s="1490"/>
      <c r="M4049" s="1366" t="n">
        <f aca="false">SUM(M4041:M4048)</f>
        <v>36.2708705191135</v>
      </c>
    </row>
    <row r="4050" s="122" customFormat="true" ht="30" hidden="false" customHeight="false" outlineLevel="0" collapsed="false">
      <c r="A4050" s="20" t="s">
        <v>1974</v>
      </c>
      <c r="B4050" s="99" t="s">
        <v>3693</v>
      </c>
      <c r="C4050" s="118" t="s">
        <v>7183</v>
      </c>
      <c r="D4050" s="877" t="n">
        <v>2007</v>
      </c>
      <c r="E4050" s="912" t="n">
        <f aca="false">2021-D4050</f>
        <v>14</v>
      </c>
      <c r="F4050" s="902" t="n">
        <v>407000</v>
      </c>
      <c r="G4050" s="1407" t="n">
        <v>0.1</v>
      </c>
      <c r="H4050" s="902" t="n">
        <f aca="false">E4050*F4050*G4050</f>
        <v>569800</v>
      </c>
      <c r="I4050" s="902" t="n">
        <f aca="false">F4050-H4050</f>
        <v>-162800</v>
      </c>
      <c r="J4050" s="1410" t="n">
        <f aca="false">F4050*G4050</f>
        <v>40700</v>
      </c>
      <c r="K4050" s="1365" t="n">
        <f aca="false">J4050/1792.8</f>
        <v>22.7019187862561</v>
      </c>
      <c r="L4050" s="902" t="n">
        <v>20</v>
      </c>
      <c r="M4050" s="1408" t="n">
        <f aca="false">K4050*L4050/60</f>
        <v>7.56730626208538</v>
      </c>
    </row>
    <row r="4051" customFormat="false" ht="15" hidden="false" customHeight="false" outlineLevel="0" collapsed="false">
      <c r="A4051" s="28"/>
      <c r="B4051" s="972"/>
      <c r="C4051" s="40" t="s">
        <v>7155</v>
      </c>
      <c r="D4051" s="316" t="n">
        <v>2007</v>
      </c>
      <c r="E4051" s="912" t="n">
        <f aca="false">2021-D4051</f>
        <v>14</v>
      </c>
      <c r="F4051" s="891" t="n">
        <v>810000</v>
      </c>
      <c r="G4051" s="1364" t="n">
        <v>0.1</v>
      </c>
      <c r="H4051" s="891" t="n">
        <f aca="false">E4051*F4051*G4051</f>
        <v>1134000</v>
      </c>
      <c r="I4051" s="891" t="n">
        <f aca="false">F4051-H4051</f>
        <v>-324000</v>
      </c>
      <c r="J4051" s="1365" t="n">
        <f aca="false">F4051*G4051</f>
        <v>81000</v>
      </c>
      <c r="K4051" s="1365" t="n">
        <f aca="false">J4051/1792.8</f>
        <v>45.1807228915663</v>
      </c>
      <c r="L4051" s="891" t="n">
        <v>4.8</v>
      </c>
      <c r="M4051" s="1273" t="n">
        <f aca="false">K4051*L4051/60</f>
        <v>3.6144578313253</v>
      </c>
    </row>
    <row r="4052" customFormat="false" ht="15" hidden="false" customHeight="false" outlineLevel="0" collapsed="false">
      <c r="A4052" s="28"/>
      <c r="B4052" s="972"/>
      <c r="C4052" s="40" t="s">
        <v>7156</v>
      </c>
      <c r="D4052" s="316" t="n">
        <v>2015</v>
      </c>
      <c r="E4052" s="912" t="n">
        <f aca="false">2021-D4052</f>
        <v>6</v>
      </c>
      <c r="F4052" s="891" t="n">
        <v>694025</v>
      </c>
      <c r="G4052" s="1364" t="n">
        <v>0.1</v>
      </c>
      <c r="H4052" s="891" t="n">
        <f aca="false">E4052*F4052*G4052</f>
        <v>416415</v>
      </c>
      <c r="I4052" s="891" t="n">
        <f aca="false">F4052-H4052</f>
        <v>277610</v>
      </c>
      <c r="J4052" s="1365" t="n">
        <f aca="false">F4052*G4052</f>
        <v>69402.5</v>
      </c>
      <c r="K4052" s="1365" t="n">
        <f aca="false">J4052/1792.8</f>
        <v>38.711791610888</v>
      </c>
      <c r="L4052" s="891" t="n">
        <v>18</v>
      </c>
      <c r="M4052" s="1273" t="n">
        <f aca="false">K4052*L4052/60</f>
        <v>11.6135374832664</v>
      </c>
    </row>
    <row r="4053" customFormat="false" ht="15" hidden="false" customHeight="false" outlineLevel="0" collapsed="false">
      <c r="A4053" s="28"/>
      <c r="B4053" s="972"/>
      <c r="C4053" s="40" t="s">
        <v>7157</v>
      </c>
      <c r="D4053" s="316" t="n">
        <v>2006</v>
      </c>
      <c r="E4053" s="912" t="n">
        <f aca="false">2021-D4053</f>
        <v>15</v>
      </c>
      <c r="F4053" s="891" t="n">
        <v>77000</v>
      </c>
      <c r="G4053" s="1364" t="n">
        <v>0.05</v>
      </c>
      <c r="H4053" s="891" t="n">
        <f aca="false">E4053*F4053*G4053</f>
        <v>57750</v>
      </c>
      <c r="I4053" s="891" t="n">
        <f aca="false">F4053-H4053</f>
        <v>19250</v>
      </c>
      <c r="J4053" s="1365" t="n">
        <f aca="false">F4053*G4053</f>
        <v>3850</v>
      </c>
      <c r="K4053" s="1365" t="n">
        <f aca="false">J4053/1792.8</f>
        <v>2.14747880410531</v>
      </c>
      <c r="L4053" s="891" t="n">
        <v>9.6</v>
      </c>
      <c r="M4053" s="1273" t="n">
        <f aca="false">K4053*L4053/60</f>
        <v>0.34359660865685</v>
      </c>
    </row>
    <row r="4054" s="122" customFormat="true" ht="15" hidden="false" customHeight="false" outlineLevel="0" collapsed="false">
      <c r="A4054" s="20"/>
      <c r="B4054" s="1491"/>
      <c r="C4054" s="118" t="s">
        <v>7158</v>
      </c>
      <c r="D4054" s="877" t="n">
        <v>2007</v>
      </c>
      <c r="E4054" s="912" t="n">
        <f aca="false">2021-D4054</f>
        <v>14</v>
      </c>
      <c r="F4054" s="902" t="n">
        <v>482500</v>
      </c>
      <c r="G4054" s="1407" t="n">
        <v>0.1</v>
      </c>
      <c r="H4054" s="902" t="n">
        <f aca="false">E4054*F4054*G4054</f>
        <v>675500</v>
      </c>
      <c r="I4054" s="902" t="n">
        <f aca="false">F4054-H4054</f>
        <v>-193000</v>
      </c>
      <c r="J4054" s="1410" t="n">
        <f aca="false">F4054*G4054</f>
        <v>48250</v>
      </c>
      <c r="K4054" s="1365" t="n">
        <f aca="false">J4054/1792.8</f>
        <v>26.913208389112</v>
      </c>
      <c r="L4054" s="902" t="n">
        <v>9.6</v>
      </c>
      <c r="M4054" s="1408" t="n">
        <f aca="false">K4054*L4054/60</f>
        <v>4.30611334225792</v>
      </c>
    </row>
    <row r="4055" customFormat="false" ht="15" hidden="false" customHeight="false" outlineLevel="0" collapsed="false">
      <c r="A4055" s="28"/>
      <c r="B4055" s="972"/>
      <c r="C4055" s="40" t="s">
        <v>7159</v>
      </c>
      <c r="D4055" s="316" t="n">
        <v>2007</v>
      </c>
      <c r="E4055" s="912" t="n">
        <f aca="false">2021-D4055</f>
        <v>14</v>
      </c>
      <c r="F4055" s="891" t="n">
        <v>68000</v>
      </c>
      <c r="G4055" s="1364" t="n">
        <v>0.1</v>
      </c>
      <c r="H4055" s="891" t="n">
        <f aca="false">E4055*F4055*G4055</f>
        <v>95200</v>
      </c>
      <c r="I4055" s="891" t="n">
        <f aca="false">F4055-H4055</f>
        <v>-27200</v>
      </c>
      <c r="J4055" s="1365" t="n">
        <f aca="false">F4055*G4055</f>
        <v>6800</v>
      </c>
      <c r="K4055" s="1365" t="n">
        <f aca="false">J4055/1792.8</f>
        <v>3.79294957608211</v>
      </c>
      <c r="L4055" s="891" t="n">
        <v>3.6</v>
      </c>
      <c r="M4055" s="1273" t="n">
        <f aca="false">K4055*L4055/60</f>
        <v>0.227576974564926</v>
      </c>
    </row>
    <row r="4056" customFormat="false" ht="15" hidden="false" customHeight="false" outlineLevel="0" collapsed="false">
      <c r="A4056" s="28"/>
      <c r="B4056" s="972"/>
      <c r="C4056" s="40" t="s">
        <v>7163</v>
      </c>
      <c r="D4056" s="316" t="n">
        <v>1994</v>
      </c>
      <c r="E4056" s="912" t="n">
        <f aca="false">2021-D4056</f>
        <v>27</v>
      </c>
      <c r="F4056" s="891"/>
      <c r="G4056" s="891"/>
      <c r="H4056" s="891" t="n">
        <f aca="false">E4056*F4056*G4056</f>
        <v>0</v>
      </c>
      <c r="I4056" s="891" t="n">
        <f aca="false">F4056-H4056</f>
        <v>0</v>
      </c>
      <c r="J4056" s="1365" t="n">
        <f aca="false">F4056*G4056</f>
        <v>0</v>
      </c>
      <c r="K4056" s="1365" t="n">
        <f aca="false">J4056/1792.8</f>
        <v>0</v>
      </c>
      <c r="L4056" s="891" t="n">
        <v>5</v>
      </c>
      <c r="M4056" s="1273" t="n">
        <f aca="false">K4056*L4056/60</f>
        <v>0</v>
      </c>
    </row>
    <row r="4057" customFormat="false" ht="15" hidden="false" customHeight="false" outlineLevel="0" collapsed="false">
      <c r="A4057" s="28"/>
      <c r="B4057" s="972"/>
      <c r="C4057" s="1053"/>
      <c r="D4057" s="965"/>
      <c r="E4057" s="912"/>
      <c r="F4057" s="1490"/>
      <c r="G4057" s="1372"/>
      <c r="H4057" s="1490"/>
      <c r="I4057" s="1490"/>
      <c r="J4057" s="1490"/>
      <c r="K4057" s="1365" t="n">
        <f aca="false">J4057/1792.8</f>
        <v>0</v>
      </c>
      <c r="L4057" s="1490"/>
      <c r="M4057" s="1366" t="n">
        <f aca="false">SUM(M4050:M4056)</f>
        <v>27.6725885021568</v>
      </c>
    </row>
    <row r="4058" customFormat="false" ht="15" hidden="false" customHeight="false" outlineLevel="0" collapsed="false">
      <c r="A4058" s="28" t="s">
        <v>1975</v>
      </c>
      <c r="B4058" s="78" t="s">
        <v>3723</v>
      </c>
      <c r="C4058" s="40" t="s">
        <v>7183</v>
      </c>
      <c r="D4058" s="316" t="n">
        <v>2007</v>
      </c>
      <c r="E4058" s="912" t="n">
        <f aca="false">2021-D4058</f>
        <v>14</v>
      </c>
      <c r="F4058" s="891" t="n">
        <v>407000</v>
      </c>
      <c r="G4058" s="1364" t="n">
        <v>0.1</v>
      </c>
      <c r="H4058" s="891" t="n">
        <f aca="false">E4058*F4058*G4058</f>
        <v>569800</v>
      </c>
      <c r="I4058" s="891" t="n">
        <f aca="false">F4058-H4058</f>
        <v>-162800</v>
      </c>
      <c r="J4058" s="1365" t="n">
        <f aca="false">F4058*G4058</f>
        <v>40700</v>
      </c>
      <c r="K4058" s="1365" t="n">
        <f aca="false">J4058/1792.8</f>
        <v>22.7019187862561</v>
      </c>
      <c r="L4058" s="891" t="n">
        <v>20</v>
      </c>
      <c r="M4058" s="1273" t="n">
        <f aca="false">K4058*L4058/60</f>
        <v>7.56730626208538</v>
      </c>
    </row>
    <row r="4059" customFormat="false" ht="15" hidden="false" customHeight="false" outlineLevel="0" collapsed="false">
      <c r="A4059" s="28"/>
      <c r="B4059" s="972"/>
      <c r="C4059" s="40" t="s">
        <v>7155</v>
      </c>
      <c r="D4059" s="316" t="n">
        <v>2007</v>
      </c>
      <c r="E4059" s="912" t="n">
        <f aca="false">2021-D4059</f>
        <v>14</v>
      </c>
      <c r="F4059" s="891" t="n">
        <v>810000</v>
      </c>
      <c r="G4059" s="1364" t="n">
        <v>0.1</v>
      </c>
      <c r="H4059" s="891" t="n">
        <f aca="false">E4059*F4059*G4059</f>
        <v>1134000</v>
      </c>
      <c r="I4059" s="891" t="n">
        <f aca="false">F4059-H4059</f>
        <v>-324000</v>
      </c>
      <c r="J4059" s="1365" t="n">
        <f aca="false">F4059*G4059</f>
        <v>81000</v>
      </c>
      <c r="K4059" s="1365" t="n">
        <f aca="false">J4059/1792.8</f>
        <v>45.1807228915663</v>
      </c>
      <c r="L4059" s="891" t="n">
        <v>4.8</v>
      </c>
      <c r="M4059" s="1273" t="n">
        <f aca="false">K4059*L4059/60</f>
        <v>3.6144578313253</v>
      </c>
    </row>
    <row r="4060" customFormat="false" ht="15" hidden="false" customHeight="false" outlineLevel="0" collapsed="false">
      <c r="A4060" s="28"/>
      <c r="B4060" s="972"/>
      <c r="C4060" s="40" t="s">
        <v>7156</v>
      </c>
      <c r="D4060" s="316" t="n">
        <v>2015</v>
      </c>
      <c r="E4060" s="912" t="n">
        <f aca="false">2021-D4060</f>
        <v>6</v>
      </c>
      <c r="F4060" s="891" t="n">
        <v>694025</v>
      </c>
      <c r="G4060" s="1364" t="n">
        <v>0.1</v>
      </c>
      <c r="H4060" s="891" t="n">
        <f aca="false">E4060*F4060*G4060</f>
        <v>416415</v>
      </c>
      <c r="I4060" s="891" t="n">
        <f aca="false">F4060-H4060</f>
        <v>277610</v>
      </c>
      <c r="J4060" s="1365" t="n">
        <f aca="false">F4060*G4060</f>
        <v>69402.5</v>
      </c>
      <c r="K4060" s="1365" t="n">
        <f aca="false">J4060/1792.8</f>
        <v>38.711791610888</v>
      </c>
      <c r="L4060" s="891" t="n">
        <v>18</v>
      </c>
      <c r="M4060" s="1273" t="n">
        <f aca="false">K4060*L4060/60</f>
        <v>11.6135374832664</v>
      </c>
    </row>
    <row r="4061" customFormat="false" ht="15" hidden="false" customHeight="false" outlineLevel="0" collapsed="false">
      <c r="A4061" s="28"/>
      <c r="B4061" s="972"/>
      <c r="C4061" s="40" t="s">
        <v>7157</v>
      </c>
      <c r="D4061" s="316" t="n">
        <v>2006</v>
      </c>
      <c r="E4061" s="912" t="n">
        <f aca="false">2021-D4061</f>
        <v>15</v>
      </c>
      <c r="F4061" s="891" t="n">
        <v>77000</v>
      </c>
      <c r="G4061" s="1364" t="n">
        <v>0.05</v>
      </c>
      <c r="H4061" s="891" t="n">
        <f aca="false">E4061*F4061*G4061</f>
        <v>57750</v>
      </c>
      <c r="I4061" s="891" t="n">
        <f aca="false">F4061-H4061</f>
        <v>19250</v>
      </c>
      <c r="J4061" s="1365" t="n">
        <f aca="false">F4061*G4061</f>
        <v>3850</v>
      </c>
      <c r="K4061" s="1365" t="n">
        <f aca="false">J4061/1792.8</f>
        <v>2.14747880410531</v>
      </c>
      <c r="L4061" s="891" t="n">
        <v>9.6</v>
      </c>
      <c r="M4061" s="1273" t="n">
        <f aca="false">K4061*L4061/60</f>
        <v>0.34359660865685</v>
      </c>
    </row>
    <row r="4062" customFormat="false" ht="15" hidden="false" customHeight="false" outlineLevel="0" collapsed="false">
      <c r="A4062" s="28"/>
      <c r="B4062" s="972"/>
      <c r="C4062" s="40" t="s">
        <v>7158</v>
      </c>
      <c r="D4062" s="316" t="n">
        <v>2007</v>
      </c>
      <c r="E4062" s="912" t="n">
        <f aca="false">2021-D4062</f>
        <v>14</v>
      </c>
      <c r="F4062" s="891" t="n">
        <v>482500</v>
      </c>
      <c r="G4062" s="1364" t="n">
        <v>0.1</v>
      </c>
      <c r="H4062" s="891" t="n">
        <f aca="false">E4062*F4062*G4062</f>
        <v>675500</v>
      </c>
      <c r="I4062" s="891" t="n">
        <f aca="false">F4062-H4062</f>
        <v>-193000</v>
      </c>
      <c r="J4062" s="1365" t="n">
        <f aca="false">F4062*G4062</f>
        <v>48250</v>
      </c>
      <c r="K4062" s="1365" t="n">
        <f aca="false">J4062/1792.8</f>
        <v>26.913208389112</v>
      </c>
      <c r="L4062" s="891" t="n">
        <v>9.6</v>
      </c>
      <c r="M4062" s="1273" t="n">
        <f aca="false">K4062*L4062/60</f>
        <v>4.30611334225792</v>
      </c>
    </row>
    <row r="4063" customFormat="false" ht="15" hidden="false" customHeight="false" outlineLevel="0" collapsed="false">
      <c r="A4063" s="28"/>
      <c r="B4063" s="972"/>
      <c r="C4063" s="40" t="s">
        <v>7159</v>
      </c>
      <c r="D4063" s="316" t="n">
        <v>2007</v>
      </c>
      <c r="E4063" s="912" t="n">
        <f aca="false">2021-D4063</f>
        <v>14</v>
      </c>
      <c r="F4063" s="891" t="n">
        <v>68000</v>
      </c>
      <c r="G4063" s="1364" t="n">
        <v>0.1</v>
      </c>
      <c r="H4063" s="891" t="n">
        <f aca="false">E4063*F4063*G4063</f>
        <v>95200</v>
      </c>
      <c r="I4063" s="891" t="n">
        <f aca="false">F4063-H4063</f>
        <v>-27200</v>
      </c>
      <c r="J4063" s="1365" t="n">
        <f aca="false">F4063*G4063</f>
        <v>6800</v>
      </c>
      <c r="K4063" s="1365" t="n">
        <f aca="false">J4063/1792.8</f>
        <v>3.79294957608211</v>
      </c>
      <c r="L4063" s="891" t="n">
        <v>3.6</v>
      </c>
      <c r="M4063" s="1273" t="n">
        <f aca="false">K4063*L4063/60</f>
        <v>0.227576974564926</v>
      </c>
    </row>
    <row r="4064" customFormat="false" ht="15" hidden="false" customHeight="false" outlineLevel="0" collapsed="false">
      <c r="A4064" s="216"/>
      <c r="B4064" s="972"/>
      <c r="C4064" s="40" t="s">
        <v>7161</v>
      </c>
      <c r="D4064" s="316" t="n">
        <v>2007</v>
      </c>
      <c r="E4064" s="912" t="n">
        <f aca="false">2021-D4064</f>
        <v>14</v>
      </c>
      <c r="F4064" s="891" t="n">
        <v>1849800</v>
      </c>
      <c r="G4064" s="1364" t="n">
        <v>0.1</v>
      </c>
      <c r="H4064" s="891" t="n">
        <f aca="false">E4064*F4064*G4064</f>
        <v>2589720</v>
      </c>
      <c r="I4064" s="891" t="n">
        <f aca="false">F4064-H4064</f>
        <v>-739920</v>
      </c>
      <c r="J4064" s="1365" t="n">
        <f aca="false">F4064*G4064</f>
        <v>184980</v>
      </c>
      <c r="K4064" s="1365" t="n">
        <f aca="false">J4064/1792.8</f>
        <v>103.179384203481</v>
      </c>
      <c r="L4064" s="891" t="n">
        <v>5</v>
      </c>
      <c r="M4064" s="1273" t="n">
        <f aca="false">K4064*L4064/60</f>
        <v>8.59828201695672</v>
      </c>
    </row>
    <row r="4065" customFormat="false" ht="15" hidden="false" customHeight="false" outlineLevel="0" collapsed="false">
      <c r="A4065" s="28"/>
      <c r="B4065" s="972"/>
      <c r="C4065" s="40" t="s">
        <v>7163</v>
      </c>
      <c r="D4065" s="316" t="n">
        <v>1994</v>
      </c>
      <c r="E4065" s="912" t="n">
        <f aca="false">2021-D4065</f>
        <v>27</v>
      </c>
      <c r="F4065" s="891"/>
      <c r="G4065" s="891"/>
      <c r="H4065" s="891" t="n">
        <f aca="false">E4065*F4065*G4065</f>
        <v>0</v>
      </c>
      <c r="I4065" s="891" t="n">
        <f aca="false">F4065-H4065</f>
        <v>0</v>
      </c>
      <c r="J4065" s="1365" t="n">
        <f aca="false">F4065*G4065</f>
        <v>0</v>
      </c>
      <c r="K4065" s="1365" t="n">
        <f aca="false">J4065/1792.8</f>
        <v>0</v>
      </c>
      <c r="L4065" s="891" t="n">
        <v>5</v>
      </c>
      <c r="M4065" s="1273" t="n">
        <f aca="false">K4065*L4065/60</f>
        <v>0</v>
      </c>
    </row>
    <row r="4066" customFormat="false" ht="15" hidden="false" customHeight="false" outlineLevel="0" collapsed="false">
      <c r="A4066" s="28"/>
      <c r="B4066" s="972"/>
      <c r="C4066" s="1053"/>
      <c r="D4066" s="965"/>
      <c r="E4066" s="912"/>
      <c r="F4066" s="1490"/>
      <c r="G4066" s="1490"/>
      <c r="H4066" s="1490"/>
      <c r="I4066" s="1490"/>
      <c r="J4066" s="1490"/>
      <c r="K4066" s="1365" t="n">
        <f aca="false">J4066/1792.8</f>
        <v>0</v>
      </c>
      <c r="L4066" s="1490"/>
      <c r="M4066" s="1366" t="n">
        <f aca="false">SUM(M4058:M4065)</f>
        <v>36.2708705191135</v>
      </c>
    </row>
    <row r="4067" customFormat="false" ht="30" hidden="false" customHeight="false" outlineLevel="0" collapsed="false">
      <c r="A4067" s="28" t="s">
        <v>1976</v>
      </c>
      <c r="B4067" s="78" t="s">
        <v>3681</v>
      </c>
      <c r="C4067" s="40" t="s">
        <v>7183</v>
      </c>
      <c r="D4067" s="316" t="n">
        <v>2007</v>
      </c>
      <c r="E4067" s="912" t="n">
        <f aca="false">2021-D4067</f>
        <v>14</v>
      </c>
      <c r="F4067" s="891" t="n">
        <v>407000</v>
      </c>
      <c r="G4067" s="1364" t="n">
        <v>0.1</v>
      </c>
      <c r="H4067" s="891" t="n">
        <f aca="false">E4067*F4067*G4067</f>
        <v>569800</v>
      </c>
      <c r="I4067" s="891" t="n">
        <f aca="false">F4067-H4067</f>
        <v>-162800</v>
      </c>
      <c r="J4067" s="1365" t="n">
        <f aca="false">F4067*G4067</f>
        <v>40700</v>
      </c>
      <c r="K4067" s="1365" t="n">
        <f aca="false">J4067/1792.8</f>
        <v>22.7019187862561</v>
      </c>
      <c r="L4067" s="891" t="n">
        <v>20</v>
      </c>
      <c r="M4067" s="1273" t="n">
        <f aca="false">K4067*L4067/60</f>
        <v>7.56730626208538</v>
      </c>
    </row>
    <row r="4068" customFormat="false" ht="15" hidden="false" customHeight="false" outlineLevel="0" collapsed="false">
      <c r="A4068" s="28"/>
      <c r="B4068" s="972"/>
      <c r="C4068" s="40" t="s">
        <v>7155</v>
      </c>
      <c r="D4068" s="316" t="n">
        <v>2007</v>
      </c>
      <c r="E4068" s="912" t="n">
        <f aca="false">2021-D4068</f>
        <v>14</v>
      </c>
      <c r="F4068" s="891" t="n">
        <v>810000</v>
      </c>
      <c r="G4068" s="1364" t="n">
        <v>0.1</v>
      </c>
      <c r="H4068" s="891" t="n">
        <f aca="false">E4068*F4068*G4068</f>
        <v>1134000</v>
      </c>
      <c r="I4068" s="891" t="n">
        <f aca="false">F4068-H4068</f>
        <v>-324000</v>
      </c>
      <c r="J4068" s="1365" t="n">
        <f aca="false">F4068*G4068</f>
        <v>81000</v>
      </c>
      <c r="K4068" s="1365" t="n">
        <f aca="false">J4068/1792.8</f>
        <v>45.1807228915663</v>
      </c>
      <c r="L4068" s="891" t="n">
        <v>4.8</v>
      </c>
      <c r="M4068" s="1273" t="n">
        <f aca="false">K4068*L4068/60</f>
        <v>3.6144578313253</v>
      </c>
    </row>
    <row r="4069" customFormat="false" ht="15" hidden="false" customHeight="false" outlineLevel="0" collapsed="false">
      <c r="A4069" s="28"/>
      <c r="B4069" s="972"/>
      <c r="C4069" s="40" t="s">
        <v>7156</v>
      </c>
      <c r="D4069" s="316" t="n">
        <v>2015</v>
      </c>
      <c r="E4069" s="912" t="n">
        <f aca="false">2021-D4069</f>
        <v>6</v>
      </c>
      <c r="F4069" s="891" t="n">
        <v>694025</v>
      </c>
      <c r="G4069" s="1364" t="n">
        <v>0.1</v>
      </c>
      <c r="H4069" s="891" t="n">
        <f aca="false">E4069*F4069*G4069</f>
        <v>416415</v>
      </c>
      <c r="I4069" s="891" t="n">
        <f aca="false">F4069-H4069</f>
        <v>277610</v>
      </c>
      <c r="J4069" s="1365" t="n">
        <f aca="false">F4069*G4069</f>
        <v>69402.5</v>
      </c>
      <c r="K4069" s="1365" t="n">
        <f aca="false">J4069/1792.8</f>
        <v>38.711791610888</v>
      </c>
      <c r="L4069" s="891" t="n">
        <v>18</v>
      </c>
      <c r="M4069" s="1273" t="n">
        <f aca="false">K4069*L4069/60</f>
        <v>11.6135374832664</v>
      </c>
    </row>
    <row r="4070" customFormat="false" ht="15" hidden="false" customHeight="false" outlineLevel="0" collapsed="false">
      <c r="A4070" s="28"/>
      <c r="B4070" s="972"/>
      <c r="C4070" s="40" t="s">
        <v>7157</v>
      </c>
      <c r="D4070" s="316" t="n">
        <v>2006</v>
      </c>
      <c r="E4070" s="912" t="n">
        <f aca="false">2021-D4070</f>
        <v>15</v>
      </c>
      <c r="F4070" s="891" t="n">
        <v>77000</v>
      </c>
      <c r="G4070" s="1364" t="n">
        <v>0.05</v>
      </c>
      <c r="H4070" s="891" t="n">
        <f aca="false">E4070*F4070*G4070</f>
        <v>57750</v>
      </c>
      <c r="I4070" s="891" t="n">
        <f aca="false">F4070-H4070</f>
        <v>19250</v>
      </c>
      <c r="J4070" s="1365" t="n">
        <f aca="false">F4070*G4070</f>
        <v>3850</v>
      </c>
      <c r="K4070" s="1365" t="n">
        <f aca="false">J4070/1792.8</f>
        <v>2.14747880410531</v>
      </c>
      <c r="L4070" s="891" t="n">
        <v>9.6</v>
      </c>
      <c r="M4070" s="1273" t="n">
        <f aca="false">K4070*L4070/60</f>
        <v>0.34359660865685</v>
      </c>
    </row>
    <row r="4071" customFormat="false" ht="15" hidden="false" customHeight="false" outlineLevel="0" collapsed="false">
      <c r="A4071" s="28"/>
      <c r="B4071" s="972"/>
      <c r="C4071" s="40" t="s">
        <v>7158</v>
      </c>
      <c r="D4071" s="316" t="n">
        <v>2007</v>
      </c>
      <c r="E4071" s="912" t="n">
        <f aca="false">2021-D4071</f>
        <v>14</v>
      </c>
      <c r="F4071" s="891" t="n">
        <v>482500</v>
      </c>
      <c r="G4071" s="1364" t="n">
        <v>0.1</v>
      </c>
      <c r="H4071" s="891" t="n">
        <f aca="false">E4071*F4071*G4071</f>
        <v>675500</v>
      </c>
      <c r="I4071" s="891" t="n">
        <f aca="false">F4071-H4071</f>
        <v>-193000</v>
      </c>
      <c r="J4071" s="1365" t="n">
        <f aca="false">F4071*G4071</f>
        <v>48250</v>
      </c>
      <c r="K4071" s="1365" t="n">
        <f aca="false">J4071/1792.8</f>
        <v>26.913208389112</v>
      </c>
      <c r="L4071" s="891" t="n">
        <v>9.6</v>
      </c>
      <c r="M4071" s="1273" t="n">
        <f aca="false">K4071*L4071/60</f>
        <v>4.30611334225792</v>
      </c>
    </row>
    <row r="4072" customFormat="false" ht="15" hidden="false" customHeight="false" outlineLevel="0" collapsed="false">
      <c r="A4072" s="28"/>
      <c r="B4072" s="972"/>
      <c r="C4072" s="40" t="s">
        <v>7159</v>
      </c>
      <c r="D4072" s="316" t="n">
        <v>2007</v>
      </c>
      <c r="E4072" s="912" t="n">
        <f aca="false">2021-D4072</f>
        <v>14</v>
      </c>
      <c r="F4072" s="891" t="n">
        <v>68000</v>
      </c>
      <c r="G4072" s="1364" t="n">
        <v>0.1</v>
      </c>
      <c r="H4072" s="891" t="n">
        <f aca="false">E4072*F4072*G4072</f>
        <v>95200</v>
      </c>
      <c r="I4072" s="891" t="n">
        <f aca="false">F4072-H4072</f>
        <v>-27200</v>
      </c>
      <c r="J4072" s="1365" t="n">
        <f aca="false">F4072*G4072</f>
        <v>6800</v>
      </c>
      <c r="K4072" s="1365" t="n">
        <f aca="false">J4072/1792.8</f>
        <v>3.79294957608211</v>
      </c>
      <c r="L4072" s="891" t="n">
        <v>3.6</v>
      </c>
      <c r="M4072" s="1273" t="n">
        <f aca="false">K4072*L4072/60</f>
        <v>0.227576974564926</v>
      </c>
    </row>
    <row r="4073" customFormat="false" ht="15" hidden="false" customHeight="false" outlineLevel="0" collapsed="false">
      <c r="A4073" s="28"/>
      <c r="B4073" s="972"/>
      <c r="C4073" s="1053"/>
      <c r="D4073" s="965"/>
      <c r="E4073" s="912"/>
      <c r="F4073" s="1490"/>
      <c r="G4073" s="1490"/>
      <c r="H4073" s="1490"/>
      <c r="I4073" s="1490"/>
      <c r="J4073" s="1490"/>
      <c r="K4073" s="1365" t="n">
        <f aca="false">J4073/1792.8</f>
        <v>0</v>
      </c>
      <c r="L4073" s="1490"/>
      <c r="M4073" s="1366" t="n">
        <f aca="false">SUM(M4067:M4072)</f>
        <v>27.6725885021568</v>
      </c>
    </row>
    <row r="4074" customFormat="false" ht="30" hidden="false" customHeight="false" outlineLevel="0" collapsed="false">
      <c r="A4074" s="28" t="s">
        <v>1978</v>
      </c>
      <c r="B4074" s="40" t="s">
        <v>3725</v>
      </c>
      <c r="C4074" s="40" t="s">
        <v>7186</v>
      </c>
      <c r="D4074" s="316" t="n">
        <v>2007</v>
      </c>
      <c r="E4074" s="912" t="n">
        <f aca="false">2021-D4074</f>
        <v>14</v>
      </c>
      <c r="F4074" s="891" t="n">
        <v>407000</v>
      </c>
      <c r="G4074" s="1364" t="n">
        <v>0.1</v>
      </c>
      <c r="H4074" s="891" t="n">
        <f aca="false">E4074*F4074*G4074</f>
        <v>569800</v>
      </c>
      <c r="I4074" s="891" t="n">
        <f aca="false">F4074-H4074</f>
        <v>-162800</v>
      </c>
      <c r="J4074" s="1365" t="n">
        <f aca="false">F4074*G4074</f>
        <v>40700</v>
      </c>
      <c r="K4074" s="1365" t="n">
        <f aca="false">J4074/1792.8</f>
        <v>22.7019187862561</v>
      </c>
      <c r="L4074" s="891" t="n">
        <v>144</v>
      </c>
      <c r="M4074" s="1273" t="n">
        <f aca="false">K4074*L4074/60</f>
        <v>54.4846050870147</v>
      </c>
    </row>
    <row r="4075" customFormat="false" ht="15" hidden="false" customHeight="false" outlineLevel="0" collapsed="false">
      <c r="A4075" s="28"/>
      <c r="B4075" s="78"/>
      <c r="C4075" s="40" t="s">
        <v>7187</v>
      </c>
      <c r="D4075" s="316" t="n">
        <v>2007</v>
      </c>
      <c r="E4075" s="912" t="n">
        <f aca="false">2021-D4075</f>
        <v>14</v>
      </c>
      <c r="F4075" s="891" t="n">
        <v>407000</v>
      </c>
      <c r="G4075" s="1364" t="n">
        <v>0.1</v>
      </c>
      <c r="H4075" s="891" t="n">
        <f aca="false">E4075*F4075*G4075</f>
        <v>569800</v>
      </c>
      <c r="I4075" s="891" t="n">
        <f aca="false">F4075-H4075</f>
        <v>-162800</v>
      </c>
      <c r="J4075" s="1365" t="n">
        <f aca="false">F4075*G4075</f>
        <v>40700</v>
      </c>
      <c r="K4075" s="1365" t="n">
        <f aca="false">J4075/1792.8</f>
        <v>22.7019187862561</v>
      </c>
      <c r="L4075" s="891" t="n">
        <v>144</v>
      </c>
      <c r="M4075" s="1273" t="n">
        <f aca="false">K4075*L4075/60</f>
        <v>54.4846050870147</v>
      </c>
    </row>
    <row r="4076" customFormat="false" ht="15" hidden="false" customHeight="false" outlineLevel="0" collapsed="false">
      <c r="A4076" s="28"/>
      <c r="B4076" s="78"/>
      <c r="C4076" s="40" t="s">
        <v>7155</v>
      </c>
      <c r="D4076" s="316" t="n">
        <v>2007</v>
      </c>
      <c r="E4076" s="912" t="n">
        <f aca="false">2021-D4076</f>
        <v>14</v>
      </c>
      <c r="F4076" s="891" t="n">
        <v>810000</v>
      </c>
      <c r="G4076" s="1364" t="n">
        <v>0.1</v>
      </c>
      <c r="H4076" s="891" t="n">
        <f aca="false">E4076*F4076*G4076</f>
        <v>1134000</v>
      </c>
      <c r="I4076" s="891" t="n">
        <f aca="false">F4076-H4076</f>
        <v>-324000</v>
      </c>
      <c r="J4076" s="1365" t="n">
        <f aca="false">F4076*G4076</f>
        <v>81000</v>
      </c>
      <c r="K4076" s="1365" t="n">
        <f aca="false">J4076/1792.8</f>
        <v>45.1807228915663</v>
      </c>
      <c r="L4076" s="891" t="n">
        <v>1.2</v>
      </c>
      <c r="M4076" s="1273" t="n">
        <f aca="false">K4076*L4076/60</f>
        <v>0.903614457831325</v>
      </c>
    </row>
    <row r="4077" customFormat="false" ht="15" hidden="false" customHeight="false" outlineLevel="0" collapsed="false">
      <c r="A4077" s="28"/>
      <c r="B4077" s="78"/>
      <c r="C4077" s="40" t="s">
        <v>7156</v>
      </c>
      <c r="D4077" s="316" t="n">
        <v>2015</v>
      </c>
      <c r="E4077" s="912" t="n">
        <f aca="false">2021-D4077</f>
        <v>6</v>
      </c>
      <c r="F4077" s="891" t="n">
        <v>694025</v>
      </c>
      <c r="G4077" s="1364" t="n">
        <v>0.1</v>
      </c>
      <c r="H4077" s="891" t="n">
        <f aca="false">E4077*F4077*G4077</f>
        <v>416415</v>
      </c>
      <c r="I4077" s="891" t="n">
        <f aca="false">F4077-H4077</f>
        <v>277610</v>
      </c>
      <c r="J4077" s="1365" t="n">
        <f aca="false">F4077*G4077</f>
        <v>69402.5</v>
      </c>
      <c r="K4077" s="1365" t="n">
        <f aca="false">J4077/1792.8</f>
        <v>38.711791610888</v>
      </c>
      <c r="L4077" s="891" t="n">
        <v>18</v>
      </c>
      <c r="M4077" s="1273" t="n">
        <f aca="false">K4077*L4077/60</f>
        <v>11.6135374832664</v>
      </c>
    </row>
    <row r="4078" customFormat="false" ht="15" hidden="false" customHeight="false" outlineLevel="0" collapsed="false">
      <c r="A4078" s="28"/>
      <c r="B4078" s="78"/>
      <c r="C4078" s="40" t="s">
        <v>7157</v>
      </c>
      <c r="D4078" s="316" t="n">
        <v>2006</v>
      </c>
      <c r="E4078" s="912" t="n">
        <f aca="false">2021-D4078</f>
        <v>15</v>
      </c>
      <c r="F4078" s="891" t="n">
        <v>77000</v>
      </c>
      <c r="G4078" s="1364" t="n">
        <v>0.05</v>
      </c>
      <c r="H4078" s="891" t="n">
        <f aca="false">E4078*F4078*G4078</f>
        <v>57750</v>
      </c>
      <c r="I4078" s="891" t="n">
        <f aca="false">F4078-H4078</f>
        <v>19250</v>
      </c>
      <c r="J4078" s="1365" t="n">
        <f aca="false">F4078*G4078</f>
        <v>3850</v>
      </c>
      <c r="K4078" s="1365" t="n">
        <f aca="false">J4078/1792.8</f>
        <v>2.14747880410531</v>
      </c>
      <c r="L4078" s="891" t="n">
        <v>5</v>
      </c>
      <c r="M4078" s="1273" t="n">
        <f aca="false">K4078*L4078/60</f>
        <v>0.178956567008776</v>
      </c>
    </row>
    <row r="4079" customFormat="false" ht="15" hidden="false" customHeight="false" outlineLevel="0" collapsed="false">
      <c r="A4079" s="28"/>
      <c r="B4079" s="78"/>
      <c r="C4079" s="40" t="s">
        <v>7158</v>
      </c>
      <c r="D4079" s="316" t="n">
        <v>2007</v>
      </c>
      <c r="E4079" s="912" t="n">
        <f aca="false">2021-D4079</f>
        <v>14</v>
      </c>
      <c r="F4079" s="891" t="n">
        <v>482500</v>
      </c>
      <c r="G4079" s="1364" t="n">
        <v>0.1</v>
      </c>
      <c r="H4079" s="891" t="n">
        <f aca="false">E4079*F4079*G4079</f>
        <v>675500</v>
      </c>
      <c r="I4079" s="891" t="n">
        <f aca="false">F4079-H4079</f>
        <v>-193000</v>
      </c>
      <c r="J4079" s="1365" t="n">
        <f aca="false">F4079*G4079</f>
        <v>48250</v>
      </c>
      <c r="K4079" s="1365" t="n">
        <f aca="false">J4079/1792.8</f>
        <v>26.913208389112</v>
      </c>
      <c r="L4079" s="891" t="n">
        <v>7.2</v>
      </c>
      <c r="M4079" s="1273" t="n">
        <f aca="false">K4079*L4079/60</f>
        <v>3.22958500669344</v>
      </c>
    </row>
    <row r="4080" customFormat="false" ht="15" hidden="false" customHeight="false" outlineLevel="0" collapsed="false">
      <c r="A4080" s="28"/>
      <c r="B4080" s="78"/>
      <c r="C4080" s="40" t="s">
        <v>7159</v>
      </c>
      <c r="D4080" s="316" t="n">
        <v>2007</v>
      </c>
      <c r="E4080" s="912" t="n">
        <f aca="false">2021-D4080</f>
        <v>14</v>
      </c>
      <c r="F4080" s="891" t="n">
        <v>68000</v>
      </c>
      <c r="G4080" s="1364" t="n">
        <v>0.1</v>
      </c>
      <c r="H4080" s="891" t="n">
        <f aca="false">E4080*F4080*G4080</f>
        <v>95200</v>
      </c>
      <c r="I4080" s="891" t="n">
        <f aca="false">F4080-H4080</f>
        <v>-27200</v>
      </c>
      <c r="J4080" s="1365" t="n">
        <f aca="false">F4080*G4080</f>
        <v>6800</v>
      </c>
      <c r="K4080" s="1365" t="n">
        <f aca="false">J4080/1792.8</f>
        <v>3.79294957608211</v>
      </c>
      <c r="L4080" s="891" t="n">
        <v>9.6</v>
      </c>
      <c r="M4080" s="1273" t="n">
        <f aca="false">K4080*L4080/60</f>
        <v>0.606871932173137</v>
      </c>
    </row>
    <row r="4081" customFormat="false" ht="15" hidden="false" customHeight="false" outlineLevel="0" collapsed="false">
      <c r="A4081" s="28"/>
      <c r="B4081" s="78"/>
      <c r="C4081" s="40" t="s">
        <v>7170</v>
      </c>
      <c r="D4081" s="316" t="n">
        <v>2010</v>
      </c>
      <c r="E4081" s="912" t="n">
        <f aca="false">2021-D4081</f>
        <v>11</v>
      </c>
      <c r="F4081" s="891" t="n">
        <v>223200</v>
      </c>
      <c r="G4081" s="891" t="n">
        <v>0</v>
      </c>
      <c r="H4081" s="891" t="n">
        <f aca="false">E4081*F4081*G4081</f>
        <v>0</v>
      </c>
      <c r="I4081" s="891" t="n">
        <f aca="false">F4081-H4081</f>
        <v>223200</v>
      </c>
      <c r="J4081" s="1365" t="n">
        <f aca="false">F4081*G4081</f>
        <v>0</v>
      </c>
      <c r="K4081" s="1365" t="n">
        <f aca="false">J4081/1792.8</f>
        <v>0</v>
      </c>
      <c r="L4081" s="891" t="n">
        <v>5</v>
      </c>
      <c r="M4081" s="1273" t="n">
        <f aca="false">K4081*L4081/60</f>
        <v>0</v>
      </c>
    </row>
    <row r="4082" customFormat="false" ht="15" hidden="false" customHeight="false" outlineLevel="0" collapsed="false">
      <c r="A4082" s="216"/>
      <c r="B4082" s="78"/>
      <c r="C4082" s="40" t="s">
        <v>7188</v>
      </c>
      <c r="D4082" s="316" t="n">
        <v>2006</v>
      </c>
      <c r="E4082" s="912" t="n">
        <f aca="false">2021-D4082</f>
        <v>15</v>
      </c>
      <c r="F4082" s="891" t="n">
        <v>30000</v>
      </c>
      <c r="G4082" s="891"/>
      <c r="H4082" s="891" t="n">
        <f aca="false">E4082*F4082*G4082</f>
        <v>0</v>
      </c>
      <c r="I4082" s="891" t="n">
        <f aca="false">F4082-H4082</f>
        <v>30000</v>
      </c>
      <c r="J4082" s="1365" t="n">
        <f aca="false">F4082*G4082</f>
        <v>0</v>
      </c>
      <c r="K4082" s="1365" t="n">
        <f aca="false">J4082/1792.8</f>
        <v>0</v>
      </c>
      <c r="L4082" s="891" t="n">
        <v>5</v>
      </c>
      <c r="M4082" s="1273" t="n">
        <f aca="false">K4082*L4082/60</f>
        <v>0</v>
      </c>
    </row>
    <row r="4083" customFormat="false" ht="15" hidden="false" customHeight="false" outlineLevel="0" collapsed="false">
      <c r="A4083" s="28"/>
      <c r="B4083" s="78"/>
      <c r="C4083" s="40" t="s">
        <v>7176</v>
      </c>
      <c r="D4083" s="316" t="n">
        <v>2007</v>
      </c>
      <c r="E4083" s="912" t="n">
        <f aca="false">2021-D4083</f>
        <v>14</v>
      </c>
      <c r="F4083" s="891" t="n">
        <v>25000</v>
      </c>
      <c r="G4083" s="1364" t="n">
        <v>0.1</v>
      </c>
      <c r="H4083" s="891" t="n">
        <f aca="false">E4083*F4083*G4083</f>
        <v>35000</v>
      </c>
      <c r="I4083" s="891" t="n">
        <f aca="false">F4083-H4083</f>
        <v>-10000</v>
      </c>
      <c r="J4083" s="1365" t="n">
        <f aca="false">F4083*G4083</f>
        <v>2500</v>
      </c>
      <c r="K4083" s="1365" t="n">
        <f aca="false">J4083/1792.8</f>
        <v>1.39446675591254</v>
      </c>
      <c r="L4083" s="891" t="n">
        <v>5</v>
      </c>
      <c r="M4083" s="1273" t="n">
        <f aca="false">K4083*L4083/60</f>
        <v>0.116205562992712</v>
      </c>
    </row>
    <row r="4084" customFormat="false" ht="15" hidden="false" customHeight="false" outlineLevel="0" collapsed="false">
      <c r="A4084" s="28"/>
      <c r="B4084" s="972" t="s">
        <v>4128</v>
      </c>
      <c r="C4084" s="1053"/>
      <c r="D4084" s="965"/>
      <c r="E4084" s="912"/>
      <c r="F4084" s="1490"/>
      <c r="G4084" s="1490"/>
      <c r="H4084" s="1490"/>
      <c r="I4084" s="1490"/>
      <c r="J4084" s="1490"/>
      <c r="K4084" s="1365" t="n">
        <f aca="false">J4084/1792.8</f>
        <v>0</v>
      </c>
      <c r="L4084" s="1490"/>
      <c r="M4084" s="1366" t="n">
        <f aca="false">SUM(M4074:M4083)</f>
        <v>125.617981183995</v>
      </c>
    </row>
    <row r="4085" customFormat="false" ht="30" hidden="false" customHeight="false" outlineLevel="0" collapsed="false">
      <c r="A4085" s="28" t="s">
        <v>1980</v>
      </c>
      <c r="B4085" s="40" t="s">
        <v>3667</v>
      </c>
      <c r="C4085" s="40" t="s">
        <v>7186</v>
      </c>
      <c r="D4085" s="316" t="n">
        <v>2007</v>
      </c>
      <c r="E4085" s="912" t="n">
        <f aca="false">2021-D4085</f>
        <v>14</v>
      </c>
      <c r="F4085" s="891" t="n">
        <v>407000</v>
      </c>
      <c r="G4085" s="1364" t="n">
        <v>0.1</v>
      </c>
      <c r="H4085" s="891" t="n">
        <f aca="false">E4085*F4085*G4085</f>
        <v>569800</v>
      </c>
      <c r="I4085" s="891" t="n">
        <f aca="false">F4085-H4085</f>
        <v>-162800</v>
      </c>
      <c r="J4085" s="1365" t="n">
        <f aca="false">F4085*G4085</f>
        <v>40700</v>
      </c>
      <c r="K4085" s="1365" t="n">
        <f aca="false">J4085/1792.8</f>
        <v>22.7019187862561</v>
      </c>
      <c r="L4085" s="891" t="n">
        <v>144</v>
      </c>
      <c r="M4085" s="1273" t="n">
        <f aca="false">K4085*L4085/60</f>
        <v>54.4846050870147</v>
      </c>
    </row>
    <row r="4086" customFormat="false" ht="15" hidden="false" customHeight="false" outlineLevel="0" collapsed="false">
      <c r="A4086" s="28"/>
      <c r="B4086" s="972"/>
      <c r="C4086" s="40" t="s">
        <v>7159</v>
      </c>
      <c r="D4086" s="316" t="n">
        <v>2007</v>
      </c>
      <c r="E4086" s="912" t="n">
        <f aca="false">2021-D4086</f>
        <v>14</v>
      </c>
      <c r="F4086" s="891" t="n">
        <v>68000</v>
      </c>
      <c r="G4086" s="1364" t="n">
        <v>0.1</v>
      </c>
      <c r="H4086" s="891" t="n">
        <f aca="false">E4086*F4086*G4086</f>
        <v>95200</v>
      </c>
      <c r="I4086" s="891" t="n">
        <f aca="false">F4086-H4086</f>
        <v>-27200</v>
      </c>
      <c r="J4086" s="1365" t="n">
        <f aca="false">F4086*G4086</f>
        <v>6800</v>
      </c>
      <c r="K4086" s="1365" t="n">
        <f aca="false">J4086/1792.8</f>
        <v>3.79294957608211</v>
      </c>
      <c r="L4086" s="891" t="n">
        <v>9.6</v>
      </c>
      <c r="M4086" s="1273" t="n">
        <f aca="false">K4086*L4086/60</f>
        <v>0.606871932173137</v>
      </c>
    </row>
    <row r="4087" customFormat="false" ht="15" hidden="false" customHeight="false" outlineLevel="0" collapsed="false">
      <c r="A4087" s="28"/>
      <c r="B4087" s="972"/>
      <c r="C4087" s="40" t="s">
        <v>7163</v>
      </c>
      <c r="D4087" s="316" t="n">
        <v>1994</v>
      </c>
      <c r="E4087" s="912" t="n">
        <f aca="false">2021-D4087</f>
        <v>27</v>
      </c>
      <c r="F4087" s="891"/>
      <c r="G4087" s="891"/>
      <c r="H4087" s="891" t="n">
        <f aca="false">E4087*F4087*G4087</f>
        <v>0</v>
      </c>
      <c r="I4087" s="891" t="n">
        <f aca="false">F4087-H4087</f>
        <v>0</v>
      </c>
      <c r="J4087" s="1365" t="n">
        <f aca="false">F4087*G4087</f>
        <v>0</v>
      </c>
      <c r="K4087" s="1365" t="n">
        <f aca="false">J4087/1792.8</f>
        <v>0</v>
      </c>
      <c r="L4087" s="891" t="n">
        <v>10</v>
      </c>
      <c r="M4087" s="1273" t="n">
        <f aca="false">K4087*L4087/60</f>
        <v>0</v>
      </c>
    </row>
    <row r="4088" customFormat="false" ht="15" hidden="false" customHeight="false" outlineLevel="0" collapsed="false">
      <c r="A4088" s="28"/>
      <c r="B4088" s="972"/>
      <c r="C4088" s="40" t="s">
        <v>7158</v>
      </c>
      <c r="D4088" s="316" t="n">
        <v>2007</v>
      </c>
      <c r="E4088" s="912" t="n">
        <f aca="false">2021-D4088</f>
        <v>14</v>
      </c>
      <c r="F4088" s="891" t="n">
        <v>482500</v>
      </c>
      <c r="G4088" s="1364" t="n">
        <v>0.1</v>
      </c>
      <c r="H4088" s="891" t="n">
        <f aca="false">E4088*F4088*G4088</f>
        <v>675500</v>
      </c>
      <c r="I4088" s="891" t="n">
        <f aca="false">F4088-H4088</f>
        <v>-193000</v>
      </c>
      <c r="J4088" s="1365" t="n">
        <f aca="false">F4088*G4088</f>
        <v>48250</v>
      </c>
      <c r="K4088" s="1365" t="n">
        <f aca="false">J4088/1792.8</f>
        <v>26.913208389112</v>
      </c>
      <c r="L4088" s="891" t="n">
        <v>3.6</v>
      </c>
      <c r="M4088" s="1273" t="n">
        <f aca="false">K4088*L4088/60</f>
        <v>1.61479250334672</v>
      </c>
    </row>
    <row r="4089" customFormat="false" ht="15" hidden="false" customHeight="false" outlineLevel="0" collapsed="false">
      <c r="A4089" s="216"/>
      <c r="B4089" s="972"/>
      <c r="C4089" s="59" t="s">
        <v>7162</v>
      </c>
      <c r="D4089" s="316" t="n">
        <v>2007</v>
      </c>
      <c r="E4089" s="912" t="n">
        <f aca="false">2021-D4089</f>
        <v>14</v>
      </c>
      <c r="F4089" s="891" t="n">
        <v>46650</v>
      </c>
      <c r="G4089" s="1364" t="n">
        <v>0.1</v>
      </c>
      <c r="H4089" s="891" t="n">
        <f aca="false">E4089*F4089*G4089</f>
        <v>65310</v>
      </c>
      <c r="I4089" s="891" t="n">
        <f aca="false">F4089-H4089</f>
        <v>-18660</v>
      </c>
      <c r="J4089" s="1365" t="n">
        <f aca="false">F4089*G4089</f>
        <v>4665</v>
      </c>
      <c r="K4089" s="1365" t="n">
        <f aca="false">J4089/1792.8</f>
        <v>2.6020749665328</v>
      </c>
      <c r="L4089" s="891" t="n">
        <v>10</v>
      </c>
      <c r="M4089" s="1273" t="n">
        <f aca="false">K4089*L4089/60</f>
        <v>0.4336791610888</v>
      </c>
    </row>
    <row r="4090" customFormat="false" ht="15" hidden="false" customHeight="false" outlineLevel="0" collapsed="false">
      <c r="A4090" s="28"/>
      <c r="B4090" s="972"/>
      <c r="C4090" s="40" t="s">
        <v>7161</v>
      </c>
      <c r="D4090" s="316" t="n">
        <v>2007</v>
      </c>
      <c r="E4090" s="912" t="n">
        <f aca="false">2021-D4090</f>
        <v>14</v>
      </c>
      <c r="F4090" s="891" t="n">
        <v>1849800</v>
      </c>
      <c r="G4090" s="1364" t="n">
        <v>0.1</v>
      </c>
      <c r="H4090" s="891" t="n">
        <f aca="false">E4090*F4090*G4090</f>
        <v>2589720</v>
      </c>
      <c r="I4090" s="891" t="n">
        <f aca="false">F4090-H4090</f>
        <v>-739920</v>
      </c>
      <c r="J4090" s="1365" t="n">
        <f aca="false">F4090*G4090</f>
        <v>184980</v>
      </c>
      <c r="K4090" s="1365" t="n">
        <f aca="false">J4090/1792.8</f>
        <v>103.179384203481</v>
      </c>
      <c r="L4090" s="891" t="n">
        <v>5</v>
      </c>
      <c r="M4090" s="1273" t="n">
        <f aca="false">K4090*L4090/60</f>
        <v>8.59828201695672</v>
      </c>
    </row>
    <row r="4091" customFormat="false" ht="15" hidden="false" customHeight="false" outlineLevel="0" collapsed="false">
      <c r="A4091" s="28"/>
      <c r="B4091" s="972" t="s">
        <v>4128</v>
      </c>
      <c r="C4091" s="1053"/>
      <c r="D4091" s="965"/>
      <c r="E4091" s="912"/>
      <c r="F4091" s="1490"/>
      <c r="G4091" s="1372"/>
      <c r="H4091" s="1490"/>
      <c r="I4091" s="1490"/>
      <c r="J4091" s="1370"/>
      <c r="K4091" s="1365" t="n">
        <f aca="false">J4091/1792.8</f>
        <v>0</v>
      </c>
      <c r="L4091" s="1490"/>
      <c r="M4091" s="1366" t="n">
        <f aca="false">SUM(M4085:M4090)</f>
        <v>65.7382307005801</v>
      </c>
    </row>
    <row r="4092" customFormat="false" ht="30" hidden="false" customHeight="false" outlineLevel="0" collapsed="false">
      <c r="A4092" s="28" t="s">
        <v>1982</v>
      </c>
      <c r="B4092" s="40" t="s">
        <v>3668</v>
      </c>
      <c r="C4092" s="40" t="s">
        <v>7154</v>
      </c>
      <c r="D4092" s="316" t="n">
        <v>2007</v>
      </c>
      <c r="E4092" s="912" t="n">
        <f aca="false">2021-D4092</f>
        <v>14</v>
      </c>
      <c r="F4092" s="891" t="n">
        <v>407000</v>
      </c>
      <c r="G4092" s="1364" t="n">
        <v>0.1</v>
      </c>
      <c r="H4092" s="891" t="n">
        <f aca="false">E4092*F4092*G4092</f>
        <v>569800</v>
      </c>
      <c r="I4092" s="891" t="n">
        <f aca="false">F4092-H4092</f>
        <v>-162800</v>
      </c>
      <c r="J4092" s="1365" t="n">
        <f aca="false">F4092*G4092</f>
        <v>40700</v>
      </c>
      <c r="K4092" s="1365" t="n">
        <f aca="false">J4092/1792.8</f>
        <v>22.7019187862561</v>
      </c>
      <c r="L4092" s="891" t="n">
        <v>20</v>
      </c>
      <c r="M4092" s="1273" t="n">
        <f aca="false">K4092*L4092/60</f>
        <v>7.56730626208538</v>
      </c>
    </row>
    <row r="4093" customFormat="false" ht="15" hidden="false" customHeight="false" outlineLevel="0" collapsed="false">
      <c r="A4093" s="28"/>
      <c r="B4093" s="40"/>
      <c r="C4093" s="40" t="s">
        <v>7155</v>
      </c>
      <c r="D4093" s="316" t="n">
        <v>2007</v>
      </c>
      <c r="E4093" s="912" t="n">
        <f aca="false">2021-D4093</f>
        <v>14</v>
      </c>
      <c r="F4093" s="891" t="n">
        <v>810000</v>
      </c>
      <c r="G4093" s="1364" t="n">
        <v>0.1</v>
      </c>
      <c r="H4093" s="891" t="n">
        <f aca="false">E4093*F4093*G4093</f>
        <v>1134000</v>
      </c>
      <c r="I4093" s="891" t="n">
        <f aca="false">F4093-H4093</f>
        <v>-324000</v>
      </c>
      <c r="J4093" s="1365" t="n">
        <f aca="false">F4093*G4093</f>
        <v>81000</v>
      </c>
      <c r="K4093" s="1365" t="n">
        <f aca="false">J4093/1792.8</f>
        <v>45.1807228915663</v>
      </c>
      <c r="L4093" s="891" t="n">
        <v>4.8</v>
      </c>
      <c r="M4093" s="1273" t="n">
        <f aca="false">K4093*L4093/60</f>
        <v>3.6144578313253</v>
      </c>
    </row>
    <row r="4094" customFormat="false" ht="15" hidden="false" customHeight="false" outlineLevel="0" collapsed="false">
      <c r="A4094" s="28"/>
      <c r="B4094" s="40"/>
      <c r="C4094" s="40" t="s">
        <v>7156</v>
      </c>
      <c r="D4094" s="316" t="n">
        <v>2015</v>
      </c>
      <c r="E4094" s="912" t="n">
        <f aca="false">2021-D4094</f>
        <v>6</v>
      </c>
      <c r="F4094" s="891" t="n">
        <v>694025</v>
      </c>
      <c r="G4094" s="1364" t="n">
        <v>0.1</v>
      </c>
      <c r="H4094" s="891" t="n">
        <f aca="false">E4094*F4094*G4094</f>
        <v>416415</v>
      </c>
      <c r="I4094" s="891" t="n">
        <f aca="false">F4094-H4094</f>
        <v>277610</v>
      </c>
      <c r="J4094" s="1365" t="n">
        <f aca="false">F4094*G4094</f>
        <v>69402.5</v>
      </c>
      <c r="K4094" s="1365" t="n">
        <f aca="false">J4094/1792.8</f>
        <v>38.711791610888</v>
      </c>
      <c r="L4094" s="891" t="n">
        <v>18</v>
      </c>
      <c r="M4094" s="1273" t="n">
        <f aca="false">K4094*L4094/60</f>
        <v>11.6135374832664</v>
      </c>
    </row>
    <row r="4095" customFormat="false" ht="15" hidden="false" customHeight="false" outlineLevel="0" collapsed="false">
      <c r="A4095" s="28"/>
      <c r="B4095" s="40"/>
      <c r="C4095" s="40" t="s">
        <v>7157</v>
      </c>
      <c r="D4095" s="316" t="n">
        <v>2006</v>
      </c>
      <c r="E4095" s="912" t="n">
        <f aca="false">2021-D4095</f>
        <v>15</v>
      </c>
      <c r="F4095" s="891" t="n">
        <v>77000</v>
      </c>
      <c r="G4095" s="1364" t="n">
        <v>0.05</v>
      </c>
      <c r="H4095" s="891" t="n">
        <f aca="false">E4095*F4095*G4095</f>
        <v>57750</v>
      </c>
      <c r="I4095" s="891" t="n">
        <f aca="false">F4095-H4095</f>
        <v>19250</v>
      </c>
      <c r="J4095" s="1365" t="n">
        <f aca="false">F4095*G4095</f>
        <v>3850</v>
      </c>
      <c r="K4095" s="1365" t="n">
        <f aca="false">J4095/1792.8</f>
        <v>2.14747880410531</v>
      </c>
      <c r="L4095" s="891" t="n">
        <v>9.6</v>
      </c>
      <c r="M4095" s="1273" t="n">
        <f aca="false">K4095*L4095/60</f>
        <v>0.34359660865685</v>
      </c>
    </row>
    <row r="4096" customFormat="false" ht="15" hidden="false" customHeight="false" outlineLevel="0" collapsed="false">
      <c r="A4096" s="28"/>
      <c r="B4096" s="40"/>
      <c r="C4096" s="40" t="s">
        <v>7158</v>
      </c>
      <c r="D4096" s="316" t="n">
        <v>2007</v>
      </c>
      <c r="E4096" s="912" t="n">
        <f aca="false">2021-D4096</f>
        <v>14</v>
      </c>
      <c r="F4096" s="891" t="n">
        <v>482500</v>
      </c>
      <c r="G4096" s="1364" t="n">
        <v>0.1</v>
      </c>
      <c r="H4096" s="891" t="n">
        <f aca="false">E4096*F4096*G4096</f>
        <v>675500</v>
      </c>
      <c r="I4096" s="891" t="n">
        <f aca="false">F4096-H4096</f>
        <v>-193000</v>
      </c>
      <c r="J4096" s="1365" t="n">
        <f aca="false">F4096*G4096</f>
        <v>48250</v>
      </c>
      <c r="K4096" s="1365" t="n">
        <f aca="false">J4096/1792.8</f>
        <v>26.913208389112</v>
      </c>
      <c r="L4096" s="891" t="n">
        <v>3.6</v>
      </c>
      <c r="M4096" s="1273" t="n">
        <f aca="false">K4096*L4096/60</f>
        <v>1.61479250334672</v>
      </c>
    </row>
    <row r="4097" customFormat="false" ht="15" hidden="false" customHeight="false" outlineLevel="0" collapsed="false">
      <c r="A4097" s="28"/>
      <c r="B4097" s="40"/>
      <c r="C4097" s="40" t="s">
        <v>7159</v>
      </c>
      <c r="D4097" s="316" t="n">
        <v>2007</v>
      </c>
      <c r="E4097" s="912" t="n">
        <f aca="false">2021-D4097</f>
        <v>14</v>
      </c>
      <c r="F4097" s="891" t="n">
        <v>68000</v>
      </c>
      <c r="G4097" s="1364" t="n">
        <v>0.1</v>
      </c>
      <c r="H4097" s="891" t="n">
        <f aca="false">E4097*F4097*G4097</f>
        <v>95200</v>
      </c>
      <c r="I4097" s="891" t="n">
        <f aca="false">F4097-H4097</f>
        <v>-27200</v>
      </c>
      <c r="J4097" s="1365" t="n">
        <f aca="false">F4097*G4097</f>
        <v>6800</v>
      </c>
      <c r="K4097" s="1365" t="n">
        <f aca="false">J4097/1792.8</f>
        <v>3.79294957608211</v>
      </c>
      <c r="L4097" s="891" t="n">
        <v>9.6</v>
      </c>
      <c r="M4097" s="1273" t="n">
        <f aca="false">K4097*L4097/60</f>
        <v>0.606871932173137</v>
      </c>
    </row>
    <row r="4098" customFormat="false" ht="15" hidden="false" customHeight="false" outlineLevel="0" collapsed="false">
      <c r="A4098" s="28"/>
      <c r="B4098" s="40"/>
      <c r="C4098" s="40" t="s">
        <v>7163</v>
      </c>
      <c r="D4098" s="316" t="n">
        <v>1994</v>
      </c>
      <c r="E4098" s="912" t="n">
        <f aca="false">2021-D4098</f>
        <v>27</v>
      </c>
      <c r="F4098" s="891"/>
      <c r="G4098" s="891"/>
      <c r="H4098" s="891" t="n">
        <f aca="false">E4098*F4098*G4098</f>
        <v>0</v>
      </c>
      <c r="I4098" s="891" t="n">
        <f aca="false">F4098-H4098</f>
        <v>0</v>
      </c>
      <c r="J4098" s="1365" t="n">
        <f aca="false">F4098*G4098</f>
        <v>0</v>
      </c>
      <c r="K4098" s="1365" t="n">
        <f aca="false">J4098/1792.8</f>
        <v>0</v>
      </c>
      <c r="L4098" s="891" t="n">
        <v>5</v>
      </c>
      <c r="M4098" s="1273" t="n">
        <f aca="false">K4098*L4098/60</f>
        <v>0</v>
      </c>
    </row>
    <row r="4099" customFormat="false" ht="15" hidden="false" customHeight="false" outlineLevel="0" collapsed="false">
      <c r="A4099" s="216"/>
      <c r="B4099" s="40"/>
      <c r="C4099" s="40" t="s">
        <v>7166</v>
      </c>
      <c r="D4099" s="316" t="n">
        <v>2007</v>
      </c>
      <c r="E4099" s="912" t="n">
        <f aca="false">2021-D4099</f>
        <v>14</v>
      </c>
      <c r="F4099" s="891" t="n">
        <v>200000</v>
      </c>
      <c r="G4099" s="1364" t="n">
        <v>0.1</v>
      </c>
      <c r="H4099" s="891" t="n">
        <f aca="false">E4099*F4099*G4099</f>
        <v>280000</v>
      </c>
      <c r="I4099" s="891" t="n">
        <f aca="false">F4099-H4099</f>
        <v>-80000</v>
      </c>
      <c r="J4099" s="1365" t="n">
        <f aca="false">F4099*G4099</f>
        <v>20000</v>
      </c>
      <c r="K4099" s="1365" t="n">
        <f aca="false">J4099/1792.8</f>
        <v>11.1557340473003</v>
      </c>
      <c r="L4099" s="891" t="n">
        <v>5</v>
      </c>
      <c r="M4099" s="1273" t="n">
        <f aca="false">K4099*L4099/60</f>
        <v>0.929644503941693</v>
      </c>
    </row>
    <row r="4100" customFormat="false" ht="30.75" hidden="false" customHeight="true" outlineLevel="0" collapsed="false">
      <c r="A4100" s="28"/>
      <c r="B4100" s="40"/>
      <c r="C4100" s="40" t="s">
        <v>7161</v>
      </c>
      <c r="D4100" s="316" t="n">
        <v>2007</v>
      </c>
      <c r="E4100" s="912" t="n">
        <f aca="false">2021-D4100</f>
        <v>14</v>
      </c>
      <c r="F4100" s="891" t="n">
        <v>1849800</v>
      </c>
      <c r="G4100" s="1364" t="n">
        <v>0.1</v>
      </c>
      <c r="H4100" s="891" t="n">
        <f aca="false">E4100*F4100*G4100</f>
        <v>2589720</v>
      </c>
      <c r="I4100" s="891" t="n">
        <f aca="false">F4100-H4100</f>
        <v>-739920</v>
      </c>
      <c r="J4100" s="1365" t="n">
        <f aca="false">F4100*G4100</f>
        <v>184980</v>
      </c>
      <c r="K4100" s="1365" t="n">
        <f aca="false">J4100/1792.8</f>
        <v>103.179384203481</v>
      </c>
      <c r="L4100" s="891" t="n">
        <v>5</v>
      </c>
      <c r="M4100" s="1273" t="n">
        <f aca="false">K4100*L4100/60</f>
        <v>8.59828201695672</v>
      </c>
    </row>
    <row r="4101" customFormat="false" ht="15" hidden="false" customHeight="false" outlineLevel="0" collapsed="false">
      <c r="A4101" s="28"/>
      <c r="B4101" s="40" t="s">
        <v>4128</v>
      </c>
      <c r="C4101" s="1053"/>
      <c r="D4101" s="965"/>
      <c r="E4101" s="912"/>
      <c r="F4101" s="1490"/>
      <c r="G4101" s="1490"/>
      <c r="H4101" s="1490"/>
      <c r="I4101" s="1490"/>
      <c r="J4101" s="1490"/>
      <c r="K4101" s="1365" t="n">
        <f aca="false">J4101/1792.8</f>
        <v>0</v>
      </c>
      <c r="L4101" s="1490"/>
      <c r="M4101" s="1366" t="n">
        <f aca="false">SUM(M4092:M4100)</f>
        <v>34.8884891417522</v>
      </c>
    </row>
    <row r="4102" customFormat="false" ht="30" hidden="false" customHeight="false" outlineLevel="0" collapsed="false">
      <c r="A4102" s="28" t="s">
        <v>1984</v>
      </c>
      <c r="B4102" s="78" t="s">
        <v>3726</v>
      </c>
      <c r="C4102" s="316"/>
      <c r="D4102" s="316"/>
      <c r="E4102" s="912"/>
      <c r="F4102" s="316"/>
      <c r="G4102" s="316"/>
      <c r="H4102" s="316"/>
      <c r="I4102" s="316"/>
      <c r="J4102" s="316"/>
      <c r="K4102" s="1365" t="n">
        <f aca="false">J4102/1792.8</f>
        <v>0</v>
      </c>
      <c r="L4102" s="316"/>
      <c r="M4102" s="316"/>
    </row>
    <row r="4103" customFormat="false" ht="114" hidden="false" customHeight="false" outlineLevel="0" collapsed="false">
      <c r="A4103" s="15" t="s">
        <v>1986</v>
      </c>
      <c r="B4103" s="54" t="s">
        <v>3727</v>
      </c>
      <c r="C4103" s="387"/>
      <c r="D4103" s="387"/>
      <c r="E4103" s="541"/>
      <c r="F4103" s="387"/>
      <c r="G4103" s="387"/>
      <c r="H4103" s="387"/>
      <c r="I4103" s="387"/>
      <c r="J4103" s="387"/>
      <c r="K4103" s="387"/>
      <c r="L4103" s="387"/>
      <c r="M4103" s="387"/>
    </row>
    <row r="4104" customFormat="false" ht="30" hidden="false" customHeight="false" outlineLevel="0" collapsed="false">
      <c r="A4104" s="28" t="s">
        <v>1988</v>
      </c>
      <c r="B4104" s="40" t="s">
        <v>3728</v>
      </c>
      <c r="C4104" s="40" t="s">
        <v>7186</v>
      </c>
      <c r="D4104" s="316" t="n">
        <v>2007</v>
      </c>
      <c r="E4104" s="912" t="n">
        <f aca="false">2021-D4104</f>
        <v>14</v>
      </c>
      <c r="F4104" s="891" t="n">
        <v>407000</v>
      </c>
      <c r="G4104" s="1364" t="n">
        <v>0.1</v>
      </c>
      <c r="H4104" s="891" t="n">
        <f aca="false">E4104*F4104*G4104</f>
        <v>569800</v>
      </c>
      <c r="I4104" s="891" t="n">
        <f aca="false">F4104-H4104</f>
        <v>-162800</v>
      </c>
      <c r="J4104" s="1365" t="n">
        <f aca="false">F4104*G4104</f>
        <v>40700</v>
      </c>
      <c r="K4104" s="1365" t="n">
        <f aca="false">J4104/1792.8</f>
        <v>22.7019187862561</v>
      </c>
      <c r="L4104" s="891" t="n">
        <v>20</v>
      </c>
      <c r="M4104" s="1273" t="n">
        <f aca="false">K4104*L4104/60</f>
        <v>7.56730626208538</v>
      </c>
    </row>
    <row r="4105" customFormat="false" ht="15" hidden="false" customHeight="false" outlineLevel="0" collapsed="false">
      <c r="A4105" s="28"/>
      <c r="B4105" s="78"/>
      <c r="C4105" s="40" t="s">
        <v>7155</v>
      </c>
      <c r="D4105" s="316" t="n">
        <v>2007</v>
      </c>
      <c r="E4105" s="912" t="n">
        <f aca="false">2021-D4105</f>
        <v>14</v>
      </c>
      <c r="F4105" s="891" t="n">
        <v>810000</v>
      </c>
      <c r="G4105" s="1364" t="n">
        <v>0.1</v>
      </c>
      <c r="H4105" s="891" t="n">
        <f aca="false">E4105*F4105*G4105</f>
        <v>1134000</v>
      </c>
      <c r="I4105" s="891" t="n">
        <f aca="false">F4105-H4105</f>
        <v>-324000</v>
      </c>
      <c r="J4105" s="1365" t="n">
        <f aca="false">F4105*G4105</f>
        <v>81000</v>
      </c>
      <c r="K4105" s="1365" t="n">
        <f aca="false">J4105/1792.8</f>
        <v>45.1807228915663</v>
      </c>
      <c r="L4105" s="891" t="n">
        <v>1.2</v>
      </c>
      <c r="M4105" s="1273" t="n">
        <f aca="false">K4105*L4105/60</f>
        <v>0.903614457831325</v>
      </c>
    </row>
    <row r="4106" customFormat="false" ht="15" hidden="false" customHeight="false" outlineLevel="0" collapsed="false">
      <c r="A4106" s="28"/>
      <c r="B4106" s="78"/>
      <c r="C4106" s="40" t="s">
        <v>7156</v>
      </c>
      <c r="D4106" s="316" t="n">
        <v>2015</v>
      </c>
      <c r="E4106" s="912" t="n">
        <f aca="false">2021-D4106</f>
        <v>6</v>
      </c>
      <c r="F4106" s="891" t="n">
        <v>694025</v>
      </c>
      <c r="G4106" s="1364" t="n">
        <v>0.1</v>
      </c>
      <c r="H4106" s="891" t="n">
        <f aca="false">E4106*F4106*G4106</f>
        <v>416415</v>
      </c>
      <c r="I4106" s="891" t="n">
        <f aca="false">F4106-H4106</f>
        <v>277610</v>
      </c>
      <c r="J4106" s="1365" t="n">
        <f aca="false">F4106*G4106</f>
        <v>69402.5</v>
      </c>
      <c r="K4106" s="1365" t="n">
        <f aca="false">J4106/1792.8</f>
        <v>38.711791610888</v>
      </c>
      <c r="L4106" s="891" t="n">
        <v>18</v>
      </c>
      <c r="M4106" s="1273" t="n">
        <f aca="false">K4106*L4106/60</f>
        <v>11.6135374832664</v>
      </c>
    </row>
    <row r="4107" customFormat="false" ht="15" hidden="false" customHeight="false" outlineLevel="0" collapsed="false">
      <c r="A4107" s="28"/>
      <c r="B4107" s="78"/>
      <c r="C4107" s="40" t="s">
        <v>7157</v>
      </c>
      <c r="D4107" s="316" t="n">
        <v>2006</v>
      </c>
      <c r="E4107" s="912" t="n">
        <f aca="false">2021-D4107</f>
        <v>15</v>
      </c>
      <c r="F4107" s="891" t="n">
        <v>77000</v>
      </c>
      <c r="G4107" s="1364" t="n">
        <v>0.05</v>
      </c>
      <c r="H4107" s="891" t="n">
        <f aca="false">E4107*F4107*G4107</f>
        <v>57750</v>
      </c>
      <c r="I4107" s="891" t="n">
        <f aca="false">F4107-H4107</f>
        <v>19250</v>
      </c>
      <c r="J4107" s="1365" t="n">
        <f aca="false">F4107*G4107</f>
        <v>3850</v>
      </c>
      <c r="K4107" s="1365" t="n">
        <f aca="false">J4107/1792.8</f>
        <v>2.14747880410531</v>
      </c>
      <c r="L4107" s="891" t="n">
        <v>5</v>
      </c>
      <c r="M4107" s="1273" t="n">
        <f aca="false">K4107*L4107/60</f>
        <v>0.178956567008776</v>
      </c>
    </row>
    <row r="4108" customFormat="false" ht="15" hidden="false" customHeight="false" outlineLevel="0" collapsed="false">
      <c r="A4108" s="28"/>
      <c r="B4108" s="78"/>
      <c r="C4108" s="40" t="s">
        <v>7158</v>
      </c>
      <c r="D4108" s="316" t="n">
        <v>2007</v>
      </c>
      <c r="E4108" s="912" t="n">
        <f aca="false">2021-D4108</f>
        <v>14</v>
      </c>
      <c r="F4108" s="891" t="n">
        <v>482500</v>
      </c>
      <c r="G4108" s="1364" t="n">
        <v>0.1</v>
      </c>
      <c r="H4108" s="891" t="n">
        <f aca="false">E4108*F4108*G4108</f>
        <v>675500</v>
      </c>
      <c r="I4108" s="891" t="n">
        <f aca="false">F4108-H4108</f>
        <v>-193000</v>
      </c>
      <c r="J4108" s="1365" t="n">
        <f aca="false">F4108*G4108</f>
        <v>48250</v>
      </c>
      <c r="K4108" s="1365" t="n">
        <f aca="false">J4108/1792.8</f>
        <v>26.913208389112</v>
      </c>
      <c r="L4108" s="891" t="n">
        <v>7.2</v>
      </c>
      <c r="M4108" s="1273" t="n">
        <f aca="false">K4108*L4108/60</f>
        <v>3.22958500669344</v>
      </c>
    </row>
    <row r="4109" s="122" customFormat="true" ht="15" hidden="false" customHeight="false" outlineLevel="0" collapsed="false">
      <c r="A4109" s="20"/>
      <c r="B4109" s="99"/>
      <c r="C4109" s="118" t="s">
        <v>7159</v>
      </c>
      <c r="D4109" s="877" t="n">
        <v>2007</v>
      </c>
      <c r="E4109" s="569" t="n">
        <f aca="false">2021-D4109</f>
        <v>14</v>
      </c>
      <c r="F4109" s="902" t="n">
        <v>68000</v>
      </c>
      <c r="G4109" s="1407" t="n">
        <v>0.1</v>
      </c>
      <c r="H4109" s="902" t="n">
        <f aca="false">E4109*F4109*G4109</f>
        <v>95200</v>
      </c>
      <c r="I4109" s="902" t="n">
        <f aca="false">F4109-H4109</f>
        <v>-27200</v>
      </c>
      <c r="J4109" s="1410" t="n">
        <f aca="false">F4109*G4109</f>
        <v>6800</v>
      </c>
      <c r="K4109" s="1365" t="n">
        <f aca="false">J4109/1792.8</f>
        <v>3.79294957608211</v>
      </c>
      <c r="L4109" s="902" t="n">
        <v>9.6</v>
      </c>
      <c r="M4109" s="1408" t="n">
        <f aca="false">K4109*L4109/60</f>
        <v>0.606871932173137</v>
      </c>
    </row>
    <row r="4110" customFormat="false" ht="15" hidden="false" customHeight="false" outlineLevel="0" collapsed="false">
      <c r="A4110" s="28"/>
      <c r="B4110" s="78"/>
      <c r="C4110" s="40" t="s">
        <v>7170</v>
      </c>
      <c r="D4110" s="316" t="n">
        <v>2010</v>
      </c>
      <c r="E4110" s="912" t="n">
        <f aca="false">2021-D4110</f>
        <v>11</v>
      </c>
      <c r="F4110" s="891" t="n">
        <v>223200</v>
      </c>
      <c r="G4110" s="891" t="n">
        <v>0</v>
      </c>
      <c r="H4110" s="891" t="n">
        <f aca="false">E4110*F4110*G4110</f>
        <v>0</v>
      </c>
      <c r="I4110" s="891" t="n">
        <f aca="false">F4110-H4110</f>
        <v>223200</v>
      </c>
      <c r="J4110" s="1365" t="n">
        <f aca="false">F4110*G4110</f>
        <v>0</v>
      </c>
      <c r="K4110" s="1365" t="n">
        <f aca="false">J4110/1792.8</f>
        <v>0</v>
      </c>
      <c r="L4110" s="891" t="n">
        <v>5</v>
      </c>
      <c r="M4110" s="1273" t="n">
        <f aca="false">K4110*L4110/60</f>
        <v>0</v>
      </c>
    </row>
    <row r="4111" customFormat="false" ht="15" hidden="false" customHeight="false" outlineLevel="0" collapsed="false">
      <c r="A4111" s="28"/>
      <c r="B4111" s="78"/>
      <c r="C4111" s="40" t="s">
        <v>7188</v>
      </c>
      <c r="D4111" s="316" t="n">
        <v>2006</v>
      </c>
      <c r="E4111" s="912" t="n">
        <f aca="false">2021-D4111</f>
        <v>15</v>
      </c>
      <c r="F4111" s="891" t="n">
        <v>30000</v>
      </c>
      <c r="G4111" s="1364" t="n">
        <v>0.2</v>
      </c>
      <c r="H4111" s="891" t="n">
        <v>30000</v>
      </c>
      <c r="I4111" s="891" t="n">
        <f aca="false">F4111-H4111</f>
        <v>0</v>
      </c>
      <c r="J4111" s="1365" t="n">
        <f aca="false">F4111*G4111</f>
        <v>6000</v>
      </c>
      <c r="K4111" s="1365" t="n">
        <f aca="false">J4111/1792.8</f>
        <v>3.34672021419009</v>
      </c>
      <c r="L4111" s="891" t="n">
        <v>5</v>
      </c>
      <c r="M4111" s="1273" t="n">
        <f aca="false">K4111*L4111/60</f>
        <v>0.278893351182508</v>
      </c>
    </row>
    <row r="4112" customFormat="false" ht="15" hidden="false" customHeight="false" outlineLevel="0" collapsed="false">
      <c r="A4112" s="28"/>
      <c r="B4112" s="78"/>
      <c r="C4112" s="40" t="s">
        <v>7176</v>
      </c>
      <c r="D4112" s="316" t="n">
        <v>2007</v>
      </c>
      <c r="E4112" s="912" t="n">
        <f aca="false">2021-D4112</f>
        <v>14</v>
      </c>
      <c r="F4112" s="891" t="n">
        <v>25000</v>
      </c>
      <c r="G4112" s="1364" t="n">
        <v>0.1</v>
      </c>
      <c r="H4112" s="891" t="n">
        <f aca="false">E4112*F4112*G4112</f>
        <v>35000</v>
      </c>
      <c r="I4112" s="891" t="n">
        <f aca="false">F4112-H4112</f>
        <v>-10000</v>
      </c>
      <c r="J4112" s="1365" t="n">
        <f aca="false">F4112*G4112</f>
        <v>2500</v>
      </c>
      <c r="K4112" s="1365" t="n">
        <f aca="false">J4112/1792.8</f>
        <v>1.39446675591254</v>
      </c>
      <c r="L4112" s="891" t="n">
        <v>5</v>
      </c>
      <c r="M4112" s="1273" t="n">
        <f aca="false">K4112*L4112/60</f>
        <v>0.116205562992712</v>
      </c>
    </row>
    <row r="4113" customFormat="false" ht="15" hidden="false" customHeight="false" outlineLevel="0" collapsed="false">
      <c r="A4113" s="28"/>
      <c r="B4113" s="972" t="s">
        <v>4128</v>
      </c>
      <c r="C4113" s="1053"/>
      <c r="D4113" s="965"/>
      <c r="E4113" s="912"/>
      <c r="F4113" s="1490"/>
      <c r="G4113" s="1490"/>
      <c r="H4113" s="1490"/>
      <c r="I4113" s="1490"/>
      <c r="J4113" s="1490"/>
      <c r="K4113" s="1365" t="n">
        <f aca="false">J4113/1792.8</f>
        <v>0</v>
      </c>
      <c r="L4113" s="1490"/>
      <c r="M4113" s="1366" t="n">
        <f aca="false">SUM(M4104:M4112)</f>
        <v>24.4949706232337</v>
      </c>
    </row>
    <row r="4114" customFormat="false" ht="60" hidden="false" customHeight="false" outlineLevel="0" collapsed="false">
      <c r="A4114" s="28" t="s">
        <v>1989</v>
      </c>
      <c r="B4114" s="40" t="s">
        <v>3729</v>
      </c>
      <c r="C4114" s="40" t="s">
        <v>7154</v>
      </c>
      <c r="D4114" s="316" t="n">
        <v>2007</v>
      </c>
      <c r="E4114" s="912" t="n">
        <f aca="false">2021-D4114</f>
        <v>14</v>
      </c>
      <c r="F4114" s="891" t="n">
        <v>407000</v>
      </c>
      <c r="G4114" s="1364" t="n">
        <v>0.1</v>
      </c>
      <c r="H4114" s="891" t="n">
        <f aca="false">E4114*F4114*G4114</f>
        <v>569800</v>
      </c>
      <c r="I4114" s="891" t="n">
        <f aca="false">F4114-H4114</f>
        <v>-162800</v>
      </c>
      <c r="J4114" s="1365" t="n">
        <f aca="false">F4114*G4114</f>
        <v>40700</v>
      </c>
      <c r="K4114" s="1365" t="n">
        <f aca="false">J4114/1792.8</f>
        <v>22.7019187862561</v>
      </c>
      <c r="L4114" s="891" t="n">
        <v>20</v>
      </c>
      <c r="M4114" s="1273" t="n">
        <f aca="false">K4114*L4114/60</f>
        <v>7.56730626208538</v>
      </c>
    </row>
    <row r="4115" customFormat="false" ht="15" hidden="false" customHeight="false" outlineLevel="0" collapsed="false">
      <c r="A4115" s="28"/>
      <c r="B4115" s="78"/>
      <c r="C4115" s="40" t="s">
        <v>7155</v>
      </c>
      <c r="D4115" s="316" t="n">
        <v>2007</v>
      </c>
      <c r="E4115" s="912" t="n">
        <f aca="false">2021-D4115</f>
        <v>14</v>
      </c>
      <c r="F4115" s="891" t="n">
        <v>810000</v>
      </c>
      <c r="G4115" s="1364" t="n">
        <v>0.1</v>
      </c>
      <c r="H4115" s="891" t="n">
        <f aca="false">E4115*F4115*G4115</f>
        <v>1134000</v>
      </c>
      <c r="I4115" s="891" t="n">
        <f aca="false">F4115-H4115</f>
        <v>-324000</v>
      </c>
      <c r="J4115" s="1365" t="n">
        <f aca="false">F4115*G4115</f>
        <v>81000</v>
      </c>
      <c r="K4115" s="1365" t="n">
        <f aca="false">J4115/1792.8</f>
        <v>45.1807228915663</v>
      </c>
      <c r="L4115" s="891" t="n">
        <v>4.8</v>
      </c>
      <c r="M4115" s="1273" t="n">
        <f aca="false">K4115*L4115/60</f>
        <v>3.6144578313253</v>
      </c>
    </row>
    <row r="4116" customFormat="false" ht="15" hidden="false" customHeight="false" outlineLevel="0" collapsed="false">
      <c r="A4116" s="28"/>
      <c r="B4116" s="78"/>
      <c r="C4116" s="40" t="s">
        <v>7156</v>
      </c>
      <c r="D4116" s="316" t="n">
        <v>2015</v>
      </c>
      <c r="E4116" s="912" t="n">
        <f aca="false">2021-D4116</f>
        <v>6</v>
      </c>
      <c r="F4116" s="891" t="n">
        <v>694025</v>
      </c>
      <c r="G4116" s="1364" t="n">
        <v>0.1</v>
      </c>
      <c r="H4116" s="891" t="n">
        <f aca="false">E4116*F4116*G4116</f>
        <v>416415</v>
      </c>
      <c r="I4116" s="891" t="n">
        <f aca="false">F4116-H4116</f>
        <v>277610</v>
      </c>
      <c r="J4116" s="1365" t="n">
        <f aca="false">F4116*G4116</f>
        <v>69402.5</v>
      </c>
      <c r="K4116" s="1365" t="n">
        <f aca="false">J4116/1792.8</f>
        <v>38.711791610888</v>
      </c>
      <c r="L4116" s="891" t="n">
        <v>18</v>
      </c>
      <c r="M4116" s="1273" t="n">
        <f aca="false">K4116*L4116/60</f>
        <v>11.6135374832664</v>
      </c>
    </row>
    <row r="4117" customFormat="false" ht="24.75" hidden="false" customHeight="true" outlineLevel="0" collapsed="false">
      <c r="A4117" s="28"/>
      <c r="B4117" s="78"/>
      <c r="C4117" s="40" t="s">
        <v>7157</v>
      </c>
      <c r="D4117" s="316" t="n">
        <v>2006</v>
      </c>
      <c r="E4117" s="912" t="n">
        <f aca="false">2021-D4117</f>
        <v>15</v>
      </c>
      <c r="F4117" s="891" t="n">
        <v>77000</v>
      </c>
      <c r="G4117" s="1364" t="n">
        <v>0.05</v>
      </c>
      <c r="H4117" s="891" t="n">
        <f aca="false">E4117*F4117*G4117</f>
        <v>57750</v>
      </c>
      <c r="I4117" s="891" t="n">
        <f aca="false">F4117-H4117</f>
        <v>19250</v>
      </c>
      <c r="J4117" s="1365" t="n">
        <f aca="false">F4117*G4117</f>
        <v>3850</v>
      </c>
      <c r="K4117" s="1365" t="n">
        <f aca="false">J4117/1792.8</f>
        <v>2.14747880410531</v>
      </c>
      <c r="L4117" s="891" t="n">
        <v>9.6</v>
      </c>
      <c r="M4117" s="1273" t="n">
        <f aca="false">K4117*L4117/60</f>
        <v>0.34359660865685</v>
      </c>
    </row>
    <row r="4118" customFormat="false" ht="15" hidden="false" customHeight="false" outlineLevel="0" collapsed="false">
      <c r="A4118" s="28"/>
      <c r="B4118" s="78"/>
      <c r="C4118" s="40" t="s">
        <v>7158</v>
      </c>
      <c r="D4118" s="316" t="n">
        <v>2007</v>
      </c>
      <c r="E4118" s="912" t="n">
        <f aca="false">2021-D4118</f>
        <v>14</v>
      </c>
      <c r="F4118" s="891" t="n">
        <v>482500</v>
      </c>
      <c r="G4118" s="1364" t="n">
        <v>0.1</v>
      </c>
      <c r="H4118" s="891" t="n">
        <f aca="false">E4118*F4118*G4118</f>
        <v>675500</v>
      </c>
      <c r="I4118" s="891" t="n">
        <f aca="false">F4118-H4118</f>
        <v>-193000</v>
      </c>
      <c r="J4118" s="1365" t="n">
        <f aca="false">F4118*G4118</f>
        <v>48250</v>
      </c>
      <c r="K4118" s="1365" t="n">
        <f aca="false">J4118/1792.8</f>
        <v>26.913208389112</v>
      </c>
      <c r="L4118" s="891" t="n">
        <v>9.6</v>
      </c>
      <c r="M4118" s="1273" t="n">
        <f aca="false">K4118*L4118/60</f>
        <v>4.30611334225792</v>
      </c>
    </row>
    <row r="4119" customFormat="false" ht="15" hidden="false" customHeight="false" outlineLevel="0" collapsed="false">
      <c r="A4119" s="28"/>
      <c r="B4119" s="78"/>
      <c r="C4119" s="40" t="s">
        <v>7159</v>
      </c>
      <c r="D4119" s="316" t="n">
        <v>2007</v>
      </c>
      <c r="E4119" s="912" t="n">
        <f aca="false">2021-D4119</f>
        <v>14</v>
      </c>
      <c r="F4119" s="891" t="n">
        <v>68000</v>
      </c>
      <c r="G4119" s="1364" t="n">
        <v>0.1</v>
      </c>
      <c r="H4119" s="891" t="n">
        <f aca="false">E4119*F4119*G4119</f>
        <v>95200</v>
      </c>
      <c r="I4119" s="891" t="n">
        <f aca="false">F4119-H4119</f>
        <v>-27200</v>
      </c>
      <c r="J4119" s="1365" t="n">
        <f aca="false">F4119*G4119</f>
        <v>6800</v>
      </c>
      <c r="K4119" s="1365" t="n">
        <f aca="false">J4119/1792.8</f>
        <v>3.79294957608211</v>
      </c>
      <c r="L4119" s="891" t="n">
        <v>3.6</v>
      </c>
      <c r="M4119" s="1273" t="n">
        <f aca="false">K4119*L4119/60</f>
        <v>0.227576974564926</v>
      </c>
    </row>
    <row r="4120" customFormat="false" ht="15" hidden="false" customHeight="false" outlineLevel="0" collapsed="false">
      <c r="A4120" s="28"/>
      <c r="B4120" s="78"/>
      <c r="C4120" s="40" t="s">
        <v>7161</v>
      </c>
      <c r="D4120" s="316" t="n">
        <v>2007</v>
      </c>
      <c r="E4120" s="912" t="n">
        <f aca="false">2021-D4120</f>
        <v>14</v>
      </c>
      <c r="F4120" s="891" t="n">
        <v>1849800</v>
      </c>
      <c r="G4120" s="1364" t="n">
        <v>0.1</v>
      </c>
      <c r="H4120" s="891" t="n">
        <f aca="false">E4120*F4120*G4120</f>
        <v>2589720</v>
      </c>
      <c r="I4120" s="891" t="n">
        <f aca="false">F4120-H4120</f>
        <v>-739920</v>
      </c>
      <c r="J4120" s="1365" t="n">
        <f aca="false">F4120*G4120</f>
        <v>184980</v>
      </c>
      <c r="K4120" s="1365" t="n">
        <f aca="false">J4120/1792.8</f>
        <v>103.179384203481</v>
      </c>
      <c r="L4120" s="891" t="n">
        <v>5</v>
      </c>
      <c r="M4120" s="1273" t="n">
        <f aca="false">K4120*L4120/60</f>
        <v>8.59828201695672</v>
      </c>
    </row>
    <row r="4121" customFormat="false" ht="15" hidden="false" customHeight="false" outlineLevel="0" collapsed="false">
      <c r="A4121" s="28"/>
      <c r="B4121" s="972" t="s">
        <v>4128</v>
      </c>
      <c r="C4121" s="1053"/>
      <c r="D4121" s="965"/>
      <c r="E4121" s="912"/>
      <c r="F4121" s="1490"/>
      <c r="G4121" s="1490"/>
      <c r="H4121" s="1366"/>
      <c r="I4121" s="1366"/>
      <c r="J4121" s="1366"/>
      <c r="K4121" s="1365" t="n">
        <f aca="false">J4121/1792.8</f>
        <v>0</v>
      </c>
      <c r="L4121" s="1490"/>
      <c r="M4121" s="1366" t="n">
        <f aca="false">SUM(M4114:M4120)</f>
        <v>36.2708705191135</v>
      </c>
    </row>
    <row r="4122" customFormat="false" ht="60" hidden="false" customHeight="false" outlineLevel="0" collapsed="false">
      <c r="A4122" s="28" t="s">
        <v>1991</v>
      </c>
      <c r="B4122" s="40" t="s">
        <v>3730</v>
      </c>
      <c r="C4122" s="40" t="s">
        <v>7154</v>
      </c>
      <c r="D4122" s="316" t="n">
        <v>2007</v>
      </c>
      <c r="E4122" s="912" t="n">
        <f aca="false">2021-D4122</f>
        <v>14</v>
      </c>
      <c r="F4122" s="891" t="n">
        <v>407000</v>
      </c>
      <c r="G4122" s="1364" t="n">
        <v>0.1</v>
      </c>
      <c r="H4122" s="891" t="n">
        <f aca="false">E4122*F4122*G4122</f>
        <v>569800</v>
      </c>
      <c r="I4122" s="891" t="n">
        <f aca="false">F4122-H4122</f>
        <v>-162800</v>
      </c>
      <c r="J4122" s="1365" t="n">
        <f aca="false">F4122*G4122</f>
        <v>40700</v>
      </c>
      <c r="K4122" s="1365" t="n">
        <f aca="false">J4122/1792.8</f>
        <v>22.7019187862561</v>
      </c>
      <c r="L4122" s="891" t="n">
        <v>57.6</v>
      </c>
      <c r="M4122" s="1273" t="n">
        <f aca="false">K4122*L4122/60</f>
        <v>21.7938420348059</v>
      </c>
    </row>
    <row r="4123" customFormat="false" ht="15" hidden="false" customHeight="false" outlineLevel="0" collapsed="false">
      <c r="A4123" s="28"/>
      <c r="B4123" s="78"/>
      <c r="C4123" s="40" t="s">
        <v>7155</v>
      </c>
      <c r="D4123" s="316" t="n">
        <v>2007</v>
      </c>
      <c r="E4123" s="912" t="n">
        <f aca="false">2021-D4123</f>
        <v>14</v>
      </c>
      <c r="F4123" s="891" t="n">
        <v>810000</v>
      </c>
      <c r="G4123" s="1364" t="n">
        <v>0.1</v>
      </c>
      <c r="H4123" s="891" t="n">
        <f aca="false">E4123*F4123*G4123</f>
        <v>1134000</v>
      </c>
      <c r="I4123" s="891" t="n">
        <f aca="false">F4123-H4123</f>
        <v>-324000</v>
      </c>
      <c r="J4123" s="1365" t="n">
        <f aca="false">F4123*G4123</f>
        <v>81000</v>
      </c>
      <c r="K4123" s="1365" t="n">
        <f aca="false">J4123/1792.8</f>
        <v>45.1807228915663</v>
      </c>
      <c r="L4123" s="891" t="n">
        <v>4.8</v>
      </c>
      <c r="M4123" s="1273" t="n">
        <f aca="false">K4123*L4123/60</f>
        <v>3.6144578313253</v>
      </c>
    </row>
    <row r="4124" customFormat="false" ht="15" hidden="false" customHeight="false" outlineLevel="0" collapsed="false">
      <c r="A4124" s="28"/>
      <c r="B4124" s="78"/>
      <c r="C4124" s="40" t="s">
        <v>7156</v>
      </c>
      <c r="D4124" s="316" t="n">
        <v>2015</v>
      </c>
      <c r="E4124" s="912" t="n">
        <f aca="false">2021-D4124</f>
        <v>6</v>
      </c>
      <c r="F4124" s="891" t="n">
        <v>694025</v>
      </c>
      <c r="G4124" s="1364" t="n">
        <v>0.1</v>
      </c>
      <c r="H4124" s="891" t="n">
        <f aca="false">E4124*F4124*G4124</f>
        <v>416415</v>
      </c>
      <c r="I4124" s="891" t="n">
        <f aca="false">F4124-H4124</f>
        <v>277610</v>
      </c>
      <c r="J4124" s="1365" t="n">
        <f aca="false">F4124*G4124</f>
        <v>69402.5</v>
      </c>
      <c r="K4124" s="1365" t="n">
        <f aca="false">J4124/1792.8</f>
        <v>38.711791610888</v>
      </c>
      <c r="L4124" s="891" t="n">
        <v>18</v>
      </c>
      <c r="M4124" s="1273" t="n">
        <f aca="false">K4124*L4124/60</f>
        <v>11.6135374832664</v>
      </c>
    </row>
    <row r="4125" customFormat="false" ht="15" hidden="false" customHeight="false" outlineLevel="0" collapsed="false">
      <c r="A4125" s="28"/>
      <c r="B4125" s="78"/>
      <c r="C4125" s="40" t="s">
        <v>7157</v>
      </c>
      <c r="D4125" s="316" t="n">
        <v>2006</v>
      </c>
      <c r="E4125" s="912" t="n">
        <f aca="false">2021-D4125</f>
        <v>15</v>
      </c>
      <c r="F4125" s="891" t="n">
        <v>77000</v>
      </c>
      <c r="G4125" s="1364" t="n">
        <v>0.05</v>
      </c>
      <c r="H4125" s="891" t="n">
        <f aca="false">E4125*F4125*G4125</f>
        <v>57750</v>
      </c>
      <c r="I4125" s="891" t="n">
        <f aca="false">F4125-H4125</f>
        <v>19250</v>
      </c>
      <c r="J4125" s="1365" t="n">
        <f aca="false">F4125*G4125</f>
        <v>3850</v>
      </c>
      <c r="K4125" s="1365" t="n">
        <f aca="false">J4125/1792.8</f>
        <v>2.14747880410531</v>
      </c>
      <c r="L4125" s="891" t="n">
        <v>20</v>
      </c>
      <c r="M4125" s="1273" t="n">
        <f aca="false">K4125*L4125/60</f>
        <v>0.715826268035103</v>
      </c>
    </row>
    <row r="4126" customFormat="false" ht="36.75" hidden="false" customHeight="true" outlineLevel="0" collapsed="false">
      <c r="A4126" s="28"/>
      <c r="B4126" s="78"/>
      <c r="C4126" s="40" t="s">
        <v>7158</v>
      </c>
      <c r="D4126" s="316" t="n">
        <v>2007</v>
      </c>
      <c r="E4126" s="912" t="n">
        <f aca="false">2021-D4126</f>
        <v>14</v>
      </c>
      <c r="F4126" s="891" t="n">
        <v>482500</v>
      </c>
      <c r="G4126" s="1364" t="n">
        <v>0.1</v>
      </c>
      <c r="H4126" s="891" t="n">
        <f aca="false">E4126*F4126*G4126</f>
        <v>675500</v>
      </c>
      <c r="I4126" s="891" t="n">
        <f aca="false">F4126-H4126</f>
        <v>-193000</v>
      </c>
      <c r="J4126" s="1365" t="n">
        <f aca="false">F4126*G4126</f>
        <v>48250</v>
      </c>
      <c r="K4126" s="1365" t="n">
        <f aca="false">J4126/1792.8</f>
        <v>26.913208389112</v>
      </c>
      <c r="L4126" s="891" t="n">
        <v>10</v>
      </c>
      <c r="M4126" s="1273" t="n">
        <f aca="false">K4126*L4126/60</f>
        <v>4.48553473151867</v>
      </c>
    </row>
    <row r="4127" customFormat="false" ht="15" hidden="false" customHeight="false" outlineLevel="0" collapsed="false">
      <c r="A4127" s="28"/>
      <c r="B4127" s="78"/>
      <c r="C4127" s="40" t="s">
        <v>7159</v>
      </c>
      <c r="D4127" s="316" t="n">
        <v>2007</v>
      </c>
      <c r="E4127" s="912" t="n">
        <f aca="false">2021-D4127</f>
        <v>14</v>
      </c>
      <c r="F4127" s="891" t="n">
        <v>68000</v>
      </c>
      <c r="G4127" s="1364" t="n">
        <v>0.1</v>
      </c>
      <c r="H4127" s="891" t="n">
        <f aca="false">E4127*F4127*G4127</f>
        <v>95200</v>
      </c>
      <c r="I4127" s="891" t="n">
        <f aca="false">F4127-H4127</f>
        <v>-27200</v>
      </c>
      <c r="J4127" s="1365" t="n">
        <f aca="false">F4127*G4127</f>
        <v>6800</v>
      </c>
      <c r="K4127" s="1365" t="n">
        <f aca="false">J4127/1792.8</f>
        <v>3.79294957608211</v>
      </c>
      <c r="L4127" s="891" t="n">
        <v>9.6</v>
      </c>
      <c r="M4127" s="1273" t="n">
        <f aca="false">K4127*L4127/60</f>
        <v>0.606871932173137</v>
      </c>
    </row>
    <row r="4128" customFormat="false" ht="15" hidden="false" customHeight="false" outlineLevel="0" collapsed="false">
      <c r="A4128" s="28"/>
      <c r="B4128" s="78"/>
      <c r="C4128" s="40" t="s">
        <v>7161</v>
      </c>
      <c r="D4128" s="316" t="n">
        <v>2007</v>
      </c>
      <c r="E4128" s="912" t="n">
        <f aca="false">2021-D4128</f>
        <v>14</v>
      </c>
      <c r="F4128" s="891" t="n">
        <v>1849800</v>
      </c>
      <c r="G4128" s="1364" t="n">
        <v>0.1</v>
      </c>
      <c r="H4128" s="891" t="n">
        <f aca="false">E4128*F4128*G4128</f>
        <v>2589720</v>
      </c>
      <c r="I4128" s="891" t="n">
        <f aca="false">F4128-H4128</f>
        <v>-739920</v>
      </c>
      <c r="J4128" s="1365" t="n">
        <f aca="false">F4128*G4128</f>
        <v>184980</v>
      </c>
      <c r="K4128" s="1365" t="n">
        <f aca="false">J4128/1792.8</f>
        <v>103.179384203481</v>
      </c>
      <c r="L4128" s="891" t="n">
        <v>5</v>
      </c>
      <c r="M4128" s="1273" t="n">
        <f aca="false">K4128*L4128/60</f>
        <v>8.59828201695672</v>
      </c>
    </row>
    <row r="4129" customFormat="false" ht="15" hidden="false" customHeight="false" outlineLevel="0" collapsed="false">
      <c r="A4129" s="28"/>
      <c r="B4129" s="972" t="s">
        <v>4128</v>
      </c>
      <c r="C4129" s="1053"/>
      <c r="D4129" s="965"/>
      <c r="E4129" s="912"/>
      <c r="F4129" s="1490"/>
      <c r="G4129" s="1490"/>
      <c r="H4129" s="1370"/>
      <c r="I4129" s="1370"/>
      <c r="J4129" s="1370"/>
      <c r="K4129" s="1365" t="n">
        <f aca="false">J4129/1792.8</f>
        <v>0</v>
      </c>
      <c r="L4129" s="1490"/>
      <c r="M4129" s="1366" t="n">
        <f aca="false">SUM(M4122:M4128)</f>
        <v>51.4283522980812</v>
      </c>
    </row>
    <row r="4130" customFormat="false" ht="60" hidden="false" customHeight="false" outlineLevel="0" collapsed="false">
      <c r="A4130" s="28" t="s">
        <v>1993</v>
      </c>
      <c r="B4130" s="40" t="s">
        <v>3731</v>
      </c>
      <c r="C4130" s="40" t="s">
        <v>7154</v>
      </c>
      <c r="D4130" s="316" t="n">
        <v>2007</v>
      </c>
      <c r="E4130" s="912" t="n">
        <f aca="false">2021-D4130</f>
        <v>14</v>
      </c>
      <c r="F4130" s="891" t="n">
        <v>407000</v>
      </c>
      <c r="G4130" s="1364" t="n">
        <v>0.1</v>
      </c>
      <c r="H4130" s="891" t="n">
        <f aca="false">E4130*F4130*G4130</f>
        <v>569800</v>
      </c>
      <c r="I4130" s="891" t="n">
        <f aca="false">F4130-H4130</f>
        <v>-162800</v>
      </c>
      <c r="J4130" s="1365" t="n">
        <f aca="false">F4130*G4130</f>
        <v>40700</v>
      </c>
      <c r="K4130" s="1365" t="n">
        <f aca="false">J4130/1792.8</f>
        <v>22.7019187862561</v>
      </c>
      <c r="L4130" s="891" t="n">
        <v>20</v>
      </c>
      <c r="M4130" s="1273" t="n">
        <f aca="false">K4130*L4130/60</f>
        <v>7.56730626208538</v>
      </c>
    </row>
    <row r="4131" customFormat="false" ht="15" hidden="false" customHeight="false" outlineLevel="0" collapsed="false">
      <c r="A4131" s="28"/>
      <c r="B4131" s="78"/>
      <c r="C4131" s="40" t="s">
        <v>7155</v>
      </c>
      <c r="D4131" s="316" t="n">
        <v>2007</v>
      </c>
      <c r="E4131" s="912" t="n">
        <f aca="false">2021-D4131</f>
        <v>14</v>
      </c>
      <c r="F4131" s="891" t="n">
        <v>810000</v>
      </c>
      <c r="G4131" s="1364" t="n">
        <v>0.1</v>
      </c>
      <c r="H4131" s="891" t="n">
        <f aca="false">E4131*F4131*G4131</f>
        <v>1134000</v>
      </c>
      <c r="I4131" s="891" t="n">
        <f aca="false">F4131-H4131</f>
        <v>-324000</v>
      </c>
      <c r="J4131" s="1365" t="n">
        <f aca="false">F4131*G4131</f>
        <v>81000</v>
      </c>
      <c r="K4131" s="1365" t="n">
        <f aca="false">J4131/1792.8</f>
        <v>45.1807228915663</v>
      </c>
      <c r="L4131" s="891" t="n">
        <v>4.8</v>
      </c>
      <c r="M4131" s="1273" t="n">
        <f aca="false">K4131*L4131/60</f>
        <v>3.6144578313253</v>
      </c>
    </row>
    <row r="4132" customFormat="false" ht="15" hidden="false" customHeight="false" outlineLevel="0" collapsed="false">
      <c r="A4132" s="28"/>
      <c r="B4132" s="78"/>
      <c r="C4132" s="40" t="s">
        <v>7156</v>
      </c>
      <c r="D4132" s="316" t="n">
        <v>2015</v>
      </c>
      <c r="E4132" s="912" t="n">
        <f aca="false">2021-D4132</f>
        <v>6</v>
      </c>
      <c r="F4132" s="891" t="n">
        <v>694025</v>
      </c>
      <c r="G4132" s="1364" t="n">
        <v>0.1</v>
      </c>
      <c r="H4132" s="891" t="n">
        <f aca="false">E4132*F4132*G4132</f>
        <v>416415</v>
      </c>
      <c r="I4132" s="891" t="n">
        <f aca="false">F4132-H4132</f>
        <v>277610</v>
      </c>
      <c r="J4132" s="1365" t="n">
        <f aca="false">F4132*G4132</f>
        <v>69402.5</v>
      </c>
      <c r="K4132" s="1365" t="n">
        <f aca="false">J4132/1792.8</f>
        <v>38.711791610888</v>
      </c>
      <c r="L4132" s="891" t="n">
        <v>18</v>
      </c>
      <c r="M4132" s="1273" t="n">
        <f aca="false">K4132*L4132/60</f>
        <v>11.6135374832664</v>
      </c>
    </row>
    <row r="4133" customFormat="false" ht="15" hidden="false" customHeight="false" outlineLevel="0" collapsed="false">
      <c r="A4133" s="28"/>
      <c r="B4133" s="78"/>
      <c r="C4133" s="40" t="s">
        <v>7157</v>
      </c>
      <c r="D4133" s="316" t="n">
        <v>2006</v>
      </c>
      <c r="E4133" s="912" t="n">
        <f aca="false">2021-D4133</f>
        <v>15</v>
      </c>
      <c r="F4133" s="891" t="n">
        <v>77000</v>
      </c>
      <c r="G4133" s="1364" t="n">
        <v>0.05</v>
      </c>
      <c r="H4133" s="891" t="n">
        <f aca="false">E4133*F4133*G4133</f>
        <v>57750</v>
      </c>
      <c r="I4133" s="891" t="n">
        <f aca="false">F4133-H4133</f>
        <v>19250</v>
      </c>
      <c r="J4133" s="1365" t="n">
        <f aca="false">F4133*G4133</f>
        <v>3850</v>
      </c>
      <c r="K4133" s="1365" t="n">
        <f aca="false">J4133/1792.8</f>
        <v>2.14747880410531</v>
      </c>
      <c r="L4133" s="891" t="n">
        <v>9.6</v>
      </c>
      <c r="M4133" s="1273" t="n">
        <f aca="false">K4133*L4133/60</f>
        <v>0.34359660865685</v>
      </c>
    </row>
    <row r="4134" customFormat="false" ht="15" hidden="false" customHeight="false" outlineLevel="0" collapsed="false">
      <c r="A4134" s="28"/>
      <c r="B4134" s="78"/>
      <c r="C4134" s="40" t="s">
        <v>7158</v>
      </c>
      <c r="D4134" s="316" t="n">
        <v>2007</v>
      </c>
      <c r="E4134" s="912" t="n">
        <f aca="false">2021-D4134</f>
        <v>14</v>
      </c>
      <c r="F4134" s="891" t="n">
        <v>482500</v>
      </c>
      <c r="G4134" s="1364" t="n">
        <v>0.1</v>
      </c>
      <c r="H4134" s="891" t="n">
        <f aca="false">E4134*F4134*G4134</f>
        <v>675500</v>
      </c>
      <c r="I4134" s="891" t="n">
        <f aca="false">F4134-H4134</f>
        <v>-193000</v>
      </c>
      <c r="J4134" s="1365" t="n">
        <f aca="false">F4134*G4134</f>
        <v>48250</v>
      </c>
      <c r="K4134" s="1365" t="n">
        <f aca="false">J4134/1792.8</f>
        <v>26.913208389112</v>
      </c>
      <c r="L4134" s="891" t="n">
        <v>3.6</v>
      </c>
      <c r="M4134" s="1273" t="n">
        <f aca="false">K4134*L4134/60</f>
        <v>1.61479250334672</v>
      </c>
    </row>
    <row r="4135" customFormat="false" ht="15" hidden="false" customHeight="false" outlineLevel="0" collapsed="false">
      <c r="A4135" s="28"/>
      <c r="B4135" s="78"/>
      <c r="C4135" s="40" t="s">
        <v>7159</v>
      </c>
      <c r="D4135" s="316" t="n">
        <v>2007</v>
      </c>
      <c r="E4135" s="912" t="n">
        <f aca="false">2021-D4135</f>
        <v>14</v>
      </c>
      <c r="F4135" s="891" t="n">
        <v>68000</v>
      </c>
      <c r="G4135" s="1364" t="n">
        <v>0.1</v>
      </c>
      <c r="H4135" s="891" t="n">
        <f aca="false">E4135*F4135*G4135</f>
        <v>95200</v>
      </c>
      <c r="I4135" s="891" t="n">
        <f aca="false">F4135-H4135</f>
        <v>-27200</v>
      </c>
      <c r="J4135" s="1365" t="n">
        <f aca="false">F4135*G4135</f>
        <v>6800</v>
      </c>
      <c r="K4135" s="1365" t="n">
        <f aca="false">J4135/1792.8</f>
        <v>3.79294957608211</v>
      </c>
      <c r="L4135" s="891" t="n">
        <v>9.6</v>
      </c>
      <c r="M4135" s="1273" t="n">
        <f aca="false">K4135*L4135/60</f>
        <v>0.606871932173137</v>
      </c>
    </row>
    <row r="4136" customFormat="false" ht="15" hidden="false" customHeight="false" outlineLevel="0" collapsed="false">
      <c r="A4136" s="28"/>
      <c r="B4136" s="78"/>
      <c r="C4136" s="40" t="s">
        <v>7161</v>
      </c>
      <c r="D4136" s="316" t="n">
        <v>2007</v>
      </c>
      <c r="E4136" s="912" t="n">
        <f aca="false">2021-D4136</f>
        <v>14</v>
      </c>
      <c r="F4136" s="891" t="n">
        <v>1849800</v>
      </c>
      <c r="G4136" s="1364" t="n">
        <v>0.1</v>
      </c>
      <c r="H4136" s="891" t="n">
        <f aca="false">E4136*F4136*G4136</f>
        <v>2589720</v>
      </c>
      <c r="I4136" s="891" t="n">
        <f aca="false">F4136-H4136</f>
        <v>-739920</v>
      </c>
      <c r="J4136" s="1365" t="n">
        <f aca="false">F4136*G4136</f>
        <v>184980</v>
      </c>
      <c r="K4136" s="1365" t="n">
        <f aca="false">J4136/1792.8</f>
        <v>103.179384203481</v>
      </c>
      <c r="L4136" s="891" t="n">
        <v>5</v>
      </c>
      <c r="M4136" s="1273" t="n">
        <f aca="false">K4136*L4136/60</f>
        <v>8.59828201695672</v>
      </c>
    </row>
    <row r="4137" customFormat="false" ht="15" hidden="false" customHeight="false" outlineLevel="0" collapsed="false">
      <c r="A4137" s="28"/>
      <c r="B4137" s="972" t="s">
        <v>4128</v>
      </c>
      <c r="C4137" s="40"/>
      <c r="D4137" s="965"/>
      <c r="E4137" s="912"/>
      <c r="F4137" s="1490"/>
      <c r="G4137" s="1372"/>
      <c r="H4137" s="1490"/>
      <c r="I4137" s="1490"/>
      <c r="J4137" s="1490"/>
      <c r="K4137" s="1365" t="n">
        <f aca="false">J4137/1792.8</f>
        <v>0</v>
      </c>
      <c r="L4137" s="1490"/>
      <c r="M4137" s="1366" t="n">
        <f aca="false">SUM(M4130:M4136)</f>
        <v>33.9588446378105</v>
      </c>
    </row>
    <row r="4138" customFormat="false" ht="60" hidden="false" customHeight="false" outlineLevel="0" collapsed="false">
      <c r="A4138" s="28" t="s">
        <v>1995</v>
      </c>
      <c r="B4138" s="40" t="s">
        <v>3732</v>
      </c>
      <c r="C4138" s="40" t="s">
        <v>7154</v>
      </c>
      <c r="D4138" s="316" t="n">
        <v>2007</v>
      </c>
      <c r="E4138" s="912" t="n">
        <f aca="false">2021-D4138</f>
        <v>14</v>
      </c>
      <c r="F4138" s="891" t="n">
        <v>407000</v>
      </c>
      <c r="G4138" s="1364" t="n">
        <v>0.1</v>
      </c>
      <c r="H4138" s="891" t="n">
        <f aca="false">E4138*F4138*G4138</f>
        <v>569800</v>
      </c>
      <c r="I4138" s="891" t="n">
        <f aca="false">F4138-H4138</f>
        <v>-162800</v>
      </c>
      <c r="J4138" s="1365" t="n">
        <f aca="false">F4138*G4138</f>
        <v>40700</v>
      </c>
      <c r="K4138" s="1365" t="n">
        <f aca="false">J4138/1792.8</f>
        <v>22.7019187862561</v>
      </c>
      <c r="L4138" s="891" t="n">
        <v>20</v>
      </c>
      <c r="M4138" s="1273" t="n">
        <f aca="false">K4138*L4138/60</f>
        <v>7.56730626208538</v>
      </c>
    </row>
    <row r="4139" customFormat="false" ht="15" hidden="false" customHeight="false" outlineLevel="0" collapsed="false">
      <c r="A4139" s="28"/>
      <c r="B4139" s="78"/>
      <c r="C4139" s="40" t="s">
        <v>7155</v>
      </c>
      <c r="D4139" s="316" t="n">
        <v>2007</v>
      </c>
      <c r="E4139" s="912" t="n">
        <f aca="false">2021-D4139</f>
        <v>14</v>
      </c>
      <c r="F4139" s="891" t="n">
        <v>810000</v>
      </c>
      <c r="G4139" s="1364" t="n">
        <v>0.1</v>
      </c>
      <c r="H4139" s="891" t="n">
        <f aca="false">E4139*F4139*G4139</f>
        <v>1134000</v>
      </c>
      <c r="I4139" s="891" t="n">
        <f aca="false">F4139-H4139</f>
        <v>-324000</v>
      </c>
      <c r="J4139" s="1365" t="n">
        <f aca="false">F4139*G4139</f>
        <v>81000</v>
      </c>
      <c r="K4139" s="1365" t="n">
        <f aca="false">J4139/1792.8</f>
        <v>45.1807228915663</v>
      </c>
      <c r="L4139" s="891" t="n">
        <v>4.8</v>
      </c>
      <c r="M4139" s="1273" t="n">
        <f aca="false">K4139*L4139/60</f>
        <v>3.6144578313253</v>
      </c>
    </row>
    <row r="4140" customFormat="false" ht="15" hidden="false" customHeight="false" outlineLevel="0" collapsed="false">
      <c r="A4140" s="28"/>
      <c r="B4140" s="78"/>
      <c r="C4140" s="40" t="s">
        <v>7156</v>
      </c>
      <c r="D4140" s="316" t="n">
        <v>2015</v>
      </c>
      <c r="E4140" s="912" t="n">
        <f aca="false">2021-D4140</f>
        <v>6</v>
      </c>
      <c r="F4140" s="891" t="n">
        <v>694025</v>
      </c>
      <c r="G4140" s="1364" t="n">
        <v>0.1</v>
      </c>
      <c r="H4140" s="891" t="n">
        <f aca="false">E4140*F4140*G4140</f>
        <v>416415</v>
      </c>
      <c r="I4140" s="891" t="n">
        <f aca="false">F4140-H4140</f>
        <v>277610</v>
      </c>
      <c r="J4140" s="1365" t="n">
        <f aca="false">F4140*G4140</f>
        <v>69402.5</v>
      </c>
      <c r="K4140" s="1365" t="n">
        <f aca="false">J4140/1792.8</f>
        <v>38.711791610888</v>
      </c>
      <c r="L4140" s="891" t="n">
        <v>18</v>
      </c>
      <c r="M4140" s="1273" t="n">
        <f aca="false">K4140*L4140/60</f>
        <v>11.6135374832664</v>
      </c>
    </row>
    <row r="4141" customFormat="false" ht="15" hidden="false" customHeight="false" outlineLevel="0" collapsed="false">
      <c r="A4141" s="28"/>
      <c r="B4141" s="78"/>
      <c r="C4141" s="40" t="s">
        <v>7157</v>
      </c>
      <c r="D4141" s="316" t="n">
        <v>2006</v>
      </c>
      <c r="E4141" s="912" t="n">
        <f aca="false">2021-D4141</f>
        <v>15</v>
      </c>
      <c r="F4141" s="891" t="n">
        <v>77000</v>
      </c>
      <c r="G4141" s="1364" t="n">
        <v>0.05</v>
      </c>
      <c r="H4141" s="891" t="n">
        <f aca="false">E4141*F4141*G4141</f>
        <v>57750</v>
      </c>
      <c r="I4141" s="891" t="n">
        <f aca="false">F4141-H4141</f>
        <v>19250</v>
      </c>
      <c r="J4141" s="1365" t="n">
        <f aca="false">F4141*G4141</f>
        <v>3850</v>
      </c>
      <c r="K4141" s="1365" t="n">
        <f aca="false">J4141/1792.8</f>
        <v>2.14747880410531</v>
      </c>
      <c r="L4141" s="891" t="n">
        <v>18</v>
      </c>
      <c r="M4141" s="1273" t="n">
        <f aca="false">K4141*L4141/60</f>
        <v>0.644243641231593</v>
      </c>
    </row>
    <row r="4142" customFormat="false" ht="15" hidden="false" customHeight="false" outlineLevel="0" collapsed="false">
      <c r="A4142" s="28"/>
      <c r="B4142" s="78"/>
      <c r="C4142" s="40" t="s">
        <v>7158</v>
      </c>
      <c r="D4142" s="316" t="n">
        <v>2007</v>
      </c>
      <c r="E4142" s="912" t="n">
        <f aca="false">2021-D4142</f>
        <v>14</v>
      </c>
      <c r="F4142" s="891" t="n">
        <v>482500</v>
      </c>
      <c r="G4142" s="1364" t="n">
        <v>0.1</v>
      </c>
      <c r="H4142" s="891" t="n">
        <f aca="false">E4142*F4142*G4142</f>
        <v>675500</v>
      </c>
      <c r="I4142" s="891" t="n">
        <f aca="false">F4142-H4142</f>
        <v>-193000</v>
      </c>
      <c r="J4142" s="1365" t="n">
        <f aca="false">F4142*G4142</f>
        <v>48250</v>
      </c>
      <c r="K4142" s="1365" t="n">
        <f aca="false">J4142/1792.8</f>
        <v>26.913208389112</v>
      </c>
      <c r="L4142" s="891" t="n">
        <v>9.6</v>
      </c>
      <c r="M4142" s="1273" t="n">
        <f aca="false">K4142*L4142/60</f>
        <v>4.30611334225792</v>
      </c>
    </row>
    <row r="4143" customFormat="false" ht="15" hidden="false" customHeight="false" outlineLevel="0" collapsed="false">
      <c r="A4143" s="28"/>
      <c r="B4143" s="78"/>
      <c r="C4143" s="40" t="s">
        <v>7159</v>
      </c>
      <c r="D4143" s="316" t="n">
        <v>2007</v>
      </c>
      <c r="E4143" s="912" t="n">
        <f aca="false">2021-D4143</f>
        <v>14</v>
      </c>
      <c r="F4143" s="891" t="n">
        <v>68000</v>
      </c>
      <c r="G4143" s="1364" t="n">
        <v>0.1</v>
      </c>
      <c r="H4143" s="891" t="n">
        <f aca="false">E4143*F4143*G4143</f>
        <v>95200</v>
      </c>
      <c r="I4143" s="891" t="n">
        <f aca="false">F4143-H4143</f>
        <v>-27200</v>
      </c>
      <c r="J4143" s="1365" t="n">
        <f aca="false">F4143*G4143</f>
        <v>6800</v>
      </c>
      <c r="K4143" s="1365" t="n">
        <f aca="false">J4143/1792.8</f>
        <v>3.79294957608211</v>
      </c>
      <c r="L4143" s="891" t="n">
        <v>9.6</v>
      </c>
      <c r="M4143" s="1273" t="n">
        <f aca="false">K4143*L4143/60</f>
        <v>0.606871932173137</v>
      </c>
    </row>
    <row r="4144" customFormat="false" ht="30.75" hidden="false" customHeight="true" outlineLevel="0" collapsed="false">
      <c r="A4144" s="28"/>
      <c r="B4144" s="78"/>
      <c r="C4144" s="40" t="s">
        <v>7161</v>
      </c>
      <c r="D4144" s="316" t="n">
        <v>2007</v>
      </c>
      <c r="E4144" s="912" t="n">
        <f aca="false">2021-D4144</f>
        <v>14</v>
      </c>
      <c r="F4144" s="891" t="n">
        <v>1849800</v>
      </c>
      <c r="G4144" s="1364" t="n">
        <v>0.1</v>
      </c>
      <c r="H4144" s="891" t="n">
        <f aca="false">E4144*F4144*G4144</f>
        <v>2589720</v>
      </c>
      <c r="I4144" s="891" t="n">
        <f aca="false">F4144-H4144</f>
        <v>-739920</v>
      </c>
      <c r="J4144" s="1365" t="n">
        <f aca="false">F4144*G4144</f>
        <v>184980</v>
      </c>
      <c r="K4144" s="1365" t="n">
        <f aca="false">J4144/1792.8</f>
        <v>103.179384203481</v>
      </c>
      <c r="L4144" s="891" t="n">
        <v>5</v>
      </c>
      <c r="M4144" s="1273" t="n">
        <f aca="false">K4144*L4144/60</f>
        <v>8.59828201695672</v>
      </c>
    </row>
    <row r="4145" customFormat="false" ht="15" hidden="false" customHeight="false" outlineLevel="0" collapsed="false">
      <c r="A4145" s="28"/>
      <c r="B4145" s="972" t="s">
        <v>4128</v>
      </c>
      <c r="C4145" s="1053"/>
      <c r="D4145" s="965"/>
      <c r="E4145" s="912"/>
      <c r="F4145" s="1490"/>
      <c r="G4145" s="1490"/>
      <c r="H4145" s="1370"/>
      <c r="I4145" s="1370"/>
      <c r="J4145" s="1370"/>
      <c r="K4145" s="1365" t="n">
        <f aca="false">J4145/1792.8</f>
        <v>0</v>
      </c>
      <c r="L4145" s="1490"/>
      <c r="M4145" s="1366" t="n">
        <f aca="false">SUM(M4138:M4144)</f>
        <v>36.9508125092965</v>
      </c>
    </row>
    <row r="4146" customFormat="false" ht="60" hidden="false" customHeight="false" outlineLevel="0" collapsed="false">
      <c r="A4146" s="28" t="s">
        <v>1997</v>
      </c>
      <c r="B4146" s="40" t="s">
        <v>3733</v>
      </c>
      <c r="C4146" s="40" t="s">
        <v>7154</v>
      </c>
      <c r="D4146" s="316" t="n">
        <v>2007</v>
      </c>
      <c r="E4146" s="912" t="n">
        <f aca="false">2021-D4146</f>
        <v>14</v>
      </c>
      <c r="F4146" s="891" t="n">
        <v>407000</v>
      </c>
      <c r="G4146" s="1364" t="n">
        <v>0.1</v>
      </c>
      <c r="H4146" s="891" t="n">
        <f aca="false">E4146*F4146*G4146</f>
        <v>569800</v>
      </c>
      <c r="I4146" s="891" t="n">
        <f aca="false">F4146-H4146</f>
        <v>-162800</v>
      </c>
      <c r="J4146" s="1365" t="n">
        <f aca="false">F4146*G4146</f>
        <v>40700</v>
      </c>
      <c r="K4146" s="1365" t="n">
        <f aca="false">J4146/1792.8</f>
        <v>22.7019187862561</v>
      </c>
      <c r="L4146" s="891" t="n">
        <v>20</v>
      </c>
      <c r="M4146" s="1273" t="n">
        <f aca="false">K4146*L4146/60</f>
        <v>7.56730626208538</v>
      </c>
    </row>
    <row r="4147" customFormat="false" ht="15" hidden="false" customHeight="false" outlineLevel="0" collapsed="false">
      <c r="A4147" s="28"/>
      <c r="B4147" s="78"/>
      <c r="C4147" s="40" t="s">
        <v>7155</v>
      </c>
      <c r="D4147" s="316" t="n">
        <v>2007</v>
      </c>
      <c r="E4147" s="912" t="n">
        <f aca="false">2021-D4147</f>
        <v>14</v>
      </c>
      <c r="F4147" s="891" t="n">
        <v>810000</v>
      </c>
      <c r="G4147" s="1364" t="n">
        <v>0.1</v>
      </c>
      <c r="H4147" s="891" t="n">
        <f aca="false">E4147*F4147*G4147</f>
        <v>1134000</v>
      </c>
      <c r="I4147" s="891" t="n">
        <f aca="false">F4147-H4147</f>
        <v>-324000</v>
      </c>
      <c r="J4147" s="1365" t="n">
        <f aca="false">F4147*G4147</f>
        <v>81000</v>
      </c>
      <c r="K4147" s="1365" t="n">
        <f aca="false">J4147/1792.8</f>
        <v>45.1807228915663</v>
      </c>
      <c r="L4147" s="891" t="n">
        <v>4.8</v>
      </c>
      <c r="M4147" s="1273" t="n">
        <f aca="false">K4147*L4147/60</f>
        <v>3.6144578313253</v>
      </c>
    </row>
    <row r="4148" customFormat="false" ht="15" hidden="false" customHeight="false" outlineLevel="0" collapsed="false">
      <c r="A4148" s="28"/>
      <c r="B4148" s="78"/>
      <c r="C4148" s="40" t="s">
        <v>7156</v>
      </c>
      <c r="D4148" s="316" t="n">
        <v>2015</v>
      </c>
      <c r="E4148" s="912" t="n">
        <f aca="false">2021-D4148</f>
        <v>6</v>
      </c>
      <c r="F4148" s="891" t="n">
        <v>694025</v>
      </c>
      <c r="G4148" s="1364" t="n">
        <v>0.1</v>
      </c>
      <c r="H4148" s="891" t="n">
        <f aca="false">E4148*F4148*G4148</f>
        <v>416415</v>
      </c>
      <c r="I4148" s="891" t="n">
        <f aca="false">F4148-H4148</f>
        <v>277610</v>
      </c>
      <c r="J4148" s="1365" t="n">
        <f aca="false">F4148*G4148</f>
        <v>69402.5</v>
      </c>
      <c r="K4148" s="1365" t="n">
        <f aca="false">J4148/1792.8</f>
        <v>38.711791610888</v>
      </c>
      <c r="L4148" s="891" t="n">
        <v>18</v>
      </c>
      <c r="M4148" s="1273" t="n">
        <f aca="false">K4148*L4148/60</f>
        <v>11.6135374832664</v>
      </c>
    </row>
    <row r="4149" customFormat="false" ht="15" hidden="false" customHeight="false" outlineLevel="0" collapsed="false">
      <c r="A4149" s="28"/>
      <c r="B4149" s="78"/>
      <c r="C4149" s="40" t="s">
        <v>7157</v>
      </c>
      <c r="D4149" s="316" t="n">
        <v>2006</v>
      </c>
      <c r="E4149" s="912" t="n">
        <f aca="false">2021-D4149</f>
        <v>15</v>
      </c>
      <c r="F4149" s="891" t="n">
        <v>77000</v>
      </c>
      <c r="G4149" s="1364" t="n">
        <v>0.05</v>
      </c>
      <c r="H4149" s="891" t="n">
        <f aca="false">E4149*F4149*G4149</f>
        <v>57750</v>
      </c>
      <c r="I4149" s="891" t="n">
        <f aca="false">F4149-H4149</f>
        <v>19250</v>
      </c>
      <c r="J4149" s="1365" t="n">
        <f aca="false">F4149*G4149</f>
        <v>3850</v>
      </c>
      <c r="K4149" s="1365" t="n">
        <f aca="false">J4149/1792.8</f>
        <v>2.14747880410531</v>
      </c>
      <c r="L4149" s="891" t="n">
        <v>9.6</v>
      </c>
      <c r="M4149" s="1273" t="n">
        <f aca="false">K4149*L4149/60</f>
        <v>0.34359660865685</v>
      </c>
    </row>
    <row r="4150" customFormat="false" ht="15" hidden="false" customHeight="false" outlineLevel="0" collapsed="false">
      <c r="A4150" s="28"/>
      <c r="B4150" s="78"/>
      <c r="C4150" s="40" t="s">
        <v>7158</v>
      </c>
      <c r="D4150" s="316" t="n">
        <v>2007</v>
      </c>
      <c r="E4150" s="912" t="n">
        <f aca="false">2021-D4150</f>
        <v>14</v>
      </c>
      <c r="F4150" s="891" t="n">
        <v>482500</v>
      </c>
      <c r="G4150" s="1364" t="n">
        <v>0.1</v>
      </c>
      <c r="H4150" s="891" t="n">
        <f aca="false">E4150*F4150*G4150</f>
        <v>675500</v>
      </c>
      <c r="I4150" s="891" t="n">
        <f aca="false">F4150-H4150</f>
        <v>-193000</v>
      </c>
      <c r="J4150" s="1365" t="n">
        <f aca="false">F4150*G4150</f>
        <v>48250</v>
      </c>
      <c r="K4150" s="1365" t="n">
        <f aca="false">J4150/1792.8</f>
        <v>26.913208389112</v>
      </c>
      <c r="L4150" s="891" t="n">
        <v>3.6</v>
      </c>
      <c r="M4150" s="1273" t="n">
        <f aca="false">K4150*L4150/60</f>
        <v>1.61479250334672</v>
      </c>
    </row>
    <row r="4151" customFormat="false" ht="15" hidden="false" customHeight="false" outlineLevel="0" collapsed="false">
      <c r="A4151" s="28"/>
      <c r="B4151" s="78"/>
      <c r="C4151" s="40" t="s">
        <v>7159</v>
      </c>
      <c r="D4151" s="316" t="n">
        <v>2007</v>
      </c>
      <c r="E4151" s="912" t="n">
        <f aca="false">2021-D4151</f>
        <v>14</v>
      </c>
      <c r="F4151" s="891" t="n">
        <v>68000</v>
      </c>
      <c r="G4151" s="1364" t="n">
        <v>0.1</v>
      </c>
      <c r="H4151" s="891" t="n">
        <f aca="false">E4151*F4151*G4151</f>
        <v>95200</v>
      </c>
      <c r="I4151" s="891" t="n">
        <f aca="false">F4151-H4151</f>
        <v>-27200</v>
      </c>
      <c r="J4151" s="1365" t="n">
        <f aca="false">F4151*G4151</f>
        <v>6800</v>
      </c>
      <c r="K4151" s="1365" t="n">
        <f aca="false">J4151/1792.8</f>
        <v>3.79294957608211</v>
      </c>
      <c r="L4151" s="891" t="n">
        <v>9.6</v>
      </c>
      <c r="M4151" s="1273" t="n">
        <f aca="false">K4151*L4151/60</f>
        <v>0.606871932173137</v>
      </c>
    </row>
    <row r="4152" customFormat="false" ht="15" hidden="false" customHeight="false" outlineLevel="0" collapsed="false">
      <c r="A4152" s="28"/>
      <c r="B4152" s="78"/>
      <c r="C4152" s="40" t="s">
        <v>7161</v>
      </c>
      <c r="D4152" s="316" t="n">
        <v>2007</v>
      </c>
      <c r="E4152" s="912" t="n">
        <f aca="false">2021-D4152</f>
        <v>14</v>
      </c>
      <c r="F4152" s="891" t="n">
        <v>1849800</v>
      </c>
      <c r="G4152" s="1364" t="n">
        <v>0.1</v>
      </c>
      <c r="H4152" s="891" t="n">
        <f aca="false">E4152*F4152*G4152</f>
        <v>2589720</v>
      </c>
      <c r="I4152" s="891" t="n">
        <f aca="false">F4152-H4152</f>
        <v>-739920</v>
      </c>
      <c r="J4152" s="1365" t="n">
        <f aca="false">F4152*G4152</f>
        <v>184980</v>
      </c>
      <c r="K4152" s="1365" t="n">
        <f aca="false">J4152/1792.8</f>
        <v>103.179384203481</v>
      </c>
      <c r="L4152" s="891" t="n">
        <v>3</v>
      </c>
      <c r="M4152" s="1273" t="n">
        <f aca="false">K4152*L4152/60</f>
        <v>5.15896921017403</v>
      </c>
    </row>
    <row r="4153" customFormat="false" ht="15" hidden="false" customHeight="false" outlineLevel="0" collapsed="false">
      <c r="A4153" s="28"/>
      <c r="B4153" s="972" t="s">
        <v>4128</v>
      </c>
      <c r="C4153" s="1053"/>
      <c r="D4153" s="965"/>
      <c r="E4153" s="912"/>
      <c r="F4153" s="1490"/>
      <c r="G4153" s="1490"/>
      <c r="H4153" s="1370"/>
      <c r="I4153" s="1370"/>
      <c r="J4153" s="1370"/>
      <c r="K4153" s="1365" t="n">
        <f aca="false">J4153/1792.8</f>
        <v>0</v>
      </c>
      <c r="L4153" s="1490"/>
      <c r="M4153" s="1366" t="n">
        <f aca="false">SUM(M4146:M4152)</f>
        <v>30.5195318310278</v>
      </c>
    </row>
    <row r="4154" customFormat="false" ht="60" hidden="false" customHeight="false" outlineLevel="0" collapsed="false">
      <c r="A4154" s="28" t="s">
        <v>1999</v>
      </c>
      <c r="B4154" s="40" t="s">
        <v>3734</v>
      </c>
      <c r="C4154" s="40" t="s">
        <v>7154</v>
      </c>
      <c r="D4154" s="316" t="n">
        <v>2007</v>
      </c>
      <c r="E4154" s="912" t="n">
        <f aca="false">2021-D4154</f>
        <v>14</v>
      </c>
      <c r="F4154" s="891" t="n">
        <v>407000</v>
      </c>
      <c r="G4154" s="1364" t="n">
        <v>0.1</v>
      </c>
      <c r="H4154" s="891" t="n">
        <f aca="false">E4154*F4154*G4154</f>
        <v>569800</v>
      </c>
      <c r="I4154" s="891" t="n">
        <f aca="false">F4154-H4154</f>
        <v>-162800</v>
      </c>
      <c r="J4154" s="1365" t="n">
        <f aca="false">F4154*G4154</f>
        <v>40700</v>
      </c>
      <c r="K4154" s="1365" t="n">
        <f aca="false">J4154/1792.8</f>
        <v>22.7019187862561</v>
      </c>
      <c r="L4154" s="891" t="n">
        <v>86.4</v>
      </c>
      <c r="M4154" s="1273" t="n">
        <f aca="false">K4154*L4154/60</f>
        <v>32.6907630522088</v>
      </c>
    </row>
    <row r="4155" customFormat="false" ht="15" hidden="false" customHeight="false" outlineLevel="0" collapsed="false">
      <c r="A4155" s="28"/>
      <c r="B4155" s="78"/>
      <c r="C4155" s="40" t="s">
        <v>7155</v>
      </c>
      <c r="D4155" s="316" t="n">
        <v>2007</v>
      </c>
      <c r="E4155" s="912" t="n">
        <f aca="false">2021-D4155</f>
        <v>14</v>
      </c>
      <c r="F4155" s="891" t="n">
        <v>810000</v>
      </c>
      <c r="G4155" s="1364" t="n">
        <v>0.1</v>
      </c>
      <c r="H4155" s="891" t="n">
        <f aca="false">E4155*F4155*G4155</f>
        <v>1134000</v>
      </c>
      <c r="I4155" s="891" t="n">
        <f aca="false">F4155-H4155</f>
        <v>-324000</v>
      </c>
      <c r="J4155" s="1365" t="n">
        <f aca="false">F4155*G4155</f>
        <v>81000</v>
      </c>
      <c r="K4155" s="1365" t="n">
        <f aca="false">J4155/1792.8</f>
        <v>45.1807228915663</v>
      </c>
      <c r="L4155" s="891" t="n">
        <v>4.8</v>
      </c>
      <c r="M4155" s="1273" t="n">
        <f aca="false">K4155*L4155/60</f>
        <v>3.6144578313253</v>
      </c>
    </row>
    <row r="4156" customFormat="false" ht="15" hidden="false" customHeight="false" outlineLevel="0" collapsed="false">
      <c r="A4156" s="28"/>
      <c r="B4156" s="78"/>
      <c r="C4156" s="40" t="s">
        <v>7156</v>
      </c>
      <c r="D4156" s="316" t="n">
        <v>2015</v>
      </c>
      <c r="E4156" s="912" t="n">
        <f aca="false">2021-D4156</f>
        <v>6</v>
      </c>
      <c r="F4156" s="891" t="n">
        <v>694025</v>
      </c>
      <c r="G4156" s="1364" t="n">
        <v>0.1</v>
      </c>
      <c r="H4156" s="891" t="n">
        <f aca="false">E4156*F4156*G4156</f>
        <v>416415</v>
      </c>
      <c r="I4156" s="891" t="n">
        <f aca="false">F4156-H4156</f>
        <v>277610</v>
      </c>
      <c r="J4156" s="1365" t="n">
        <f aca="false">F4156*G4156</f>
        <v>69402.5</v>
      </c>
      <c r="K4156" s="1365" t="n">
        <f aca="false">J4156/1792.8</f>
        <v>38.711791610888</v>
      </c>
      <c r="L4156" s="891" t="n">
        <v>18</v>
      </c>
      <c r="M4156" s="1273" t="n">
        <f aca="false">K4156*L4156/60</f>
        <v>11.6135374832664</v>
      </c>
    </row>
    <row r="4157" customFormat="false" ht="15" hidden="false" customHeight="false" outlineLevel="0" collapsed="false">
      <c r="A4157" s="28"/>
      <c r="B4157" s="78"/>
      <c r="C4157" s="40" t="s">
        <v>7157</v>
      </c>
      <c r="D4157" s="316" t="n">
        <v>2006</v>
      </c>
      <c r="E4157" s="912" t="n">
        <f aca="false">2021-D4157</f>
        <v>15</v>
      </c>
      <c r="F4157" s="891" t="n">
        <v>77000</v>
      </c>
      <c r="G4157" s="1364" t="n">
        <v>0.05</v>
      </c>
      <c r="H4157" s="891" t="n">
        <f aca="false">E4157*F4157*G4157</f>
        <v>57750</v>
      </c>
      <c r="I4157" s="891" t="n">
        <f aca="false">F4157-H4157</f>
        <v>19250</v>
      </c>
      <c r="J4157" s="1365" t="n">
        <f aca="false">F4157*G4157</f>
        <v>3850</v>
      </c>
      <c r="K4157" s="1365" t="n">
        <f aca="false">J4157/1792.8</f>
        <v>2.14747880410531</v>
      </c>
      <c r="L4157" s="891" t="n">
        <v>9.6</v>
      </c>
      <c r="M4157" s="1273" t="n">
        <f aca="false">K4157*L4157/60</f>
        <v>0.34359660865685</v>
      </c>
    </row>
    <row r="4158" customFormat="false" ht="15" hidden="false" customHeight="false" outlineLevel="0" collapsed="false">
      <c r="A4158" s="28"/>
      <c r="B4158" s="78"/>
      <c r="C4158" s="40" t="s">
        <v>7158</v>
      </c>
      <c r="D4158" s="316" t="n">
        <v>2007</v>
      </c>
      <c r="E4158" s="912" t="n">
        <f aca="false">2021-D4158</f>
        <v>14</v>
      </c>
      <c r="F4158" s="891" t="n">
        <v>482500</v>
      </c>
      <c r="G4158" s="1364" t="n">
        <v>0.1</v>
      </c>
      <c r="H4158" s="891" t="n">
        <f aca="false">E4158*F4158*G4158</f>
        <v>675500</v>
      </c>
      <c r="I4158" s="891" t="n">
        <f aca="false">F4158-H4158</f>
        <v>-193000</v>
      </c>
      <c r="J4158" s="1365" t="n">
        <f aca="false">F4158*G4158</f>
        <v>48250</v>
      </c>
      <c r="K4158" s="1365" t="n">
        <f aca="false">J4158/1792.8</f>
        <v>26.913208389112</v>
      </c>
      <c r="L4158" s="891" t="n">
        <v>3.6</v>
      </c>
      <c r="M4158" s="1273" t="n">
        <f aca="false">K4158*L4158/60</f>
        <v>1.61479250334672</v>
      </c>
    </row>
    <row r="4159" customFormat="false" ht="15" hidden="false" customHeight="false" outlineLevel="0" collapsed="false">
      <c r="A4159" s="28"/>
      <c r="B4159" s="78"/>
      <c r="C4159" s="40" t="s">
        <v>7159</v>
      </c>
      <c r="D4159" s="316" t="n">
        <v>2007</v>
      </c>
      <c r="E4159" s="912" t="n">
        <f aca="false">2021-D4159</f>
        <v>14</v>
      </c>
      <c r="F4159" s="891" t="n">
        <v>68000</v>
      </c>
      <c r="G4159" s="1364" t="n">
        <v>0.1</v>
      </c>
      <c r="H4159" s="891" t="n">
        <f aca="false">E4159*F4159*G4159</f>
        <v>95200</v>
      </c>
      <c r="I4159" s="891" t="n">
        <f aca="false">F4159-H4159</f>
        <v>-27200</v>
      </c>
      <c r="J4159" s="1365" t="n">
        <f aca="false">F4159*G4159</f>
        <v>6800</v>
      </c>
      <c r="K4159" s="1365" t="n">
        <f aca="false">J4159/1792.8</f>
        <v>3.79294957608211</v>
      </c>
      <c r="L4159" s="891" t="n">
        <v>9.6</v>
      </c>
      <c r="M4159" s="1273" t="n">
        <f aca="false">K4159*L4159/60</f>
        <v>0.606871932173137</v>
      </c>
    </row>
    <row r="4160" customFormat="false" ht="15" hidden="false" customHeight="false" outlineLevel="0" collapsed="false">
      <c r="A4160" s="28"/>
      <c r="B4160" s="78"/>
      <c r="C4160" s="40" t="s">
        <v>7161</v>
      </c>
      <c r="D4160" s="316" t="n">
        <v>2007</v>
      </c>
      <c r="E4160" s="912" t="n">
        <f aca="false">2021-D4160</f>
        <v>14</v>
      </c>
      <c r="F4160" s="891" t="n">
        <v>1849800</v>
      </c>
      <c r="G4160" s="1364" t="n">
        <v>0.1</v>
      </c>
      <c r="H4160" s="891" t="n">
        <f aca="false">E4160*F4160*G4160</f>
        <v>2589720</v>
      </c>
      <c r="I4160" s="891" t="n">
        <f aca="false">F4160-H4160</f>
        <v>-739920</v>
      </c>
      <c r="J4160" s="1365" t="n">
        <f aca="false">F4160*G4160</f>
        <v>184980</v>
      </c>
      <c r="K4160" s="1365" t="n">
        <f aca="false">J4160/1792.8</f>
        <v>103.179384203481</v>
      </c>
      <c r="L4160" s="891" t="n">
        <v>5</v>
      </c>
      <c r="M4160" s="1273" t="n">
        <f aca="false">K4160*L4160/60</f>
        <v>8.59828201695672</v>
      </c>
    </row>
    <row r="4161" customFormat="false" ht="27.75" hidden="false" customHeight="true" outlineLevel="0" collapsed="false">
      <c r="A4161" s="28"/>
      <c r="B4161" s="78"/>
      <c r="C4161" s="40" t="s">
        <v>7189</v>
      </c>
      <c r="D4161" s="316" t="n">
        <v>2009</v>
      </c>
      <c r="E4161" s="912" t="n">
        <f aca="false">2021-D4161</f>
        <v>12</v>
      </c>
      <c r="F4161" s="891" t="n">
        <v>675000</v>
      </c>
      <c r="G4161" s="1364" t="n">
        <v>0.1</v>
      </c>
      <c r="H4161" s="891" t="n">
        <f aca="false">E4161*F4161*G4161</f>
        <v>810000</v>
      </c>
      <c r="I4161" s="891" t="n">
        <f aca="false">F4161-H4161</f>
        <v>-135000</v>
      </c>
      <c r="J4161" s="1365" t="n">
        <f aca="false">F4161*G4161</f>
        <v>67500</v>
      </c>
      <c r="K4161" s="1365" t="n">
        <f aca="false">J4161/1792.8</f>
        <v>37.6506024096386</v>
      </c>
      <c r="L4161" s="891" t="n">
        <v>10</v>
      </c>
      <c r="M4161" s="1273" t="n">
        <f aca="false">K4161*L4161/60</f>
        <v>6.27510040160643</v>
      </c>
    </row>
    <row r="4162" customFormat="false" ht="15" hidden="false" customHeight="false" outlineLevel="0" collapsed="false">
      <c r="A4162" s="28"/>
      <c r="B4162" s="78"/>
      <c r="C4162" s="40" t="s">
        <v>7174</v>
      </c>
      <c r="D4162" s="316" t="n">
        <v>2007</v>
      </c>
      <c r="E4162" s="912" t="n">
        <f aca="false">2021-D4162</f>
        <v>14</v>
      </c>
      <c r="F4162" s="891" t="n">
        <v>1068000</v>
      </c>
      <c r="G4162" s="1364" t="n">
        <v>0.1</v>
      </c>
      <c r="H4162" s="891" t="n">
        <f aca="false">E4162*F4162*G4162</f>
        <v>1495200</v>
      </c>
      <c r="I4162" s="891" t="n">
        <f aca="false">F4162-H4162</f>
        <v>-427200</v>
      </c>
      <c r="J4162" s="1365" t="n">
        <f aca="false">F4162*G4162</f>
        <v>106800</v>
      </c>
      <c r="K4162" s="1365" t="n">
        <f aca="false">J4162/1792.8</f>
        <v>59.5716198125837</v>
      </c>
      <c r="L4162" s="891" t="n">
        <v>10</v>
      </c>
      <c r="M4162" s="1273" t="n">
        <f aca="false">K4162*L4162/60</f>
        <v>9.92860330209728</v>
      </c>
    </row>
    <row r="4163" customFormat="false" ht="15" hidden="false" customHeight="false" outlineLevel="0" collapsed="false">
      <c r="A4163" s="28"/>
      <c r="B4163" s="972" t="s">
        <v>4128</v>
      </c>
      <c r="C4163" s="1053"/>
      <c r="D4163" s="965"/>
      <c r="E4163" s="912"/>
      <c r="F4163" s="1490"/>
      <c r="G4163" s="1490"/>
      <c r="H4163" s="1370"/>
      <c r="I4163" s="1370"/>
      <c r="J4163" s="1370"/>
      <c r="K4163" s="1365" t="n">
        <f aca="false">J4163/1792.8</f>
        <v>0</v>
      </c>
      <c r="L4163" s="1490"/>
      <c r="M4163" s="1366" t="n">
        <f aca="false">SUM(M4154:M4162)</f>
        <v>75.2860051316377</v>
      </c>
    </row>
    <row r="4164" customFormat="false" ht="45" hidden="false" customHeight="false" outlineLevel="0" collapsed="false">
      <c r="A4164" s="28" t="s">
        <v>2001</v>
      </c>
      <c r="B4164" s="40" t="s">
        <v>3735</v>
      </c>
      <c r="C4164" s="40" t="s">
        <v>7154</v>
      </c>
      <c r="D4164" s="316" t="n">
        <v>2007</v>
      </c>
      <c r="E4164" s="912" t="n">
        <f aca="false">2021-D4164</f>
        <v>14</v>
      </c>
      <c r="F4164" s="891" t="n">
        <v>407000</v>
      </c>
      <c r="G4164" s="1364" t="n">
        <v>0.1</v>
      </c>
      <c r="H4164" s="891" t="n">
        <f aca="false">E4164*F4164*G4164</f>
        <v>569800</v>
      </c>
      <c r="I4164" s="891" t="n">
        <f aca="false">F4164-H4164</f>
        <v>-162800</v>
      </c>
      <c r="J4164" s="1365" t="n">
        <f aca="false">F4164*G4164</f>
        <v>40700</v>
      </c>
      <c r="K4164" s="1365" t="n">
        <f aca="false">J4164/1792.8</f>
        <v>22.7019187862561</v>
      </c>
      <c r="L4164" s="891" t="n">
        <v>20</v>
      </c>
      <c r="M4164" s="1273" t="n">
        <f aca="false">K4164*L4164/60</f>
        <v>7.56730626208538</v>
      </c>
    </row>
    <row r="4165" customFormat="false" ht="15" hidden="false" customHeight="false" outlineLevel="0" collapsed="false">
      <c r="A4165" s="28"/>
      <c r="B4165" s="78"/>
      <c r="C4165" s="40" t="s">
        <v>7155</v>
      </c>
      <c r="D4165" s="316" t="n">
        <v>2007</v>
      </c>
      <c r="E4165" s="912" t="n">
        <f aca="false">2021-D4165</f>
        <v>14</v>
      </c>
      <c r="F4165" s="891" t="n">
        <v>810000</v>
      </c>
      <c r="G4165" s="1364" t="n">
        <v>0.1</v>
      </c>
      <c r="H4165" s="891" t="n">
        <f aca="false">E4165*F4165*G4165</f>
        <v>1134000</v>
      </c>
      <c r="I4165" s="891" t="n">
        <f aca="false">F4165-H4165</f>
        <v>-324000</v>
      </c>
      <c r="J4165" s="1365" t="n">
        <f aca="false">F4165*G4165</f>
        <v>81000</v>
      </c>
      <c r="K4165" s="1365" t="n">
        <f aca="false">J4165/1792.8</f>
        <v>45.1807228915663</v>
      </c>
      <c r="L4165" s="891" t="n">
        <v>4.8</v>
      </c>
      <c r="M4165" s="1273" t="n">
        <f aca="false">K4165*L4165/60</f>
        <v>3.6144578313253</v>
      </c>
    </row>
    <row r="4166" customFormat="false" ht="15" hidden="false" customHeight="false" outlineLevel="0" collapsed="false">
      <c r="A4166" s="28"/>
      <c r="B4166" s="78"/>
      <c r="C4166" s="40" t="s">
        <v>7156</v>
      </c>
      <c r="D4166" s="316" t="n">
        <v>2015</v>
      </c>
      <c r="E4166" s="912" t="n">
        <f aca="false">2021-D4166</f>
        <v>6</v>
      </c>
      <c r="F4166" s="891" t="n">
        <v>694025</v>
      </c>
      <c r="G4166" s="1364" t="n">
        <v>0.1</v>
      </c>
      <c r="H4166" s="891" t="n">
        <f aca="false">E4166*F4166*G4166</f>
        <v>416415</v>
      </c>
      <c r="I4166" s="891" t="n">
        <f aca="false">F4166-H4166</f>
        <v>277610</v>
      </c>
      <c r="J4166" s="1365" t="n">
        <f aca="false">F4166*G4166</f>
        <v>69402.5</v>
      </c>
      <c r="K4166" s="1365" t="n">
        <f aca="false">J4166/1792.8</f>
        <v>38.711791610888</v>
      </c>
      <c r="L4166" s="891" t="n">
        <v>18</v>
      </c>
      <c r="M4166" s="1273" t="n">
        <f aca="false">K4166*L4166/60</f>
        <v>11.6135374832664</v>
      </c>
    </row>
    <row r="4167" customFormat="false" ht="59.25" hidden="false" customHeight="true" outlineLevel="0" collapsed="false">
      <c r="A4167" s="28"/>
      <c r="B4167" s="78"/>
      <c r="C4167" s="40" t="s">
        <v>7157</v>
      </c>
      <c r="D4167" s="316" t="n">
        <v>2006</v>
      </c>
      <c r="E4167" s="912" t="n">
        <f aca="false">2021-D4167</f>
        <v>15</v>
      </c>
      <c r="F4167" s="891" t="n">
        <v>77000</v>
      </c>
      <c r="G4167" s="1364" t="n">
        <v>0.05</v>
      </c>
      <c r="H4167" s="891" t="n">
        <f aca="false">E4167*F4167*G4167</f>
        <v>57750</v>
      </c>
      <c r="I4167" s="891" t="n">
        <f aca="false">F4167-H4167</f>
        <v>19250</v>
      </c>
      <c r="J4167" s="1365" t="n">
        <f aca="false">F4167*G4167</f>
        <v>3850</v>
      </c>
      <c r="K4167" s="1365" t="n">
        <f aca="false">J4167/1792.8</f>
        <v>2.14747880410531</v>
      </c>
      <c r="L4167" s="891" t="n">
        <v>9.6</v>
      </c>
      <c r="M4167" s="1273" t="n">
        <f aca="false">K4167*L4167/60</f>
        <v>0.34359660865685</v>
      </c>
    </row>
    <row r="4168" customFormat="false" ht="15" hidden="false" customHeight="false" outlineLevel="0" collapsed="false">
      <c r="A4168" s="28"/>
      <c r="B4168" s="78"/>
      <c r="C4168" s="40" t="s">
        <v>7158</v>
      </c>
      <c r="D4168" s="316" t="n">
        <v>2007</v>
      </c>
      <c r="E4168" s="912" t="n">
        <f aca="false">2021-D4168</f>
        <v>14</v>
      </c>
      <c r="F4168" s="891" t="n">
        <v>482500</v>
      </c>
      <c r="G4168" s="1364" t="n">
        <v>0.1</v>
      </c>
      <c r="H4168" s="891" t="n">
        <f aca="false">E4168*F4168*G4168</f>
        <v>675500</v>
      </c>
      <c r="I4168" s="891" t="n">
        <f aca="false">F4168-H4168</f>
        <v>-193000</v>
      </c>
      <c r="J4168" s="1365" t="n">
        <f aca="false">F4168*G4168</f>
        <v>48250</v>
      </c>
      <c r="K4168" s="1365" t="n">
        <f aca="false">J4168/1792.8</f>
        <v>26.913208389112</v>
      </c>
      <c r="L4168" s="891" t="n">
        <v>3.6</v>
      </c>
      <c r="M4168" s="1273" t="n">
        <f aca="false">K4168*L4168/60</f>
        <v>1.61479250334672</v>
      </c>
    </row>
    <row r="4169" customFormat="false" ht="15" hidden="false" customHeight="false" outlineLevel="0" collapsed="false">
      <c r="A4169" s="28"/>
      <c r="B4169" s="78"/>
      <c r="C4169" s="40" t="s">
        <v>7159</v>
      </c>
      <c r="D4169" s="316" t="n">
        <v>2007</v>
      </c>
      <c r="E4169" s="912" t="n">
        <f aca="false">2021-D4169</f>
        <v>14</v>
      </c>
      <c r="F4169" s="891" t="n">
        <v>68000</v>
      </c>
      <c r="G4169" s="1364" t="n">
        <v>0.1</v>
      </c>
      <c r="H4169" s="891" t="n">
        <f aca="false">E4169*F4169*G4169</f>
        <v>95200</v>
      </c>
      <c r="I4169" s="891" t="n">
        <f aca="false">F4169-H4169</f>
        <v>-27200</v>
      </c>
      <c r="J4169" s="1365" t="n">
        <f aca="false">F4169*G4169</f>
        <v>6800</v>
      </c>
      <c r="K4169" s="1365" t="n">
        <f aca="false">J4169/1792.8</f>
        <v>3.79294957608211</v>
      </c>
      <c r="L4169" s="891" t="n">
        <v>9.6</v>
      </c>
      <c r="M4169" s="1273" t="n">
        <f aca="false">K4169*L4169/60</f>
        <v>0.606871932173137</v>
      </c>
    </row>
    <row r="4170" customFormat="false" ht="15" hidden="false" customHeight="false" outlineLevel="0" collapsed="false">
      <c r="A4170" s="28"/>
      <c r="B4170" s="78"/>
      <c r="C4170" s="40" t="s">
        <v>7161</v>
      </c>
      <c r="D4170" s="316" t="n">
        <v>2007</v>
      </c>
      <c r="E4170" s="912" t="n">
        <f aca="false">2021-D4170</f>
        <v>14</v>
      </c>
      <c r="F4170" s="891" t="n">
        <v>1849800</v>
      </c>
      <c r="G4170" s="1364" t="n">
        <v>0.1</v>
      </c>
      <c r="H4170" s="891" t="n">
        <f aca="false">E4170*F4170*G4170</f>
        <v>2589720</v>
      </c>
      <c r="I4170" s="891" t="n">
        <f aca="false">F4170-H4170</f>
        <v>-739920</v>
      </c>
      <c r="J4170" s="1365" t="n">
        <f aca="false">F4170*G4170</f>
        <v>184980</v>
      </c>
      <c r="K4170" s="1365" t="n">
        <f aca="false">J4170/1792.8</f>
        <v>103.179384203481</v>
      </c>
      <c r="L4170" s="891" t="n">
        <v>5</v>
      </c>
      <c r="M4170" s="1273" t="n">
        <f aca="false">K4170*L4170/60</f>
        <v>8.59828201695672</v>
      </c>
    </row>
    <row r="4171" customFormat="false" ht="15" hidden="false" customHeight="false" outlineLevel="0" collapsed="false">
      <c r="A4171" s="28"/>
      <c r="B4171" s="972" t="s">
        <v>4128</v>
      </c>
      <c r="C4171" s="1053"/>
      <c r="D4171" s="965"/>
      <c r="E4171" s="912"/>
      <c r="F4171" s="1490"/>
      <c r="G4171" s="1490"/>
      <c r="H4171" s="1370"/>
      <c r="I4171" s="1370"/>
      <c r="J4171" s="1370"/>
      <c r="K4171" s="1365" t="n">
        <f aca="false">J4171/1792.8</f>
        <v>0</v>
      </c>
      <c r="L4171" s="1490"/>
      <c r="M4171" s="1366" t="n">
        <f aca="false">SUM(M4164:M4170)</f>
        <v>33.9588446378105</v>
      </c>
    </row>
    <row r="4172" customFormat="false" ht="45" hidden="false" customHeight="false" outlineLevel="0" collapsed="false">
      <c r="A4172" s="28" t="s">
        <v>2003</v>
      </c>
      <c r="B4172" s="40" t="s">
        <v>3736</v>
      </c>
      <c r="C4172" s="40" t="s">
        <v>7154</v>
      </c>
      <c r="D4172" s="316" t="n">
        <v>2007</v>
      </c>
      <c r="E4172" s="912" t="n">
        <f aca="false">2021-D4172</f>
        <v>14</v>
      </c>
      <c r="F4172" s="891" t="n">
        <v>407000</v>
      </c>
      <c r="G4172" s="1364" t="n">
        <v>0.1</v>
      </c>
      <c r="H4172" s="891" t="n">
        <f aca="false">E4172*F4172*G4172</f>
        <v>569800</v>
      </c>
      <c r="I4172" s="891" t="n">
        <f aca="false">F4172-H4172</f>
        <v>-162800</v>
      </c>
      <c r="J4172" s="1365" t="n">
        <f aca="false">F4172*G4172</f>
        <v>40700</v>
      </c>
      <c r="K4172" s="1365" t="n">
        <f aca="false">J4172/1792.8</f>
        <v>22.7019187862561</v>
      </c>
      <c r="L4172" s="891" t="n">
        <v>20</v>
      </c>
      <c r="M4172" s="1273" t="n">
        <f aca="false">K4172*L4172/60</f>
        <v>7.56730626208538</v>
      </c>
    </row>
    <row r="4173" customFormat="false" ht="15" hidden="false" customHeight="false" outlineLevel="0" collapsed="false">
      <c r="A4173" s="28"/>
      <c r="B4173" s="78"/>
      <c r="C4173" s="40" t="s">
        <v>7155</v>
      </c>
      <c r="D4173" s="316" t="n">
        <v>2007</v>
      </c>
      <c r="E4173" s="912" t="n">
        <f aca="false">2021-D4173</f>
        <v>14</v>
      </c>
      <c r="F4173" s="891" t="n">
        <v>810000</v>
      </c>
      <c r="G4173" s="1364" t="n">
        <v>0.1</v>
      </c>
      <c r="H4173" s="891" t="n">
        <f aca="false">E4173*F4173*G4173</f>
        <v>1134000</v>
      </c>
      <c r="I4173" s="891" t="n">
        <f aca="false">F4173-H4173</f>
        <v>-324000</v>
      </c>
      <c r="J4173" s="1365" t="n">
        <f aca="false">F4173*G4173</f>
        <v>81000</v>
      </c>
      <c r="K4173" s="1365" t="n">
        <f aca="false">J4173/1792.8</f>
        <v>45.1807228915663</v>
      </c>
      <c r="L4173" s="891" t="n">
        <v>4.8</v>
      </c>
      <c r="M4173" s="1273" t="n">
        <f aca="false">K4173*L4173/60</f>
        <v>3.6144578313253</v>
      </c>
    </row>
    <row r="4174" customFormat="false" ht="15" hidden="false" customHeight="false" outlineLevel="0" collapsed="false">
      <c r="A4174" s="28"/>
      <c r="B4174" s="78"/>
      <c r="C4174" s="40" t="s">
        <v>7156</v>
      </c>
      <c r="D4174" s="316" t="n">
        <v>2015</v>
      </c>
      <c r="E4174" s="912" t="n">
        <f aca="false">2021-D4174</f>
        <v>6</v>
      </c>
      <c r="F4174" s="891" t="n">
        <v>694025</v>
      </c>
      <c r="G4174" s="1364" t="n">
        <v>0.1</v>
      </c>
      <c r="H4174" s="891" t="n">
        <f aca="false">E4174*F4174*G4174</f>
        <v>416415</v>
      </c>
      <c r="I4174" s="891" t="n">
        <f aca="false">F4174-H4174</f>
        <v>277610</v>
      </c>
      <c r="J4174" s="1365" t="n">
        <f aca="false">F4174*G4174</f>
        <v>69402.5</v>
      </c>
      <c r="K4174" s="1365" t="n">
        <f aca="false">J4174/1792.8</f>
        <v>38.711791610888</v>
      </c>
      <c r="L4174" s="891" t="n">
        <v>18</v>
      </c>
      <c r="M4174" s="1273" t="n">
        <f aca="false">K4174*L4174/60</f>
        <v>11.6135374832664</v>
      </c>
    </row>
    <row r="4175" customFormat="false" ht="15" hidden="false" customHeight="false" outlineLevel="0" collapsed="false">
      <c r="A4175" s="28"/>
      <c r="B4175" s="78"/>
      <c r="C4175" s="40" t="s">
        <v>7157</v>
      </c>
      <c r="D4175" s="316" t="n">
        <v>2006</v>
      </c>
      <c r="E4175" s="912" t="n">
        <f aca="false">2021-D4175</f>
        <v>15</v>
      </c>
      <c r="F4175" s="891" t="n">
        <v>77000</v>
      </c>
      <c r="G4175" s="1364" t="n">
        <v>0.05</v>
      </c>
      <c r="H4175" s="891" t="n">
        <f aca="false">E4175*F4175*G4175</f>
        <v>57750</v>
      </c>
      <c r="I4175" s="891" t="n">
        <f aca="false">F4175-H4175</f>
        <v>19250</v>
      </c>
      <c r="J4175" s="1365" t="n">
        <f aca="false">F4175*G4175</f>
        <v>3850</v>
      </c>
      <c r="K4175" s="1365" t="n">
        <f aca="false">J4175/1792.8</f>
        <v>2.14747880410531</v>
      </c>
      <c r="L4175" s="891" t="n">
        <v>9.6</v>
      </c>
      <c r="M4175" s="1273" t="n">
        <f aca="false">K4175*L4175/60</f>
        <v>0.34359660865685</v>
      </c>
    </row>
    <row r="4176" customFormat="false" ht="15" hidden="false" customHeight="false" outlineLevel="0" collapsed="false">
      <c r="A4176" s="28"/>
      <c r="B4176" s="78"/>
      <c r="C4176" s="40" t="s">
        <v>7158</v>
      </c>
      <c r="D4176" s="316" t="n">
        <v>2007</v>
      </c>
      <c r="E4176" s="912" t="n">
        <f aca="false">2021-D4176</f>
        <v>14</v>
      </c>
      <c r="F4176" s="891" t="n">
        <v>482500</v>
      </c>
      <c r="G4176" s="1364" t="n">
        <v>0.1</v>
      </c>
      <c r="H4176" s="891" t="n">
        <f aca="false">E4176*F4176*G4176</f>
        <v>675500</v>
      </c>
      <c r="I4176" s="891" t="n">
        <f aca="false">F4176-H4176</f>
        <v>-193000</v>
      </c>
      <c r="J4176" s="1365" t="n">
        <f aca="false">F4176*G4176</f>
        <v>48250</v>
      </c>
      <c r="K4176" s="1365" t="n">
        <f aca="false">J4176/1792.8</f>
        <v>26.913208389112</v>
      </c>
      <c r="L4176" s="891" t="n">
        <v>3.6</v>
      </c>
      <c r="M4176" s="1273" t="n">
        <f aca="false">K4176*L4176/60</f>
        <v>1.61479250334672</v>
      </c>
    </row>
    <row r="4177" customFormat="false" ht="15" hidden="false" customHeight="false" outlineLevel="0" collapsed="false">
      <c r="A4177" s="28"/>
      <c r="B4177" s="78"/>
      <c r="C4177" s="40" t="s">
        <v>7159</v>
      </c>
      <c r="D4177" s="316" t="n">
        <v>2007</v>
      </c>
      <c r="E4177" s="912" t="n">
        <f aca="false">2021-D4177</f>
        <v>14</v>
      </c>
      <c r="F4177" s="891" t="n">
        <v>68000</v>
      </c>
      <c r="G4177" s="1364" t="n">
        <v>0.1</v>
      </c>
      <c r="H4177" s="891" t="n">
        <f aca="false">E4177*F4177*G4177</f>
        <v>95200</v>
      </c>
      <c r="I4177" s="891" t="n">
        <f aca="false">F4177-H4177</f>
        <v>-27200</v>
      </c>
      <c r="J4177" s="1365" t="n">
        <f aca="false">F4177*G4177</f>
        <v>6800</v>
      </c>
      <c r="K4177" s="1365" t="n">
        <f aca="false">J4177/1792.8</f>
        <v>3.79294957608211</v>
      </c>
      <c r="L4177" s="891" t="n">
        <v>9.6</v>
      </c>
      <c r="M4177" s="1273" t="n">
        <f aca="false">K4177*L4177/60</f>
        <v>0.606871932173137</v>
      </c>
    </row>
    <row r="4178" customFormat="false" ht="15" hidden="false" customHeight="false" outlineLevel="0" collapsed="false">
      <c r="A4178" s="28"/>
      <c r="B4178" s="78"/>
      <c r="C4178" s="40" t="s">
        <v>7161</v>
      </c>
      <c r="D4178" s="316" t="n">
        <v>2007</v>
      </c>
      <c r="E4178" s="912" t="n">
        <f aca="false">2021-D4178</f>
        <v>14</v>
      </c>
      <c r="F4178" s="891" t="n">
        <v>1849800</v>
      </c>
      <c r="G4178" s="1364" t="n">
        <v>0.1</v>
      </c>
      <c r="H4178" s="891" t="n">
        <f aca="false">E4178*F4178*G4178</f>
        <v>2589720</v>
      </c>
      <c r="I4178" s="891" t="n">
        <f aca="false">F4178-H4178</f>
        <v>-739920</v>
      </c>
      <c r="J4178" s="1365" t="n">
        <f aca="false">F4178*G4178</f>
        <v>184980</v>
      </c>
      <c r="K4178" s="1365" t="n">
        <f aca="false">J4178/1792.8</f>
        <v>103.179384203481</v>
      </c>
      <c r="L4178" s="891" t="n">
        <v>3</v>
      </c>
      <c r="M4178" s="1273" t="n">
        <f aca="false">K4178*L4178/60</f>
        <v>5.15896921017403</v>
      </c>
    </row>
    <row r="4179" customFormat="false" ht="15" hidden="false" customHeight="false" outlineLevel="0" collapsed="false">
      <c r="A4179" s="28"/>
      <c r="B4179" s="972" t="s">
        <v>4128</v>
      </c>
      <c r="C4179" s="1053"/>
      <c r="D4179" s="965"/>
      <c r="E4179" s="912"/>
      <c r="F4179" s="1490"/>
      <c r="G4179" s="1490"/>
      <c r="H4179" s="1370"/>
      <c r="I4179" s="1370"/>
      <c r="J4179" s="1370"/>
      <c r="K4179" s="1365" t="n">
        <f aca="false">J4179/1792.8</f>
        <v>0</v>
      </c>
      <c r="L4179" s="1490"/>
      <c r="M4179" s="1366" t="n">
        <f aca="false">SUM(M4172:M4178)</f>
        <v>30.5195318310278</v>
      </c>
    </row>
    <row r="4180" customFormat="false" ht="30" hidden="false" customHeight="false" outlineLevel="0" collapsed="false">
      <c r="A4180" s="28" t="s">
        <v>2005</v>
      </c>
      <c r="B4180" s="40" t="s">
        <v>3737</v>
      </c>
      <c r="C4180" s="40" t="s">
        <v>7154</v>
      </c>
      <c r="D4180" s="316" t="n">
        <v>2007</v>
      </c>
      <c r="E4180" s="912" t="n">
        <f aca="false">2021-D4180</f>
        <v>14</v>
      </c>
      <c r="F4180" s="891" t="n">
        <v>407000</v>
      </c>
      <c r="G4180" s="1364" t="n">
        <v>0.1</v>
      </c>
      <c r="H4180" s="891" t="n">
        <f aca="false">E4180*F4180*G4180</f>
        <v>569800</v>
      </c>
      <c r="I4180" s="891" t="n">
        <f aca="false">F4180-H4180</f>
        <v>-162800</v>
      </c>
      <c r="J4180" s="1365" t="n">
        <f aca="false">F4180*G4180</f>
        <v>40700</v>
      </c>
      <c r="K4180" s="1365" t="n">
        <f aca="false">J4180/1792.8</f>
        <v>22.7019187862561</v>
      </c>
      <c r="L4180" s="891" t="n">
        <v>20</v>
      </c>
      <c r="M4180" s="1273" t="n">
        <f aca="false">K4180*L4180/60</f>
        <v>7.56730626208538</v>
      </c>
    </row>
    <row r="4181" customFormat="false" ht="15" hidden="false" customHeight="false" outlineLevel="0" collapsed="false">
      <c r="A4181" s="28"/>
      <c r="B4181" s="78"/>
      <c r="C4181" s="40" t="s">
        <v>7155</v>
      </c>
      <c r="D4181" s="316" t="n">
        <v>2007</v>
      </c>
      <c r="E4181" s="912" t="n">
        <f aca="false">2021-D4181</f>
        <v>14</v>
      </c>
      <c r="F4181" s="891" t="n">
        <v>810000</v>
      </c>
      <c r="G4181" s="1364" t="n">
        <v>0.1</v>
      </c>
      <c r="H4181" s="891" t="n">
        <f aca="false">E4181*F4181*G4181</f>
        <v>1134000</v>
      </c>
      <c r="I4181" s="891" t="n">
        <f aca="false">F4181-H4181</f>
        <v>-324000</v>
      </c>
      <c r="J4181" s="1365" t="n">
        <f aca="false">F4181*G4181</f>
        <v>81000</v>
      </c>
      <c r="K4181" s="1365" t="n">
        <f aca="false">J4181/1792.8</f>
        <v>45.1807228915663</v>
      </c>
      <c r="L4181" s="891" t="n">
        <v>4.8</v>
      </c>
      <c r="M4181" s="1273" t="n">
        <f aca="false">K4181*L4181/60</f>
        <v>3.6144578313253</v>
      </c>
    </row>
    <row r="4182" customFormat="false" ht="15" hidden="false" customHeight="false" outlineLevel="0" collapsed="false">
      <c r="A4182" s="28"/>
      <c r="B4182" s="78"/>
      <c r="C4182" s="40" t="s">
        <v>7156</v>
      </c>
      <c r="D4182" s="316" t="n">
        <v>2015</v>
      </c>
      <c r="E4182" s="912" t="n">
        <f aca="false">2021-D4182</f>
        <v>6</v>
      </c>
      <c r="F4182" s="891" t="n">
        <v>694025</v>
      </c>
      <c r="G4182" s="1364" t="n">
        <v>0.1</v>
      </c>
      <c r="H4182" s="891" t="n">
        <f aca="false">E4182*F4182*G4182</f>
        <v>416415</v>
      </c>
      <c r="I4182" s="891" t="n">
        <f aca="false">F4182-H4182</f>
        <v>277610</v>
      </c>
      <c r="J4182" s="1365" t="n">
        <f aca="false">F4182*G4182</f>
        <v>69402.5</v>
      </c>
      <c r="K4182" s="1365" t="n">
        <f aca="false">J4182/1792.8</f>
        <v>38.711791610888</v>
      </c>
      <c r="L4182" s="891" t="n">
        <v>18</v>
      </c>
      <c r="M4182" s="1273" t="n">
        <f aca="false">K4182*L4182/60</f>
        <v>11.6135374832664</v>
      </c>
    </row>
    <row r="4183" customFormat="false" ht="15" hidden="false" customHeight="false" outlineLevel="0" collapsed="false">
      <c r="A4183" s="28"/>
      <c r="B4183" s="78"/>
      <c r="C4183" s="40" t="s">
        <v>7157</v>
      </c>
      <c r="D4183" s="316" t="n">
        <v>2006</v>
      </c>
      <c r="E4183" s="912" t="n">
        <f aca="false">2021-D4183</f>
        <v>15</v>
      </c>
      <c r="F4183" s="891" t="n">
        <v>77000</v>
      </c>
      <c r="G4183" s="1364" t="n">
        <v>0.05</v>
      </c>
      <c r="H4183" s="891" t="n">
        <f aca="false">E4183*F4183*G4183</f>
        <v>57750</v>
      </c>
      <c r="I4183" s="891" t="n">
        <f aca="false">F4183-H4183</f>
        <v>19250</v>
      </c>
      <c r="J4183" s="1365" t="n">
        <f aca="false">F4183*G4183</f>
        <v>3850</v>
      </c>
      <c r="K4183" s="1365" t="n">
        <f aca="false">J4183/1792.8</f>
        <v>2.14747880410531</v>
      </c>
      <c r="L4183" s="891" t="n">
        <v>9.6</v>
      </c>
      <c r="M4183" s="1273" t="n">
        <f aca="false">K4183*L4183/60</f>
        <v>0.34359660865685</v>
      </c>
    </row>
    <row r="4184" customFormat="false" ht="15" hidden="false" customHeight="false" outlineLevel="0" collapsed="false">
      <c r="A4184" s="28"/>
      <c r="B4184" s="78"/>
      <c r="C4184" s="40" t="s">
        <v>7158</v>
      </c>
      <c r="D4184" s="316" t="n">
        <v>2007</v>
      </c>
      <c r="E4184" s="912" t="n">
        <f aca="false">2021-D4184</f>
        <v>14</v>
      </c>
      <c r="F4184" s="891" t="n">
        <v>482500</v>
      </c>
      <c r="G4184" s="1364" t="n">
        <v>0.1</v>
      </c>
      <c r="H4184" s="891" t="n">
        <f aca="false">E4184*F4184*G4184</f>
        <v>675500</v>
      </c>
      <c r="I4184" s="891" t="n">
        <f aca="false">F4184-H4184</f>
        <v>-193000</v>
      </c>
      <c r="J4184" s="1365" t="n">
        <f aca="false">F4184*G4184</f>
        <v>48250</v>
      </c>
      <c r="K4184" s="1365" t="n">
        <f aca="false">J4184/1792.8</f>
        <v>26.913208389112</v>
      </c>
      <c r="L4184" s="891" t="n">
        <v>3.6</v>
      </c>
      <c r="M4184" s="1273" t="n">
        <f aca="false">K4184*L4184/60</f>
        <v>1.61479250334672</v>
      </c>
    </row>
    <row r="4185" customFormat="false" ht="15" hidden="false" customHeight="false" outlineLevel="0" collapsed="false">
      <c r="A4185" s="28"/>
      <c r="B4185" s="78"/>
      <c r="C4185" s="40" t="s">
        <v>7159</v>
      </c>
      <c r="D4185" s="316" t="n">
        <v>2007</v>
      </c>
      <c r="E4185" s="912" t="n">
        <f aca="false">2021-D4185</f>
        <v>14</v>
      </c>
      <c r="F4185" s="891" t="n">
        <v>68000</v>
      </c>
      <c r="G4185" s="1364" t="n">
        <v>0.1</v>
      </c>
      <c r="H4185" s="891" t="n">
        <f aca="false">E4185*F4185*G4185</f>
        <v>95200</v>
      </c>
      <c r="I4185" s="891" t="n">
        <f aca="false">F4185-H4185</f>
        <v>-27200</v>
      </c>
      <c r="J4185" s="1365" t="n">
        <f aca="false">F4185*G4185</f>
        <v>6800</v>
      </c>
      <c r="K4185" s="1365" t="n">
        <f aca="false">J4185/1792.8</f>
        <v>3.79294957608211</v>
      </c>
      <c r="L4185" s="891" t="n">
        <v>9.6</v>
      </c>
      <c r="M4185" s="1273" t="n">
        <f aca="false">K4185*L4185/60</f>
        <v>0.606871932173137</v>
      </c>
    </row>
    <row r="4186" customFormat="false" ht="15" hidden="false" customHeight="false" outlineLevel="0" collapsed="false">
      <c r="A4186" s="28"/>
      <c r="B4186" s="78"/>
      <c r="C4186" s="40" t="s">
        <v>7161</v>
      </c>
      <c r="D4186" s="316" t="n">
        <v>2007</v>
      </c>
      <c r="E4186" s="912" t="n">
        <f aca="false">2021-D4186</f>
        <v>14</v>
      </c>
      <c r="F4186" s="891" t="n">
        <v>1849800</v>
      </c>
      <c r="G4186" s="1364" t="n">
        <v>0.1</v>
      </c>
      <c r="H4186" s="891" t="n">
        <f aca="false">E4186*F4186*G4186</f>
        <v>2589720</v>
      </c>
      <c r="I4186" s="891" t="n">
        <f aca="false">F4186-H4186</f>
        <v>-739920</v>
      </c>
      <c r="J4186" s="1365" t="n">
        <f aca="false">F4186*G4186</f>
        <v>184980</v>
      </c>
      <c r="K4186" s="1365" t="n">
        <f aca="false">J4186/1792.8</f>
        <v>103.179384203481</v>
      </c>
      <c r="L4186" s="891" t="n">
        <v>3</v>
      </c>
      <c r="M4186" s="1273" t="n">
        <f aca="false">K4186*L4186/60</f>
        <v>5.15896921017403</v>
      </c>
    </row>
    <row r="4187" customFormat="false" ht="15" hidden="false" customHeight="false" outlineLevel="0" collapsed="false">
      <c r="A4187" s="28"/>
      <c r="B4187" s="972" t="s">
        <v>4128</v>
      </c>
      <c r="C4187" s="1053"/>
      <c r="D4187" s="965"/>
      <c r="E4187" s="912"/>
      <c r="F4187" s="1490"/>
      <c r="G4187" s="1490"/>
      <c r="H4187" s="1370"/>
      <c r="I4187" s="1370"/>
      <c r="J4187" s="1370"/>
      <c r="K4187" s="1365" t="n">
        <f aca="false">J4187/1792.8</f>
        <v>0</v>
      </c>
      <c r="L4187" s="1490"/>
      <c r="M4187" s="1366" t="n">
        <f aca="false">SUM(M4180:M4186)</f>
        <v>30.5195318310278</v>
      </c>
    </row>
    <row r="4188" customFormat="false" ht="30" hidden="false" customHeight="false" outlineLevel="0" collapsed="false">
      <c r="A4188" s="28" t="s">
        <v>2007</v>
      </c>
      <c r="B4188" s="40" t="s">
        <v>3738</v>
      </c>
      <c r="C4188" s="40" t="s">
        <v>7154</v>
      </c>
      <c r="D4188" s="316" t="n">
        <v>2007</v>
      </c>
      <c r="E4188" s="912" t="n">
        <f aca="false">2021-D4188</f>
        <v>14</v>
      </c>
      <c r="F4188" s="891" t="n">
        <v>407000</v>
      </c>
      <c r="G4188" s="1364" t="n">
        <v>0.1</v>
      </c>
      <c r="H4188" s="891" t="n">
        <f aca="false">E4188*F4188*G4188</f>
        <v>569800</v>
      </c>
      <c r="I4188" s="891" t="n">
        <f aca="false">F4188-H4188</f>
        <v>-162800</v>
      </c>
      <c r="J4188" s="1365" t="n">
        <f aca="false">F4188*G4188</f>
        <v>40700</v>
      </c>
      <c r="K4188" s="1365" t="n">
        <f aca="false">J4188/1792.8</f>
        <v>22.7019187862561</v>
      </c>
      <c r="L4188" s="891" t="n">
        <v>20</v>
      </c>
      <c r="M4188" s="1273" t="n">
        <f aca="false">K4188*L4188/60</f>
        <v>7.56730626208538</v>
      </c>
    </row>
    <row r="4189" customFormat="false" ht="15" hidden="false" customHeight="false" outlineLevel="0" collapsed="false">
      <c r="A4189" s="28"/>
      <c r="B4189" s="78"/>
      <c r="C4189" s="40" t="s">
        <v>7155</v>
      </c>
      <c r="D4189" s="316" t="n">
        <v>2007</v>
      </c>
      <c r="E4189" s="912" t="n">
        <f aca="false">2021-D4189</f>
        <v>14</v>
      </c>
      <c r="F4189" s="891" t="n">
        <v>810000</v>
      </c>
      <c r="G4189" s="1364" t="n">
        <v>0.1</v>
      </c>
      <c r="H4189" s="891" t="n">
        <f aca="false">E4189*F4189*G4189</f>
        <v>1134000</v>
      </c>
      <c r="I4189" s="891" t="n">
        <f aca="false">F4189-H4189</f>
        <v>-324000</v>
      </c>
      <c r="J4189" s="1365" t="n">
        <f aca="false">F4189*G4189</f>
        <v>81000</v>
      </c>
      <c r="K4189" s="1365" t="n">
        <f aca="false">J4189/1792.8</f>
        <v>45.1807228915663</v>
      </c>
      <c r="L4189" s="891" t="n">
        <v>4.8</v>
      </c>
      <c r="M4189" s="1273" t="n">
        <f aca="false">K4189*L4189/60</f>
        <v>3.6144578313253</v>
      </c>
    </row>
    <row r="4190" customFormat="false" ht="15" hidden="false" customHeight="false" outlineLevel="0" collapsed="false">
      <c r="A4190" s="28"/>
      <c r="B4190" s="78"/>
      <c r="C4190" s="40" t="s">
        <v>7156</v>
      </c>
      <c r="D4190" s="316" t="n">
        <v>2015</v>
      </c>
      <c r="E4190" s="912" t="n">
        <f aca="false">2021-D4190</f>
        <v>6</v>
      </c>
      <c r="F4190" s="891" t="n">
        <v>694025</v>
      </c>
      <c r="G4190" s="1364" t="n">
        <v>0.1</v>
      </c>
      <c r="H4190" s="891" t="n">
        <f aca="false">E4190*F4190*G4190</f>
        <v>416415</v>
      </c>
      <c r="I4190" s="891" t="n">
        <f aca="false">F4190-H4190</f>
        <v>277610</v>
      </c>
      <c r="J4190" s="1365" t="n">
        <f aca="false">F4190*G4190</f>
        <v>69402.5</v>
      </c>
      <c r="K4190" s="1365" t="n">
        <f aca="false">J4190/1792.8</f>
        <v>38.711791610888</v>
      </c>
      <c r="L4190" s="891" t="n">
        <v>18</v>
      </c>
      <c r="M4190" s="1273" t="n">
        <f aca="false">K4190*L4190/60</f>
        <v>11.6135374832664</v>
      </c>
    </row>
    <row r="4191" customFormat="false" ht="15" hidden="false" customHeight="false" outlineLevel="0" collapsed="false">
      <c r="A4191" s="28"/>
      <c r="B4191" s="78"/>
      <c r="C4191" s="40" t="s">
        <v>7157</v>
      </c>
      <c r="D4191" s="316" t="n">
        <v>2006</v>
      </c>
      <c r="E4191" s="912" t="n">
        <f aca="false">2021-D4191</f>
        <v>15</v>
      </c>
      <c r="F4191" s="891" t="n">
        <v>77000</v>
      </c>
      <c r="G4191" s="1364" t="n">
        <v>0.05</v>
      </c>
      <c r="H4191" s="891" t="n">
        <f aca="false">E4191*F4191*G4191</f>
        <v>57750</v>
      </c>
      <c r="I4191" s="891" t="n">
        <f aca="false">F4191-H4191</f>
        <v>19250</v>
      </c>
      <c r="J4191" s="1365" t="n">
        <f aca="false">F4191*G4191</f>
        <v>3850</v>
      </c>
      <c r="K4191" s="1365" t="n">
        <f aca="false">J4191/1792.8</f>
        <v>2.14747880410531</v>
      </c>
      <c r="L4191" s="891" t="n">
        <v>20</v>
      </c>
      <c r="M4191" s="1273" t="n">
        <f aca="false">K4191*L4191/60</f>
        <v>0.715826268035103</v>
      </c>
    </row>
    <row r="4192" customFormat="false" ht="15" hidden="false" customHeight="false" outlineLevel="0" collapsed="false">
      <c r="A4192" s="28"/>
      <c r="B4192" s="78"/>
      <c r="C4192" s="40" t="s">
        <v>7158</v>
      </c>
      <c r="D4192" s="316" t="n">
        <v>2007</v>
      </c>
      <c r="E4192" s="912" t="n">
        <f aca="false">2021-D4192</f>
        <v>14</v>
      </c>
      <c r="F4192" s="891" t="n">
        <v>482500</v>
      </c>
      <c r="G4192" s="1364" t="n">
        <v>0.1</v>
      </c>
      <c r="H4192" s="891" t="n">
        <f aca="false">E4192*F4192*G4192</f>
        <v>675500</v>
      </c>
      <c r="I4192" s="891" t="n">
        <f aca="false">F4192-H4192</f>
        <v>-193000</v>
      </c>
      <c r="J4192" s="1365" t="n">
        <f aca="false">F4192*G4192</f>
        <v>48250</v>
      </c>
      <c r="K4192" s="1365" t="n">
        <f aca="false">J4192/1792.8</f>
        <v>26.913208389112</v>
      </c>
      <c r="L4192" s="891" t="n">
        <v>14.4</v>
      </c>
      <c r="M4192" s="1273" t="n">
        <f aca="false">K4192*L4192/60</f>
        <v>6.45917001338688</v>
      </c>
    </row>
    <row r="4193" customFormat="false" ht="15" hidden="false" customHeight="false" outlineLevel="0" collapsed="false">
      <c r="A4193" s="28"/>
      <c r="B4193" s="78"/>
      <c r="C4193" s="40" t="s">
        <v>7159</v>
      </c>
      <c r="D4193" s="316" t="n">
        <v>2007</v>
      </c>
      <c r="E4193" s="912" t="n">
        <f aca="false">2021-D4193</f>
        <v>14</v>
      </c>
      <c r="F4193" s="891" t="n">
        <v>68000</v>
      </c>
      <c r="G4193" s="1364" t="n">
        <v>0.1</v>
      </c>
      <c r="H4193" s="891" t="n">
        <f aca="false">E4193*F4193*G4193</f>
        <v>95200</v>
      </c>
      <c r="I4193" s="891" t="n">
        <f aca="false">F4193-H4193</f>
        <v>-27200</v>
      </c>
      <c r="J4193" s="1365" t="n">
        <f aca="false">F4193*G4193</f>
        <v>6800</v>
      </c>
      <c r="K4193" s="1365" t="n">
        <f aca="false">J4193/1792.8</f>
        <v>3.79294957608211</v>
      </c>
      <c r="L4193" s="891" t="n">
        <v>9.6</v>
      </c>
      <c r="M4193" s="1273" t="n">
        <f aca="false">K4193*L4193/60</f>
        <v>0.606871932173137</v>
      </c>
    </row>
    <row r="4194" customFormat="false" ht="15" hidden="false" customHeight="false" outlineLevel="0" collapsed="false">
      <c r="A4194" s="216"/>
      <c r="B4194" s="78"/>
      <c r="C4194" s="40" t="s">
        <v>7161</v>
      </c>
      <c r="D4194" s="316" t="n">
        <v>2007</v>
      </c>
      <c r="E4194" s="912" t="n">
        <f aca="false">2021-D4194</f>
        <v>14</v>
      </c>
      <c r="F4194" s="891" t="n">
        <v>1849800</v>
      </c>
      <c r="G4194" s="1364" t="n">
        <v>0.1</v>
      </c>
      <c r="H4194" s="891" t="n">
        <f aca="false">E4194*F4194*G4194</f>
        <v>2589720</v>
      </c>
      <c r="I4194" s="891" t="n">
        <f aca="false">F4194-H4194</f>
        <v>-739920</v>
      </c>
      <c r="J4194" s="1365" t="n">
        <f aca="false">F4194*G4194</f>
        <v>184980</v>
      </c>
      <c r="K4194" s="1365" t="n">
        <f aca="false">J4194/1792.8</f>
        <v>103.179384203481</v>
      </c>
      <c r="L4194" s="891" t="n">
        <v>3</v>
      </c>
      <c r="M4194" s="1273" t="n">
        <f aca="false">K4194*L4194/60</f>
        <v>5.15896921017403</v>
      </c>
    </row>
    <row r="4195" customFormat="false" ht="15" hidden="false" customHeight="false" outlineLevel="0" collapsed="false">
      <c r="A4195" s="28"/>
      <c r="B4195" s="78"/>
      <c r="C4195" s="40" t="s">
        <v>7172</v>
      </c>
      <c r="D4195" s="316" t="n">
        <v>2004</v>
      </c>
      <c r="E4195" s="912" t="n">
        <f aca="false">2021-D4195</f>
        <v>17</v>
      </c>
      <c r="F4195" s="891" t="n">
        <v>93423</v>
      </c>
      <c r="G4195" s="1364" t="n">
        <v>0.1</v>
      </c>
      <c r="H4195" s="891" t="n">
        <v>93423</v>
      </c>
      <c r="I4195" s="891" t="n">
        <f aca="false">F4195-H4195</f>
        <v>0</v>
      </c>
      <c r="J4195" s="1365" t="n">
        <f aca="false">F4195*G4195</f>
        <v>9342.3</v>
      </c>
      <c r="K4195" s="1365" t="n">
        <f aca="false">J4195/1792.8</f>
        <v>5.21101070950469</v>
      </c>
      <c r="L4195" s="891" t="n">
        <v>20</v>
      </c>
      <c r="M4195" s="1273" t="n">
        <f aca="false">K4195*L4195/60</f>
        <v>1.7370035698349</v>
      </c>
    </row>
    <row r="4196" customFormat="false" ht="15" hidden="false" customHeight="false" outlineLevel="0" collapsed="false">
      <c r="A4196" s="28"/>
      <c r="B4196" s="972" t="s">
        <v>4128</v>
      </c>
      <c r="C4196" s="40"/>
      <c r="D4196" s="316"/>
      <c r="E4196" s="912"/>
      <c r="F4196" s="891"/>
      <c r="G4196" s="891"/>
      <c r="H4196" s="1365"/>
      <c r="I4196" s="1365"/>
      <c r="J4196" s="1370"/>
      <c r="K4196" s="1365" t="n">
        <f aca="false">J4196/1792.8</f>
        <v>0</v>
      </c>
      <c r="L4196" s="1490"/>
      <c r="M4196" s="1366" t="n">
        <f aca="false">SUM(M4188:M4195)</f>
        <v>37.4731425702811</v>
      </c>
    </row>
    <row r="4197" customFormat="false" ht="30" hidden="false" customHeight="false" outlineLevel="0" collapsed="false">
      <c r="A4197" s="28" t="s">
        <v>2009</v>
      </c>
      <c r="B4197" s="40" t="s">
        <v>3739</v>
      </c>
      <c r="C4197" s="40" t="s">
        <v>7154</v>
      </c>
      <c r="D4197" s="316" t="n">
        <v>2007</v>
      </c>
      <c r="E4197" s="912" t="n">
        <f aca="false">2021-D4197</f>
        <v>14</v>
      </c>
      <c r="F4197" s="891" t="n">
        <v>407000</v>
      </c>
      <c r="G4197" s="1364" t="n">
        <v>0.1</v>
      </c>
      <c r="H4197" s="891" t="n">
        <f aca="false">E4197*F4197*G4197</f>
        <v>569800</v>
      </c>
      <c r="I4197" s="891" t="n">
        <f aca="false">F4197-H4197</f>
        <v>-162800</v>
      </c>
      <c r="J4197" s="1365" t="n">
        <f aca="false">F4197*G4197</f>
        <v>40700</v>
      </c>
      <c r="K4197" s="1365" t="n">
        <f aca="false">J4197/1792.8</f>
        <v>22.7019187862561</v>
      </c>
      <c r="L4197" s="891" t="n">
        <v>20</v>
      </c>
      <c r="M4197" s="1273" t="n">
        <f aca="false">K4197*L4197/60</f>
        <v>7.56730626208538</v>
      </c>
    </row>
    <row r="4198" customFormat="false" ht="15" hidden="false" customHeight="false" outlineLevel="0" collapsed="false">
      <c r="A4198" s="28"/>
      <c r="B4198" s="78"/>
      <c r="C4198" s="40" t="s">
        <v>7155</v>
      </c>
      <c r="D4198" s="316" t="n">
        <v>2007</v>
      </c>
      <c r="E4198" s="912" t="n">
        <f aca="false">2021-D4198</f>
        <v>14</v>
      </c>
      <c r="F4198" s="891" t="n">
        <v>810000</v>
      </c>
      <c r="G4198" s="1364" t="n">
        <v>0.1</v>
      </c>
      <c r="H4198" s="891" t="n">
        <f aca="false">E4198*F4198*G4198</f>
        <v>1134000</v>
      </c>
      <c r="I4198" s="891" t="n">
        <f aca="false">F4198-H4198</f>
        <v>-324000</v>
      </c>
      <c r="J4198" s="1365" t="n">
        <f aca="false">F4198*G4198</f>
        <v>81000</v>
      </c>
      <c r="K4198" s="1365" t="n">
        <f aca="false">J4198/1792.8</f>
        <v>45.1807228915663</v>
      </c>
      <c r="L4198" s="891" t="n">
        <v>4.8</v>
      </c>
      <c r="M4198" s="1273" t="n">
        <f aca="false">K4198*L4198/60</f>
        <v>3.6144578313253</v>
      </c>
    </row>
    <row r="4199" customFormat="false" ht="15" hidden="false" customHeight="false" outlineLevel="0" collapsed="false">
      <c r="A4199" s="28"/>
      <c r="B4199" s="78"/>
      <c r="C4199" s="40" t="s">
        <v>7156</v>
      </c>
      <c r="D4199" s="316" t="n">
        <v>2015</v>
      </c>
      <c r="E4199" s="912" t="n">
        <f aca="false">2021-D4199</f>
        <v>6</v>
      </c>
      <c r="F4199" s="891" t="n">
        <v>694025</v>
      </c>
      <c r="G4199" s="1364" t="n">
        <v>0.1</v>
      </c>
      <c r="H4199" s="891" t="n">
        <f aca="false">E4199*F4199*G4199</f>
        <v>416415</v>
      </c>
      <c r="I4199" s="891" t="n">
        <f aca="false">F4199-H4199</f>
        <v>277610</v>
      </c>
      <c r="J4199" s="1365" t="n">
        <f aca="false">F4199*G4199</f>
        <v>69402.5</v>
      </c>
      <c r="K4199" s="1365" t="n">
        <f aca="false">J4199/1792.8</f>
        <v>38.711791610888</v>
      </c>
      <c r="L4199" s="891" t="n">
        <v>18</v>
      </c>
      <c r="M4199" s="1273" t="n">
        <f aca="false">K4199*L4199/60</f>
        <v>11.6135374832664</v>
      </c>
    </row>
    <row r="4200" customFormat="false" ht="15" hidden="false" customHeight="false" outlineLevel="0" collapsed="false">
      <c r="A4200" s="28"/>
      <c r="B4200" s="78"/>
      <c r="C4200" s="40" t="s">
        <v>7157</v>
      </c>
      <c r="D4200" s="316" t="n">
        <v>2006</v>
      </c>
      <c r="E4200" s="912" t="n">
        <f aca="false">2021-D4200</f>
        <v>15</v>
      </c>
      <c r="F4200" s="891" t="n">
        <v>77000</v>
      </c>
      <c r="G4200" s="1364" t="n">
        <v>0.05</v>
      </c>
      <c r="H4200" s="891" t="n">
        <f aca="false">E4200*F4200*G4200</f>
        <v>57750</v>
      </c>
      <c r="I4200" s="891" t="n">
        <f aca="false">F4200-H4200</f>
        <v>19250</v>
      </c>
      <c r="J4200" s="1365" t="n">
        <f aca="false">F4200*G4200</f>
        <v>3850</v>
      </c>
      <c r="K4200" s="1365" t="n">
        <f aca="false">J4200/1792.8</f>
        <v>2.14747880410531</v>
      </c>
      <c r="L4200" s="891" t="n">
        <v>9.6</v>
      </c>
      <c r="M4200" s="1273" t="n">
        <f aca="false">K4200*L4200/60</f>
        <v>0.34359660865685</v>
      </c>
    </row>
    <row r="4201" customFormat="false" ht="15" hidden="false" customHeight="false" outlineLevel="0" collapsed="false">
      <c r="A4201" s="28"/>
      <c r="B4201" s="78"/>
      <c r="C4201" s="40" t="s">
        <v>7158</v>
      </c>
      <c r="D4201" s="316" t="n">
        <v>2007</v>
      </c>
      <c r="E4201" s="912" t="n">
        <f aca="false">2021-D4201</f>
        <v>14</v>
      </c>
      <c r="F4201" s="891" t="n">
        <v>482500</v>
      </c>
      <c r="G4201" s="1364" t="n">
        <v>0.1</v>
      </c>
      <c r="H4201" s="891" t="n">
        <f aca="false">E4201*F4201*G4201</f>
        <v>675500</v>
      </c>
      <c r="I4201" s="891" t="n">
        <f aca="false">F4201-H4201</f>
        <v>-193000</v>
      </c>
      <c r="J4201" s="1365" t="n">
        <f aca="false">F4201*G4201</f>
        <v>48250</v>
      </c>
      <c r="K4201" s="1365" t="n">
        <f aca="false">J4201/1792.8</f>
        <v>26.913208389112</v>
      </c>
      <c r="L4201" s="891" t="n">
        <v>3.6</v>
      </c>
      <c r="M4201" s="1273" t="n">
        <f aca="false">K4201*L4201/60</f>
        <v>1.61479250334672</v>
      </c>
    </row>
    <row r="4202" customFormat="false" ht="15" hidden="false" customHeight="false" outlineLevel="0" collapsed="false">
      <c r="A4202" s="28"/>
      <c r="B4202" s="78"/>
      <c r="C4202" s="40" t="s">
        <v>7159</v>
      </c>
      <c r="D4202" s="316" t="n">
        <v>2007</v>
      </c>
      <c r="E4202" s="912" t="n">
        <f aca="false">2021-D4202</f>
        <v>14</v>
      </c>
      <c r="F4202" s="891" t="n">
        <v>68000</v>
      </c>
      <c r="G4202" s="1364" t="n">
        <v>0.1</v>
      </c>
      <c r="H4202" s="891" t="n">
        <f aca="false">E4202*F4202*G4202</f>
        <v>95200</v>
      </c>
      <c r="I4202" s="891" t="n">
        <f aca="false">F4202-H4202</f>
        <v>-27200</v>
      </c>
      <c r="J4202" s="1365" t="n">
        <f aca="false">F4202*G4202</f>
        <v>6800</v>
      </c>
      <c r="K4202" s="1365" t="n">
        <f aca="false">J4202/1792.8</f>
        <v>3.79294957608211</v>
      </c>
      <c r="L4202" s="891" t="n">
        <v>9.6</v>
      </c>
      <c r="M4202" s="1273" t="n">
        <f aca="false">K4202*L4202/60</f>
        <v>0.606871932173137</v>
      </c>
    </row>
    <row r="4203" customFormat="false" ht="15" hidden="false" customHeight="false" outlineLevel="0" collapsed="false">
      <c r="A4203" s="28"/>
      <c r="B4203" s="78"/>
      <c r="C4203" s="40" t="s">
        <v>7161</v>
      </c>
      <c r="D4203" s="316" t="n">
        <v>2007</v>
      </c>
      <c r="E4203" s="912" t="n">
        <f aca="false">2021-D4203</f>
        <v>14</v>
      </c>
      <c r="F4203" s="891" t="n">
        <v>1849800</v>
      </c>
      <c r="G4203" s="1364" t="n">
        <v>0.1</v>
      </c>
      <c r="H4203" s="891" t="n">
        <f aca="false">E4203*F4203*G4203</f>
        <v>2589720</v>
      </c>
      <c r="I4203" s="891" t="n">
        <f aca="false">F4203-H4203</f>
        <v>-739920</v>
      </c>
      <c r="J4203" s="1365" t="n">
        <f aca="false">F4203*G4203</f>
        <v>184980</v>
      </c>
      <c r="K4203" s="1365" t="n">
        <f aca="false">J4203/1792.8</f>
        <v>103.179384203481</v>
      </c>
      <c r="L4203" s="891" t="n">
        <v>3</v>
      </c>
      <c r="M4203" s="1273" t="n">
        <f aca="false">K4203*L4203/60</f>
        <v>5.15896921017403</v>
      </c>
    </row>
    <row r="4204" customFormat="false" ht="15" hidden="false" customHeight="false" outlineLevel="0" collapsed="false">
      <c r="A4204" s="28"/>
      <c r="B4204" s="972" t="s">
        <v>4128</v>
      </c>
      <c r="C4204" s="1053"/>
      <c r="D4204" s="965"/>
      <c r="E4204" s="912"/>
      <c r="F4204" s="1490"/>
      <c r="G4204" s="1490"/>
      <c r="H4204" s="1370"/>
      <c r="I4204" s="1370"/>
      <c r="J4204" s="1370"/>
      <c r="K4204" s="1365" t="n">
        <f aca="false">J4204/1792.8</f>
        <v>0</v>
      </c>
      <c r="L4204" s="1490"/>
      <c r="M4204" s="1366" t="n">
        <f aca="false">SUM(M4197:M4203)</f>
        <v>30.5195318310278</v>
      </c>
    </row>
    <row r="4205" customFormat="false" ht="45" hidden="false" customHeight="false" outlineLevel="0" collapsed="false">
      <c r="A4205" s="28" t="s">
        <v>2011</v>
      </c>
      <c r="B4205" s="29" t="s">
        <v>7190</v>
      </c>
      <c r="C4205" s="40" t="s">
        <v>7154</v>
      </c>
      <c r="D4205" s="316" t="n">
        <v>2007</v>
      </c>
      <c r="E4205" s="912" t="n">
        <f aca="false">2021-D4205</f>
        <v>14</v>
      </c>
      <c r="F4205" s="891" t="n">
        <v>407000</v>
      </c>
      <c r="G4205" s="1364" t="n">
        <v>0.1</v>
      </c>
      <c r="H4205" s="891" t="n">
        <f aca="false">E4205*F4205*G4205</f>
        <v>569800</v>
      </c>
      <c r="I4205" s="891" t="n">
        <f aca="false">F4205-H4205</f>
        <v>-162800</v>
      </c>
      <c r="J4205" s="1365" t="n">
        <f aca="false">F4205*G4205</f>
        <v>40700</v>
      </c>
      <c r="K4205" s="1365" t="n">
        <f aca="false">J4205/1792.8</f>
        <v>22.7019187862561</v>
      </c>
      <c r="L4205" s="891" t="n">
        <v>144</v>
      </c>
      <c r="M4205" s="1273" t="n">
        <f aca="false">K4205*L4205/60</f>
        <v>54.4846050870147</v>
      </c>
    </row>
    <row r="4206" customFormat="false" ht="15" hidden="false" customHeight="false" outlineLevel="0" collapsed="false">
      <c r="A4206" s="28"/>
      <c r="B4206" s="78"/>
      <c r="C4206" s="40" t="s">
        <v>7155</v>
      </c>
      <c r="D4206" s="316" t="n">
        <v>2007</v>
      </c>
      <c r="E4206" s="912" t="n">
        <f aca="false">2021-D4206</f>
        <v>14</v>
      </c>
      <c r="F4206" s="891" t="n">
        <v>810000</v>
      </c>
      <c r="G4206" s="1364" t="n">
        <v>0.1</v>
      </c>
      <c r="H4206" s="891" t="n">
        <f aca="false">E4206*F4206*G4206</f>
        <v>1134000</v>
      </c>
      <c r="I4206" s="891" t="n">
        <f aca="false">F4206-H4206</f>
        <v>-324000</v>
      </c>
      <c r="J4206" s="1365" t="n">
        <f aca="false">F4206*G4206</f>
        <v>81000</v>
      </c>
      <c r="K4206" s="1365" t="n">
        <f aca="false">J4206/1792.8</f>
        <v>45.1807228915663</v>
      </c>
      <c r="L4206" s="891" t="n">
        <v>4.8</v>
      </c>
      <c r="M4206" s="1273" t="n">
        <f aca="false">K4206*L4206/60</f>
        <v>3.6144578313253</v>
      </c>
    </row>
    <row r="4207" customFormat="false" ht="15" hidden="false" customHeight="false" outlineLevel="0" collapsed="false">
      <c r="A4207" s="28"/>
      <c r="B4207" s="78"/>
      <c r="C4207" s="40" t="s">
        <v>7156</v>
      </c>
      <c r="D4207" s="316" t="n">
        <v>2015</v>
      </c>
      <c r="E4207" s="912" t="n">
        <f aca="false">2021-D4207</f>
        <v>6</v>
      </c>
      <c r="F4207" s="891" t="n">
        <v>694025</v>
      </c>
      <c r="G4207" s="1364" t="n">
        <v>0.1</v>
      </c>
      <c r="H4207" s="891" t="n">
        <f aca="false">E4207*F4207*G4207</f>
        <v>416415</v>
      </c>
      <c r="I4207" s="891" t="n">
        <f aca="false">F4207-H4207</f>
        <v>277610</v>
      </c>
      <c r="J4207" s="1365" t="n">
        <f aca="false">F4207*G4207</f>
        <v>69402.5</v>
      </c>
      <c r="K4207" s="1365" t="n">
        <f aca="false">J4207/1792.8</f>
        <v>38.711791610888</v>
      </c>
      <c r="L4207" s="891" t="n">
        <v>18</v>
      </c>
      <c r="M4207" s="1273" t="n">
        <f aca="false">K4207*L4207/60</f>
        <v>11.6135374832664</v>
      </c>
    </row>
    <row r="4208" customFormat="false" ht="15" hidden="false" customHeight="false" outlineLevel="0" collapsed="false">
      <c r="A4208" s="28"/>
      <c r="B4208" s="78"/>
      <c r="C4208" s="40" t="s">
        <v>7157</v>
      </c>
      <c r="D4208" s="316" t="n">
        <v>2006</v>
      </c>
      <c r="E4208" s="912" t="n">
        <f aca="false">2021-D4208</f>
        <v>15</v>
      </c>
      <c r="F4208" s="891" t="n">
        <v>77000</v>
      </c>
      <c r="G4208" s="1364" t="n">
        <v>0.05</v>
      </c>
      <c r="H4208" s="891" t="n">
        <f aca="false">E4208*F4208*G4208</f>
        <v>57750</v>
      </c>
      <c r="I4208" s="891" t="n">
        <f aca="false">F4208-H4208</f>
        <v>19250</v>
      </c>
      <c r="J4208" s="1365" t="n">
        <f aca="false">F4208*G4208</f>
        <v>3850</v>
      </c>
      <c r="K4208" s="1365" t="n">
        <f aca="false">J4208/1792.8</f>
        <v>2.14747880410531</v>
      </c>
      <c r="L4208" s="891" t="n">
        <v>38.4</v>
      </c>
      <c r="M4208" s="1273" t="n">
        <f aca="false">K4208*L4208/60</f>
        <v>1.3743864346274</v>
      </c>
    </row>
    <row r="4209" customFormat="false" ht="15" hidden="false" customHeight="false" outlineLevel="0" collapsed="false">
      <c r="A4209" s="28"/>
      <c r="B4209" s="78"/>
      <c r="C4209" s="40" t="s">
        <v>7158</v>
      </c>
      <c r="D4209" s="316" t="n">
        <v>2007</v>
      </c>
      <c r="E4209" s="912" t="n">
        <f aca="false">2021-D4209</f>
        <v>14</v>
      </c>
      <c r="F4209" s="891" t="n">
        <v>482500</v>
      </c>
      <c r="G4209" s="1364" t="n">
        <v>0.1</v>
      </c>
      <c r="H4209" s="891" t="n">
        <f aca="false">E4209*F4209*G4209</f>
        <v>675500</v>
      </c>
      <c r="I4209" s="891" t="n">
        <f aca="false">F4209-H4209</f>
        <v>-193000</v>
      </c>
      <c r="J4209" s="1365" t="n">
        <f aca="false">F4209*G4209</f>
        <v>48250</v>
      </c>
      <c r="K4209" s="1365" t="n">
        <f aca="false">J4209/1792.8</f>
        <v>26.913208389112</v>
      </c>
      <c r="L4209" s="891" t="n">
        <v>14.4</v>
      </c>
      <c r="M4209" s="1273" t="n">
        <f aca="false">K4209*L4209/60</f>
        <v>6.45917001338688</v>
      </c>
    </row>
    <row r="4210" customFormat="false" ht="15" hidden="false" customHeight="false" outlineLevel="0" collapsed="false">
      <c r="A4210" s="28"/>
      <c r="B4210" s="78"/>
      <c r="C4210" s="40" t="s">
        <v>7159</v>
      </c>
      <c r="D4210" s="316" t="n">
        <v>2007</v>
      </c>
      <c r="E4210" s="912" t="n">
        <f aca="false">2021-D4210</f>
        <v>14</v>
      </c>
      <c r="F4210" s="891" t="n">
        <v>68000</v>
      </c>
      <c r="G4210" s="1364" t="n">
        <v>0.1</v>
      </c>
      <c r="H4210" s="891" t="n">
        <f aca="false">E4210*F4210*G4210</f>
        <v>95200</v>
      </c>
      <c r="I4210" s="891" t="n">
        <f aca="false">F4210-H4210</f>
        <v>-27200</v>
      </c>
      <c r="J4210" s="1365" t="n">
        <f aca="false">F4210*G4210</f>
        <v>6800</v>
      </c>
      <c r="K4210" s="1365" t="n">
        <f aca="false">J4210/1792.8</f>
        <v>3.79294957608211</v>
      </c>
      <c r="L4210" s="891" t="n">
        <v>9.6</v>
      </c>
      <c r="M4210" s="1273" t="n">
        <f aca="false">K4210*L4210/60</f>
        <v>0.606871932173137</v>
      </c>
    </row>
    <row r="4211" customFormat="false" ht="15" hidden="false" customHeight="false" outlineLevel="0" collapsed="false">
      <c r="A4211" s="28"/>
      <c r="B4211" s="78"/>
      <c r="C4211" s="40" t="s">
        <v>7188</v>
      </c>
      <c r="D4211" s="316" t="n">
        <v>2006</v>
      </c>
      <c r="E4211" s="912" t="n">
        <f aca="false">2021-D4211</f>
        <v>15</v>
      </c>
      <c r="F4211" s="891" t="n">
        <v>30000</v>
      </c>
      <c r="G4211" s="1364" t="n">
        <v>0.2</v>
      </c>
      <c r="H4211" s="891" t="n">
        <v>30000</v>
      </c>
      <c r="I4211" s="891" t="n">
        <f aca="false">F4211-H4211</f>
        <v>0</v>
      </c>
      <c r="J4211" s="1365" t="n">
        <f aca="false">F4211*G4211</f>
        <v>6000</v>
      </c>
      <c r="K4211" s="1365" t="n">
        <f aca="false">J4211/1792.8</f>
        <v>3.34672021419009</v>
      </c>
      <c r="L4211" s="891" t="n">
        <v>5</v>
      </c>
      <c r="M4211" s="1273" t="n">
        <f aca="false">K4211*L4211/60</f>
        <v>0.278893351182508</v>
      </c>
    </row>
    <row r="4212" customFormat="false" ht="15" hidden="false" customHeight="false" outlineLevel="0" collapsed="false">
      <c r="A4212" s="28"/>
      <c r="B4212" s="78"/>
      <c r="C4212" s="40" t="s">
        <v>7176</v>
      </c>
      <c r="D4212" s="316" t="n">
        <v>2007</v>
      </c>
      <c r="E4212" s="912" t="n">
        <f aca="false">2021-D4212</f>
        <v>14</v>
      </c>
      <c r="F4212" s="891" t="n">
        <v>25000</v>
      </c>
      <c r="G4212" s="1364" t="n">
        <v>0.1</v>
      </c>
      <c r="H4212" s="891" t="n">
        <f aca="false">E4212*F4212*G4212</f>
        <v>35000</v>
      </c>
      <c r="I4212" s="891" t="n">
        <f aca="false">F4212-H4212</f>
        <v>-10000</v>
      </c>
      <c r="J4212" s="1365" t="n">
        <f aca="false">F4212*G4212</f>
        <v>2500</v>
      </c>
      <c r="K4212" s="1365" t="n">
        <f aca="false">J4212/1792.8</f>
        <v>1.39446675591254</v>
      </c>
      <c r="L4212" s="891" t="n">
        <v>5</v>
      </c>
      <c r="M4212" s="1273" t="n">
        <f aca="false">K4212*L4212/60</f>
        <v>0.116205562992712</v>
      </c>
    </row>
    <row r="4213" customFormat="false" ht="15" hidden="false" customHeight="false" outlineLevel="0" collapsed="false">
      <c r="A4213" s="28"/>
      <c r="B4213" s="1514"/>
      <c r="C4213" s="40" t="s">
        <v>7191</v>
      </c>
      <c r="D4213" s="316" t="n">
        <v>2007</v>
      </c>
      <c r="E4213" s="912" t="n">
        <f aca="false">2021-D4213</f>
        <v>14</v>
      </c>
      <c r="F4213" s="891" t="n">
        <v>1849800</v>
      </c>
      <c r="G4213" s="1364" t="n">
        <v>0.1</v>
      </c>
      <c r="H4213" s="891" t="n">
        <f aca="false">E4213*F4213*G4213</f>
        <v>2589720</v>
      </c>
      <c r="I4213" s="891" t="n">
        <f aca="false">F4213-H4213</f>
        <v>-739920</v>
      </c>
      <c r="J4213" s="1365" t="n">
        <f aca="false">F4213*G4213</f>
        <v>184980</v>
      </c>
      <c r="K4213" s="1365" t="n">
        <f aca="false">J4213/1792.8</f>
        <v>103.179384203481</v>
      </c>
      <c r="L4213" s="891" t="n">
        <v>5</v>
      </c>
      <c r="M4213" s="1273" t="n">
        <f aca="false">K4213*L4213/60</f>
        <v>8.59828201695672</v>
      </c>
    </row>
    <row r="4214" customFormat="false" ht="15" hidden="false" customHeight="false" outlineLevel="0" collapsed="false">
      <c r="A4214" s="28"/>
      <c r="B4214" s="972" t="s">
        <v>4128</v>
      </c>
      <c r="C4214" s="1053"/>
      <c r="D4214" s="965"/>
      <c r="E4214" s="912"/>
      <c r="F4214" s="1490"/>
      <c r="G4214" s="1490"/>
      <c r="H4214" s="1370"/>
      <c r="I4214" s="1370"/>
      <c r="J4214" s="1370"/>
      <c r="K4214" s="1365" t="n">
        <f aca="false">J4214/1792.8</f>
        <v>0</v>
      </c>
      <c r="L4214" s="1490"/>
      <c r="M4214" s="1366" t="n">
        <f aca="false">SUM(M4205:M4213)</f>
        <v>87.1464097129258</v>
      </c>
    </row>
    <row r="4215" customFormat="false" ht="45" hidden="false" customHeight="false" outlineLevel="0" collapsed="false">
      <c r="A4215" s="28" t="s">
        <v>2013</v>
      </c>
      <c r="B4215" s="29" t="s">
        <v>6001</v>
      </c>
      <c r="C4215" s="40" t="s">
        <v>7154</v>
      </c>
      <c r="D4215" s="316" t="n">
        <v>2007</v>
      </c>
      <c r="E4215" s="912" t="n">
        <f aca="false">2021-D4215</f>
        <v>14</v>
      </c>
      <c r="F4215" s="891" t="n">
        <v>407000</v>
      </c>
      <c r="G4215" s="1364" t="n">
        <v>0.1</v>
      </c>
      <c r="H4215" s="891" t="n">
        <f aca="false">E4215*F4215*G4215</f>
        <v>569800</v>
      </c>
      <c r="I4215" s="891" t="n">
        <f aca="false">F4215-H4215</f>
        <v>-162800</v>
      </c>
      <c r="J4215" s="1365" t="n">
        <f aca="false">F4215*G4215</f>
        <v>40700</v>
      </c>
      <c r="K4215" s="1365" t="n">
        <f aca="false">J4215/1792.8</f>
        <v>22.7019187862561</v>
      </c>
      <c r="L4215" s="891" t="n">
        <v>28.8</v>
      </c>
      <c r="M4215" s="1273" t="n">
        <f aca="false">K4215*L4215/60</f>
        <v>10.8969210174029</v>
      </c>
    </row>
    <row r="4216" customFormat="false" ht="15" hidden="false" customHeight="false" outlineLevel="0" collapsed="false">
      <c r="A4216" s="28"/>
      <c r="B4216" s="78"/>
      <c r="C4216" s="40" t="s">
        <v>7155</v>
      </c>
      <c r="D4216" s="316" t="n">
        <v>2007</v>
      </c>
      <c r="E4216" s="912" t="n">
        <f aca="false">2021-D4216</f>
        <v>14</v>
      </c>
      <c r="F4216" s="891" t="n">
        <v>810000</v>
      </c>
      <c r="G4216" s="1364" t="n">
        <v>0.1</v>
      </c>
      <c r="H4216" s="891" t="n">
        <f aca="false">E4216*F4216*G4216</f>
        <v>1134000</v>
      </c>
      <c r="I4216" s="891" t="n">
        <f aca="false">F4216-H4216</f>
        <v>-324000</v>
      </c>
      <c r="J4216" s="1365" t="n">
        <f aca="false">F4216*G4216</f>
        <v>81000</v>
      </c>
      <c r="K4216" s="1365" t="n">
        <f aca="false">J4216/1792.8</f>
        <v>45.1807228915663</v>
      </c>
      <c r="L4216" s="891" t="n">
        <v>4.8</v>
      </c>
      <c r="M4216" s="1273" t="n">
        <f aca="false">K4216*L4216/60</f>
        <v>3.6144578313253</v>
      </c>
    </row>
    <row r="4217" customFormat="false" ht="15" hidden="false" customHeight="false" outlineLevel="0" collapsed="false">
      <c r="A4217" s="28"/>
      <c r="B4217" s="78"/>
      <c r="C4217" s="40" t="s">
        <v>7156</v>
      </c>
      <c r="D4217" s="316" t="n">
        <v>2005</v>
      </c>
      <c r="E4217" s="912" t="n">
        <f aca="false">2021-D4217</f>
        <v>16</v>
      </c>
      <c r="F4217" s="891" t="n">
        <v>125000</v>
      </c>
      <c r="G4217" s="1364" t="n">
        <v>0.1</v>
      </c>
      <c r="H4217" s="891" t="n">
        <f aca="false">E4217*F4217*G4217</f>
        <v>200000</v>
      </c>
      <c r="I4217" s="891" t="n">
        <f aca="false">F4217-H4217</f>
        <v>-75000</v>
      </c>
      <c r="J4217" s="1365" t="n">
        <f aca="false">F4217*G4217</f>
        <v>12500</v>
      </c>
      <c r="K4217" s="1365" t="n">
        <f aca="false">J4217/1792.8</f>
        <v>6.9723337795627</v>
      </c>
      <c r="L4217" s="891" t="n">
        <v>18</v>
      </c>
      <c r="M4217" s="1273" t="n">
        <f aca="false">K4217*L4217/60</f>
        <v>2.09170013386881</v>
      </c>
    </row>
    <row r="4218" customFormat="false" ht="15" hidden="false" customHeight="false" outlineLevel="0" collapsed="false">
      <c r="A4218" s="28"/>
      <c r="B4218" s="78"/>
      <c r="C4218" s="40" t="s">
        <v>7157</v>
      </c>
      <c r="D4218" s="316" t="n">
        <v>2006</v>
      </c>
      <c r="E4218" s="912" t="n">
        <f aca="false">2021-D4218</f>
        <v>15</v>
      </c>
      <c r="F4218" s="891" t="n">
        <v>77000</v>
      </c>
      <c r="G4218" s="1364" t="n">
        <v>0.05</v>
      </c>
      <c r="H4218" s="891" t="n">
        <f aca="false">E4218*F4218*G4218</f>
        <v>57750</v>
      </c>
      <c r="I4218" s="891" t="n">
        <f aca="false">F4218-H4218</f>
        <v>19250</v>
      </c>
      <c r="J4218" s="1365" t="n">
        <f aca="false">F4218*G4218</f>
        <v>3850</v>
      </c>
      <c r="K4218" s="1365" t="n">
        <f aca="false">J4218/1792.8</f>
        <v>2.14747880410531</v>
      </c>
      <c r="L4218" s="891" t="n">
        <v>9.6</v>
      </c>
      <c r="M4218" s="1273" t="n">
        <f aca="false">K4218*L4218/60</f>
        <v>0.34359660865685</v>
      </c>
    </row>
    <row r="4219" customFormat="false" ht="15" hidden="false" customHeight="false" outlineLevel="0" collapsed="false">
      <c r="A4219" s="28"/>
      <c r="B4219" s="78"/>
      <c r="C4219" s="40" t="s">
        <v>7158</v>
      </c>
      <c r="D4219" s="316" t="n">
        <v>2007</v>
      </c>
      <c r="E4219" s="912" t="n">
        <f aca="false">2021-D4219</f>
        <v>14</v>
      </c>
      <c r="F4219" s="891" t="n">
        <v>482500</v>
      </c>
      <c r="G4219" s="1364" t="n">
        <v>0.1</v>
      </c>
      <c r="H4219" s="891" t="n">
        <f aca="false">E4219*F4219*G4219</f>
        <v>675500</v>
      </c>
      <c r="I4219" s="891" t="n">
        <f aca="false">F4219-H4219</f>
        <v>-193000</v>
      </c>
      <c r="J4219" s="1365" t="n">
        <f aca="false">F4219*G4219</f>
        <v>48250</v>
      </c>
      <c r="K4219" s="1365" t="n">
        <f aca="false">J4219/1792.8</f>
        <v>26.913208389112</v>
      </c>
      <c r="L4219" s="891" t="n">
        <v>3.6</v>
      </c>
      <c r="M4219" s="1273" t="n">
        <f aca="false">K4219*L4219/60</f>
        <v>1.61479250334672</v>
      </c>
    </row>
    <row r="4220" customFormat="false" ht="15" hidden="false" customHeight="false" outlineLevel="0" collapsed="false">
      <c r="A4220" s="28"/>
      <c r="B4220" s="78"/>
      <c r="C4220" s="40" t="s">
        <v>7159</v>
      </c>
      <c r="D4220" s="316" t="n">
        <v>2007</v>
      </c>
      <c r="E4220" s="912" t="n">
        <f aca="false">2021-D4220</f>
        <v>14</v>
      </c>
      <c r="F4220" s="891" t="n">
        <v>68000</v>
      </c>
      <c r="G4220" s="1364" t="n">
        <v>0.1</v>
      </c>
      <c r="H4220" s="891" t="n">
        <f aca="false">E4220*F4220*G4220</f>
        <v>95200</v>
      </c>
      <c r="I4220" s="891" t="n">
        <f aca="false">F4220-H4220</f>
        <v>-27200</v>
      </c>
      <c r="J4220" s="1365" t="n">
        <f aca="false">F4220*G4220</f>
        <v>6800</v>
      </c>
      <c r="K4220" s="1365" t="n">
        <f aca="false">J4220/1792.8</f>
        <v>3.79294957608211</v>
      </c>
      <c r="L4220" s="891" t="n">
        <v>9.6</v>
      </c>
      <c r="M4220" s="1273" t="n">
        <f aca="false">K4220*L4220/60</f>
        <v>0.606871932173137</v>
      </c>
    </row>
    <row r="4221" customFormat="false" ht="15" hidden="false" customHeight="false" outlineLevel="0" collapsed="false">
      <c r="A4221" s="28"/>
      <c r="B4221" s="78"/>
      <c r="C4221" s="40" t="s">
        <v>7188</v>
      </c>
      <c r="D4221" s="316" t="n">
        <v>2006</v>
      </c>
      <c r="E4221" s="912" t="n">
        <f aca="false">2021-D4221</f>
        <v>15</v>
      </c>
      <c r="F4221" s="891" t="n">
        <v>30000</v>
      </c>
      <c r="G4221" s="1364" t="n">
        <v>0.2</v>
      </c>
      <c r="H4221" s="891" t="n">
        <v>30000</v>
      </c>
      <c r="I4221" s="891" t="n">
        <f aca="false">F4221-H4221</f>
        <v>0</v>
      </c>
      <c r="J4221" s="1365" t="n">
        <f aca="false">F4221*G4221</f>
        <v>6000</v>
      </c>
      <c r="K4221" s="1365" t="n">
        <f aca="false">J4221/1792.8</f>
        <v>3.34672021419009</v>
      </c>
      <c r="L4221" s="891" t="n">
        <v>5</v>
      </c>
      <c r="M4221" s="1273" t="n">
        <f aca="false">K4221*L4221/60</f>
        <v>0.278893351182508</v>
      </c>
    </row>
    <row r="4222" customFormat="false" ht="15" hidden="false" customHeight="false" outlineLevel="0" collapsed="false">
      <c r="A4222" s="28"/>
      <c r="B4222" s="78"/>
      <c r="C4222" s="40" t="s">
        <v>7176</v>
      </c>
      <c r="D4222" s="316" t="n">
        <v>2007</v>
      </c>
      <c r="E4222" s="912" t="n">
        <f aca="false">2021-D4222</f>
        <v>14</v>
      </c>
      <c r="F4222" s="891" t="n">
        <v>25000</v>
      </c>
      <c r="G4222" s="1364" t="n">
        <v>0.1</v>
      </c>
      <c r="H4222" s="891" t="n">
        <f aca="false">E4222*F4222*G4222</f>
        <v>35000</v>
      </c>
      <c r="I4222" s="891" t="n">
        <f aca="false">F4222-H4222</f>
        <v>-10000</v>
      </c>
      <c r="J4222" s="1365" t="n">
        <f aca="false">F4222*G4222</f>
        <v>2500</v>
      </c>
      <c r="K4222" s="1365" t="n">
        <f aca="false">J4222/1792.8</f>
        <v>1.39446675591254</v>
      </c>
      <c r="L4222" s="891" t="n">
        <v>5</v>
      </c>
      <c r="M4222" s="1273" t="n">
        <f aca="false">K4222*L4222/60</f>
        <v>0.116205562992712</v>
      </c>
    </row>
    <row r="4223" customFormat="false" ht="15" hidden="false" customHeight="false" outlineLevel="0" collapsed="false">
      <c r="A4223" s="28"/>
      <c r="B4223" s="972" t="s">
        <v>4128</v>
      </c>
      <c r="C4223" s="1053"/>
      <c r="D4223" s="965"/>
      <c r="E4223" s="912"/>
      <c r="F4223" s="1490"/>
      <c r="G4223" s="1372"/>
      <c r="H4223" s="1490"/>
      <c r="I4223" s="1490"/>
      <c r="J4223" s="1490"/>
      <c r="K4223" s="1365" t="n">
        <f aca="false">J4223/1792.8</f>
        <v>0</v>
      </c>
      <c r="L4223" s="1490"/>
      <c r="M4223" s="1366" t="n">
        <f aca="false">SUM(M4215:M4222)</f>
        <v>19.563438940949</v>
      </c>
    </row>
    <row r="4224" customFormat="false" ht="60" hidden="false" customHeight="false" outlineLevel="0" collapsed="false">
      <c r="A4224" s="28" t="s">
        <v>2015</v>
      </c>
      <c r="B4224" s="29" t="s">
        <v>7192</v>
      </c>
      <c r="C4224" s="40" t="s">
        <v>7158</v>
      </c>
      <c r="D4224" s="316" t="n">
        <v>2007</v>
      </c>
      <c r="E4224" s="912" t="n">
        <f aca="false">2021-D4224</f>
        <v>14</v>
      </c>
      <c r="F4224" s="891" t="n">
        <v>482500</v>
      </c>
      <c r="G4224" s="1364" t="n">
        <v>0.1</v>
      </c>
      <c r="H4224" s="891" t="n">
        <f aca="false">E4224*F4224*G4224</f>
        <v>675500</v>
      </c>
      <c r="I4224" s="891" t="n">
        <f aca="false">F4224-H4224</f>
        <v>-193000</v>
      </c>
      <c r="J4224" s="1365" t="n">
        <f aca="false">F4224*G4224</f>
        <v>48250</v>
      </c>
      <c r="K4224" s="1365" t="n">
        <f aca="false">J4224/1792.8</f>
        <v>26.913208389112</v>
      </c>
      <c r="L4224" s="891" t="n">
        <v>20</v>
      </c>
      <c r="M4224" s="1273" t="n">
        <f aca="false">K4224*L4224/60</f>
        <v>8.97106946303734</v>
      </c>
    </row>
    <row r="4225" customFormat="false" ht="15" hidden="false" customHeight="false" outlineLevel="0" collapsed="false">
      <c r="A4225" s="28"/>
      <c r="B4225" s="78"/>
      <c r="C4225" s="40" t="s">
        <v>7159</v>
      </c>
      <c r="D4225" s="316" t="n">
        <v>2007</v>
      </c>
      <c r="E4225" s="912" t="n">
        <f aca="false">2021-D4225</f>
        <v>14</v>
      </c>
      <c r="F4225" s="891" t="n">
        <v>68000</v>
      </c>
      <c r="G4225" s="1364" t="n">
        <v>0.1</v>
      </c>
      <c r="H4225" s="891" t="n">
        <f aca="false">E4225*F4225*G4225</f>
        <v>95200</v>
      </c>
      <c r="I4225" s="891" t="n">
        <f aca="false">F4225-H4225</f>
        <v>-27200</v>
      </c>
      <c r="J4225" s="1365" t="n">
        <f aca="false">F4225*G4225</f>
        <v>6800</v>
      </c>
      <c r="K4225" s="1365" t="n">
        <f aca="false">J4225/1792.8</f>
        <v>3.79294957608211</v>
      </c>
      <c r="L4225" s="891" t="n">
        <v>4.8</v>
      </c>
      <c r="M4225" s="1273" t="n">
        <f aca="false">K4225*L4225/60</f>
        <v>0.303435966086569</v>
      </c>
    </row>
    <row r="4226" customFormat="false" ht="15" hidden="false" customHeight="false" outlineLevel="0" collapsed="false">
      <c r="A4226" s="28"/>
      <c r="B4226" s="78"/>
      <c r="C4226" s="40" t="s">
        <v>7156</v>
      </c>
      <c r="D4226" s="316" t="n">
        <v>2015</v>
      </c>
      <c r="E4226" s="912" t="n">
        <f aca="false">2021-D4226</f>
        <v>6</v>
      </c>
      <c r="F4226" s="891" t="n">
        <v>694025</v>
      </c>
      <c r="G4226" s="1364" t="n">
        <v>0.1</v>
      </c>
      <c r="H4226" s="891" t="n">
        <f aca="false">E4226*F4226*G4226</f>
        <v>416415</v>
      </c>
      <c r="I4226" s="891" t="n">
        <f aca="false">F4226-H4226</f>
        <v>277610</v>
      </c>
      <c r="J4226" s="1365" t="n">
        <f aca="false">F4226*G4226</f>
        <v>69402.5</v>
      </c>
      <c r="K4226" s="1365" t="n">
        <f aca="false">J4226/1792.8</f>
        <v>38.711791610888</v>
      </c>
      <c r="L4226" s="891" t="n">
        <v>18</v>
      </c>
      <c r="M4226" s="1273" t="n">
        <f aca="false">K4226*L4226/60</f>
        <v>11.6135374832664</v>
      </c>
    </row>
    <row r="4227" customFormat="false" ht="15" hidden="false" customHeight="false" outlineLevel="0" collapsed="false">
      <c r="A4227" s="28"/>
      <c r="B4227" s="78"/>
      <c r="C4227" s="40" t="s">
        <v>7157</v>
      </c>
      <c r="D4227" s="316" t="n">
        <v>2006</v>
      </c>
      <c r="E4227" s="912" t="n">
        <f aca="false">2021-D4227</f>
        <v>15</v>
      </c>
      <c r="F4227" s="891" t="n">
        <v>77000</v>
      </c>
      <c r="G4227" s="1364" t="n">
        <v>0.05</v>
      </c>
      <c r="H4227" s="891" t="n">
        <f aca="false">E4227*F4227*G4227</f>
        <v>57750</v>
      </c>
      <c r="I4227" s="891" t="n">
        <f aca="false">F4227-H4227</f>
        <v>19250</v>
      </c>
      <c r="J4227" s="1365" t="n">
        <f aca="false">F4227*G4227</f>
        <v>3850</v>
      </c>
      <c r="K4227" s="1365" t="n">
        <f aca="false">J4227/1792.8</f>
        <v>2.14747880410531</v>
      </c>
      <c r="L4227" s="891" t="n">
        <v>9.6</v>
      </c>
      <c r="M4227" s="1273" t="n">
        <f aca="false">K4227*L4227/60</f>
        <v>0.34359660865685</v>
      </c>
    </row>
    <row r="4228" customFormat="false" ht="15" hidden="false" customHeight="false" outlineLevel="0" collapsed="false">
      <c r="A4228" s="28"/>
      <c r="B4228" s="78"/>
      <c r="C4228" s="40" t="s">
        <v>7188</v>
      </c>
      <c r="D4228" s="316" t="n">
        <v>2006</v>
      </c>
      <c r="E4228" s="912" t="n">
        <f aca="false">2021-D4228</f>
        <v>15</v>
      </c>
      <c r="F4228" s="891" t="n">
        <v>30000</v>
      </c>
      <c r="G4228" s="1364" t="n">
        <v>0.1</v>
      </c>
      <c r="H4228" s="891" t="n">
        <f aca="false">E4228*F4228*G4228</f>
        <v>45000</v>
      </c>
      <c r="I4228" s="891" t="n">
        <f aca="false">F4228-H4228</f>
        <v>-15000</v>
      </c>
      <c r="J4228" s="1365" t="n">
        <f aca="false">F4228*G4228</f>
        <v>3000</v>
      </c>
      <c r="K4228" s="1365" t="n">
        <f aca="false">J4228/1792.8</f>
        <v>1.67336010709505</v>
      </c>
      <c r="L4228" s="891" t="n">
        <v>9.6</v>
      </c>
      <c r="M4228" s="1273" t="n">
        <f aca="false">K4228*L4228/60</f>
        <v>0.267737617135207</v>
      </c>
    </row>
    <row r="4229" customFormat="false" ht="15" hidden="false" customHeight="false" outlineLevel="0" collapsed="false">
      <c r="A4229" s="28"/>
      <c r="B4229" s="78"/>
      <c r="C4229" s="40" t="s">
        <v>7193</v>
      </c>
      <c r="D4229" s="316" t="n">
        <v>2007</v>
      </c>
      <c r="E4229" s="912" t="n">
        <f aca="false">2021-D4229</f>
        <v>14</v>
      </c>
      <c r="F4229" s="891" t="n">
        <v>18000</v>
      </c>
      <c r="G4229" s="1364" t="n">
        <v>0.1</v>
      </c>
      <c r="H4229" s="891" t="n">
        <f aca="false">E4229*F4229*G4229</f>
        <v>25200</v>
      </c>
      <c r="I4229" s="891" t="n">
        <f aca="false">F4229-H4229</f>
        <v>-7200</v>
      </c>
      <c r="J4229" s="1365" t="n">
        <f aca="false">F4229*G4229</f>
        <v>1800</v>
      </c>
      <c r="K4229" s="1365" t="n">
        <f aca="false">J4229/1792.8</f>
        <v>1.00401606425703</v>
      </c>
      <c r="L4229" s="891" t="n">
        <v>6</v>
      </c>
      <c r="M4229" s="1273" t="n">
        <f aca="false">K4229*L4229/60</f>
        <v>0.100401606425703</v>
      </c>
    </row>
    <row r="4230" customFormat="false" ht="15" hidden="false" customHeight="false" outlineLevel="0" collapsed="false">
      <c r="A4230" s="28"/>
      <c r="B4230" s="972" t="s">
        <v>4128</v>
      </c>
      <c r="C4230" s="1053"/>
      <c r="D4230" s="965"/>
      <c r="E4230" s="912"/>
      <c r="F4230" s="1490"/>
      <c r="G4230" s="1490"/>
      <c r="H4230" s="1370"/>
      <c r="I4230" s="1370"/>
      <c r="J4230" s="1370"/>
      <c r="K4230" s="1365" t="n">
        <f aca="false">J4230/1792.8</f>
        <v>0</v>
      </c>
      <c r="L4230" s="1490"/>
      <c r="M4230" s="1366" t="n">
        <f aca="false">SUM(M4224:M4229)</f>
        <v>21.5997787446081</v>
      </c>
    </row>
    <row r="4231" customFormat="false" ht="28.5" hidden="false" customHeight="false" outlineLevel="0" collapsed="false">
      <c r="A4231" s="15" t="s">
        <v>2017</v>
      </c>
      <c r="B4231" s="88" t="s">
        <v>3743</v>
      </c>
      <c r="C4231" s="54"/>
      <c r="D4231" s="907"/>
      <c r="E4231" s="541"/>
      <c r="F4231" s="1500"/>
      <c r="G4231" s="1500"/>
      <c r="H4231" s="1390"/>
      <c r="I4231" s="1390"/>
      <c r="J4231" s="1390"/>
      <c r="K4231" s="1390"/>
      <c r="L4231" s="1500"/>
      <c r="M4231" s="1392"/>
    </row>
    <row r="4232" customFormat="false" ht="30" hidden="false" customHeight="false" outlineLevel="0" collapsed="false">
      <c r="A4232" s="28" t="s">
        <v>2019</v>
      </c>
      <c r="B4232" s="40" t="s">
        <v>3744</v>
      </c>
      <c r="C4232" s="40" t="s">
        <v>7174</v>
      </c>
      <c r="D4232" s="316" t="n">
        <v>2007</v>
      </c>
      <c r="E4232" s="912" t="n">
        <f aca="false">2021-D4232</f>
        <v>14</v>
      </c>
      <c r="F4232" s="891" t="n">
        <v>1068000</v>
      </c>
      <c r="G4232" s="1364" t="n">
        <v>0.1</v>
      </c>
      <c r="H4232" s="891" t="n">
        <f aca="false">E4232*F4232*G4232</f>
        <v>1495200</v>
      </c>
      <c r="I4232" s="891" t="n">
        <f aca="false">F4232-H4232</f>
        <v>-427200</v>
      </c>
      <c r="J4232" s="1365" t="n">
        <f aca="false">F4232*G4232</f>
        <v>106800</v>
      </c>
      <c r="K4232" s="1365" t="n">
        <f aca="false">J4232/1792.8</f>
        <v>59.5716198125837</v>
      </c>
      <c r="L4232" s="891" t="n">
        <v>9.6</v>
      </c>
      <c r="M4232" s="1273" t="n">
        <f aca="false">K4232*L4232/60</f>
        <v>9.53145917001339</v>
      </c>
    </row>
    <row r="4233" customFormat="false" ht="15" hidden="false" customHeight="false" outlineLevel="0" collapsed="false">
      <c r="A4233" s="28"/>
      <c r="B4233" s="78"/>
      <c r="C4233" s="40" t="s">
        <v>7170</v>
      </c>
      <c r="D4233" s="316" t="n">
        <v>2010</v>
      </c>
      <c r="E4233" s="912" t="n">
        <f aca="false">2021-D4233</f>
        <v>11</v>
      </c>
      <c r="F4233" s="891" t="n">
        <v>223200</v>
      </c>
      <c r="G4233" s="1364" t="n">
        <v>0.1</v>
      </c>
      <c r="H4233" s="891" t="n">
        <f aca="false">E4233*F4233*G4233</f>
        <v>245520</v>
      </c>
      <c r="I4233" s="891" t="n">
        <f aca="false">F4233-H4233</f>
        <v>-22320</v>
      </c>
      <c r="J4233" s="1365" t="n">
        <f aca="false">F4233*G4233</f>
        <v>22320</v>
      </c>
      <c r="K4233" s="1365" t="n">
        <f aca="false">J4233/1792.8</f>
        <v>12.4497991967871</v>
      </c>
      <c r="L4233" s="891" t="n">
        <v>3</v>
      </c>
      <c r="M4233" s="1273" t="n">
        <f aca="false">K4233*L4233/60</f>
        <v>0.622489959839358</v>
      </c>
    </row>
    <row r="4234" customFormat="false" ht="15" hidden="false" customHeight="false" outlineLevel="0" collapsed="false">
      <c r="A4234" s="28"/>
      <c r="B4234" s="78"/>
      <c r="C4234" s="40" t="s">
        <v>7193</v>
      </c>
      <c r="D4234" s="316" t="n">
        <v>2007</v>
      </c>
      <c r="E4234" s="912" t="n">
        <f aca="false">2021-D4234</f>
        <v>14</v>
      </c>
      <c r="F4234" s="891" t="n">
        <v>18000</v>
      </c>
      <c r="G4234" s="1364" t="n">
        <v>0.1</v>
      </c>
      <c r="H4234" s="891" t="n">
        <f aca="false">E4234*F4234*G4234</f>
        <v>25200</v>
      </c>
      <c r="I4234" s="891" t="n">
        <f aca="false">F4234-H4234</f>
        <v>-7200</v>
      </c>
      <c r="J4234" s="1365" t="n">
        <f aca="false">F4234*G4234</f>
        <v>1800</v>
      </c>
      <c r="K4234" s="1365" t="n">
        <f aca="false">J4234/1792.8</f>
        <v>1.00401606425703</v>
      </c>
      <c r="L4234" s="891" t="n">
        <v>10</v>
      </c>
      <c r="M4234" s="1273" t="n">
        <f aca="false">K4234*L4234/60</f>
        <v>0.167336010709505</v>
      </c>
    </row>
    <row r="4235" customFormat="false" ht="15" hidden="false" customHeight="false" outlineLevel="0" collapsed="false">
      <c r="A4235" s="28"/>
      <c r="B4235" s="972" t="s">
        <v>4128</v>
      </c>
      <c r="C4235" s="1053"/>
      <c r="D4235" s="965"/>
      <c r="E4235" s="912"/>
      <c r="F4235" s="1490"/>
      <c r="G4235" s="1490"/>
      <c r="H4235" s="1370"/>
      <c r="I4235" s="1370"/>
      <c r="J4235" s="1370"/>
      <c r="K4235" s="1365" t="n">
        <f aca="false">J4235/1792.8</f>
        <v>0</v>
      </c>
      <c r="L4235" s="1490"/>
      <c r="M4235" s="1366" t="n">
        <f aca="false">SUM(M4232:M4234)</f>
        <v>10.3212851405623</v>
      </c>
    </row>
    <row r="4236" customFormat="false" ht="30" hidden="false" customHeight="false" outlineLevel="0" collapsed="false">
      <c r="A4236" s="28" t="s">
        <v>2021</v>
      </c>
      <c r="B4236" s="40" t="s">
        <v>3745</v>
      </c>
      <c r="C4236" s="40" t="s">
        <v>7154</v>
      </c>
      <c r="D4236" s="316" t="n">
        <v>2007</v>
      </c>
      <c r="E4236" s="912" t="n">
        <f aca="false">2021-D4236</f>
        <v>14</v>
      </c>
      <c r="F4236" s="891" t="n">
        <v>407000</v>
      </c>
      <c r="G4236" s="1364" t="n">
        <v>0.1</v>
      </c>
      <c r="H4236" s="891" t="n">
        <f aca="false">E4236*F4236*G4236</f>
        <v>569800</v>
      </c>
      <c r="I4236" s="891" t="n">
        <f aca="false">F4236-H4236</f>
        <v>-162800</v>
      </c>
      <c r="J4236" s="1365" t="n">
        <f aca="false">F4236*G4236</f>
        <v>40700</v>
      </c>
      <c r="K4236" s="1365" t="n">
        <f aca="false">J4236/1792.8</f>
        <v>22.7019187862561</v>
      </c>
      <c r="L4236" s="1515" t="n">
        <v>3.6</v>
      </c>
      <c r="M4236" s="1273" t="n">
        <f aca="false">K4236*L4236/60</f>
        <v>1.36211512717537</v>
      </c>
    </row>
    <row r="4237" customFormat="false" ht="15" hidden="false" customHeight="false" outlineLevel="0" collapsed="false">
      <c r="A4237" s="28"/>
      <c r="B4237" s="78"/>
      <c r="C4237" s="40" t="s">
        <v>7166</v>
      </c>
      <c r="D4237" s="316" t="n">
        <v>2007</v>
      </c>
      <c r="E4237" s="912" t="n">
        <f aca="false">2021-D4237</f>
        <v>14</v>
      </c>
      <c r="F4237" s="891" t="n">
        <v>200000</v>
      </c>
      <c r="G4237" s="1364" t="n">
        <v>0.1</v>
      </c>
      <c r="H4237" s="891" t="n">
        <f aca="false">E4237*F4237*G4237</f>
        <v>280000</v>
      </c>
      <c r="I4237" s="891" t="n">
        <f aca="false">F4237-H4237</f>
        <v>-80000</v>
      </c>
      <c r="J4237" s="1365" t="n">
        <f aca="false">F4237*G4237</f>
        <v>20000</v>
      </c>
      <c r="K4237" s="1365" t="n">
        <f aca="false">J4237/1792.8</f>
        <v>11.1557340473003</v>
      </c>
      <c r="L4237" s="1515" t="n">
        <v>0.6</v>
      </c>
      <c r="M4237" s="1273" t="n">
        <f aca="false">K4237*L4237/60</f>
        <v>0.111557340473003</v>
      </c>
    </row>
    <row r="4238" customFormat="false" ht="15" hidden="false" customHeight="false" outlineLevel="0" collapsed="false">
      <c r="A4238" s="28"/>
      <c r="B4238" s="78"/>
      <c r="C4238" s="40" t="s">
        <v>7170</v>
      </c>
      <c r="D4238" s="316" t="n">
        <v>2010</v>
      </c>
      <c r="E4238" s="912" t="n">
        <f aca="false">2021-D4238</f>
        <v>11</v>
      </c>
      <c r="F4238" s="891" t="n">
        <v>223200</v>
      </c>
      <c r="G4238" s="1364" t="n">
        <v>0.1</v>
      </c>
      <c r="H4238" s="891" t="n">
        <f aca="false">E4238*F4238*G4238</f>
        <v>245520</v>
      </c>
      <c r="I4238" s="891" t="n">
        <f aca="false">F4238-H4238</f>
        <v>-22320</v>
      </c>
      <c r="J4238" s="1365" t="n">
        <f aca="false">F4238*G4238</f>
        <v>22320</v>
      </c>
      <c r="K4238" s="1365" t="n">
        <f aca="false">J4238/1792.8</f>
        <v>12.4497991967871</v>
      </c>
      <c r="L4238" s="1515" t="n">
        <v>0.75</v>
      </c>
      <c r="M4238" s="1273" t="n">
        <f aca="false">K4238*L4238/60</f>
        <v>0.155622489959839</v>
      </c>
    </row>
    <row r="4239" customFormat="false" ht="15" hidden="false" customHeight="false" outlineLevel="0" collapsed="false">
      <c r="A4239" s="28"/>
      <c r="B4239" s="78"/>
      <c r="C4239" s="40" t="s">
        <v>7193</v>
      </c>
      <c r="D4239" s="316" t="n">
        <v>2007</v>
      </c>
      <c r="E4239" s="912" t="n">
        <f aca="false">2021-D4239</f>
        <v>14</v>
      </c>
      <c r="F4239" s="891" t="n">
        <v>18000</v>
      </c>
      <c r="G4239" s="1364" t="n">
        <v>0.1</v>
      </c>
      <c r="H4239" s="891" t="n">
        <f aca="false">E4239*F4239*G4239</f>
        <v>25200</v>
      </c>
      <c r="I4239" s="891" t="n">
        <f aca="false">F4239-H4239</f>
        <v>-7200</v>
      </c>
      <c r="J4239" s="1365" t="n">
        <f aca="false">F4239*G4239</f>
        <v>1800</v>
      </c>
      <c r="K4239" s="1365" t="n">
        <f aca="false">J4239/1792.8</f>
        <v>1.00401606425703</v>
      </c>
      <c r="L4239" s="1515" t="n">
        <v>15</v>
      </c>
      <c r="M4239" s="1273" t="n">
        <f aca="false">K4239*L4239/60</f>
        <v>0.251004016064257</v>
      </c>
    </row>
    <row r="4240" customFormat="false" ht="15" hidden="false" customHeight="false" outlineLevel="0" collapsed="false">
      <c r="A4240" s="28"/>
      <c r="B4240" s="972" t="s">
        <v>4128</v>
      </c>
      <c r="C4240" s="1053"/>
      <c r="D4240" s="965"/>
      <c r="E4240" s="912"/>
      <c r="F4240" s="1490"/>
      <c r="G4240" s="1490"/>
      <c r="H4240" s="1370"/>
      <c r="I4240" s="1370"/>
      <c r="J4240" s="1370"/>
      <c r="K4240" s="1365" t="n">
        <f aca="false">J4240/1792.8</f>
        <v>0</v>
      </c>
      <c r="L4240" s="1516"/>
      <c r="M4240" s="1366" t="n">
        <f aca="false">SUM(M4236:M4239)</f>
        <v>1.88029897367247</v>
      </c>
    </row>
    <row r="4241" customFormat="false" ht="31.5" hidden="false" customHeight="true" outlineLevel="0" collapsed="false">
      <c r="A4241" s="28" t="s">
        <v>2023</v>
      </c>
      <c r="B4241" s="40" t="s">
        <v>3746</v>
      </c>
      <c r="C4241" s="40" t="s">
        <v>7154</v>
      </c>
      <c r="D4241" s="316" t="n">
        <v>2007</v>
      </c>
      <c r="E4241" s="912" t="n">
        <f aca="false">2021-D4241</f>
        <v>14</v>
      </c>
      <c r="F4241" s="891" t="n">
        <v>407000</v>
      </c>
      <c r="G4241" s="1364" t="n">
        <v>0.1</v>
      </c>
      <c r="H4241" s="891" t="n">
        <f aca="false">E4241*F4241*G4241</f>
        <v>569800</v>
      </c>
      <c r="I4241" s="891" t="n">
        <f aca="false">F4241-H4241</f>
        <v>-162800</v>
      </c>
      <c r="J4241" s="1365" t="n">
        <f aca="false">F4241*G4241</f>
        <v>40700</v>
      </c>
      <c r="K4241" s="1365" t="n">
        <f aca="false">J4241/1792.8</f>
        <v>22.7019187862561</v>
      </c>
      <c r="L4241" s="1515" t="n">
        <v>3.6</v>
      </c>
      <c r="M4241" s="1273" t="n">
        <f aca="false">K4241*L4241/60</f>
        <v>1.36211512717537</v>
      </c>
    </row>
    <row r="4242" customFormat="false" ht="15" hidden="false" customHeight="false" outlineLevel="0" collapsed="false">
      <c r="A4242" s="28"/>
      <c r="B4242" s="78"/>
      <c r="C4242" s="40" t="s">
        <v>7166</v>
      </c>
      <c r="D4242" s="316" t="n">
        <v>2007</v>
      </c>
      <c r="E4242" s="912" t="n">
        <f aca="false">2021-D4242</f>
        <v>14</v>
      </c>
      <c r="F4242" s="891" t="n">
        <v>200000</v>
      </c>
      <c r="G4242" s="1364" t="n">
        <v>0.1</v>
      </c>
      <c r="H4242" s="891" t="n">
        <f aca="false">E4242*F4242*G4242</f>
        <v>280000</v>
      </c>
      <c r="I4242" s="891" t="n">
        <f aca="false">F4242-H4242</f>
        <v>-80000</v>
      </c>
      <c r="J4242" s="1365" t="n">
        <f aca="false">F4242*G4242</f>
        <v>20000</v>
      </c>
      <c r="K4242" s="1365" t="n">
        <f aca="false">J4242/1792.8</f>
        <v>11.1557340473003</v>
      </c>
      <c r="L4242" s="1515" t="n">
        <v>0.6</v>
      </c>
      <c r="M4242" s="1273" t="n">
        <f aca="false">K4242*L4242/60</f>
        <v>0.111557340473003</v>
      </c>
    </row>
    <row r="4243" customFormat="false" ht="19.5" hidden="false" customHeight="true" outlineLevel="0" collapsed="false">
      <c r="A4243" s="28"/>
      <c r="B4243" s="78"/>
      <c r="C4243" s="40" t="s">
        <v>7170</v>
      </c>
      <c r="D4243" s="316" t="n">
        <v>2010</v>
      </c>
      <c r="E4243" s="912" t="n">
        <f aca="false">2021-D4243</f>
        <v>11</v>
      </c>
      <c r="F4243" s="891" t="n">
        <v>223200</v>
      </c>
      <c r="G4243" s="1364" t="n">
        <v>0.1</v>
      </c>
      <c r="H4243" s="891" t="n">
        <f aca="false">E4243*F4243*G4243</f>
        <v>245520</v>
      </c>
      <c r="I4243" s="891" t="n">
        <f aca="false">F4243-H4243</f>
        <v>-22320</v>
      </c>
      <c r="J4243" s="1365" t="n">
        <f aca="false">F4243*G4243</f>
        <v>22320</v>
      </c>
      <c r="K4243" s="1365" t="n">
        <f aca="false">J4243/1792.8</f>
        <v>12.4497991967871</v>
      </c>
      <c r="L4243" s="1515" t="n">
        <v>0.75</v>
      </c>
      <c r="M4243" s="1273" t="n">
        <f aca="false">K4243*L4243/60</f>
        <v>0.155622489959839</v>
      </c>
    </row>
    <row r="4244" customFormat="false" ht="18.75" hidden="false" customHeight="true" outlineLevel="0" collapsed="false">
      <c r="A4244" s="28"/>
      <c r="B4244" s="78"/>
      <c r="C4244" s="40" t="s">
        <v>7193</v>
      </c>
      <c r="D4244" s="316" t="n">
        <v>2007</v>
      </c>
      <c r="E4244" s="912" t="n">
        <f aca="false">2021-D4244</f>
        <v>14</v>
      </c>
      <c r="F4244" s="891" t="n">
        <v>18000</v>
      </c>
      <c r="G4244" s="1364" t="n">
        <v>0.1</v>
      </c>
      <c r="H4244" s="891" t="n">
        <f aca="false">E4244*F4244*G4244</f>
        <v>25200</v>
      </c>
      <c r="I4244" s="891" t="n">
        <f aca="false">F4244-H4244</f>
        <v>-7200</v>
      </c>
      <c r="J4244" s="1365" t="n">
        <f aca="false">F4244*G4244</f>
        <v>1800</v>
      </c>
      <c r="K4244" s="1365" t="n">
        <f aca="false">J4244/1792.8</f>
        <v>1.00401606425703</v>
      </c>
      <c r="L4244" s="1515" t="n">
        <v>15</v>
      </c>
      <c r="M4244" s="1273" t="n">
        <f aca="false">K4244*L4244/60</f>
        <v>0.251004016064257</v>
      </c>
    </row>
    <row r="4245" customFormat="false" ht="15" hidden="false" customHeight="false" outlineLevel="0" collapsed="false">
      <c r="A4245" s="28"/>
      <c r="B4245" s="972" t="s">
        <v>4128</v>
      </c>
      <c r="C4245" s="1053"/>
      <c r="D4245" s="965"/>
      <c r="E4245" s="912"/>
      <c r="F4245" s="1490"/>
      <c r="G4245" s="1490"/>
      <c r="H4245" s="1370"/>
      <c r="I4245" s="1370"/>
      <c r="J4245" s="1370"/>
      <c r="K4245" s="1365" t="n">
        <f aca="false">J4245/1792.8</f>
        <v>0</v>
      </c>
      <c r="L4245" s="1516"/>
      <c r="M4245" s="1366" t="n">
        <f aca="false">SUM(M4241:M4244)</f>
        <v>1.88029897367247</v>
      </c>
    </row>
    <row r="4246" s="122" customFormat="true" ht="15" hidden="false" customHeight="false" outlineLevel="0" collapsed="false">
      <c r="A4246" s="20" t="s">
        <v>2025</v>
      </c>
      <c r="B4246" s="47" t="s">
        <v>6016</v>
      </c>
      <c r="C4246" s="118" t="s">
        <v>7154</v>
      </c>
      <c r="D4246" s="877" t="n">
        <v>2007</v>
      </c>
      <c r="E4246" s="569" t="n">
        <f aca="false">2021-D4246</f>
        <v>14</v>
      </c>
      <c r="F4246" s="902" t="n">
        <v>407000</v>
      </c>
      <c r="G4246" s="1407" t="n">
        <v>0.1</v>
      </c>
      <c r="H4246" s="902" t="n">
        <f aca="false">E4246*F4246*G4246</f>
        <v>569800</v>
      </c>
      <c r="I4246" s="902" t="n">
        <f aca="false">F4246-H4246</f>
        <v>-162800</v>
      </c>
      <c r="J4246" s="1410" t="n">
        <f aca="false">F4246*G4246</f>
        <v>40700</v>
      </c>
      <c r="K4246" s="1365" t="n">
        <f aca="false">J4246/1792.8</f>
        <v>22.7019187862561</v>
      </c>
      <c r="L4246" s="1517" t="n">
        <v>3.6</v>
      </c>
      <c r="M4246" s="1408" t="n">
        <f aca="false">K4246*L4246/60</f>
        <v>1.36211512717537</v>
      </c>
    </row>
    <row r="4247" customFormat="false" ht="18.75" hidden="false" customHeight="true" outlineLevel="0" collapsed="false">
      <c r="A4247" s="28"/>
      <c r="B4247" s="1518"/>
      <c r="C4247" s="40" t="s">
        <v>7166</v>
      </c>
      <c r="D4247" s="316" t="n">
        <v>2007</v>
      </c>
      <c r="E4247" s="912" t="n">
        <f aca="false">2021-D4247</f>
        <v>14</v>
      </c>
      <c r="F4247" s="891" t="n">
        <v>200000</v>
      </c>
      <c r="G4247" s="1364" t="n">
        <v>0.1</v>
      </c>
      <c r="H4247" s="891" t="n">
        <f aca="false">E4247*F4247*G4247</f>
        <v>280000</v>
      </c>
      <c r="I4247" s="891" t="n">
        <f aca="false">F4247-H4247</f>
        <v>-80000</v>
      </c>
      <c r="J4247" s="1365" t="n">
        <f aca="false">F4247*G4247</f>
        <v>20000</v>
      </c>
      <c r="K4247" s="1365" t="n">
        <f aca="false">J4247/1792.8</f>
        <v>11.1557340473003</v>
      </c>
      <c r="L4247" s="1515" t="n">
        <v>0.6</v>
      </c>
      <c r="M4247" s="1273" t="n">
        <f aca="false">K4247*L4247/60</f>
        <v>0.111557340473003</v>
      </c>
    </row>
    <row r="4248" customFormat="false" ht="15" hidden="false" customHeight="false" outlineLevel="0" collapsed="false">
      <c r="A4248" s="28"/>
      <c r="B4248" s="78"/>
      <c r="C4248" s="40" t="s">
        <v>7170</v>
      </c>
      <c r="D4248" s="316" t="n">
        <v>2010</v>
      </c>
      <c r="E4248" s="912" t="n">
        <f aca="false">2021-D4248</f>
        <v>11</v>
      </c>
      <c r="F4248" s="891" t="n">
        <v>223200</v>
      </c>
      <c r="G4248" s="1364" t="n">
        <v>0.1</v>
      </c>
      <c r="H4248" s="891" t="n">
        <f aca="false">E4248*F4248*G4248</f>
        <v>245520</v>
      </c>
      <c r="I4248" s="891" t="n">
        <f aca="false">F4248-H4248</f>
        <v>-22320</v>
      </c>
      <c r="J4248" s="1365" t="n">
        <f aca="false">F4248*G4248</f>
        <v>22320</v>
      </c>
      <c r="K4248" s="1365" t="n">
        <f aca="false">J4248/1792.8</f>
        <v>12.4497991967871</v>
      </c>
      <c r="L4248" s="1515" t="n">
        <v>0.75</v>
      </c>
      <c r="M4248" s="1273" t="n">
        <f aca="false">K4248*L4248/60</f>
        <v>0.155622489959839</v>
      </c>
    </row>
    <row r="4249" customFormat="false" ht="15" hidden="false" customHeight="false" outlineLevel="0" collapsed="false">
      <c r="A4249" s="28"/>
      <c r="B4249" s="78"/>
      <c r="C4249" s="40" t="s">
        <v>7193</v>
      </c>
      <c r="D4249" s="316" t="n">
        <v>2007</v>
      </c>
      <c r="E4249" s="912" t="n">
        <f aca="false">2021-D4249</f>
        <v>14</v>
      </c>
      <c r="F4249" s="891" t="n">
        <v>18000</v>
      </c>
      <c r="G4249" s="1364" t="n">
        <v>0.1</v>
      </c>
      <c r="H4249" s="891" t="n">
        <f aca="false">E4249*F4249*G4249</f>
        <v>25200</v>
      </c>
      <c r="I4249" s="891" t="n">
        <f aca="false">F4249-H4249</f>
        <v>-7200</v>
      </c>
      <c r="J4249" s="1365" t="n">
        <f aca="false">F4249*G4249</f>
        <v>1800</v>
      </c>
      <c r="K4249" s="1365" t="n">
        <f aca="false">J4249/1792.8</f>
        <v>1.00401606425703</v>
      </c>
      <c r="L4249" s="1515" t="n">
        <v>10</v>
      </c>
      <c r="M4249" s="1273" t="n">
        <f aca="false">K4249*L4249/60</f>
        <v>0.167336010709505</v>
      </c>
    </row>
    <row r="4250" customFormat="false" ht="15" hidden="false" customHeight="false" outlineLevel="0" collapsed="false">
      <c r="A4250" s="28"/>
      <c r="B4250" s="972" t="s">
        <v>4128</v>
      </c>
      <c r="C4250" s="1053"/>
      <c r="D4250" s="965"/>
      <c r="E4250" s="912"/>
      <c r="F4250" s="1490"/>
      <c r="G4250" s="1490"/>
      <c r="H4250" s="1370"/>
      <c r="I4250" s="1370"/>
      <c r="J4250" s="1370"/>
      <c r="K4250" s="1365" t="n">
        <f aca="false">J4250/1792.8</f>
        <v>0</v>
      </c>
      <c r="L4250" s="1490"/>
      <c r="M4250" s="1366" t="n">
        <f aca="false">SUM(M4246:M4249)</f>
        <v>1.79663096831772</v>
      </c>
    </row>
    <row r="4251" customFormat="false" ht="15" hidden="false" customHeight="false" outlineLevel="0" collapsed="false">
      <c r="A4251" s="15" t="s">
        <v>2027</v>
      </c>
      <c r="B4251" s="88" t="s">
        <v>3748</v>
      </c>
      <c r="C4251" s="54"/>
      <c r="D4251" s="907"/>
      <c r="E4251" s="541"/>
      <c r="F4251" s="1500"/>
      <c r="G4251" s="1500"/>
      <c r="H4251" s="1390"/>
      <c r="I4251" s="1390"/>
      <c r="J4251" s="1390"/>
      <c r="K4251" s="1390"/>
      <c r="L4251" s="1500"/>
      <c r="M4251" s="1392"/>
    </row>
    <row r="4252" customFormat="false" ht="75" hidden="false" customHeight="false" outlineLevel="0" collapsed="false">
      <c r="A4252" s="28" t="s">
        <v>2029</v>
      </c>
      <c r="B4252" s="29" t="s">
        <v>3749</v>
      </c>
      <c r="C4252" s="40" t="s">
        <v>7154</v>
      </c>
      <c r="D4252" s="316" t="n">
        <v>2007</v>
      </c>
      <c r="E4252" s="912" t="n">
        <f aca="false">2021-D4252</f>
        <v>14</v>
      </c>
      <c r="F4252" s="891" t="n">
        <v>407000</v>
      </c>
      <c r="G4252" s="1364" t="n">
        <v>0.1</v>
      </c>
      <c r="H4252" s="891" t="n">
        <f aca="false">E4252*F4252*G4252</f>
        <v>569800</v>
      </c>
      <c r="I4252" s="891" t="n">
        <f aca="false">F4252-H4252</f>
        <v>-162800</v>
      </c>
      <c r="J4252" s="1365" t="n">
        <f aca="false">F4252*G4252</f>
        <v>40700</v>
      </c>
      <c r="K4252" s="1365" t="n">
        <f aca="false">J4252/1792.8</f>
        <v>22.7019187862561</v>
      </c>
      <c r="L4252" s="1515" t="n">
        <v>3.6</v>
      </c>
      <c r="M4252" s="1273" t="n">
        <f aca="false">K4252*L4252/60</f>
        <v>1.36211512717537</v>
      </c>
    </row>
    <row r="4253" customFormat="false" ht="15" hidden="false" customHeight="false" outlineLevel="0" collapsed="false">
      <c r="A4253" s="28"/>
      <c r="B4253" s="78"/>
      <c r="C4253" s="40" t="s">
        <v>7166</v>
      </c>
      <c r="D4253" s="316" t="n">
        <v>2007</v>
      </c>
      <c r="E4253" s="912" t="n">
        <f aca="false">2021-D4253</f>
        <v>14</v>
      </c>
      <c r="F4253" s="891" t="n">
        <v>200000</v>
      </c>
      <c r="G4253" s="1364" t="n">
        <v>0.1</v>
      </c>
      <c r="H4253" s="891" t="n">
        <f aca="false">E4253*F4253*G4253</f>
        <v>280000</v>
      </c>
      <c r="I4253" s="891" t="n">
        <f aca="false">F4253-H4253</f>
        <v>-80000</v>
      </c>
      <c r="J4253" s="1365" t="n">
        <f aca="false">F4253*G4253</f>
        <v>20000</v>
      </c>
      <c r="K4253" s="1365" t="n">
        <f aca="false">J4253/1792.8</f>
        <v>11.1557340473003</v>
      </c>
      <c r="L4253" s="1515" t="n">
        <v>0.6</v>
      </c>
      <c r="M4253" s="1273" t="n">
        <f aca="false">K4253*L4253/60</f>
        <v>0.111557340473003</v>
      </c>
    </row>
    <row r="4254" customFormat="false" ht="15" hidden="false" customHeight="false" outlineLevel="0" collapsed="false">
      <c r="A4254" s="28"/>
      <c r="B4254" s="78"/>
      <c r="C4254" s="40" t="s">
        <v>7170</v>
      </c>
      <c r="D4254" s="316" t="n">
        <v>2010</v>
      </c>
      <c r="E4254" s="912" t="n">
        <f aca="false">2021-D4254</f>
        <v>11</v>
      </c>
      <c r="F4254" s="891" t="n">
        <v>223200</v>
      </c>
      <c r="G4254" s="1364" t="n">
        <v>0.1</v>
      </c>
      <c r="H4254" s="891" t="n">
        <f aca="false">E4254*F4254*G4254</f>
        <v>245520</v>
      </c>
      <c r="I4254" s="891" t="n">
        <f aca="false">F4254-H4254</f>
        <v>-22320</v>
      </c>
      <c r="J4254" s="1365" t="n">
        <f aca="false">F4254*G4254</f>
        <v>22320</v>
      </c>
      <c r="K4254" s="1365" t="n">
        <f aca="false">J4254/1792.8</f>
        <v>12.4497991967871</v>
      </c>
      <c r="L4254" s="1515" t="n">
        <v>0.75</v>
      </c>
      <c r="M4254" s="1273" t="n">
        <f aca="false">K4254*L4254/60</f>
        <v>0.155622489959839</v>
      </c>
    </row>
    <row r="4255" customFormat="false" ht="15" hidden="false" customHeight="false" outlineLevel="0" collapsed="false">
      <c r="A4255" s="28"/>
      <c r="B4255" s="78"/>
      <c r="C4255" s="40" t="s">
        <v>7155</v>
      </c>
      <c r="D4255" s="316" t="n">
        <v>2007</v>
      </c>
      <c r="E4255" s="912" t="n">
        <f aca="false">2021-D4255</f>
        <v>14</v>
      </c>
      <c r="F4255" s="891" t="n">
        <v>810000</v>
      </c>
      <c r="G4255" s="1364" t="n">
        <v>0.1</v>
      </c>
      <c r="H4255" s="891" t="n">
        <f aca="false">E4255*F4255*G4255</f>
        <v>1134000</v>
      </c>
      <c r="I4255" s="891" t="n">
        <f aca="false">F4255-H4255</f>
        <v>-324000</v>
      </c>
      <c r="J4255" s="1365" t="n">
        <f aca="false">F4255*G4255</f>
        <v>81000</v>
      </c>
      <c r="K4255" s="1365" t="n">
        <f aca="false">J4255/1792.8</f>
        <v>45.1807228915663</v>
      </c>
      <c r="L4255" s="891" t="n">
        <v>4.8</v>
      </c>
      <c r="M4255" s="1273" t="n">
        <f aca="false">K4255*L4255/60</f>
        <v>3.6144578313253</v>
      </c>
    </row>
    <row r="4256" customFormat="false" ht="15" hidden="false" customHeight="false" outlineLevel="0" collapsed="false">
      <c r="A4256" s="28"/>
      <c r="B4256" s="78"/>
      <c r="C4256" s="40" t="s">
        <v>7158</v>
      </c>
      <c r="D4256" s="316" t="n">
        <v>2007</v>
      </c>
      <c r="E4256" s="912" t="n">
        <f aca="false">2021-D4256</f>
        <v>14</v>
      </c>
      <c r="F4256" s="891" t="n">
        <v>482500</v>
      </c>
      <c r="G4256" s="1364" t="n">
        <v>0.1</v>
      </c>
      <c r="H4256" s="891" t="n">
        <f aca="false">E4256*F4256*G4256</f>
        <v>675500</v>
      </c>
      <c r="I4256" s="891" t="n">
        <f aca="false">F4256-H4256</f>
        <v>-193000</v>
      </c>
      <c r="J4256" s="1365" t="n">
        <f aca="false">F4256*G4256</f>
        <v>48250</v>
      </c>
      <c r="K4256" s="1365" t="n">
        <f aca="false">J4256/1792.8</f>
        <v>26.913208389112</v>
      </c>
      <c r="L4256" s="891" t="n">
        <v>14.4</v>
      </c>
      <c r="M4256" s="1273" t="n">
        <f aca="false">K4256*L4256/60</f>
        <v>6.45917001338688</v>
      </c>
    </row>
    <row r="4257" customFormat="false" ht="15" hidden="false" customHeight="false" outlineLevel="0" collapsed="false">
      <c r="A4257" s="28"/>
      <c r="B4257" s="1518"/>
      <c r="C4257" s="40" t="s">
        <v>7193</v>
      </c>
      <c r="D4257" s="316" t="n">
        <v>2007</v>
      </c>
      <c r="E4257" s="912" t="n">
        <f aca="false">2021-D4257</f>
        <v>14</v>
      </c>
      <c r="F4257" s="891" t="n">
        <v>18000</v>
      </c>
      <c r="G4257" s="1364" t="n">
        <v>0.1</v>
      </c>
      <c r="H4257" s="891" t="n">
        <f aca="false">E4257*F4257*G4257</f>
        <v>25200</v>
      </c>
      <c r="I4257" s="891" t="n">
        <f aca="false">F4257-H4257</f>
        <v>-7200</v>
      </c>
      <c r="J4257" s="1365" t="n">
        <f aca="false">F4257*G4257</f>
        <v>1800</v>
      </c>
      <c r="K4257" s="1365" t="n">
        <f aca="false">J4257/1792.8</f>
        <v>1.00401606425703</v>
      </c>
      <c r="L4257" s="1515" t="n">
        <v>15</v>
      </c>
      <c r="M4257" s="1273" t="n">
        <f aca="false">K4257*L4257/60</f>
        <v>0.251004016064257</v>
      </c>
    </row>
    <row r="4258" customFormat="false" ht="15" hidden="false" customHeight="false" outlineLevel="0" collapsed="false">
      <c r="A4258" s="28"/>
      <c r="B4258" s="972" t="s">
        <v>4128</v>
      </c>
      <c r="C4258" s="1053"/>
      <c r="D4258" s="965"/>
      <c r="E4258" s="912"/>
      <c r="F4258" s="1490"/>
      <c r="G4258" s="1490"/>
      <c r="H4258" s="1370"/>
      <c r="I4258" s="1370"/>
      <c r="J4258" s="1370"/>
      <c r="K4258" s="1365" t="n">
        <f aca="false">J4258/1792.8</f>
        <v>0</v>
      </c>
      <c r="L4258" s="1490"/>
      <c r="M4258" s="1366" t="n">
        <f aca="false">SUM(M4252:M4257)</f>
        <v>11.9539268183847</v>
      </c>
    </row>
    <row r="4259" customFormat="false" ht="15" hidden="false" customHeight="false" outlineLevel="0" collapsed="false">
      <c r="A4259" s="28" t="s">
        <v>2031</v>
      </c>
      <c r="B4259" s="972" t="s">
        <v>3750</v>
      </c>
      <c r="C4259" s="40" t="s">
        <v>7174</v>
      </c>
      <c r="D4259" s="316" t="n">
        <v>2007</v>
      </c>
      <c r="E4259" s="912" t="n">
        <f aca="false">2021-D4259</f>
        <v>14</v>
      </c>
      <c r="F4259" s="891" t="n">
        <v>1068000</v>
      </c>
      <c r="G4259" s="1364" t="n">
        <v>0.1</v>
      </c>
      <c r="H4259" s="891" t="n">
        <f aca="false">E4259*F4259*G4259</f>
        <v>1495200</v>
      </c>
      <c r="I4259" s="891" t="n">
        <f aca="false">F4259-H4259</f>
        <v>-427200</v>
      </c>
      <c r="J4259" s="1365" t="n">
        <f aca="false">F4259*G4259</f>
        <v>106800</v>
      </c>
      <c r="K4259" s="1365" t="n">
        <f aca="false">J4259/1792.8</f>
        <v>59.5716198125837</v>
      </c>
      <c r="L4259" s="891" t="n">
        <v>9.6</v>
      </c>
      <c r="M4259" s="1273" t="n">
        <f aca="false">K4259*L4259/60</f>
        <v>9.53145917001339</v>
      </c>
    </row>
    <row r="4260" customFormat="false" ht="15" hidden="false" customHeight="false" outlineLevel="0" collapsed="false">
      <c r="A4260" s="28"/>
      <c r="B4260" s="78"/>
      <c r="C4260" s="40" t="s">
        <v>7170</v>
      </c>
      <c r="D4260" s="316" t="n">
        <v>2010</v>
      </c>
      <c r="E4260" s="912" t="n">
        <f aca="false">2021-D4260</f>
        <v>11</v>
      </c>
      <c r="F4260" s="891" t="n">
        <v>223200</v>
      </c>
      <c r="G4260" s="1364" t="n">
        <v>0.1</v>
      </c>
      <c r="H4260" s="891" t="n">
        <f aca="false">E4260*F4260*G4260</f>
        <v>245520</v>
      </c>
      <c r="I4260" s="891" t="n">
        <f aca="false">F4260-H4260</f>
        <v>-22320</v>
      </c>
      <c r="J4260" s="1365" t="n">
        <f aca="false">F4260*G4260</f>
        <v>22320</v>
      </c>
      <c r="K4260" s="1365" t="n">
        <f aca="false">J4260/1792.8</f>
        <v>12.4497991967871</v>
      </c>
      <c r="L4260" s="891" t="n">
        <v>3</v>
      </c>
      <c r="M4260" s="1273" t="n">
        <f aca="false">K4260*L4260/60</f>
        <v>0.622489959839358</v>
      </c>
    </row>
    <row r="4261" customFormat="false" ht="15" hidden="false" customHeight="false" outlineLevel="0" collapsed="false">
      <c r="A4261" s="28"/>
      <c r="B4261" s="78"/>
      <c r="C4261" s="40" t="s">
        <v>7176</v>
      </c>
      <c r="D4261" s="316" t="n">
        <v>2007</v>
      </c>
      <c r="E4261" s="912" t="n">
        <f aca="false">2021-D4261</f>
        <v>14</v>
      </c>
      <c r="F4261" s="891" t="n">
        <v>25000</v>
      </c>
      <c r="G4261" s="1364" t="n">
        <v>0.1</v>
      </c>
      <c r="H4261" s="891" t="n">
        <f aca="false">E4261*F4261*G4261</f>
        <v>35000</v>
      </c>
      <c r="I4261" s="891" t="n">
        <f aca="false">F4261-H4261</f>
        <v>-10000</v>
      </c>
      <c r="J4261" s="1365" t="n">
        <f aca="false">F4261*G4261</f>
        <v>2500</v>
      </c>
      <c r="K4261" s="1365" t="n">
        <f aca="false">J4261/1792.8</f>
        <v>1.39446675591254</v>
      </c>
      <c r="L4261" s="891" t="n">
        <v>6</v>
      </c>
      <c r="M4261" s="1273" t="n">
        <f aca="false">K4261*L4261/60</f>
        <v>0.139446675591254</v>
      </c>
    </row>
    <row r="4262" customFormat="false" ht="15" hidden="false" customHeight="false" outlineLevel="0" collapsed="false">
      <c r="A4262" s="28"/>
      <c r="B4262" s="78"/>
      <c r="C4262" s="40" t="s">
        <v>7177</v>
      </c>
      <c r="D4262" s="316" t="n">
        <v>2007</v>
      </c>
      <c r="E4262" s="912" t="n">
        <f aca="false">2021-D4262</f>
        <v>14</v>
      </c>
      <c r="F4262" s="891" t="n">
        <v>92000</v>
      </c>
      <c r="G4262" s="1364" t="n">
        <v>0.1</v>
      </c>
      <c r="H4262" s="891" t="n">
        <f aca="false">E4262*F4262*G4262</f>
        <v>128800</v>
      </c>
      <c r="I4262" s="891" t="n">
        <f aca="false">F4262-H4262</f>
        <v>-36800</v>
      </c>
      <c r="J4262" s="1365" t="n">
        <f aca="false">F4262*G4262</f>
        <v>9200</v>
      </c>
      <c r="K4262" s="1365" t="n">
        <f aca="false">J4262/1792.8</f>
        <v>5.13163766175814</v>
      </c>
      <c r="L4262" s="891" t="n">
        <v>5</v>
      </c>
      <c r="M4262" s="1273" t="n">
        <f aca="false">K4262*L4262/60</f>
        <v>0.427636471813179</v>
      </c>
    </row>
    <row r="4263" customFormat="false" ht="15" hidden="false" customHeight="false" outlineLevel="0" collapsed="false">
      <c r="A4263" s="28"/>
      <c r="B4263" s="78"/>
      <c r="C4263" s="40" t="s">
        <v>7194</v>
      </c>
      <c r="D4263" s="316" t="n">
        <v>2007</v>
      </c>
      <c r="E4263" s="912" t="n">
        <f aca="false">2021-D4263</f>
        <v>14</v>
      </c>
      <c r="F4263" s="891" t="n">
        <v>3000000</v>
      </c>
      <c r="G4263" s="1364" t="n">
        <v>0.1</v>
      </c>
      <c r="H4263" s="891" t="n">
        <f aca="false">E4263*F4263*G4263</f>
        <v>4200000</v>
      </c>
      <c r="I4263" s="891" t="n">
        <f aca="false">F4263-H4263</f>
        <v>-1200000</v>
      </c>
      <c r="J4263" s="1365" t="n">
        <f aca="false">F4263*G4263</f>
        <v>300000</v>
      </c>
      <c r="K4263" s="1365" t="n">
        <f aca="false">J4263/1792.8</f>
        <v>167.336010709505</v>
      </c>
      <c r="L4263" s="891" t="n">
        <v>20</v>
      </c>
      <c r="M4263" s="1273" t="n">
        <f aca="false">K4263*L4263/60</f>
        <v>55.7786702365016</v>
      </c>
    </row>
    <row r="4264" customFormat="false" ht="15" hidden="false" customHeight="false" outlineLevel="0" collapsed="false">
      <c r="A4264" s="28"/>
      <c r="B4264" s="78"/>
      <c r="C4264" s="40" t="s">
        <v>7193</v>
      </c>
      <c r="D4264" s="316" t="n">
        <v>2007</v>
      </c>
      <c r="E4264" s="912" t="n">
        <f aca="false">2021-D4264</f>
        <v>14</v>
      </c>
      <c r="F4264" s="891" t="n">
        <v>18000</v>
      </c>
      <c r="G4264" s="1364" t="n">
        <v>0.1</v>
      </c>
      <c r="H4264" s="891" t="n">
        <f aca="false">E4264*F4264*G4264</f>
        <v>25200</v>
      </c>
      <c r="I4264" s="891" t="n">
        <f aca="false">F4264-H4264</f>
        <v>-7200</v>
      </c>
      <c r="J4264" s="1365" t="n">
        <f aca="false">F4264*G4264</f>
        <v>1800</v>
      </c>
      <c r="K4264" s="1365" t="n">
        <f aca="false">J4264/1792.8</f>
        <v>1.00401606425703</v>
      </c>
      <c r="L4264" s="891" t="n">
        <v>10</v>
      </c>
      <c r="M4264" s="1273" t="n">
        <f aca="false">K4264*L4264/60</f>
        <v>0.167336010709505</v>
      </c>
    </row>
    <row r="4265" customFormat="false" ht="15" hidden="false" customHeight="false" outlineLevel="0" collapsed="false">
      <c r="A4265" s="28"/>
      <c r="B4265" s="78"/>
      <c r="C4265" s="40" t="s">
        <v>7180</v>
      </c>
      <c r="D4265" s="316" t="n">
        <v>2007</v>
      </c>
      <c r="E4265" s="912" t="n">
        <f aca="false">2021-D4265</f>
        <v>14</v>
      </c>
      <c r="F4265" s="891" t="n">
        <v>60000</v>
      </c>
      <c r="G4265" s="1364" t="n">
        <v>0.1</v>
      </c>
      <c r="H4265" s="891" t="n">
        <f aca="false">E4265*F4265*G4265</f>
        <v>84000</v>
      </c>
      <c r="I4265" s="891" t="n">
        <f aca="false">F4265-H4265</f>
        <v>-24000</v>
      </c>
      <c r="J4265" s="1365" t="n">
        <f aca="false">F4265*G4265</f>
        <v>6000</v>
      </c>
      <c r="K4265" s="1365" t="n">
        <f aca="false">J4265/1792.8</f>
        <v>3.34672021419009</v>
      </c>
      <c r="L4265" s="891" t="n">
        <v>6</v>
      </c>
      <c r="M4265" s="1273" t="n">
        <f aca="false">K4265*L4265/60</f>
        <v>0.334672021419009</v>
      </c>
    </row>
    <row r="4266" customFormat="false" ht="15" hidden="false" customHeight="false" outlineLevel="0" collapsed="false">
      <c r="A4266" s="216"/>
      <c r="B4266" s="972" t="s">
        <v>4128</v>
      </c>
      <c r="C4266" s="1053"/>
      <c r="D4266" s="965"/>
      <c r="E4266" s="912"/>
      <c r="F4266" s="1490"/>
      <c r="G4266" s="1490"/>
      <c r="H4266" s="1370"/>
      <c r="I4266" s="1370"/>
      <c r="J4266" s="1370"/>
      <c r="K4266" s="1365" t="n">
        <f aca="false">J4266/1792.8</f>
        <v>0</v>
      </c>
      <c r="L4266" s="1490"/>
      <c r="M4266" s="1366" t="n">
        <f aca="false">SUM(M4259:M4265)</f>
        <v>67.0017105458873</v>
      </c>
    </row>
    <row r="4267" customFormat="false" ht="15" hidden="false" customHeight="false" outlineLevel="0" collapsed="false">
      <c r="A4267" s="15" t="s">
        <v>2033</v>
      </c>
      <c r="B4267" s="88" t="s">
        <v>3751</v>
      </c>
      <c r="C4267" s="54"/>
      <c r="D4267" s="907"/>
      <c r="E4267" s="541"/>
      <c r="F4267" s="1500"/>
      <c r="G4267" s="1500"/>
      <c r="H4267" s="1390"/>
      <c r="I4267" s="1390"/>
      <c r="J4267" s="1390"/>
      <c r="K4267" s="1390"/>
      <c r="L4267" s="1500"/>
      <c r="M4267" s="1392"/>
    </row>
    <row r="4268" customFormat="false" ht="60" hidden="false" customHeight="false" outlineLevel="0" collapsed="false">
      <c r="A4268" s="216" t="s">
        <v>7195</v>
      </c>
      <c r="B4268" s="40" t="s">
        <v>3752</v>
      </c>
      <c r="C4268" s="40" t="s">
        <v>7154</v>
      </c>
      <c r="D4268" s="316" t="n">
        <v>2007</v>
      </c>
      <c r="E4268" s="912" t="n">
        <f aca="false">2021-D4268</f>
        <v>14</v>
      </c>
      <c r="F4268" s="891" t="n">
        <v>407000</v>
      </c>
      <c r="G4268" s="1364" t="n">
        <v>0.1</v>
      </c>
      <c r="H4268" s="891" t="n">
        <f aca="false">E4268*F4268*G4268</f>
        <v>569800</v>
      </c>
      <c r="I4268" s="891" t="n">
        <f aca="false">F4268-H4268</f>
        <v>-162800</v>
      </c>
      <c r="J4268" s="1365" t="n">
        <f aca="false">F4268*G4268</f>
        <v>40700</v>
      </c>
      <c r="K4268" s="1365" t="n">
        <f aca="false">J4268/1792.8</f>
        <v>22.7019187862561</v>
      </c>
      <c r="L4268" s="1515" t="n">
        <v>20</v>
      </c>
      <c r="M4268" s="1273" t="n">
        <f aca="false">K4268*L4268/60</f>
        <v>7.56730626208538</v>
      </c>
    </row>
    <row r="4269" customFormat="false" ht="15" hidden="false" customHeight="false" outlineLevel="0" collapsed="false">
      <c r="A4269" s="216"/>
      <c r="B4269" s="78"/>
      <c r="C4269" s="40" t="s">
        <v>7155</v>
      </c>
      <c r="D4269" s="316" t="n">
        <v>2007</v>
      </c>
      <c r="E4269" s="912" t="n">
        <f aca="false">2021-D4269</f>
        <v>14</v>
      </c>
      <c r="F4269" s="891" t="n">
        <v>810000</v>
      </c>
      <c r="G4269" s="1364" t="n">
        <v>0.1</v>
      </c>
      <c r="H4269" s="891" t="n">
        <f aca="false">E4269*F4269*G4269</f>
        <v>1134000</v>
      </c>
      <c r="I4269" s="891" t="n">
        <f aca="false">F4269-H4269</f>
        <v>-324000</v>
      </c>
      <c r="J4269" s="1365" t="n">
        <f aca="false">F4269*G4269</f>
        <v>81000</v>
      </c>
      <c r="K4269" s="1365" t="n">
        <f aca="false">J4269/1792.8</f>
        <v>45.1807228915663</v>
      </c>
      <c r="L4269" s="891" t="n">
        <v>4.8</v>
      </c>
      <c r="M4269" s="1273" t="n">
        <f aca="false">K4269*L4269/60</f>
        <v>3.6144578313253</v>
      </c>
    </row>
    <row r="4270" customFormat="false" ht="15" hidden="false" customHeight="false" outlineLevel="0" collapsed="false">
      <c r="A4270" s="216"/>
      <c r="B4270" s="78"/>
      <c r="C4270" s="40" t="s">
        <v>7156</v>
      </c>
      <c r="D4270" s="316" t="n">
        <v>2015</v>
      </c>
      <c r="E4270" s="912" t="n">
        <f aca="false">2021-D4270</f>
        <v>6</v>
      </c>
      <c r="F4270" s="891" t="n">
        <v>694025</v>
      </c>
      <c r="G4270" s="1364" t="n">
        <v>0.1</v>
      </c>
      <c r="H4270" s="891" t="n">
        <f aca="false">E4270*F4270*G4270</f>
        <v>416415</v>
      </c>
      <c r="I4270" s="891" t="n">
        <f aca="false">F4270-H4270</f>
        <v>277610</v>
      </c>
      <c r="J4270" s="1365" t="n">
        <f aca="false">F4270*G4270</f>
        <v>69402.5</v>
      </c>
      <c r="K4270" s="1365" t="n">
        <f aca="false">J4270/1792.8</f>
        <v>38.711791610888</v>
      </c>
      <c r="L4270" s="891" t="n">
        <v>18</v>
      </c>
      <c r="M4270" s="1273" t="n">
        <f aca="false">K4270*L4270/60</f>
        <v>11.6135374832664</v>
      </c>
    </row>
    <row r="4271" customFormat="false" ht="15" hidden="false" customHeight="false" outlineLevel="0" collapsed="false">
      <c r="A4271" s="216"/>
      <c r="B4271" s="78"/>
      <c r="C4271" s="40" t="s">
        <v>7157</v>
      </c>
      <c r="D4271" s="316" t="n">
        <v>2006</v>
      </c>
      <c r="E4271" s="912" t="n">
        <f aca="false">2021-D4271</f>
        <v>15</v>
      </c>
      <c r="F4271" s="891" t="n">
        <v>77000</v>
      </c>
      <c r="G4271" s="1364" t="n">
        <v>0.05</v>
      </c>
      <c r="H4271" s="891" t="n">
        <f aca="false">E4271*F4271*G4271</f>
        <v>57750</v>
      </c>
      <c r="I4271" s="891" t="n">
        <f aca="false">F4271-H4271</f>
        <v>19250</v>
      </c>
      <c r="J4271" s="1365" t="n">
        <f aca="false">F4271*G4271</f>
        <v>3850</v>
      </c>
      <c r="K4271" s="1365" t="n">
        <f aca="false">J4271/1792.8</f>
        <v>2.14747880410531</v>
      </c>
      <c r="L4271" s="891" t="n">
        <v>9.6</v>
      </c>
      <c r="M4271" s="1273" t="n">
        <f aca="false">K4271*L4271/60</f>
        <v>0.34359660865685</v>
      </c>
    </row>
    <row r="4272" customFormat="false" ht="15" hidden="false" customHeight="false" outlineLevel="0" collapsed="false">
      <c r="A4272" s="216"/>
      <c r="B4272" s="78"/>
      <c r="C4272" s="40" t="s">
        <v>7158</v>
      </c>
      <c r="D4272" s="316" t="n">
        <v>2007</v>
      </c>
      <c r="E4272" s="912" t="n">
        <f aca="false">2021-D4272</f>
        <v>14</v>
      </c>
      <c r="F4272" s="891" t="n">
        <v>482500</v>
      </c>
      <c r="G4272" s="1364" t="n">
        <v>0.1</v>
      </c>
      <c r="H4272" s="891" t="n">
        <f aca="false">E4272*F4272*G4272</f>
        <v>675500</v>
      </c>
      <c r="I4272" s="891" t="n">
        <f aca="false">F4272-H4272</f>
        <v>-193000</v>
      </c>
      <c r="J4272" s="1365" t="n">
        <f aca="false">F4272*G4272</f>
        <v>48250</v>
      </c>
      <c r="K4272" s="1365" t="n">
        <f aca="false">J4272/1792.8</f>
        <v>26.913208389112</v>
      </c>
      <c r="L4272" s="891" t="n">
        <v>14.4</v>
      </c>
      <c r="M4272" s="1273" t="n">
        <f aca="false">K4272*L4272/60</f>
        <v>6.45917001338688</v>
      </c>
    </row>
    <row r="4273" customFormat="false" ht="15" hidden="false" customHeight="false" outlineLevel="0" collapsed="false">
      <c r="A4273" s="216"/>
      <c r="B4273" s="78"/>
      <c r="C4273" s="40" t="s">
        <v>7159</v>
      </c>
      <c r="D4273" s="316" t="n">
        <v>2007</v>
      </c>
      <c r="E4273" s="912" t="n">
        <f aca="false">2021-D4273</f>
        <v>14</v>
      </c>
      <c r="F4273" s="891" t="n">
        <v>68000</v>
      </c>
      <c r="G4273" s="1364" t="n">
        <v>0.1</v>
      </c>
      <c r="H4273" s="891" t="n">
        <f aca="false">E4273*F4273*G4273</f>
        <v>95200</v>
      </c>
      <c r="I4273" s="891" t="n">
        <f aca="false">F4273-H4273</f>
        <v>-27200</v>
      </c>
      <c r="J4273" s="1365" t="n">
        <f aca="false">F4273*G4273</f>
        <v>6800</v>
      </c>
      <c r="K4273" s="1365" t="n">
        <f aca="false">J4273/1792.8</f>
        <v>3.79294957608211</v>
      </c>
      <c r="L4273" s="891" t="n">
        <v>9.6</v>
      </c>
      <c r="M4273" s="1273" t="n">
        <f aca="false">K4273*L4273/60</f>
        <v>0.606871932173137</v>
      </c>
    </row>
    <row r="4274" customFormat="false" ht="15" hidden="false" customHeight="false" outlineLevel="0" collapsed="false">
      <c r="A4274" s="1352"/>
      <c r="B4274" s="78"/>
      <c r="C4274" s="40" t="s">
        <v>7188</v>
      </c>
      <c r="D4274" s="316" t="n">
        <v>2006</v>
      </c>
      <c r="E4274" s="912" t="n">
        <f aca="false">2021-D4274</f>
        <v>15</v>
      </c>
      <c r="F4274" s="891" t="n">
        <v>30000</v>
      </c>
      <c r="G4274" s="1364" t="n">
        <v>0.1</v>
      </c>
      <c r="H4274" s="891" t="n">
        <f aca="false">E4274*F4274*G4274</f>
        <v>45000</v>
      </c>
      <c r="I4274" s="891" t="n">
        <f aca="false">F4274-H4274</f>
        <v>-15000</v>
      </c>
      <c r="J4274" s="1365" t="n">
        <f aca="false">F4274*G4274</f>
        <v>3000</v>
      </c>
      <c r="K4274" s="1365" t="n">
        <f aca="false">J4274/1792.8</f>
        <v>1.67336010709505</v>
      </c>
      <c r="L4274" s="891" t="n">
        <v>10</v>
      </c>
      <c r="M4274" s="1273" t="n">
        <f aca="false">K4274*L4274/60</f>
        <v>0.278893351182508</v>
      </c>
    </row>
    <row r="4275" customFormat="false" ht="15" hidden="false" customHeight="false" outlineLevel="0" collapsed="false">
      <c r="A4275" s="1352"/>
      <c r="B4275" s="78"/>
      <c r="C4275" s="40" t="s">
        <v>7176</v>
      </c>
      <c r="D4275" s="316" t="n">
        <v>2007</v>
      </c>
      <c r="E4275" s="912" t="n">
        <f aca="false">2021-D4275</f>
        <v>14</v>
      </c>
      <c r="F4275" s="891" t="n">
        <v>25000</v>
      </c>
      <c r="G4275" s="1364" t="n">
        <v>0.1</v>
      </c>
      <c r="H4275" s="891" t="n">
        <f aca="false">E4275*F4275*G4275</f>
        <v>35000</v>
      </c>
      <c r="I4275" s="891" t="n">
        <f aca="false">F4275-H4275</f>
        <v>-10000</v>
      </c>
      <c r="J4275" s="1365" t="n">
        <f aca="false">F4275*G4275</f>
        <v>2500</v>
      </c>
      <c r="K4275" s="1365" t="n">
        <f aca="false">J4275/1792.8</f>
        <v>1.39446675591254</v>
      </c>
      <c r="L4275" s="891" t="n">
        <v>10</v>
      </c>
      <c r="M4275" s="1273" t="n">
        <f aca="false">K4275*L4275/60</f>
        <v>0.232411125985423</v>
      </c>
    </row>
    <row r="4276" customFormat="false" ht="15" hidden="false" customHeight="false" outlineLevel="0" collapsed="false">
      <c r="A4276" s="1352"/>
      <c r="B4276" s="972" t="s">
        <v>4128</v>
      </c>
      <c r="C4276" s="40"/>
      <c r="D4276" s="316"/>
      <c r="E4276" s="912"/>
      <c r="F4276" s="891"/>
      <c r="G4276" s="1364"/>
      <c r="H4276" s="891"/>
      <c r="I4276" s="891"/>
      <c r="J4276" s="1365"/>
      <c r="K4276" s="1365" t="n">
        <f aca="false">J4276/1792.8</f>
        <v>0</v>
      </c>
      <c r="L4276" s="891"/>
      <c r="M4276" s="1366" t="n">
        <f aca="false">SUM(M4268:M4275)</f>
        <v>30.7162446080619</v>
      </c>
    </row>
    <row r="4277" customFormat="false" ht="15" hidden="false" customHeight="false" outlineLevel="0" collapsed="false">
      <c r="A4277" s="15" t="s">
        <v>2037</v>
      </c>
      <c r="B4277" s="88" t="s">
        <v>7196</v>
      </c>
      <c r="C4277" s="1509"/>
      <c r="D4277" s="387"/>
      <c r="E4277" s="541"/>
      <c r="F4277" s="1510"/>
      <c r="G4277" s="1513"/>
      <c r="H4277" s="1510"/>
      <c r="I4277" s="1510"/>
      <c r="J4277" s="1512"/>
      <c r="K4277" s="1512"/>
      <c r="L4277" s="1510"/>
      <c r="M4277" s="1511"/>
    </row>
    <row r="4278" customFormat="false" ht="45" hidden="false" customHeight="false" outlineLevel="0" collapsed="false">
      <c r="A4278" s="216" t="s">
        <v>2039</v>
      </c>
      <c r="B4278" s="104" t="s">
        <v>3754</v>
      </c>
      <c r="C4278" s="1519" t="s">
        <v>7197</v>
      </c>
      <c r="D4278" s="1520" t="n">
        <v>2013</v>
      </c>
      <c r="E4278" s="912" t="n">
        <f aca="false">2021-D4278</f>
        <v>8</v>
      </c>
      <c r="F4278" s="1521" t="n">
        <v>14225000</v>
      </c>
      <c r="G4278" s="1522" t="n">
        <v>0.1</v>
      </c>
      <c r="H4278" s="891" t="n">
        <f aca="false">E4278*F4278*G4278</f>
        <v>11380000</v>
      </c>
      <c r="I4278" s="891" t="n">
        <f aca="false">F4278-H4278</f>
        <v>2845000</v>
      </c>
      <c r="J4278" s="1365" t="n">
        <f aca="false">F4278*G4278</f>
        <v>1422500</v>
      </c>
      <c r="K4278" s="1365" t="n">
        <f aca="false">J4278/1792.8</f>
        <v>793.451584114235</v>
      </c>
      <c r="L4278" s="1523" t="n">
        <v>3.2</v>
      </c>
      <c r="M4278" s="1273" t="n">
        <f aca="false">K4278*L4278/60</f>
        <v>42.3174178194259</v>
      </c>
    </row>
    <row r="4279" customFormat="false" ht="15" hidden="false" customHeight="false" outlineLevel="0" collapsed="false">
      <c r="A4279" s="1352"/>
      <c r="B4279" s="104"/>
      <c r="C4279" s="40" t="s">
        <v>7154</v>
      </c>
      <c r="D4279" s="316" t="n">
        <v>2007</v>
      </c>
      <c r="E4279" s="912" t="n">
        <f aca="false">2021-D4279</f>
        <v>14</v>
      </c>
      <c r="F4279" s="891" t="n">
        <v>407000</v>
      </c>
      <c r="G4279" s="1364" t="n">
        <v>0.1</v>
      </c>
      <c r="H4279" s="891" t="n">
        <f aca="false">E4279*F4279*G4279</f>
        <v>569800</v>
      </c>
      <c r="I4279" s="891" t="n">
        <f aca="false">F4279-H4279</f>
        <v>-162800</v>
      </c>
      <c r="J4279" s="1365" t="n">
        <f aca="false">F4279*G4279</f>
        <v>40700</v>
      </c>
      <c r="K4279" s="1365" t="n">
        <f aca="false">J4279/1792.8</f>
        <v>22.7019187862561</v>
      </c>
      <c r="L4279" s="1515" t="n">
        <v>20</v>
      </c>
      <c r="M4279" s="1273" t="n">
        <f aca="false">K4279*L4279/60</f>
        <v>7.56730626208538</v>
      </c>
    </row>
    <row r="4280" customFormat="false" ht="15" hidden="false" customHeight="false" outlineLevel="0" collapsed="false">
      <c r="A4280" s="1352"/>
      <c r="B4280" s="104"/>
      <c r="C4280" s="40" t="s">
        <v>7155</v>
      </c>
      <c r="D4280" s="316" t="n">
        <v>2007</v>
      </c>
      <c r="E4280" s="912" t="n">
        <f aca="false">2021-D4280</f>
        <v>14</v>
      </c>
      <c r="F4280" s="891" t="n">
        <v>810000</v>
      </c>
      <c r="G4280" s="1364" t="n">
        <v>0.1</v>
      </c>
      <c r="H4280" s="891" t="n">
        <f aca="false">E4280*F4280*G4280</f>
        <v>1134000</v>
      </c>
      <c r="I4280" s="891" t="n">
        <f aca="false">F4280-H4280</f>
        <v>-324000</v>
      </c>
      <c r="J4280" s="1365" t="n">
        <f aca="false">F4280*G4280</f>
        <v>81000</v>
      </c>
      <c r="K4280" s="1365" t="n">
        <f aca="false">J4280/1792.8</f>
        <v>45.1807228915663</v>
      </c>
      <c r="L4280" s="891" t="n">
        <v>4.8</v>
      </c>
      <c r="M4280" s="1273" t="n">
        <f aca="false">K4280*L4280/60</f>
        <v>3.6144578313253</v>
      </c>
    </row>
    <row r="4281" customFormat="false" ht="15" hidden="false" customHeight="false" outlineLevel="0" collapsed="false">
      <c r="A4281" s="1352"/>
      <c r="B4281" s="104"/>
      <c r="C4281" s="40" t="s">
        <v>7156</v>
      </c>
      <c r="D4281" s="316" t="n">
        <v>2015</v>
      </c>
      <c r="E4281" s="912" t="n">
        <f aca="false">2021-D4281</f>
        <v>6</v>
      </c>
      <c r="F4281" s="891" t="n">
        <v>694025</v>
      </c>
      <c r="G4281" s="1364" t="n">
        <v>0.1</v>
      </c>
      <c r="H4281" s="891" t="n">
        <f aca="false">E4281*F4281*G4281</f>
        <v>416415</v>
      </c>
      <c r="I4281" s="891" t="n">
        <f aca="false">F4281-H4281</f>
        <v>277610</v>
      </c>
      <c r="J4281" s="1365" t="n">
        <f aca="false">F4281*G4281</f>
        <v>69402.5</v>
      </c>
      <c r="K4281" s="1365" t="n">
        <f aca="false">J4281/1792.8</f>
        <v>38.711791610888</v>
      </c>
      <c r="L4281" s="891" t="n">
        <v>18</v>
      </c>
      <c r="M4281" s="1273" t="n">
        <f aca="false">K4281*L4281/60</f>
        <v>11.6135374832664</v>
      </c>
    </row>
    <row r="4282" customFormat="false" ht="15" hidden="false" customHeight="false" outlineLevel="0" collapsed="false">
      <c r="A4282" s="1352"/>
      <c r="B4282" s="104"/>
      <c r="C4282" s="40" t="s">
        <v>7157</v>
      </c>
      <c r="D4282" s="316" t="n">
        <v>2006</v>
      </c>
      <c r="E4282" s="912" t="n">
        <f aca="false">2021-D4282</f>
        <v>15</v>
      </c>
      <c r="F4282" s="891" t="n">
        <v>77000</v>
      </c>
      <c r="G4282" s="1364" t="n">
        <v>0.05</v>
      </c>
      <c r="H4282" s="891" t="n">
        <f aca="false">E4282*F4282*G4282</f>
        <v>57750</v>
      </c>
      <c r="I4282" s="891" t="n">
        <f aca="false">F4282-H4282</f>
        <v>19250</v>
      </c>
      <c r="J4282" s="1365" t="n">
        <f aca="false">F4282*G4282</f>
        <v>3850</v>
      </c>
      <c r="K4282" s="1365" t="n">
        <f aca="false">J4282/1792.8</f>
        <v>2.14747880410531</v>
      </c>
      <c r="L4282" s="891" t="n">
        <v>9.6</v>
      </c>
      <c r="M4282" s="1273" t="n">
        <f aca="false">K4282*L4282/60</f>
        <v>0.34359660865685</v>
      </c>
    </row>
    <row r="4283" customFormat="false" ht="15" hidden="false" customHeight="false" outlineLevel="0" collapsed="false">
      <c r="A4283" s="1352"/>
      <c r="B4283" s="104"/>
      <c r="C4283" s="40" t="s">
        <v>7158</v>
      </c>
      <c r="D4283" s="316" t="n">
        <v>2007</v>
      </c>
      <c r="E4283" s="912" t="n">
        <f aca="false">2021-D4283</f>
        <v>14</v>
      </c>
      <c r="F4283" s="891" t="n">
        <v>482500</v>
      </c>
      <c r="G4283" s="1364" t="n">
        <v>0.1</v>
      </c>
      <c r="H4283" s="891" t="n">
        <f aca="false">E4283*F4283*G4283</f>
        <v>675500</v>
      </c>
      <c r="I4283" s="891" t="n">
        <f aca="false">F4283-H4283</f>
        <v>-193000</v>
      </c>
      <c r="J4283" s="1365" t="n">
        <f aca="false">F4283*G4283</f>
        <v>48250</v>
      </c>
      <c r="K4283" s="1365" t="n">
        <f aca="false">J4283/1792.8</f>
        <v>26.913208389112</v>
      </c>
      <c r="L4283" s="891" t="n">
        <v>14.4</v>
      </c>
      <c r="M4283" s="1273" t="n">
        <f aca="false">K4283*L4283/60</f>
        <v>6.45917001338688</v>
      </c>
    </row>
    <row r="4284" customFormat="false" ht="15" hidden="false" customHeight="false" outlineLevel="0" collapsed="false">
      <c r="A4284" s="1352"/>
      <c r="B4284" s="104"/>
      <c r="C4284" s="40" t="s">
        <v>7159</v>
      </c>
      <c r="D4284" s="316" t="n">
        <v>2007</v>
      </c>
      <c r="E4284" s="912" t="n">
        <f aca="false">2021-D4284</f>
        <v>14</v>
      </c>
      <c r="F4284" s="891" t="n">
        <v>68000</v>
      </c>
      <c r="G4284" s="1364" t="n">
        <v>0.1</v>
      </c>
      <c r="H4284" s="891" t="n">
        <f aca="false">E4284*F4284*G4284</f>
        <v>95200</v>
      </c>
      <c r="I4284" s="891" t="n">
        <f aca="false">F4284-H4284</f>
        <v>-27200</v>
      </c>
      <c r="J4284" s="1365" t="n">
        <f aca="false">F4284*G4284</f>
        <v>6800</v>
      </c>
      <c r="K4284" s="1365" t="n">
        <f aca="false">J4284/1792.8</f>
        <v>3.79294957608211</v>
      </c>
      <c r="L4284" s="891" t="n">
        <v>9.6</v>
      </c>
      <c r="M4284" s="1273" t="n">
        <f aca="false">K4284*L4284/60</f>
        <v>0.606871932173137</v>
      </c>
    </row>
    <row r="4285" customFormat="false" ht="15" hidden="false" customHeight="false" outlineLevel="0" collapsed="false">
      <c r="A4285" s="1352"/>
      <c r="B4285" s="104"/>
      <c r="C4285" s="40" t="s">
        <v>7188</v>
      </c>
      <c r="D4285" s="316" t="n">
        <v>2006</v>
      </c>
      <c r="E4285" s="912" t="n">
        <f aca="false">2021-D4285</f>
        <v>15</v>
      </c>
      <c r="F4285" s="891" t="n">
        <v>30000</v>
      </c>
      <c r="G4285" s="1364" t="n">
        <v>0.1</v>
      </c>
      <c r="H4285" s="891" t="n">
        <f aca="false">E4285*F4285*G4285</f>
        <v>45000</v>
      </c>
      <c r="I4285" s="891" t="n">
        <f aca="false">F4285-H4285</f>
        <v>-15000</v>
      </c>
      <c r="J4285" s="1365" t="n">
        <f aca="false">F4285*G4285</f>
        <v>3000</v>
      </c>
      <c r="K4285" s="1365" t="n">
        <f aca="false">J4285/1792.8</f>
        <v>1.67336010709505</v>
      </c>
      <c r="L4285" s="891" t="n">
        <v>10</v>
      </c>
      <c r="M4285" s="1273" t="n">
        <f aca="false">K4285*L4285/60</f>
        <v>0.278893351182508</v>
      </c>
    </row>
    <row r="4286" customFormat="false" ht="15" hidden="false" customHeight="false" outlineLevel="0" collapsed="false">
      <c r="A4286" s="1352"/>
      <c r="B4286" s="104"/>
      <c r="C4286" s="40" t="s">
        <v>7176</v>
      </c>
      <c r="D4286" s="316" t="n">
        <v>2007</v>
      </c>
      <c r="E4286" s="912" t="n">
        <f aca="false">2021-D4286</f>
        <v>14</v>
      </c>
      <c r="F4286" s="891" t="n">
        <v>25000</v>
      </c>
      <c r="G4286" s="1364" t="n">
        <v>0.1</v>
      </c>
      <c r="H4286" s="891" t="n">
        <f aca="false">E4286*F4286*G4286</f>
        <v>35000</v>
      </c>
      <c r="I4286" s="891" t="n">
        <f aca="false">F4286-H4286</f>
        <v>-10000</v>
      </c>
      <c r="J4286" s="1365" t="n">
        <f aca="false">F4286*G4286</f>
        <v>2500</v>
      </c>
      <c r="K4286" s="1365" t="n">
        <f aca="false">J4286/1792.8</f>
        <v>1.39446675591254</v>
      </c>
      <c r="L4286" s="891" t="n">
        <v>10</v>
      </c>
      <c r="M4286" s="1273" t="n">
        <f aca="false">K4286*L4286/60</f>
        <v>0.232411125985423</v>
      </c>
    </row>
    <row r="4287" customFormat="false" ht="15" hidden="false" customHeight="false" outlineLevel="0" collapsed="false">
      <c r="A4287" s="1352"/>
      <c r="B4287" s="104"/>
      <c r="C4287" s="40" t="s">
        <v>7193</v>
      </c>
      <c r="D4287" s="316" t="n">
        <v>2007</v>
      </c>
      <c r="E4287" s="912" t="n">
        <f aca="false">2021-D4287</f>
        <v>14</v>
      </c>
      <c r="F4287" s="891" t="n">
        <v>18000</v>
      </c>
      <c r="G4287" s="1364" t="n">
        <v>0.1</v>
      </c>
      <c r="H4287" s="891" t="n">
        <f aca="false">E4287*F4287*G4287</f>
        <v>25200</v>
      </c>
      <c r="I4287" s="891" t="n">
        <f aca="false">F4287-H4287</f>
        <v>-7200</v>
      </c>
      <c r="J4287" s="1365" t="n">
        <f aca="false">F4287*G4287</f>
        <v>1800</v>
      </c>
      <c r="K4287" s="1365" t="n">
        <f aca="false">J4287/1792.8</f>
        <v>1.00401606425703</v>
      </c>
      <c r="L4287" s="891" t="n">
        <v>10</v>
      </c>
      <c r="M4287" s="1273" t="n">
        <f aca="false">K4287*L4287/60</f>
        <v>0.167336010709505</v>
      </c>
    </row>
    <row r="4288" customFormat="false" ht="15" hidden="false" customHeight="false" outlineLevel="0" collapsed="false">
      <c r="A4288" s="1352"/>
      <c r="B4288" s="972" t="s">
        <v>4128</v>
      </c>
      <c r="C4288" s="40"/>
      <c r="D4288" s="1524"/>
      <c r="E4288" s="912"/>
      <c r="F4288" s="1525"/>
      <c r="G4288" s="1526"/>
      <c r="H4288" s="891"/>
      <c r="I4288" s="891"/>
      <c r="J4288" s="1365"/>
      <c r="K4288" s="1365" t="n">
        <f aca="false">J4288/1792.8</f>
        <v>0</v>
      </c>
      <c r="L4288" s="891"/>
      <c r="M4288" s="1366" t="n">
        <f aca="false">SUM(M4278:M4287)</f>
        <v>73.2009984381973</v>
      </c>
    </row>
    <row r="4289" customFormat="false" ht="60" hidden="false" customHeight="false" outlineLevel="0" collapsed="false">
      <c r="A4289" s="216" t="s">
        <v>2041</v>
      </c>
      <c r="B4289" s="104" t="s">
        <v>3755</v>
      </c>
      <c r="C4289" s="1519" t="s">
        <v>7198</v>
      </c>
      <c r="D4289" s="1520" t="n">
        <v>2013</v>
      </c>
      <c r="E4289" s="912" t="n">
        <f aca="false">2021-D4289</f>
        <v>8</v>
      </c>
      <c r="F4289" s="1521" t="n">
        <v>120000</v>
      </c>
      <c r="G4289" s="1522" t="n">
        <v>0.1</v>
      </c>
      <c r="H4289" s="891" t="n">
        <f aca="false">E4289*F4289*G4289</f>
        <v>96000</v>
      </c>
      <c r="I4289" s="891" t="n">
        <f aca="false">F4289-H4289</f>
        <v>24000</v>
      </c>
      <c r="J4289" s="1365" t="n">
        <f aca="false">F4289*G4289</f>
        <v>12000</v>
      </c>
      <c r="K4289" s="1365" t="n">
        <f aca="false">J4289/1792.8</f>
        <v>6.69344042838019</v>
      </c>
      <c r="L4289" s="1523" t="n">
        <v>3.2</v>
      </c>
      <c r="M4289" s="1273" t="n">
        <f aca="false">K4289*L4289/60</f>
        <v>0.35698348951361</v>
      </c>
    </row>
    <row r="4290" customFormat="false" ht="15" hidden="false" customHeight="false" outlineLevel="0" collapsed="false">
      <c r="A4290" s="1527"/>
      <c r="B4290" s="104"/>
      <c r="C4290" s="40" t="s">
        <v>7155</v>
      </c>
      <c r="D4290" s="316" t="n">
        <v>2007</v>
      </c>
      <c r="E4290" s="912" t="n">
        <f aca="false">2021-D4290</f>
        <v>14</v>
      </c>
      <c r="F4290" s="891" t="n">
        <v>810000</v>
      </c>
      <c r="G4290" s="1364" t="n">
        <v>0.1</v>
      </c>
      <c r="H4290" s="891" t="n">
        <f aca="false">E4290*F4290*G4290</f>
        <v>1134000</v>
      </c>
      <c r="I4290" s="891" t="n">
        <f aca="false">F4290-H4290</f>
        <v>-324000</v>
      </c>
      <c r="J4290" s="1365" t="n">
        <f aca="false">F4290*G4290</f>
        <v>81000</v>
      </c>
      <c r="K4290" s="1365" t="n">
        <f aca="false">J4290/1792.8</f>
        <v>45.1807228915663</v>
      </c>
      <c r="L4290" s="891" t="n">
        <v>4.8</v>
      </c>
      <c r="M4290" s="1273" t="n">
        <f aca="false">K4290*L4290/60</f>
        <v>3.6144578313253</v>
      </c>
    </row>
    <row r="4291" customFormat="false" ht="15" hidden="false" customHeight="false" outlineLevel="0" collapsed="false">
      <c r="A4291" s="1527"/>
      <c r="B4291" s="104"/>
      <c r="C4291" s="40" t="s">
        <v>7156</v>
      </c>
      <c r="D4291" s="316" t="n">
        <v>2015</v>
      </c>
      <c r="E4291" s="912" t="n">
        <f aca="false">2021-D4291</f>
        <v>6</v>
      </c>
      <c r="F4291" s="891" t="n">
        <v>694025</v>
      </c>
      <c r="G4291" s="1364" t="n">
        <v>0.1</v>
      </c>
      <c r="H4291" s="891" t="n">
        <f aca="false">E4291*F4291*G4291</f>
        <v>416415</v>
      </c>
      <c r="I4291" s="891" t="n">
        <f aca="false">F4291-H4291</f>
        <v>277610</v>
      </c>
      <c r="J4291" s="1365" t="n">
        <f aca="false">F4291*G4291</f>
        <v>69402.5</v>
      </c>
      <c r="K4291" s="1365" t="n">
        <f aca="false">J4291/1792.8</f>
        <v>38.711791610888</v>
      </c>
      <c r="L4291" s="891" t="n">
        <v>18</v>
      </c>
      <c r="M4291" s="1273" t="n">
        <f aca="false">K4291*L4291/60</f>
        <v>11.6135374832664</v>
      </c>
    </row>
    <row r="4292" customFormat="false" ht="15" hidden="false" customHeight="false" outlineLevel="0" collapsed="false">
      <c r="A4292" s="1527"/>
      <c r="B4292" s="104"/>
      <c r="C4292" s="40" t="s">
        <v>7157</v>
      </c>
      <c r="D4292" s="316" t="n">
        <v>2006</v>
      </c>
      <c r="E4292" s="912" t="n">
        <f aca="false">2021-D4292</f>
        <v>15</v>
      </c>
      <c r="F4292" s="891" t="n">
        <v>77000</v>
      </c>
      <c r="G4292" s="1364" t="n">
        <v>0.05</v>
      </c>
      <c r="H4292" s="891" t="n">
        <f aca="false">E4292*F4292*G4292</f>
        <v>57750</v>
      </c>
      <c r="I4292" s="891" t="n">
        <f aca="false">F4292-H4292</f>
        <v>19250</v>
      </c>
      <c r="J4292" s="1365" t="n">
        <f aca="false">F4292*G4292</f>
        <v>3850</v>
      </c>
      <c r="K4292" s="1365" t="n">
        <f aca="false">J4292/1792.8</f>
        <v>2.14747880410531</v>
      </c>
      <c r="L4292" s="891" t="n">
        <v>9.6</v>
      </c>
      <c r="M4292" s="1273" t="n">
        <f aca="false">K4292*L4292/60</f>
        <v>0.34359660865685</v>
      </c>
    </row>
    <row r="4293" customFormat="false" ht="15" hidden="false" customHeight="false" outlineLevel="0" collapsed="false">
      <c r="A4293" s="1527"/>
      <c r="B4293" s="104"/>
      <c r="C4293" s="40" t="s">
        <v>7158</v>
      </c>
      <c r="D4293" s="316" t="n">
        <v>2007</v>
      </c>
      <c r="E4293" s="912" t="n">
        <f aca="false">2021-D4293</f>
        <v>14</v>
      </c>
      <c r="F4293" s="891" t="n">
        <v>482500</v>
      </c>
      <c r="G4293" s="1364" t="n">
        <v>0.1</v>
      </c>
      <c r="H4293" s="891" t="n">
        <f aca="false">E4293*F4293*G4293</f>
        <v>675500</v>
      </c>
      <c r="I4293" s="891" t="n">
        <f aca="false">F4293-H4293</f>
        <v>-193000</v>
      </c>
      <c r="J4293" s="1365" t="n">
        <f aca="false">F4293*G4293</f>
        <v>48250</v>
      </c>
      <c r="K4293" s="1365" t="n">
        <f aca="false">J4293/1792.8</f>
        <v>26.913208389112</v>
      </c>
      <c r="L4293" s="891" t="n">
        <v>14.4</v>
      </c>
      <c r="M4293" s="1273" t="n">
        <f aca="false">K4293*L4293/60</f>
        <v>6.45917001338688</v>
      </c>
    </row>
    <row r="4294" customFormat="false" ht="15" hidden="false" customHeight="false" outlineLevel="0" collapsed="false">
      <c r="A4294" s="1527"/>
      <c r="B4294" s="104"/>
      <c r="C4294" s="40" t="s">
        <v>7159</v>
      </c>
      <c r="D4294" s="316" t="n">
        <v>2007</v>
      </c>
      <c r="E4294" s="912" t="n">
        <f aca="false">2021-D4294</f>
        <v>14</v>
      </c>
      <c r="F4294" s="891" t="n">
        <v>68000</v>
      </c>
      <c r="G4294" s="1364" t="n">
        <v>0.1</v>
      </c>
      <c r="H4294" s="891" t="n">
        <f aca="false">E4294*F4294*G4294</f>
        <v>95200</v>
      </c>
      <c r="I4294" s="891" t="n">
        <f aca="false">F4294-H4294</f>
        <v>-27200</v>
      </c>
      <c r="J4294" s="1365" t="n">
        <f aca="false">F4294*G4294</f>
        <v>6800</v>
      </c>
      <c r="K4294" s="1365" t="n">
        <f aca="false">J4294/1792.8</f>
        <v>3.79294957608211</v>
      </c>
      <c r="L4294" s="891" t="n">
        <v>9.6</v>
      </c>
      <c r="M4294" s="1273" t="n">
        <f aca="false">K4294*L4294/60</f>
        <v>0.606871932173137</v>
      </c>
    </row>
    <row r="4295" customFormat="false" ht="15" hidden="false" customHeight="false" outlineLevel="0" collapsed="false">
      <c r="A4295" s="1527"/>
      <c r="B4295" s="104"/>
      <c r="C4295" s="40" t="s">
        <v>7188</v>
      </c>
      <c r="D4295" s="316" t="n">
        <v>2006</v>
      </c>
      <c r="E4295" s="912" t="n">
        <f aca="false">2021-D4295</f>
        <v>15</v>
      </c>
      <c r="F4295" s="891" t="n">
        <v>30000</v>
      </c>
      <c r="G4295" s="1364" t="n">
        <v>0.1</v>
      </c>
      <c r="H4295" s="891" t="n">
        <f aca="false">E4295*F4295*G4295</f>
        <v>45000</v>
      </c>
      <c r="I4295" s="891" t="n">
        <f aca="false">F4295-H4295</f>
        <v>-15000</v>
      </c>
      <c r="J4295" s="1365" t="n">
        <f aca="false">F4295*G4295</f>
        <v>3000</v>
      </c>
      <c r="K4295" s="1365" t="n">
        <f aca="false">J4295/1792.8</f>
        <v>1.67336010709505</v>
      </c>
      <c r="L4295" s="891" t="n">
        <v>10</v>
      </c>
      <c r="M4295" s="1273" t="n">
        <f aca="false">K4295*L4295/60</f>
        <v>0.278893351182508</v>
      </c>
    </row>
    <row r="4296" customFormat="false" ht="15" hidden="false" customHeight="false" outlineLevel="0" collapsed="false">
      <c r="A4296" s="1527"/>
      <c r="B4296" s="104"/>
      <c r="C4296" s="40" t="s">
        <v>7176</v>
      </c>
      <c r="D4296" s="316" t="n">
        <v>2007</v>
      </c>
      <c r="E4296" s="912" t="n">
        <f aca="false">2021-D4296</f>
        <v>14</v>
      </c>
      <c r="F4296" s="891" t="n">
        <v>25000</v>
      </c>
      <c r="G4296" s="1364" t="n">
        <v>0.1</v>
      </c>
      <c r="H4296" s="891" t="n">
        <f aca="false">E4296*F4296*G4296</f>
        <v>35000</v>
      </c>
      <c r="I4296" s="891" t="n">
        <f aca="false">F4296-H4296</f>
        <v>-10000</v>
      </c>
      <c r="J4296" s="1365" t="n">
        <f aca="false">F4296*G4296</f>
        <v>2500</v>
      </c>
      <c r="K4296" s="1365" t="n">
        <f aca="false">J4296/1792.8</f>
        <v>1.39446675591254</v>
      </c>
      <c r="L4296" s="891" t="n">
        <v>10</v>
      </c>
      <c r="M4296" s="1273" t="n">
        <f aca="false">K4296*L4296/60</f>
        <v>0.232411125985423</v>
      </c>
    </row>
    <row r="4297" customFormat="false" ht="15" hidden="false" customHeight="false" outlineLevel="0" collapsed="false">
      <c r="A4297" s="1527"/>
      <c r="B4297" s="104"/>
      <c r="C4297" s="40" t="s">
        <v>7193</v>
      </c>
      <c r="D4297" s="316" t="n">
        <v>2007</v>
      </c>
      <c r="E4297" s="912" t="n">
        <f aca="false">2021-D4297</f>
        <v>14</v>
      </c>
      <c r="F4297" s="891" t="n">
        <v>18000</v>
      </c>
      <c r="G4297" s="1364" t="n">
        <v>0.1</v>
      </c>
      <c r="H4297" s="891" t="n">
        <f aca="false">E4297*F4297*G4297</f>
        <v>25200</v>
      </c>
      <c r="I4297" s="891" t="n">
        <f aca="false">F4297-H4297</f>
        <v>-7200</v>
      </c>
      <c r="J4297" s="1365" t="n">
        <f aca="false">F4297*G4297</f>
        <v>1800</v>
      </c>
      <c r="K4297" s="1365" t="n">
        <f aca="false">J4297/1792.8</f>
        <v>1.00401606425703</v>
      </c>
      <c r="L4297" s="891" t="n">
        <v>10</v>
      </c>
      <c r="M4297" s="1273" t="n">
        <f aca="false">K4297*L4297/60</f>
        <v>0.167336010709505</v>
      </c>
    </row>
    <row r="4298" customFormat="false" ht="15" hidden="false" customHeight="false" outlineLevel="0" collapsed="false">
      <c r="A4298" s="1527"/>
      <c r="B4298" s="972" t="s">
        <v>4128</v>
      </c>
      <c r="C4298" s="1519"/>
      <c r="D4298" s="1520"/>
      <c r="E4298" s="912"/>
      <c r="F4298" s="1521"/>
      <c r="G4298" s="1522"/>
      <c r="H4298" s="891"/>
      <c r="I4298" s="891"/>
      <c r="J4298" s="1365"/>
      <c r="K4298" s="1365" t="n">
        <f aca="false">J4298/1792.8</f>
        <v>0</v>
      </c>
      <c r="L4298" s="1523"/>
      <c r="M4298" s="1528" t="n">
        <f aca="false">SUM(M4289:M4297)</f>
        <v>23.6732578461996</v>
      </c>
    </row>
    <row r="4299" customFormat="false" ht="45" hidden="false" customHeight="false" outlineLevel="0" collapsed="false">
      <c r="A4299" s="216" t="s">
        <v>2043</v>
      </c>
      <c r="B4299" s="372" t="s">
        <v>3756</v>
      </c>
      <c r="C4299" s="1519" t="s">
        <v>7199</v>
      </c>
      <c r="D4299" s="1529" t="n">
        <v>2013</v>
      </c>
      <c r="E4299" s="912" t="n">
        <f aca="false">2021-D4299</f>
        <v>8</v>
      </c>
      <c r="F4299" s="1523" t="n">
        <v>500000</v>
      </c>
      <c r="G4299" s="1530" t="n">
        <v>0.1</v>
      </c>
      <c r="H4299" s="891" t="n">
        <f aca="false">E4299*F4299*G4299</f>
        <v>400000</v>
      </c>
      <c r="I4299" s="891" t="n">
        <f aca="false">F4299-H4299</f>
        <v>100000</v>
      </c>
      <c r="J4299" s="1365" t="n">
        <f aca="false">F4299*G4299</f>
        <v>50000</v>
      </c>
      <c r="K4299" s="1365" t="n">
        <f aca="false">J4299/1792.8</f>
        <v>27.8893351182508</v>
      </c>
      <c r="L4299" s="1523" t="n">
        <v>3.2</v>
      </c>
      <c r="M4299" s="1273" t="n">
        <f aca="false">K4299*L4299/60</f>
        <v>1.48743120630671</v>
      </c>
    </row>
    <row r="4300" customFormat="false" ht="15" hidden="false" customHeight="false" outlineLevel="0" collapsed="false">
      <c r="A4300" s="1352"/>
      <c r="B4300" s="372"/>
      <c r="C4300" s="1519" t="s">
        <v>7198</v>
      </c>
      <c r="D4300" s="1529" t="n">
        <v>2013</v>
      </c>
      <c r="E4300" s="912" t="n">
        <f aca="false">2021-D4300</f>
        <v>8</v>
      </c>
      <c r="F4300" s="1523" t="n">
        <v>120000</v>
      </c>
      <c r="G4300" s="1530" t="n">
        <v>0.1</v>
      </c>
      <c r="H4300" s="891" t="n">
        <f aca="false">E4300*F4300*G4300</f>
        <v>96000</v>
      </c>
      <c r="I4300" s="891" t="n">
        <f aca="false">F4300-H4300</f>
        <v>24000</v>
      </c>
      <c r="J4300" s="1365" t="n">
        <f aca="false">F4300*G4300</f>
        <v>12000</v>
      </c>
      <c r="K4300" s="1365" t="n">
        <f aca="false">J4300/1792.8</f>
        <v>6.69344042838019</v>
      </c>
      <c r="L4300" s="1523" t="n">
        <v>3.2</v>
      </c>
      <c r="M4300" s="1273" t="n">
        <f aca="false">K4300*L4300/60</f>
        <v>0.35698348951361</v>
      </c>
    </row>
    <row r="4301" customFormat="false" ht="15" hidden="false" customHeight="false" outlineLevel="0" collapsed="false">
      <c r="A4301" s="1352"/>
      <c r="B4301" s="372"/>
      <c r="C4301" s="40" t="s">
        <v>7155</v>
      </c>
      <c r="D4301" s="316" t="n">
        <v>2007</v>
      </c>
      <c r="E4301" s="912" t="n">
        <f aca="false">2021-D4301</f>
        <v>14</v>
      </c>
      <c r="F4301" s="891" t="n">
        <v>810000</v>
      </c>
      <c r="G4301" s="1364" t="n">
        <v>0.1</v>
      </c>
      <c r="H4301" s="891" t="n">
        <f aca="false">E4301*F4301*G4301</f>
        <v>1134000</v>
      </c>
      <c r="I4301" s="891" t="n">
        <f aca="false">F4301-H4301</f>
        <v>-324000</v>
      </c>
      <c r="J4301" s="1365" t="n">
        <f aca="false">F4301*G4301</f>
        <v>81000</v>
      </c>
      <c r="K4301" s="1365" t="n">
        <f aca="false">J4301/1792.8</f>
        <v>45.1807228915663</v>
      </c>
      <c r="L4301" s="891" t="n">
        <v>4.8</v>
      </c>
      <c r="M4301" s="1273" t="n">
        <f aca="false">K4301*L4301/60</f>
        <v>3.6144578313253</v>
      </c>
    </row>
    <row r="4302" customFormat="false" ht="15" hidden="false" customHeight="false" outlineLevel="0" collapsed="false">
      <c r="A4302" s="1352"/>
      <c r="B4302" s="372"/>
      <c r="C4302" s="40" t="s">
        <v>7156</v>
      </c>
      <c r="D4302" s="316" t="n">
        <v>2015</v>
      </c>
      <c r="E4302" s="912" t="n">
        <f aca="false">2021-D4302</f>
        <v>6</v>
      </c>
      <c r="F4302" s="891" t="n">
        <v>694025</v>
      </c>
      <c r="G4302" s="1364" t="n">
        <v>0.1</v>
      </c>
      <c r="H4302" s="891" t="n">
        <f aca="false">E4302*F4302*G4302</f>
        <v>416415</v>
      </c>
      <c r="I4302" s="891" t="n">
        <f aca="false">F4302-H4302</f>
        <v>277610</v>
      </c>
      <c r="J4302" s="1365" t="n">
        <f aca="false">F4302*G4302</f>
        <v>69402.5</v>
      </c>
      <c r="K4302" s="1365" t="n">
        <f aca="false">J4302/1792.8</f>
        <v>38.711791610888</v>
      </c>
      <c r="L4302" s="891" t="n">
        <v>18</v>
      </c>
      <c r="M4302" s="1273" t="n">
        <f aca="false">K4302*L4302/60</f>
        <v>11.6135374832664</v>
      </c>
    </row>
    <row r="4303" customFormat="false" ht="15" hidden="false" customHeight="false" outlineLevel="0" collapsed="false">
      <c r="A4303" s="1352"/>
      <c r="B4303" s="372"/>
      <c r="C4303" s="40" t="s">
        <v>7157</v>
      </c>
      <c r="D4303" s="316" t="n">
        <v>2006</v>
      </c>
      <c r="E4303" s="912" t="n">
        <f aca="false">2021-D4303</f>
        <v>15</v>
      </c>
      <c r="F4303" s="891" t="n">
        <v>77000</v>
      </c>
      <c r="G4303" s="1364" t="n">
        <v>0.05</v>
      </c>
      <c r="H4303" s="891" t="n">
        <f aca="false">E4303*F4303*G4303</f>
        <v>57750</v>
      </c>
      <c r="I4303" s="891" t="n">
        <f aca="false">F4303-H4303</f>
        <v>19250</v>
      </c>
      <c r="J4303" s="1365" t="n">
        <f aca="false">F4303*G4303</f>
        <v>3850</v>
      </c>
      <c r="K4303" s="1365" t="n">
        <f aca="false">J4303/1792.8</f>
        <v>2.14747880410531</v>
      </c>
      <c r="L4303" s="891" t="n">
        <v>9.6</v>
      </c>
      <c r="M4303" s="1273" t="n">
        <f aca="false">K4303*L4303/60</f>
        <v>0.34359660865685</v>
      </c>
    </row>
    <row r="4304" customFormat="false" ht="15" hidden="false" customHeight="false" outlineLevel="0" collapsed="false">
      <c r="A4304" s="1352"/>
      <c r="B4304" s="372"/>
      <c r="C4304" s="40" t="s">
        <v>7159</v>
      </c>
      <c r="D4304" s="316" t="n">
        <v>2007</v>
      </c>
      <c r="E4304" s="912" t="n">
        <f aca="false">2021-D4304</f>
        <v>14</v>
      </c>
      <c r="F4304" s="891" t="n">
        <v>68000</v>
      </c>
      <c r="G4304" s="1364" t="n">
        <v>0.1</v>
      </c>
      <c r="H4304" s="891" t="n">
        <f aca="false">E4304*F4304*G4304</f>
        <v>95200</v>
      </c>
      <c r="I4304" s="891" t="n">
        <f aca="false">F4304-H4304</f>
        <v>-27200</v>
      </c>
      <c r="J4304" s="1365" t="n">
        <f aca="false">F4304*G4304</f>
        <v>6800</v>
      </c>
      <c r="K4304" s="1365" t="n">
        <f aca="false">J4304/1792.8</f>
        <v>3.79294957608211</v>
      </c>
      <c r="L4304" s="891" t="n">
        <v>9.6</v>
      </c>
      <c r="M4304" s="1273" t="n">
        <f aca="false">K4304*L4304/60</f>
        <v>0.606871932173137</v>
      </c>
    </row>
    <row r="4305" customFormat="false" ht="15" hidden="false" customHeight="false" outlineLevel="0" collapsed="false">
      <c r="A4305" s="1352"/>
      <c r="B4305" s="372"/>
      <c r="C4305" s="40" t="s">
        <v>7188</v>
      </c>
      <c r="D4305" s="316" t="n">
        <v>2006</v>
      </c>
      <c r="E4305" s="912" t="n">
        <f aca="false">2021-D4305</f>
        <v>15</v>
      </c>
      <c r="F4305" s="891" t="n">
        <v>30000</v>
      </c>
      <c r="G4305" s="1364" t="n">
        <v>0.1</v>
      </c>
      <c r="H4305" s="891" t="n">
        <f aca="false">E4305*F4305*G4305</f>
        <v>45000</v>
      </c>
      <c r="I4305" s="891" t="n">
        <f aca="false">F4305-H4305</f>
        <v>-15000</v>
      </c>
      <c r="J4305" s="1365" t="n">
        <f aca="false">F4305*G4305</f>
        <v>3000</v>
      </c>
      <c r="K4305" s="1365" t="n">
        <f aca="false">J4305/1792.8</f>
        <v>1.67336010709505</v>
      </c>
      <c r="L4305" s="891" t="n">
        <v>10</v>
      </c>
      <c r="M4305" s="1273" t="n">
        <f aca="false">K4305*L4305/60</f>
        <v>0.278893351182508</v>
      </c>
    </row>
    <row r="4306" customFormat="false" ht="15" hidden="false" customHeight="false" outlineLevel="0" collapsed="false">
      <c r="A4306" s="1352"/>
      <c r="B4306" s="372"/>
      <c r="C4306" s="40" t="s">
        <v>7176</v>
      </c>
      <c r="D4306" s="316" t="n">
        <v>2007</v>
      </c>
      <c r="E4306" s="912" t="n">
        <f aca="false">2021-D4306</f>
        <v>14</v>
      </c>
      <c r="F4306" s="891" t="n">
        <v>25000</v>
      </c>
      <c r="G4306" s="1364" t="n">
        <v>0.1</v>
      </c>
      <c r="H4306" s="891" t="n">
        <f aca="false">E4306*F4306*G4306</f>
        <v>35000</v>
      </c>
      <c r="I4306" s="891" t="n">
        <f aca="false">F4306-H4306</f>
        <v>-10000</v>
      </c>
      <c r="J4306" s="1365" t="n">
        <f aca="false">F4306*G4306</f>
        <v>2500</v>
      </c>
      <c r="K4306" s="1365" t="n">
        <f aca="false">J4306/1792.8</f>
        <v>1.39446675591254</v>
      </c>
      <c r="L4306" s="891" t="n">
        <v>10</v>
      </c>
      <c r="M4306" s="1273" t="n">
        <f aca="false">K4306*L4306/60</f>
        <v>0.232411125985423</v>
      </c>
    </row>
    <row r="4307" customFormat="false" ht="15" hidden="false" customHeight="false" outlineLevel="0" collapsed="false">
      <c r="A4307" s="1352"/>
      <c r="B4307" s="972" t="s">
        <v>4128</v>
      </c>
      <c r="C4307" s="40"/>
      <c r="D4307" s="316"/>
      <c r="E4307" s="912"/>
      <c r="F4307" s="891"/>
      <c r="G4307" s="1364"/>
      <c r="H4307" s="891"/>
      <c r="I4307" s="891"/>
      <c r="J4307" s="1365"/>
      <c r="K4307" s="1365" t="n">
        <f aca="false">J4307/1792.8</f>
        <v>0</v>
      </c>
      <c r="L4307" s="891"/>
      <c r="M4307" s="1366" t="n">
        <f aca="false">SUM(M4299:M4306)</f>
        <v>18.5341830284099</v>
      </c>
    </row>
    <row r="4308" customFormat="false" ht="60" hidden="false" customHeight="false" outlineLevel="0" collapsed="false">
      <c r="A4308" s="216" t="s">
        <v>2045</v>
      </c>
      <c r="B4308" s="373" t="s">
        <v>3757</v>
      </c>
      <c r="C4308" s="1519" t="s">
        <v>7181</v>
      </c>
      <c r="D4308" s="1529" t="n">
        <v>2020</v>
      </c>
      <c r="E4308" s="912" t="n">
        <f aca="false">2021-D4308</f>
        <v>1</v>
      </c>
      <c r="F4308" s="1523" t="n">
        <v>16217249.17</v>
      </c>
      <c r="G4308" s="1530" t="n">
        <v>0.1</v>
      </c>
      <c r="H4308" s="891" t="n">
        <f aca="false">E4308*F4308*G4308</f>
        <v>1621724.917</v>
      </c>
      <c r="I4308" s="891" t="n">
        <f aca="false">F4308-H4308</f>
        <v>14595524.253</v>
      </c>
      <c r="J4308" s="1365" t="n">
        <f aca="false">F4308*G4308</f>
        <v>1621724.917</v>
      </c>
      <c r="K4308" s="1365" t="n">
        <f aca="false">J4308/1792.8</f>
        <v>904.576593596609</v>
      </c>
      <c r="L4308" s="1523" t="n">
        <v>3.2</v>
      </c>
      <c r="M4308" s="1273" t="n">
        <f aca="false">K4308*L4308/60</f>
        <v>48.2440849918191</v>
      </c>
    </row>
    <row r="4309" customFormat="false" ht="15" hidden="false" customHeight="false" outlineLevel="0" collapsed="false">
      <c r="A4309" s="1352"/>
      <c r="B4309" s="373"/>
      <c r="C4309" s="40" t="s">
        <v>7174</v>
      </c>
      <c r="D4309" s="316" t="n">
        <v>2007</v>
      </c>
      <c r="E4309" s="912" t="n">
        <f aca="false">2021-D4309</f>
        <v>14</v>
      </c>
      <c r="F4309" s="891" t="n">
        <v>1068000</v>
      </c>
      <c r="G4309" s="1364" t="n">
        <v>0.1</v>
      </c>
      <c r="H4309" s="891" t="n">
        <f aca="false">E4309*F4309*G4309</f>
        <v>1495200</v>
      </c>
      <c r="I4309" s="891" t="n">
        <f aca="false">F4309-H4309</f>
        <v>-427200</v>
      </c>
      <c r="J4309" s="1365" t="n">
        <f aca="false">F4309*G4309</f>
        <v>106800</v>
      </c>
      <c r="K4309" s="1365" t="n">
        <f aca="false">J4309/1792.8</f>
        <v>59.5716198125837</v>
      </c>
      <c r="L4309" s="891" t="n">
        <v>60</v>
      </c>
      <c r="M4309" s="1273" t="n">
        <f aca="false">K4309*L4309/60</f>
        <v>59.5716198125837</v>
      </c>
    </row>
    <row r="4310" customFormat="false" ht="15" hidden="false" customHeight="false" outlineLevel="0" collapsed="false">
      <c r="A4310" s="1352"/>
      <c r="B4310" s="373"/>
      <c r="C4310" s="40" t="s">
        <v>7175</v>
      </c>
      <c r="D4310" s="316" t="n">
        <v>2007</v>
      </c>
      <c r="E4310" s="912" t="n">
        <f aca="false">2021-D4310</f>
        <v>14</v>
      </c>
      <c r="F4310" s="891" t="n">
        <v>250000</v>
      </c>
      <c r="G4310" s="1364" t="n">
        <v>0.1</v>
      </c>
      <c r="H4310" s="891" t="n">
        <f aca="false">E4310*F4310*G4310</f>
        <v>350000</v>
      </c>
      <c r="I4310" s="891" t="n">
        <f aca="false">F4310-H4310</f>
        <v>-100000</v>
      </c>
      <c r="J4310" s="1365" t="n">
        <f aca="false">F4310*G4310</f>
        <v>25000</v>
      </c>
      <c r="K4310" s="1365" t="n">
        <f aca="false">J4310/1792.8</f>
        <v>13.9446675591254</v>
      </c>
      <c r="L4310" s="891" t="n">
        <v>10</v>
      </c>
      <c r="M4310" s="1273" t="n">
        <f aca="false">K4310*L4310/60</f>
        <v>2.32411125985423</v>
      </c>
    </row>
    <row r="4311" customFormat="false" ht="15" hidden="false" customHeight="false" outlineLevel="0" collapsed="false">
      <c r="A4311" s="1352"/>
      <c r="B4311" s="373"/>
      <c r="C4311" s="40" t="s">
        <v>7176</v>
      </c>
      <c r="D4311" s="316" t="n">
        <v>2007</v>
      </c>
      <c r="E4311" s="912" t="n">
        <f aca="false">2021-D4311</f>
        <v>14</v>
      </c>
      <c r="F4311" s="891" t="n">
        <v>25000</v>
      </c>
      <c r="G4311" s="1364" t="n">
        <v>0.1</v>
      </c>
      <c r="H4311" s="891" t="n">
        <f aca="false">E4311*F4311*G4311</f>
        <v>35000</v>
      </c>
      <c r="I4311" s="891" t="n">
        <f aca="false">F4311-H4311</f>
        <v>-10000</v>
      </c>
      <c r="J4311" s="1365" t="n">
        <f aca="false">F4311*G4311</f>
        <v>2500</v>
      </c>
      <c r="K4311" s="1365" t="n">
        <f aca="false">J4311/1792.8</f>
        <v>1.39446675591254</v>
      </c>
      <c r="L4311" s="891" t="n">
        <v>10</v>
      </c>
      <c r="M4311" s="1273" t="n">
        <f aca="false">K4311*L4311/60</f>
        <v>0.232411125985423</v>
      </c>
    </row>
    <row r="4312" customFormat="false" ht="15" hidden="false" customHeight="false" outlineLevel="0" collapsed="false">
      <c r="A4312" s="1352"/>
      <c r="B4312" s="373"/>
      <c r="C4312" s="40" t="s">
        <v>7177</v>
      </c>
      <c r="D4312" s="316" t="n">
        <v>2007</v>
      </c>
      <c r="E4312" s="912" t="n">
        <f aca="false">2021-D4312</f>
        <v>14</v>
      </c>
      <c r="F4312" s="891" t="n">
        <v>92000</v>
      </c>
      <c r="G4312" s="1364" t="n">
        <v>0.1</v>
      </c>
      <c r="H4312" s="891" t="n">
        <f aca="false">E4312*F4312*G4312</f>
        <v>128800</v>
      </c>
      <c r="I4312" s="891" t="n">
        <f aca="false">F4312-H4312</f>
        <v>-36800</v>
      </c>
      <c r="J4312" s="1365" t="n">
        <f aca="false">F4312*G4312</f>
        <v>9200</v>
      </c>
      <c r="K4312" s="1365" t="n">
        <f aca="false">J4312/1792.8</f>
        <v>5.13163766175814</v>
      </c>
      <c r="L4312" s="891" t="n">
        <v>60</v>
      </c>
      <c r="M4312" s="1273" t="n">
        <f aca="false">K4312*L4312/60</f>
        <v>5.13163766175814</v>
      </c>
    </row>
    <row r="4313" customFormat="false" ht="15" hidden="false" customHeight="false" outlineLevel="0" collapsed="false">
      <c r="A4313" s="1352"/>
      <c r="B4313" s="373"/>
      <c r="C4313" s="40" t="s">
        <v>7178</v>
      </c>
      <c r="D4313" s="316" t="n">
        <v>2007</v>
      </c>
      <c r="E4313" s="912" t="n">
        <f aca="false">2021-D4313</f>
        <v>14</v>
      </c>
      <c r="F4313" s="891" t="n">
        <v>3000000</v>
      </c>
      <c r="G4313" s="1364" t="n">
        <v>0.1</v>
      </c>
      <c r="H4313" s="891" t="n">
        <f aca="false">E4313*F4313*G4313</f>
        <v>4200000</v>
      </c>
      <c r="I4313" s="891" t="n">
        <f aca="false">F4313-H4313</f>
        <v>-1200000</v>
      </c>
      <c r="J4313" s="1365" t="n">
        <f aca="false">F4313*G4313</f>
        <v>300000</v>
      </c>
      <c r="K4313" s="1365" t="n">
        <f aca="false">J4313/1792.8</f>
        <v>167.336010709505</v>
      </c>
      <c r="L4313" s="891" t="n">
        <v>240</v>
      </c>
      <c r="M4313" s="1273" t="n">
        <f aca="false">K4313*L4313/60</f>
        <v>669.344042838019</v>
      </c>
    </row>
    <row r="4314" customFormat="false" ht="15" hidden="false" customHeight="false" outlineLevel="0" collapsed="false">
      <c r="A4314" s="1352"/>
      <c r="B4314" s="373"/>
      <c r="C4314" s="40" t="s">
        <v>7159</v>
      </c>
      <c r="D4314" s="316" t="n">
        <v>2007</v>
      </c>
      <c r="E4314" s="912" t="n">
        <f aca="false">2021-D4314</f>
        <v>14</v>
      </c>
      <c r="F4314" s="891" t="n">
        <v>68000</v>
      </c>
      <c r="G4314" s="1364" t="n">
        <v>0.1</v>
      </c>
      <c r="H4314" s="891" t="n">
        <f aca="false">E4314*F4314*G4314</f>
        <v>95200</v>
      </c>
      <c r="I4314" s="891" t="n">
        <f aca="false">F4314-H4314</f>
        <v>-27200</v>
      </c>
      <c r="J4314" s="1365" t="n">
        <f aca="false">F4314*G4314</f>
        <v>6800</v>
      </c>
      <c r="K4314" s="1365" t="n">
        <f aca="false">J4314/1792.8</f>
        <v>3.79294957608211</v>
      </c>
      <c r="L4314" s="891" t="n">
        <v>10</v>
      </c>
      <c r="M4314" s="1273" t="n">
        <f aca="false">K4314*L4314/60</f>
        <v>0.632158262680351</v>
      </c>
    </row>
    <row r="4315" customFormat="false" ht="15" hidden="false" customHeight="false" outlineLevel="0" collapsed="false">
      <c r="A4315" s="1352"/>
      <c r="B4315" s="373"/>
      <c r="C4315" s="40" t="s">
        <v>7179</v>
      </c>
      <c r="D4315" s="316" t="n">
        <v>2007</v>
      </c>
      <c r="E4315" s="912" t="n">
        <f aca="false">2021-D4315</f>
        <v>14</v>
      </c>
      <c r="F4315" s="891" t="n">
        <v>18000</v>
      </c>
      <c r="G4315" s="1364" t="n">
        <v>0.1</v>
      </c>
      <c r="H4315" s="891" t="n">
        <f aca="false">E4315*F4315*G4315</f>
        <v>25200</v>
      </c>
      <c r="I4315" s="891" t="n">
        <f aca="false">F4315-H4315</f>
        <v>-7200</v>
      </c>
      <c r="J4315" s="1365" t="n">
        <f aca="false">F4315*G4315</f>
        <v>1800</v>
      </c>
      <c r="K4315" s="1365" t="n">
        <f aca="false">J4315/1792.8</f>
        <v>1.00401606425703</v>
      </c>
      <c r="L4315" s="891" t="n">
        <v>60</v>
      </c>
      <c r="M4315" s="1273" t="n">
        <f aca="false">K4315*L4315/60</f>
        <v>1.00401606425703</v>
      </c>
    </row>
    <row r="4316" customFormat="false" ht="15" hidden="false" customHeight="false" outlineLevel="0" collapsed="false">
      <c r="A4316" s="1352"/>
      <c r="B4316" s="373"/>
      <c r="C4316" s="40" t="s">
        <v>7180</v>
      </c>
      <c r="D4316" s="316" t="n">
        <v>2007</v>
      </c>
      <c r="E4316" s="912" t="n">
        <f aca="false">2021-D4316</f>
        <v>14</v>
      </c>
      <c r="F4316" s="891" t="n">
        <v>60000</v>
      </c>
      <c r="G4316" s="1364" t="n">
        <v>0.1</v>
      </c>
      <c r="H4316" s="891" t="n">
        <f aca="false">E4316*F4316*G4316</f>
        <v>84000</v>
      </c>
      <c r="I4316" s="891" t="n">
        <f aca="false">F4316-H4316</f>
        <v>-24000</v>
      </c>
      <c r="J4316" s="1365" t="n">
        <f aca="false">F4316*G4316</f>
        <v>6000</v>
      </c>
      <c r="K4316" s="1365" t="n">
        <f aca="false">J4316/1792.8</f>
        <v>3.34672021419009</v>
      </c>
      <c r="L4316" s="891" t="n">
        <v>240</v>
      </c>
      <c r="M4316" s="1273" t="n">
        <f aca="false">K4316*L4316/60</f>
        <v>13.3868808567604</v>
      </c>
    </row>
    <row r="4317" customFormat="false" ht="15" hidden="false" customHeight="false" outlineLevel="0" collapsed="false">
      <c r="A4317" s="1352"/>
      <c r="B4317" s="373"/>
      <c r="C4317" s="40" t="s">
        <v>7163</v>
      </c>
      <c r="D4317" s="316" t="n">
        <v>1994</v>
      </c>
      <c r="E4317" s="912" t="n">
        <f aca="false">2021-D4317</f>
        <v>27</v>
      </c>
      <c r="F4317" s="891"/>
      <c r="G4317" s="891"/>
      <c r="H4317" s="891" t="n">
        <f aca="false">E4317*F4317*G4317</f>
        <v>0</v>
      </c>
      <c r="I4317" s="891" t="n">
        <f aca="false">F4317-H4317</f>
        <v>0</v>
      </c>
      <c r="J4317" s="1365" t="n">
        <f aca="false">F4317*G4317</f>
        <v>0</v>
      </c>
      <c r="K4317" s="1365" t="n">
        <f aca="false">J4317/1792.8</f>
        <v>0</v>
      </c>
      <c r="L4317" s="891" t="n">
        <v>30</v>
      </c>
      <c r="M4317" s="1273" t="n">
        <f aca="false">K4317*L4317/60</f>
        <v>0</v>
      </c>
    </row>
    <row r="4318" customFormat="false" ht="15" hidden="false" customHeight="false" outlineLevel="0" collapsed="false">
      <c r="A4318" s="1352"/>
      <c r="B4318" s="1531" t="s">
        <v>4128</v>
      </c>
      <c r="C4318" s="40"/>
      <c r="D4318" s="316"/>
      <c r="E4318" s="912"/>
      <c r="F4318" s="891"/>
      <c r="G4318" s="891"/>
      <c r="H4318" s="891"/>
      <c r="I4318" s="891"/>
      <c r="J4318" s="1365"/>
      <c r="K4318" s="1365" t="n">
        <f aca="false">J4318/1792.8</f>
        <v>0</v>
      </c>
      <c r="L4318" s="891"/>
      <c r="M4318" s="1366" t="n">
        <f aca="false">SUM(M4308:M4317)</f>
        <v>799.870962873717</v>
      </c>
    </row>
    <row r="4319" customFormat="false" ht="45" hidden="false" customHeight="false" outlineLevel="0" collapsed="false">
      <c r="A4319" s="216" t="s">
        <v>2047</v>
      </c>
      <c r="B4319" s="373" t="s">
        <v>3758</v>
      </c>
      <c r="C4319" s="1532" t="s">
        <v>7199</v>
      </c>
      <c r="D4319" s="1533" t="n">
        <v>2013</v>
      </c>
      <c r="E4319" s="912" t="n">
        <f aca="false">2021-D4319</f>
        <v>8</v>
      </c>
      <c r="F4319" s="1533" t="n">
        <v>500000</v>
      </c>
      <c r="G4319" s="1533" t="n">
        <v>0.1</v>
      </c>
      <c r="H4319" s="891" t="n">
        <f aca="false">E4319*F4319*G4319</f>
        <v>400000</v>
      </c>
      <c r="I4319" s="891" t="n">
        <f aca="false">F4319-H4319</f>
        <v>100000</v>
      </c>
      <c r="J4319" s="1365" t="n">
        <f aca="false">F4319*G4319</f>
        <v>50000</v>
      </c>
      <c r="K4319" s="1365" t="n">
        <f aca="false">J4319/1792.8</f>
        <v>27.8893351182508</v>
      </c>
      <c r="L4319" s="1533" t="n">
        <v>3.2</v>
      </c>
      <c r="M4319" s="1273" t="n">
        <f aca="false">K4319*L4319/60</f>
        <v>1.48743120630671</v>
      </c>
    </row>
    <row r="4320" customFormat="false" ht="15" hidden="false" customHeight="false" outlineLevel="0" collapsed="false">
      <c r="A4320" s="1352"/>
      <c r="B4320" s="373"/>
      <c r="C4320" s="1532" t="s">
        <v>7198</v>
      </c>
      <c r="D4320" s="1533" t="n">
        <v>2013</v>
      </c>
      <c r="E4320" s="912" t="n">
        <f aca="false">2021-D4320</f>
        <v>8</v>
      </c>
      <c r="F4320" s="1533" t="n">
        <v>120000</v>
      </c>
      <c r="G4320" s="1533" t="n">
        <v>0.1</v>
      </c>
      <c r="H4320" s="891" t="n">
        <f aca="false">E4320*F4320*G4320</f>
        <v>96000</v>
      </c>
      <c r="I4320" s="891" t="n">
        <f aca="false">F4320-H4320</f>
        <v>24000</v>
      </c>
      <c r="J4320" s="1365" t="n">
        <f aca="false">F4320*G4320</f>
        <v>12000</v>
      </c>
      <c r="K4320" s="1365" t="n">
        <f aca="false">J4320/1792.8</f>
        <v>6.69344042838019</v>
      </c>
      <c r="L4320" s="1533" t="n">
        <v>3.2</v>
      </c>
      <c r="M4320" s="1273" t="n">
        <f aca="false">K4320*L4320/60</f>
        <v>0.35698348951361</v>
      </c>
    </row>
    <row r="4321" customFormat="false" ht="15" hidden="false" customHeight="false" outlineLevel="0" collapsed="false">
      <c r="A4321" s="1352"/>
      <c r="B4321" s="373"/>
      <c r="C4321" s="40" t="s">
        <v>7155</v>
      </c>
      <c r="D4321" s="316" t="n">
        <v>2007</v>
      </c>
      <c r="E4321" s="912" t="n">
        <f aca="false">2021-D4321</f>
        <v>14</v>
      </c>
      <c r="F4321" s="891" t="n">
        <v>810000</v>
      </c>
      <c r="G4321" s="1364" t="n">
        <v>0.1</v>
      </c>
      <c r="H4321" s="891" t="n">
        <f aca="false">E4321*F4321*G4321</f>
        <v>1134000</v>
      </c>
      <c r="I4321" s="891" t="n">
        <f aca="false">F4321-H4321</f>
        <v>-324000</v>
      </c>
      <c r="J4321" s="1365" t="n">
        <f aca="false">F4321*G4321</f>
        <v>81000</v>
      </c>
      <c r="K4321" s="1365" t="n">
        <f aca="false">J4321/1792.8</f>
        <v>45.1807228915663</v>
      </c>
      <c r="L4321" s="891" t="n">
        <v>4.8</v>
      </c>
      <c r="M4321" s="1273" t="n">
        <f aca="false">K4321*L4321/60</f>
        <v>3.6144578313253</v>
      </c>
    </row>
    <row r="4322" customFormat="false" ht="15" hidden="false" customHeight="false" outlineLevel="0" collapsed="false">
      <c r="A4322" s="1352"/>
      <c r="B4322" s="373"/>
      <c r="C4322" s="40" t="s">
        <v>7156</v>
      </c>
      <c r="D4322" s="316" t="n">
        <v>2015</v>
      </c>
      <c r="E4322" s="912" t="n">
        <f aca="false">2021-D4322</f>
        <v>6</v>
      </c>
      <c r="F4322" s="891" t="n">
        <v>694025</v>
      </c>
      <c r="G4322" s="1364" t="n">
        <v>0.1</v>
      </c>
      <c r="H4322" s="891" t="n">
        <f aca="false">E4322*F4322*G4322</f>
        <v>416415</v>
      </c>
      <c r="I4322" s="891" t="n">
        <f aca="false">F4322-H4322</f>
        <v>277610</v>
      </c>
      <c r="J4322" s="1365" t="n">
        <f aca="false">F4322*G4322</f>
        <v>69402.5</v>
      </c>
      <c r="K4322" s="1365" t="n">
        <f aca="false">J4322/1792.8</f>
        <v>38.711791610888</v>
      </c>
      <c r="L4322" s="891" t="n">
        <v>18</v>
      </c>
      <c r="M4322" s="1273" t="n">
        <f aca="false">K4322*L4322/60</f>
        <v>11.6135374832664</v>
      </c>
    </row>
    <row r="4323" customFormat="false" ht="15" hidden="false" customHeight="false" outlineLevel="0" collapsed="false">
      <c r="A4323" s="1352"/>
      <c r="B4323" s="373"/>
      <c r="C4323" s="40" t="s">
        <v>7157</v>
      </c>
      <c r="D4323" s="316" t="n">
        <v>2006</v>
      </c>
      <c r="E4323" s="912" t="n">
        <f aca="false">2021-D4323</f>
        <v>15</v>
      </c>
      <c r="F4323" s="891" t="n">
        <v>77000</v>
      </c>
      <c r="G4323" s="1364" t="n">
        <v>0.05</v>
      </c>
      <c r="H4323" s="891" t="n">
        <f aca="false">E4323*F4323*G4323</f>
        <v>57750</v>
      </c>
      <c r="I4323" s="891" t="n">
        <f aca="false">F4323-H4323</f>
        <v>19250</v>
      </c>
      <c r="J4323" s="1365" t="n">
        <f aca="false">F4323*G4323</f>
        <v>3850</v>
      </c>
      <c r="K4323" s="1365" t="n">
        <f aca="false">J4323/1792.8</f>
        <v>2.14747880410531</v>
      </c>
      <c r="L4323" s="891" t="n">
        <v>9.6</v>
      </c>
      <c r="M4323" s="1273" t="n">
        <f aca="false">K4323*L4323/60</f>
        <v>0.34359660865685</v>
      </c>
    </row>
    <row r="4324" customFormat="false" ht="15" hidden="false" customHeight="false" outlineLevel="0" collapsed="false">
      <c r="A4324" s="1352"/>
      <c r="B4324" s="373"/>
      <c r="C4324" s="40" t="s">
        <v>7159</v>
      </c>
      <c r="D4324" s="316" t="n">
        <v>2007</v>
      </c>
      <c r="E4324" s="912" t="n">
        <f aca="false">2021-D4324</f>
        <v>14</v>
      </c>
      <c r="F4324" s="891" t="n">
        <v>68000</v>
      </c>
      <c r="G4324" s="1364" t="n">
        <v>0.1</v>
      </c>
      <c r="H4324" s="891" t="n">
        <f aca="false">E4324*F4324*G4324</f>
        <v>95200</v>
      </c>
      <c r="I4324" s="891" t="n">
        <f aca="false">F4324-H4324</f>
        <v>-27200</v>
      </c>
      <c r="J4324" s="1365" t="n">
        <f aca="false">F4324*G4324</f>
        <v>6800</v>
      </c>
      <c r="K4324" s="1365" t="n">
        <f aca="false">J4324/1792.8</f>
        <v>3.79294957608211</v>
      </c>
      <c r="L4324" s="891" t="n">
        <v>9.6</v>
      </c>
      <c r="M4324" s="1273" t="n">
        <f aca="false">K4324*L4324/60</f>
        <v>0.606871932173137</v>
      </c>
    </row>
    <row r="4325" customFormat="false" ht="15" hidden="false" customHeight="false" outlineLevel="0" collapsed="false">
      <c r="A4325" s="1352"/>
      <c r="B4325" s="373"/>
      <c r="C4325" s="40" t="s">
        <v>7188</v>
      </c>
      <c r="D4325" s="316" t="n">
        <v>2006</v>
      </c>
      <c r="E4325" s="912" t="n">
        <f aca="false">2021-D4325</f>
        <v>15</v>
      </c>
      <c r="F4325" s="891" t="n">
        <v>30000</v>
      </c>
      <c r="G4325" s="1364" t="n">
        <v>0.1</v>
      </c>
      <c r="H4325" s="891" t="n">
        <f aca="false">E4325*F4325*G4325</f>
        <v>45000</v>
      </c>
      <c r="I4325" s="891" t="n">
        <f aca="false">F4325-H4325</f>
        <v>-15000</v>
      </c>
      <c r="J4325" s="1365" t="n">
        <f aca="false">F4325*G4325</f>
        <v>3000</v>
      </c>
      <c r="K4325" s="1365" t="n">
        <f aca="false">J4325/1792.8</f>
        <v>1.67336010709505</v>
      </c>
      <c r="L4325" s="891" t="n">
        <v>10</v>
      </c>
      <c r="M4325" s="1273" t="n">
        <f aca="false">K4325*L4325/60</f>
        <v>0.278893351182508</v>
      </c>
    </row>
    <row r="4326" customFormat="false" ht="15" hidden="false" customHeight="false" outlineLevel="0" collapsed="false">
      <c r="A4326" s="1352"/>
      <c r="B4326" s="373"/>
      <c r="C4326" s="40" t="s">
        <v>7176</v>
      </c>
      <c r="D4326" s="316" t="n">
        <v>2007</v>
      </c>
      <c r="E4326" s="912" t="n">
        <f aca="false">2021-D4326</f>
        <v>14</v>
      </c>
      <c r="F4326" s="891" t="n">
        <v>25000</v>
      </c>
      <c r="G4326" s="1364" t="n">
        <v>0.1</v>
      </c>
      <c r="H4326" s="891" t="n">
        <f aca="false">E4326*F4326*G4326</f>
        <v>35000</v>
      </c>
      <c r="I4326" s="891" t="n">
        <f aca="false">F4326-H4326</f>
        <v>-10000</v>
      </c>
      <c r="J4326" s="1365" t="n">
        <f aca="false">F4326*G4326</f>
        <v>2500</v>
      </c>
      <c r="K4326" s="1365" t="n">
        <f aca="false">J4326/1792.8</f>
        <v>1.39446675591254</v>
      </c>
      <c r="L4326" s="891" t="n">
        <v>10</v>
      </c>
      <c r="M4326" s="1273" t="n">
        <f aca="false">K4326*L4326/60</f>
        <v>0.232411125985423</v>
      </c>
    </row>
    <row r="4327" customFormat="false" ht="15" hidden="false" customHeight="false" outlineLevel="0" collapsed="false">
      <c r="A4327" s="1352"/>
      <c r="B4327" s="1534" t="s">
        <v>4128</v>
      </c>
      <c r="C4327" s="40"/>
      <c r="D4327" s="1524"/>
      <c r="E4327" s="912"/>
      <c r="F4327" s="1525"/>
      <c r="G4327" s="1526"/>
      <c r="H4327" s="891"/>
      <c r="I4327" s="891"/>
      <c r="J4327" s="1365"/>
      <c r="K4327" s="1365" t="n">
        <f aca="false">J4327/1792.8</f>
        <v>0</v>
      </c>
      <c r="L4327" s="891"/>
      <c r="M4327" s="1366" t="n">
        <f aca="false">SUM(M4319:M4326)</f>
        <v>18.5341830284099</v>
      </c>
    </row>
    <row r="4328" customFormat="false" ht="90" hidden="false" customHeight="false" outlineLevel="0" collapsed="false">
      <c r="A4328" s="216" t="s">
        <v>2049</v>
      </c>
      <c r="B4328" s="1535" t="s">
        <v>3759</v>
      </c>
      <c r="C4328" s="1536" t="s">
        <v>7181</v>
      </c>
      <c r="D4328" s="1537" t="n">
        <v>2020</v>
      </c>
      <c r="E4328" s="912" t="n">
        <f aca="false">2021-D4328</f>
        <v>1</v>
      </c>
      <c r="F4328" s="1538" t="n">
        <v>16217249.17</v>
      </c>
      <c r="G4328" s="1539" t="n">
        <v>0.1</v>
      </c>
      <c r="H4328" s="891" t="n">
        <f aca="false">E4328*F4328*G4328</f>
        <v>1621724.917</v>
      </c>
      <c r="I4328" s="891" t="n">
        <f aca="false">F4328-H4328</f>
        <v>14595524.253</v>
      </c>
      <c r="J4328" s="1365" t="n">
        <f aca="false">F4328*G4328</f>
        <v>1621724.917</v>
      </c>
      <c r="K4328" s="1365" t="n">
        <f aca="false">J4328/1792.8</f>
        <v>904.576593596609</v>
      </c>
      <c r="L4328" s="1540" t="n">
        <v>3.2</v>
      </c>
      <c r="M4328" s="1273" t="n">
        <f aca="false">K4328*L4328/60</f>
        <v>48.2440849918191</v>
      </c>
    </row>
    <row r="4329" customFormat="false" ht="15" hidden="false" customHeight="false" outlineLevel="0" collapsed="false">
      <c r="A4329" s="1352"/>
      <c r="B4329" s="1536"/>
      <c r="C4329" s="40" t="s">
        <v>7174</v>
      </c>
      <c r="D4329" s="316" t="n">
        <v>2007</v>
      </c>
      <c r="E4329" s="912" t="n">
        <f aca="false">2021-D4329</f>
        <v>14</v>
      </c>
      <c r="F4329" s="891" t="n">
        <v>1068000</v>
      </c>
      <c r="G4329" s="1364" t="n">
        <v>0.1</v>
      </c>
      <c r="H4329" s="891" t="n">
        <f aca="false">E4329*F4329*G4329</f>
        <v>1495200</v>
      </c>
      <c r="I4329" s="891" t="n">
        <f aca="false">F4329-H4329</f>
        <v>-427200</v>
      </c>
      <c r="J4329" s="1365" t="n">
        <f aca="false">F4329*G4329</f>
        <v>106800</v>
      </c>
      <c r="K4329" s="1365" t="n">
        <f aca="false">J4329/1792.8</f>
        <v>59.5716198125837</v>
      </c>
      <c r="L4329" s="891" t="n">
        <v>60</v>
      </c>
      <c r="M4329" s="1273" t="n">
        <f aca="false">K4329*L4329/60</f>
        <v>59.5716198125837</v>
      </c>
    </row>
    <row r="4330" customFormat="false" ht="15" hidden="false" customHeight="false" outlineLevel="0" collapsed="false">
      <c r="A4330" s="1352"/>
      <c r="B4330" s="373"/>
      <c r="C4330" s="40" t="s">
        <v>7175</v>
      </c>
      <c r="D4330" s="316" t="n">
        <v>2007</v>
      </c>
      <c r="E4330" s="912" t="n">
        <f aca="false">2021-D4330</f>
        <v>14</v>
      </c>
      <c r="F4330" s="891" t="n">
        <v>250000</v>
      </c>
      <c r="G4330" s="1364" t="n">
        <v>0.1</v>
      </c>
      <c r="H4330" s="891" t="n">
        <f aca="false">E4330*F4330*G4330</f>
        <v>350000</v>
      </c>
      <c r="I4330" s="891" t="n">
        <f aca="false">F4330-H4330</f>
        <v>-100000</v>
      </c>
      <c r="J4330" s="1365" t="n">
        <f aca="false">F4330*G4330</f>
        <v>25000</v>
      </c>
      <c r="K4330" s="1365" t="n">
        <f aca="false">J4330/1792.8</f>
        <v>13.9446675591254</v>
      </c>
      <c r="L4330" s="891" t="n">
        <v>10</v>
      </c>
      <c r="M4330" s="1273" t="n">
        <f aca="false">K4330*L4330/60</f>
        <v>2.32411125985423</v>
      </c>
    </row>
    <row r="4331" customFormat="false" ht="15" hidden="false" customHeight="false" outlineLevel="0" collapsed="false">
      <c r="A4331" s="1352"/>
      <c r="B4331" s="373"/>
      <c r="C4331" s="40" t="s">
        <v>7176</v>
      </c>
      <c r="D4331" s="316" t="n">
        <v>2007</v>
      </c>
      <c r="E4331" s="912" t="n">
        <f aca="false">2021-D4331</f>
        <v>14</v>
      </c>
      <c r="F4331" s="891" t="n">
        <v>25000</v>
      </c>
      <c r="G4331" s="1364" t="n">
        <v>0.1</v>
      </c>
      <c r="H4331" s="891" t="n">
        <f aca="false">E4331*F4331*G4331</f>
        <v>35000</v>
      </c>
      <c r="I4331" s="891" t="n">
        <f aca="false">F4331-H4331</f>
        <v>-10000</v>
      </c>
      <c r="J4331" s="1365" t="n">
        <f aca="false">F4331*G4331</f>
        <v>2500</v>
      </c>
      <c r="K4331" s="1365" t="n">
        <f aca="false">J4331/1792.8</f>
        <v>1.39446675591254</v>
      </c>
      <c r="L4331" s="891" t="n">
        <v>10</v>
      </c>
      <c r="M4331" s="1273" t="n">
        <f aca="false">K4331*L4331/60</f>
        <v>0.232411125985423</v>
      </c>
    </row>
    <row r="4332" customFormat="false" ht="15" hidden="false" customHeight="false" outlineLevel="0" collapsed="false">
      <c r="A4332" s="1352"/>
      <c r="B4332" s="373"/>
      <c r="C4332" s="40" t="s">
        <v>7177</v>
      </c>
      <c r="D4332" s="316" t="n">
        <v>2007</v>
      </c>
      <c r="E4332" s="912" t="n">
        <f aca="false">2021-D4332</f>
        <v>14</v>
      </c>
      <c r="F4332" s="891" t="n">
        <v>92000</v>
      </c>
      <c r="G4332" s="1364" t="n">
        <v>0.1</v>
      </c>
      <c r="H4332" s="891" t="n">
        <f aca="false">E4332*F4332*G4332</f>
        <v>128800</v>
      </c>
      <c r="I4332" s="891" t="n">
        <f aca="false">F4332-H4332</f>
        <v>-36800</v>
      </c>
      <c r="J4332" s="1365" t="n">
        <f aca="false">F4332*G4332</f>
        <v>9200</v>
      </c>
      <c r="K4332" s="1365" t="n">
        <f aca="false">J4332/1792.8</f>
        <v>5.13163766175814</v>
      </c>
      <c r="L4332" s="891" t="n">
        <v>60</v>
      </c>
      <c r="M4332" s="1273" t="n">
        <f aca="false">K4332*L4332/60</f>
        <v>5.13163766175814</v>
      </c>
    </row>
    <row r="4333" customFormat="false" ht="15" hidden="false" customHeight="false" outlineLevel="0" collapsed="false">
      <c r="A4333" s="1352"/>
      <c r="B4333" s="373"/>
      <c r="C4333" s="40" t="s">
        <v>7178</v>
      </c>
      <c r="D4333" s="316" t="n">
        <v>2007</v>
      </c>
      <c r="E4333" s="912" t="n">
        <f aca="false">2021-D4333</f>
        <v>14</v>
      </c>
      <c r="F4333" s="891" t="n">
        <v>3000000</v>
      </c>
      <c r="G4333" s="1364" t="n">
        <v>0.1</v>
      </c>
      <c r="H4333" s="891" t="n">
        <f aca="false">E4333*F4333*G4333</f>
        <v>4200000</v>
      </c>
      <c r="I4333" s="891" t="n">
        <f aca="false">F4333-H4333</f>
        <v>-1200000</v>
      </c>
      <c r="J4333" s="1365" t="n">
        <f aca="false">F4333*G4333</f>
        <v>300000</v>
      </c>
      <c r="K4333" s="1365" t="n">
        <f aca="false">J4333/1792.8</f>
        <v>167.336010709505</v>
      </c>
      <c r="L4333" s="891" t="n">
        <v>240</v>
      </c>
      <c r="M4333" s="1273" t="n">
        <f aca="false">K4333*L4333/60</f>
        <v>669.344042838019</v>
      </c>
    </row>
    <row r="4334" customFormat="false" ht="15" hidden="false" customHeight="false" outlineLevel="0" collapsed="false">
      <c r="A4334" s="1352"/>
      <c r="B4334" s="373"/>
      <c r="C4334" s="40" t="s">
        <v>7179</v>
      </c>
      <c r="D4334" s="316" t="n">
        <v>2007</v>
      </c>
      <c r="E4334" s="912" t="n">
        <f aca="false">2021-D4334</f>
        <v>14</v>
      </c>
      <c r="F4334" s="891" t="n">
        <v>18000</v>
      </c>
      <c r="G4334" s="1364" t="n">
        <v>0.1</v>
      </c>
      <c r="H4334" s="891" t="n">
        <f aca="false">E4334*F4334*G4334</f>
        <v>25200</v>
      </c>
      <c r="I4334" s="891" t="n">
        <f aca="false">F4334-H4334</f>
        <v>-7200</v>
      </c>
      <c r="J4334" s="1365" t="n">
        <f aca="false">F4334*G4334</f>
        <v>1800</v>
      </c>
      <c r="K4334" s="1365" t="n">
        <f aca="false">J4334/1792.8</f>
        <v>1.00401606425703</v>
      </c>
      <c r="L4334" s="891" t="n">
        <v>60</v>
      </c>
      <c r="M4334" s="1273" t="n">
        <f aca="false">K4334*L4334/60</f>
        <v>1.00401606425703</v>
      </c>
    </row>
    <row r="4335" customFormat="false" ht="15" hidden="false" customHeight="false" outlineLevel="0" collapsed="false">
      <c r="A4335" s="1352"/>
      <c r="B4335" s="373"/>
      <c r="C4335" s="40" t="s">
        <v>7180</v>
      </c>
      <c r="D4335" s="316" t="n">
        <v>2007</v>
      </c>
      <c r="E4335" s="912" t="n">
        <f aca="false">2021-D4335</f>
        <v>14</v>
      </c>
      <c r="F4335" s="891" t="n">
        <v>60000</v>
      </c>
      <c r="G4335" s="1364" t="n">
        <v>0.1</v>
      </c>
      <c r="H4335" s="891" t="n">
        <f aca="false">E4335*F4335*G4335</f>
        <v>84000</v>
      </c>
      <c r="I4335" s="891" t="n">
        <f aca="false">F4335-H4335</f>
        <v>-24000</v>
      </c>
      <c r="J4335" s="1365" t="n">
        <f aca="false">F4335*G4335</f>
        <v>6000</v>
      </c>
      <c r="K4335" s="1365" t="n">
        <f aca="false">J4335/1792.8</f>
        <v>3.34672021419009</v>
      </c>
      <c r="L4335" s="891" t="n">
        <v>240</v>
      </c>
      <c r="M4335" s="1273" t="n">
        <f aca="false">K4335*L4335/60</f>
        <v>13.3868808567604</v>
      </c>
    </row>
    <row r="4336" customFormat="false" ht="15" hidden="false" customHeight="false" outlineLevel="0" collapsed="false">
      <c r="A4336" s="1352"/>
      <c r="B4336" s="1531" t="s">
        <v>4128</v>
      </c>
      <c r="C4336" s="40"/>
      <c r="D4336" s="1524"/>
      <c r="E4336" s="912"/>
      <c r="F4336" s="1525"/>
      <c r="G4336" s="1526"/>
      <c r="H4336" s="891"/>
      <c r="I4336" s="891"/>
      <c r="J4336" s="1365"/>
      <c r="K4336" s="1365" t="n">
        <f aca="false">J4336/1792.8</f>
        <v>0</v>
      </c>
      <c r="L4336" s="891"/>
      <c r="M4336" s="1366" t="n">
        <f aca="false">SUM(M4328:M4335)</f>
        <v>799.238804611037</v>
      </c>
    </row>
    <row r="4337" customFormat="false" ht="75" hidden="false" customHeight="false" outlineLevel="0" collapsed="false">
      <c r="A4337" s="216" t="s">
        <v>2051</v>
      </c>
      <c r="B4337" s="107" t="s">
        <v>3760</v>
      </c>
      <c r="C4337" s="1536" t="s">
        <v>7181</v>
      </c>
      <c r="D4337" s="1537" t="n">
        <v>2020</v>
      </c>
      <c r="E4337" s="912" t="n">
        <f aca="false">2021-D4337</f>
        <v>1</v>
      </c>
      <c r="F4337" s="1538" t="n">
        <v>16217249.17</v>
      </c>
      <c r="G4337" s="1539" t="n">
        <v>0.1</v>
      </c>
      <c r="H4337" s="891" t="n">
        <f aca="false">E4337*F4337*G4337</f>
        <v>1621724.917</v>
      </c>
      <c r="I4337" s="891" t="n">
        <f aca="false">F4337-H4337</f>
        <v>14595524.253</v>
      </c>
      <c r="J4337" s="1365" t="n">
        <f aca="false">F4337*G4337</f>
        <v>1621724.917</v>
      </c>
      <c r="K4337" s="1365" t="n">
        <f aca="false">J4337/1792.8</f>
        <v>904.576593596609</v>
      </c>
      <c r="L4337" s="1540" t="n">
        <v>3.2</v>
      </c>
      <c r="M4337" s="1273" t="n">
        <f aca="false">K4337*L4337/60</f>
        <v>48.2440849918191</v>
      </c>
    </row>
    <row r="4338" customFormat="false" ht="15" hidden="false" customHeight="false" outlineLevel="0" collapsed="false">
      <c r="A4338" s="1352"/>
      <c r="B4338" s="373"/>
      <c r="C4338" s="40" t="s">
        <v>7174</v>
      </c>
      <c r="D4338" s="316" t="n">
        <v>2007</v>
      </c>
      <c r="E4338" s="912" t="n">
        <f aca="false">2021-D4338</f>
        <v>14</v>
      </c>
      <c r="F4338" s="891" t="n">
        <v>1068000</v>
      </c>
      <c r="G4338" s="1364" t="n">
        <v>0.1</v>
      </c>
      <c r="H4338" s="891" t="n">
        <f aca="false">E4338*F4338*G4338</f>
        <v>1495200</v>
      </c>
      <c r="I4338" s="891" t="n">
        <f aca="false">F4338-H4338</f>
        <v>-427200</v>
      </c>
      <c r="J4338" s="1365" t="n">
        <f aca="false">F4338*G4338</f>
        <v>106800</v>
      </c>
      <c r="K4338" s="1365" t="n">
        <f aca="false">J4338/1792.8</f>
        <v>59.5716198125837</v>
      </c>
      <c r="L4338" s="891" t="n">
        <v>60</v>
      </c>
      <c r="M4338" s="1273" t="n">
        <f aca="false">K4338*L4338/60</f>
        <v>59.5716198125837</v>
      </c>
    </row>
    <row r="4339" customFormat="false" ht="15" hidden="false" customHeight="false" outlineLevel="0" collapsed="false">
      <c r="A4339" s="1352"/>
      <c r="B4339" s="373"/>
      <c r="C4339" s="40" t="s">
        <v>7175</v>
      </c>
      <c r="D4339" s="316" t="n">
        <v>2007</v>
      </c>
      <c r="E4339" s="912" t="n">
        <f aca="false">2021-D4339</f>
        <v>14</v>
      </c>
      <c r="F4339" s="891" t="n">
        <v>250000</v>
      </c>
      <c r="G4339" s="1364" t="n">
        <v>0.1</v>
      </c>
      <c r="H4339" s="891" t="n">
        <f aca="false">E4339*F4339*G4339</f>
        <v>350000</v>
      </c>
      <c r="I4339" s="891" t="n">
        <f aca="false">F4339-H4339</f>
        <v>-100000</v>
      </c>
      <c r="J4339" s="1365" t="n">
        <f aca="false">F4339*G4339</f>
        <v>25000</v>
      </c>
      <c r="K4339" s="1365" t="n">
        <f aca="false">J4339/1792.8</f>
        <v>13.9446675591254</v>
      </c>
      <c r="L4339" s="891" t="n">
        <v>10</v>
      </c>
      <c r="M4339" s="1273" t="n">
        <f aca="false">K4339*L4339/60</f>
        <v>2.32411125985423</v>
      </c>
    </row>
    <row r="4340" customFormat="false" ht="15" hidden="false" customHeight="false" outlineLevel="0" collapsed="false">
      <c r="A4340" s="1352"/>
      <c r="B4340" s="373"/>
      <c r="C4340" s="40" t="s">
        <v>7176</v>
      </c>
      <c r="D4340" s="316" t="n">
        <v>2007</v>
      </c>
      <c r="E4340" s="912" t="n">
        <f aca="false">2021-D4340</f>
        <v>14</v>
      </c>
      <c r="F4340" s="891" t="n">
        <v>25000</v>
      </c>
      <c r="G4340" s="1364" t="n">
        <v>0.1</v>
      </c>
      <c r="H4340" s="891" t="n">
        <f aca="false">E4340*F4340*G4340</f>
        <v>35000</v>
      </c>
      <c r="I4340" s="891" t="n">
        <f aca="false">F4340-H4340</f>
        <v>-10000</v>
      </c>
      <c r="J4340" s="1365" t="n">
        <f aca="false">F4340*G4340</f>
        <v>2500</v>
      </c>
      <c r="K4340" s="1365" t="n">
        <f aca="false">J4340/1792.8</f>
        <v>1.39446675591254</v>
      </c>
      <c r="L4340" s="891" t="n">
        <v>10</v>
      </c>
      <c r="M4340" s="1273" t="n">
        <f aca="false">K4340*L4340/60</f>
        <v>0.232411125985423</v>
      </c>
    </row>
    <row r="4341" customFormat="false" ht="15" hidden="false" customHeight="false" outlineLevel="0" collapsed="false">
      <c r="A4341" s="1352"/>
      <c r="B4341" s="373"/>
      <c r="C4341" s="40" t="s">
        <v>7177</v>
      </c>
      <c r="D4341" s="316" t="n">
        <v>2007</v>
      </c>
      <c r="E4341" s="912" t="n">
        <f aca="false">2021-D4341</f>
        <v>14</v>
      </c>
      <c r="F4341" s="891" t="n">
        <v>92000</v>
      </c>
      <c r="G4341" s="1364" t="n">
        <v>0.1</v>
      </c>
      <c r="H4341" s="891" t="n">
        <f aca="false">E4341*F4341*G4341</f>
        <v>128800</v>
      </c>
      <c r="I4341" s="891" t="n">
        <f aca="false">F4341-H4341</f>
        <v>-36800</v>
      </c>
      <c r="J4341" s="1365" t="n">
        <f aca="false">F4341*G4341</f>
        <v>9200</v>
      </c>
      <c r="K4341" s="1365" t="n">
        <f aca="false">J4341/1792.8</f>
        <v>5.13163766175814</v>
      </c>
      <c r="L4341" s="891" t="n">
        <v>60</v>
      </c>
      <c r="M4341" s="1273" t="n">
        <f aca="false">K4341*L4341/60</f>
        <v>5.13163766175814</v>
      </c>
    </row>
    <row r="4342" customFormat="false" ht="15" hidden="false" customHeight="false" outlineLevel="0" collapsed="false">
      <c r="A4342" s="1352"/>
      <c r="B4342" s="373"/>
      <c r="C4342" s="40" t="s">
        <v>7178</v>
      </c>
      <c r="D4342" s="316" t="n">
        <v>2007</v>
      </c>
      <c r="E4342" s="912" t="n">
        <f aca="false">2021-D4342</f>
        <v>14</v>
      </c>
      <c r="F4342" s="891" t="n">
        <v>3000000</v>
      </c>
      <c r="G4342" s="1364" t="n">
        <v>0.1</v>
      </c>
      <c r="H4342" s="891" t="n">
        <f aca="false">E4342*F4342*G4342</f>
        <v>4200000</v>
      </c>
      <c r="I4342" s="891" t="n">
        <f aca="false">F4342-H4342</f>
        <v>-1200000</v>
      </c>
      <c r="J4342" s="1365" t="n">
        <f aca="false">F4342*G4342</f>
        <v>300000</v>
      </c>
      <c r="K4342" s="1365" t="n">
        <f aca="false">J4342/1792.8</f>
        <v>167.336010709505</v>
      </c>
      <c r="L4342" s="891" t="n">
        <v>240</v>
      </c>
      <c r="M4342" s="1273" t="n">
        <f aca="false">K4342*L4342/60</f>
        <v>669.344042838019</v>
      </c>
    </row>
    <row r="4343" customFormat="false" ht="15" hidden="false" customHeight="false" outlineLevel="0" collapsed="false">
      <c r="A4343" s="1352"/>
      <c r="B4343" s="373"/>
      <c r="C4343" s="40" t="s">
        <v>7179</v>
      </c>
      <c r="D4343" s="316" t="n">
        <v>2007</v>
      </c>
      <c r="E4343" s="912" t="n">
        <f aca="false">2021-D4343</f>
        <v>14</v>
      </c>
      <c r="F4343" s="891" t="n">
        <v>18000</v>
      </c>
      <c r="G4343" s="1364" t="n">
        <v>0.1</v>
      </c>
      <c r="H4343" s="891" t="n">
        <f aca="false">E4343*F4343*G4343</f>
        <v>25200</v>
      </c>
      <c r="I4343" s="891" t="n">
        <f aca="false">F4343-H4343</f>
        <v>-7200</v>
      </c>
      <c r="J4343" s="1365" t="n">
        <f aca="false">F4343*G4343</f>
        <v>1800</v>
      </c>
      <c r="K4343" s="1365" t="n">
        <f aca="false">J4343/1792.8</f>
        <v>1.00401606425703</v>
      </c>
      <c r="L4343" s="891" t="n">
        <v>60</v>
      </c>
      <c r="M4343" s="1273" t="n">
        <f aca="false">K4343*L4343/60</f>
        <v>1.00401606425703</v>
      </c>
    </row>
    <row r="4344" customFormat="false" ht="15" hidden="false" customHeight="false" outlineLevel="0" collapsed="false">
      <c r="A4344" s="1352"/>
      <c r="B4344" s="373"/>
      <c r="C4344" s="40" t="s">
        <v>7180</v>
      </c>
      <c r="D4344" s="316" t="n">
        <v>2007</v>
      </c>
      <c r="E4344" s="912" t="n">
        <f aca="false">2021-D4344</f>
        <v>14</v>
      </c>
      <c r="F4344" s="891" t="n">
        <v>60000</v>
      </c>
      <c r="G4344" s="1364" t="n">
        <v>0.1</v>
      </c>
      <c r="H4344" s="891" t="n">
        <f aca="false">E4344*F4344*G4344</f>
        <v>84000</v>
      </c>
      <c r="I4344" s="891" t="n">
        <f aca="false">F4344-H4344</f>
        <v>-24000</v>
      </c>
      <c r="J4344" s="1365" t="n">
        <f aca="false">F4344*G4344</f>
        <v>6000</v>
      </c>
      <c r="K4344" s="1365" t="n">
        <f aca="false">J4344/1792.8</f>
        <v>3.34672021419009</v>
      </c>
      <c r="L4344" s="891" t="n">
        <v>240</v>
      </c>
      <c r="M4344" s="1273" t="n">
        <f aca="false">K4344*L4344/60</f>
        <v>13.3868808567604</v>
      </c>
    </row>
    <row r="4345" customFormat="false" ht="15" hidden="false" customHeight="false" outlineLevel="0" collapsed="false">
      <c r="A4345" s="1352"/>
      <c r="B4345" s="1541" t="s">
        <v>4128</v>
      </c>
      <c r="C4345" s="1542"/>
      <c r="D4345" s="1542"/>
      <c r="E4345" s="912"/>
      <c r="F4345" s="1542"/>
      <c r="G4345" s="1543"/>
      <c r="H4345" s="891"/>
      <c r="I4345" s="891"/>
      <c r="J4345" s="1365"/>
      <c r="K4345" s="1365" t="n">
        <f aca="false">J4345/1792.8</f>
        <v>0</v>
      </c>
      <c r="L4345" s="1544"/>
      <c r="M4345" s="1545" t="n">
        <f aca="false">SUM(M4337:M4344)</f>
        <v>799.238804611037</v>
      </c>
    </row>
    <row r="4346" customFormat="false" ht="45" hidden="false" customHeight="false" outlineLevel="0" collapsed="false">
      <c r="A4346" s="216" t="s">
        <v>2053</v>
      </c>
      <c r="B4346" s="107" t="s">
        <v>3764</v>
      </c>
      <c r="C4346" s="1536" t="s">
        <v>7181</v>
      </c>
      <c r="D4346" s="1537" t="n">
        <v>2020</v>
      </c>
      <c r="E4346" s="912" t="n">
        <f aca="false">2021-D4346</f>
        <v>1</v>
      </c>
      <c r="F4346" s="1538" t="n">
        <v>16217249.17</v>
      </c>
      <c r="G4346" s="1539" t="n">
        <v>0.1</v>
      </c>
      <c r="H4346" s="891" t="n">
        <f aca="false">E4346*F4346*G4346</f>
        <v>1621724.917</v>
      </c>
      <c r="I4346" s="891" t="n">
        <f aca="false">F4346-H4346</f>
        <v>14595524.253</v>
      </c>
      <c r="J4346" s="1365" t="n">
        <f aca="false">F4346*G4346</f>
        <v>1621724.917</v>
      </c>
      <c r="K4346" s="1365" t="n">
        <f aca="false">J4346/1792.8</f>
        <v>904.576593596609</v>
      </c>
      <c r="L4346" s="1540" t="n">
        <v>3.2</v>
      </c>
      <c r="M4346" s="1273" t="n">
        <f aca="false">K4346*L4346/60</f>
        <v>48.2440849918191</v>
      </c>
    </row>
    <row r="4347" customFormat="false" ht="15" hidden="false" customHeight="false" outlineLevel="0" collapsed="false">
      <c r="A4347" s="1352"/>
      <c r="B4347" s="373"/>
      <c r="C4347" s="40" t="s">
        <v>7174</v>
      </c>
      <c r="D4347" s="316" t="n">
        <v>2007</v>
      </c>
      <c r="E4347" s="912" t="n">
        <f aca="false">2021-D4347</f>
        <v>14</v>
      </c>
      <c r="F4347" s="891" t="n">
        <v>1068000</v>
      </c>
      <c r="G4347" s="1364" t="n">
        <v>0.1</v>
      </c>
      <c r="H4347" s="891" t="n">
        <f aca="false">E4347*F4347*G4347</f>
        <v>1495200</v>
      </c>
      <c r="I4347" s="891" t="n">
        <f aca="false">F4347-H4347</f>
        <v>-427200</v>
      </c>
      <c r="J4347" s="1365" t="n">
        <f aca="false">F4347*G4347</f>
        <v>106800</v>
      </c>
      <c r="K4347" s="1365" t="n">
        <f aca="false">J4347/1792.8</f>
        <v>59.5716198125837</v>
      </c>
      <c r="L4347" s="891" t="n">
        <v>60</v>
      </c>
      <c r="M4347" s="1273" t="n">
        <f aca="false">K4347*L4347/60</f>
        <v>59.5716198125837</v>
      </c>
    </row>
    <row r="4348" customFormat="false" ht="15" hidden="false" customHeight="false" outlineLevel="0" collapsed="false">
      <c r="A4348" s="1352"/>
      <c r="B4348" s="373"/>
      <c r="C4348" s="40" t="s">
        <v>7175</v>
      </c>
      <c r="D4348" s="316" t="n">
        <v>2007</v>
      </c>
      <c r="E4348" s="912" t="n">
        <f aca="false">2021-D4348</f>
        <v>14</v>
      </c>
      <c r="F4348" s="891" t="n">
        <v>250000</v>
      </c>
      <c r="G4348" s="1364" t="n">
        <v>0.1</v>
      </c>
      <c r="H4348" s="891" t="n">
        <f aca="false">E4348*F4348*G4348</f>
        <v>350000</v>
      </c>
      <c r="I4348" s="891" t="n">
        <f aca="false">F4348-H4348</f>
        <v>-100000</v>
      </c>
      <c r="J4348" s="1365" t="n">
        <f aca="false">F4348*G4348</f>
        <v>25000</v>
      </c>
      <c r="K4348" s="1365" t="n">
        <f aca="false">J4348/1792.8</f>
        <v>13.9446675591254</v>
      </c>
      <c r="L4348" s="891" t="n">
        <v>10</v>
      </c>
      <c r="M4348" s="1273" t="n">
        <f aca="false">K4348*L4348/60</f>
        <v>2.32411125985423</v>
      </c>
    </row>
    <row r="4349" customFormat="false" ht="15" hidden="false" customHeight="false" outlineLevel="0" collapsed="false">
      <c r="A4349" s="1352"/>
      <c r="B4349" s="373"/>
      <c r="C4349" s="40" t="s">
        <v>7176</v>
      </c>
      <c r="D4349" s="316" t="n">
        <v>2007</v>
      </c>
      <c r="E4349" s="912" t="n">
        <f aca="false">2021-D4349</f>
        <v>14</v>
      </c>
      <c r="F4349" s="891" t="n">
        <v>25000</v>
      </c>
      <c r="G4349" s="1364" t="n">
        <v>0.1</v>
      </c>
      <c r="H4349" s="891" t="n">
        <f aca="false">E4349*F4349*G4349</f>
        <v>35000</v>
      </c>
      <c r="I4349" s="891" t="n">
        <f aca="false">F4349-H4349</f>
        <v>-10000</v>
      </c>
      <c r="J4349" s="1365" t="n">
        <f aca="false">F4349*G4349</f>
        <v>2500</v>
      </c>
      <c r="K4349" s="1365" t="n">
        <f aca="false">J4349/1792.8</f>
        <v>1.39446675591254</v>
      </c>
      <c r="L4349" s="891" t="n">
        <v>10</v>
      </c>
      <c r="M4349" s="1273" t="n">
        <f aca="false">K4349*L4349/60</f>
        <v>0.232411125985423</v>
      </c>
    </row>
    <row r="4350" customFormat="false" ht="15" hidden="false" customHeight="false" outlineLevel="0" collapsed="false">
      <c r="A4350" s="1352"/>
      <c r="B4350" s="373"/>
      <c r="C4350" s="40" t="s">
        <v>7177</v>
      </c>
      <c r="D4350" s="316" t="n">
        <v>2007</v>
      </c>
      <c r="E4350" s="912" t="n">
        <f aca="false">2021-D4350</f>
        <v>14</v>
      </c>
      <c r="F4350" s="891" t="n">
        <v>92000</v>
      </c>
      <c r="G4350" s="1364" t="n">
        <v>0.1</v>
      </c>
      <c r="H4350" s="891" t="n">
        <f aca="false">E4350*F4350*G4350</f>
        <v>128800</v>
      </c>
      <c r="I4350" s="891" t="n">
        <f aca="false">F4350-H4350</f>
        <v>-36800</v>
      </c>
      <c r="J4350" s="1365" t="n">
        <f aca="false">F4350*G4350</f>
        <v>9200</v>
      </c>
      <c r="K4350" s="1365" t="n">
        <f aca="false">J4350/1792.8</f>
        <v>5.13163766175814</v>
      </c>
      <c r="L4350" s="891" t="n">
        <v>60</v>
      </c>
      <c r="M4350" s="1273" t="n">
        <f aca="false">K4350*L4350/60</f>
        <v>5.13163766175814</v>
      </c>
    </row>
    <row r="4351" customFormat="false" ht="15" hidden="false" customHeight="false" outlineLevel="0" collapsed="false">
      <c r="A4351" s="1352"/>
      <c r="B4351" s="373"/>
      <c r="C4351" s="40" t="s">
        <v>7178</v>
      </c>
      <c r="D4351" s="316" t="n">
        <v>2007</v>
      </c>
      <c r="E4351" s="912" t="n">
        <f aca="false">2021-D4351</f>
        <v>14</v>
      </c>
      <c r="F4351" s="891" t="n">
        <v>3000000</v>
      </c>
      <c r="G4351" s="1364" t="n">
        <v>0.1</v>
      </c>
      <c r="H4351" s="891" t="n">
        <f aca="false">E4351*F4351*G4351</f>
        <v>4200000</v>
      </c>
      <c r="I4351" s="891" t="n">
        <f aca="false">F4351-H4351</f>
        <v>-1200000</v>
      </c>
      <c r="J4351" s="1365" t="n">
        <f aca="false">F4351*G4351</f>
        <v>300000</v>
      </c>
      <c r="K4351" s="1365" t="n">
        <f aca="false">J4351/1792.8</f>
        <v>167.336010709505</v>
      </c>
      <c r="L4351" s="891" t="n">
        <v>240</v>
      </c>
      <c r="M4351" s="1273" t="n">
        <f aca="false">K4351*L4351/60</f>
        <v>669.344042838019</v>
      </c>
    </row>
    <row r="4352" customFormat="false" ht="15" hidden="false" customHeight="false" outlineLevel="0" collapsed="false">
      <c r="A4352" s="1352"/>
      <c r="B4352" s="373"/>
      <c r="C4352" s="40" t="s">
        <v>7179</v>
      </c>
      <c r="D4352" s="316" t="n">
        <v>2007</v>
      </c>
      <c r="E4352" s="912" t="n">
        <f aca="false">2021-D4352</f>
        <v>14</v>
      </c>
      <c r="F4352" s="891" t="n">
        <v>18000</v>
      </c>
      <c r="G4352" s="1364" t="n">
        <v>0.1</v>
      </c>
      <c r="H4352" s="891" t="n">
        <f aca="false">E4352*F4352*G4352</f>
        <v>25200</v>
      </c>
      <c r="I4352" s="891" t="n">
        <f aca="false">F4352-H4352</f>
        <v>-7200</v>
      </c>
      <c r="J4352" s="1365" t="n">
        <f aca="false">F4352*G4352</f>
        <v>1800</v>
      </c>
      <c r="K4352" s="1365" t="n">
        <f aca="false">J4352/1792.8</f>
        <v>1.00401606425703</v>
      </c>
      <c r="L4352" s="891" t="n">
        <v>60</v>
      </c>
      <c r="M4352" s="1273" t="n">
        <f aca="false">K4352*L4352/60</f>
        <v>1.00401606425703</v>
      </c>
    </row>
    <row r="4353" customFormat="false" ht="15" hidden="false" customHeight="false" outlineLevel="0" collapsed="false">
      <c r="A4353" s="1352"/>
      <c r="B4353" s="373"/>
      <c r="C4353" s="40" t="s">
        <v>7180</v>
      </c>
      <c r="D4353" s="316" t="n">
        <v>2007</v>
      </c>
      <c r="E4353" s="912" t="n">
        <f aca="false">2021-D4353</f>
        <v>14</v>
      </c>
      <c r="F4353" s="891" t="n">
        <v>60000</v>
      </c>
      <c r="G4353" s="1364" t="n">
        <v>0.1</v>
      </c>
      <c r="H4353" s="891" t="n">
        <f aca="false">E4353*F4353*G4353</f>
        <v>84000</v>
      </c>
      <c r="I4353" s="891" t="n">
        <f aca="false">F4353-H4353</f>
        <v>-24000</v>
      </c>
      <c r="J4353" s="1365" t="n">
        <f aca="false">F4353*G4353</f>
        <v>6000</v>
      </c>
      <c r="K4353" s="1365" t="n">
        <f aca="false">J4353/1792.8</f>
        <v>3.34672021419009</v>
      </c>
      <c r="L4353" s="891" t="n">
        <v>240</v>
      </c>
      <c r="M4353" s="1273" t="n">
        <f aca="false">K4353*L4353/60</f>
        <v>13.3868808567604</v>
      </c>
    </row>
    <row r="4354" customFormat="false" ht="15" hidden="false" customHeight="false" outlineLevel="0" collapsed="false">
      <c r="A4354" s="1352"/>
      <c r="B4354" s="1541" t="s">
        <v>4128</v>
      </c>
      <c r="C4354" s="1542"/>
      <c r="D4354" s="1542"/>
      <c r="E4354" s="912"/>
      <c r="F4354" s="1542"/>
      <c r="G4354" s="1543"/>
      <c r="H4354" s="891"/>
      <c r="I4354" s="891"/>
      <c r="J4354" s="1365"/>
      <c r="K4354" s="1365" t="n">
        <f aca="false">J4354/1792.8</f>
        <v>0</v>
      </c>
      <c r="L4354" s="1544"/>
      <c r="M4354" s="1545" t="n">
        <f aca="false">SUM(M4346:M4353)</f>
        <v>799.238804611037</v>
      </c>
    </row>
    <row r="4355" customFormat="false" ht="30" hidden="false" customHeight="false" outlineLevel="0" collapsed="false">
      <c r="A4355" s="216" t="s">
        <v>2055</v>
      </c>
      <c r="B4355" s="374" t="s">
        <v>3761</v>
      </c>
      <c r="C4355" s="1536" t="s">
        <v>7200</v>
      </c>
      <c r="D4355" s="1537" t="n">
        <v>2020</v>
      </c>
      <c r="E4355" s="912" t="n">
        <f aca="false">2021-D4355</f>
        <v>1</v>
      </c>
      <c r="F4355" s="1538" t="n">
        <v>217392960.04</v>
      </c>
      <c r="G4355" s="1539" t="n">
        <v>0.1</v>
      </c>
      <c r="H4355" s="891" t="n">
        <f aca="false">E4355*F4355*G4355</f>
        <v>21739296.004</v>
      </c>
      <c r="I4355" s="891" t="n">
        <f aca="false">F4355-H4355</f>
        <v>195653664.036</v>
      </c>
      <c r="J4355" s="1365" t="n">
        <f aca="false">F4355*G4355</f>
        <v>21739296.004</v>
      </c>
      <c r="K4355" s="1365" t="n">
        <f aca="false">J4355/1792.8</f>
        <v>12125.8902298081</v>
      </c>
      <c r="L4355" s="1540" t="n">
        <v>3.2</v>
      </c>
      <c r="M4355" s="1273" t="n">
        <f aca="false">K4355*L4355/60</f>
        <v>646.714145589767</v>
      </c>
    </row>
    <row r="4356" customFormat="false" ht="15" hidden="false" customHeight="false" outlineLevel="0" collapsed="false">
      <c r="A4356" s="1352"/>
      <c r="B4356" s="373"/>
      <c r="C4356" s="1532" t="s">
        <v>7199</v>
      </c>
      <c r="D4356" s="1533" t="n">
        <v>2013</v>
      </c>
      <c r="E4356" s="912" t="n">
        <f aca="false">2021-D4356</f>
        <v>8</v>
      </c>
      <c r="F4356" s="1533" t="n">
        <v>500000</v>
      </c>
      <c r="G4356" s="1533" t="n">
        <v>0.1</v>
      </c>
      <c r="H4356" s="891" t="n">
        <f aca="false">E4356*F4356*G4356</f>
        <v>400000</v>
      </c>
      <c r="I4356" s="891" t="n">
        <f aca="false">F4356-H4356</f>
        <v>100000</v>
      </c>
      <c r="J4356" s="1365" t="n">
        <f aca="false">F4356*G4356</f>
        <v>50000</v>
      </c>
      <c r="K4356" s="1365" t="n">
        <f aca="false">J4356/1792.8</f>
        <v>27.8893351182508</v>
      </c>
      <c r="L4356" s="1533" t="n">
        <v>3.2</v>
      </c>
      <c r="M4356" s="1273" t="n">
        <f aca="false">K4356*L4356/60</f>
        <v>1.48743120630671</v>
      </c>
    </row>
    <row r="4357" customFormat="false" ht="15" hidden="false" customHeight="false" outlineLevel="0" collapsed="false">
      <c r="A4357" s="1352"/>
      <c r="B4357" s="373"/>
      <c r="C4357" s="1532" t="s">
        <v>7198</v>
      </c>
      <c r="D4357" s="1533" t="n">
        <v>2013</v>
      </c>
      <c r="E4357" s="912" t="n">
        <f aca="false">2021-D4357</f>
        <v>8</v>
      </c>
      <c r="F4357" s="1533" t="n">
        <v>120000</v>
      </c>
      <c r="G4357" s="1533" t="n">
        <v>0.1</v>
      </c>
      <c r="H4357" s="891" t="n">
        <f aca="false">E4357*F4357*G4357</f>
        <v>96000</v>
      </c>
      <c r="I4357" s="891" t="n">
        <f aca="false">F4357-H4357</f>
        <v>24000</v>
      </c>
      <c r="J4357" s="1365" t="n">
        <f aca="false">F4357*G4357</f>
        <v>12000</v>
      </c>
      <c r="K4357" s="1365" t="n">
        <f aca="false">J4357/1792.8</f>
        <v>6.69344042838019</v>
      </c>
      <c r="L4357" s="1533" t="n">
        <v>3.2</v>
      </c>
      <c r="M4357" s="1273" t="n">
        <f aca="false">K4357*L4357/60</f>
        <v>0.35698348951361</v>
      </c>
    </row>
    <row r="4358" customFormat="false" ht="15" hidden="false" customHeight="false" outlineLevel="0" collapsed="false">
      <c r="A4358" s="1352"/>
      <c r="B4358" s="373"/>
      <c r="C4358" s="40" t="s">
        <v>7155</v>
      </c>
      <c r="D4358" s="316" t="n">
        <v>2007</v>
      </c>
      <c r="E4358" s="912" t="n">
        <f aca="false">2021-D4358</f>
        <v>14</v>
      </c>
      <c r="F4358" s="891" t="n">
        <v>810000</v>
      </c>
      <c r="G4358" s="1364" t="n">
        <v>0.1</v>
      </c>
      <c r="H4358" s="891" t="n">
        <f aca="false">E4358*F4358*G4358</f>
        <v>1134000</v>
      </c>
      <c r="I4358" s="891" t="n">
        <f aca="false">F4358-H4358</f>
        <v>-324000</v>
      </c>
      <c r="J4358" s="1365" t="n">
        <f aca="false">F4358*G4358</f>
        <v>81000</v>
      </c>
      <c r="K4358" s="1365" t="n">
        <f aca="false">J4358/1792.8</f>
        <v>45.1807228915663</v>
      </c>
      <c r="L4358" s="891" t="n">
        <v>4.8</v>
      </c>
      <c r="M4358" s="1273" t="n">
        <f aca="false">K4358*L4358/60</f>
        <v>3.6144578313253</v>
      </c>
    </row>
    <row r="4359" customFormat="false" ht="15" hidden="false" customHeight="false" outlineLevel="0" collapsed="false">
      <c r="A4359" s="1352"/>
      <c r="B4359" s="373"/>
      <c r="C4359" s="40" t="s">
        <v>7156</v>
      </c>
      <c r="D4359" s="316" t="n">
        <v>2015</v>
      </c>
      <c r="E4359" s="912" t="n">
        <f aca="false">2021-D4359</f>
        <v>6</v>
      </c>
      <c r="F4359" s="891" t="n">
        <v>694025</v>
      </c>
      <c r="G4359" s="1364" t="n">
        <v>0.1</v>
      </c>
      <c r="H4359" s="891" t="n">
        <f aca="false">E4359*F4359*G4359</f>
        <v>416415</v>
      </c>
      <c r="I4359" s="891" t="n">
        <f aca="false">F4359-H4359</f>
        <v>277610</v>
      </c>
      <c r="J4359" s="1365" t="n">
        <f aca="false">F4359*G4359</f>
        <v>69402.5</v>
      </c>
      <c r="K4359" s="1365" t="n">
        <f aca="false">J4359/1792.8</f>
        <v>38.711791610888</v>
      </c>
      <c r="L4359" s="891" t="n">
        <v>18</v>
      </c>
      <c r="M4359" s="1273" t="n">
        <f aca="false">K4359*L4359/60</f>
        <v>11.6135374832664</v>
      </c>
    </row>
    <row r="4360" customFormat="false" ht="15" hidden="false" customHeight="false" outlineLevel="0" collapsed="false">
      <c r="A4360" s="1352"/>
      <c r="B4360" s="373"/>
      <c r="C4360" s="40" t="s">
        <v>7157</v>
      </c>
      <c r="D4360" s="316" t="n">
        <v>2006</v>
      </c>
      <c r="E4360" s="912" t="n">
        <f aca="false">2021-D4360</f>
        <v>15</v>
      </c>
      <c r="F4360" s="891" t="n">
        <v>77000</v>
      </c>
      <c r="G4360" s="1364" t="n">
        <v>0.05</v>
      </c>
      <c r="H4360" s="891" t="n">
        <f aca="false">E4360*F4360*G4360</f>
        <v>57750</v>
      </c>
      <c r="I4360" s="891" t="n">
        <f aca="false">F4360-H4360</f>
        <v>19250</v>
      </c>
      <c r="J4360" s="1365" t="n">
        <f aca="false">F4360*G4360</f>
        <v>3850</v>
      </c>
      <c r="K4360" s="1365" t="n">
        <f aca="false">J4360/1792.8</f>
        <v>2.14747880410531</v>
      </c>
      <c r="L4360" s="891" t="n">
        <v>9.6</v>
      </c>
      <c r="M4360" s="1273" t="n">
        <f aca="false">K4360*L4360/60</f>
        <v>0.34359660865685</v>
      </c>
    </row>
    <row r="4361" customFormat="false" ht="15" hidden="false" customHeight="false" outlineLevel="0" collapsed="false">
      <c r="A4361" s="1352"/>
      <c r="B4361" s="373"/>
      <c r="C4361" s="40" t="s">
        <v>7159</v>
      </c>
      <c r="D4361" s="316" t="n">
        <v>2007</v>
      </c>
      <c r="E4361" s="912" t="n">
        <f aca="false">2021-D4361</f>
        <v>14</v>
      </c>
      <c r="F4361" s="891" t="n">
        <v>68000</v>
      </c>
      <c r="G4361" s="1364" t="n">
        <v>0.1</v>
      </c>
      <c r="H4361" s="891" t="n">
        <f aca="false">E4361*F4361*G4361</f>
        <v>95200</v>
      </c>
      <c r="I4361" s="891" t="n">
        <f aca="false">F4361-H4361</f>
        <v>-27200</v>
      </c>
      <c r="J4361" s="1365" t="n">
        <f aca="false">F4361*G4361</f>
        <v>6800</v>
      </c>
      <c r="K4361" s="1365" t="n">
        <f aca="false">J4361/1792.8</f>
        <v>3.79294957608211</v>
      </c>
      <c r="L4361" s="891" t="n">
        <v>9.6</v>
      </c>
      <c r="M4361" s="1273" t="n">
        <f aca="false">K4361*L4361/60</f>
        <v>0.606871932173137</v>
      </c>
    </row>
    <row r="4362" customFormat="false" ht="15" hidden="false" customHeight="false" outlineLevel="0" collapsed="false">
      <c r="A4362" s="1352"/>
      <c r="B4362" s="373"/>
      <c r="C4362" s="40" t="s">
        <v>7179</v>
      </c>
      <c r="D4362" s="316" t="n">
        <v>2007</v>
      </c>
      <c r="E4362" s="912" t="n">
        <f aca="false">2021-D4362</f>
        <v>14</v>
      </c>
      <c r="F4362" s="891" t="n">
        <v>18000</v>
      </c>
      <c r="G4362" s="1364" t="n">
        <v>0.1</v>
      </c>
      <c r="H4362" s="891" t="n">
        <f aca="false">E4362*F4362*G4362</f>
        <v>25200</v>
      </c>
      <c r="I4362" s="891" t="n">
        <f aca="false">F4362-H4362</f>
        <v>-7200</v>
      </c>
      <c r="J4362" s="1365" t="n">
        <f aca="false">F4362*G4362</f>
        <v>1800</v>
      </c>
      <c r="K4362" s="1365" t="n">
        <f aca="false">J4362/1792.8</f>
        <v>1.00401606425703</v>
      </c>
      <c r="L4362" s="891" t="n">
        <v>60</v>
      </c>
      <c r="M4362" s="1273" t="n">
        <f aca="false">K4362*L4362/60</f>
        <v>1.00401606425703</v>
      </c>
    </row>
    <row r="4363" customFormat="false" ht="15" hidden="false" customHeight="false" outlineLevel="0" collapsed="false">
      <c r="A4363" s="1352"/>
      <c r="B4363" s="373"/>
      <c r="C4363" s="40" t="s">
        <v>7176</v>
      </c>
      <c r="D4363" s="316" t="n">
        <v>2007</v>
      </c>
      <c r="E4363" s="912" t="n">
        <f aca="false">2021-D4363</f>
        <v>14</v>
      </c>
      <c r="F4363" s="891" t="n">
        <v>25000</v>
      </c>
      <c r="G4363" s="1364" t="n">
        <v>0.1</v>
      </c>
      <c r="H4363" s="891" t="n">
        <f aca="false">E4363*F4363*G4363</f>
        <v>35000</v>
      </c>
      <c r="I4363" s="891" t="n">
        <f aca="false">F4363-H4363</f>
        <v>-10000</v>
      </c>
      <c r="J4363" s="1365" t="n">
        <f aca="false">F4363*G4363</f>
        <v>2500</v>
      </c>
      <c r="K4363" s="1365" t="n">
        <f aca="false">J4363/1792.8</f>
        <v>1.39446675591254</v>
      </c>
      <c r="L4363" s="891" t="n">
        <v>10</v>
      </c>
      <c r="M4363" s="1273" t="n">
        <f aca="false">K4363*L4363/60</f>
        <v>0.232411125985423</v>
      </c>
    </row>
    <row r="4364" customFormat="false" ht="15" hidden="false" customHeight="false" outlineLevel="0" collapsed="false">
      <c r="A4364" s="1352"/>
      <c r="B4364" s="1541" t="s">
        <v>4128</v>
      </c>
      <c r="C4364" s="1542"/>
      <c r="D4364" s="1542"/>
      <c r="E4364" s="912"/>
      <c r="F4364" s="1542"/>
      <c r="G4364" s="1543"/>
      <c r="H4364" s="891"/>
      <c r="I4364" s="891"/>
      <c r="J4364" s="1365"/>
      <c r="K4364" s="1365" t="n">
        <f aca="false">J4364/1792.8</f>
        <v>0</v>
      </c>
      <c r="L4364" s="1544"/>
      <c r="M4364" s="1545" t="n">
        <f aca="false">SUM(M4355:M4363)</f>
        <v>665.973451331251</v>
      </c>
    </row>
    <row r="4365" customFormat="false" ht="30" hidden="false" customHeight="false" outlineLevel="0" collapsed="false">
      <c r="A4365" s="216" t="s">
        <v>2057</v>
      </c>
      <c r="B4365" s="78" t="s">
        <v>3762</v>
      </c>
      <c r="C4365" s="1536" t="s">
        <v>7197</v>
      </c>
      <c r="D4365" s="1537" t="n">
        <v>2013</v>
      </c>
      <c r="E4365" s="912" t="n">
        <f aca="false">2021-D4365</f>
        <v>8</v>
      </c>
      <c r="F4365" s="1538" t="n">
        <v>14225000</v>
      </c>
      <c r="G4365" s="1539" t="n">
        <v>0.1</v>
      </c>
      <c r="H4365" s="891" t="n">
        <f aca="false">E4365*F4365*G4365</f>
        <v>11380000</v>
      </c>
      <c r="I4365" s="891" t="n">
        <f aca="false">F4365-H4365</f>
        <v>2845000</v>
      </c>
      <c r="J4365" s="1365" t="n">
        <f aca="false">F4365*G4365</f>
        <v>1422500</v>
      </c>
      <c r="K4365" s="1365" t="n">
        <f aca="false">J4365/1792.8</f>
        <v>793.451584114235</v>
      </c>
      <c r="L4365" s="1540" t="n">
        <v>3.2</v>
      </c>
      <c r="M4365" s="1273" t="n">
        <f aca="false">K4365*L4365/60</f>
        <v>42.3174178194259</v>
      </c>
    </row>
    <row r="4366" customFormat="false" ht="15" hidden="false" customHeight="false" outlineLevel="0" collapsed="false">
      <c r="A4366" s="1352"/>
      <c r="B4366" s="373"/>
      <c r="C4366" s="1532" t="s">
        <v>7199</v>
      </c>
      <c r="D4366" s="1533" t="n">
        <v>2013</v>
      </c>
      <c r="E4366" s="912" t="n">
        <f aca="false">2021-D4366</f>
        <v>8</v>
      </c>
      <c r="F4366" s="1533" t="n">
        <v>500000</v>
      </c>
      <c r="G4366" s="1533" t="n">
        <v>0.1</v>
      </c>
      <c r="H4366" s="891" t="n">
        <f aca="false">E4366*F4366*G4366</f>
        <v>400000</v>
      </c>
      <c r="I4366" s="891" t="n">
        <f aca="false">F4366-H4366</f>
        <v>100000</v>
      </c>
      <c r="J4366" s="1365" t="n">
        <f aca="false">F4366*G4366</f>
        <v>50000</v>
      </c>
      <c r="K4366" s="1365" t="n">
        <f aca="false">J4366/1792.8</f>
        <v>27.8893351182508</v>
      </c>
      <c r="L4366" s="1533" t="n">
        <v>3.2</v>
      </c>
      <c r="M4366" s="1273" t="n">
        <f aca="false">K4366*L4366/60</f>
        <v>1.48743120630671</v>
      </c>
    </row>
    <row r="4367" customFormat="false" ht="15" hidden="false" customHeight="false" outlineLevel="0" collapsed="false">
      <c r="A4367" s="1352"/>
      <c r="B4367" s="373"/>
      <c r="C4367" s="1532" t="s">
        <v>7198</v>
      </c>
      <c r="D4367" s="1533" t="n">
        <v>2013</v>
      </c>
      <c r="E4367" s="912" t="n">
        <f aca="false">2021-D4367</f>
        <v>8</v>
      </c>
      <c r="F4367" s="1533" t="n">
        <v>120000</v>
      </c>
      <c r="G4367" s="1533" t="n">
        <v>0.1</v>
      </c>
      <c r="H4367" s="891" t="n">
        <f aca="false">E4367*F4367*G4367</f>
        <v>96000</v>
      </c>
      <c r="I4367" s="891" t="n">
        <f aca="false">F4367-H4367</f>
        <v>24000</v>
      </c>
      <c r="J4367" s="1365" t="n">
        <f aca="false">F4367*G4367</f>
        <v>12000</v>
      </c>
      <c r="K4367" s="1365" t="n">
        <f aca="false">J4367/1792.8</f>
        <v>6.69344042838019</v>
      </c>
      <c r="L4367" s="1533" t="n">
        <v>3.2</v>
      </c>
      <c r="M4367" s="1273" t="n">
        <f aca="false">K4367*L4367/60</f>
        <v>0.35698348951361</v>
      </c>
    </row>
    <row r="4368" customFormat="false" ht="15" hidden="false" customHeight="false" outlineLevel="0" collapsed="false">
      <c r="A4368" s="1352"/>
      <c r="B4368" s="373"/>
      <c r="C4368" s="40" t="s">
        <v>7155</v>
      </c>
      <c r="D4368" s="316" t="n">
        <v>2007</v>
      </c>
      <c r="E4368" s="912" t="n">
        <f aca="false">2021-D4368</f>
        <v>14</v>
      </c>
      <c r="F4368" s="891" t="n">
        <v>810000</v>
      </c>
      <c r="G4368" s="1364" t="n">
        <v>0.1</v>
      </c>
      <c r="H4368" s="891" t="n">
        <f aca="false">E4368*F4368*G4368</f>
        <v>1134000</v>
      </c>
      <c r="I4368" s="891" t="n">
        <f aca="false">F4368-H4368</f>
        <v>-324000</v>
      </c>
      <c r="J4368" s="1365" t="n">
        <f aca="false">F4368*G4368</f>
        <v>81000</v>
      </c>
      <c r="K4368" s="1365" t="n">
        <f aca="false">J4368/1792.8</f>
        <v>45.1807228915663</v>
      </c>
      <c r="L4368" s="891" t="n">
        <v>4.8</v>
      </c>
      <c r="M4368" s="1273" t="n">
        <f aca="false">K4368*L4368/60</f>
        <v>3.6144578313253</v>
      </c>
    </row>
    <row r="4369" customFormat="false" ht="15" hidden="false" customHeight="false" outlineLevel="0" collapsed="false">
      <c r="A4369" s="1352"/>
      <c r="B4369" s="373"/>
      <c r="C4369" s="40" t="s">
        <v>7156</v>
      </c>
      <c r="D4369" s="316" t="n">
        <v>2015</v>
      </c>
      <c r="E4369" s="912" t="n">
        <f aca="false">2021-D4369</f>
        <v>6</v>
      </c>
      <c r="F4369" s="891" t="n">
        <v>694025</v>
      </c>
      <c r="G4369" s="1364" t="n">
        <v>0.1</v>
      </c>
      <c r="H4369" s="891" t="n">
        <f aca="false">E4369*F4369*G4369</f>
        <v>416415</v>
      </c>
      <c r="I4369" s="891" t="n">
        <f aca="false">F4369-H4369</f>
        <v>277610</v>
      </c>
      <c r="J4369" s="1365" t="n">
        <f aca="false">F4369*G4369</f>
        <v>69402.5</v>
      </c>
      <c r="K4369" s="1365" t="n">
        <f aca="false">J4369/1792.8</f>
        <v>38.711791610888</v>
      </c>
      <c r="L4369" s="891" t="n">
        <v>18</v>
      </c>
      <c r="M4369" s="1273" t="n">
        <f aca="false">K4369*L4369/60</f>
        <v>11.6135374832664</v>
      </c>
    </row>
    <row r="4370" customFormat="false" ht="15" hidden="false" customHeight="false" outlineLevel="0" collapsed="false">
      <c r="A4370" s="1352"/>
      <c r="B4370" s="373"/>
      <c r="C4370" s="40" t="s">
        <v>7157</v>
      </c>
      <c r="D4370" s="316" t="n">
        <v>2006</v>
      </c>
      <c r="E4370" s="912" t="n">
        <f aca="false">2021-D4370</f>
        <v>15</v>
      </c>
      <c r="F4370" s="891" t="n">
        <v>77000</v>
      </c>
      <c r="G4370" s="1364" t="n">
        <v>0.05</v>
      </c>
      <c r="H4370" s="891" t="n">
        <f aca="false">E4370*F4370*G4370</f>
        <v>57750</v>
      </c>
      <c r="I4370" s="891" t="n">
        <f aca="false">F4370-H4370</f>
        <v>19250</v>
      </c>
      <c r="J4370" s="1365" t="n">
        <f aca="false">F4370*G4370</f>
        <v>3850</v>
      </c>
      <c r="K4370" s="1365" t="n">
        <f aca="false">J4370/1792.8</f>
        <v>2.14747880410531</v>
      </c>
      <c r="L4370" s="891" t="n">
        <v>9.6</v>
      </c>
      <c r="M4370" s="1273" t="n">
        <f aca="false">K4370*L4370/60</f>
        <v>0.34359660865685</v>
      </c>
    </row>
    <row r="4371" customFormat="false" ht="15" hidden="false" customHeight="false" outlineLevel="0" collapsed="false">
      <c r="A4371" s="1352"/>
      <c r="B4371" s="373"/>
      <c r="C4371" s="40" t="s">
        <v>7159</v>
      </c>
      <c r="D4371" s="316" t="n">
        <v>2007</v>
      </c>
      <c r="E4371" s="912" t="n">
        <f aca="false">2021-D4371</f>
        <v>14</v>
      </c>
      <c r="F4371" s="891" t="n">
        <v>68000</v>
      </c>
      <c r="G4371" s="1364" t="n">
        <v>0.1</v>
      </c>
      <c r="H4371" s="891" t="n">
        <f aca="false">E4371*F4371*G4371</f>
        <v>95200</v>
      </c>
      <c r="I4371" s="891" t="n">
        <f aca="false">F4371-H4371</f>
        <v>-27200</v>
      </c>
      <c r="J4371" s="1365" t="n">
        <f aca="false">F4371*G4371</f>
        <v>6800</v>
      </c>
      <c r="K4371" s="1365" t="n">
        <f aca="false">J4371/1792.8</f>
        <v>3.79294957608211</v>
      </c>
      <c r="L4371" s="891" t="n">
        <v>9.6</v>
      </c>
      <c r="M4371" s="1273" t="n">
        <f aca="false">K4371*L4371/60</f>
        <v>0.606871932173137</v>
      </c>
    </row>
    <row r="4372" customFormat="false" ht="15" hidden="false" customHeight="false" outlineLevel="0" collapsed="false">
      <c r="A4372" s="1352"/>
      <c r="B4372" s="373"/>
      <c r="C4372" s="40" t="s">
        <v>7188</v>
      </c>
      <c r="D4372" s="316" t="n">
        <v>2006</v>
      </c>
      <c r="E4372" s="912" t="n">
        <f aca="false">2021-D4372</f>
        <v>15</v>
      </c>
      <c r="F4372" s="891" t="n">
        <v>30000</v>
      </c>
      <c r="G4372" s="1364" t="n">
        <v>0.1</v>
      </c>
      <c r="H4372" s="891" t="n">
        <f aca="false">E4372*F4372*G4372</f>
        <v>45000</v>
      </c>
      <c r="I4372" s="891" t="n">
        <f aca="false">F4372-H4372</f>
        <v>-15000</v>
      </c>
      <c r="J4372" s="1365" t="n">
        <f aca="false">F4372*G4372</f>
        <v>3000</v>
      </c>
      <c r="K4372" s="1365" t="n">
        <f aca="false">J4372/1792.8</f>
        <v>1.67336010709505</v>
      </c>
      <c r="L4372" s="891" t="n">
        <v>10</v>
      </c>
      <c r="M4372" s="1273" t="n">
        <f aca="false">K4372*L4372/60</f>
        <v>0.278893351182508</v>
      </c>
    </row>
    <row r="4373" customFormat="false" ht="15" hidden="false" customHeight="false" outlineLevel="0" collapsed="false">
      <c r="A4373" s="1352"/>
      <c r="B4373" s="373"/>
      <c r="C4373" s="40" t="s">
        <v>7176</v>
      </c>
      <c r="D4373" s="316" t="n">
        <v>2007</v>
      </c>
      <c r="E4373" s="912" t="n">
        <f aca="false">2021-D4373</f>
        <v>14</v>
      </c>
      <c r="F4373" s="891" t="n">
        <v>25000</v>
      </c>
      <c r="G4373" s="1364" t="n">
        <v>0.1</v>
      </c>
      <c r="H4373" s="891" t="n">
        <f aca="false">E4373*F4373*G4373</f>
        <v>35000</v>
      </c>
      <c r="I4373" s="891" t="n">
        <f aca="false">F4373-H4373</f>
        <v>-10000</v>
      </c>
      <c r="J4373" s="1365" t="n">
        <f aca="false">F4373*G4373</f>
        <v>2500</v>
      </c>
      <c r="K4373" s="1365" t="n">
        <f aca="false">J4373/1792.8</f>
        <v>1.39446675591254</v>
      </c>
      <c r="L4373" s="891" t="n">
        <v>10</v>
      </c>
      <c r="M4373" s="1273" t="n">
        <f aca="false">K4373*L4373/60</f>
        <v>0.232411125985423</v>
      </c>
    </row>
    <row r="4374" customFormat="false" ht="15" hidden="false" customHeight="false" outlineLevel="0" collapsed="false">
      <c r="A4374" s="1352"/>
      <c r="B4374" s="373"/>
      <c r="C4374" s="40" t="s">
        <v>7179</v>
      </c>
      <c r="D4374" s="316" t="n">
        <v>2007</v>
      </c>
      <c r="E4374" s="912" t="n">
        <f aca="false">2021-D4374</f>
        <v>14</v>
      </c>
      <c r="F4374" s="891" t="n">
        <v>18000</v>
      </c>
      <c r="G4374" s="1364" t="n">
        <v>0.1</v>
      </c>
      <c r="H4374" s="891" t="n">
        <f aca="false">E4374*F4374*G4374</f>
        <v>25200</v>
      </c>
      <c r="I4374" s="891" t="n">
        <f aca="false">F4374-H4374</f>
        <v>-7200</v>
      </c>
      <c r="J4374" s="1365" t="n">
        <f aca="false">F4374*G4374</f>
        <v>1800</v>
      </c>
      <c r="K4374" s="1365" t="n">
        <f aca="false">J4374/1792.8</f>
        <v>1.00401606425703</v>
      </c>
      <c r="L4374" s="891" t="n">
        <v>60</v>
      </c>
      <c r="M4374" s="1273" t="n">
        <f aca="false">K4374*L4374/60</f>
        <v>1.00401606425703</v>
      </c>
    </row>
    <row r="4375" customFormat="false" ht="15" hidden="false" customHeight="false" outlineLevel="0" collapsed="false">
      <c r="A4375" s="1352"/>
      <c r="B4375" s="1531" t="s">
        <v>4128</v>
      </c>
      <c r="C4375" s="40"/>
      <c r="D4375" s="316"/>
      <c r="E4375" s="912"/>
      <c r="F4375" s="891"/>
      <c r="G4375" s="1364"/>
      <c r="H4375" s="891"/>
      <c r="I4375" s="891"/>
      <c r="J4375" s="1365"/>
      <c r="K4375" s="1365" t="n">
        <f aca="false">J4375/1792.8</f>
        <v>0</v>
      </c>
      <c r="L4375" s="891"/>
      <c r="M4375" s="1366" t="n">
        <f aca="false">SUM(M4365:M4374)</f>
        <v>61.8556169120928</v>
      </c>
    </row>
    <row r="4376" customFormat="false" ht="30" hidden="false" customHeight="false" outlineLevel="0" collapsed="false">
      <c r="A4376" s="216" t="s">
        <v>2059</v>
      </c>
      <c r="B4376" s="374" t="s">
        <v>3763</v>
      </c>
      <c r="C4376" s="1532" t="s">
        <v>7199</v>
      </c>
      <c r="D4376" s="1533" t="n">
        <v>2013</v>
      </c>
      <c r="E4376" s="912" t="n">
        <f aca="false">2021-D4376</f>
        <v>8</v>
      </c>
      <c r="F4376" s="1533" t="n">
        <v>500000</v>
      </c>
      <c r="G4376" s="1533" t="n">
        <v>0.1</v>
      </c>
      <c r="H4376" s="891" t="n">
        <f aca="false">E4376*F4376*G4376</f>
        <v>400000</v>
      </c>
      <c r="I4376" s="891" t="n">
        <f aca="false">F4376-H4376</f>
        <v>100000</v>
      </c>
      <c r="J4376" s="1365" t="n">
        <f aca="false">F4376*G4376</f>
        <v>50000</v>
      </c>
      <c r="K4376" s="1365" t="n">
        <f aca="false">J4376/1792.8</f>
        <v>27.8893351182508</v>
      </c>
      <c r="L4376" s="1533" t="n">
        <v>3.2</v>
      </c>
      <c r="M4376" s="1273" t="n">
        <f aca="false">K4376*L4376/60</f>
        <v>1.48743120630671</v>
      </c>
    </row>
    <row r="4377" customFormat="false" ht="15" hidden="false" customHeight="false" outlineLevel="0" collapsed="false">
      <c r="A4377" s="1352"/>
      <c r="B4377" s="373"/>
      <c r="C4377" s="1532" t="s">
        <v>7198</v>
      </c>
      <c r="D4377" s="1533" t="n">
        <v>2013</v>
      </c>
      <c r="E4377" s="912" t="n">
        <f aca="false">2021-D4377</f>
        <v>8</v>
      </c>
      <c r="F4377" s="1533" t="n">
        <v>120000</v>
      </c>
      <c r="G4377" s="1533" t="n">
        <v>0.1</v>
      </c>
      <c r="H4377" s="891" t="n">
        <f aca="false">E4377*F4377*G4377</f>
        <v>96000</v>
      </c>
      <c r="I4377" s="891" t="n">
        <f aca="false">F4377-H4377</f>
        <v>24000</v>
      </c>
      <c r="J4377" s="1365" t="n">
        <f aca="false">F4377*G4377</f>
        <v>12000</v>
      </c>
      <c r="K4377" s="1365" t="n">
        <f aca="false">J4377/1792.8</f>
        <v>6.69344042838019</v>
      </c>
      <c r="L4377" s="1533" t="n">
        <v>3.2</v>
      </c>
      <c r="M4377" s="1273" t="n">
        <f aca="false">K4377*L4377/60</f>
        <v>0.35698348951361</v>
      </c>
    </row>
    <row r="4378" customFormat="false" ht="15" hidden="false" customHeight="false" outlineLevel="0" collapsed="false">
      <c r="A4378" s="1352"/>
      <c r="B4378" s="373"/>
      <c r="C4378" s="40" t="s">
        <v>7155</v>
      </c>
      <c r="D4378" s="316" t="n">
        <v>2007</v>
      </c>
      <c r="E4378" s="912" t="n">
        <f aca="false">2021-D4378</f>
        <v>14</v>
      </c>
      <c r="F4378" s="891" t="n">
        <v>810000</v>
      </c>
      <c r="G4378" s="1364" t="n">
        <v>0.1</v>
      </c>
      <c r="H4378" s="891" t="n">
        <f aca="false">E4378*F4378*G4378</f>
        <v>1134000</v>
      </c>
      <c r="I4378" s="891" t="n">
        <f aca="false">F4378-H4378</f>
        <v>-324000</v>
      </c>
      <c r="J4378" s="1365" t="n">
        <f aca="false">F4378*G4378</f>
        <v>81000</v>
      </c>
      <c r="K4378" s="1365" t="n">
        <f aca="false">J4378/1792.8</f>
        <v>45.1807228915663</v>
      </c>
      <c r="L4378" s="891" t="n">
        <v>4.8</v>
      </c>
      <c r="M4378" s="1273" t="n">
        <f aca="false">K4378*L4378/60</f>
        <v>3.6144578313253</v>
      </c>
    </row>
    <row r="4379" customFormat="false" ht="15" hidden="false" customHeight="false" outlineLevel="0" collapsed="false">
      <c r="A4379" s="1352"/>
      <c r="B4379" s="373"/>
      <c r="C4379" s="40" t="s">
        <v>7156</v>
      </c>
      <c r="D4379" s="316" t="n">
        <v>2015</v>
      </c>
      <c r="E4379" s="912" t="n">
        <f aca="false">2021-D4379</f>
        <v>6</v>
      </c>
      <c r="F4379" s="891" t="n">
        <v>694025</v>
      </c>
      <c r="G4379" s="1364" t="n">
        <v>0.1</v>
      </c>
      <c r="H4379" s="891" t="n">
        <f aca="false">E4379*F4379*G4379</f>
        <v>416415</v>
      </c>
      <c r="I4379" s="891" t="n">
        <f aca="false">F4379-H4379</f>
        <v>277610</v>
      </c>
      <c r="J4379" s="1365" t="n">
        <f aca="false">F4379*G4379</f>
        <v>69402.5</v>
      </c>
      <c r="K4379" s="1365" t="n">
        <f aca="false">J4379/1792.8</f>
        <v>38.711791610888</v>
      </c>
      <c r="L4379" s="891" t="n">
        <v>18</v>
      </c>
      <c r="M4379" s="1273" t="n">
        <f aca="false">K4379*L4379/60</f>
        <v>11.6135374832664</v>
      </c>
    </row>
    <row r="4380" customFormat="false" ht="15" hidden="false" customHeight="false" outlineLevel="0" collapsed="false">
      <c r="A4380" s="1352"/>
      <c r="B4380" s="373"/>
      <c r="C4380" s="40" t="s">
        <v>7157</v>
      </c>
      <c r="D4380" s="316" t="n">
        <v>2006</v>
      </c>
      <c r="E4380" s="912" t="n">
        <f aca="false">2021-D4380</f>
        <v>15</v>
      </c>
      <c r="F4380" s="891" t="n">
        <v>77000</v>
      </c>
      <c r="G4380" s="1364" t="n">
        <v>0.05</v>
      </c>
      <c r="H4380" s="891" t="n">
        <f aca="false">E4380*F4380*G4380</f>
        <v>57750</v>
      </c>
      <c r="I4380" s="891" t="n">
        <f aca="false">F4380-H4380</f>
        <v>19250</v>
      </c>
      <c r="J4380" s="1365" t="n">
        <f aca="false">F4380*G4380</f>
        <v>3850</v>
      </c>
      <c r="K4380" s="1365" t="n">
        <f aca="false">J4380/1792.8</f>
        <v>2.14747880410531</v>
      </c>
      <c r="L4380" s="891" t="n">
        <v>9.6</v>
      </c>
      <c r="M4380" s="1273" t="n">
        <f aca="false">K4380*L4380/60</f>
        <v>0.34359660865685</v>
      </c>
    </row>
    <row r="4381" customFormat="false" ht="15" hidden="false" customHeight="false" outlineLevel="0" collapsed="false">
      <c r="A4381" s="1352"/>
      <c r="B4381" s="1531"/>
      <c r="C4381" s="40" t="s">
        <v>7159</v>
      </c>
      <c r="D4381" s="316" t="n">
        <v>2007</v>
      </c>
      <c r="E4381" s="912" t="n">
        <f aca="false">2021-D4381</f>
        <v>14</v>
      </c>
      <c r="F4381" s="891" t="n">
        <v>68000</v>
      </c>
      <c r="G4381" s="1364" t="n">
        <v>0.1</v>
      </c>
      <c r="H4381" s="891" t="n">
        <f aca="false">E4381*F4381*G4381</f>
        <v>95200</v>
      </c>
      <c r="I4381" s="891" t="n">
        <f aca="false">F4381-H4381</f>
        <v>-27200</v>
      </c>
      <c r="J4381" s="1365" t="n">
        <f aca="false">F4381*G4381</f>
        <v>6800</v>
      </c>
      <c r="K4381" s="1365" t="n">
        <f aca="false">J4381/1792.8</f>
        <v>3.79294957608211</v>
      </c>
      <c r="L4381" s="891" t="n">
        <v>9.6</v>
      </c>
      <c r="M4381" s="1273" t="n">
        <f aca="false">K4381*L4381/60</f>
        <v>0.606871932173137</v>
      </c>
    </row>
    <row r="4382" customFormat="false" ht="15" hidden="false" customHeight="false" outlineLevel="0" collapsed="false">
      <c r="A4382" s="1352"/>
      <c r="B4382" s="972" t="s">
        <v>4128</v>
      </c>
      <c r="C4382" s="1053"/>
      <c r="D4382" s="965"/>
      <c r="E4382" s="912"/>
      <c r="F4382" s="1490"/>
      <c r="G4382" s="1490"/>
      <c r="H4382" s="891"/>
      <c r="I4382" s="891"/>
      <c r="J4382" s="1365"/>
      <c r="K4382" s="1365" t="n">
        <f aca="false">J4382/1792.8</f>
        <v>0</v>
      </c>
      <c r="L4382" s="1490"/>
      <c r="M4382" s="1366" t="n">
        <f aca="false">SUM(M4376:M4381)</f>
        <v>18.022878551242</v>
      </c>
    </row>
    <row r="4383" customFormat="false" ht="28.5" hidden="false" customHeight="false" outlineLevel="0" collapsed="false">
      <c r="A4383" s="375" t="s">
        <v>2061</v>
      </c>
      <c r="B4383" s="318" t="s">
        <v>3765</v>
      </c>
      <c r="C4383" s="1216"/>
      <c r="D4383" s="1546"/>
      <c r="E4383" s="1547"/>
      <c r="F4383" s="1456"/>
      <c r="G4383" s="1456"/>
      <c r="H4383" s="1456"/>
      <c r="I4383" s="1456"/>
      <c r="J4383" s="1456"/>
      <c r="K4383" s="1456"/>
      <c r="L4383" s="1455"/>
      <c r="M4383" s="1456"/>
    </row>
    <row r="4384" customFormat="false" ht="30" hidden="false" customHeight="false" outlineLevel="0" collapsed="false">
      <c r="A4384" s="1352" t="s">
        <v>2063</v>
      </c>
      <c r="B4384" s="40" t="s">
        <v>3766</v>
      </c>
      <c r="C4384" s="1161" t="s">
        <v>6999</v>
      </c>
      <c r="D4384" s="317" t="n">
        <v>2005</v>
      </c>
      <c r="E4384" s="912" t="n">
        <f aca="false">2021-D4384</f>
        <v>16</v>
      </c>
      <c r="F4384" s="1365" t="n">
        <v>253000</v>
      </c>
      <c r="G4384" s="1364" t="n">
        <v>0.1</v>
      </c>
      <c r="H4384" s="1365" t="n">
        <f aca="false">E4384*F4384*G4384</f>
        <v>404800</v>
      </c>
      <c r="I4384" s="1365" t="n">
        <f aca="false">F4384-H4384</f>
        <v>-151800</v>
      </c>
      <c r="J4384" s="1365" t="n">
        <f aca="false">F4384*G4384</f>
        <v>25300</v>
      </c>
      <c r="K4384" s="1365" t="n">
        <f aca="false">J4384/1792.8</f>
        <v>14.1120035698349</v>
      </c>
      <c r="L4384" s="1365" t="n">
        <v>10</v>
      </c>
      <c r="M4384" s="1273" t="n">
        <f aca="false">K4384*L4384/60</f>
        <v>2.35200059497248</v>
      </c>
    </row>
    <row r="4385" customFormat="false" ht="15" hidden="false" customHeight="false" outlineLevel="0" collapsed="false">
      <c r="A4385" s="216"/>
      <c r="B4385" s="78"/>
      <c r="C4385" s="1161" t="s">
        <v>7201</v>
      </c>
      <c r="D4385" s="317" t="n">
        <v>2008</v>
      </c>
      <c r="E4385" s="912" t="n">
        <f aca="false">2021-D4385</f>
        <v>13</v>
      </c>
      <c r="F4385" s="1365" t="n">
        <v>1849800</v>
      </c>
      <c r="G4385" s="1364" t="n">
        <v>0.1</v>
      </c>
      <c r="H4385" s="1365" t="n">
        <f aca="false">E4385*F4385*G4385</f>
        <v>2404740</v>
      </c>
      <c r="I4385" s="1365" t="n">
        <f aca="false">F4385-H4385</f>
        <v>-554940</v>
      </c>
      <c r="J4385" s="1365" t="n">
        <f aca="false">F4385*G4385</f>
        <v>184980</v>
      </c>
      <c r="K4385" s="1365" t="n">
        <f aca="false">J4385/1792.8</f>
        <v>103.179384203481</v>
      </c>
      <c r="L4385" s="1365" t="n">
        <v>20</v>
      </c>
      <c r="M4385" s="1273" t="n">
        <f aca="false">(J4385/1778.4)*(L4385/60)</f>
        <v>34.6716149347728</v>
      </c>
    </row>
    <row r="4386" customFormat="false" ht="15" hidden="false" customHeight="false" outlineLevel="0" collapsed="false">
      <c r="A4386" s="216"/>
      <c r="B4386" s="1548" t="s">
        <v>4128</v>
      </c>
      <c r="C4386" s="1185"/>
      <c r="D4386" s="1549"/>
      <c r="E4386" s="912"/>
      <c r="F4386" s="1550"/>
      <c r="G4386" s="1551"/>
      <c r="H4386" s="1370"/>
      <c r="I4386" s="1550"/>
      <c r="J4386" s="1370"/>
      <c r="K4386" s="1365" t="n">
        <f aca="false">J4386/1792.8</f>
        <v>0</v>
      </c>
      <c r="L4386" s="1550"/>
      <c r="M4386" s="1552" t="n">
        <f aca="false">SUM(M4384:M4385)</f>
        <v>37.0236155297453</v>
      </c>
    </row>
    <row r="4387" customFormat="false" ht="15" hidden="false" customHeight="false" outlineLevel="0" collapsed="false">
      <c r="A4387" s="216" t="s">
        <v>2065</v>
      </c>
      <c r="B4387" s="40" t="s">
        <v>3767</v>
      </c>
      <c r="C4387" s="1161" t="s">
        <v>6999</v>
      </c>
      <c r="D4387" s="317" t="n">
        <v>2005</v>
      </c>
      <c r="E4387" s="912" t="n">
        <f aca="false">2021-D4387</f>
        <v>16</v>
      </c>
      <c r="F4387" s="1365" t="n">
        <v>253000</v>
      </c>
      <c r="G4387" s="1364" t="n">
        <v>0.1</v>
      </c>
      <c r="H4387" s="1365" t="n">
        <f aca="false">E4387*F4387*G4387</f>
        <v>404800</v>
      </c>
      <c r="I4387" s="1365" t="n">
        <f aca="false">F4387-H4387</f>
        <v>-151800</v>
      </c>
      <c r="J4387" s="1365" t="n">
        <f aca="false">F4387*G4387</f>
        <v>25300</v>
      </c>
      <c r="K4387" s="1365" t="n">
        <f aca="false">J4387/1792.8</f>
        <v>14.1120035698349</v>
      </c>
      <c r="L4387" s="1365" t="n">
        <v>20</v>
      </c>
      <c r="M4387" s="1273" t="n">
        <f aca="false">(J4387/1778.4)*(L4387/60)</f>
        <v>4.74209026840606</v>
      </c>
    </row>
    <row r="4388" customFormat="false" ht="15" hidden="false" customHeight="false" outlineLevel="0" collapsed="false">
      <c r="A4388" s="216"/>
      <c r="B4388" s="1353"/>
      <c r="C4388" s="1161" t="s">
        <v>7201</v>
      </c>
      <c r="D4388" s="317" t="n">
        <v>2008</v>
      </c>
      <c r="E4388" s="912" t="n">
        <f aca="false">2021-D4388</f>
        <v>13</v>
      </c>
      <c r="F4388" s="1365" t="n">
        <v>1849800</v>
      </c>
      <c r="G4388" s="1364" t="n">
        <v>0.1</v>
      </c>
      <c r="H4388" s="1365" t="n">
        <f aca="false">E4388*F4388*G4388</f>
        <v>2404740</v>
      </c>
      <c r="I4388" s="1365" t="n">
        <f aca="false">F4388-H4388</f>
        <v>-554940</v>
      </c>
      <c r="J4388" s="1365" t="n">
        <f aca="false">F4388*G4388</f>
        <v>184980</v>
      </c>
      <c r="K4388" s="1365" t="n">
        <f aca="false">J4388/1792.8</f>
        <v>103.179384203481</v>
      </c>
      <c r="L4388" s="1365" t="n">
        <v>20</v>
      </c>
      <c r="M4388" s="1273" t="n">
        <f aca="false">(J4388/1778.4)*(L4388/60)</f>
        <v>34.6716149347728</v>
      </c>
    </row>
    <row r="4389" customFormat="false" ht="15" hidden="false" customHeight="false" outlineLevel="0" collapsed="false">
      <c r="A4389" s="216"/>
      <c r="B4389" s="1548" t="s">
        <v>4128</v>
      </c>
      <c r="C4389" s="1160"/>
      <c r="D4389" s="135"/>
      <c r="E4389" s="912"/>
      <c r="F4389" s="1370"/>
      <c r="G4389" s="1372"/>
      <c r="H4389" s="1370"/>
      <c r="I4389" s="1370"/>
      <c r="J4389" s="1370"/>
      <c r="K4389" s="1365" t="n">
        <f aca="false">J4389/1792.8</f>
        <v>0</v>
      </c>
      <c r="L4389" s="1370"/>
      <c r="M4389" s="1366" t="n">
        <f aca="false">SUM(M4387:M4388)</f>
        <v>39.4137052031789</v>
      </c>
    </row>
    <row r="4390" customFormat="false" ht="15" hidden="false" customHeight="false" outlineLevel="0" collapsed="false">
      <c r="A4390" s="216" t="s">
        <v>2067</v>
      </c>
      <c r="B4390" s="1353" t="s">
        <v>3768</v>
      </c>
      <c r="C4390" s="1161" t="s">
        <v>6999</v>
      </c>
      <c r="D4390" s="317" t="n">
        <v>2005</v>
      </c>
      <c r="E4390" s="912" t="n">
        <f aca="false">2021-D4390</f>
        <v>16</v>
      </c>
      <c r="F4390" s="1365" t="n">
        <v>253000</v>
      </c>
      <c r="G4390" s="1364" t="n">
        <v>0.1</v>
      </c>
      <c r="H4390" s="1365" t="n">
        <f aca="false">E4390*F4390*G4390</f>
        <v>404800</v>
      </c>
      <c r="I4390" s="1365" t="n">
        <f aca="false">F4390-H4390</f>
        <v>-151800</v>
      </c>
      <c r="J4390" s="1365" t="n">
        <f aca="false">F4390*G4390</f>
        <v>25300</v>
      </c>
      <c r="K4390" s="1365" t="n">
        <f aca="false">J4390/1792.8</f>
        <v>14.1120035698349</v>
      </c>
      <c r="L4390" s="1365" t="n">
        <v>20</v>
      </c>
      <c r="M4390" s="1273" t="n">
        <f aca="false">(J4390/1778.4)*(L4390/60)</f>
        <v>4.74209026840606</v>
      </c>
    </row>
    <row r="4391" customFormat="false" ht="15" hidden="false" customHeight="false" outlineLevel="0" collapsed="false">
      <c r="A4391" s="216"/>
      <c r="B4391" s="1548"/>
      <c r="C4391" s="1161" t="s">
        <v>7201</v>
      </c>
      <c r="D4391" s="317" t="n">
        <v>2008</v>
      </c>
      <c r="E4391" s="912" t="n">
        <f aca="false">2021-D4391</f>
        <v>13</v>
      </c>
      <c r="F4391" s="1365" t="n">
        <v>1849800</v>
      </c>
      <c r="G4391" s="1364" t="n">
        <v>0.1</v>
      </c>
      <c r="H4391" s="1365" t="n">
        <f aca="false">E4391*F4391*G4391</f>
        <v>2404740</v>
      </c>
      <c r="I4391" s="1365" t="n">
        <f aca="false">F4391-H4391</f>
        <v>-554940</v>
      </c>
      <c r="J4391" s="1365" t="n">
        <f aca="false">F4391*G4391</f>
        <v>184980</v>
      </c>
      <c r="K4391" s="1365" t="n">
        <f aca="false">J4391/1792.8</f>
        <v>103.179384203481</v>
      </c>
      <c r="L4391" s="1365" t="n">
        <v>20</v>
      </c>
      <c r="M4391" s="1273" t="n">
        <f aca="false">(J4391/1778.4)*(L4391/60)</f>
        <v>34.6716149347728</v>
      </c>
    </row>
    <row r="4392" customFormat="false" ht="15" hidden="false" customHeight="false" outlineLevel="0" collapsed="false">
      <c r="A4392" s="216"/>
      <c r="B4392" s="1548" t="s">
        <v>4128</v>
      </c>
      <c r="C4392" s="1160"/>
      <c r="D4392" s="135"/>
      <c r="E4392" s="912"/>
      <c r="F4392" s="1370"/>
      <c r="G4392" s="1372"/>
      <c r="H4392" s="1370"/>
      <c r="I4392" s="1370"/>
      <c r="J4392" s="1370"/>
      <c r="K4392" s="1365" t="n">
        <f aca="false">J4392/1792.8</f>
        <v>0</v>
      </c>
      <c r="L4392" s="1370"/>
      <c r="M4392" s="1366" t="n">
        <f aca="false">SUM(M4390:M4391)</f>
        <v>39.4137052031789</v>
      </c>
    </row>
    <row r="4393" customFormat="false" ht="15" hidden="false" customHeight="false" outlineLevel="0" collapsed="false">
      <c r="A4393" s="216" t="s">
        <v>2069</v>
      </c>
      <c r="B4393" s="40" t="s">
        <v>3769</v>
      </c>
      <c r="C4393" s="1161" t="s">
        <v>6999</v>
      </c>
      <c r="D4393" s="317" t="n">
        <v>2005</v>
      </c>
      <c r="E4393" s="912" t="n">
        <f aca="false">2021-D4393</f>
        <v>16</v>
      </c>
      <c r="F4393" s="1365" t="n">
        <v>253000</v>
      </c>
      <c r="G4393" s="1364" t="n">
        <v>0.1</v>
      </c>
      <c r="H4393" s="1365" t="n">
        <f aca="false">E4393*F4393*G4393</f>
        <v>404800</v>
      </c>
      <c r="I4393" s="1365" t="n">
        <f aca="false">F4393-H4393</f>
        <v>-151800</v>
      </c>
      <c r="J4393" s="1365" t="n">
        <f aca="false">F4393*G4393</f>
        <v>25300</v>
      </c>
      <c r="K4393" s="1365" t="n">
        <f aca="false">J4393/1792.8</f>
        <v>14.1120035698349</v>
      </c>
      <c r="L4393" s="1365" t="n">
        <v>35</v>
      </c>
      <c r="M4393" s="1273" t="n">
        <f aca="false">(J4393/1778.4)*(L4393/60)</f>
        <v>8.2986579697106</v>
      </c>
    </row>
    <row r="4394" customFormat="false" ht="15" hidden="false" customHeight="false" outlineLevel="0" collapsed="false">
      <c r="A4394" s="216"/>
      <c r="B4394" s="78"/>
      <c r="C4394" s="1161" t="s">
        <v>7201</v>
      </c>
      <c r="D4394" s="317" t="n">
        <v>2008</v>
      </c>
      <c r="E4394" s="912" t="n">
        <f aca="false">2021-D4394</f>
        <v>13</v>
      </c>
      <c r="F4394" s="1365" t="n">
        <v>1849800</v>
      </c>
      <c r="G4394" s="1364" t="n">
        <v>0.1</v>
      </c>
      <c r="H4394" s="1365" t="n">
        <f aca="false">E4394*F4394*G4394</f>
        <v>2404740</v>
      </c>
      <c r="I4394" s="1365" t="n">
        <f aca="false">F4394-H4394</f>
        <v>-554940</v>
      </c>
      <c r="J4394" s="1365" t="n">
        <f aca="false">F4394*G4394</f>
        <v>184980</v>
      </c>
      <c r="K4394" s="1365" t="n">
        <f aca="false">J4394/1792.8</f>
        <v>103.179384203481</v>
      </c>
      <c r="L4394" s="1365" t="n">
        <v>10</v>
      </c>
      <c r="M4394" s="1273" t="n">
        <f aca="false">(J4394/1778.4)*(L4394/60)</f>
        <v>17.3358074673864</v>
      </c>
    </row>
    <row r="4395" customFormat="false" ht="15" hidden="false" customHeight="false" outlineLevel="0" collapsed="false">
      <c r="A4395" s="216"/>
      <c r="B4395" s="1548" t="s">
        <v>4128</v>
      </c>
      <c r="C4395" s="1160"/>
      <c r="D4395" s="135"/>
      <c r="E4395" s="912"/>
      <c r="F4395" s="1370"/>
      <c r="G4395" s="1372"/>
      <c r="H4395" s="1370"/>
      <c r="I4395" s="1370"/>
      <c r="J4395" s="1370"/>
      <c r="K4395" s="1365" t="n">
        <f aca="false">J4395/1792.8</f>
        <v>0</v>
      </c>
      <c r="L4395" s="1370"/>
      <c r="M4395" s="1366" t="n">
        <f aca="false">SUM(M4393:M4394)</f>
        <v>25.634465437097</v>
      </c>
    </row>
    <row r="4396" customFormat="false" ht="30" hidden="false" customHeight="false" outlineLevel="0" collapsed="false">
      <c r="A4396" s="216" t="s">
        <v>2071</v>
      </c>
      <c r="B4396" s="40" t="s">
        <v>3770</v>
      </c>
      <c r="C4396" s="1161" t="s">
        <v>6999</v>
      </c>
      <c r="D4396" s="317" t="n">
        <v>2005</v>
      </c>
      <c r="E4396" s="912" t="n">
        <f aca="false">2021-D4396</f>
        <v>16</v>
      </c>
      <c r="F4396" s="1365" t="n">
        <v>253000</v>
      </c>
      <c r="G4396" s="1364" t="n">
        <v>0.1</v>
      </c>
      <c r="H4396" s="1365" t="n">
        <f aca="false">E4396*F4396*G4396</f>
        <v>404800</v>
      </c>
      <c r="I4396" s="1365" t="n">
        <f aca="false">F4396-H4396</f>
        <v>-151800</v>
      </c>
      <c r="J4396" s="1365" t="n">
        <f aca="false">F4396*G4396</f>
        <v>25300</v>
      </c>
      <c r="K4396" s="1365" t="n">
        <f aca="false">J4396/1792.8</f>
        <v>14.1120035698349</v>
      </c>
      <c r="L4396" s="1365" t="n">
        <v>7</v>
      </c>
      <c r="M4396" s="1273" t="n">
        <f aca="false">(J4396/1778.4)*(L4396/60)</f>
        <v>1.65973159394212</v>
      </c>
    </row>
    <row r="4397" customFormat="false" ht="21.75" hidden="false" customHeight="true" outlineLevel="0" collapsed="false">
      <c r="A4397" s="216"/>
      <c r="B4397" s="29"/>
      <c r="C4397" s="1161" t="s">
        <v>7202</v>
      </c>
      <c r="D4397" s="317" t="n">
        <v>2017</v>
      </c>
      <c r="E4397" s="912" t="n">
        <f aca="false">2021-D4397</f>
        <v>4</v>
      </c>
      <c r="F4397" s="1462" t="n">
        <v>192500</v>
      </c>
      <c r="G4397" s="1364" t="n">
        <v>0.1</v>
      </c>
      <c r="H4397" s="1365" t="n">
        <f aca="false">E4397*F4397*G4397</f>
        <v>77000</v>
      </c>
      <c r="I4397" s="1365" t="n">
        <f aca="false">F4397-H4397</f>
        <v>115500</v>
      </c>
      <c r="J4397" s="1365" t="n">
        <f aca="false">F4397*G4397</f>
        <v>19250</v>
      </c>
      <c r="K4397" s="1365" t="n">
        <f aca="false">J4397/1792.8</f>
        <v>10.7373940205266</v>
      </c>
      <c r="L4397" s="1365" t="n">
        <v>8</v>
      </c>
      <c r="M4397" s="1273" t="n">
        <f aca="false">(J4397/1778.4)*(L4397/60)</f>
        <v>1.4432448642975</v>
      </c>
    </row>
    <row r="4398" customFormat="false" ht="18.75" hidden="false" customHeight="true" outlineLevel="0" collapsed="false">
      <c r="A4398" s="216"/>
      <c r="B4398" s="78"/>
      <c r="C4398" s="1161" t="s">
        <v>7203</v>
      </c>
      <c r="D4398" s="317" t="n">
        <v>2016</v>
      </c>
      <c r="E4398" s="912" t="n">
        <f aca="false">2021-D4398</f>
        <v>5</v>
      </c>
      <c r="F4398" s="1365" t="n">
        <v>2100000</v>
      </c>
      <c r="G4398" s="1364" t="n">
        <v>0.1</v>
      </c>
      <c r="H4398" s="1365" t="n">
        <f aca="false">E4398*F4398*G4398</f>
        <v>1050000</v>
      </c>
      <c r="I4398" s="1365" t="n">
        <f aca="false">F4398-H4398</f>
        <v>1050000</v>
      </c>
      <c r="J4398" s="1365" t="n">
        <f aca="false">F4398*G4398</f>
        <v>210000</v>
      </c>
      <c r="K4398" s="1365" t="n">
        <f aca="false">J4398/1792.8</f>
        <v>117.135207496653</v>
      </c>
      <c r="L4398" s="1365" t="n">
        <v>9</v>
      </c>
      <c r="M4398" s="1273" t="n">
        <f aca="false">(J4398/1778.4)*(L4398/60)</f>
        <v>17.7125506072874</v>
      </c>
    </row>
    <row r="4399" customFormat="false" ht="30" hidden="false" customHeight="false" outlineLevel="0" collapsed="false">
      <c r="A4399" s="216"/>
      <c r="B4399" s="1548"/>
      <c r="C4399" s="1161" t="s">
        <v>7204</v>
      </c>
      <c r="D4399" s="317" t="n">
        <v>2013</v>
      </c>
      <c r="E4399" s="912" t="n">
        <f aca="false">2021-D4399</f>
        <v>8</v>
      </c>
      <c r="F4399" s="1273" t="n">
        <v>680000</v>
      </c>
      <c r="G4399" s="1364" t="n">
        <v>0.1</v>
      </c>
      <c r="H4399" s="1365" t="n">
        <f aca="false">E4399*F4399*G4399</f>
        <v>544000</v>
      </c>
      <c r="I4399" s="1365" t="n">
        <f aca="false">F4399-H4399</f>
        <v>136000</v>
      </c>
      <c r="J4399" s="1365" t="n">
        <f aca="false">SUM(J4396:J4398)</f>
        <v>254550</v>
      </c>
      <c r="K4399" s="1365" t="n">
        <f aca="false">J4399/1792.8</f>
        <v>141.984605087015</v>
      </c>
      <c r="L4399" s="1365" t="n">
        <f aca="false">SUM(L4396:L4398)</f>
        <v>24</v>
      </c>
      <c r="M4399" s="1273" t="n">
        <f aca="false">SUM(M4396:M4398)</f>
        <v>20.8155270655271</v>
      </c>
    </row>
    <row r="4400" customFormat="false" ht="15" hidden="false" customHeight="false" outlineLevel="0" collapsed="false">
      <c r="A4400" s="216"/>
      <c r="B4400" s="1548" t="s">
        <v>4128</v>
      </c>
      <c r="C4400" s="1161"/>
      <c r="D4400" s="317"/>
      <c r="E4400" s="912"/>
      <c r="F4400" s="1273"/>
      <c r="G4400" s="1364"/>
      <c r="H4400" s="1365"/>
      <c r="I4400" s="1365"/>
      <c r="J4400" s="1365"/>
      <c r="K4400" s="1365" t="n">
        <f aca="false">J4400/1792.8</f>
        <v>0</v>
      </c>
      <c r="L4400" s="1365"/>
      <c r="M4400" s="1366" t="n">
        <f aca="false">SUM(M4396:M4399)</f>
        <v>41.6310541310541</v>
      </c>
    </row>
    <row r="4401" customFormat="false" ht="15" hidden="false" customHeight="false" outlineLevel="0" collapsed="false">
      <c r="A4401" s="216" t="s">
        <v>2073</v>
      </c>
      <c r="B4401" s="29" t="s">
        <v>3771</v>
      </c>
      <c r="C4401" s="1161" t="s">
        <v>6999</v>
      </c>
      <c r="D4401" s="317" t="n">
        <v>2005</v>
      </c>
      <c r="E4401" s="912" t="n">
        <f aca="false">2021-D4401</f>
        <v>16</v>
      </c>
      <c r="F4401" s="1365" t="n">
        <v>253000</v>
      </c>
      <c r="G4401" s="1364" t="n">
        <v>0.1</v>
      </c>
      <c r="H4401" s="1365" t="n">
        <f aca="false">E4401*F4401*G4401</f>
        <v>404800</v>
      </c>
      <c r="I4401" s="1365" t="n">
        <f aca="false">F4401-H4401</f>
        <v>-151800</v>
      </c>
      <c r="J4401" s="1365" t="n">
        <f aca="false">F4401*G4401</f>
        <v>25300</v>
      </c>
      <c r="K4401" s="1365" t="n">
        <f aca="false">J4401/1792.8</f>
        <v>14.1120035698349</v>
      </c>
      <c r="L4401" s="1365" t="n">
        <v>7</v>
      </c>
      <c r="M4401" s="1273" t="n">
        <f aca="false">(J4401/1778.4)*(L4401/60)</f>
        <v>1.65973159394212</v>
      </c>
    </row>
    <row r="4402" customFormat="false" ht="15" hidden="false" customHeight="false" outlineLevel="0" collapsed="false">
      <c r="A4402" s="216"/>
      <c r="B4402" s="78"/>
      <c r="C4402" s="1161" t="s">
        <v>7205</v>
      </c>
      <c r="D4402" s="317" t="n">
        <v>2004</v>
      </c>
      <c r="E4402" s="912" t="n">
        <f aca="false">2021-D4402</f>
        <v>17</v>
      </c>
      <c r="F4402" s="1462" t="n">
        <v>292400</v>
      </c>
      <c r="G4402" s="1364" t="n">
        <v>0.1</v>
      </c>
      <c r="H4402" s="1365" t="n">
        <f aca="false">F4402</f>
        <v>292400</v>
      </c>
      <c r="I4402" s="1365" t="n">
        <f aca="false">F4402-H4402</f>
        <v>0</v>
      </c>
      <c r="J4402" s="1365" t="n">
        <f aca="false">F4402*G4402</f>
        <v>29240</v>
      </c>
      <c r="K4402" s="1365" t="n">
        <f aca="false">J4402/1792.8</f>
        <v>16.3096831771531</v>
      </c>
      <c r="L4402" s="1365" t="n">
        <v>30</v>
      </c>
      <c r="M4402" s="1273" t="n">
        <f aca="false">(J4402/1778.4)*(L4402/60)</f>
        <v>8.2208726945569</v>
      </c>
    </row>
    <row r="4403" customFormat="false" ht="15" hidden="false" customHeight="false" outlineLevel="0" collapsed="false">
      <c r="A4403" s="216"/>
      <c r="B4403" s="1548" t="s">
        <v>4128</v>
      </c>
      <c r="C4403" s="1160"/>
      <c r="D4403" s="135"/>
      <c r="E4403" s="912"/>
      <c r="F4403" s="1370"/>
      <c r="G4403" s="1372"/>
      <c r="H4403" s="1370"/>
      <c r="I4403" s="1370"/>
      <c r="J4403" s="1370"/>
      <c r="K4403" s="1365" t="n">
        <f aca="false">J4403/1792.8</f>
        <v>0</v>
      </c>
      <c r="L4403" s="1370"/>
      <c r="M4403" s="1366" t="n">
        <f aca="false">SUM(M4401:M4402)</f>
        <v>9.88060428849903</v>
      </c>
    </row>
    <row r="4404" customFormat="false" ht="15" hidden="false" customHeight="false" outlineLevel="0" collapsed="false">
      <c r="A4404" s="216" t="s">
        <v>2075</v>
      </c>
      <c r="B4404" s="29" t="s">
        <v>3772</v>
      </c>
      <c r="C4404" s="1161" t="s">
        <v>6999</v>
      </c>
      <c r="D4404" s="317" t="n">
        <v>2005</v>
      </c>
      <c r="E4404" s="912" t="n">
        <f aca="false">2021-D4404</f>
        <v>16</v>
      </c>
      <c r="F4404" s="1365" t="n">
        <v>253000</v>
      </c>
      <c r="G4404" s="1364" t="n">
        <v>0.1</v>
      </c>
      <c r="H4404" s="1365" t="n">
        <f aca="false">E4404*F4404*G4404</f>
        <v>404800</v>
      </c>
      <c r="I4404" s="1365" t="n">
        <f aca="false">F4404-H4404</f>
        <v>-151800</v>
      </c>
      <c r="J4404" s="1365" t="n">
        <f aca="false">F4404*G4404</f>
        <v>25300</v>
      </c>
      <c r="K4404" s="1365" t="n">
        <f aca="false">J4404/1792.8</f>
        <v>14.1120035698349</v>
      </c>
      <c r="L4404" s="1365" t="n">
        <v>20</v>
      </c>
      <c r="M4404" s="1273" t="n">
        <f aca="false">(J4404/1778.4)*(L4404/60)</f>
        <v>4.74209026840606</v>
      </c>
    </row>
    <row r="4405" customFormat="false" ht="15" hidden="false" customHeight="false" outlineLevel="0" collapsed="false">
      <c r="A4405" s="216"/>
      <c r="B4405" s="78"/>
      <c r="C4405" s="1161" t="s">
        <v>7205</v>
      </c>
      <c r="D4405" s="317" t="n">
        <v>2004</v>
      </c>
      <c r="E4405" s="912" t="n">
        <f aca="false">2021-D4405</f>
        <v>17</v>
      </c>
      <c r="F4405" s="1462" t="n">
        <v>292400</v>
      </c>
      <c r="G4405" s="1364" t="n">
        <v>0.1</v>
      </c>
      <c r="H4405" s="1365" t="n">
        <f aca="false">F4405</f>
        <v>292400</v>
      </c>
      <c r="I4405" s="1365" t="n">
        <f aca="false">F4405-H4405</f>
        <v>0</v>
      </c>
      <c r="J4405" s="1365" t="n">
        <f aca="false">F4405*G4405</f>
        <v>29240</v>
      </c>
      <c r="K4405" s="1365" t="n">
        <f aca="false">J4405/1792.8</f>
        <v>16.3096831771531</v>
      </c>
      <c r="L4405" s="1365" t="n">
        <v>20</v>
      </c>
      <c r="M4405" s="1273" t="n">
        <f aca="false">(J4405/1778.4)*(L4405/60)</f>
        <v>5.48058179637127</v>
      </c>
    </row>
    <row r="4406" customFormat="false" ht="15" hidden="false" customHeight="false" outlineLevel="0" collapsed="false">
      <c r="A4406" s="216"/>
      <c r="B4406" s="1548" t="s">
        <v>4128</v>
      </c>
      <c r="C4406" s="1160"/>
      <c r="D4406" s="135"/>
      <c r="E4406" s="912"/>
      <c r="F4406" s="1370"/>
      <c r="G4406" s="1372"/>
      <c r="H4406" s="1370"/>
      <c r="I4406" s="1370"/>
      <c r="J4406" s="1370"/>
      <c r="K4406" s="1365" t="n">
        <f aca="false">J4406/1792.8</f>
        <v>0</v>
      </c>
      <c r="L4406" s="1370"/>
      <c r="M4406" s="1366" t="n">
        <f aca="false">SUM(M4404:M4405)</f>
        <v>10.2226720647773</v>
      </c>
    </row>
    <row r="4407" customFormat="false" ht="60" hidden="false" customHeight="false" outlineLevel="0" collapsed="false">
      <c r="A4407" s="216" t="s">
        <v>2077</v>
      </c>
      <c r="B4407" s="40" t="s">
        <v>3773</v>
      </c>
      <c r="C4407" s="1161" t="s">
        <v>6999</v>
      </c>
      <c r="D4407" s="317" t="n">
        <v>2005</v>
      </c>
      <c r="E4407" s="912" t="n">
        <f aca="false">2021-D4407</f>
        <v>16</v>
      </c>
      <c r="F4407" s="1365" t="n">
        <v>253000</v>
      </c>
      <c r="G4407" s="1364" t="n">
        <v>0.1</v>
      </c>
      <c r="H4407" s="1365" t="n">
        <f aca="false">E4407*F4407*G4407</f>
        <v>404800</v>
      </c>
      <c r="I4407" s="1365" t="n">
        <f aca="false">F4407-H4407</f>
        <v>-151800</v>
      </c>
      <c r="J4407" s="1365" t="n">
        <f aca="false">F4407*G4407</f>
        <v>25300</v>
      </c>
      <c r="K4407" s="1365" t="n">
        <f aca="false">J4407/1792.8</f>
        <v>14.1120035698349</v>
      </c>
      <c r="L4407" s="1365" t="n">
        <v>10</v>
      </c>
      <c r="M4407" s="1273" t="n">
        <f aca="false">(J4407/1778.4)*(L4407/60)</f>
        <v>2.37104513420303</v>
      </c>
    </row>
    <row r="4408" customFormat="false" ht="15" hidden="false" customHeight="false" outlineLevel="0" collapsed="false">
      <c r="A4408" s="216"/>
      <c r="B4408" s="78"/>
      <c r="C4408" s="1161" t="s">
        <v>7201</v>
      </c>
      <c r="D4408" s="317" t="n">
        <v>2008</v>
      </c>
      <c r="E4408" s="912" t="n">
        <f aca="false">2021-D4408</f>
        <v>13</v>
      </c>
      <c r="F4408" s="1365" t="n">
        <v>1849800</v>
      </c>
      <c r="G4408" s="1364" t="n">
        <v>0.1</v>
      </c>
      <c r="H4408" s="1365" t="n">
        <f aca="false">E4408*F4408*G4408</f>
        <v>2404740</v>
      </c>
      <c r="I4408" s="1365" t="n">
        <f aca="false">F4408-H4408</f>
        <v>-554940</v>
      </c>
      <c r="J4408" s="1365" t="n">
        <f aca="false">F4408*G4408</f>
        <v>184980</v>
      </c>
      <c r="K4408" s="1365" t="n">
        <f aca="false">J4408/1792.8</f>
        <v>103.179384203481</v>
      </c>
      <c r="L4408" s="1365" t="n">
        <v>20</v>
      </c>
      <c r="M4408" s="1273" t="n">
        <f aca="false">(J4408/1778.4)*(L4408/60)</f>
        <v>34.6716149347728</v>
      </c>
    </row>
    <row r="4409" customFormat="false" ht="15" hidden="false" customHeight="false" outlineLevel="0" collapsed="false">
      <c r="A4409" s="216"/>
      <c r="B4409" s="1548" t="s">
        <v>4128</v>
      </c>
      <c r="C4409" s="1160"/>
      <c r="D4409" s="135"/>
      <c r="E4409" s="912"/>
      <c r="F4409" s="1370"/>
      <c r="G4409" s="1372"/>
      <c r="H4409" s="1370"/>
      <c r="I4409" s="1370"/>
      <c r="J4409" s="1370"/>
      <c r="K4409" s="1365" t="n">
        <f aca="false">J4409/1792.8</f>
        <v>0</v>
      </c>
      <c r="L4409" s="1370"/>
      <c r="M4409" s="1366" t="n">
        <f aca="false">SUM(M4407:M4408)</f>
        <v>37.0426600689759</v>
      </c>
    </row>
    <row r="4410" customFormat="false" ht="45" hidden="false" customHeight="false" outlineLevel="0" collapsed="false">
      <c r="A4410" s="216" t="s">
        <v>2079</v>
      </c>
      <c r="B4410" s="379" t="s">
        <v>3774</v>
      </c>
      <c r="C4410" s="1161" t="s">
        <v>7204</v>
      </c>
      <c r="D4410" s="317" t="n">
        <v>2013</v>
      </c>
      <c r="E4410" s="912" t="n">
        <f aca="false">2021-D4410</f>
        <v>8</v>
      </c>
      <c r="F4410" s="1273" t="n">
        <v>680000</v>
      </c>
      <c r="G4410" s="1364" t="n">
        <v>0.1</v>
      </c>
      <c r="H4410" s="1365" t="n">
        <f aca="false">E4410*F4410*G4410</f>
        <v>544000</v>
      </c>
      <c r="I4410" s="1365" t="n">
        <f aca="false">F4410-H4410</f>
        <v>136000</v>
      </c>
      <c r="J4410" s="1365" t="n">
        <f aca="false">F4410*G4410</f>
        <v>68000</v>
      </c>
      <c r="K4410" s="1365" t="n">
        <f aca="false">J4410/1792.8</f>
        <v>37.9294957608211</v>
      </c>
      <c r="L4410" s="1365" t="n">
        <v>20</v>
      </c>
      <c r="M4410" s="1366" t="n">
        <f aca="false">(J4410/1778.4)*(L4410/60)</f>
        <v>12.7455390613285</v>
      </c>
    </row>
    <row r="4411" customFormat="false" ht="45" hidden="false" customHeight="false" outlineLevel="0" collapsed="false">
      <c r="A4411" s="216" t="s">
        <v>2081</v>
      </c>
      <c r="B4411" s="379" t="s">
        <v>7206</v>
      </c>
      <c r="C4411" s="1161" t="s">
        <v>7204</v>
      </c>
      <c r="D4411" s="317" t="n">
        <v>2004</v>
      </c>
      <c r="E4411" s="912" t="n">
        <f aca="false">2021-D4411</f>
        <v>17</v>
      </c>
      <c r="F4411" s="1365" t="n">
        <v>680000</v>
      </c>
      <c r="G4411" s="1364" t="n">
        <v>0.1</v>
      </c>
      <c r="H4411" s="1365" t="n">
        <f aca="false">E4411*F4411*G4411</f>
        <v>1156000</v>
      </c>
      <c r="I4411" s="1365" t="n">
        <f aca="false">F4411-H4411</f>
        <v>-476000</v>
      </c>
      <c r="J4411" s="1365" t="n">
        <f aca="false">F4411*G4411</f>
        <v>68000</v>
      </c>
      <c r="K4411" s="1365" t="n">
        <f aca="false">J4411/1792.8</f>
        <v>37.9294957608211</v>
      </c>
      <c r="L4411" s="1365" t="n">
        <v>20</v>
      </c>
      <c r="M4411" s="1366" t="n">
        <f aca="false">(J4411/1778.4)*(L4411/60)</f>
        <v>12.7455390613285</v>
      </c>
    </row>
    <row r="4412" customFormat="false" ht="15" hidden="false" customHeight="false" outlineLevel="0" collapsed="false">
      <c r="A4412" s="216" t="s">
        <v>2083</v>
      </c>
      <c r="B4412" s="40" t="s">
        <v>3776</v>
      </c>
      <c r="C4412" s="1161" t="s">
        <v>7205</v>
      </c>
      <c r="D4412" s="317" t="n">
        <v>2004</v>
      </c>
      <c r="E4412" s="912" t="n">
        <f aca="false">2021-D4412</f>
        <v>17</v>
      </c>
      <c r="F4412" s="1365" t="n">
        <v>292400</v>
      </c>
      <c r="G4412" s="1364" t="n">
        <v>0.1</v>
      </c>
      <c r="H4412" s="1365" t="n">
        <f aca="false">F4412</f>
        <v>292400</v>
      </c>
      <c r="I4412" s="1365" t="n">
        <f aca="false">F4412-H4412</f>
        <v>0</v>
      </c>
      <c r="J4412" s="1365" t="n">
        <f aca="false">F4412*G4412</f>
        <v>29240</v>
      </c>
      <c r="K4412" s="1365" t="n">
        <f aca="false">J4412/1792.8</f>
        <v>16.3096831771531</v>
      </c>
      <c r="L4412" s="1365" t="n">
        <v>20</v>
      </c>
      <c r="M4412" s="1366" t="n">
        <f aca="false">(J4412/1778.4)*(L4412/60)</f>
        <v>5.48058179637127</v>
      </c>
    </row>
    <row r="4413" customFormat="false" ht="15" hidden="false" customHeight="false" outlineLevel="0" collapsed="false">
      <c r="A4413" s="216" t="s">
        <v>2085</v>
      </c>
      <c r="B4413" s="40" t="s">
        <v>3777</v>
      </c>
      <c r="C4413" s="1161" t="s">
        <v>7207</v>
      </c>
      <c r="D4413" s="317" t="n">
        <v>1985</v>
      </c>
      <c r="E4413" s="912" t="n">
        <f aca="false">2021-D4413</f>
        <v>36</v>
      </c>
      <c r="F4413" s="1365" t="n">
        <v>862000</v>
      </c>
      <c r="G4413" s="1364" t="n">
        <v>0.1</v>
      </c>
      <c r="H4413" s="1365" t="n">
        <f aca="false">E4413*F4413*G4413</f>
        <v>3103200</v>
      </c>
      <c r="I4413" s="1365" t="n">
        <f aca="false">F4413-H4413</f>
        <v>-2241200</v>
      </c>
      <c r="J4413" s="1365" t="n">
        <f aca="false">F4413*G4413</f>
        <v>86200</v>
      </c>
      <c r="K4413" s="1365" t="n">
        <f aca="false">J4413/1792.8</f>
        <v>48.0812137438643</v>
      </c>
      <c r="L4413" s="1365" t="n">
        <v>20</v>
      </c>
      <c r="M4413" s="1273" t="n">
        <f aca="false">(J4413/1778.4)*(L4413/60)</f>
        <v>16.1568451042135</v>
      </c>
    </row>
    <row r="4414" customFormat="false" ht="15" hidden="false" customHeight="false" outlineLevel="0" collapsed="false">
      <c r="A4414" s="216"/>
      <c r="B4414" s="1548"/>
      <c r="C4414" s="1161" t="s">
        <v>7154</v>
      </c>
      <c r="D4414" s="317" t="n">
        <v>2006</v>
      </c>
      <c r="E4414" s="912" t="n">
        <f aca="false">2021-D4414</f>
        <v>15</v>
      </c>
      <c r="F4414" s="1365" t="n">
        <v>100000</v>
      </c>
      <c r="G4414" s="1364" t="n">
        <v>0.1</v>
      </c>
      <c r="H4414" s="1365" t="n">
        <f aca="false">E4414*F4414*G4414</f>
        <v>150000</v>
      </c>
      <c r="I4414" s="1365" t="n">
        <f aca="false">F4414-H4414</f>
        <v>-50000</v>
      </c>
      <c r="J4414" s="1365" t="n">
        <f aca="false">F4414*G4414</f>
        <v>10000</v>
      </c>
      <c r="K4414" s="1365" t="n">
        <f aca="false">J4414/1792.8</f>
        <v>5.57786702365016</v>
      </c>
      <c r="L4414" s="1365" t="n">
        <v>60</v>
      </c>
      <c r="M4414" s="1273" t="n">
        <f aca="false">(J4414/1778.4)*(L4414/60)</f>
        <v>5.62303193882141</v>
      </c>
    </row>
    <row r="4415" customFormat="false" ht="15" hidden="false" customHeight="false" outlineLevel="0" collapsed="false">
      <c r="A4415" s="216"/>
      <c r="B4415" s="78"/>
      <c r="C4415" s="1161" t="s">
        <v>7208</v>
      </c>
      <c r="D4415" s="317" t="n">
        <v>2005</v>
      </c>
      <c r="E4415" s="912" t="n">
        <f aca="false">2021-D4415</f>
        <v>16</v>
      </c>
      <c r="F4415" s="1365" t="n">
        <v>1222776</v>
      </c>
      <c r="G4415" s="1364" t="n">
        <v>0.1</v>
      </c>
      <c r="H4415" s="1365" t="n">
        <f aca="false">E4415*F4415*G4415</f>
        <v>1956441.6</v>
      </c>
      <c r="I4415" s="1365" t="n">
        <f aca="false">F4415-H4415</f>
        <v>-733665.6</v>
      </c>
      <c r="J4415" s="1365" t="n">
        <f aca="false">F4415*G4415</f>
        <v>122277.6</v>
      </c>
      <c r="K4415" s="1365" t="n">
        <f aca="false">J4415/1792.8</f>
        <v>68.2048192771084</v>
      </c>
      <c r="L4415" s="1365" t="n">
        <v>18</v>
      </c>
      <c r="M4415" s="1273" t="n">
        <f aca="false">(J4415/1778.4)*(L4415/60)</f>
        <v>20.6271255060729</v>
      </c>
    </row>
    <row r="4416" customFormat="false" ht="15" hidden="false" customHeight="false" outlineLevel="0" collapsed="false">
      <c r="A4416" s="216"/>
      <c r="B4416" s="1548" t="s">
        <v>4128</v>
      </c>
      <c r="C4416" s="1160"/>
      <c r="D4416" s="135"/>
      <c r="E4416" s="912"/>
      <c r="F4416" s="1370"/>
      <c r="G4416" s="1372"/>
      <c r="H4416" s="1370"/>
      <c r="I4416" s="1370"/>
      <c r="J4416" s="1370"/>
      <c r="K4416" s="1365" t="n">
        <f aca="false">J4416/1792.8</f>
        <v>0</v>
      </c>
      <c r="L4416" s="1370"/>
      <c r="M4416" s="1366" t="n">
        <f aca="false">SUM(M4413:M4415)</f>
        <v>42.4070025491078</v>
      </c>
    </row>
    <row r="4417" customFormat="false" ht="15" hidden="false" customHeight="false" outlineLevel="0" collapsed="false">
      <c r="A4417" s="216" t="s">
        <v>2185</v>
      </c>
      <c r="B4417" s="40" t="s">
        <v>3778</v>
      </c>
      <c r="C4417" s="1161" t="s">
        <v>7207</v>
      </c>
      <c r="D4417" s="317" t="n">
        <v>1985</v>
      </c>
      <c r="E4417" s="912" t="n">
        <f aca="false">2021-D4417</f>
        <v>36</v>
      </c>
      <c r="F4417" s="1365" t="n">
        <v>862000</v>
      </c>
      <c r="G4417" s="1364" t="n">
        <v>0.1</v>
      </c>
      <c r="H4417" s="1365" t="n">
        <f aca="false">E4417*F4417*G4417</f>
        <v>3103200</v>
      </c>
      <c r="I4417" s="1365" t="n">
        <f aca="false">F4417-H4417</f>
        <v>-2241200</v>
      </c>
      <c r="J4417" s="1365" t="n">
        <f aca="false">F4417*G4417</f>
        <v>86200</v>
      </c>
      <c r="K4417" s="1365" t="n">
        <f aca="false">J4417/1792.8</f>
        <v>48.0812137438643</v>
      </c>
      <c r="L4417" s="1365" t="n">
        <v>20</v>
      </c>
      <c r="M4417" s="1273" t="n">
        <f aca="false">(J4417/1778.4)*(L4417/60)</f>
        <v>16.1568451042135</v>
      </c>
    </row>
    <row r="4418" customFormat="false" ht="15" hidden="false" customHeight="false" outlineLevel="0" collapsed="false">
      <c r="A4418" s="216"/>
      <c r="B4418" s="78"/>
      <c r="C4418" s="1161" t="s">
        <v>7154</v>
      </c>
      <c r="D4418" s="317" t="n">
        <v>2006</v>
      </c>
      <c r="E4418" s="912" t="n">
        <f aca="false">2021-D4418</f>
        <v>15</v>
      </c>
      <c r="F4418" s="1365" t="n">
        <v>100000</v>
      </c>
      <c r="G4418" s="1364" t="n">
        <v>0.1</v>
      </c>
      <c r="H4418" s="1365" t="n">
        <f aca="false">E4418*F4418*G4418</f>
        <v>150000</v>
      </c>
      <c r="I4418" s="1365" t="n">
        <f aca="false">F4418-H4418</f>
        <v>-50000</v>
      </c>
      <c r="J4418" s="1365" t="n">
        <f aca="false">F4418*G4418</f>
        <v>10000</v>
      </c>
      <c r="K4418" s="1365" t="n">
        <f aca="false">J4418/1792.8</f>
        <v>5.57786702365016</v>
      </c>
      <c r="L4418" s="1365" t="n">
        <v>60</v>
      </c>
      <c r="M4418" s="1273" t="n">
        <f aca="false">(J4418/1778.4)*(L4418/60)</f>
        <v>5.62303193882141</v>
      </c>
    </row>
    <row r="4419" customFormat="false" ht="15" hidden="false" customHeight="false" outlineLevel="0" collapsed="false">
      <c r="A4419" s="216"/>
      <c r="B4419" s="78"/>
      <c r="C4419" s="1161" t="s">
        <v>7208</v>
      </c>
      <c r="D4419" s="317" t="n">
        <v>2005</v>
      </c>
      <c r="E4419" s="912" t="n">
        <f aca="false">2021-D4419</f>
        <v>16</v>
      </c>
      <c r="F4419" s="1365" t="n">
        <v>1222776</v>
      </c>
      <c r="G4419" s="1364" t="n">
        <v>0.1</v>
      </c>
      <c r="H4419" s="1365" t="n">
        <f aca="false">E4419*F4419*G4419</f>
        <v>1956441.6</v>
      </c>
      <c r="I4419" s="1365" t="n">
        <f aca="false">F4419-H4419</f>
        <v>-733665.6</v>
      </c>
      <c r="J4419" s="1365" t="n">
        <f aca="false">F4419*G4419</f>
        <v>122277.6</v>
      </c>
      <c r="K4419" s="1365" t="n">
        <f aca="false">J4419/1792.8</f>
        <v>68.2048192771084</v>
      </c>
      <c r="L4419" s="1365" t="n">
        <v>18</v>
      </c>
      <c r="M4419" s="1273" t="n">
        <f aca="false">(J4419/1778.4)*(L4419/60)</f>
        <v>20.6271255060729</v>
      </c>
    </row>
    <row r="4420" customFormat="false" ht="15" hidden="false" customHeight="false" outlineLevel="0" collapsed="false">
      <c r="A4420" s="216"/>
      <c r="B4420" s="1548" t="s">
        <v>4128</v>
      </c>
      <c r="C4420" s="1160"/>
      <c r="D4420" s="135"/>
      <c r="E4420" s="912"/>
      <c r="F4420" s="1370"/>
      <c r="G4420" s="1372"/>
      <c r="H4420" s="1370"/>
      <c r="I4420" s="1370"/>
      <c r="J4420" s="1370"/>
      <c r="K4420" s="1365" t="n">
        <f aca="false">J4420/1792.8</f>
        <v>0</v>
      </c>
      <c r="L4420" s="1370"/>
      <c r="M4420" s="1366" t="n">
        <f aca="false">SUM(M4417:M4419)</f>
        <v>42.4070025491078</v>
      </c>
    </row>
    <row r="4421" customFormat="false" ht="15" hidden="false" customHeight="false" outlineLevel="0" collapsed="false">
      <c r="A4421" s="216" t="s">
        <v>2187</v>
      </c>
      <c r="B4421" s="40" t="s">
        <v>3779</v>
      </c>
      <c r="C4421" s="1161" t="s">
        <v>7207</v>
      </c>
      <c r="D4421" s="317" t="n">
        <v>1985</v>
      </c>
      <c r="E4421" s="912" t="n">
        <f aca="false">2021-D4421</f>
        <v>36</v>
      </c>
      <c r="F4421" s="1365" t="n">
        <v>862000</v>
      </c>
      <c r="G4421" s="1364" t="n">
        <v>0.1</v>
      </c>
      <c r="H4421" s="1365" t="n">
        <f aca="false">E4421*F4421*G4421</f>
        <v>3103200</v>
      </c>
      <c r="I4421" s="1365" t="n">
        <f aca="false">F4421-H4421</f>
        <v>-2241200</v>
      </c>
      <c r="J4421" s="1365" t="n">
        <f aca="false">F4421*G4421</f>
        <v>86200</v>
      </c>
      <c r="K4421" s="1365" t="n">
        <f aca="false">J4421/1792.8</f>
        <v>48.0812137438643</v>
      </c>
      <c r="L4421" s="1365" t="n">
        <v>20</v>
      </c>
      <c r="M4421" s="1273" t="n">
        <f aca="false">(J4421/1778.4)*(L4421/60)</f>
        <v>16.1568451042135</v>
      </c>
    </row>
    <row r="4422" customFormat="false" ht="15" hidden="false" customHeight="false" outlineLevel="0" collapsed="false">
      <c r="A4422" s="216"/>
      <c r="B4422" s="78"/>
      <c r="C4422" s="1161" t="s">
        <v>7154</v>
      </c>
      <c r="D4422" s="317" t="n">
        <v>2006</v>
      </c>
      <c r="E4422" s="912" t="n">
        <f aca="false">2021-D4422</f>
        <v>15</v>
      </c>
      <c r="F4422" s="1365" t="n">
        <v>100000</v>
      </c>
      <c r="G4422" s="1364" t="n">
        <v>0.1</v>
      </c>
      <c r="H4422" s="1365" t="n">
        <f aca="false">E4422*F4422*G4422</f>
        <v>150000</v>
      </c>
      <c r="I4422" s="1365" t="n">
        <f aca="false">F4422-H4422</f>
        <v>-50000</v>
      </c>
      <c r="J4422" s="1365" t="n">
        <f aca="false">F4422*G4422</f>
        <v>10000</v>
      </c>
      <c r="K4422" s="1365" t="n">
        <f aca="false">J4422/1792.8</f>
        <v>5.57786702365016</v>
      </c>
      <c r="L4422" s="1365" t="n">
        <v>60</v>
      </c>
      <c r="M4422" s="1273" t="n">
        <f aca="false">(J4422/1778.4)*(L4422/60)</f>
        <v>5.62303193882141</v>
      </c>
    </row>
    <row r="4423" customFormat="false" ht="15" hidden="false" customHeight="false" outlineLevel="0" collapsed="false">
      <c r="A4423" s="216"/>
      <c r="B4423" s="78"/>
      <c r="C4423" s="1161" t="s">
        <v>7208</v>
      </c>
      <c r="D4423" s="317" t="n">
        <v>2005</v>
      </c>
      <c r="E4423" s="912" t="n">
        <f aca="false">2021-D4423</f>
        <v>16</v>
      </c>
      <c r="F4423" s="1365" t="n">
        <v>1222776</v>
      </c>
      <c r="G4423" s="1364" t="n">
        <v>0.1</v>
      </c>
      <c r="H4423" s="1365" t="n">
        <f aca="false">E4423*F4423*G4423</f>
        <v>1956441.6</v>
      </c>
      <c r="I4423" s="1365" t="n">
        <f aca="false">F4423-H4423</f>
        <v>-733665.6</v>
      </c>
      <c r="J4423" s="1365" t="n">
        <f aca="false">F4423*G4423</f>
        <v>122277.6</v>
      </c>
      <c r="K4423" s="1365" t="n">
        <f aca="false">J4423/1792.8</f>
        <v>68.2048192771084</v>
      </c>
      <c r="L4423" s="1365" t="n">
        <v>18</v>
      </c>
      <c r="M4423" s="1273" t="n">
        <f aca="false">(J4423/1778.4)*(L4423/60)</f>
        <v>20.6271255060729</v>
      </c>
    </row>
    <row r="4424" customFormat="false" ht="15" hidden="false" customHeight="false" outlineLevel="0" collapsed="false">
      <c r="A4424" s="216"/>
      <c r="B4424" s="1548" t="s">
        <v>4128</v>
      </c>
      <c r="C4424" s="1160"/>
      <c r="D4424" s="135"/>
      <c r="E4424" s="912"/>
      <c r="F4424" s="1370"/>
      <c r="G4424" s="1372"/>
      <c r="H4424" s="1370"/>
      <c r="I4424" s="1370"/>
      <c r="J4424" s="1370"/>
      <c r="K4424" s="1365" t="n">
        <f aca="false">J4424/1792.8</f>
        <v>0</v>
      </c>
      <c r="L4424" s="1370"/>
      <c r="M4424" s="1366" t="n">
        <f aca="false">SUM(M4421:M4423)</f>
        <v>42.4070025491078</v>
      </c>
    </row>
    <row r="4425" customFormat="false" ht="15" hidden="false" customHeight="false" outlineLevel="0" collapsed="false">
      <c r="A4425" s="216" t="s">
        <v>2091</v>
      </c>
      <c r="B4425" s="40" t="s">
        <v>3780</v>
      </c>
      <c r="C4425" s="1161" t="s">
        <v>7207</v>
      </c>
      <c r="D4425" s="317" t="n">
        <v>1985</v>
      </c>
      <c r="E4425" s="912" t="n">
        <f aca="false">2021-D4425</f>
        <v>36</v>
      </c>
      <c r="F4425" s="1365" t="n">
        <v>862000</v>
      </c>
      <c r="G4425" s="1364" t="n">
        <v>0.1</v>
      </c>
      <c r="H4425" s="1365" t="n">
        <f aca="false">E4425*F4425*G4425</f>
        <v>3103200</v>
      </c>
      <c r="I4425" s="1365" t="n">
        <f aca="false">F4425-H4425</f>
        <v>-2241200</v>
      </c>
      <c r="J4425" s="1365" t="n">
        <f aca="false">F4425*G4425</f>
        <v>86200</v>
      </c>
      <c r="K4425" s="1365" t="n">
        <f aca="false">J4425/1792.8</f>
        <v>48.0812137438643</v>
      </c>
      <c r="L4425" s="1365" t="n">
        <v>20</v>
      </c>
      <c r="M4425" s="1273" t="n">
        <f aca="false">(J4425/1778.4)*(L4425/60)</f>
        <v>16.1568451042135</v>
      </c>
    </row>
    <row r="4426" customFormat="false" ht="15" hidden="false" customHeight="false" outlineLevel="0" collapsed="false">
      <c r="A4426" s="216"/>
      <c r="B4426" s="78"/>
      <c r="C4426" s="1161" t="s">
        <v>7154</v>
      </c>
      <c r="D4426" s="317" t="n">
        <v>2006</v>
      </c>
      <c r="E4426" s="912" t="n">
        <f aca="false">2021-D4426</f>
        <v>15</v>
      </c>
      <c r="F4426" s="1365" t="n">
        <v>100000</v>
      </c>
      <c r="G4426" s="1364" t="n">
        <v>0.1</v>
      </c>
      <c r="H4426" s="1365" t="n">
        <f aca="false">E4426*F4426*G4426</f>
        <v>150000</v>
      </c>
      <c r="I4426" s="1365" t="n">
        <f aca="false">F4426-H4426</f>
        <v>-50000</v>
      </c>
      <c r="J4426" s="1365" t="n">
        <f aca="false">F4426*G4426</f>
        <v>10000</v>
      </c>
      <c r="K4426" s="1365" t="n">
        <f aca="false">J4426/1792.8</f>
        <v>5.57786702365016</v>
      </c>
      <c r="L4426" s="1365" t="n">
        <v>60</v>
      </c>
      <c r="M4426" s="1273" t="n">
        <f aca="false">(J4426/1778.4)*(L4426/60)</f>
        <v>5.62303193882141</v>
      </c>
    </row>
    <row r="4427" customFormat="false" ht="15" hidden="false" customHeight="false" outlineLevel="0" collapsed="false">
      <c r="A4427" s="216"/>
      <c r="B4427" s="78"/>
      <c r="C4427" s="1161" t="s">
        <v>7208</v>
      </c>
      <c r="D4427" s="317" t="n">
        <v>2005</v>
      </c>
      <c r="E4427" s="912" t="n">
        <f aca="false">2021-D4427</f>
        <v>16</v>
      </c>
      <c r="F4427" s="1365" t="n">
        <v>1222776</v>
      </c>
      <c r="G4427" s="1364" t="n">
        <v>0.1</v>
      </c>
      <c r="H4427" s="1365" t="n">
        <f aca="false">E4427*F4427*G4427</f>
        <v>1956441.6</v>
      </c>
      <c r="I4427" s="1365" t="n">
        <f aca="false">F4427-H4427</f>
        <v>-733665.6</v>
      </c>
      <c r="J4427" s="1365" t="n">
        <f aca="false">F4427*G4427</f>
        <v>122277.6</v>
      </c>
      <c r="K4427" s="1365" t="n">
        <f aca="false">J4427/1792.8</f>
        <v>68.2048192771084</v>
      </c>
      <c r="L4427" s="1365" t="n">
        <v>18</v>
      </c>
      <c r="M4427" s="1273" t="n">
        <f aca="false">(J4427/1778.4)*(L4427/60)</f>
        <v>20.6271255060729</v>
      </c>
    </row>
    <row r="4428" customFormat="false" ht="15" hidden="false" customHeight="false" outlineLevel="0" collapsed="false">
      <c r="A4428" s="216"/>
      <c r="B4428" s="1548" t="s">
        <v>4128</v>
      </c>
      <c r="C4428" s="1160"/>
      <c r="D4428" s="135"/>
      <c r="E4428" s="912"/>
      <c r="F4428" s="1370"/>
      <c r="G4428" s="1372"/>
      <c r="H4428" s="1370"/>
      <c r="I4428" s="1370"/>
      <c r="J4428" s="1370"/>
      <c r="K4428" s="1365" t="n">
        <f aca="false">J4428/1792.8</f>
        <v>0</v>
      </c>
      <c r="L4428" s="1370"/>
      <c r="M4428" s="1366" t="n">
        <f aca="false">SUM(M4425:M4427)</f>
        <v>42.4070025491078</v>
      </c>
    </row>
    <row r="4429" customFormat="false" ht="30" hidden="false" customHeight="false" outlineLevel="0" collapsed="false">
      <c r="A4429" s="216" t="s">
        <v>2093</v>
      </c>
      <c r="B4429" s="40" t="s">
        <v>3781</v>
      </c>
      <c r="C4429" s="1161" t="s">
        <v>7207</v>
      </c>
      <c r="D4429" s="317" t="n">
        <v>1985</v>
      </c>
      <c r="E4429" s="912" t="n">
        <f aca="false">2021-D4429</f>
        <v>36</v>
      </c>
      <c r="F4429" s="1365" t="n">
        <v>862000</v>
      </c>
      <c r="G4429" s="1364" t="n">
        <v>0.1</v>
      </c>
      <c r="H4429" s="1365" t="n">
        <f aca="false">E4429*F4429*G4429</f>
        <v>3103200</v>
      </c>
      <c r="I4429" s="1365" t="n">
        <f aca="false">F4429-H4429</f>
        <v>-2241200</v>
      </c>
      <c r="J4429" s="1365" t="n">
        <f aca="false">F4429*G4429</f>
        <v>86200</v>
      </c>
      <c r="K4429" s="1365" t="n">
        <f aca="false">J4429/1792.8</f>
        <v>48.0812137438643</v>
      </c>
      <c r="L4429" s="1365" t="n">
        <v>20</v>
      </c>
      <c r="M4429" s="1273" t="n">
        <f aca="false">(J4429/1778.4)*(L4429/60)</f>
        <v>16.1568451042135</v>
      </c>
    </row>
    <row r="4430" customFormat="false" ht="15" hidden="false" customHeight="false" outlineLevel="0" collapsed="false">
      <c r="A4430" s="216"/>
      <c r="B4430" s="78"/>
      <c r="C4430" s="1161" t="s">
        <v>7154</v>
      </c>
      <c r="D4430" s="317" t="n">
        <v>2006</v>
      </c>
      <c r="E4430" s="912" t="n">
        <f aca="false">2021-D4430</f>
        <v>15</v>
      </c>
      <c r="F4430" s="1365" t="n">
        <v>100000</v>
      </c>
      <c r="G4430" s="1364" t="n">
        <v>0.1</v>
      </c>
      <c r="H4430" s="1365" t="n">
        <f aca="false">E4430*F4430*G4430</f>
        <v>150000</v>
      </c>
      <c r="I4430" s="1365" t="n">
        <f aca="false">F4430-H4430</f>
        <v>-50000</v>
      </c>
      <c r="J4430" s="1365" t="n">
        <f aca="false">F4430*G4430</f>
        <v>10000</v>
      </c>
      <c r="K4430" s="1365" t="n">
        <f aca="false">J4430/1792.8</f>
        <v>5.57786702365016</v>
      </c>
      <c r="L4430" s="1365" t="n">
        <v>60</v>
      </c>
      <c r="M4430" s="1273" t="n">
        <f aca="false">(J4430/1778.4)*(L4430/60)</f>
        <v>5.62303193882141</v>
      </c>
    </row>
    <row r="4431" customFormat="false" ht="15" hidden="false" customHeight="false" outlineLevel="0" collapsed="false">
      <c r="A4431" s="216"/>
      <c r="B4431" s="78"/>
      <c r="C4431" s="1161" t="s">
        <v>7208</v>
      </c>
      <c r="D4431" s="317" t="n">
        <v>2005</v>
      </c>
      <c r="E4431" s="912" t="n">
        <f aca="false">2021-D4431</f>
        <v>16</v>
      </c>
      <c r="F4431" s="1365" t="n">
        <v>1222776</v>
      </c>
      <c r="G4431" s="1364" t="n">
        <v>0.1</v>
      </c>
      <c r="H4431" s="1365" t="n">
        <f aca="false">E4431*F4431*G4431</f>
        <v>1956441.6</v>
      </c>
      <c r="I4431" s="1365" t="n">
        <f aca="false">F4431-H4431</f>
        <v>-733665.6</v>
      </c>
      <c r="J4431" s="1365" t="n">
        <f aca="false">F4431*G4431</f>
        <v>122277.6</v>
      </c>
      <c r="K4431" s="1365" t="n">
        <f aca="false">J4431/1792.8</f>
        <v>68.2048192771084</v>
      </c>
      <c r="L4431" s="1365" t="n">
        <v>18</v>
      </c>
      <c r="M4431" s="1273" t="n">
        <f aca="false">(J4431/1778.4)*(L4431/60)</f>
        <v>20.6271255060729</v>
      </c>
    </row>
    <row r="4432" customFormat="false" ht="15" hidden="false" customHeight="false" outlineLevel="0" collapsed="false">
      <c r="A4432" s="216"/>
      <c r="B4432" s="1548" t="s">
        <v>4128</v>
      </c>
      <c r="C4432" s="1160"/>
      <c r="D4432" s="135"/>
      <c r="E4432" s="912"/>
      <c r="F4432" s="1370"/>
      <c r="G4432" s="1372"/>
      <c r="H4432" s="1370"/>
      <c r="I4432" s="1370"/>
      <c r="J4432" s="1370"/>
      <c r="K4432" s="1365" t="n">
        <f aca="false">J4432/1792.8</f>
        <v>0</v>
      </c>
      <c r="L4432" s="1370"/>
      <c r="M4432" s="1366" t="n">
        <f aca="false">SUM(M4429:M4431)</f>
        <v>42.4070025491078</v>
      </c>
    </row>
    <row r="4433" customFormat="false" ht="30" hidden="false" customHeight="false" outlineLevel="0" collapsed="false">
      <c r="A4433" s="216" t="s">
        <v>2095</v>
      </c>
      <c r="B4433" s="40" t="s">
        <v>3782</v>
      </c>
      <c r="C4433" s="1161" t="s">
        <v>7207</v>
      </c>
      <c r="D4433" s="317" t="n">
        <v>1985</v>
      </c>
      <c r="E4433" s="912" t="n">
        <f aca="false">2021-D4433</f>
        <v>36</v>
      </c>
      <c r="F4433" s="1365" t="n">
        <v>862000</v>
      </c>
      <c r="G4433" s="1364" t="n">
        <v>0.1</v>
      </c>
      <c r="H4433" s="1365" t="n">
        <f aca="false">E4433*F4433*G4433</f>
        <v>3103200</v>
      </c>
      <c r="I4433" s="1365" t="n">
        <f aca="false">F4433-H4433</f>
        <v>-2241200</v>
      </c>
      <c r="J4433" s="1365" t="n">
        <f aca="false">F4433*G4433</f>
        <v>86200</v>
      </c>
      <c r="K4433" s="1365" t="n">
        <f aca="false">J4433/1792.8</f>
        <v>48.0812137438643</v>
      </c>
      <c r="L4433" s="1365" t="n">
        <v>20</v>
      </c>
      <c r="M4433" s="1273" t="n">
        <f aca="false">(J4433/1778.4)*(L4433/60)</f>
        <v>16.1568451042135</v>
      </c>
    </row>
    <row r="4434" customFormat="false" ht="15" hidden="false" customHeight="false" outlineLevel="0" collapsed="false">
      <c r="A4434" s="216"/>
      <c r="B4434" s="78"/>
      <c r="C4434" s="1161" t="s">
        <v>7154</v>
      </c>
      <c r="D4434" s="317" t="n">
        <v>2006</v>
      </c>
      <c r="E4434" s="912" t="n">
        <f aca="false">2021-D4434</f>
        <v>15</v>
      </c>
      <c r="F4434" s="1365" t="n">
        <v>100000</v>
      </c>
      <c r="G4434" s="1364" t="n">
        <v>0.1</v>
      </c>
      <c r="H4434" s="1365" t="n">
        <f aca="false">E4434*F4434*G4434</f>
        <v>150000</v>
      </c>
      <c r="I4434" s="1365" t="n">
        <f aca="false">F4434-H4434</f>
        <v>-50000</v>
      </c>
      <c r="J4434" s="1365" t="n">
        <f aca="false">F4434*G4434</f>
        <v>10000</v>
      </c>
      <c r="K4434" s="1365" t="n">
        <f aca="false">J4434/1792.8</f>
        <v>5.57786702365016</v>
      </c>
      <c r="L4434" s="1365" t="n">
        <v>60</v>
      </c>
      <c r="M4434" s="1273" t="n">
        <f aca="false">(J4434/1778.4)*(L4434/60)</f>
        <v>5.62303193882141</v>
      </c>
    </row>
    <row r="4435" customFormat="false" ht="15" hidden="false" customHeight="false" outlineLevel="0" collapsed="false">
      <c r="A4435" s="216"/>
      <c r="B4435" s="78"/>
      <c r="C4435" s="1161" t="s">
        <v>7208</v>
      </c>
      <c r="D4435" s="317" t="n">
        <v>2005</v>
      </c>
      <c r="E4435" s="912" t="n">
        <f aca="false">2021-D4435</f>
        <v>16</v>
      </c>
      <c r="F4435" s="1365" t="n">
        <v>1222776</v>
      </c>
      <c r="G4435" s="1364" t="n">
        <v>0.1</v>
      </c>
      <c r="H4435" s="1365" t="n">
        <f aca="false">E4435*F4435*G4435</f>
        <v>1956441.6</v>
      </c>
      <c r="I4435" s="1365" t="n">
        <f aca="false">F4435-H4435</f>
        <v>-733665.6</v>
      </c>
      <c r="J4435" s="1365" t="n">
        <f aca="false">F4435*G4435</f>
        <v>122277.6</v>
      </c>
      <c r="K4435" s="1365" t="n">
        <f aca="false">J4435/1792.8</f>
        <v>68.2048192771084</v>
      </c>
      <c r="L4435" s="1365" t="n">
        <v>18</v>
      </c>
      <c r="M4435" s="1273" t="n">
        <f aca="false">(J4435/1778.4)*(L4435/60)</f>
        <v>20.6271255060729</v>
      </c>
    </row>
    <row r="4436" customFormat="false" ht="15" hidden="false" customHeight="false" outlineLevel="0" collapsed="false">
      <c r="A4436" s="216"/>
      <c r="B4436" s="1548" t="s">
        <v>4128</v>
      </c>
      <c r="C4436" s="1160"/>
      <c r="D4436" s="135"/>
      <c r="E4436" s="912"/>
      <c r="F4436" s="1370"/>
      <c r="G4436" s="1372"/>
      <c r="H4436" s="1370"/>
      <c r="I4436" s="1370"/>
      <c r="J4436" s="1370"/>
      <c r="K4436" s="1365" t="n">
        <f aca="false">J4436/1792.8</f>
        <v>0</v>
      </c>
      <c r="L4436" s="1370"/>
      <c r="M4436" s="1366" t="n">
        <f aca="false">SUM(M4433:M4435)</f>
        <v>42.4070025491078</v>
      </c>
    </row>
    <row r="4437" customFormat="false" ht="30" hidden="false" customHeight="false" outlineLevel="0" collapsed="false">
      <c r="A4437" s="216" t="s">
        <v>2097</v>
      </c>
      <c r="B4437" s="40" t="s">
        <v>3783</v>
      </c>
      <c r="C4437" s="1161" t="s">
        <v>7207</v>
      </c>
      <c r="D4437" s="317" t="n">
        <v>1985</v>
      </c>
      <c r="E4437" s="912" t="n">
        <f aca="false">2021-D4437</f>
        <v>36</v>
      </c>
      <c r="F4437" s="1365" t="n">
        <v>862000</v>
      </c>
      <c r="G4437" s="1364" t="n">
        <v>0.1</v>
      </c>
      <c r="H4437" s="1365" t="n">
        <f aca="false">E4437*F4437*G4437</f>
        <v>3103200</v>
      </c>
      <c r="I4437" s="1365" t="n">
        <f aca="false">F4437-H4437</f>
        <v>-2241200</v>
      </c>
      <c r="J4437" s="1365" t="n">
        <f aca="false">F4437*G4437</f>
        <v>86200</v>
      </c>
      <c r="K4437" s="1365" t="n">
        <f aca="false">J4437/1792.8</f>
        <v>48.0812137438643</v>
      </c>
      <c r="L4437" s="1365" t="n">
        <v>20</v>
      </c>
      <c r="M4437" s="1273" t="n">
        <f aca="false">(J4437/1778.4)*(L4437/60)</f>
        <v>16.1568451042135</v>
      </c>
    </row>
    <row r="4438" customFormat="false" ht="15" hidden="false" customHeight="false" outlineLevel="0" collapsed="false">
      <c r="A4438" s="216"/>
      <c r="B4438" s="78"/>
      <c r="C4438" s="1161" t="s">
        <v>7154</v>
      </c>
      <c r="D4438" s="317" t="n">
        <v>2006</v>
      </c>
      <c r="E4438" s="912" t="n">
        <f aca="false">2021-D4438</f>
        <v>15</v>
      </c>
      <c r="F4438" s="1365" t="n">
        <v>100000</v>
      </c>
      <c r="G4438" s="1364" t="n">
        <v>0.1</v>
      </c>
      <c r="H4438" s="1365" t="n">
        <f aca="false">E4438*F4438*G4438</f>
        <v>150000</v>
      </c>
      <c r="I4438" s="1365" t="n">
        <f aca="false">F4438-H4438</f>
        <v>-50000</v>
      </c>
      <c r="J4438" s="1365" t="n">
        <f aca="false">F4438*G4438</f>
        <v>10000</v>
      </c>
      <c r="K4438" s="1365" t="n">
        <f aca="false">J4438/1792.8</f>
        <v>5.57786702365016</v>
      </c>
      <c r="L4438" s="1365" t="n">
        <v>60</v>
      </c>
      <c r="M4438" s="1273" t="n">
        <f aca="false">(J4438/1778.4)*(L4438/60)</f>
        <v>5.62303193882141</v>
      </c>
    </row>
    <row r="4439" customFormat="false" ht="15" hidden="false" customHeight="false" outlineLevel="0" collapsed="false">
      <c r="A4439" s="216"/>
      <c r="B4439" s="78"/>
      <c r="C4439" s="1161" t="s">
        <v>7208</v>
      </c>
      <c r="D4439" s="317" t="n">
        <v>2005</v>
      </c>
      <c r="E4439" s="912" t="n">
        <f aca="false">2021-D4439</f>
        <v>16</v>
      </c>
      <c r="F4439" s="1365" t="n">
        <v>1222776</v>
      </c>
      <c r="G4439" s="1364" t="n">
        <v>0.1</v>
      </c>
      <c r="H4439" s="1365" t="n">
        <f aca="false">E4439*F4439*G4439</f>
        <v>1956441.6</v>
      </c>
      <c r="I4439" s="1365" t="n">
        <f aca="false">F4439-H4439</f>
        <v>-733665.6</v>
      </c>
      <c r="J4439" s="1365" t="n">
        <f aca="false">F4439*G4439</f>
        <v>122277.6</v>
      </c>
      <c r="K4439" s="1365" t="n">
        <f aca="false">J4439/1792.8</f>
        <v>68.2048192771084</v>
      </c>
      <c r="L4439" s="1365" t="n">
        <v>18</v>
      </c>
      <c r="M4439" s="1273" t="n">
        <f aca="false">(J4439/1778.4)*(L4439/60)</f>
        <v>20.6271255060729</v>
      </c>
    </row>
    <row r="4440" customFormat="false" ht="15" hidden="false" customHeight="false" outlineLevel="0" collapsed="false">
      <c r="A4440" s="216"/>
      <c r="B4440" s="1548" t="s">
        <v>4128</v>
      </c>
      <c r="C4440" s="1160"/>
      <c r="D4440" s="135"/>
      <c r="E4440" s="912"/>
      <c r="F4440" s="1370"/>
      <c r="G4440" s="1372"/>
      <c r="H4440" s="1370"/>
      <c r="I4440" s="1370"/>
      <c r="J4440" s="1370"/>
      <c r="K4440" s="1365" t="n">
        <f aca="false">J4440/1792.8</f>
        <v>0</v>
      </c>
      <c r="L4440" s="1370"/>
      <c r="M4440" s="1366" t="n">
        <f aca="false">SUM(M4437:M4439)</f>
        <v>42.4070025491078</v>
      </c>
    </row>
    <row r="4441" customFormat="false" ht="15" hidden="false" customHeight="false" outlineLevel="0" collapsed="false">
      <c r="A4441" s="216" t="s">
        <v>2099</v>
      </c>
      <c r="B4441" s="40" t="s">
        <v>3784</v>
      </c>
      <c r="C4441" s="1161" t="s">
        <v>7207</v>
      </c>
      <c r="D4441" s="317" t="n">
        <v>1985</v>
      </c>
      <c r="E4441" s="912" t="n">
        <f aca="false">2021-D4441</f>
        <v>36</v>
      </c>
      <c r="F4441" s="1365" t="n">
        <v>862000</v>
      </c>
      <c r="G4441" s="1364" t="n">
        <v>0.1</v>
      </c>
      <c r="H4441" s="1365" t="n">
        <f aca="false">E4441*F4441*G4441</f>
        <v>3103200</v>
      </c>
      <c r="I4441" s="1365" t="n">
        <f aca="false">F4441-H4441</f>
        <v>-2241200</v>
      </c>
      <c r="J4441" s="1365" t="n">
        <f aca="false">F4441*G4441</f>
        <v>86200</v>
      </c>
      <c r="K4441" s="1365" t="n">
        <f aca="false">J4441/1792.8</f>
        <v>48.0812137438643</v>
      </c>
      <c r="L4441" s="1365" t="n">
        <v>20</v>
      </c>
      <c r="M4441" s="1273" t="n">
        <f aca="false">(J4441/1778.4)*(L4441/60)</f>
        <v>16.1568451042135</v>
      </c>
    </row>
    <row r="4442" customFormat="false" ht="15" hidden="false" customHeight="false" outlineLevel="0" collapsed="false">
      <c r="A4442" s="216"/>
      <c r="B4442" s="78"/>
      <c r="C4442" s="1161" t="s">
        <v>7154</v>
      </c>
      <c r="D4442" s="317" t="n">
        <v>2006</v>
      </c>
      <c r="E4442" s="912" t="n">
        <f aca="false">2021-D4442</f>
        <v>15</v>
      </c>
      <c r="F4442" s="1365" t="n">
        <v>100000</v>
      </c>
      <c r="G4442" s="1364" t="n">
        <v>0.1</v>
      </c>
      <c r="H4442" s="1365" t="n">
        <f aca="false">E4442*F4442*G4442</f>
        <v>150000</v>
      </c>
      <c r="I4442" s="1365" t="n">
        <f aca="false">F4442-H4442</f>
        <v>-50000</v>
      </c>
      <c r="J4442" s="1365" t="n">
        <f aca="false">F4442*G4442</f>
        <v>10000</v>
      </c>
      <c r="K4442" s="1365" t="n">
        <f aca="false">J4442/1792.8</f>
        <v>5.57786702365016</v>
      </c>
      <c r="L4442" s="1365" t="n">
        <v>60</v>
      </c>
      <c r="M4442" s="1273" t="n">
        <f aca="false">(J4442/1778.4)*(L4442/60)</f>
        <v>5.62303193882141</v>
      </c>
    </row>
    <row r="4443" customFormat="false" ht="15" hidden="false" customHeight="false" outlineLevel="0" collapsed="false">
      <c r="A4443" s="216"/>
      <c r="B4443" s="78"/>
      <c r="C4443" s="1161" t="s">
        <v>7208</v>
      </c>
      <c r="D4443" s="317" t="n">
        <v>2005</v>
      </c>
      <c r="E4443" s="912" t="n">
        <f aca="false">2021-D4443</f>
        <v>16</v>
      </c>
      <c r="F4443" s="1365" t="n">
        <v>1222776</v>
      </c>
      <c r="G4443" s="1364" t="n">
        <v>0.1</v>
      </c>
      <c r="H4443" s="1365" t="n">
        <f aca="false">E4443*F4443*G4443</f>
        <v>1956441.6</v>
      </c>
      <c r="I4443" s="1365" t="n">
        <f aca="false">F4443-H4443</f>
        <v>-733665.6</v>
      </c>
      <c r="J4443" s="1365" t="n">
        <f aca="false">F4443*G4443</f>
        <v>122277.6</v>
      </c>
      <c r="K4443" s="1365" t="n">
        <f aca="false">J4443/1792.8</f>
        <v>68.2048192771084</v>
      </c>
      <c r="L4443" s="1365" t="n">
        <v>18</v>
      </c>
      <c r="M4443" s="1273" t="n">
        <f aca="false">(J4443/1778.4)*(L4443/60)</f>
        <v>20.6271255060729</v>
      </c>
    </row>
    <row r="4444" customFormat="false" ht="15" hidden="false" customHeight="false" outlineLevel="0" collapsed="false">
      <c r="A4444" s="216"/>
      <c r="B4444" s="1548" t="s">
        <v>4128</v>
      </c>
      <c r="C4444" s="1160"/>
      <c r="D4444" s="135"/>
      <c r="E4444" s="912"/>
      <c r="F4444" s="1370"/>
      <c r="G4444" s="1372"/>
      <c r="H4444" s="1370"/>
      <c r="I4444" s="1370"/>
      <c r="J4444" s="1370"/>
      <c r="K4444" s="1365" t="n">
        <f aca="false">J4444/1792.8</f>
        <v>0</v>
      </c>
      <c r="L4444" s="1370"/>
      <c r="M4444" s="1366" t="n">
        <f aca="false">SUM(M4441:M4443)</f>
        <v>42.4070025491078</v>
      </c>
    </row>
    <row r="4445" customFormat="false" ht="15" hidden="false" customHeight="false" outlineLevel="0" collapsed="false">
      <c r="A4445" s="216" t="s">
        <v>2101</v>
      </c>
      <c r="B4445" s="29" t="s">
        <v>3785</v>
      </c>
      <c r="C4445" s="1161" t="s">
        <v>7170</v>
      </c>
      <c r="D4445" s="317" t="n">
        <v>2006</v>
      </c>
      <c r="E4445" s="912" t="n">
        <f aca="false">2021-D4445</f>
        <v>15</v>
      </c>
      <c r="F4445" s="1365" t="n">
        <v>192500</v>
      </c>
      <c r="G4445" s="1364" t="n">
        <v>0.1</v>
      </c>
      <c r="H4445" s="1365" t="n">
        <f aca="false">E4445*F4445*G4445</f>
        <v>288750</v>
      </c>
      <c r="I4445" s="1365" t="n">
        <f aca="false">F4445-H4445</f>
        <v>-96250</v>
      </c>
      <c r="J4445" s="1365" t="n">
        <f aca="false">F4445*G4445</f>
        <v>19250</v>
      </c>
      <c r="K4445" s="1365" t="n">
        <f aca="false">J4445/1792.8</f>
        <v>10.7373940205266</v>
      </c>
      <c r="L4445" s="1365" t="n">
        <v>10</v>
      </c>
      <c r="M4445" s="1273" t="n">
        <f aca="false">(J4445/1778.4)*(L4445/60)</f>
        <v>1.80405608037187</v>
      </c>
    </row>
    <row r="4446" customFormat="false" ht="15" hidden="false" customHeight="false" outlineLevel="0" collapsed="false">
      <c r="A4446" s="216"/>
      <c r="B4446" s="78"/>
      <c r="C4446" s="1161" t="s">
        <v>7154</v>
      </c>
      <c r="D4446" s="317" t="n">
        <v>2006</v>
      </c>
      <c r="E4446" s="912" t="n">
        <f aca="false">2021-D4446</f>
        <v>15</v>
      </c>
      <c r="F4446" s="1365" t="n">
        <v>100000</v>
      </c>
      <c r="G4446" s="1364" t="n">
        <v>0.1</v>
      </c>
      <c r="H4446" s="1365" t="n">
        <f aca="false">E4446*F4446*G4446</f>
        <v>150000</v>
      </c>
      <c r="I4446" s="1365" t="n">
        <f aca="false">F4446-H4446</f>
        <v>-50000</v>
      </c>
      <c r="J4446" s="1365" t="n">
        <f aca="false">F4446*G4446</f>
        <v>10000</v>
      </c>
      <c r="K4446" s="1365" t="n">
        <f aca="false">J4446/1792.8</f>
        <v>5.57786702365016</v>
      </c>
      <c r="L4446" s="1365" t="n">
        <v>60</v>
      </c>
      <c r="M4446" s="1273" t="n">
        <f aca="false">(J4446/1778.4)*(L4446/60)</f>
        <v>5.62303193882141</v>
      </c>
    </row>
    <row r="4447" customFormat="false" ht="15" hidden="false" customHeight="false" outlineLevel="0" collapsed="false">
      <c r="A4447" s="216"/>
      <c r="B4447" s="78"/>
      <c r="C4447" s="1161" t="s">
        <v>7208</v>
      </c>
      <c r="D4447" s="317" t="n">
        <v>2005</v>
      </c>
      <c r="E4447" s="912" t="n">
        <f aca="false">2021-D4447</f>
        <v>16</v>
      </c>
      <c r="F4447" s="1365" t="n">
        <v>1222776</v>
      </c>
      <c r="G4447" s="1364" t="n">
        <v>0.1</v>
      </c>
      <c r="H4447" s="1365" t="n">
        <f aca="false">E4447*F4447*G4447</f>
        <v>1956441.6</v>
      </c>
      <c r="I4447" s="1365" t="n">
        <f aca="false">F4447-H4447</f>
        <v>-733665.6</v>
      </c>
      <c r="J4447" s="1365" t="n">
        <f aca="false">F4447*G4447</f>
        <v>122277.6</v>
      </c>
      <c r="K4447" s="1365" t="n">
        <f aca="false">J4447/1792.8</f>
        <v>68.2048192771084</v>
      </c>
      <c r="L4447" s="1365" t="n">
        <v>18</v>
      </c>
      <c r="M4447" s="1273" t="n">
        <f aca="false">(J4447/1778.4)*(L4447/60)</f>
        <v>20.6271255060729</v>
      </c>
    </row>
    <row r="4448" customFormat="false" ht="15" hidden="false" customHeight="false" outlineLevel="0" collapsed="false">
      <c r="A4448" s="216"/>
      <c r="B4448" s="1548" t="s">
        <v>4128</v>
      </c>
      <c r="C4448" s="1160"/>
      <c r="D4448" s="135"/>
      <c r="E4448" s="912"/>
      <c r="F4448" s="1370"/>
      <c r="G4448" s="1372"/>
      <c r="H4448" s="1370"/>
      <c r="I4448" s="1370"/>
      <c r="J4448" s="1370"/>
      <c r="K4448" s="1365" t="n">
        <f aca="false">J4448/1792.8</f>
        <v>0</v>
      </c>
      <c r="L4448" s="1370"/>
      <c r="M4448" s="1366" t="n">
        <f aca="false">SUM(M4445:M4447)</f>
        <v>28.0542135252662</v>
      </c>
    </row>
    <row r="4449" customFormat="false" ht="15" hidden="false" customHeight="false" outlineLevel="0" collapsed="false">
      <c r="A4449" s="216" t="s">
        <v>2103</v>
      </c>
      <c r="B4449" s="29" t="s">
        <v>3786</v>
      </c>
      <c r="C4449" s="1161" t="s">
        <v>7207</v>
      </c>
      <c r="D4449" s="317" t="n">
        <v>1985</v>
      </c>
      <c r="E4449" s="912" t="n">
        <f aca="false">2021-D4449</f>
        <v>36</v>
      </c>
      <c r="F4449" s="1365" t="n">
        <v>862000</v>
      </c>
      <c r="G4449" s="1364" t="n">
        <v>0.1</v>
      </c>
      <c r="H4449" s="1365" t="n">
        <f aca="false">E4449*F4449*G4449</f>
        <v>3103200</v>
      </c>
      <c r="I4449" s="1365" t="n">
        <f aca="false">F4449-H4449</f>
        <v>-2241200</v>
      </c>
      <c r="J4449" s="1365" t="n">
        <f aca="false">F4449*G4449</f>
        <v>86200</v>
      </c>
      <c r="K4449" s="1365" t="n">
        <f aca="false">J4449/1792.8</f>
        <v>48.0812137438643</v>
      </c>
      <c r="L4449" s="1365" t="n">
        <v>20</v>
      </c>
      <c r="M4449" s="1273" t="n">
        <f aca="false">(J4449/1778.4)*(L4449/60)</f>
        <v>16.1568451042135</v>
      </c>
    </row>
    <row r="4450" customFormat="false" ht="15" hidden="false" customHeight="false" outlineLevel="0" collapsed="false">
      <c r="A4450" s="216"/>
      <c r="B4450" s="78"/>
      <c r="C4450" s="1161" t="s">
        <v>7154</v>
      </c>
      <c r="D4450" s="317" t="n">
        <v>2006</v>
      </c>
      <c r="E4450" s="912" t="n">
        <f aca="false">2021-D4450</f>
        <v>15</v>
      </c>
      <c r="F4450" s="1365" t="n">
        <v>100000</v>
      </c>
      <c r="G4450" s="1364" t="n">
        <v>0.1</v>
      </c>
      <c r="H4450" s="1365" t="n">
        <f aca="false">E4450*F4450*G4450</f>
        <v>150000</v>
      </c>
      <c r="I4450" s="1365" t="n">
        <f aca="false">F4450-H4450</f>
        <v>-50000</v>
      </c>
      <c r="J4450" s="1365" t="n">
        <f aca="false">F4450*G4450</f>
        <v>10000</v>
      </c>
      <c r="K4450" s="1365" t="n">
        <f aca="false">J4450/1792.8</f>
        <v>5.57786702365016</v>
      </c>
      <c r="L4450" s="1365" t="n">
        <v>60</v>
      </c>
      <c r="M4450" s="1273" t="n">
        <f aca="false">(J4450/1778.4)*(L4450/60)</f>
        <v>5.62303193882141</v>
      </c>
    </row>
    <row r="4451" customFormat="false" ht="15" hidden="false" customHeight="false" outlineLevel="0" collapsed="false">
      <c r="A4451" s="216"/>
      <c r="B4451" s="78"/>
      <c r="C4451" s="1161" t="s">
        <v>7208</v>
      </c>
      <c r="D4451" s="317" t="n">
        <v>2005</v>
      </c>
      <c r="E4451" s="912" t="n">
        <f aca="false">2021-D4451</f>
        <v>16</v>
      </c>
      <c r="F4451" s="1365" t="n">
        <v>1222776</v>
      </c>
      <c r="G4451" s="1364" t="n">
        <v>0.1</v>
      </c>
      <c r="H4451" s="1365" t="n">
        <f aca="false">E4451*F4451*G4451</f>
        <v>1956441.6</v>
      </c>
      <c r="I4451" s="1365" t="n">
        <f aca="false">F4451-H4451</f>
        <v>-733665.6</v>
      </c>
      <c r="J4451" s="1365" t="n">
        <f aca="false">F4451*G4451</f>
        <v>122277.6</v>
      </c>
      <c r="K4451" s="1365" t="n">
        <f aca="false">J4451/1792.8</f>
        <v>68.2048192771084</v>
      </c>
      <c r="L4451" s="1365" t="n">
        <v>18</v>
      </c>
      <c r="M4451" s="1273" t="n">
        <f aca="false">(J4451/1778.4)*(L4451/60)</f>
        <v>20.6271255060729</v>
      </c>
    </row>
    <row r="4452" customFormat="false" ht="15" hidden="false" customHeight="false" outlineLevel="0" collapsed="false">
      <c r="A4452" s="216"/>
      <c r="B4452" s="1548" t="s">
        <v>4128</v>
      </c>
      <c r="C4452" s="1160"/>
      <c r="D4452" s="135"/>
      <c r="E4452" s="912"/>
      <c r="F4452" s="1370"/>
      <c r="G4452" s="1372"/>
      <c r="H4452" s="1370"/>
      <c r="I4452" s="1370"/>
      <c r="J4452" s="1370"/>
      <c r="K4452" s="1365" t="n">
        <f aca="false">J4452/1792.8</f>
        <v>0</v>
      </c>
      <c r="L4452" s="1370"/>
      <c r="M4452" s="1366" t="n">
        <f aca="false">SUM(M4449:M4451)</f>
        <v>42.4070025491078</v>
      </c>
    </row>
    <row r="4453" customFormat="false" ht="15" hidden="false" customHeight="false" outlineLevel="0" collapsed="false">
      <c r="A4453" s="216" t="s">
        <v>2105</v>
      </c>
      <c r="B4453" s="29" t="s">
        <v>3787</v>
      </c>
      <c r="C4453" s="1161" t="s">
        <v>7207</v>
      </c>
      <c r="D4453" s="317" t="n">
        <v>1985</v>
      </c>
      <c r="E4453" s="912" t="n">
        <f aca="false">2021-D4453</f>
        <v>36</v>
      </c>
      <c r="F4453" s="1365" t="n">
        <v>862000</v>
      </c>
      <c r="G4453" s="1364" t="n">
        <v>0.1</v>
      </c>
      <c r="H4453" s="1365" t="n">
        <f aca="false">E4453*F4453*G4453</f>
        <v>3103200</v>
      </c>
      <c r="I4453" s="1365" t="n">
        <f aca="false">F4453-H4453</f>
        <v>-2241200</v>
      </c>
      <c r="J4453" s="1365" t="n">
        <f aca="false">F4453*G4453</f>
        <v>86200</v>
      </c>
      <c r="K4453" s="1365" t="n">
        <f aca="false">J4453/1792.8</f>
        <v>48.0812137438643</v>
      </c>
      <c r="L4453" s="1365" t="n">
        <v>20</v>
      </c>
      <c r="M4453" s="1273" t="n">
        <f aca="false">(J4453/1778.4)*(L4453/60)</f>
        <v>16.1568451042135</v>
      </c>
    </row>
    <row r="4454" customFormat="false" ht="15" hidden="false" customHeight="false" outlineLevel="0" collapsed="false">
      <c r="A4454" s="216"/>
      <c r="B4454" s="78"/>
      <c r="C4454" s="1161" t="s">
        <v>7154</v>
      </c>
      <c r="D4454" s="317" t="n">
        <v>2006</v>
      </c>
      <c r="E4454" s="912" t="n">
        <f aca="false">2021-D4454</f>
        <v>15</v>
      </c>
      <c r="F4454" s="1365" t="n">
        <v>100000</v>
      </c>
      <c r="G4454" s="1364" t="n">
        <v>0.1</v>
      </c>
      <c r="H4454" s="1365" t="n">
        <f aca="false">E4454*F4454*G4454</f>
        <v>150000</v>
      </c>
      <c r="I4454" s="1365" t="n">
        <f aca="false">F4454-H4454</f>
        <v>-50000</v>
      </c>
      <c r="J4454" s="1365" t="n">
        <f aca="false">F4454*G4454</f>
        <v>10000</v>
      </c>
      <c r="K4454" s="1365" t="n">
        <f aca="false">J4454/1792.8</f>
        <v>5.57786702365016</v>
      </c>
      <c r="L4454" s="1365" t="n">
        <v>60</v>
      </c>
      <c r="M4454" s="1273" t="n">
        <f aca="false">(J4454/1778.4)*(L4454/60)</f>
        <v>5.62303193882141</v>
      </c>
    </row>
    <row r="4455" customFormat="false" ht="15" hidden="false" customHeight="false" outlineLevel="0" collapsed="false">
      <c r="A4455" s="216"/>
      <c r="B4455" s="78"/>
      <c r="C4455" s="1161" t="s">
        <v>7208</v>
      </c>
      <c r="D4455" s="317" t="n">
        <v>2005</v>
      </c>
      <c r="E4455" s="912" t="n">
        <f aca="false">2021-D4455</f>
        <v>16</v>
      </c>
      <c r="F4455" s="1365" t="n">
        <v>1222776</v>
      </c>
      <c r="G4455" s="1364" t="n">
        <v>0.1</v>
      </c>
      <c r="H4455" s="1365" t="n">
        <f aca="false">E4455*F4455*G4455</f>
        <v>1956441.6</v>
      </c>
      <c r="I4455" s="1365" t="n">
        <f aca="false">F4455-H4455</f>
        <v>-733665.6</v>
      </c>
      <c r="J4455" s="1365" t="n">
        <f aca="false">F4455*G4455</f>
        <v>122277.6</v>
      </c>
      <c r="K4455" s="1365" t="n">
        <f aca="false">J4455/1792.8</f>
        <v>68.2048192771084</v>
      </c>
      <c r="L4455" s="1365" t="n">
        <v>18</v>
      </c>
      <c r="M4455" s="1273" t="n">
        <f aca="false">(J4455/1778.4)*(L4455/60)</f>
        <v>20.6271255060729</v>
      </c>
    </row>
    <row r="4456" customFormat="false" ht="15" hidden="false" customHeight="false" outlineLevel="0" collapsed="false">
      <c r="A4456" s="216"/>
      <c r="B4456" s="1548" t="s">
        <v>4128</v>
      </c>
      <c r="C4456" s="1160"/>
      <c r="D4456" s="135"/>
      <c r="E4456" s="912"/>
      <c r="F4456" s="1370"/>
      <c r="G4456" s="1372"/>
      <c r="H4456" s="1370"/>
      <c r="I4456" s="1370"/>
      <c r="J4456" s="1370"/>
      <c r="K4456" s="1365" t="n">
        <f aca="false">J4456/1792.8</f>
        <v>0</v>
      </c>
      <c r="L4456" s="1370"/>
      <c r="M4456" s="1366" t="n">
        <f aca="false">SUM(M4453:M4455)</f>
        <v>42.4070025491078</v>
      </c>
    </row>
    <row r="4457" customFormat="false" ht="15" hidden="false" customHeight="false" outlineLevel="0" collapsed="false">
      <c r="A4457" s="216" t="s">
        <v>2107</v>
      </c>
      <c r="B4457" s="29" t="s">
        <v>3788</v>
      </c>
      <c r="C4457" s="1161" t="s">
        <v>7207</v>
      </c>
      <c r="D4457" s="317" t="n">
        <v>1985</v>
      </c>
      <c r="E4457" s="912" t="n">
        <f aca="false">2021-D4457</f>
        <v>36</v>
      </c>
      <c r="F4457" s="1365" t="n">
        <v>862000</v>
      </c>
      <c r="G4457" s="1364" t="n">
        <v>0.1</v>
      </c>
      <c r="H4457" s="1365" t="n">
        <f aca="false">E4457*F4457*G4457</f>
        <v>3103200</v>
      </c>
      <c r="I4457" s="1365" t="n">
        <f aca="false">F4457-H4457</f>
        <v>-2241200</v>
      </c>
      <c r="J4457" s="1365" t="n">
        <f aca="false">F4457*G4457</f>
        <v>86200</v>
      </c>
      <c r="K4457" s="1365" t="n">
        <f aca="false">J4457/1792.8</f>
        <v>48.0812137438643</v>
      </c>
      <c r="L4457" s="1365" t="n">
        <v>20</v>
      </c>
      <c r="M4457" s="1273" t="n">
        <f aca="false">(J4457/1778.4)*(L4457/60)</f>
        <v>16.1568451042135</v>
      </c>
    </row>
    <row r="4458" customFormat="false" ht="15" hidden="false" customHeight="false" outlineLevel="0" collapsed="false">
      <c r="A4458" s="216"/>
      <c r="B4458" s="78"/>
      <c r="C4458" s="1161" t="s">
        <v>7154</v>
      </c>
      <c r="D4458" s="317" t="n">
        <v>2006</v>
      </c>
      <c r="E4458" s="912" t="n">
        <f aca="false">2021-D4458</f>
        <v>15</v>
      </c>
      <c r="F4458" s="1365" t="n">
        <v>100000</v>
      </c>
      <c r="G4458" s="1364" t="n">
        <v>0.1</v>
      </c>
      <c r="H4458" s="1365" t="n">
        <f aca="false">E4458*F4458*G4458</f>
        <v>150000</v>
      </c>
      <c r="I4458" s="1365" t="n">
        <f aca="false">F4458-H4458</f>
        <v>-50000</v>
      </c>
      <c r="J4458" s="1365" t="n">
        <f aca="false">F4458*G4458</f>
        <v>10000</v>
      </c>
      <c r="K4458" s="1365" t="n">
        <f aca="false">J4458/1792.8</f>
        <v>5.57786702365016</v>
      </c>
      <c r="L4458" s="1365" t="n">
        <v>60</v>
      </c>
      <c r="M4458" s="1273" t="n">
        <f aca="false">(J4458/1778.4)*(L4458/60)</f>
        <v>5.62303193882141</v>
      </c>
    </row>
    <row r="4459" customFormat="false" ht="15" hidden="false" customHeight="false" outlineLevel="0" collapsed="false">
      <c r="A4459" s="216"/>
      <c r="B4459" s="78"/>
      <c r="C4459" s="1161" t="s">
        <v>7208</v>
      </c>
      <c r="D4459" s="317" t="n">
        <v>2005</v>
      </c>
      <c r="E4459" s="912" t="n">
        <f aca="false">2021-D4459</f>
        <v>16</v>
      </c>
      <c r="F4459" s="1365" t="n">
        <v>1222776</v>
      </c>
      <c r="G4459" s="1364" t="n">
        <v>0.1</v>
      </c>
      <c r="H4459" s="1365" t="n">
        <f aca="false">E4459*F4459*G4459</f>
        <v>1956441.6</v>
      </c>
      <c r="I4459" s="1365" t="n">
        <f aca="false">F4459-H4459</f>
        <v>-733665.6</v>
      </c>
      <c r="J4459" s="1365" t="n">
        <f aca="false">F4459*G4459</f>
        <v>122277.6</v>
      </c>
      <c r="K4459" s="1365" t="n">
        <f aca="false">J4459/1792.8</f>
        <v>68.2048192771084</v>
      </c>
      <c r="L4459" s="1365" t="n">
        <v>18</v>
      </c>
      <c r="M4459" s="1273" t="n">
        <f aca="false">(J4459/1778.4)*(L4459/60)</f>
        <v>20.6271255060729</v>
      </c>
    </row>
    <row r="4460" customFormat="false" ht="15" hidden="false" customHeight="false" outlineLevel="0" collapsed="false">
      <c r="A4460" s="216"/>
      <c r="B4460" s="1548" t="s">
        <v>4128</v>
      </c>
      <c r="C4460" s="1160"/>
      <c r="D4460" s="135"/>
      <c r="E4460" s="912"/>
      <c r="F4460" s="1370"/>
      <c r="G4460" s="1372"/>
      <c r="H4460" s="1370"/>
      <c r="I4460" s="1370"/>
      <c r="J4460" s="1370"/>
      <c r="K4460" s="1365" t="n">
        <f aca="false">J4460/1792.8</f>
        <v>0</v>
      </c>
      <c r="L4460" s="1370"/>
      <c r="M4460" s="1366" t="n">
        <f aca="false">SUM(M4457:M4459)</f>
        <v>42.4070025491078</v>
      </c>
    </row>
    <row r="4461" customFormat="false" ht="30" hidden="false" customHeight="false" outlineLevel="0" collapsed="false">
      <c r="A4461" s="216" t="s">
        <v>2109</v>
      </c>
      <c r="B4461" s="29" t="s">
        <v>3789</v>
      </c>
      <c r="C4461" s="1161" t="s">
        <v>7201</v>
      </c>
      <c r="D4461" s="317" t="n">
        <v>2008</v>
      </c>
      <c r="E4461" s="912" t="n">
        <f aca="false">2021-D4461</f>
        <v>13</v>
      </c>
      <c r="F4461" s="1365" t="n">
        <v>1849800</v>
      </c>
      <c r="G4461" s="1364" t="n">
        <v>0.1</v>
      </c>
      <c r="H4461" s="1365" t="n">
        <f aca="false">E4461*F4461*G4461</f>
        <v>2404740</v>
      </c>
      <c r="I4461" s="1365" t="n">
        <f aca="false">F4461-H4461</f>
        <v>-554940</v>
      </c>
      <c r="J4461" s="1365" t="n">
        <f aca="false">F4461*G4461</f>
        <v>184980</v>
      </c>
      <c r="K4461" s="1365" t="n">
        <f aca="false">J4461/1792.8</f>
        <v>103.179384203481</v>
      </c>
      <c r="L4461" s="1365" t="n">
        <v>20</v>
      </c>
      <c r="M4461" s="1366" t="n">
        <f aca="false">(J4461/1778.4)*(L4461/60)</f>
        <v>34.6716149347728</v>
      </c>
    </row>
    <row r="4462" customFormat="false" ht="30" hidden="false" customHeight="false" outlineLevel="0" collapsed="false">
      <c r="A4462" s="216" t="s">
        <v>2111</v>
      </c>
      <c r="B4462" s="29" t="s">
        <v>3790</v>
      </c>
      <c r="C4462" s="1161" t="s">
        <v>7201</v>
      </c>
      <c r="D4462" s="317" t="n">
        <v>2008</v>
      </c>
      <c r="E4462" s="912" t="n">
        <f aca="false">2021-D4462</f>
        <v>13</v>
      </c>
      <c r="F4462" s="1365" t="n">
        <v>1849800</v>
      </c>
      <c r="G4462" s="1364" t="n">
        <v>0.1</v>
      </c>
      <c r="H4462" s="1365" t="n">
        <f aca="false">E4462*F4462*G4462</f>
        <v>2404740</v>
      </c>
      <c r="I4462" s="1365" t="n">
        <f aca="false">F4462-H4462</f>
        <v>-554940</v>
      </c>
      <c r="J4462" s="1365" t="n">
        <f aca="false">F4462*G4462</f>
        <v>184980</v>
      </c>
      <c r="K4462" s="1365" t="n">
        <f aca="false">J4462/1792.8</f>
        <v>103.179384203481</v>
      </c>
      <c r="L4462" s="1365" t="n">
        <v>20</v>
      </c>
      <c r="M4462" s="1366" t="n">
        <f aca="false">(J4462/1778.4)*(L4462/60)</f>
        <v>34.6716149347728</v>
      </c>
    </row>
    <row r="4463" customFormat="false" ht="30" hidden="false" customHeight="false" outlineLevel="0" collapsed="false">
      <c r="A4463" s="216" t="s">
        <v>2113</v>
      </c>
      <c r="B4463" s="29" t="s">
        <v>3791</v>
      </c>
      <c r="C4463" s="1161" t="s">
        <v>7201</v>
      </c>
      <c r="D4463" s="317" t="n">
        <v>2008</v>
      </c>
      <c r="E4463" s="912" t="n">
        <f aca="false">2021-D4463</f>
        <v>13</v>
      </c>
      <c r="F4463" s="1365" t="n">
        <v>1849800</v>
      </c>
      <c r="G4463" s="1364" t="n">
        <v>0.1</v>
      </c>
      <c r="H4463" s="1365" t="n">
        <f aca="false">E4463*F4463*G4463</f>
        <v>2404740</v>
      </c>
      <c r="I4463" s="1365" t="n">
        <f aca="false">F4463-H4463</f>
        <v>-554940</v>
      </c>
      <c r="J4463" s="1365" t="n">
        <f aca="false">F4463*G4463</f>
        <v>184980</v>
      </c>
      <c r="K4463" s="1365" t="n">
        <f aca="false">J4463/1792.8</f>
        <v>103.179384203481</v>
      </c>
      <c r="L4463" s="1365" t="n">
        <v>20</v>
      </c>
      <c r="M4463" s="1366" t="n">
        <f aca="false">(J4463/1778.4)*(L4463/60)</f>
        <v>34.6716149347728</v>
      </c>
    </row>
    <row r="4464" customFormat="false" ht="45" hidden="false" customHeight="false" outlineLevel="0" collapsed="false">
      <c r="A4464" s="216" t="s">
        <v>2115</v>
      </c>
      <c r="B4464" s="40" t="s">
        <v>3792</v>
      </c>
      <c r="C4464" s="1161" t="s">
        <v>7207</v>
      </c>
      <c r="D4464" s="317" t="n">
        <v>1985</v>
      </c>
      <c r="E4464" s="912" t="n">
        <f aca="false">2021-D4464</f>
        <v>36</v>
      </c>
      <c r="F4464" s="1365" t="n">
        <v>862000</v>
      </c>
      <c r="G4464" s="1364" t="n">
        <v>0.1</v>
      </c>
      <c r="H4464" s="1365" t="n">
        <f aca="false">E4464*F4464*G4464</f>
        <v>3103200</v>
      </c>
      <c r="I4464" s="1365" t="n">
        <f aca="false">F4464-H4464</f>
        <v>-2241200</v>
      </c>
      <c r="J4464" s="1365" t="n">
        <f aca="false">F4464*G4464</f>
        <v>86200</v>
      </c>
      <c r="K4464" s="1365" t="n">
        <f aca="false">J4464/1792.8</f>
        <v>48.0812137438643</v>
      </c>
      <c r="L4464" s="1365" t="n">
        <v>20</v>
      </c>
      <c r="M4464" s="1273" t="n">
        <f aca="false">(J4464/1778.4)*(L4464/60)</f>
        <v>16.1568451042135</v>
      </c>
    </row>
    <row r="4465" customFormat="false" ht="15" hidden="false" customHeight="false" outlineLevel="0" collapsed="false">
      <c r="A4465" s="216"/>
      <c r="B4465" s="78"/>
      <c r="C4465" s="1161" t="s">
        <v>7205</v>
      </c>
      <c r="D4465" s="317" t="n">
        <v>2004</v>
      </c>
      <c r="E4465" s="912" t="n">
        <f aca="false">2021-D4465</f>
        <v>17</v>
      </c>
      <c r="F4465" s="1365" t="n">
        <v>292400</v>
      </c>
      <c r="G4465" s="1364" t="n">
        <v>0.1</v>
      </c>
      <c r="H4465" s="1365" t="n">
        <f aca="false">E4465*F4465*G4465</f>
        <v>497080</v>
      </c>
      <c r="I4465" s="1365" t="n">
        <f aca="false">F4465-H4465</f>
        <v>-204680</v>
      </c>
      <c r="J4465" s="1365" t="n">
        <f aca="false">F4465*G4465</f>
        <v>29240</v>
      </c>
      <c r="K4465" s="1365" t="n">
        <f aca="false">J4465/1792.8</f>
        <v>16.3096831771531</v>
      </c>
      <c r="L4465" s="1365" t="n">
        <v>20</v>
      </c>
      <c r="M4465" s="1273" t="n">
        <f aca="false">(J4465/1778.4)*(L4465/60)</f>
        <v>5.48058179637127</v>
      </c>
    </row>
    <row r="4466" customFormat="false" ht="15" hidden="false" customHeight="false" outlineLevel="0" collapsed="false">
      <c r="A4466" s="216"/>
      <c r="B4466" s="1548" t="s">
        <v>4128</v>
      </c>
      <c r="C4466" s="1160"/>
      <c r="D4466" s="135"/>
      <c r="E4466" s="912"/>
      <c r="F4466" s="1370"/>
      <c r="G4466" s="1372"/>
      <c r="H4466" s="1370"/>
      <c r="I4466" s="1370"/>
      <c r="J4466" s="1370"/>
      <c r="K4466" s="1365" t="n">
        <f aca="false">J4466/1792.8</f>
        <v>0</v>
      </c>
      <c r="L4466" s="1370"/>
      <c r="M4466" s="1366" t="n">
        <f aca="false">SUM(M4464:M4465)</f>
        <v>21.6374269005848</v>
      </c>
    </row>
    <row r="4467" customFormat="false" ht="30" hidden="false" customHeight="false" outlineLevel="0" collapsed="false">
      <c r="A4467" s="216" t="s">
        <v>2117</v>
      </c>
      <c r="B4467" s="40" t="s">
        <v>3793</v>
      </c>
      <c r="C4467" s="1161" t="s">
        <v>7207</v>
      </c>
      <c r="D4467" s="317" t="n">
        <v>1985</v>
      </c>
      <c r="E4467" s="912" t="n">
        <f aca="false">2021-D4467</f>
        <v>36</v>
      </c>
      <c r="F4467" s="1365" t="n">
        <v>862000</v>
      </c>
      <c r="G4467" s="1364" t="n">
        <v>0.1</v>
      </c>
      <c r="H4467" s="1365" t="n">
        <f aca="false">E4467*F4467*G4467</f>
        <v>3103200</v>
      </c>
      <c r="I4467" s="1365" t="n">
        <f aca="false">F4467-H4467</f>
        <v>-2241200</v>
      </c>
      <c r="J4467" s="1365" t="n">
        <f aca="false">F4467*G4467</f>
        <v>86200</v>
      </c>
      <c r="K4467" s="1365" t="n">
        <f aca="false">J4467/1792.8</f>
        <v>48.0812137438643</v>
      </c>
      <c r="L4467" s="1365" t="n">
        <v>20</v>
      </c>
      <c r="M4467" s="1273" t="n">
        <f aca="false">(J4467/1778.4)*(L4467/60)</f>
        <v>16.1568451042135</v>
      </c>
    </row>
    <row r="4468" customFormat="false" ht="15" hidden="false" customHeight="false" outlineLevel="0" collapsed="false">
      <c r="A4468" s="216"/>
      <c r="B4468" s="78"/>
      <c r="C4468" s="1161" t="s">
        <v>7201</v>
      </c>
      <c r="D4468" s="317" t="n">
        <v>2008</v>
      </c>
      <c r="E4468" s="912" t="n">
        <f aca="false">2021-D4468</f>
        <v>13</v>
      </c>
      <c r="F4468" s="1365" t="n">
        <v>1849800</v>
      </c>
      <c r="G4468" s="1364" t="n">
        <v>0.1</v>
      </c>
      <c r="H4468" s="1365" t="n">
        <f aca="false">E4468*F4468*G4468</f>
        <v>2404740</v>
      </c>
      <c r="I4468" s="1365" t="n">
        <f aca="false">F4468-H4468</f>
        <v>-554940</v>
      </c>
      <c r="J4468" s="1365" t="n">
        <f aca="false">F4468*G4468</f>
        <v>184980</v>
      </c>
      <c r="K4468" s="1365" t="n">
        <f aca="false">J4468/1792.8</f>
        <v>103.179384203481</v>
      </c>
      <c r="L4468" s="1365" t="n">
        <v>40</v>
      </c>
      <c r="M4468" s="1273" t="n">
        <f aca="false">(J4468/1778.4)*(L4468/60)</f>
        <v>69.3432298695457</v>
      </c>
    </row>
    <row r="4469" customFormat="false" ht="15" hidden="false" customHeight="false" outlineLevel="0" collapsed="false">
      <c r="A4469" s="216"/>
      <c r="B4469" s="1548" t="s">
        <v>4128</v>
      </c>
      <c r="C4469" s="1160"/>
      <c r="D4469" s="135"/>
      <c r="E4469" s="912"/>
      <c r="F4469" s="1370"/>
      <c r="G4469" s="1372"/>
      <c r="H4469" s="1370"/>
      <c r="I4469" s="1370"/>
      <c r="J4469" s="1370"/>
      <c r="K4469" s="1365" t="n">
        <f aca="false">J4469/1792.8</f>
        <v>0</v>
      </c>
      <c r="L4469" s="1370"/>
      <c r="M4469" s="1366" t="n">
        <f aca="false">SUM(M4467:M4468)</f>
        <v>85.5000749737592</v>
      </c>
    </row>
    <row r="4470" customFormat="false" ht="30" hidden="false" customHeight="false" outlineLevel="0" collapsed="false">
      <c r="A4470" s="216" t="s">
        <v>2119</v>
      </c>
      <c r="B4470" s="40" t="s">
        <v>3794</v>
      </c>
      <c r="C4470" s="1161" t="s">
        <v>7207</v>
      </c>
      <c r="D4470" s="317" t="n">
        <v>1985</v>
      </c>
      <c r="E4470" s="912" t="n">
        <f aca="false">2021-D4470</f>
        <v>36</v>
      </c>
      <c r="F4470" s="1365" t="n">
        <v>862000</v>
      </c>
      <c r="G4470" s="1364" t="n">
        <v>0.1</v>
      </c>
      <c r="H4470" s="1365" t="n">
        <f aca="false">E4470*F4470*G4470</f>
        <v>3103200</v>
      </c>
      <c r="I4470" s="1365" t="n">
        <f aca="false">F4470-H4470</f>
        <v>-2241200</v>
      </c>
      <c r="J4470" s="1365" t="n">
        <f aca="false">F4470*G4470</f>
        <v>86200</v>
      </c>
      <c r="K4470" s="1365" t="n">
        <f aca="false">J4470/1792.8</f>
        <v>48.0812137438643</v>
      </c>
      <c r="L4470" s="1365" t="n">
        <v>20</v>
      </c>
      <c r="M4470" s="1273" t="n">
        <f aca="false">(J4470/1778.4)*(L4470/60)</f>
        <v>16.1568451042135</v>
      </c>
    </row>
    <row r="4471" customFormat="false" ht="15" hidden="false" customHeight="false" outlineLevel="0" collapsed="false">
      <c r="A4471" s="216"/>
      <c r="B4471" s="78"/>
      <c r="C4471" s="1161" t="s">
        <v>7201</v>
      </c>
      <c r="D4471" s="317" t="n">
        <v>2008</v>
      </c>
      <c r="E4471" s="912" t="n">
        <f aca="false">2021-D4471</f>
        <v>13</v>
      </c>
      <c r="F4471" s="1365" t="n">
        <v>1849800</v>
      </c>
      <c r="G4471" s="1364" t="n">
        <v>0.1</v>
      </c>
      <c r="H4471" s="1365" t="n">
        <f aca="false">E4471*F4471*G4471</f>
        <v>2404740</v>
      </c>
      <c r="I4471" s="1365" t="n">
        <f aca="false">F4471-H4471</f>
        <v>-554940</v>
      </c>
      <c r="J4471" s="1365" t="n">
        <f aca="false">F4471*G4471</f>
        <v>184980</v>
      </c>
      <c r="K4471" s="1365" t="n">
        <f aca="false">J4471/1792.8</f>
        <v>103.179384203481</v>
      </c>
      <c r="L4471" s="1365" t="n">
        <v>35</v>
      </c>
      <c r="M4471" s="1273" t="n">
        <f aca="false">(J4471/1778.4)*(L4471/60)</f>
        <v>60.6753261358525</v>
      </c>
    </row>
    <row r="4472" customFormat="false" ht="15" hidden="false" customHeight="false" outlineLevel="0" collapsed="false">
      <c r="A4472" s="216"/>
      <c r="B4472" s="1548"/>
      <c r="C4472" s="1161" t="s">
        <v>7207</v>
      </c>
      <c r="D4472" s="317" t="n">
        <v>1985</v>
      </c>
      <c r="E4472" s="912" t="n">
        <f aca="false">2021-D4472</f>
        <v>36</v>
      </c>
      <c r="F4472" s="1365" t="n">
        <v>862000</v>
      </c>
      <c r="G4472" s="1364" t="n">
        <v>0.1</v>
      </c>
      <c r="H4472" s="1365" t="n">
        <f aca="false">E4472*F4472*G4472</f>
        <v>3103200</v>
      </c>
      <c r="I4472" s="1365" t="n">
        <f aca="false">F4472-H4472</f>
        <v>-2241200</v>
      </c>
      <c r="J4472" s="1365" t="n">
        <f aca="false">F4472*G4472</f>
        <v>86200</v>
      </c>
      <c r="K4472" s="1365" t="n">
        <f aca="false">J4472/1792.8</f>
        <v>48.0812137438643</v>
      </c>
      <c r="L4472" s="1365" t="n">
        <v>20</v>
      </c>
      <c r="M4472" s="1273" t="n">
        <f aca="false">(J4472/1778.4)*(L4472/60)</f>
        <v>16.1568451042135</v>
      </c>
    </row>
    <row r="4473" customFormat="false" ht="15" hidden="false" customHeight="false" outlineLevel="0" collapsed="false">
      <c r="A4473" s="216"/>
      <c r="B4473" s="1548" t="s">
        <v>4128</v>
      </c>
      <c r="C4473" s="1161"/>
      <c r="D4473" s="317"/>
      <c r="E4473" s="912"/>
      <c r="F4473" s="1365"/>
      <c r="G4473" s="1364"/>
      <c r="H4473" s="1365"/>
      <c r="I4473" s="1365"/>
      <c r="J4473" s="1365"/>
      <c r="K4473" s="1365" t="n">
        <f aca="false">J4473/1792.8</f>
        <v>0</v>
      </c>
      <c r="L4473" s="1365"/>
      <c r="M4473" s="1366" t="n">
        <f aca="false">SUM(M4470:M4472)</f>
        <v>92.9890163442795</v>
      </c>
    </row>
    <row r="4474" customFormat="false" ht="30" hidden="false" customHeight="false" outlineLevel="0" collapsed="false">
      <c r="A4474" s="216" t="s">
        <v>2121</v>
      </c>
      <c r="B4474" s="40" t="s">
        <v>3795</v>
      </c>
      <c r="C4474" s="1161" t="s">
        <v>7201</v>
      </c>
      <c r="D4474" s="317" t="n">
        <v>2008</v>
      </c>
      <c r="E4474" s="912" t="n">
        <f aca="false">2021-D4474</f>
        <v>13</v>
      </c>
      <c r="F4474" s="1365" t="n">
        <v>1849800</v>
      </c>
      <c r="G4474" s="1364" t="n">
        <v>0.1</v>
      </c>
      <c r="H4474" s="1365" t="n">
        <f aca="false">E4474*F4474*G4474</f>
        <v>2404740</v>
      </c>
      <c r="I4474" s="1365" t="n">
        <f aca="false">F4474-H4474</f>
        <v>-554940</v>
      </c>
      <c r="J4474" s="1365" t="n">
        <f aca="false">F4474*G4474</f>
        <v>184980</v>
      </c>
      <c r="K4474" s="1365" t="n">
        <f aca="false">J4474/1792.8</f>
        <v>103.179384203481</v>
      </c>
      <c r="L4474" s="1365" t="n">
        <v>27.3</v>
      </c>
      <c r="M4474" s="1366" t="n">
        <f aca="false">(J4474/1778.4)*(L4474/60)</f>
        <v>47.3267543859649</v>
      </c>
    </row>
    <row r="4475" customFormat="false" ht="30" hidden="false" customHeight="false" outlineLevel="0" collapsed="false">
      <c r="A4475" s="216" t="s">
        <v>2123</v>
      </c>
      <c r="B4475" s="40" t="s">
        <v>3796</v>
      </c>
      <c r="C4475" s="1161" t="s">
        <v>7201</v>
      </c>
      <c r="D4475" s="317" t="n">
        <v>2008</v>
      </c>
      <c r="E4475" s="912" t="n">
        <f aca="false">2021-D4475</f>
        <v>13</v>
      </c>
      <c r="F4475" s="1365" t="n">
        <v>1849800</v>
      </c>
      <c r="G4475" s="1364" t="n">
        <v>0.1</v>
      </c>
      <c r="H4475" s="1365" t="n">
        <f aca="false">E4475*F4475*G4475</f>
        <v>2404740</v>
      </c>
      <c r="I4475" s="1365" t="n">
        <f aca="false">F4475-H4475</f>
        <v>-554940</v>
      </c>
      <c r="J4475" s="1365" t="n">
        <f aca="false">F4475*G4475</f>
        <v>184980</v>
      </c>
      <c r="K4475" s="1365" t="n">
        <f aca="false">J4475/1792.8</f>
        <v>103.179384203481</v>
      </c>
      <c r="L4475" s="1365" t="n">
        <v>20</v>
      </c>
      <c r="M4475" s="1273" t="n">
        <f aca="false">(J4475/1778.4)*(L4475/60)</f>
        <v>34.6716149347728</v>
      </c>
    </row>
    <row r="4476" customFormat="false" ht="15" hidden="false" customHeight="false" outlineLevel="0" collapsed="false">
      <c r="A4476" s="216"/>
      <c r="B4476" s="1548"/>
      <c r="C4476" s="1161" t="s">
        <v>7207</v>
      </c>
      <c r="D4476" s="317" t="n">
        <v>1985</v>
      </c>
      <c r="E4476" s="912" t="n">
        <f aca="false">2021-D4476</f>
        <v>36</v>
      </c>
      <c r="F4476" s="1365" t="n">
        <v>862000</v>
      </c>
      <c r="G4476" s="1364" t="n">
        <v>0.1</v>
      </c>
      <c r="H4476" s="1365" t="n">
        <f aca="false">E4476*F4476*G4476</f>
        <v>3103200</v>
      </c>
      <c r="I4476" s="1365" t="n">
        <f aca="false">F4476-H4476</f>
        <v>-2241200</v>
      </c>
      <c r="J4476" s="1365" t="n">
        <f aca="false">F4476*G4476</f>
        <v>86200</v>
      </c>
      <c r="K4476" s="1365" t="n">
        <f aca="false">J4476/1792.8</f>
        <v>48.0812137438643</v>
      </c>
      <c r="L4476" s="1365" t="n">
        <v>20</v>
      </c>
      <c r="M4476" s="1273" t="n">
        <f aca="false">(J4476/1778.4)*(L4476/60)</f>
        <v>16.1568451042135</v>
      </c>
    </row>
    <row r="4477" customFormat="false" ht="15" hidden="false" customHeight="false" outlineLevel="0" collapsed="false">
      <c r="A4477" s="216"/>
      <c r="B4477" s="1548" t="s">
        <v>4128</v>
      </c>
      <c r="C4477" s="1161"/>
      <c r="D4477" s="317"/>
      <c r="E4477" s="912"/>
      <c r="F4477" s="1370"/>
      <c r="G4477" s="1372"/>
      <c r="H4477" s="1370"/>
      <c r="I4477" s="1370"/>
      <c r="J4477" s="1370"/>
      <c r="K4477" s="1365" t="n">
        <f aca="false">J4477/1792.8</f>
        <v>0</v>
      </c>
      <c r="L4477" s="1370"/>
      <c r="M4477" s="1366" t="n">
        <f aca="false">SUM(M4476)</f>
        <v>16.1568451042135</v>
      </c>
    </row>
    <row r="4478" customFormat="false" ht="30" hidden="false" customHeight="false" outlineLevel="0" collapsed="false">
      <c r="A4478" s="216" t="s">
        <v>2125</v>
      </c>
      <c r="B4478" s="40" t="s">
        <v>3797</v>
      </c>
      <c r="C4478" s="1161" t="s">
        <v>7201</v>
      </c>
      <c r="D4478" s="317" t="n">
        <v>2008</v>
      </c>
      <c r="E4478" s="912" t="n">
        <f aca="false">2021-D4478</f>
        <v>13</v>
      </c>
      <c r="F4478" s="1365" t="n">
        <v>1849800</v>
      </c>
      <c r="G4478" s="1364" t="n">
        <v>0.1</v>
      </c>
      <c r="H4478" s="1365" t="n">
        <f aca="false">E4478*F4478*G4478</f>
        <v>2404740</v>
      </c>
      <c r="I4478" s="1365" t="n">
        <f aca="false">F4478-H4478</f>
        <v>-554940</v>
      </c>
      <c r="J4478" s="1365" t="n">
        <f aca="false">F4478*G4478</f>
        <v>184980</v>
      </c>
      <c r="K4478" s="1365" t="n">
        <f aca="false">J4478/1792.8</f>
        <v>103.179384203481</v>
      </c>
      <c r="L4478" s="1365" t="n">
        <v>30</v>
      </c>
      <c r="M4478" s="1366" t="n">
        <f aca="false">(J4478/1778.4)*(L4478/60)</f>
        <v>52.0074224021592</v>
      </c>
    </row>
    <row r="4479" customFormat="false" ht="30" hidden="false" customHeight="false" outlineLevel="0" collapsed="false">
      <c r="A4479" s="216" t="s">
        <v>2127</v>
      </c>
      <c r="B4479" s="40" t="s">
        <v>3798</v>
      </c>
      <c r="C4479" s="1161" t="s">
        <v>7209</v>
      </c>
      <c r="D4479" s="317" t="n">
        <v>2009</v>
      </c>
      <c r="E4479" s="912" t="n">
        <f aca="false">2021-D4479</f>
        <v>12</v>
      </c>
      <c r="F4479" s="1370"/>
      <c r="G4479" s="1372"/>
      <c r="H4479" s="1370"/>
      <c r="I4479" s="1370"/>
      <c r="J4479" s="1370"/>
      <c r="K4479" s="1365" t="n">
        <f aca="false">J4479/1792.8</f>
        <v>0</v>
      </c>
      <c r="L4479" s="1370"/>
      <c r="M4479" s="1366"/>
    </row>
    <row r="4480" customFormat="false" ht="15" hidden="false" customHeight="false" outlineLevel="0" collapsed="false">
      <c r="A4480" s="216"/>
      <c r="B4480" s="40"/>
      <c r="C4480" s="1161" t="s">
        <v>7207</v>
      </c>
      <c r="D4480" s="317" t="n">
        <v>1985</v>
      </c>
      <c r="E4480" s="912" t="n">
        <f aca="false">2021-D4480</f>
        <v>36</v>
      </c>
      <c r="F4480" s="1365" t="n">
        <v>862000</v>
      </c>
      <c r="G4480" s="1364" t="n">
        <v>0.1</v>
      </c>
      <c r="H4480" s="1365" t="n">
        <f aca="false">E4480*F4480*G4480</f>
        <v>3103200</v>
      </c>
      <c r="I4480" s="1365" t="n">
        <f aca="false">F4480-H4480</f>
        <v>-2241200</v>
      </c>
      <c r="J4480" s="1365" t="n">
        <f aca="false">F4480*G4480</f>
        <v>86200</v>
      </c>
      <c r="K4480" s="1365" t="n">
        <f aca="false">J4480/1792.8</f>
        <v>48.0812137438643</v>
      </c>
      <c r="L4480" s="1365" t="n">
        <v>20</v>
      </c>
      <c r="M4480" s="1273" t="n">
        <f aca="false">(J4480/1778.4)*(L4480/60)</f>
        <v>16.1568451042135</v>
      </c>
    </row>
    <row r="4481" customFormat="false" ht="15" hidden="false" customHeight="false" outlineLevel="0" collapsed="false">
      <c r="A4481" s="216"/>
      <c r="B4481" s="78"/>
      <c r="C4481" s="1161" t="s">
        <v>7201</v>
      </c>
      <c r="D4481" s="317" t="n">
        <v>2008</v>
      </c>
      <c r="E4481" s="912" t="n">
        <f aca="false">2021-D4481</f>
        <v>13</v>
      </c>
      <c r="F4481" s="1365" t="n">
        <v>1849800</v>
      </c>
      <c r="G4481" s="1364" t="n">
        <v>0.1</v>
      </c>
      <c r="H4481" s="1365" t="n">
        <f aca="false">E4481*F4481*G4481</f>
        <v>2404740</v>
      </c>
      <c r="I4481" s="1365" t="n">
        <f aca="false">F4481-H4481</f>
        <v>-554940</v>
      </c>
      <c r="J4481" s="1365" t="n">
        <f aca="false">F4481*G4481</f>
        <v>184980</v>
      </c>
      <c r="K4481" s="1365" t="n">
        <f aca="false">J4481/1792.8</f>
        <v>103.179384203481</v>
      </c>
      <c r="L4481" s="1365" t="n">
        <v>20</v>
      </c>
      <c r="M4481" s="1273" t="n">
        <f aca="false">(J4481/1778.4)*(L4481/60)</f>
        <v>34.6716149347728</v>
      </c>
    </row>
    <row r="4482" customFormat="false" ht="15" hidden="false" customHeight="false" outlineLevel="0" collapsed="false">
      <c r="A4482" s="216"/>
      <c r="B4482" s="1548" t="s">
        <v>4128</v>
      </c>
      <c r="C4482" s="1160"/>
      <c r="D4482" s="135"/>
      <c r="E4482" s="912"/>
      <c r="F4482" s="1370"/>
      <c r="G4482" s="1372"/>
      <c r="H4482" s="1370"/>
      <c r="I4482" s="1370"/>
      <c r="J4482" s="1370"/>
      <c r="K4482" s="1365" t="n">
        <f aca="false">J4482/1792.8</f>
        <v>0</v>
      </c>
      <c r="L4482" s="1370"/>
      <c r="M4482" s="1366" t="n">
        <f aca="false">SUM(M4481)</f>
        <v>34.6716149347728</v>
      </c>
    </row>
    <row r="4483" customFormat="false" ht="45" hidden="false" customHeight="false" outlineLevel="0" collapsed="false">
      <c r="A4483" s="216" t="s">
        <v>2129</v>
      </c>
      <c r="B4483" s="40" t="s">
        <v>3799</v>
      </c>
      <c r="C4483" s="1161" t="s">
        <v>7209</v>
      </c>
      <c r="D4483" s="317" t="n">
        <v>2009</v>
      </c>
      <c r="E4483" s="912" t="n">
        <f aca="false">2021-D4483</f>
        <v>12</v>
      </c>
      <c r="F4483" s="1370"/>
      <c r="G4483" s="1372"/>
      <c r="H4483" s="1370"/>
      <c r="I4483" s="1370"/>
      <c r="J4483" s="1370"/>
      <c r="K4483" s="1365" t="n">
        <f aca="false">J4483/1792.8</f>
        <v>0</v>
      </c>
      <c r="L4483" s="1370"/>
      <c r="M4483" s="1366"/>
    </row>
    <row r="4484" customFormat="false" ht="15" hidden="false" customHeight="false" outlineLevel="0" collapsed="false">
      <c r="A4484" s="216"/>
      <c r="B4484" s="316"/>
      <c r="C4484" s="1161" t="s">
        <v>7207</v>
      </c>
      <c r="D4484" s="317" t="n">
        <v>1985</v>
      </c>
      <c r="E4484" s="912" t="n">
        <f aca="false">2021-D4484</f>
        <v>36</v>
      </c>
      <c r="F4484" s="1365" t="n">
        <v>862000</v>
      </c>
      <c r="G4484" s="1364" t="n">
        <v>0.1</v>
      </c>
      <c r="H4484" s="1365" t="n">
        <f aca="false">E4484*F4484*G4484</f>
        <v>3103200</v>
      </c>
      <c r="I4484" s="1365" t="n">
        <f aca="false">F4484-H4484</f>
        <v>-2241200</v>
      </c>
      <c r="J4484" s="1365" t="n">
        <f aca="false">F4484*G4484</f>
        <v>86200</v>
      </c>
      <c r="K4484" s="1365" t="n">
        <f aca="false">J4484/1792.8</f>
        <v>48.0812137438643</v>
      </c>
      <c r="L4484" s="1365" t="n">
        <v>20</v>
      </c>
      <c r="M4484" s="1273" t="n">
        <f aca="false">(J4484/1778.4)*(L4484/60)</f>
        <v>16.1568451042135</v>
      </c>
    </row>
    <row r="4485" customFormat="false" ht="15" hidden="false" customHeight="false" outlineLevel="0" collapsed="false">
      <c r="A4485" s="216"/>
      <c r="B4485" s="316"/>
      <c r="C4485" s="1161" t="s">
        <v>7201</v>
      </c>
      <c r="D4485" s="317" t="n">
        <v>2008</v>
      </c>
      <c r="E4485" s="912" t="n">
        <f aca="false">2021-D4485</f>
        <v>13</v>
      </c>
      <c r="F4485" s="1365" t="n">
        <v>1849800</v>
      </c>
      <c r="G4485" s="1364" t="n">
        <v>0.1</v>
      </c>
      <c r="H4485" s="1365" t="n">
        <f aca="false">E4485*F4485*G4485</f>
        <v>2404740</v>
      </c>
      <c r="I4485" s="1365" t="n">
        <f aca="false">F4485-H4485</f>
        <v>-554940</v>
      </c>
      <c r="J4485" s="1365" t="n">
        <f aca="false">F4485*G4485</f>
        <v>184980</v>
      </c>
      <c r="K4485" s="1365" t="n">
        <f aca="false">J4485/1792.8</f>
        <v>103.179384203481</v>
      </c>
      <c r="L4485" s="1365" t="n">
        <v>20</v>
      </c>
      <c r="M4485" s="1273" t="n">
        <f aca="false">(J4485/1778.4)*(L4485/60)</f>
        <v>34.6716149347728</v>
      </c>
    </row>
    <row r="4486" customFormat="false" ht="15" hidden="false" customHeight="false" outlineLevel="0" collapsed="false">
      <c r="A4486" s="216"/>
      <c r="B4486" s="1548" t="s">
        <v>4128</v>
      </c>
      <c r="C4486" s="1160"/>
      <c r="D4486" s="135"/>
      <c r="E4486" s="912"/>
      <c r="F4486" s="1370"/>
      <c r="G4486" s="1372"/>
      <c r="H4486" s="1370"/>
      <c r="I4486" s="1370"/>
      <c r="J4486" s="1370"/>
      <c r="K4486" s="1365" t="n">
        <f aca="false">J4486/1792.8</f>
        <v>0</v>
      </c>
      <c r="L4486" s="1370"/>
      <c r="M4486" s="1366" t="n">
        <f aca="false">SUM(M4485)</f>
        <v>34.6716149347728</v>
      </c>
    </row>
    <row r="4487" customFormat="false" ht="30" hidden="false" customHeight="false" outlineLevel="0" collapsed="false">
      <c r="A4487" s="216" t="s">
        <v>2131</v>
      </c>
      <c r="B4487" s="40" t="s">
        <v>3800</v>
      </c>
      <c r="C4487" s="1161" t="s">
        <v>7201</v>
      </c>
      <c r="D4487" s="317" t="n">
        <v>2008</v>
      </c>
      <c r="E4487" s="912" t="n">
        <f aca="false">2021-D4487</f>
        <v>13</v>
      </c>
      <c r="F4487" s="1365" t="n">
        <v>1849800</v>
      </c>
      <c r="G4487" s="1364" t="n">
        <v>0.1</v>
      </c>
      <c r="H4487" s="1365" t="n">
        <f aca="false">E4487*F4487*G4487</f>
        <v>2404740</v>
      </c>
      <c r="I4487" s="1365" t="n">
        <f aca="false">F4487-H4487</f>
        <v>-554940</v>
      </c>
      <c r="J4487" s="1365" t="n">
        <f aca="false">F4487*G4487</f>
        <v>184980</v>
      </c>
      <c r="K4487" s="1365" t="n">
        <f aca="false">J4487/1792.8</f>
        <v>103.179384203481</v>
      </c>
      <c r="L4487" s="1365" t="n">
        <v>30</v>
      </c>
      <c r="M4487" s="1273" t="n">
        <f aca="false">(J4487/1778.4)*(L4487/60)</f>
        <v>52.0074224021592</v>
      </c>
    </row>
    <row r="4488" customFormat="false" ht="15" hidden="false" customHeight="false" outlineLevel="0" collapsed="false">
      <c r="A4488" s="216"/>
      <c r="B4488" s="78"/>
      <c r="C4488" s="1161" t="s">
        <v>7207</v>
      </c>
      <c r="D4488" s="317" t="n">
        <v>1985</v>
      </c>
      <c r="E4488" s="912" t="n">
        <f aca="false">2021-D4488</f>
        <v>36</v>
      </c>
      <c r="F4488" s="1365" t="n">
        <v>862000</v>
      </c>
      <c r="G4488" s="1364" t="n">
        <v>0.1</v>
      </c>
      <c r="H4488" s="1365" t="n">
        <f aca="false">E4488*F4488*G4488</f>
        <v>3103200</v>
      </c>
      <c r="I4488" s="1365" t="n">
        <f aca="false">F4488-H4488</f>
        <v>-2241200</v>
      </c>
      <c r="J4488" s="1365" t="n">
        <f aca="false">F4488*G4488</f>
        <v>86200</v>
      </c>
      <c r="K4488" s="1365" t="n">
        <f aca="false">J4488/1792.8</f>
        <v>48.0812137438643</v>
      </c>
      <c r="L4488" s="1365" t="n">
        <v>20</v>
      </c>
      <c r="M4488" s="1273" t="n">
        <f aca="false">(J4488/1778.4)*(L4488/60)</f>
        <v>16.1568451042135</v>
      </c>
    </row>
    <row r="4489" customFormat="false" ht="15" hidden="false" customHeight="false" outlineLevel="0" collapsed="false">
      <c r="A4489" s="216"/>
      <c r="B4489" s="1548" t="s">
        <v>4128</v>
      </c>
      <c r="C4489" s="1160"/>
      <c r="D4489" s="135"/>
      <c r="E4489" s="912"/>
      <c r="F4489" s="1370"/>
      <c r="G4489" s="1372"/>
      <c r="H4489" s="1370"/>
      <c r="I4489" s="1370"/>
      <c r="J4489" s="1370"/>
      <c r="K4489" s="1365" t="n">
        <f aca="false">J4489/1792.8</f>
        <v>0</v>
      </c>
      <c r="L4489" s="1370"/>
      <c r="M4489" s="1366" t="n">
        <f aca="false">SUM(M4487:M4488)</f>
        <v>68.1642675063728</v>
      </c>
    </row>
    <row r="4490" customFormat="false" ht="30" hidden="false" customHeight="false" outlineLevel="0" collapsed="false">
      <c r="A4490" s="216" t="s">
        <v>2133</v>
      </c>
      <c r="B4490" s="40" t="s">
        <v>3801</v>
      </c>
      <c r="C4490" s="1161" t="s">
        <v>7201</v>
      </c>
      <c r="D4490" s="317" t="n">
        <v>2008</v>
      </c>
      <c r="E4490" s="912" t="n">
        <f aca="false">2021-D4490</f>
        <v>13</v>
      </c>
      <c r="F4490" s="1365" t="n">
        <v>1849800</v>
      </c>
      <c r="G4490" s="1364" t="n">
        <v>0.1</v>
      </c>
      <c r="H4490" s="1365" t="n">
        <f aca="false">E4490*F4490*G4490</f>
        <v>2404740</v>
      </c>
      <c r="I4490" s="1365" t="n">
        <f aca="false">F4490-H4490</f>
        <v>-554940</v>
      </c>
      <c r="J4490" s="1365" t="n">
        <f aca="false">F4490*G4490</f>
        <v>184980</v>
      </c>
      <c r="K4490" s="1365" t="n">
        <f aca="false">J4490/1792.8</f>
        <v>103.179384203481</v>
      </c>
      <c r="L4490" s="1365" t="n">
        <v>15</v>
      </c>
      <c r="M4490" s="1366" t="n">
        <f aca="false">(J4490/1778.4)*(L4490/60)</f>
        <v>26.0037112010796</v>
      </c>
    </row>
    <row r="4491" customFormat="false" ht="15" hidden="false" customHeight="false" outlineLevel="0" collapsed="false">
      <c r="A4491" s="216" t="s">
        <v>2135</v>
      </c>
      <c r="B4491" s="40" t="s">
        <v>3802</v>
      </c>
      <c r="C4491" s="1161" t="s">
        <v>7201</v>
      </c>
      <c r="D4491" s="317" t="n">
        <v>2008</v>
      </c>
      <c r="E4491" s="912" t="n">
        <f aca="false">2021-D4491</f>
        <v>13</v>
      </c>
      <c r="F4491" s="1365" t="n">
        <v>1849800</v>
      </c>
      <c r="G4491" s="1364" t="n">
        <v>0.1</v>
      </c>
      <c r="H4491" s="1365" t="n">
        <f aca="false">E4491*F4491*G4491</f>
        <v>2404740</v>
      </c>
      <c r="I4491" s="1365" t="n">
        <f aca="false">F4491-H4491</f>
        <v>-554940</v>
      </c>
      <c r="J4491" s="1365" t="n">
        <f aca="false">F4491*G4491</f>
        <v>184980</v>
      </c>
      <c r="K4491" s="1365" t="n">
        <f aca="false">J4491/1792.8</f>
        <v>103.179384203481</v>
      </c>
      <c r="L4491" s="1365" t="n">
        <v>30</v>
      </c>
      <c r="M4491" s="1273" t="n">
        <f aca="false">(J4491/1778.4)*(L4491/60)</f>
        <v>52.0074224021592</v>
      </c>
    </row>
    <row r="4492" customFormat="false" ht="15" hidden="false" customHeight="false" outlineLevel="0" collapsed="false">
      <c r="A4492" s="216"/>
      <c r="B4492" s="78"/>
      <c r="C4492" s="1161" t="s">
        <v>7207</v>
      </c>
      <c r="D4492" s="317" t="n">
        <v>1985</v>
      </c>
      <c r="E4492" s="912" t="n">
        <f aca="false">2021-D4492</f>
        <v>36</v>
      </c>
      <c r="F4492" s="1365" t="n">
        <v>862000</v>
      </c>
      <c r="G4492" s="1364" t="n">
        <v>0.1</v>
      </c>
      <c r="H4492" s="1365" t="n">
        <f aca="false">E4492*F4492*G4492</f>
        <v>3103200</v>
      </c>
      <c r="I4492" s="1365" t="n">
        <f aca="false">F4492-H4492</f>
        <v>-2241200</v>
      </c>
      <c r="J4492" s="1365" t="n">
        <f aca="false">F4492*G4492</f>
        <v>86200</v>
      </c>
      <c r="K4492" s="1365" t="n">
        <f aca="false">J4492/1792.8</f>
        <v>48.0812137438643</v>
      </c>
      <c r="L4492" s="1365" t="n">
        <v>20</v>
      </c>
      <c r="M4492" s="1273" t="n">
        <f aca="false">(J4492/1778.4)*(L4492/60)</f>
        <v>16.1568451042135</v>
      </c>
    </row>
    <row r="4493" customFormat="false" ht="15" hidden="false" customHeight="false" outlineLevel="0" collapsed="false">
      <c r="A4493" s="216"/>
      <c r="B4493" s="1548" t="s">
        <v>4128</v>
      </c>
      <c r="C4493" s="1160"/>
      <c r="D4493" s="135"/>
      <c r="E4493" s="912"/>
      <c r="F4493" s="1370"/>
      <c r="G4493" s="1372"/>
      <c r="H4493" s="1370"/>
      <c r="I4493" s="1370"/>
      <c r="J4493" s="1370"/>
      <c r="K4493" s="1365" t="n">
        <f aca="false">J4493/1792.8</f>
        <v>0</v>
      </c>
      <c r="L4493" s="1370"/>
      <c r="M4493" s="1366" t="n">
        <f aca="false">SUM(M4491:M4492)</f>
        <v>68.1642675063728</v>
      </c>
    </row>
    <row r="4494" customFormat="false" ht="15" hidden="false" customHeight="false" outlineLevel="0" collapsed="false">
      <c r="A4494" s="216" t="s">
        <v>2137</v>
      </c>
      <c r="B4494" s="40" t="s">
        <v>3803</v>
      </c>
      <c r="C4494" s="1161" t="s">
        <v>7201</v>
      </c>
      <c r="D4494" s="317" t="n">
        <v>2008</v>
      </c>
      <c r="E4494" s="912" t="n">
        <f aca="false">2021-D4494</f>
        <v>13</v>
      </c>
      <c r="F4494" s="1365" t="n">
        <v>1849800</v>
      </c>
      <c r="G4494" s="1364" t="n">
        <v>0.1</v>
      </c>
      <c r="H4494" s="1365" t="n">
        <f aca="false">E4494*F4494*G4494</f>
        <v>2404740</v>
      </c>
      <c r="I4494" s="1365" t="n">
        <f aca="false">F4494-H4494</f>
        <v>-554940</v>
      </c>
      <c r="J4494" s="1365" t="n">
        <f aca="false">F4494*G4494</f>
        <v>184980</v>
      </c>
      <c r="K4494" s="1365" t="n">
        <f aca="false">J4494/1792.8</f>
        <v>103.179384203481</v>
      </c>
      <c r="L4494" s="1365" t="n">
        <v>20</v>
      </c>
      <c r="M4494" s="1366" t="n">
        <f aca="false">(J4494/1778.4)*(L4494/60)</f>
        <v>34.6716149347728</v>
      </c>
    </row>
    <row r="4495" customFormat="false" ht="30" hidden="false" customHeight="false" outlineLevel="0" collapsed="false">
      <c r="A4495" s="216" t="s">
        <v>2139</v>
      </c>
      <c r="B4495" s="40" t="s">
        <v>3804</v>
      </c>
      <c r="C4495" s="1161" t="s">
        <v>7210</v>
      </c>
      <c r="D4495" s="317" t="n">
        <v>2006</v>
      </c>
      <c r="E4495" s="912" t="n">
        <f aca="false">2021-D4495</f>
        <v>15</v>
      </c>
      <c r="F4495" s="1365" t="n">
        <v>224700</v>
      </c>
      <c r="G4495" s="1364" t="n">
        <v>0.1</v>
      </c>
      <c r="H4495" s="1365" t="n">
        <f aca="false">E4495*F4495*G4495</f>
        <v>337050</v>
      </c>
      <c r="I4495" s="1365" t="n">
        <f aca="false">F4495-H4495</f>
        <v>-112350</v>
      </c>
      <c r="J4495" s="1365" t="n">
        <f aca="false">F4495*G4495</f>
        <v>22470</v>
      </c>
      <c r="K4495" s="1365" t="n">
        <f aca="false">J4495/1792.8</f>
        <v>12.5334672021419</v>
      </c>
      <c r="L4495" s="1365" t="n">
        <v>20</v>
      </c>
      <c r="M4495" s="1366" t="n">
        <f aca="false">(J4495/1778.4)*(L4495/60)</f>
        <v>4.21165092217724</v>
      </c>
    </row>
    <row r="4496" customFormat="false" ht="30" hidden="false" customHeight="false" outlineLevel="0" collapsed="false">
      <c r="A4496" s="216" t="s">
        <v>2141</v>
      </c>
      <c r="B4496" s="40" t="s">
        <v>3805</v>
      </c>
      <c r="C4496" s="1161" t="s">
        <v>7154</v>
      </c>
      <c r="D4496" s="317" t="n">
        <v>2006</v>
      </c>
      <c r="E4496" s="912" t="n">
        <f aca="false">2021-D4496</f>
        <v>15</v>
      </c>
      <c r="F4496" s="1365" t="n">
        <v>100000</v>
      </c>
      <c r="G4496" s="1364" t="n">
        <v>0.1</v>
      </c>
      <c r="H4496" s="1365" t="n">
        <f aca="false">E4496*F4496*G4496</f>
        <v>150000</v>
      </c>
      <c r="I4496" s="1365" t="n">
        <f aca="false">F4496-H4496</f>
        <v>-50000</v>
      </c>
      <c r="J4496" s="1365" t="n">
        <f aca="false">F4496*G4496</f>
        <v>10000</v>
      </c>
      <c r="K4496" s="1365" t="n">
        <f aca="false">J4496/1792.8</f>
        <v>5.57786702365016</v>
      </c>
      <c r="L4496" s="1365" t="n">
        <v>180</v>
      </c>
      <c r="M4496" s="1273" t="n">
        <f aca="false">(J4496/1778.4)*(L4496/60)</f>
        <v>16.8690958164642</v>
      </c>
    </row>
    <row r="4497" customFormat="false" ht="15" hidden="false" customHeight="false" outlineLevel="0" collapsed="false">
      <c r="A4497" s="216"/>
      <c r="B4497" s="78"/>
      <c r="C4497" s="1161" t="s">
        <v>7205</v>
      </c>
      <c r="D4497" s="317" t="n">
        <v>2004</v>
      </c>
      <c r="E4497" s="912" t="n">
        <f aca="false">2021-D4497</f>
        <v>17</v>
      </c>
      <c r="F4497" s="1365" t="n">
        <v>292400</v>
      </c>
      <c r="G4497" s="1364" t="n">
        <v>0.1</v>
      </c>
      <c r="H4497" s="1365" t="n">
        <f aca="false">F4497</f>
        <v>292400</v>
      </c>
      <c r="I4497" s="1365" t="n">
        <f aca="false">F4497-H4497</f>
        <v>0</v>
      </c>
      <c r="J4497" s="1365" t="n">
        <f aca="false">F4497*G4497</f>
        <v>29240</v>
      </c>
      <c r="K4497" s="1365" t="n">
        <f aca="false">J4497/1792.8</f>
        <v>16.3096831771531</v>
      </c>
      <c r="L4497" s="1365" t="n">
        <v>20</v>
      </c>
      <c r="M4497" s="1273" t="n">
        <f aca="false">(J4497/1778.4)*(L4497/60)</f>
        <v>5.48058179637127</v>
      </c>
    </row>
    <row r="4498" customFormat="false" ht="15" hidden="false" customHeight="false" outlineLevel="0" collapsed="false">
      <c r="A4498" s="216"/>
      <c r="B4498" s="1548" t="s">
        <v>4128</v>
      </c>
      <c r="C4498" s="1160"/>
      <c r="D4498" s="135"/>
      <c r="E4498" s="912"/>
      <c r="F4498" s="1370"/>
      <c r="G4498" s="1372"/>
      <c r="H4498" s="1370"/>
      <c r="I4498" s="1370"/>
      <c r="J4498" s="1370"/>
      <c r="K4498" s="1365" t="n">
        <f aca="false">J4498/1792.8</f>
        <v>0</v>
      </c>
      <c r="L4498" s="1370"/>
      <c r="M4498" s="1366" t="n">
        <f aca="false">SUM(M4496:M4497)</f>
        <v>22.3496776128355</v>
      </c>
    </row>
    <row r="4499" customFormat="false" ht="30" hidden="false" customHeight="false" outlineLevel="0" collapsed="false">
      <c r="A4499" s="216" t="s">
        <v>2143</v>
      </c>
      <c r="B4499" s="40" t="s">
        <v>3806</v>
      </c>
      <c r="C4499" s="1161" t="s">
        <v>7210</v>
      </c>
      <c r="D4499" s="317" t="n">
        <v>2006</v>
      </c>
      <c r="E4499" s="912" t="n">
        <f aca="false">2021-D4499</f>
        <v>15</v>
      </c>
      <c r="F4499" s="1365" t="n">
        <v>224700</v>
      </c>
      <c r="G4499" s="1364" t="n">
        <v>0.1</v>
      </c>
      <c r="H4499" s="1365" t="n">
        <f aca="false">E4499*F4499*G4499</f>
        <v>337050</v>
      </c>
      <c r="I4499" s="1365" t="n">
        <f aca="false">F4499-H4499</f>
        <v>-112350</v>
      </c>
      <c r="J4499" s="1365" t="n">
        <f aca="false">F4499*G4499</f>
        <v>22470</v>
      </c>
      <c r="K4499" s="1365" t="n">
        <f aca="false">J4499/1792.8</f>
        <v>12.5334672021419</v>
      </c>
      <c r="L4499" s="1365" t="n">
        <v>20</v>
      </c>
      <c r="M4499" s="1366" t="n">
        <f aca="false">(J4499/1778.4)*(L4499/60)</f>
        <v>4.21165092217724</v>
      </c>
    </row>
    <row r="4500" customFormat="false" ht="30" hidden="false" customHeight="false" outlineLevel="0" collapsed="false">
      <c r="A4500" s="216" t="s">
        <v>2145</v>
      </c>
      <c r="B4500" s="40" t="s">
        <v>3807</v>
      </c>
      <c r="C4500" s="1161" t="s">
        <v>7210</v>
      </c>
      <c r="D4500" s="317" t="n">
        <v>2006</v>
      </c>
      <c r="E4500" s="912" t="n">
        <f aca="false">2021-D4500</f>
        <v>15</v>
      </c>
      <c r="F4500" s="1365" t="n">
        <v>224700</v>
      </c>
      <c r="G4500" s="1364" t="n">
        <v>0.1</v>
      </c>
      <c r="H4500" s="1365" t="n">
        <f aca="false">E4500*F4500*G4500</f>
        <v>337050</v>
      </c>
      <c r="I4500" s="1365" t="n">
        <f aca="false">F4500-H4500</f>
        <v>-112350</v>
      </c>
      <c r="J4500" s="1365" t="n">
        <f aca="false">F4500*G4500</f>
        <v>22470</v>
      </c>
      <c r="K4500" s="1365" t="n">
        <f aca="false">J4500/1792.8</f>
        <v>12.5334672021419</v>
      </c>
      <c r="L4500" s="1365" t="n">
        <v>20</v>
      </c>
      <c r="M4500" s="1366" t="n">
        <f aca="false">(J4500/1778.4)*(L4500/60)</f>
        <v>4.21165092217724</v>
      </c>
    </row>
    <row r="4501" customFormat="false" ht="45" hidden="false" customHeight="false" outlineLevel="0" collapsed="false">
      <c r="A4501" s="216" t="s">
        <v>2147</v>
      </c>
      <c r="B4501" s="40" t="s">
        <v>3808</v>
      </c>
      <c r="C4501" s="1161" t="s">
        <v>7205</v>
      </c>
      <c r="D4501" s="317" t="n">
        <v>2004</v>
      </c>
      <c r="E4501" s="912" t="n">
        <f aca="false">2021-D4501</f>
        <v>17</v>
      </c>
      <c r="F4501" s="1365" t="n">
        <v>292400</v>
      </c>
      <c r="G4501" s="1364" t="n">
        <v>0.1</v>
      </c>
      <c r="H4501" s="1365" t="n">
        <f aca="false">F4501</f>
        <v>292400</v>
      </c>
      <c r="I4501" s="1365" t="n">
        <f aca="false">F4501-H4501</f>
        <v>0</v>
      </c>
      <c r="J4501" s="1365" t="n">
        <f aca="false">F4501*G4501</f>
        <v>29240</v>
      </c>
      <c r="K4501" s="1365" t="n">
        <f aca="false">J4501/1792.8</f>
        <v>16.3096831771531</v>
      </c>
      <c r="L4501" s="1365" t="n">
        <v>10</v>
      </c>
      <c r="M4501" s="1366" t="n">
        <f aca="false">(J4501/1778.4)*(L4501/60)</f>
        <v>2.74029089818563</v>
      </c>
    </row>
    <row r="4502" customFormat="false" ht="30" hidden="false" customHeight="false" outlineLevel="0" collapsed="false">
      <c r="A4502" s="216" t="s">
        <v>2149</v>
      </c>
      <c r="B4502" s="40" t="s">
        <v>3809</v>
      </c>
      <c r="C4502" s="1161" t="s">
        <v>7205</v>
      </c>
      <c r="D4502" s="317" t="n">
        <v>2004</v>
      </c>
      <c r="E4502" s="912" t="n">
        <f aca="false">2021-D4502</f>
        <v>17</v>
      </c>
      <c r="F4502" s="1365" t="n">
        <v>292400</v>
      </c>
      <c r="G4502" s="1364" t="n">
        <v>0.1</v>
      </c>
      <c r="H4502" s="1365" t="n">
        <f aca="false">F4502</f>
        <v>292400</v>
      </c>
      <c r="I4502" s="1365" t="n">
        <f aca="false">F4502-H4502</f>
        <v>0</v>
      </c>
      <c r="J4502" s="1365" t="n">
        <f aca="false">F4502*G4502</f>
        <v>29240</v>
      </c>
      <c r="K4502" s="1365" t="n">
        <f aca="false">J4502/1792.8</f>
        <v>16.3096831771531</v>
      </c>
      <c r="L4502" s="1365" t="n">
        <v>65</v>
      </c>
      <c r="M4502" s="1366" t="n">
        <f aca="false">(J4502/1778.4)*(L4502/60)</f>
        <v>17.8118908382066</v>
      </c>
    </row>
    <row r="4503" customFormat="false" ht="30" hidden="false" customHeight="false" outlineLevel="0" collapsed="false">
      <c r="A4503" s="216" t="s">
        <v>2151</v>
      </c>
      <c r="B4503" s="40" t="s">
        <v>3810</v>
      </c>
      <c r="C4503" s="1161" t="s">
        <v>7201</v>
      </c>
      <c r="D4503" s="317" t="n">
        <v>2008</v>
      </c>
      <c r="E4503" s="912" t="n">
        <f aca="false">2021-D4503</f>
        <v>13</v>
      </c>
      <c r="F4503" s="1365" t="n">
        <v>1849800</v>
      </c>
      <c r="G4503" s="1364" t="n">
        <v>0.1</v>
      </c>
      <c r="H4503" s="1365" t="n">
        <f aca="false">E4503*F4503*G4503</f>
        <v>2404740</v>
      </c>
      <c r="I4503" s="1365" t="n">
        <f aca="false">F4503-H4503</f>
        <v>-554940</v>
      </c>
      <c r="J4503" s="1365" t="n">
        <f aca="false">F4503*G4503</f>
        <v>184980</v>
      </c>
      <c r="K4503" s="1365" t="n">
        <f aca="false">J4503/1792.8</f>
        <v>103.179384203481</v>
      </c>
      <c r="L4503" s="1365" t="n">
        <v>20</v>
      </c>
      <c r="M4503" s="1366" t="n">
        <f aca="false">(J4503/1778.4)*(L4503/60)</f>
        <v>34.6716149347728</v>
      </c>
    </row>
    <row r="4504" customFormat="false" ht="30" hidden="false" customHeight="false" outlineLevel="0" collapsed="false">
      <c r="A4504" s="1553" t="s">
        <v>2153</v>
      </c>
      <c r="B4504" s="40" t="s">
        <v>3811</v>
      </c>
      <c r="C4504" s="1161" t="s">
        <v>7201</v>
      </c>
      <c r="D4504" s="317" t="n">
        <v>2008</v>
      </c>
      <c r="E4504" s="912" t="n">
        <f aca="false">2021-D4504</f>
        <v>13</v>
      </c>
      <c r="F4504" s="1365" t="n">
        <v>1849800</v>
      </c>
      <c r="G4504" s="1364" t="n">
        <v>0.1</v>
      </c>
      <c r="H4504" s="1365" t="n">
        <f aca="false">E4504*F4504*G4504</f>
        <v>2404740</v>
      </c>
      <c r="I4504" s="1365" t="n">
        <f aca="false">F4504-H4504</f>
        <v>-554940</v>
      </c>
      <c r="J4504" s="1365" t="n">
        <f aca="false">F4504*G4504</f>
        <v>184980</v>
      </c>
      <c r="K4504" s="1365" t="n">
        <f aca="false">J4504/1792.8</f>
        <v>103.179384203481</v>
      </c>
      <c r="L4504" s="1365" t="n">
        <v>20</v>
      </c>
      <c r="M4504" s="1366" t="n">
        <f aca="false">(J4504/1778.4)*(L4504/60)</f>
        <v>34.6716149347728</v>
      </c>
    </row>
    <row r="4505" customFormat="false" ht="30" hidden="false" customHeight="false" outlineLevel="0" collapsed="false">
      <c r="A4505" s="571" t="s">
        <v>2155</v>
      </c>
      <c r="B4505" s="40" t="s">
        <v>3812</v>
      </c>
      <c r="C4505" s="1161" t="s">
        <v>7201</v>
      </c>
      <c r="D4505" s="317" t="n">
        <v>2008</v>
      </c>
      <c r="E4505" s="912" t="n">
        <f aca="false">2021-D4505</f>
        <v>13</v>
      </c>
      <c r="F4505" s="1365" t="n">
        <v>1849800</v>
      </c>
      <c r="G4505" s="1364" t="n">
        <v>0.1</v>
      </c>
      <c r="H4505" s="1365" t="n">
        <f aca="false">E4505*F4505*G4505</f>
        <v>2404740</v>
      </c>
      <c r="I4505" s="1365" t="n">
        <f aca="false">F4505-H4505</f>
        <v>-554940</v>
      </c>
      <c r="J4505" s="1365" t="n">
        <f aca="false">F4505*G4505</f>
        <v>184980</v>
      </c>
      <c r="K4505" s="1365" t="n">
        <f aca="false">J4505/1792.8</f>
        <v>103.179384203481</v>
      </c>
      <c r="L4505" s="1365" t="n">
        <v>20</v>
      </c>
      <c r="M4505" s="1366" t="n">
        <f aca="false">(J4505/1778.4)*(L4505/60)</f>
        <v>34.6716149347728</v>
      </c>
    </row>
    <row r="4506" customFormat="false" ht="30" hidden="false" customHeight="false" outlineLevel="0" collapsed="false">
      <c r="A4506" s="571" t="s">
        <v>2157</v>
      </c>
      <c r="B4506" s="1419" t="s">
        <v>3813</v>
      </c>
      <c r="C4506" s="1161" t="s">
        <v>7201</v>
      </c>
      <c r="D4506" s="317" t="n">
        <v>2008</v>
      </c>
      <c r="E4506" s="912" t="n">
        <f aca="false">2021-D4506</f>
        <v>13</v>
      </c>
      <c r="F4506" s="1365" t="n">
        <v>1849800</v>
      </c>
      <c r="G4506" s="1364" t="n">
        <v>0.1</v>
      </c>
      <c r="H4506" s="1365" t="n">
        <f aca="false">E4506*F4506*G4506</f>
        <v>2404740</v>
      </c>
      <c r="I4506" s="1365" t="n">
        <f aca="false">F4506-H4506</f>
        <v>-554940</v>
      </c>
      <c r="J4506" s="1365" t="n">
        <f aca="false">F4506*G4506</f>
        <v>184980</v>
      </c>
      <c r="K4506" s="1365" t="n">
        <f aca="false">J4506/1792.8</f>
        <v>103.179384203481</v>
      </c>
      <c r="L4506" s="1365" t="n">
        <v>20</v>
      </c>
      <c r="M4506" s="1366" t="n">
        <f aca="false">(J4506/1778.4)*(L4506/60)</f>
        <v>34.6716149347728</v>
      </c>
    </row>
    <row r="4507" customFormat="false" ht="36" hidden="false" customHeight="true" outlineLevel="0" collapsed="false">
      <c r="A4507" s="343" t="s">
        <v>2159</v>
      </c>
      <c r="B4507" s="318" t="s">
        <v>3814</v>
      </c>
      <c r="C4507" s="1554"/>
      <c r="D4507" s="1555"/>
      <c r="E4507" s="1556"/>
      <c r="F4507" s="1556"/>
      <c r="G4507" s="1556"/>
      <c r="H4507" s="1556"/>
      <c r="I4507" s="1556"/>
      <c r="J4507" s="1556"/>
      <c r="K4507" s="1556"/>
      <c r="L4507" s="1556"/>
      <c r="M4507" s="1556"/>
    </row>
    <row r="4508" s="122" customFormat="true" ht="30" hidden="false" customHeight="false" outlineLevel="0" collapsed="false">
      <c r="A4508" s="707" t="s">
        <v>2161</v>
      </c>
      <c r="B4508" s="47" t="s">
        <v>3815</v>
      </c>
      <c r="C4508" s="1404" t="s">
        <v>7211</v>
      </c>
      <c r="D4508" s="569" t="n">
        <v>2004</v>
      </c>
      <c r="E4508" s="569" t="n">
        <f aca="false">2021-D4508</f>
        <v>17</v>
      </c>
      <c r="F4508" s="1105" t="n">
        <v>214320</v>
      </c>
      <c r="G4508" s="1444" t="n">
        <v>0.1</v>
      </c>
      <c r="H4508" s="1105" t="n">
        <f aca="false">E4508*F4508*G4508</f>
        <v>364344</v>
      </c>
      <c r="I4508" s="1105" t="n">
        <f aca="false">F4508</f>
        <v>214320</v>
      </c>
      <c r="J4508" s="1105" t="n">
        <f aca="false">F4508*G4508</f>
        <v>21432</v>
      </c>
      <c r="K4508" s="1365" t="n">
        <f aca="false">J4508/1792.8</f>
        <v>11.954484605087</v>
      </c>
      <c r="L4508" s="1105" t="n">
        <v>20</v>
      </c>
      <c r="M4508" s="865" t="n">
        <f aca="false">K4508*L4508/60</f>
        <v>3.98482820169567</v>
      </c>
    </row>
    <row r="4509" s="122" customFormat="true" ht="15" hidden="false" customHeight="false" outlineLevel="0" collapsed="false">
      <c r="A4509" s="707"/>
      <c r="B4509" s="99"/>
      <c r="C4509" s="1404" t="s">
        <v>7212</v>
      </c>
      <c r="D4509" s="569" t="n">
        <v>2008</v>
      </c>
      <c r="E4509" s="569" t="n">
        <f aca="false">2021-D4509</f>
        <v>13</v>
      </c>
      <c r="F4509" s="1105" t="n">
        <v>376800</v>
      </c>
      <c r="G4509" s="1444" t="n">
        <v>0.1</v>
      </c>
      <c r="H4509" s="1105" t="n">
        <f aca="false">E4509*F4509*G4509</f>
        <v>489840</v>
      </c>
      <c r="I4509" s="1105" t="n">
        <f aca="false">F4509-H4509</f>
        <v>-113040</v>
      </c>
      <c r="J4509" s="1105" t="n">
        <f aca="false">F4509*G4509</f>
        <v>37680</v>
      </c>
      <c r="K4509" s="1365" t="n">
        <f aca="false">J4509/1792.8</f>
        <v>21.0174029451138</v>
      </c>
      <c r="L4509" s="1105" t="n">
        <v>6</v>
      </c>
      <c r="M4509" s="865" t="n">
        <f aca="false">K4509*L4509/60</f>
        <v>2.10174029451138</v>
      </c>
    </row>
    <row r="4510" s="122" customFormat="true" ht="15" hidden="false" customHeight="false" outlineLevel="0" collapsed="false">
      <c r="A4510" s="707"/>
      <c r="B4510" s="99"/>
      <c r="C4510" s="1404" t="s">
        <v>7176</v>
      </c>
      <c r="D4510" s="569" t="n">
        <v>2009</v>
      </c>
      <c r="E4510" s="569" t="n">
        <f aca="false">2021-D4510</f>
        <v>12</v>
      </c>
      <c r="F4510" s="1105" t="n">
        <v>166807</v>
      </c>
      <c r="G4510" s="1444" t="n">
        <v>0.1</v>
      </c>
      <c r="H4510" s="1105" t="n">
        <f aca="false">E4510*F4510*G4510</f>
        <v>200168.4</v>
      </c>
      <c r="I4510" s="1105" t="n">
        <f aca="false">F4510-H4510</f>
        <v>-33361.4</v>
      </c>
      <c r="J4510" s="1105" t="n">
        <f aca="false">F4510*G4510</f>
        <v>16680.7</v>
      </c>
      <c r="K4510" s="1365" t="n">
        <f aca="false">J4510/1792.8</f>
        <v>9.30427264614012</v>
      </c>
      <c r="L4510" s="1105" t="n">
        <v>6</v>
      </c>
      <c r="M4510" s="865" t="n">
        <f aca="false">K4510*L4510/60</f>
        <v>0.930427264614012</v>
      </c>
    </row>
    <row r="4511" s="122" customFormat="true" ht="15" hidden="false" customHeight="false" outlineLevel="0" collapsed="false">
      <c r="A4511" s="707"/>
      <c r="B4511" s="99"/>
      <c r="C4511" s="1404" t="s">
        <v>7213</v>
      </c>
      <c r="D4511" s="569" t="n">
        <v>2004</v>
      </c>
      <c r="E4511" s="569" t="n">
        <f aca="false">2021-D4511</f>
        <v>17</v>
      </c>
      <c r="F4511" s="1105" t="n">
        <v>198000</v>
      </c>
      <c r="G4511" s="1444" t="n">
        <v>0.1</v>
      </c>
      <c r="H4511" s="1105" t="n">
        <f aca="false">E4511*F4511*G4511</f>
        <v>336600</v>
      </c>
      <c r="I4511" s="1105" t="n">
        <f aca="false">F4511</f>
        <v>198000</v>
      </c>
      <c r="J4511" s="1105" t="n">
        <f aca="false">F4511*G4511</f>
        <v>19800</v>
      </c>
      <c r="K4511" s="1365" t="n">
        <f aca="false">J4511/1792.8</f>
        <v>11.0441767068273</v>
      </c>
      <c r="L4511" s="1105" t="n">
        <v>12</v>
      </c>
      <c r="M4511" s="865" t="n">
        <f aca="false">K4511*L4511/60</f>
        <v>2.20883534136546</v>
      </c>
    </row>
    <row r="4512" s="122" customFormat="true" ht="15" hidden="false" customHeight="false" outlineLevel="0" collapsed="false">
      <c r="A4512" s="707"/>
      <c r="B4512" s="99"/>
      <c r="C4512" s="1404" t="s">
        <v>7214</v>
      </c>
      <c r="D4512" s="569" t="n">
        <v>2006</v>
      </c>
      <c r="E4512" s="569" t="n">
        <f aca="false">2021-D4512</f>
        <v>15</v>
      </c>
      <c r="F4512" s="1105" t="n">
        <v>10250000</v>
      </c>
      <c r="G4512" s="1444" t="n">
        <v>0.1</v>
      </c>
      <c r="H4512" s="1105" t="n">
        <f aca="false">E4512*F4512*G4512</f>
        <v>15375000</v>
      </c>
      <c r="I4512" s="1105" t="n">
        <f aca="false">F4512-H4512</f>
        <v>-5125000</v>
      </c>
      <c r="J4512" s="1105" t="n">
        <f aca="false">F4512*G4512</f>
        <v>1025000</v>
      </c>
      <c r="K4512" s="1365" t="n">
        <f aca="false">J4512/1792.8</f>
        <v>571.731369924141</v>
      </c>
      <c r="L4512" s="1105" t="n">
        <v>30</v>
      </c>
      <c r="M4512" s="865" t="n">
        <f aca="false">K4512*L4512/60</f>
        <v>285.865684962071</v>
      </c>
    </row>
    <row r="4513" s="122" customFormat="true" ht="15" hidden="false" customHeight="false" outlineLevel="0" collapsed="false">
      <c r="A4513" s="707"/>
      <c r="B4513" s="99"/>
      <c r="C4513" s="1404" t="s">
        <v>7215</v>
      </c>
      <c r="D4513" s="569" t="n">
        <v>2006</v>
      </c>
      <c r="E4513" s="569" t="n">
        <f aca="false">2021-D4513</f>
        <v>15</v>
      </c>
      <c r="F4513" s="1105" t="n">
        <v>174000</v>
      </c>
      <c r="G4513" s="1444" t="n">
        <v>0.1</v>
      </c>
      <c r="H4513" s="1105" t="n">
        <f aca="false">E4513*F4513*G4513</f>
        <v>261000</v>
      </c>
      <c r="I4513" s="1105" t="n">
        <f aca="false">F4513-H4513</f>
        <v>-87000</v>
      </c>
      <c r="J4513" s="1105" t="n">
        <f aca="false">F4513*G4513</f>
        <v>17400</v>
      </c>
      <c r="K4513" s="1365" t="n">
        <f aca="false">J4513/1792.8</f>
        <v>9.70548862115127</v>
      </c>
      <c r="L4513" s="1105" t="n">
        <v>30</v>
      </c>
      <c r="M4513" s="865" t="n">
        <f aca="false">K4513*L4513/60</f>
        <v>4.85274431057564</v>
      </c>
    </row>
    <row r="4514" s="122" customFormat="true" ht="15" hidden="false" customHeight="false" outlineLevel="0" collapsed="false">
      <c r="A4514" s="707"/>
      <c r="B4514" s="99"/>
      <c r="C4514" s="1404" t="s">
        <v>7216</v>
      </c>
      <c r="D4514" s="569" t="n">
        <v>2007</v>
      </c>
      <c r="E4514" s="569" t="n">
        <f aca="false">2021-D4514</f>
        <v>14</v>
      </c>
      <c r="F4514" s="1105" t="n">
        <v>429000</v>
      </c>
      <c r="G4514" s="1444" t="n">
        <v>0.1</v>
      </c>
      <c r="H4514" s="1105" t="n">
        <f aca="false">E4514*F4514*G4514</f>
        <v>600600</v>
      </c>
      <c r="I4514" s="1105" t="n">
        <f aca="false">F4514-H4514</f>
        <v>-171600</v>
      </c>
      <c r="J4514" s="1105" t="n">
        <f aca="false">F4514*G4514</f>
        <v>42900</v>
      </c>
      <c r="K4514" s="1365" t="n">
        <f aca="false">J4514/1792.8</f>
        <v>23.9290495314592</v>
      </c>
      <c r="L4514" s="1105" t="n">
        <v>30</v>
      </c>
      <c r="M4514" s="865" t="n">
        <f aca="false">K4514*L4514/60</f>
        <v>11.9645247657296</v>
      </c>
    </row>
    <row r="4515" s="122" customFormat="true" ht="15" hidden="false" customHeight="false" outlineLevel="0" collapsed="false">
      <c r="A4515" s="707"/>
      <c r="B4515" s="99"/>
      <c r="C4515" s="1404" t="s">
        <v>7217</v>
      </c>
      <c r="D4515" s="569" t="n">
        <v>2007</v>
      </c>
      <c r="E4515" s="569" t="n">
        <f aca="false">2021-D4515</f>
        <v>14</v>
      </c>
      <c r="F4515" s="1105" t="n">
        <v>287614</v>
      </c>
      <c r="G4515" s="1444" t="n">
        <v>0.1</v>
      </c>
      <c r="H4515" s="1105" t="n">
        <f aca="false">E4515*F4515*G4515</f>
        <v>402659.6</v>
      </c>
      <c r="I4515" s="1105" t="n">
        <f aca="false">F4515-H4515</f>
        <v>-115045.6</v>
      </c>
      <c r="J4515" s="1105" t="n">
        <f aca="false">F4515*G4515</f>
        <v>28761.4</v>
      </c>
      <c r="K4515" s="1365" t="n">
        <f aca="false">J4515/1792.8</f>
        <v>16.0427264614012</v>
      </c>
      <c r="L4515" s="1105" t="n">
        <v>30</v>
      </c>
      <c r="M4515" s="865" t="n">
        <f aca="false">K4515*L4515/60</f>
        <v>8.02136323070058</v>
      </c>
    </row>
    <row r="4516" s="122" customFormat="true" ht="15" hidden="false" customHeight="false" outlineLevel="0" collapsed="false">
      <c r="A4516" s="707"/>
      <c r="B4516" s="99"/>
      <c r="C4516" s="1404" t="s">
        <v>7218</v>
      </c>
      <c r="D4516" s="569" t="n">
        <v>2006</v>
      </c>
      <c r="E4516" s="569" t="n">
        <f aca="false">2021-D4516</f>
        <v>15</v>
      </c>
      <c r="F4516" s="1105" t="n">
        <v>28260</v>
      </c>
      <c r="G4516" s="1444" t="n">
        <v>0.1</v>
      </c>
      <c r="H4516" s="1105" t="n">
        <f aca="false">E4516*F4516*G4516</f>
        <v>42390</v>
      </c>
      <c r="I4516" s="1105" t="n">
        <f aca="false">F4516-H4516</f>
        <v>-14130</v>
      </c>
      <c r="J4516" s="1105" t="n">
        <f aca="false">F4516*G4516</f>
        <v>2826</v>
      </c>
      <c r="K4516" s="1365" t="n">
        <f aca="false">J4516/1792.8</f>
        <v>1.57630522088353</v>
      </c>
      <c r="L4516" s="1105" t="n">
        <v>30</v>
      </c>
      <c r="M4516" s="865" t="n">
        <f aca="false">K4516*L4516/60</f>
        <v>0.788152610441767</v>
      </c>
    </row>
    <row r="4517" s="122" customFormat="true" ht="15" hidden="false" customHeight="false" outlineLevel="0" collapsed="false">
      <c r="A4517" s="1403"/>
      <c r="B4517" s="99"/>
      <c r="C4517" s="1404" t="s">
        <v>7219</v>
      </c>
      <c r="D4517" s="569" t="n">
        <v>2009</v>
      </c>
      <c r="E4517" s="569" t="n">
        <f aca="false">2021-D4517</f>
        <v>12</v>
      </c>
      <c r="F4517" s="1105" t="n">
        <v>2030000</v>
      </c>
      <c r="G4517" s="1444" t="n">
        <v>0.1</v>
      </c>
      <c r="H4517" s="1105" t="n">
        <f aca="false">E4517*F4517*G4517</f>
        <v>2436000</v>
      </c>
      <c r="I4517" s="1105" t="n">
        <f aca="false">F4517-H4517</f>
        <v>-406000</v>
      </c>
      <c r="J4517" s="1105" t="n">
        <f aca="false">F4517*G4517</f>
        <v>203000</v>
      </c>
      <c r="K4517" s="1365" t="n">
        <f aca="false">J4517/1792.8</f>
        <v>113.230700580098</v>
      </c>
      <c r="L4517" s="1105" t="n">
        <v>60</v>
      </c>
      <c r="M4517" s="865" t="n">
        <f aca="false">K4517*L4517/60</f>
        <v>113.230700580098</v>
      </c>
    </row>
    <row r="4518" s="122" customFormat="true" ht="15" hidden="false" customHeight="false" outlineLevel="0" collapsed="false">
      <c r="A4518" s="707"/>
      <c r="B4518" s="1557" t="s">
        <v>4128</v>
      </c>
      <c r="C4518" s="1404"/>
      <c r="D4518" s="569"/>
      <c r="E4518" s="569"/>
      <c r="F4518" s="1105"/>
      <c r="G4518" s="1444"/>
      <c r="H4518" s="1105"/>
      <c r="I4518" s="1105"/>
      <c r="J4518" s="1105"/>
      <c r="K4518" s="1365" t="n">
        <f aca="false">J4518/1792.8</f>
        <v>0</v>
      </c>
      <c r="L4518" s="1558"/>
      <c r="M4518" s="1558" t="n">
        <f aca="false">SUM(M4508:M4517)</f>
        <v>433.949001561803</v>
      </c>
    </row>
    <row r="4519" s="122" customFormat="true" ht="30" hidden="false" customHeight="false" outlineLevel="0" collapsed="false">
      <c r="A4519" s="707" t="s">
        <v>2163</v>
      </c>
      <c r="B4519" s="47" t="s">
        <v>3816</v>
      </c>
      <c r="C4519" s="1404" t="s">
        <v>7158</v>
      </c>
      <c r="D4519" s="569" t="n">
        <v>2009</v>
      </c>
      <c r="E4519" s="569" t="n">
        <f aca="false">2021-D4519</f>
        <v>12</v>
      </c>
      <c r="F4519" s="1105" t="n">
        <v>417600</v>
      </c>
      <c r="G4519" s="1444" t="n">
        <v>0.1</v>
      </c>
      <c r="H4519" s="1105" t="n">
        <f aca="false">E4519*F4519*G4519</f>
        <v>501120</v>
      </c>
      <c r="I4519" s="1105" t="n">
        <f aca="false">F4519-H4519</f>
        <v>-83520</v>
      </c>
      <c r="J4519" s="1105" t="n">
        <f aca="false">F4519*G4519</f>
        <v>41760</v>
      </c>
      <c r="K4519" s="1365" t="n">
        <f aca="false">J4519/1792.8</f>
        <v>23.2931726907631</v>
      </c>
      <c r="L4519" s="1105" t="n">
        <v>61</v>
      </c>
      <c r="M4519" s="865" t="n">
        <f aca="false">K4519*L4519/60</f>
        <v>23.6813922356091</v>
      </c>
    </row>
    <row r="4520" s="122" customFormat="true" ht="15" hidden="false" customHeight="false" outlineLevel="0" collapsed="false">
      <c r="A4520" s="707"/>
      <c r="B4520" s="99"/>
      <c r="C4520" s="1404" t="s">
        <v>7219</v>
      </c>
      <c r="D4520" s="569" t="n">
        <v>2009</v>
      </c>
      <c r="E4520" s="569" t="n">
        <f aca="false">2021-D4520</f>
        <v>12</v>
      </c>
      <c r="F4520" s="1105" t="n">
        <v>2030000</v>
      </c>
      <c r="G4520" s="1444" t="n">
        <v>0.1</v>
      </c>
      <c r="H4520" s="1105" t="n">
        <f aca="false">E4520*F4520*G4520</f>
        <v>2436000</v>
      </c>
      <c r="I4520" s="1105" t="n">
        <f aca="false">F4520-H4520</f>
        <v>-406000</v>
      </c>
      <c r="J4520" s="1105" t="n">
        <f aca="false">F4520*G4520</f>
        <v>203000</v>
      </c>
      <c r="K4520" s="1365" t="n">
        <f aca="false">J4520/1792.8</f>
        <v>113.230700580098</v>
      </c>
      <c r="L4520" s="1105" t="n">
        <v>60</v>
      </c>
      <c r="M4520" s="865" t="n">
        <f aca="false">K4520*L4520/60</f>
        <v>113.230700580098</v>
      </c>
    </row>
    <row r="4521" s="122" customFormat="true" ht="15" hidden="false" customHeight="false" outlineLevel="0" collapsed="false">
      <c r="A4521" s="707"/>
      <c r="B4521" s="1559"/>
      <c r="C4521" s="1404" t="s">
        <v>7155</v>
      </c>
      <c r="D4521" s="569" t="n">
        <v>2005</v>
      </c>
      <c r="E4521" s="569" t="n">
        <f aca="false">2021-D4521</f>
        <v>16</v>
      </c>
      <c r="F4521" s="1105" t="n">
        <v>85000</v>
      </c>
      <c r="G4521" s="1444" t="n">
        <v>0.1</v>
      </c>
      <c r="H4521" s="1105" t="n">
        <f aca="false">E4521*F4521*G4521</f>
        <v>136000</v>
      </c>
      <c r="I4521" s="1105" t="n">
        <f aca="false">F4521</f>
        <v>85000</v>
      </c>
      <c r="J4521" s="1105" t="n">
        <f aca="false">F4521*G4521</f>
        <v>8500</v>
      </c>
      <c r="K4521" s="1365" t="n">
        <f aca="false">J4521/1792.8</f>
        <v>4.74118697010263</v>
      </c>
      <c r="L4521" s="1105" t="n">
        <v>30</v>
      </c>
      <c r="M4521" s="865" t="n">
        <f aca="false">K4521*L4521/60</f>
        <v>2.37059348505132</v>
      </c>
    </row>
    <row r="4522" s="122" customFormat="true" ht="15" hidden="false" customHeight="false" outlineLevel="0" collapsed="false">
      <c r="A4522" s="1403"/>
      <c r="B4522" s="99"/>
      <c r="C4522" s="1404" t="s">
        <v>7174</v>
      </c>
      <c r="D4522" s="569" t="n">
        <v>2005</v>
      </c>
      <c r="E4522" s="569" t="n">
        <f aca="false">2021-D4522</f>
        <v>16</v>
      </c>
      <c r="F4522" s="1105" t="n">
        <v>1638000</v>
      </c>
      <c r="G4522" s="1444" t="n">
        <v>0.1</v>
      </c>
      <c r="H4522" s="1105" t="n">
        <f aca="false">E4522*F4522*G4522</f>
        <v>2620800</v>
      </c>
      <c r="I4522" s="1105" t="n">
        <f aca="false">F4522</f>
        <v>1638000</v>
      </c>
      <c r="J4522" s="1105" t="n">
        <f aca="false">F4522*G4522</f>
        <v>163800</v>
      </c>
      <c r="K4522" s="1365" t="n">
        <f aca="false">J4522/1792.8</f>
        <v>91.3654618473896</v>
      </c>
      <c r="L4522" s="1105" t="n">
        <v>30</v>
      </c>
      <c r="M4522" s="865" t="n">
        <f aca="false">K4522*L4522/60</f>
        <v>45.6827309236948</v>
      </c>
    </row>
    <row r="4523" s="122" customFormat="true" ht="15" hidden="false" customHeight="false" outlineLevel="0" collapsed="false">
      <c r="A4523" s="1403"/>
      <c r="B4523" s="99"/>
      <c r="C4523" s="1404" t="s">
        <v>7212</v>
      </c>
      <c r="D4523" s="569" t="n">
        <v>2008</v>
      </c>
      <c r="E4523" s="569" t="n">
        <f aca="false">2021-D4523</f>
        <v>13</v>
      </c>
      <c r="F4523" s="1105" t="n">
        <v>376800</v>
      </c>
      <c r="G4523" s="1444" t="n">
        <v>0.1</v>
      </c>
      <c r="H4523" s="1105" t="n">
        <f aca="false">E4523*F4523*G4523</f>
        <v>489840</v>
      </c>
      <c r="I4523" s="1105" t="n">
        <f aca="false">F4523-H4523</f>
        <v>-113040</v>
      </c>
      <c r="J4523" s="1105" t="n">
        <f aca="false">F4523*G4523</f>
        <v>37680</v>
      </c>
      <c r="K4523" s="1365" t="n">
        <f aca="false">J4523/1792.8</f>
        <v>21.0174029451138</v>
      </c>
      <c r="L4523" s="1105" t="n">
        <v>18</v>
      </c>
      <c r="M4523" s="865" t="n">
        <f aca="false">K4523*L4523/60</f>
        <v>6.30522088353414</v>
      </c>
    </row>
    <row r="4524" s="122" customFormat="true" ht="15" hidden="false" customHeight="false" outlineLevel="0" collapsed="false">
      <c r="A4524" s="1403"/>
      <c r="B4524" s="99"/>
      <c r="C4524" s="118" t="s">
        <v>7220</v>
      </c>
      <c r="D4524" s="1560" t="n">
        <v>2008</v>
      </c>
      <c r="E4524" s="569" t="n">
        <f aca="false">2021-D4524</f>
        <v>13</v>
      </c>
      <c r="F4524" s="1105" t="n">
        <v>1800000</v>
      </c>
      <c r="G4524" s="1444" t="n">
        <v>0.1</v>
      </c>
      <c r="H4524" s="1105" t="n">
        <f aca="false">E4524*F4524*G4524</f>
        <v>2340000</v>
      </c>
      <c r="I4524" s="1105" t="n">
        <f aca="false">F4524-H4524</f>
        <v>-540000</v>
      </c>
      <c r="J4524" s="1105" t="n">
        <f aca="false">F4524*G4524</f>
        <v>180000</v>
      </c>
      <c r="K4524" s="1365" t="n">
        <f aca="false">J4524/1792.8</f>
        <v>100.401606425703</v>
      </c>
      <c r="L4524" s="1105" t="n">
        <v>66</v>
      </c>
      <c r="M4524" s="865" t="n">
        <f aca="false">K4524*L4524/60</f>
        <v>110.441767068273</v>
      </c>
    </row>
    <row r="4525" s="122" customFormat="true" ht="15" hidden="false" customHeight="false" outlineLevel="0" collapsed="false">
      <c r="A4525" s="1403"/>
      <c r="B4525" s="1557" t="s">
        <v>4128</v>
      </c>
      <c r="C4525" s="1404"/>
      <c r="D4525" s="569"/>
      <c r="E4525" s="569"/>
      <c r="F4525" s="1105"/>
      <c r="G4525" s="1444"/>
      <c r="H4525" s="1105"/>
      <c r="I4525" s="1105"/>
      <c r="J4525" s="1105"/>
      <c r="K4525" s="1365" t="n">
        <f aca="false">J4525/1792.8</f>
        <v>0</v>
      </c>
      <c r="L4525" s="754"/>
      <c r="M4525" s="1558" t="n">
        <f aca="false">SUM(M4519:M4524)</f>
        <v>301.712405176261</v>
      </c>
    </row>
    <row r="4526" s="122" customFormat="true" ht="45" hidden="false" customHeight="false" outlineLevel="0" collapsed="false">
      <c r="A4526" s="1403" t="s">
        <v>2165</v>
      </c>
      <c r="B4526" s="1559" t="s">
        <v>3817</v>
      </c>
      <c r="C4526" s="1404" t="s">
        <v>7158</v>
      </c>
      <c r="D4526" s="569" t="n">
        <v>2009</v>
      </c>
      <c r="E4526" s="569" t="n">
        <f aca="false">2021-D4526</f>
        <v>12</v>
      </c>
      <c r="F4526" s="1105" t="n">
        <v>417600</v>
      </c>
      <c r="G4526" s="1444" t="n">
        <v>0.1</v>
      </c>
      <c r="H4526" s="1105" t="n">
        <f aca="false">E4526*F4526*G4526</f>
        <v>501120</v>
      </c>
      <c r="I4526" s="1105" t="n">
        <f aca="false">F4526-H4526</f>
        <v>-83520</v>
      </c>
      <c r="J4526" s="1105" t="n">
        <f aca="false">F4526*G4526</f>
        <v>41760</v>
      </c>
      <c r="K4526" s="1365" t="n">
        <f aca="false">J4526/1792.8</f>
        <v>23.2931726907631</v>
      </c>
      <c r="L4526" s="1105" t="n">
        <v>61</v>
      </c>
      <c r="M4526" s="865" t="n">
        <f aca="false">K4526*L4526/60</f>
        <v>23.6813922356091</v>
      </c>
    </row>
    <row r="4527" s="122" customFormat="true" ht="15" hidden="false" customHeight="false" outlineLevel="0" collapsed="false">
      <c r="A4527" s="1403"/>
      <c r="B4527" s="1559"/>
      <c r="C4527" s="1404" t="s">
        <v>7221</v>
      </c>
      <c r="D4527" s="569" t="n">
        <v>2009</v>
      </c>
      <c r="E4527" s="569" t="n">
        <f aca="false">2021-D4527</f>
        <v>12</v>
      </c>
      <c r="F4527" s="1105" t="n">
        <v>47700</v>
      </c>
      <c r="G4527" s="1444" t="n">
        <v>0.1</v>
      </c>
      <c r="H4527" s="1105" t="n">
        <f aca="false">E4527*F4527*G4527</f>
        <v>57240</v>
      </c>
      <c r="I4527" s="1105" t="n">
        <f aca="false">F4527-H4527</f>
        <v>-9540</v>
      </c>
      <c r="J4527" s="1105" t="n">
        <f aca="false">F4527*G4527</f>
        <v>4770</v>
      </c>
      <c r="K4527" s="1365" t="n">
        <f aca="false">J4527/1792.8</f>
        <v>2.66064257028112</v>
      </c>
      <c r="L4527" s="1105" t="n">
        <v>1080</v>
      </c>
      <c r="M4527" s="865" t="n">
        <f aca="false">K4527*L4527/60</f>
        <v>47.8915662650602</v>
      </c>
    </row>
    <row r="4528" s="122" customFormat="true" ht="15" hidden="false" customHeight="false" outlineLevel="0" collapsed="false">
      <c r="A4528" s="1403"/>
      <c r="B4528" s="1557" t="s">
        <v>4128</v>
      </c>
      <c r="C4528" s="1404"/>
      <c r="D4528" s="569"/>
      <c r="E4528" s="569"/>
      <c r="F4528" s="1105"/>
      <c r="G4528" s="1444"/>
      <c r="H4528" s="1105"/>
      <c r="I4528" s="1105"/>
      <c r="J4528" s="1105"/>
      <c r="K4528" s="1365" t="n">
        <f aca="false">J4528/1792.8</f>
        <v>0</v>
      </c>
      <c r="L4528" s="754"/>
      <c r="M4528" s="1558" t="n">
        <f aca="false">SUM(M4526:M4527)</f>
        <v>71.5729585006693</v>
      </c>
    </row>
    <row r="4529" s="122" customFormat="true" ht="49.5" hidden="false" customHeight="true" outlineLevel="0" collapsed="false">
      <c r="A4529" s="1403" t="s">
        <v>2167</v>
      </c>
      <c r="B4529" s="1559" t="s">
        <v>7222</v>
      </c>
      <c r="C4529" s="1404" t="s">
        <v>7211</v>
      </c>
      <c r="D4529" s="569" t="n">
        <v>2004</v>
      </c>
      <c r="E4529" s="569" t="n">
        <f aca="false">2021-D4529</f>
        <v>17</v>
      </c>
      <c r="F4529" s="1105" t="n">
        <v>214320</v>
      </c>
      <c r="G4529" s="1444" t="n">
        <v>0.1</v>
      </c>
      <c r="H4529" s="1105" t="n">
        <f aca="false">E4529*F4529*G4529</f>
        <v>364344</v>
      </c>
      <c r="I4529" s="1105" t="n">
        <f aca="false">F4529</f>
        <v>214320</v>
      </c>
      <c r="J4529" s="1105" t="n">
        <f aca="false">F4529*G4529</f>
        <v>21432</v>
      </c>
      <c r="K4529" s="1365" t="n">
        <f aca="false">J4529/1792.8</f>
        <v>11.954484605087</v>
      </c>
      <c r="L4529" s="1105" t="n">
        <v>30</v>
      </c>
      <c r="M4529" s="865" t="n">
        <f aca="false">K4529*L4529/60</f>
        <v>5.97724230254351</v>
      </c>
    </row>
    <row r="4530" s="122" customFormat="true" ht="15" hidden="false" customHeight="false" outlineLevel="0" collapsed="false">
      <c r="A4530" s="1403"/>
      <c r="B4530" s="1559"/>
      <c r="C4530" s="1404" t="s">
        <v>7212</v>
      </c>
      <c r="D4530" s="569" t="n">
        <v>2008</v>
      </c>
      <c r="E4530" s="569" t="n">
        <f aca="false">2021-D4530</f>
        <v>13</v>
      </c>
      <c r="F4530" s="1105" t="n">
        <v>376800</v>
      </c>
      <c r="G4530" s="1444" t="n">
        <v>0.1</v>
      </c>
      <c r="H4530" s="1105" t="n">
        <f aca="false">E4530*F4530*G4530</f>
        <v>489840</v>
      </c>
      <c r="I4530" s="1105" t="n">
        <f aca="false">F4530-H4530</f>
        <v>-113040</v>
      </c>
      <c r="J4530" s="1105" t="n">
        <f aca="false">F4530*G4530</f>
        <v>37680</v>
      </c>
      <c r="K4530" s="1365" t="n">
        <f aca="false">J4530/1792.8</f>
        <v>21.0174029451138</v>
      </c>
      <c r="L4530" s="1105" t="n">
        <v>18</v>
      </c>
      <c r="M4530" s="865" t="n">
        <f aca="false">K4530*L4530/60</f>
        <v>6.30522088353414</v>
      </c>
    </row>
    <row r="4531" s="122" customFormat="true" ht="15" hidden="false" customHeight="false" outlineLevel="0" collapsed="false">
      <c r="A4531" s="1403"/>
      <c r="B4531" s="1559"/>
      <c r="C4531" s="1404" t="s">
        <v>7176</v>
      </c>
      <c r="D4531" s="569" t="n">
        <v>2009</v>
      </c>
      <c r="E4531" s="569" t="n">
        <f aca="false">2021-D4531</f>
        <v>12</v>
      </c>
      <c r="F4531" s="1105" t="n">
        <v>166807</v>
      </c>
      <c r="G4531" s="1444" t="n">
        <v>0.1</v>
      </c>
      <c r="H4531" s="1105" t="n">
        <f aca="false">E4531*F4531*G4531</f>
        <v>200168.4</v>
      </c>
      <c r="I4531" s="1105" t="n">
        <f aca="false">F4531-H4531</f>
        <v>-33361.4</v>
      </c>
      <c r="J4531" s="1105" t="n">
        <f aca="false">F4531*G4531</f>
        <v>16680.7</v>
      </c>
      <c r="K4531" s="1365" t="n">
        <f aca="false">J4531/1792.8</f>
        <v>9.30427264614012</v>
      </c>
      <c r="L4531" s="1105" t="n">
        <v>18</v>
      </c>
      <c r="M4531" s="865" t="n">
        <f aca="false">K4531*L4531/60</f>
        <v>2.79128179384204</v>
      </c>
    </row>
    <row r="4532" s="122" customFormat="true" ht="15" hidden="false" customHeight="false" outlineLevel="0" collapsed="false">
      <c r="A4532" s="707"/>
      <c r="B4532" s="1559"/>
      <c r="C4532" s="1404" t="s">
        <v>7214</v>
      </c>
      <c r="D4532" s="569" t="n">
        <v>2006</v>
      </c>
      <c r="E4532" s="569" t="n">
        <f aca="false">2021-D4532</f>
        <v>15</v>
      </c>
      <c r="F4532" s="1105" t="n">
        <v>10250000</v>
      </c>
      <c r="G4532" s="1444" t="n">
        <v>0.1</v>
      </c>
      <c r="H4532" s="1105" t="n">
        <f aca="false">E4532*F4532*G4532</f>
        <v>15375000</v>
      </c>
      <c r="I4532" s="1105" t="n">
        <f aca="false">F4532-H4532</f>
        <v>-5125000</v>
      </c>
      <c r="J4532" s="1105" t="n">
        <f aca="false">F4532*G4532</f>
        <v>1025000</v>
      </c>
      <c r="K4532" s="1365" t="n">
        <f aca="false">J4532/1792.8</f>
        <v>571.731369924141</v>
      </c>
      <c r="L4532" s="1105" t="n">
        <v>30</v>
      </c>
      <c r="M4532" s="865" t="n">
        <f aca="false">K4532*L4532/60</f>
        <v>285.865684962071</v>
      </c>
    </row>
    <row r="4533" s="122" customFormat="true" ht="15" hidden="false" customHeight="false" outlineLevel="0" collapsed="false">
      <c r="A4533" s="1403"/>
      <c r="B4533" s="1559"/>
      <c r="C4533" s="1404" t="s">
        <v>7215</v>
      </c>
      <c r="D4533" s="569" t="n">
        <v>2006</v>
      </c>
      <c r="E4533" s="569" t="n">
        <f aca="false">2021-D4533</f>
        <v>15</v>
      </c>
      <c r="F4533" s="1105" t="n">
        <v>174000</v>
      </c>
      <c r="G4533" s="1444" t="n">
        <v>0.1</v>
      </c>
      <c r="H4533" s="1105" t="n">
        <f aca="false">E4533*F4533*G4533</f>
        <v>261000</v>
      </c>
      <c r="I4533" s="1105" t="n">
        <f aca="false">F4533-H4533</f>
        <v>-87000</v>
      </c>
      <c r="J4533" s="1105" t="n">
        <f aca="false">F4533*G4533</f>
        <v>17400</v>
      </c>
      <c r="K4533" s="1365" t="n">
        <f aca="false">J4533/1792.8</f>
        <v>9.70548862115127</v>
      </c>
      <c r="L4533" s="1105" t="n">
        <v>30</v>
      </c>
      <c r="M4533" s="865" t="n">
        <f aca="false">K4533*L4533/60</f>
        <v>4.85274431057564</v>
      </c>
    </row>
    <row r="4534" s="122" customFormat="true" ht="15" hidden="false" customHeight="false" outlineLevel="0" collapsed="false">
      <c r="A4534" s="707"/>
      <c r="B4534" s="1559"/>
      <c r="C4534" s="1404" t="s">
        <v>7216</v>
      </c>
      <c r="D4534" s="569" t="n">
        <v>2007</v>
      </c>
      <c r="E4534" s="569" t="n">
        <f aca="false">2021-D4534</f>
        <v>14</v>
      </c>
      <c r="F4534" s="1105" t="n">
        <v>429000</v>
      </c>
      <c r="G4534" s="1444" t="n">
        <v>0.1</v>
      </c>
      <c r="H4534" s="1105" t="n">
        <f aca="false">E4534*F4534*G4534</f>
        <v>600600</v>
      </c>
      <c r="I4534" s="1105" t="n">
        <f aca="false">F4534-H4534</f>
        <v>-171600</v>
      </c>
      <c r="J4534" s="1105" t="n">
        <f aca="false">F4534*G4534</f>
        <v>42900</v>
      </c>
      <c r="K4534" s="1365" t="n">
        <f aca="false">J4534/1792.8</f>
        <v>23.9290495314592</v>
      </c>
      <c r="L4534" s="1105" t="n">
        <v>30</v>
      </c>
      <c r="M4534" s="865" t="n">
        <f aca="false">K4534*L4534/60</f>
        <v>11.9645247657296</v>
      </c>
    </row>
    <row r="4535" s="122" customFormat="true" ht="15" hidden="false" customHeight="false" outlineLevel="0" collapsed="false">
      <c r="A4535" s="707"/>
      <c r="B4535" s="1559"/>
      <c r="C4535" s="1404" t="s">
        <v>7217</v>
      </c>
      <c r="D4535" s="569" t="n">
        <v>2007</v>
      </c>
      <c r="E4535" s="569" t="n">
        <f aca="false">2021-D4535</f>
        <v>14</v>
      </c>
      <c r="F4535" s="1105" t="n">
        <v>287614</v>
      </c>
      <c r="G4535" s="1444" t="n">
        <v>0.1</v>
      </c>
      <c r="H4535" s="1105" t="n">
        <f aca="false">E4535*F4535*G4535</f>
        <v>402659.6</v>
      </c>
      <c r="I4535" s="1105" t="n">
        <f aca="false">F4535-H4535</f>
        <v>-115045.6</v>
      </c>
      <c r="J4535" s="1105" t="n">
        <f aca="false">F4535*G4535</f>
        <v>28761.4</v>
      </c>
      <c r="K4535" s="1365" t="n">
        <f aca="false">J4535/1792.8</f>
        <v>16.0427264614012</v>
      </c>
      <c r="L4535" s="1105" t="n">
        <v>30</v>
      </c>
      <c r="M4535" s="865" t="n">
        <f aca="false">K4535*L4535/60</f>
        <v>8.02136323070058</v>
      </c>
    </row>
    <row r="4536" s="122" customFormat="true" ht="15" hidden="false" customHeight="false" outlineLevel="0" collapsed="false">
      <c r="A4536" s="707"/>
      <c r="B4536" s="99"/>
      <c r="C4536" s="1404" t="s">
        <v>7219</v>
      </c>
      <c r="D4536" s="569" t="n">
        <v>2009</v>
      </c>
      <c r="E4536" s="569" t="n">
        <f aca="false">2021-D4536</f>
        <v>12</v>
      </c>
      <c r="F4536" s="1105" t="n">
        <v>2030000</v>
      </c>
      <c r="G4536" s="1444" t="n">
        <v>0.1</v>
      </c>
      <c r="H4536" s="1105" t="n">
        <f aca="false">E4536*F4536*G4536</f>
        <v>2436000</v>
      </c>
      <c r="I4536" s="1105" t="n">
        <f aca="false">F4536-H4536</f>
        <v>-406000</v>
      </c>
      <c r="J4536" s="1105" t="n">
        <f aca="false">F4536*G4536</f>
        <v>203000</v>
      </c>
      <c r="K4536" s="1365" t="n">
        <f aca="false">J4536/1792.8</f>
        <v>113.230700580098</v>
      </c>
      <c r="L4536" s="1105" t="n">
        <v>60</v>
      </c>
      <c r="M4536" s="865" t="n">
        <f aca="false">K4536*L4536/60</f>
        <v>113.230700580098</v>
      </c>
    </row>
    <row r="4537" s="122" customFormat="true" ht="15" hidden="false" customHeight="false" outlineLevel="0" collapsed="false">
      <c r="A4537" s="707"/>
      <c r="B4537" s="1557"/>
      <c r="C4537" s="1404"/>
      <c r="D4537" s="569"/>
      <c r="E4537" s="569"/>
      <c r="F4537" s="1105"/>
      <c r="G4537" s="1444"/>
      <c r="H4537" s="1105"/>
      <c r="I4537" s="1105"/>
      <c r="J4537" s="1105"/>
      <c r="K4537" s="1365" t="n">
        <f aca="false">J4537/1792.8</f>
        <v>0</v>
      </c>
      <c r="L4537" s="754"/>
      <c r="M4537" s="1558" t="n">
        <f aca="false">SUM(M4529:M4536)</f>
        <v>439.008762829094</v>
      </c>
    </row>
    <row r="4538" s="122" customFormat="true" ht="37.5" hidden="false" customHeight="true" outlineLevel="0" collapsed="false">
      <c r="A4538" s="707" t="s">
        <v>2169</v>
      </c>
      <c r="B4538" s="47" t="s">
        <v>7223</v>
      </c>
      <c r="C4538" s="1404" t="s">
        <v>7158</v>
      </c>
      <c r="D4538" s="569" t="n">
        <v>2009</v>
      </c>
      <c r="E4538" s="569" t="n">
        <f aca="false">2021-D4538</f>
        <v>12</v>
      </c>
      <c r="F4538" s="1105" t="n">
        <v>417600</v>
      </c>
      <c r="G4538" s="1444" t="n">
        <v>0.1</v>
      </c>
      <c r="H4538" s="1105" t="n">
        <f aca="false">E4538*F4538*G4538</f>
        <v>501120</v>
      </c>
      <c r="I4538" s="1105" t="n">
        <f aca="false">F4538-H4538</f>
        <v>-83520</v>
      </c>
      <c r="J4538" s="1105" t="n">
        <f aca="false">F4538*G4538</f>
        <v>41760</v>
      </c>
      <c r="K4538" s="1365" t="n">
        <f aca="false">J4538/1792.8</f>
        <v>23.2931726907631</v>
      </c>
      <c r="L4538" s="1105" t="n">
        <v>61</v>
      </c>
      <c r="M4538" s="865" t="n">
        <f aca="false">K4538*L4538/60</f>
        <v>23.6813922356091</v>
      </c>
    </row>
    <row r="4539" s="122" customFormat="true" ht="15" hidden="false" customHeight="false" outlineLevel="0" collapsed="false">
      <c r="A4539" s="707"/>
      <c r="B4539" s="99"/>
      <c r="C4539" s="1404" t="s">
        <v>7221</v>
      </c>
      <c r="D4539" s="569" t="n">
        <v>2009</v>
      </c>
      <c r="E4539" s="569" t="n">
        <f aca="false">2021-D4539</f>
        <v>12</v>
      </c>
      <c r="F4539" s="1105" t="n">
        <v>47700</v>
      </c>
      <c r="G4539" s="1444" t="n">
        <v>0.1</v>
      </c>
      <c r="H4539" s="1105" t="n">
        <f aca="false">E4539*F4539*G4539</f>
        <v>57240</v>
      </c>
      <c r="I4539" s="1105" t="n">
        <f aca="false">F4539-H4539</f>
        <v>-9540</v>
      </c>
      <c r="J4539" s="1105" t="n">
        <f aca="false">F4539*G4539</f>
        <v>4770</v>
      </c>
      <c r="K4539" s="1365" t="n">
        <f aca="false">J4539/1792.8</f>
        <v>2.66064257028112</v>
      </c>
      <c r="L4539" s="1105" t="n">
        <v>1080</v>
      </c>
      <c r="M4539" s="865" t="n">
        <f aca="false">K4539*L4539/60</f>
        <v>47.8915662650602</v>
      </c>
    </row>
    <row r="4540" s="122" customFormat="true" ht="15" hidden="false" customHeight="false" outlineLevel="0" collapsed="false">
      <c r="A4540" s="707"/>
      <c r="B4540" s="99"/>
      <c r="C4540" s="1404" t="s">
        <v>7155</v>
      </c>
      <c r="D4540" s="569" t="n">
        <v>2005</v>
      </c>
      <c r="E4540" s="569" t="n">
        <f aca="false">2021-D4540</f>
        <v>16</v>
      </c>
      <c r="F4540" s="1105" t="n">
        <v>85000</v>
      </c>
      <c r="G4540" s="1444" t="n">
        <v>0.1</v>
      </c>
      <c r="H4540" s="1105" t="n">
        <f aca="false">E4540*F4540*G4540</f>
        <v>136000</v>
      </c>
      <c r="I4540" s="1105" t="n">
        <f aca="false">F4540</f>
        <v>85000</v>
      </c>
      <c r="J4540" s="1105" t="n">
        <f aca="false">F4540*G4540</f>
        <v>8500</v>
      </c>
      <c r="K4540" s="1365" t="n">
        <f aca="false">J4540/1792.8</f>
        <v>4.74118697010263</v>
      </c>
      <c r="L4540" s="1105" t="n">
        <v>64</v>
      </c>
      <c r="M4540" s="865" t="n">
        <f aca="false">K4540*L4540/60</f>
        <v>5.05726610144281</v>
      </c>
    </row>
    <row r="4541" s="122" customFormat="true" ht="15" hidden="false" customHeight="false" outlineLevel="0" collapsed="false">
      <c r="A4541" s="707"/>
      <c r="B4541" s="99"/>
      <c r="C4541" s="1404" t="s">
        <v>7224</v>
      </c>
      <c r="D4541" s="569" t="n">
        <v>2006</v>
      </c>
      <c r="E4541" s="569" t="n">
        <f aca="false">2021-D4541</f>
        <v>15</v>
      </c>
      <c r="F4541" s="1105" t="n">
        <v>442300</v>
      </c>
      <c r="G4541" s="1444" t="n">
        <v>0.1</v>
      </c>
      <c r="H4541" s="1105" t="n">
        <f aca="false">E4541*F4541*G4541</f>
        <v>663450</v>
      </c>
      <c r="I4541" s="1105" t="n">
        <f aca="false">F4541-H4541</f>
        <v>-221150</v>
      </c>
      <c r="J4541" s="1105" t="n">
        <f aca="false">F4541*G4541</f>
        <v>44230</v>
      </c>
      <c r="K4541" s="1365" t="n">
        <f aca="false">J4541/1792.8</f>
        <v>24.6709058456046</v>
      </c>
      <c r="L4541" s="1105" t="n">
        <v>65</v>
      </c>
      <c r="M4541" s="865" t="n">
        <f aca="false">K4541*L4541/60</f>
        <v>26.7268146660717</v>
      </c>
    </row>
    <row r="4542" s="122" customFormat="true" ht="15" hidden="false" customHeight="false" outlineLevel="0" collapsed="false">
      <c r="A4542" s="707"/>
      <c r="B4542" s="99"/>
      <c r="C4542" s="1404" t="s">
        <v>7225</v>
      </c>
      <c r="D4542" s="569" t="n">
        <v>2004</v>
      </c>
      <c r="E4542" s="569" t="n">
        <f aca="false">2021-D4542</f>
        <v>17</v>
      </c>
      <c r="F4542" s="1105" t="n">
        <v>198000</v>
      </c>
      <c r="G4542" s="1444" t="n">
        <v>0.1</v>
      </c>
      <c r="H4542" s="1105" t="n">
        <f aca="false">E4542*F4542*G4542</f>
        <v>336600</v>
      </c>
      <c r="I4542" s="1105" t="n">
        <f aca="false">F4542</f>
        <v>198000</v>
      </c>
      <c r="J4542" s="1105" t="n">
        <f aca="false">F4542*G4542</f>
        <v>19800</v>
      </c>
      <c r="K4542" s="1365" t="n">
        <f aca="false">J4542/1792.8</f>
        <v>11.0441767068273</v>
      </c>
      <c r="L4542" s="1105" t="n">
        <v>66</v>
      </c>
      <c r="M4542" s="865" t="n">
        <f aca="false">K4542*L4542/60</f>
        <v>12.14859437751</v>
      </c>
    </row>
    <row r="4543" s="122" customFormat="true" ht="15" hidden="false" customHeight="false" outlineLevel="0" collapsed="false">
      <c r="A4543" s="707"/>
      <c r="B4543" s="99"/>
      <c r="C4543" s="1404" t="s">
        <v>7174</v>
      </c>
      <c r="D4543" s="569" t="n">
        <v>2005</v>
      </c>
      <c r="E4543" s="569" t="n">
        <f aca="false">2021-D4543</f>
        <v>16</v>
      </c>
      <c r="F4543" s="1105" t="n">
        <v>1638000</v>
      </c>
      <c r="G4543" s="1444" t="n">
        <v>0.1</v>
      </c>
      <c r="H4543" s="1105" t="n">
        <f aca="false">E4543*F4543*G4543</f>
        <v>2620800</v>
      </c>
      <c r="I4543" s="1105" t="n">
        <f aca="false">F4543</f>
        <v>1638000</v>
      </c>
      <c r="J4543" s="1105" t="n">
        <f aca="false">F4543*G4543</f>
        <v>163800</v>
      </c>
      <c r="K4543" s="1365" t="n">
        <f aca="false">J4543/1792.8</f>
        <v>91.3654618473896</v>
      </c>
      <c r="L4543" s="1105" t="n">
        <v>67</v>
      </c>
      <c r="M4543" s="865" t="n">
        <f aca="false">K4543*L4543/60</f>
        <v>102.024765729585</v>
      </c>
    </row>
    <row r="4544" s="122" customFormat="true" ht="15" hidden="false" customHeight="false" outlineLevel="0" collapsed="false">
      <c r="A4544" s="707"/>
      <c r="B4544" s="99"/>
      <c r="C4544" s="1404" t="s">
        <v>7226</v>
      </c>
      <c r="D4544" s="569" t="n">
        <v>2008</v>
      </c>
      <c r="E4544" s="569" t="n">
        <f aca="false">2021-D4544</f>
        <v>13</v>
      </c>
      <c r="F4544" s="1105" t="n">
        <v>397200</v>
      </c>
      <c r="G4544" s="1444" t="n">
        <v>0.1</v>
      </c>
      <c r="H4544" s="1105" t="n">
        <f aca="false">E4544*F4544*G4544</f>
        <v>516360</v>
      </c>
      <c r="I4544" s="1105" t="n">
        <f aca="false">F4544-H4544</f>
        <v>-119160</v>
      </c>
      <c r="J4544" s="1105" t="n">
        <f aca="false">F4544*G4544</f>
        <v>39720</v>
      </c>
      <c r="K4544" s="1365" t="n">
        <f aca="false">J4544/1792.8</f>
        <v>22.1552878179384</v>
      </c>
      <c r="L4544" s="1105" t="n">
        <v>71</v>
      </c>
      <c r="M4544" s="865" t="n">
        <f aca="false">K4544*L4544/60</f>
        <v>26.2170905845605</v>
      </c>
    </row>
    <row r="4545" s="122" customFormat="true" ht="15" hidden="false" customHeight="false" outlineLevel="0" collapsed="false">
      <c r="A4545" s="707"/>
      <c r="B4545" s="99"/>
      <c r="C4545" s="1404" t="s">
        <v>7227</v>
      </c>
      <c r="D4545" s="569" t="n">
        <v>2005</v>
      </c>
      <c r="E4545" s="569" t="n">
        <f aca="false">2021-D4545</f>
        <v>16</v>
      </c>
      <c r="F4545" s="1105" t="n">
        <v>57600</v>
      </c>
      <c r="G4545" s="1444" t="n">
        <v>0.1</v>
      </c>
      <c r="H4545" s="1105" t="n">
        <f aca="false">E4545*F4545*G4545</f>
        <v>92160</v>
      </c>
      <c r="I4545" s="1105" t="n">
        <f aca="false">F4545</f>
        <v>57600</v>
      </c>
      <c r="J4545" s="1105" t="n">
        <f aca="false">F4545*G4545</f>
        <v>5760</v>
      </c>
      <c r="K4545" s="1365" t="n">
        <f aca="false">J4545/1792.8</f>
        <v>3.21285140562249</v>
      </c>
      <c r="L4545" s="1105" t="n">
        <v>73</v>
      </c>
      <c r="M4545" s="865" t="n">
        <f aca="false">K4545*L4545/60</f>
        <v>3.90896921017403</v>
      </c>
    </row>
    <row r="4546" s="122" customFormat="true" ht="15" hidden="false" customHeight="false" outlineLevel="0" collapsed="false">
      <c r="A4546" s="707"/>
      <c r="B4546" s="99"/>
      <c r="C4546" s="1404" t="s">
        <v>7228</v>
      </c>
      <c r="D4546" s="569" t="n">
        <v>2004</v>
      </c>
      <c r="E4546" s="569" t="n">
        <f aca="false">2021-D4546</f>
        <v>17</v>
      </c>
      <c r="F4546" s="1105" t="n">
        <v>1465000</v>
      </c>
      <c r="G4546" s="1444" t="n">
        <v>0.1</v>
      </c>
      <c r="H4546" s="1105" t="n">
        <f aca="false">E4546*F4546*G4546</f>
        <v>2490500</v>
      </c>
      <c r="I4546" s="1105" t="n">
        <f aca="false">F4546</f>
        <v>1465000</v>
      </c>
      <c r="J4546" s="1105" t="n">
        <f aca="false">F4546*G4546</f>
        <v>146500</v>
      </c>
      <c r="K4546" s="1365" t="n">
        <f aca="false">J4546/1792.8</f>
        <v>81.7157518964748</v>
      </c>
      <c r="L4546" s="1105" t="n">
        <v>74</v>
      </c>
      <c r="M4546" s="865" t="n">
        <f aca="false">K4546*L4546/60</f>
        <v>100.782760672319</v>
      </c>
    </row>
    <row r="4547" s="122" customFormat="true" ht="15" hidden="false" customHeight="false" outlineLevel="0" collapsed="false">
      <c r="A4547" s="707"/>
      <c r="B4547" s="99"/>
      <c r="C4547" s="118" t="s">
        <v>7220</v>
      </c>
      <c r="D4547" s="1561" t="n">
        <v>2008</v>
      </c>
      <c r="E4547" s="569" t="n">
        <f aca="false">2021-D4547</f>
        <v>13</v>
      </c>
      <c r="F4547" s="1105" t="n">
        <v>1800000</v>
      </c>
      <c r="G4547" s="1444" t="n">
        <v>0.1</v>
      </c>
      <c r="H4547" s="1105" t="n">
        <f aca="false">E4547*F4547*G4547</f>
        <v>2340000</v>
      </c>
      <c r="I4547" s="1105" t="n">
        <f aca="false">F4547-H4547</f>
        <v>-540000</v>
      </c>
      <c r="J4547" s="1105" t="n">
        <f aca="false">F4547*G4547</f>
        <v>180000</v>
      </c>
      <c r="K4547" s="1365" t="n">
        <f aca="false">J4547/1792.8</f>
        <v>100.401606425703</v>
      </c>
      <c r="L4547" s="1105" t="n">
        <v>66</v>
      </c>
      <c r="M4547" s="865" t="n">
        <f aca="false">K4547*L4547/60</f>
        <v>110.441767068273</v>
      </c>
    </row>
    <row r="4548" s="122" customFormat="true" ht="15" hidden="false" customHeight="false" outlineLevel="0" collapsed="false">
      <c r="A4548" s="707"/>
      <c r="B4548" s="1557" t="s">
        <v>4128</v>
      </c>
      <c r="C4548" s="1404"/>
      <c r="D4548" s="569"/>
      <c r="E4548" s="569"/>
      <c r="F4548" s="1105"/>
      <c r="G4548" s="1444"/>
      <c r="H4548" s="1105"/>
      <c r="I4548" s="1105"/>
      <c r="J4548" s="1105"/>
      <c r="K4548" s="1365" t="n">
        <f aca="false">J4548/1792.8</f>
        <v>0</v>
      </c>
      <c r="L4548" s="754"/>
      <c r="M4548" s="1558" t="n">
        <f aca="false">SUM(M4538:M4547)</f>
        <v>458.880986910605</v>
      </c>
    </row>
    <row r="4549" s="122" customFormat="true" ht="30" hidden="false" customHeight="false" outlineLevel="0" collapsed="false">
      <c r="A4549" s="707" t="s">
        <v>2171</v>
      </c>
      <c r="B4549" s="47" t="s">
        <v>3820</v>
      </c>
      <c r="C4549" s="1404" t="s">
        <v>7211</v>
      </c>
      <c r="D4549" s="569" t="n">
        <v>2004</v>
      </c>
      <c r="E4549" s="569" t="n">
        <f aca="false">2021-D4549</f>
        <v>17</v>
      </c>
      <c r="F4549" s="1105" t="n">
        <v>214320</v>
      </c>
      <c r="G4549" s="1444" t="n">
        <v>0.1</v>
      </c>
      <c r="H4549" s="1105" t="n">
        <f aca="false">E4549*F4549*G4549</f>
        <v>364344</v>
      </c>
      <c r="I4549" s="1105" t="n">
        <f aca="false">F4549</f>
        <v>214320</v>
      </c>
      <c r="J4549" s="1105" t="n">
        <f aca="false">F4549*G4549</f>
        <v>21432</v>
      </c>
      <c r="K4549" s="1365" t="n">
        <f aca="false">J4549/1792.8</f>
        <v>11.954484605087</v>
      </c>
      <c r="L4549" s="1105" t="n">
        <v>30</v>
      </c>
      <c r="M4549" s="865" t="n">
        <f aca="false">K4549*L4549/60</f>
        <v>5.97724230254351</v>
      </c>
    </row>
    <row r="4550" s="122" customFormat="true" ht="15" hidden="false" customHeight="false" outlineLevel="0" collapsed="false">
      <c r="A4550" s="707"/>
      <c r="B4550" s="99"/>
      <c r="C4550" s="1404" t="s">
        <v>7212</v>
      </c>
      <c r="D4550" s="569" t="n">
        <v>2008</v>
      </c>
      <c r="E4550" s="569" t="n">
        <f aca="false">2021-D4550</f>
        <v>13</v>
      </c>
      <c r="F4550" s="1105" t="n">
        <v>376800</v>
      </c>
      <c r="G4550" s="1444" t="n">
        <v>0.1</v>
      </c>
      <c r="H4550" s="1105" t="n">
        <f aca="false">E4550*F4550*G4550</f>
        <v>489840</v>
      </c>
      <c r="I4550" s="1105" t="n">
        <f aca="false">F4550-H4550</f>
        <v>-113040</v>
      </c>
      <c r="J4550" s="1105" t="n">
        <f aca="false">F4550*G4550</f>
        <v>37680</v>
      </c>
      <c r="K4550" s="1365" t="n">
        <f aca="false">J4550/1792.8</f>
        <v>21.0174029451138</v>
      </c>
      <c r="L4550" s="1105" t="n">
        <v>30</v>
      </c>
      <c r="M4550" s="865" t="n">
        <f aca="false">K4550*L4550/60</f>
        <v>10.5087014725569</v>
      </c>
    </row>
    <row r="4551" s="122" customFormat="true" ht="15" hidden="false" customHeight="false" outlineLevel="0" collapsed="false">
      <c r="A4551" s="707"/>
      <c r="B4551" s="99"/>
      <c r="C4551" s="1404" t="s">
        <v>7176</v>
      </c>
      <c r="D4551" s="569" t="n">
        <v>2009</v>
      </c>
      <c r="E4551" s="569" t="n">
        <f aca="false">2021-D4551</f>
        <v>12</v>
      </c>
      <c r="F4551" s="1105" t="n">
        <v>166807</v>
      </c>
      <c r="G4551" s="1444" t="n">
        <v>0.1</v>
      </c>
      <c r="H4551" s="1105" t="n">
        <f aca="false">E4551*F4551*G4551</f>
        <v>200168.4</v>
      </c>
      <c r="I4551" s="1105" t="n">
        <f aca="false">F4551-H4551</f>
        <v>-33361.4</v>
      </c>
      <c r="J4551" s="1105" t="n">
        <f aca="false">F4551*G4551</f>
        <v>16680.7</v>
      </c>
      <c r="K4551" s="1365" t="n">
        <f aca="false">J4551/1792.8</f>
        <v>9.30427264614012</v>
      </c>
      <c r="L4551" s="1105" t="n">
        <v>30</v>
      </c>
      <c r="M4551" s="865" t="n">
        <f aca="false">K4551*L4551/60</f>
        <v>4.65213632307006</v>
      </c>
    </row>
    <row r="4552" s="122" customFormat="true" ht="15" hidden="false" customHeight="false" outlineLevel="0" collapsed="false">
      <c r="A4552" s="707"/>
      <c r="B4552" s="99"/>
      <c r="C4552" s="1404" t="s">
        <v>7214</v>
      </c>
      <c r="D4552" s="569" t="n">
        <v>2006</v>
      </c>
      <c r="E4552" s="569" t="n">
        <f aca="false">2021-D4552</f>
        <v>15</v>
      </c>
      <c r="F4552" s="1105" t="n">
        <v>10250000</v>
      </c>
      <c r="G4552" s="1444" t="n">
        <v>0.1</v>
      </c>
      <c r="H4552" s="1105" t="n">
        <f aca="false">E4552*F4552*G4552</f>
        <v>15375000</v>
      </c>
      <c r="I4552" s="1105" t="n">
        <f aca="false">F4552-H4552</f>
        <v>-5125000</v>
      </c>
      <c r="J4552" s="1105" t="n">
        <f aca="false">F4552*G4552</f>
        <v>1025000</v>
      </c>
      <c r="K4552" s="1365" t="n">
        <f aca="false">J4552/1792.8</f>
        <v>571.731369924141</v>
      </c>
      <c r="L4552" s="1105" t="n">
        <v>30</v>
      </c>
      <c r="M4552" s="865" t="n">
        <f aca="false">K4552*L4552/60</f>
        <v>285.865684962071</v>
      </c>
    </row>
    <row r="4553" s="122" customFormat="true" ht="15" hidden="false" customHeight="false" outlineLevel="0" collapsed="false">
      <c r="A4553" s="707"/>
      <c r="B4553" s="99"/>
      <c r="C4553" s="1404" t="s">
        <v>7215</v>
      </c>
      <c r="D4553" s="569" t="n">
        <v>2006</v>
      </c>
      <c r="E4553" s="569" t="n">
        <f aca="false">2021-D4553</f>
        <v>15</v>
      </c>
      <c r="F4553" s="1105" t="n">
        <v>174000</v>
      </c>
      <c r="G4553" s="1444" t="n">
        <v>0.1</v>
      </c>
      <c r="H4553" s="1105" t="n">
        <f aca="false">E4553*F4553*G4553</f>
        <v>261000</v>
      </c>
      <c r="I4553" s="1105" t="n">
        <f aca="false">F4553-H4553</f>
        <v>-87000</v>
      </c>
      <c r="J4553" s="1105" t="n">
        <f aca="false">F4553*G4553</f>
        <v>17400</v>
      </c>
      <c r="K4553" s="1365" t="n">
        <f aca="false">J4553/1792.8</f>
        <v>9.70548862115127</v>
      </c>
      <c r="L4553" s="1105" t="n">
        <v>24</v>
      </c>
      <c r="M4553" s="865" t="n">
        <f aca="false">K4553*L4553/60</f>
        <v>3.88219544846051</v>
      </c>
    </row>
    <row r="4554" s="122" customFormat="true" ht="15" hidden="false" customHeight="false" outlineLevel="0" collapsed="false">
      <c r="A4554" s="707"/>
      <c r="B4554" s="99"/>
      <c r="C4554" s="1404" t="s">
        <v>7216</v>
      </c>
      <c r="D4554" s="569" t="n">
        <v>2007</v>
      </c>
      <c r="E4554" s="569" t="n">
        <f aca="false">2021-D4554</f>
        <v>14</v>
      </c>
      <c r="F4554" s="1105" t="n">
        <v>429000</v>
      </c>
      <c r="G4554" s="1444" t="n">
        <v>0.1</v>
      </c>
      <c r="H4554" s="1105" t="n">
        <f aca="false">E4554*F4554*G4554</f>
        <v>600600</v>
      </c>
      <c r="I4554" s="1105" t="n">
        <f aca="false">F4554-H4554</f>
        <v>-171600</v>
      </c>
      <c r="J4554" s="1105" t="n">
        <f aca="false">F4554*G4554</f>
        <v>42900</v>
      </c>
      <c r="K4554" s="1365" t="n">
        <f aca="false">J4554/1792.8</f>
        <v>23.9290495314592</v>
      </c>
      <c r="L4554" s="1105" t="n">
        <v>24</v>
      </c>
      <c r="M4554" s="865" t="n">
        <f aca="false">K4554*L4554/60</f>
        <v>9.57161981258367</v>
      </c>
    </row>
    <row r="4555" s="122" customFormat="true" ht="15" hidden="false" customHeight="false" outlineLevel="0" collapsed="false">
      <c r="A4555" s="707"/>
      <c r="B4555" s="99"/>
      <c r="C4555" s="1404" t="s">
        <v>7217</v>
      </c>
      <c r="D4555" s="569" t="n">
        <v>2007</v>
      </c>
      <c r="E4555" s="569" t="n">
        <f aca="false">2021-D4555</f>
        <v>14</v>
      </c>
      <c r="F4555" s="1105" t="n">
        <v>287614</v>
      </c>
      <c r="G4555" s="1444" t="n">
        <v>0.1</v>
      </c>
      <c r="H4555" s="1105" t="n">
        <f aca="false">E4555*F4555*G4555</f>
        <v>402659.6</v>
      </c>
      <c r="I4555" s="1105" t="n">
        <f aca="false">F4555-H4555</f>
        <v>-115045.6</v>
      </c>
      <c r="J4555" s="1105" t="n">
        <f aca="false">F4555*G4555</f>
        <v>28761.4</v>
      </c>
      <c r="K4555" s="1365" t="n">
        <f aca="false">J4555/1792.8</f>
        <v>16.0427264614012</v>
      </c>
      <c r="L4555" s="1105" t="n">
        <v>60</v>
      </c>
      <c r="M4555" s="865" t="n">
        <f aca="false">K4555*L4555/60</f>
        <v>16.0427264614012</v>
      </c>
    </row>
    <row r="4556" s="122" customFormat="true" ht="15" hidden="false" customHeight="false" outlineLevel="0" collapsed="false">
      <c r="A4556" s="707"/>
      <c r="B4556" s="99"/>
      <c r="C4556" s="1404" t="s">
        <v>7229</v>
      </c>
      <c r="D4556" s="569" t="n">
        <v>2009</v>
      </c>
      <c r="E4556" s="569" t="n">
        <f aca="false">2021-D4556</f>
        <v>12</v>
      </c>
      <c r="F4556" s="1105" t="n">
        <v>49275</v>
      </c>
      <c r="G4556" s="1444" t="n">
        <v>0.1</v>
      </c>
      <c r="H4556" s="1105" t="n">
        <f aca="false">E4556*F4556*G4556</f>
        <v>59130</v>
      </c>
      <c r="I4556" s="1105" t="n">
        <f aca="false">F4556-H4556</f>
        <v>-9855</v>
      </c>
      <c r="J4556" s="1105" t="n">
        <f aca="false">F4556*G4556</f>
        <v>4927.5</v>
      </c>
      <c r="K4556" s="1365" t="n">
        <f aca="false">J4556/1792.8</f>
        <v>2.74849397590361</v>
      </c>
      <c r="L4556" s="1105" t="n">
        <v>60</v>
      </c>
      <c r="M4556" s="865" t="n">
        <f aca="false">K4556*L4556/60</f>
        <v>2.74849397590361</v>
      </c>
    </row>
    <row r="4557" s="122" customFormat="true" ht="15" hidden="false" customHeight="false" outlineLevel="0" collapsed="false">
      <c r="A4557" s="707"/>
      <c r="B4557" s="1557" t="s">
        <v>4128</v>
      </c>
      <c r="C4557" s="1404"/>
      <c r="D4557" s="569"/>
      <c r="E4557" s="569"/>
      <c r="F4557" s="1105"/>
      <c r="G4557" s="1444"/>
      <c r="H4557" s="1105"/>
      <c r="I4557" s="1105"/>
      <c r="J4557" s="1105"/>
      <c r="K4557" s="1365" t="n">
        <f aca="false">J4557/1792.8</f>
        <v>0</v>
      </c>
      <c r="L4557" s="754"/>
      <c r="M4557" s="1558" t="n">
        <f aca="false">SUM(M4549:M4556)</f>
        <v>339.24880075859</v>
      </c>
    </row>
    <row r="4558" s="122" customFormat="true" ht="60" hidden="false" customHeight="false" outlineLevel="0" collapsed="false">
      <c r="A4558" s="707" t="s">
        <v>2173</v>
      </c>
      <c r="B4558" s="123" t="s">
        <v>3821</v>
      </c>
      <c r="C4558" s="1404" t="s">
        <v>7158</v>
      </c>
      <c r="D4558" s="569" t="n">
        <v>2009</v>
      </c>
      <c r="E4558" s="569" t="n">
        <f aca="false">2021-D4558</f>
        <v>12</v>
      </c>
      <c r="F4558" s="1105" t="n">
        <v>417600</v>
      </c>
      <c r="G4558" s="1444" t="n">
        <v>0.1</v>
      </c>
      <c r="H4558" s="1105" t="n">
        <f aca="false">E4558*F4558*G4558</f>
        <v>501120</v>
      </c>
      <c r="I4558" s="1105" t="n">
        <f aca="false">F4558-H4558</f>
        <v>-83520</v>
      </c>
      <c r="J4558" s="1105" t="n">
        <f aca="false">F4558*G4558</f>
        <v>41760</v>
      </c>
      <c r="K4558" s="1365" t="n">
        <f aca="false">J4558/1792.8</f>
        <v>23.2931726907631</v>
      </c>
      <c r="L4558" s="1105" t="n">
        <v>61</v>
      </c>
      <c r="M4558" s="865" t="n">
        <f aca="false">K4558*L4558/60</f>
        <v>23.6813922356091</v>
      </c>
    </row>
    <row r="4559" s="122" customFormat="true" ht="15" hidden="false" customHeight="false" outlineLevel="0" collapsed="false">
      <c r="A4559" s="707"/>
      <c r="B4559" s="99"/>
      <c r="C4559" s="1404" t="s">
        <v>7221</v>
      </c>
      <c r="D4559" s="569" t="n">
        <v>2009</v>
      </c>
      <c r="E4559" s="569" t="n">
        <f aca="false">2021-D4559</f>
        <v>12</v>
      </c>
      <c r="F4559" s="1105" t="n">
        <v>47700</v>
      </c>
      <c r="G4559" s="1444" t="n">
        <v>0.1</v>
      </c>
      <c r="H4559" s="1105" t="n">
        <f aca="false">E4559*F4559*G4559</f>
        <v>57240</v>
      </c>
      <c r="I4559" s="1105" t="n">
        <f aca="false">F4559-H4559</f>
        <v>-9540</v>
      </c>
      <c r="J4559" s="1105" t="n">
        <f aca="false">F4559*G4559</f>
        <v>4770</v>
      </c>
      <c r="K4559" s="1365" t="n">
        <f aca="false">J4559/1792.8</f>
        <v>2.66064257028112</v>
      </c>
      <c r="L4559" s="1105" t="n">
        <v>1080</v>
      </c>
      <c r="M4559" s="865" t="n">
        <f aca="false">K4559*L4559/60</f>
        <v>47.8915662650602</v>
      </c>
    </row>
    <row r="4560" s="122" customFormat="true" ht="15" hidden="false" customHeight="false" outlineLevel="0" collapsed="false">
      <c r="A4560" s="707"/>
      <c r="B4560" s="1562"/>
      <c r="C4560" s="1404" t="s">
        <v>7155</v>
      </c>
      <c r="D4560" s="569" t="n">
        <v>2005</v>
      </c>
      <c r="E4560" s="569" t="n">
        <f aca="false">2021-D4560</f>
        <v>16</v>
      </c>
      <c r="F4560" s="1105" t="n">
        <v>85000</v>
      </c>
      <c r="G4560" s="1444" t="n">
        <v>0.1</v>
      </c>
      <c r="H4560" s="1105" t="n">
        <f aca="false">E4560*F4560*G4560</f>
        <v>136000</v>
      </c>
      <c r="I4560" s="1105" t="n">
        <f aca="false">F4560</f>
        <v>85000</v>
      </c>
      <c r="J4560" s="1105" t="n">
        <f aca="false">F4560*G4560</f>
        <v>8500</v>
      </c>
      <c r="K4560" s="1365" t="n">
        <f aca="false">J4560/1792.8</f>
        <v>4.74118697010263</v>
      </c>
      <c r="L4560" s="1105" t="n">
        <v>64</v>
      </c>
      <c r="M4560" s="865" t="n">
        <f aca="false">K4560*L4560/60</f>
        <v>5.05726610144281</v>
      </c>
    </row>
    <row r="4561" s="122" customFormat="true" ht="15" hidden="false" customHeight="false" outlineLevel="0" collapsed="false">
      <c r="A4561" s="707"/>
      <c r="B4561" s="1562"/>
      <c r="C4561" s="1404" t="s">
        <v>7224</v>
      </c>
      <c r="D4561" s="569" t="n">
        <v>2006</v>
      </c>
      <c r="E4561" s="569" t="n">
        <f aca="false">2021-D4561</f>
        <v>15</v>
      </c>
      <c r="F4561" s="1105" t="n">
        <v>442300</v>
      </c>
      <c r="G4561" s="1444" t="n">
        <v>0.1</v>
      </c>
      <c r="H4561" s="1105" t="n">
        <f aca="false">E4561*F4561*G4561</f>
        <v>663450</v>
      </c>
      <c r="I4561" s="1105" t="n">
        <f aca="false">F4561-H4561</f>
        <v>-221150</v>
      </c>
      <c r="J4561" s="1105" t="n">
        <f aca="false">F4561*G4561</f>
        <v>44230</v>
      </c>
      <c r="K4561" s="1365" t="n">
        <f aca="false">J4561/1792.8</f>
        <v>24.6709058456046</v>
      </c>
      <c r="L4561" s="1105" t="n">
        <v>65</v>
      </c>
      <c r="M4561" s="865" t="n">
        <f aca="false">K4561*L4561/60</f>
        <v>26.7268146660717</v>
      </c>
    </row>
    <row r="4562" s="122" customFormat="true" ht="15" hidden="false" customHeight="false" outlineLevel="0" collapsed="false">
      <c r="A4562" s="707"/>
      <c r="B4562" s="1562"/>
      <c r="C4562" s="1404" t="s">
        <v>7225</v>
      </c>
      <c r="D4562" s="569" t="n">
        <v>2004</v>
      </c>
      <c r="E4562" s="569" t="n">
        <f aca="false">2021-D4562</f>
        <v>17</v>
      </c>
      <c r="F4562" s="1105" t="n">
        <v>198000</v>
      </c>
      <c r="G4562" s="1444" t="n">
        <v>0.1</v>
      </c>
      <c r="H4562" s="1105" t="n">
        <f aca="false">E4562*F4562*G4562</f>
        <v>336600</v>
      </c>
      <c r="I4562" s="1105" t="n">
        <f aca="false">F4562</f>
        <v>198000</v>
      </c>
      <c r="J4562" s="1105" t="n">
        <f aca="false">F4562*G4562</f>
        <v>19800</v>
      </c>
      <c r="K4562" s="1365" t="n">
        <f aca="false">J4562/1792.8</f>
        <v>11.0441767068273</v>
      </c>
      <c r="L4562" s="1105" t="n">
        <v>66</v>
      </c>
      <c r="M4562" s="865" t="n">
        <f aca="false">K4562*L4562/60</f>
        <v>12.14859437751</v>
      </c>
    </row>
    <row r="4563" s="122" customFormat="true" ht="15" hidden="false" customHeight="false" outlineLevel="0" collapsed="false">
      <c r="A4563" s="707"/>
      <c r="B4563" s="1562"/>
      <c r="C4563" s="1404" t="s">
        <v>7174</v>
      </c>
      <c r="D4563" s="569" t="n">
        <v>2005</v>
      </c>
      <c r="E4563" s="569" t="n">
        <f aca="false">2021-D4563</f>
        <v>16</v>
      </c>
      <c r="F4563" s="1105" t="n">
        <v>1638000</v>
      </c>
      <c r="G4563" s="1444" t="n">
        <v>0.1</v>
      </c>
      <c r="H4563" s="1105" t="n">
        <f aca="false">E4563*F4563*G4563</f>
        <v>2620800</v>
      </c>
      <c r="I4563" s="1105" t="n">
        <f aca="false">F4563</f>
        <v>1638000</v>
      </c>
      <c r="J4563" s="1105" t="n">
        <f aca="false">F4563*G4563</f>
        <v>163800</v>
      </c>
      <c r="K4563" s="1365" t="n">
        <f aca="false">J4563/1792.8</f>
        <v>91.3654618473896</v>
      </c>
      <c r="L4563" s="1105" t="n">
        <v>67</v>
      </c>
      <c r="M4563" s="865" t="n">
        <f aca="false">K4563*L4563/60</f>
        <v>102.024765729585</v>
      </c>
    </row>
    <row r="4564" s="122" customFormat="true" ht="15" hidden="false" customHeight="false" outlineLevel="0" collapsed="false">
      <c r="A4564" s="707"/>
      <c r="B4564" s="1562"/>
      <c r="C4564" s="1404" t="s">
        <v>7226</v>
      </c>
      <c r="D4564" s="569" t="n">
        <v>2008</v>
      </c>
      <c r="E4564" s="569" t="n">
        <f aca="false">2021-D4564</f>
        <v>13</v>
      </c>
      <c r="F4564" s="1105" t="n">
        <v>397200</v>
      </c>
      <c r="G4564" s="1444" t="n">
        <v>0.1</v>
      </c>
      <c r="H4564" s="1105" t="n">
        <f aca="false">E4564*F4564*G4564</f>
        <v>516360</v>
      </c>
      <c r="I4564" s="1105" t="n">
        <f aca="false">F4564-H4564</f>
        <v>-119160</v>
      </c>
      <c r="J4564" s="1105" t="n">
        <f aca="false">F4564*G4564</f>
        <v>39720</v>
      </c>
      <c r="K4564" s="1365" t="n">
        <f aca="false">J4564/1792.8</f>
        <v>22.1552878179384</v>
      </c>
      <c r="L4564" s="1105" t="n">
        <v>71</v>
      </c>
      <c r="M4564" s="865" t="n">
        <f aca="false">K4564*L4564/60</f>
        <v>26.2170905845605</v>
      </c>
    </row>
    <row r="4565" s="122" customFormat="true" ht="15" hidden="false" customHeight="false" outlineLevel="0" collapsed="false">
      <c r="A4565" s="707"/>
      <c r="B4565" s="1562"/>
      <c r="C4565" s="1404" t="s">
        <v>7227</v>
      </c>
      <c r="D4565" s="569" t="n">
        <v>2005</v>
      </c>
      <c r="E4565" s="569" t="n">
        <f aca="false">2021-D4565</f>
        <v>16</v>
      </c>
      <c r="F4565" s="1105" t="n">
        <v>57600</v>
      </c>
      <c r="G4565" s="1444" t="n">
        <v>0.1</v>
      </c>
      <c r="H4565" s="1105" t="n">
        <f aca="false">E4565*F4565*G4565</f>
        <v>92160</v>
      </c>
      <c r="I4565" s="1105" t="n">
        <f aca="false">F4565</f>
        <v>57600</v>
      </c>
      <c r="J4565" s="1105" t="n">
        <f aca="false">F4565*G4565</f>
        <v>5760</v>
      </c>
      <c r="K4565" s="1365" t="n">
        <f aca="false">J4565/1792.8</f>
        <v>3.21285140562249</v>
      </c>
      <c r="L4565" s="1105" t="n">
        <v>73</v>
      </c>
      <c r="M4565" s="865" t="n">
        <f aca="false">K4565*L4565/60</f>
        <v>3.90896921017403</v>
      </c>
    </row>
    <row r="4566" s="122" customFormat="true" ht="15" hidden="false" customHeight="false" outlineLevel="0" collapsed="false">
      <c r="A4566" s="707"/>
      <c r="B4566" s="1562"/>
      <c r="C4566" s="1404" t="s">
        <v>7228</v>
      </c>
      <c r="D4566" s="569" t="n">
        <v>2004</v>
      </c>
      <c r="E4566" s="569" t="n">
        <f aca="false">2021-D4566</f>
        <v>17</v>
      </c>
      <c r="F4566" s="1105" t="n">
        <v>1465000</v>
      </c>
      <c r="G4566" s="1444" t="n">
        <v>0.1</v>
      </c>
      <c r="H4566" s="1105" t="n">
        <f aca="false">E4566*F4566*G4566</f>
        <v>2490500</v>
      </c>
      <c r="I4566" s="1105" t="n">
        <f aca="false">F4566</f>
        <v>1465000</v>
      </c>
      <c r="J4566" s="1105" t="n">
        <f aca="false">F4566*G4566</f>
        <v>146500</v>
      </c>
      <c r="K4566" s="1365" t="n">
        <f aca="false">J4566/1792.8</f>
        <v>81.7157518964748</v>
      </c>
      <c r="L4566" s="1105" t="n">
        <v>74</v>
      </c>
      <c r="M4566" s="865" t="n">
        <f aca="false">K4566*L4566/60</f>
        <v>100.782760672319</v>
      </c>
    </row>
    <row r="4567" s="122" customFormat="true" ht="15" hidden="false" customHeight="false" outlineLevel="0" collapsed="false">
      <c r="A4567" s="1403"/>
      <c r="B4567" s="1562"/>
      <c r="C4567" s="1404" t="s">
        <v>7230</v>
      </c>
      <c r="D4567" s="569" t="n">
        <v>2006</v>
      </c>
      <c r="E4567" s="569" t="n">
        <f aca="false">2021-D4567</f>
        <v>15</v>
      </c>
      <c r="F4567" s="1105" t="n">
        <v>96230</v>
      </c>
      <c r="G4567" s="1444" t="n">
        <v>0.1</v>
      </c>
      <c r="H4567" s="1105" t="n">
        <f aca="false">E4567*F4567*G4567</f>
        <v>144345</v>
      </c>
      <c r="I4567" s="1105" t="n">
        <f aca="false">F4567-H4567</f>
        <v>-48115</v>
      </c>
      <c r="J4567" s="1105" t="n">
        <f aca="false">F4567*G4567</f>
        <v>9623</v>
      </c>
      <c r="K4567" s="1365" t="n">
        <f aca="false">J4567/1792.8</f>
        <v>5.36758143685855</v>
      </c>
      <c r="L4567" s="1105" t="n">
        <v>75</v>
      </c>
      <c r="M4567" s="865" t="n">
        <f aca="false">K4567*L4567/60</f>
        <v>6.70947679607318</v>
      </c>
    </row>
    <row r="4568" s="122" customFormat="true" ht="15" hidden="false" customHeight="false" outlineLevel="0" collapsed="false">
      <c r="A4568" s="707"/>
      <c r="B4568" s="1562"/>
      <c r="C4568" s="1404" t="s">
        <v>7231</v>
      </c>
      <c r="D4568" s="569" t="n">
        <v>2004</v>
      </c>
      <c r="E4568" s="569" t="n">
        <f aca="false">2021-D4568</f>
        <v>17</v>
      </c>
      <c r="F4568" s="1105" t="n">
        <v>214320</v>
      </c>
      <c r="G4568" s="1444" t="n">
        <v>0.1</v>
      </c>
      <c r="H4568" s="1105" t="n">
        <f aca="false">E4568*F4568*G4568</f>
        <v>364344</v>
      </c>
      <c r="I4568" s="1105" t="n">
        <f aca="false">F4568</f>
        <v>214320</v>
      </c>
      <c r="J4568" s="1105" t="n">
        <f aca="false">F4568*G4568</f>
        <v>21432</v>
      </c>
      <c r="K4568" s="1365" t="n">
        <f aca="false">J4568/1792.8</f>
        <v>11.954484605087</v>
      </c>
      <c r="L4568" s="1105" t="n">
        <v>76</v>
      </c>
      <c r="M4568" s="865" t="n">
        <f aca="false">K4568*L4568/60</f>
        <v>15.1423471664436</v>
      </c>
    </row>
    <row r="4569" s="122" customFormat="true" ht="15" hidden="false" customHeight="false" outlineLevel="0" collapsed="false">
      <c r="A4569" s="707"/>
      <c r="B4569" s="99"/>
      <c r="C4569" s="118" t="s">
        <v>7220</v>
      </c>
      <c r="D4569" s="1561" t="n">
        <v>2008</v>
      </c>
      <c r="E4569" s="569" t="n">
        <f aca="false">2021-D4569</f>
        <v>13</v>
      </c>
      <c r="F4569" s="1105" t="n">
        <v>1800000</v>
      </c>
      <c r="G4569" s="1444" t="n">
        <v>0.1</v>
      </c>
      <c r="H4569" s="1105" t="n">
        <f aca="false">E4569*F4569*G4569</f>
        <v>2340000</v>
      </c>
      <c r="I4569" s="1105" t="n">
        <f aca="false">F4569-H4569</f>
        <v>-540000</v>
      </c>
      <c r="J4569" s="1105" t="n">
        <f aca="false">F4569*G4569</f>
        <v>180000</v>
      </c>
      <c r="K4569" s="1365" t="n">
        <f aca="false">J4569/1792.8</f>
        <v>100.401606425703</v>
      </c>
      <c r="L4569" s="1105" t="n">
        <v>66</v>
      </c>
      <c r="M4569" s="865" t="n">
        <f aca="false">K4569*L4569/60</f>
        <v>110.441767068273</v>
      </c>
    </row>
    <row r="4570" s="122" customFormat="true" ht="15" hidden="false" customHeight="false" outlineLevel="0" collapsed="false">
      <c r="A4570" s="707"/>
      <c r="B4570" s="1562" t="s">
        <v>4128</v>
      </c>
      <c r="C4570" s="1404"/>
      <c r="D4570" s="1410"/>
      <c r="E4570" s="569"/>
      <c r="F4570" s="1410"/>
      <c r="G4570" s="1444"/>
      <c r="H4570" s="1105"/>
      <c r="I4570" s="1105"/>
      <c r="J4570" s="1105"/>
      <c r="K4570" s="1365" t="n">
        <f aca="false">J4570/1792.8</f>
        <v>0</v>
      </c>
      <c r="L4570" s="877"/>
      <c r="M4570" s="1558" t="n">
        <f aca="false">SUM(M4558:M4569)</f>
        <v>480.732810873122</v>
      </c>
    </row>
    <row r="4571" s="122" customFormat="true" ht="30" hidden="false" customHeight="false" outlineLevel="0" collapsed="false">
      <c r="A4571" s="707" t="s">
        <v>2175</v>
      </c>
      <c r="B4571" s="118" t="s">
        <v>3822</v>
      </c>
      <c r="C4571" s="1404" t="s">
        <v>7158</v>
      </c>
      <c r="D4571" s="569" t="n">
        <v>2009</v>
      </c>
      <c r="E4571" s="569" t="n">
        <f aca="false">2021-D4571</f>
        <v>12</v>
      </c>
      <c r="F4571" s="1105" t="n">
        <v>417600</v>
      </c>
      <c r="G4571" s="1444" t="n">
        <v>0.1</v>
      </c>
      <c r="H4571" s="1105" t="n">
        <f aca="false">E4571*F4571*G4571</f>
        <v>501120</v>
      </c>
      <c r="I4571" s="1105" t="n">
        <f aca="false">F4571-H4571</f>
        <v>-83520</v>
      </c>
      <c r="J4571" s="1105" t="n">
        <f aca="false">F4571*G4571</f>
        <v>41760</v>
      </c>
      <c r="K4571" s="1365" t="n">
        <f aca="false">J4571/1792.8</f>
        <v>23.2931726907631</v>
      </c>
      <c r="L4571" s="1105" t="n">
        <v>60</v>
      </c>
      <c r="M4571" s="865" t="n">
        <f aca="false">K4571*L4571/60</f>
        <v>23.2931726907631</v>
      </c>
    </row>
    <row r="4572" s="122" customFormat="true" ht="15" hidden="false" customHeight="false" outlineLevel="0" collapsed="false">
      <c r="A4572" s="707"/>
      <c r="B4572" s="99"/>
      <c r="C4572" s="1404" t="s">
        <v>7221</v>
      </c>
      <c r="D4572" s="569" t="n">
        <v>2009</v>
      </c>
      <c r="E4572" s="569" t="n">
        <f aca="false">2021-D4572</f>
        <v>12</v>
      </c>
      <c r="F4572" s="1105" t="n">
        <v>47700</v>
      </c>
      <c r="G4572" s="1444" t="n">
        <v>0.1</v>
      </c>
      <c r="H4572" s="1105" t="n">
        <f aca="false">E4572*F4572*G4572</f>
        <v>57240</v>
      </c>
      <c r="I4572" s="1105" t="n">
        <f aca="false">F4572-H4572</f>
        <v>-9540</v>
      </c>
      <c r="J4572" s="1105" t="n">
        <f aca="false">F4572*G4572</f>
        <v>4770</v>
      </c>
      <c r="K4572" s="1365" t="n">
        <f aca="false">J4572/1792.8</f>
        <v>2.66064257028112</v>
      </c>
      <c r="L4572" s="1105" t="n">
        <v>1080</v>
      </c>
      <c r="M4572" s="865" t="n">
        <f aca="false">K4572*L4572/60</f>
        <v>47.8915662650602</v>
      </c>
    </row>
    <row r="4573" s="122" customFormat="true" ht="15" hidden="false" customHeight="false" outlineLevel="0" collapsed="false">
      <c r="A4573" s="707"/>
      <c r="B4573" s="1562"/>
      <c r="C4573" s="1404" t="s">
        <v>7155</v>
      </c>
      <c r="D4573" s="569" t="n">
        <v>2005</v>
      </c>
      <c r="E4573" s="569" t="n">
        <f aca="false">2021-D4573</f>
        <v>16</v>
      </c>
      <c r="F4573" s="1105" t="n">
        <v>85000</v>
      </c>
      <c r="G4573" s="1444" t="n">
        <v>0.1</v>
      </c>
      <c r="H4573" s="1105" t="n">
        <f aca="false">E4573*F4573*G4573</f>
        <v>136000</v>
      </c>
      <c r="I4573" s="1105" t="n">
        <f aca="false">F4573</f>
        <v>85000</v>
      </c>
      <c r="J4573" s="1105" t="n">
        <f aca="false">F4573*G4573</f>
        <v>8500</v>
      </c>
      <c r="K4573" s="1365" t="n">
        <f aca="false">J4573/1792.8</f>
        <v>4.74118697010263</v>
      </c>
      <c r="L4573" s="1105" t="n">
        <v>64</v>
      </c>
      <c r="M4573" s="865" t="n">
        <f aca="false">K4573*L4573/60</f>
        <v>5.05726610144281</v>
      </c>
    </row>
    <row r="4574" s="122" customFormat="true" ht="15" hidden="false" customHeight="false" outlineLevel="0" collapsed="false">
      <c r="A4574" s="707"/>
      <c r="B4574" s="1562"/>
      <c r="C4574" s="1404" t="s">
        <v>7224</v>
      </c>
      <c r="D4574" s="569" t="n">
        <v>2006</v>
      </c>
      <c r="E4574" s="569" t="n">
        <f aca="false">2021-D4574</f>
        <v>15</v>
      </c>
      <c r="F4574" s="1105" t="n">
        <v>442300</v>
      </c>
      <c r="G4574" s="1444" t="n">
        <v>0.1</v>
      </c>
      <c r="H4574" s="1105" t="n">
        <f aca="false">E4574*F4574*G4574</f>
        <v>663450</v>
      </c>
      <c r="I4574" s="1105" t="n">
        <f aca="false">F4574-H4574</f>
        <v>-221150</v>
      </c>
      <c r="J4574" s="1105" t="n">
        <f aca="false">F4574*G4574</f>
        <v>44230</v>
      </c>
      <c r="K4574" s="1365" t="n">
        <f aca="false">J4574/1792.8</f>
        <v>24.6709058456046</v>
      </c>
      <c r="L4574" s="1105" t="n">
        <v>65</v>
      </c>
      <c r="M4574" s="865" t="n">
        <f aca="false">K4574*L4574/60</f>
        <v>26.7268146660717</v>
      </c>
    </row>
    <row r="4575" s="122" customFormat="true" ht="15" hidden="false" customHeight="false" outlineLevel="0" collapsed="false">
      <c r="A4575" s="707"/>
      <c r="B4575" s="1562"/>
      <c r="C4575" s="1404" t="s">
        <v>7225</v>
      </c>
      <c r="D4575" s="569" t="n">
        <v>2004</v>
      </c>
      <c r="E4575" s="569" t="n">
        <f aca="false">2021-D4575</f>
        <v>17</v>
      </c>
      <c r="F4575" s="1105" t="n">
        <v>198000</v>
      </c>
      <c r="G4575" s="1444" t="n">
        <v>0.1</v>
      </c>
      <c r="H4575" s="1105" t="n">
        <f aca="false">E4575*F4575*G4575</f>
        <v>336600</v>
      </c>
      <c r="I4575" s="1105" t="n">
        <f aca="false">F4575</f>
        <v>198000</v>
      </c>
      <c r="J4575" s="1105" t="n">
        <f aca="false">F4575*G4575</f>
        <v>19800</v>
      </c>
      <c r="K4575" s="1365" t="n">
        <f aca="false">J4575/1792.8</f>
        <v>11.0441767068273</v>
      </c>
      <c r="L4575" s="1105" t="n">
        <v>66</v>
      </c>
      <c r="M4575" s="865" t="n">
        <f aca="false">K4575*L4575/60</f>
        <v>12.14859437751</v>
      </c>
    </row>
    <row r="4576" s="122" customFormat="true" ht="15" hidden="false" customHeight="false" outlineLevel="0" collapsed="false">
      <c r="A4576" s="707"/>
      <c r="B4576" s="1562"/>
      <c r="C4576" s="1404" t="s">
        <v>7174</v>
      </c>
      <c r="D4576" s="569" t="n">
        <v>2005</v>
      </c>
      <c r="E4576" s="569" t="n">
        <f aca="false">2021-D4576</f>
        <v>16</v>
      </c>
      <c r="F4576" s="1105" t="n">
        <v>1638000</v>
      </c>
      <c r="G4576" s="1444" t="n">
        <v>0.1</v>
      </c>
      <c r="H4576" s="1105" t="n">
        <f aca="false">E4576*F4576*G4576</f>
        <v>2620800</v>
      </c>
      <c r="I4576" s="1105" t="n">
        <f aca="false">F4576</f>
        <v>1638000</v>
      </c>
      <c r="J4576" s="1105" t="n">
        <f aca="false">F4576*G4576</f>
        <v>163800</v>
      </c>
      <c r="K4576" s="1365" t="n">
        <f aca="false">J4576/1792.8</f>
        <v>91.3654618473896</v>
      </c>
      <c r="L4576" s="1105" t="n">
        <v>67</v>
      </c>
      <c r="M4576" s="865" t="n">
        <f aca="false">K4576*L4576/60</f>
        <v>102.024765729585</v>
      </c>
    </row>
    <row r="4577" s="122" customFormat="true" ht="15" hidden="false" customHeight="false" outlineLevel="0" collapsed="false">
      <c r="A4577" s="707"/>
      <c r="B4577" s="1562"/>
      <c r="C4577" s="1404" t="s">
        <v>7226</v>
      </c>
      <c r="D4577" s="569" t="n">
        <v>2008</v>
      </c>
      <c r="E4577" s="569" t="n">
        <f aca="false">2021-D4577</f>
        <v>13</v>
      </c>
      <c r="F4577" s="1105" t="n">
        <v>397200</v>
      </c>
      <c r="G4577" s="1444" t="n">
        <v>0.1</v>
      </c>
      <c r="H4577" s="1105" t="n">
        <f aca="false">E4577*F4577*G4577</f>
        <v>516360</v>
      </c>
      <c r="I4577" s="1105" t="n">
        <f aca="false">F4577-H4577</f>
        <v>-119160</v>
      </c>
      <c r="J4577" s="1105" t="n">
        <f aca="false">F4577*G4577</f>
        <v>39720</v>
      </c>
      <c r="K4577" s="1365" t="n">
        <f aca="false">J4577/1792.8</f>
        <v>22.1552878179384</v>
      </c>
      <c r="L4577" s="1105" t="n">
        <v>71</v>
      </c>
      <c r="M4577" s="865" t="n">
        <f aca="false">K4577*L4577/60</f>
        <v>26.2170905845605</v>
      </c>
    </row>
    <row r="4578" s="122" customFormat="true" ht="15" hidden="false" customHeight="false" outlineLevel="0" collapsed="false">
      <c r="A4578" s="707"/>
      <c r="B4578" s="1562"/>
      <c r="C4578" s="1404" t="s">
        <v>7227</v>
      </c>
      <c r="D4578" s="569" t="n">
        <v>2005</v>
      </c>
      <c r="E4578" s="569" t="n">
        <f aca="false">2021-D4578</f>
        <v>16</v>
      </c>
      <c r="F4578" s="1105" t="n">
        <v>57600</v>
      </c>
      <c r="G4578" s="1444" t="n">
        <v>0.1</v>
      </c>
      <c r="H4578" s="1105" t="n">
        <f aca="false">E4578*F4578*G4578</f>
        <v>92160</v>
      </c>
      <c r="I4578" s="1105" t="n">
        <f aca="false">F4578</f>
        <v>57600</v>
      </c>
      <c r="J4578" s="1105" t="n">
        <f aca="false">F4578*G4578</f>
        <v>5760</v>
      </c>
      <c r="K4578" s="1365" t="n">
        <f aca="false">J4578/1792.8</f>
        <v>3.21285140562249</v>
      </c>
      <c r="L4578" s="1105" t="n">
        <v>73</v>
      </c>
      <c r="M4578" s="865" t="n">
        <f aca="false">K4578*L4578/60</f>
        <v>3.90896921017403</v>
      </c>
    </row>
    <row r="4579" s="122" customFormat="true" ht="15" hidden="false" customHeight="false" outlineLevel="0" collapsed="false">
      <c r="A4579" s="707"/>
      <c r="B4579" s="1562"/>
      <c r="C4579" s="1404" t="s">
        <v>7228</v>
      </c>
      <c r="D4579" s="569" t="n">
        <v>2004</v>
      </c>
      <c r="E4579" s="569" t="n">
        <f aca="false">2021-D4579</f>
        <v>17</v>
      </c>
      <c r="F4579" s="1105" t="n">
        <v>1465000</v>
      </c>
      <c r="G4579" s="1444" t="n">
        <v>0.1</v>
      </c>
      <c r="H4579" s="1105" t="n">
        <f aca="false">E4579*F4579*G4579</f>
        <v>2490500</v>
      </c>
      <c r="I4579" s="1105" t="n">
        <f aca="false">F4579</f>
        <v>1465000</v>
      </c>
      <c r="J4579" s="1105" t="n">
        <f aca="false">F4579*G4579</f>
        <v>146500</v>
      </c>
      <c r="K4579" s="1365" t="n">
        <f aca="false">J4579/1792.8</f>
        <v>81.7157518964748</v>
      </c>
      <c r="L4579" s="1105" t="n">
        <v>74</v>
      </c>
      <c r="M4579" s="865" t="n">
        <f aca="false">K4579*L4579/60</f>
        <v>100.782760672319</v>
      </c>
    </row>
    <row r="4580" s="122" customFormat="true" ht="15" hidden="false" customHeight="false" outlineLevel="0" collapsed="false">
      <c r="A4580" s="707"/>
      <c r="B4580" s="1562"/>
      <c r="C4580" s="1404" t="s">
        <v>7230</v>
      </c>
      <c r="D4580" s="569" t="n">
        <v>2006</v>
      </c>
      <c r="E4580" s="569" t="n">
        <f aca="false">2021-D4580</f>
        <v>15</v>
      </c>
      <c r="F4580" s="1105" t="n">
        <v>96230</v>
      </c>
      <c r="G4580" s="1444" t="n">
        <v>0.1</v>
      </c>
      <c r="H4580" s="1105" t="n">
        <f aca="false">E4580*F4580*G4580</f>
        <v>144345</v>
      </c>
      <c r="I4580" s="1105" t="n">
        <f aca="false">F4580-H4580</f>
        <v>-48115</v>
      </c>
      <c r="J4580" s="1105" t="n">
        <f aca="false">F4580*G4580</f>
        <v>9623</v>
      </c>
      <c r="K4580" s="1365" t="n">
        <f aca="false">J4580/1792.8</f>
        <v>5.36758143685855</v>
      </c>
      <c r="L4580" s="1105" t="n">
        <v>75</v>
      </c>
      <c r="M4580" s="865" t="n">
        <f aca="false">K4580*L4580/60</f>
        <v>6.70947679607318</v>
      </c>
    </row>
    <row r="4581" s="122" customFormat="true" ht="15" hidden="false" customHeight="false" outlineLevel="0" collapsed="false">
      <c r="A4581" s="707"/>
      <c r="B4581" s="1562"/>
      <c r="C4581" s="1404" t="s">
        <v>7231</v>
      </c>
      <c r="D4581" s="569" t="n">
        <v>2004</v>
      </c>
      <c r="E4581" s="569" t="n">
        <f aca="false">2021-D4581</f>
        <v>17</v>
      </c>
      <c r="F4581" s="1105" t="n">
        <v>214320</v>
      </c>
      <c r="G4581" s="1444" t="n">
        <v>0.1</v>
      </c>
      <c r="H4581" s="1105" t="n">
        <f aca="false">E4581*F4581*G4581</f>
        <v>364344</v>
      </c>
      <c r="I4581" s="1105" t="n">
        <f aca="false">F4581</f>
        <v>214320</v>
      </c>
      <c r="J4581" s="1105" t="n">
        <f aca="false">F4581*G4581</f>
        <v>21432</v>
      </c>
      <c r="K4581" s="1365" t="n">
        <f aca="false">J4581/1792.8</f>
        <v>11.954484605087</v>
      </c>
      <c r="L4581" s="1105" t="n">
        <v>76</v>
      </c>
      <c r="M4581" s="865" t="n">
        <f aca="false">K4581*L4581/60</f>
        <v>15.1423471664436</v>
      </c>
    </row>
    <row r="4582" s="122" customFormat="true" ht="15" hidden="false" customHeight="false" outlineLevel="0" collapsed="false">
      <c r="A4582" s="707"/>
      <c r="B4582" s="1557" t="s">
        <v>4128</v>
      </c>
      <c r="C4582" s="1404"/>
      <c r="D4582" s="569"/>
      <c r="E4582" s="569"/>
      <c r="F4582" s="1105"/>
      <c r="G4582" s="1444"/>
      <c r="H4582" s="1105"/>
      <c r="I4582" s="1105"/>
      <c r="J4582" s="1105"/>
      <c r="K4582" s="1365" t="n">
        <f aca="false">J4582/1792.8</f>
        <v>0</v>
      </c>
      <c r="L4582" s="754"/>
      <c r="M4582" s="1558" t="n">
        <f aca="false">SUM(M4571:M4581)</f>
        <v>369.902824260003</v>
      </c>
    </row>
    <row r="4583" s="122" customFormat="true" ht="30" hidden="false" customHeight="false" outlineLevel="0" collapsed="false">
      <c r="A4583" s="707" t="s">
        <v>2177</v>
      </c>
      <c r="B4583" s="47" t="s">
        <v>3823</v>
      </c>
      <c r="C4583" s="1404" t="s">
        <v>7232</v>
      </c>
      <c r="D4583" s="569" t="n">
        <v>2006</v>
      </c>
      <c r="E4583" s="569" t="n">
        <f aca="false">2021-D4583</f>
        <v>15</v>
      </c>
      <c r="F4583" s="1105" t="n">
        <v>442300</v>
      </c>
      <c r="G4583" s="1444" t="n">
        <v>0.1</v>
      </c>
      <c r="H4583" s="1105" t="n">
        <f aca="false">E4583*F4583*G4583</f>
        <v>663450</v>
      </c>
      <c r="I4583" s="1105" t="n">
        <f aca="false">F4583-H4583</f>
        <v>-221150</v>
      </c>
      <c r="J4583" s="1105" t="n">
        <f aca="false">F4583*G4583</f>
        <v>44230</v>
      </c>
      <c r="K4583" s="1365" t="n">
        <f aca="false">J4583/1792.8</f>
        <v>24.6709058456046</v>
      </c>
      <c r="L4583" s="1105" t="n">
        <v>60</v>
      </c>
      <c r="M4583" s="865" t="n">
        <f aca="false">K4583*L4583/60</f>
        <v>24.6709058456046</v>
      </c>
    </row>
    <row r="4584" s="122" customFormat="true" ht="15" hidden="false" customHeight="false" outlineLevel="0" collapsed="false">
      <c r="A4584" s="707"/>
      <c r="B4584" s="47"/>
      <c r="C4584" s="1404" t="s">
        <v>6976</v>
      </c>
      <c r="D4584" s="569" t="n">
        <v>2005</v>
      </c>
      <c r="E4584" s="569" t="n">
        <f aca="false">2021-D4584</f>
        <v>16</v>
      </c>
      <c r="F4584" s="1105" t="n">
        <v>57600</v>
      </c>
      <c r="G4584" s="1444" t="n">
        <v>0.1</v>
      </c>
      <c r="H4584" s="1105" t="n">
        <f aca="false">E4584*F4584*G4584</f>
        <v>92160</v>
      </c>
      <c r="I4584" s="1105" t="n">
        <f aca="false">F4584</f>
        <v>57600</v>
      </c>
      <c r="J4584" s="1105" t="n">
        <f aca="false">F4584*G4584</f>
        <v>5760</v>
      </c>
      <c r="K4584" s="1365" t="n">
        <f aca="false">J4584/1792.8</f>
        <v>3.21285140562249</v>
      </c>
      <c r="L4584" s="1105" t="n">
        <v>300</v>
      </c>
      <c r="M4584" s="865" t="n">
        <f aca="false">K4584*L4584/60</f>
        <v>16.0642570281125</v>
      </c>
    </row>
    <row r="4585" s="122" customFormat="true" ht="15" hidden="false" customHeight="false" outlineLevel="0" collapsed="false">
      <c r="A4585" s="707"/>
      <c r="B4585" s="99"/>
      <c r="C4585" s="1404" t="s">
        <v>7233</v>
      </c>
      <c r="D4585" s="569" t="n">
        <v>2005</v>
      </c>
      <c r="E4585" s="569" t="n">
        <f aca="false">2021-D4585</f>
        <v>16</v>
      </c>
      <c r="F4585" s="1105" t="n">
        <v>132000</v>
      </c>
      <c r="G4585" s="1444" t="n">
        <v>0.1</v>
      </c>
      <c r="H4585" s="1105" t="n">
        <f aca="false">E4585*F4585*G4585</f>
        <v>211200</v>
      </c>
      <c r="I4585" s="1105" t="n">
        <f aca="false">F4585</f>
        <v>132000</v>
      </c>
      <c r="J4585" s="1105" t="n">
        <f aca="false">F4585*G4585</f>
        <v>13200</v>
      </c>
      <c r="K4585" s="1365" t="n">
        <f aca="false">J4585/1792.8</f>
        <v>7.36278447121821</v>
      </c>
      <c r="L4585" s="1105" t="n">
        <v>60</v>
      </c>
      <c r="M4585" s="865" t="n">
        <f aca="false">K4585*L4585/60</f>
        <v>7.36278447121821</v>
      </c>
    </row>
    <row r="4586" s="122" customFormat="true" ht="15" hidden="false" customHeight="false" outlineLevel="0" collapsed="false">
      <c r="A4586" s="707"/>
      <c r="B4586" s="99"/>
      <c r="C4586" s="1404" t="s">
        <v>7234</v>
      </c>
      <c r="D4586" s="569" t="n">
        <v>2007</v>
      </c>
      <c r="E4586" s="569" t="n">
        <f aca="false">2021-D4586</f>
        <v>14</v>
      </c>
      <c r="F4586" s="1105" t="n">
        <v>769804.25</v>
      </c>
      <c r="G4586" s="1444" t="n">
        <v>0.1</v>
      </c>
      <c r="H4586" s="1105" t="n">
        <f aca="false">E4586*F4586*G4586</f>
        <v>1077725.95</v>
      </c>
      <c r="I4586" s="1105" t="n">
        <f aca="false">F4586-H4586</f>
        <v>-307921.7</v>
      </c>
      <c r="J4586" s="1105" t="n">
        <f aca="false">F4586*G4586</f>
        <v>76980.425</v>
      </c>
      <c r="K4586" s="1365" t="n">
        <f aca="false">J4586/1792.8</f>
        <v>42.9386574074074</v>
      </c>
      <c r="L4586" s="1105" t="n">
        <v>60</v>
      </c>
      <c r="M4586" s="865" t="n">
        <f aca="false">K4586*L4586/60</f>
        <v>42.9386574074074</v>
      </c>
    </row>
    <row r="4587" s="122" customFormat="true" ht="15" hidden="false" customHeight="false" outlineLevel="0" collapsed="false">
      <c r="A4587" s="707"/>
      <c r="B4587" s="99"/>
      <c r="C4587" s="1404" t="s">
        <v>6978</v>
      </c>
      <c r="D4587" s="569" t="n">
        <v>2005</v>
      </c>
      <c r="E4587" s="569" t="n">
        <f aca="false">2021-D4587</f>
        <v>16</v>
      </c>
      <c r="F4587" s="1105" t="n">
        <v>132000</v>
      </c>
      <c r="G4587" s="1444" t="n">
        <v>0.1</v>
      </c>
      <c r="H4587" s="1105" t="n">
        <f aca="false">E4587*F4587*G4587</f>
        <v>211200</v>
      </c>
      <c r="I4587" s="1105" t="n">
        <f aca="false">F4587</f>
        <v>132000</v>
      </c>
      <c r="J4587" s="1105" t="n">
        <f aca="false">F4587*G4587</f>
        <v>13200</v>
      </c>
      <c r="K4587" s="1365" t="n">
        <f aca="false">J4587/1792.8</f>
        <v>7.36278447121821</v>
      </c>
      <c r="L4587" s="1105" t="n">
        <v>60</v>
      </c>
      <c r="M4587" s="865" t="n">
        <f aca="false">K4587*L4587/60</f>
        <v>7.36278447121821</v>
      </c>
    </row>
    <row r="4588" s="122" customFormat="true" ht="15" hidden="false" customHeight="false" outlineLevel="0" collapsed="false">
      <c r="A4588" s="707"/>
      <c r="B4588" s="99"/>
      <c r="C4588" s="1404" t="s">
        <v>7235</v>
      </c>
      <c r="D4588" s="569" t="n">
        <v>2009</v>
      </c>
      <c r="E4588" s="569" t="n">
        <f aca="false">2021-D4588</f>
        <v>12</v>
      </c>
      <c r="F4588" s="1105" t="n">
        <v>797040</v>
      </c>
      <c r="G4588" s="1444" t="n">
        <v>0.1</v>
      </c>
      <c r="H4588" s="1105" t="n">
        <f aca="false">E4588*F4588*G4588</f>
        <v>956448</v>
      </c>
      <c r="I4588" s="1105" t="n">
        <f aca="false">F4588-H4588</f>
        <v>-159408</v>
      </c>
      <c r="J4588" s="1105" t="n">
        <f aca="false">F4588*G4588</f>
        <v>79704</v>
      </c>
      <c r="K4588" s="1365" t="n">
        <f aca="false">J4588/1792.8</f>
        <v>44.4578313253012</v>
      </c>
      <c r="L4588" s="1105" t="n">
        <v>2</v>
      </c>
      <c r="M4588" s="865" t="n">
        <f aca="false">K4588*L4588/60</f>
        <v>1.48192771084337</v>
      </c>
    </row>
    <row r="4589" s="122" customFormat="true" ht="15" hidden="false" customHeight="false" outlineLevel="0" collapsed="false">
      <c r="A4589" s="707"/>
      <c r="B4589" s="99"/>
      <c r="C4589" s="1404" t="s">
        <v>7236</v>
      </c>
      <c r="D4589" s="569" t="n">
        <v>2006</v>
      </c>
      <c r="E4589" s="569" t="n">
        <f aca="false">2021-D4589</f>
        <v>15</v>
      </c>
      <c r="F4589" s="1105" t="n">
        <v>40572</v>
      </c>
      <c r="G4589" s="1444" t="n">
        <v>0.1</v>
      </c>
      <c r="H4589" s="1105" t="n">
        <f aca="false">E4589*F4589*G4589</f>
        <v>60858</v>
      </c>
      <c r="I4589" s="1105" t="n">
        <f aca="false">F4589-H4589</f>
        <v>-20286</v>
      </c>
      <c r="J4589" s="1105" t="n">
        <f aca="false">F4589*G4589</f>
        <v>4057.2</v>
      </c>
      <c r="K4589" s="1365" t="n">
        <f aca="false">J4589/1792.8</f>
        <v>2.26305220883534</v>
      </c>
      <c r="L4589" s="1105" t="n">
        <v>1440</v>
      </c>
      <c r="M4589" s="865" t="n">
        <f aca="false">K4589*L4589/60</f>
        <v>54.3132530120482</v>
      </c>
    </row>
    <row r="4590" s="122" customFormat="true" ht="15" hidden="false" customHeight="false" outlineLevel="0" collapsed="false">
      <c r="A4590" s="707"/>
      <c r="B4590" s="1557" t="s">
        <v>4128</v>
      </c>
      <c r="C4590" s="1404"/>
      <c r="D4590" s="569"/>
      <c r="E4590" s="569"/>
      <c r="F4590" s="1105"/>
      <c r="G4590" s="1444"/>
      <c r="H4590" s="1105"/>
      <c r="I4590" s="1105"/>
      <c r="J4590" s="1105"/>
      <c r="K4590" s="1365" t="n">
        <f aca="false">J4590/1792.8</f>
        <v>0</v>
      </c>
      <c r="L4590" s="754"/>
      <c r="M4590" s="1558" t="n">
        <f aca="false">SUM(M4583:M4589)</f>
        <v>154.194569946452</v>
      </c>
    </row>
    <row r="4591" s="122" customFormat="true" ht="75" hidden="false" customHeight="false" outlineLevel="0" collapsed="false">
      <c r="A4591" s="707" t="s">
        <v>2179</v>
      </c>
      <c r="B4591" s="47" t="s">
        <v>7237</v>
      </c>
      <c r="C4591" s="1404" t="s">
        <v>7232</v>
      </c>
      <c r="D4591" s="569" t="n">
        <v>2006</v>
      </c>
      <c r="E4591" s="569" t="n">
        <f aca="false">2021-D4591</f>
        <v>15</v>
      </c>
      <c r="F4591" s="1105" t="n">
        <v>442300</v>
      </c>
      <c r="G4591" s="1444" t="n">
        <v>0.1</v>
      </c>
      <c r="H4591" s="1105" t="n">
        <f aca="false">E4591*F4591*G4591</f>
        <v>663450</v>
      </c>
      <c r="I4591" s="1105" t="n">
        <f aca="false">F4591-H4591</f>
        <v>-221150</v>
      </c>
      <c r="J4591" s="1105" t="n">
        <f aca="false">F4591*G4591</f>
        <v>44230</v>
      </c>
      <c r="K4591" s="1365" t="n">
        <f aca="false">J4591/1792.8</f>
        <v>24.6709058456046</v>
      </c>
      <c r="L4591" s="1105" t="n">
        <v>60</v>
      </c>
      <c r="M4591" s="865" t="n">
        <f aca="false">K4591*L4591/60</f>
        <v>24.6709058456046</v>
      </c>
    </row>
    <row r="4592" s="122" customFormat="true" ht="15" hidden="false" customHeight="false" outlineLevel="0" collapsed="false">
      <c r="A4592" s="707"/>
      <c r="B4592" s="47"/>
      <c r="C4592" s="1404" t="s">
        <v>6976</v>
      </c>
      <c r="D4592" s="569" t="n">
        <v>2005</v>
      </c>
      <c r="E4592" s="569" t="n">
        <f aca="false">2021-D4592</f>
        <v>16</v>
      </c>
      <c r="F4592" s="1105" t="n">
        <v>57600</v>
      </c>
      <c r="G4592" s="1444" t="n">
        <v>0.1</v>
      </c>
      <c r="H4592" s="1105" t="n">
        <f aca="false">E4592*F4592*G4592</f>
        <v>92160</v>
      </c>
      <c r="I4592" s="1105" t="n">
        <f aca="false">F4592</f>
        <v>57600</v>
      </c>
      <c r="J4592" s="1105" t="n">
        <f aca="false">F4592*G4592</f>
        <v>5760</v>
      </c>
      <c r="K4592" s="1365" t="n">
        <f aca="false">J4592/1792.8</f>
        <v>3.21285140562249</v>
      </c>
      <c r="L4592" s="1105" t="n">
        <v>300</v>
      </c>
      <c r="M4592" s="865" t="n">
        <f aca="false">K4592*L4592/60</f>
        <v>16.0642570281125</v>
      </c>
    </row>
    <row r="4593" s="122" customFormat="true" ht="15" hidden="false" customHeight="false" outlineLevel="0" collapsed="false">
      <c r="A4593" s="707"/>
      <c r="B4593" s="99"/>
      <c r="C4593" s="1404" t="s">
        <v>7234</v>
      </c>
      <c r="D4593" s="569" t="n">
        <v>2007</v>
      </c>
      <c r="E4593" s="569" t="n">
        <f aca="false">2021-D4593</f>
        <v>14</v>
      </c>
      <c r="F4593" s="1105" t="n">
        <v>769804.25</v>
      </c>
      <c r="G4593" s="1444" t="n">
        <v>0.1</v>
      </c>
      <c r="H4593" s="1105" t="n">
        <f aca="false">E4593*F4593*G4593</f>
        <v>1077725.95</v>
      </c>
      <c r="I4593" s="1105" t="n">
        <f aca="false">F4593-H4593</f>
        <v>-307921.7</v>
      </c>
      <c r="J4593" s="1105" t="n">
        <f aca="false">F4593*G4593</f>
        <v>76980.425</v>
      </c>
      <c r="K4593" s="1365" t="n">
        <f aca="false">J4593/1792.8</f>
        <v>42.9386574074074</v>
      </c>
      <c r="L4593" s="1105" t="n">
        <v>60</v>
      </c>
      <c r="M4593" s="865" t="n">
        <f aca="false">K4593*L4593/60</f>
        <v>42.9386574074074</v>
      </c>
    </row>
    <row r="4594" s="122" customFormat="true" ht="15" hidden="false" customHeight="false" outlineLevel="0" collapsed="false">
      <c r="A4594" s="707"/>
      <c r="B4594" s="99"/>
      <c r="C4594" s="1404" t="s">
        <v>6978</v>
      </c>
      <c r="D4594" s="569" t="n">
        <v>2005</v>
      </c>
      <c r="E4594" s="569" t="n">
        <f aca="false">2021-D4594</f>
        <v>16</v>
      </c>
      <c r="F4594" s="1105" t="n">
        <v>132000</v>
      </c>
      <c r="G4594" s="1444" t="n">
        <v>0.1</v>
      </c>
      <c r="H4594" s="1105" t="n">
        <f aca="false">E4594*F4594*G4594</f>
        <v>211200</v>
      </c>
      <c r="I4594" s="1105" t="n">
        <f aca="false">F4594</f>
        <v>132000</v>
      </c>
      <c r="J4594" s="1105" t="n">
        <f aca="false">F4594*G4594</f>
        <v>13200</v>
      </c>
      <c r="K4594" s="1365" t="n">
        <f aca="false">J4594/1792.8</f>
        <v>7.36278447121821</v>
      </c>
      <c r="L4594" s="1105" t="n">
        <v>60</v>
      </c>
      <c r="M4594" s="865" t="n">
        <f aca="false">K4594*L4594/60</f>
        <v>7.36278447121821</v>
      </c>
    </row>
    <row r="4595" s="122" customFormat="true" ht="15" hidden="false" customHeight="false" outlineLevel="0" collapsed="false">
      <c r="A4595" s="707"/>
      <c r="B4595" s="99"/>
      <c r="C4595" s="1404" t="s">
        <v>7235</v>
      </c>
      <c r="D4595" s="569" t="n">
        <v>2009</v>
      </c>
      <c r="E4595" s="569" t="n">
        <f aca="false">2021-D4595</f>
        <v>12</v>
      </c>
      <c r="F4595" s="1105" t="n">
        <v>797040</v>
      </c>
      <c r="G4595" s="1444" t="n">
        <v>0.1</v>
      </c>
      <c r="H4595" s="1105" t="n">
        <f aca="false">E4595*F4595*G4595</f>
        <v>956448</v>
      </c>
      <c r="I4595" s="1105" t="n">
        <f aca="false">F4595-H4595</f>
        <v>-159408</v>
      </c>
      <c r="J4595" s="1105" t="n">
        <f aca="false">F4595*G4595</f>
        <v>79704</v>
      </c>
      <c r="K4595" s="1365" t="n">
        <f aca="false">J4595/1792.8</f>
        <v>44.4578313253012</v>
      </c>
      <c r="L4595" s="1105" t="n">
        <v>2</v>
      </c>
      <c r="M4595" s="865" t="n">
        <f aca="false">K4595*L4595/60</f>
        <v>1.48192771084337</v>
      </c>
    </row>
    <row r="4596" s="122" customFormat="true" ht="15" hidden="false" customHeight="false" outlineLevel="0" collapsed="false">
      <c r="A4596" s="707"/>
      <c r="B4596" s="99"/>
      <c r="C4596" s="1404" t="s">
        <v>7236</v>
      </c>
      <c r="D4596" s="569" t="n">
        <v>2006</v>
      </c>
      <c r="E4596" s="569" t="n">
        <f aca="false">2021-D4596</f>
        <v>15</v>
      </c>
      <c r="F4596" s="1105" t="n">
        <v>40572</v>
      </c>
      <c r="G4596" s="1444" t="n">
        <v>0.1</v>
      </c>
      <c r="H4596" s="1105" t="n">
        <f aca="false">E4596*F4596*G4596</f>
        <v>60858</v>
      </c>
      <c r="I4596" s="1105" t="n">
        <f aca="false">F4596-H4596</f>
        <v>-20286</v>
      </c>
      <c r="J4596" s="1105" t="n">
        <f aca="false">F4596*G4596</f>
        <v>4057.2</v>
      </c>
      <c r="K4596" s="1365" t="n">
        <f aca="false">J4596/1792.8</f>
        <v>2.26305220883534</v>
      </c>
      <c r="L4596" s="1105" t="n">
        <v>1440</v>
      </c>
      <c r="M4596" s="865" t="n">
        <f aca="false">K4596*L4596/60</f>
        <v>54.3132530120482</v>
      </c>
    </row>
    <row r="4597" s="122" customFormat="true" ht="15" hidden="false" customHeight="false" outlineLevel="0" collapsed="false">
      <c r="A4597" s="707"/>
      <c r="B4597" s="1557" t="s">
        <v>4128</v>
      </c>
      <c r="C4597" s="1404"/>
      <c r="D4597" s="569"/>
      <c r="E4597" s="569"/>
      <c r="F4597" s="1105"/>
      <c r="G4597" s="1444"/>
      <c r="H4597" s="1105"/>
      <c r="I4597" s="1105"/>
      <c r="J4597" s="1105"/>
      <c r="K4597" s="1365" t="n">
        <f aca="false">J4597/1792.8</f>
        <v>0</v>
      </c>
      <c r="L4597" s="754"/>
      <c r="M4597" s="1558" t="n">
        <f aca="false">SUM(M4591:M4596)</f>
        <v>146.831785475234</v>
      </c>
    </row>
    <row r="4598" s="122" customFormat="true" ht="30" hidden="false" customHeight="false" outlineLevel="0" collapsed="false">
      <c r="A4598" s="707" t="s">
        <v>2181</v>
      </c>
      <c r="B4598" s="47" t="s">
        <v>3825</v>
      </c>
      <c r="C4598" s="1404" t="s">
        <v>6976</v>
      </c>
      <c r="D4598" s="569" t="n">
        <v>2005</v>
      </c>
      <c r="E4598" s="569" t="n">
        <f aca="false">2021-D4598</f>
        <v>16</v>
      </c>
      <c r="F4598" s="1105" t="n">
        <v>57600</v>
      </c>
      <c r="G4598" s="1444" t="n">
        <v>0.1</v>
      </c>
      <c r="H4598" s="1105" t="n">
        <f aca="false">E4598*F4598*G4598</f>
        <v>92160</v>
      </c>
      <c r="I4598" s="1105" t="n">
        <f aca="false">F4598</f>
        <v>57600</v>
      </c>
      <c r="J4598" s="1105" t="n">
        <f aca="false">F4598*G4598</f>
        <v>5760</v>
      </c>
      <c r="K4598" s="1365" t="n">
        <f aca="false">J4598/1792.8</f>
        <v>3.21285140562249</v>
      </c>
      <c r="L4598" s="1105" t="n">
        <v>300</v>
      </c>
      <c r="M4598" s="865" t="n">
        <f aca="false">K4598*L4598/60</f>
        <v>16.0642570281125</v>
      </c>
    </row>
    <row r="4599" s="122" customFormat="true" ht="15" hidden="false" customHeight="false" outlineLevel="0" collapsed="false">
      <c r="A4599" s="707"/>
      <c r="B4599" s="99"/>
      <c r="C4599" s="1404" t="s">
        <v>7232</v>
      </c>
      <c r="D4599" s="569" t="n">
        <v>2006</v>
      </c>
      <c r="E4599" s="569" t="n">
        <f aca="false">2021-D4599</f>
        <v>15</v>
      </c>
      <c r="F4599" s="1105" t="n">
        <v>442300</v>
      </c>
      <c r="G4599" s="1444" t="n">
        <v>0.1</v>
      </c>
      <c r="H4599" s="1105" t="n">
        <f aca="false">E4599*F4599*G4599</f>
        <v>663450</v>
      </c>
      <c r="I4599" s="1105" t="n">
        <f aca="false">F4599-H4599</f>
        <v>-221150</v>
      </c>
      <c r="J4599" s="1105" t="n">
        <f aca="false">F4599*G4599</f>
        <v>44230</v>
      </c>
      <c r="K4599" s="1365" t="n">
        <f aca="false">J4599/1792.8</f>
        <v>24.6709058456046</v>
      </c>
      <c r="L4599" s="1105" t="n">
        <v>348</v>
      </c>
      <c r="M4599" s="865" t="n">
        <f aca="false">K4599*L4599/60</f>
        <v>143.091253904507</v>
      </c>
    </row>
    <row r="4600" s="122" customFormat="true" ht="15" hidden="false" customHeight="false" outlineLevel="0" collapsed="false">
      <c r="A4600" s="707"/>
      <c r="B4600" s="99"/>
      <c r="C4600" s="1404" t="s">
        <v>7233</v>
      </c>
      <c r="D4600" s="569" t="n">
        <v>2005</v>
      </c>
      <c r="E4600" s="569" t="n">
        <f aca="false">2021-D4600</f>
        <v>16</v>
      </c>
      <c r="F4600" s="1105" t="n">
        <v>132000</v>
      </c>
      <c r="G4600" s="1444" t="n">
        <v>0.1</v>
      </c>
      <c r="H4600" s="1105" t="n">
        <f aca="false">E4600*F4600*G4600</f>
        <v>211200</v>
      </c>
      <c r="I4600" s="1105" t="n">
        <f aca="false">F4600</f>
        <v>132000</v>
      </c>
      <c r="J4600" s="1105" t="n">
        <f aca="false">F4600*G4600</f>
        <v>13200</v>
      </c>
      <c r="K4600" s="1365" t="n">
        <f aca="false">J4600/1792.8</f>
        <v>7.36278447121821</v>
      </c>
      <c r="L4600" s="1105" t="n">
        <v>390</v>
      </c>
      <c r="M4600" s="865" t="n">
        <f aca="false">K4600*L4600/60</f>
        <v>47.8580990629183</v>
      </c>
    </row>
    <row r="4601" s="122" customFormat="true" ht="15" hidden="false" customHeight="false" outlineLevel="0" collapsed="false">
      <c r="A4601" s="707"/>
      <c r="B4601" s="99"/>
      <c r="C4601" s="1404" t="s">
        <v>7234</v>
      </c>
      <c r="D4601" s="569" t="n">
        <v>2007</v>
      </c>
      <c r="E4601" s="569" t="n">
        <f aca="false">2021-D4601</f>
        <v>14</v>
      </c>
      <c r="F4601" s="1105" t="n">
        <v>769804.25</v>
      </c>
      <c r="G4601" s="1444" t="n">
        <v>0.1</v>
      </c>
      <c r="H4601" s="1105" t="n">
        <f aca="false">E4601*F4601*G4601</f>
        <v>1077725.95</v>
      </c>
      <c r="I4601" s="1105" t="n">
        <f aca="false">F4601-H4601</f>
        <v>-307921.7</v>
      </c>
      <c r="J4601" s="1105" t="n">
        <f aca="false">F4601*G4601</f>
        <v>76980.425</v>
      </c>
      <c r="K4601" s="1365" t="n">
        <f aca="false">J4601/1792.8</f>
        <v>42.9386574074074</v>
      </c>
      <c r="L4601" s="1105" t="n">
        <v>60</v>
      </c>
      <c r="M4601" s="865" t="n">
        <f aca="false">K4601*L4601/60</f>
        <v>42.9386574074074</v>
      </c>
    </row>
    <row r="4602" s="122" customFormat="true" ht="15" hidden="false" customHeight="false" outlineLevel="0" collapsed="false">
      <c r="A4602" s="707"/>
      <c r="B4602" s="99"/>
      <c r="C4602" s="1404" t="s">
        <v>6978</v>
      </c>
      <c r="D4602" s="569" t="n">
        <v>2005</v>
      </c>
      <c r="E4602" s="569" t="n">
        <f aca="false">2021-D4602</f>
        <v>16</v>
      </c>
      <c r="F4602" s="1105" t="n">
        <v>132000</v>
      </c>
      <c r="G4602" s="1444" t="n">
        <v>0.1</v>
      </c>
      <c r="H4602" s="1105" t="n">
        <f aca="false">E4602*F4602*G4602</f>
        <v>211200</v>
      </c>
      <c r="I4602" s="1105" t="n">
        <f aca="false">F4602</f>
        <v>132000</v>
      </c>
      <c r="J4602" s="1105" t="n">
        <f aca="false">F4602*G4602</f>
        <v>13200</v>
      </c>
      <c r="K4602" s="1365" t="n">
        <f aca="false">J4602/1792.8</f>
        <v>7.36278447121821</v>
      </c>
      <c r="L4602" s="1105" t="n">
        <v>60</v>
      </c>
      <c r="M4602" s="865" t="n">
        <f aca="false">K4602*L4602/60</f>
        <v>7.36278447121821</v>
      </c>
    </row>
    <row r="4603" s="122" customFormat="true" ht="15" hidden="false" customHeight="false" outlineLevel="0" collapsed="false">
      <c r="A4603" s="707"/>
      <c r="B4603" s="99"/>
      <c r="C4603" s="1404" t="s">
        <v>7235</v>
      </c>
      <c r="D4603" s="569" t="n">
        <v>2009</v>
      </c>
      <c r="E4603" s="569" t="n">
        <f aca="false">2021-D4603</f>
        <v>12</v>
      </c>
      <c r="F4603" s="1105" t="n">
        <v>797040</v>
      </c>
      <c r="G4603" s="1444" t="n">
        <v>0.1</v>
      </c>
      <c r="H4603" s="1105" t="n">
        <f aca="false">E4603*F4603*G4603</f>
        <v>956448</v>
      </c>
      <c r="I4603" s="1105" t="n">
        <f aca="false">F4603-H4603</f>
        <v>-159408</v>
      </c>
      <c r="J4603" s="1105" t="n">
        <f aca="false">F4603*G4603</f>
        <v>79704</v>
      </c>
      <c r="K4603" s="1365" t="n">
        <f aca="false">J4603/1792.8</f>
        <v>44.4578313253012</v>
      </c>
      <c r="L4603" s="1105" t="n">
        <v>2</v>
      </c>
      <c r="M4603" s="865" t="n">
        <f aca="false">K4603*L4603/60</f>
        <v>1.48192771084337</v>
      </c>
    </row>
    <row r="4604" s="122" customFormat="true" ht="15" hidden="false" customHeight="false" outlineLevel="0" collapsed="false">
      <c r="A4604" s="707"/>
      <c r="B4604" s="99"/>
      <c r="C4604" s="1404" t="s">
        <v>7236</v>
      </c>
      <c r="D4604" s="569" t="n">
        <v>2006</v>
      </c>
      <c r="E4604" s="569" t="n">
        <f aca="false">2021-D4604</f>
        <v>15</v>
      </c>
      <c r="F4604" s="1105" t="n">
        <v>40572</v>
      </c>
      <c r="G4604" s="1444" t="n">
        <v>0.1</v>
      </c>
      <c r="H4604" s="1105" t="n">
        <f aca="false">E4604*F4604*G4604</f>
        <v>60858</v>
      </c>
      <c r="I4604" s="1105" t="n">
        <f aca="false">F4604-H4604</f>
        <v>-20286</v>
      </c>
      <c r="J4604" s="1105" t="n">
        <f aca="false">F4604*G4604</f>
        <v>4057.2</v>
      </c>
      <c r="K4604" s="1365" t="n">
        <f aca="false">J4604/1792.8</f>
        <v>2.26305220883534</v>
      </c>
      <c r="L4604" s="1105" t="n">
        <v>1440</v>
      </c>
      <c r="M4604" s="865" t="n">
        <f aca="false">K4604*L4604/60</f>
        <v>54.3132530120482</v>
      </c>
    </row>
    <row r="4605" s="122" customFormat="true" ht="15" hidden="false" customHeight="false" outlineLevel="0" collapsed="false">
      <c r="A4605" s="707"/>
      <c r="B4605" s="1557" t="s">
        <v>4128</v>
      </c>
      <c r="C4605" s="1404"/>
      <c r="D4605" s="569"/>
      <c r="E4605" s="569"/>
      <c r="F4605" s="1105"/>
      <c r="G4605" s="1444"/>
      <c r="H4605" s="1105"/>
      <c r="I4605" s="1105"/>
      <c r="J4605" s="1105"/>
      <c r="K4605" s="1365" t="n">
        <f aca="false">J4605/1792.8</f>
        <v>0</v>
      </c>
      <c r="L4605" s="754"/>
      <c r="M4605" s="1558" t="n">
        <f aca="false">SUM(M4598:M4604)</f>
        <v>313.110232597055</v>
      </c>
    </row>
    <row r="4606" s="122" customFormat="true" ht="15" hidden="false" customHeight="false" outlineLevel="0" collapsed="false">
      <c r="A4606" s="707" t="s">
        <v>2183</v>
      </c>
      <c r="B4606" s="47" t="s">
        <v>3826</v>
      </c>
      <c r="C4606" s="1404" t="s">
        <v>6976</v>
      </c>
      <c r="D4606" s="569" t="n">
        <v>2005</v>
      </c>
      <c r="E4606" s="569" t="n">
        <f aca="false">2021-D4606</f>
        <v>16</v>
      </c>
      <c r="F4606" s="1105" t="n">
        <v>57600</v>
      </c>
      <c r="G4606" s="1444" t="n">
        <v>0.1</v>
      </c>
      <c r="H4606" s="1105" t="n">
        <f aca="false">E4606*F4606*G4606</f>
        <v>92160</v>
      </c>
      <c r="I4606" s="1105" t="n">
        <f aca="false">F4606</f>
        <v>57600</v>
      </c>
      <c r="J4606" s="1105" t="n">
        <f aca="false">F4606*G4606</f>
        <v>5760</v>
      </c>
      <c r="K4606" s="1365" t="n">
        <f aca="false">J4606/1792.8</f>
        <v>3.21285140562249</v>
      </c>
      <c r="L4606" s="1105" t="n">
        <v>300</v>
      </c>
      <c r="M4606" s="865" t="n">
        <f aca="false">K4606*L4606/60</f>
        <v>16.0642570281125</v>
      </c>
    </row>
    <row r="4607" s="122" customFormat="true" ht="15" hidden="false" customHeight="false" outlineLevel="0" collapsed="false">
      <c r="A4607" s="707"/>
      <c r="B4607" s="99"/>
      <c r="C4607" s="1404" t="s">
        <v>7232</v>
      </c>
      <c r="D4607" s="569" t="n">
        <v>2006</v>
      </c>
      <c r="E4607" s="569" t="n">
        <f aca="false">2021-D4607</f>
        <v>15</v>
      </c>
      <c r="F4607" s="1105" t="n">
        <v>442300</v>
      </c>
      <c r="G4607" s="1444" t="n">
        <v>0.1</v>
      </c>
      <c r="H4607" s="1105" t="n">
        <f aca="false">E4607*F4607*G4607</f>
        <v>663450</v>
      </c>
      <c r="I4607" s="1105" t="n">
        <f aca="false">F4607-H4607</f>
        <v>-221150</v>
      </c>
      <c r="J4607" s="1105" t="n">
        <f aca="false">F4607*G4607</f>
        <v>44230</v>
      </c>
      <c r="K4607" s="1365" t="n">
        <f aca="false">J4607/1792.8</f>
        <v>24.6709058456046</v>
      </c>
      <c r="L4607" s="1105" t="n">
        <v>348</v>
      </c>
      <c r="M4607" s="865" t="n">
        <f aca="false">K4607*L4607/60</f>
        <v>143.091253904507</v>
      </c>
    </row>
    <row r="4608" s="122" customFormat="true" ht="15" hidden="false" customHeight="false" outlineLevel="0" collapsed="false">
      <c r="A4608" s="707"/>
      <c r="B4608" s="99"/>
      <c r="C4608" s="1404" t="s">
        <v>7233</v>
      </c>
      <c r="D4608" s="569" t="n">
        <v>2005</v>
      </c>
      <c r="E4608" s="569" t="n">
        <f aca="false">2021-D4608</f>
        <v>16</v>
      </c>
      <c r="F4608" s="1105" t="n">
        <v>132000</v>
      </c>
      <c r="G4608" s="1444" t="n">
        <v>0.1</v>
      </c>
      <c r="H4608" s="1105" t="n">
        <f aca="false">E4608*F4608*G4608</f>
        <v>211200</v>
      </c>
      <c r="I4608" s="1105" t="n">
        <f aca="false">F4608</f>
        <v>132000</v>
      </c>
      <c r="J4608" s="1105" t="n">
        <f aca="false">F4608*G4608</f>
        <v>13200</v>
      </c>
      <c r="K4608" s="1365" t="n">
        <f aca="false">J4608/1792.8</f>
        <v>7.36278447121821</v>
      </c>
      <c r="L4608" s="1105" t="n">
        <v>390</v>
      </c>
      <c r="M4608" s="865" t="n">
        <f aca="false">K4608*L4608/60</f>
        <v>47.8580990629183</v>
      </c>
    </row>
    <row r="4609" s="122" customFormat="true" ht="15" hidden="false" customHeight="false" outlineLevel="0" collapsed="false">
      <c r="A4609" s="707"/>
      <c r="B4609" s="99"/>
      <c r="C4609" s="1404" t="s">
        <v>7234</v>
      </c>
      <c r="D4609" s="569" t="n">
        <v>2007</v>
      </c>
      <c r="E4609" s="569" t="n">
        <f aca="false">2021-D4609</f>
        <v>14</v>
      </c>
      <c r="F4609" s="1105" t="n">
        <v>769804.25</v>
      </c>
      <c r="G4609" s="1444" t="n">
        <v>0.1</v>
      </c>
      <c r="H4609" s="1105" t="n">
        <f aca="false">E4609*F4609*G4609</f>
        <v>1077725.95</v>
      </c>
      <c r="I4609" s="1105" t="n">
        <f aca="false">F4609-H4609</f>
        <v>-307921.7</v>
      </c>
      <c r="J4609" s="1105" t="n">
        <f aca="false">F4609*G4609</f>
        <v>76980.425</v>
      </c>
      <c r="K4609" s="1365" t="n">
        <f aca="false">J4609/1792.8</f>
        <v>42.9386574074074</v>
      </c>
      <c r="L4609" s="1105" t="n">
        <v>60</v>
      </c>
      <c r="M4609" s="865" t="n">
        <f aca="false">K4609*L4609/60</f>
        <v>42.9386574074074</v>
      </c>
    </row>
    <row r="4610" s="122" customFormat="true" ht="15" hidden="false" customHeight="false" outlineLevel="0" collapsed="false">
      <c r="A4610" s="707"/>
      <c r="B4610" s="99"/>
      <c r="C4610" s="1404" t="s">
        <v>7235</v>
      </c>
      <c r="D4610" s="569" t="n">
        <v>2009</v>
      </c>
      <c r="E4610" s="569" t="n">
        <f aca="false">2021-D4610</f>
        <v>12</v>
      </c>
      <c r="F4610" s="1105" t="n">
        <v>797040</v>
      </c>
      <c r="G4610" s="1444" t="n">
        <v>0.1</v>
      </c>
      <c r="H4610" s="1105" t="n">
        <f aca="false">E4610*F4610*G4610</f>
        <v>956448</v>
      </c>
      <c r="I4610" s="1105" t="n">
        <f aca="false">F4610-H4610</f>
        <v>-159408</v>
      </c>
      <c r="J4610" s="1105" t="n">
        <f aca="false">F4610*G4610</f>
        <v>79704</v>
      </c>
      <c r="K4610" s="1365" t="n">
        <f aca="false">J4610/1792.8</f>
        <v>44.4578313253012</v>
      </c>
      <c r="L4610" s="1105" t="n">
        <v>2</v>
      </c>
      <c r="M4610" s="865" t="n">
        <f aca="false">K4610*L4610/60</f>
        <v>1.48192771084337</v>
      </c>
    </row>
    <row r="4611" s="122" customFormat="true" ht="15" hidden="false" customHeight="false" outlineLevel="0" collapsed="false">
      <c r="A4611" s="707"/>
      <c r="B4611" s="99"/>
      <c r="C4611" s="1404" t="s">
        <v>6978</v>
      </c>
      <c r="D4611" s="569" t="n">
        <v>2005</v>
      </c>
      <c r="E4611" s="569" t="n">
        <f aca="false">2021-D4611</f>
        <v>16</v>
      </c>
      <c r="F4611" s="1105" t="n">
        <v>132000</v>
      </c>
      <c r="G4611" s="1444" t="n">
        <v>0.1</v>
      </c>
      <c r="H4611" s="1105" t="n">
        <f aca="false">E4611*F4611*G4611</f>
        <v>211200</v>
      </c>
      <c r="I4611" s="1105" t="n">
        <f aca="false">F4611</f>
        <v>132000</v>
      </c>
      <c r="J4611" s="1105" t="n">
        <f aca="false">F4611*G4611</f>
        <v>13200</v>
      </c>
      <c r="K4611" s="1365" t="n">
        <f aca="false">J4611/1792.8</f>
        <v>7.36278447121821</v>
      </c>
      <c r="L4611" s="1105" t="n">
        <v>60</v>
      </c>
      <c r="M4611" s="865" t="n">
        <f aca="false">K4611*L4611/60</f>
        <v>7.36278447121821</v>
      </c>
    </row>
    <row r="4612" s="122" customFormat="true" ht="15" hidden="false" customHeight="false" outlineLevel="0" collapsed="false">
      <c r="A4612" s="707"/>
      <c r="B4612" s="99"/>
      <c r="C4612" s="1404" t="s">
        <v>7236</v>
      </c>
      <c r="D4612" s="569" t="n">
        <v>2006</v>
      </c>
      <c r="E4612" s="569" t="n">
        <f aca="false">2021-D4612</f>
        <v>15</v>
      </c>
      <c r="F4612" s="1105" t="n">
        <v>40572</v>
      </c>
      <c r="G4612" s="1444" t="n">
        <v>0.1</v>
      </c>
      <c r="H4612" s="1105" t="n">
        <f aca="false">E4612*F4612*G4612</f>
        <v>60858</v>
      </c>
      <c r="I4612" s="1105" t="n">
        <f aca="false">F4612-H4612</f>
        <v>-20286</v>
      </c>
      <c r="J4612" s="1105" t="n">
        <f aca="false">F4612*G4612</f>
        <v>4057.2</v>
      </c>
      <c r="K4612" s="1365" t="n">
        <f aca="false">J4612/1792.8</f>
        <v>2.26305220883534</v>
      </c>
      <c r="L4612" s="1105" t="n">
        <v>1440</v>
      </c>
      <c r="M4612" s="865" t="n">
        <f aca="false">K4612*L4612/60</f>
        <v>54.3132530120482</v>
      </c>
    </row>
    <row r="4613" s="122" customFormat="true" ht="15" hidden="false" customHeight="false" outlineLevel="0" collapsed="false">
      <c r="A4613" s="707"/>
      <c r="B4613" s="1557" t="s">
        <v>4128</v>
      </c>
      <c r="C4613" s="1404"/>
      <c r="D4613" s="569"/>
      <c r="E4613" s="569"/>
      <c r="F4613" s="1105"/>
      <c r="G4613" s="1444"/>
      <c r="H4613" s="1105"/>
      <c r="I4613" s="1105"/>
      <c r="J4613" s="1105"/>
      <c r="K4613" s="1365" t="n">
        <f aca="false">J4613/1792.8</f>
        <v>0</v>
      </c>
      <c r="L4613" s="754"/>
      <c r="M4613" s="1558" t="n">
        <f aca="false">SUM(M4606:M4612)</f>
        <v>313.110232597055</v>
      </c>
    </row>
    <row r="4614" s="122" customFormat="true" ht="15" hidden="false" customHeight="false" outlineLevel="0" collapsed="false">
      <c r="A4614" s="707" t="s">
        <v>2185</v>
      </c>
      <c r="B4614" s="47" t="s">
        <v>3827</v>
      </c>
      <c r="C4614" s="1404" t="s">
        <v>6976</v>
      </c>
      <c r="D4614" s="569" t="n">
        <v>2005</v>
      </c>
      <c r="E4614" s="569" t="n">
        <f aca="false">2021-D4614</f>
        <v>16</v>
      </c>
      <c r="F4614" s="1105" t="n">
        <v>57600</v>
      </c>
      <c r="G4614" s="1444" t="n">
        <v>0.1</v>
      </c>
      <c r="H4614" s="1105" t="n">
        <f aca="false">E4614*F4614*G4614</f>
        <v>92160</v>
      </c>
      <c r="I4614" s="1105" t="n">
        <f aca="false">F4614</f>
        <v>57600</v>
      </c>
      <c r="J4614" s="1105" t="n">
        <f aca="false">F4614*G4614</f>
        <v>5760</v>
      </c>
      <c r="K4614" s="1365" t="n">
        <f aca="false">J4614/1792.8</f>
        <v>3.21285140562249</v>
      </c>
      <c r="L4614" s="1105" t="n">
        <v>300</v>
      </c>
      <c r="M4614" s="865" t="n">
        <f aca="false">K4614*L4614/60</f>
        <v>16.0642570281125</v>
      </c>
    </row>
    <row r="4615" s="122" customFormat="true" ht="15" hidden="false" customHeight="false" outlineLevel="0" collapsed="false">
      <c r="A4615" s="707"/>
      <c r="B4615" s="99"/>
      <c r="C4615" s="1404" t="s">
        <v>7232</v>
      </c>
      <c r="D4615" s="569" t="n">
        <v>2006</v>
      </c>
      <c r="E4615" s="569" t="n">
        <f aca="false">2021-D4615</f>
        <v>15</v>
      </c>
      <c r="F4615" s="1105" t="n">
        <v>442300</v>
      </c>
      <c r="G4615" s="1444" t="n">
        <v>0.1</v>
      </c>
      <c r="H4615" s="1105" t="n">
        <f aca="false">E4615*F4615*G4615</f>
        <v>663450</v>
      </c>
      <c r="I4615" s="1105" t="n">
        <f aca="false">F4615-H4615</f>
        <v>-221150</v>
      </c>
      <c r="J4615" s="1105" t="n">
        <f aca="false">F4615*G4615</f>
        <v>44230</v>
      </c>
      <c r="K4615" s="1365" t="n">
        <f aca="false">J4615/1792.8</f>
        <v>24.6709058456046</v>
      </c>
      <c r="L4615" s="1105" t="n">
        <v>348</v>
      </c>
      <c r="M4615" s="865" t="n">
        <f aca="false">K4615*L4615/60</f>
        <v>143.091253904507</v>
      </c>
    </row>
    <row r="4616" s="122" customFormat="true" ht="15" hidden="false" customHeight="false" outlineLevel="0" collapsed="false">
      <c r="A4616" s="707"/>
      <c r="B4616" s="99"/>
      <c r="C4616" s="1404" t="s">
        <v>7233</v>
      </c>
      <c r="D4616" s="569" t="n">
        <v>2005</v>
      </c>
      <c r="E4616" s="569" t="n">
        <f aca="false">2021-D4616</f>
        <v>16</v>
      </c>
      <c r="F4616" s="1105" t="n">
        <v>132000</v>
      </c>
      <c r="G4616" s="1444" t="n">
        <v>0.1</v>
      </c>
      <c r="H4616" s="1105" t="n">
        <f aca="false">E4616*F4616*G4616</f>
        <v>211200</v>
      </c>
      <c r="I4616" s="1105" t="n">
        <f aca="false">F4616</f>
        <v>132000</v>
      </c>
      <c r="J4616" s="1105" t="n">
        <f aca="false">F4616*G4616</f>
        <v>13200</v>
      </c>
      <c r="K4616" s="1365" t="n">
        <f aca="false">J4616/1792.8</f>
        <v>7.36278447121821</v>
      </c>
      <c r="L4616" s="1105" t="n">
        <v>390</v>
      </c>
      <c r="M4616" s="865" t="n">
        <f aca="false">K4616*L4616/60</f>
        <v>47.8580990629183</v>
      </c>
    </row>
    <row r="4617" s="122" customFormat="true" ht="15" hidden="false" customHeight="false" outlineLevel="0" collapsed="false">
      <c r="A4617" s="707"/>
      <c r="B4617" s="99"/>
      <c r="C4617" s="1404" t="s">
        <v>7234</v>
      </c>
      <c r="D4617" s="569" t="n">
        <v>2007</v>
      </c>
      <c r="E4617" s="569" t="n">
        <f aca="false">2021-D4617</f>
        <v>14</v>
      </c>
      <c r="F4617" s="1105" t="n">
        <v>769804.25</v>
      </c>
      <c r="G4617" s="1444" t="n">
        <v>0.1</v>
      </c>
      <c r="H4617" s="1105" t="n">
        <f aca="false">E4617*F4617*G4617</f>
        <v>1077725.95</v>
      </c>
      <c r="I4617" s="1105" t="n">
        <f aca="false">F4617-H4617</f>
        <v>-307921.7</v>
      </c>
      <c r="J4617" s="1105" t="n">
        <f aca="false">F4617*G4617</f>
        <v>76980.425</v>
      </c>
      <c r="K4617" s="1365" t="n">
        <f aca="false">J4617/1792.8</f>
        <v>42.9386574074074</v>
      </c>
      <c r="L4617" s="1105" t="n">
        <v>60</v>
      </c>
      <c r="M4617" s="865" t="n">
        <f aca="false">K4617*L4617/60</f>
        <v>42.9386574074074</v>
      </c>
    </row>
    <row r="4618" s="122" customFormat="true" ht="15" hidden="false" customHeight="false" outlineLevel="0" collapsed="false">
      <c r="A4618" s="707"/>
      <c r="B4618" s="99"/>
      <c r="C4618" s="1404" t="s">
        <v>7235</v>
      </c>
      <c r="D4618" s="569" t="n">
        <v>2009</v>
      </c>
      <c r="E4618" s="569" t="n">
        <f aca="false">2021-D4618</f>
        <v>12</v>
      </c>
      <c r="F4618" s="1105" t="n">
        <v>797040</v>
      </c>
      <c r="G4618" s="1444" t="n">
        <v>0.1</v>
      </c>
      <c r="H4618" s="1105" t="n">
        <f aca="false">E4618*F4618*G4618</f>
        <v>956448</v>
      </c>
      <c r="I4618" s="1105" t="n">
        <f aca="false">F4618-H4618</f>
        <v>-159408</v>
      </c>
      <c r="J4618" s="1105" t="n">
        <f aca="false">F4618*G4618</f>
        <v>79704</v>
      </c>
      <c r="K4618" s="1365" t="n">
        <f aca="false">J4618/1792.8</f>
        <v>44.4578313253012</v>
      </c>
      <c r="L4618" s="1105" t="n">
        <v>2</v>
      </c>
      <c r="M4618" s="865" t="n">
        <f aca="false">K4618*L4618/60</f>
        <v>1.48192771084337</v>
      </c>
    </row>
    <row r="4619" s="122" customFormat="true" ht="15" hidden="false" customHeight="false" outlineLevel="0" collapsed="false">
      <c r="A4619" s="707"/>
      <c r="B4619" s="99"/>
      <c r="C4619" s="1404" t="s">
        <v>6978</v>
      </c>
      <c r="D4619" s="569" t="n">
        <v>2005</v>
      </c>
      <c r="E4619" s="569" t="n">
        <f aca="false">2021-D4619</f>
        <v>16</v>
      </c>
      <c r="F4619" s="1105" t="n">
        <v>132000</v>
      </c>
      <c r="G4619" s="1444" t="n">
        <v>0.1</v>
      </c>
      <c r="H4619" s="1105" t="n">
        <f aca="false">E4619*F4619*G4619</f>
        <v>211200</v>
      </c>
      <c r="I4619" s="1105" t="n">
        <f aca="false">F4619</f>
        <v>132000</v>
      </c>
      <c r="J4619" s="1105" t="n">
        <f aca="false">F4619*G4619</f>
        <v>13200</v>
      </c>
      <c r="K4619" s="1365" t="n">
        <f aca="false">J4619/1792.8</f>
        <v>7.36278447121821</v>
      </c>
      <c r="L4619" s="1105" t="n">
        <v>60</v>
      </c>
      <c r="M4619" s="865" t="n">
        <f aca="false">K4619*L4619/60</f>
        <v>7.36278447121821</v>
      </c>
    </row>
    <row r="4620" s="122" customFormat="true" ht="15" hidden="false" customHeight="false" outlineLevel="0" collapsed="false">
      <c r="A4620" s="707"/>
      <c r="B4620" s="99"/>
      <c r="C4620" s="1404" t="s">
        <v>7236</v>
      </c>
      <c r="D4620" s="569" t="n">
        <v>2006</v>
      </c>
      <c r="E4620" s="569" t="n">
        <f aca="false">2021-D4620</f>
        <v>15</v>
      </c>
      <c r="F4620" s="1105" t="n">
        <v>40572</v>
      </c>
      <c r="G4620" s="1444" t="n">
        <v>0.1</v>
      </c>
      <c r="H4620" s="1105" t="n">
        <f aca="false">E4620*F4620*G4620</f>
        <v>60858</v>
      </c>
      <c r="I4620" s="1105" t="n">
        <f aca="false">F4620-H4620</f>
        <v>-20286</v>
      </c>
      <c r="J4620" s="1105" t="n">
        <f aca="false">F4620*G4620</f>
        <v>4057.2</v>
      </c>
      <c r="K4620" s="1365" t="n">
        <f aca="false">J4620/1792.8</f>
        <v>2.26305220883534</v>
      </c>
      <c r="L4620" s="1105" t="n">
        <v>1440</v>
      </c>
      <c r="M4620" s="865" t="n">
        <f aca="false">K4620*L4620/60</f>
        <v>54.3132530120482</v>
      </c>
    </row>
    <row r="4621" s="122" customFormat="true" ht="15" hidden="false" customHeight="false" outlineLevel="0" collapsed="false">
      <c r="A4621" s="707"/>
      <c r="B4621" s="1557" t="s">
        <v>4128</v>
      </c>
      <c r="C4621" s="1404"/>
      <c r="D4621" s="569"/>
      <c r="E4621" s="569"/>
      <c r="F4621" s="1105"/>
      <c r="G4621" s="1444"/>
      <c r="H4621" s="1105"/>
      <c r="I4621" s="1105"/>
      <c r="J4621" s="1105"/>
      <c r="K4621" s="1365" t="n">
        <f aca="false">J4621/1792.8</f>
        <v>0</v>
      </c>
      <c r="L4621" s="754"/>
      <c r="M4621" s="1558" t="n">
        <f aca="false">SUM(M4614:M4620)</f>
        <v>313.110232597055</v>
      </c>
    </row>
    <row r="4622" s="122" customFormat="true" ht="15" hidden="false" customHeight="false" outlineLevel="0" collapsed="false">
      <c r="A4622" s="707" t="s">
        <v>2187</v>
      </c>
      <c r="B4622" s="47" t="s">
        <v>3828</v>
      </c>
      <c r="C4622" s="1404" t="s">
        <v>6976</v>
      </c>
      <c r="D4622" s="569" t="n">
        <v>2005</v>
      </c>
      <c r="E4622" s="569" t="n">
        <f aca="false">2021-D4622</f>
        <v>16</v>
      </c>
      <c r="F4622" s="1105" t="n">
        <v>57600</v>
      </c>
      <c r="G4622" s="1444" t="n">
        <v>0.1</v>
      </c>
      <c r="H4622" s="1105" t="n">
        <f aca="false">E4622*F4622*G4622</f>
        <v>92160</v>
      </c>
      <c r="I4622" s="1105" t="n">
        <f aca="false">F4622</f>
        <v>57600</v>
      </c>
      <c r="J4622" s="1105" t="n">
        <f aca="false">F4622*G4622</f>
        <v>5760</v>
      </c>
      <c r="K4622" s="1365" t="n">
        <f aca="false">J4622/1792.8</f>
        <v>3.21285140562249</v>
      </c>
      <c r="L4622" s="1105" t="n">
        <v>300</v>
      </c>
      <c r="M4622" s="865" t="n">
        <f aca="false">K4622*L4622/60</f>
        <v>16.0642570281125</v>
      </c>
    </row>
    <row r="4623" s="122" customFormat="true" ht="15" hidden="false" customHeight="false" outlineLevel="0" collapsed="false">
      <c r="A4623" s="707"/>
      <c r="B4623" s="99"/>
      <c r="C4623" s="1404" t="s">
        <v>7232</v>
      </c>
      <c r="D4623" s="569" t="n">
        <v>2006</v>
      </c>
      <c r="E4623" s="569" t="n">
        <f aca="false">2021-D4623</f>
        <v>15</v>
      </c>
      <c r="F4623" s="1105" t="n">
        <v>442300</v>
      </c>
      <c r="G4623" s="1444" t="n">
        <v>0.1</v>
      </c>
      <c r="H4623" s="1105" t="n">
        <f aca="false">E4623*F4623*G4623</f>
        <v>663450</v>
      </c>
      <c r="I4623" s="1105" t="n">
        <f aca="false">F4623-H4623</f>
        <v>-221150</v>
      </c>
      <c r="J4623" s="1105" t="n">
        <f aca="false">F4623*G4623</f>
        <v>44230</v>
      </c>
      <c r="K4623" s="1365" t="n">
        <f aca="false">J4623/1792.8</f>
        <v>24.6709058456046</v>
      </c>
      <c r="L4623" s="1105" t="n">
        <v>348</v>
      </c>
      <c r="M4623" s="865" t="n">
        <f aca="false">K4623*L4623/60</f>
        <v>143.091253904507</v>
      </c>
    </row>
    <row r="4624" s="122" customFormat="true" ht="15" hidden="false" customHeight="false" outlineLevel="0" collapsed="false">
      <c r="A4624" s="707"/>
      <c r="B4624" s="99"/>
      <c r="C4624" s="1404" t="s">
        <v>7233</v>
      </c>
      <c r="D4624" s="569" t="n">
        <v>2005</v>
      </c>
      <c r="E4624" s="569" t="n">
        <f aca="false">2021-D4624</f>
        <v>16</v>
      </c>
      <c r="F4624" s="1105" t="n">
        <v>132000</v>
      </c>
      <c r="G4624" s="1444" t="n">
        <v>0.1</v>
      </c>
      <c r="H4624" s="1105" t="n">
        <f aca="false">E4624*F4624*G4624</f>
        <v>211200</v>
      </c>
      <c r="I4624" s="1105" t="n">
        <f aca="false">F4624</f>
        <v>132000</v>
      </c>
      <c r="J4624" s="1105" t="n">
        <f aca="false">F4624*G4624</f>
        <v>13200</v>
      </c>
      <c r="K4624" s="1365" t="n">
        <f aca="false">J4624/1792.8</f>
        <v>7.36278447121821</v>
      </c>
      <c r="L4624" s="1105" t="n">
        <v>390</v>
      </c>
      <c r="M4624" s="865" t="n">
        <f aca="false">K4624*L4624/60</f>
        <v>47.8580990629183</v>
      </c>
    </row>
    <row r="4625" s="122" customFormat="true" ht="15" hidden="false" customHeight="false" outlineLevel="0" collapsed="false">
      <c r="A4625" s="707"/>
      <c r="B4625" s="99"/>
      <c r="C4625" s="1404" t="s">
        <v>7234</v>
      </c>
      <c r="D4625" s="569" t="n">
        <v>2007</v>
      </c>
      <c r="E4625" s="569" t="n">
        <f aca="false">2021-D4625</f>
        <v>14</v>
      </c>
      <c r="F4625" s="1105" t="n">
        <v>769804.25</v>
      </c>
      <c r="G4625" s="1444" t="n">
        <v>0.1</v>
      </c>
      <c r="H4625" s="1105" t="n">
        <f aca="false">E4625*F4625*G4625</f>
        <v>1077725.95</v>
      </c>
      <c r="I4625" s="1105" t="n">
        <f aca="false">F4625-H4625</f>
        <v>-307921.7</v>
      </c>
      <c r="J4625" s="1105" t="n">
        <f aca="false">F4625*G4625</f>
        <v>76980.425</v>
      </c>
      <c r="K4625" s="1365" t="n">
        <f aca="false">J4625/1792.8</f>
        <v>42.9386574074074</v>
      </c>
      <c r="L4625" s="1105" t="n">
        <v>60</v>
      </c>
      <c r="M4625" s="865" t="n">
        <f aca="false">K4625*L4625/60</f>
        <v>42.9386574074074</v>
      </c>
    </row>
    <row r="4626" s="122" customFormat="true" ht="15" hidden="false" customHeight="false" outlineLevel="0" collapsed="false">
      <c r="A4626" s="707"/>
      <c r="B4626" s="99"/>
      <c r="C4626" s="1404" t="s">
        <v>7235</v>
      </c>
      <c r="D4626" s="569" t="n">
        <v>2009</v>
      </c>
      <c r="E4626" s="569" t="n">
        <f aca="false">2021-D4626</f>
        <v>12</v>
      </c>
      <c r="F4626" s="1105" t="n">
        <v>797040</v>
      </c>
      <c r="G4626" s="1444" t="n">
        <v>0.1</v>
      </c>
      <c r="H4626" s="1105" t="n">
        <f aca="false">E4626*F4626*G4626</f>
        <v>956448</v>
      </c>
      <c r="I4626" s="1105" t="n">
        <f aca="false">F4626-H4626</f>
        <v>-159408</v>
      </c>
      <c r="J4626" s="1105" t="n">
        <f aca="false">F4626*G4626</f>
        <v>79704</v>
      </c>
      <c r="K4626" s="1365" t="n">
        <f aca="false">J4626/1792.8</f>
        <v>44.4578313253012</v>
      </c>
      <c r="L4626" s="1105" t="n">
        <v>2</v>
      </c>
      <c r="M4626" s="865" t="n">
        <f aca="false">K4626*L4626/60</f>
        <v>1.48192771084337</v>
      </c>
    </row>
    <row r="4627" s="122" customFormat="true" ht="15" hidden="false" customHeight="false" outlineLevel="0" collapsed="false">
      <c r="A4627" s="707"/>
      <c r="B4627" s="99"/>
      <c r="C4627" s="1404" t="s">
        <v>6978</v>
      </c>
      <c r="D4627" s="569" t="n">
        <v>2005</v>
      </c>
      <c r="E4627" s="569" t="n">
        <f aca="false">2021-D4627</f>
        <v>16</v>
      </c>
      <c r="F4627" s="1105" t="n">
        <v>132000</v>
      </c>
      <c r="G4627" s="1444" t="n">
        <v>0.1</v>
      </c>
      <c r="H4627" s="1105" t="n">
        <f aca="false">E4627*F4627*G4627</f>
        <v>211200</v>
      </c>
      <c r="I4627" s="1105" t="n">
        <f aca="false">F4627</f>
        <v>132000</v>
      </c>
      <c r="J4627" s="1105" t="n">
        <f aca="false">F4627*G4627</f>
        <v>13200</v>
      </c>
      <c r="K4627" s="1365" t="n">
        <f aca="false">J4627/1792.8</f>
        <v>7.36278447121821</v>
      </c>
      <c r="L4627" s="754"/>
      <c r="M4627" s="865" t="n">
        <f aca="false">K4627*L4627/60</f>
        <v>0</v>
      </c>
    </row>
    <row r="4628" s="122" customFormat="true" ht="15" hidden="false" customHeight="false" outlineLevel="0" collapsed="false">
      <c r="A4628" s="707"/>
      <c r="B4628" s="99"/>
      <c r="C4628" s="1404" t="s">
        <v>7236</v>
      </c>
      <c r="D4628" s="569" t="n">
        <v>2006</v>
      </c>
      <c r="E4628" s="569" t="n">
        <f aca="false">2021-D4628</f>
        <v>15</v>
      </c>
      <c r="F4628" s="1105" t="n">
        <v>40572</v>
      </c>
      <c r="G4628" s="1444" t="n">
        <v>0.1</v>
      </c>
      <c r="H4628" s="1105" t="n">
        <f aca="false">E4628*F4628*G4628</f>
        <v>60858</v>
      </c>
      <c r="I4628" s="1105" t="n">
        <f aca="false">F4628-H4628</f>
        <v>-20286</v>
      </c>
      <c r="J4628" s="1105" t="n">
        <f aca="false">F4628*G4628</f>
        <v>4057.2</v>
      </c>
      <c r="K4628" s="1365" t="n">
        <f aca="false">J4628/1792.8</f>
        <v>2.26305220883534</v>
      </c>
      <c r="L4628" s="1105" t="n">
        <v>1440</v>
      </c>
      <c r="M4628" s="865" t="n">
        <f aca="false">K4628*L4628/60</f>
        <v>54.3132530120482</v>
      </c>
    </row>
    <row r="4629" s="122" customFormat="true" ht="15" hidden="false" customHeight="false" outlineLevel="0" collapsed="false">
      <c r="A4629" s="707"/>
      <c r="B4629" s="1557" t="s">
        <v>4128</v>
      </c>
      <c r="C4629" s="1404"/>
      <c r="D4629" s="569"/>
      <c r="E4629" s="569"/>
      <c r="F4629" s="1105"/>
      <c r="G4629" s="1444"/>
      <c r="H4629" s="1105"/>
      <c r="I4629" s="1105"/>
      <c r="J4629" s="1105"/>
      <c r="K4629" s="1365" t="n">
        <f aca="false">J4629/1792.8</f>
        <v>0</v>
      </c>
      <c r="L4629" s="754"/>
      <c r="M4629" s="1558" t="n">
        <f aca="false">SUM(M4622:M4628)</f>
        <v>305.747448125837</v>
      </c>
    </row>
    <row r="4630" s="122" customFormat="true" ht="15" hidden="false" customHeight="false" outlineLevel="0" collapsed="false">
      <c r="A4630" s="707" t="s">
        <v>2189</v>
      </c>
      <c r="B4630" s="47" t="s">
        <v>3829</v>
      </c>
      <c r="C4630" s="1404" t="s">
        <v>6976</v>
      </c>
      <c r="D4630" s="569" t="n">
        <v>2005</v>
      </c>
      <c r="E4630" s="569" t="n">
        <f aca="false">2021-D4630</f>
        <v>16</v>
      </c>
      <c r="F4630" s="1105" t="n">
        <v>57600</v>
      </c>
      <c r="G4630" s="1444" t="n">
        <v>0.1</v>
      </c>
      <c r="H4630" s="1105" t="n">
        <f aca="false">E4630*F4630*G4630</f>
        <v>92160</v>
      </c>
      <c r="I4630" s="1105" t="n">
        <f aca="false">F4630</f>
        <v>57600</v>
      </c>
      <c r="J4630" s="1105" t="n">
        <f aca="false">F4630*G4630</f>
        <v>5760</v>
      </c>
      <c r="K4630" s="1365" t="n">
        <f aca="false">J4630/1792.8</f>
        <v>3.21285140562249</v>
      </c>
      <c r="L4630" s="1105" t="n">
        <v>300</v>
      </c>
      <c r="M4630" s="865" t="n">
        <f aca="false">K4630*L4630/60</f>
        <v>16.0642570281125</v>
      </c>
    </row>
    <row r="4631" s="122" customFormat="true" ht="15" hidden="false" customHeight="false" outlineLevel="0" collapsed="false">
      <c r="A4631" s="707"/>
      <c r="B4631" s="99"/>
      <c r="C4631" s="1404" t="s">
        <v>7232</v>
      </c>
      <c r="D4631" s="569" t="n">
        <v>2006</v>
      </c>
      <c r="E4631" s="569" t="n">
        <f aca="false">2021-D4631</f>
        <v>15</v>
      </c>
      <c r="F4631" s="1105" t="n">
        <v>442300</v>
      </c>
      <c r="G4631" s="1444" t="n">
        <v>0.1</v>
      </c>
      <c r="H4631" s="1105" t="n">
        <f aca="false">E4631*F4631*G4631</f>
        <v>663450</v>
      </c>
      <c r="I4631" s="1105" t="n">
        <f aca="false">F4631-H4631</f>
        <v>-221150</v>
      </c>
      <c r="J4631" s="1105" t="n">
        <f aca="false">F4631*G4631</f>
        <v>44230</v>
      </c>
      <c r="K4631" s="1365" t="n">
        <f aca="false">J4631/1792.8</f>
        <v>24.6709058456046</v>
      </c>
      <c r="L4631" s="1105" t="n">
        <v>348</v>
      </c>
      <c r="M4631" s="865" t="n">
        <f aca="false">K4631*L4631/60</f>
        <v>143.091253904507</v>
      </c>
    </row>
    <row r="4632" s="122" customFormat="true" ht="15" hidden="false" customHeight="false" outlineLevel="0" collapsed="false">
      <c r="A4632" s="707"/>
      <c r="B4632" s="99"/>
      <c r="C4632" s="1404" t="s">
        <v>7233</v>
      </c>
      <c r="D4632" s="569" t="n">
        <v>2005</v>
      </c>
      <c r="E4632" s="569" t="n">
        <f aca="false">2021-D4632</f>
        <v>16</v>
      </c>
      <c r="F4632" s="1105" t="n">
        <v>132000</v>
      </c>
      <c r="G4632" s="1444" t="n">
        <v>0.1</v>
      </c>
      <c r="H4632" s="1105" t="n">
        <f aca="false">E4632*F4632*G4632</f>
        <v>211200</v>
      </c>
      <c r="I4632" s="1105" t="n">
        <f aca="false">F4632</f>
        <v>132000</v>
      </c>
      <c r="J4632" s="1105" t="n">
        <f aca="false">F4632*G4632</f>
        <v>13200</v>
      </c>
      <c r="K4632" s="1365" t="n">
        <f aca="false">J4632/1792.8</f>
        <v>7.36278447121821</v>
      </c>
      <c r="L4632" s="1105" t="n">
        <v>390</v>
      </c>
      <c r="M4632" s="865" t="n">
        <f aca="false">K4632*L4632/60</f>
        <v>47.8580990629183</v>
      </c>
    </row>
    <row r="4633" s="122" customFormat="true" ht="15" hidden="false" customHeight="false" outlineLevel="0" collapsed="false">
      <c r="A4633" s="707"/>
      <c r="B4633" s="99"/>
      <c r="C4633" s="1404" t="s">
        <v>7234</v>
      </c>
      <c r="D4633" s="569" t="n">
        <v>2007</v>
      </c>
      <c r="E4633" s="569" t="n">
        <f aca="false">2021-D4633</f>
        <v>14</v>
      </c>
      <c r="F4633" s="1105" t="n">
        <v>769804.25</v>
      </c>
      <c r="G4633" s="1444" t="n">
        <v>0.1</v>
      </c>
      <c r="H4633" s="1105" t="n">
        <f aca="false">E4633*F4633*G4633</f>
        <v>1077725.95</v>
      </c>
      <c r="I4633" s="1105" t="n">
        <f aca="false">F4633-H4633</f>
        <v>-307921.7</v>
      </c>
      <c r="J4633" s="1105" t="n">
        <f aca="false">F4633*G4633</f>
        <v>76980.425</v>
      </c>
      <c r="K4633" s="1365" t="n">
        <f aca="false">J4633/1792.8</f>
        <v>42.9386574074074</v>
      </c>
      <c r="L4633" s="1105" t="n">
        <v>60</v>
      </c>
      <c r="M4633" s="865" t="n">
        <f aca="false">K4633*L4633/60</f>
        <v>42.9386574074074</v>
      </c>
    </row>
    <row r="4634" s="122" customFormat="true" ht="15" hidden="false" customHeight="false" outlineLevel="0" collapsed="false">
      <c r="A4634" s="707"/>
      <c r="B4634" s="99"/>
      <c r="C4634" s="1404" t="s">
        <v>7235</v>
      </c>
      <c r="D4634" s="569" t="n">
        <v>2009</v>
      </c>
      <c r="E4634" s="569" t="n">
        <f aca="false">2021-D4634</f>
        <v>12</v>
      </c>
      <c r="F4634" s="1105" t="n">
        <v>797040</v>
      </c>
      <c r="G4634" s="1444" t="n">
        <v>0.1</v>
      </c>
      <c r="H4634" s="1105" t="n">
        <f aca="false">E4634*F4634*G4634</f>
        <v>956448</v>
      </c>
      <c r="I4634" s="1105" t="n">
        <f aca="false">F4634-H4634</f>
        <v>-159408</v>
      </c>
      <c r="J4634" s="1105" t="n">
        <f aca="false">F4634*G4634</f>
        <v>79704</v>
      </c>
      <c r="K4634" s="1365" t="n">
        <f aca="false">J4634/1792.8</f>
        <v>44.4578313253012</v>
      </c>
      <c r="L4634" s="1105" t="n">
        <v>2</v>
      </c>
      <c r="M4634" s="865" t="n">
        <f aca="false">K4634*L4634/60</f>
        <v>1.48192771084337</v>
      </c>
    </row>
    <row r="4635" s="122" customFormat="true" ht="15" hidden="false" customHeight="false" outlineLevel="0" collapsed="false">
      <c r="A4635" s="707"/>
      <c r="B4635" s="99"/>
      <c r="C4635" s="1404" t="s">
        <v>6978</v>
      </c>
      <c r="D4635" s="569" t="n">
        <v>2005</v>
      </c>
      <c r="E4635" s="569" t="n">
        <f aca="false">2021-D4635</f>
        <v>16</v>
      </c>
      <c r="F4635" s="1105" t="n">
        <v>132000</v>
      </c>
      <c r="G4635" s="1444" t="n">
        <v>0.1</v>
      </c>
      <c r="H4635" s="1105" t="n">
        <f aca="false">E4635*F4635*G4635</f>
        <v>211200</v>
      </c>
      <c r="I4635" s="1105" t="n">
        <f aca="false">F4635</f>
        <v>132000</v>
      </c>
      <c r="J4635" s="1105" t="n">
        <f aca="false">F4635*G4635</f>
        <v>13200</v>
      </c>
      <c r="K4635" s="1365" t="n">
        <f aca="false">J4635/1792.8</f>
        <v>7.36278447121821</v>
      </c>
      <c r="L4635" s="1105" t="n">
        <v>60</v>
      </c>
      <c r="M4635" s="865" t="n">
        <f aca="false">K4635*L4635/60</f>
        <v>7.36278447121821</v>
      </c>
    </row>
    <row r="4636" s="122" customFormat="true" ht="15" hidden="false" customHeight="false" outlineLevel="0" collapsed="false">
      <c r="A4636" s="707"/>
      <c r="B4636" s="99"/>
      <c r="C4636" s="1404" t="s">
        <v>7236</v>
      </c>
      <c r="D4636" s="569" t="n">
        <v>2006</v>
      </c>
      <c r="E4636" s="569" t="n">
        <f aca="false">2021-D4636</f>
        <v>15</v>
      </c>
      <c r="F4636" s="1105" t="n">
        <v>40572</v>
      </c>
      <c r="G4636" s="1444" t="n">
        <v>0.1</v>
      </c>
      <c r="H4636" s="1105" t="n">
        <f aca="false">E4636*F4636*G4636</f>
        <v>60858</v>
      </c>
      <c r="I4636" s="1105" t="n">
        <f aca="false">F4636-H4636</f>
        <v>-20286</v>
      </c>
      <c r="J4636" s="1105" t="n">
        <f aca="false">F4636*G4636</f>
        <v>4057.2</v>
      </c>
      <c r="K4636" s="1365" t="n">
        <f aca="false">J4636/1792.8</f>
        <v>2.26305220883534</v>
      </c>
      <c r="L4636" s="1105" t="n">
        <v>1440</v>
      </c>
      <c r="M4636" s="865" t="n">
        <f aca="false">K4636*L4636/60</f>
        <v>54.3132530120482</v>
      </c>
    </row>
    <row r="4637" s="122" customFormat="true" ht="15" hidden="false" customHeight="false" outlineLevel="0" collapsed="false">
      <c r="A4637" s="707"/>
      <c r="B4637" s="1557" t="s">
        <v>4128</v>
      </c>
      <c r="C4637" s="1404"/>
      <c r="D4637" s="569"/>
      <c r="E4637" s="569"/>
      <c r="F4637" s="1105"/>
      <c r="G4637" s="1444"/>
      <c r="H4637" s="1105"/>
      <c r="I4637" s="1105"/>
      <c r="J4637" s="1105"/>
      <c r="K4637" s="1365" t="n">
        <f aca="false">J4637/1792.8</f>
        <v>0</v>
      </c>
      <c r="L4637" s="754"/>
      <c r="M4637" s="1558" t="n">
        <f aca="false">SUM(M4630:M4636)</f>
        <v>313.110232597055</v>
      </c>
    </row>
    <row r="4638" s="122" customFormat="true" ht="15" hidden="false" customHeight="false" outlineLevel="0" collapsed="false">
      <c r="A4638" s="707" t="s">
        <v>2191</v>
      </c>
      <c r="B4638" s="47" t="s">
        <v>3830</v>
      </c>
      <c r="C4638" s="1404" t="s">
        <v>6976</v>
      </c>
      <c r="D4638" s="569" t="n">
        <v>2005</v>
      </c>
      <c r="E4638" s="569" t="n">
        <f aca="false">2021-D4638</f>
        <v>16</v>
      </c>
      <c r="F4638" s="1105" t="n">
        <v>57600</v>
      </c>
      <c r="G4638" s="1444" t="n">
        <v>0.1</v>
      </c>
      <c r="H4638" s="1105" t="n">
        <f aca="false">E4638*F4638*G4638</f>
        <v>92160</v>
      </c>
      <c r="I4638" s="1105" t="n">
        <f aca="false">F4638</f>
        <v>57600</v>
      </c>
      <c r="J4638" s="1105" t="n">
        <f aca="false">F4638*G4638</f>
        <v>5760</v>
      </c>
      <c r="K4638" s="1365" t="n">
        <f aca="false">J4638/1792.8</f>
        <v>3.21285140562249</v>
      </c>
      <c r="L4638" s="1105" t="n">
        <v>300</v>
      </c>
      <c r="M4638" s="865" t="n">
        <f aca="false">K4638*L4638/60</f>
        <v>16.0642570281125</v>
      </c>
    </row>
    <row r="4639" s="122" customFormat="true" ht="15" hidden="false" customHeight="false" outlineLevel="0" collapsed="false">
      <c r="A4639" s="707"/>
      <c r="B4639" s="99"/>
      <c r="C4639" s="1404" t="s">
        <v>7232</v>
      </c>
      <c r="D4639" s="569" t="n">
        <v>2006</v>
      </c>
      <c r="E4639" s="569" t="n">
        <f aca="false">2021-D4639</f>
        <v>15</v>
      </c>
      <c r="F4639" s="1105" t="n">
        <v>442300</v>
      </c>
      <c r="G4639" s="1444" t="n">
        <v>0.1</v>
      </c>
      <c r="H4639" s="1105" t="n">
        <f aca="false">E4639*F4639*G4639</f>
        <v>663450</v>
      </c>
      <c r="I4639" s="1105" t="n">
        <f aca="false">F4639-H4639</f>
        <v>-221150</v>
      </c>
      <c r="J4639" s="1105" t="n">
        <f aca="false">F4639*G4639</f>
        <v>44230</v>
      </c>
      <c r="K4639" s="1365" t="n">
        <f aca="false">J4639/1792.8</f>
        <v>24.6709058456046</v>
      </c>
      <c r="L4639" s="1105" t="n">
        <v>348</v>
      </c>
      <c r="M4639" s="865" t="n">
        <f aca="false">K4639*L4639/60</f>
        <v>143.091253904507</v>
      </c>
    </row>
    <row r="4640" s="122" customFormat="true" ht="15" hidden="false" customHeight="false" outlineLevel="0" collapsed="false">
      <c r="A4640" s="707"/>
      <c r="B4640" s="99"/>
      <c r="C4640" s="1404" t="s">
        <v>7233</v>
      </c>
      <c r="D4640" s="569" t="n">
        <v>2005</v>
      </c>
      <c r="E4640" s="569" t="n">
        <f aca="false">2021-D4640</f>
        <v>16</v>
      </c>
      <c r="F4640" s="1105" t="n">
        <v>132000</v>
      </c>
      <c r="G4640" s="1444" t="n">
        <v>0.1</v>
      </c>
      <c r="H4640" s="1105" t="n">
        <f aca="false">E4640*F4640*G4640</f>
        <v>211200</v>
      </c>
      <c r="I4640" s="1105" t="n">
        <f aca="false">F4640</f>
        <v>132000</v>
      </c>
      <c r="J4640" s="1105" t="n">
        <f aca="false">F4640*G4640</f>
        <v>13200</v>
      </c>
      <c r="K4640" s="1365" t="n">
        <f aca="false">J4640/1792.8</f>
        <v>7.36278447121821</v>
      </c>
      <c r="L4640" s="1105" t="n">
        <v>390</v>
      </c>
      <c r="M4640" s="865" t="n">
        <f aca="false">K4640*L4640/60</f>
        <v>47.8580990629183</v>
      </c>
    </row>
    <row r="4641" s="122" customFormat="true" ht="15" hidden="false" customHeight="false" outlineLevel="0" collapsed="false">
      <c r="A4641" s="707"/>
      <c r="B4641" s="99"/>
      <c r="C4641" s="1404" t="s">
        <v>7234</v>
      </c>
      <c r="D4641" s="569" t="n">
        <v>2007</v>
      </c>
      <c r="E4641" s="569" t="n">
        <f aca="false">2021-D4641</f>
        <v>14</v>
      </c>
      <c r="F4641" s="1105" t="n">
        <v>769804.25</v>
      </c>
      <c r="G4641" s="1444" t="n">
        <v>0.1</v>
      </c>
      <c r="H4641" s="1105" t="n">
        <f aca="false">E4641*F4641*G4641</f>
        <v>1077725.95</v>
      </c>
      <c r="I4641" s="1105" t="n">
        <f aca="false">F4641-H4641</f>
        <v>-307921.7</v>
      </c>
      <c r="J4641" s="1105" t="n">
        <f aca="false">F4641*G4641</f>
        <v>76980.425</v>
      </c>
      <c r="K4641" s="1365" t="n">
        <f aca="false">J4641/1792.8</f>
        <v>42.9386574074074</v>
      </c>
      <c r="L4641" s="1105" t="n">
        <v>60</v>
      </c>
      <c r="M4641" s="865" t="n">
        <f aca="false">K4641*L4641/60</f>
        <v>42.9386574074074</v>
      </c>
    </row>
    <row r="4642" s="122" customFormat="true" ht="15" hidden="false" customHeight="false" outlineLevel="0" collapsed="false">
      <c r="A4642" s="707"/>
      <c r="B4642" s="99"/>
      <c r="C4642" s="1404" t="s">
        <v>7235</v>
      </c>
      <c r="D4642" s="569" t="n">
        <v>2009</v>
      </c>
      <c r="E4642" s="569" t="n">
        <f aca="false">2021-D4642</f>
        <v>12</v>
      </c>
      <c r="F4642" s="1105" t="n">
        <v>797040</v>
      </c>
      <c r="G4642" s="1444" t="n">
        <v>0.1</v>
      </c>
      <c r="H4642" s="1105" t="n">
        <f aca="false">E4642*F4642*G4642</f>
        <v>956448</v>
      </c>
      <c r="I4642" s="1105" t="n">
        <f aca="false">F4642-H4642</f>
        <v>-159408</v>
      </c>
      <c r="J4642" s="1105" t="n">
        <f aca="false">F4642*G4642</f>
        <v>79704</v>
      </c>
      <c r="K4642" s="1365" t="n">
        <f aca="false">J4642/1792.8</f>
        <v>44.4578313253012</v>
      </c>
      <c r="L4642" s="1105" t="n">
        <v>2</v>
      </c>
      <c r="M4642" s="865" t="n">
        <f aca="false">K4642*L4642/60</f>
        <v>1.48192771084337</v>
      </c>
    </row>
    <row r="4643" s="122" customFormat="true" ht="15" hidden="false" customHeight="false" outlineLevel="0" collapsed="false">
      <c r="A4643" s="707"/>
      <c r="B4643" s="99"/>
      <c r="C4643" s="1404" t="s">
        <v>6978</v>
      </c>
      <c r="D4643" s="569" t="n">
        <v>2005</v>
      </c>
      <c r="E4643" s="569" t="n">
        <f aca="false">2021-D4643</f>
        <v>16</v>
      </c>
      <c r="F4643" s="1105" t="n">
        <v>132000</v>
      </c>
      <c r="G4643" s="1444" t="n">
        <v>0.1</v>
      </c>
      <c r="H4643" s="1105" t="n">
        <f aca="false">E4643*F4643*G4643</f>
        <v>211200</v>
      </c>
      <c r="I4643" s="1105" t="n">
        <f aca="false">F4643</f>
        <v>132000</v>
      </c>
      <c r="J4643" s="1105" t="n">
        <f aca="false">F4643*G4643</f>
        <v>13200</v>
      </c>
      <c r="K4643" s="1365" t="n">
        <f aca="false">J4643/1792.8</f>
        <v>7.36278447121821</v>
      </c>
      <c r="L4643" s="1105" t="n">
        <v>60</v>
      </c>
      <c r="M4643" s="865" t="n">
        <f aca="false">K4643*L4643/60</f>
        <v>7.36278447121821</v>
      </c>
    </row>
    <row r="4644" s="122" customFormat="true" ht="15" hidden="false" customHeight="false" outlineLevel="0" collapsed="false">
      <c r="A4644" s="707"/>
      <c r="B4644" s="99"/>
      <c r="C4644" s="1404" t="s">
        <v>7236</v>
      </c>
      <c r="D4644" s="569" t="n">
        <v>2006</v>
      </c>
      <c r="E4644" s="569" t="n">
        <f aca="false">2021-D4644</f>
        <v>15</v>
      </c>
      <c r="F4644" s="1105" t="n">
        <v>40572</v>
      </c>
      <c r="G4644" s="1444" t="n">
        <v>0.1</v>
      </c>
      <c r="H4644" s="1105" t="n">
        <f aca="false">E4644*F4644*G4644</f>
        <v>60858</v>
      </c>
      <c r="I4644" s="1105" t="n">
        <f aca="false">F4644-H4644</f>
        <v>-20286</v>
      </c>
      <c r="J4644" s="1105" t="n">
        <f aca="false">F4644*G4644</f>
        <v>4057.2</v>
      </c>
      <c r="K4644" s="1365" t="n">
        <f aca="false">J4644/1792.8</f>
        <v>2.26305220883534</v>
      </c>
      <c r="L4644" s="1105" t="n">
        <v>1440</v>
      </c>
      <c r="M4644" s="865" t="n">
        <f aca="false">K4644*L4644/60</f>
        <v>54.3132530120482</v>
      </c>
    </row>
    <row r="4645" s="122" customFormat="true" ht="15" hidden="false" customHeight="false" outlineLevel="0" collapsed="false">
      <c r="A4645" s="707"/>
      <c r="B4645" s="1557" t="s">
        <v>4128</v>
      </c>
      <c r="C4645" s="1404"/>
      <c r="D4645" s="569"/>
      <c r="E4645" s="569"/>
      <c r="F4645" s="1105"/>
      <c r="G4645" s="1444"/>
      <c r="H4645" s="1105"/>
      <c r="I4645" s="1105"/>
      <c r="J4645" s="1105"/>
      <c r="K4645" s="1365" t="n">
        <f aca="false">J4645/1792.8</f>
        <v>0</v>
      </c>
      <c r="L4645" s="1105"/>
      <c r="M4645" s="1558" t="n">
        <f aca="false">SUM(M4638:M4644)</f>
        <v>313.110232597055</v>
      </c>
    </row>
    <row r="4646" s="122" customFormat="true" ht="15" hidden="false" customHeight="false" outlineLevel="0" collapsed="false">
      <c r="A4646" s="707" t="s">
        <v>2193</v>
      </c>
      <c r="B4646" s="47" t="s">
        <v>3831</v>
      </c>
      <c r="C4646" s="1404" t="s">
        <v>6976</v>
      </c>
      <c r="D4646" s="569" t="n">
        <v>2005</v>
      </c>
      <c r="E4646" s="569" t="n">
        <f aca="false">2021-D4646</f>
        <v>16</v>
      </c>
      <c r="F4646" s="1105" t="n">
        <v>57600</v>
      </c>
      <c r="G4646" s="1444" t="n">
        <v>0.1</v>
      </c>
      <c r="H4646" s="1105" t="n">
        <f aca="false">E4646*F4646*G4646</f>
        <v>92160</v>
      </c>
      <c r="I4646" s="1105" t="n">
        <f aca="false">F4646</f>
        <v>57600</v>
      </c>
      <c r="J4646" s="1105" t="n">
        <f aca="false">F4646*G4646</f>
        <v>5760</v>
      </c>
      <c r="K4646" s="1365" t="n">
        <f aca="false">J4646/1792.8</f>
        <v>3.21285140562249</v>
      </c>
      <c r="L4646" s="1105" t="n">
        <v>300</v>
      </c>
      <c r="M4646" s="865" t="n">
        <f aca="false">K4646*L4646/60</f>
        <v>16.0642570281125</v>
      </c>
    </row>
    <row r="4647" s="122" customFormat="true" ht="15" hidden="false" customHeight="false" outlineLevel="0" collapsed="false">
      <c r="A4647" s="707"/>
      <c r="B4647" s="99"/>
      <c r="C4647" s="1404" t="s">
        <v>7232</v>
      </c>
      <c r="D4647" s="569" t="n">
        <v>2006</v>
      </c>
      <c r="E4647" s="569" t="n">
        <f aca="false">2021-D4647</f>
        <v>15</v>
      </c>
      <c r="F4647" s="1105" t="n">
        <v>442300</v>
      </c>
      <c r="G4647" s="1444" t="n">
        <v>0.1</v>
      </c>
      <c r="H4647" s="1105" t="n">
        <f aca="false">E4647*F4647*G4647</f>
        <v>663450</v>
      </c>
      <c r="I4647" s="1105" t="n">
        <f aca="false">F4647-H4647</f>
        <v>-221150</v>
      </c>
      <c r="J4647" s="1105" t="n">
        <f aca="false">F4647*G4647</f>
        <v>44230</v>
      </c>
      <c r="K4647" s="1365" t="n">
        <f aca="false">J4647/1792.8</f>
        <v>24.6709058456046</v>
      </c>
      <c r="L4647" s="1105" t="n">
        <v>348</v>
      </c>
      <c r="M4647" s="865" t="n">
        <f aca="false">K4647*L4647/60</f>
        <v>143.091253904507</v>
      </c>
    </row>
    <row r="4648" s="122" customFormat="true" ht="15" hidden="false" customHeight="false" outlineLevel="0" collapsed="false">
      <c r="A4648" s="707"/>
      <c r="B4648" s="99"/>
      <c r="C4648" s="1404" t="s">
        <v>7233</v>
      </c>
      <c r="D4648" s="569" t="n">
        <v>2005</v>
      </c>
      <c r="E4648" s="569" t="n">
        <f aca="false">2021-D4648</f>
        <v>16</v>
      </c>
      <c r="F4648" s="1105" t="n">
        <v>132000</v>
      </c>
      <c r="G4648" s="1444" t="n">
        <v>0.1</v>
      </c>
      <c r="H4648" s="1105" t="n">
        <f aca="false">E4648*F4648*G4648</f>
        <v>211200</v>
      </c>
      <c r="I4648" s="1105" t="n">
        <f aca="false">F4648</f>
        <v>132000</v>
      </c>
      <c r="J4648" s="1105" t="n">
        <f aca="false">F4648*G4648</f>
        <v>13200</v>
      </c>
      <c r="K4648" s="1365" t="n">
        <f aca="false">J4648/1792.8</f>
        <v>7.36278447121821</v>
      </c>
      <c r="L4648" s="1105" t="n">
        <v>390</v>
      </c>
      <c r="M4648" s="865" t="n">
        <f aca="false">K4648*L4648/60</f>
        <v>47.8580990629183</v>
      </c>
    </row>
    <row r="4649" s="122" customFormat="true" ht="15" hidden="false" customHeight="false" outlineLevel="0" collapsed="false">
      <c r="A4649" s="707"/>
      <c r="B4649" s="99"/>
      <c r="C4649" s="1404" t="s">
        <v>7234</v>
      </c>
      <c r="D4649" s="569" t="n">
        <v>2007</v>
      </c>
      <c r="E4649" s="569" t="n">
        <f aca="false">2021-D4649</f>
        <v>14</v>
      </c>
      <c r="F4649" s="1105" t="n">
        <v>769804.25</v>
      </c>
      <c r="G4649" s="1444" t="n">
        <v>0.1</v>
      </c>
      <c r="H4649" s="1105" t="n">
        <f aca="false">E4649*F4649*G4649</f>
        <v>1077725.95</v>
      </c>
      <c r="I4649" s="1105" t="n">
        <f aca="false">F4649-H4649</f>
        <v>-307921.7</v>
      </c>
      <c r="J4649" s="1105" t="n">
        <f aca="false">F4649*G4649</f>
        <v>76980.425</v>
      </c>
      <c r="K4649" s="1365" t="n">
        <f aca="false">J4649/1792.8</f>
        <v>42.9386574074074</v>
      </c>
      <c r="L4649" s="1105" t="n">
        <v>60</v>
      </c>
      <c r="M4649" s="865" t="n">
        <f aca="false">K4649*L4649/60</f>
        <v>42.9386574074074</v>
      </c>
    </row>
    <row r="4650" s="122" customFormat="true" ht="15" hidden="false" customHeight="false" outlineLevel="0" collapsed="false">
      <c r="A4650" s="707"/>
      <c r="B4650" s="99"/>
      <c r="C4650" s="1404" t="s">
        <v>7235</v>
      </c>
      <c r="D4650" s="569" t="n">
        <v>2009</v>
      </c>
      <c r="E4650" s="569" t="n">
        <f aca="false">2021-D4650</f>
        <v>12</v>
      </c>
      <c r="F4650" s="1105" t="n">
        <v>797040</v>
      </c>
      <c r="G4650" s="1444" t="n">
        <v>0.1</v>
      </c>
      <c r="H4650" s="1105" t="n">
        <f aca="false">E4650*F4650*G4650</f>
        <v>956448</v>
      </c>
      <c r="I4650" s="1105" t="n">
        <f aca="false">F4650-H4650</f>
        <v>-159408</v>
      </c>
      <c r="J4650" s="1105" t="n">
        <f aca="false">F4650*G4650</f>
        <v>79704</v>
      </c>
      <c r="K4650" s="1365" t="n">
        <f aca="false">J4650/1792.8</f>
        <v>44.4578313253012</v>
      </c>
      <c r="L4650" s="1105" t="n">
        <v>2</v>
      </c>
      <c r="M4650" s="865" t="n">
        <f aca="false">K4650*L4650/60</f>
        <v>1.48192771084337</v>
      </c>
    </row>
    <row r="4651" s="122" customFormat="true" ht="15" hidden="false" customHeight="false" outlineLevel="0" collapsed="false">
      <c r="A4651" s="707"/>
      <c r="B4651" s="99"/>
      <c r="C4651" s="1404" t="s">
        <v>6978</v>
      </c>
      <c r="D4651" s="569" t="n">
        <v>2005</v>
      </c>
      <c r="E4651" s="569" t="n">
        <f aca="false">2021-D4651</f>
        <v>16</v>
      </c>
      <c r="F4651" s="1105" t="n">
        <v>132000</v>
      </c>
      <c r="G4651" s="1444" t="n">
        <v>0.1</v>
      </c>
      <c r="H4651" s="1105" t="n">
        <f aca="false">E4651*F4651*G4651</f>
        <v>211200</v>
      </c>
      <c r="I4651" s="1105" t="n">
        <f aca="false">F4651</f>
        <v>132000</v>
      </c>
      <c r="J4651" s="1105" t="n">
        <f aca="false">F4651*G4651</f>
        <v>13200</v>
      </c>
      <c r="K4651" s="1365" t="n">
        <f aca="false">J4651/1792.8</f>
        <v>7.36278447121821</v>
      </c>
      <c r="L4651" s="1105" t="n">
        <v>60</v>
      </c>
      <c r="M4651" s="865" t="n">
        <f aca="false">K4651*L4651/60</f>
        <v>7.36278447121821</v>
      </c>
    </row>
    <row r="4652" s="122" customFormat="true" ht="15" hidden="false" customHeight="false" outlineLevel="0" collapsed="false">
      <c r="A4652" s="707"/>
      <c r="B4652" s="99"/>
      <c r="C4652" s="1404" t="s">
        <v>7236</v>
      </c>
      <c r="D4652" s="569" t="n">
        <v>2006</v>
      </c>
      <c r="E4652" s="569" t="n">
        <f aca="false">2021-D4652</f>
        <v>15</v>
      </c>
      <c r="F4652" s="1105" t="n">
        <v>40572</v>
      </c>
      <c r="G4652" s="1444" t="n">
        <v>0.1</v>
      </c>
      <c r="H4652" s="1105" t="n">
        <f aca="false">E4652*F4652*G4652</f>
        <v>60858</v>
      </c>
      <c r="I4652" s="1105" t="n">
        <f aca="false">F4652-H4652</f>
        <v>-20286</v>
      </c>
      <c r="J4652" s="1105" t="n">
        <f aca="false">F4652*G4652</f>
        <v>4057.2</v>
      </c>
      <c r="K4652" s="1365" t="n">
        <f aca="false">J4652/1792.8</f>
        <v>2.26305220883534</v>
      </c>
      <c r="L4652" s="1105" t="n">
        <v>1440</v>
      </c>
      <c r="M4652" s="865" t="n">
        <f aca="false">K4652*L4652/60</f>
        <v>54.3132530120482</v>
      </c>
    </row>
    <row r="4653" s="122" customFormat="true" ht="15" hidden="false" customHeight="false" outlineLevel="0" collapsed="false">
      <c r="A4653" s="707"/>
      <c r="B4653" s="1557" t="s">
        <v>4128</v>
      </c>
      <c r="C4653" s="1404"/>
      <c r="D4653" s="569"/>
      <c r="E4653" s="569"/>
      <c r="F4653" s="1105"/>
      <c r="G4653" s="1444"/>
      <c r="H4653" s="1105"/>
      <c r="I4653" s="1105"/>
      <c r="J4653" s="1105"/>
      <c r="K4653" s="1365" t="n">
        <f aca="false">J4653/1792.8</f>
        <v>0</v>
      </c>
      <c r="L4653" s="1105"/>
      <c r="M4653" s="1558" t="n">
        <f aca="false">SUM(M4646:M4652)</f>
        <v>313.110232597055</v>
      </c>
    </row>
    <row r="4654" s="122" customFormat="true" ht="15" hidden="false" customHeight="false" outlineLevel="0" collapsed="false">
      <c r="A4654" s="707" t="s">
        <v>2195</v>
      </c>
      <c r="B4654" s="47" t="s">
        <v>3832</v>
      </c>
      <c r="C4654" s="1404" t="s">
        <v>6976</v>
      </c>
      <c r="D4654" s="569" t="n">
        <v>2005</v>
      </c>
      <c r="E4654" s="569" t="n">
        <f aca="false">2021-D4654</f>
        <v>16</v>
      </c>
      <c r="F4654" s="1105" t="n">
        <v>57600</v>
      </c>
      <c r="G4654" s="1444" t="n">
        <v>0.1</v>
      </c>
      <c r="H4654" s="1105" t="n">
        <f aca="false">E4654*F4654*G4654</f>
        <v>92160</v>
      </c>
      <c r="I4654" s="1105" t="n">
        <f aca="false">F4654</f>
        <v>57600</v>
      </c>
      <c r="J4654" s="1105" t="n">
        <f aca="false">F4654*G4654</f>
        <v>5760</v>
      </c>
      <c r="K4654" s="1365" t="n">
        <f aca="false">J4654/1792.8</f>
        <v>3.21285140562249</v>
      </c>
      <c r="L4654" s="1105" t="n">
        <v>300</v>
      </c>
      <c r="M4654" s="865" t="n">
        <f aca="false">K4654*L4654/60</f>
        <v>16.0642570281125</v>
      </c>
    </row>
    <row r="4655" s="122" customFormat="true" ht="15" hidden="false" customHeight="false" outlineLevel="0" collapsed="false">
      <c r="A4655" s="707"/>
      <c r="B4655" s="99"/>
      <c r="C4655" s="1404" t="s">
        <v>7232</v>
      </c>
      <c r="D4655" s="569" t="n">
        <v>2006</v>
      </c>
      <c r="E4655" s="569" t="n">
        <f aca="false">2021-D4655</f>
        <v>15</v>
      </c>
      <c r="F4655" s="1105" t="n">
        <v>442300</v>
      </c>
      <c r="G4655" s="1444" t="n">
        <v>0.1</v>
      </c>
      <c r="H4655" s="1105" t="n">
        <f aca="false">E4655*F4655*G4655</f>
        <v>663450</v>
      </c>
      <c r="I4655" s="1105" t="n">
        <f aca="false">F4655-H4655</f>
        <v>-221150</v>
      </c>
      <c r="J4655" s="1105" t="n">
        <f aca="false">F4655*G4655</f>
        <v>44230</v>
      </c>
      <c r="K4655" s="1365" t="n">
        <f aca="false">J4655/1792.8</f>
        <v>24.6709058456046</v>
      </c>
      <c r="L4655" s="1105" t="n">
        <v>348</v>
      </c>
      <c r="M4655" s="865" t="n">
        <f aca="false">K4655*L4655/60</f>
        <v>143.091253904507</v>
      </c>
    </row>
    <row r="4656" s="122" customFormat="true" ht="15" hidden="false" customHeight="false" outlineLevel="0" collapsed="false">
      <c r="A4656" s="707"/>
      <c r="B4656" s="99"/>
      <c r="C4656" s="1404" t="s">
        <v>7233</v>
      </c>
      <c r="D4656" s="569" t="n">
        <v>2005</v>
      </c>
      <c r="E4656" s="569" t="n">
        <f aca="false">2021-D4656</f>
        <v>16</v>
      </c>
      <c r="F4656" s="1105" t="n">
        <v>132000</v>
      </c>
      <c r="G4656" s="1444" t="n">
        <v>0.1</v>
      </c>
      <c r="H4656" s="1105" t="n">
        <f aca="false">E4656*F4656*G4656</f>
        <v>211200</v>
      </c>
      <c r="I4656" s="1105" t="n">
        <f aca="false">F4656</f>
        <v>132000</v>
      </c>
      <c r="J4656" s="1105" t="n">
        <f aca="false">F4656*G4656</f>
        <v>13200</v>
      </c>
      <c r="K4656" s="1365" t="n">
        <f aca="false">J4656/1792.8</f>
        <v>7.36278447121821</v>
      </c>
      <c r="L4656" s="1105" t="n">
        <v>390</v>
      </c>
      <c r="M4656" s="865" t="n">
        <f aca="false">K4656*L4656/60</f>
        <v>47.8580990629183</v>
      </c>
    </row>
    <row r="4657" s="122" customFormat="true" ht="15" hidden="false" customHeight="false" outlineLevel="0" collapsed="false">
      <c r="A4657" s="707"/>
      <c r="B4657" s="99"/>
      <c r="C4657" s="1404" t="s">
        <v>7234</v>
      </c>
      <c r="D4657" s="569" t="n">
        <v>2007</v>
      </c>
      <c r="E4657" s="569" t="n">
        <f aca="false">2021-D4657</f>
        <v>14</v>
      </c>
      <c r="F4657" s="1105" t="n">
        <v>769804.25</v>
      </c>
      <c r="G4657" s="1444" t="n">
        <v>0.1</v>
      </c>
      <c r="H4657" s="1105" t="n">
        <f aca="false">E4657*F4657*G4657</f>
        <v>1077725.95</v>
      </c>
      <c r="I4657" s="1105" t="n">
        <f aca="false">F4657-H4657</f>
        <v>-307921.7</v>
      </c>
      <c r="J4657" s="1105" t="n">
        <f aca="false">F4657*G4657</f>
        <v>76980.425</v>
      </c>
      <c r="K4657" s="1365" t="n">
        <f aca="false">J4657/1792.8</f>
        <v>42.9386574074074</v>
      </c>
      <c r="L4657" s="1105" t="n">
        <v>60</v>
      </c>
      <c r="M4657" s="865" t="n">
        <f aca="false">K4657*L4657/60</f>
        <v>42.9386574074074</v>
      </c>
    </row>
    <row r="4658" s="122" customFormat="true" ht="15" hidden="false" customHeight="false" outlineLevel="0" collapsed="false">
      <c r="A4658" s="707"/>
      <c r="B4658" s="99"/>
      <c r="C4658" s="1404" t="s">
        <v>7235</v>
      </c>
      <c r="D4658" s="569" t="n">
        <v>2009</v>
      </c>
      <c r="E4658" s="569" t="n">
        <f aca="false">2021-D4658</f>
        <v>12</v>
      </c>
      <c r="F4658" s="1105" t="n">
        <v>797040</v>
      </c>
      <c r="G4658" s="1444" t="n">
        <v>0.1</v>
      </c>
      <c r="H4658" s="1105" t="n">
        <f aca="false">E4658*F4658*G4658</f>
        <v>956448</v>
      </c>
      <c r="I4658" s="1105" t="n">
        <f aca="false">F4658-H4658</f>
        <v>-159408</v>
      </c>
      <c r="J4658" s="1105" t="n">
        <f aca="false">F4658*G4658</f>
        <v>79704</v>
      </c>
      <c r="K4658" s="1365" t="n">
        <f aca="false">J4658/1792.8</f>
        <v>44.4578313253012</v>
      </c>
      <c r="L4658" s="1105" t="n">
        <v>2</v>
      </c>
      <c r="M4658" s="865" t="n">
        <f aca="false">K4658*L4658/60</f>
        <v>1.48192771084337</v>
      </c>
    </row>
    <row r="4659" s="122" customFormat="true" ht="15" hidden="false" customHeight="false" outlineLevel="0" collapsed="false">
      <c r="A4659" s="707"/>
      <c r="B4659" s="99"/>
      <c r="C4659" s="1404" t="s">
        <v>6978</v>
      </c>
      <c r="D4659" s="569" t="n">
        <v>2005</v>
      </c>
      <c r="E4659" s="569" t="n">
        <f aca="false">2021-D4659</f>
        <v>16</v>
      </c>
      <c r="F4659" s="1105" t="n">
        <v>132000</v>
      </c>
      <c r="G4659" s="1444" t="n">
        <v>0.1</v>
      </c>
      <c r="H4659" s="1105" t="n">
        <f aca="false">E4659*F4659*G4659</f>
        <v>211200</v>
      </c>
      <c r="I4659" s="1105" t="n">
        <f aca="false">F4659</f>
        <v>132000</v>
      </c>
      <c r="J4659" s="1105" t="n">
        <f aca="false">F4659*G4659</f>
        <v>13200</v>
      </c>
      <c r="K4659" s="1365" t="n">
        <f aca="false">J4659/1792.8</f>
        <v>7.36278447121821</v>
      </c>
      <c r="L4659" s="754"/>
      <c r="M4659" s="865" t="n">
        <f aca="false">K4659*L4659/60</f>
        <v>0</v>
      </c>
    </row>
    <row r="4660" s="122" customFormat="true" ht="39.75" hidden="false" customHeight="true" outlineLevel="0" collapsed="false">
      <c r="A4660" s="707"/>
      <c r="B4660" s="99"/>
      <c r="C4660" s="1404" t="s">
        <v>7236</v>
      </c>
      <c r="D4660" s="569" t="n">
        <v>2006</v>
      </c>
      <c r="E4660" s="569" t="n">
        <f aca="false">2021-D4660</f>
        <v>15</v>
      </c>
      <c r="F4660" s="1105" t="n">
        <v>40572</v>
      </c>
      <c r="G4660" s="1444" t="n">
        <v>0.1</v>
      </c>
      <c r="H4660" s="1105" t="n">
        <f aca="false">E4660*F4660*G4660</f>
        <v>60858</v>
      </c>
      <c r="I4660" s="1105" t="n">
        <f aca="false">F4660-H4660</f>
        <v>-20286</v>
      </c>
      <c r="J4660" s="1105" t="n">
        <f aca="false">F4660*G4660</f>
        <v>4057.2</v>
      </c>
      <c r="K4660" s="1365" t="n">
        <f aca="false">J4660/1792.8</f>
        <v>2.26305220883534</v>
      </c>
      <c r="L4660" s="1105" t="n">
        <v>1440</v>
      </c>
      <c r="M4660" s="865" t="n">
        <f aca="false">K4660*L4660/60</f>
        <v>54.3132530120482</v>
      </c>
    </row>
    <row r="4661" s="122" customFormat="true" ht="15" hidden="false" customHeight="false" outlineLevel="0" collapsed="false">
      <c r="A4661" s="707"/>
      <c r="B4661" s="1557" t="s">
        <v>4128</v>
      </c>
      <c r="C4661" s="1404"/>
      <c r="D4661" s="569"/>
      <c r="E4661" s="569"/>
      <c r="F4661" s="1105"/>
      <c r="G4661" s="1444"/>
      <c r="H4661" s="1105"/>
      <c r="I4661" s="1105"/>
      <c r="J4661" s="1105"/>
      <c r="K4661" s="1365" t="n">
        <f aca="false">J4661/1792.8</f>
        <v>0</v>
      </c>
      <c r="L4661" s="1105"/>
      <c r="M4661" s="1558" t="n">
        <f aca="false">SUM(M4654:M4660)</f>
        <v>305.747448125837</v>
      </c>
    </row>
    <row r="4662" s="122" customFormat="true" ht="45" hidden="false" customHeight="false" outlineLevel="0" collapsed="false">
      <c r="A4662" s="707" t="s">
        <v>2197</v>
      </c>
      <c r="B4662" s="47" t="s">
        <v>3833</v>
      </c>
      <c r="C4662" s="1404" t="s">
        <v>7212</v>
      </c>
      <c r="D4662" s="569" t="n">
        <v>2008</v>
      </c>
      <c r="E4662" s="569" t="n">
        <f aca="false">2021-D4662</f>
        <v>13</v>
      </c>
      <c r="F4662" s="1105" t="n">
        <v>376800</v>
      </c>
      <c r="G4662" s="1444" t="n">
        <v>0.1</v>
      </c>
      <c r="H4662" s="1105" t="n">
        <f aca="false">E4662*F4662*G4662</f>
        <v>489840</v>
      </c>
      <c r="I4662" s="1105" t="n">
        <f aca="false">F4662-H4662</f>
        <v>-113040</v>
      </c>
      <c r="J4662" s="1105" t="n">
        <f aca="false">F4662*G4662</f>
        <v>37680</v>
      </c>
      <c r="K4662" s="1365" t="n">
        <f aca="false">J4662/1792.8</f>
        <v>21.0174029451138</v>
      </c>
      <c r="L4662" s="1105" t="n">
        <v>300</v>
      </c>
      <c r="M4662" s="865" t="n">
        <f aca="false">K4662*L4662/60</f>
        <v>105.087014725569</v>
      </c>
    </row>
    <row r="4663" s="122" customFormat="true" ht="15" hidden="false" customHeight="false" outlineLevel="0" collapsed="false">
      <c r="A4663" s="707"/>
      <c r="B4663" s="47"/>
      <c r="C4663" s="1404" t="s">
        <v>7211</v>
      </c>
      <c r="D4663" s="569" t="n">
        <v>2004</v>
      </c>
      <c r="E4663" s="569" t="n">
        <f aca="false">2021-D4663</f>
        <v>17</v>
      </c>
      <c r="F4663" s="1105" t="n">
        <v>214320</v>
      </c>
      <c r="G4663" s="1444" t="n">
        <v>0.1</v>
      </c>
      <c r="H4663" s="1105" t="n">
        <f aca="false">E4663*F4663*G4663</f>
        <v>364344</v>
      </c>
      <c r="I4663" s="1105" t="n">
        <f aca="false">F4663</f>
        <v>214320</v>
      </c>
      <c r="J4663" s="1105" t="n">
        <f aca="false">F4663*G4663</f>
        <v>21432</v>
      </c>
      <c r="K4663" s="1365" t="n">
        <f aca="false">J4663/1792.8</f>
        <v>11.954484605087</v>
      </c>
      <c r="L4663" s="1105" t="n">
        <v>30</v>
      </c>
      <c r="M4663" s="865" t="n">
        <f aca="false">K4663*L4663/60</f>
        <v>5.97724230254351</v>
      </c>
    </row>
    <row r="4664" s="122" customFormat="true" ht="15" hidden="false" customHeight="false" outlineLevel="0" collapsed="false">
      <c r="A4664" s="707"/>
      <c r="B4664" s="99"/>
      <c r="C4664" s="1404" t="s">
        <v>7176</v>
      </c>
      <c r="D4664" s="569" t="n">
        <v>2009</v>
      </c>
      <c r="E4664" s="569" t="n">
        <f aca="false">2021-D4664</f>
        <v>12</v>
      </c>
      <c r="F4664" s="1105" t="n">
        <v>166807</v>
      </c>
      <c r="G4664" s="1444" t="n">
        <v>0.1</v>
      </c>
      <c r="H4664" s="1105" t="n">
        <f aca="false">E4664*F4664*G4664</f>
        <v>200168.4</v>
      </c>
      <c r="I4664" s="1105" t="n">
        <f aca="false">F4664-H4664</f>
        <v>-33361.4</v>
      </c>
      <c r="J4664" s="1105" t="n">
        <f aca="false">F4664*G4664</f>
        <v>16680.7</v>
      </c>
      <c r="K4664" s="1365" t="n">
        <f aca="false">J4664/1792.8</f>
        <v>9.30427264614012</v>
      </c>
      <c r="L4664" s="1105" t="n">
        <v>348</v>
      </c>
      <c r="M4664" s="865" t="n">
        <f aca="false">K4664*L4664/60</f>
        <v>53.9647813476127</v>
      </c>
    </row>
    <row r="4665" s="122" customFormat="true" ht="15" hidden="false" customHeight="false" outlineLevel="0" collapsed="false">
      <c r="A4665" s="707"/>
      <c r="B4665" s="99"/>
      <c r="C4665" s="1404" t="s">
        <v>7214</v>
      </c>
      <c r="D4665" s="569" t="n">
        <v>2006</v>
      </c>
      <c r="E4665" s="569" t="n">
        <f aca="false">2021-D4665</f>
        <v>15</v>
      </c>
      <c r="F4665" s="1105" t="n">
        <v>10250000</v>
      </c>
      <c r="G4665" s="1444" t="n">
        <v>0.1</v>
      </c>
      <c r="H4665" s="1105" t="n">
        <f aca="false">E4665*F4665*G4665</f>
        <v>15375000</v>
      </c>
      <c r="I4665" s="1105" t="n">
        <f aca="false">F4665-H4665</f>
        <v>-5125000</v>
      </c>
      <c r="J4665" s="1105" t="n">
        <f aca="false">F4665*G4665</f>
        <v>1025000</v>
      </c>
      <c r="K4665" s="1365" t="n">
        <f aca="false">J4665/1792.8</f>
        <v>571.731369924141</v>
      </c>
      <c r="L4665" s="1105" t="n">
        <v>120</v>
      </c>
      <c r="M4665" s="865" t="n">
        <f aca="false">K4665*L4665/60</f>
        <v>1143.46273984828</v>
      </c>
    </row>
    <row r="4666" s="122" customFormat="true" ht="15" hidden="false" customHeight="false" outlineLevel="0" collapsed="false">
      <c r="A4666" s="707"/>
      <c r="B4666" s="99"/>
      <c r="C4666" s="1404" t="s">
        <v>7215</v>
      </c>
      <c r="D4666" s="569" t="n">
        <v>2006</v>
      </c>
      <c r="E4666" s="569" t="n">
        <f aca="false">2021-D4666</f>
        <v>15</v>
      </c>
      <c r="F4666" s="1105" t="n">
        <v>174000</v>
      </c>
      <c r="G4666" s="1444" t="n">
        <v>0.1</v>
      </c>
      <c r="H4666" s="1105" t="n">
        <f aca="false">E4666*F4666*G4666</f>
        <v>261000</v>
      </c>
      <c r="I4666" s="1105" t="n">
        <f aca="false">F4666-H4666</f>
        <v>-87000</v>
      </c>
      <c r="J4666" s="1105" t="n">
        <f aca="false">F4666*G4666</f>
        <v>17400</v>
      </c>
      <c r="K4666" s="1365" t="n">
        <f aca="false">J4666/1792.8</f>
        <v>9.70548862115127</v>
      </c>
      <c r="L4666" s="1105" t="n">
        <v>60</v>
      </c>
      <c r="M4666" s="865" t="n">
        <f aca="false">K4666*L4666/60</f>
        <v>9.70548862115127</v>
      </c>
    </row>
    <row r="4667" s="122" customFormat="true" ht="15" hidden="false" customHeight="false" outlineLevel="0" collapsed="false">
      <c r="A4667" s="707"/>
      <c r="B4667" s="99"/>
      <c r="C4667" s="1404" t="s">
        <v>7216</v>
      </c>
      <c r="D4667" s="569" t="n">
        <v>2007</v>
      </c>
      <c r="E4667" s="569" t="n">
        <f aca="false">2021-D4667</f>
        <v>14</v>
      </c>
      <c r="F4667" s="1105" t="n">
        <v>429000</v>
      </c>
      <c r="G4667" s="1444" t="n">
        <v>0.1</v>
      </c>
      <c r="H4667" s="1105" t="n">
        <f aca="false">E4667*F4667*G4667</f>
        <v>600600</v>
      </c>
      <c r="I4667" s="1105" t="n">
        <f aca="false">F4667-H4667</f>
        <v>-171600</v>
      </c>
      <c r="J4667" s="1105" t="n">
        <f aca="false">F4667*G4667</f>
        <v>42900</v>
      </c>
      <c r="K4667" s="1365" t="n">
        <f aca="false">J4667/1792.8</f>
        <v>23.9290495314592</v>
      </c>
      <c r="L4667" s="1105" t="n">
        <v>2</v>
      </c>
      <c r="M4667" s="865" t="n">
        <f aca="false">K4667*L4667/60</f>
        <v>0.797634984381972</v>
      </c>
    </row>
    <row r="4668" s="122" customFormat="true" ht="44.25" hidden="false" customHeight="true" outlineLevel="0" collapsed="false">
      <c r="A4668" s="707"/>
      <c r="B4668" s="99"/>
      <c r="C4668" s="1404" t="s">
        <v>7217</v>
      </c>
      <c r="D4668" s="569" t="n">
        <v>2007</v>
      </c>
      <c r="E4668" s="569" t="n">
        <f aca="false">2021-D4668</f>
        <v>14</v>
      </c>
      <c r="F4668" s="1105" t="n">
        <v>287614</v>
      </c>
      <c r="G4668" s="1444" t="n">
        <v>0.1</v>
      </c>
      <c r="H4668" s="1105" t="n">
        <f aca="false">E4668*F4668*G4668</f>
        <v>402659.6</v>
      </c>
      <c r="I4668" s="1105" t="n">
        <f aca="false">F4668-H4668</f>
        <v>-115045.6</v>
      </c>
      <c r="J4668" s="1105" t="n">
        <f aca="false">F4668*G4668</f>
        <v>28761.4</v>
      </c>
      <c r="K4668" s="1365" t="n">
        <f aca="false">J4668/1792.8</f>
        <v>16.0427264614012</v>
      </c>
      <c r="L4668" s="1105"/>
      <c r="M4668" s="865" t="n">
        <f aca="false">K4668*L4668/60</f>
        <v>0</v>
      </c>
    </row>
    <row r="4669" s="122" customFormat="true" ht="15" hidden="false" customHeight="false" outlineLevel="0" collapsed="false">
      <c r="A4669" s="707"/>
      <c r="B4669" s="99"/>
      <c r="C4669" s="1404" t="s">
        <v>7229</v>
      </c>
      <c r="D4669" s="569" t="n">
        <v>2009</v>
      </c>
      <c r="E4669" s="569" t="n">
        <f aca="false">2021-D4669</f>
        <v>12</v>
      </c>
      <c r="F4669" s="1105" t="n">
        <v>49275</v>
      </c>
      <c r="G4669" s="1444" t="n">
        <v>0.1</v>
      </c>
      <c r="H4669" s="1105" t="n">
        <f aca="false">E4669*F4669*G4669</f>
        <v>59130</v>
      </c>
      <c r="I4669" s="1105" t="n">
        <f aca="false">F4669-H4669</f>
        <v>-9855</v>
      </c>
      <c r="J4669" s="1105" t="n">
        <f aca="false">F4669*G4669</f>
        <v>4927.5</v>
      </c>
      <c r="K4669" s="1365" t="n">
        <f aca="false">J4669/1792.8</f>
        <v>2.74849397590361</v>
      </c>
      <c r="L4669" s="1105"/>
      <c r="M4669" s="865" t="n">
        <f aca="false">K4669*L4669/60</f>
        <v>0</v>
      </c>
    </row>
    <row r="4670" s="122" customFormat="true" ht="15" hidden="false" customHeight="false" outlineLevel="0" collapsed="false">
      <c r="A4670" s="707"/>
      <c r="B4670" s="1557" t="s">
        <v>4128</v>
      </c>
      <c r="C4670" s="1404"/>
      <c r="D4670" s="569"/>
      <c r="E4670" s="569"/>
      <c r="F4670" s="1105"/>
      <c r="G4670" s="1444"/>
      <c r="H4670" s="1105"/>
      <c r="I4670" s="1105"/>
      <c r="J4670" s="1105"/>
      <c r="K4670" s="1365" t="n">
        <f aca="false">J4670/1792.8</f>
        <v>0</v>
      </c>
      <c r="L4670" s="754"/>
      <c r="M4670" s="1558" t="n">
        <f aca="false">SUM(M4662:M4669)</f>
        <v>1318.99490182954</v>
      </c>
    </row>
    <row r="4671" s="122" customFormat="true" ht="45" hidden="false" customHeight="false" outlineLevel="0" collapsed="false">
      <c r="A4671" s="707" t="s">
        <v>2199</v>
      </c>
      <c r="B4671" s="47" t="s">
        <v>3834</v>
      </c>
      <c r="C4671" s="1404" t="s">
        <v>7212</v>
      </c>
      <c r="D4671" s="569" t="n">
        <v>2008</v>
      </c>
      <c r="E4671" s="569" t="n">
        <f aca="false">2021-D4671</f>
        <v>13</v>
      </c>
      <c r="F4671" s="1105" t="n">
        <v>376800</v>
      </c>
      <c r="G4671" s="1444" t="n">
        <v>0.1</v>
      </c>
      <c r="H4671" s="1105" t="n">
        <f aca="false">E4671*F4671*G4671</f>
        <v>489840</v>
      </c>
      <c r="I4671" s="1105" t="n">
        <f aca="false">F4671-H4671</f>
        <v>-113040</v>
      </c>
      <c r="J4671" s="1105" t="n">
        <f aca="false">F4671*G4671</f>
        <v>37680</v>
      </c>
      <c r="K4671" s="1365" t="n">
        <f aca="false">J4671/1792.8</f>
        <v>21.0174029451138</v>
      </c>
      <c r="L4671" s="1105" t="n">
        <v>300</v>
      </c>
      <c r="M4671" s="865" t="n">
        <f aca="false">K4671*L4671/60</f>
        <v>105.087014725569</v>
      </c>
    </row>
    <row r="4672" s="122" customFormat="true" ht="15" hidden="false" customHeight="false" outlineLevel="0" collapsed="false">
      <c r="A4672" s="707"/>
      <c r="B4672" s="47"/>
      <c r="C4672" s="1404" t="s">
        <v>7211</v>
      </c>
      <c r="D4672" s="569" t="n">
        <v>2004</v>
      </c>
      <c r="E4672" s="569" t="n">
        <f aca="false">2021-D4672</f>
        <v>17</v>
      </c>
      <c r="F4672" s="1105" t="n">
        <v>214320</v>
      </c>
      <c r="G4672" s="1444" t="n">
        <v>0.1</v>
      </c>
      <c r="H4672" s="1105" t="n">
        <f aca="false">E4672*F4672*G4672</f>
        <v>364344</v>
      </c>
      <c r="I4672" s="1105" t="n">
        <f aca="false">F4672</f>
        <v>214320</v>
      </c>
      <c r="J4672" s="1105" t="n">
        <f aca="false">F4672*G4672</f>
        <v>21432</v>
      </c>
      <c r="K4672" s="1365" t="n">
        <f aca="false">J4672/1792.8</f>
        <v>11.954484605087</v>
      </c>
      <c r="L4672" s="1105" t="n">
        <v>30</v>
      </c>
      <c r="M4672" s="865" t="n">
        <f aca="false">K4672*L4672/60</f>
        <v>5.97724230254351</v>
      </c>
    </row>
    <row r="4673" s="122" customFormat="true" ht="15" hidden="false" customHeight="false" outlineLevel="0" collapsed="false">
      <c r="A4673" s="707"/>
      <c r="B4673" s="99"/>
      <c r="C4673" s="1404" t="s">
        <v>7176</v>
      </c>
      <c r="D4673" s="569" t="n">
        <v>2009</v>
      </c>
      <c r="E4673" s="569" t="n">
        <f aca="false">2021-D4673</f>
        <v>12</v>
      </c>
      <c r="F4673" s="1105" t="n">
        <v>166807</v>
      </c>
      <c r="G4673" s="1444" t="n">
        <v>0.1</v>
      </c>
      <c r="H4673" s="1105" t="n">
        <f aca="false">E4673*F4673*G4673</f>
        <v>200168.4</v>
      </c>
      <c r="I4673" s="1105" t="n">
        <f aca="false">F4673-H4673</f>
        <v>-33361.4</v>
      </c>
      <c r="J4673" s="1105" t="n">
        <f aca="false">F4673*G4673</f>
        <v>16680.7</v>
      </c>
      <c r="K4673" s="1365" t="n">
        <f aca="false">J4673/1792.8</f>
        <v>9.30427264614012</v>
      </c>
      <c r="L4673" s="1105" t="n">
        <v>240</v>
      </c>
      <c r="M4673" s="865" t="n">
        <f aca="false">K4673*L4673/60</f>
        <v>37.2170905845605</v>
      </c>
    </row>
    <row r="4674" s="122" customFormat="true" ht="15" hidden="false" customHeight="false" outlineLevel="0" collapsed="false">
      <c r="A4674" s="707"/>
      <c r="B4674" s="99"/>
      <c r="C4674" s="1404" t="s">
        <v>7214</v>
      </c>
      <c r="D4674" s="569" t="n">
        <v>2006</v>
      </c>
      <c r="E4674" s="569" t="n">
        <f aca="false">2021-D4674</f>
        <v>15</v>
      </c>
      <c r="F4674" s="1105" t="n">
        <v>10250000</v>
      </c>
      <c r="G4674" s="1444" t="n">
        <v>0.1</v>
      </c>
      <c r="H4674" s="1105" t="n">
        <f aca="false">E4674*F4674*G4674</f>
        <v>15375000</v>
      </c>
      <c r="I4674" s="1105" t="n">
        <f aca="false">F4674-H4674</f>
        <v>-5125000</v>
      </c>
      <c r="J4674" s="1105" t="n">
        <f aca="false">F4674*G4674</f>
        <v>1025000</v>
      </c>
      <c r="K4674" s="1365" t="n">
        <f aca="false">J4674/1792.8</f>
        <v>571.731369924141</v>
      </c>
      <c r="L4674" s="1105" t="n">
        <v>120</v>
      </c>
      <c r="M4674" s="865" t="n">
        <f aca="false">K4674*L4674/60</f>
        <v>1143.46273984828</v>
      </c>
    </row>
    <row r="4675" s="122" customFormat="true" ht="15" hidden="false" customHeight="false" outlineLevel="0" collapsed="false">
      <c r="A4675" s="707"/>
      <c r="B4675" s="99"/>
      <c r="C4675" s="1404" t="s">
        <v>7215</v>
      </c>
      <c r="D4675" s="569" t="n">
        <v>2006</v>
      </c>
      <c r="E4675" s="569" t="n">
        <f aca="false">2021-D4675</f>
        <v>15</v>
      </c>
      <c r="F4675" s="1105" t="n">
        <v>174000</v>
      </c>
      <c r="G4675" s="1444" t="n">
        <v>0.1</v>
      </c>
      <c r="H4675" s="1105" t="n">
        <f aca="false">E4675*F4675*G4675</f>
        <v>261000</v>
      </c>
      <c r="I4675" s="1105" t="n">
        <f aca="false">F4675-H4675</f>
        <v>-87000</v>
      </c>
      <c r="J4675" s="1105" t="n">
        <f aca="false">F4675*G4675</f>
        <v>17400</v>
      </c>
      <c r="K4675" s="1365" t="n">
        <f aca="false">J4675/1792.8</f>
        <v>9.70548862115127</v>
      </c>
      <c r="L4675" s="1105" t="n">
        <v>60</v>
      </c>
      <c r="M4675" s="865" t="n">
        <f aca="false">K4675*L4675/60</f>
        <v>9.70548862115127</v>
      </c>
    </row>
    <row r="4676" s="122" customFormat="true" ht="15" hidden="false" customHeight="false" outlineLevel="0" collapsed="false">
      <c r="A4676" s="1403"/>
      <c r="B4676" s="99"/>
      <c r="C4676" s="1404" t="s">
        <v>7216</v>
      </c>
      <c r="D4676" s="569" t="n">
        <v>2007</v>
      </c>
      <c r="E4676" s="569" t="n">
        <f aca="false">2021-D4676</f>
        <v>14</v>
      </c>
      <c r="F4676" s="1105" t="n">
        <v>429000</v>
      </c>
      <c r="G4676" s="1444" t="n">
        <v>0.1</v>
      </c>
      <c r="H4676" s="1105" t="n">
        <f aca="false">E4676*F4676*G4676</f>
        <v>600600</v>
      </c>
      <c r="I4676" s="1105" t="n">
        <f aca="false">F4676-H4676</f>
        <v>-171600</v>
      </c>
      <c r="J4676" s="1105" t="n">
        <f aca="false">F4676*G4676</f>
        <v>42900</v>
      </c>
      <c r="K4676" s="1365" t="n">
        <f aca="false">J4676/1792.8</f>
        <v>23.9290495314592</v>
      </c>
      <c r="L4676" s="1105" t="n">
        <v>2</v>
      </c>
      <c r="M4676" s="865" t="n">
        <f aca="false">K4676*L4676/60</f>
        <v>0.797634984381972</v>
      </c>
    </row>
    <row r="4677" s="122" customFormat="true" ht="15" hidden="false" customHeight="false" outlineLevel="0" collapsed="false">
      <c r="A4677" s="707"/>
      <c r="B4677" s="99"/>
      <c r="C4677" s="1404" t="s">
        <v>7217</v>
      </c>
      <c r="D4677" s="569" t="n">
        <v>2007</v>
      </c>
      <c r="E4677" s="569" t="n">
        <f aca="false">2021-D4677</f>
        <v>14</v>
      </c>
      <c r="F4677" s="1105" t="n">
        <v>287614</v>
      </c>
      <c r="G4677" s="1444" t="n">
        <v>0.1</v>
      </c>
      <c r="H4677" s="1105" t="n">
        <f aca="false">E4677*F4677*G4677</f>
        <v>402659.6</v>
      </c>
      <c r="I4677" s="1105" t="n">
        <f aca="false">F4677-H4677</f>
        <v>-115045.6</v>
      </c>
      <c r="J4677" s="1105" t="n">
        <f aca="false">F4677*G4677</f>
        <v>28761.4</v>
      </c>
      <c r="K4677" s="1365" t="n">
        <f aca="false">J4677/1792.8</f>
        <v>16.0427264614012</v>
      </c>
      <c r="L4677" s="1105"/>
      <c r="M4677" s="865" t="n">
        <f aca="false">K4677*L4677/60</f>
        <v>0</v>
      </c>
    </row>
    <row r="4678" s="122" customFormat="true" ht="15" hidden="false" customHeight="false" outlineLevel="0" collapsed="false">
      <c r="A4678" s="1403"/>
      <c r="B4678" s="99"/>
      <c r="C4678" s="1404" t="s">
        <v>7229</v>
      </c>
      <c r="D4678" s="569" t="n">
        <v>2009</v>
      </c>
      <c r="E4678" s="569" t="n">
        <f aca="false">2021-D4678</f>
        <v>12</v>
      </c>
      <c r="F4678" s="1105" t="n">
        <v>49275</v>
      </c>
      <c r="G4678" s="1444" t="n">
        <v>0.1</v>
      </c>
      <c r="H4678" s="1105" t="n">
        <f aca="false">E4678*F4678*G4678</f>
        <v>59130</v>
      </c>
      <c r="I4678" s="1105" t="n">
        <f aca="false">F4678-H4678</f>
        <v>-9855</v>
      </c>
      <c r="J4678" s="1105" t="n">
        <f aca="false">F4678*G4678</f>
        <v>4927.5</v>
      </c>
      <c r="K4678" s="1365" t="n">
        <f aca="false">J4678/1792.8</f>
        <v>2.74849397590361</v>
      </c>
      <c r="L4678" s="1105"/>
      <c r="M4678" s="865" t="n">
        <f aca="false">K4678*L4678/60</f>
        <v>0</v>
      </c>
    </row>
    <row r="4679" s="122" customFormat="true" ht="15" hidden="false" customHeight="false" outlineLevel="0" collapsed="false">
      <c r="A4679" s="1403"/>
      <c r="B4679" s="1557" t="s">
        <v>4128</v>
      </c>
      <c r="C4679" s="1404"/>
      <c r="D4679" s="569"/>
      <c r="E4679" s="569"/>
      <c r="F4679" s="1105"/>
      <c r="G4679" s="1444"/>
      <c r="H4679" s="1105"/>
      <c r="I4679" s="1105"/>
      <c r="J4679" s="1105"/>
      <c r="K4679" s="1365" t="n">
        <f aca="false">J4679/1792.8</f>
        <v>0</v>
      </c>
      <c r="L4679" s="754"/>
      <c r="M4679" s="1558" t="n">
        <f aca="false">SUM(M4671:M4678)</f>
        <v>1302.24721106649</v>
      </c>
    </row>
    <row r="4680" s="122" customFormat="true" ht="30" hidden="false" customHeight="false" outlineLevel="0" collapsed="false">
      <c r="A4680" s="1403" t="s">
        <v>2201</v>
      </c>
      <c r="B4680" s="1559" t="s">
        <v>7238</v>
      </c>
      <c r="C4680" s="1404" t="s">
        <v>7212</v>
      </c>
      <c r="D4680" s="569" t="n">
        <v>2008</v>
      </c>
      <c r="E4680" s="569" t="n">
        <f aca="false">2021-D4680</f>
        <v>13</v>
      </c>
      <c r="F4680" s="1105" t="n">
        <v>376800</v>
      </c>
      <c r="G4680" s="1444" t="n">
        <v>0.1</v>
      </c>
      <c r="H4680" s="1105" t="n">
        <f aca="false">E4680*F4680*G4680</f>
        <v>489840</v>
      </c>
      <c r="I4680" s="1105" t="n">
        <f aca="false">F4680-H4680</f>
        <v>-113040</v>
      </c>
      <c r="J4680" s="1105" t="n">
        <f aca="false">F4680*G4680</f>
        <v>37680</v>
      </c>
      <c r="K4680" s="1365" t="n">
        <f aca="false">J4680/1792.8</f>
        <v>21.0174029451138</v>
      </c>
      <c r="L4680" s="1105" t="n">
        <v>18</v>
      </c>
      <c r="M4680" s="865" t="n">
        <f aca="false">K4680*L4680/60</f>
        <v>6.30522088353414</v>
      </c>
    </row>
    <row r="4681" s="122" customFormat="true" ht="15" hidden="false" customHeight="false" outlineLevel="0" collapsed="false">
      <c r="A4681" s="1403"/>
      <c r="B4681" s="47"/>
      <c r="C4681" s="1404" t="s">
        <v>7211</v>
      </c>
      <c r="D4681" s="569" t="n">
        <v>2004</v>
      </c>
      <c r="E4681" s="569" t="n">
        <f aca="false">2021-D4681</f>
        <v>17</v>
      </c>
      <c r="F4681" s="1105" t="n">
        <v>214320</v>
      </c>
      <c r="G4681" s="1444" t="n">
        <v>0.1</v>
      </c>
      <c r="H4681" s="1105" t="n">
        <f aca="false">E4681*F4681*G4681</f>
        <v>364344</v>
      </c>
      <c r="I4681" s="1105" t="n">
        <f aca="false">F4681</f>
        <v>214320</v>
      </c>
      <c r="J4681" s="1105" t="n">
        <f aca="false">F4681*G4681</f>
        <v>21432</v>
      </c>
      <c r="K4681" s="1365" t="n">
        <f aca="false">J4681/1792.8</f>
        <v>11.954484605087</v>
      </c>
      <c r="L4681" s="1105" t="n">
        <v>30</v>
      </c>
      <c r="M4681" s="865" t="n">
        <f aca="false">K4681*L4681/60</f>
        <v>5.97724230254351</v>
      </c>
    </row>
    <row r="4682" s="122" customFormat="true" ht="40.5" hidden="false" customHeight="true" outlineLevel="0" collapsed="false">
      <c r="A4682" s="1403"/>
      <c r="B4682" s="1559"/>
      <c r="C4682" s="1404" t="s">
        <v>7176</v>
      </c>
      <c r="D4682" s="569" t="n">
        <v>2009</v>
      </c>
      <c r="E4682" s="569" t="n">
        <f aca="false">2021-D4682</f>
        <v>12</v>
      </c>
      <c r="F4682" s="1105" t="n">
        <v>166807</v>
      </c>
      <c r="G4682" s="1444" t="n">
        <v>0.1</v>
      </c>
      <c r="H4682" s="1105" t="n">
        <f aca="false">E4682*F4682*G4682</f>
        <v>200168.4</v>
      </c>
      <c r="I4682" s="1105" t="n">
        <f aca="false">F4682-H4682</f>
        <v>-33361.4</v>
      </c>
      <c r="J4682" s="1105" t="n">
        <f aca="false">F4682*G4682</f>
        <v>16680.7</v>
      </c>
      <c r="K4682" s="1365" t="n">
        <f aca="false">J4682/1792.8</f>
        <v>9.30427264614012</v>
      </c>
      <c r="L4682" s="1105" t="n">
        <v>18</v>
      </c>
      <c r="M4682" s="865" t="n">
        <f aca="false">K4682*L4682/60</f>
        <v>2.79128179384204</v>
      </c>
    </row>
    <row r="4683" s="122" customFormat="true" ht="15" hidden="false" customHeight="false" outlineLevel="0" collapsed="false">
      <c r="A4683" s="1403"/>
      <c r="B4683" s="1559"/>
      <c r="C4683" s="1404" t="s">
        <v>7214</v>
      </c>
      <c r="D4683" s="569" t="n">
        <v>2006</v>
      </c>
      <c r="E4683" s="569" t="n">
        <f aca="false">2021-D4683</f>
        <v>15</v>
      </c>
      <c r="F4683" s="1105" t="n">
        <v>10250000</v>
      </c>
      <c r="G4683" s="1444" t="n">
        <v>0.1</v>
      </c>
      <c r="H4683" s="1105" t="n">
        <f aca="false">E4683*F4683*G4683</f>
        <v>15375000</v>
      </c>
      <c r="I4683" s="1105" t="n">
        <f aca="false">F4683-H4683</f>
        <v>-5125000</v>
      </c>
      <c r="J4683" s="1105" t="n">
        <f aca="false">F4683*G4683</f>
        <v>1025000</v>
      </c>
      <c r="K4683" s="1365" t="n">
        <f aca="false">J4683/1792.8</f>
        <v>571.731369924141</v>
      </c>
      <c r="L4683" s="1105" t="n">
        <v>30</v>
      </c>
      <c r="M4683" s="865" t="n">
        <f aca="false">K4683*L4683/60</f>
        <v>285.865684962071</v>
      </c>
    </row>
    <row r="4684" s="122" customFormat="true" ht="15" hidden="false" customHeight="false" outlineLevel="0" collapsed="false">
      <c r="A4684" s="1403"/>
      <c r="B4684" s="1559"/>
      <c r="C4684" s="1404" t="s">
        <v>7215</v>
      </c>
      <c r="D4684" s="569" t="n">
        <v>2006</v>
      </c>
      <c r="E4684" s="569" t="n">
        <f aca="false">2021-D4684</f>
        <v>15</v>
      </c>
      <c r="F4684" s="1105" t="n">
        <v>174000</v>
      </c>
      <c r="G4684" s="1444" t="n">
        <v>0.1</v>
      </c>
      <c r="H4684" s="1105" t="n">
        <f aca="false">E4684*F4684*G4684</f>
        <v>261000</v>
      </c>
      <c r="I4684" s="1105" t="n">
        <f aca="false">F4684-H4684</f>
        <v>-87000</v>
      </c>
      <c r="J4684" s="1105" t="n">
        <f aca="false">F4684*G4684</f>
        <v>17400</v>
      </c>
      <c r="K4684" s="1365" t="n">
        <f aca="false">J4684/1792.8</f>
        <v>9.70548862115127</v>
      </c>
      <c r="L4684" s="1105" t="n">
        <v>30</v>
      </c>
      <c r="M4684" s="865" t="n">
        <f aca="false">K4684*L4684/60</f>
        <v>4.85274431057564</v>
      </c>
    </row>
    <row r="4685" s="122" customFormat="true" ht="15" hidden="false" customHeight="false" outlineLevel="0" collapsed="false">
      <c r="A4685" s="1403"/>
      <c r="B4685" s="1559"/>
      <c r="C4685" s="1404" t="s">
        <v>7216</v>
      </c>
      <c r="D4685" s="569" t="n">
        <v>2007</v>
      </c>
      <c r="E4685" s="569" t="n">
        <f aca="false">2021-D4685</f>
        <v>14</v>
      </c>
      <c r="F4685" s="1105" t="n">
        <v>429000</v>
      </c>
      <c r="G4685" s="1444" t="n">
        <v>0.1</v>
      </c>
      <c r="H4685" s="1105" t="n">
        <f aca="false">E4685*F4685*G4685</f>
        <v>600600</v>
      </c>
      <c r="I4685" s="1105" t="n">
        <f aca="false">F4685-H4685</f>
        <v>-171600</v>
      </c>
      <c r="J4685" s="1105" t="n">
        <f aca="false">F4685*G4685</f>
        <v>42900</v>
      </c>
      <c r="K4685" s="1365" t="n">
        <f aca="false">J4685/1792.8</f>
        <v>23.9290495314592</v>
      </c>
      <c r="L4685" s="1105" t="n">
        <v>30</v>
      </c>
      <c r="M4685" s="865" t="n">
        <f aca="false">K4685*L4685/60</f>
        <v>11.9645247657296</v>
      </c>
    </row>
    <row r="4686" s="122" customFormat="true" ht="15" hidden="false" customHeight="false" outlineLevel="0" collapsed="false">
      <c r="A4686" s="707"/>
      <c r="B4686" s="1559"/>
      <c r="C4686" s="1404" t="s">
        <v>7217</v>
      </c>
      <c r="D4686" s="569" t="n">
        <v>2007</v>
      </c>
      <c r="E4686" s="569" t="n">
        <f aca="false">2021-D4686</f>
        <v>14</v>
      </c>
      <c r="F4686" s="1105" t="n">
        <v>287614</v>
      </c>
      <c r="G4686" s="1444" t="n">
        <v>0.1</v>
      </c>
      <c r="H4686" s="1105" t="n">
        <f aca="false">E4686*F4686*G4686</f>
        <v>402659.6</v>
      </c>
      <c r="I4686" s="1105" t="n">
        <f aca="false">F4686-H4686</f>
        <v>-115045.6</v>
      </c>
      <c r="J4686" s="1105" t="n">
        <f aca="false">F4686*G4686</f>
        <v>28761.4</v>
      </c>
      <c r="K4686" s="1365" t="n">
        <f aca="false">J4686/1792.8</f>
        <v>16.0427264614012</v>
      </c>
      <c r="L4686" s="1105" t="n">
        <v>30</v>
      </c>
      <c r="M4686" s="865" t="n">
        <f aca="false">K4686*L4686/60</f>
        <v>8.02136323070058</v>
      </c>
    </row>
    <row r="4687" s="122" customFormat="true" ht="15" hidden="false" customHeight="false" outlineLevel="0" collapsed="false">
      <c r="A4687" s="1403"/>
      <c r="B4687" s="1559"/>
      <c r="C4687" s="1404" t="s">
        <v>7229</v>
      </c>
      <c r="D4687" s="569" t="n">
        <v>2009</v>
      </c>
      <c r="E4687" s="569" t="n">
        <f aca="false">2021-D4687</f>
        <v>12</v>
      </c>
      <c r="F4687" s="1105" t="n">
        <v>49275</v>
      </c>
      <c r="G4687" s="1444" t="n">
        <v>0.1</v>
      </c>
      <c r="H4687" s="1105" t="n">
        <f aca="false">E4687*F4687*G4687</f>
        <v>59130</v>
      </c>
      <c r="I4687" s="1105" t="n">
        <f aca="false">F4687-H4687</f>
        <v>-9855</v>
      </c>
      <c r="J4687" s="1105" t="n">
        <f aca="false">F4687*G4687</f>
        <v>4927.5</v>
      </c>
      <c r="K4687" s="1365" t="n">
        <f aca="false">J4687/1792.8</f>
        <v>2.74849397590361</v>
      </c>
      <c r="L4687" s="1105" t="n">
        <v>30</v>
      </c>
      <c r="M4687" s="865" t="n">
        <f aca="false">K4687*L4687/60</f>
        <v>1.37424698795181</v>
      </c>
    </row>
    <row r="4688" s="122" customFormat="true" ht="15" hidden="false" customHeight="false" outlineLevel="0" collapsed="false">
      <c r="A4688" s="1403"/>
      <c r="B4688" s="1557" t="s">
        <v>4128</v>
      </c>
      <c r="C4688" s="1404"/>
      <c r="D4688" s="569"/>
      <c r="E4688" s="569"/>
      <c r="F4688" s="1105"/>
      <c r="G4688" s="1444"/>
      <c r="H4688" s="1105"/>
      <c r="I4688" s="1105"/>
      <c r="J4688" s="1105"/>
      <c r="K4688" s="1365" t="n">
        <f aca="false">J4688/1792.8</f>
        <v>0</v>
      </c>
      <c r="L4688" s="754"/>
      <c r="M4688" s="1558" t="n">
        <f aca="false">SUM(M4680:M4687)</f>
        <v>327.152309236948</v>
      </c>
    </row>
    <row r="4689" s="122" customFormat="true" ht="28.5" hidden="false" customHeight="true" outlineLevel="0" collapsed="false">
      <c r="A4689" s="1403" t="s">
        <v>2203</v>
      </c>
      <c r="B4689" s="1559" t="s">
        <v>3836</v>
      </c>
      <c r="C4689" s="1404" t="s">
        <v>7212</v>
      </c>
      <c r="D4689" s="569" t="n">
        <v>2008</v>
      </c>
      <c r="E4689" s="569" t="n">
        <f aca="false">2021-D4689</f>
        <v>13</v>
      </c>
      <c r="F4689" s="1105" t="n">
        <v>376800</v>
      </c>
      <c r="G4689" s="1444" t="n">
        <v>0.1</v>
      </c>
      <c r="H4689" s="1105" t="n">
        <f aca="false">E4689*F4689*G4689</f>
        <v>489840</v>
      </c>
      <c r="I4689" s="1105" t="n">
        <f aca="false">F4689-H4689</f>
        <v>-113040</v>
      </c>
      <c r="J4689" s="1105" t="n">
        <f aca="false">F4689*G4689</f>
        <v>37680</v>
      </c>
      <c r="K4689" s="1365" t="n">
        <f aca="false">J4689/1792.8</f>
        <v>21.0174029451138</v>
      </c>
      <c r="L4689" s="1105" t="n">
        <v>18</v>
      </c>
      <c r="M4689" s="865" t="n">
        <f aca="false">K4689*L4689/60</f>
        <v>6.30522088353414</v>
      </c>
    </row>
    <row r="4690" s="122" customFormat="true" ht="15" hidden="false" customHeight="true" outlineLevel="0" collapsed="false">
      <c r="A4690" s="1403"/>
      <c r="B4690" s="1559"/>
      <c r="C4690" s="1404" t="s">
        <v>7216</v>
      </c>
      <c r="D4690" s="569" t="n">
        <v>2007</v>
      </c>
      <c r="E4690" s="569" t="n">
        <f aca="false">2021-D4690</f>
        <v>14</v>
      </c>
      <c r="F4690" s="1105" t="n">
        <v>429000</v>
      </c>
      <c r="G4690" s="1444" t="n">
        <v>0.1</v>
      </c>
      <c r="H4690" s="1105" t="n">
        <f aca="false">E4690*F4690*G4690</f>
        <v>600600</v>
      </c>
      <c r="I4690" s="1105" t="n">
        <f aca="false">F4690-H4690</f>
        <v>-171600</v>
      </c>
      <c r="J4690" s="1105" t="n">
        <f aca="false">F4690*G4690</f>
        <v>42900</v>
      </c>
      <c r="K4690" s="1365" t="n">
        <f aca="false">J4690/1792.8</f>
        <v>23.9290495314592</v>
      </c>
      <c r="L4690" s="1105" t="n">
        <v>30</v>
      </c>
      <c r="M4690" s="865" t="n">
        <f aca="false">K4690*L4690/60</f>
        <v>11.9645247657296</v>
      </c>
    </row>
    <row r="4691" s="122" customFormat="true" ht="13.5" hidden="false" customHeight="true" outlineLevel="0" collapsed="false">
      <c r="A4691" s="1403"/>
      <c r="B4691" s="1559"/>
      <c r="C4691" s="1404" t="s">
        <v>7217</v>
      </c>
      <c r="D4691" s="569" t="n">
        <v>2007</v>
      </c>
      <c r="E4691" s="569" t="n">
        <f aca="false">2021-D4691</f>
        <v>14</v>
      </c>
      <c r="F4691" s="1105" t="n">
        <v>287614</v>
      </c>
      <c r="G4691" s="1444" t="n">
        <v>0.1</v>
      </c>
      <c r="H4691" s="1105" t="n">
        <f aca="false">E4691*F4691*G4691</f>
        <v>402659.6</v>
      </c>
      <c r="I4691" s="1105" t="n">
        <f aca="false">F4691-H4691</f>
        <v>-115045.6</v>
      </c>
      <c r="J4691" s="1105" t="n">
        <f aca="false">F4691*G4691</f>
        <v>28761.4</v>
      </c>
      <c r="K4691" s="1365" t="n">
        <f aca="false">J4691/1792.8</f>
        <v>16.0427264614012</v>
      </c>
      <c r="L4691" s="1105" t="n">
        <v>360</v>
      </c>
      <c r="M4691" s="865" t="n">
        <f aca="false">K4691*L4691/60</f>
        <v>96.256358768407</v>
      </c>
    </row>
    <row r="4692" s="122" customFormat="true" ht="15.75" hidden="false" customHeight="true" outlineLevel="0" collapsed="false">
      <c r="A4692" s="1403"/>
      <c r="B4692" s="1559"/>
      <c r="C4692" s="1404" t="s">
        <v>7229</v>
      </c>
      <c r="D4692" s="569" t="n">
        <v>2009</v>
      </c>
      <c r="E4692" s="569" t="n">
        <f aca="false">2021-D4692</f>
        <v>12</v>
      </c>
      <c r="F4692" s="1105" t="n">
        <v>49275</v>
      </c>
      <c r="G4692" s="1444" t="n">
        <v>0.1</v>
      </c>
      <c r="H4692" s="1105" t="n">
        <f aca="false">E4692*F4692*G4692</f>
        <v>59130</v>
      </c>
      <c r="I4692" s="1105" t="n">
        <f aca="false">F4692-H4692</f>
        <v>-9855</v>
      </c>
      <c r="J4692" s="1105" t="n">
        <f aca="false">F4692*G4692</f>
        <v>4927.5</v>
      </c>
      <c r="K4692" s="1365" t="n">
        <f aca="false">J4692/1792.8</f>
        <v>2.74849397590361</v>
      </c>
      <c r="L4692" s="1105" t="n">
        <v>30</v>
      </c>
      <c r="M4692" s="865" t="n">
        <f aca="false">K4692*L4692/60</f>
        <v>1.37424698795181</v>
      </c>
    </row>
    <row r="4693" s="122" customFormat="true" ht="15.75" hidden="false" customHeight="true" outlineLevel="0" collapsed="false">
      <c r="A4693" s="1403"/>
      <c r="B4693" s="1557" t="s">
        <v>4128</v>
      </c>
      <c r="C4693" s="1404"/>
      <c r="D4693" s="569"/>
      <c r="E4693" s="569"/>
      <c r="F4693" s="1105"/>
      <c r="G4693" s="1444"/>
      <c r="H4693" s="1105"/>
      <c r="I4693" s="1105"/>
      <c r="J4693" s="1105"/>
      <c r="K4693" s="1365" t="n">
        <f aca="false">J4693/1792.8</f>
        <v>0</v>
      </c>
      <c r="L4693" s="754"/>
      <c r="M4693" s="1558" t="n">
        <f aca="false">SUM(M4689:M4692)</f>
        <v>115.900351405623</v>
      </c>
    </row>
    <row r="4694" s="122" customFormat="true" ht="30" hidden="false" customHeight="false" outlineLevel="0" collapsed="false">
      <c r="A4694" s="707" t="s">
        <v>2205</v>
      </c>
      <c r="B4694" s="47" t="s">
        <v>3837</v>
      </c>
      <c r="C4694" s="1404" t="s">
        <v>6976</v>
      </c>
      <c r="D4694" s="569" t="n">
        <v>2005</v>
      </c>
      <c r="E4694" s="569" t="n">
        <f aca="false">2021-D4694</f>
        <v>16</v>
      </c>
      <c r="F4694" s="1105" t="n">
        <v>57600</v>
      </c>
      <c r="G4694" s="1444" t="n">
        <v>0.1</v>
      </c>
      <c r="H4694" s="1105" t="n">
        <f aca="false">E4694*F4694*G4694</f>
        <v>92160</v>
      </c>
      <c r="I4694" s="1105" t="n">
        <f aca="false">F4694</f>
        <v>57600</v>
      </c>
      <c r="J4694" s="1105" t="n">
        <f aca="false">F4694*G4694</f>
        <v>5760</v>
      </c>
      <c r="K4694" s="1365" t="n">
        <f aca="false">J4694/1792.8</f>
        <v>3.21285140562249</v>
      </c>
      <c r="L4694" s="1105" t="n">
        <v>30</v>
      </c>
      <c r="M4694" s="865" t="n">
        <f aca="false">K4694*L4694/60</f>
        <v>1.60642570281125</v>
      </c>
    </row>
    <row r="4695" s="122" customFormat="true" ht="15" hidden="false" customHeight="false" outlineLevel="0" collapsed="false">
      <c r="A4695" s="707"/>
      <c r="B4695" s="99"/>
      <c r="C4695" s="1404" t="s">
        <v>7232</v>
      </c>
      <c r="D4695" s="569" t="n">
        <v>2006</v>
      </c>
      <c r="E4695" s="569" t="n">
        <f aca="false">2021-D4695</f>
        <v>15</v>
      </c>
      <c r="F4695" s="1105" t="n">
        <v>442300</v>
      </c>
      <c r="G4695" s="1444" t="n">
        <v>0.1</v>
      </c>
      <c r="H4695" s="1105" t="n">
        <f aca="false">E4695*F4695*G4695</f>
        <v>663450</v>
      </c>
      <c r="I4695" s="1105" t="n">
        <f aca="false">F4695-H4695</f>
        <v>-221150</v>
      </c>
      <c r="J4695" s="1105" t="n">
        <f aca="false">F4695*G4695</f>
        <v>44230</v>
      </c>
      <c r="K4695" s="1365" t="n">
        <f aca="false">J4695/1792.8</f>
        <v>24.6709058456046</v>
      </c>
      <c r="L4695" s="1105" t="n">
        <v>30</v>
      </c>
      <c r="M4695" s="865" t="n">
        <f aca="false">K4695*L4695/60</f>
        <v>12.3354529228023</v>
      </c>
    </row>
    <row r="4696" s="122" customFormat="true" ht="15" hidden="false" customHeight="false" outlineLevel="0" collapsed="false">
      <c r="A4696" s="707"/>
      <c r="B4696" s="99"/>
      <c r="C4696" s="1404" t="s">
        <v>7236</v>
      </c>
      <c r="D4696" s="569" t="n">
        <v>2006</v>
      </c>
      <c r="E4696" s="569" t="n">
        <f aca="false">2021-D4696</f>
        <v>15</v>
      </c>
      <c r="F4696" s="1105" t="n">
        <v>40572</v>
      </c>
      <c r="G4696" s="1444" t="n">
        <v>0.1</v>
      </c>
      <c r="H4696" s="1105" t="n">
        <f aca="false">E4696*F4696*G4696</f>
        <v>60858</v>
      </c>
      <c r="I4696" s="1105" t="n">
        <f aca="false">F4696-H4696</f>
        <v>-20286</v>
      </c>
      <c r="J4696" s="1105" t="n">
        <f aca="false">F4696*G4696</f>
        <v>4057.2</v>
      </c>
      <c r="K4696" s="1365" t="n">
        <f aca="false">J4696/1792.8</f>
        <v>2.26305220883534</v>
      </c>
      <c r="L4696" s="1105" t="n">
        <v>1440</v>
      </c>
      <c r="M4696" s="865" t="n">
        <f aca="false">K4696*L4696/60</f>
        <v>54.3132530120482</v>
      </c>
    </row>
    <row r="4697" s="122" customFormat="true" ht="15" hidden="false" customHeight="false" outlineLevel="0" collapsed="false">
      <c r="A4697" s="707"/>
      <c r="B4697" s="99"/>
      <c r="C4697" s="1404" t="s">
        <v>7233</v>
      </c>
      <c r="D4697" s="569" t="n">
        <v>2005</v>
      </c>
      <c r="E4697" s="569" t="n">
        <f aca="false">2021-D4697</f>
        <v>16</v>
      </c>
      <c r="F4697" s="1105" t="n">
        <v>132000</v>
      </c>
      <c r="G4697" s="1444" t="n">
        <v>0.1</v>
      </c>
      <c r="H4697" s="1105" t="n">
        <f aca="false">E4697*F4697*G4697</f>
        <v>211200</v>
      </c>
      <c r="I4697" s="1105" t="n">
        <f aca="false">F4697</f>
        <v>132000</v>
      </c>
      <c r="J4697" s="1105" t="n">
        <f aca="false">F4697*G4697</f>
        <v>13200</v>
      </c>
      <c r="K4697" s="1365" t="n">
        <f aca="false">J4697/1792.8</f>
        <v>7.36278447121821</v>
      </c>
      <c r="L4697" s="1105" t="n">
        <v>390</v>
      </c>
      <c r="M4697" s="865" t="n">
        <f aca="false">K4697*L4697/60</f>
        <v>47.8580990629183</v>
      </c>
    </row>
    <row r="4698" s="122" customFormat="true" ht="15" hidden="false" customHeight="false" outlineLevel="0" collapsed="false">
      <c r="A4698" s="707"/>
      <c r="B4698" s="99"/>
      <c r="C4698" s="1404" t="s">
        <v>7234</v>
      </c>
      <c r="D4698" s="569" t="n">
        <v>2007</v>
      </c>
      <c r="E4698" s="569" t="n">
        <f aca="false">2021-D4698</f>
        <v>14</v>
      </c>
      <c r="F4698" s="1105" t="n">
        <v>769804.25</v>
      </c>
      <c r="G4698" s="1444" t="n">
        <v>0.1</v>
      </c>
      <c r="H4698" s="1105" t="n">
        <f aca="false">E4698*F4698*G4698</f>
        <v>1077725.95</v>
      </c>
      <c r="I4698" s="1105" t="n">
        <f aca="false">F4698-H4698</f>
        <v>-307921.7</v>
      </c>
      <c r="J4698" s="1105" t="n">
        <f aca="false">F4698*G4698</f>
        <v>76980.425</v>
      </c>
      <c r="K4698" s="1365" t="n">
        <f aca="false">J4698/1792.8</f>
        <v>42.9386574074074</v>
      </c>
      <c r="L4698" s="1105" t="n">
        <v>20</v>
      </c>
      <c r="M4698" s="865" t="n">
        <f aca="false">K4698*L4698/60</f>
        <v>14.3128858024691</v>
      </c>
    </row>
    <row r="4699" s="122" customFormat="true" ht="15" hidden="false" customHeight="false" outlineLevel="0" collapsed="false">
      <c r="A4699" s="707"/>
      <c r="B4699" s="99"/>
      <c r="C4699" s="1404" t="s">
        <v>7235</v>
      </c>
      <c r="D4699" s="569" t="n">
        <v>2009</v>
      </c>
      <c r="E4699" s="569" t="n">
        <f aca="false">2021-D4699</f>
        <v>12</v>
      </c>
      <c r="F4699" s="1105" t="n">
        <v>797040</v>
      </c>
      <c r="G4699" s="1444" t="n">
        <v>0.1</v>
      </c>
      <c r="H4699" s="1105" t="n">
        <f aca="false">E4699*F4699*G4699</f>
        <v>956448</v>
      </c>
      <c r="I4699" s="1105" t="n">
        <f aca="false">F4699-H4699</f>
        <v>-159408</v>
      </c>
      <c r="J4699" s="1105" t="n">
        <f aca="false">F4699*G4699</f>
        <v>79704</v>
      </c>
      <c r="K4699" s="1365" t="n">
        <f aca="false">J4699/1792.8</f>
        <v>44.4578313253012</v>
      </c>
      <c r="L4699" s="1105" t="n">
        <v>2</v>
      </c>
      <c r="M4699" s="865" t="n">
        <f aca="false">K4699*L4699/60</f>
        <v>1.48192771084337</v>
      </c>
    </row>
    <row r="4700" s="122" customFormat="true" ht="15" hidden="false" customHeight="false" outlineLevel="0" collapsed="false">
      <c r="A4700" s="707"/>
      <c r="B4700" s="99"/>
      <c r="C4700" s="1404" t="s">
        <v>6978</v>
      </c>
      <c r="D4700" s="569" t="n">
        <v>2005</v>
      </c>
      <c r="E4700" s="569" t="n">
        <f aca="false">2021-D4700</f>
        <v>16</v>
      </c>
      <c r="F4700" s="1105" t="n">
        <v>132000</v>
      </c>
      <c r="G4700" s="1444" t="n">
        <v>0.1</v>
      </c>
      <c r="H4700" s="1105" t="n">
        <f aca="false">E4700*F4700*G4700</f>
        <v>211200</v>
      </c>
      <c r="I4700" s="1105" t="n">
        <f aca="false">F4700</f>
        <v>132000</v>
      </c>
      <c r="J4700" s="1105" t="n">
        <f aca="false">F4700*G4700</f>
        <v>13200</v>
      </c>
      <c r="K4700" s="1365" t="n">
        <f aca="false">J4700/1792.8</f>
        <v>7.36278447121821</v>
      </c>
      <c r="L4700" s="1105" t="n">
        <v>60</v>
      </c>
      <c r="M4700" s="865" t="n">
        <f aca="false">K4700*L4700/60</f>
        <v>7.36278447121821</v>
      </c>
    </row>
    <row r="4701" s="122" customFormat="true" ht="15" hidden="false" customHeight="false" outlineLevel="0" collapsed="false">
      <c r="A4701" s="707"/>
      <c r="B4701" s="1557" t="s">
        <v>4128</v>
      </c>
      <c r="C4701" s="1404"/>
      <c r="D4701" s="569"/>
      <c r="E4701" s="569"/>
      <c r="F4701" s="1105"/>
      <c r="G4701" s="1444"/>
      <c r="H4701" s="1105"/>
      <c r="I4701" s="1105"/>
      <c r="J4701" s="1105"/>
      <c r="K4701" s="1365" t="n">
        <f aca="false">J4701/1792.8</f>
        <v>0</v>
      </c>
      <c r="L4701" s="754"/>
      <c r="M4701" s="1558" t="n">
        <f aca="false">SUM(M4694:M4700)</f>
        <v>139.270828685111</v>
      </c>
    </row>
    <row r="4702" s="122" customFormat="true" ht="30" hidden="false" customHeight="false" outlineLevel="0" collapsed="false">
      <c r="A4702" s="1403" t="s">
        <v>2207</v>
      </c>
      <c r="B4702" s="1559" t="s">
        <v>7239</v>
      </c>
      <c r="C4702" s="1404" t="s">
        <v>7212</v>
      </c>
      <c r="D4702" s="569" t="n">
        <v>2008</v>
      </c>
      <c r="E4702" s="569" t="n">
        <f aca="false">2021-D4702</f>
        <v>13</v>
      </c>
      <c r="F4702" s="1105" t="n">
        <v>376800</v>
      </c>
      <c r="G4702" s="1444" t="n">
        <v>0.1</v>
      </c>
      <c r="H4702" s="1105" t="n">
        <f aca="false">E4702*F4702*G4702</f>
        <v>489840</v>
      </c>
      <c r="I4702" s="1105" t="n">
        <f aca="false">F4702-H4702</f>
        <v>-113040</v>
      </c>
      <c r="J4702" s="1105" t="n">
        <f aca="false">F4702*G4702</f>
        <v>37680</v>
      </c>
      <c r="K4702" s="1365" t="n">
        <f aca="false">J4702/1792.8</f>
        <v>21.0174029451138</v>
      </c>
      <c r="L4702" s="1105" t="n">
        <v>18</v>
      </c>
      <c r="M4702" s="865" t="n">
        <f aca="false">K4702*L4702/60</f>
        <v>6.30522088353414</v>
      </c>
    </row>
    <row r="4703" s="122" customFormat="true" ht="15" hidden="false" customHeight="false" outlineLevel="0" collapsed="false">
      <c r="A4703" s="707"/>
      <c r="B4703" s="47"/>
      <c r="C4703" s="1404" t="s">
        <v>7211</v>
      </c>
      <c r="D4703" s="569" t="n">
        <v>2004</v>
      </c>
      <c r="E4703" s="569" t="n">
        <f aca="false">2021-D4703</f>
        <v>17</v>
      </c>
      <c r="F4703" s="1105" t="n">
        <v>214320</v>
      </c>
      <c r="G4703" s="1444" t="n">
        <v>0.1</v>
      </c>
      <c r="H4703" s="1105" t="n">
        <f aca="false">E4703*F4703*G4703</f>
        <v>364344</v>
      </c>
      <c r="I4703" s="1105" t="n">
        <f aca="false">F4703</f>
        <v>214320</v>
      </c>
      <c r="J4703" s="1105" t="n">
        <f aca="false">F4703*G4703</f>
        <v>21432</v>
      </c>
      <c r="K4703" s="1365" t="n">
        <f aca="false">J4703/1792.8</f>
        <v>11.954484605087</v>
      </c>
      <c r="L4703" s="1105" t="n">
        <v>30</v>
      </c>
      <c r="M4703" s="865" t="n">
        <f aca="false">K4703*L4703/60</f>
        <v>5.97724230254351</v>
      </c>
    </row>
    <row r="4704" s="122" customFormat="true" ht="15" hidden="false" customHeight="false" outlineLevel="0" collapsed="false">
      <c r="A4704" s="1403"/>
      <c r="B4704" s="1559"/>
      <c r="C4704" s="1404" t="s">
        <v>7176</v>
      </c>
      <c r="D4704" s="569" t="n">
        <v>2009</v>
      </c>
      <c r="E4704" s="569" t="n">
        <f aca="false">2021-D4704</f>
        <v>12</v>
      </c>
      <c r="F4704" s="1105" t="n">
        <v>166807</v>
      </c>
      <c r="G4704" s="1444" t="n">
        <v>0.1</v>
      </c>
      <c r="H4704" s="1105" t="n">
        <f aca="false">E4704*F4704*G4704</f>
        <v>200168.4</v>
      </c>
      <c r="I4704" s="1105" t="n">
        <f aca="false">F4704-H4704</f>
        <v>-33361.4</v>
      </c>
      <c r="J4704" s="1105" t="n">
        <f aca="false">F4704*G4704</f>
        <v>16680.7</v>
      </c>
      <c r="K4704" s="1365" t="n">
        <f aca="false">J4704/1792.8</f>
        <v>9.30427264614012</v>
      </c>
      <c r="L4704" s="1105" t="n">
        <v>18</v>
      </c>
      <c r="M4704" s="865" t="n">
        <f aca="false">K4704*L4704/60</f>
        <v>2.79128179384204</v>
      </c>
    </row>
    <row r="4705" s="122" customFormat="true" ht="15" hidden="false" customHeight="false" outlineLevel="0" collapsed="false">
      <c r="A4705" s="1403"/>
      <c r="B4705" s="1559"/>
      <c r="C4705" s="1404" t="s">
        <v>7214</v>
      </c>
      <c r="D4705" s="569" t="n">
        <v>2006</v>
      </c>
      <c r="E4705" s="569" t="n">
        <f aca="false">2021-D4705</f>
        <v>15</v>
      </c>
      <c r="F4705" s="1105" t="n">
        <v>10250000</v>
      </c>
      <c r="G4705" s="1444" t="n">
        <v>0.1</v>
      </c>
      <c r="H4705" s="1105" t="n">
        <f aca="false">E4705*F4705*G4705</f>
        <v>15375000</v>
      </c>
      <c r="I4705" s="1105" t="n">
        <f aca="false">F4705-H4705</f>
        <v>-5125000</v>
      </c>
      <c r="J4705" s="1105" t="n">
        <f aca="false">F4705*G4705</f>
        <v>1025000</v>
      </c>
      <c r="K4705" s="1365" t="n">
        <f aca="false">J4705/1792.8</f>
        <v>571.731369924141</v>
      </c>
      <c r="L4705" s="1105" t="n">
        <v>30</v>
      </c>
      <c r="M4705" s="865" t="n">
        <f aca="false">K4705*L4705/60</f>
        <v>285.865684962071</v>
      </c>
    </row>
    <row r="4706" s="122" customFormat="true" ht="15" hidden="false" customHeight="false" outlineLevel="0" collapsed="false">
      <c r="A4706" s="1403"/>
      <c r="B4706" s="1559"/>
      <c r="C4706" s="1404" t="s">
        <v>7215</v>
      </c>
      <c r="D4706" s="569" t="n">
        <v>2006</v>
      </c>
      <c r="E4706" s="569" t="n">
        <f aca="false">2021-D4706</f>
        <v>15</v>
      </c>
      <c r="F4706" s="1105" t="n">
        <v>174000</v>
      </c>
      <c r="G4706" s="1444" t="n">
        <v>0.1</v>
      </c>
      <c r="H4706" s="1105" t="n">
        <f aca="false">E4706*F4706*G4706</f>
        <v>261000</v>
      </c>
      <c r="I4706" s="1105" t="n">
        <f aca="false">F4706-H4706</f>
        <v>-87000</v>
      </c>
      <c r="J4706" s="1105" t="n">
        <f aca="false">F4706*G4706</f>
        <v>17400</v>
      </c>
      <c r="K4706" s="1365" t="n">
        <f aca="false">J4706/1792.8</f>
        <v>9.70548862115127</v>
      </c>
      <c r="L4706" s="1105" t="n">
        <v>30</v>
      </c>
      <c r="M4706" s="865" t="n">
        <f aca="false">K4706*L4706/60</f>
        <v>4.85274431057564</v>
      </c>
    </row>
    <row r="4707" s="122" customFormat="true" ht="15" hidden="false" customHeight="false" outlineLevel="0" collapsed="false">
      <c r="A4707" s="1403"/>
      <c r="B4707" s="1559"/>
      <c r="C4707" s="1404" t="s">
        <v>7216</v>
      </c>
      <c r="D4707" s="569" t="n">
        <v>2007</v>
      </c>
      <c r="E4707" s="569" t="n">
        <f aca="false">2021-D4707</f>
        <v>14</v>
      </c>
      <c r="F4707" s="1105" t="n">
        <v>429000</v>
      </c>
      <c r="G4707" s="1444" t="n">
        <v>0.1</v>
      </c>
      <c r="H4707" s="1105" t="n">
        <f aca="false">E4707*F4707*G4707</f>
        <v>600600</v>
      </c>
      <c r="I4707" s="1105" t="n">
        <f aca="false">F4707-H4707</f>
        <v>-171600</v>
      </c>
      <c r="J4707" s="1105" t="n">
        <f aca="false">F4707*G4707</f>
        <v>42900</v>
      </c>
      <c r="K4707" s="1365" t="n">
        <f aca="false">J4707/1792.8</f>
        <v>23.9290495314592</v>
      </c>
      <c r="L4707" s="1105" t="n">
        <v>30</v>
      </c>
      <c r="M4707" s="865" t="n">
        <f aca="false">K4707*L4707/60</f>
        <v>11.9645247657296</v>
      </c>
    </row>
    <row r="4708" s="122" customFormat="true" ht="15" hidden="false" customHeight="false" outlineLevel="0" collapsed="false">
      <c r="A4708" s="1403"/>
      <c r="B4708" s="1559"/>
      <c r="C4708" s="1404" t="s">
        <v>7217</v>
      </c>
      <c r="D4708" s="569" t="n">
        <v>2007</v>
      </c>
      <c r="E4708" s="569" t="n">
        <f aca="false">2021-D4708</f>
        <v>14</v>
      </c>
      <c r="F4708" s="1105" t="n">
        <v>287614</v>
      </c>
      <c r="G4708" s="1444" t="n">
        <v>0.1</v>
      </c>
      <c r="H4708" s="1105" t="n">
        <f aca="false">E4708*F4708*G4708</f>
        <v>402659.6</v>
      </c>
      <c r="I4708" s="1105" t="n">
        <f aca="false">F4708-H4708</f>
        <v>-115045.6</v>
      </c>
      <c r="J4708" s="1105" t="n">
        <f aca="false">F4708*G4708</f>
        <v>28761.4</v>
      </c>
      <c r="K4708" s="1365" t="n">
        <f aca="false">J4708/1792.8</f>
        <v>16.0427264614012</v>
      </c>
      <c r="L4708" s="1105" t="n">
        <v>30</v>
      </c>
      <c r="M4708" s="865" t="n">
        <f aca="false">K4708*L4708/60</f>
        <v>8.02136323070058</v>
      </c>
    </row>
    <row r="4709" s="122" customFormat="true" ht="15" hidden="false" customHeight="false" outlineLevel="0" collapsed="false">
      <c r="A4709" s="1403"/>
      <c r="B4709" s="1559"/>
      <c r="C4709" s="1404" t="s">
        <v>7229</v>
      </c>
      <c r="D4709" s="569" t="n">
        <v>2009</v>
      </c>
      <c r="E4709" s="569" t="n">
        <f aca="false">2021-D4709</f>
        <v>12</v>
      </c>
      <c r="F4709" s="1105" t="n">
        <v>49275</v>
      </c>
      <c r="G4709" s="1444" t="n">
        <v>0.1</v>
      </c>
      <c r="H4709" s="1105" t="n">
        <f aca="false">E4709*F4709*G4709</f>
        <v>59130</v>
      </c>
      <c r="I4709" s="1105" t="n">
        <f aca="false">F4709-H4709</f>
        <v>-9855</v>
      </c>
      <c r="J4709" s="1105" t="n">
        <f aca="false">F4709*G4709</f>
        <v>4927.5</v>
      </c>
      <c r="K4709" s="1365" t="n">
        <f aca="false">J4709/1792.8</f>
        <v>2.74849397590361</v>
      </c>
      <c r="L4709" s="1105" t="n">
        <v>30</v>
      </c>
      <c r="M4709" s="865" t="n">
        <f aca="false">K4709*L4709/60</f>
        <v>1.37424698795181</v>
      </c>
    </row>
    <row r="4710" s="122" customFormat="true" ht="15" hidden="false" customHeight="false" outlineLevel="0" collapsed="false">
      <c r="A4710" s="1403"/>
      <c r="B4710" s="1557" t="s">
        <v>4128</v>
      </c>
      <c r="C4710" s="1404"/>
      <c r="D4710" s="569"/>
      <c r="E4710" s="569"/>
      <c r="F4710" s="1105"/>
      <c r="G4710" s="1444"/>
      <c r="H4710" s="1105"/>
      <c r="I4710" s="1105"/>
      <c r="J4710" s="1105"/>
      <c r="K4710" s="1365" t="n">
        <f aca="false">J4710/1792.8</f>
        <v>0</v>
      </c>
      <c r="L4710" s="754"/>
      <c r="M4710" s="1558" t="n">
        <f aca="false">SUM(M4702:M4709)</f>
        <v>327.152309236948</v>
      </c>
    </row>
    <row r="4711" s="122" customFormat="true" ht="30" hidden="false" customHeight="false" outlineLevel="0" collapsed="false">
      <c r="A4711" s="1403" t="s">
        <v>2209</v>
      </c>
      <c r="B4711" s="1559" t="s">
        <v>7240</v>
      </c>
      <c r="C4711" s="1404" t="s">
        <v>7212</v>
      </c>
      <c r="D4711" s="569" t="n">
        <v>2008</v>
      </c>
      <c r="E4711" s="569" t="n">
        <f aca="false">2021-D4711</f>
        <v>13</v>
      </c>
      <c r="F4711" s="1105" t="n">
        <v>376800</v>
      </c>
      <c r="G4711" s="1444" t="n">
        <v>0.1</v>
      </c>
      <c r="H4711" s="1105" t="n">
        <f aca="false">E4711*F4711*G4711</f>
        <v>489840</v>
      </c>
      <c r="I4711" s="1105" t="n">
        <f aca="false">F4711-H4711</f>
        <v>-113040</v>
      </c>
      <c r="J4711" s="1105" t="n">
        <f aca="false">F4711*G4711</f>
        <v>37680</v>
      </c>
      <c r="K4711" s="1365" t="n">
        <f aca="false">J4711/1792.8</f>
        <v>21.0174029451138</v>
      </c>
      <c r="L4711" s="1105" t="n">
        <v>18</v>
      </c>
      <c r="M4711" s="865" t="n">
        <f aca="false">K4711*L4711/60</f>
        <v>6.30522088353414</v>
      </c>
    </row>
    <row r="4712" s="122" customFormat="true" ht="15" hidden="false" customHeight="false" outlineLevel="0" collapsed="false">
      <c r="A4712" s="707"/>
      <c r="B4712" s="47"/>
      <c r="C4712" s="1404" t="s">
        <v>7211</v>
      </c>
      <c r="D4712" s="569" t="n">
        <v>2004</v>
      </c>
      <c r="E4712" s="569" t="n">
        <f aca="false">2021-D4712</f>
        <v>17</v>
      </c>
      <c r="F4712" s="1105" t="n">
        <v>214320</v>
      </c>
      <c r="G4712" s="1444" t="n">
        <v>0.1</v>
      </c>
      <c r="H4712" s="1105" t="n">
        <f aca="false">E4712*F4712*G4712</f>
        <v>364344</v>
      </c>
      <c r="I4712" s="1105" t="n">
        <f aca="false">F4712</f>
        <v>214320</v>
      </c>
      <c r="J4712" s="1105" t="n">
        <f aca="false">F4712*G4712</f>
        <v>21432</v>
      </c>
      <c r="K4712" s="1365" t="n">
        <f aca="false">J4712/1792.8</f>
        <v>11.954484605087</v>
      </c>
      <c r="L4712" s="1105" t="n">
        <v>30</v>
      </c>
      <c r="M4712" s="865" t="n">
        <f aca="false">K4712*L4712/60</f>
        <v>5.97724230254351</v>
      </c>
    </row>
    <row r="4713" s="122" customFormat="true" ht="15" hidden="false" customHeight="false" outlineLevel="0" collapsed="false">
      <c r="A4713" s="1403"/>
      <c r="B4713" s="1559"/>
      <c r="C4713" s="1404" t="s">
        <v>7176</v>
      </c>
      <c r="D4713" s="569" t="n">
        <v>2009</v>
      </c>
      <c r="E4713" s="569" t="n">
        <f aca="false">2021-D4713</f>
        <v>12</v>
      </c>
      <c r="F4713" s="1105" t="n">
        <v>166807</v>
      </c>
      <c r="G4713" s="1444" t="n">
        <v>0.1</v>
      </c>
      <c r="H4713" s="1105" t="n">
        <f aca="false">E4713*F4713*G4713</f>
        <v>200168.4</v>
      </c>
      <c r="I4713" s="1105" t="n">
        <f aca="false">F4713-H4713</f>
        <v>-33361.4</v>
      </c>
      <c r="J4713" s="1105" t="n">
        <f aca="false">F4713*G4713</f>
        <v>16680.7</v>
      </c>
      <c r="K4713" s="1365" t="n">
        <f aca="false">J4713/1792.8</f>
        <v>9.30427264614012</v>
      </c>
      <c r="L4713" s="1105" t="n">
        <v>18</v>
      </c>
      <c r="M4713" s="865" t="n">
        <f aca="false">K4713*L4713/60</f>
        <v>2.79128179384204</v>
      </c>
    </row>
    <row r="4714" s="122" customFormat="true" ht="15" hidden="false" customHeight="false" outlineLevel="0" collapsed="false">
      <c r="A4714" s="1403"/>
      <c r="B4714" s="1559"/>
      <c r="C4714" s="1404" t="s">
        <v>7214</v>
      </c>
      <c r="D4714" s="569" t="n">
        <v>2006</v>
      </c>
      <c r="E4714" s="569" t="n">
        <f aca="false">2021-D4714</f>
        <v>15</v>
      </c>
      <c r="F4714" s="1105" t="n">
        <v>10250000</v>
      </c>
      <c r="G4714" s="1444" t="n">
        <v>0.1</v>
      </c>
      <c r="H4714" s="1105" t="n">
        <f aca="false">E4714*F4714*G4714</f>
        <v>15375000</v>
      </c>
      <c r="I4714" s="1105" t="n">
        <f aca="false">F4714-H4714</f>
        <v>-5125000</v>
      </c>
      <c r="J4714" s="1105" t="n">
        <f aca="false">F4714*G4714</f>
        <v>1025000</v>
      </c>
      <c r="K4714" s="1365" t="n">
        <f aca="false">J4714/1792.8</f>
        <v>571.731369924141</v>
      </c>
      <c r="L4714" s="1105" t="n">
        <v>30</v>
      </c>
      <c r="M4714" s="865" t="n">
        <f aca="false">K4714*L4714/60</f>
        <v>285.865684962071</v>
      </c>
    </row>
    <row r="4715" s="122" customFormat="true" ht="15" hidden="false" customHeight="false" outlineLevel="0" collapsed="false">
      <c r="A4715" s="1403"/>
      <c r="B4715" s="1559"/>
      <c r="C4715" s="1404" t="s">
        <v>7215</v>
      </c>
      <c r="D4715" s="569" t="n">
        <v>2006</v>
      </c>
      <c r="E4715" s="569" t="n">
        <f aca="false">2021-D4715</f>
        <v>15</v>
      </c>
      <c r="F4715" s="1105" t="n">
        <v>174000</v>
      </c>
      <c r="G4715" s="1444" t="n">
        <v>0.1</v>
      </c>
      <c r="H4715" s="1105" t="n">
        <f aca="false">E4715*F4715*G4715</f>
        <v>261000</v>
      </c>
      <c r="I4715" s="1105" t="n">
        <f aca="false">F4715-H4715</f>
        <v>-87000</v>
      </c>
      <c r="J4715" s="1105" t="n">
        <f aca="false">F4715*G4715</f>
        <v>17400</v>
      </c>
      <c r="K4715" s="1365" t="n">
        <f aca="false">J4715/1792.8</f>
        <v>9.70548862115127</v>
      </c>
      <c r="L4715" s="1105" t="n">
        <v>30</v>
      </c>
      <c r="M4715" s="865" t="n">
        <f aca="false">K4715*L4715/60</f>
        <v>4.85274431057564</v>
      </c>
    </row>
    <row r="4716" s="122" customFormat="true" ht="15" hidden="false" customHeight="false" outlineLevel="0" collapsed="false">
      <c r="A4716" s="1403"/>
      <c r="B4716" s="1559"/>
      <c r="C4716" s="1404" t="s">
        <v>7216</v>
      </c>
      <c r="D4716" s="569" t="n">
        <v>2007</v>
      </c>
      <c r="E4716" s="569" t="n">
        <f aca="false">2021-D4716</f>
        <v>14</v>
      </c>
      <c r="F4716" s="1105" t="n">
        <v>429000</v>
      </c>
      <c r="G4716" s="1444" t="n">
        <v>0.1</v>
      </c>
      <c r="H4716" s="1105" t="n">
        <f aca="false">E4716*F4716*G4716</f>
        <v>600600</v>
      </c>
      <c r="I4716" s="1105" t="n">
        <f aca="false">F4716-H4716</f>
        <v>-171600</v>
      </c>
      <c r="J4716" s="1105" t="n">
        <f aca="false">F4716*G4716</f>
        <v>42900</v>
      </c>
      <c r="K4716" s="1365" t="n">
        <f aca="false">J4716/1792.8</f>
        <v>23.9290495314592</v>
      </c>
      <c r="L4716" s="1105" t="n">
        <v>30</v>
      </c>
      <c r="M4716" s="865" t="n">
        <f aca="false">K4716*L4716/60</f>
        <v>11.9645247657296</v>
      </c>
    </row>
    <row r="4717" s="122" customFormat="true" ht="15" hidden="false" customHeight="false" outlineLevel="0" collapsed="false">
      <c r="A4717" s="1403"/>
      <c r="B4717" s="1559"/>
      <c r="C4717" s="1404" t="s">
        <v>7217</v>
      </c>
      <c r="D4717" s="569" t="n">
        <v>2007</v>
      </c>
      <c r="E4717" s="569" t="n">
        <f aca="false">2021-D4717</f>
        <v>14</v>
      </c>
      <c r="F4717" s="1105" t="n">
        <v>287614</v>
      </c>
      <c r="G4717" s="1444" t="n">
        <v>0.1</v>
      </c>
      <c r="H4717" s="1105" t="n">
        <f aca="false">E4717*F4717*G4717</f>
        <v>402659.6</v>
      </c>
      <c r="I4717" s="1105" t="n">
        <f aca="false">F4717-H4717</f>
        <v>-115045.6</v>
      </c>
      <c r="J4717" s="1105" t="n">
        <f aca="false">F4717*G4717</f>
        <v>28761.4</v>
      </c>
      <c r="K4717" s="1365" t="n">
        <f aca="false">J4717/1792.8</f>
        <v>16.0427264614012</v>
      </c>
      <c r="L4717" s="1105" t="n">
        <v>30</v>
      </c>
      <c r="M4717" s="865" t="n">
        <f aca="false">K4717*L4717/60</f>
        <v>8.02136323070058</v>
      </c>
    </row>
    <row r="4718" s="122" customFormat="true" ht="15" hidden="false" customHeight="false" outlineLevel="0" collapsed="false">
      <c r="A4718" s="1403"/>
      <c r="B4718" s="1559"/>
      <c r="C4718" s="1404" t="s">
        <v>7229</v>
      </c>
      <c r="D4718" s="569" t="n">
        <v>2009</v>
      </c>
      <c r="E4718" s="569" t="n">
        <f aca="false">2021-D4718</f>
        <v>12</v>
      </c>
      <c r="F4718" s="1105" t="n">
        <v>49275</v>
      </c>
      <c r="G4718" s="1444" t="n">
        <v>0.1</v>
      </c>
      <c r="H4718" s="1105" t="n">
        <f aca="false">E4718*F4718*G4718</f>
        <v>59130</v>
      </c>
      <c r="I4718" s="1105" t="n">
        <f aca="false">F4718-H4718</f>
        <v>-9855</v>
      </c>
      <c r="J4718" s="1105" t="n">
        <f aca="false">F4718*G4718</f>
        <v>4927.5</v>
      </c>
      <c r="K4718" s="1365" t="n">
        <f aca="false">J4718/1792.8</f>
        <v>2.74849397590361</v>
      </c>
      <c r="L4718" s="1105" t="n">
        <v>30</v>
      </c>
      <c r="M4718" s="865" t="n">
        <f aca="false">K4718*L4718/60</f>
        <v>1.37424698795181</v>
      </c>
    </row>
    <row r="4719" s="122" customFormat="true" ht="15" hidden="false" customHeight="false" outlineLevel="0" collapsed="false">
      <c r="A4719" s="1403"/>
      <c r="B4719" s="1557" t="s">
        <v>4128</v>
      </c>
      <c r="C4719" s="1404"/>
      <c r="D4719" s="569"/>
      <c r="E4719" s="569"/>
      <c r="F4719" s="1105"/>
      <c r="G4719" s="1444"/>
      <c r="H4719" s="1105"/>
      <c r="I4719" s="1105"/>
      <c r="J4719" s="1105"/>
      <c r="K4719" s="1365" t="n">
        <f aca="false">J4719/1792.8</f>
        <v>0</v>
      </c>
      <c r="L4719" s="754"/>
      <c r="M4719" s="1558" t="n">
        <f aca="false">SUM(M4711:M4718)</f>
        <v>327.152309236948</v>
      </c>
    </row>
    <row r="4720" s="122" customFormat="true" ht="15" hidden="false" customHeight="false" outlineLevel="0" collapsed="false">
      <c r="A4720" s="707" t="s">
        <v>2211</v>
      </c>
      <c r="B4720" s="47" t="s">
        <v>7241</v>
      </c>
      <c r="C4720" s="1404" t="s">
        <v>6976</v>
      </c>
      <c r="D4720" s="569" t="n">
        <v>2005</v>
      </c>
      <c r="E4720" s="569" t="n">
        <f aca="false">2021-D4720</f>
        <v>16</v>
      </c>
      <c r="F4720" s="1105" t="n">
        <v>57600</v>
      </c>
      <c r="G4720" s="1444" t="n">
        <v>0.1</v>
      </c>
      <c r="H4720" s="1105" t="n">
        <f aca="false">E4720*F4720*G4720</f>
        <v>92160</v>
      </c>
      <c r="I4720" s="1105" t="n">
        <f aca="false">F4720</f>
        <v>57600</v>
      </c>
      <c r="J4720" s="1105" t="n">
        <f aca="false">F4720*G4720</f>
        <v>5760</v>
      </c>
      <c r="K4720" s="1365" t="n">
        <f aca="false">J4720/1792.8</f>
        <v>3.21285140562249</v>
      </c>
      <c r="L4720" s="1105" t="n">
        <v>30</v>
      </c>
      <c r="M4720" s="865" t="n">
        <f aca="false">K4720*L4720/60</f>
        <v>1.60642570281125</v>
      </c>
    </row>
    <row r="4721" s="122" customFormat="true" ht="15" hidden="false" customHeight="false" outlineLevel="0" collapsed="false">
      <c r="A4721" s="707"/>
      <c r="B4721" s="99"/>
      <c r="C4721" s="1404" t="s">
        <v>7232</v>
      </c>
      <c r="D4721" s="569" t="n">
        <v>2006</v>
      </c>
      <c r="E4721" s="569" t="n">
        <f aca="false">2021-D4721</f>
        <v>15</v>
      </c>
      <c r="F4721" s="1105" t="n">
        <v>442300</v>
      </c>
      <c r="G4721" s="1444" t="n">
        <v>0.1</v>
      </c>
      <c r="H4721" s="1105" t="n">
        <f aca="false">E4721*F4721*G4721</f>
        <v>663450</v>
      </c>
      <c r="I4721" s="1105" t="n">
        <f aca="false">F4721-H4721</f>
        <v>-221150</v>
      </c>
      <c r="J4721" s="1105" t="n">
        <f aca="false">F4721*G4721</f>
        <v>44230</v>
      </c>
      <c r="K4721" s="1365" t="n">
        <f aca="false">J4721/1792.8</f>
        <v>24.6709058456046</v>
      </c>
      <c r="L4721" s="1105" t="n">
        <v>30</v>
      </c>
      <c r="M4721" s="865" t="n">
        <f aca="false">K4721*L4721/60</f>
        <v>12.3354529228023</v>
      </c>
    </row>
    <row r="4722" s="122" customFormat="true" ht="18.75" hidden="false" customHeight="true" outlineLevel="0" collapsed="false">
      <c r="A4722" s="707"/>
      <c r="B4722" s="99"/>
      <c r="C4722" s="1404" t="s">
        <v>7233</v>
      </c>
      <c r="D4722" s="569" t="n">
        <v>2005</v>
      </c>
      <c r="E4722" s="569" t="n">
        <f aca="false">2021-D4722</f>
        <v>16</v>
      </c>
      <c r="F4722" s="1105" t="n">
        <v>132000</v>
      </c>
      <c r="G4722" s="1444" t="n">
        <v>0.1</v>
      </c>
      <c r="H4722" s="1105" t="n">
        <f aca="false">E4722*F4722*G4722</f>
        <v>211200</v>
      </c>
      <c r="I4722" s="1105" t="n">
        <f aca="false">F4722</f>
        <v>132000</v>
      </c>
      <c r="J4722" s="1105" t="n">
        <f aca="false">F4722*G4722</f>
        <v>13200</v>
      </c>
      <c r="K4722" s="1365" t="n">
        <f aca="false">J4722/1792.8</f>
        <v>7.36278447121821</v>
      </c>
      <c r="L4722" s="1105" t="n">
        <v>345</v>
      </c>
      <c r="M4722" s="865" t="n">
        <f aca="false">K4722*L4722/60</f>
        <v>42.3360107095047</v>
      </c>
    </row>
    <row r="4723" s="122" customFormat="true" ht="15" hidden="false" customHeight="false" outlineLevel="0" collapsed="false">
      <c r="A4723" s="707"/>
      <c r="B4723" s="99"/>
      <c r="C4723" s="1404" t="s">
        <v>7234</v>
      </c>
      <c r="D4723" s="569" t="n">
        <v>2007</v>
      </c>
      <c r="E4723" s="569" t="n">
        <f aca="false">2021-D4723</f>
        <v>14</v>
      </c>
      <c r="F4723" s="1105" t="n">
        <v>769804.25</v>
      </c>
      <c r="G4723" s="1444" t="n">
        <v>0.1</v>
      </c>
      <c r="H4723" s="1105" t="n">
        <f aca="false">E4723*F4723*G4723</f>
        <v>1077725.95</v>
      </c>
      <c r="I4723" s="1105" t="n">
        <f aca="false">F4723-H4723</f>
        <v>-307921.7</v>
      </c>
      <c r="J4723" s="1105" t="n">
        <f aca="false">F4723*G4723</f>
        <v>76980.425</v>
      </c>
      <c r="K4723" s="1365" t="n">
        <f aca="false">J4723/1792.8</f>
        <v>42.9386574074074</v>
      </c>
      <c r="L4723" s="1105" t="n">
        <v>20</v>
      </c>
      <c r="M4723" s="865" t="n">
        <f aca="false">K4723*L4723/60</f>
        <v>14.3128858024691</v>
      </c>
    </row>
    <row r="4724" s="122" customFormat="true" ht="15" hidden="false" customHeight="false" outlineLevel="0" collapsed="false">
      <c r="A4724" s="707"/>
      <c r="B4724" s="99"/>
      <c r="C4724" s="1404" t="s">
        <v>7235</v>
      </c>
      <c r="D4724" s="569" t="n">
        <v>2009</v>
      </c>
      <c r="E4724" s="569" t="n">
        <f aca="false">2021-D4724</f>
        <v>12</v>
      </c>
      <c r="F4724" s="1105" t="n">
        <v>797040</v>
      </c>
      <c r="G4724" s="1444" t="n">
        <v>0.1</v>
      </c>
      <c r="H4724" s="1105" t="n">
        <f aca="false">E4724*F4724*G4724</f>
        <v>956448</v>
      </c>
      <c r="I4724" s="1105" t="n">
        <f aca="false">F4724-H4724</f>
        <v>-159408</v>
      </c>
      <c r="J4724" s="1105" t="n">
        <f aca="false">F4724*G4724</f>
        <v>79704</v>
      </c>
      <c r="K4724" s="1365" t="n">
        <f aca="false">J4724/1792.8</f>
        <v>44.4578313253012</v>
      </c>
      <c r="L4724" s="1105" t="n">
        <v>2</v>
      </c>
      <c r="M4724" s="865" t="n">
        <f aca="false">K4724*L4724/60</f>
        <v>1.48192771084337</v>
      </c>
    </row>
    <row r="4725" s="122" customFormat="true" ht="15" hidden="false" customHeight="false" outlineLevel="0" collapsed="false">
      <c r="A4725" s="707"/>
      <c r="B4725" s="99"/>
      <c r="C4725" s="1404" t="s">
        <v>6978</v>
      </c>
      <c r="D4725" s="569" t="n">
        <v>2005</v>
      </c>
      <c r="E4725" s="569" t="n">
        <f aca="false">2021-D4725</f>
        <v>16</v>
      </c>
      <c r="F4725" s="1105" t="n">
        <v>132000</v>
      </c>
      <c r="G4725" s="1444" t="n">
        <v>0.1</v>
      </c>
      <c r="H4725" s="1105" t="n">
        <f aca="false">E4725*F4725*G4725</f>
        <v>211200</v>
      </c>
      <c r="I4725" s="1105" t="n">
        <f aca="false">F4725</f>
        <v>132000</v>
      </c>
      <c r="J4725" s="1105" t="n">
        <f aca="false">F4725*G4725</f>
        <v>13200</v>
      </c>
      <c r="K4725" s="1365" t="n">
        <f aca="false">J4725/1792.8</f>
        <v>7.36278447121821</v>
      </c>
      <c r="L4725" s="1105" t="n">
        <v>60</v>
      </c>
      <c r="M4725" s="865" t="n">
        <f aca="false">K4725*L4725/60</f>
        <v>7.36278447121821</v>
      </c>
    </row>
    <row r="4726" s="122" customFormat="true" ht="15" hidden="false" customHeight="false" outlineLevel="0" collapsed="false">
      <c r="A4726" s="707"/>
      <c r="B4726" s="99"/>
      <c r="C4726" s="1404" t="s">
        <v>7236</v>
      </c>
      <c r="D4726" s="569" t="n">
        <v>2006</v>
      </c>
      <c r="E4726" s="569" t="n">
        <f aca="false">2021-D4726</f>
        <v>15</v>
      </c>
      <c r="F4726" s="1105" t="n">
        <v>40572</v>
      </c>
      <c r="G4726" s="1444" t="n">
        <v>0.1</v>
      </c>
      <c r="H4726" s="1105" t="n">
        <f aca="false">E4726*F4726*G4726</f>
        <v>60858</v>
      </c>
      <c r="I4726" s="1105" t="n">
        <f aca="false">F4726-H4726</f>
        <v>-20286</v>
      </c>
      <c r="J4726" s="1105" t="n">
        <f aca="false">F4726*G4726</f>
        <v>4057.2</v>
      </c>
      <c r="K4726" s="1365" t="n">
        <f aca="false">J4726/1792.8</f>
        <v>2.26305220883534</v>
      </c>
      <c r="L4726" s="1105" t="n">
        <v>1440</v>
      </c>
      <c r="M4726" s="865" t="n">
        <f aca="false">K4726*L4726/60</f>
        <v>54.3132530120482</v>
      </c>
    </row>
    <row r="4727" s="122" customFormat="true" ht="15" hidden="false" customHeight="false" outlineLevel="0" collapsed="false">
      <c r="A4727" s="707"/>
      <c r="B4727" s="1557" t="s">
        <v>4128</v>
      </c>
      <c r="C4727" s="1404"/>
      <c r="D4727" s="569"/>
      <c r="E4727" s="569"/>
      <c r="F4727" s="1105"/>
      <c r="G4727" s="1444"/>
      <c r="H4727" s="1105"/>
      <c r="I4727" s="1105"/>
      <c r="J4727" s="1105"/>
      <c r="K4727" s="1365" t="n">
        <f aca="false">J4727/1792.8</f>
        <v>0</v>
      </c>
      <c r="L4727" s="754"/>
      <c r="M4727" s="1558" t="n">
        <f aca="false">SUM(M4720:M4726)</f>
        <v>133.748740331697</v>
      </c>
    </row>
    <row r="4728" s="122" customFormat="true" ht="30" hidden="false" customHeight="false" outlineLevel="0" collapsed="false">
      <c r="A4728" s="707" t="s">
        <v>2213</v>
      </c>
      <c r="B4728" s="47" t="s">
        <v>3841</v>
      </c>
      <c r="C4728" s="1404" t="s">
        <v>6976</v>
      </c>
      <c r="D4728" s="569" t="n">
        <v>2005</v>
      </c>
      <c r="E4728" s="569" t="n">
        <f aca="false">2021-D4728</f>
        <v>16</v>
      </c>
      <c r="F4728" s="1105" t="n">
        <v>57600</v>
      </c>
      <c r="G4728" s="1444" t="n">
        <v>0.1</v>
      </c>
      <c r="H4728" s="1105" t="n">
        <f aca="false">E4728*F4728*G4728</f>
        <v>92160</v>
      </c>
      <c r="I4728" s="1105" t="n">
        <f aca="false">F4728</f>
        <v>57600</v>
      </c>
      <c r="J4728" s="1105" t="n">
        <f aca="false">F4728*G4728</f>
        <v>5760</v>
      </c>
      <c r="K4728" s="1365" t="n">
        <f aca="false">J4728/1792.8</f>
        <v>3.21285140562249</v>
      </c>
      <c r="L4728" s="1105" t="n">
        <v>30</v>
      </c>
      <c r="M4728" s="865" t="n">
        <f aca="false">K4728*L4728/60</f>
        <v>1.60642570281125</v>
      </c>
    </row>
    <row r="4729" s="122" customFormat="true" ht="15" hidden="false" customHeight="false" outlineLevel="0" collapsed="false">
      <c r="A4729" s="707"/>
      <c r="B4729" s="99"/>
      <c r="C4729" s="1404" t="s">
        <v>7232</v>
      </c>
      <c r="D4729" s="569" t="n">
        <v>2006</v>
      </c>
      <c r="E4729" s="569" t="n">
        <f aca="false">2021-D4729</f>
        <v>15</v>
      </c>
      <c r="F4729" s="1105" t="n">
        <v>442300</v>
      </c>
      <c r="G4729" s="1444" t="n">
        <v>0.1</v>
      </c>
      <c r="H4729" s="1105" t="n">
        <f aca="false">E4729*F4729*G4729</f>
        <v>663450</v>
      </c>
      <c r="I4729" s="1105" t="n">
        <f aca="false">F4729-H4729</f>
        <v>-221150</v>
      </c>
      <c r="J4729" s="1105" t="n">
        <f aca="false">F4729*G4729</f>
        <v>44230</v>
      </c>
      <c r="K4729" s="1365" t="n">
        <f aca="false">J4729/1792.8</f>
        <v>24.6709058456046</v>
      </c>
      <c r="L4729" s="1105" t="n">
        <v>30</v>
      </c>
      <c r="M4729" s="865" t="n">
        <f aca="false">K4729*L4729/60</f>
        <v>12.3354529228023</v>
      </c>
    </row>
    <row r="4730" s="122" customFormat="true" ht="39.75" hidden="false" customHeight="true" outlineLevel="0" collapsed="false">
      <c r="A4730" s="707"/>
      <c r="B4730" s="99"/>
      <c r="C4730" s="1404" t="s">
        <v>7233</v>
      </c>
      <c r="D4730" s="569" t="n">
        <v>2005</v>
      </c>
      <c r="E4730" s="569" t="n">
        <f aca="false">2021-D4730</f>
        <v>16</v>
      </c>
      <c r="F4730" s="1105" t="n">
        <v>132000</v>
      </c>
      <c r="G4730" s="1444" t="n">
        <v>0.1</v>
      </c>
      <c r="H4730" s="1105" t="n">
        <f aca="false">E4730*F4730*G4730</f>
        <v>211200</v>
      </c>
      <c r="I4730" s="1105" t="n">
        <f aca="false">F4730</f>
        <v>132000</v>
      </c>
      <c r="J4730" s="1105" t="n">
        <f aca="false">F4730*G4730</f>
        <v>13200</v>
      </c>
      <c r="K4730" s="1365" t="n">
        <f aca="false">J4730/1792.8</f>
        <v>7.36278447121821</v>
      </c>
      <c r="L4730" s="1105" t="n">
        <v>36</v>
      </c>
      <c r="M4730" s="865" t="n">
        <f aca="false">K4730*L4730/60</f>
        <v>4.41767068273092</v>
      </c>
    </row>
    <row r="4731" s="122" customFormat="true" ht="15" hidden="false" customHeight="false" outlineLevel="0" collapsed="false">
      <c r="A4731" s="707"/>
      <c r="B4731" s="99"/>
      <c r="C4731" s="1404" t="s">
        <v>7234</v>
      </c>
      <c r="D4731" s="569" t="n">
        <v>2007</v>
      </c>
      <c r="E4731" s="569" t="n">
        <f aca="false">2021-D4731</f>
        <v>14</v>
      </c>
      <c r="F4731" s="1105" t="n">
        <v>769804.25</v>
      </c>
      <c r="G4731" s="1444" t="n">
        <v>0.1</v>
      </c>
      <c r="H4731" s="1105" t="n">
        <f aca="false">E4731*F4731*G4731</f>
        <v>1077725.95</v>
      </c>
      <c r="I4731" s="1105" t="n">
        <f aca="false">F4731-H4731</f>
        <v>-307921.7</v>
      </c>
      <c r="J4731" s="1105" t="n">
        <f aca="false">F4731*G4731</f>
        <v>76980.425</v>
      </c>
      <c r="K4731" s="1365" t="n">
        <f aca="false">J4731/1792.8</f>
        <v>42.9386574074074</v>
      </c>
      <c r="L4731" s="1105" t="n">
        <v>30</v>
      </c>
      <c r="M4731" s="865" t="n">
        <f aca="false">K4731*L4731/60</f>
        <v>21.4693287037037</v>
      </c>
    </row>
    <row r="4732" s="122" customFormat="true" ht="15" hidden="false" customHeight="false" outlineLevel="0" collapsed="false">
      <c r="A4732" s="707"/>
      <c r="B4732" s="99"/>
      <c r="C4732" s="1404" t="s">
        <v>7235</v>
      </c>
      <c r="D4732" s="569" t="n">
        <v>2009</v>
      </c>
      <c r="E4732" s="569" t="n">
        <f aca="false">2021-D4732</f>
        <v>12</v>
      </c>
      <c r="F4732" s="1105" t="n">
        <v>797040</v>
      </c>
      <c r="G4732" s="1444" t="n">
        <v>0.1</v>
      </c>
      <c r="H4732" s="1105" t="n">
        <f aca="false">E4732*F4732*G4732</f>
        <v>956448</v>
      </c>
      <c r="I4732" s="1105" t="n">
        <f aca="false">F4732-H4732</f>
        <v>-159408</v>
      </c>
      <c r="J4732" s="1105" t="n">
        <f aca="false">F4732*G4732</f>
        <v>79704</v>
      </c>
      <c r="K4732" s="1365" t="n">
        <f aca="false">J4732/1792.8</f>
        <v>44.4578313253012</v>
      </c>
      <c r="L4732" s="1105" t="n">
        <v>24</v>
      </c>
      <c r="M4732" s="865" t="n">
        <f aca="false">K4732*L4732/60</f>
        <v>17.7831325301205</v>
      </c>
    </row>
    <row r="4733" s="122" customFormat="true" ht="15" hidden="false" customHeight="false" outlineLevel="0" collapsed="false">
      <c r="A4733" s="707"/>
      <c r="B4733" s="99"/>
      <c r="C4733" s="1404" t="s">
        <v>6978</v>
      </c>
      <c r="D4733" s="569" t="n">
        <v>2005</v>
      </c>
      <c r="E4733" s="569" t="n">
        <f aca="false">2021-D4733</f>
        <v>16</v>
      </c>
      <c r="F4733" s="1105" t="n">
        <v>132000</v>
      </c>
      <c r="G4733" s="1444" t="n">
        <v>0.1</v>
      </c>
      <c r="H4733" s="1105" t="n">
        <f aca="false">E4733*F4733*G4733</f>
        <v>211200</v>
      </c>
      <c r="I4733" s="1105" t="n">
        <f aca="false">F4733</f>
        <v>132000</v>
      </c>
      <c r="J4733" s="1105" t="n">
        <f aca="false">F4733*G4733</f>
        <v>13200</v>
      </c>
      <c r="K4733" s="1365" t="n">
        <f aca="false">J4733/1792.8</f>
        <v>7.36278447121821</v>
      </c>
      <c r="L4733" s="754"/>
      <c r="M4733" s="865" t="n">
        <f aca="false">K4733*L4733/60</f>
        <v>0</v>
      </c>
    </row>
    <row r="4734" s="122" customFormat="true" ht="15" hidden="false" customHeight="false" outlineLevel="0" collapsed="false">
      <c r="A4734" s="707"/>
      <c r="B4734" s="99"/>
      <c r="C4734" s="1404" t="s">
        <v>7236</v>
      </c>
      <c r="D4734" s="569" t="n">
        <v>2006</v>
      </c>
      <c r="E4734" s="569" t="n">
        <f aca="false">2021-D4734</f>
        <v>15</v>
      </c>
      <c r="F4734" s="1105" t="n">
        <v>40572</v>
      </c>
      <c r="G4734" s="1444" t="n">
        <v>0.1</v>
      </c>
      <c r="H4734" s="1105" t="n">
        <f aca="false">E4734*F4734*G4734</f>
        <v>60858</v>
      </c>
      <c r="I4734" s="1105" t="n">
        <f aca="false">F4734-H4734</f>
        <v>-20286</v>
      </c>
      <c r="J4734" s="1105" t="n">
        <f aca="false">F4734*G4734</f>
        <v>4057.2</v>
      </c>
      <c r="K4734" s="1365" t="n">
        <f aca="false">J4734/1792.8</f>
        <v>2.26305220883534</v>
      </c>
      <c r="L4734" s="1105" t="n">
        <v>1440</v>
      </c>
      <c r="M4734" s="865" t="n">
        <f aca="false">K4734*L4734/60</f>
        <v>54.3132530120482</v>
      </c>
    </row>
    <row r="4735" s="122" customFormat="true" ht="15" hidden="false" customHeight="false" outlineLevel="0" collapsed="false">
      <c r="A4735" s="707"/>
      <c r="B4735" s="1557" t="s">
        <v>4128</v>
      </c>
      <c r="C4735" s="1404"/>
      <c r="D4735" s="569"/>
      <c r="E4735" s="569"/>
      <c r="F4735" s="1105"/>
      <c r="G4735" s="1444"/>
      <c r="H4735" s="1105"/>
      <c r="I4735" s="1105"/>
      <c r="J4735" s="1105"/>
      <c r="K4735" s="1365" t="n">
        <f aca="false">J4735/1792.8</f>
        <v>0</v>
      </c>
      <c r="L4735" s="754"/>
      <c r="M4735" s="1558" t="n">
        <f aca="false">SUM(M4728:M4734)</f>
        <v>111.925263554217</v>
      </c>
    </row>
    <row r="4736" s="122" customFormat="true" ht="45" hidden="false" customHeight="false" outlineLevel="0" collapsed="false">
      <c r="A4736" s="707" t="s">
        <v>2215</v>
      </c>
      <c r="B4736" s="47" t="s">
        <v>3842</v>
      </c>
      <c r="C4736" s="1404" t="s">
        <v>7212</v>
      </c>
      <c r="D4736" s="569" t="n">
        <v>2008</v>
      </c>
      <c r="E4736" s="569" t="n">
        <f aca="false">2021-D4736</f>
        <v>13</v>
      </c>
      <c r="F4736" s="1105" t="n">
        <v>376800</v>
      </c>
      <c r="G4736" s="1444" t="n">
        <v>0.1</v>
      </c>
      <c r="H4736" s="1105" t="n">
        <f aca="false">E4736*F4736*G4736</f>
        <v>489840</v>
      </c>
      <c r="I4736" s="1105" t="n">
        <f aca="false">F4736-H4736</f>
        <v>-113040</v>
      </c>
      <c r="J4736" s="1105" t="n">
        <f aca="false">F4736*G4736</f>
        <v>37680</v>
      </c>
      <c r="K4736" s="1365" t="n">
        <f aca="false">J4736/1792.8</f>
        <v>21.0174029451138</v>
      </c>
      <c r="L4736" s="1105" t="n">
        <v>30</v>
      </c>
      <c r="M4736" s="865" t="n">
        <f aca="false">K4736*L4736/60</f>
        <v>10.5087014725569</v>
      </c>
    </row>
    <row r="4737" s="122" customFormat="true" ht="15" hidden="false" customHeight="false" outlineLevel="0" collapsed="false">
      <c r="A4737" s="707"/>
      <c r="B4737" s="47"/>
      <c r="C4737" s="1404" t="s">
        <v>7211</v>
      </c>
      <c r="D4737" s="569" t="n">
        <v>2004</v>
      </c>
      <c r="E4737" s="569" t="n">
        <f aca="false">2021-D4737</f>
        <v>17</v>
      </c>
      <c r="F4737" s="1105" t="n">
        <v>214320</v>
      </c>
      <c r="G4737" s="1444" t="n">
        <v>0.1</v>
      </c>
      <c r="H4737" s="1105" t="n">
        <f aca="false">E4737*F4737*G4737</f>
        <v>364344</v>
      </c>
      <c r="I4737" s="1105" t="n">
        <f aca="false">F4737</f>
        <v>214320</v>
      </c>
      <c r="J4737" s="1105" t="n">
        <f aca="false">F4737*G4737</f>
        <v>21432</v>
      </c>
      <c r="K4737" s="1365" t="n">
        <f aca="false">J4737/1792.8</f>
        <v>11.954484605087</v>
      </c>
      <c r="L4737" s="1105" t="n">
        <v>30</v>
      </c>
      <c r="M4737" s="865" t="n">
        <f aca="false">K4737*L4737/60</f>
        <v>5.97724230254351</v>
      </c>
    </row>
    <row r="4738" s="122" customFormat="true" ht="15" hidden="false" customHeight="false" outlineLevel="0" collapsed="false">
      <c r="A4738" s="707"/>
      <c r="B4738" s="99"/>
      <c r="C4738" s="1404" t="s">
        <v>7176</v>
      </c>
      <c r="D4738" s="569" t="n">
        <v>2009</v>
      </c>
      <c r="E4738" s="569" t="n">
        <f aca="false">2021-D4738</f>
        <v>12</v>
      </c>
      <c r="F4738" s="1105" t="n">
        <v>166807</v>
      </c>
      <c r="G4738" s="1444" t="n">
        <v>0.1</v>
      </c>
      <c r="H4738" s="1105" t="n">
        <f aca="false">E4738*F4738*G4738</f>
        <v>200168.4</v>
      </c>
      <c r="I4738" s="1105" t="n">
        <f aca="false">F4738-H4738</f>
        <v>-33361.4</v>
      </c>
      <c r="J4738" s="1105" t="n">
        <f aca="false">F4738*G4738</f>
        <v>16680.7</v>
      </c>
      <c r="K4738" s="1365" t="n">
        <f aca="false">J4738/1792.8</f>
        <v>9.30427264614012</v>
      </c>
      <c r="L4738" s="1105" t="n">
        <v>30</v>
      </c>
      <c r="M4738" s="865" t="n">
        <f aca="false">K4738*L4738/60</f>
        <v>4.65213632307006</v>
      </c>
    </row>
    <row r="4739" s="122" customFormat="true" ht="15" hidden="false" customHeight="false" outlineLevel="0" collapsed="false">
      <c r="A4739" s="707"/>
      <c r="B4739" s="99"/>
      <c r="C4739" s="1404" t="s">
        <v>7214</v>
      </c>
      <c r="D4739" s="569" t="n">
        <v>2006</v>
      </c>
      <c r="E4739" s="569" t="n">
        <f aca="false">2021-D4739</f>
        <v>15</v>
      </c>
      <c r="F4739" s="1105" t="n">
        <v>10250000</v>
      </c>
      <c r="G4739" s="1444" t="n">
        <v>0.1</v>
      </c>
      <c r="H4739" s="1105" t="n">
        <f aca="false">E4739*F4739*G4739</f>
        <v>15375000</v>
      </c>
      <c r="I4739" s="1105" t="n">
        <f aca="false">F4739-H4739</f>
        <v>-5125000</v>
      </c>
      <c r="J4739" s="1105" t="n">
        <f aca="false">F4739*G4739</f>
        <v>1025000</v>
      </c>
      <c r="K4739" s="1365" t="n">
        <f aca="false">J4739/1792.8</f>
        <v>571.731369924141</v>
      </c>
      <c r="L4739" s="1105" t="n">
        <v>2</v>
      </c>
      <c r="M4739" s="865" t="n">
        <f aca="false">K4739*L4739/60</f>
        <v>19.0577123308047</v>
      </c>
    </row>
    <row r="4740" s="122" customFormat="true" ht="15" hidden="false" customHeight="false" outlineLevel="0" collapsed="false">
      <c r="A4740" s="707"/>
      <c r="B4740" s="99"/>
      <c r="C4740" s="1404" t="s">
        <v>7215</v>
      </c>
      <c r="D4740" s="569" t="n">
        <v>2006</v>
      </c>
      <c r="E4740" s="569" t="n">
        <f aca="false">2021-D4740</f>
        <v>15</v>
      </c>
      <c r="F4740" s="1105" t="n">
        <v>174000</v>
      </c>
      <c r="G4740" s="1444" t="n">
        <v>0.1</v>
      </c>
      <c r="H4740" s="1105" t="n">
        <f aca="false">E4740*F4740*G4740</f>
        <v>261000</v>
      </c>
      <c r="I4740" s="1105" t="n">
        <f aca="false">F4740-H4740</f>
        <v>-87000</v>
      </c>
      <c r="J4740" s="1105" t="n">
        <f aca="false">F4740*G4740</f>
        <v>17400</v>
      </c>
      <c r="K4740" s="1365" t="n">
        <f aca="false">J4740/1792.8</f>
        <v>9.70548862115127</v>
      </c>
      <c r="L4740" s="1105" t="n">
        <v>60</v>
      </c>
      <c r="M4740" s="865" t="n">
        <f aca="false">K4740*L4740/60</f>
        <v>9.70548862115127</v>
      </c>
    </row>
    <row r="4741" s="122" customFormat="true" ht="15" hidden="false" customHeight="false" outlineLevel="0" collapsed="false">
      <c r="A4741" s="707"/>
      <c r="B4741" s="99"/>
      <c r="C4741" s="1404" t="s">
        <v>7216</v>
      </c>
      <c r="D4741" s="569" t="n">
        <v>2007</v>
      </c>
      <c r="E4741" s="569" t="n">
        <f aca="false">2021-D4741</f>
        <v>14</v>
      </c>
      <c r="F4741" s="1105" t="n">
        <v>429000</v>
      </c>
      <c r="G4741" s="1444" t="n">
        <v>0.1</v>
      </c>
      <c r="H4741" s="1105" t="n">
        <f aca="false">E4741*F4741*G4741</f>
        <v>600600</v>
      </c>
      <c r="I4741" s="1105" t="n">
        <f aca="false">F4741-H4741</f>
        <v>-171600</v>
      </c>
      <c r="J4741" s="1105" t="n">
        <f aca="false">F4741*G4741</f>
        <v>42900</v>
      </c>
      <c r="K4741" s="1365" t="n">
        <f aca="false">J4741/1792.8</f>
        <v>23.9290495314592</v>
      </c>
      <c r="L4741" s="1105" t="n">
        <v>30</v>
      </c>
      <c r="M4741" s="865" t="n">
        <f aca="false">K4741*L4741/60</f>
        <v>11.9645247657296</v>
      </c>
    </row>
    <row r="4742" s="122" customFormat="true" ht="15" hidden="false" customHeight="false" outlineLevel="0" collapsed="false">
      <c r="A4742" s="707"/>
      <c r="B4742" s="99"/>
      <c r="C4742" s="1404" t="s">
        <v>7217</v>
      </c>
      <c r="D4742" s="569" t="n">
        <v>2007</v>
      </c>
      <c r="E4742" s="569" t="n">
        <f aca="false">2021-D4742</f>
        <v>14</v>
      </c>
      <c r="F4742" s="1105" t="n">
        <v>287614</v>
      </c>
      <c r="G4742" s="1444" t="n">
        <v>0.1</v>
      </c>
      <c r="H4742" s="1105" t="n">
        <f aca="false">E4742*F4742*G4742</f>
        <v>402659.6</v>
      </c>
      <c r="I4742" s="1105" t="n">
        <f aca="false">F4742-H4742</f>
        <v>-115045.6</v>
      </c>
      <c r="J4742" s="1105" t="n">
        <f aca="false">F4742*G4742</f>
        <v>28761.4</v>
      </c>
      <c r="K4742" s="1365" t="n">
        <f aca="false">J4742/1792.8</f>
        <v>16.0427264614012</v>
      </c>
      <c r="L4742" s="1105" t="n">
        <v>30</v>
      </c>
      <c r="M4742" s="865" t="n">
        <f aca="false">K4742*L4742/60</f>
        <v>8.02136323070058</v>
      </c>
    </row>
    <row r="4743" s="122" customFormat="true" ht="15" hidden="false" customHeight="false" outlineLevel="0" collapsed="false">
      <c r="A4743" s="707"/>
      <c r="B4743" s="99"/>
      <c r="C4743" s="1404" t="s">
        <v>7229</v>
      </c>
      <c r="D4743" s="569" t="n">
        <v>2009</v>
      </c>
      <c r="E4743" s="569" t="n">
        <f aca="false">2021-D4743</f>
        <v>12</v>
      </c>
      <c r="F4743" s="1105" t="n">
        <v>49275</v>
      </c>
      <c r="G4743" s="1444" t="n">
        <v>0.1</v>
      </c>
      <c r="H4743" s="1105" t="n">
        <f aca="false">E4743*F4743*G4743</f>
        <v>59130</v>
      </c>
      <c r="I4743" s="1105" t="n">
        <f aca="false">F4743-H4743</f>
        <v>-9855</v>
      </c>
      <c r="J4743" s="1105" t="n">
        <f aca="false">F4743*G4743</f>
        <v>4927.5</v>
      </c>
      <c r="K4743" s="1365" t="n">
        <f aca="false">J4743/1792.8</f>
        <v>2.74849397590361</v>
      </c>
      <c r="L4743" s="1105" t="n">
        <v>1440</v>
      </c>
      <c r="M4743" s="865" t="n">
        <f aca="false">K4743*L4743/60</f>
        <v>65.9638554216868</v>
      </c>
    </row>
    <row r="4744" s="122" customFormat="true" ht="15" hidden="false" customHeight="false" outlineLevel="0" collapsed="false">
      <c r="A4744" s="707"/>
      <c r="B4744" s="1557" t="s">
        <v>4128</v>
      </c>
      <c r="C4744" s="1404"/>
      <c r="D4744" s="569"/>
      <c r="E4744" s="569"/>
      <c r="F4744" s="1105"/>
      <c r="G4744" s="1444"/>
      <c r="H4744" s="1105"/>
      <c r="I4744" s="1105"/>
      <c r="J4744" s="1105"/>
      <c r="K4744" s="1365" t="n">
        <f aca="false">J4744/1792.8</f>
        <v>0</v>
      </c>
      <c r="L4744" s="754"/>
      <c r="M4744" s="1558" t="n">
        <f aca="false">SUM(M4736:M4743)</f>
        <v>135.851024468243</v>
      </c>
    </row>
    <row r="4745" s="122" customFormat="true" ht="45" hidden="false" customHeight="false" outlineLevel="0" collapsed="false">
      <c r="A4745" s="707" t="s">
        <v>2217</v>
      </c>
      <c r="B4745" s="47" t="s">
        <v>3843</v>
      </c>
      <c r="C4745" s="1404" t="s">
        <v>7212</v>
      </c>
      <c r="D4745" s="569" t="n">
        <v>2008</v>
      </c>
      <c r="E4745" s="569" t="n">
        <f aca="false">2021-D4745</f>
        <v>13</v>
      </c>
      <c r="F4745" s="1105" t="n">
        <v>376800</v>
      </c>
      <c r="G4745" s="1444" t="n">
        <v>0.1</v>
      </c>
      <c r="H4745" s="1105" t="n">
        <f aca="false">E4745*F4745*G4745</f>
        <v>489840</v>
      </c>
      <c r="I4745" s="1105" t="n">
        <f aca="false">F4745-H4745</f>
        <v>-113040</v>
      </c>
      <c r="J4745" s="1105" t="n">
        <f aca="false">F4745*G4745</f>
        <v>37680</v>
      </c>
      <c r="K4745" s="1365" t="n">
        <f aca="false">J4745/1792.8</f>
        <v>21.0174029451138</v>
      </c>
      <c r="L4745" s="1105" t="n">
        <v>60</v>
      </c>
      <c r="M4745" s="865" t="n">
        <f aca="false">K4745*L4745/60</f>
        <v>21.0174029451138</v>
      </c>
    </row>
    <row r="4746" s="122" customFormat="true" ht="15" hidden="false" customHeight="false" outlineLevel="0" collapsed="false">
      <c r="A4746" s="707"/>
      <c r="B4746" s="47"/>
      <c r="C4746" s="1404" t="s">
        <v>7211</v>
      </c>
      <c r="D4746" s="569" t="n">
        <v>2004</v>
      </c>
      <c r="E4746" s="569" t="n">
        <f aca="false">2021-D4746</f>
        <v>17</v>
      </c>
      <c r="F4746" s="1105" t="n">
        <v>214320</v>
      </c>
      <c r="G4746" s="1444" t="n">
        <v>0.1</v>
      </c>
      <c r="H4746" s="1105" t="n">
        <f aca="false">E4746*F4746*G4746</f>
        <v>364344</v>
      </c>
      <c r="I4746" s="1105" t="n">
        <f aca="false">F4746</f>
        <v>214320</v>
      </c>
      <c r="J4746" s="1105" t="n">
        <f aca="false">F4746*G4746</f>
        <v>21432</v>
      </c>
      <c r="K4746" s="1365" t="n">
        <f aca="false">J4746/1792.8</f>
        <v>11.954484605087</v>
      </c>
      <c r="L4746" s="1105" t="n">
        <v>30</v>
      </c>
      <c r="M4746" s="865" t="n">
        <f aca="false">K4746*L4746/60</f>
        <v>5.97724230254351</v>
      </c>
    </row>
    <row r="4747" s="122" customFormat="true" ht="15" hidden="false" customHeight="false" outlineLevel="0" collapsed="false">
      <c r="A4747" s="707"/>
      <c r="B4747" s="99"/>
      <c r="C4747" s="1404" t="s">
        <v>7176</v>
      </c>
      <c r="D4747" s="569" t="n">
        <v>2009</v>
      </c>
      <c r="E4747" s="569" t="n">
        <f aca="false">2021-D4747</f>
        <v>12</v>
      </c>
      <c r="F4747" s="1105" t="n">
        <v>166807</v>
      </c>
      <c r="G4747" s="1444" t="n">
        <v>0.1</v>
      </c>
      <c r="H4747" s="1105" t="n">
        <f aca="false">E4747*F4747*G4747</f>
        <v>200168.4</v>
      </c>
      <c r="I4747" s="1105" t="n">
        <f aca="false">F4747-H4747</f>
        <v>-33361.4</v>
      </c>
      <c r="J4747" s="1105" t="n">
        <f aca="false">F4747*G4747</f>
        <v>16680.7</v>
      </c>
      <c r="K4747" s="1365" t="n">
        <f aca="false">J4747/1792.8</f>
        <v>9.30427264614012</v>
      </c>
      <c r="L4747" s="1105" t="n">
        <v>90</v>
      </c>
      <c r="M4747" s="865" t="n">
        <f aca="false">K4747*L4747/60</f>
        <v>13.9564089692102</v>
      </c>
    </row>
    <row r="4748" s="122" customFormat="true" ht="15" hidden="false" customHeight="false" outlineLevel="0" collapsed="false">
      <c r="A4748" s="707"/>
      <c r="B4748" s="99"/>
      <c r="C4748" s="1404" t="s">
        <v>7214</v>
      </c>
      <c r="D4748" s="569" t="n">
        <v>2006</v>
      </c>
      <c r="E4748" s="569" t="n">
        <f aca="false">2021-D4748</f>
        <v>15</v>
      </c>
      <c r="F4748" s="1105" t="n">
        <v>10250000</v>
      </c>
      <c r="G4748" s="1444" t="n">
        <v>0.1</v>
      </c>
      <c r="H4748" s="1105" t="n">
        <f aca="false">E4748*F4748*G4748</f>
        <v>15375000</v>
      </c>
      <c r="I4748" s="1105" t="n">
        <f aca="false">F4748-H4748</f>
        <v>-5125000</v>
      </c>
      <c r="J4748" s="1105" t="n">
        <f aca="false">F4748*G4748</f>
        <v>1025000</v>
      </c>
      <c r="K4748" s="1365" t="n">
        <f aca="false">J4748/1792.8</f>
        <v>571.731369924141</v>
      </c>
      <c r="L4748" s="1105" t="n">
        <v>18</v>
      </c>
      <c r="M4748" s="865" t="n">
        <f aca="false">K4748*L4748/60</f>
        <v>171.519410977242</v>
      </c>
    </row>
    <row r="4749" s="122" customFormat="true" ht="15" hidden="false" customHeight="false" outlineLevel="0" collapsed="false">
      <c r="A4749" s="707"/>
      <c r="B4749" s="99"/>
      <c r="C4749" s="1404" t="s">
        <v>7215</v>
      </c>
      <c r="D4749" s="569" t="n">
        <v>2006</v>
      </c>
      <c r="E4749" s="569" t="n">
        <f aca="false">2021-D4749</f>
        <v>15</v>
      </c>
      <c r="F4749" s="1105" t="n">
        <v>174000</v>
      </c>
      <c r="G4749" s="1444" t="n">
        <v>0.1</v>
      </c>
      <c r="H4749" s="1105" t="n">
        <f aca="false">E4749*F4749*G4749</f>
        <v>261000</v>
      </c>
      <c r="I4749" s="1105" t="n">
        <f aca="false">F4749-H4749</f>
        <v>-87000</v>
      </c>
      <c r="J4749" s="1105" t="n">
        <f aca="false">F4749*G4749</f>
        <v>17400</v>
      </c>
      <c r="K4749" s="1365" t="n">
        <f aca="false">J4749/1792.8</f>
        <v>9.70548862115127</v>
      </c>
      <c r="L4749" s="1105" t="n">
        <v>60</v>
      </c>
      <c r="M4749" s="865" t="n">
        <f aca="false">K4749*L4749/60</f>
        <v>9.70548862115127</v>
      </c>
    </row>
    <row r="4750" s="122" customFormat="true" ht="15" hidden="false" customHeight="false" outlineLevel="0" collapsed="false">
      <c r="A4750" s="707"/>
      <c r="B4750" s="99"/>
      <c r="C4750" s="1404" t="s">
        <v>7216</v>
      </c>
      <c r="D4750" s="569" t="n">
        <v>2007</v>
      </c>
      <c r="E4750" s="569" t="n">
        <f aca="false">2021-D4750</f>
        <v>14</v>
      </c>
      <c r="F4750" s="1105" t="n">
        <v>429000</v>
      </c>
      <c r="G4750" s="1444" t="n">
        <v>0.1</v>
      </c>
      <c r="H4750" s="1105" t="n">
        <f aca="false">E4750*F4750*G4750</f>
        <v>600600</v>
      </c>
      <c r="I4750" s="1105" t="n">
        <f aca="false">F4750-H4750</f>
        <v>-171600</v>
      </c>
      <c r="J4750" s="1105" t="n">
        <f aca="false">F4750*G4750</f>
        <v>42900</v>
      </c>
      <c r="K4750" s="1365" t="n">
        <f aca="false">J4750/1792.8</f>
        <v>23.9290495314592</v>
      </c>
      <c r="L4750" s="1105" t="n">
        <v>90</v>
      </c>
      <c r="M4750" s="865" t="n">
        <f aca="false">K4750*L4750/60</f>
        <v>35.8935742971888</v>
      </c>
    </row>
    <row r="4751" s="122" customFormat="true" ht="15" hidden="false" customHeight="false" outlineLevel="0" collapsed="false">
      <c r="A4751" s="707"/>
      <c r="B4751" s="99"/>
      <c r="C4751" s="1404" t="s">
        <v>7217</v>
      </c>
      <c r="D4751" s="569" t="n">
        <v>2007</v>
      </c>
      <c r="E4751" s="569" t="n">
        <f aca="false">2021-D4751</f>
        <v>14</v>
      </c>
      <c r="F4751" s="1105" t="n">
        <v>287614</v>
      </c>
      <c r="G4751" s="1444" t="n">
        <v>0.1</v>
      </c>
      <c r="H4751" s="1105" t="n">
        <f aca="false">E4751*F4751*G4751</f>
        <v>402659.6</v>
      </c>
      <c r="I4751" s="1105" t="n">
        <f aca="false">F4751-H4751</f>
        <v>-115045.6</v>
      </c>
      <c r="J4751" s="1105" t="n">
        <f aca="false">F4751*G4751</f>
        <v>28761.4</v>
      </c>
      <c r="K4751" s="1365" t="n">
        <f aca="false">J4751/1792.8</f>
        <v>16.0427264614012</v>
      </c>
      <c r="L4751" s="1105" t="n">
        <v>90</v>
      </c>
      <c r="M4751" s="865" t="n">
        <f aca="false">K4751*L4751/60</f>
        <v>24.0640896921017</v>
      </c>
    </row>
    <row r="4752" s="122" customFormat="true" ht="15" hidden="false" customHeight="false" outlineLevel="0" collapsed="false">
      <c r="A4752" s="707"/>
      <c r="B4752" s="99"/>
      <c r="C4752" s="1404" t="s">
        <v>7229</v>
      </c>
      <c r="D4752" s="569" t="n">
        <v>2009</v>
      </c>
      <c r="E4752" s="569" t="n">
        <f aca="false">2021-D4752</f>
        <v>12</v>
      </c>
      <c r="F4752" s="1105" t="n">
        <v>49275</v>
      </c>
      <c r="G4752" s="1444" t="n">
        <v>0.1</v>
      </c>
      <c r="H4752" s="1105" t="n">
        <f aca="false">E4752*F4752*G4752</f>
        <v>59130</v>
      </c>
      <c r="I4752" s="1105" t="n">
        <f aca="false">F4752-H4752</f>
        <v>-9855</v>
      </c>
      <c r="J4752" s="1105" t="n">
        <f aca="false">F4752*G4752</f>
        <v>4927.5</v>
      </c>
      <c r="K4752" s="1365" t="n">
        <f aca="false">J4752/1792.8</f>
        <v>2.74849397590361</v>
      </c>
      <c r="L4752" s="1105" t="n">
        <v>320</v>
      </c>
      <c r="M4752" s="865" t="n">
        <f aca="false">K4752*L4752/60</f>
        <v>14.6586345381526</v>
      </c>
    </row>
    <row r="4753" s="122" customFormat="true" ht="15" hidden="false" customHeight="false" outlineLevel="0" collapsed="false">
      <c r="A4753" s="707"/>
      <c r="B4753" s="1557" t="s">
        <v>4128</v>
      </c>
      <c r="C4753" s="1404"/>
      <c r="D4753" s="569"/>
      <c r="E4753" s="569"/>
      <c r="F4753" s="1105"/>
      <c r="G4753" s="1444"/>
      <c r="H4753" s="1105"/>
      <c r="I4753" s="1105"/>
      <c r="J4753" s="1105"/>
      <c r="K4753" s="1365" t="n">
        <f aca="false">J4753/1792.8</f>
        <v>0</v>
      </c>
      <c r="L4753" s="754"/>
      <c r="M4753" s="1558" t="n">
        <f aca="false">SUM(M4745:M4752)</f>
        <v>296.792252342704</v>
      </c>
    </row>
    <row r="4754" s="122" customFormat="true" ht="30" hidden="false" customHeight="false" outlineLevel="0" collapsed="false">
      <c r="A4754" s="1403" t="s">
        <v>2219</v>
      </c>
      <c r="B4754" s="1559" t="s">
        <v>7242</v>
      </c>
      <c r="C4754" s="1404" t="s">
        <v>7212</v>
      </c>
      <c r="D4754" s="569" t="n">
        <v>2008</v>
      </c>
      <c r="E4754" s="569" t="n">
        <f aca="false">2021-D4754</f>
        <v>13</v>
      </c>
      <c r="F4754" s="1105" t="n">
        <v>376800</v>
      </c>
      <c r="G4754" s="1444" t="n">
        <v>0.1</v>
      </c>
      <c r="H4754" s="1105" t="n">
        <f aca="false">E4754*F4754*G4754</f>
        <v>489840</v>
      </c>
      <c r="I4754" s="1105" t="n">
        <f aca="false">F4754-H4754</f>
        <v>-113040</v>
      </c>
      <c r="J4754" s="1105" t="n">
        <f aca="false">F4754*G4754</f>
        <v>37680</v>
      </c>
      <c r="K4754" s="1365" t="n">
        <f aca="false">J4754/1792.8</f>
        <v>21.0174029451138</v>
      </c>
      <c r="L4754" s="1105" t="n">
        <v>18</v>
      </c>
      <c r="M4754" s="865" t="n">
        <f aca="false">K4754*L4754/60</f>
        <v>6.30522088353414</v>
      </c>
    </row>
    <row r="4755" s="122" customFormat="true" ht="15" hidden="false" customHeight="false" outlineLevel="0" collapsed="false">
      <c r="A4755" s="707"/>
      <c r="B4755" s="47"/>
      <c r="C4755" s="1404" t="s">
        <v>7211</v>
      </c>
      <c r="D4755" s="569" t="n">
        <v>2004</v>
      </c>
      <c r="E4755" s="569" t="n">
        <f aca="false">2021-D4755</f>
        <v>17</v>
      </c>
      <c r="F4755" s="1105" t="n">
        <v>214320</v>
      </c>
      <c r="G4755" s="1444" t="n">
        <v>0.1</v>
      </c>
      <c r="H4755" s="1105" t="n">
        <f aca="false">E4755*F4755*G4755</f>
        <v>364344</v>
      </c>
      <c r="I4755" s="1105" t="n">
        <f aca="false">F4755</f>
        <v>214320</v>
      </c>
      <c r="J4755" s="1105" t="n">
        <f aca="false">F4755*G4755</f>
        <v>21432</v>
      </c>
      <c r="K4755" s="1365" t="n">
        <f aca="false">J4755/1792.8</f>
        <v>11.954484605087</v>
      </c>
      <c r="L4755" s="1105" t="n">
        <v>30</v>
      </c>
      <c r="M4755" s="865" t="n">
        <f aca="false">K4755*L4755/60</f>
        <v>5.97724230254351</v>
      </c>
    </row>
    <row r="4756" s="122" customFormat="true" ht="15" hidden="false" customHeight="false" outlineLevel="0" collapsed="false">
      <c r="A4756" s="1403"/>
      <c r="B4756" s="1559"/>
      <c r="C4756" s="1404" t="s">
        <v>7176</v>
      </c>
      <c r="D4756" s="569" t="n">
        <v>2009</v>
      </c>
      <c r="E4756" s="569" t="n">
        <f aca="false">2021-D4756</f>
        <v>12</v>
      </c>
      <c r="F4756" s="1105" t="n">
        <v>166807</v>
      </c>
      <c r="G4756" s="1444" t="n">
        <v>0.1</v>
      </c>
      <c r="H4756" s="1105" t="n">
        <f aca="false">E4756*F4756*G4756</f>
        <v>200168.4</v>
      </c>
      <c r="I4756" s="1105" t="n">
        <f aca="false">F4756-H4756</f>
        <v>-33361.4</v>
      </c>
      <c r="J4756" s="1105" t="n">
        <f aca="false">F4756*G4756</f>
        <v>16680.7</v>
      </c>
      <c r="K4756" s="1365" t="n">
        <f aca="false">J4756/1792.8</f>
        <v>9.30427264614012</v>
      </c>
      <c r="L4756" s="1105" t="n">
        <v>18</v>
      </c>
      <c r="M4756" s="865" t="n">
        <f aca="false">K4756*L4756/60</f>
        <v>2.79128179384204</v>
      </c>
    </row>
    <row r="4757" s="122" customFormat="true" ht="15" hidden="false" customHeight="false" outlineLevel="0" collapsed="false">
      <c r="A4757" s="1403"/>
      <c r="B4757" s="1559"/>
      <c r="C4757" s="1404" t="s">
        <v>7214</v>
      </c>
      <c r="D4757" s="569" t="n">
        <v>2006</v>
      </c>
      <c r="E4757" s="569" t="n">
        <f aca="false">2021-D4757</f>
        <v>15</v>
      </c>
      <c r="F4757" s="1105" t="n">
        <v>10250000</v>
      </c>
      <c r="G4757" s="1444" t="n">
        <v>0.1</v>
      </c>
      <c r="H4757" s="1105" t="n">
        <f aca="false">E4757*F4757*G4757</f>
        <v>15375000</v>
      </c>
      <c r="I4757" s="1105" t="n">
        <f aca="false">F4757-H4757</f>
        <v>-5125000</v>
      </c>
      <c r="J4757" s="1105" t="n">
        <f aca="false">F4757*G4757</f>
        <v>1025000</v>
      </c>
      <c r="K4757" s="1365" t="n">
        <f aca="false">J4757/1792.8</f>
        <v>571.731369924141</v>
      </c>
      <c r="L4757" s="1105" t="n">
        <v>30</v>
      </c>
      <c r="M4757" s="865" t="n">
        <f aca="false">K4757*L4757/60</f>
        <v>285.865684962071</v>
      </c>
    </row>
    <row r="4758" s="122" customFormat="true" ht="15" hidden="false" customHeight="false" outlineLevel="0" collapsed="false">
      <c r="A4758" s="1403"/>
      <c r="B4758" s="1559"/>
      <c r="C4758" s="1404" t="s">
        <v>7215</v>
      </c>
      <c r="D4758" s="569" t="n">
        <v>2006</v>
      </c>
      <c r="E4758" s="569" t="n">
        <f aca="false">2021-D4758</f>
        <v>15</v>
      </c>
      <c r="F4758" s="1105" t="n">
        <v>174000</v>
      </c>
      <c r="G4758" s="1444" t="n">
        <v>0.1</v>
      </c>
      <c r="H4758" s="1105" t="n">
        <f aca="false">E4758*F4758*G4758</f>
        <v>261000</v>
      </c>
      <c r="I4758" s="1105" t="n">
        <f aca="false">F4758-H4758</f>
        <v>-87000</v>
      </c>
      <c r="J4758" s="1105" t="n">
        <f aca="false">F4758*G4758</f>
        <v>17400</v>
      </c>
      <c r="K4758" s="1365" t="n">
        <f aca="false">J4758/1792.8</f>
        <v>9.70548862115127</v>
      </c>
      <c r="L4758" s="1105" t="n">
        <v>30</v>
      </c>
      <c r="M4758" s="865" t="n">
        <f aca="false">K4758*L4758/60</f>
        <v>4.85274431057564</v>
      </c>
    </row>
    <row r="4759" s="122" customFormat="true" ht="15" hidden="false" customHeight="false" outlineLevel="0" collapsed="false">
      <c r="A4759" s="1403"/>
      <c r="B4759" s="1559"/>
      <c r="C4759" s="1404" t="s">
        <v>7216</v>
      </c>
      <c r="D4759" s="569" t="n">
        <v>2007</v>
      </c>
      <c r="E4759" s="569" t="n">
        <f aca="false">2021-D4759</f>
        <v>14</v>
      </c>
      <c r="F4759" s="1105" t="n">
        <v>429000</v>
      </c>
      <c r="G4759" s="1444" t="n">
        <v>0.1</v>
      </c>
      <c r="H4759" s="1105" t="n">
        <f aca="false">E4759*F4759*G4759</f>
        <v>600600</v>
      </c>
      <c r="I4759" s="1105" t="n">
        <f aca="false">F4759-H4759</f>
        <v>-171600</v>
      </c>
      <c r="J4759" s="1105" t="n">
        <f aca="false">F4759*G4759</f>
        <v>42900</v>
      </c>
      <c r="K4759" s="1365" t="n">
        <f aca="false">J4759/1792.8</f>
        <v>23.9290495314592</v>
      </c>
      <c r="L4759" s="1105" t="n">
        <v>30</v>
      </c>
      <c r="M4759" s="865" t="n">
        <f aca="false">K4759*L4759/60</f>
        <v>11.9645247657296</v>
      </c>
    </row>
    <row r="4760" s="122" customFormat="true" ht="15" hidden="false" customHeight="false" outlineLevel="0" collapsed="false">
      <c r="A4760" s="1403"/>
      <c r="B4760" s="1559"/>
      <c r="C4760" s="1404" t="s">
        <v>7217</v>
      </c>
      <c r="D4760" s="569" t="n">
        <v>2007</v>
      </c>
      <c r="E4760" s="569" t="n">
        <f aca="false">2021-D4760</f>
        <v>14</v>
      </c>
      <c r="F4760" s="1105" t="n">
        <v>287614</v>
      </c>
      <c r="G4760" s="1444" t="n">
        <v>0.1</v>
      </c>
      <c r="H4760" s="1105" t="n">
        <f aca="false">E4760*F4760*G4760</f>
        <v>402659.6</v>
      </c>
      <c r="I4760" s="1105" t="n">
        <f aca="false">F4760-H4760</f>
        <v>-115045.6</v>
      </c>
      <c r="J4760" s="1105" t="n">
        <f aca="false">F4760*G4760</f>
        <v>28761.4</v>
      </c>
      <c r="K4760" s="1365" t="n">
        <f aca="false">J4760/1792.8</f>
        <v>16.0427264614012</v>
      </c>
      <c r="L4760" s="1105" t="n">
        <v>30</v>
      </c>
      <c r="M4760" s="865" t="n">
        <f aca="false">K4760*L4760/60</f>
        <v>8.02136323070058</v>
      </c>
    </row>
    <row r="4761" s="122" customFormat="true" ht="15" hidden="false" customHeight="false" outlineLevel="0" collapsed="false">
      <c r="A4761" s="1403"/>
      <c r="B4761" s="1559"/>
      <c r="C4761" s="1404" t="s">
        <v>7229</v>
      </c>
      <c r="D4761" s="569" t="n">
        <v>2009</v>
      </c>
      <c r="E4761" s="569" t="n">
        <f aca="false">2021-D4761</f>
        <v>12</v>
      </c>
      <c r="F4761" s="1105" t="n">
        <v>49275</v>
      </c>
      <c r="G4761" s="1444" t="n">
        <v>0.1</v>
      </c>
      <c r="H4761" s="1105" t="n">
        <f aca="false">E4761*F4761*G4761</f>
        <v>59130</v>
      </c>
      <c r="I4761" s="1105" t="n">
        <f aca="false">F4761-H4761</f>
        <v>-9855</v>
      </c>
      <c r="J4761" s="1105" t="n">
        <f aca="false">F4761*G4761</f>
        <v>4927.5</v>
      </c>
      <c r="K4761" s="1365" t="n">
        <f aca="false">J4761/1792.8</f>
        <v>2.74849397590361</v>
      </c>
      <c r="L4761" s="1105" t="n">
        <v>30</v>
      </c>
      <c r="M4761" s="865" t="n">
        <f aca="false">K4761*L4761/60</f>
        <v>1.37424698795181</v>
      </c>
    </row>
    <row r="4762" s="122" customFormat="true" ht="15" hidden="false" customHeight="false" outlineLevel="0" collapsed="false">
      <c r="A4762" s="1403"/>
      <c r="B4762" s="1557" t="s">
        <v>4128</v>
      </c>
      <c r="C4762" s="1404"/>
      <c r="D4762" s="569"/>
      <c r="E4762" s="569"/>
      <c r="F4762" s="1105"/>
      <c r="G4762" s="1444"/>
      <c r="H4762" s="1105"/>
      <c r="I4762" s="1105"/>
      <c r="J4762" s="1105"/>
      <c r="K4762" s="1365" t="n">
        <f aca="false">J4762/1792.8</f>
        <v>0</v>
      </c>
      <c r="L4762" s="754"/>
      <c r="M4762" s="1558" t="n">
        <f aca="false">SUM(M4754:M4761)</f>
        <v>327.152309236948</v>
      </c>
    </row>
    <row r="4763" s="122" customFormat="true" ht="30" hidden="false" customHeight="false" outlineLevel="0" collapsed="false">
      <c r="A4763" s="707" t="s">
        <v>2221</v>
      </c>
      <c r="B4763" s="47" t="s">
        <v>3845</v>
      </c>
      <c r="C4763" s="1404" t="s">
        <v>6976</v>
      </c>
      <c r="D4763" s="569" t="n">
        <v>2005</v>
      </c>
      <c r="E4763" s="569" t="n">
        <f aca="false">2021-D4763</f>
        <v>16</v>
      </c>
      <c r="F4763" s="1105" t="n">
        <v>57600</v>
      </c>
      <c r="G4763" s="1444" t="n">
        <v>0.1</v>
      </c>
      <c r="H4763" s="1105" t="n">
        <f aca="false">E4763*F4763*G4763</f>
        <v>92160</v>
      </c>
      <c r="I4763" s="1105" t="n">
        <f aca="false">F4763</f>
        <v>57600</v>
      </c>
      <c r="J4763" s="1105" t="n">
        <f aca="false">F4763*G4763</f>
        <v>5760</v>
      </c>
      <c r="K4763" s="1365" t="n">
        <f aca="false">J4763/1792.8</f>
        <v>3.21285140562249</v>
      </c>
      <c r="L4763" s="1105" t="n">
        <v>30</v>
      </c>
      <c r="M4763" s="865" t="n">
        <f aca="false">K4763*L4763/60</f>
        <v>1.60642570281125</v>
      </c>
    </row>
    <row r="4764" s="122" customFormat="true" ht="15" hidden="false" customHeight="false" outlineLevel="0" collapsed="false">
      <c r="A4764" s="707"/>
      <c r="B4764" s="99"/>
      <c r="C4764" s="1404" t="s">
        <v>7232</v>
      </c>
      <c r="D4764" s="569" t="n">
        <v>2006</v>
      </c>
      <c r="E4764" s="569" t="n">
        <f aca="false">2021-D4764</f>
        <v>15</v>
      </c>
      <c r="F4764" s="1105" t="n">
        <v>442300</v>
      </c>
      <c r="G4764" s="1444" t="n">
        <v>0.1</v>
      </c>
      <c r="H4764" s="1105" t="n">
        <f aca="false">E4764*F4764*G4764</f>
        <v>663450</v>
      </c>
      <c r="I4764" s="1105" t="n">
        <f aca="false">F4764-H4764</f>
        <v>-221150</v>
      </c>
      <c r="J4764" s="1105" t="n">
        <f aca="false">F4764*G4764</f>
        <v>44230</v>
      </c>
      <c r="K4764" s="1365" t="n">
        <f aca="false">J4764/1792.8</f>
        <v>24.6709058456046</v>
      </c>
      <c r="L4764" s="1105" t="n">
        <v>30</v>
      </c>
      <c r="M4764" s="865" t="n">
        <f aca="false">K4764*L4764/60</f>
        <v>12.3354529228023</v>
      </c>
    </row>
    <row r="4765" s="122" customFormat="true" ht="15" hidden="false" customHeight="false" outlineLevel="0" collapsed="false">
      <c r="A4765" s="707"/>
      <c r="B4765" s="99"/>
      <c r="C4765" s="1404" t="s">
        <v>7233</v>
      </c>
      <c r="D4765" s="569" t="n">
        <v>2005</v>
      </c>
      <c r="E4765" s="569" t="n">
        <f aca="false">2021-D4765</f>
        <v>16</v>
      </c>
      <c r="F4765" s="1105" t="n">
        <v>132000</v>
      </c>
      <c r="G4765" s="1444" t="n">
        <v>0.1</v>
      </c>
      <c r="H4765" s="1105" t="n">
        <f aca="false">E4765*F4765*G4765</f>
        <v>211200</v>
      </c>
      <c r="I4765" s="1105" t="n">
        <f aca="false">F4765</f>
        <v>132000</v>
      </c>
      <c r="J4765" s="1105" t="n">
        <f aca="false">F4765*G4765</f>
        <v>13200</v>
      </c>
      <c r="K4765" s="1365" t="n">
        <f aca="false">J4765/1792.8</f>
        <v>7.36278447121821</v>
      </c>
      <c r="L4765" s="1105" t="n">
        <v>5</v>
      </c>
      <c r="M4765" s="865" t="n">
        <f aca="false">K4765*L4765/60</f>
        <v>0.613565372601517</v>
      </c>
    </row>
    <row r="4766" s="122" customFormat="true" ht="15" hidden="false" customHeight="false" outlineLevel="0" collapsed="false">
      <c r="A4766" s="707"/>
      <c r="B4766" s="99"/>
      <c r="C4766" s="1404" t="s">
        <v>7234</v>
      </c>
      <c r="D4766" s="569" t="n">
        <v>2007</v>
      </c>
      <c r="E4766" s="569" t="n">
        <f aca="false">2021-D4766</f>
        <v>14</v>
      </c>
      <c r="F4766" s="1105" t="n">
        <v>769804.25</v>
      </c>
      <c r="G4766" s="1444" t="n">
        <v>0.1</v>
      </c>
      <c r="H4766" s="1105" t="n">
        <f aca="false">E4766*F4766*G4766</f>
        <v>1077725.95</v>
      </c>
      <c r="I4766" s="1105" t="n">
        <f aca="false">F4766-H4766</f>
        <v>-307921.7</v>
      </c>
      <c r="J4766" s="1105" t="n">
        <f aca="false">F4766*G4766</f>
        <v>76980.425</v>
      </c>
      <c r="K4766" s="1365" t="n">
        <f aca="false">J4766/1792.8</f>
        <v>42.9386574074074</v>
      </c>
      <c r="L4766" s="1105" t="n">
        <v>2</v>
      </c>
      <c r="M4766" s="865" t="n">
        <f aca="false">K4766*L4766/60</f>
        <v>1.43128858024691</v>
      </c>
    </row>
    <row r="4767" s="122" customFormat="true" ht="15" hidden="false" customHeight="false" outlineLevel="0" collapsed="false">
      <c r="A4767" s="707"/>
      <c r="B4767" s="99"/>
      <c r="C4767" s="1404" t="s">
        <v>7235</v>
      </c>
      <c r="D4767" s="569" t="n">
        <v>2009</v>
      </c>
      <c r="E4767" s="569" t="n">
        <f aca="false">2021-D4767</f>
        <v>12</v>
      </c>
      <c r="F4767" s="1105" t="n">
        <v>797040</v>
      </c>
      <c r="G4767" s="1444" t="n">
        <v>0.1</v>
      </c>
      <c r="H4767" s="1105" t="n">
        <f aca="false">E4767*F4767*G4767</f>
        <v>956448</v>
      </c>
      <c r="I4767" s="1105" t="n">
        <f aca="false">F4767-H4767</f>
        <v>-159408</v>
      </c>
      <c r="J4767" s="1105" t="n">
        <f aca="false">F4767*G4767</f>
        <v>79704</v>
      </c>
      <c r="K4767" s="1365" t="n">
        <f aca="false">J4767/1792.8</f>
        <v>44.4578313253012</v>
      </c>
      <c r="L4767" s="1105" t="n">
        <v>60</v>
      </c>
      <c r="M4767" s="865" t="n">
        <f aca="false">K4767*L4767/60</f>
        <v>44.4578313253012</v>
      </c>
    </row>
    <row r="4768" s="122" customFormat="true" ht="15" hidden="false" customHeight="false" outlineLevel="0" collapsed="false">
      <c r="A4768" s="707"/>
      <c r="B4768" s="99"/>
      <c r="C4768" s="1404" t="s">
        <v>6978</v>
      </c>
      <c r="D4768" s="569" t="n">
        <v>2005</v>
      </c>
      <c r="E4768" s="569" t="n">
        <f aca="false">2021-D4768</f>
        <v>16</v>
      </c>
      <c r="F4768" s="1105" t="n">
        <v>132000</v>
      </c>
      <c r="G4768" s="1444" t="n">
        <v>0.1</v>
      </c>
      <c r="H4768" s="1105" t="n">
        <f aca="false">E4768*F4768*G4768</f>
        <v>211200</v>
      </c>
      <c r="I4768" s="1105" t="n">
        <f aca="false">F4768</f>
        <v>132000</v>
      </c>
      <c r="J4768" s="1105" t="n">
        <f aca="false">F4768*G4768</f>
        <v>13200</v>
      </c>
      <c r="K4768" s="1365" t="n">
        <f aca="false">J4768/1792.8</f>
        <v>7.36278447121821</v>
      </c>
      <c r="L4768" s="1105" t="n">
        <v>60</v>
      </c>
      <c r="M4768" s="865" t="n">
        <f aca="false">K4768*L4768/60</f>
        <v>7.36278447121821</v>
      </c>
    </row>
    <row r="4769" s="122" customFormat="true" ht="15" hidden="false" customHeight="false" outlineLevel="0" collapsed="false">
      <c r="A4769" s="707"/>
      <c r="B4769" s="99"/>
      <c r="C4769" s="1404" t="s">
        <v>7236</v>
      </c>
      <c r="D4769" s="569" t="n">
        <v>2006</v>
      </c>
      <c r="E4769" s="569" t="n">
        <f aca="false">2021-D4769</f>
        <v>15</v>
      </c>
      <c r="F4769" s="1105" t="n">
        <v>40572</v>
      </c>
      <c r="G4769" s="1444" t="n">
        <v>0.1</v>
      </c>
      <c r="H4769" s="1105" t="n">
        <f aca="false">E4769*F4769*G4769</f>
        <v>60858</v>
      </c>
      <c r="I4769" s="1105" t="n">
        <f aca="false">F4769-H4769</f>
        <v>-20286</v>
      </c>
      <c r="J4769" s="1105" t="n">
        <f aca="false">F4769*G4769</f>
        <v>4057.2</v>
      </c>
      <c r="K4769" s="1365" t="n">
        <f aca="false">J4769/1792.8</f>
        <v>2.26305220883534</v>
      </c>
      <c r="L4769" s="1105" t="n">
        <v>1440</v>
      </c>
      <c r="M4769" s="865" t="n">
        <f aca="false">K4769*L4769/60</f>
        <v>54.3132530120482</v>
      </c>
    </row>
    <row r="4770" s="122" customFormat="true" ht="15" hidden="false" customHeight="false" outlineLevel="0" collapsed="false">
      <c r="A4770" s="707"/>
      <c r="B4770" s="1557" t="s">
        <v>4128</v>
      </c>
      <c r="C4770" s="1404"/>
      <c r="D4770" s="569"/>
      <c r="E4770" s="569"/>
      <c r="F4770" s="1105"/>
      <c r="G4770" s="1444"/>
      <c r="H4770" s="1105"/>
      <c r="I4770" s="1105"/>
      <c r="J4770" s="1105"/>
      <c r="K4770" s="1365" t="n">
        <f aca="false">J4770/1792.8</f>
        <v>0</v>
      </c>
      <c r="L4770" s="754"/>
      <c r="M4770" s="1558" t="n">
        <f aca="false">SUM(M4763:M4769)</f>
        <v>122.12060138703</v>
      </c>
    </row>
    <row r="4771" s="122" customFormat="true" ht="30" hidden="false" customHeight="false" outlineLevel="0" collapsed="false">
      <c r="A4771" s="707" t="s">
        <v>2223</v>
      </c>
      <c r="B4771" s="118" t="s">
        <v>3846</v>
      </c>
      <c r="C4771" s="1404" t="s">
        <v>7212</v>
      </c>
      <c r="D4771" s="569" t="n">
        <v>2008</v>
      </c>
      <c r="E4771" s="569" t="n">
        <f aca="false">2021-D4771</f>
        <v>13</v>
      </c>
      <c r="F4771" s="1105" t="n">
        <v>376800</v>
      </c>
      <c r="G4771" s="1444" t="n">
        <v>0.1</v>
      </c>
      <c r="H4771" s="1105" t="n">
        <f aca="false">E4771*F4771*G4771</f>
        <v>489840</v>
      </c>
      <c r="I4771" s="1105" t="n">
        <f aca="false">F4771-H4771</f>
        <v>-113040</v>
      </c>
      <c r="J4771" s="1105" t="n">
        <f aca="false">F4771*G4771</f>
        <v>37680</v>
      </c>
      <c r="K4771" s="1365" t="n">
        <f aca="false">J4771/1792.8</f>
        <v>21.0174029451138</v>
      </c>
      <c r="L4771" s="1105" t="n">
        <v>60</v>
      </c>
      <c r="M4771" s="865" t="n">
        <f aca="false">K4771*L4771/60</f>
        <v>21.0174029451138</v>
      </c>
    </row>
    <row r="4772" s="122" customFormat="true" ht="15" hidden="false" customHeight="false" outlineLevel="0" collapsed="false">
      <c r="A4772" s="707"/>
      <c r="B4772" s="47"/>
      <c r="C4772" s="1404" t="s">
        <v>7211</v>
      </c>
      <c r="D4772" s="569" t="n">
        <v>2004</v>
      </c>
      <c r="E4772" s="569" t="n">
        <f aca="false">2021-D4772</f>
        <v>17</v>
      </c>
      <c r="F4772" s="1105" t="n">
        <v>214320</v>
      </c>
      <c r="G4772" s="1444" t="n">
        <v>0.1</v>
      </c>
      <c r="H4772" s="1105" t="n">
        <f aca="false">E4772*F4772*G4772</f>
        <v>364344</v>
      </c>
      <c r="I4772" s="1105" t="n">
        <f aca="false">F4772</f>
        <v>214320</v>
      </c>
      <c r="J4772" s="1105" t="n">
        <f aca="false">F4772*G4772</f>
        <v>21432</v>
      </c>
      <c r="K4772" s="1365" t="n">
        <f aca="false">J4772/1792.8</f>
        <v>11.954484605087</v>
      </c>
      <c r="L4772" s="1105" t="n">
        <v>30</v>
      </c>
      <c r="M4772" s="865" t="n">
        <f aca="false">K4772*L4772/60</f>
        <v>5.97724230254351</v>
      </c>
    </row>
    <row r="4773" s="122" customFormat="true" ht="15" hidden="false" customHeight="false" outlineLevel="0" collapsed="false">
      <c r="A4773" s="707"/>
      <c r="B4773" s="1557"/>
      <c r="C4773" s="1404" t="s">
        <v>7176</v>
      </c>
      <c r="D4773" s="569" t="n">
        <v>2009</v>
      </c>
      <c r="E4773" s="569" t="n">
        <f aca="false">2021-D4773</f>
        <v>12</v>
      </c>
      <c r="F4773" s="1105" t="n">
        <v>166807</v>
      </c>
      <c r="G4773" s="1444" t="n">
        <v>0.1</v>
      </c>
      <c r="H4773" s="1105" t="n">
        <f aca="false">E4773*F4773*G4773</f>
        <v>200168.4</v>
      </c>
      <c r="I4773" s="1105" t="n">
        <f aca="false">F4773-H4773</f>
        <v>-33361.4</v>
      </c>
      <c r="J4773" s="1105" t="n">
        <f aca="false">F4773*G4773</f>
        <v>16680.7</v>
      </c>
      <c r="K4773" s="1365" t="n">
        <f aca="false">J4773/1792.8</f>
        <v>9.30427264614012</v>
      </c>
      <c r="L4773" s="1105" t="n">
        <v>18</v>
      </c>
      <c r="M4773" s="865" t="n">
        <f aca="false">K4773*L4773/60</f>
        <v>2.79128179384204</v>
      </c>
    </row>
    <row r="4774" s="122" customFormat="true" ht="15" hidden="false" customHeight="false" outlineLevel="0" collapsed="false">
      <c r="A4774" s="707"/>
      <c r="B4774" s="1557"/>
      <c r="C4774" s="1404" t="s">
        <v>7214</v>
      </c>
      <c r="D4774" s="569" t="n">
        <v>2006</v>
      </c>
      <c r="E4774" s="569" t="n">
        <f aca="false">2021-D4774</f>
        <v>15</v>
      </c>
      <c r="F4774" s="1105" t="n">
        <v>10250000</v>
      </c>
      <c r="G4774" s="1444" t="n">
        <v>0.1</v>
      </c>
      <c r="H4774" s="1105" t="n">
        <f aca="false">E4774*F4774*G4774</f>
        <v>15375000</v>
      </c>
      <c r="I4774" s="1105" t="n">
        <f aca="false">F4774-H4774</f>
        <v>-5125000</v>
      </c>
      <c r="J4774" s="1105" t="n">
        <f aca="false">F4774*G4774</f>
        <v>1025000</v>
      </c>
      <c r="K4774" s="1365" t="n">
        <f aca="false">J4774/1792.8</f>
        <v>571.731369924141</v>
      </c>
      <c r="L4774" s="1105" t="n">
        <v>30</v>
      </c>
      <c r="M4774" s="865" t="n">
        <f aca="false">K4774*L4774/60</f>
        <v>285.865684962071</v>
      </c>
    </row>
    <row r="4775" s="122" customFormat="true" ht="15" hidden="false" customHeight="false" outlineLevel="0" collapsed="false">
      <c r="A4775" s="707"/>
      <c r="B4775" s="1557"/>
      <c r="C4775" s="1404" t="s">
        <v>7215</v>
      </c>
      <c r="D4775" s="569" t="n">
        <v>2006</v>
      </c>
      <c r="E4775" s="569" t="n">
        <f aca="false">2021-D4775</f>
        <v>15</v>
      </c>
      <c r="F4775" s="1105" t="n">
        <v>174000</v>
      </c>
      <c r="G4775" s="1444" t="n">
        <v>0.1</v>
      </c>
      <c r="H4775" s="1105" t="n">
        <f aca="false">E4775*F4775*G4775</f>
        <v>261000</v>
      </c>
      <c r="I4775" s="1105" t="n">
        <f aca="false">F4775-H4775</f>
        <v>-87000</v>
      </c>
      <c r="J4775" s="1105" t="n">
        <f aca="false">F4775*G4775</f>
        <v>17400</v>
      </c>
      <c r="K4775" s="1365" t="n">
        <f aca="false">J4775/1792.8</f>
        <v>9.70548862115127</v>
      </c>
      <c r="L4775" s="1105" t="n">
        <v>30</v>
      </c>
      <c r="M4775" s="865" t="n">
        <f aca="false">K4775*L4775/60</f>
        <v>4.85274431057564</v>
      </c>
    </row>
    <row r="4776" s="122" customFormat="true" ht="15" hidden="false" customHeight="false" outlineLevel="0" collapsed="false">
      <c r="A4776" s="707"/>
      <c r="B4776" s="1557"/>
      <c r="C4776" s="1404" t="s">
        <v>7216</v>
      </c>
      <c r="D4776" s="569" t="n">
        <v>2007</v>
      </c>
      <c r="E4776" s="569" t="n">
        <f aca="false">2021-D4776</f>
        <v>14</v>
      </c>
      <c r="F4776" s="1105" t="n">
        <v>429000</v>
      </c>
      <c r="G4776" s="1444" t="n">
        <v>0.1</v>
      </c>
      <c r="H4776" s="1105" t="n">
        <f aca="false">E4776*F4776*G4776</f>
        <v>600600</v>
      </c>
      <c r="I4776" s="1105" t="n">
        <f aca="false">F4776-H4776</f>
        <v>-171600</v>
      </c>
      <c r="J4776" s="1105" t="n">
        <f aca="false">F4776*G4776</f>
        <v>42900</v>
      </c>
      <c r="K4776" s="1365" t="n">
        <f aca="false">J4776/1792.8</f>
        <v>23.9290495314592</v>
      </c>
      <c r="L4776" s="1105" t="n">
        <v>30</v>
      </c>
      <c r="M4776" s="865" t="n">
        <f aca="false">K4776*L4776/60</f>
        <v>11.9645247657296</v>
      </c>
    </row>
    <row r="4777" s="122" customFormat="true" ht="15" hidden="false" customHeight="false" outlineLevel="0" collapsed="false">
      <c r="A4777" s="707"/>
      <c r="B4777" s="1557"/>
      <c r="C4777" s="1404" t="s">
        <v>7217</v>
      </c>
      <c r="D4777" s="569" t="n">
        <v>2007</v>
      </c>
      <c r="E4777" s="569" t="n">
        <f aca="false">2021-D4777</f>
        <v>14</v>
      </c>
      <c r="F4777" s="1105" t="n">
        <v>287614</v>
      </c>
      <c r="G4777" s="1444" t="n">
        <v>0.1</v>
      </c>
      <c r="H4777" s="1105" t="n">
        <f aca="false">E4777*F4777*G4777</f>
        <v>402659.6</v>
      </c>
      <c r="I4777" s="1105" t="n">
        <f aca="false">F4777-H4777</f>
        <v>-115045.6</v>
      </c>
      <c r="J4777" s="1105" t="n">
        <f aca="false">F4777*G4777</f>
        <v>28761.4</v>
      </c>
      <c r="K4777" s="1365" t="n">
        <f aca="false">J4777/1792.8</f>
        <v>16.0427264614012</v>
      </c>
      <c r="L4777" s="1105" t="n">
        <v>30</v>
      </c>
      <c r="M4777" s="865" t="n">
        <f aca="false">K4777*L4777/60</f>
        <v>8.02136323070058</v>
      </c>
    </row>
    <row r="4778" s="122" customFormat="true" ht="15" hidden="false" customHeight="false" outlineLevel="0" collapsed="false">
      <c r="A4778" s="707"/>
      <c r="B4778" s="1557"/>
      <c r="C4778" s="1404" t="s">
        <v>7229</v>
      </c>
      <c r="D4778" s="569" t="n">
        <v>2009</v>
      </c>
      <c r="E4778" s="569" t="n">
        <f aca="false">2021-D4778</f>
        <v>12</v>
      </c>
      <c r="F4778" s="1105" t="n">
        <v>49275</v>
      </c>
      <c r="G4778" s="1444" t="n">
        <v>0.1</v>
      </c>
      <c r="H4778" s="1105" t="n">
        <f aca="false">E4778*F4778*G4778</f>
        <v>59130</v>
      </c>
      <c r="I4778" s="1105" t="n">
        <f aca="false">F4778-H4778</f>
        <v>-9855</v>
      </c>
      <c r="J4778" s="1105" t="n">
        <f aca="false">F4778*G4778</f>
        <v>4927.5</v>
      </c>
      <c r="K4778" s="1365" t="n">
        <f aca="false">J4778/1792.8</f>
        <v>2.74849397590361</v>
      </c>
      <c r="L4778" s="1105" t="n">
        <v>30</v>
      </c>
      <c r="M4778" s="865" t="n">
        <f aca="false">K4778*L4778/60</f>
        <v>1.37424698795181</v>
      </c>
    </row>
    <row r="4779" s="122" customFormat="true" ht="15" hidden="false" customHeight="false" outlineLevel="0" collapsed="false">
      <c r="A4779" s="707"/>
      <c r="B4779" s="1557" t="s">
        <v>4128</v>
      </c>
      <c r="C4779" s="1404"/>
      <c r="D4779" s="569"/>
      <c r="E4779" s="569"/>
      <c r="F4779" s="1105"/>
      <c r="G4779" s="1444"/>
      <c r="H4779" s="1105"/>
      <c r="I4779" s="1105"/>
      <c r="J4779" s="1105"/>
      <c r="K4779" s="1365" t="n">
        <f aca="false">J4779/1792.8</f>
        <v>0</v>
      </c>
      <c r="L4779" s="754"/>
      <c r="M4779" s="1558" t="n">
        <f aca="false">SUM(M4771:M4778)</f>
        <v>341.864491298527</v>
      </c>
    </row>
    <row r="4780" s="122" customFormat="true" ht="30" hidden="false" customHeight="false" outlineLevel="0" collapsed="false">
      <c r="A4780" s="707" t="s">
        <v>2225</v>
      </c>
      <c r="B4780" s="47" t="s">
        <v>3847</v>
      </c>
      <c r="C4780" s="1404" t="s">
        <v>6976</v>
      </c>
      <c r="D4780" s="569" t="n">
        <v>2005</v>
      </c>
      <c r="E4780" s="569" t="n">
        <f aca="false">2021-D4780</f>
        <v>16</v>
      </c>
      <c r="F4780" s="1105" t="n">
        <v>57600</v>
      </c>
      <c r="G4780" s="1444" t="n">
        <v>0.1</v>
      </c>
      <c r="H4780" s="1105" t="n">
        <f aca="false">E4780*F4780*G4780</f>
        <v>92160</v>
      </c>
      <c r="I4780" s="1105" t="n">
        <f aca="false">F4780</f>
        <v>57600</v>
      </c>
      <c r="J4780" s="1105" t="n">
        <f aca="false">F4780*G4780</f>
        <v>5760</v>
      </c>
      <c r="K4780" s="1365" t="n">
        <f aca="false">J4780/1792.8</f>
        <v>3.21285140562249</v>
      </c>
      <c r="L4780" s="1105" t="n">
        <v>30</v>
      </c>
      <c r="M4780" s="865" t="n">
        <f aca="false">K4780*L4780/60</f>
        <v>1.60642570281125</v>
      </c>
    </row>
    <row r="4781" s="122" customFormat="true" ht="15" hidden="false" customHeight="false" outlineLevel="0" collapsed="false">
      <c r="A4781" s="707"/>
      <c r="B4781" s="99"/>
      <c r="C4781" s="1404" t="s">
        <v>7232</v>
      </c>
      <c r="D4781" s="569" t="n">
        <v>2006</v>
      </c>
      <c r="E4781" s="569" t="n">
        <f aca="false">2021-D4781</f>
        <v>15</v>
      </c>
      <c r="F4781" s="1105" t="n">
        <v>442300</v>
      </c>
      <c r="G4781" s="1444" t="n">
        <v>0.1</v>
      </c>
      <c r="H4781" s="1105" t="n">
        <f aca="false">E4781*F4781*G4781</f>
        <v>663450</v>
      </c>
      <c r="I4781" s="1105" t="n">
        <f aca="false">F4781-H4781</f>
        <v>-221150</v>
      </c>
      <c r="J4781" s="1105" t="n">
        <f aca="false">F4781*G4781</f>
        <v>44230</v>
      </c>
      <c r="K4781" s="1365" t="n">
        <f aca="false">J4781/1792.8</f>
        <v>24.6709058456046</v>
      </c>
      <c r="L4781" s="1105" t="n">
        <v>30</v>
      </c>
      <c r="M4781" s="865" t="n">
        <f aca="false">K4781*L4781/60</f>
        <v>12.3354529228023</v>
      </c>
    </row>
    <row r="4782" s="122" customFormat="true" ht="15" hidden="false" customHeight="false" outlineLevel="0" collapsed="false">
      <c r="A4782" s="707"/>
      <c r="B4782" s="99"/>
      <c r="C4782" s="1404" t="s">
        <v>7234</v>
      </c>
      <c r="D4782" s="569" t="n">
        <v>2007</v>
      </c>
      <c r="E4782" s="569" t="n">
        <f aca="false">2021-D4782</f>
        <v>14</v>
      </c>
      <c r="F4782" s="1105" t="n">
        <v>769804.25</v>
      </c>
      <c r="G4782" s="1444" t="n">
        <v>0.1</v>
      </c>
      <c r="H4782" s="1105" t="n">
        <f aca="false">E4782*F4782*G4782</f>
        <v>1077725.95</v>
      </c>
      <c r="I4782" s="1105" t="n">
        <f aca="false">F4782-H4782</f>
        <v>-307921.7</v>
      </c>
      <c r="J4782" s="1105" t="n">
        <f aca="false">F4782*G4782</f>
        <v>76980.425</v>
      </c>
      <c r="K4782" s="1365" t="n">
        <f aca="false">J4782/1792.8</f>
        <v>42.9386574074074</v>
      </c>
      <c r="L4782" s="1105" t="n">
        <v>5</v>
      </c>
      <c r="M4782" s="865" t="n">
        <f aca="false">K4782*L4782/60</f>
        <v>3.57822145061728</v>
      </c>
    </row>
    <row r="4783" s="122" customFormat="true" ht="15" hidden="false" customHeight="false" outlineLevel="0" collapsed="false">
      <c r="A4783" s="707"/>
      <c r="B4783" s="99"/>
      <c r="C4783" s="1404" t="s">
        <v>7235</v>
      </c>
      <c r="D4783" s="569" t="n">
        <v>2009</v>
      </c>
      <c r="E4783" s="569" t="n">
        <f aca="false">2021-D4783</f>
        <v>12</v>
      </c>
      <c r="F4783" s="1105" t="n">
        <v>797040</v>
      </c>
      <c r="G4783" s="1444" t="n">
        <v>0.1</v>
      </c>
      <c r="H4783" s="1105" t="n">
        <f aca="false">E4783*F4783*G4783</f>
        <v>956448</v>
      </c>
      <c r="I4783" s="1105" t="n">
        <f aca="false">F4783-H4783</f>
        <v>-159408</v>
      </c>
      <c r="J4783" s="1105" t="n">
        <f aca="false">F4783*G4783</f>
        <v>79704</v>
      </c>
      <c r="K4783" s="1365" t="n">
        <f aca="false">J4783/1792.8</f>
        <v>44.4578313253012</v>
      </c>
      <c r="L4783" s="1105" t="n">
        <v>2</v>
      </c>
      <c r="M4783" s="865" t="n">
        <f aca="false">K4783*L4783/60</f>
        <v>1.48192771084337</v>
      </c>
    </row>
    <row r="4784" s="122" customFormat="true" ht="15" hidden="false" customHeight="false" outlineLevel="0" collapsed="false">
      <c r="A4784" s="707"/>
      <c r="B4784" s="99"/>
      <c r="C4784" s="1404" t="s">
        <v>6978</v>
      </c>
      <c r="D4784" s="569" t="n">
        <v>2005</v>
      </c>
      <c r="E4784" s="569" t="n">
        <f aca="false">2021-D4784</f>
        <v>16</v>
      </c>
      <c r="F4784" s="1105" t="n">
        <v>132000</v>
      </c>
      <c r="G4784" s="1444" t="n">
        <v>0.1</v>
      </c>
      <c r="H4784" s="1105" t="n">
        <f aca="false">E4784*F4784*G4784</f>
        <v>211200</v>
      </c>
      <c r="I4784" s="1105" t="n">
        <f aca="false">F4784</f>
        <v>132000</v>
      </c>
      <c r="J4784" s="1105" t="n">
        <f aca="false">F4784*G4784</f>
        <v>13200</v>
      </c>
      <c r="K4784" s="1365" t="n">
        <f aca="false">J4784/1792.8</f>
        <v>7.36278447121821</v>
      </c>
      <c r="L4784" s="1105" t="n">
        <v>60</v>
      </c>
      <c r="M4784" s="865" t="n">
        <f aca="false">K4784*L4784/60</f>
        <v>7.36278447121821</v>
      </c>
    </row>
    <row r="4785" s="122" customFormat="true" ht="15" hidden="false" customHeight="false" outlineLevel="0" collapsed="false">
      <c r="A4785" s="707"/>
      <c r="B4785" s="99"/>
      <c r="C4785" s="1404" t="s">
        <v>7233</v>
      </c>
      <c r="D4785" s="569" t="n">
        <v>2005</v>
      </c>
      <c r="E4785" s="569" t="n">
        <f aca="false">2021-D4785</f>
        <v>16</v>
      </c>
      <c r="F4785" s="1105" t="n">
        <v>132000</v>
      </c>
      <c r="G4785" s="1444" t="n">
        <v>0.1</v>
      </c>
      <c r="H4785" s="1105" t="n">
        <f aca="false">E4785*F4785*G4785</f>
        <v>211200</v>
      </c>
      <c r="I4785" s="1105" t="n">
        <f aca="false">F4785</f>
        <v>132000</v>
      </c>
      <c r="J4785" s="1105" t="n">
        <f aca="false">F4785*G4785</f>
        <v>13200</v>
      </c>
      <c r="K4785" s="1365" t="n">
        <f aca="false">J4785/1792.8</f>
        <v>7.36278447121821</v>
      </c>
      <c r="L4785" s="1105" t="n">
        <v>60</v>
      </c>
      <c r="M4785" s="865" t="n">
        <f aca="false">K4785*L4785/60</f>
        <v>7.36278447121821</v>
      </c>
    </row>
    <row r="4786" s="122" customFormat="true" ht="15" hidden="false" customHeight="false" outlineLevel="0" collapsed="false">
      <c r="A4786" s="707"/>
      <c r="B4786" s="99"/>
      <c r="C4786" s="1404" t="s">
        <v>7236</v>
      </c>
      <c r="D4786" s="569" t="n">
        <v>2006</v>
      </c>
      <c r="E4786" s="569" t="n">
        <f aca="false">2021-D4786</f>
        <v>15</v>
      </c>
      <c r="F4786" s="1105" t="n">
        <v>40572</v>
      </c>
      <c r="G4786" s="1444" t="n">
        <v>0.1</v>
      </c>
      <c r="H4786" s="1105" t="n">
        <f aca="false">E4786*F4786*G4786</f>
        <v>60858</v>
      </c>
      <c r="I4786" s="1105" t="n">
        <f aca="false">F4786-H4786</f>
        <v>-20286</v>
      </c>
      <c r="J4786" s="1105" t="n">
        <f aca="false">F4786*G4786</f>
        <v>4057.2</v>
      </c>
      <c r="K4786" s="1365" t="n">
        <f aca="false">J4786/1792.8</f>
        <v>2.26305220883534</v>
      </c>
      <c r="L4786" s="1105" t="n">
        <v>1440</v>
      </c>
      <c r="M4786" s="865" t="n">
        <f aca="false">K4786*L4786/60</f>
        <v>54.3132530120482</v>
      </c>
    </row>
    <row r="4787" s="122" customFormat="true" ht="15" hidden="false" customHeight="false" outlineLevel="0" collapsed="false">
      <c r="A4787" s="707"/>
      <c r="B4787" s="1557" t="s">
        <v>4128</v>
      </c>
      <c r="C4787" s="1404"/>
      <c r="D4787" s="569"/>
      <c r="E4787" s="569"/>
      <c r="F4787" s="1105"/>
      <c r="G4787" s="1444"/>
      <c r="H4787" s="1105"/>
      <c r="I4787" s="1105"/>
      <c r="J4787" s="1105"/>
      <c r="K4787" s="1365" t="n">
        <f aca="false">J4787/1792.8</f>
        <v>0</v>
      </c>
      <c r="L4787" s="754"/>
      <c r="M4787" s="1558" t="n">
        <f aca="false">SUM(M4780:M4786)</f>
        <v>88.0408497415588</v>
      </c>
    </row>
    <row r="4788" s="122" customFormat="true" ht="30" hidden="false" customHeight="false" outlineLevel="0" collapsed="false">
      <c r="A4788" s="707" t="s">
        <v>2227</v>
      </c>
      <c r="B4788" s="47" t="s">
        <v>3848</v>
      </c>
      <c r="C4788" s="1404" t="s">
        <v>6976</v>
      </c>
      <c r="D4788" s="569" t="n">
        <v>2005</v>
      </c>
      <c r="E4788" s="569" t="n">
        <f aca="false">2021-D4788</f>
        <v>16</v>
      </c>
      <c r="F4788" s="1105" t="n">
        <v>57600</v>
      </c>
      <c r="G4788" s="1444" t="n">
        <v>0.1</v>
      </c>
      <c r="H4788" s="1105" t="n">
        <f aca="false">E4788*F4788*G4788</f>
        <v>92160</v>
      </c>
      <c r="I4788" s="1105" t="n">
        <f aca="false">F4788</f>
        <v>57600</v>
      </c>
      <c r="J4788" s="1105" t="n">
        <f aca="false">F4788*G4788</f>
        <v>5760</v>
      </c>
      <c r="K4788" s="1365" t="n">
        <f aca="false">J4788/1792.8</f>
        <v>3.21285140562249</v>
      </c>
      <c r="L4788" s="1105" t="n">
        <v>30</v>
      </c>
      <c r="M4788" s="865" t="n">
        <f aca="false">K4788*L4788/60</f>
        <v>1.60642570281125</v>
      </c>
    </row>
    <row r="4789" s="122" customFormat="true" ht="15" hidden="false" customHeight="false" outlineLevel="0" collapsed="false">
      <c r="A4789" s="707"/>
      <c r="B4789" s="99"/>
      <c r="C4789" s="1404" t="s">
        <v>7232</v>
      </c>
      <c r="D4789" s="569" t="n">
        <v>2006</v>
      </c>
      <c r="E4789" s="569" t="n">
        <f aca="false">2021-D4789</f>
        <v>15</v>
      </c>
      <c r="F4789" s="1105" t="n">
        <v>442300</v>
      </c>
      <c r="G4789" s="1444" t="n">
        <v>0.1</v>
      </c>
      <c r="H4789" s="1105" t="n">
        <f aca="false">E4789*F4789*G4789</f>
        <v>663450</v>
      </c>
      <c r="I4789" s="1105" t="n">
        <f aca="false">F4789-H4789</f>
        <v>-221150</v>
      </c>
      <c r="J4789" s="1105" t="n">
        <f aca="false">F4789*G4789</f>
        <v>44230</v>
      </c>
      <c r="K4789" s="1365" t="n">
        <f aca="false">J4789/1792.8</f>
        <v>24.6709058456046</v>
      </c>
      <c r="L4789" s="1105" t="n">
        <v>30</v>
      </c>
      <c r="M4789" s="865" t="n">
        <f aca="false">K4789*L4789/60</f>
        <v>12.3354529228023</v>
      </c>
    </row>
    <row r="4790" s="122" customFormat="true" ht="15" hidden="false" customHeight="false" outlineLevel="0" collapsed="false">
      <c r="A4790" s="707"/>
      <c r="B4790" s="99"/>
      <c r="C4790" s="1404" t="s">
        <v>6978</v>
      </c>
      <c r="D4790" s="569" t="n">
        <v>2005</v>
      </c>
      <c r="E4790" s="569" t="n">
        <f aca="false">2021-D4790</f>
        <v>16</v>
      </c>
      <c r="F4790" s="1105" t="n">
        <v>132000</v>
      </c>
      <c r="G4790" s="1444" t="n">
        <v>0.1</v>
      </c>
      <c r="H4790" s="1105" t="n">
        <f aca="false">E4790*F4790*G4790</f>
        <v>211200</v>
      </c>
      <c r="I4790" s="1105" t="n">
        <f aca="false">F4790</f>
        <v>132000</v>
      </c>
      <c r="J4790" s="1105" t="n">
        <f aca="false">F4790*G4790</f>
        <v>13200</v>
      </c>
      <c r="K4790" s="1365" t="n">
        <f aca="false">J4790/1792.8</f>
        <v>7.36278447121821</v>
      </c>
      <c r="L4790" s="1105" t="n">
        <v>5</v>
      </c>
      <c r="M4790" s="865" t="n">
        <f aca="false">K4790*L4790/60</f>
        <v>0.613565372601517</v>
      </c>
    </row>
    <row r="4791" s="122" customFormat="true" ht="15" hidden="false" customHeight="false" outlineLevel="0" collapsed="false">
      <c r="A4791" s="707"/>
      <c r="B4791" s="99"/>
      <c r="C4791" s="1404" t="s">
        <v>7234</v>
      </c>
      <c r="D4791" s="569" t="n">
        <v>2007</v>
      </c>
      <c r="E4791" s="569" t="n">
        <f aca="false">2021-D4791</f>
        <v>14</v>
      </c>
      <c r="F4791" s="1105" t="n">
        <v>769804</v>
      </c>
      <c r="G4791" s="1444" t="n">
        <v>0.1</v>
      </c>
      <c r="H4791" s="1105" t="n">
        <f aca="false">E4791*F4791*G4791</f>
        <v>1077725.6</v>
      </c>
      <c r="I4791" s="1105" t="n">
        <f aca="false">F4791-H4791</f>
        <v>-307921.6</v>
      </c>
      <c r="J4791" s="1105" t="n">
        <f aca="false">F4791*G4791</f>
        <v>76980.4</v>
      </c>
      <c r="K4791" s="1365" t="n">
        <f aca="false">J4791/1792.8</f>
        <v>42.9386434627399</v>
      </c>
      <c r="L4791" s="1105" t="n">
        <v>2</v>
      </c>
      <c r="M4791" s="865" t="n">
        <f aca="false">K4791*L4791/60</f>
        <v>1.43128811542466</v>
      </c>
    </row>
    <row r="4792" s="122" customFormat="true" ht="15" hidden="false" customHeight="false" outlineLevel="0" collapsed="false">
      <c r="A4792" s="707"/>
      <c r="B4792" s="99"/>
      <c r="C4792" s="1404" t="s">
        <v>7235</v>
      </c>
      <c r="D4792" s="569" t="n">
        <v>2009</v>
      </c>
      <c r="E4792" s="569" t="n">
        <f aca="false">2021-D4792</f>
        <v>12</v>
      </c>
      <c r="F4792" s="1105" t="n">
        <v>797040</v>
      </c>
      <c r="G4792" s="1444" t="n">
        <v>0.1</v>
      </c>
      <c r="H4792" s="1105" t="n">
        <f aca="false">E4792*F4792*G4792</f>
        <v>956448</v>
      </c>
      <c r="I4792" s="1105" t="n">
        <f aca="false">F4792-H4792</f>
        <v>-159408</v>
      </c>
      <c r="J4792" s="1105" t="n">
        <f aca="false">F4792*G4792</f>
        <v>79704</v>
      </c>
      <c r="K4792" s="1365" t="n">
        <f aca="false">J4792/1792.8</f>
        <v>44.4578313253012</v>
      </c>
      <c r="L4792" s="1105" t="n">
        <v>60</v>
      </c>
      <c r="M4792" s="865" t="n">
        <f aca="false">K4792*L4792/60</f>
        <v>44.4578313253012</v>
      </c>
    </row>
    <row r="4793" s="122" customFormat="true" ht="15" hidden="false" customHeight="false" outlineLevel="0" collapsed="false">
      <c r="A4793" s="707"/>
      <c r="B4793" s="99"/>
      <c r="C4793" s="1404" t="s">
        <v>7233</v>
      </c>
      <c r="D4793" s="569" t="n">
        <v>2005</v>
      </c>
      <c r="E4793" s="569" t="n">
        <f aca="false">2021-D4793</f>
        <v>16</v>
      </c>
      <c r="F4793" s="1105" t="n">
        <v>132000</v>
      </c>
      <c r="G4793" s="1444" t="n">
        <v>0.1</v>
      </c>
      <c r="H4793" s="1105" t="n">
        <f aca="false">E4793*F4793*G4793</f>
        <v>211200</v>
      </c>
      <c r="I4793" s="1105" t="n">
        <f aca="false">F4793</f>
        <v>132000</v>
      </c>
      <c r="J4793" s="1105" t="n">
        <f aca="false">F4793*G4793</f>
        <v>13200</v>
      </c>
      <c r="K4793" s="1365" t="n">
        <f aca="false">J4793/1792.8</f>
        <v>7.36278447121821</v>
      </c>
      <c r="L4793" s="1105" t="n">
        <v>60</v>
      </c>
      <c r="M4793" s="865" t="n">
        <f aca="false">K4793*L4793/60</f>
        <v>7.36278447121821</v>
      </c>
    </row>
    <row r="4794" s="122" customFormat="true" ht="15" hidden="false" customHeight="false" outlineLevel="0" collapsed="false">
      <c r="A4794" s="707"/>
      <c r="B4794" s="99"/>
      <c r="C4794" s="1404" t="s">
        <v>7236</v>
      </c>
      <c r="D4794" s="569" t="n">
        <v>2006</v>
      </c>
      <c r="E4794" s="569" t="n">
        <f aca="false">2021-D4794</f>
        <v>15</v>
      </c>
      <c r="F4794" s="1105" t="n">
        <v>40572</v>
      </c>
      <c r="G4794" s="1444" t="n">
        <v>0.1</v>
      </c>
      <c r="H4794" s="1105" t="n">
        <f aca="false">E4794*F4794*G4794</f>
        <v>60858</v>
      </c>
      <c r="I4794" s="1105" t="n">
        <f aca="false">F4794-H4794</f>
        <v>-20286</v>
      </c>
      <c r="J4794" s="1105" t="n">
        <f aca="false">F4794*G4794</f>
        <v>4057.2</v>
      </c>
      <c r="K4794" s="1365" t="n">
        <f aca="false">J4794/1792.8</f>
        <v>2.26305220883534</v>
      </c>
      <c r="L4794" s="1105" t="n">
        <v>1440</v>
      </c>
      <c r="M4794" s="865" t="n">
        <f aca="false">K4794*L4794/60</f>
        <v>54.3132530120482</v>
      </c>
    </row>
    <row r="4795" s="122" customFormat="true" ht="15" hidden="false" customHeight="false" outlineLevel="0" collapsed="false">
      <c r="A4795" s="707"/>
      <c r="B4795" s="1557" t="s">
        <v>4128</v>
      </c>
      <c r="C4795" s="1404"/>
      <c r="D4795" s="569"/>
      <c r="E4795" s="569"/>
      <c r="F4795" s="1105"/>
      <c r="G4795" s="1444"/>
      <c r="H4795" s="1105"/>
      <c r="I4795" s="1105"/>
      <c r="J4795" s="1105"/>
      <c r="K4795" s="1365" t="n">
        <f aca="false">J4795/1792.8</f>
        <v>0</v>
      </c>
      <c r="L4795" s="754"/>
      <c r="M4795" s="1558" t="n">
        <f aca="false">SUM(M4788:M4794)</f>
        <v>122.120600922207</v>
      </c>
    </row>
    <row r="4796" s="122" customFormat="true" ht="30" hidden="false" customHeight="false" outlineLevel="0" collapsed="false">
      <c r="A4796" s="707" t="s">
        <v>2229</v>
      </c>
      <c r="B4796" s="47" t="s">
        <v>3849</v>
      </c>
      <c r="C4796" s="1404" t="s">
        <v>6976</v>
      </c>
      <c r="D4796" s="569" t="n">
        <v>2005</v>
      </c>
      <c r="E4796" s="569" t="n">
        <f aca="false">2021-D4796</f>
        <v>16</v>
      </c>
      <c r="F4796" s="1105" t="n">
        <v>57600</v>
      </c>
      <c r="G4796" s="1444" t="n">
        <v>0.1</v>
      </c>
      <c r="H4796" s="1105" t="n">
        <f aca="false">E4796*F4796*G4796</f>
        <v>92160</v>
      </c>
      <c r="I4796" s="1105" t="n">
        <f aca="false">F4796</f>
        <v>57600</v>
      </c>
      <c r="J4796" s="1105" t="n">
        <f aca="false">F4796*G4796</f>
        <v>5760</v>
      </c>
      <c r="K4796" s="1365" t="n">
        <f aca="false">J4796/1792.8</f>
        <v>3.21285140562249</v>
      </c>
      <c r="L4796" s="1105" t="n">
        <v>30</v>
      </c>
      <c r="M4796" s="865" t="n">
        <f aca="false">K4796*L4796/60</f>
        <v>1.60642570281125</v>
      </c>
    </row>
    <row r="4797" s="122" customFormat="true" ht="25.5" hidden="false" customHeight="true" outlineLevel="0" collapsed="false">
      <c r="A4797" s="707"/>
      <c r="B4797" s="99"/>
      <c r="C4797" s="1404" t="s">
        <v>7232</v>
      </c>
      <c r="D4797" s="569" t="n">
        <v>2006</v>
      </c>
      <c r="E4797" s="569" t="n">
        <f aca="false">2021-D4797</f>
        <v>15</v>
      </c>
      <c r="F4797" s="1105" t="n">
        <v>442300</v>
      </c>
      <c r="G4797" s="1444" t="n">
        <v>0.1</v>
      </c>
      <c r="H4797" s="1105" t="n">
        <f aca="false">E4797*F4797*G4797</f>
        <v>663450</v>
      </c>
      <c r="I4797" s="1105" t="n">
        <f aca="false">F4797-H4797</f>
        <v>-221150</v>
      </c>
      <c r="J4797" s="1105" t="n">
        <f aca="false">F4797*G4797</f>
        <v>44230</v>
      </c>
      <c r="K4797" s="1365" t="n">
        <f aca="false">J4797/1792.8</f>
        <v>24.6709058456046</v>
      </c>
      <c r="L4797" s="1105" t="n">
        <v>30</v>
      </c>
      <c r="M4797" s="865" t="n">
        <f aca="false">K4797*L4797/60</f>
        <v>12.3354529228023</v>
      </c>
    </row>
    <row r="4798" s="122" customFormat="true" ht="15" hidden="false" customHeight="false" outlineLevel="0" collapsed="false">
      <c r="A4798" s="707"/>
      <c r="B4798" s="99"/>
      <c r="C4798" s="1404" t="s">
        <v>6978</v>
      </c>
      <c r="D4798" s="569" t="n">
        <v>2005</v>
      </c>
      <c r="E4798" s="569" t="n">
        <f aca="false">2021-D4798</f>
        <v>16</v>
      </c>
      <c r="F4798" s="1105" t="n">
        <v>132000</v>
      </c>
      <c r="G4798" s="1444" t="n">
        <v>0.1</v>
      </c>
      <c r="H4798" s="1105" t="n">
        <f aca="false">E4798*F4798*G4798</f>
        <v>211200</v>
      </c>
      <c r="I4798" s="1105" t="n">
        <f aca="false">F4798</f>
        <v>132000</v>
      </c>
      <c r="J4798" s="1105" t="n">
        <f aca="false">F4798*G4798</f>
        <v>13200</v>
      </c>
      <c r="K4798" s="1365" t="n">
        <f aca="false">J4798/1792.8</f>
        <v>7.36278447121821</v>
      </c>
      <c r="L4798" s="1105" t="n">
        <v>5</v>
      </c>
      <c r="M4798" s="865" t="n">
        <f aca="false">K4798*L4798/60</f>
        <v>0.613565372601517</v>
      </c>
    </row>
    <row r="4799" s="122" customFormat="true" ht="15" hidden="false" customHeight="false" outlineLevel="0" collapsed="false">
      <c r="A4799" s="707"/>
      <c r="B4799" s="99"/>
      <c r="C4799" s="1404" t="s">
        <v>7234</v>
      </c>
      <c r="D4799" s="569" t="n">
        <v>2007</v>
      </c>
      <c r="E4799" s="569" t="n">
        <f aca="false">2021-D4799</f>
        <v>14</v>
      </c>
      <c r="F4799" s="1105" t="n">
        <v>769804</v>
      </c>
      <c r="G4799" s="1444" t="n">
        <v>0.1</v>
      </c>
      <c r="H4799" s="1105" t="n">
        <f aca="false">E4799*F4799*G4799</f>
        <v>1077725.6</v>
      </c>
      <c r="I4799" s="1105" t="n">
        <f aca="false">F4799-H4799</f>
        <v>-307921.6</v>
      </c>
      <c r="J4799" s="1105" t="n">
        <f aca="false">F4799*G4799</f>
        <v>76980.4</v>
      </c>
      <c r="K4799" s="1365" t="n">
        <f aca="false">J4799/1792.8</f>
        <v>42.9386434627399</v>
      </c>
      <c r="L4799" s="1105" t="n">
        <v>2</v>
      </c>
      <c r="M4799" s="865" t="n">
        <f aca="false">K4799*L4799/60</f>
        <v>1.43128811542466</v>
      </c>
    </row>
    <row r="4800" s="122" customFormat="true" ht="15" hidden="false" customHeight="false" outlineLevel="0" collapsed="false">
      <c r="A4800" s="707"/>
      <c r="B4800" s="99"/>
      <c r="C4800" s="1404" t="s">
        <v>7235</v>
      </c>
      <c r="D4800" s="569" t="n">
        <v>2009</v>
      </c>
      <c r="E4800" s="569" t="n">
        <f aca="false">2021-D4800</f>
        <v>12</v>
      </c>
      <c r="F4800" s="1105" t="n">
        <v>797040</v>
      </c>
      <c r="G4800" s="1444" t="n">
        <v>0.1</v>
      </c>
      <c r="H4800" s="1105" t="n">
        <f aca="false">E4800*F4800*G4800</f>
        <v>956448</v>
      </c>
      <c r="I4800" s="1105" t="n">
        <f aca="false">F4800-H4800</f>
        <v>-159408</v>
      </c>
      <c r="J4800" s="1105" t="n">
        <f aca="false">F4800*G4800</f>
        <v>79704</v>
      </c>
      <c r="K4800" s="1365" t="n">
        <f aca="false">J4800/1792.8</f>
        <v>44.4578313253012</v>
      </c>
      <c r="L4800" s="1105" t="n">
        <v>60</v>
      </c>
      <c r="M4800" s="865" t="n">
        <f aca="false">K4800*L4800/60</f>
        <v>44.4578313253012</v>
      </c>
    </row>
    <row r="4801" s="122" customFormat="true" ht="15" hidden="false" customHeight="false" outlineLevel="0" collapsed="false">
      <c r="A4801" s="707"/>
      <c r="B4801" s="99"/>
      <c r="C4801" s="1404" t="s">
        <v>7233</v>
      </c>
      <c r="D4801" s="569" t="n">
        <v>2005</v>
      </c>
      <c r="E4801" s="569" t="n">
        <f aca="false">2021-D4801</f>
        <v>16</v>
      </c>
      <c r="F4801" s="1105" t="n">
        <v>132000</v>
      </c>
      <c r="G4801" s="1444" t="n">
        <v>0.1</v>
      </c>
      <c r="H4801" s="1105" t="n">
        <f aca="false">E4801*F4801*G4801</f>
        <v>211200</v>
      </c>
      <c r="I4801" s="1105" t="n">
        <f aca="false">F4801</f>
        <v>132000</v>
      </c>
      <c r="J4801" s="1105" t="n">
        <f aca="false">F4801*G4801</f>
        <v>13200</v>
      </c>
      <c r="K4801" s="1365" t="n">
        <f aca="false">J4801/1792.8</f>
        <v>7.36278447121821</v>
      </c>
      <c r="L4801" s="1105" t="n">
        <v>60</v>
      </c>
      <c r="M4801" s="865" t="n">
        <f aca="false">K4801*L4801/60</f>
        <v>7.36278447121821</v>
      </c>
    </row>
    <row r="4802" s="122" customFormat="true" ht="15" hidden="false" customHeight="false" outlineLevel="0" collapsed="false">
      <c r="A4802" s="707"/>
      <c r="B4802" s="99"/>
      <c r="C4802" s="1404" t="s">
        <v>7236</v>
      </c>
      <c r="D4802" s="569" t="n">
        <v>2006</v>
      </c>
      <c r="E4802" s="569" t="n">
        <f aca="false">2021-D4802</f>
        <v>15</v>
      </c>
      <c r="F4802" s="1105" t="n">
        <v>40572</v>
      </c>
      <c r="G4802" s="1444" t="n">
        <v>0.1</v>
      </c>
      <c r="H4802" s="1105" t="n">
        <f aca="false">E4802*F4802*G4802</f>
        <v>60858</v>
      </c>
      <c r="I4802" s="1105" t="n">
        <f aca="false">F4802-H4802</f>
        <v>-20286</v>
      </c>
      <c r="J4802" s="1105" t="n">
        <f aca="false">F4802*G4802</f>
        <v>4057.2</v>
      </c>
      <c r="K4802" s="1365" t="n">
        <f aca="false">J4802/1792.8</f>
        <v>2.26305220883534</v>
      </c>
      <c r="L4802" s="1105" t="n">
        <v>1440</v>
      </c>
      <c r="M4802" s="865" t="n">
        <f aca="false">K4802*L4802/60</f>
        <v>54.3132530120482</v>
      </c>
    </row>
    <row r="4803" s="122" customFormat="true" ht="15" hidden="false" customHeight="false" outlineLevel="0" collapsed="false">
      <c r="A4803" s="707"/>
      <c r="B4803" s="1557" t="s">
        <v>4128</v>
      </c>
      <c r="C4803" s="1404"/>
      <c r="D4803" s="569"/>
      <c r="E4803" s="569"/>
      <c r="F4803" s="1105"/>
      <c r="G4803" s="1444"/>
      <c r="H4803" s="1105"/>
      <c r="I4803" s="1105"/>
      <c r="J4803" s="1105"/>
      <c r="K4803" s="1365" t="n">
        <f aca="false">J4803/1792.8</f>
        <v>0</v>
      </c>
      <c r="L4803" s="754"/>
      <c r="M4803" s="1558" t="n">
        <f aca="false">SUM(M4796:M4802)</f>
        <v>122.120600922207</v>
      </c>
    </row>
    <row r="4804" s="122" customFormat="true" ht="30" hidden="false" customHeight="false" outlineLevel="0" collapsed="false">
      <c r="A4804" s="707" t="s">
        <v>2231</v>
      </c>
      <c r="B4804" s="47" t="s">
        <v>3850</v>
      </c>
      <c r="C4804" s="1404" t="s">
        <v>6976</v>
      </c>
      <c r="D4804" s="569" t="n">
        <v>2005</v>
      </c>
      <c r="E4804" s="569" t="n">
        <f aca="false">2021-D4804</f>
        <v>16</v>
      </c>
      <c r="F4804" s="1105" t="n">
        <v>57600</v>
      </c>
      <c r="G4804" s="1444" t="n">
        <v>0.1</v>
      </c>
      <c r="H4804" s="1105" t="n">
        <f aca="false">E4804*F4804*G4804</f>
        <v>92160</v>
      </c>
      <c r="I4804" s="1105" t="n">
        <f aca="false">F4804</f>
        <v>57600</v>
      </c>
      <c r="J4804" s="1105" t="n">
        <f aca="false">F4804*G4804</f>
        <v>5760</v>
      </c>
      <c r="K4804" s="1365" t="n">
        <f aca="false">J4804/1792.8</f>
        <v>3.21285140562249</v>
      </c>
      <c r="L4804" s="1105" t="n">
        <v>30</v>
      </c>
      <c r="M4804" s="865" t="n">
        <f aca="false">K4804*L4804/60</f>
        <v>1.60642570281125</v>
      </c>
    </row>
    <row r="4805" s="122" customFormat="true" ht="15" hidden="false" customHeight="false" outlineLevel="0" collapsed="false">
      <c r="A4805" s="707"/>
      <c r="B4805" s="99"/>
      <c r="C4805" s="1404" t="s">
        <v>7232</v>
      </c>
      <c r="D4805" s="569" t="n">
        <v>2006</v>
      </c>
      <c r="E4805" s="569" t="n">
        <f aca="false">2021-D4805</f>
        <v>15</v>
      </c>
      <c r="F4805" s="1105" t="n">
        <v>442300</v>
      </c>
      <c r="G4805" s="1444" t="n">
        <v>0.1</v>
      </c>
      <c r="H4805" s="1105" t="n">
        <f aca="false">E4805*F4805*G4805</f>
        <v>663450</v>
      </c>
      <c r="I4805" s="1105" t="n">
        <f aca="false">F4805-H4805</f>
        <v>-221150</v>
      </c>
      <c r="J4805" s="1105" t="n">
        <f aca="false">F4805*G4805</f>
        <v>44230</v>
      </c>
      <c r="K4805" s="1365" t="n">
        <f aca="false">J4805/1792.8</f>
        <v>24.6709058456046</v>
      </c>
      <c r="L4805" s="1105" t="n">
        <v>30</v>
      </c>
      <c r="M4805" s="865" t="n">
        <f aca="false">K4805*L4805/60</f>
        <v>12.3354529228023</v>
      </c>
    </row>
    <row r="4806" s="122" customFormat="true" ht="15" hidden="false" customHeight="false" outlineLevel="0" collapsed="false">
      <c r="A4806" s="707"/>
      <c r="B4806" s="99"/>
      <c r="C4806" s="1404" t="s">
        <v>6978</v>
      </c>
      <c r="D4806" s="569" t="n">
        <v>2005</v>
      </c>
      <c r="E4806" s="569" t="n">
        <f aca="false">2021-D4806</f>
        <v>16</v>
      </c>
      <c r="F4806" s="1105" t="n">
        <v>132000</v>
      </c>
      <c r="G4806" s="1444" t="n">
        <v>0.1</v>
      </c>
      <c r="H4806" s="1105" t="n">
        <f aca="false">E4806*F4806*G4806</f>
        <v>211200</v>
      </c>
      <c r="I4806" s="1105" t="n">
        <f aca="false">F4806</f>
        <v>132000</v>
      </c>
      <c r="J4806" s="1105" t="n">
        <f aca="false">F4806*G4806</f>
        <v>13200</v>
      </c>
      <c r="K4806" s="1365" t="n">
        <f aca="false">J4806/1792.8</f>
        <v>7.36278447121821</v>
      </c>
      <c r="L4806" s="1105" t="n">
        <v>5</v>
      </c>
      <c r="M4806" s="865" t="n">
        <f aca="false">K4806*L4806/60</f>
        <v>0.613565372601517</v>
      </c>
    </row>
    <row r="4807" s="122" customFormat="true" ht="15" hidden="false" customHeight="false" outlineLevel="0" collapsed="false">
      <c r="A4807" s="707"/>
      <c r="B4807" s="99"/>
      <c r="C4807" s="1404" t="s">
        <v>7234</v>
      </c>
      <c r="D4807" s="569" t="n">
        <v>2007</v>
      </c>
      <c r="E4807" s="569" t="n">
        <f aca="false">2021-D4807</f>
        <v>14</v>
      </c>
      <c r="F4807" s="1105" t="n">
        <v>769804</v>
      </c>
      <c r="G4807" s="1444" t="n">
        <v>0.1</v>
      </c>
      <c r="H4807" s="1105" t="n">
        <f aca="false">E4807*F4807*G4807</f>
        <v>1077725.6</v>
      </c>
      <c r="I4807" s="1105" t="n">
        <f aca="false">F4807-H4807</f>
        <v>-307921.6</v>
      </c>
      <c r="J4807" s="1105" t="n">
        <f aca="false">F4807*G4807</f>
        <v>76980.4</v>
      </c>
      <c r="K4807" s="1365" t="n">
        <f aca="false">J4807/1792.8</f>
        <v>42.9386434627399</v>
      </c>
      <c r="L4807" s="1105" t="n">
        <v>2</v>
      </c>
      <c r="M4807" s="865" t="n">
        <f aca="false">K4807*L4807/60</f>
        <v>1.43128811542466</v>
      </c>
    </row>
    <row r="4808" s="122" customFormat="true" ht="15" hidden="false" customHeight="false" outlineLevel="0" collapsed="false">
      <c r="A4808" s="707"/>
      <c r="B4808" s="99"/>
      <c r="C4808" s="1404" t="s">
        <v>7235</v>
      </c>
      <c r="D4808" s="569" t="n">
        <v>2009</v>
      </c>
      <c r="E4808" s="569" t="n">
        <f aca="false">2021-D4808</f>
        <v>12</v>
      </c>
      <c r="F4808" s="1105" t="n">
        <v>797040</v>
      </c>
      <c r="G4808" s="1444" t="n">
        <v>0.1</v>
      </c>
      <c r="H4808" s="1105" t="n">
        <f aca="false">E4808*F4808*G4808</f>
        <v>956448</v>
      </c>
      <c r="I4808" s="1105" t="n">
        <f aca="false">F4808-H4808</f>
        <v>-159408</v>
      </c>
      <c r="J4808" s="1105" t="n">
        <f aca="false">F4808*G4808</f>
        <v>79704</v>
      </c>
      <c r="K4808" s="1365" t="n">
        <f aca="false">J4808/1792.8</f>
        <v>44.4578313253012</v>
      </c>
      <c r="L4808" s="1105" t="n">
        <v>60</v>
      </c>
      <c r="M4808" s="865" t="n">
        <f aca="false">K4808*L4808/60</f>
        <v>44.4578313253012</v>
      </c>
    </row>
    <row r="4809" s="122" customFormat="true" ht="15" hidden="false" customHeight="false" outlineLevel="0" collapsed="false">
      <c r="A4809" s="707"/>
      <c r="B4809" s="99"/>
      <c r="C4809" s="1404" t="s">
        <v>7233</v>
      </c>
      <c r="D4809" s="569" t="n">
        <v>2005</v>
      </c>
      <c r="E4809" s="569" t="n">
        <f aca="false">2021-D4809</f>
        <v>16</v>
      </c>
      <c r="F4809" s="1105" t="n">
        <v>132000</v>
      </c>
      <c r="G4809" s="1444" t="n">
        <v>0.1</v>
      </c>
      <c r="H4809" s="1105" t="n">
        <f aca="false">E4809*F4809*G4809</f>
        <v>211200</v>
      </c>
      <c r="I4809" s="1105" t="n">
        <f aca="false">F4809</f>
        <v>132000</v>
      </c>
      <c r="J4809" s="1105" t="n">
        <f aca="false">F4809*G4809</f>
        <v>13200</v>
      </c>
      <c r="K4809" s="1365" t="n">
        <f aca="false">J4809/1792.8</f>
        <v>7.36278447121821</v>
      </c>
      <c r="L4809" s="1105" t="n">
        <v>60</v>
      </c>
      <c r="M4809" s="865" t="n">
        <f aca="false">K4809*L4809/60</f>
        <v>7.36278447121821</v>
      </c>
    </row>
    <row r="4810" s="122" customFormat="true" ht="15" hidden="false" customHeight="false" outlineLevel="0" collapsed="false">
      <c r="A4810" s="707"/>
      <c r="B4810" s="99"/>
      <c r="C4810" s="1404" t="s">
        <v>7236</v>
      </c>
      <c r="D4810" s="569" t="n">
        <v>2006</v>
      </c>
      <c r="E4810" s="569" t="n">
        <f aca="false">2021-D4810</f>
        <v>15</v>
      </c>
      <c r="F4810" s="1105" t="n">
        <v>40572</v>
      </c>
      <c r="G4810" s="1444" t="n">
        <v>0.1</v>
      </c>
      <c r="H4810" s="1105" t="n">
        <f aca="false">E4810*F4810*G4810</f>
        <v>60858</v>
      </c>
      <c r="I4810" s="1105" t="n">
        <f aca="false">F4810-H4810</f>
        <v>-20286</v>
      </c>
      <c r="J4810" s="1105" t="n">
        <f aca="false">F4810*G4810</f>
        <v>4057.2</v>
      </c>
      <c r="K4810" s="1365" t="n">
        <f aca="false">J4810/1792.8</f>
        <v>2.26305220883534</v>
      </c>
      <c r="L4810" s="1105" t="n">
        <v>1440</v>
      </c>
      <c r="M4810" s="865" t="n">
        <f aca="false">K4810*L4810/60</f>
        <v>54.3132530120482</v>
      </c>
    </row>
    <row r="4811" s="122" customFormat="true" ht="15" hidden="false" customHeight="false" outlineLevel="0" collapsed="false">
      <c r="A4811" s="707"/>
      <c r="B4811" s="1557" t="s">
        <v>4128</v>
      </c>
      <c r="C4811" s="1404"/>
      <c r="D4811" s="569"/>
      <c r="E4811" s="569"/>
      <c r="F4811" s="1105"/>
      <c r="G4811" s="1444"/>
      <c r="H4811" s="1105"/>
      <c r="I4811" s="1105"/>
      <c r="J4811" s="1105"/>
      <c r="K4811" s="1365" t="n">
        <f aca="false">J4811/1792.8</f>
        <v>0</v>
      </c>
      <c r="L4811" s="754"/>
      <c r="M4811" s="1558" t="n">
        <f aca="false">SUM(M4804:M4810)</f>
        <v>122.120600922207</v>
      </c>
    </row>
    <row r="4812" s="122" customFormat="true" ht="45" hidden="false" customHeight="false" outlineLevel="0" collapsed="false">
      <c r="A4812" s="707" t="s">
        <v>2233</v>
      </c>
      <c r="B4812" s="47" t="s">
        <v>3851</v>
      </c>
      <c r="C4812" s="1404" t="s">
        <v>6976</v>
      </c>
      <c r="D4812" s="569" t="n">
        <v>2005</v>
      </c>
      <c r="E4812" s="569" t="n">
        <f aca="false">2021-D4812</f>
        <v>16</v>
      </c>
      <c r="F4812" s="1105" t="n">
        <v>57600</v>
      </c>
      <c r="G4812" s="1444" t="n">
        <v>0.1</v>
      </c>
      <c r="H4812" s="1105" t="n">
        <f aca="false">E4812*F4812*G4812</f>
        <v>92160</v>
      </c>
      <c r="I4812" s="1105" t="n">
        <f aca="false">F4812</f>
        <v>57600</v>
      </c>
      <c r="J4812" s="1105" t="n">
        <f aca="false">F4812*G4812</f>
        <v>5760</v>
      </c>
      <c r="K4812" s="1365" t="n">
        <f aca="false">J4812/1792.8</f>
        <v>3.21285140562249</v>
      </c>
      <c r="L4812" s="1105" t="n">
        <v>30</v>
      </c>
      <c r="M4812" s="865" t="n">
        <f aca="false">K4812*L4812/60</f>
        <v>1.60642570281125</v>
      </c>
    </row>
    <row r="4813" s="122" customFormat="true" ht="15" hidden="false" customHeight="false" outlineLevel="0" collapsed="false">
      <c r="A4813" s="707"/>
      <c r="B4813" s="99"/>
      <c r="C4813" s="1404" t="s">
        <v>7232</v>
      </c>
      <c r="D4813" s="569" t="n">
        <v>2006</v>
      </c>
      <c r="E4813" s="569" t="n">
        <f aca="false">2021-D4813</f>
        <v>15</v>
      </c>
      <c r="F4813" s="1105" t="n">
        <v>442300</v>
      </c>
      <c r="G4813" s="1444" t="n">
        <v>0.1</v>
      </c>
      <c r="H4813" s="1105" t="n">
        <f aca="false">E4813*F4813*G4813</f>
        <v>663450</v>
      </c>
      <c r="I4813" s="1105" t="n">
        <f aca="false">F4813-H4813</f>
        <v>-221150</v>
      </c>
      <c r="J4813" s="1105" t="n">
        <f aca="false">F4813*G4813</f>
        <v>44230</v>
      </c>
      <c r="K4813" s="1365" t="n">
        <f aca="false">J4813/1792.8</f>
        <v>24.6709058456046</v>
      </c>
      <c r="L4813" s="1105" t="n">
        <v>30</v>
      </c>
      <c r="M4813" s="865" t="n">
        <f aca="false">K4813*L4813/60</f>
        <v>12.3354529228023</v>
      </c>
    </row>
    <row r="4814" s="122" customFormat="true" ht="15" hidden="false" customHeight="false" outlineLevel="0" collapsed="false">
      <c r="A4814" s="707"/>
      <c r="B4814" s="99"/>
      <c r="C4814" s="1404" t="s">
        <v>6978</v>
      </c>
      <c r="D4814" s="569" t="n">
        <v>2005</v>
      </c>
      <c r="E4814" s="569" t="n">
        <f aca="false">2021-D4814</f>
        <v>16</v>
      </c>
      <c r="F4814" s="1105" t="n">
        <v>132000</v>
      </c>
      <c r="G4814" s="1444" t="n">
        <v>0.1</v>
      </c>
      <c r="H4814" s="1105" t="n">
        <f aca="false">E4814*F4814*G4814</f>
        <v>211200</v>
      </c>
      <c r="I4814" s="1105" t="n">
        <f aca="false">F4814</f>
        <v>132000</v>
      </c>
      <c r="J4814" s="1105" t="n">
        <f aca="false">F4814*G4814</f>
        <v>13200</v>
      </c>
      <c r="K4814" s="1365" t="n">
        <f aca="false">J4814/1792.8</f>
        <v>7.36278447121821</v>
      </c>
      <c r="L4814" s="1105" t="n">
        <v>5</v>
      </c>
      <c r="M4814" s="865" t="n">
        <f aca="false">K4814*L4814/60</f>
        <v>0.613565372601517</v>
      </c>
    </row>
    <row r="4815" s="122" customFormat="true" ht="15" hidden="false" customHeight="false" outlineLevel="0" collapsed="false">
      <c r="A4815" s="707"/>
      <c r="B4815" s="99"/>
      <c r="C4815" s="1404" t="s">
        <v>7234</v>
      </c>
      <c r="D4815" s="569" t="n">
        <v>2007</v>
      </c>
      <c r="E4815" s="569" t="n">
        <f aca="false">2021-D4815</f>
        <v>14</v>
      </c>
      <c r="F4815" s="1105" t="n">
        <v>769804</v>
      </c>
      <c r="G4815" s="1444" t="n">
        <v>0.1</v>
      </c>
      <c r="H4815" s="1105" t="n">
        <f aca="false">E4815*F4815*G4815</f>
        <v>1077725.6</v>
      </c>
      <c r="I4815" s="1105" t="n">
        <f aca="false">F4815-H4815</f>
        <v>-307921.6</v>
      </c>
      <c r="J4815" s="1105" t="n">
        <f aca="false">F4815*G4815</f>
        <v>76980.4</v>
      </c>
      <c r="K4815" s="1365" t="n">
        <f aca="false">J4815/1792.8</f>
        <v>42.9386434627399</v>
      </c>
      <c r="L4815" s="1105" t="n">
        <v>2</v>
      </c>
      <c r="M4815" s="865" t="n">
        <f aca="false">K4815*L4815/60</f>
        <v>1.43128811542466</v>
      </c>
    </row>
    <row r="4816" s="122" customFormat="true" ht="15" hidden="false" customHeight="false" outlineLevel="0" collapsed="false">
      <c r="A4816" s="707"/>
      <c r="B4816" s="99"/>
      <c r="C4816" s="1404" t="s">
        <v>7235</v>
      </c>
      <c r="D4816" s="569" t="n">
        <v>2009</v>
      </c>
      <c r="E4816" s="569" t="n">
        <f aca="false">2021-D4816</f>
        <v>12</v>
      </c>
      <c r="F4816" s="1105" t="n">
        <v>797040</v>
      </c>
      <c r="G4816" s="1444" t="n">
        <v>0.1</v>
      </c>
      <c r="H4816" s="1105" t="n">
        <f aca="false">E4816*F4816*G4816</f>
        <v>956448</v>
      </c>
      <c r="I4816" s="1105" t="n">
        <f aca="false">F4816-H4816</f>
        <v>-159408</v>
      </c>
      <c r="J4816" s="1105" t="n">
        <f aca="false">F4816*G4816</f>
        <v>79704</v>
      </c>
      <c r="K4816" s="1365" t="n">
        <f aca="false">J4816/1792.8</f>
        <v>44.4578313253012</v>
      </c>
      <c r="L4816" s="1105" t="n">
        <v>60</v>
      </c>
      <c r="M4816" s="865" t="n">
        <f aca="false">K4816*L4816/60</f>
        <v>44.4578313253012</v>
      </c>
    </row>
    <row r="4817" s="122" customFormat="true" ht="15" hidden="false" customHeight="false" outlineLevel="0" collapsed="false">
      <c r="A4817" s="707"/>
      <c r="B4817" s="99"/>
      <c r="C4817" s="1404" t="s">
        <v>7233</v>
      </c>
      <c r="D4817" s="569" t="n">
        <v>2005</v>
      </c>
      <c r="E4817" s="569" t="n">
        <f aca="false">2021-D4817</f>
        <v>16</v>
      </c>
      <c r="F4817" s="1105" t="n">
        <v>132000</v>
      </c>
      <c r="G4817" s="1444" t="n">
        <v>0.1</v>
      </c>
      <c r="H4817" s="1105" t="n">
        <f aca="false">E4817*F4817*G4817</f>
        <v>211200</v>
      </c>
      <c r="I4817" s="1105" t="n">
        <f aca="false">F4817</f>
        <v>132000</v>
      </c>
      <c r="J4817" s="1105" t="n">
        <f aca="false">F4817*G4817</f>
        <v>13200</v>
      </c>
      <c r="K4817" s="1365" t="n">
        <f aca="false">J4817/1792.8</f>
        <v>7.36278447121821</v>
      </c>
      <c r="L4817" s="1105" t="n">
        <v>60</v>
      </c>
      <c r="M4817" s="865" t="n">
        <f aca="false">K4817*L4817/60</f>
        <v>7.36278447121821</v>
      </c>
    </row>
    <row r="4818" s="122" customFormat="true" ht="15" hidden="false" customHeight="false" outlineLevel="0" collapsed="false">
      <c r="A4818" s="707"/>
      <c r="B4818" s="99"/>
      <c r="C4818" s="1404" t="s">
        <v>7236</v>
      </c>
      <c r="D4818" s="569" t="n">
        <v>2006</v>
      </c>
      <c r="E4818" s="569" t="n">
        <f aca="false">2021-D4818</f>
        <v>15</v>
      </c>
      <c r="F4818" s="1105" t="n">
        <v>40572</v>
      </c>
      <c r="G4818" s="1444" t="n">
        <v>0.1</v>
      </c>
      <c r="H4818" s="1105" t="n">
        <f aca="false">E4818*F4818*G4818</f>
        <v>60858</v>
      </c>
      <c r="I4818" s="1105" t="n">
        <f aca="false">F4818-H4818</f>
        <v>-20286</v>
      </c>
      <c r="J4818" s="1105" t="n">
        <f aca="false">F4818*G4818</f>
        <v>4057.2</v>
      </c>
      <c r="K4818" s="1365" t="n">
        <f aca="false">J4818/1792.8</f>
        <v>2.26305220883534</v>
      </c>
      <c r="L4818" s="1105" t="n">
        <v>1440</v>
      </c>
      <c r="M4818" s="865" t="n">
        <f aca="false">K4818*L4818/60</f>
        <v>54.3132530120482</v>
      </c>
    </row>
    <row r="4819" s="122" customFormat="true" ht="15" hidden="false" customHeight="false" outlineLevel="0" collapsed="false">
      <c r="A4819" s="707"/>
      <c r="B4819" s="1557" t="s">
        <v>4128</v>
      </c>
      <c r="C4819" s="1404"/>
      <c r="D4819" s="569"/>
      <c r="E4819" s="569"/>
      <c r="F4819" s="1105"/>
      <c r="G4819" s="1444"/>
      <c r="H4819" s="1105"/>
      <c r="I4819" s="1105"/>
      <c r="J4819" s="1105"/>
      <c r="K4819" s="1365" t="n">
        <f aca="false">J4819/1792.8</f>
        <v>0</v>
      </c>
      <c r="L4819" s="1105"/>
      <c r="M4819" s="1558" t="n">
        <f aca="false">SUM(M4812:M4818)</f>
        <v>122.120600922207</v>
      </c>
    </row>
    <row r="4820" s="122" customFormat="true" ht="30" hidden="false" customHeight="false" outlineLevel="0" collapsed="false">
      <c r="A4820" s="707" t="s">
        <v>2235</v>
      </c>
      <c r="B4820" s="47" t="s">
        <v>3852</v>
      </c>
      <c r="C4820" s="1404" t="s">
        <v>7212</v>
      </c>
      <c r="D4820" s="569" t="n">
        <v>2008</v>
      </c>
      <c r="E4820" s="569" t="n">
        <f aca="false">2021-D4820</f>
        <v>13</v>
      </c>
      <c r="F4820" s="1105" t="n">
        <v>376800</v>
      </c>
      <c r="G4820" s="1444" t="n">
        <v>0.1</v>
      </c>
      <c r="H4820" s="1105" t="n">
        <f aca="false">E4820*F4820*G4820</f>
        <v>489840</v>
      </c>
      <c r="I4820" s="1105" t="n">
        <f aca="false">F4820-H4820</f>
        <v>-113040</v>
      </c>
      <c r="J4820" s="1105" t="n">
        <f aca="false">F4820*G4820</f>
        <v>37680</v>
      </c>
      <c r="K4820" s="1365" t="n">
        <f aca="false">J4820/1792.8</f>
        <v>21.0174029451138</v>
      </c>
      <c r="L4820" s="1105" t="n">
        <v>30</v>
      </c>
      <c r="M4820" s="865" t="n">
        <f aca="false">K4820*L4820/60</f>
        <v>10.5087014725569</v>
      </c>
    </row>
    <row r="4821" s="122" customFormat="true" ht="15" hidden="false" customHeight="false" outlineLevel="0" collapsed="false">
      <c r="A4821" s="707"/>
      <c r="B4821" s="47"/>
      <c r="C4821" s="1404" t="s">
        <v>7211</v>
      </c>
      <c r="D4821" s="569" t="n">
        <v>2004</v>
      </c>
      <c r="E4821" s="569" t="n">
        <f aca="false">2021-D4821</f>
        <v>17</v>
      </c>
      <c r="F4821" s="1105" t="n">
        <v>214320</v>
      </c>
      <c r="G4821" s="1444" t="n">
        <v>0.1</v>
      </c>
      <c r="H4821" s="1105" t="n">
        <f aca="false">E4821*F4821*G4821</f>
        <v>364344</v>
      </c>
      <c r="I4821" s="1105" t="n">
        <f aca="false">F4821</f>
        <v>214320</v>
      </c>
      <c r="J4821" s="1105" t="n">
        <f aca="false">F4821*G4821</f>
        <v>21432</v>
      </c>
      <c r="K4821" s="1365" t="n">
        <f aca="false">J4821/1792.8</f>
        <v>11.954484605087</v>
      </c>
      <c r="L4821" s="1105" t="n">
        <v>30</v>
      </c>
      <c r="M4821" s="865" t="n">
        <f aca="false">K4821*L4821/60</f>
        <v>5.97724230254351</v>
      </c>
    </row>
    <row r="4822" s="122" customFormat="true" ht="15" hidden="false" customHeight="false" outlineLevel="0" collapsed="false">
      <c r="A4822" s="707"/>
      <c r="B4822" s="1557"/>
      <c r="C4822" s="1404" t="s">
        <v>7176</v>
      </c>
      <c r="D4822" s="569" t="n">
        <v>2009</v>
      </c>
      <c r="E4822" s="569" t="n">
        <f aca="false">2021-D4822</f>
        <v>12</v>
      </c>
      <c r="F4822" s="1105" t="n">
        <v>166807</v>
      </c>
      <c r="G4822" s="1444" t="n">
        <v>0.1</v>
      </c>
      <c r="H4822" s="1105" t="n">
        <f aca="false">E4822*F4822*G4822</f>
        <v>200168.4</v>
      </c>
      <c r="I4822" s="1105" t="n">
        <f aca="false">F4822-H4822</f>
        <v>-33361.4</v>
      </c>
      <c r="J4822" s="1105" t="n">
        <f aca="false">F4822*G4822</f>
        <v>16680.7</v>
      </c>
      <c r="K4822" s="1365" t="n">
        <f aca="false">J4822/1792.8</f>
        <v>9.30427264614012</v>
      </c>
      <c r="L4822" s="1105" t="n">
        <v>30</v>
      </c>
      <c r="M4822" s="865" t="n">
        <f aca="false">K4822*L4822/60</f>
        <v>4.65213632307006</v>
      </c>
    </row>
    <row r="4823" s="122" customFormat="true" ht="15" hidden="false" customHeight="false" outlineLevel="0" collapsed="false">
      <c r="A4823" s="707"/>
      <c r="B4823" s="1557"/>
      <c r="C4823" s="1404" t="s">
        <v>7214</v>
      </c>
      <c r="D4823" s="569" t="n">
        <v>2006</v>
      </c>
      <c r="E4823" s="569" t="n">
        <f aca="false">2021-D4823</f>
        <v>15</v>
      </c>
      <c r="F4823" s="1105" t="n">
        <v>10250000</v>
      </c>
      <c r="G4823" s="1444" t="n">
        <v>0.1</v>
      </c>
      <c r="H4823" s="1105" t="n">
        <f aca="false">E4823*F4823*G4823</f>
        <v>15375000</v>
      </c>
      <c r="I4823" s="1105" t="n">
        <f aca="false">F4823-H4823</f>
        <v>-5125000</v>
      </c>
      <c r="J4823" s="1105" t="n">
        <f aca="false">F4823*G4823</f>
        <v>1025000</v>
      </c>
      <c r="K4823" s="1365" t="n">
        <f aca="false">J4823/1792.8</f>
        <v>571.731369924141</v>
      </c>
      <c r="L4823" s="1105" t="n">
        <v>30</v>
      </c>
      <c r="M4823" s="865" t="n">
        <f aca="false">K4823*L4823/60</f>
        <v>285.865684962071</v>
      </c>
    </row>
    <row r="4824" s="122" customFormat="true" ht="15" hidden="false" customHeight="false" outlineLevel="0" collapsed="false">
      <c r="A4824" s="707"/>
      <c r="B4824" s="1557"/>
      <c r="C4824" s="1404" t="s">
        <v>7215</v>
      </c>
      <c r="D4824" s="569" t="n">
        <v>2006</v>
      </c>
      <c r="E4824" s="569" t="n">
        <f aca="false">2021-D4824</f>
        <v>15</v>
      </c>
      <c r="F4824" s="1105" t="n">
        <v>174000</v>
      </c>
      <c r="G4824" s="1444" t="n">
        <v>0.1</v>
      </c>
      <c r="H4824" s="1105" t="n">
        <f aca="false">E4824*F4824*G4824</f>
        <v>261000</v>
      </c>
      <c r="I4824" s="1105" t="n">
        <f aca="false">F4824-H4824</f>
        <v>-87000</v>
      </c>
      <c r="J4824" s="1105" t="n">
        <f aca="false">F4824*G4824</f>
        <v>17400</v>
      </c>
      <c r="K4824" s="1365" t="n">
        <f aca="false">J4824/1792.8</f>
        <v>9.70548862115127</v>
      </c>
      <c r="L4824" s="1105" t="n">
        <v>30</v>
      </c>
      <c r="M4824" s="865" t="n">
        <f aca="false">K4824*L4824/60</f>
        <v>4.85274431057564</v>
      </c>
    </row>
    <row r="4825" s="122" customFormat="true" ht="15" hidden="false" customHeight="false" outlineLevel="0" collapsed="false">
      <c r="A4825" s="707"/>
      <c r="B4825" s="1557"/>
      <c r="C4825" s="1404" t="s">
        <v>7216</v>
      </c>
      <c r="D4825" s="569" t="n">
        <v>2007</v>
      </c>
      <c r="E4825" s="569" t="n">
        <f aca="false">2021-D4825</f>
        <v>14</v>
      </c>
      <c r="F4825" s="1105" t="n">
        <v>429000</v>
      </c>
      <c r="G4825" s="1444" t="n">
        <v>0.1</v>
      </c>
      <c r="H4825" s="1105" t="n">
        <f aca="false">E4825*F4825*G4825</f>
        <v>600600</v>
      </c>
      <c r="I4825" s="1105" t="n">
        <f aca="false">F4825-H4825</f>
        <v>-171600</v>
      </c>
      <c r="J4825" s="1105" t="n">
        <f aca="false">F4825*G4825</f>
        <v>42900</v>
      </c>
      <c r="K4825" s="1365" t="n">
        <f aca="false">J4825/1792.8</f>
        <v>23.9290495314592</v>
      </c>
      <c r="L4825" s="1105" t="n">
        <v>30</v>
      </c>
      <c r="M4825" s="865" t="n">
        <f aca="false">K4825*L4825/60</f>
        <v>11.9645247657296</v>
      </c>
    </row>
    <row r="4826" s="122" customFormat="true" ht="15" hidden="false" customHeight="false" outlineLevel="0" collapsed="false">
      <c r="A4826" s="707"/>
      <c r="B4826" s="1557"/>
      <c r="C4826" s="1404" t="s">
        <v>7217</v>
      </c>
      <c r="D4826" s="569" t="n">
        <v>2007</v>
      </c>
      <c r="E4826" s="569" t="n">
        <f aca="false">2021-D4826</f>
        <v>14</v>
      </c>
      <c r="F4826" s="1105" t="n">
        <v>287614</v>
      </c>
      <c r="G4826" s="1444" t="n">
        <v>0.1</v>
      </c>
      <c r="H4826" s="1105" t="n">
        <f aca="false">E4826*F4826*G4826</f>
        <v>402659.6</v>
      </c>
      <c r="I4826" s="1105" t="n">
        <f aca="false">F4826-H4826</f>
        <v>-115045.6</v>
      </c>
      <c r="J4826" s="1105" t="n">
        <f aca="false">F4826*G4826</f>
        <v>28761.4</v>
      </c>
      <c r="K4826" s="1365" t="n">
        <f aca="false">J4826/1792.8</f>
        <v>16.0427264614012</v>
      </c>
      <c r="L4826" s="1105" t="n">
        <v>30</v>
      </c>
      <c r="M4826" s="865" t="n">
        <f aca="false">K4826*L4826/60</f>
        <v>8.02136323070058</v>
      </c>
    </row>
    <row r="4827" s="122" customFormat="true" ht="15" hidden="false" customHeight="false" outlineLevel="0" collapsed="false">
      <c r="A4827" s="1403"/>
      <c r="B4827" s="99"/>
      <c r="C4827" s="1404" t="s">
        <v>7229</v>
      </c>
      <c r="D4827" s="569" t="n">
        <v>2009</v>
      </c>
      <c r="E4827" s="569" t="n">
        <f aca="false">2021-D4827</f>
        <v>12</v>
      </c>
      <c r="F4827" s="1105" t="n">
        <v>49275</v>
      </c>
      <c r="G4827" s="1444" t="n">
        <v>0.1</v>
      </c>
      <c r="H4827" s="1105" t="n">
        <f aca="false">E4827*F4827*G4827</f>
        <v>59130</v>
      </c>
      <c r="I4827" s="1105" t="n">
        <f aca="false">F4827-H4827</f>
        <v>-9855</v>
      </c>
      <c r="J4827" s="1105" t="n">
        <f aca="false">F4827*G4827</f>
        <v>4927.5</v>
      </c>
      <c r="K4827" s="1365" t="n">
        <f aca="false">J4827/1792.8</f>
        <v>2.74849397590361</v>
      </c>
      <c r="L4827" s="1410" t="n">
        <v>60</v>
      </c>
      <c r="M4827" s="865" t="n">
        <f aca="false">K4827*L4827/60</f>
        <v>2.74849397590361</v>
      </c>
    </row>
    <row r="4828" s="122" customFormat="true" ht="15" hidden="false" customHeight="false" outlineLevel="0" collapsed="false">
      <c r="A4828" s="707"/>
      <c r="B4828" s="1557" t="s">
        <v>4128</v>
      </c>
      <c r="C4828" s="1404"/>
      <c r="D4828" s="569"/>
      <c r="E4828" s="569"/>
      <c r="F4828" s="1105"/>
      <c r="G4828" s="1444"/>
      <c r="H4828" s="1105"/>
      <c r="I4828" s="1105"/>
      <c r="J4828" s="1105"/>
      <c r="K4828" s="1365" t="n">
        <f aca="false">J4828/1792.8</f>
        <v>0</v>
      </c>
      <c r="L4828" s="754"/>
      <c r="M4828" s="1558" t="n">
        <f aca="false">SUM(M4820:M4827)</f>
        <v>334.59089134315</v>
      </c>
    </row>
    <row r="4829" s="122" customFormat="true" ht="30" hidden="false" customHeight="false" outlineLevel="0" collapsed="false">
      <c r="A4829" s="1403" t="s">
        <v>2237</v>
      </c>
      <c r="B4829" s="47" t="s">
        <v>3853</v>
      </c>
      <c r="C4829" s="1404" t="s">
        <v>7154</v>
      </c>
      <c r="D4829" s="569" t="n">
        <v>2006</v>
      </c>
      <c r="E4829" s="569" t="n">
        <f aca="false">2021-D4829</f>
        <v>15</v>
      </c>
      <c r="F4829" s="1105" t="n">
        <v>28260</v>
      </c>
      <c r="G4829" s="1444" t="n">
        <v>0.1</v>
      </c>
      <c r="H4829" s="1105" t="n">
        <f aca="false">E4829*F4829*G4829</f>
        <v>42390</v>
      </c>
      <c r="I4829" s="1105" t="n">
        <f aca="false">F4829-H4829</f>
        <v>-14130</v>
      </c>
      <c r="J4829" s="1105" t="n">
        <f aca="false">F4829*G4829</f>
        <v>2826</v>
      </c>
      <c r="K4829" s="1365" t="n">
        <f aca="false">J4829/1792.8</f>
        <v>1.57630522088353</v>
      </c>
      <c r="L4829" s="1105" t="n">
        <v>120</v>
      </c>
      <c r="M4829" s="865" t="n">
        <f aca="false">K4829*L4829/60</f>
        <v>3.15261044176707</v>
      </c>
    </row>
    <row r="4830" s="122" customFormat="true" ht="15" hidden="false" customHeight="false" outlineLevel="0" collapsed="false">
      <c r="A4830" s="707"/>
      <c r="B4830" s="99"/>
      <c r="C4830" s="1404" t="s">
        <v>7219</v>
      </c>
      <c r="D4830" s="569" t="n">
        <v>2009</v>
      </c>
      <c r="E4830" s="569" t="n">
        <f aca="false">2021-D4830</f>
        <v>12</v>
      </c>
      <c r="F4830" s="1105" t="n">
        <v>2030000</v>
      </c>
      <c r="G4830" s="1444" t="n">
        <v>0.1</v>
      </c>
      <c r="H4830" s="1105" t="n">
        <f aca="false">E4830*F4830*G4830</f>
        <v>2436000</v>
      </c>
      <c r="I4830" s="1105" t="n">
        <f aca="false">F4830-H4830</f>
        <v>-406000</v>
      </c>
      <c r="J4830" s="1105" t="n">
        <f aca="false">F4830*G4830</f>
        <v>203000</v>
      </c>
      <c r="K4830" s="1365" t="n">
        <f aca="false">J4830/1792.8</f>
        <v>113.230700580098</v>
      </c>
      <c r="L4830" s="1105" t="n">
        <v>120</v>
      </c>
      <c r="M4830" s="865" t="n">
        <f aca="false">K4830*L4830/60</f>
        <v>226.461401160196</v>
      </c>
    </row>
    <row r="4831" s="122" customFormat="true" ht="46.5" hidden="false" customHeight="true" outlineLevel="0" collapsed="false">
      <c r="A4831" s="707"/>
      <c r="B4831" s="99"/>
      <c r="C4831" s="1404" t="s">
        <v>7155</v>
      </c>
      <c r="D4831" s="569" t="n">
        <v>2005</v>
      </c>
      <c r="E4831" s="569" t="n">
        <f aca="false">2021-D4831</f>
        <v>16</v>
      </c>
      <c r="F4831" s="1105" t="n">
        <v>85000</v>
      </c>
      <c r="G4831" s="1444" t="n">
        <v>0.1</v>
      </c>
      <c r="H4831" s="1105" t="n">
        <f aca="false">E4831*F4831*G4831</f>
        <v>136000</v>
      </c>
      <c r="I4831" s="1105" t="n">
        <f aca="false">F4831</f>
        <v>85000</v>
      </c>
      <c r="J4831" s="1105" t="n">
        <f aca="false">F4831*G4831</f>
        <v>8500</v>
      </c>
      <c r="K4831" s="1365" t="n">
        <f aca="false">J4831/1792.8</f>
        <v>4.74118697010263</v>
      </c>
      <c r="L4831" s="1105" t="n">
        <v>120</v>
      </c>
      <c r="M4831" s="865" t="n">
        <f aca="false">K4831*L4831/60</f>
        <v>9.48237394020527</v>
      </c>
    </row>
    <row r="4832" s="122" customFormat="true" ht="15" hidden="false" customHeight="false" outlineLevel="0" collapsed="false">
      <c r="A4832" s="707"/>
      <c r="B4832" s="99"/>
      <c r="C4832" s="1404" t="s">
        <v>7224</v>
      </c>
      <c r="D4832" s="569" t="n">
        <v>2006</v>
      </c>
      <c r="E4832" s="569" t="n">
        <f aca="false">2021-D4832</f>
        <v>15</v>
      </c>
      <c r="F4832" s="1105" t="n">
        <v>442300</v>
      </c>
      <c r="G4832" s="1444" t="n">
        <v>0.1</v>
      </c>
      <c r="H4832" s="1105" t="n">
        <f aca="false">E4832*F4832*G4832</f>
        <v>663450</v>
      </c>
      <c r="I4832" s="1105" t="n">
        <f aca="false">F4832-H4832</f>
        <v>-221150</v>
      </c>
      <c r="J4832" s="1105" t="n">
        <f aca="false">F4832*G4832</f>
        <v>44230</v>
      </c>
      <c r="K4832" s="1365" t="n">
        <f aca="false">J4832/1792.8</f>
        <v>24.6709058456046</v>
      </c>
      <c r="L4832" s="1105" t="n">
        <v>30</v>
      </c>
      <c r="M4832" s="865" t="n">
        <f aca="false">K4832*L4832/60</f>
        <v>12.3354529228023</v>
      </c>
    </row>
    <row r="4833" s="122" customFormat="true" ht="15" hidden="false" customHeight="false" outlineLevel="0" collapsed="false">
      <c r="A4833" s="707"/>
      <c r="B4833" s="99"/>
      <c r="C4833" s="1404" t="s">
        <v>7174</v>
      </c>
      <c r="D4833" s="569" t="n">
        <v>2005</v>
      </c>
      <c r="E4833" s="569" t="n">
        <f aca="false">2021-D4833</f>
        <v>16</v>
      </c>
      <c r="F4833" s="1105" t="n">
        <v>1638000</v>
      </c>
      <c r="G4833" s="1444" t="n">
        <v>0.1</v>
      </c>
      <c r="H4833" s="1105" t="n">
        <f aca="false">E4833*F4833*G4833</f>
        <v>2620800</v>
      </c>
      <c r="I4833" s="1105" t="n">
        <f aca="false">F4833</f>
        <v>1638000</v>
      </c>
      <c r="J4833" s="1105" t="n">
        <f aca="false">F4833*G4833</f>
        <v>163800</v>
      </c>
      <c r="K4833" s="1365" t="n">
        <f aca="false">J4833/1792.8</f>
        <v>91.3654618473896</v>
      </c>
      <c r="L4833" s="1105" t="n">
        <v>15</v>
      </c>
      <c r="M4833" s="865" t="n">
        <f aca="false">K4833*L4833/60</f>
        <v>22.8413654618474</v>
      </c>
    </row>
    <row r="4834" s="122" customFormat="true" ht="15" hidden="false" customHeight="false" outlineLevel="0" collapsed="false">
      <c r="A4834" s="707"/>
      <c r="B4834" s="99"/>
      <c r="C4834" s="1404" t="s">
        <v>7158</v>
      </c>
      <c r="D4834" s="569" t="n">
        <v>2000</v>
      </c>
      <c r="E4834" s="569" t="n">
        <f aca="false">2021-D4834</f>
        <v>21</v>
      </c>
      <c r="F4834" s="1105" t="n">
        <v>417600</v>
      </c>
      <c r="G4834" s="1444" t="n">
        <v>0.1</v>
      </c>
      <c r="H4834" s="1105" t="n">
        <f aca="false">E4834*F4834*G4834</f>
        <v>876960</v>
      </c>
      <c r="I4834" s="1105" t="n">
        <f aca="false">F4834</f>
        <v>417600</v>
      </c>
      <c r="J4834" s="1105" t="n">
        <f aca="false">F4834*G4834</f>
        <v>41760</v>
      </c>
      <c r="K4834" s="1365" t="n">
        <f aca="false">J4834/1792.8</f>
        <v>23.2931726907631</v>
      </c>
      <c r="L4834" s="1105" t="n">
        <v>60</v>
      </c>
      <c r="M4834" s="865" t="n">
        <f aca="false">K4834*L4834/60</f>
        <v>23.2931726907631</v>
      </c>
    </row>
    <row r="4835" s="122" customFormat="true" ht="15" hidden="false" customHeight="false" outlineLevel="0" collapsed="false">
      <c r="A4835" s="707"/>
      <c r="B4835" s="1557" t="s">
        <v>4128</v>
      </c>
      <c r="C4835" s="1404"/>
      <c r="D4835" s="569"/>
      <c r="E4835" s="569"/>
      <c r="F4835" s="1105"/>
      <c r="G4835" s="1444"/>
      <c r="H4835" s="1105"/>
      <c r="I4835" s="1105"/>
      <c r="J4835" s="1105"/>
      <c r="K4835" s="1365" t="n">
        <f aca="false">J4835/1792.8</f>
        <v>0</v>
      </c>
      <c r="L4835" s="754"/>
      <c r="M4835" s="1558" t="n">
        <f aca="false">SUM(M4829:M4834)</f>
        <v>297.566376617581</v>
      </c>
    </row>
    <row r="4836" s="122" customFormat="true" ht="30" hidden="false" customHeight="false" outlineLevel="0" collapsed="false">
      <c r="A4836" s="707" t="s">
        <v>2239</v>
      </c>
      <c r="B4836" s="118" t="s">
        <v>6243</v>
      </c>
      <c r="C4836" s="1404" t="s">
        <v>7158</v>
      </c>
      <c r="D4836" s="569" t="n">
        <v>2009</v>
      </c>
      <c r="E4836" s="569" t="n">
        <f aca="false">2021-D4836</f>
        <v>12</v>
      </c>
      <c r="F4836" s="1105" t="n">
        <v>417600</v>
      </c>
      <c r="G4836" s="1444" t="n">
        <v>0.1</v>
      </c>
      <c r="H4836" s="1105" t="n">
        <f aca="false">E4836*F4836*G4836</f>
        <v>501120</v>
      </c>
      <c r="I4836" s="1105" t="n">
        <f aca="false">F4836-H4836</f>
        <v>-83520</v>
      </c>
      <c r="J4836" s="1105" t="n">
        <f aca="false">F4836*G4836</f>
        <v>41760</v>
      </c>
      <c r="K4836" s="1365" t="n">
        <f aca="false">J4836/1792.8</f>
        <v>23.2931726907631</v>
      </c>
      <c r="L4836" s="1105" t="n">
        <v>320</v>
      </c>
      <c r="M4836" s="865" t="n">
        <f aca="false">K4836*L4836/60</f>
        <v>124.230254350736</v>
      </c>
    </row>
    <row r="4837" s="122" customFormat="true" ht="15" hidden="false" customHeight="false" outlineLevel="0" collapsed="false">
      <c r="A4837" s="707"/>
      <c r="B4837" s="877"/>
      <c r="C4837" s="1404" t="s">
        <v>7155</v>
      </c>
      <c r="D4837" s="569" t="n">
        <v>2005</v>
      </c>
      <c r="E4837" s="569" t="n">
        <f aca="false">2021-D4837</f>
        <v>16</v>
      </c>
      <c r="F4837" s="1105" t="n">
        <v>85000</v>
      </c>
      <c r="G4837" s="1444" t="n">
        <v>0.1</v>
      </c>
      <c r="H4837" s="1105" t="n">
        <f aca="false">E4837*F4837*G4837</f>
        <v>136000</v>
      </c>
      <c r="I4837" s="1105" t="n">
        <f aca="false">F4837</f>
        <v>85000</v>
      </c>
      <c r="J4837" s="1105" t="n">
        <f aca="false">F4837*G4837</f>
        <v>8500</v>
      </c>
      <c r="K4837" s="1365" t="n">
        <f aca="false">J4837/1792.8</f>
        <v>4.74118697010263</v>
      </c>
      <c r="L4837" s="1105" t="n">
        <v>60</v>
      </c>
      <c r="M4837" s="865" t="n">
        <f aca="false">K4837*L4837/60</f>
        <v>4.74118697010263</v>
      </c>
    </row>
    <row r="4838" s="122" customFormat="true" ht="15" hidden="false" customHeight="false" outlineLevel="0" collapsed="false">
      <c r="A4838" s="707"/>
      <c r="B4838" s="877"/>
      <c r="C4838" s="1404" t="s">
        <v>7225</v>
      </c>
      <c r="D4838" s="569" t="n">
        <v>2004</v>
      </c>
      <c r="E4838" s="569" t="n">
        <f aca="false">2021-D4838</f>
        <v>17</v>
      </c>
      <c r="F4838" s="1105" t="n">
        <v>198000</v>
      </c>
      <c r="G4838" s="1444" t="n">
        <v>0.1</v>
      </c>
      <c r="H4838" s="1105" t="n">
        <f aca="false">E4838*F4838*G4838</f>
        <v>336600</v>
      </c>
      <c r="I4838" s="1105" t="n">
        <f aca="false">F4838</f>
        <v>198000</v>
      </c>
      <c r="J4838" s="1105" t="n">
        <f aca="false">F4838*G4838</f>
        <v>19800</v>
      </c>
      <c r="K4838" s="1365" t="n">
        <f aca="false">J4838/1792.8</f>
        <v>11.0441767068273</v>
      </c>
      <c r="L4838" s="1105" t="n">
        <v>30</v>
      </c>
      <c r="M4838" s="865" t="n">
        <f aca="false">K4838*L4838/60</f>
        <v>5.52208835341366</v>
      </c>
    </row>
    <row r="4839" s="122" customFormat="true" ht="15" hidden="false" customHeight="false" outlineLevel="0" collapsed="false">
      <c r="A4839" s="707"/>
      <c r="B4839" s="47"/>
      <c r="C4839" s="1404" t="s">
        <v>7174</v>
      </c>
      <c r="D4839" s="569" t="n">
        <v>2005</v>
      </c>
      <c r="E4839" s="569" t="n">
        <f aca="false">2021-D4839</f>
        <v>16</v>
      </c>
      <c r="F4839" s="1105" t="n">
        <v>1638000</v>
      </c>
      <c r="G4839" s="1444" t="n">
        <v>0.1</v>
      </c>
      <c r="H4839" s="1105" t="n">
        <f aca="false">E4839*F4839*G4839</f>
        <v>2620800</v>
      </c>
      <c r="I4839" s="1105" t="n">
        <f aca="false">F4839</f>
        <v>1638000</v>
      </c>
      <c r="J4839" s="1105" t="n">
        <f aca="false">F4839*G4839</f>
        <v>163800</v>
      </c>
      <c r="K4839" s="1365" t="n">
        <f aca="false">J4839/1792.8</f>
        <v>91.3654618473896</v>
      </c>
      <c r="L4839" s="1105" t="n">
        <v>30</v>
      </c>
      <c r="M4839" s="865" t="n">
        <f aca="false">K4839*L4839/60</f>
        <v>45.6827309236948</v>
      </c>
    </row>
    <row r="4840" s="122" customFormat="true" ht="15" hidden="false" customHeight="false" outlineLevel="0" collapsed="false">
      <c r="A4840" s="707"/>
      <c r="B4840" s="877"/>
      <c r="C4840" s="1404" t="s">
        <v>7226</v>
      </c>
      <c r="D4840" s="569" t="n">
        <v>2008</v>
      </c>
      <c r="E4840" s="569" t="n">
        <f aca="false">2021-D4840</f>
        <v>13</v>
      </c>
      <c r="F4840" s="1105" t="n">
        <v>397200</v>
      </c>
      <c r="G4840" s="1444" t="n">
        <v>0.1</v>
      </c>
      <c r="H4840" s="1105" t="n">
        <f aca="false">E4840*F4840*G4840</f>
        <v>516360</v>
      </c>
      <c r="I4840" s="1105" t="n">
        <f aca="false">F4840-H4840</f>
        <v>-119160</v>
      </c>
      <c r="J4840" s="1105" t="n">
        <f aca="false">F4840*G4840</f>
        <v>39720</v>
      </c>
      <c r="K4840" s="1365" t="n">
        <f aca="false">J4840/1792.8</f>
        <v>22.1552878179384</v>
      </c>
      <c r="L4840" s="1105" t="n">
        <v>30</v>
      </c>
      <c r="M4840" s="865" t="n">
        <f aca="false">K4840*L4840/60</f>
        <v>11.0776439089692</v>
      </c>
    </row>
    <row r="4841" s="122" customFormat="true" ht="15" hidden="false" customHeight="false" outlineLevel="0" collapsed="false">
      <c r="A4841" s="707"/>
      <c r="B4841" s="99"/>
      <c r="C4841" s="118" t="s">
        <v>7220</v>
      </c>
      <c r="D4841" s="1560" t="n">
        <v>2008</v>
      </c>
      <c r="E4841" s="569" t="n">
        <f aca="false">2021-D4841</f>
        <v>13</v>
      </c>
      <c r="F4841" s="1105" t="n">
        <v>1800000</v>
      </c>
      <c r="G4841" s="1444" t="n">
        <v>0.1</v>
      </c>
      <c r="H4841" s="1105" t="n">
        <f aca="false">E4841*F4841*G4841</f>
        <v>2340000</v>
      </c>
      <c r="I4841" s="1105" t="n">
        <f aca="false">F4841-H4841</f>
        <v>-540000</v>
      </c>
      <c r="J4841" s="1105" t="n">
        <f aca="false">F4841*G4841</f>
        <v>180000</v>
      </c>
      <c r="K4841" s="1365" t="n">
        <f aca="false">J4841/1792.8</f>
        <v>100.401606425703</v>
      </c>
      <c r="L4841" s="1105" t="n">
        <v>120</v>
      </c>
      <c r="M4841" s="865" t="n">
        <f aca="false">K4841*L4841/60</f>
        <v>200.803212851406</v>
      </c>
    </row>
    <row r="4842" s="122" customFormat="true" ht="15" hidden="false" customHeight="false" outlineLevel="0" collapsed="false">
      <c r="A4842" s="707"/>
      <c r="B4842" s="1557" t="s">
        <v>4128</v>
      </c>
      <c r="C4842" s="1404"/>
      <c r="D4842" s="569"/>
      <c r="E4842" s="569"/>
      <c r="F4842" s="1105"/>
      <c r="G4842" s="1444"/>
      <c r="H4842" s="1105"/>
      <c r="I4842" s="1105"/>
      <c r="J4842" s="1105"/>
      <c r="K4842" s="1365" t="n">
        <f aca="false">J4842/1792.8</f>
        <v>0</v>
      </c>
      <c r="L4842" s="1105"/>
      <c r="M4842" s="1558" t="n">
        <f aca="false">SUM(M4836:M4841)</f>
        <v>392.057117358322</v>
      </c>
    </row>
    <row r="4843" s="122" customFormat="true" ht="30" hidden="false" customHeight="false" outlineLevel="0" collapsed="false">
      <c r="A4843" s="1563" t="s">
        <v>2241</v>
      </c>
      <c r="B4843" s="118" t="s">
        <v>6243</v>
      </c>
      <c r="C4843" s="1404" t="s">
        <v>7158</v>
      </c>
      <c r="D4843" s="569" t="n">
        <v>2009</v>
      </c>
      <c r="E4843" s="569" t="n">
        <f aca="false">2021-D4843</f>
        <v>12</v>
      </c>
      <c r="F4843" s="1105" t="n">
        <v>417600</v>
      </c>
      <c r="G4843" s="1444" t="n">
        <v>0.1</v>
      </c>
      <c r="H4843" s="1105" t="n">
        <f aca="false">E4843*F4843*G4843</f>
        <v>501120</v>
      </c>
      <c r="I4843" s="1105" t="n">
        <f aca="false">F4843-H4843</f>
        <v>-83520</v>
      </c>
      <c r="J4843" s="1105" t="n">
        <f aca="false">F4843*G4843</f>
        <v>41760</v>
      </c>
      <c r="K4843" s="1365" t="n">
        <f aca="false">J4843/1792.8</f>
        <v>23.2931726907631</v>
      </c>
      <c r="L4843" s="1105" t="n">
        <v>320</v>
      </c>
      <c r="M4843" s="865" t="n">
        <f aca="false">K4843*L4843/60</f>
        <v>124.230254350736</v>
      </c>
    </row>
    <row r="4844" s="122" customFormat="true" ht="15" hidden="false" customHeight="false" outlineLevel="0" collapsed="false">
      <c r="A4844" s="1403"/>
      <c r="B4844" s="877"/>
      <c r="C4844" s="1404" t="s">
        <v>7155</v>
      </c>
      <c r="D4844" s="569" t="n">
        <v>2005</v>
      </c>
      <c r="E4844" s="569" t="n">
        <f aca="false">2021-D4844</f>
        <v>16</v>
      </c>
      <c r="F4844" s="1105" t="n">
        <v>85000</v>
      </c>
      <c r="G4844" s="1444" t="n">
        <v>0.1</v>
      </c>
      <c r="H4844" s="1105" t="n">
        <f aca="false">E4844*F4844*G4844</f>
        <v>136000</v>
      </c>
      <c r="I4844" s="1105" t="n">
        <f aca="false">F4844</f>
        <v>85000</v>
      </c>
      <c r="J4844" s="1105" t="n">
        <f aca="false">F4844*G4844</f>
        <v>8500</v>
      </c>
      <c r="K4844" s="1365" t="n">
        <f aca="false">J4844/1792.8</f>
        <v>4.74118697010263</v>
      </c>
      <c r="L4844" s="1105" t="n">
        <v>60</v>
      </c>
      <c r="M4844" s="865" t="n">
        <f aca="false">K4844*L4844/60</f>
        <v>4.74118697010263</v>
      </c>
    </row>
    <row r="4845" s="122" customFormat="true" ht="15" hidden="false" customHeight="false" outlineLevel="0" collapsed="false">
      <c r="A4845" s="1403"/>
      <c r="B4845" s="877"/>
      <c r="C4845" s="1404" t="s">
        <v>7225</v>
      </c>
      <c r="D4845" s="569" t="n">
        <v>2004</v>
      </c>
      <c r="E4845" s="569" t="n">
        <f aca="false">2021-D4845</f>
        <v>17</v>
      </c>
      <c r="F4845" s="1105" t="n">
        <v>198000</v>
      </c>
      <c r="G4845" s="1444" t="n">
        <v>0.1</v>
      </c>
      <c r="H4845" s="1105" t="n">
        <f aca="false">E4845*F4845*G4845</f>
        <v>336600</v>
      </c>
      <c r="I4845" s="1105" t="n">
        <f aca="false">F4845</f>
        <v>198000</v>
      </c>
      <c r="J4845" s="1105" t="n">
        <f aca="false">F4845*G4845</f>
        <v>19800</v>
      </c>
      <c r="K4845" s="1365" t="n">
        <f aca="false">J4845/1792.8</f>
        <v>11.0441767068273</v>
      </c>
      <c r="L4845" s="1105" t="n">
        <v>30</v>
      </c>
      <c r="M4845" s="865" t="n">
        <f aca="false">K4845*L4845/60</f>
        <v>5.52208835341366</v>
      </c>
    </row>
    <row r="4846" s="122" customFormat="true" ht="15" hidden="false" customHeight="false" outlineLevel="0" collapsed="false">
      <c r="A4846" s="1403"/>
      <c r="B4846" s="47"/>
      <c r="C4846" s="1404" t="s">
        <v>7174</v>
      </c>
      <c r="D4846" s="569" t="n">
        <v>2005</v>
      </c>
      <c r="E4846" s="569" t="n">
        <f aca="false">2021-D4846</f>
        <v>16</v>
      </c>
      <c r="F4846" s="1105" t="n">
        <v>1638000</v>
      </c>
      <c r="G4846" s="1444" t="n">
        <v>0.1</v>
      </c>
      <c r="H4846" s="1105" t="n">
        <f aca="false">E4846*F4846*G4846</f>
        <v>2620800</v>
      </c>
      <c r="I4846" s="1105" t="n">
        <f aca="false">F4846</f>
        <v>1638000</v>
      </c>
      <c r="J4846" s="1105" t="n">
        <f aca="false">F4846*G4846</f>
        <v>163800</v>
      </c>
      <c r="K4846" s="1365" t="n">
        <f aca="false">J4846/1792.8</f>
        <v>91.3654618473896</v>
      </c>
      <c r="L4846" s="1105" t="n">
        <v>30</v>
      </c>
      <c r="M4846" s="865" t="n">
        <f aca="false">K4846*L4846/60</f>
        <v>45.6827309236948</v>
      </c>
    </row>
    <row r="4847" s="122" customFormat="true" ht="15" hidden="false" customHeight="false" outlineLevel="0" collapsed="false">
      <c r="A4847" s="1403"/>
      <c r="B4847" s="877"/>
      <c r="C4847" s="1404" t="s">
        <v>7226</v>
      </c>
      <c r="D4847" s="569" t="n">
        <v>2008</v>
      </c>
      <c r="E4847" s="569" t="n">
        <f aca="false">2021-D4847</f>
        <v>13</v>
      </c>
      <c r="F4847" s="1105" t="n">
        <v>397200</v>
      </c>
      <c r="G4847" s="1444" t="n">
        <v>0.1</v>
      </c>
      <c r="H4847" s="1105" t="n">
        <f aca="false">E4847*F4847*G4847</f>
        <v>516360</v>
      </c>
      <c r="I4847" s="1105" t="n">
        <f aca="false">F4847-H4847</f>
        <v>-119160</v>
      </c>
      <c r="J4847" s="1105" t="n">
        <f aca="false">F4847*G4847</f>
        <v>39720</v>
      </c>
      <c r="K4847" s="1365" t="n">
        <f aca="false">J4847/1792.8</f>
        <v>22.1552878179384</v>
      </c>
      <c r="L4847" s="1105" t="n">
        <v>30</v>
      </c>
      <c r="M4847" s="865" t="n">
        <f aca="false">K4847*L4847/60</f>
        <v>11.0776439089692</v>
      </c>
    </row>
    <row r="4848" s="122" customFormat="true" ht="15" hidden="false" customHeight="false" outlineLevel="0" collapsed="false">
      <c r="A4848" s="1403"/>
      <c r="B4848" s="99"/>
      <c r="C4848" s="118" t="s">
        <v>7220</v>
      </c>
      <c r="D4848" s="1560" t="n">
        <v>2008</v>
      </c>
      <c r="E4848" s="569" t="n">
        <f aca="false">2021-D4848</f>
        <v>13</v>
      </c>
      <c r="F4848" s="1105" t="n">
        <v>1800000</v>
      </c>
      <c r="G4848" s="1444" t="n">
        <v>0.1</v>
      </c>
      <c r="H4848" s="1105" t="n">
        <f aca="false">E4848*F4848*G4848</f>
        <v>2340000</v>
      </c>
      <c r="I4848" s="1105" t="n">
        <f aca="false">F4848-H4848</f>
        <v>-540000</v>
      </c>
      <c r="J4848" s="1105" t="n">
        <f aca="false">F4848*G4848</f>
        <v>180000</v>
      </c>
      <c r="K4848" s="1365" t="n">
        <f aca="false">J4848/1792.8</f>
        <v>100.401606425703</v>
      </c>
      <c r="L4848" s="1105" t="n">
        <v>120</v>
      </c>
      <c r="M4848" s="865" t="n">
        <f aca="false">K4848*L4848/60</f>
        <v>200.803212851406</v>
      </c>
    </row>
    <row r="4849" s="122" customFormat="true" ht="15" hidden="false" customHeight="false" outlineLevel="0" collapsed="false">
      <c r="A4849" s="1403"/>
      <c r="B4849" s="1557" t="s">
        <v>4128</v>
      </c>
      <c r="C4849" s="1404"/>
      <c r="D4849" s="569"/>
      <c r="E4849" s="569"/>
      <c r="F4849" s="1105"/>
      <c r="G4849" s="1444"/>
      <c r="H4849" s="1105"/>
      <c r="I4849" s="1105"/>
      <c r="J4849" s="1105"/>
      <c r="K4849" s="1365" t="n">
        <f aca="false">J4849/1792.8</f>
        <v>0</v>
      </c>
      <c r="L4849" s="1105"/>
      <c r="M4849" s="1558" t="n">
        <f aca="false">SUM(M4843:M4848)</f>
        <v>392.057117358322</v>
      </c>
    </row>
    <row r="4850" customFormat="false" ht="30" hidden="false" customHeight="false" outlineLevel="0" collapsed="false">
      <c r="A4850" s="1564" t="s">
        <v>2243</v>
      </c>
      <c r="B4850" s="382" t="s">
        <v>3856</v>
      </c>
      <c r="C4850" s="1404" t="s">
        <v>7212</v>
      </c>
      <c r="D4850" s="569" t="n">
        <v>2008</v>
      </c>
      <c r="E4850" s="569" t="n">
        <f aca="false">2021-D4850</f>
        <v>13</v>
      </c>
      <c r="F4850" s="1105" t="n">
        <v>376800</v>
      </c>
      <c r="G4850" s="1444" t="n">
        <v>0.1</v>
      </c>
      <c r="H4850" s="1105" t="n">
        <f aca="false">E4850*F4850*G4850</f>
        <v>489840</v>
      </c>
      <c r="I4850" s="1105" t="n">
        <f aca="false">F4850-H4850</f>
        <v>-113040</v>
      </c>
      <c r="J4850" s="1105" t="n">
        <f aca="false">F4850*G4850</f>
        <v>37680</v>
      </c>
      <c r="K4850" s="1365" t="n">
        <f aca="false">J4850/1792.8</f>
        <v>21.0174029451138</v>
      </c>
      <c r="L4850" s="1105" t="n">
        <v>30</v>
      </c>
      <c r="M4850" s="865" t="n">
        <f aca="false">K4850*L4850/60</f>
        <v>10.5087014725569</v>
      </c>
    </row>
    <row r="4851" customFormat="false" ht="15" hidden="false" customHeight="false" outlineLevel="0" collapsed="false">
      <c r="A4851" s="1564"/>
      <c r="B4851" s="382"/>
      <c r="C4851" s="1404" t="s">
        <v>7211</v>
      </c>
      <c r="D4851" s="569" t="n">
        <v>2004</v>
      </c>
      <c r="E4851" s="569" t="n">
        <f aca="false">2021-D4851</f>
        <v>17</v>
      </c>
      <c r="F4851" s="1105" t="n">
        <v>214320</v>
      </c>
      <c r="G4851" s="1444" t="n">
        <v>0.1</v>
      </c>
      <c r="H4851" s="1105" t="n">
        <f aca="false">E4851*F4851*G4851</f>
        <v>364344</v>
      </c>
      <c r="I4851" s="1105" t="n">
        <f aca="false">F4851</f>
        <v>214320</v>
      </c>
      <c r="J4851" s="1105" t="n">
        <f aca="false">F4851*G4851</f>
        <v>21432</v>
      </c>
      <c r="K4851" s="1365" t="n">
        <f aca="false">J4851/1792.8</f>
        <v>11.954484605087</v>
      </c>
      <c r="L4851" s="1105" t="n">
        <v>30</v>
      </c>
      <c r="M4851" s="865" t="n">
        <f aca="false">K4851*L4851/60</f>
        <v>5.97724230254351</v>
      </c>
    </row>
    <row r="4852" customFormat="false" ht="15" hidden="false" customHeight="false" outlineLevel="0" collapsed="false">
      <c r="A4852" s="1564"/>
      <c r="B4852" s="382"/>
      <c r="C4852" s="1404" t="s">
        <v>7176</v>
      </c>
      <c r="D4852" s="569" t="n">
        <v>2009</v>
      </c>
      <c r="E4852" s="569" t="n">
        <f aca="false">2021-D4852</f>
        <v>12</v>
      </c>
      <c r="F4852" s="1105" t="n">
        <v>166807</v>
      </c>
      <c r="G4852" s="1444" t="n">
        <v>0.1</v>
      </c>
      <c r="H4852" s="1105" t="n">
        <f aca="false">E4852*F4852*G4852</f>
        <v>200168.4</v>
      </c>
      <c r="I4852" s="1105" t="n">
        <f aca="false">F4852-H4852</f>
        <v>-33361.4</v>
      </c>
      <c r="J4852" s="1105" t="n">
        <f aca="false">F4852*G4852</f>
        <v>16680.7</v>
      </c>
      <c r="K4852" s="1365" t="n">
        <f aca="false">J4852/1792.8</f>
        <v>9.30427264614012</v>
      </c>
      <c r="L4852" s="1105" t="n">
        <v>30</v>
      </c>
      <c r="M4852" s="865" t="n">
        <f aca="false">K4852*L4852/60</f>
        <v>4.65213632307006</v>
      </c>
    </row>
    <row r="4853" customFormat="false" ht="15" hidden="false" customHeight="false" outlineLevel="0" collapsed="false">
      <c r="A4853" s="1564"/>
      <c r="B4853" s="382"/>
      <c r="C4853" s="1404" t="s">
        <v>7214</v>
      </c>
      <c r="D4853" s="569" t="n">
        <v>2006</v>
      </c>
      <c r="E4853" s="569" t="n">
        <f aca="false">2021-D4853</f>
        <v>15</v>
      </c>
      <c r="F4853" s="1105" t="n">
        <v>10250000</v>
      </c>
      <c r="G4853" s="1444" t="n">
        <v>0.1</v>
      </c>
      <c r="H4853" s="1105" t="n">
        <f aca="false">E4853*F4853*G4853</f>
        <v>15375000</v>
      </c>
      <c r="I4853" s="1105" t="n">
        <f aca="false">F4853-H4853</f>
        <v>-5125000</v>
      </c>
      <c r="J4853" s="1105" t="n">
        <f aca="false">F4853*G4853</f>
        <v>1025000</v>
      </c>
      <c r="K4853" s="1365" t="n">
        <f aca="false">J4853/1792.8</f>
        <v>571.731369924141</v>
      </c>
      <c r="L4853" s="1105" t="n">
        <v>30</v>
      </c>
      <c r="M4853" s="865" t="n">
        <f aca="false">K4853*L4853/60</f>
        <v>285.865684962071</v>
      </c>
    </row>
    <row r="4854" customFormat="false" ht="15" hidden="false" customHeight="false" outlineLevel="0" collapsed="false">
      <c r="A4854" s="1564"/>
      <c r="B4854" s="382"/>
      <c r="C4854" s="1404" t="s">
        <v>7215</v>
      </c>
      <c r="D4854" s="569" t="n">
        <v>2006</v>
      </c>
      <c r="E4854" s="569" t="n">
        <f aca="false">2021-D4854</f>
        <v>15</v>
      </c>
      <c r="F4854" s="1105" t="n">
        <v>174000</v>
      </c>
      <c r="G4854" s="1444" t="n">
        <v>0.1</v>
      </c>
      <c r="H4854" s="1105" t="n">
        <f aca="false">E4854*F4854*G4854</f>
        <v>261000</v>
      </c>
      <c r="I4854" s="1105" t="n">
        <f aca="false">F4854-H4854</f>
        <v>-87000</v>
      </c>
      <c r="J4854" s="1105" t="n">
        <f aca="false">F4854*G4854</f>
        <v>17400</v>
      </c>
      <c r="K4854" s="1365" t="n">
        <f aca="false">J4854/1792.8</f>
        <v>9.70548862115127</v>
      </c>
      <c r="L4854" s="1105" t="n">
        <v>30</v>
      </c>
      <c r="M4854" s="865" t="n">
        <f aca="false">K4854*L4854/60</f>
        <v>4.85274431057564</v>
      </c>
    </row>
    <row r="4855" customFormat="false" ht="15" hidden="false" customHeight="false" outlineLevel="0" collapsed="false">
      <c r="A4855" s="1564"/>
      <c r="B4855" s="382"/>
      <c r="C4855" s="1404" t="s">
        <v>7216</v>
      </c>
      <c r="D4855" s="569" t="n">
        <v>2007</v>
      </c>
      <c r="E4855" s="569" t="n">
        <f aca="false">2021-D4855</f>
        <v>14</v>
      </c>
      <c r="F4855" s="1105" t="n">
        <v>429000</v>
      </c>
      <c r="G4855" s="1444" t="n">
        <v>0.1</v>
      </c>
      <c r="H4855" s="1105" t="n">
        <f aca="false">E4855*F4855*G4855</f>
        <v>600600</v>
      </c>
      <c r="I4855" s="1105" t="n">
        <f aca="false">F4855-H4855</f>
        <v>-171600</v>
      </c>
      <c r="J4855" s="1105" t="n">
        <f aca="false">F4855*G4855</f>
        <v>42900</v>
      </c>
      <c r="K4855" s="1365" t="n">
        <f aca="false">J4855/1792.8</f>
        <v>23.9290495314592</v>
      </c>
      <c r="L4855" s="1105" t="n">
        <v>30</v>
      </c>
      <c r="M4855" s="865" t="n">
        <f aca="false">K4855*L4855/60</f>
        <v>11.9645247657296</v>
      </c>
    </row>
    <row r="4856" customFormat="false" ht="15" hidden="false" customHeight="false" outlineLevel="0" collapsed="false">
      <c r="A4856" s="1564"/>
      <c r="B4856" s="383"/>
      <c r="C4856" s="1404" t="s">
        <v>7217</v>
      </c>
      <c r="D4856" s="569" t="n">
        <v>2007</v>
      </c>
      <c r="E4856" s="569" t="n">
        <f aca="false">2021-D4856</f>
        <v>14</v>
      </c>
      <c r="F4856" s="1105" t="n">
        <v>287614</v>
      </c>
      <c r="G4856" s="1444" t="n">
        <v>0.1</v>
      </c>
      <c r="H4856" s="1105" t="n">
        <f aca="false">E4856*F4856*G4856</f>
        <v>402659.6</v>
      </c>
      <c r="I4856" s="1105" t="n">
        <f aca="false">F4856-H4856</f>
        <v>-115045.6</v>
      </c>
      <c r="J4856" s="1105" t="n">
        <f aca="false">F4856*G4856</f>
        <v>28761.4</v>
      </c>
      <c r="K4856" s="1365" t="n">
        <f aca="false">J4856/1792.8</f>
        <v>16.0427264614012</v>
      </c>
      <c r="L4856" s="1105" t="n">
        <v>30</v>
      </c>
      <c r="M4856" s="865" t="n">
        <f aca="false">K4856*L4856/60</f>
        <v>8.02136323070058</v>
      </c>
    </row>
    <row r="4857" customFormat="false" ht="15" hidden="false" customHeight="false" outlineLevel="0" collapsed="false">
      <c r="A4857" s="1564"/>
      <c r="B4857" s="383"/>
      <c r="C4857" s="1404" t="s">
        <v>7229</v>
      </c>
      <c r="D4857" s="569" t="n">
        <v>2009</v>
      </c>
      <c r="E4857" s="569" t="n">
        <f aca="false">2021-D4857</f>
        <v>12</v>
      </c>
      <c r="F4857" s="1105" t="n">
        <v>49275</v>
      </c>
      <c r="G4857" s="1444" t="n">
        <v>0.1</v>
      </c>
      <c r="H4857" s="1105" t="n">
        <f aca="false">E4857*F4857*G4857</f>
        <v>59130</v>
      </c>
      <c r="I4857" s="1105" t="n">
        <f aca="false">F4857-H4857</f>
        <v>-9855</v>
      </c>
      <c r="J4857" s="1105" t="n">
        <f aca="false">F4857*G4857</f>
        <v>4927.5</v>
      </c>
      <c r="K4857" s="1365" t="n">
        <f aca="false">J4857/1792.8</f>
        <v>2.74849397590361</v>
      </c>
      <c r="L4857" s="1105" t="n">
        <v>60</v>
      </c>
      <c r="M4857" s="865" t="n">
        <f aca="false">K4857*L4857/60</f>
        <v>2.74849397590361</v>
      </c>
    </row>
    <row r="4858" customFormat="false" ht="15" hidden="false" customHeight="false" outlineLevel="0" collapsed="false">
      <c r="A4858" s="1564"/>
      <c r="B4858" s="971" t="s">
        <v>4128</v>
      </c>
      <c r="C4858" s="1404"/>
      <c r="D4858" s="569"/>
      <c r="E4858" s="569"/>
      <c r="F4858" s="1105"/>
      <c r="G4858" s="1444"/>
      <c r="H4858" s="1105"/>
      <c r="I4858" s="1105"/>
      <c r="J4858" s="1105"/>
      <c r="K4858" s="1365"/>
      <c r="L4858" s="1105"/>
      <c r="M4858" s="1558" t="n">
        <f aca="false">SUM(M4850:M4857)</f>
        <v>334.59089134315</v>
      </c>
    </row>
    <row r="4859" customFormat="false" ht="45" hidden="false" customHeight="false" outlineLevel="0" collapsed="false">
      <c r="A4859" s="1564" t="s">
        <v>2245</v>
      </c>
      <c r="B4859" s="383" t="s">
        <v>3857</v>
      </c>
      <c r="C4859" s="1404" t="s">
        <v>6976</v>
      </c>
      <c r="D4859" s="569" t="n">
        <v>2005</v>
      </c>
      <c r="E4859" s="569" t="n">
        <f aca="false">2021-D4859</f>
        <v>16</v>
      </c>
      <c r="F4859" s="1105" t="n">
        <v>57600</v>
      </c>
      <c r="G4859" s="1444" t="n">
        <v>0.1</v>
      </c>
      <c r="H4859" s="1105" t="n">
        <f aca="false">E4859*F4859*G4859</f>
        <v>92160</v>
      </c>
      <c r="I4859" s="1105" t="n">
        <f aca="false">F4859</f>
        <v>57600</v>
      </c>
      <c r="J4859" s="1105" t="n">
        <f aca="false">F4859*G4859</f>
        <v>5760</v>
      </c>
      <c r="K4859" s="1365" t="n">
        <f aca="false">J4859/1792.8</f>
        <v>3.21285140562249</v>
      </c>
      <c r="L4859" s="1105" t="n">
        <v>30</v>
      </c>
      <c r="M4859" s="865" t="n">
        <f aca="false">K4859*L4859/60</f>
        <v>1.60642570281125</v>
      </c>
    </row>
    <row r="4860" customFormat="false" ht="15" hidden="false" customHeight="false" outlineLevel="0" collapsed="false">
      <c r="A4860" s="1564"/>
      <c r="B4860" s="383"/>
      <c r="C4860" s="1404" t="s">
        <v>7232</v>
      </c>
      <c r="D4860" s="569" t="n">
        <v>2006</v>
      </c>
      <c r="E4860" s="569" t="n">
        <f aca="false">2021-D4860</f>
        <v>15</v>
      </c>
      <c r="F4860" s="1105" t="n">
        <v>442300</v>
      </c>
      <c r="G4860" s="1444" t="n">
        <v>0.1</v>
      </c>
      <c r="H4860" s="1105" t="n">
        <f aca="false">E4860*F4860*G4860</f>
        <v>663450</v>
      </c>
      <c r="I4860" s="1105" t="n">
        <f aca="false">F4860-H4860</f>
        <v>-221150</v>
      </c>
      <c r="J4860" s="1105" t="n">
        <f aca="false">F4860*G4860</f>
        <v>44230</v>
      </c>
      <c r="K4860" s="1365" t="n">
        <f aca="false">J4860/1792.8</f>
        <v>24.6709058456046</v>
      </c>
      <c r="L4860" s="1105" t="n">
        <v>30</v>
      </c>
      <c r="M4860" s="865" t="n">
        <f aca="false">K4860*L4860/60</f>
        <v>12.3354529228023</v>
      </c>
    </row>
    <row r="4861" customFormat="false" ht="15" hidden="false" customHeight="false" outlineLevel="0" collapsed="false">
      <c r="A4861" s="1564"/>
      <c r="B4861" s="383"/>
      <c r="C4861" s="1404" t="s">
        <v>7233</v>
      </c>
      <c r="D4861" s="569" t="n">
        <v>2005</v>
      </c>
      <c r="E4861" s="569" t="n">
        <f aca="false">2021-D4861</f>
        <v>16</v>
      </c>
      <c r="F4861" s="1105" t="n">
        <v>132000</v>
      </c>
      <c r="G4861" s="1444" t="n">
        <v>0.1</v>
      </c>
      <c r="H4861" s="1105" t="n">
        <f aca="false">E4861*F4861*G4861</f>
        <v>211200</v>
      </c>
      <c r="I4861" s="1105" t="n">
        <f aca="false">F4861</f>
        <v>132000</v>
      </c>
      <c r="J4861" s="1105" t="n">
        <f aca="false">F4861*G4861</f>
        <v>13200</v>
      </c>
      <c r="K4861" s="1365" t="n">
        <f aca="false">J4861/1792.8</f>
        <v>7.36278447121821</v>
      </c>
      <c r="L4861" s="1105" t="n">
        <v>5</v>
      </c>
      <c r="M4861" s="865" t="n">
        <f aca="false">K4861*L4861/60</f>
        <v>0.613565372601517</v>
      </c>
    </row>
    <row r="4862" customFormat="false" ht="15" hidden="false" customHeight="false" outlineLevel="0" collapsed="false">
      <c r="A4862" s="1564"/>
      <c r="B4862" s="383"/>
      <c r="C4862" s="1404" t="s">
        <v>7234</v>
      </c>
      <c r="D4862" s="569" t="n">
        <v>2007</v>
      </c>
      <c r="E4862" s="569" t="n">
        <f aca="false">2021-D4862</f>
        <v>14</v>
      </c>
      <c r="F4862" s="1105" t="n">
        <v>769804</v>
      </c>
      <c r="G4862" s="1444" t="n">
        <v>0.1</v>
      </c>
      <c r="H4862" s="1105" t="n">
        <f aca="false">E4862*F4862*G4862</f>
        <v>1077725.6</v>
      </c>
      <c r="I4862" s="1105" t="n">
        <f aca="false">F4862-H4862</f>
        <v>-307921.6</v>
      </c>
      <c r="J4862" s="1105" t="n">
        <f aca="false">F4862*G4862</f>
        <v>76980.4</v>
      </c>
      <c r="K4862" s="1365" t="n">
        <f aca="false">J4862/1792.8</f>
        <v>42.9386434627399</v>
      </c>
      <c r="L4862" s="1105" t="n">
        <v>2</v>
      </c>
      <c r="M4862" s="865" t="n">
        <f aca="false">K4862*L4862/60</f>
        <v>1.43128811542466</v>
      </c>
    </row>
    <row r="4863" customFormat="false" ht="15" hidden="false" customHeight="false" outlineLevel="0" collapsed="false">
      <c r="A4863" s="1564"/>
      <c r="B4863" s="383"/>
      <c r="C4863" s="1404" t="s">
        <v>7235</v>
      </c>
      <c r="D4863" s="569" t="n">
        <v>2000</v>
      </c>
      <c r="E4863" s="569" t="n">
        <f aca="false">2021-D4863</f>
        <v>21</v>
      </c>
      <c r="F4863" s="1105" t="n">
        <v>797040</v>
      </c>
      <c r="G4863" s="1444" t="n">
        <v>0.1</v>
      </c>
      <c r="H4863" s="1105" t="n">
        <f aca="false">E4863*F4863*G4863</f>
        <v>1673784</v>
      </c>
      <c r="I4863" s="1105" t="n">
        <f aca="false">F4863</f>
        <v>797040</v>
      </c>
      <c r="J4863" s="1105" t="n">
        <f aca="false">F4863*G4863</f>
        <v>79704</v>
      </c>
      <c r="K4863" s="1365" t="n">
        <f aca="false">J4863/1792.8</f>
        <v>44.4578313253012</v>
      </c>
      <c r="L4863" s="1105" t="n">
        <v>60</v>
      </c>
      <c r="M4863" s="865" t="n">
        <f aca="false">K4863*L4863/60</f>
        <v>44.4578313253012</v>
      </c>
    </row>
    <row r="4864" customFormat="false" ht="15" hidden="false" customHeight="false" outlineLevel="0" collapsed="false">
      <c r="A4864" s="1564"/>
      <c r="B4864" s="384"/>
      <c r="C4864" s="1404" t="s">
        <v>6978</v>
      </c>
      <c r="D4864" s="569" t="n">
        <v>2005</v>
      </c>
      <c r="E4864" s="569" t="n">
        <f aca="false">2021-D4864</f>
        <v>16</v>
      </c>
      <c r="F4864" s="1105" t="n">
        <v>132000</v>
      </c>
      <c r="G4864" s="1444" t="n">
        <v>0.1</v>
      </c>
      <c r="H4864" s="1105" t="n">
        <f aca="false">E4864*F4864*G4864</f>
        <v>211200</v>
      </c>
      <c r="I4864" s="1105" t="n">
        <f aca="false">F4864</f>
        <v>132000</v>
      </c>
      <c r="J4864" s="1105" t="n">
        <f aca="false">F4864*G4864</f>
        <v>13200</v>
      </c>
      <c r="K4864" s="1365" t="n">
        <f aca="false">J4864/1792.8</f>
        <v>7.36278447121821</v>
      </c>
      <c r="L4864" s="1105" t="n">
        <v>60</v>
      </c>
      <c r="M4864" s="865" t="n">
        <f aca="false">K4864*L4864/60</f>
        <v>7.36278447121821</v>
      </c>
    </row>
    <row r="4865" customFormat="false" ht="15" hidden="false" customHeight="false" outlineLevel="0" collapsed="false">
      <c r="A4865" s="28"/>
      <c r="B4865" s="78"/>
      <c r="C4865" s="1404" t="s">
        <v>7236</v>
      </c>
      <c r="D4865" s="569" t="n">
        <v>2006</v>
      </c>
      <c r="E4865" s="569" t="n">
        <f aca="false">2021-D4865</f>
        <v>15</v>
      </c>
      <c r="F4865" s="1105" t="n">
        <v>40572</v>
      </c>
      <c r="G4865" s="1444" t="n">
        <v>0.1</v>
      </c>
      <c r="H4865" s="1105" t="n">
        <f aca="false">E4865*F4865*G4865</f>
        <v>60858</v>
      </c>
      <c r="I4865" s="1105" t="n">
        <f aca="false">F4865-H4865</f>
        <v>-20286</v>
      </c>
      <c r="J4865" s="1105" t="n">
        <f aca="false">F4865*G4865</f>
        <v>4057.2</v>
      </c>
      <c r="K4865" s="1365" t="n">
        <f aca="false">J4865/1792.8</f>
        <v>2.26305220883534</v>
      </c>
      <c r="L4865" s="1105" t="n">
        <v>1440</v>
      </c>
      <c r="M4865" s="865" t="n">
        <f aca="false">K4865*L4865/60</f>
        <v>54.3132530120482</v>
      </c>
    </row>
    <row r="4866" customFormat="false" ht="15" hidden="false" customHeight="false" outlineLevel="0" collapsed="false">
      <c r="A4866" s="28"/>
      <c r="B4866" s="78"/>
      <c r="C4866" s="1404"/>
      <c r="D4866" s="569"/>
      <c r="E4866" s="569"/>
      <c r="F4866" s="1105"/>
      <c r="G4866" s="1444"/>
      <c r="H4866" s="1105"/>
      <c r="I4866" s="1105"/>
      <c r="J4866" s="1105"/>
      <c r="K4866" s="1365"/>
      <c r="L4866" s="1105"/>
      <c r="M4866" s="1558" t="n">
        <f aca="false">SUM(M4859:M4865)</f>
        <v>122.120600922207</v>
      </c>
    </row>
    <row r="4867" customFormat="false" ht="45" hidden="false" customHeight="false" outlineLevel="0" collapsed="false">
      <c r="A4867" s="1564" t="s">
        <v>2247</v>
      </c>
      <c r="B4867" s="384" t="s">
        <v>3858</v>
      </c>
      <c r="C4867" s="1404" t="s">
        <v>6976</v>
      </c>
      <c r="D4867" s="569" t="n">
        <v>2005</v>
      </c>
      <c r="E4867" s="569" t="n">
        <f aca="false">2021-D4867</f>
        <v>16</v>
      </c>
      <c r="F4867" s="1105" t="n">
        <v>57600</v>
      </c>
      <c r="G4867" s="1444" t="n">
        <v>0.1</v>
      </c>
      <c r="H4867" s="1105" t="n">
        <f aca="false">E4867*F4867*G4867</f>
        <v>92160</v>
      </c>
      <c r="I4867" s="1105" t="n">
        <f aca="false">F4867</f>
        <v>57600</v>
      </c>
      <c r="J4867" s="1105" t="n">
        <f aca="false">F4867*G4867</f>
        <v>5760</v>
      </c>
      <c r="K4867" s="1365" t="n">
        <f aca="false">J4867/1792.8</f>
        <v>3.21285140562249</v>
      </c>
      <c r="L4867" s="1105" t="n">
        <v>30</v>
      </c>
      <c r="M4867" s="865" t="n">
        <f aca="false">K4867*L4867/60</f>
        <v>1.60642570281125</v>
      </c>
    </row>
    <row r="4868" customFormat="false" ht="15" hidden="false" customHeight="false" outlineLevel="0" collapsed="false">
      <c r="A4868" s="28"/>
      <c r="B4868" s="78"/>
      <c r="C4868" s="1404" t="s">
        <v>7232</v>
      </c>
      <c r="D4868" s="569" t="n">
        <v>2006</v>
      </c>
      <c r="E4868" s="569" t="n">
        <f aca="false">2021-D4868</f>
        <v>15</v>
      </c>
      <c r="F4868" s="1105" t="n">
        <v>442300</v>
      </c>
      <c r="G4868" s="1444" t="n">
        <v>0.1</v>
      </c>
      <c r="H4868" s="1105" t="n">
        <f aca="false">E4868*F4868*G4868</f>
        <v>663450</v>
      </c>
      <c r="I4868" s="1105" t="n">
        <f aca="false">F4868-H4868</f>
        <v>-221150</v>
      </c>
      <c r="J4868" s="1105" t="n">
        <f aca="false">F4868*G4868</f>
        <v>44230</v>
      </c>
      <c r="K4868" s="1365" t="n">
        <f aca="false">J4868/1792.8</f>
        <v>24.6709058456046</v>
      </c>
      <c r="L4868" s="1105" t="n">
        <v>30</v>
      </c>
      <c r="M4868" s="865" t="n">
        <f aca="false">K4868*L4868/60</f>
        <v>12.3354529228023</v>
      </c>
    </row>
    <row r="4869" customFormat="false" ht="15" hidden="false" customHeight="false" outlineLevel="0" collapsed="false">
      <c r="A4869" s="28"/>
      <c r="B4869" s="78"/>
      <c r="C4869" s="1404" t="s">
        <v>7233</v>
      </c>
      <c r="D4869" s="569" t="n">
        <v>2005</v>
      </c>
      <c r="E4869" s="569" t="n">
        <f aca="false">2021-D4869</f>
        <v>16</v>
      </c>
      <c r="F4869" s="1105" t="n">
        <v>132000</v>
      </c>
      <c r="G4869" s="1444" t="n">
        <v>0.1</v>
      </c>
      <c r="H4869" s="1105" t="n">
        <f aca="false">E4869*F4869*G4869</f>
        <v>211200</v>
      </c>
      <c r="I4869" s="1105" t="n">
        <f aca="false">F4869</f>
        <v>132000</v>
      </c>
      <c r="J4869" s="1105" t="n">
        <f aca="false">F4869*G4869</f>
        <v>13200</v>
      </c>
      <c r="K4869" s="1365" t="n">
        <f aca="false">J4869/1792.8</f>
        <v>7.36278447121821</v>
      </c>
      <c r="L4869" s="1105" t="n">
        <v>5</v>
      </c>
      <c r="M4869" s="865" t="n">
        <f aca="false">K4869*L4869/60</f>
        <v>0.613565372601517</v>
      </c>
    </row>
    <row r="4870" customFormat="false" ht="15" hidden="false" customHeight="false" outlineLevel="0" collapsed="false">
      <c r="A4870" s="28"/>
      <c r="B4870" s="78"/>
      <c r="C4870" s="1404" t="s">
        <v>7234</v>
      </c>
      <c r="D4870" s="569" t="n">
        <v>2007</v>
      </c>
      <c r="E4870" s="569" t="n">
        <f aca="false">2021-D4870</f>
        <v>14</v>
      </c>
      <c r="F4870" s="1105" t="n">
        <v>769804</v>
      </c>
      <c r="G4870" s="1444" t="n">
        <v>0.1</v>
      </c>
      <c r="H4870" s="1105" t="n">
        <f aca="false">E4870*F4870*G4870</f>
        <v>1077725.6</v>
      </c>
      <c r="I4870" s="1105" t="n">
        <f aca="false">F4870-H4870</f>
        <v>-307921.6</v>
      </c>
      <c r="J4870" s="1105" t="n">
        <f aca="false">F4870*G4870</f>
        <v>76980.4</v>
      </c>
      <c r="K4870" s="1365" t="n">
        <f aca="false">J4870/1792.8</f>
        <v>42.9386434627399</v>
      </c>
      <c r="L4870" s="1105" t="n">
        <v>2</v>
      </c>
      <c r="M4870" s="865" t="n">
        <f aca="false">K4870*L4870/60</f>
        <v>1.43128811542466</v>
      </c>
    </row>
    <row r="4871" customFormat="false" ht="15" hidden="false" customHeight="false" outlineLevel="0" collapsed="false">
      <c r="A4871" s="28"/>
      <c r="B4871" s="78"/>
      <c r="C4871" s="1404" t="s">
        <v>7235</v>
      </c>
      <c r="D4871" s="569" t="n">
        <v>2000</v>
      </c>
      <c r="E4871" s="569" t="n">
        <f aca="false">2021-D4871</f>
        <v>21</v>
      </c>
      <c r="F4871" s="1105" t="n">
        <v>797040</v>
      </c>
      <c r="G4871" s="1444" t="n">
        <v>0.1</v>
      </c>
      <c r="H4871" s="1105" t="n">
        <f aca="false">E4871*F4871*G4871</f>
        <v>1673784</v>
      </c>
      <c r="I4871" s="1105" t="n">
        <f aca="false">F4871</f>
        <v>797040</v>
      </c>
      <c r="J4871" s="1105" t="n">
        <f aca="false">F4871*G4871</f>
        <v>79704</v>
      </c>
      <c r="K4871" s="1365" t="n">
        <f aca="false">J4871/1792.8</f>
        <v>44.4578313253012</v>
      </c>
      <c r="L4871" s="1105" t="n">
        <v>60</v>
      </c>
      <c r="M4871" s="865" t="n">
        <f aca="false">K4871*L4871/60</f>
        <v>44.4578313253012</v>
      </c>
    </row>
    <row r="4872" customFormat="false" ht="15" hidden="false" customHeight="false" outlineLevel="0" collapsed="false">
      <c r="A4872" s="28"/>
      <c r="B4872" s="78"/>
      <c r="C4872" s="1404" t="s">
        <v>6978</v>
      </c>
      <c r="D4872" s="569" t="n">
        <v>2005</v>
      </c>
      <c r="E4872" s="569" t="n">
        <f aca="false">2021-D4872</f>
        <v>16</v>
      </c>
      <c r="F4872" s="1105" t="n">
        <v>132000</v>
      </c>
      <c r="G4872" s="1444" t="n">
        <v>0.1</v>
      </c>
      <c r="H4872" s="1105" t="n">
        <f aca="false">E4872*F4872*G4872</f>
        <v>211200</v>
      </c>
      <c r="I4872" s="1105" t="n">
        <f aca="false">F4872</f>
        <v>132000</v>
      </c>
      <c r="J4872" s="1105" t="n">
        <f aca="false">F4872*G4872</f>
        <v>13200</v>
      </c>
      <c r="K4872" s="1365" t="n">
        <f aca="false">J4872/1792.8</f>
        <v>7.36278447121821</v>
      </c>
      <c r="L4872" s="1105" t="n">
        <v>60</v>
      </c>
      <c r="M4872" s="865" t="n">
        <f aca="false">K4872*L4872/60</f>
        <v>7.36278447121821</v>
      </c>
    </row>
    <row r="4873" customFormat="false" ht="15" hidden="false" customHeight="false" outlineLevel="0" collapsed="false">
      <c r="A4873" s="28"/>
      <c r="B4873" s="78"/>
      <c r="C4873" s="1404" t="s">
        <v>7236</v>
      </c>
      <c r="D4873" s="569" t="n">
        <v>2006</v>
      </c>
      <c r="E4873" s="569" t="n">
        <f aca="false">2021-D4873</f>
        <v>15</v>
      </c>
      <c r="F4873" s="1105" t="n">
        <v>40572</v>
      </c>
      <c r="G4873" s="1444" t="n">
        <v>0.1</v>
      </c>
      <c r="H4873" s="1105" t="n">
        <f aca="false">E4873*F4873*G4873</f>
        <v>60858</v>
      </c>
      <c r="I4873" s="1105" t="n">
        <f aca="false">F4873-H4873</f>
        <v>-20286</v>
      </c>
      <c r="J4873" s="1105" t="n">
        <f aca="false">F4873*G4873</f>
        <v>4057.2</v>
      </c>
      <c r="K4873" s="1365" t="n">
        <f aca="false">J4873/1792.8</f>
        <v>2.26305220883534</v>
      </c>
      <c r="L4873" s="1105" t="n">
        <v>1440</v>
      </c>
      <c r="M4873" s="865" t="n">
        <f aca="false">K4873*L4873/60</f>
        <v>54.3132530120482</v>
      </c>
    </row>
    <row r="4874" customFormat="false" ht="15" hidden="false" customHeight="false" outlineLevel="0" collapsed="false">
      <c r="A4874" s="28"/>
      <c r="B4874" s="971" t="s">
        <v>4128</v>
      </c>
      <c r="C4874" s="1404"/>
      <c r="D4874" s="569"/>
      <c r="E4874" s="569"/>
      <c r="F4874" s="1105"/>
      <c r="G4874" s="1444"/>
      <c r="H4874" s="1105"/>
      <c r="I4874" s="1105"/>
      <c r="J4874" s="1105"/>
      <c r="K4874" s="1365"/>
      <c r="L4874" s="1105"/>
      <c r="M4874" s="1558" t="n">
        <f aca="false">SUM(M4867:M4873)</f>
        <v>122.120600922207</v>
      </c>
    </row>
    <row r="4875" customFormat="false" ht="15" hidden="false" customHeight="false" outlineLevel="0" collapsed="false">
      <c r="A4875" s="1564" t="s">
        <v>2249</v>
      </c>
      <c r="B4875" s="328" t="s">
        <v>3859</v>
      </c>
      <c r="C4875" s="1404" t="s">
        <v>7158</v>
      </c>
      <c r="D4875" s="569" t="n">
        <v>2009</v>
      </c>
      <c r="E4875" s="569" t="n">
        <f aca="false">2021-D4875</f>
        <v>12</v>
      </c>
      <c r="F4875" s="1105" t="n">
        <v>417600</v>
      </c>
      <c r="G4875" s="1444" t="n">
        <v>0.1</v>
      </c>
      <c r="H4875" s="1105" t="n">
        <f aca="false">E4875*F4875*G4875</f>
        <v>501120</v>
      </c>
      <c r="I4875" s="1105" t="n">
        <f aca="false">F4875-H4875</f>
        <v>-83520</v>
      </c>
      <c r="J4875" s="1105" t="n">
        <f aca="false">F4875*G4875</f>
        <v>41760</v>
      </c>
      <c r="K4875" s="1365" t="n">
        <f aca="false">J4875/1792.8</f>
        <v>23.2931726907631</v>
      </c>
      <c r="L4875" s="1105" t="n">
        <v>320</v>
      </c>
      <c r="M4875" s="865" t="n">
        <f aca="false">K4875*L4875/60</f>
        <v>124.230254350736</v>
      </c>
    </row>
    <row r="4876" customFormat="false" ht="15" hidden="false" customHeight="false" outlineLevel="0" collapsed="false">
      <c r="A4876" s="28"/>
      <c r="B4876" s="78"/>
      <c r="C4876" s="1404" t="s">
        <v>7155</v>
      </c>
      <c r="D4876" s="569" t="n">
        <v>2005</v>
      </c>
      <c r="E4876" s="569" t="n">
        <f aca="false">2021-D4876</f>
        <v>16</v>
      </c>
      <c r="F4876" s="1105" t="n">
        <v>85000</v>
      </c>
      <c r="G4876" s="1444" t="n">
        <v>0.1</v>
      </c>
      <c r="H4876" s="1105" t="n">
        <f aca="false">E4876*F4876*G4876</f>
        <v>136000</v>
      </c>
      <c r="I4876" s="1105" t="n">
        <f aca="false">F4876</f>
        <v>85000</v>
      </c>
      <c r="J4876" s="1105" t="n">
        <f aca="false">F4876*G4876</f>
        <v>8500</v>
      </c>
      <c r="K4876" s="1365" t="n">
        <f aca="false">J4876/1792.8</f>
        <v>4.74118697010263</v>
      </c>
      <c r="L4876" s="1105" t="n">
        <v>60</v>
      </c>
      <c r="M4876" s="865" t="n">
        <f aca="false">K4876*L4876/60</f>
        <v>4.74118697010263</v>
      </c>
    </row>
    <row r="4877" customFormat="false" ht="15" hidden="false" customHeight="false" outlineLevel="0" collapsed="false">
      <c r="A4877" s="28"/>
      <c r="B4877" s="78"/>
      <c r="C4877" s="1404" t="s">
        <v>7225</v>
      </c>
      <c r="D4877" s="569" t="n">
        <v>2004</v>
      </c>
      <c r="E4877" s="569" t="n">
        <f aca="false">2021-D4877</f>
        <v>17</v>
      </c>
      <c r="F4877" s="1105" t="n">
        <v>198000</v>
      </c>
      <c r="G4877" s="1444" t="n">
        <v>0.1</v>
      </c>
      <c r="H4877" s="1105" t="n">
        <f aca="false">E4877*F4877*G4877</f>
        <v>336600</v>
      </c>
      <c r="I4877" s="1105" t="n">
        <f aca="false">F4877</f>
        <v>198000</v>
      </c>
      <c r="J4877" s="1105" t="n">
        <f aca="false">F4877*G4877</f>
        <v>19800</v>
      </c>
      <c r="K4877" s="1365" t="n">
        <f aca="false">J4877/1792.8</f>
        <v>11.0441767068273</v>
      </c>
      <c r="L4877" s="1105" t="n">
        <v>30</v>
      </c>
      <c r="M4877" s="865" t="n">
        <f aca="false">K4877*L4877/60</f>
        <v>5.52208835341366</v>
      </c>
    </row>
    <row r="4878" customFormat="false" ht="15" hidden="false" customHeight="false" outlineLevel="0" collapsed="false">
      <c r="A4878" s="28"/>
      <c r="B4878" s="78"/>
      <c r="C4878" s="1404" t="s">
        <v>7174</v>
      </c>
      <c r="D4878" s="569" t="n">
        <v>2005</v>
      </c>
      <c r="E4878" s="569" t="n">
        <f aca="false">2021-D4878</f>
        <v>16</v>
      </c>
      <c r="F4878" s="1105" t="n">
        <v>1638000</v>
      </c>
      <c r="G4878" s="1444" t="n">
        <v>0.1</v>
      </c>
      <c r="H4878" s="1105" t="n">
        <f aca="false">E4878*F4878*G4878</f>
        <v>2620800</v>
      </c>
      <c r="I4878" s="1105" t="n">
        <f aca="false">F4878</f>
        <v>1638000</v>
      </c>
      <c r="J4878" s="1105" t="n">
        <f aca="false">F4878*G4878</f>
        <v>163800</v>
      </c>
      <c r="K4878" s="1365" t="n">
        <f aca="false">J4878/1792.8</f>
        <v>91.3654618473896</v>
      </c>
      <c r="L4878" s="1105" t="n">
        <v>30</v>
      </c>
      <c r="M4878" s="865" t="n">
        <f aca="false">K4878*L4878/60</f>
        <v>45.6827309236948</v>
      </c>
    </row>
    <row r="4879" customFormat="false" ht="15" hidden="false" customHeight="false" outlineLevel="0" collapsed="false">
      <c r="A4879" s="28"/>
      <c r="B4879" s="78"/>
      <c r="C4879" s="1404" t="s">
        <v>7226</v>
      </c>
      <c r="D4879" s="569" t="n">
        <v>2008</v>
      </c>
      <c r="E4879" s="569" t="n">
        <f aca="false">2021-D4879</f>
        <v>13</v>
      </c>
      <c r="F4879" s="1105" t="n">
        <v>397200</v>
      </c>
      <c r="G4879" s="1444" t="n">
        <v>0.1</v>
      </c>
      <c r="H4879" s="1105" t="n">
        <f aca="false">E4879*F4879*G4879</f>
        <v>516360</v>
      </c>
      <c r="I4879" s="1105" t="n">
        <f aca="false">F4879-H4879</f>
        <v>-119160</v>
      </c>
      <c r="J4879" s="1105" t="n">
        <f aca="false">F4879*G4879</f>
        <v>39720</v>
      </c>
      <c r="K4879" s="1365" t="n">
        <f aca="false">J4879/1792.8</f>
        <v>22.1552878179384</v>
      </c>
      <c r="L4879" s="1105" t="n">
        <v>30</v>
      </c>
      <c r="M4879" s="865" t="n">
        <f aca="false">K4879*L4879/60</f>
        <v>11.0776439089692</v>
      </c>
    </row>
    <row r="4880" customFormat="false" ht="15" hidden="false" customHeight="false" outlineLevel="0" collapsed="false">
      <c r="A4880" s="28"/>
      <c r="B4880" s="78"/>
      <c r="C4880" s="118" t="s">
        <v>7220</v>
      </c>
      <c r="D4880" s="1560" t="n">
        <v>2008</v>
      </c>
      <c r="E4880" s="569" t="n">
        <f aca="false">2021-D4880</f>
        <v>13</v>
      </c>
      <c r="F4880" s="1105" t="n">
        <v>1800000</v>
      </c>
      <c r="G4880" s="1444" t="n">
        <v>0.1</v>
      </c>
      <c r="H4880" s="1105" t="n">
        <f aca="false">E4880*F4880*G4880</f>
        <v>2340000</v>
      </c>
      <c r="I4880" s="1105" t="n">
        <f aca="false">F4880-H4880</f>
        <v>-540000</v>
      </c>
      <c r="J4880" s="1105" t="n">
        <f aca="false">F4880*G4880</f>
        <v>180000</v>
      </c>
      <c r="K4880" s="1365" t="n">
        <f aca="false">J4880/1792.8</f>
        <v>100.401606425703</v>
      </c>
      <c r="L4880" s="1105" t="n">
        <v>120</v>
      </c>
      <c r="M4880" s="865" t="n">
        <f aca="false">K4880*L4880/60</f>
        <v>200.803212851406</v>
      </c>
    </row>
    <row r="4881" customFormat="false" ht="15" hidden="false" customHeight="false" outlineLevel="0" collapsed="false">
      <c r="A4881" s="28"/>
      <c r="B4881" s="971" t="s">
        <v>4128</v>
      </c>
      <c r="C4881" s="1161"/>
      <c r="D4881" s="317"/>
      <c r="E4881" s="1365"/>
      <c r="F4881" s="1365"/>
      <c r="G4881" s="1364"/>
      <c r="H4881" s="1365"/>
      <c r="I4881" s="1365"/>
      <c r="J4881" s="1365"/>
      <c r="K4881" s="1365"/>
      <c r="L4881" s="1365"/>
      <c r="M4881" s="1366" t="n">
        <f aca="false">SUM(M4875:M4880)</f>
        <v>392.057117358322</v>
      </c>
    </row>
    <row r="4882" customFormat="false" ht="28.5" hidden="false" customHeight="true" outlineLevel="0" collapsed="false">
      <c r="A4882" s="375" t="s">
        <v>2259</v>
      </c>
      <c r="B4882" s="385" t="s">
        <v>4098</v>
      </c>
      <c r="C4882" s="1565"/>
      <c r="D4882" s="1566"/>
      <c r="E4882" s="1567"/>
      <c r="F4882" s="1567"/>
      <c r="G4882" s="1567"/>
      <c r="H4882" s="1567"/>
      <c r="I4882" s="1567"/>
      <c r="J4882" s="1567"/>
      <c r="K4882" s="1567"/>
      <c r="L4882" s="1567"/>
      <c r="M4882" s="1567"/>
    </row>
    <row r="4883" customFormat="false" ht="16.5" hidden="false" customHeight="true" outlineLevel="0" collapsed="false">
      <c r="A4883" s="15" t="s">
        <v>2261</v>
      </c>
      <c r="B4883" s="90" t="s">
        <v>3865</v>
      </c>
      <c r="C4883" s="88"/>
      <c r="D4883" s="90"/>
      <c r="E4883" s="1466"/>
      <c r="F4883" s="1466"/>
      <c r="G4883" s="1466"/>
      <c r="H4883" s="1466"/>
      <c r="I4883" s="1466"/>
      <c r="J4883" s="1466"/>
      <c r="K4883" s="1466"/>
      <c r="L4883" s="1466"/>
      <c r="M4883" s="1466"/>
    </row>
    <row r="4884" customFormat="false" ht="28.5" hidden="false" customHeight="true" outlineLevel="0" collapsed="false">
      <c r="A4884" s="216" t="s">
        <v>7243</v>
      </c>
      <c r="B4884" s="40" t="s">
        <v>7244</v>
      </c>
      <c r="C4884" s="1568"/>
      <c r="D4884" s="317"/>
      <c r="E4884" s="1365"/>
      <c r="F4884" s="1365"/>
      <c r="G4884" s="1364"/>
      <c r="H4884" s="1365"/>
      <c r="I4884" s="1365"/>
      <c r="J4884" s="1365"/>
      <c r="K4884" s="1365" t="n">
        <f aca="false">J4884/1792.8</f>
        <v>0</v>
      </c>
      <c r="L4884" s="1365"/>
      <c r="M4884" s="1273"/>
    </row>
    <row r="4885" customFormat="false" ht="15" hidden="false" customHeight="false" outlineLevel="0" collapsed="false">
      <c r="A4885" s="216"/>
      <c r="B4885" s="78"/>
      <c r="C4885" s="1161" t="s">
        <v>7245</v>
      </c>
      <c r="D4885" s="317" t="n">
        <v>2006</v>
      </c>
      <c r="E4885" s="1365" t="n">
        <v>6</v>
      </c>
      <c r="F4885" s="1365" t="n">
        <v>347000</v>
      </c>
      <c r="G4885" s="1364" t="n">
        <v>0.1</v>
      </c>
      <c r="H4885" s="1365" t="n">
        <f aca="false">E4885*F4885*G4885</f>
        <v>208200</v>
      </c>
      <c r="I4885" s="1365" t="n">
        <f aca="false">F4885-H4885</f>
        <v>138800</v>
      </c>
      <c r="J4885" s="1365" t="n">
        <f aca="false">F4885*G4885</f>
        <v>34700</v>
      </c>
      <c r="K4885" s="1365" t="n">
        <f aca="false">J4885/1792.8</f>
        <v>19.355198572066</v>
      </c>
      <c r="L4885" s="1365" t="n">
        <v>30</v>
      </c>
      <c r="M4885" s="1273" t="n">
        <f aca="false">K4885*L4885/60</f>
        <v>9.67759928603302</v>
      </c>
    </row>
    <row r="4886" customFormat="false" ht="15" hidden="false" customHeight="false" outlineLevel="0" collapsed="false">
      <c r="A4886" s="216"/>
      <c r="B4886" s="78"/>
      <c r="C4886" s="1161" t="s">
        <v>7246</v>
      </c>
      <c r="D4886" s="317" t="n">
        <v>2004</v>
      </c>
      <c r="E4886" s="1365" t="n">
        <v>6</v>
      </c>
      <c r="F4886" s="1365" t="n">
        <v>39832</v>
      </c>
      <c r="G4886" s="1364" t="n">
        <v>0.1</v>
      </c>
      <c r="H4886" s="1365" t="n">
        <f aca="false">E4886*F4886*G4886</f>
        <v>23899.2</v>
      </c>
      <c r="I4886" s="1365" t="n">
        <f aca="false">F4886-H4886</f>
        <v>15932.8</v>
      </c>
      <c r="J4886" s="1365" t="n">
        <f aca="false">F4886*G4886</f>
        <v>3983.2</v>
      </c>
      <c r="K4886" s="1365" t="n">
        <f aca="false">J4886/1792.8</f>
        <v>2.22177599286033</v>
      </c>
      <c r="L4886" s="1365" t="n">
        <v>30</v>
      </c>
      <c r="M4886" s="1273" t="n">
        <f aca="false">K4886*L4886/60</f>
        <v>1.11088799643017</v>
      </c>
    </row>
    <row r="4887" customFormat="false" ht="15" hidden="false" customHeight="false" outlineLevel="0" collapsed="false">
      <c r="A4887" s="216"/>
      <c r="B4887" s="78"/>
      <c r="C4887" s="1161" t="s">
        <v>7247</v>
      </c>
      <c r="D4887" s="317" t="n">
        <v>2004</v>
      </c>
      <c r="E4887" s="1365" t="n">
        <v>6</v>
      </c>
      <c r="F4887" s="1365" t="n">
        <v>40572</v>
      </c>
      <c r="G4887" s="1364" t="n">
        <v>0.1</v>
      </c>
      <c r="H4887" s="1365" t="n">
        <f aca="false">E4887*F4887*G4887</f>
        <v>24343.2</v>
      </c>
      <c r="I4887" s="1365" t="n">
        <f aca="false">F4887-H4887</f>
        <v>16228.8</v>
      </c>
      <c r="J4887" s="1365" t="n">
        <f aca="false">F4887*G4887</f>
        <v>4057.2</v>
      </c>
      <c r="K4887" s="1365" t="n">
        <f aca="false">J4887/1792.8</f>
        <v>2.26305220883534</v>
      </c>
      <c r="L4887" s="1365" t="n">
        <v>2880</v>
      </c>
      <c r="M4887" s="1273" t="n">
        <f aca="false">K4887*L4887/60</f>
        <v>108.626506024096</v>
      </c>
    </row>
    <row r="4888" customFormat="false" ht="15" hidden="false" customHeight="false" outlineLevel="0" collapsed="false">
      <c r="A4888" s="216"/>
      <c r="B4888" s="78"/>
      <c r="C4888" s="1161" t="s">
        <v>7158</v>
      </c>
      <c r="D4888" s="317" t="n">
        <v>2005</v>
      </c>
      <c r="E4888" s="1365" t="n">
        <v>5</v>
      </c>
      <c r="F4888" s="1365" t="n">
        <v>12190000</v>
      </c>
      <c r="G4888" s="1364" t="n">
        <v>0.1</v>
      </c>
      <c r="H4888" s="1365" t="n">
        <f aca="false">E4888*F4888*G4888</f>
        <v>6095000</v>
      </c>
      <c r="I4888" s="1365" t="n">
        <f aca="false">F4888-H4888</f>
        <v>6095000</v>
      </c>
      <c r="J4888" s="1365" t="n">
        <f aca="false">F4888*G4888</f>
        <v>1219000</v>
      </c>
      <c r="K4888" s="1365" t="n">
        <f aca="false">J4888/1792.8</f>
        <v>679.941990182954</v>
      </c>
      <c r="L4888" s="1365" t="n">
        <v>27.5</v>
      </c>
      <c r="M4888" s="1273" t="n">
        <f aca="false">K4888*L4888/60</f>
        <v>311.640078833854</v>
      </c>
    </row>
    <row r="4889" customFormat="false" ht="15" hidden="false" customHeight="false" outlineLevel="0" collapsed="false">
      <c r="A4889" s="216"/>
      <c r="B4889" s="78"/>
      <c r="C4889" s="1160"/>
      <c r="D4889" s="135"/>
      <c r="E4889" s="1370"/>
      <c r="F4889" s="1370"/>
      <c r="G4889" s="1372"/>
      <c r="H4889" s="1365" t="n">
        <f aca="false">E4889*F4889*G4889</f>
        <v>0</v>
      </c>
      <c r="I4889" s="1365" t="n">
        <f aca="false">F4889-H4889</f>
        <v>0</v>
      </c>
      <c r="J4889" s="1365" t="n">
        <f aca="false">F4889*G4889</f>
        <v>0</v>
      </c>
      <c r="K4889" s="1365" t="n">
        <f aca="false">J4889/1792.8</f>
        <v>0</v>
      </c>
      <c r="L4889" s="1370" t="n">
        <f aca="false">SUM(L4885:L4888)</f>
        <v>2967.5</v>
      </c>
      <c r="M4889" s="1366" t="n">
        <f aca="false">SUM(M4884:M4888)</f>
        <v>431.055072140414</v>
      </c>
    </row>
    <row r="4890" customFormat="false" ht="27.75" hidden="false" customHeight="true" outlineLevel="0" collapsed="false">
      <c r="A4890" s="216" t="s">
        <v>6285</v>
      </c>
      <c r="B4890" s="40" t="s">
        <v>3867</v>
      </c>
      <c r="C4890" s="1161"/>
      <c r="D4890" s="317"/>
      <c r="E4890" s="1365"/>
      <c r="F4890" s="1365"/>
      <c r="G4890" s="1364"/>
      <c r="H4890" s="1365" t="n">
        <f aca="false">E4890*F4890*G4890</f>
        <v>0</v>
      </c>
      <c r="I4890" s="1365" t="n">
        <f aca="false">F4890-H4890</f>
        <v>0</v>
      </c>
      <c r="J4890" s="1365" t="n">
        <f aca="false">F4890*G4890</f>
        <v>0</v>
      </c>
      <c r="K4890" s="1365" t="n">
        <f aca="false">J4890/1792.8</f>
        <v>0</v>
      </c>
      <c r="L4890" s="1365"/>
      <c r="M4890" s="1273"/>
    </row>
    <row r="4891" customFormat="false" ht="15" hidden="false" customHeight="false" outlineLevel="0" collapsed="false">
      <c r="A4891" s="216"/>
      <c r="B4891" s="78"/>
      <c r="C4891" s="1161" t="s">
        <v>7245</v>
      </c>
      <c r="D4891" s="317" t="n">
        <v>2006</v>
      </c>
      <c r="E4891" s="1365" t="n">
        <v>6</v>
      </c>
      <c r="F4891" s="1365" t="n">
        <v>347000</v>
      </c>
      <c r="G4891" s="1364" t="n">
        <v>0.1</v>
      </c>
      <c r="H4891" s="1365" t="n">
        <f aca="false">E4891*F4891*G4891</f>
        <v>208200</v>
      </c>
      <c r="I4891" s="1365" t="n">
        <f aca="false">F4891-H4891</f>
        <v>138800</v>
      </c>
      <c r="J4891" s="1365" t="n">
        <f aca="false">F4891*G4891</f>
        <v>34700</v>
      </c>
      <c r="K4891" s="1365" t="n">
        <f aca="false">J4891/1792.8</f>
        <v>19.355198572066</v>
      </c>
      <c r="L4891" s="1365" t="n">
        <v>30</v>
      </c>
      <c r="M4891" s="1273" t="n">
        <f aca="false">K4891*L4891/60</f>
        <v>9.67759928603302</v>
      </c>
    </row>
    <row r="4892" customFormat="false" ht="15" hidden="false" customHeight="false" outlineLevel="0" collapsed="false">
      <c r="A4892" s="216"/>
      <c r="B4892" s="78"/>
      <c r="C4892" s="1161" t="s">
        <v>7246</v>
      </c>
      <c r="D4892" s="317" t="n">
        <v>2004</v>
      </c>
      <c r="E4892" s="1365" t="n">
        <v>6</v>
      </c>
      <c r="F4892" s="1365" t="n">
        <v>39832</v>
      </c>
      <c r="G4892" s="1364" t="n">
        <v>0.1</v>
      </c>
      <c r="H4892" s="1365" t="n">
        <f aca="false">E4892*F4892*G4892</f>
        <v>23899.2</v>
      </c>
      <c r="I4892" s="1365" t="n">
        <f aca="false">F4892-H4892</f>
        <v>15932.8</v>
      </c>
      <c r="J4892" s="1365" t="n">
        <f aca="false">F4892*G4892</f>
        <v>3983.2</v>
      </c>
      <c r="K4892" s="1365" t="n">
        <f aca="false">J4892/1792.8</f>
        <v>2.22177599286033</v>
      </c>
      <c r="L4892" s="1365" t="n">
        <v>70</v>
      </c>
      <c r="M4892" s="1273" t="n">
        <f aca="false">K4892*L4892/60</f>
        <v>2.59207199167039</v>
      </c>
    </row>
    <row r="4893" customFormat="false" ht="15" hidden="false" customHeight="false" outlineLevel="0" collapsed="false">
      <c r="A4893" s="216"/>
      <c r="B4893" s="78"/>
      <c r="C4893" s="1161" t="s">
        <v>7247</v>
      </c>
      <c r="D4893" s="317" t="n">
        <v>2004</v>
      </c>
      <c r="E4893" s="1365" t="n">
        <v>6</v>
      </c>
      <c r="F4893" s="1365" t="n">
        <v>202860</v>
      </c>
      <c r="G4893" s="1364" t="n">
        <v>0.1</v>
      </c>
      <c r="H4893" s="1365" t="n">
        <f aca="false">E4893*F4893*G4893</f>
        <v>121716</v>
      </c>
      <c r="I4893" s="1365" t="n">
        <f aca="false">F4893-H4893</f>
        <v>81144</v>
      </c>
      <c r="J4893" s="1365" t="n">
        <f aca="false">F4893*G4893</f>
        <v>20286</v>
      </c>
      <c r="K4893" s="1365" t="n">
        <f aca="false">J4893/1792.8</f>
        <v>11.3152610441767</v>
      </c>
      <c r="L4893" s="1365" t="n">
        <v>2880</v>
      </c>
      <c r="M4893" s="1273" t="n">
        <f aca="false">K4893*L4893/60</f>
        <v>543.132530120482</v>
      </c>
    </row>
    <row r="4894" customFormat="false" ht="15" hidden="false" customHeight="false" outlineLevel="0" collapsed="false">
      <c r="A4894" s="216"/>
      <c r="B4894" s="78"/>
      <c r="C4894" s="1161" t="s">
        <v>7158</v>
      </c>
      <c r="D4894" s="317" t="n">
        <v>2004</v>
      </c>
      <c r="E4894" s="1365" t="n">
        <v>6</v>
      </c>
      <c r="F4894" s="1365" t="n">
        <v>6985000</v>
      </c>
      <c r="G4894" s="1364" t="n">
        <v>0.1</v>
      </c>
      <c r="H4894" s="1365" t="n">
        <f aca="false">E4894*F4894*G4894</f>
        <v>4191000</v>
      </c>
      <c r="I4894" s="1365" t="n">
        <f aca="false">F4894-H4894</f>
        <v>2794000</v>
      </c>
      <c r="J4894" s="1365" t="n">
        <f aca="false">F4894*G4894</f>
        <v>698500</v>
      </c>
      <c r="K4894" s="1365" t="n">
        <f aca="false">J4894/1792.8</f>
        <v>389.614011601963</v>
      </c>
      <c r="L4894" s="1365" t="n">
        <v>15</v>
      </c>
      <c r="M4894" s="1273" t="n">
        <f aca="false">K4894*L4894/60</f>
        <v>97.4035029004909</v>
      </c>
    </row>
    <row r="4895" customFormat="false" ht="15" hidden="false" customHeight="false" outlineLevel="0" collapsed="false">
      <c r="A4895" s="216"/>
      <c r="B4895" s="78"/>
      <c r="C4895" s="1160"/>
      <c r="D4895" s="135"/>
      <c r="E4895" s="1370"/>
      <c r="F4895" s="1370"/>
      <c r="G4895" s="1372"/>
      <c r="H4895" s="1365" t="n">
        <f aca="false">E4895*F4895*G4895</f>
        <v>0</v>
      </c>
      <c r="I4895" s="1365" t="n">
        <f aca="false">F4895-H4895</f>
        <v>0</v>
      </c>
      <c r="J4895" s="1365" t="n">
        <f aca="false">F4895*G4895</f>
        <v>0</v>
      </c>
      <c r="K4895" s="1365" t="n">
        <f aca="false">J4895/1792.8</f>
        <v>0</v>
      </c>
      <c r="L4895" s="1370" t="n">
        <f aca="false">SUM(L4891:L4894)</f>
        <v>2995</v>
      </c>
      <c r="M4895" s="1366" t="n">
        <f aca="false">SUM(M4890:M4894)</f>
        <v>652.805704298676</v>
      </c>
    </row>
    <row r="4896" customFormat="false" ht="45" hidden="false" customHeight="false" outlineLevel="0" collapsed="false">
      <c r="A4896" s="216" t="s">
        <v>6312</v>
      </c>
      <c r="B4896" s="40" t="s">
        <v>7248</v>
      </c>
      <c r="C4896" s="316"/>
      <c r="D4896" s="316"/>
      <c r="E4896" s="316"/>
      <c r="F4896" s="316"/>
      <c r="G4896" s="316"/>
      <c r="H4896" s="1365" t="n">
        <f aca="false">E4896*F4896*G4896</f>
        <v>0</v>
      </c>
      <c r="I4896" s="1365" t="n">
        <f aca="false">F4896-H4896</f>
        <v>0</v>
      </c>
      <c r="J4896" s="1365" t="n">
        <f aca="false">F4896*G4896</f>
        <v>0</v>
      </c>
      <c r="K4896" s="1365" t="n">
        <f aca="false">J4896/1792.8</f>
        <v>0</v>
      </c>
      <c r="L4896" s="316"/>
      <c r="M4896" s="316"/>
    </row>
    <row r="4897" customFormat="false" ht="15" hidden="false" customHeight="false" outlineLevel="0" collapsed="false">
      <c r="A4897" s="216"/>
      <c r="B4897" s="40"/>
      <c r="C4897" s="1161" t="s">
        <v>7247</v>
      </c>
      <c r="D4897" s="317" t="n">
        <v>2004</v>
      </c>
      <c r="E4897" s="1365" t="n">
        <v>6</v>
      </c>
      <c r="F4897" s="1365" t="n">
        <v>202860</v>
      </c>
      <c r="G4897" s="1364" t="n">
        <v>0.15</v>
      </c>
      <c r="H4897" s="1365" t="n">
        <f aca="false">E4897*F4897*G4897</f>
        <v>182574</v>
      </c>
      <c r="I4897" s="1365" t="n">
        <f aca="false">F4897-H4897</f>
        <v>20286</v>
      </c>
      <c r="J4897" s="1365" t="n">
        <f aca="false">F4897*G4897</f>
        <v>30429</v>
      </c>
      <c r="K4897" s="1365" t="n">
        <f aca="false">J4897/1792.8</f>
        <v>16.9728915662651</v>
      </c>
      <c r="L4897" s="1365" t="n">
        <v>500</v>
      </c>
      <c r="M4897" s="1273" t="n">
        <f aca="false">K4897*L4897/60</f>
        <v>141.440763052209</v>
      </c>
    </row>
    <row r="4898" customFormat="false" ht="15" hidden="false" customHeight="false" outlineLevel="0" collapsed="false">
      <c r="A4898" s="216"/>
      <c r="B4898" s="78"/>
      <c r="C4898" s="1161" t="s">
        <v>7249</v>
      </c>
      <c r="D4898" s="317" t="n">
        <v>2006</v>
      </c>
      <c r="E4898" s="1365" t="n">
        <v>4</v>
      </c>
      <c r="F4898" s="1365" t="n">
        <v>55500</v>
      </c>
      <c r="G4898" s="1364" t="n">
        <v>0.1</v>
      </c>
      <c r="H4898" s="1365" t="n">
        <f aca="false">E4898*F4898*G4898</f>
        <v>22200</v>
      </c>
      <c r="I4898" s="1365" t="n">
        <f aca="false">F4898-H4898</f>
        <v>33300</v>
      </c>
      <c r="J4898" s="1365" t="n">
        <f aca="false">F4898*G4898</f>
        <v>5550</v>
      </c>
      <c r="K4898" s="1365" t="n">
        <f aca="false">J4898/1792.8</f>
        <v>3.09571619812584</v>
      </c>
      <c r="L4898" s="1365" t="n">
        <v>15</v>
      </c>
      <c r="M4898" s="1273" t="n">
        <f aca="false">K4898*L4898/60</f>
        <v>0.773929049531459</v>
      </c>
    </row>
    <row r="4899" customFormat="false" ht="15" hidden="false" customHeight="false" outlineLevel="0" collapsed="false">
      <c r="A4899" s="216"/>
      <c r="B4899" s="78"/>
      <c r="C4899" s="1161" t="s">
        <v>7245</v>
      </c>
      <c r="D4899" s="317" t="n">
        <v>2005</v>
      </c>
      <c r="E4899" s="1365" t="n">
        <v>5</v>
      </c>
      <c r="F4899" s="1365" t="n">
        <v>1638000</v>
      </c>
      <c r="G4899" s="1364" t="n">
        <v>0.1</v>
      </c>
      <c r="H4899" s="1365" t="n">
        <f aca="false">E4899*F4899*G4899</f>
        <v>819000</v>
      </c>
      <c r="I4899" s="1365" t="n">
        <f aca="false">F4899-H4899</f>
        <v>819000</v>
      </c>
      <c r="J4899" s="1365" t="n">
        <f aca="false">F4899*G4899</f>
        <v>163800</v>
      </c>
      <c r="K4899" s="1365" t="n">
        <f aca="false">J4899/1792.8</f>
        <v>91.3654618473896</v>
      </c>
      <c r="L4899" s="1365" t="n">
        <v>40.3</v>
      </c>
      <c r="M4899" s="1273" t="n">
        <f aca="false">K4899*L4899/60</f>
        <v>61.3671352074966</v>
      </c>
    </row>
    <row r="4900" customFormat="false" ht="15" hidden="false" customHeight="false" outlineLevel="0" collapsed="false">
      <c r="A4900" s="216"/>
      <c r="B4900" s="78"/>
      <c r="C4900" s="1161" t="s">
        <v>7158</v>
      </c>
      <c r="D4900" s="317" t="n">
        <v>2005</v>
      </c>
      <c r="E4900" s="1365" t="n">
        <v>5</v>
      </c>
      <c r="F4900" s="1365" t="n">
        <v>12190000</v>
      </c>
      <c r="G4900" s="1364" t="n">
        <v>0.1</v>
      </c>
      <c r="H4900" s="1365" t="n">
        <f aca="false">E4900*F4900*G4900</f>
        <v>6095000</v>
      </c>
      <c r="I4900" s="1365" t="n">
        <f aca="false">F4900-H4900</f>
        <v>6095000</v>
      </c>
      <c r="J4900" s="1365" t="n">
        <f aca="false">F4900*G4900</f>
        <v>1219000</v>
      </c>
      <c r="K4900" s="1365" t="n">
        <f aca="false">J4900/1792.8</f>
        <v>679.941990182954</v>
      </c>
      <c r="L4900" s="1365" t="n">
        <v>27.5</v>
      </c>
      <c r="M4900" s="1273" t="n">
        <f aca="false">K4900*L4900/60</f>
        <v>311.640078833854</v>
      </c>
    </row>
    <row r="4901" customFormat="false" ht="15" hidden="false" customHeight="false" outlineLevel="0" collapsed="false">
      <c r="A4901" s="216"/>
      <c r="B4901" s="78"/>
      <c r="C4901" s="1161" t="s">
        <v>7133</v>
      </c>
      <c r="D4901" s="317" t="n">
        <v>2004</v>
      </c>
      <c r="E4901" s="1365" t="n">
        <v>6</v>
      </c>
      <c r="F4901" s="1365" t="n">
        <v>196670</v>
      </c>
      <c r="G4901" s="1364" t="n">
        <v>0.1</v>
      </c>
      <c r="H4901" s="1365" t="n">
        <f aca="false">E4901*F4901*G4901</f>
        <v>118002</v>
      </c>
      <c r="I4901" s="1365" t="n">
        <f aca="false">F4901-H4901</f>
        <v>78668</v>
      </c>
      <c r="J4901" s="1365" t="n">
        <f aca="false">F4901*G4901</f>
        <v>19667</v>
      </c>
      <c r="K4901" s="1365" t="n">
        <f aca="false">J4901/1792.8</f>
        <v>10.9699910754128</v>
      </c>
      <c r="L4901" s="1365" t="n">
        <v>10</v>
      </c>
      <c r="M4901" s="1273" t="n">
        <f aca="false">K4901*L4901/60</f>
        <v>1.82833184590213</v>
      </c>
    </row>
    <row r="4902" customFormat="false" ht="15" hidden="false" customHeight="false" outlineLevel="0" collapsed="false">
      <c r="A4902" s="216"/>
      <c r="B4902" s="78"/>
      <c r="C4902" s="1160"/>
      <c r="D4902" s="135"/>
      <c r="E4902" s="1370"/>
      <c r="F4902" s="1370"/>
      <c r="G4902" s="1372"/>
      <c r="H4902" s="1365" t="n">
        <f aca="false">E4902*F4902*G4902</f>
        <v>0</v>
      </c>
      <c r="I4902" s="1365" t="n">
        <f aca="false">F4902-H4902</f>
        <v>0</v>
      </c>
      <c r="J4902" s="1365" t="n">
        <f aca="false">F4902*G4902</f>
        <v>0</v>
      </c>
      <c r="K4902" s="1365" t="n">
        <f aca="false">J4902/1792.8</f>
        <v>0</v>
      </c>
      <c r="L4902" s="1370" t="n">
        <f aca="false">SUM(L4897:L4901)</f>
        <v>592.8</v>
      </c>
      <c r="M4902" s="1366" t="n">
        <f aca="false">SUM(M4897:M4901)</f>
        <v>517.050237988993</v>
      </c>
    </row>
    <row r="4903" customFormat="false" ht="30" hidden="false" customHeight="false" outlineLevel="0" collapsed="false">
      <c r="A4903" s="216" t="s">
        <v>6317</v>
      </c>
      <c r="B4903" s="40" t="s">
        <v>6318</v>
      </c>
      <c r="C4903" s="1161"/>
      <c r="D4903" s="317"/>
      <c r="E4903" s="1365"/>
      <c r="F4903" s="1365"/>
      <c r="G4903" s="1364"/>
      <c r="H4903" s="1365" t="n">
        <f aca="false">E4903*F4903*G4903</f>
        <v>0</v>
      </c>
      <c r="I4903" s="1365" t="n">
        <f aca="false">F4903-H4903</f>
        <v>0</v>
      </c>
      <c r="J4903" s="1365" t="n">
        <f aca="false">F4903*G4903</f>
        <v>0</v>
      </c>
      <c r="K4903" s="1365" t="n">
        <f aca="false">J4903/1792.8</f>
        <v>0</v>
      </c>
      <c r="L4903" s="1365"/>
      <c r="M4903" s="1273"/>
    </row>
    <row r="4904" customFormat="false" ht="30" hidden="false" customHeight="false" outlineLevel="0" collapsed="false">
      <c r="A4904" s="216"/>
      <c r="B4904" s="78"/>
      <c r="C4904" s="1161" t="s">
        <v>7250</v>
      </c>
      <c r="D4904" s="317" t="n">
        <v>2005</v>
      </c>
      <c r="E4904" s="1365" t="n">
        <v>5</v>
      </c>
      <c r="F4904" s="1365" t="n">
        <v>347000</v>
      </c>
      <c r="G4904" s="1364" t="n">
        <v>0.1</v>
      </c>
      <c r="H4904" s="1365" t="n">
        <f aca="false">E4904*F4904*G4904</f>
        <v>173500</v>
      </c>
      <c r="I4904" s="1365" t="n">
        <f aca="false">F4904-H4904</f>
        <v>173500</v>
      </c>
      <c r="J4904" s="1365" t="n">
        <f aca="false">F4904*G4904</f>
        <v>34700</v>
      </c>
      <c r="K4904" s="1365" t="n">
        <f aca="false">J4904/1792.8</f>
        <v>19.355198572066</v>
      </c>
      <c r="L4904" s="1365" t="n">
        <v>30</v>
      </c>
      <c r="M4904" s="1273" t="n">
        <f aca="false">K4904*L4904/60</f>
        <v>9.67759928603302</v>
      </c>
    </row>
    <row r="4905" customFormat="false" ht="15" hidden="false" customHeight="false" outlineLevel="0" collapsed="false">
      <c r="A4905" s="216"/>
      <c r="B4905" s="78"/>
      <c r="C4905" s="1161" t="s">
        <v>7245</v>
      </c>
      <c r="D4905" s="317" t="n">
        <v>2004</v>
      </c>
      <c r="E4905" s="1365" t="n">
        <v>6</v>
      </c>
      <c r="F4905" s="1365" t="n">
        <v>39832</v>
      </c>
      <c r="G4905" s="1364" t="n">
        <v>0.1</v>
      </c>
      <c r="H4905" s="1365" t="n">
        <f aca="false">E4905*F4905*G4905</f>
        <v>23899.2</v>
      </c>
      <c r="I4905" s="1365" t="n">
        <f aca="false">F4905-H4905</f>
        <v>15932.8</v>
      </c>
      <c r="J4905" s="1365" t="n">
        <f aca="false">F4905*G4905</f>
        <v>3983.2</v>
      </c>
      <c r="K4905" s="1365" t="n">
        <f aca="false">J4905/1792.8</f>
        <v>2.22177599286033</v>
      </c>
      <c r="L4905" s="1365" t="n">
        <v>30</v>
      </c>
      <c r="M4905" s="1273" t="n">
        <f aca="false">K4905*L4905/60</f>
        <v>1.11088799643017</v>
      </c>
    </row>
    <row r="4906" customFormat="false" ht="15" hidden="false" customHeight="false" outlineLevel="0" collapsed="false">
      <c r="A4906" s="216"/>
      <c r="B4906" s="78"/>
      <c r="C4906" s="1161" t="s">
        <v>7247</v>
      </c>
      <c r="D4906" s="317" t="n">
        <v>2004</v>
      </c>
      <c r="E4906" s="1365" t="n">
        <v>6</v>
      </c>
      <c r="F4906" s="1365" t="n">
        <v>202860</v>
      </c>
      <c r="G4906" s="1364" t="n">
        <v>0.1</v>
      </c>
      <c r="H4906" s="1365" t="n">
        <f aca="false">E4906*F4906*G4906</f>
        <v>121716</v>
      </c>
      <c r="I4906" s="1365" t="n">
        <f aca="false">F4906-H4906</f>
        <v>81144</v>
      </c>
      <c r="J4906" s="1365" t="n">
        <f aca="false">F4906*G4906</f>
        <v>20286</v>
      </c>
      <c r="K4906" s="1365" t="n">
        <f aca="false">J4906/1792.8</f>
        <v>11.3152610441767</v>
      </c>
      <c r="L4906" s="1365" t="n">
        <v>1440</v>
      </c>
      <c r="M4906" s="1273" t="n">
        <f aca="false">K4906*L4906/60</f>
        <v>271.566265060241</v>
      </c>
    </row>
    <row r="4907" customFormat="false" ht="15" hidden="false" customHeight="false" outlineLevel="0" collapsed="false">
      <c r="A4907" s="216"/>
      <c r="B4907" s="78"/>
      <c r="C4907" s="1161" t="s">
        <v>7249</v>
      </c>
      <c r="D4907" s="317" t="n">
        <v>2004</v>
      </c>
      <c r="E4907" s="1365" t="n">
        <v>6</v>
      </c>
      <c r="F4907" s="1365" t="n">
        <v>6985000</v>
      </c>
      <c r="G4907" s="1364" t="n">
        <v>0.1</v>
      </c>
      <c r="H4907" s="1365" t="n">
        <f aca="false">E4907*F4907*G4907</f>
        <v>4191000</v>
      </c>
      <c r="I4907" s="1365" t="n">
        <f aca="false">F4907-H4907</f>
        <v>2794000</v>
      </c>
      <c r="J4907" s="1365" t="n">
        <f aca="false">F4907*G4907</f>
        <v>698500</v>
      </c>
      <c r="K4907" s="1365" t="n">
        <f aca="false">J4907/1792.8</f>
        <v>389.614011601963</v>
      </c>
      <c r="L4907" s="1365" t="n">
        <v>15</v>
      </c>
      <c r="M4907" s="1273" t="n">
        <f aca="false">K4907*L4907/60</f>
        <v>97.4035029004909</v>
      </c>
    </row>
    <row r="4908" customFormat="false" ht="15" hidden="false" customHeight="false" outlineLevel="0" collapsed="false">
      <c r="A4908" s="216"/>
      <c r="B4908" s="78"/>
      <c r="C4908" s="1160"/>
      <c r="D4908" s="135"/>
      <c r="E4908" s="1370"/>
      <c r="F4908" s="1370"/>
      <c r="G4908" s="1372"/>
      <c r="H4908" s="1365" t="n">
        <f aca="false">E4908*F4908*G4908</f>
        <v>0</v>
      </c>
      <c r="I4908" s="1365" t="n">
        <f aca="false">F4908-H4908</f>
        <v>0</v>
      </c>
      <c r="J4908" s="1365" t="n">
        <f aca="false">F4908*G4908</f>
        <v>0</v>
      </c>
      <c r="K4908" s="1365" t="n">
        <f aca="false">J4908/1792.8</f>
        <v>0</v>
      </c>
      <c r="L4908" s="1370" t="n">
        <f aca="false">SUM(L4904:L4907)</f>
        <v>1515</v>
      </c>
      <c r="M4908" s="1366" t="n">
        <f aca="false">SUM(M4903:M4907)</f>
        <v>379.758255243195</v>
      </c>
    </row>
    <row r="4909" customFormat="false" ht="30" hidden="false" customHeight="false" outlineLevel="0" collapsed="false">
      <c r="A4909" s="216" t="s">
        <v>6323</v>
      </c>
      <c r="B4909" s="40" t="s">
        <v>6324</v>
      </c>
      <c r="C4909" s="1161"/>
      <c r="D4909" s="317"/>
      <c r="E4909" s="1365"/>
      <c r="F4909" s="1365"/>
      <c r="G4909" s="1364"/>
      <c r="H4909" s="1365" t="n">
        <f aca="false">E4909*F4909*G4909</f>
        <v>0</v>
      </c>
      <c r="I4909" s="1365" t="n">
        <f aca="false">F4909-H4909</f>
        <v>0</v>
      </c>
      <c r="J4909" s="1365" t="n">
        <f aca="false">F4909*G4909</f>
        <v>0</v>
      </c>
      <c r="K4909" s="1365" t="n">
        <f aca="false">J4909/1792.8</f>
        <v>0</v>
      </c>
      <c r="L4909" s="1365"/>
      <c r="M4909" s="1273"/>
    </row>
    <row r="4910" customFormat="false" ht="15" hidden="false" customHeight="false" outlineLevel="0" collapsed="false">
      <c r="A4910" s="216"/>
      <c r="B4910" s="78"/>
      <c r="C4910" s="1161" t="s">
        <v>7247</v>
      </c>
      <c r="D4910" s="317" t="n">
        <v>2004</v>
      </c>
      <c r="E4910" s="1365" t="n">
        <v>6</v>
      </c>
      <c r="F4910" s="1365" t="n">
        <v>202860</v>
      </c>
      <c r="G4910" s="1364" t="n">
        <v>0.15</v>
      </c>
      <c r="H4910" s="1365" t="n">
        <f aca="false">E4910*F4910*G4910</f>
        <v>182574</v>
      </c>
      <c r="I4910" s="1365" t="n">
        <f aca="false">F4910-H4910</f>
        <v>20286</v>
      </c>
      <c r="J4910" s="1365" t="n">
        <f aca="false">F4910*G4910</f>
        <v>30429</v>
      </c>
      <c r="K4910" s="1365" t="n">
        <f aca="false">J4910/1792.8</f>
        <v>16.9728915662651</v>
      </c>
      <c r="L4910" s="1365" t="n">
        <v>30</v>
      </c>
      <c r="M4910" s="1273" t="n">
        <f aca="false">K4910*L4910/60</f>
        <v>8.48644578313253</v>
      </c>
    </row>
    <row r="4911" customFormat="false" ht="15" hidden="false" customHeight="false" outlineLevel="0" collapsed="false">
      <c r="A4911" s="216"/>
      <c r="B4911" s="78"/>
      <c r="C4911" s="1161" t="s">
        <v>7249</v>
      </c>
      <c r="D4911" s="317" t="n">
        <v>2006</v>
      </c>
      <c r="E4911" s="1365" t="n">
        <v>4</v>
      </c>
      <c r="F4911" s="1365" t="n">
        <v>55500</v>
      </c>
      <c r="G4911" s="1364" t="n">
        <v>0.1</v>
      </c>
      <c r="H4911" s="1365" t="n">
        <f aca="false">E4911*F4911*G4911</f>
        <v>22200</v>
      </c>
      <c r="I4911" s="1365" t="n">
        <f aca="false">F4911-H4911</f>
        <v>33300</v>
      </c>
      <c r="J4911" s="1365" t="n">
        <f aca="false">F4911*G4911</f>
        <v>5550</v>
      </c>
      <c r="K4911" s="1365" t="n">
        <f aca="false">J4911/1792.8</f>
        <v>3.09571619812584</v>
      </c>
      <c r="L4911" s="1365" t="n">
        <v>10</v>
      </c>
      <c r="M4911" s="1273" t="n">
        <f aca="false">K4911*L4911/60</f>
        <v>0.51595269968764</v>
      </c>
    </row>
    <row r="4912" customFormat="false" ht="15" hidden="false" customHeight="false" outlineLevel="0" collapsed="false">
      <c r="A4912" s="216"/>
      <c r="B4912" s="78"/>
      <c r="C4912" s="1161" t="s">
        <v>7251</v>
      </c>
      <c r="D4912" s="317" t="n">
        <v>2005</v>
      </c>
      <c r="E4912" s="1365" t="n">
        <v>5</v>
      </c>
      <c r="F4912" s="1365" t="n">
        <v>1638000</v>
      </c>
      <c r="G4912" s="1364" t="n">
        <v>0.1</v>
      </c>
      <c r="H4912" s="1365" t="n">
        <f aca="false">E4912*F4912*G4912</f>
        <v>819000</v>
      </c>
      <c r="I4912" s="1365" t="n">
        <f aca="false">F4912-H4912</f>
        <v>819000</v>
      </c>
      <c r="J4912" s="1365" t="n">
        <f aca="false">F4912*G4912</f>
        <v>163800</v>
      </c>
      <c r="K4912" s="1365" t="n">
        <f aca="false">J4912/1792.8</f>
        <v>91.3654618473896</v>
      </c>
      <c r="L4912" s="1365" t="n">
        <v>80</v>
      </c>
      <c r="M4912" s="1273" t="n">
        <f aca="false">K4912*L4912/60</f>
        <v>121.820615796519</v>
      </c>
    </row>
    <row r="4913" customFormat="false" ht="15" hidden="false" customHeight="false" outlineLevel="0" collapsed="false">
      <c r="A4913" s="216"/>
      <c r="B4913" s="78"/>
      <c r="C4913" s="1161" t="s">
        <v>7252</v>
      </c>
      <c r="D4913" s="317" t="n">
        <v>2005</v>
      </c>
      <c r="E4913" s="1365" t="n">
        <v>5</v>
      </c>
      <c r="F4913" s="1365" t="n">
        <v>12190000</v>
      </c>
      <c r="G4913" s="1364" t="n">
        <v>0.1</v>
      </c>
      <c r="H4913" s="1365" t="n">
        <f aca="false">E4913*F4913*G4913</f>
        <v>6095000</v>
      </c>
      <c r="I4913" s="1365" t="n">
        <f aca="false">F4913-H4913</f>
        <v>6095000</v>
      </c>
      <c r="J4913" s="1365" t="n">
        <f aca="false">F4913*G4913</f>
        <v>1219000</v>
      </c>
      <c r="K4913" s="1365" t="n">
        <f aca="false">J4913/1792.8</f>
        <v>679.941990182954</v>
      </c>
      <c r="L4913" s="1365" t="n">
        <v>20</v>
      </c>
      <c r="M4913" s="1273" t="n">
        <f aca="false">K4913*L4913/60</f>
        <v>226.647330060985</v>
      </c>
    </row>
    <row r="4914" customFormat="false" ht="15" hidden="false" customHeight="false" outlineLevel="0" collapsed="false">
      <c r="A4914" s="216"/>
      <c r="B4914" s="78"/>
      <c r="C4914" s="1161" t="s">
        <v>7170</v>
      </c>
      <c r="D4914" s="317" t="n">
        <v>2004</v>
      </c>
      <c r="E4914" s="1365" t="n">
        <v>6</v>
      </c>
      <c r="F4914" s="1365" t="n">
        <v>196670</v>
      </c>
      <c r="G4914" s="1364" t="n">
        <v>0.1</v>
      </c>
      <c r="H4914" s="1365" t="n">
        <f aca="false">E4914*F4914*G4914</f>
        <v>118002</v>
      </c>
      <c r="I4914" s="1365" t="n">
        <f aca="false">F4914-H4914</f>
        <v>78668</v>
      </c>
      <c r="J4914" s="1365" t="n">
        <f aca="false">F4914*G4914</f>
        <v>19667</v>
      </c>
      <c r="K4914" s="1365" t="n">
        <f aca="false">J4914/1792.8</f>
        <v>10.9699910754128</v>
      </c>
      <c r="L4914" s="1365" t="n">
        <v>15</v>
      </c>
      <c r="M4914" s="1273" t="n">
        <f aca="false">K4914*L4914/60</f>
        <v>2.74249776885319</v>
      </c>
    </row>
    <row r="4915" customFormat="false" ht="15" hidden="false" customHeight="false" outlineLevel="0" collapsed="false">
      <c r="A4915" s="216"/>
      <c r="B4915" s="78"/>
      <c r="C4915" s="1161" t="s">
        <v>7158</v>
      </c>
      <c r="D4915" s="317" t="n">
        <v>2005</v>
      </c>
      <c r="E4915" s="1365" t="n">
        <v>5</v>
      </c>
      <c r="F4915" s="1365" t="n">
        <v>12190000</v>
      </c>
      <c r="G4915" s="1364" t="n">
        <v>0.1</v>
      </c>
      <c r="H4915" s="1365" t="n">
        <f aca="false">E4915*F4915*G4915</f>
        <v>6095000</v>
      </c>
      <c r="I4915" s="1365" t="n">
        <f aca="false">F4915-H4915</f>
        <v>6095000</v>
      </c>
      <c r="J4915" s="1365" t="n">
        <f aca="false">F4915*G4915</f>
        <v>1219000</v>
      </c>
      <c r="K4915" s="1365" t="n">
        <f aca="false">J4915/1792.8</f>
        <v>679.941990182954</v>
      </c>
      <c r="L4915" s="1365" t="n">
        <v>27.5</v>
      </c>
      <c r="M4915" s="1273" t="n">
        <f aca="false">K4915*L4915/60</f>
        <v>311.640078833854</v>
      </c>
    </row>
    <row r="4916" customFormat="false" ht="15" hidden="false" customHeight="false" outlineLevel="0" collapsed="false">
      <c r="A4916" s="216"/>
      <c r="B4916" s="78"/>
      <c r="C4916" s="1160"/>
      <c r="D4916" s="135"/>
      <c r="E4916" s="1370"/>
      <c r="F4916" s="1370"/>
      <c r="G4916" s="1372"/>
      <c r="H4916" s="1365" t="n">
        <f aca="false">E4916*F4916*G4916</f>
        <v>0</v>
      </c>
      <c r="I4916" s="1365" t="n">
        <f aca="false">F4916-H4916</f>
        <v>0</v>
      </c>
      <c r="J4916" s="1365" t="n">
        <f aca="false">F4916*G4916</f>
        <v>0</v>
      </c>
      <c r="K4916" s="1365" t="n">
        <f aca="false">J4916/1792.8</f>
        <v>0</v>
      </c>
      <c r="L4916" s="1370" t="n">
        <f aca="false">SUM(L4910:L4915)</f>
        <v>182.5</v>
      </c>
      <c r="M4916" s="1366" t="n">
        <f aca="false">SUM(M4909:M4915)</f>
        <v>671.852920943031</v>
      </c>
    </row>
    <row r="4917" customFormat="false" ht="15" hidden="false" customHeight="false" outlineLevel="0" collapsed="false">
      <c r="A4917" s="350" t="s">
        <v>2273</v>
      </c>
      <c r="B4917" s="509" t="s">
        <v>3871</v>
      </c>
      <c r="C4917" s="1569"/>
      <c r="D4917" s="339"/>
      <c r="E4917" s="1246"/>
      <c r="F4917" s="1246"/>
      <c r="G4917" s="1570"/>
      <c r="H4917" s="1512"/>
      <c r="I4917" s="1512"/>
      <c r="J4917" s="1512"/>
      <c r="K4917" s="1512"/>
      <c r="L4917" s="1246"/>
      <c r="M4917" s="1250"/>
    </row>
    <row r="4918" customFormat="false" ht="30" hidden="false" customHeight="false" outlineLevel="0" collapsed="false">
      <c r="A4918" s="216" t="s">
        <v>7253</v>
      </c>
      <c r="B4918" s="40" t="s">
        <v>6330</v>
      </c>
      <c r="C4918" s="1161"/>
      <c r="D4918" s="317"/>
      <c r="E4918" s="1365"/>
      <c r="F4918" s="1365"/>
      <c r="G4918" s="1364"/>
      <c r="H4918" s="1365" t="n">
        <f aca="false">E4918*F4918*G4918</f>
        <v>0</v>
      </c>
      <c r="I4918" s="1365" t="n">
        <f aca="false">F4918-H4918</f>
        <v>0</v>
      </c>
      <c r="J4918" s="1365" t="n">
        <f aca="false">F4918*G4918</f>
        <v>0</v>
      </c>
      <c r="K4918" s="1365" t="n">
        <f aca="false">J4918/1792.8</f>
        <v>0</v>
      </c>
      <c r="L4918" s="1365"/>
      <c r="M4918" s="1273"/>
    </row>
    <row r="4919" customFormat="false" ht="15" hidden="false" customHeight="false" outlineLevel="0" collapsed="false">
      <c r="A4919" s="216"/>
      <c r="B4919" s="40"/>
      <c r="C4919" s="1161" t="s">
        <v>7247</v>
      </c>
      <c r="D4919" s="317" t="n">
        <v>2004</v>
      </c>
      <c r="E4919" s="1365" t="n">
        <v>6</v>
      </c>
      <c r="F4919" s="1365" t="n">
        <v>202860</v>
      </c>
      <c r="G4919" s="1364" t="n">
        <v>0.1</v>
      </c>
      <c r="H4919" s="1365" t="n">
        <f aca="false">E4919*F4919*G4919</f>
        <v>121716</v>
      </c>
      <c r="I4919" s="1365" t="n">
        <f aca="false">F4919-H4919</f>
        <v>81144</v>
      </c>
      <c r="J4919" s="1365" t="n">
        <f aca="false">F4919*G4919</f>
        <v>20286</v>
      </c>
      <c r="K4919" s="1365" t="n">
        <f aca="false">J4919/1792.8</f>
        <v>11.3152610441767</v>
      </c>
      <c r="L4919" s="1365" t="n">
        <v>2880</v>
      </c>
      <c r="M4919" s="1273" t="n">
        <f aca="false">K4919*L4919/60</f>
        <v>543.132530120482</v>
      </c>
    </row>
    <row r="4920" customFormat="false" ht="15" hidden="false" customHeight="false" outlineLevel="0" collapsed="false">
      <c r="A4920" s="216"/>
      <c r="B4920" s="40"/>
      <c r="C4920" s="1161" t="s">
        <v>7254</v>
      </c>
      <c r="D4920" s="317" t="n">
        <v>2003</v>
      </c>
      <c r="E4920" s="1365"/>
      <c r="F4920" s="1365" t="n">
        <v>950000</v>
      </c>
      <c r="G4920" s="1364" t="n">
        <v>0.1</v>
      </c>
      <c r="H4920" s="1365" t="n">
        <f aca="false">E4920*F4920*G4920</f>
        <v>0</v>
      </c>
      <c r="I4920" s="1365" t="n">
        <f aca="false">F4920-H4920</f>
        <v>950000</v>
      </c>
      <c r="J4920" s="1365" t="n">
        <f aca="false">F4920*G4920</f>
        <v>95000</v>
      </c>
      <c r="K4920" s="1365" t="n">
        <f aca="false">J4920/1792.8</f>
        <v>52.9897367246765</v>
      </c>
      <c r="L4920" s="1365"/>
      <c r="M4920" s="1273" t="n">
        <f aca="false">K4920*L4920/60</f>
        <v>0</v>
      </c>
    </row>
    <row r="4921" customFormat="false" ht="15" hidden="false" customHeight="false" outlineLevel="0" collapsed="false">
      <c r="A4921" s="216"/>
      <c r="B4921" s="40"/>
      <c r="C4921" s="1161" t="s">
        <v>7158</v>
      </c>
      <c r="D4921" s="317" t="n">
        <v>2004</v>
      </c>
      <c r="E4921" s="1365" t="n">
        <v>6</v>
      </c>
      <c r="F4921" s="1365" t="n">
        <v>6985000</v>
      </c>
      <c r="G4921" s="1364" t="n">
        <v>0.1</v>
      </c>
      <c r="H4921" s="1365" t="n">
        <f aca="false">E4921*F4921*G4921</f>
        <v>4191000</v>
      </c>
      <c r="I4921" s="1365" t="n">
        <f aca="false">F4921-H4921</f>
        <v>2794000</v>
      </c>
      <c r="J4921" s="1365" t="n">
        <f aca="false">F4921*G4921</f>
        <v>698500</v>
      </c>
      <c r="K4921" s="1365" t="n">
        <f aca="false">J4921/1792.8</f>
        <v>389.614011601963</v>
      </c>
      <c r="L4921" s="1365" t="n">
        <v>15</v>
      </c>
      <c r="M4921" s="1273" t="n">
        <f aca="false">K4921*L4921/60</f>
        <v>97.4035029004909</v>
      </c>
    </row>
    <row r="4922" customFormat="false" ht="15" hidden="false" customHeight="false" outlineLevel="0" collapsed="false">
      <c r="A4922" s="216"/>
      <c r="B4922" s="78"/>
      <c r="C4922" s="1161" t="s">
        <v>7249</v>
      </c>
      <c r="D4922" s="317" t="n">
        <v>2005</v>
      </c>
      <c r="E4922" s="1365" t="n">
        <v>5</v>
      </c>
      <c r="F4922" s="1365" t="n">
        <v>347000</v>
      </c>
      <c r="G4922" s="1364" t="n">
        <v>0.1</v>
      </c>
      <c r="H4922" s="1365" t="n">
        <f aca="false">E4922*F4922*G4922</f>
        <v>173500</v>
      </c>
      <c r="I4922" s="1365" t="n">
        <f aca="false">F4922-H4922</f>
        <v>173500</v>
      </c>
      <c r="J4922" s="1365" t="n">
        <f aca="false">F4922*G4922</f>
        <v>34700</v>
      </c>
      <c r="K4922" s="1365" t="n">
        <f aca="false">J4922/1792.8</f>
        <v>19.355198572066</v>
      </c>
      <c r="L4922" s="1365" t="n">
        <v>60</v>
      </c>
      <c r="M4922" s="1273" t="n">
        <f aca="false">K4922*L4922/60</f>
        <v>19.355198572066</v>
      </c>
    </row>
    <row r="4923" customFormat="false" ht="15" hidden="false" customHeight="false" outlineLevel="0" collapsed="false">
      <c r="A4923" s="216"/>
      <c r="B4923" s="78"/>
      <c r="C4923" s="1161" t="s">
        <v>7245</v>
      </c>
      <c r="D4923" s="317" t="n">
        <v>2005</v>
      </c>
      <c r="E4923" s="1365" t="n">
        <v>5</v>
      </c>
      <c r="F4923" s="1365" t="n">
        <v>347000</v>
      </c>
      <c r="G4923" s="1364" t="n">
        <v>0.1</v>
      </c>
      <c r="H4923" s="1365" t="n">
        <f aca="false">E4923*F4923*G4923</f>
        <v>173500</v>
      </c>
      <c r="I4923" s="1365" t="n">
        <f aca="false">F4923-H4923</f>
        <v>173500</v>
      </c>
      <c r="J4923" s="1365" t="n">
        <f aca="false">F4923*G4923</f>
        <v>34700</v>
      </c>
      <c r="K4923" s="1365" t="n">
        <f aca="false">J4923/1792.8</f>
        <v>19.355198572066</v>
      </c>
      <c r="L4923" s="1365" t="n">
        <v>30</v>
      </c>
      <c r="M4923" s="1273" t="n">
        <f aca="false">K4923*L4923/60</f>
        <v>9.67759928603302</v>
      </c>
    </row>
    <row r="4924" customFormat="false" ht="15" hidden="false" customHeight="false" outlineLevel="0" collapsed="false">
      <c r="A4924" s="216"/>
      <c r="B4924" s="78"/>
      <c r="C4924" s="1161" t="s">
        <v>7255</v>
      </c>
      <c r="D4924" s="317" t="n">
        <v>2004</v>
      </c>
      <c r="E4924" s="1365" t="n">
        <v>6</v>
      </c>
      <c r="F4924" s="1365" t="n">
        <v>6985000</v>
      </c>
      <c r="G4924" s="1364" t="n">
        <v>0.1</v>
      </c>
      <c r="H4924" s="1365" t="n">
        <f aca="false">E4924*F4924*G4924</f>
        <v>4191000</v>
      </c>
      <c r="I4924" s="1365" t="n">
        <f aca="false">F4924-H4924</f>
        <v>2794000</v>
      </c>
      <c r="J4924" s="1365" t="n">
        <f aca="false">F4924*G4924</f>
        <v>698500</v>
      </c>
      <c r="K4924" s="1365" t="n">
        <f aca="false">J4924/1792.8</f>
        <v>389.614011601963</v>
      </c>
      <c r="L4924" s="1365" t="n">
        <v>20</v>
      </c>
      <c r="M4924" s="1273" t="n">
        <f aca="false">K4924*L4924/60</f>
        <v>129.871337200654</v>
      </c>
    </row>
    <row r="4925" customFormat="false" ht="15" hidden="false" customHeight="false" outlineLevel="0" collapsed="false">
      <c r="A4925" s="216"/>
      <c r="B4925" s="78"/>
      <c r="C4925" s="1161" t="s">
        <v>7256</v>
      </c>
      <c r="D4925" s="317" t="n">
        <v>2004</v>
      </c>
      <c r="E4925" s="1365" t="n">
        <v>6</v>
      </c>
      <c r="F4925" s="1365" t="n">
        <v>197664</v>
      </c>
      <c r="G4925" s="1364" t="n">
        <v>0.1</v>
      </c>
      <c r="H4925" s="1365" t="n">
        <f aca="false">E4925*F4925*G4925</f>
        <v>118598.4</v>
      </c>
      <c r="I4925" s="1365" t="n">
        <f aca="false">F4925-H4925</f>
        <v>79065.6</v>
      </c>
      <c r="J4925" s="1365" t="n">
        <f aca="false">F4925*G4925</f>
        <v>19766.4</v>
      </c>
      <c r="K4925" s="1365" t="n">
        <f aca="false">J4925/1792.8</f>
        <v>11.0254350736278</v>
      </c>
      <c r="L4925" s="1365" t="n">
        <v>20</v>
      </c>
      <c r="M4925" s="1273" t="n">
        <f aca="false">K4925*L4925/60</f>
        <v>3.67514502454262</v>
      </c>
    </row>
    <row r="4926" customFormat="false" ht="15" hidden="false" customHeight="false" outlineLevel="0" collapsed="false">
      <c r="A4926" s="216"/>
      <c r="B4926" s="78"/>
      <c r="C4926" s="1160"/>
      <c r="D4926" s="135"/>
      <c r="E4926" s="1370"/>
      <c r="F4926" s="1370"/>
      <c r="G4926" s="1372" t="n">
        <v>0.1</v>
      </c>
      <c r="H4926" s="1365" t="n">
        <f aca="false">E4926*F4926*G4926</f>
        <v>0</v>
      </c>
      <c r="I4926" s="1365" t="n">
        <f aca="false">F4926-H4926</f>
        <v>0</v>
      </c>
      <c r="J4926" s="1365" t="n">
        <f aca="false">F4926*G4926</f>
        <v>0</v>
      </c>
      <c r="K4926" s="1365" t="n">
        <f aca="false">J4926/1792.8</f>
        <v>0</v>
      </c>
      <c r="L4926" s="1370" t="n">
        <f aca="false">SUM(L4919:L4925)</f>
        <v>3025</v>
      </c>
      <c r="M4926" s="1366" t="n">
        <f aca="false">SUM(M4918:M4925)</f>
        <v>803.115313104269</v>
      </c>
    </row>
    <row r="4927" customFormat="false" ht="30" hidden="false" customHeight="false" outlineLevel="0" collapsed="false">
      <c r="A4927" s="216" t="s">
        <v>6349</v>
      </c>
      <c r="B4927" s="40" t="s">
        <v>6350</v>
      </c>
      <c r="C4927" s="1161"/>
      <c r="D4927" s="317"/>
      <c r="E4927" s="1365"/>
      <c r="F4927" s="1365"/>
      <c r="G4927" s="1364" t="n">
        <v>0.1</v>
      </c>
      <c r="H4927" s="1365" t="n">
        <f aca="false">E4927*F4927*G4927</f>
        <v>0</v>
      </c>
      <c r="I4927" s="1365" t="n">
        <f aca="false">F4927-H4927</f>
        <v>0</v>
      </c>
      <c r="J4927" s="1365" t="n">
        <f aca="false">F4927*G4927</f>
        <v>0</v>
      </c>
      <c r="K4927" s="1365" t="n">
        <f aca="false">J4927/1792.8</f>
        <v>0</v>
      </c>
      <c r="L4927" s="1365"/>
      <c r="M4927" s="1273"/>
    </row>
    <row r="4928" customFormat="false" ht="15" hidden="false" customHeight="false" outlineLevel="0" collapsed="false">
      <c r="A4928" s="216"/>
      <c r="B4928" s="40"/>
      <c r="C4928" s="1161" t="s">
        <v>7247</v>
      </c>
      <c r="D4928" s="317" t="n">
        <v>2004</v>
      </c>
      <c r="E4928" s="1365" t="n">
        <v>6</v>
      </c>
      <c r="F4928" s="1365" t="n">
        <v>202860</v>
      </c>
      <c r="G4928" s="1364" t="n">
        <v>0.1</v>
      </c>
      <c r="H4928" s="1365" t="n">
        <f aca="false">E4928*F4928*G4928</f>
        <v>121716</v>
      </c>
      <c r="I4928" s="1365" t="n">
        <f aca="false">F4928-H4928</f>
        <v>81144</v>
      </c>
      <c r="J4928" s="1365" t="n">
        <f aca="false">F4928*G4928</f>
        <v>20286</v>
      </c>
      <c r="K4928" s="1365" t="n">
        <f aca="false">J4928/1792.8</f>
        <v>11.3152610441767</v>
      </c>
      <c r="L4928" s="1365" t="n">
        <v>720</v>
      </c>
      <c r="M4928" s="1273" t="n">
        <f aca="false">K4928*L4928/60</f>
        <v>135.78313253012</v>
      </c>
    </row>
    <row r="4929" customFormat="false" ht="30" hidden="false" customHeight="false" outlineLevel="0" collapsed="false">
      <c r="A4929" s="216"/>
      <c r="B4929" s="78"/>
      <c r="C4929" s="1161" t="s">
        <v>7250</v>
      </c>
      <c r="D4929" s="317" t="n">
        <v>2005</v>
      </c>
      <c r="E4929" s="1365" t="n">
        <v>5</v>
      </c>
      <c r="F4929" s="1365" t="n">
        <v>347000</v>
      </c>
      <c r="G4929" s="1364" t="n">
        <v>0.1</v>
      </c>
      <c r="H4929" s="1365" t="n">
        <f aca="false">E4929*F4929*G4929</f>
        <v>173500</v>
      </c>
      <c r="I4929" s="1365" t="n">
        <f aca="false">F4929-H4929</f>
        <v>173500</v>
      </c>
      <c r="J4929" s="1365" t="n">
        <f aca="false">F4929*G4929</f>
        <v>34700</v>
      </c>
      <c r="K4929" s="1365" t="n">
        <f aca="false">J4929/1792.8</f>
        <v>19.355198572066</v>
      </c>
      <c r="L4929" s="1365" t="n">
        <v>20</v>
      </c>
      <c r="M4929" s="1273" t="n">
        <f aca="false">K4929*L4929/60</f>
        <v>6.45173285735535</v>
      </c>
    </row>
    <row r="4930" customFormat="false" ht="15" hidden="false" customHeight="false" outlineLevel="0" collapsed="false">
      <c r="A4930" s="216"/>
      <c r="B4930" s="78"/>
      <c r="C4930" s="1161" t="s">
        <v>7245</v>
      </c>
      <c r="D4930" s="317" t="n">
        <v>2005</v>
      </c>
      <c r="E4930" s="1365" t="n">
        <v>5</v>
      </c>
      <c r="F4930" s="1365" t="n">
        <v>347000</v>
      </c>
      <c r="G4930" s="1364" t="n">
        <v>0.1</v>
      </c>
      <c r="H4930" s="1365" t="n">
        <f aca="false">E4930*F4930*G4930</f>
        <v>173500</v>
      </c>
      <c r="I4930" s="1365" t="n">
        <f aca="false">F4930-H4930</f>
        <v>173500</v>
      </c>
      <c r="J4930" s="1365" t="n">
        <f aca="false">F4930*G4930</f>
        <v>34700</v>
      </c>
      <c r="K4930" s="1365" t="n">
        <f aca="false">J4930/1792.8</f>
        <v>19.355198572066</v>
      </c>
      <c r="L4930" s="1365" t="n">
        <v>20</v>
      </c>
      <c r="M4930" s="1273" t="n">
        <f aca="false">K4930*L4930/60</f>
        <v>6.45173285735535</v>
      </c>
    </row>
    <row r="4931" customFormat="false" ht="15" hidden="false" customHeight="false" outlineLevel="0" collapsed="false">
      <c r="A4931" s="216"/>
      <c r="B4931" s="78"/>
      <c r="C4931" s="1161" t="s">
        <v>7170</v>
      </c>
      <c r="D4931" s="317" t="n">
        <v>2004</v>
      </c>
      <c r="E4931" s="1365" t="n">
        <v>6</v>
      </c>
      <c r="F4931" s="1365" t="n">
        <v>196670</v>
      </c>
      <c r="G4931" s="1364" t="n">
        <v>0.1</v>
      </c>
      <c r="H4931" s="1365" t="n">
        <f aca="false">E4931*F4931*G4931</f>
        <v>118002</v>
      </c>
      <c r="I4931" s="1365" t="n">
        <f aca="false">F4931-H4931</f>
        <v>78668</v>
      </c>
      <c r="J4931" s="1365" t="n">
        <f aca="false">F4931*G4931</f>
        <v>19667</v>
      </c>
      <c r="K4931" s="1365" t="n">
        <f aca="false">J4931/1792.8</f>
        <v>10.9699910754128</v>
      </c>
      <c r="L4931" s="1365" t="n">
        <v>15</v>
      </c>
      <c r="M4931" s="1273" t="n">
        <f aca="false">K4931*L4931/60</f>
        <v>2.74249776885319</v>
      </c>
    </row>
    <row r="4932" customFormat="false" ht="15" hidden="false" customHeight="false" outlineLevel="0" collapsed="false">
      <c r="A4932" s="216"/>
      <c r="B4932" s="78"/>
      <c r="C4932" s="1161" t="s">
        <v>7191</v>
      </c>
      <c r="D4932" s="317" t="n">
        <v>2005</v>
      </c>
      <c r="E4932" s="1365" t="n">
        <v>5</v>
      </c>
      <c r="F4932" s="1365" t="n">
        <v>347000</v>
      </c>
      <c r="G4932" s="1364" t="n">
        <v>0.1</v>
      </c>
      <c r="H4932" s="1365" t="n">
        <f aca="false">E4932*F4932*G4932</f>
        <v>173500</v>
      </c>
      <c r="I4932" s="1365" t="n">
        <f aca="false">F4932-H4932</f>
        <v>173500</v>
      </c>
      <c r="J4932" s="1365" t="n">
        <f aca="false">F4932*G4932</f>
        <v>34700</v>
      </c>
      <c r="K4932" s="1365" t="n">
        <f aca="false">J4932/1792.8</f>
        <v>19.355198572066</v>
      </c>
      <c r="L4932" s="1365" t="n">
        <v>20</v>
      </c>
      <c r="M4932" s="1273" t="n">
        <f aca="false">K4932*L4932/60</f>
        <v>6.45173285735535</v>
      </c>
    </row>
    <row r="4933" customFormat="false" ht="15" hidden="false" customHeight="false" outlineLevel="0" collapsed="false">
      <c r="A4933" s="216"/>
      <c r="B4933" s="78"/>
      <c r="C4933" s="1161" t="s">
        <v>7158</v>
      </c>
      <c r="D4933" s="317" t="n">
        <v>2004</v>
      </c>
      <c r="E4933" s="1365" t="n">
        <v>6</v>
      </c>
      <c r="F4933" s="1365" t="n">
        <v>6985000</v>
      </c>
      <c r="G4933" s="1364" t="n">
        <v>0.1</v>
      </c>
      <c r="H4933" s="1365" t="n">
        <f aca="false">E4933*F4933*G4933</f>
        <v>4191000</v>
      </c>
      <c r="I4933" s="1365" t="n">
        <f aca="false">F4933-H4933</f>
        <v>2794000</v>
      </c>
      <c r="J4933" s="1365" t="n">
        <f aca="false">F4933*G4933</f>
        <v>698500</v>
      </c>
      <c r="K4933" s="1365" t="n">
        <f aca="false">J4933/1792.8</f>
        <v>389.614011601963</v>
      </c>
      <c r="L4933" s="1365" t="n">
        <v>10</v>
      </c>
      <c r="M4933" s="1273" t="n">
        <f aca="false">K4933*L4933/60</f>
        <v>64.9356686003272</v>
      </c>
    </row>
    <row r="4934" customFormat="false" ht="15" hidden="false" customHeight="false" outlineLevel="0" collapsed="false">
      <c r="A4934" s="216"/>
      <c r="B4934" s="78"/>
      <c r="C4934" s="1160"/>
      <c r="D4934" s="135"/>
      <c r="E4934" s="1370"/>
      <c r="F4934" s="1370"/>
      <c r="G4934" s="1372" t="n">
        <v>0.1</v>
      </c>
      <c r="H4934" s="1365" t="n">
        <f aca="false">E4934*F4934*G4934</f>
        <v>0</v>
      </c>
      <c r="I4934" s="1365" t="n">
        <f aca="false">F4934-H4934</f>
        <v>0</v>
      </c>
      <c r="J4934" s="1365" t="n">
        <f aca="false">F4934*G4934</f>
        <v>0</v>
      </c>
      <c r="K4934" s="1365" t="n">
        <f aca="false">J4934/1792.8</f>
        <v>0</v>
      </c>
      <c r="L4934" s="1370" t="n">
        <f aca="false">SUM(L4928:L4933)</f>
        <v>805</v>
      </c>
      <c r="M4934" s="1366" t="n">
        <f aca="false">SUM(M4927:M4933)</f>
        <v>222.816497471367</v>
      </c>
    </row>
    <row r="4935" customFormat="false" ht="30" hidden="false" customHeight="false" outlineLevel="0" collapsed="false">
      <c r="A4935" s="216" t="s">
        <v>6353</v>
      </c>
      <c r="B4935" s="40" t="s">
        <v>7257</v>
      </c>
      <c r="C4935" s="1161"/>
      <c r="D4935" s="317"/>
      <c r="E4935" s="1365"/>
      <c r="F4935" s="1365"/>
      <c r="G4935" s="1364" t="n">
        <v>0.1</v>
      </c>
      <c r="H4935" s="1365" t="n">
        <f aca="false">E4935*F4935*G4935</f>
        <v>0</v>
      </c>
      <c r="I4935" s="1365" t="n">
        <f aca="false">F4935-H4935</f>
        <v>0</v>
      </c>
      <c r="J4935" s="1365" t="n">
        <f aca="false">F4935*G4935</f>
        <v>0</v>
      </c>
      <c r="K4935" s="1365" t="n">
        <f aca="false">J4935/1792.8</f>
        <v>0</v>
      </c>
      <c r="L4935" s="1365"/>
      <c r="M4935" s="1273"/>
    </row>
    <row r="4936" customFormat="false" ht="15" hidden="false" customHeight="false" outlineLevel="0" collapsed="false">
      <c r="A4936" s="216"/>
      <c r="B4936" s="40"/>
      <c r="C4936" s="1161" t="s">
        <v>7247</v>
      </c>
      <c r="D4936" s="317" t="n">
        <v>2004</v>
      </c>
      <c r="E4936" s="1365" t="n">
        <v>6</v>
      </c>
      <c r="F4936" s="1365" t="n">
        <v>202860</v>
      </c>
      <c r="G4936" s="1364" t="n">
        <v>0.1</v>
      </c>
      <c r="H4936" s="1365" t="n">
        <f aca="false">E4936*F4936*G4936</f>
        <v>121716</v>
      </c>
      <c r="I4936" s="1365" t="n">
        <f aca="false">F4936-H4936</f>
        <v>81144</v>
      </c>
      <c r="J4936" s="1365" t="n">
        <f aca="false">F4936*G4936</f>
        <v>20286</v>
      </c>
      <c r="K4936" s="1365" t="n">
        <f aca="false">J4936/1792.8</f>
        <v>11.3152610441767</v>
      </c>
      <c r="L4936" s="1365" t="n">
        <v>720</v>
      </c>
      <c r="M4936" s="1273" t="n">
        <f aca="false">K4936*L4936/60</f>
        <v>135.78313253012</v>
      </c>
    </row>
    <row r="4937" customFormat="false" ht="15" hidden="false" customHeight="false" outlineLevel="0" collapsed="false">
      <c r="A4937" s="216"/>
      <c r="B4937" s="78"/>
      <c r="C4937" s="1161" t="s">
        <v>7245</v>
      </c>
      <c r="D4937" s="317" t="n">
        <v>2005</v>
      </c>
      <c r="E4937" s="1365" t="n">
        <v>5</v>
      </c>
      <c r="F4937" s="1365" t="n">
        <v>347000</v>
      </c>
      <c r="G4937" s="1364" t="n">
        <v>0.1</v>
      </c>
      <c r="H4937" s="1365" t="n">
        <f aca="false">E4937*F4937*G4937</f>
        <v>173500</v>
      </c>
      <c r="I4937" s="1365" t="n">
        <f aca="false">F4937-H4937</f>
        <v>173500</v>
      </c>
      <c r="J4937" s="1365" t="n">
        <f aca="false">F4937*G4937</f>
        <v>34700</v>
      </c>
      <c r="K4937" s="1365" t="n">
        <f aca="false">J4937/1792.8</f>
        <v>19.355198572066</v>
      </c>
      <c r="L4937" s="1365" t="n">
        <v>30</v>
      </c>
      <c r="M4937" s="1273" t="n">
        <f aca="false">K4937*L4937/60</f>
        <v>9.67759928603302</v>
      </c>
    </row>
    <row r="4938" customFormat="false" ht="15" hidden="false" customHeight="false" outlineLevel="0" collapsed="false">
      <c r="A4938" s="216"/>
      <c r="B4938" s="78"/>
      <c r="C4938" s="1161" t="s">
        <v>7191</v>
      </c>
      <c r="D4938" s="317" t="n">
        <v>2005</v>
      </c>
      <c r="E4938" s="1365" t="n">
        <v>5</v>
      </c>
      <c r="F4938" s="1365" t="n">
        <v>347000</v>
      </c>
      <c r="G4938" s="1364" t="n">
        <v>0.1</v>
      </c>
      <c r="H4938" s="1365" t="n">
        <f aca="false">E4938*F4938*G4938</f>
        <v>173500</v>
      </c>
      <c r="I4938" s="1365" t="n">
        <f aca="false">F4938-H4938</f>
        <v>173500</v>
      </c>
      <c r="J4938" s="1365" t="n">
        <f aca="false">F4938*G4938</f>
        <v>34700</v>
      </c>
      <c r="K4938" s="1365" t="n">
        <f aca="false">J4938/1792.8</f>
        <v>19.355198572066</v>
      </c>
      <c r="L4938" s="1365" t="n">
        <v>30</v>
      </c>
      <c r="M4938" s="1273" t="n">
        <f aca="false">K4938*L4938/60</f>
        <v>9.67759928603302</v>
      </c>
    </row>
    <row r="4939" customFormat="false" ht="15" hidden="false" customHeight="false" outlineLevel="0" collapsed="false">
      <c r="A4939" s="216"/>
      <c r="B4939" s="78"/>
      <c r="C4939" s="1161" t="s">
        <v>7256</v>
      </c>
      <c r="D4939" s="317" t="n">
        <v>2004</v>
      </c>
      <c r="E4939" s="1365" t="n">
        <v>6</v>
      </c>
      <c r="F4939" s="1365" t="n">
        <v>197664</v>
      </c>
      <c r="G4939" s="1364" t="n">
        <v>0.1</v>
      </c>
      <c r="H4939" s="1365" t="n">
        <f aca="false">E4939*F4939*G4939</f>
        <v>118598.4</v>
      </c>
      <c r="I4939" s="1365" t="n">
        <f aca="false">F4939-H4939</f>
        <v>79065.6</v>
      </c>
      <c r="J4939" s="1365" t="n">
        <f aca="false">F4939*G4939</f>
        <v>19766.4</v>
      </c>
      <c r="K4939" s="1365" t="n">
        <f aca="false">J4939/1792.8</f>
        <v>11.0254350736278</v>
      </c>
      <c r="L4939" s="1365" t="n">
        <v>20</v>
      </c>
      <c r="M4939" s="1273" t="n">
        <f aca="false">K4939*L4939/60</f>
        <v>3.67514502454262</v>
      </c>
    </row>
    <row r="4940" customFormat="false" ht="15" hidden="false" customHeight="false" outlineLevel="0" collapsed="false">
      <c r="A4940" s="216"/>
      <c r="B4940" s="78"/>
      <c r="C4940" s="1161" t="s">
        <v>7158</v>
      </c>
      <c r="D4940" s="317" t="n">
        <v>2004</v>
      </c>
      <c r="E4940" s="1365" t="n">
        <v>6</v>
      </c>
      <c r="F4940" s="1365" t="n">
        <v>6985000</v>
      </c>
      <c r="G4940" s="1364" t="n">
        <v>0.1</v>
      </c>
      <c r="H4940" s="1365" t="n">
        <f aca="false">E4940*F4940*G4940</f>
        <v>4191000</v>
      </c>
      <c r="I4940" s="1365" t="n">
        <f aca="false">F4940-H4940</f>
        <v>2794000</v>
      </c>
      <c r="J4940" s="1365" t="n">
        <f aca="false">F4940*G4940</f>
        <v>698500</v>
      </c>
      <c r="K4940" s="1365" t="n">
        <f aca="false">J4940/1792.8</f>
        <v>389.614011601963</v>
      </c>
      <c r="L4940" s="1365" t="n">
        <v>15</v>
      </c>
      <c r="M4940" s="1273" t="n">
        <f aca="false">K4940*L4940/60</f>
        <v>97.4035029004909</v>
      </c>
    </row>
    <row r="4941" customFormat="false" ht="15" hidden="false" customHeight="false" outlineLevel="0" collapsed="false">
      <c r="A4941" s="216"/>
      <c r="B4941" s="78"/>
      <c r="C4941" s="1161" t="s">
        <v>7255</v>
      </c>
      <c r="D4941" s="317" t="n">
        <v>2004</v>
      </c>
      <c r="E4941" s="1365" t="n">
        <v>6</v>
      </c>
      <c r="F4941" s="1365" t="n">
        <v>6985000</v>
      </c>
      <c r="G4941" s="1364" t="n">
        <v>0.1</v>
      </c>
      <c r="H4941" s="1365" t="n">
        <f aca="false">E4941*F4941*G4941</f>
        <v>4191000</v>
      </c>
      <c r="I4941" s="1365" t="n">
        <f aca="false">F4941-H4941</f>
        <v>2794000</v>
      </c>
      <c r="J4941" s="1365" t="n">
        <f aca="false">F4941*G4941</f>
        <v>698500</v>
      </c>
      <c r="K4941" s="1365" t="n">
        <f aca="false">J4941/1792.8</f>
        <v>389.614011601963</v>
      </c>
      <c r="L4941" s="1365" t="n">
        <v>20</v>
      </c>
      <c r="M4941" s="1273" t="n">
        <f aca="false">K4941*L4941/60</f>
        <v>129.871337200654</v>
      </c>
    </row>
    <row r="4942" customFormat="false" ht="15" hidden="false" customHeight="false" outlineLevel="0" collapsed="false">
      <c r="A4942" s="216"/>
      <c r="B4942" s="78"/>
      <c r="C4942" s="1160"/>
      <c r="D4942" s="135"/>
      <c r="E4942" s="1370"/>
      <c r="F4942" s="1370"/>
      <c r="G4942" s="1372" t="n">
        <v>0.1</v>
      </c>
      <c r="H4942" s="1365" t="n">
        <f aca="false">E4942*F4942*G4942</f>
        <v>0</v>
      </c>
      <c r="I4942" s="1365" t="n">
        <f aca="false">F4942-H4942</f>
        <v>0</v>
      </c>
      <c r="J4942" s="1365" t="n">
        <f aca="false">F4942*G4942</f>
        <v>0</v>
      </c>
      <c r="K4942" s="1365" t="n">
        <f aca="false">J4942/1792.8</f>
        <v>0</v>
      </c>
      <c r="L4942" s="1370" t="n">
        <f aca="false">SUM(L4936:L4941)</f>
        <v>835</v>
      </c>
      <c r="M4942" s="1366" t="n">
        <f aca="false">SUM(M4935:M4941)</f>
        <v>386.088316227874</v>
      </c>
    </row>
    <row r="4943" customFormat="false" ht="30" hidden="false" customHeight="false" outlineLevel="0" collapsed="false">
      <c r="A4943" s="216" t="s">
        <v>6359</v>
      </c>
      <c r="B4943" s="40" t="s">
        <v>6360</v>
      </c>
      <c r="C4943" s="1161"/>
      <c r="D4943" s="317"/>
      <c r="E4943" s="1365"/>
      <c r="F4943" s="1365"/>
      <c r="G4943" s="1364" t="n">
        <v>0.1</v>
      </c>
      <c r="H4943" s="1365" t="n">
        <f aca="false">E4943*F4943*G4943</f>
        <v>0</v>
      </c>
      <c r="I4943" s="1365" t="n">
        <f aca="false">F4943-H4943</f>
        <v>0</v>
      </c>
      <c r="J4943" s="1365" t="n">
        <f aca="false">F4943*G4943</f>
        <v>0</v>
      </c>
      <c r="K4943" s="1365" t="n">
        <f aca="false">J4943/1792.8</f>
        <v>0</v>
      </c>
      <c r="L4943" s="1365"/>
      <c r="M4943" s="1273"/>
    </row>
    <row r="4944" customFormat="false" ht="15" hidden="false" customHeight="false" outlineLevel="0" collapsed="false">
      <c r="A4944" s="216"/>
      <c r="B4944" s="40"/>
      <c r="C4944" s="1161" t="s">
        <v>7247</v>
      </c>
      <c r="D4944" s="317" t="n">
        <v>2004</v>
      </c>
      <c r="E4944" s="1365" t="n">
        <v>6</v>
      </c>
      <c r="F4944" s="1365" t="n">
        <v>202860</v>
      </c>
      <c r="G4944" s="1364" t="n">
        <v>0.1</v>
      </c>
      <c r="H4944" s="1365" t="n">
        <f aca="false">E4944*F4944*G4944</f>
        <v>121716</v>
      </c>
      <c r="I4944" s="1365" t="n">
        <f aca="false">F4944-H4944</f>
        <v>81144</v>
      </c>
      <c r="J4944" s="1365" t="n">
        <f aca="false">F4944*G4944</f>
        <v>20286</v>
      </c>
      <c r="K4944" s="1365" t="n">
        <f aca="false">J4944/1792.8</f>
        <v>11.3152610441767</v>
      </c>
      <c r="L4944" s="1365" t="n">
        <v>720</v>
      </c>
      <c r="M4944" s="1273" t="n">
        <f aca="false">K4944*L4944/60</f>
        <v>135.78313253012</v>
      </c>
    </row>
    <row r="4945" customFormat="false" ht="15" hidden="false" customHeight="false" outlineLevel="0" collapsed="false">
      <c r="A4945" s="216"/>
      <c r="B4945" s="40"/>
      <c r="C4945" s="1161" t="s">
        <v>7249</v>
      </c>
      <c r="D4945" s="317" t="n">
        <v>2006</v>
      </c>
      <c r="E4945" s="1365" t="n">
        <v>4</v>
      </c>
      <c r="F4945" s="1365" t="n">
        <v>55500</v>
      </c>
      <c r="G4945" s="1364" t="n">
        <v>0.1</v>
      </c>
      <c r="H4945" s="1365" t="n">
        <f aca="false">E4945*F4945*G4945</f>
        <v>22200</v>
      </c>
      <c r="I4945" s="1365" t="n">
        <f aca="false">F4945-H4945</f>
        <v>33300</v>
      </c>
      <c r="J4945" s="1365" t="n">
        <f aca="false">F4945*G4945</f>
        <v>5550</v>
      </c>
      <c r="K4945" s="1365" t="n">
        <f aca="false">J4945/1792.8</f>
        <v>3.09571619812584</v>
      </c>
      <c r="L4945" s="1365" t="n">
        <v>10</v>
      </c>
      <c r="M4945" s="1273" t="n">
        <f aca="false">K4945*L4945/60</f>
        <v>0.51595269968764</v>
      </c>
    </row>
    <row r="4946" customFormat="false" ht="15" hidden="false" customHeight="false" outlineLevel="0" collapsed="false">
      <c r="A4946" s="216"/>
      <c r="B4946" s="40"/>
      <c r="C4946" s="1161" t="s">
        <v>7251</v>
      </c>
      <c r="D4946" s="317" t="n">
        <v>2005</v>
      </c>
      <c r="E4946" s="1365" t="n">
        <v>5</v>
      </c>
      <c r="F4946" s="1365" t="n">
        <v>1638000</v>
      </c>
      <c r="G4946" s="1364" t="n">
        <v>0.1</v>
      </c>
      <c r="H4946" s="1365" t="n">
        <f aca="false">E4946*F4946*G4946</f>
        <v>819000</v>
      </c>
      <c r="I4946" s="1365" t="n">
        <f aca="false">F4946-H4946</f>
        <v>819000</v>
      </c>
      <c r="J4946" s="1365" t="n">
        <f aca="false">F4946*G4946</f>
        <v>163800</v>
      </c>
      <c r="K4946" s="1365" t="n">
        <f aca="false">J4946/1792.8</f>
        <v>91.3654618473896</v>
      </c>
      <c r="L4946" s="1365" t="n">
        <v>20</v>
      </c>
      <c r="M4946" s="1273" t="n">
        <f aca="false">K4946*L4946/60</f>
        <v>30.4551539491299</v>
      </c>
    </row>
    <row r="4947" customFormat="false" ht="15" hidden="false" customHeight="false" outlineLevel="0" collapsed="false">
      <c r="A4947" s="216"/>
      <c r="B4947" s="78"/>
      <c r="C4947" s="1161" t="s">
        <v>7252</v>
      </c>
      <c r="D4947" s="317" t="n">
        <v>2005</v>
      </c>
      <c r="E4947" s="1365" t="n">
        <v>5</v>
      </c>
      <c r="F4947" s="1365" t="n">
        <v>12190000</v>
      </c>
      <c r="G4947" s="1364" t="n">
        <v>0.1</v>
      </c>
      <c r="H4947" s="1365" t="n">
        <f aca="false">E4947*F4947*G4947</f>
        <v>6095000</v>
      </c>
      <c r="I4947" s="1365" t="n">
        <f aca="false">F4947-H4947</f>
        <v>6095000</v>
      </c>
      <c r="J4947" s="1365" t="n">
        <f aca="false">F4947*G4947</f>
        <v>1219000</v>
      </c>
      <c r="K4947" s="1365" t="n">
        <f aca="false">J4947/1792.8</f>
        <v>679.941990182954</v>
      </c>
      <c r="L4947" s="1365" t="n">
        <v>20</v>
      </c>
      <c r="M4947" s="1273" t="n">
        <f aca="false">K4947*L4947/60</f>
        <v>226.647330060985</v>
      </c>
    </row>
    <row r="4948" customFormat="false" ht="15" hidden="false" customHeight="false" outlineLevel="0" collapsed="false">
      <c r="A4948" s="216"/>
      <c r="B4948" s="78"/>
      <c r="C4948" s="1161" t="s">
        <v>7170</v>
      </c>
      <c r="D4948" s="317" t="n">
        <v>2004</v>
      </c>
      <c r="E4948" s="1365" t="n">
        <v>6</v>
      </c>
      <c r="F4948" s="1365" t="n">
        <v>196670</v>
      </c>
      <c r="G4948" s="1364" t="n">
        <v>0.1</v>
      </c>
      <c r="H4948" s="1365" t="n">
        <f aca="false">E4948*F4948*G4948</f>
        <v>118002</v>
      </c>
      <c r="I4948" s="1365" t="n">
        <f aca="false">F4948-H4948</f>
        <v>78668</v>
      </c>
      <c r="J4948" s="1365" t="n">
        <f aca="false">F4948*G4948</f>
        <v>19667</v>
      </c>
      <c r="K4948" s="1365" t="n">
        <f aca="false">J4948/1792.8</f>
        <v>10.9699910754128</v>
      </c>
      <c r="L4948" s="1365" t="n">
        <v>15</v>
      </c>
      <c r="M4948" s="1273" t="n">
        <f aca="false">K4948*L4948/60</f>
        <v>2.74249776885319</v>
      </c>
    </row>
    <row r="4949" customFormat="false" ht="15" hidden="false" customHeight="false" outlineLevel="0" collapsed="false">
      <c r="A4949" s="216"/>
      <c r="B4949" s="78"/>
      <c r="C4949" s="1161" t="s">
        <v>7158</v>
      </c>
      <c r="D4949" s="317" t="n">
        <v>2004</v>
      </c>
      <c r="E4949" s="1365" t="n">
        <v>6</v>
      </c>
      <c r="F4949" s="1365" t="n">
        <v>6985000</v>
      </c>
      <c r="G4949" s="1364" t="n">
        <v>0.1</v>
      </c>
      <c r="H4949" s="1365" t="n">
        <f aca="false">E4949*F4949*G4949</f>
        <v>4191000</v>
      </c>
      <c r="I4949" s="1365" t="n">
        <f aca="false">F4949-H4949</f>
        <v>2794000</v>
      </c>
      <c r="J4949" s="1365" t="n">
        <f aca="false">F4949*G4949</f>
        <v>698500</v>
      </c>
      <c r="K4949" s="1365" t="n">
        <f aca="false">J4949/1792.8</f>
        <v>389.614011601963</v>
      </c>
      <c r="L4949" s="1365" t="n">
        <v>15</v>
      </c>
      <c r="M4949" s="1273" t="n">
        <f aca="false">K4949*L4949/60</f>
        <v>97.4035029004909</v>
      </c>
    </row>
    <row r="4950" customFormat="false" ht="15" hidden="false" customHeight="false" outlineLevel="0" collapsed="false">
      <c r="A4950" s="216"/>
      <c r="B4950" s="78"/>
      <c r="C4950" s="1160"/>
      <c r="D4950" s="135"/>
      <c r="E4950" s="1370"/>
      <c r="F4950" s="1370"/>
      <c r="G4950" s="1372" t="n">
        <v>0.1</v>
      </c>
      <c r="H4950" s="1365" t="n">
        <f aca="false">E4950*F4950*G4950</f>
        <v>0</v>
      </c>
      <c r="I4950" s="1365" t="n">
        <f aca="false">F4950-H4950</f>
        <v>0</v>
      </c>
      <c r="J4950" s="1365" t="n">
        <f aca="false">F4950*G4950</f>
        <v>0</v>
      </c>
      <c r="K4950" s="1365" t="n">
        <f aca="false">J4950/1792.8</f>
        <v>0</v>
      </c>
      <c r="L4950" s="1370" t="n">
        <f aca="false">SUM(L4944:L4949)</f>
        <v>800</v>
      </c>
      <c r="M4950" s="1366" t="n">
        <f aca="false">SUM(M4943:M4949)</f>
        <v>493.547569909267</v>
      </c>
    </row>
    <row r="4951" customFormat="false" ht="15" hidden="false" customHeight="false" outlineLevel="0" collapsed="false">
      <c r="A4951" s="350" t="s">
        <v>2283</v>
      </c>
      <c r="B4951" s="509" t="s">
        <v>6367</v>
      </c>
      <c r="C4951" s="1569"/>
      <c r="D4951" s="339"/>
      <c r="E4951" s="1246"/>
      <c r="F4951" s="1246"/>
      <c r="G4951" s="1570"/>
      <c r="H4951" s="1512"/>
      <c r="I4951" s="1512"/>
      <c r="J4951" s="1512"/>
      <c r="K4951" s="1512"/>
      <c r="L4951" s="1246"/>
      <c r="M4951" s="1250"/>
    </row>
    <row r="4952" customFormat="false" ht="30" hidden="false" customHeight="false" outlineLevel="0" collapsed="false">
      <c r="A4952" s="216" t="s">
        <v>6368</v>
      </c>
      <c r="B4952" s="40" t="s">
        <v>6369</v>
      </c>
      <c r="C4952" s="1161"/>
      <c r="D4952" s="317"/>
      <c r="E4952" s="1365"/>
      <c r="F4952" s="1365"/>
      <c r="G4952" s="1364" t="n">
        <v>0.1</v>
      </c>
      <c r="H4952" s="1365" t="n">
        <f aca="false">E4952*F4952*G4952</f>
        <v>0</v>
      </c>
      <c r="I4952" s="1365" t="n">
        <f aca="false">F4952-H4952</f>
        <v>0</v>
      </c>
      <c r="J4952" s="1365" t="n">
        <f aca="false">F4952*G4952</f>
        <v>0</v>
      </c>
      <c r="K4952" s="1365" t="n">
        <f aca="false">J4952/1792.8</f>
        <v>0</v>
      </c>
      <c r="L4952" s="1365"/>
      <c r="M4952" s="1273"/>
    </row>
    <row r="4953" customFormat="false" ht="15" hidden="false" customHeight="false" outlineLevel="0" collapsed="false">
      <c r="A4953" s="216"/>
      <c r="B4953" s="40"/>
      <c r="C4953" s="1161" t="s">
        <v>7154</v>
      </c>
      <c r="D4953" s="317" t="n">
        <v>2005</v>
      </c>
      <c r="E4953" s="1365" t="n">
        <v>5</v>
      </c>
      <c r="F4953" s="1365" t="n">
        <v>347000</v>
      </c>
      <c r="G4953" s="1364" t="n">
        <v>0.1</v>
      </c>
      <c r="H4953" s="1365" t="n">
        <f aca="false">E4953*F4953*G4953</f>
        <v>173500</v>
      </c>
      <c r="I4953" s="1365" t="n">
        <f aca="false">F4953-H4953</f>
        <v>173500</v>
      </c>
      <c r="J4953" s="1365" t="n">
        <f aca="false">F4953*G4953</f>
        <v>34700</v>
      </c>
      <c r="K4953" s="1365" t="n">
        <f aca="false">J4953/1792.8</f>
        <v>19.355198572066</v>
      </c>
      <c r="L4953" s="1365" t="n">
        <v>30</v>
      </c>
      <c r="M4953" s="1273" t="n">
        <f aca="false">K4953*L4953/60</f>
        <v>9.67759928603302</v>
      </c>
    </row>
    <row r="4954" customFormat="false" ht="15" hidden="false" customHeight="false" outlineLevel="0" collapsed="false">
      <c r="A4954" s="216"/>
      <c r="B4954" s="40"/>
      <c r="C4954" s="1161" t="s">
        <v>7258</v>
      </c>
      <c r="D4954" s="317" t="n">
        <v>2005</v>
      </c>
      <c r="E4954" s="1365" t="n">
        <v>5</v>
      </c>
      <c r="F4954" s="1365" t="n">
        <v>300000</v>
      </c>
      <c r="G4954" s="1364" t="n">
        <v>0.1</v>
      </c>
      <c r="H4954" s="1365" t="n">
        <f aca="false">E4954*F4954*G4954</f>
        <v>150000</v>
      </c>
      <c r="I4954" s="1365" t="n">
        <f aca="false">F4954-H4954</f>
        <v>150000</v>
      </c>
      <c r="J4954" s="1365" t="n">
        <f aca="false">F4954*G4954</f>
        <v>30000</v>
      </c>
      <c r="K4954" s="1365" t="n">
        <f aca="false">J4954/1792.8</f>
        <v>16.7336010709505</v>
      </c>
      <c r="L4954" s="1365" t="n">
        <v>15</v>
      </c>
      <c r="M4954" s="1273" t="n">
        <f aca="false">K4954*L4954/60</f>
        <v>4.18340026773762</v>
      </c>
    </row>
    <row r="4955" customFormat="false" ht="15" hidden="false" customHeight="false" outlineLevel="0" collapsed="false">
      <c r="A4955" s="216"/>
      <c r="B4955" s="40"/>
      <c r="C4955" s="1161" t="s">
        <v>7254</v>
      </c>
      <c r="D4955" s="317" t="n">
        <v>2007</v>
      </c>
      <c r="E4955" s="1365" t="n">
        <v>3</v>
      </c>
      <c r="F4955" s="1365" t="n">
        <v>1638000</v>
      </c>
      <c r="G4955" s="1364" t="n">
        <v>0.1</v>
      </c>
      <c r="H4955" s="1365" t="n">
        <f aca="false">E4955*F4955*G4955</f>
        <v>491400</v>
      </c>
      <c r="I4955" s="1365" t="n">
        <f aca="false">F4955-H4955</f>
        <v>1146600</v>
      </c>
      <c r="J4955" s="1365" t="n">
        <f aca="false">F4955*G4955</f>
        <v>163800</v>
      </c>
      <c r="K4955" s="1365" t="n">
        <f aca="false">J4955/1792.8</f>
        <v>91.3654618473896</v>
      </c>
      <c r="L4955" s="1365"/>
      <c r="M4955" s="1273" t="n">
        <f aca="false">K4955*L4955/60</f>
        <v>0</v>
      </c>
    </row>
    <row r="4956" customFormat="false" ht="15" hidden="false" customHeight="false" outlineLevel="0" collapsed="false">
      <c r="A4956" s="216"/>
      <c r="B4956" s="40"/>
      <c r="C4956" s="1161" t="s">
        <v>7191</v>
      </c>
      <c r="D4956" s="317" t="n">
        <v>2005</v>
      </c>
      <c r="E4956" s="1365" t="n">
        <v>5</v>
      </c>
      <c r="F4956" s="1365" t="n">
        <v>347000</v>
      </c>
      <c r="G4956" s="1364" t="n">
        <v>0.1</v>
      </c>
      <c r="H4956" s="1365" t="n">
        <f aca="false">E4956*F4956*G4956</f>
        <v>173500</v>
      </c>
      <c r="I4956" s="1365" t="n">
        <f aca="false">F4956-H4956</f>
        <v>173500</v>
      </c>
      <c r="J4956" s="1365" t="n">
        <f aca="false">F4956*G4956</f>
        <v>34700</v>
      </c>
      <c r="K4956" s="1365" t="n">
        <f aca="false">J4956/1792.8</f>
        <v>19.355198572066</v>
      </c>
      <c r="L4956" s="1365" t="n">
        <v>60</v>
      </c>
      <c r="M4956" s="1273" t="n">
        <f aca="false">K4956*L4956/60</f>
        <v>19.355198572066</v>
      </c>
    </row>
    <row r="4957" customFormat="false" ht="15" hidden="false" customHeight="false" outlineLevel="0" collapsed="false">
      <c r="A4957" s="216"/>
      <c r="B4957" s="40"/>
      <c r="C4957" s="1161" t="s">
        <v>7247</v>
      </c>
      <c r="D4957" s="317" t="n">
        <v>2004</v>
      </c>
      <c r="E4957" s="1365" t="n">
        <v>6</v>
      </c>
      <c r="F4957" s="1365" t="n">
        <v>202860</v>
      </c>
      <c r="G4957" s="1364" t="n">
        <v>0.1</v>
      </c>
      <c r="H4957" s="1365" t="n">
        <f aca="false">E4957*F4957*G4957</f>
        <v>121716</v>
      </c>
      <c r="I4957" s="1365" t="n">
        <f aca="false">F4957-H4957</f>
        <v>81144</v>
      </c>
      <c r="J4957" s="1365" t="n">
        <f aca="false">F4957*G4957</f>
        <v>20286</v>
      </c>
      <c r="K4957" s="1365" t="n">
        <f aca="false">J4957/1792.8</f>
        <v>11.3152610441767</v>
      </c>
      <c r="L4957" s="1365" t="n">
        <v>720</v>
      </c>
      <c r="M4957" s="1273" t="n">
        <f aca="false">K4957*L4957/60</f>
        <v>135.78313253012</v>
      </c>
    </row>
    <row r="4958" customFormat="false" ht="15" hidden="false" customHeight="false" outlineLevel="0" collapsed="false">
      <c r="A4958" s="216"/>
      <c r="B4958" s="40"/>
      <c r="C4958" s="1161" t="s">
        <v>7158</v>
      </c>
      <c r="D4958" s="317" t="n">
        <v>2004</v>
      </c>
      <c r="E4958" s="1365" t="n">
        <v>6</v>
      </c>
      <c r="F4958" s="1365" t="n">
        <v>6985000</v>
      </c>
      <c r="G4958" s="1364" t="n">
        <v>0.1</v>
      </c>
      <c r="H4958" s="1365" t="n">
        <f aca="false">E4958*F4958*G4958</f>
        <v>4191000</v>
      </c>
      <c r="I4958" s="1365" t="n">
        <f aca="false">F4958-H4958</f>
        <v>2794000</v>
      </c>
      <c r="J4958" s="1365" t="n">
        <f aca="false">F4958*G4958</f>
        <v>698500</v>
      </c>
      <c r="K4958" s="1365" t="n">
        <f aca="false">J4958/1792.8</f>
        <v>389.614011601963</v>
      </c>
      <c r="L4958" s="1365" t="n">
        <v>20</v>
      </c>
      <c r="M4958" s="1273" t="n">
        <f aca="false">K4958*L4958/60</f>
        <v>129.871337200654</v>
      </c>
    </row>
    <row r="4959" customFormat="false" ht="15" hidden="false" customHeight="false" outlineLevel="0" collapsed="false">
      <c r="A4959" s="216"/>
      <c r="B4959" s="78"/>
      <c r="C4959" s="1161" t="s">
        <v>7259</v>
      </c>
      <c r="D4959" s="317" t="n">
        <v>2005</v>
      </c>
      <c r="E4959" s="1365" t="n">
        <v>5</v>
      </c>
      <c r="F4959" s="1365" t="n">
        <v>197664</v>
      </c>
      <c r="G4959" s="1364" t="n">
        <v>0.1</v>
      </c>
      <c r="H4959" s="1365" t="n">
        <f aca="false">E4959*F4959*G4959</f>
        <v>98832</v>
      </c>
      <c r="I4959" s="1365" t="n">
        <f aca="false">F4959-H4959</f>
        <v>98832</v>
      </c>
      <c r="J4959" s="1365" t="n">
        <f aca="false">F4959*G4959</f>
        <v>19766.4</v>
      </c>
      <c r="K4959" s="1365" t="n">
        <f aca="false">J4959/1792.8</f>
        <v>11.0254350736278</v>
      </c>
      <c r="L4959" s="1365" t="n">
        <v>180</v>
      </c>
      <c r="M4959" s="1273" t="n">
        <f aca="false">K4959*L4959/60</f>
        <v>33.0763052208835</v>
      </c>
    </row>
    <row r="4960" customFormat="false" ht="15" hidden="false" customHeight="false" outlineLevel="0" collapsed="false">
      <c r="A4960" s="216"/>
      <c r="B4960" s="78"/>
      <c r="C4960" s="1160"/>
      <c r="D4960" s="135"/>
      <c r="E4960" s="1370"/>
      <c r="F4960" s="1370"/>
      <c r="G4960" s="1372" t="n">
        <v>0.1</v>
      </c>
      <c r="H4960" s="1365" t="n">
        <f aca="false">E4960*F4960*G4960</f>
        <v>0</v>
      </c>
      <c r="I4960" s="1365" t="n">
        <f aca="false">F4960-H4960</f>
        <v>0</v>
      </c>
      <c r="J4960" s="1365" t="n">
        <f aca="false">F4960*G4960</f>
        <v>0</v>
      </c>
      <c r="K4960" s="1365" t="n">
        <f aca="false">J4960/1792.8</f>
        <v>0</v>
      </c>
      <c r="L4960" s="1370" t="n">
        <f aca="false">SUM(L4953:L4959)</f>
        <v>1025</v>
      </c>
      <c r="M4960" s="1366" t="n">
        <f aca="false">SUM(M4953:M4959)</f>
        <v>331.946973077495</v>
      </c>
    </row>
    <row r="4961" s="311" customFormat="true" ht="30" hidden="false" customHeight="false" outlineLevel="0" collapsed="false">
      <c r="A4961" s="216" t="s">
        <v>6381</v>
      </c>
      <c r="B4961" s="40" t="s">
        <v>7260</v>
      </c>
      <c r="G4961" s="311" t="n">
        <v>0.1</v>
      </c>
      <c r="H4961" s="1365" t="n">
        <f aca="false">E4961*F4961*G4961</f>
        <v>0</v>
      </c>
      <c r="I4961" s="1365" t="n">
        <f aca="false">F4961-H4961</f>
        <v>0</v>
      </c>
      <c r="J4961" s="1365" t="n">
        <f aca="false">F4961*G4961</f>
        <v>0</v>
      </c>
      <c r="K4961" s="1365" t="n">
        <f aca="false">J4961/1792.8</f>
        <v>0</v>
      </c>
    </row>
    <row r="4962" customFormat="false" ht="15" hidden="false" customHeight="false" outlineLevel="0" collapsed="false">
      <c r="A4962" s="216"/>
      <c r="B4962" s="40"/>
      <c r="C4962" s="1161" t="s">
        <v>7170</v>
      </c>
      <c r="D4962" s="317" t="n">
        <v>2006</v>
      </c>
      <c r="E4962" s="1365" t="n">
        <v>4</v>
      </c>
      <c r="F4962" s="1365" t="n">
        <v>192500</v>
      </c>
      <c r="G4962" s="1364" t="n">
        <v>0.1</v>
      </c>
      <c r="H4962" s="1365" t="n">
        <f aca="false">E4962*F4962*G4962</f>
        <v>77000</v>
      </c>
      <c r="I4962" s="1365" t="n">
        <f aca="false">F4962-H4962</f>
        <v>115500</v>
      </c>
      <c r="J4962" s="1365" t="n">
        <f aca="false">F4962*G4962</f>
        <v>19250</v>
      </c>
      <c r="K4962" s="1365" t="n">
        <f aca="false">J4962/1792.8</f>
        <v>10.7373940205266</v>
      </c>
      <c r="L4962" s="1365" t="n">
        <v>15</v>
      </c>
      <c r="M4962" s="1273" t="n">
        <f aca="false">K4962*L4962/60</f>
        <v>2.68434850513164</v>
      </c>
    </row>
    <row r="4963" customFormat="false" ht="15" hidden="false" customHeight="false" outlineLevel="0" collapsed="false">
      <c r="A4963" s="216"/>
      <c r="B4963" s="40"/>
      <c r="C4963" s="1161" t="s">
        <v>7154</v>
      </c>
      <c r="D4963" s="317" t="n">
        <v>2005</v>
      </c>
      <c r="E4963" s="1365" t="n">
        <v>5</v>
      </c>
      <c r="F4963" s="1365" t="n">
        <v>347000</v>
      </c>
      <c r="G4963" s="1364" t="n">
        <v>0.1</v>
      </c>
      <c r="H4963" s="1365" t="n">
        <f aca="false">E4963*F4963*G4963</f>
        <v>173500</v>
      </c>
      <c r="I4963" s="1365" t="n">
        <f aca="false">F4963-H4963</f>
        <v>173500</v>
      </c>
      <c r="J4963" s="1365" t="n">
        <f aca="false">F4963*G4963</f>
        <v>34700</v>
      </c>
      <c r="K4963" s="1365" t="n">
        <f aca="false">J4963/1792.8</f>
        <v>19.355198572066</v>
      </c>
      <c r="L4963" s="1365" t="n">
        <v>30</v>
      </c>
      <c r="M4963" s="1273" t="n">
        <f aca="false">K4963*L4963/60</f>
        <v>9.67759928603302</v>
      </c>
    </row>
    <row r="4964" customFormat="false" ht="15" hidden="false" customHeight="false" outlineLevel="0" collapsed="false">
      <c r="A4964" s="216"/>
      <c r="B4964" s="40"/>
      <c r="C4964" s="1161" t="s">
        <v>7191</v>
      </c>
      <c r="D4964" s="317" t="n">
        <v>2005</v>
      </c>
      <c r="E4964" s="1365" t="n">
        <v>5</v>
      </c>
      <c r="F4964" s="1365" t="n">
        <v>347000</v>
      </c>
      <c r="G4964" s="1364" t="n">
        <v>0.1</v>
      </c>
      <c r="H4964" s="1365" t="n">
        <f aca="false">E4964*F4964*G4964</f>
        <v>173500</v>
      </c>
      <c r="I4964" s="1365" t="n">
        <f aca="false">F4964-H4964</f>
        <v>173500</v>
      </c>
      <c r="J4964" s="1365" t="n">
        <f aca="false">F4964*G4964</f>
        <v>34700</v>
      </c>
      <c r="K4964" s="1365" t="n">
        <f aca="false">J4964/1792.8</f>
        <v>19.355198572066</v>
      </c>
      <c r="L4964" s="1365" t="n">
        <v>60</v>
      </c>
      <c r="M4964" s="1273" t="n">
        <f aca="false">K4964*L4964/60</f>
        <v>19.355198572066</v>
      </c>
    </row>
    <row r="4965" customFormat="false" ht="15" hidden="false" customHeight="false" outlineLevel="0" collapsed="false">
      <c r="A4965" s="216"/>
      <c r="B4965" s="40"/>
      <c r="C4965" s="1161" t="s">
        <v>7158</v>
      </c>
      <c r="D4965" s="317" t="n">
        <v>2004</v>
      </c>
      <c r="E4965" s="1365" t="n">
        <v>6</v>
      </c>
      <c r="F4965" s="1365" t="n">
        <v>6985000</v>
      </c>
      <c r="G4965" s="1364" t="n">
        <v>0.1</v>
      </c>
      <c r="H4965" s="1365" t="n">
        <f aca="false">E4965*F4965*G4965</f>
        <v>4191000</v>
      </c>
      <c r="I4965" s="1365" t="n">
        <f aca="false">F4965-H4965</f>
        <v>2794000</v>
      </c>
      <c r="J4965" s="1365" t="n">
        <f aca="false">F4965*G4965</f>
        <v>698500</v>
      </c>
      <c r="K4965" s="1365" t="n">
        <f aca="false">J4965/1792.8</f>
        <v>389.614011601963</v>
      </c>
      <c r="L4965" s="1365" t="n">
        <v>20</v>
      </c>
      <c r="M4965" s="1273" t="n">
        <f aca="false">K4965*L4965/60</f>
        <v>129.871337200654</v>
      </c>
    </row>
    <row r="4966" customFormat="false" ht="15" hidden="false" customHeight="false" outlineLevel="0" collapsed="false">
      <c r="A4966" s="216"/>
      <c r="B4966" s="78"/>
      <c r="C4966" s="1161" t="s">
        <v>7261</v>
      </c>
      <c r="D4966" s="317" t="n">
        <v>2005</v>
      </c>
      <c r="E4966" s="1365" t="n">
        <v>5</v>
      </c>
      <c r="F4966" s="1365" t="n">
        <v>67600</v>
      </c>
      <c r="G4966" s="1364" t="n">
        <v>0.1</v>
      </c>
      <c r="H4966" s="1365" t="n">
        <f aca="false">E4966*F4966*G4966</f>
        <v>33800</v>
      </c>
      <c r="I4966" s="1365" t="n">
        <f aca="false">F4966-H4966</f>
        <v>33800</v>
      </c>
      <c r="J4966" s="1365" t="n">
        <f aca="false">F4966*G4966</f>
        <v>6760</v>
      </c>
      <c r="K4966" s="1365" t="n">
        <f aca="false">J4966/1792.8</f>
        <v>3.77063810798751</v>
      </c>
      <c r="L4966" s="1365" t="n">
        <v>1440</v>
      </c>
      <c r="M4966" s="1273" t="n">
        <f aca="false">K4966*L4966/60</f>
        <v>90.4953145917001</v>
      </c>
    </row>
    <row r="4967" customFormat="false" ht="15" hidden="false" customHeight="false" outlineLevel="0" collapsed="false">
      <c r="A4967" s="216"/>
      <c r="B4967" s="78"/>
      <c r="C4967" s="1160"/>
      <c r="D4967" s="135"/>
      <c r="E4967" s="1370"/>
      <c r="F4967" s="1370"/>
      <c r="G4967" s="1372" t="n">
        <v>0.1</v>
      </c>
      <c r="H4967" s="1365" t="n">
        <f aca="false">E4967*F4967*G4967</f>
        <v>0</v>
      </c>
      <c r="I4967" s="1365" t="n">
        <f aca="false">F4967-H4967</f>
        <v>0</v>
      </c>
      <c r="J4967" s="1365" t="n">
        <f aca="false">F4967*G4967</f>
        <v>0</v>
      </c>
      <c r="K4967" s="1365" t="n">
        <f aca="false">J4967/1792.8</f>
        <v>0</v>
      </c>
      <c r="L4967" s="1370" t="n">
        <f aca="false">SUM(L4962:L4966)</f>
        <v>1565</v>
      </c>
      <c r="M4967" s="1366" t="n">
        <f aca="false">SUM(M4962:M4966)</f>
        <v>252.083798155585</v>
      </c>
    </row>
    <row r="4968" s="311" customFormat="true" ht="28.5" hidden="false" customHeight="true" outlineLevel="0" collapsed="false">
      <c r="A4968" s="216" t="s">
        <v>6386</v>
      </c>
      <c r="B4968" s="972" t="s">
        <v>3878</v>
      </c>
      <c r="G4968" s="311" t="n">
        <v>0.1</v>
      </c>
      <c r="H4968" s="1365" t="n">
        <f aca="false">E4968*F4968*G4968</f>
        <v>0</v>
      </c>
      <c r="I4968" s="1365" t="n">
        <f aca="false">F4968-H4968</f>
        <v>0</v>
      </c>
      <c r="J4968" s="1365" t="n">
        <f aca="false">F4968*G4968</f>
        <v>0</v>
      </c>
      <c r="K4968" s="1365" t="n">
        <f aca="false">J4968/1792.8</f>
        <v>0</v>
      </c>
    </row>
    <row r="4969" customFormat="false" ht="15" hidden="false" customHeight="false" outlineLevel="0" collapsed="false">
      <c r="A4969" s="216"/>
      <c r="B4969" s="78"/>
      <c r="C4969" s="1161" t="s">
        <v>7170</v>
      </c>
      <c r="D4969" s="317" t="n">
        <v>2006</v>
      </c>
      <c r="E4969" s="1365" t="n">
        <v>4</v>
      </c>
      <c r="F4969" s="1365" t="n">
        <v>192500</v>
      </c>
      <c r="G4969" s="1364" t="n">
        <v>0.1</v>
      </c>
      <c r="H4969" s="1365" t="n">
        <f aca="false">E4969*F4969*G4969</f>
        <v>77000</v>
      </c>
      <c r="I4969" s="1365" t="n">
        <f aca="false">F4969-H4969</f>
        <v>115500</v>
      </c>
      <c r="J4969" s="1365" t="n">
        <f aca="false">F4969*G4969</f>
        <v>19250</v>
      </c>
      <c r="K4969" s="1365" t="n">
        <f aca="false">J4969/1792.8</f>
        <v>10.7373940205266</v>
      </c>
      <c r="L4969" s="1365" t="n">
        <v>15</v>
      </c>
      <c r="M4969" s="1273" t="n">
        <f aca="false">K4969*L4969/60</f>
        <v>2.68434850513164</v>
      </c>
    </row>
    <row r="4970" customFormat="false" ht="15" hidden="false" customHeight="false" outlineLevel="0" collapsed="false">
      <c r="A4970" s="216"/>
      <c r="B4970" s="78"/>
      <c r="C4970" s="1161" t="s">
        <v>7154</v>
      </c>
      <c r="D4970" s="317" t="n">
        <v>2005</v>
      </c>
      <c r="E4970" s="1365" t="n">
        <v>5</v>
      </c>
      <c r="F4970" s="1365" t="n">
        <v>347000</v>
      </c>
      <c r="G4970" s="1364" t="n">
        <v>0.1</v>
      </c>
      <c r="H4970" s="1365" t="n">
        <f aca="false">E4970*F4970*G4970</f>
        <v>173500</v>
      </c>
      <c r="I4970" s="1365" t="n">
        <f aca="false">F4970-H4970</f>
        <v>173500</v>
      </c>
      <c r="J4970" s="1365" t="n">
        <f aca="false">F4970*G4970</f>
        <v>34700</v>
      </c>
      <c r="K4970" s="1365" t="n">
        <f aca="false">J4970/1792.8</f>
        <v>19.355198572066</v>
      </c>
      <c r="L4970" s="1365" t="n">
        <v>10</v>
      </c>
      <c r="M4970" s="1273" t="n">
        <f aca="false">K4970*L4970/60</f>
        <v>3.22586642867767</v>
      </c>
    </row>
    <row r="4971" customFormat="false" ht="15" hidden="false" customHeight="false" outlineLevel="0" collapsed="false">
      <c r="A4971" s="216"/>
      <c r="B4971" s="78"/>
      <c r="C4971" s="1161" t="s">
        <v>7191</v>
      </c>
      <c r="D4971" s="317" t="n">
        <v>2005</v>
      </c>
      <c r="E4971" s="1365" t="n">
        <v>5</v>
      </c>
      <c r="F4971" s="1365" t="n">
        <v>347000</v>
      </c>
      <c r="G4971" s="1364" t="n">
        <v>0.1</v>
      </c>
      <c r="H4971" s="1365" t="n">
        <f aca="false">E4971*F4971*G4971</f>
        <v>173500</v>
      </c>
      <c r="I4971" s="1365" t="n">
        <f aca="false">F4971-H4971</f>
        <v>173500</v>
      </c>
      <c r="J4971" s="1365" t="n">
        <f aca="false">F4971*G4971</f>
        <v>34700</v>
      </c>
      <c r="K4971" s="1365" t="n">
        <f aca="false">J4971/1792.8</f>
        <v>19.355198572066</v>
      </c>
      <c r="L4971" s="1365" t="n">
        <v>10</v>
      </c>
      <c r="M4971" s="1273" t="n">
        <f aca="false">K4971*L4971/60</f>
        <v>3.22586642867767</v>
      </c>
    </row>
    <row r="4972" customFormat="false" ht="15" hidden="false" customHeight="false" outlineLevel="0" collapsed="false">
      <c r="A4972" s="216"/>
      <c r="B4972" s="78"/>
      <c r="C4972" s="1161" t="s">
        <v>7158</v>
      </c>
      <c r="D4972" s="317" t="n">
        <v>2004</v>
      </c>
      <c r="E4972" s="1365" t="n">
        <v>6</v>
      </c>
      <c r="F4972" s="1365" t="n">
        <v>6985000</v>
      </c>
      <c r="G4972" s="1364" t="n">
        <v>0.1</v>
      </c>
      <c r="H4972" s="1365" t="n">
        <f aca="false">E4972*F4972*G4972</f>
        <v>4191000</v>
      </c>
      <c r="I4972" s="1365" t="n">
        <f aca="false">F4972-H4972</f>
        <v>2794000</v>
      </c>
      <c r="J4972" s="1365" t="n">
        <f aca="false">F4972*G4972</f>
        <v>698500</v>
      </c>
      <c r="K4972" s="1365" t="n">
        <f aca="false">J4972/1792.8</f>
        <v>389.614011601963</v>
      </c>
      <c r="L4972" s="1365" t="n">
        <v>10</v>
      </c>
      <c r="M4972" s="1273" t="n">
        <f aca="false">K4972*L4972/60</f>
        <v>64.9356686003272</v>
      </c>
    </row>
    <row r="4973" customFormat="false" ht="15" hidden="false" customHeight="false" outlineLevel="0" collapsed="false">
      <c r="A4973" s="216"/>
      <c r="B4973" s="78"/>
      <c r="C4973" s="1161" t="s">
        <v>7261</v>
      </c>
      <c r="D4973" s="317" t="n">
        <v>2005</v>
      </c>
      <c r="E4973" s="1365" t="n">
        <v>5</v>
      </c>
      <c r="F4973" s="1365" t="n">
        <v>67600</v>
      </c>
      <c r="G4973" s="1364" t="n">
        <v>0.1</v>
      </c>
      <c r="H4973" s="1365" t="n">
        <f aca="false">E4973*F4973*G4973</f>
        <v>33800</v>
      </c>
      <c r="I4973" s="1365" t="n">
        <f aca="false">F4973-H4973</f>
        <v>33800</v>
      </c>
      <c r="J4973" s="1365" t="n">
        <f aca="false">F4973*G4973</f>
        <v>6760</v>
      </c>
      <c r="K4973" s="1365" t="n">
        <f aca="false">J4973/1792.8</f>
        <v>3.77063810798751</v>
      </c>
      <c r="L4973" s="1365" t="n">
        <v>60</v>
      </c>
      <c r="M4973" s="1273" t="n">
        <f aca="false">K4973*L4973/60</f>
        <v>3.77063810798751</v>
      </c>
    </row>
    <row r="4974" customFormat="false" ht="15" hidden="false" customHeight="false" outlineLevel="0" collapsed="false">
      <c r="A4974" s="216"/>
      <c r="B4974" s="78"/>
      <c r="C4974" s="1160"/>
      <c r="D4974" s="135"/>
      <c r="E4974" s="1370"/>
      <c r="F4974" s="1370"/>
      <c r="G4974" s="1372" t="n">
        <v>0.1</v>
      </c>
      <c r="H4974" s="1365" t="n">
        <f aca="false">E4974*F4974*G4974</f>
        <v>0</v>
      </c>
      <c r="I4974" s="1365" t="n">
        <f aca="false">F4974-H4974</f>
        <v>0</v>
      </c>
      <c r="J4974" s="1365" t="n">
        <f aca="false">F4974*G4974</f>
        <v>0</v>
      </c>
      <c r="K4974" s="1365" t="n">
        <f aca="false">J4974/1792.8</f>
        <v>0</v>
      </c>
      <c r="L4974" s="1370" t="n">
        <f aca="false">SUM(L4969:L4973)</f>
        <v>105</v>
      </c>
      <c r="M4974" s="1366" t="n">
        <f aca="false">SUM(M4969:M4973)</f>
        <v>77.8423880708017</v>
      </c>
    </row>
    <row r="4975" customFormat="false" ht="15" hidden="false" customHeight="false" outlineLevel="0" collapsed="false">
      <c r="A4975" s="216"/>
      <c r="B4975" s="78"/>
      <c r="C4975" s="1160"/>
      <c r="D4975" s="135"/>
      <c r="E4975" s="1370"/>
      <c r="F4975" s="1370"/>
      <c r="G4975" s="1372" t="n">
        <v>0.1</v>
      </c>
      <c r="H4975" s="1365" t="n">
        <f aca="false">E4975*F4975*G4975</f>
        <v>0</v>
      </c>
      <c r="I4975" s="1365" t="n">
        <f aca="false">F4975-H4975</f>
        <v>0</v>
      </c>
      <c r="J4975" s="1365" t="n">
        <f aca="false">F4975*G4975</f>
        <v>0</v>
      </c>
      <c r="K4975" s="1365" t="n">
        <f aca="false">J4975/1792.8</f>
        <v>0</v>
      </c>
      <c r="L4975" s="1370"/>
      <c r="M4975" s="1366"/>
    </row>
    <row r="4976" s="311" customFormat="true" ht="38.25" hidden="false" customHeight="true" outlineLevel="0" collapsed="false">
      <c r="A4976" s="216" t="s">
        <v>6388</v>
      </c>
      <c r="B4976" s="78" t="s">
        <v>3879</v>
      </c>
      <c r="G4976" s="311" t="n">
        <v>0.1</v>
      </c>
      <c r="H4976" s="1365" t="n">
        <f aca="false">E4976*F4976*G4976</f>
        <v>0</v>
      </c>
      <c r="I4976" s="1365" t="n">
        <f aca="false">F4976-H4976</f>
        <v>0</v>
      </c>
      <c r="J4976" s="1365" t="n">
        <f aca="false">F4976*G4976</f>
        <v>0</v>
      </c>
      <c r="K4976" s="1365" t="n">
        <f aca="false">J4976/1792.8</f>
        <v>0</v>
      </c>
    </row>
    <row r="4977" customFormat="false" ht="15" hidden="false" customHeight="false" outlineLevel="0" collapsed="false">
      <c r="A4977" s="216"/>
      <c r="B4977" s="78"/>
      <c r="C4977" s="1161" t="s">
        <v>7170</v>
      </c>
      <c r="D4977" s="317" t="n">
        <v>2006</v>
      </c>
      <c r="E4977" s="1365" t="n">
        <v>4</v>
      </c>
      <c r="F4977" s="1365" t="n">
        <v>192500</v>
      </c>
      <c r="G4977" s="1364" t="n">
        <v>0.1</v>
      </c>
      <c r="H4977" s="1365" t="n">
        <f aca="false">E4977*F4977*G4977</f>
        <v>77000</v>
      </c>
      <c r="I4977" s="1365" t="n">
        <f aca="false">F4977-H4977</f>
        <v>115500</v>
      </c>
      <c r="J4977" s="1365" t="n">
        <f aca="false">F4977*G4977</f>
        <v>19250</v>
      </c>
      <c r="K4977" s="1365" t="n">
        <f aca="false">J4977/1792.8</f>
        <v>10.7373940205266</v>
      </c>
      <c r="L4977" s="1365" t="n">
        <v>15</v>
      </c>
      <c r="M4977" s="1273" t="n">
        <f aca="false">K4977*L4977/60</f>
        <v>2.68434850513164</v>
      </c>
    </row>
    <row r="4978" customFormat="false" ht="15" hidden="false" customHeight="false" outlineLevel="0" collapsed="false">
      <c r="A4978" s="216"/>
      <c r="B4978" s="78"/>
      <c r="C4978" s="1161" t="s">
        <v>7154</v>
      </c>
      <c r="D4978" s="317" t="n">
        <v>2005</v>
      </c>
      <c r="E4978" s="1365" t="n">
        <v>5</v>
      </c>
      <c r="F4978" s="1365" t="n">
        <v>347000</v>
      </c>
      <c r="G4978" s="1364" t="n">
        <v>0.1</v>
      </c>
      <c r="H4978" s="1365" t="n">
        <f aca="false">E4978*F4978*G4978</f>
        <v>173500</v>
      </c>
      <c r="I4978" s="1365" t="n">
        <f aca="false">F4978-H4978</f>
        <v>173500</v>
      </c>
      <c r="J4978" s="1365" t="n">
        <f aca="false">F4978*G4978</f>
        <v>34700</v>
      </c>
      <c r="K4978" s="1365" t="n">
        <f aca="false">J4978/1792.8</f>
        <v>19.355198572066</v>
      </c>
      <c r="L4978" s="1365" t="n">
        <v>30</v>
      </c>
      <c r="M4978" s="1273" t="n">
        <f aca="false">K4978*L4978/60</f>
        <v>9.67759928603302</v>
      </c>
    </row>
    <row r="4979" customFormat="false" ht="15" hidden="false" customHeight="false" outlineLevel="0" collapsed="false">
      <c r="A4979" s="216"/>
      <c r="B4979" s="78"/>
      <c r="C4979" s="1161" t="s">
        <v>7191</v>
      </c>
      <c r="D4979" s="317" t="n">
        <v>2005</v>
      </c>
      <c r="E4979" s="1365" t="n">
        <v>5</v>
      </c>
      <c r="F4979" s="1365" t="n">
        <v>347000</v>
      </c>
      <c r="G4979" s="1364" t="n">
        <v>0.1</v>
      </c>
      <c r="H4979" s="1365" t="n">
        <f aca="false">E4979*F4979*G4979</f>
        <v>173500</v>
      </c>
      <c r="I4979" s="1365" t="n">
        <f aca="false">F4979-H4979</f>
        <v>173500</v>
      </c>
      <c r="J4979" s="1365" t="n">
        <f aca="false">F4979*G4979</f>
        <v>34700</v>
      </c>
      <c r="K4979" s="1365" t="n">
        <f aca="false">J4979/1792.8</f>
        <v>19.355198572066</v>
      </c>
      <c r="L4979" s="1365" t="n">
        <v>60</v>
      </c>
      <c r="M4979" s="1273" t="n">
        <f aca="false">K4979*L4979/60</f>
        <v>19.355198572066</v>
      </c>
    </row>
    <row r="4980" customFormat="false" ht="15" hidden="false" customHeight="false" outlineLevel="0" collapsed="false">
      <c r="A4980" s="216"/>
      <c r="B4980" s="78"/>
      <c r="C4980" s="1161" t="s">
        <v>7158</v>
      </c>
      <c r="D4980" s="317" t="n">
        <v>2004</v>
      </c>
      <c r="E4980" s="1365" t="n">
        <v>6</v>
      </c>
      <c r="F4980" s="1365" t="n">
        <v>6985000</v>
      </c>
      <c r="G4980" s="1364" t="n">
        <v>0.1</v>
      </c>
      <c r="H4980" s="1365" t="n">
        <f aca="false">E4980*F4980*G4980</f>
        <v>4191000</v>
      </c>
      <c r="I4980" s="1365" t="n">
        <f aca="false">F4980-H4980</f>
        <v>2794000</v>
      </c>
      <c r="J4980" s="1365" t="n">
        <f aca="false">F4980*G4980</f>
        <v>698500</v>
      </c>
      <c r="K4980" s="1365" t="n">
        <f aca="false">J4980/1792.8</f>
        <v>389.614011601963</v>
      </c>
      <c r="L4980" s="1365" t="n">
        <v>20</v>
      </c>
      <c r="M4980" s="1273" t="n">
        <f aca="false">K4980*L4980/60</f>
        <v>129.871337200654</v>
      </c>
    </row>
    <row r="4981" customFormat="false" ht="15" hidden="false" customHeight="false" outlineLevel="0" collapsed="false">
      <c r="A4981" s="216"/>
      <c r="B4981" s="78"/>
      <c r="C4981" s="1161" t="s">
        <v>7261</v>
      </c>
      <c r="D4981" s="317" t="n">
        <v>2005</v>
      </c>
      <c r="E4981" s="1365" t="n">
        <v>5</v>
      </c>
      <c r="F4981" s="1365" t="n">
        <v>67600</v>
      </c>
      <c r="G4981" s="1364" t="n">
        <v>0.1</v>
      </c>
      <c r="H4981" s="1365" t="n">
        <f aca="false">E4981*F4981*G4981</f>
        <v>33800</v>
      </c>
      <c r="I4981" s="1365" t="n">
        <f aca="false">F4981-H4981</f>
        <v>33800</v>
      </c>
      <c r="J4981" s="1365" t="n">
        <f aca="false">F4981*G4981</f>
        <v>6760</v>
      </c>
      <c r="K4981" s="1365" t="n">
        <f aca="false">J4981/1792.8</f>
        <v>3.77063810798751</v>
      </c>
      <c r="L4981" s="1365" t="n">
        <v>1440</v>
      </c>
      <c r="M4981" s="1273" t="n">
        <f aca="false">K4981*L4981/60</f>
        <v>90.4953145917001</v>
      </c>
    </row>
    <row r="4982" customFormat="false" ht="15" hidden="false" customHeight="false" outlineLevel="0" collapsed="false">
      <c r="A4982" s="216"/>
      <c r="B4982" s="78"/>
      <c r="C4982" s="1160"/>
      <c r="D4982" s="135"/>
      <c r="E4982" s="1370"/>
      <c r="F4982" s="1370"/>
      <c r="G4982" s="1372" t="n">
        <v>0.1</v>
      </c>
      <c r="H4982" s="1365" t="n">
        <f aca="false">E4982*F4982*G4982</f>
        <v>0</v>
      </c>
      <c r="I4982" s="1365" t="n">
        <f aca="false">F4982-H4982</f>
        <v>0</v>
      </c>
      <c r="J4982" s="1365" t="n">
        <f aca="false">F4982*G4982</f>
        <v>0</v>
      </c>
      <c r="K4982" s="1365" t="n">
        <f aca="false">J4982/1792.8</f>
        <v>0</v>
      </c>
      <c r="L4982" s="1370" t="n">
        <f aca="false">SUM(L4977:L4981)</f>
        <v>1565</v>
      </c>
      <c r="M4982" s="1366" t="n">
        <f aca="false">SUM(M4977:M4981)</f>
        <v>252.083798155585</v>
      </c>
    </row>
    <row r="4983" customFormat="false" ht="30" hidden="false" customHeight="false" outlineLevel="0" collapsed="false">
      <c r="A4983" s="216" t="s">
        <v>6391</v>
      </c>
      <c r="B4983" s="40" t="s">
        <v>6401</v>
      </c>
      <c r="C4983" s="1161"/>
      <c r="D4983" s="317"/>
      <c r="E4983" s="1365"/>
      <c r="F4983" s="1365"/>
      <c r="G4983" s="1364" t="n">
        <v>0.1</v>
      </c>
      <c r="H4983" s="1365" t="n">
        <f aca="false">E4983*F4983*G4983</f>
        <v>0</v>
      </c>
      <c r="I4983" s="1365" t="n">
        <f aca="false">F4983-H4983</f>
        <v>0</v>
      </c>
      <c r="J4983" s="1365" t="n">
        <f aca="false">F4983*G4983</f>
        <v>0</v>
      </c>
      <c r="K4983" s="1365" t="n">
        <f aca="false">J4983/1792.8</f>
        <v>0</v>
      </c>
      <c r="L4983" s="1365"/>
      <c r="M4983" s="1273"/>
    </row>
    <row r="4984" customFormat="false" ht="15" hidden="false" customHeight="false" outlineLevel="0" collapsed="false">
      <c r="A4984" s="216"/>
      <c r="B4984" s="78"/>
      <c r="C4984" s="1161" t="s">
        <v>7170</v>
      </c>
      <c r="D4984" s="317" t="n">
        <v>2006</v>
      </c>
      <c r="E4984" s="1365" t="n">
        <v>4</v>
      </c>
      <c r="F4984" s="1365" t="n">
        <v>192500</v>
      </c>
      <c r="G4984" s="1364" t="n">
        <v>0.1</v>
      </c>
      <c r="H4984" s="1365" t="n">
        <f aca="false">E4984*F4984*G4984</f>
        <v>77000</v>
      </c>
      <c r="I4984" s="1365" t="n">
        <f aca="false">F4984-H4984</f>
        <v>115500</v>
      </c>
      <c r="J4984" s="1365" t="n">
        <f aca="false">F4984*G4984</f>
        <v>19250</v>
      </c>
      <c r="K4984" s="1365" t="n">
        <f aca="false">J4984/1792.8</f>
        <v>10.7373940205266</v>
      </c>
      <c r="L4984" s="1365" t="n">
        <v>15</v>
      </c>
      <c r="M4984" s="1273" t="n">
        <f aca="false">K4984*L4984/60</f>
        <v>2.68434850513164</v>
      </c>
    </row>
    <row r="4985" customFormat="false" ht="15" hidden="false" customHeight="false" outlineLevel="0" collapsed="false">
      <c r="A4985" s="216"/>
      <c r="B4985" s="78"/>
      <c r="C4985" s="1161" t="s">
        <v>7261</v>
      </c>
      <c r="D4985" s="317" t="n">
        <v>2005</v>
      </c>
      <c r="E4985" s="1365" t="n">
        <v>5</v>
      </c>
      <c r="F4985" s="1365" t="n">
        <v>67600</v>
      </c>
      <c r="G4985" s="1364" t="n">
        <v>0.1</v>
      </c>
      <c r="H4985" s="1365" t="n">
        <f aca="false">E4985*F4985*G4985</f>
        <v>33800</v>
      </c>
      <c r="I4985" s="1365" t="n">
        <f aca="false">F4985-H4985</f>
        <v>33800</v>
      </c>
      <c r="J4985" s="1365" t="n">
        <f aca="false">F4985*G4985</f>
        <v>6760</v>
      </c>
      <c r="K4985" s="1365" t="n">
        <f aca="false">J4985/1792.8</f>
        <v>3.77063810798751</v>
      </c>
      <c r="L4985" s="1365" t="n">
        <v>1440</v>
      </c>
      <c r="M4985" s="1273" t="n">
        <f aca="false">K4985*L4985/60</f>
        <v>90.4953145917001</v>
      </c>
    </row>
    <row r="4986" customFormat="false" ht="15" hidden="false" customHeight="false" outlineLevel="0" collapsed="false">
      <c r="A4986" s="216"/>
      <c r="B4986" s="78"/>
      <c r="C4986" s="1161" t="s">
        <v>7154</v>
      </c>
      <c r="D4986" s="317" t="n">
        <v>2005</v>
      </c>
      <c r="E4986" s="1365" t="n">
        <v>5</v>
      </c>
      <c r="F4986" s="1365" t="n">
        <v>347000</v>
      </c>
      <c r="G4986" s="1364" t="n">
        <v>0.1</v>
      </c>
      <c r="H4986" s="1365" t="n">
        <f aca="false">E4986*F4986*G4986</f>
        <v>173500</v>
      </c>
      <c r="I4986" s="1365" t="n">
        <f aca="false">F4986-H4986</f>
        <v>173500</v>
      </c>
      <c r="J4986" s="1365" t="n">
        <f aca="false">F4986*G4986</f>
        <v>34700</v>
      </c>
      <c r="K4986" s="1365" t="n">
        <f aca="false">J4986/1792.8</f>
        <v>19.355198572066</v>
      </c>
      <c r="L4986" s="1365" t="n">
        <v>30</v>
      </c>
      <c r="M4986" s="1273" t="n">
        <f aca="false">K4986*L4986/60</f>
        <v>9.67759928603302</v>
      </c>
    </row>
    <row r="4987" customFormat="false" ht="15" hidden="false" customHeight="false" outlineLevel="0" collapsed="false">
      <c r="A4987" s="216"/>
      <c r="B4987" s="78"/>
      <c r="C4987" s="1161" t="s">
        <v>7191</v>
      </c>
      <c r="D4987" s="317" t="n">
        <v>2005</v>
      </c>
      <c r="E4987" s="1365" t="n">
        <v>5</v>
      </c>
      <c r="F4987" s="1365" t="n">
        <v>347000</v>
      </c>
      <c r="G4987" s="1364" t="n">
        <v>0.1</v>
      </c>
      <c r="H4987" s="1365" t="n">
        <f aca="false">E4987*F4987*G4987</f>
        <v>173500</v>
      </c>
      <c r="I4987" s="1365" t="n">
        <f aca="false">F4987-H4987</f>
        <v>173500</v>
      </c>
      <c r="J4987" s="1365" t="n">
        <f aca="false">F4987*G4987</f>
        <v>34700</v>
      </c>
      <c r="K4987" s="1365" t="n">
        <f aca="false">J4987/1792.8</f>
        <v>19.355198572066</v>
      </c>
      <c r="L4987" s="1365" t="n">
        <v>60</v>
      </c>
      <c r="M4987" s="1273" t="n">
        <f aca="false">K4987*L4987/60</f>
        <v>19.355198572066</v>
      </c>
    </row>
    <row r="4988" customFormat="false" ht="15" hidden="false" customHeight="false" outlineLevel="0" collapsed="false">
      <c r="A4988" s="216"/>
      <c r="B4988" s="78"/>
      <c r="C4988" s="1161" t="s">
        <v>7158</v>
      </c>
      <c r="D4988" s="317" t="n">
        <v>2004</v>
      </c>
      <c r="E4988" s="1365" t="n">
        <v>6</v>
      </c>
      <c r="F4988" s="1365" t="n">
        <v>6985000</v>
      </c>
      <c r="G4988" s="1364" t="n">
        <v>0.1</v>
      </c>
      <c r="H4988" s="1365" t="n">
        <f aca="false">E4988*F4988*G4988</f>
        <v>4191000</v>
      </c>
      <c r="I4988" s="1365" t="n">
        <f aca="false">F4988-H4988</f>
        <v>2794000</v>
      </c>
      <c r="J4988" s="1365" t="n">
        <f aca="false">F4988*G4988</f>
        <v>698500</v>
      </c>
      <c r="K4988" s="1365" t="n">
        <f aca="false">J4988/1792.8</f>
        <v>389.614011601963</v>
      </c>
      <c r="L4988" s="1365" t="n">
        <v>20</v>
      </c>
      <c r="M4988" s="1273" t="n">
        <f aca="false">K4988*L4988/60</f>
        <v>129.871337200654</v>
      </c>
    </row>
    <row r="4989" customFormat="false" ht="15" hidden="false" customHeight="false" outlineLevel="0" collapsed="false">
      <c r="A4989" s="216"/>
      <c r="B4989" s="78"/>
      <c r="C4989" s="1160"/>
      <c r="D4989" s="1571"/>
      <c r="E4989" s="1370"/>
      <c r="F4989" s="1370"/>
      <c r="G4989" s="1372" t="n">
        <v>0.1</v>
      </c>
      <c r="H4989" s="1365" t="n">
        <f aca="false">E4989*F4989*G4989</f>
        <v>0</v>
      </c>
      <c r="I4989" s="1365" t="n">
        <f aca="false">F4989-H4989</f>
        <v>0</v>
      </c>
      <c r="J4989" s="1365" t="n">
        <f aca="false">F4989*G4989</f>
        <v>0</v>
      </c>
      <c r="K4989" s="1365" t="n">
        <f aca="false">J4989/1792.8</f>
        <v>0</v>
      </c>
      <c r="L4989" s="1370" t="n">
        <f aca="false">SUM(L4984:L4988)</f>
        <v>1565</v>
      </c>
      <c r="M4989" s="1366" t="n">
        <f aca="false">SUM(M4983:M4988)</f>
        <v>252.083798155585</v>
      </c>
    </row>
    <row r="4990" customFormat="false" ht="30" hidden="false" customHeight="false" outlineLevel="0" collapsed="false">
      <c r="A4990" s="216" t="s">
        <v>6395</v>
      </c>
      <c r="B4990" s="40" t="s">
        <v>6392</v>
      </c>
      <c r="C4990" s="1161"/>
      <c r="D4990" s="317"/>
      <c r="E4990" s="1365"/>
      <c r="F4990" s="1365"/>
      <c r="G4990" s="1364" t="n">
        <v>0.1</v>
      </c>
      <c r="H4990" s="1365" t="n">
        <f aca="false">E4990*F4990*G4990</f>
        <v>0</v>
      </c>
      <c r="I4990" s="1365" t="n">
        <f aca="false">F4990-H4990</f>
        <v>0</v>
      </c>
      <c r="J4990" s="1365" t="n">
        <f aca="false">F4990*G4990</f>
        <v>0</v>
      </c>
      <c r="K4990" s="1365" t="n">
        <f aca="false">J4990/1792.8</f>
        <v>0</v>
      </c>
      <c r="L4990" s="1365"/>
      <c r="M4990" s="1273"/>
    </row>
    <row r="4991" customFormat="false" ht="15" hidden="false" customHeight="false" outlineLevel="0" collapsed="false">
      <c r="A4991" s="216"/>
      <c r="B4991" s="40"/>
      <c r="C4991" s="1161" t="s">
        <v>7247</v>
      </c>
      <c r="D4991" s="317" t="n">
        <v>2004</v>
      </c>
      <c r="E4991" s="1365" t="n">
        <v>6</v>
      </c>
      <c r="F4991" s="1365" t="n">
        <v>202860</v>
      </c>
      <c r="G4991" s="1364" t="n">
        <v>0.1</v>
      </c>
      <c r="H4991" s="1365" t="n">
        <f aca="false">E4991*F4991*G4991</f>
        <v>121716</v>
      </c>
      <c r="I4991" s="1365" t="n">
        <f aca="false">F4991-H4991</f>
        <v>81144</v>
      </c>
      <c r="J4991" s="1365" t="n">
        <f aca="false">F4991*G4991</f>
        <v>20286</v>
      </c>
      <c r="K4991" s="1365" t="n">
        <f aca="false">J4991/1792.8</f>
        <v>11.3152610441767</v>
      </c>
      <c r="L4991" s="1365" t="n">
        <v>180</v>
      </c>
      <c r="M4991" s="1273" t="n">
        <f aca="false">K4991*L4991/60</f>
        <v>33.9457831325301</v>
      </c>
    </row>
    <row r="4992" customFormat="false" ht="15" hidden="false" customHeight="false" outlineLevel="0" collapsed="false">
      <c r="A4992" s="216"/>
      <c r="B4992" s="40"/>
      <c r="C4992" s="1161" t="s">
        <v>7249</v>
      </c>
      <c r="D4992" s="317" t="n">
        <v>2006</v>
      </c>
      <c r="E4992" s="1365" t="n">
        <v>4</v>
      </c>
      <c r="F4992" s="1365" t="n">
        <v>55500</v>
      </c>
      <c r="G4992" s="1364" t="n">
        <v>0.1</v>
      </c>
      <c r="H4992" s="1365" t="n">
        <f aca="false">E4992*F4992*G4992</f>
        <v>22200</v>
      </c>
      <c r="I4992" s="1365" t="n">
        <f aca="false">F4992-H4992</f>
        <v>33300</v>
      </c>
      <c r="J4992" s="1365" t="n">
        <f aca="false">F4992*G4992</f>
        <v>5550</v>
      </c>
      <c r="K4992" s="1365" t="n">
        <f aca="false">J4992/1792.8</f>
        <v>3.09571619812584</v>
      </c>
      <c r="L4992" s="1365" t="n">
        <v>10</v>
      </c>
      <c r="M4992" s="1273" t="n">
        <f aca="false">K4992*L4992/60</f>
        <v>0.51595269968764</v>
      </c>
    </row>
    <row r="4993" customFormat="false" ht="15" hidden="false" customHeight="false" outlineLevel="0" collapsed="false">
      <c r="A4993" s="216"/>
      <c r="B4993" s="40"/>
      <c r="C4993" s="1161" t="s">
        <v>7251</v>
      </c>
      <c r="D4993" s="317" t="n">
        <v>2005</v>
      </c>
      <c r="E4993" s="1365" t="n">
        <v>5</v>
      </c>
      <c r="F4993" s="1365" t="n">
        <v>1638000</v>
      </c>
      <c r="G4993" s="1364" t="n">
        <v>0.1</v>
      </c>
      <c r="H4993" s="1365" t="n">
        <f aca="false">E4993*F4993*G4993</f>
        <v>819000</v>
      </c>
      <c r="I4993" s="1365" t="n">
        <f aca="false">F4993-H4993</f>
        <v>819000</v>
      </c>
      <c r="J4993" s="1365" t="n">
        <f aca="false">F4993*G4993</f>
        <v>163800</v>
      </c>
      <c r="K4993" s="1365" t="n">
        <f aca="false">J4993/1792.8</f>
        <v>91.3654618473896</v>
      </c>
      <c r="L4993" s="1365" t="n">
        <v>20</v>
      </c>
      <c r="M4993" s="1273" t="n">
        <f aca="false">K4993*L4993/60</f>
        <v>30.4551539491299</v>
      </c>
    </row>
    <row r="4994" customFormat="false" ht="15" hidden="false" customHeight="false" outlineLevel="0" collapsed="false">
      <c r="A4994" s="216"/>
      <c r="B4994" s="40"/>
      <c r="C4994" s="1161" t="s">
        <v>7252</v>
      </c>
      <c r="D4994" s="317" t="n">
        <v>2005</v>
      </c>
      <c r="E4994" s="1365" t="n">
        <v>5</v>
      </c>
      <c r="F4994" s="1365" t="n">
        <v>12190000</v>
      </c>
      <c r="G4994" s="1364" t="n">
        <v>0.1</v>
      </c>
      <c r="H4994" s="1365" t="n">
        <f aca="false">E4994*F4994*G4994</f>
        <v>6095000</v>
      </c>
      <c r="I4994" s="1365" t="n">
        <f aca="false">F4994-H4994</f>
        <v>6095000</v>
      </c>
      <c r="J4994" s="1365" t="n">
        <f aca="false">F4994*G4994</f>
        <v>1219000</v>
      </c>
      <c r="K4994" s="1365" t="n">
        <f aca="false">J4994/1792.8</f>
        <v>679.941990182954</v>
      </c>
      <c r="L4994" s="1365" t="n">
        <v>20</v>
      </c>
      <c r="M4994" s="1273" t="n">
        <f aca="false">K4994*L4994/60</f>
        <v>226.647330060985</v>
      </c>
    </row>
    <row r="4995" customFormat="false" ht="15" hidden="false" customHeight="false" outlineLevel="0" collapsed="false">
      <c r="A4995" s="216"/>
      <c r="B4995" s="40"/>
      <c r="C4995" s="1161" t="s">
        <v>7170</v>
      </c>
      <c r="D4995" s="317" t="n">
        <v>2004</v>
      </c>
      <c r="E4995" s="1365" t="n">
        <v>6</v>
      </c>
      <c r="F4995" s="1365" t="n">
        <v>196670</v>
      </c>
      <c r="G4995" s="1364" t="n">
        <v>0.1</v>
      </c>
      <c r="H4995" s="1365" t="n">
        <f aca="false">E4995*F4995*G4995</f>
        <v>118002</v>
      </c>
      <c r="I4995" s="1365" t="n">
        <f aca="false">F4995-H4995</f>
        <v>78668</v>
      </c>
      <c r="J4995" s="1365" t="n">
        <f aca="false">F4995*G4995</f>
        <v>19667</v>
      </c>
      <c r="K4995" s="1365" t="n">
        <f aca="false">J4995/1792.8</f>
        <v>10.9699910754128</v>
      </c>
      <c r="L4995" s="1365" t="n">
        <v>15</v>
      </c>
      <c r="M4995" s="1273" t="n">
        <f aca="false">K4995*L4995/60</f>
        <v>2.74249776885319</v>
      </c>
    </row>
    <row r="4996" customFormat="false" ht="15" hidden="false" customHeight="false" outlineLevel="0" collapsed="false">
      <c r="A4996" s="216"/>
      <c r="B4996" s="40"/>
      <c r="C4996" s="1161" t="s">
        <v>7158</v>
      </c>
      <c r="D4996" s="317" t="n">
        <v>2004</v>
      </c>
      <c r="E4996" s="1365" t="n">
        <v>6</v>
      </c>
      <c r="F4996" s="1365" t="n">
        <v>6985000</v>
      </c>
      <c r="G4996" s="1364" t="n">
        <v>0.1</v>
      </c>
      <c r="H4996" s="1365" t="n">
        <f aca="false">E4996*F4996*G4996</f>
        <v>4191000</v>
      </c>
      <c r="I4996" s="1365" t="n">
        <f aca="false">F4996-H4996</f>
        <v>2794000</v>
      </c>
      <c r="J4996" s="1365" t="n">
        <f aca="false">F4996*G4996</f>
        <v>698500</v>
      </c>
      <c r="K4996" s="1365" t="n">
        <f aca="false">J4996/1792.8</f>
        <v>389.614011601963</v>
      </c>
      <c r="L4996" s="1365" t="n">
        <v>20</v>
      </c>
      <c r="M4996" s="1273" t="n">
        <f aca="false">K4996*L4996/60</f>
        <v>129.871337200654</v>
      </c>
    </row>
    <row r="4997" customFormat="false" ht="15" hidden="false" customHeight="false" outlineLevel="0" collapsed="false">
      <c r="A4997" s="216"/>
      <c r="B4997" s="78"/>
      <c r="C4997" s="1160"/>
      <c r="D4997" s="135"/>
      <c r="E4997" s="1370"/>
      <c r="F4997" s="1370"/>
      <c r="G4997" s="1372" t="n">
        <v>0.1</v>
      </c>
      <c r="H4997" s="1365" t="n">
        <f aca="false">E4997*F4997*G4997</f>
        <v>0</v>
      </c>
      <c r="I4997" s="1365" t="n">
        <f aca="false">F4997-H4997</f>
        <v>0</v>
      </c>
      <c r="J4997" s="1365" t="n">
        <f aca="false">F4997*G4997</f>
        <v>0</v>
      </c>
      <c r="K4997" s="1365" t="n">
        <f aca="false">J4997/1792.8</f>
        <v>0</v>
      </c>
      <c r="L4997" s="1370" t="n">
        <f aca="false">SUM(L4991:L4996)</f>
        <v>265</v>
      </c>
      <c r="M4997" s="1366" t="n">
        <f aca="false">SUM(M4990:M4996)</f>
        <v>424.17805481184</v>
      </c>
    </row>
    <row r="4998" customFormat="false" ht="30" hidden="false" customHeight="false" outlineLevel="0" collapsed="false">
      <c r="A4998" s="216" t="s">
        <v>6398</v>
      </c>
      <c r="B4998" s="40" t="s">
        <v>7262</v>
      </c>
      <c r="C4998" s="1161"/>
      <c r="D4998" s="317"/>
      <c r="E4998" s="1365"/>
      <c r="F4998" s="1365"/>
      <c r="G4998" s="1364" t="n">
        <v>0.1</v>
      </c>
      <c r="H4998" s="1365" t="n">
        <f aca="false">E4998*F4998*G4998</f>
        <v>0</v>
      </c>
      <c r="I4998" s="1365" t="n">
        <f aca="false">F4998-H4998</f>
        <v>0</v>
      </c>
      <c r="J4998" s="1365" t="n">
        <f aca="false">F4998*G4998</f>
        <v>0</v>
      </c>
      <c r="K4998" s="1365" t="n">
        <f aca="false">J4998/1792.8</f>
        <v>0</v>
      </c>
      <c r="L4998" s="1365"/>
      <c r="M4998" s="1273"/>
    </row>
    <row r="4999" customFormat="false" ht="30" hidden="false" customHeight="false" outlineLevel="0" collapsed="false">
      <c r="A4999" s="216"/>
      <c r="B4999" s="40"/>
      <c r="C4999" s="1161" t="s">
        <v>7250</v>
      </c>
      <c r="D4999" s="317" t="n">
        <v>2005</v>
      </c>
      <c r="E4999" s="1365" t="n">
        <v>5</v>
      </c>
      <c r="F4999" s="1365" t="n">
        <v>347000</v>
      </c>
      <c r="G4999" s="1364" t="n">
        <v>0.1</v>
      </c>
      <c r="H4999" s="1365" t="n">
        <f aca="false">E4999*F4999*G4999</f>
        <v>173500</v>
      </c>
      <c r="I4999" s="1365" t="n">
        <f aca="false">F4999-H4999</f>
        <v>173500</v>
      </c>
      <c r="J4999" s="1365" t="n">
        <f aca="false">F4999*G4999</f>
        <v>34700</v>
      </c>
      <c r="K4999" s="1365" t="n">
        <f aca="false">J4999/1792.8</f>
        <v>19.355198572066</v>
      </c>
      <c r="L4999" s="1365" t="n">
        <v>30</v>
      </c>
      <c r="M4999" s="1273" t="n">
        <f aca="false">K4999*L4999/60</f>
        <v>9.67759928603302</v>
      </c>
    </row>
    <row r="5000" customFormat="false" ht="15" hidden="false" customHeight="false" outlineLevel="0" collapsed="false">
      <c r="A5000" s="216"/>
      <c r="B5000" s="78"/>
      <c r="C5000" s="1161" t="s">
        <v>7245</v>
      </c>
      <c r="D5000" s="317" t="n">
        <v>2004</v>
      </c>
      <c r="E5000" s="1365" t="n">
        <v>6</v>
      </c>
      <c r="F5000" s="1365" t="n">
        <v>39832</v>
      </c>
      <c r="G5000" s="1364" t="n">
        <v>0.1</v>
      </c>
      <c r="H5000" s="1365" t="n">
        <f aca="false">E5000*F5000*G5000</f>
        <v>23899.2</v>
      </c>
      <c r="I5000" s="1365" t="n">
        <f aca="false">F5000-H5000</f>
        <v>15932.8</v>
      </c>
      <c r="J5000" s="1365" t="n">
        <f aca="false">F5000*G5000</f>
        <v>3983.2</v>
      </c>
      <c r="K5000" s="1365" t="n">
        <f aca="false">J5000/1792.8</f>
        <v>2.22177599286033</v>
      </c>
      <c r="L5000" s="1365" t="n">
        <v>30</v>
      </c>
      <c r="M5000" s="1273" t="n">
        <f aca="false">K5000*L5000/60</f>
        <v>1.11088799643017</v>
      </c>
    </row>
    <row r="5001" customFormat="false" ht="15" hidden="false" customHeight="false" outlineLevel="0" collapsed="false">
      <c r="A5001" s="216"/>
      <c r="B5001" s="78"/>
      <c r="C5001" s="1161" t="s">
        <v>7247</v>
      </c>
      <c r="D5001" s="317" t="n">
        <v>2004</v>
      </c>
      <c r="E5001" s="1365" t="n">
        <v>6</v>
      </c>
      <c r="F5001" s="1365" t="n">
        <v>202860</v>
      </c>
      <c r="G5001" s="1364" t="n">
        <v>0.1</v>
      </c>
      <c r="H5001" s="1365" t="n">
        <f aca="false">E5001*F5001*G5001</f>
        <v>121716</v>
      </c>
      <c r="I5001" s="1365" t="n">
        <f aca="false">F5001-H5001</f>
        <v>81144</v>
      </c>
      <c r="J5001" s="1365" t="n">
        <f aca="false">F5001*G5001</f>
        <v>20286</v>
      </c>
      <c r="K5001" s="1365" t="n">
        <f aca="false">J5001/1792.8</f>
        <v>11.3152610441767</v>
      </c>
      <c r="L5001" s="1365" t="n">
        <v>1440</v>
      </c>
      <c r="M5001" s="1273" t="n">
        <f aca="false">K5001*L5001/60</f>
        <v>271.566265060241</v>
      </c>
    </row>
    <row r="5002" customFormat="false" ht="15" hidden="false" customHeight="false" outlineLevel="0" collapsed="false">
      <c r="A5002" s="216"/>
      <c r="B5002" s="78"/>
      <c r="C5002" s="1161" t="s">
        <v>7249</v>
      </c>
      <c r="D5002" s="317" t="n">
        <v>2004</v>
      </c>
      <c r="E5002" s="1365" t="n">
        <v>6</v>
      </c>
      <c r="F5002" s="1365" t="n">
        <v>6985000</v>
      </c>
      <c r="G5002" s="1364" t="n">
        <v>0.1</v>
      </c>
      <c r="H5002" s="1365" t="n">
        <f aca="false">E5002*F5002*G5002</f>
        <v>4191000</v>
      </c>
      <c r="I5002" s="1365" t="n">
        <f aca="false">F5002-H5002</f>
        <v>2794000</v>
      </c>
      <c r="J5002" s="1365" t="n">
        <f aca="false">F5002*G5002</f>
        <v>698500</v>
      </c>
      <c r="K5002" s="1365" t="n">
        <f aca="false">J5002/1792.8</f>
        <v>389.614011601963</v>
      </c>
      <c r="L5002" s="1365" t="n">
        <v>15</v>
      </c>
      <c r="M5002" s="1273" t="n">
        <f aca="false">K5002*L5002/60</f>
        <v>97.4035029004909</v>
      </c>
    </row>
    <row r="5003" customFormat="false" ht="15" hidden="false" customHeight="false" outlineLevel="0" collapsed="false">
      <c r="A5003" s="216"/>
      <c r="B5003" s="78"/>
      <c r="C5003" s="1160"/>
      <c r="D5003" s="135"/>
      <c r="E5003" s="1370"/>
      <c r="F5003" s="1370"/>
      <c r="G5003" s="1372" t="n">
        <v>0.1</v>
      </c>
      <c r="H5003" s="1365" t="n">
        <f aca="false">E5003*F5003*G5003</f>
        <v>0</v>
      </c>
      <c r="I5003" s="1365" t="n">
        <f aca="false">F5003-H5003</f>
        <v>0</v>
      </c>
      <c r="J5003" s="1365" t="n">
        <f aca="false">F5003*G5003</f>
        <v>0</v>
      </c>
      <c r="K5003" s="1365" t="n">
        <f aca="false">J5003/1792.8</f>
        <v>0</v>
      </c>
      <c r="L5003" s="1370" t="n">
        <f aca="false">SUM(L4998:L5002)</f>
        <v>1515</v>
      </c>
      <c r="M5003" s="1366" t="n">
        <f aca="false">SUM(M4998:M5002)</f>
        <v>379.758255243195</v>
      </c>
    </row>
    <row r="5004" customFormat="false" ht="30" hidden="false" customHeight="false" outlineLevel="0" collapsed="false">
      <c r="A5004" s="216" t="s">
        <v>6400</v>
      </c>
      <c r="B5004" s="40" t="s">
        <v>3882</v>
      </c>
      <c r="C5004" s="1161"/>
      <c r="D5004" s="317"/>
      <c r="E5004" s="1365"/>
      <c r="F5004" s="1365"/>
      <c r="G5004" s="1364" t="n">
        <v>0.1</v>
      </c>
      <c r="H5004" s="1365" t="n">
        <f aca="false">E5004*F5004*G5004</f>
        <v>0</v>
      </c>
      <c r="I5004" s="1365" t="n">
        <f aca="false">F5004-H5004</f>
        <v>0</v>
      </c>
      <c r="J5004" s="1365" t="n">
        <f aca="false">F5004*G5004</f>
        <v>0</v>
      </c>
      <c r="K5004" s="1365" t="n">
        <f aca="false">J5004/1792.8</f>
        <v>0</v>
      </c>
      <c r="L5004" s="1365"/>
      <c r="M5004" s="1273"/>
    </row>
    <row r="5005" customFormat="false" ht="15" hidden="false" customHeight="false" outlineLevel="0" collapsed="false">
      <c r="A5005" s="216"/>
      <c r="B5005" s="40"/>
      <c r="C5005" s="1161" t="s">
        <v>7170</v>
      </c>
      <c r="D5005" s="317" t="n">
        <v>2006</v>
      </c>
      <c r="E5005" s="1365" t="n">
        <v>4</v>
      </c>
      <c r="F5005" s="1365" t="n">
        <v>192500</v>
      </c>
      <c r="G5005" s="1364" t="n">
        <v>0.1</v>
      </c>
      <c r="H5005" s="1365" t="n">
        <f aca="false">E5005*F5005*G5005</f>
        <v>77000</v>
      </c>
      <c r="I5005" s="1365" t="n">
        <f aca="false">F5005-H5005</f>
        <v>115500</v>
      </c>
      <c r="J5005" s="1365" t="n">
        <f aca="false">F5005*G5005</f>
        <v>19250</v>
      </c>
      <c r="K5005" s="1365" t="n">
        <f aca="false">J5005/1792.8</f>
        <v>10.7373940205266</v>
      </c>
      <c r="L5005" s="1365" t="n">
        <v>15</v>
      </c>
      <c r="M5005" s="1273" t="n">
        <f aca="false">K5005*L5005/60</f>
        <v>2.68434850513164</v>
      </c>
    </row>
    <row r="5006" customFormat="false" ht="15" hidden="false" customHeight="false" outlineLevel="0" collapsed="false">
      <c r="A5006" s="216"/>
      <c r="B5006" s="40"/>
      <c r="C5006" s="1161" t="s">
        <v>7154</v>
      </c>
      <c r="D5006" s="317" t="n">
        <v>2004</v>
      </c>
      <c r="E5006" s="1365" t="n">
        <v>6</v>
      </c>
      <c r="F5006" s="1365" t="n">
        <v>39832</v>
      </c>
      <c r="G5006" s="1364" t="n">
        <v>0.1</v>
      </c>
      <c r="H5006" s="1365" t="n">
        <f aca="false">E5006*F5006*G5006</f>
        <v>23899.2</v>
      </c>
      <c r="I5006" s="1365" t="n">
        <f aca="false">F5006-H5006</f>
        <v>15932.8</v>
      </c>
      <c r="J5006" s="1365" t="n">
        <f aca="false">F5006*G5006</f>
        <v>3983.2</v>
      </c>
      <c r="K5006" s="1365" t="n">
        <f aca="false">J5006/1792.8</f>
        <v>2.22177599286033</v>
      </c>
      <c r="L5006" s="1365" t="n">
        <v>20</v>
      </c>
      <c r="M5006" s="1273" t="n">
        <f aca="false">K5006*L5006/60</f>
        <v>0.74059199762011</v>
      </c>
    </row>
    <row r="5007" customFormat="false" ht="15" hidden="false" customHeight="false" outlineLevel="0" collapsed="false">
      <c r="A5007" s="216"/>
      <c r="B5007" s="40"/>
      <c r="C5007" s="1161" t="s">
        <v>7191</v>
      </c>
      <c r="D5007" s="317" t="n">
        <v>2005</v>
      </c>
      <c r="E5007" s="1365" t="n">
        <v>5</v>
      </c>
      <c r="F5007" s="1365" t="n">
        <v>347000</v>
      </c>
      <c r="G5007" s="1364" t="n">
        <v>0.1</v>
      </c>
      <c r="H5007" s="1365" t="n">
        <f aca="false">E5007*F5007*G5007</f>
        <v>173500</v>
      </c>
      <c r="I5007" s="1365" t="n">
        <f aca="false">F5007-H5007</f>
        <v>173500</v>
      </c>
      <c r="J5007" s="1365" t="n">
        <f aca="false">F5007*G5007</f>
        <v>34700</v>
      </c>
      <c r="K5007" s="1365" t="n">
        <f aca="false">J5007/1792.8</f>
        <v>19.355198572066</v>
      </c>
      <c r="L5007" s="1365" t="n">
        <v>20</v>
      </c>
      <c r="M5007" s="1273" t="n">
        <f aca="false">K5007*L5007/60</f>
        <v>6.45173285735535</v>
      </c>
    </row>
    <row r="5008" customFormat="false" ht="15" hidden="false" customHeight="false" outlineLevel="0" collapsed="false">
      <c r="A5008" s="216"/>
      <c r="B5008" s="40"/>
      <c r="C5008" s="1161" t="s">
        <v>7158</v>
      </c>
      <c r="D5008" s="317" t="n">
        <v>2004</v>
      </c>
      <c r="E5008" s="1365" t="n">
        <v>6</v>
      </c>
      <c r="F5008" s="1365" t="n">
        <v>6985000</v>
      </c>
      <c r="G5008" s="1364" t="n">
        <v>0.1</v>
      </c>
      <c r="H5008" s="1365" t="n">
        <f aca="false">E5008*F5008*G5008</f>
        <v>4191000</v>
      </c>
      <c r="I5008" s="1365" t="n">
        <f aca="false">F5008-H5008</f>
        <v>2794000</v>
      </c>
      <c r="J5008" s="1365" t="n">
        <f aca="false">F5008*G5008</f>
        <v>698500</v>
      </c>
      <c r="K5008" s="1365" t="n">
        <f aca="false">J5008/1792.8</f>
        <v>389.614011601963</v>
      </c>
      <c r="L5008" s="1365" t="n">
        <v>20</v>
      </c>
      <c r="M5008" s="1273" t="n">
        <f aca="false">K5008*L5008/60</f>
        <v>129.871337200654</v>
      </c>
    </row>
    <row r="5009" customFormat="false" ht="15" hidden="false" customHeight="false" outlineLevel="0" collapsed="false">
      <c r="A5009" s="216"/>
      <c r="B5009" s="40"/>
      <c r="C5009" s="1161" t="s">
        <v>7261</v>
      </c>
      <c r="D5009" s="317" t="n">
        <v>2005</v>
      </c>
      <c r="E5009" s="1365" t="n">
        <v>5</v>
      </c>
      <c r="F5009" s="1365" t="n">
        <v>67600</v>
      </c>
      <c r="G5009" s="1364" t="n">
        <v>0.1</v>
      </c>
      <c r="H5009" s="1365" t="n">
        <f aca="false">E5009*F5009*G5009</f>
        <v>33800</v>
      </c>
      <c r="I5009" s="1365" t="n">
        <f aca="false">F5009-H5009</f>
        <v>33800</v>
      </c>
      <c r="J5009" s="1365" t="n">
        <f aca="false">F5009*G5009</f>
        <v>6760</v>
      </c>
      <c r="K5009" s="1365" t="n">
        <f aca="false">J5009/1792.8</f>
        <v>3.77063810798751</v>
      </c>
      <c r="L5009" s="1365" t="n">
        <v>60</v>
      </c>
      <c r="M5009" s="1273" t="n">
        <f aca="false">K5009*L5009/60</f>
        <v>3.77063810798751</v>
      </c>
    </row>
    <row r="5010" customFormat="false" ht="15" hidden="false" customHeight="false" outlineLevel="0" collapsed="false">
      <c r="A5010" s="216"/>
      <c r="B5010" s="78"/>
      <c r="C5010" s="1160"/>
      <c r="D5010" s="135"/>
      <c r="E5010" s="1370"/>
      <c r="F5010" s="1370"/>
      <c r="G5010" s="1372" t="n">
        <v>0.1</v>
      </c>
      <c r="H5010" s="1365" t="n">
        <f aca="false">E5010*F5010*G5010</f>
        <v>0</v>
      </c>
      <c r="I5010" s="1365" t="n">
        <f aca="false">F5010-H5010</f>
        <v>0</v>
      </c>
      <c r="J5010" s="1365" t="n">
        <f aca="false">F5010*G5010</f>
        <v>0</v>
      </c>
      <c r="K5010" s="1365" t="n">
        <f aca="false">J5010/1792.8</f>
        <v>0</v>
      </c>
      <c r="L5010" s="1370" t="n">
        <f aca="false">SUM(L5004:L5009)</f>
        <v>135</v>
      </c>
      <c r="M5010" s="1366" t="n">
        <f aca="false">SUM(M5004:M5009)</f>
        <v>143.518648668749</v>
      </c>
    </row>
    <row r="5011" customFormat="false" ht="33" hidden="false" customHeight="true" outlineLevel="0" collapsed="false">
      <c r="A5011" s="216" t="s">
        <v>7263</v>
      </c>
      <c r="B5011" s="972" t="s">
        <v>3884</v>
      </c>
      <c r="C5011" s="1161"/>
      <c r="D5011" s="317"/>
      <c r="E5011" s="1365"/>
      <c r="F5011" s="1365"/>
      <c r="G5011" s="1364" t="n">
        <v>0.1</v>
      </c>
      <c r="H5011" s="1365" t="n">
        <f aca="false">E5011*F5011*G5011</f>
        <v>0</v>
      </c>
      <c r="I5011" s="1365" t="n">
        <f aca="false">F5011-H5011</f>
        <v>0</v>
      </c>
      <c r="J5011" s="1365" t="n">
        <f aca="false">F5011*G5011</f>
        <v>0</v>
      </c>
      <c r="K5011" s="1365" t="n">
        <f aca="false">J5011/1792.8</f>
        <v>0</v>
      </c>
      <c r="L5011" s="1365"/>
      <c r="M5011" s="1408"/>
    </row>
    <row r="5012" customFormat="false" ht="15" hidden="false" customHeight="false" outlineLevel="0" collapsed="false">
      <c r="A5012" s="216"/>
      <c r="B5012" s="40"/>
      <c r="C5012" s="1161" t="s">
        <v>7245</v>
      </c>
      <c r="D5012" s="317" t="n">
        <v>2005</v>
      </c>
      <c r="E5012" s="1365" t="n">
        <v>5</v>
      </c>
      <c r="F5012" s="1365" t="n">
        <v>347000</v>
      </c>
      <c r="G5012" s="1364" t="n">
        <v>0.1</v>
      </c>
      <c r="H5012" s="1365" t="n">
        <f aca="false">E5012*F5012*G5012</f>
        <v>173500</v>
      </c>
      <c r="I5012" s="1365" t="n">
        <f aca="false">F5012-H5012</f>
        <v>173500</v>
      </c>
      <c r="J5012" s="1365" t="n">
        <f aca="false">F5012*G5012</f>
        <v>34700</v>
      </c>
      <c r="K5012" s="1365" t="n">
        <f aca="false">J5012/1792.8</f>
        <v>19.355198572066</v>
      </c>
      <c r="L5012" s="1365" t="n">
        <v>30</v>
      </c>
      <c r="M5012" s="1273" t="n">
        <f aca="false">K5012*L5012/60</f>
        <v>9.67759928603302</v>
      </c>
    </row>
    <row r="5013" customFormat="false" ht="15" hidden="false" customHeight="false" outlineLevel="0" collapsed="false">
      <c r="A5013" s="216"/>
      <c r="B5013" s="40"/>
      <c r="C5013" s="1161" t="s">
        <v>7264</v>
      </c>
      <c r="D5013" s="317" t="n">
        <v>2014</v>
      </c>
      <c r="E5013" s="1365" t="n">
        <v>10</v>
      </c>
      <c r="F5013" s="1365" t="n">
        <v>1411800</v>
      </c>
      <c r="G5013" s="1364" t="n">
        <v>0.1</v>
      </c>
      <c r="H5013" s="1365" t="n">
        <f aca="false">E5013*F5013*G5013</f>
        <v>1411800</v>
      </c>
      <c r="I5013" s="1365" t="n">
        <f aca="false">F5013-H5013</f>
        <v>0</v>
      </c>
      <c r="J5013" s="1365" t="n">
        <f aca="false">F5013*G5013</f>
        <v>141180</v>
      </c>
      <c r="K5013" s="1365" t="n">
        <f aca="false">J5013/1792.8</f>
        <v>78.7483266398929</v>
      </c>
      <c r="L5013" s="1365" t="n">
        <v>31</v>
      </c>
      <c r="M5013" s="1273" t="n">
        <f aca="false">K5013*L5013/60</f>
        <v>40.6866354306113</v>
      </c>
    </row>
    <row r="5014" customFormat="false" ht="15" hidden="false" customHeight="false" outlineLevel="0" collapsed="false">
      <c r="A5014" s="216"/>
      <c r="B5014" s="40"/>
      <c r="C5014" s="1161" t="s">
        <v>7249</v>
      </c>
      <c r="D5014" s="317" t="n">
        <v>2005</v>
      </c>
      <c r="E5014" s="1365" t="n">
        <v>5</v>
      </c>
      <c r="F5014" s="1365" t="n">
        <v>347000</v>
      </c>
      <c r="G5014" s="1364" t="n">
        <v>0.1</v>
      </c>
      <c r="H5014" s="1365" t="n">
        <f aca="false">E5014*F5014*G5014</f>
        <v>173500</v>
      </c>
      <c r="I5014" s="1365" t="n">
        <f aca="false">F5014-H5014</f>
        <v>173500</v>
      </c>
      <c r="J5014" s="1365" t="n">
        <f aca="false">F5014*G5014</f>
        <v>34700</v>
      </c>
      <c r="K5014" s="1365" t="n">
        <f aca="false">J5014/1792.8</f>
        <v>19.355198572066</v>
      </c>
      <c r="L5014" s="1365" t="n">
        <v>60</v>
      </c>
      <c r="M5014" s="1273" t="n">
        <f aca="false">K5014*L5014/60</f>
        <v>19.355198572066</v>
      </c>
    </row>
    <row r="5015" customFormat="false" ht="15" hidden="false" customHeight="false" outlineLevel="0" collapsed="false">
      <c r="A5015" s="216"/>
      <c r="B5015" s="40"/>
      <c r="C5015" s="1161" t="s">
        <v>7170</v>
      </c>
      <c r="D5015" s="317" t="n">
        <v>2004</v>
      </c>
      <c r="E5015" s="1365" t="n">
        <v>6</v>
      </c>
      <c r="F5015" s="1365" t="n">
        <v>196670</v>
      </c>
      <c r="G5015" s="1364" t="n">
        <v>0.1</v>
      </c>
      <c r="H5015" s="1365" t="n">
        <f aca="false">E5015*F5015*G5015</f>
        <v>118002</v>
      </c>
      <c r="I5015" s="1365" t="n">
        <f aca="false">F5015-H5015</f>
        <v>78668</v>
      </c>
      <c r="J5015" s="1365" t="n">
        <f aca="false">F5015*G5015</f>
        <v>19667</v>
      </c>
      <c r="K5015" s="1365" t="n">
        <f aca="false">J5015/1792.8</f>
        <v>10.9699910754128</v>
      </c>
      <c r="L5015" s="1365" t="n">
        <v>15</v>
      </c>
      <c r="M5015" s="1273" t="n">
        <f aca="false">K5015*L5015/60</f>
        <v>2.74249776885319</v>
      </c>
    </row>
    <row r="5016" customFormat="false" ht="15" hidden="false" customHeight="false" outlineLevel="0" collapsed="false">
      <c r="A5016" s="216"/>
      <c r="B5016" s="40"/>
      <c r="C5016" s="1161" t="s">
        <v>7247</v>
      </c>
      <c r="D5016" s="317" t="n">
        <v>2004</v>
      </c>
      <c r="E5016" s="1365" t="n">
        <v>6</v>
      </c>
      <c r="F5016" s="1365" t="n">
        <v>202860</v>
      </c>
      <c r="G5016" s="1364" t="n">
        <v>0.1</v>
      </c>
      <c r="H5016" s="1365" t="n">
        <f aca="false">E5016*F5016*G5016</f>
        <v>121716</v>
      </c>
      <c r="I5016" s="1365" t="n">
        <f aca="false">F5016-H5016</f>
        <v>81144</v>
      </c>
      <c r="J5016" s="1365" t="n">
        <f aca="false">F5016*G5016</f>
        <v>20286</v>
      </c>
      <c r="K5016" s="1365" t="n">
        <f aca="false">J5016/1792.8</f>
        <v>11.3152610441767</v>
      </c>
      <c r="L5016" s="1365" t="n">
        <v>1440</v>
      </c>
      <c r="M5016" s="1273" t="n">
        <f aca="false">K5016*L5016/60</f>
        <v>271.566265060241</v>
      </c>
    </row>
    <row r="5017" customFormat="false" ht="15" hidden="false" customHeight="false" outlineLevel="0" collapsed="false">
      <c r="A5017" s="216"/>
      <c r="B5017" s="40"/>
      <c r="C5017" s="1161" t="s">
        <v>7158</v>
      </c>
      <c r="D5017" s="317" t="n">
        <v>2004</v>
      </c>
      <c r="E5017" s="1365" t="n">
        <v>6</v>
      </c>
      <c r="F5017" s="1365" t="n">
        <v>6985000</v>
      </c>
      <c r="G5017" s="1364" t="n">
        <v>0.1</v>
      </c>
      <c r="H5017" s="1365" t="n">
        <f aca="false">E5017*F5017*G5017</f>
        <v>4191000</v>
      </c>
      <c r="I5017" s="1365" t="n">
        <f aca="false">F5017-H5017</f>
        <v>2794000</v>
      </c>
      <c r="J5017" s="1365" t="n">
        <f aca="false">F5017*G5017</f>
        <v>698500</v>
      </c>
      <c r="K5017" s="1365" t="n">
        <f aca="false">J5017/1792.8</f>
        <v>389.614011601963</v>
      </c>
      <c r="L5017" s="1365" t="n">
        <v>15</v>
      </c>
      <c r="M5017" s="1273" t="n">
        <f aca="false">K5017*L5017/60</f>
        <v>97.4035029004909</v>
      </c>
    </row>
    <row r="5018" customFormat="false" ht="15" hidden="false" customHeight="false" outlineLevel="0" collapsed="false">
      <c r="A5018" s="216"/>
      <c r="B5018" s="78"/>
      <c r="C5018" s="1160"/>
      <c r="D5018" s="135"/>
      <c r="E5018" s="1370"/>
      <c r="F5018" s="1370"/>
      <c r="G5018" s="1372" t="n">
        <v>0.1</v>
      </c>
      <c r="H5018" s="1365" t="n">
        <f aca="false">E5018*F5018*G5018</f>
        <v>0</v>
      </c>
      <c r="I5018" s="1365" t="n">
        <f aca="false">F5018-H5018</f>
        <v>0</v>
      </c>
      <c r="J5018" s="1365" t="n">
        <f aca="false">F5018*G5018</f>
        <v>0</v>
      </c>
      <c r="K5018" s="1365" t="n">
        <f aca="false">J5018/1792.8</f>
        <v>0</v>
      </c>
      <c r="L5018" s="1370" t="n">
        <f aca="false">SUM(L5011:L5017)</f>
        <v>1591</v>
      </c>
      <c r="M5018" s="1366" t="n">
        <f aca="false">SUM(M5011:M5017)</f>
        <v>441.431699018295</v>
      </c>
    </row>
    <row r="5019" customFormat="false" ht="28.5" hidden="false" customHeight="true" outlineLevel="0" collapsed="false">
      <c r="A5019" s="216" t="s">
        <v>6408</v>
      </c>
      <c r="B5019" s="78" t="s">
        <v>3885</v>
      </c>
      <c r="C5019" s="1160"/>
      <c r="D5019" s="135"/>
      <c r="E5019" s="1370"/>
      <c r="F5019" s="1370"/>
      <c r="G5019" s="1372" t="n">
        <v>0.1</v>
      </c>
      <c r="H5019" s="1365" t="n">
        <f aca="false">E5019*F5019*G5019</f>
        <v>0</v>
      </c>
      <c r="I5019" s="1365" t="n">
        <f aca="false">F5019-H5019</f>
        <v>0</v>
      </c>
      <c r="J5019" s="1365" t="n">
        <f aca="false">F5019*G5019</f>
        <v>0</v>
      </c>
      <c r="K5019" s="1365" t="n">
        <f aca="false">J5019/1792.8</f>
        <v>0</v>
      </c>
      <c r="L5019" s="1370"/>
      <c r="M5019" s="1366"/>
    </row>
    <row r="5020" customFormat="false" ht="15" hidden="false" customHeight="false" outlineLevel="0" collapsed="false">
      <c r="A5020" s="216"/>
      <c r="B5020" s="78"/>
      <c r="C5020" s="1161" t="s">
        <v>7245</v>
      </c>
      <c r="D5020" s="317" t="n">
        <v>2005</v>
      </c>
      <c r="E5020" s="1365" t="n">
        <v>5</v>
      </c>
      <c r="F5020" s="1365" t="n">
        <v>347000</v>
      </c>
      <c r="G5020" s="1364" t="n">
        <v>0.1</v>
      </c>
      <c r="H5020" s="1365" t="n">
        <f aca="false">E5020*F5020*G5020</f>
        <v>173500</v>
      </c>
      <c r="I5020" s="1365" t="n">
        <f aca="false">F5020-H5020</f>
        <v>173500</v>
      </c>
      <c r="J5020" s="1365" t="n">
        <f aca="false">F5020*G5020</f>
        <v>34700</v>
      </c>
      <c r="K5020" s="1365" t="n">
        <f aca="false">J5020/1792.8</f>
        <v>19.355198572066</v>
      </c>
      <c r="L5020" s="1365" t="n">
        <v>30</v>
      </c>
      <c r="M5020" s="1273" t="n">
        <f aca="false">K5020*L5020/60</f>
        <v>9.67759928603302</v>
      </c>
    </row>
    <row r="5021" customFormat="false" ht="15" hidden="false" customHeight="false" outlineLevel="0" collapsed="false">
      <c r="A5021" s="216"/>
      <c r="B5021" s="78"/>
      <c r="C5021" s="1161" t="s">
        <v>7264</v>
      </c>
      <c r="D5021" s="317" t="n">
        <v>2014</v>
      </c>
      <c r="E5021" s="1365" t="n">
        <v>10</v>
      </c>
      <c r="F5021" s="1365" t="n">
        <v>1411800</v>
      </c>
      <c r="G5021" s="1364" t="n">
        <v>0.1</v>
      </c>
      <c r="H5021" s="1365" t="n">
        <f aca="false">E5021*F5021*G5021</f>
        <v>1411800</v>
      </c>
      <c r="I5021" s="1365" t="n">
        <f aca="false">F5021-H5021</f>
        <v>0</v>
      </c>
      <c r="J5021" s="1365" t="n">
        <f aca="false">F5021*G5021</f>
        <v>141180</v>
      </c>
      <c r="K5021" s="1365" t="n">
        <f aca="false">J5021/1792.8</f>
        <v>78.7483266398929</v>
      </c>
      <c r="L5021" s="1365" t="n">
        <v>31</v>
      </c>
      <c r="M5021" s="1273" t="n">
        <f aca="false">K5021*L5021/60</f>
        <v>40.6866354306113</v>
      </c>
    </row>
    <row r="5022" customFormat="false" ht="15" hidden="false" customHeight="false" outlineLevel="0" collapsed="false">
      <c r="A5022" s="216"/>
      <c r="B5022" s="78"/>
      <c r="C5022" s="1161" t="s">
        <v>7249</v>
      </c>
      <c r="D5022" s="317" t="n">
        <v>2005</v>
      </c>
      <c r="E5022" s="1365" t="n">
        <v>5</v>
      </c>
      <c r="F5022" s="1365" t="n">
        <v>347000</v>
      </c>
      <c r="G5022" s="1364" t="n">
        <v>0.1</v>
      </c>
      <c r="H5022" s="1365" t="n">
        <f aca="false">E5022*F5022*G5022</f>
        <v>173500</v>
      </c>
      <c r="I5022" s="1365" t="n">
        <f aca="false">F5022-H5022</f>
        <v>173500</v>
      </c>
      <c r="J5022" s="1365" t="n">
        <f aca="false">F5022*G5022</f>
        <v>34700</v>
      </c>
      <c r="K5022" s="1365" t="n">
        <f aca="false">J5022/1792.8</f>
        <v>19.355198572066</v>
      </c>
      <c r="L5022" s="1365" t="n">
        <v>20</v>
      </c>
      <c r="M5022" s="1273" t="n">
        <f aca="false">K5022*L5022/60</f>
        <v>6.45173285735535</v>
      </c>
    </row>
    <row r="5023" customFormat="false" ht="15" hidden="false" customHeight="false" outlineLevel="0" collapsed="false">
      <c r="A5023" s="216"/>
      <c r="B5023" s="78"/>
      <c r="C5023" s="1161" t="s">
        <v>7170</v>
      </c>
      <c r="D5023" s="317" t="n">
        <v>2004</v>
      </c>
      <c r="E5023" s="1365" t="n">
        <v>6</v>
      </c>
      <c r="F5023" s="1365" t="n">
        <v>196670</v>
      </c>
      <c r="G5023" s="1364" t="n">
        <v>0.1</v>
      </c>
      <c r="H5023" s="1365" t="n">
        <f aca="false">E5023*F5023*G5023</f>
        <v>118002</v>
      </c>
      <c r="I5023" s="1365" t="n">
        <f aca="false">F5023-H5023</f>
        <v>78668</v>
      </c>
      <c r="J5023" s="1365" t="n">
        <f aca="false">F5023*G5023</f>
        <v>19667</v>
      </c>
      <c r="K5023" s="1365" t="n">
        <f aca="false">J5023/1792.8</f>
        <v>10.9699910754128</v>
      </c>
      <c r="L5023" s="1365" t="n">
        <v>15</v>
      </c>
      <c r="M5023" s="1273" t="n">
        <f aca="false">K5023*L5023/60</f>
        <v>2.74249776885319</v>
      </c>
    </row>
    <row r="5024" customFormat="false" ht="15" hidden="false" customHeight="false" outlineLevel="0" collapsed="false">
      <c r="A5024" s="216"/>
      <c r="B5024" s="78"/>
      <c r="C5024" s="1161" t="s">
        <v>7247</v>
      </c>
      <c r="D5024" s="317" t="n">
        <v>2004</v>
      </c>
      <c r="E5024" s="1365" t="n">
        <v>6</v>
      </c>
      <c r="F5024" s="1365" t="n">
        <v>202860</v>
      </c>
      <c r="G5024" s="1364" t="n">
        <v>0.1</v>
      </c>
      <c r="H5024" s="1365" t="n">
        <f aca="false">E5024*F5024*G5024</f>
        <v>121716</v>
      </c>
      <c r="I5024" s="1365" t="n">
        <f aca="false">F5024-H5024</f>
        <v>81144</v>
      </c>
      <c r="J5024" s="1365" t="n">
        <f aca="false">F5024*G5024</f>
        <v>20286</v>
      </c>
      <c r="K5024" s="1365" t="n">
        <f aca="false">J5024/1792.8</f>
        <v>11.3152610441767</v>
      </c>
      <c r="L5024" s="1365" t="n">
        <v>60</v>
      </c>
      <c r="M5024" s="1273" t="n">
        <f aca="false">K5024*L5024/60</f>
        <v>11.3152610441767</v>
      </c>
    </row>
    <row r="5025" customFormat="false" ht="15" hidden="false" customHeight="false" outlineLevel="0" collapsed="false">
      <c r="A5025" s="216"/>
      <c r="B5025" s="78"/>
      <c r="C5025" s="1161" t="s">
        <v>7158</v>
      </c>
      <c r="D5025" s="317" t="n">
        <v>2004</v>
      </c>
      <c r="E5025" s="1365" t="n">
        <v>6</v>
      </c>
      <c r="F5025" s="1365" t="n">
        <v>6985000</v>
      </c>
      <c r="G5025" s="1364" t="n">
        <v>0.1</v>
      </c>
      <c r="H5025" s="1365" t="n">
        <f aca="false">E5025*F5025*G5025</f>
        <v>4191000</v>
      </c>
      <c r="I5025" s="1365" t="n">
        <f aca="false">F5025-H5025</f>
        <v>2794000</v>
      </c>
      <c r="J5025" s="1365" t="n">
        <f aca="false">F5025*G5025</f>
        <v>698500</v>
      </c>
      <c r="K5025" s="1365" t="n">
        <f aca="false">J5025/1792.8</f>
        <v>389.614011601963</v>
      </c>
      <c r="L5025" s="1365" t="n">
        <v>15</v>
      </c>
      <c r="M5025" s="1273" t="n">
        <f aca="false">K5025*L5025/60</f>
        <v>97.4035029004909</v>
      </c>
    </row>
    <row r="5026" customFormat="false" ht="15" hidden="false" customHeight="false" outlineLevel="0" collapsed="false">
      <c r="A5026" s="216"/>
      <c r="B5026" s="78"/>
      <c r="C5026" s="1160"/>
      <c r="D5026" s="135"/>
      <c r="E5026" s="1370"/>
      <c r="F5026" s="1370"/>
      <c r="G5026" s="1372" t="n">
        <v>0.1</v>
      </c>
      <c r="H5026" s="1365" t="n">
        <f aca="false">E5026*F5026*G5026</f>
        <v>0</v>
      </c>
      <c r="I5026" s="1365" t="n">
        <f aca="false">F5026-H5026</f>
        <v>0</v>
      </c>
      <c r="J5026" s="1365" t="n">
        <f aca="false">F5026*G5026</f>
        <v>0</v>
      </c>
      <c r="K5026" s="1365" t="n">
        <f aca="false">J5026/1792.8</f>
        <v>0</v>
      </c>
      <c r="L5026" s="1370" t="n">
        <f aca="false">SUM(L5020:L5025)</f>
        <v>171</v>
      </c>
      <c r="M5026" s="1366" t="n">
        <f aca="false">SUM(M5020:M5025)</f>
        <v>168.27722928752</v>
      </c>
    </row>
    <row r="5027" customFormat="false" ht="45" hidden="false" customHeight="false" outlineLevel="0" collapsed="false">
      <c r="A5027" s="216" t="s">
        <v>6412</v>
      </c>
      <c r="B5027" s="78" t="s">
        <v>3886</v>
      </c>
      <c r="C5027" s="1160"/>
      <c r="D5027" s="135"/>
      <c r="E5027" s="1370"/>
      <c r="F5027" s="1370"/>
      <c r="G5027" s="1372" t="n">
        <v>0.1</v>
      </c>
      <c r="H5027" s="1365" t="n">
        <f aca="false">E5027*F5027*G5027</f>
        <v>0</v>
      </c>
      <c r="I5027" s="1365" t="n">
        <f aca="false">F5027-H5027</f>
        <v>0</v>
      </c>
      <c r="J5027" s="1365" t="n">
        <f aca="false">F5027*G5027</f>
        <v>0</v>
      </c>
      <c r="K5027" s="1365" t="n">
        <f aca="false">J5027/1792.8</f>
        <v>0</v>
      </c>
      <c r="L5027" s="1370"/>
      <c r="M5027" s="1366"/>
    </row>
    <row r="5028" customFormat="false" ht="15" hidden="false" customHeight="false" outlineLevel="0" collapsed="false">
      <c r="A5028" s="216"/>
      <c r="B5028" s="78"/>
      <c r="C5028" s="1161" t="s">
        <v>7245</v>
      </c>
      <c r="D5028" s="317" t="n">
        <v>2005</v>
      </c>
      <c r="E5028" s="1365" t="n">
        <v>5</v>
      </c>
      <c r="F5028" s="1365" t="n">
        <v>347000</v>
      </c>
      <c r="G5028" s="1364" t="n">
        <v>0.1</v>
      </c>
      <c r="H5028" s="1365" t="n">
        <f aca="false">E5028*F5028*G5028</f>
        <v>173500</v>
      </c>
      <c r="I5028" s="1365" t="n">
        <f aca="false">F5028-H5028</f>
        <v>173500</v>
      </c>
      <c r="J5028" s="1365" t="n">
        <f aca="false">F5028*G5028</f>
        <v>34700</v>
      </c>
      <c r="K5028" s="1365" t="n">
        <f aca="false">J5028/1792.8</f>
        <v>19.355198572066</v>
      </c>
      <c r="L5028" s="1365" t="n">
        <v>30</v>
      </c>
      <c r="M5028" s="1273" t="n">
        <f aca="false">K5028*L5028/60</f>
        <v>9.67759928603302</v>
      </c>
    </row>
    <row r="5029" customFormat="false" ht="15" hidden="false" customHeight="false" outlineLevel="0" collapsed="false">
      <c r="A5029" s="216"/>
      <c r="B5029" s="78"/>
      <c r="C5029" s="1161" t="s">
        <v>7264</v>
      </c>
      <c r="D5029" s="317" t="n">
        <v>2014</v>
      </c>
      <c r="E5029" s="1365" t="n">
        <v>10</v>
      </c>
      <c r="F5029" s="1365" t="n">
        <v>1411800</v>
      </c>
      <c r="G5029" s="1364" t="n">
        <v>0.1</v>
      </c>
      <c r="H5029" s="1365" t="n">
        <f aca="false">E5029*F5029*G5029</f>
        <v>1411800</v>
      </c>
      <c r="I5029" s="1365" t="n">
        <f aca="false">F5029-H5029</f>
        <v>0</v>
      </c>
      <c r="J5029" s="1365" t="n">
        <f aca="false">F5029*G5029</f>
        <v>141180</v>
      </c>
      <c r="K5029" s="1365" t="n">
        <f aca="false">J5029/1792.8</f>
        <v>78.7483266398929</v>
      </c>
      <c r="L5029" s="1365"/>
      <c r="M5029" s="1273" t="n">
        <f aca="false">K5029*L5029/60</f>
        <v>0</v>
      </c>
    </row>
    <row r="5030" customFormat="false" ht="15" hidden="false" customHeight="false" outlineLevel="0" collapsed="false">
      <c r="A5030" s="216"/>
      <c r="B5030" s="78"/>
      <c r="C5030" s="1161" t="s">
        <v>7249</v>
      </c>
      <c r="D5030" s="317" t="n">
        <v>2005</v>
      </c>
      <c r="E5030" s="1365" t="n">
        <v>5</v>
      </c>
      <c r="F5030" s="1365" t="n">
        <v>347000</v>
      </c>
      <c r="G5030" s="1364" t="n">
        <v>0.1</v>
      </c>
      <c r="H5030" s="1365" t="n">
        <f aca="false">E5030*F5030*G5030</f>
        <v>173500</v>
      </c>
      <c r="I5030" s="1365" t="n">
        <f aca="false">F5030-H5030</f>
        <v>173500</v>
      </c>
      <c r="J5030" s="1365" t="n">
        <f aca="false">F5030*G5030</f>
        <v>34700</v>
      </c>
      <c r="K5030" s="1365" t="n">
        <f aca="false">J5030/1792.8</f>
        <v>19.355198572066</v>
      </c>
      <c r="L5030" s="1365" t="n">
        <v>60</v>
      </c>
      <c r="M5030" s="1273" t="n">
        <f aca="false">K5030*L5030/60</f>
        <v>19.355198572066</v>
      </c>
    </row>
    <row r="5031" customFormat="false" ht="15" hidden="false" customHeight="false" outlineLevel="0" collapsed="false">
      <c r="A5031" s="216"/>
      <c r="B5031" s="78"/>
      <c r="C5031" s="1161" t="s">
        <v>7170</v>
      </c>
      <c r="D5031" s="317" t="n">
        <v>2004</v>
      </c>
      <c r="E5031" s="1365" t="n">
        <v>6</v>
      </c>
      <c r="F5031" s="1365" t="n">
        <v>196670</v>
      </c>
      <c r="G5031" s="1364" t="n">
        <v>0.1</v>
      </c>
      <c r="H5031" s="1365" t="n">
        <f aca="false">E5031*F5031*G5031</f>
        <v>118002</v>
      </c>
      <c r="I5031" s="1365" t="n">
        <f aca="false">F5031-H5031</f>
        <v>78668</v>
      </c>
      <c r="J5031" s="1365" t="n">
        <f aca="false">F5031*G5031</f>
        <v>19667</v>
      </c>
      <c r="K5031" s="1365" t="n">
        <f aca="false">J5031/1792.8</f>
        <v>10.9699910754128</v>
      </c>
      <c r="L5031" s="1365" t="n">
        <v>15</v>
      </c>
      <c r="M5031" s="1273" t="n">
        <f aca="false">K5031*L5031/60</f>
        <v>2.74249776885319</v>
      </c>
    </row>
    <row r="5032" customFormat="false" ht="15" hidden="false" customHeight="false" outlineLevel="0" collapsed="false">
      <c r="A5032" s="216"/>
      <c r="B5032" s="78"/>
      <c r="C5032" s="1161" t="s">
        <v>7247</v>
      </c>
      <c r="D5032" s="317" t="n">
        <v>2004</v>
      </c>
      <c r="E5032" s="1365" t="n">
        <v>6</v>
      </c>
      <c r="F5032" s="1365" t="n">
        <v>202860</v>
      </c>
      <c r="G5032" s="1364" t="n">
        <v>0.1</v>
      </c>
      <c r="H5032" s="1365" t="n">
        <f aca="false">E5032*F5032*G5032</f>
        <v>121716</v>
      </c>
      <c r="I5032" s="1365" t="n">
        <f aca="false">F5032-H5032</f>
        <v>81144</v>
      </c>
      <c r="J5032" s="1365" t="n">
        <f aca="false">F5032*G5032</f>
        <v>20286</v>
      </c>
      <c r="K5032" s="1365" t="n">
        <f aca="false">J5032/1792.8</f>
        <v>11.3152610441767</v>
      </c>
      <c r="L5032" s="1365" t="n">
        <v>1440</v>
      </c>
      <c r="M5032" s="1273" t="n">
        <f aca="false">K5032*L5032/60</f>
        <v>271.566265060241</v>
      </c>
    </row>
    <row r="5033" customFormat="false" ht="15" hidden="false" customHeight="false" outlineLevel="0" collapsed="false">
      <c r="A5033" s="216"/>
      <c r="B5033" s="78"/>
      <c r="C5033" s="1161" t="s">
        <v>7158</v>
      </c>
      <c r="D5033" s="317" t="n">
        <v>2004</v>
      </c>
      <c r="E5033" s="1365" t="n">
        <v>6</v>
      </c>
      <c r="F5033" s="1365" t="n">
        <v>6985000</v>
      </c>
      <c r="G5033" s="1364" t="n">
        <v>0.1</v>
      </c>
      <c r="H5033" s="1365" t="n">
        <f aca="false">E5033*F5033*G5033</f>
        <v>4191000</v>
      </c>
      <c r="I5033" s="1365" t="n">
        <f aca="false">F5033-H5033</f>
        <v>2794000</v>
      </c>
      <c r="J5033" s="1365" t="n">
        <f aca="false">F5033*G5033</f>
        <v>698500</v>
      </c>
      <c r="K5033" s="1365" t="n">
        <f aca="false">J5033/1792.8</f>
        <v>389.614011601963</v>
      </c>
      <c r="L5033" s="1365" t="n">
        <v>15</v>
      </c>
      <c r="M5033" s="1273" t="n">
        <f aca="false">K5033*L5033/60</f>
        <v>97.4035029004909</v>
      </c>
    </row>
    <row r="5034" customFormat="false" ht="15" hidden="false" customHeight="false" outlineLevel="0" collapsed="false">
      <c r="A5034" s="216"/>
      <c r="B5034" s="78"/>
      <c r="C5034" s="1160"/>
      <c r="D5034" s="135"/>
      <c r="E5034" s="1370"/>
      <c r="F5034" s="1370"/>
      <c r="G5034" s="1372" t="n">
        <v>0.1</v>
      </c>
      <c r="H5034" s="1365" t="n">
        <f aca="false">E5034*F5034*G5034</f>
        <v>0</v>
      </c>
      <c r="I5034" s="1365" t="n">
        <f aca="false">F5034-H5034</f>
        <v>0</v>
      </c>
      <c r="J5034" s="1365" t="n">
        <f aca="false">F5034*G5034</f>
        <v>0</v>
      </c>
      <c r="K5034" s="1365" t="n">
        <f aca="false">J5034/1792.8</f>
        <v>0</v>
      </c>
      <c r="L5034" s="1370" t="n">
        <v>1560</v>
      </c>
      <c r="M5034" s="1366" t="n">
        <v>407.287840136054</v>
      </c>
    </row>
    <row r="5035" customFormat="false" ht="15" hidden="false" customHeight="false" outlineLevel="0" collapsed="false">
      <c r="A5035" s="350" t="s">
        <v>2307</v>
      </c>
      <c r="B5035" s="509" t="s">
        <v>6417</v>
      </c>
      <c r="C5035" s="1569"/>
      <c r="D5035" s="339"/>
      <c r="E5035" s="1246"/>
      <c r="F5035" s="1246"/>
      <c r="G5035" s="1570"/>
      <c r="H5035" s="1512"/>
      <c r="I5035" s="1512"/>
      <c r="J5035" s="1512"/>
      <c r="K5035" s="1512"/>
      <c r="L5035" s="1246"/>
      <c r="M5035" s="1250"/>
    </row>
    <row r="5036" customFormat="false" ht="30" hidden="false" customHeight="false" outlineLevel="0" collapsed="false">
      <c r="A5036" s="216" t="s">
        <v>6418</v>
      </c>
      <c r="B5036" s="40" t="s">
        <v>3887</v>
      </c>
      <c r="C5036" s="1161"/>
      <c r="D5036" s="317"/>
      <c r="E5036" s="1365"/>
      <c r="F5036" s="1365"/>
      <c r="G5036" s="1364" t="n">
        <v>0.1</v>
      </c>
      <c r="H5036" s="1365" t="n">
        <f aca="false">E5036*F5036*G5036</f>
        <v>0</v>
      </c>
      <c r="I5036" s="1365" t="n">
        <f aca="false">F5036-H5036</f>
        <v>0</v>
      </c>
      <c r="J5036" s="1365" t="n">
        <f aca="false">F5036*G5036</f>
        <v>0</v>
      </c>
      <c r="K5036" s="1365" t="n">
        <f aca="false">J5036/1792.8</f>
        <v>0</v>
      </c>
      <c r="L5036" s="1365"/>
      <c r="M5036" s="1273"/>
    </row>
    <row r="5037" customFormat="false" ht="15" hidden="false" customHeight="false" outlineLevel="0" collapsed="false">
      <c r="A5037" s="216"/>
      <c r="B5037" s="78"/>
      <c r="C5037" s="1161" t="s">
        <v>7154</v>
      </c>
      <c r="D5037" s="317" t="n">
        <v>2005</v>
      </c>
      <c r="E5037" s="1365" t="n">
        <v>5</v>
      </c>
      <c r="F5037" s="1365" t="n">
        <v>347000</v>
      </c>
      <c r="G5037" s="1364" t="n">
        <v>0.1</v>
      </c>
      <c r="H5037" s="1365" t="n">
        <f aca="false">E5037*F5037*G5037</f>
        <v>173500</v>
      </c>
      <c r="I5037" s="1365" t="n">
        <f aca="false">F5037-H5037</f>
        <v>173500</v>
      </c>
      <c r="J5037" s="1365" t="n">
        <f aca="false">F5037*G5037</f>
        <v>34700</v>
      </c>
      <c r="K5037" s="1365" t="n">
        <f aca="false">J5037/1792.8</f>
        <v>19.355198572066</v>
      </c>
      <c r="L5037" s="1365" t="n">
        <v>30</v>
      </c>
      <c r="M5037" s="1273" t="n">
        <f aca="false">K5037*L5037/60</f>
        <v>9.67759928603302</v>
      </c>
    </row>
    <row r="5038" customFormat="false" ht="15" hidden="false" customHeight="false" outlineLevel="0" collapsed="false">
      <c r="A5038" s="216"/>
      <c r="B5038" s="78"/>
      <c r="C5038" s="1161" t="s">
        <v>7254</v>
      </c>
      <c r="D5038" s="317" t="n">
        <v>2007</v>
      </c>
      <c r="E5038" s="1365" t="n">
        <v>3</v>
      </c>
      <c r="F5038" s="1365" t="n">
        <v>1638000</v>
      </c>
      <c r="G5038" s="1364" t="n">
        <v>0.1</v>
      </c>
      <c r="H5038" s="1365" t="n">
        <f aca="false">E5038*F5038*G5038</f>
        <v>491400</v>
      </c>
      <c r="I5038" s="1365" t="n">
        <f aca="false">F5038-H5038</f>
        <v>1146600</v>
      </c>
      <c r="J5038" s="1365" t="n">
        <f aca="false">F5038*G5038</f>
        <v>163800</v>
      </c>
      <c r="K5038" s="1365" t="n">
        <f aca="false">J5038/1792.8</f>
        <v>91.3654618473896</v>
      </c>
      <c r="L5038" s="1365"/>
      <c r="M5038" s="1273" t="n">
        <f aca="false">K5038*L5038/60</f>
        <v>0</v>
      </c>
    </row>
    <row r="5039" customFormat="false" ht="15" hidden="false" customHeight="false" outlineLevel="0" collapsed="false">
      <c r="A5039" s="216"/>
      <c r="B5039" s="78"/>
      <c r="C5039" s="1161" t="s">
        <v>7191</v>
      </c>
      <c r="D5039" s="317" t="n">
        <v>2005</v>
      </c>
      <c r="E5039" s="1365" t="n">
        <v>5</v>
      </c>
      <c r="F5039" s="1365" t="n">
        <v>347000</v>
      </c>
      <c r="G5039" s="1364" t="n">
        <v>0.1</v>
      </c>
      <c r="H5039" s="1365" t="n">
        <f aca="false">E5039*F5039*G5039</f>
        <v>173500</v>
      </c>
      <c r="I5039" s="1365" t="n">
        <f aca="false">F5039-H5039</f>
        <v>173500</v>
      </c>
      <c r="J5039" s="1365" t="n">
        <f aca="false">F5039*G5039</f>
        <v>34700</v>
      </c>
      <c r="K5039" s="1365" t="n">
        <f aca="false">J5039/1792.8</f>
        <v>19.355198572066</v>
      </c>
      <c r="L5039" s="1365" t="n">
        <v>60</v>
      </c>
      <c r="M5039" s="1273" t="n">
        <f aca="false">K5039*L5039/60</f>
        <v>19.355198572066</v>
      </c>
    </row>
    <row r="5040" customFormat="false" ht="15" hidden="false" customHeight="false" outlineLevel="0" collapsed="false">
      <c r="A5040" s="216"/>
      <c r="B5040" s="78"/>
      <c r="C5040" s="1161" t="s">
        <v>7247</v>
      </c>
      <c r="D5040" s="317" t="n">
        <v>2004</v>
      </c>
      <c r="E5040" s="1365" t="n">
        <v>6</v>
      </c>
      <c r="F5040" s="1365" t="n">
        <v>202860</v>
      </c>
      <c r="G5040" s="1364" t="n">
        <v>0.1</v>
      </c>
      <c r="H5040" s="1365" t="n">
        <f aca="false">E5040*F5040*G5040</f>
        <v>121716</v>
      </c>
      <c r="I5040" s="1365" t="n">
        <f aca="false">F5040-H5040</f>
        <v>81144</v>
      </c>
      <c r="J5040" s="1365" t="n">
        <f aca="false">F5040*G5040</f>
        <v>20286</v>
      </c>
      <c r="K5040" s="1365" t="n">
        <f aca="false">J5040/1792.8</f>
        <v>11.3152610441767</v>
      </c>
      <c r="L5040" s="1365" t="n">
        <v>1440</v>
      </c>
      <c r="M5040" s="1273" t="n">
        <f aca="false">K5040*L5040/60</f>
        <v>271.566265060241</v>
      </c>
    </row>
    <row r="5041" customFormat="false" ht="15" hidden="false" customHeight="false" outlineLevel="0" collapsed="false">
      <c r="A5041" s="216"/>
      <c r="B5041" s="78"/>
      <c r="C5041" s="1161" t="s">
        <v>7158</v>
      </c>
      <c r="D5041" s="317" t="n">
        <v>2004</v>
      </c>
      <c r="E5041" s="1365" t="n">
        <v>6</v>
      </c>
      <c r="F5041" s="1365" t="n">
        <v>6985000</v>
      </c>
      <c r="G5041" s="1364" t="n">
        <v>0.1</v>
      </c>
      <c r="H5041" s="1365" t="n">
        <f aca="false">E5041*F5041*G5041</f>
        <v>4191000</v>
      </c>
      <c r="I5041" s="1365" t="n">
        <f aca="false">F5041-H5041</f>
        <v>2794000</v>
      </c>
      <c r="J5041" s="1365" t="n">
        <f aca="false">F5041*G5041</f>
        <v>698500</v>
      </c>
      <c r="K5041" s="1365" t="n">
        <f aca="false">J5041/1792.8</f>
        <v>389.614011601963</v>
      </c>
      <c r="L5041" s="1365" t="n">
        <v>15</v>
      </c>
      <c r="M5041" s="1273" t="n">
        <f aca="false">K5041*L5041/60</f>
        <v>97.4035029004909</v>
      </c>
    </row>
    <row r="5042" customFormat="false" ht="15" hidden="false" customHeight="false" outlineLevel="0" collapsed="false">
      <c r="A5042" s="216"/>
      <c r="B5042" s="78"/>
      <c r="C5042" s="1161" t="s">
        <v>7259</v>
      </c>
      <c r="D5042" s="317" t="n">
        <v>2005</v>
      </c>
      <c r="E5042" s="1365" t="n">
        <v>5</v>
      </c>
      <c r="F5042" s="1365" t="n">
        <v>197664</v>
      </c>
      <c r="G5042" s="1364" t="n">
        <v>0.1</v>
      </c>
      <c r="H5042" s="1365" t="n">
        <f aca="false">E5042*F5042*G5042</f>
        <v>98832</v>
      </c>
      <c r="I5042" s="1365" t="n">
        <f aca="false">F5042-H5042</f>
        <v>98832</v>
      </c>
      <c r="J5042" s="1365" t="n">
        <f aca="false">F5042*G5042</f>
        <v>19766.4</v>
      </c>
      <c r="K5042" s="1365" t="n">
        <f aca="false">J5042/1792.8</f>
        <v>11.0254350736278</v>
      </c>
      <c r="L5042" s="1365" t="n">
        <v>180</v>
      </c>
      <c r="M5042" s="1273" t="n">
        <f aca="false">K5042*L5042/60</f>
        <v>33.0763052208835</v>
      </c>
    </row>
    <row r="5043" customFormat="false" ht="15" hidden="false" customHeight="false" outlineLevel="0" collapsed="false">
      <c r="A5043" s="216"/>
      <c r="B5043" s="78"/>
      <c r="C5043" s="1160"/>
      <c r="D5043" s="135"/>
      <c r="E5043" s="1370"/>
      <c r="F5043" s="1370"/>
      <c r="G5043" s="1372" t="n">
        <v>0.1</v>
      </c>
      <c r="H5043" s="1365" t="n">
        <f aca="false">E5043*F5043*G5043</f>
        <v>0</v>
      </c>
      <c r="I5043" s="1365" t="n">
        <f aca="false">F5043-H5043</f>
        <v>0</v>
      </c>
      <c r="J5043" s="1365" t="n">
        <f aca="false">F5043*G5043</f>
        <v>0</v>
      </c>
      <c r="K5043" s="1365" t="n">
        <f aca="false">J5043/1792.8</f>
        <v>0</v>
      </c>
      <c r="L5043" s="1370" t="n">
        <f aca="false">SUM(L5036:L5042)</f>
        <v>1725</v>
      </c>
      <c r="M5043" s="1366" t="n">
        <f aca="false">SUM(M5036:M5042)</f>
        <v>431.078871039714</v>
      </c>
    </row>
    <row r="5044" customFormat="false" ht="30" hidden="false" customHeight="false" outlineLevel="0" collapsed="false">
      <c r="A5044" s="316" t="s">
        <v>6432</v>
      </c>
      <c r="B5044" s="40" t="s">
        <v>6433</v>
      </c>
      <c r="C5044" s="1161"/>
      <c r="D5044" s="317"/>
      <c r="E5044" s="1365"/>
      <c r="F5044" s="1365"/>
      <c r="G5044" s="1364" t="n">
        <v>0.1</v>
      </c>
      <c r="H5044" s="1365" t="n">
        <f aca="false">E5044*F5044*G5044</f>
        <v>0</v>
      </c>
      <c r="I5044" s="1365" t="n">
        <f aca="false">F5044-H5044</f>
        <v>0</v>
      </c>
      <c r="J5044" s="1365" t="n">
        <f aca="false">F5044*G5044</f>
        <v>0</v>
      </c>
      <c r="K5044" s="1365" t="n">
        <f aca="false">J5044/1792.8</f>
        <v>0</v>
      </c>
      <c r="L5044" s="1365"/>
      <c r="M5044" s="1273"/>
    </row>
    <row r="5045" customFormat="false" ht="15" hidden="false" customHeight="false" outlineLevel="0" collapsed="false">
      <c r="A5045" s="216"/>
      <c r="B5045" s="78"/>
      <c r="C5045" s="1161" t="s">
        <v>7247</v>
      </c>
      <c r="D5045" s="317" t="n">
        <v>2004</v>
      </c>
      <c r="E5045" s="1365" t="n">
        <v>6</v>
      </c>
      <c r="F5045" s="1365" t="n">
        <v>202860</v>
      </c>
      <c r="G5045" s="1364" t="n">
        <v>0.1</v>
      </c>
      <c r="H5045" s="1365" t="n">
        <f aca="false">E5045*F5045*G5045</f>
        <v>121716</v>
      </c>
      <c r="I5045" s="1365" t="n">
        <f aca="false">F5045-H5045</f>
        <v>81144</v>
      </c>
      <c r="J5045" s="1365" t="n">
        <f aca="false">F5045*G5045</f>
        <v>20286</v>
      </c>
      <c r="K5045" s="1365" t="n">
        <f aca="false">J5045/1792.8</f>
        <v>11.3152610441767</v>
      </c>
      <c r="L5045" s="1365" t="n">
        <v>1440</v>
      </c>
      <c r="M5045" s="1273" t="n">
        <f aca="false">K5045*L5045/60</f>
        <v>271.566265060241</v>
      </c>
    </row>
    <row r="5046" customFormat="false" ht="15" hidden="false" customHeight="false" outlineLevel="0" collapsed="false">
      <c r="A5046" s="216"/>
      <c r="B5046" s="78"/>
      <c r="C5046" s="1161" t="s">
        <v>7245</v>
      </c>
      <c r="D5046" s="317" t="n">
        <v>2005</v>
      </c>
      <c r="E5046" s="1365" t="n">
        <v>5</v>
      </c>
      <c r="F5046" s="1365" t="n">
        <v>347000</v>
      </c>
      <c r="G5046" s="1364" t="n">
        <v>0.1</v>
      </c>
      <c r="H5046" s="1365" t="n">
        <f aca="false">E5046*F5046*G5046</f>
        <v>173500</v>
      </c>
      <c r="I5046" s="1365" t="n">
        <f aca="false">F5046-H5046</f>
        <v>173500</v>
      </c>
      <c r="J5046" s="1365" t="n">
        <f aca="false">F5046*G5046</f>
        <v>34700</v>
      </c>
      <c r="K5046" s="1365" t="n">
        <f aca="false">J5046/1792.8</f>
        <v>19.355198572066</v>
      </c>
      <c r="L5046" s="1365" t="n">
        <v>30</v>
      </c>
      <c r="M5046" s="1273" t="n">
        <f aca="false">K5046*L5046/60</f>
        <v>9.67759928603302</v>
      </c>
    </row>
    <row r="5047" customFormat="false" ht="15" hidden="false" customHeight="false" outlineLevel="0" collapsed="false">
      <c r="A5047" s="216"/>
      <c r="B5047" s="78"/>
      <c r="C5047" s="1161" t="s">
        <v>7191</v>
      </c>
      <c r="D5047" s="317" t="n">
        <v>2005</v>
      </c>
      <c r="E5047" s="1365" t="n">
        <v>5</v>
      </c>
      <c r="F5047" s="1365" t="n">
        <v>347000</v>
      </c>
      <c r="G5047" s="1364" t="n">
        <v>0.1</v>
      </c>
      <c r="H5047" s="1365" t="n">
        <f aca="false">E5047*F5047*G5047</f>
        <v>173500</v>
      </c>
      <c r="I5047" s="1365" t="n">
        <f aca="false">F5047-H5047</f>
        <v>173500</v>
      </c>
      <c r="J5047" s="1365" t="n">
        <f aca="false">F5047*G5047</f>
        <v>34700</v>
      </c>
      <c r="K5047" s="1365" t="n">
        <f aca="false">J5047/1792.8</f>
        <v>19.355198572066</v>
      </c>
      <c r="L5047" s="1365" t="n">
        <v>60</v>
      </c>
      <c r="M5047" s="1273" t="n">
        <f aca="false">K5047*L5047/60</f>
        <v>19.355198572066</v>
      </c>
    </row>
    <row r="5048" customFormat="false" ht="15" hidden="false" customHeight="false" outlineLevel="0" collapsed="false">
      <c r="A5048" s="216"/>
      <c r="B5048" s="78"/>
      <c r="C5048" s="1161" t="s">
        <v>7256</v>
      </c>
      <c r="D5048" s="317" t="n">
        <v>2005</v>
      </c>
      <c r="E5048" s="1365" t="n">
        <v>5</v>
      </c>
      <c r="F5048" s="1365" t="n">
        <v>197664</v>
      </c>
      <c r="G5048" s="1364" t="n">
        <v>0.1</v>
      </c>
      <c r="H5048" s="1365" t="n">
        <f aca="false">E5048*F5048*G5048</f>
        <v>98832</v>
      </c>
      <c r="I5048" s="1365" t="n">
        <f aca="false">F5048-H5048</f>
        <v>98832</v>
      </c>
      <c r="J5048" s="1365" t="n">
        <f aca="false">F5048*G5048</f>
        <v>19766.4</v>
      </c>
      <c r="K5048" s="1365" t="n">
        <f aca="false">J5048/1792.8</f>
        <v>11.0254350736278</v>
      </c>
      <c r="L5048" s="1365" t="n">
        <v>180</v>
      </c>
      <c r="M5048" s="1273" t="n">
        <f aca="false">K5048*L5048/60</f>
        <v>33.0763052208835</v>
      </c>
    </row>
    <row r="5049" customFormat="false" ht="15" hidden="false" customHeight="false" outlineLevel="0" collapsed="false">
      <c r="A5049" s="216"/>
      <c r="B5049" s="78"/>
      <c r="C5049" s="1161" t="s">
        <v>7158</v>
      </c>
      <c r="D5049" s="317" t="n">
        <v>2004</v>
      </c>
      <c r="E5049" s="1365" t="n">
        <v>6</v>
      </c>
      <c r="F5049" s="1365" t="n">
        <v>6985000</v>
      </c>
      <c r="G5049" s="1364" t="n">
        <v>0.1</v>
      </c>
      <c r="H5049" s="1365" t="n">
        <f aca="false">E5049*F5049*G5049</f>
        <v>4191000</v>
      </c>
      <c r="I5049" s="1365" t="n">
        <f aca="false">F5049-H5049</f>
        <v>2794000</v>
      </c>
      <c r="J5049" s="1365" t="n">
        <f aca="false">F5049*G5049</f>
        <v>698500</v>
      </c>
      <c r="K5049" s="1365" t="n">
        <f aca="false">J5049/1792.8</f>
        <v>389.614011601963</v>
      </c>
      <c r="L5049" s="1365" t="n">
        <v>15</v>
      </c>
      <c r="M5049" s="1273" t="n">
        <f aca="false">K5049*L5049/60</f>
        <v>97.4035029004909</v>
      </c>
    </row>
    <row r="5050" customFormat="false" ht="15" hidden="false" customHeight="false" outlineLevel="0" collapsed="false">
      <c r="A5050" s="216"/>
      <c r="B5050" s="78"/>
      <c r="C5050" s="1161" t="s">
        <v>7255</v>
      </c>
      <c r="D5050" s="317" t="n">
        <v>2004</v>
      </c>
      <c r="E5050" s="1365" t="n">
        <v>6</v>
      </c>
      <c r="F5050" s="1365" t="n">
        <v>6985000</v>
      </c>
      <c r="G5050" s="1364" t="n">
        <v>0.1</v>
      </c>
      <c r="H5050" s="1365" t="n">
        <f aca="false">E5050*F5050*G5050</f>
        <v>4191000</v>
      </c>
      <c r="I5050" s="1365" t="n">
        <f aca="false">F5050-H5050</f>
        <v>2794000</v>
      </c>
      <c r="J5050" s="1365" t="n">
        <f aca="false">F5050*G5050</f>
        <v>698500</v>
      </c>
      <c r="K5050" s="1365" t="n">
        <f aca="false">J5050/1792.8</f>
        <v>389.614011601963</v>
      </c>
      <c r="L5050" s="1365" t="n">
        <v>20</v>
      </c>
      <c r="M5050" s="1273" t="n">
        <f aca="false">K5050*L5050/60</f>
        <v>129.871337200654</v>
      </c>
    </row>
    <row r="5051" customFormat="false" ht="15" hidden="false" customHeight="false" outlineLevel="0" collapsed="false">
      <c r="A5051" s="216"/>
      <c r="B5051" s="78"/>
      <c r="C5051" s="1160"/>
      <c r="D5051" s="135"/>
      <c r="E5051" s="1370"/>
      <c r="F5051" s="1370"/>
      <c r="G5051" s="1372" t="n">
        <v>0.1</v>
      </c>
      <c r="H5051" s="1365" t="n">
        <f aca="false">E5051*F5051*G5051</f>
        <v>0</v>
      </c>
      <c r="I5051" s="1365" t="n">
        <f aca="false">F5051-H5051</f>
        <v>0</v>
      </c>
      <c r="J5051" s="1365" t="n">
        <f aca="false">F5051*G5051</f>
        <v>0</v>
      </c>
      <c r="K5051" s="1365" t="n">
        <f aca="false">J5051/1792.8</f>
        <v>0</v>
      </c>
      <c r="L5051" s="1370" t="n">
        <f aca="false">SUM(L5045:L5050)</f>
        <v>1745</v>
      </c>
      <c r="M5051" s="1370" t="n">
        <f aca="false">SUM(M5045:M5050)</f>
        <v>560.950208240369</v>
      </c>
    </row>
    <row r="5052" customFormat="false" ht="30" hidden="false" customHeight="false" outlineLevel="0" collapsed="false">
      <c r="A5052" s="216" t="s">
        <v>6438</v>
      </c>
      <c r="B5052" s="40" t="s">
        <v>6439</v>
      </c>
      <c r="C5052" s="1161"/>
      <c r="D5052" s="317"/>
      <c r="E5052" s="1365"/>
      <c r="F5052" s="1365"/>
      <c r="G5052" s="1364" t="n">
        <v>0.1</v>
      </c>
      <c r="H5052" s="1365" t="n">
        <f aca="false">E5052*F5052*G5052</f>
        <v>0</v>
      </c>
      <c r="I5052" s="1365" t="n">
        <f aca="false">F5052-H5052</f>
        <v>0</v>
      </c>
      <c r="J5052" s="1365" t="n">
        <f aca="false">F5052*G5052</f>
        <v>0</v>
      </c>
      <c r="K5052" s="1365" t="n">
        <f aca="false">J5052/1792.8</f>
        <v>0</v>
      </c>
      <c r="L5052" s="1365"/>
      <c r="M5052" s="1273"/>
    </row>
    <row r="5053" customFormat="false" ht="15" hidden="false" customHeight="false" outlineLevel="0" collapsed="false">
      <c r="A5053" s="216"/>
      <c r="B5053" s="78"/>
      <c r="C5053" s="1161" t="s">
        <v>7247</v>
      </c>
      <c r="D5053" s="317" t="n">
        <v>2004</v>
      </c>
      <c r="E5053" s="1365" t="n">
        <v>6</v>
      </c>
      <c r="F5053" s="1365" t="n">
        <v>202860</v>
      </c>
      <c r="G5053" s="1364" t="n">
        <v>0.1</v>
      </c>
      <c r="H5053" s="1365" t="n">
        <f aca="false">E5053*F5053*G5053</f>
        <v>121716</v>
      </c>
      <c r="I5053" s="1365" t="n">
        <f aca="false">F5053-H5053</f>
        <v>81144</v>
      </c>
      <c r="J5053" s="1365" t="n">
        <f aca="false">F5053*G5053</f>
        <v>20286</v>
      </c>
      <c r="K5053" s="1365" t="n">
        <f aca="false">J5053/1792.8</f>
        <v>11.3152610441767</v>
      </c>
      <c r="L5053" s="1365" t="n">
        <v>1440</v>
      </c>
      <c r="M5053" s="1273" t="n">
        <f aca="false">K5053*L5053/60</f>
        <v>271.566265060241</v>
      </c>
    </row>
    <row r="5054" customFormat="false" ht="30" hidden="false" customHeight="false" outlineLevel="0" collapsed="false">
      <c r="A5054" s="216"/>
      <c r="B5054" s="78"/>
      <c r="C5054" s="1161" t="s">
        <v>7250</v>
      </c>
      <c r="D5054" s="317" t="n">
        <v>2005</v>
      </c>
      <c r="E5054" s="1365" t="n">
        <v>5</v>
      </c>
      <c r="F5054" s="1365" t="n">
        <v>347000</v>
      </c>
      <c r="G5054" s="1364" t="n">
        <v>0.1</v>
      </c>
      <c r="H5054" s="1365" t="n">
        <f aca="false">E5054*F5054*G5054</f>
        <v>173500</v>
      </c>
      <c r="I5054" s="1365" t="n">
        <f aca="false">F5054-H5054</f>
        <v>173500</v>
      </c>
      <c r="J5054" s="1365" t="n">
        <f aca="false">F5054*G5054</f>
        <v>34700</v>
      </c>
      <c r="K5054" s="1365" t="n">
        <f aca="false">J5054/1792.8</f>
        <v>19.355198572066</v>
      </c>
      <c r="L5054" s="1365" t="n">
        <v>40</v>
      </c>
      <c r="M5054" s="1273" t="n">
        <f aca="false">K5054*L5054/60</f>
        <v>12.9034657147107</v>
      </c>
    </row>
    <row r="5055" customFormat="false" ht="15" hidden="false" customHeight="false" outlineLevel="0" collapsed="false">
      <c r="A5055" s="216"/>
      <c r="B5055" s="78"/>
      <c r="C5055" s="1161" t="s">
        <v>7245</v>
      </c>
      <c r="D5055" s="317" t="n">
        <v>2005</v>
      </c>
      <c r="E5055" s="1365" t="n">
        <v>5</v>
      </c>
      <c r="F5055" s="1365" t="n">
        <v>347000</v>
      </c>
      <c r="G5055" s="1364" t="n">
        <v>0.1</v>
      </c>
      <c r="H5055" s="1365" t="n">
        <f aca="false">E5055*F5055*G5055</f>
        <v>173500</v>
      </c>
      <c r="I5055" s="1365" t="n">
        <f aca="false">F5055-H5055</f>
        <v>173500</v>
      </c>
      <c r="J5055" s="1365" t="n">
        <f aca="false">F5055*G5055</f>
        <v>34700</v>
      </c>
      <c r="K5055" s="1365" t="n">
        <f aca="false">J5055/1792.8</f>
        <v>19.355198572066</v>
      </c>
      <c r="L5055" s="1365" t="n">
        <v>30</v>
      </c>
      <c r="M5055" s="1273" t="n">
        <f aca="false">K5055*L5055/60</f>
        <v>9.67759928603302</v>
      </c>
    </row>
    <row r="5056" customFormat="false" ht="15" hidden="false" customHeight="false" outlineLevel="0" collapsed="false">
      <c r="A5056" s="216"/>
      <c r="B5056" s="78"/>
      <c r="C5056" s="1161" t="s">
        <v>7170</v>
      </c>
      <c r="D5056" s="317" t="n">
        <v>2004</v>
      </c>
      <c r="E5056" s="1365" t="n">
        <v>6</v>
      </c>
      <c r="F5056" s="1365" t="n">
        <v>196670</v>
      </c>
      <c r="G5056" s="1364" t="n">
        <v>0.1</v>
      </c>
      <c r="H5056" s="1365" t="n">
        <f aca="false">E5056*F5056*G5056</f>
        <v>118002</v>
      </c>
      <c r="I5056" s="1365" t="n">
        <f aca="false">F5056-H5056</f>
        <v>78668</v>
      </c>
      <c r="J5056" s="1365" t="n">
        <f aca="false">F5056*G5056</f>
        <v>19667</v>
      </c>
      <c r="K5056" s="1365" t="n">
        <f aca="false">J5056/1792.8</f>
        <v>10.9699910754128</v>
      </c>
      <c r="L5056" s="1365" t="n">
        <v>15</v>
      </c>
      <c r="M5056" s="1273" t="n">
        <f aca="false">K5056*L5056/60</f>
        <v>2.74249776885319</v>
      </c>
    </row>
    <row r="5057" customFormat="false" ht="15" hidden="false" customHeight="false" outlineLevel="0" collapsed="false">
      <c r="A5057" s="216"/>
      <c r="B5057" s="78"/>
      <c r="C5057" s="1161" t="s">
        <v>7191</v>
      </c>
      <c r="D5057" s="317" t="n">
        <v>2005</v>
      </c>
      <c r="E5057" s="1365" t="n">
        <v>5</v>
      </c>
      <c r="F5057" s="1365" t="n">
        <v>347000</v>
      </c>
      <c r="G5057" s="1364" t="n">
        <v>0.1</v>
      </c>
      <c r="H5057" s="1365" t="n">
        <f aca="false">E5057*F5057*G5057</f>
        <v>173500</v>
      </c>
      <c r="I5057" s="1365" t="n">
        <f aca="false">F5057-H5057</f>
        <v>173500</v>
      </c>
      <c r="J5057" s="1365" t="n">
        <f aca="false">F5057*G5057</f>
        <v>34700</v>
      </c>
      <c r="K5057" s="1365" t="n">
        <f aca="false">J5057/1792.8</f>
        <v>19.355198572066</v>
      </c>
      <c r="L5057" s="1365" t="n">
        <v>40</v>
      </c>
      <c r="M5057" s="1273" t="n">
        <f aca="false">K5057*L5057/60</f>
        <v>12.9034657147107</v>
      </c>
    </row>
    <row r="5058" customFormat="false" ht="15" hidden="false" customHeight="false" outlineLevel="0" collapsed="false">
      <c r="A5058" s="216"/>
      <c r="B5058" s="78"/>
      <c r="C5058" s="1161" t="s">
        <v>7158</v>
      </c>
      <c r="D5058" s="317" t="n">
        <v>2004</v>
      </c>
      <c r="E5058" s="1365" t="n">
        <v>6</v>
      </c>
      <c r="F5058" s="1365" t="n">
        <v>6985000</v>
      </c>
      <c r="G5058" s="1364" t="n">
        <v>0.1</v>
      </c>
      <c r="H5058" s="1365" t="n">
        <f aca="false">E5058*F5058*G5058</f>
        <v>4191000</v>
      </c>
      <c r="I5058" s="1365" t="n">
        <f aca="false">F5058-H5058</f>
        <v>2794000</v>
      </c>
      <c r="J5058" s="1365" t="n">
        <f aca="false">F5058*G5058</f>
        <v>698500</v>
      </c>
      <c r="K5058" s="1365" t="n">
        <f aca="false">J5058/1792.8</f>
        <v>389.614011601963</v>
      </c>
      <c r="L5058" s="1365" t="n">
        <v>20</v>
      </c>
      <c r="M5058" s="1273" t="n">
        <f aca="false">K5058*L5058/60</f>
        <v>129.871337200654</v>
      </c>
    </row>
    <row r="5059" customFormat="false" ht="15" hidden="false" customHeight="false" outlineLevel="0" collapsed="false">
      <c r="A5059" s="216"/>
      <c r="B5059" s="78"/>
      <c r="C5059" s="1160"/>
      <c r="D5059" s="135"/>
      <c r="E5059" s="1370"/>
      <c r="F5059" s="1370"/>
      <c r="G5059" s="1372" t="n">
        <v>0.1</v>
      </c>
      <c r="H5059" s="1365" t="n">
        <f aca="false">E5059*F5059*G5059</f>
        <v>0</v>
      </c>
      <c r="I5059" s="1365" t="n">
        <f aca="false">F5059-H5059</f>
        <v>0</v>
      </c>
      <c r="J5059" s="1365" t="n">
        <f aca="false">F5059*G5059</f>
        <v>0</v>
      </c>
      <c r="K5059" s="1365" t="n">
        <f aca="false">J5059/1792.8</f>
        <v>0</v>
      </c>
      <c r="L5059" s="1370" t="n">
        <f aca="false">SUM(L5052:L5058)</f>
        <v>1585</v>
      </c>
      <c r="M5059" s="1366" t="n">
        <f aca="false">SUM(M5052:M5058)</f>
        <v>439.664630745203</v>
      </c>
    </row>
    <row r="5060" customFormat="false" ht="15" hidden="false" customHeight="false" outlineLevel="0" collapsed="false">
      <c r="A5060" s="350" t="s">
        <v>2315</v>
      </c>
      <c r="B5060" s="509" t="s">
        <v>2316</v>
      </c>
      <c r="C5060" s="1569"/>
      <c r="D5060" s="339"/>
      <c r="E5060" s="1246"/>
      <c r="F5060" s="1246"/>
      <c r="G5060" s="1570"/>
      <c r="H5060" s="1512"/>
      <c r="I5060" s="1512"/>
      <c r="J5060" s="1512"/>
      <c r="K5060" s="1512"/>
      <c r="L5060" s="1246"/>
      <c r="M5060" s="1250"/>
    </row>
    <row r="5061" customFormat="false" ht="30" hidden="false" customHeight="false" outlineLevel="0" collapsed="false">
      <c r="A5061" s="216" t="s">
        <v>6442</v>
      </c>
      <c r="B5061" s="40" t="s">
        <v>6443</v>
      </c>
      <c r="C5061" s="1161"/>
      <c r="D5061" s="317"/>
      <c r="E5061" s="1365"/>
      <c r="F5061" s="1365"/>
      <c r="G5061" s="1364"/>
      <c r="H5061" s="1365"/>
      <c r="I5061" s="1365"/>
      <c r="J5061" s="1365"/>
      <c r="K5061" s="1365"/>
      <c r="L5061" s="1365"/>
      <c r="M5061" s="1273"/>
    </row>
    <row r="5062" customFormat="false" ht="15" hidden="false" customHeight="false" outlineLevel="0" collapsed="false">
      <c r="A5062" s="216"/>
      <c r="B5062" s="78"/>
      <c r="C5062" s="1161" t="s">
        <v>7247</v>
      </c>
      <c r="D5062" s="317" t="n">
        <v>2004</v>
      </c>
      <c r="E5062" s="1365" t="n">
        <v>6</v>
      </c>
      <c r="F5062" s="1365" t="n">
        <v>202860</v>
      </c>
      <c r="G5062" s="1364" t="n">
        <v>0.1</v>
      </c>
      <c r="H5062" s="1365" t="n">
        <f aca="false">E5062*F5062*G5062</f>
        <v>121716</v>
      </c>
      <c r="I5062" s="1365" t="n">
        <f aca="false">F5062-H5062</f>
        <v>81144</v>
      </c>
      <c r="J5062" s="1365" t="n">
        <f aca="false">F5062*G5062</f>
        <v>20286</v>
      </c>
      <c r="K5062" s="1365" t="n">
        <f aca="false">J5062/1792.8</f>
        <v>11.3152610441767</v>
      </c>
      <c r="L5062" s="1365" t="n">
        <v>1440</v>
      </c>
      <c r="M5062" s="1273" t="n">
        <f aca="false">K5062*L5062/60</f>
        <v>271.566265060241</v>
      </c>
    </row>
    <row r="5063" customFormat="false" ht="15" hidden="false" customHeight="false" outlineLevel="0" collapsed="false">
      <c r="A5063" s="216"/>
      <c r="B5063" s="78"/>
      <c r="C5063" s="1161" t="s">
        <v>7254</v>
      </c>
      <c r="D5063" s="317" t="n">
        <v>2007</v>
      </c>
      <c r="E5063" s="1365" t="n">
        <v>3</v>
      </c>
      <c r="F5063" s="1365" t="n">
        <v>1638000</v>
      </c>
      <c r="G5063" s="1364" t="n">
        <v>0.1</v>
      </c>
      <c r="H5063" s="1365" t="n">
        <f aca="false">E5063*F5063*G5063</f>
        <v>491400</v>
      </c>
      <c r="I5063" s="1365" t="n">
        <f aca="false">F5063-H5063</f>
        <v>1146600</v>
      </c>
      <c r="J5063" s="1365" t="n">
        <f aca="false">F5063*G5063</f>
        <v>163800</v>
      </c>
      <c r="K5063" s="1365" t="n">
        <f aca="false">J5063/1792.8</f>
        <v>91.3654618473896</v>
      </c>
      <c r="L5063" s="1365"/>
      <c r="M5063" s="1273" t="n">
        <f aca="false">K5063*L5063/60</f>
        <v>0</v>
      </c>
    </row>
    <row r="5064" customFormat="false" ht="15" hidden="false" customHeight="false" outlineLevel="0" collapsed="false">
      <c r="A5064" s="216"/>
      <c r="B5064" s="78"/>
      <c r="C5064" s="1161" t="s">
        <v>7158</v>
      </c>
      <c r="D5064" s="317" t="n">
        <v>2004</v>
      </c>
      <c r="E5064" s="1365" t="n">
        <v>6</v>
      </c>
      <c r="F5064" s="1365" t="n">
        <v>6985000</v>
      </c>
      <c r="G5064" s="1364" t="n">
        <v>0.1</v>
      </c>
      <c r="H5064" s="1365" t="n">
        <f aca="false">E5064*F5064*G5064</f>
        <v>4191000</v>
      </c>
      <c r="I5064" s="1365" t="n">
        <f aca="false">F5064-H5064</f>
        <v>2794000</v>
      </c>
      <c r="J5064" s="1365" t="n">
        <f aca="false">F5064*G5064</f>
        <v>698500</v>
      </c>
      <c r="K5064" s="1365" t="n">
        <f aca="false">J5064/1792.8</f>
        <v>389.614011601963</v>
      </c>
      <c r="L5064" s="1365" t="n">
        <v>20</v>
      </c>
      <c r="M5064" s="1273" t="n">
        <f aca="false">K5064*L5064/60</f>
        <v>129.871337200654</v>
      </c>
    </row>
    <row r="5065" customFormat="false" ht="15" hidden="false" customHeight="false" outlineLevel="0" collapsed="false">
      <c r="A5065" s="216"/>
      <c r="B5065" s="78"/>
      <c r="C5065" s="1161" t="s">
        <v>7249</v>
      </c>
      <c r="D5065" s="317" t="n">
        <v>2005</v>
      </c>
      <c r="E5065" s="1365" t="n">
        <v>5</v>
      </c>
      <c r="F5065" s="1365" t="n">
        <v>347000</v>
      </c>
      <c r="G5065" s="1364" t="n">
        <v>0.1</v>
      </c>
      <c r="H5065" s="1365" t="n">
        <f aca="false">E5065*F5065*G5065</f>
        <v>173500</v>
      </c>
      <c r="I5065" s="1365" t="n">
        <f aca="false">F5065-H5065</f>
        <v>173500</v>
      </c>
      <c r="J5065" s="1365" t="n">
        <f aca="false">F5065*G5065</f>
        <v>34700</v>
      </c>
      <c r="K5065" s="1365" t="n">
        <f aca="false">J5065/1792.8</f>
        <v>19.355198572066</v>
      </c>
      <c r="L5065" s="1365" t="n">
        <v>20</v>
      </c>
      <c r="M5065" s="1273" t="n">
        <f aca="false">K5065*L5065/60</f>
        <v>6.45173285735535</v>
      </c>
    </row>
    <row r="5066" customFormat="false" ht="15" hidden="false" customHeight="false" outlineLevel="0" collapsed="false">
      <c r="A5066" s="216"/>
      <c r="B5066" s="78"/>
      <c r="C5066" s="1161" t="s">
        <v>7245</v>
      </c>
      <c r="D5066" s="317" t="n">
        <v>2005</v>
      </c>
      <c r="E5066" s="1365" t="n">
        <v>5</v>
      </c>
      <c r="F5066" s="1365" t="n">
        <v>347000</v>
      </c>
      <c r="G5066" s="1364" t="n">
        <v>0.1</v>
      </c>
      <c r="H5066" s="1365" t="n">
        <f aca="false">E5066*F5066*G5066</f>
        <v>173500</v>
      </c>
      <c r="I5066" s="1365" t="n">
        <f aca="false">F5066-H5066</f>
        <v>173500</v>
      </c>
      <c r="J5066" s="1365" t="n">
        <f aca="false">F5066*G5066</f>
        <v>34700</v>
      </c>
      <c r="K5066" s="1365" t="n">
        <f aca="false">J5066/1792.8</f>
        <v>19.355198572066</v>
      </c>
      <c r="L5066" s="1365" t="n">
        <v>30</v>
      </c>
      <c r="M5066" s="1273" t="n">
        <f aca="false">K5066*L5066/60</f>
        <v>9.67759928603302</v>
      </c>
    </row>
    <row r="5067" customFormat="false" ht="15" hidden="false" customHeight="false" outlineLevel="0" collapsed="false">
      <c r="A5067" s="216"/>
      <c r="B5067" s="78"/>
      <c r="C5067" s="1161" t="s">
        <v>7255</v>
      </c>
      <c r="D5067" s="317" t="n">
        <v>2004</v>
      </c>
      <c r="E5067" s="1365" t="n">
        <v>6</v>
      </c>
      <c r="F5067" s="1365" t="n">
        <v>6985000</v>
      </c>
      <c r="G5067" s="1364" t="n">
        <v>0.1</v>
      </c>
      <c r="H5067" s="1365" t="n">
        <f aca="false">E5067*F5067*G5067</f>
        <v>4191000</v>
      </c>
      <c r="I5067" s="1365" t="n">
        <f aca="false">F5067-H5067</f>
        <v>2794000</v>
      </c>
      <c r="J5067" s="1365" t="n">
        <f aca="false">F5067*G5067</f>
        <v>698500</v>
      </c>
      <c r="K5067" s="1365" t="n">
        <f aca="false">J5067/1792.8</f>
        <v>389.614011601963</v>
      </c>
      <c r="L5067" s="1365" t="n">
        <v>20</v>
      </c>
      <c r="M5067" s="1273" t="n">
        <f aca="false">K5067*L5067/60</f>
        <v>129.871337200654</v>
      </c>
    </row>
    <row r="5068" customFormat="false" ht="15" hidden="false" customHeight="false" outlineLevel="0" collapsed="false">
      <c r="A5068" s="216"/>
      <c r="B5068" s="78"/>
      <c r="C5068" s="1161" t="s">
        <v>7256</v>
      </c>
      <c r="D5068" s="317" t="n">
        <v>2005</v>
      </c>
      <c r="E5068" s="1365" t="n">
        <v>5</v>
      </c>
      <c r="F5068" s="1365" t="n">
        <v>197664</v>
      </c>
      <c r="G5068" s="1364" t="n">
        <v>0.1</v>
      </c>
      <c r="H5068" s="1365" t="n">
        <f aca="false">E5068*F5068*G5068</f>
        <v>98832</v>
      </c>
      <c r="I5068" s="1365" t="n">
        <f aca="false">F5068-H5068</f>
        <v>98832</v>
      </c>
      <c r="J5068" s="1365" t="n">
        <f aca="false">F5068*G5068</f>
        <v>19766.4</v>
      </c>
      <c r="K5068" s="1365" t="n">
        <f aca="false">J5068/1792.8</f>
        <v>11.0254350736278</v>
      </c>
      <c r="L5068" s="1365" t="n">
        <v>180</v>
      </c>
      <c r="M5068" s="1273" t="n">
        <f aca="false">K5068*L5068/60</f>
        <v>33.0763052208835</v>
      </c>
    </row>
    <row r="5069" customFormat="false" ht="15" hidden="false" customHeight="false" outlineLevel="0" collapsed="false">
      <c r="A5069" s="216"/>
      <c r="B5069" s="78"/>
      <c r="C5069" s="1160"/>
      <c r="D5069" s="135"/>
      <c r="E5069" s="1370"/>
      <c r="F5069" s="1370"/>
      <c r="G5069" s="1372" t="n">
        <v>0.1</v>
      </c>
      <c r="H5069" s="1365" t="n">
        <f aca="false">E5069*F5069*G5069</f>
        <v>0</v>
      </c>
      <c r="I5069" s="1365" t="n">
        <f aca="false">F5069-H5069</f>
        <v>0</v>
      </c>
      <c r="J5069" s="1365" t="n">
        <f aca="false">F5069*G5069</f>
        <v>0</v>
      </c>
      <c r="K5069" s="1365" t="n">
        <f aca="false">J5069/1792.8</f>
        <v>0</v>
      </c>
      <c r="L5069" s="1370" t="n">
        <f aca="false">SUM(L5062:L5068)</f>
        <v>1710</v>
      </c>
      <c r="M5069" s="1366" t="n">
        <f aca="false">SUM(M5061:M5068)</f>
        <v>580.514576825822</v>
      </c>
    </row>
    <row r="5070" customFormat="false" ht="30" hidden="false" customHeight="false" outlineLevel="0" collapsed="false">
      <c r="A5070" s="216" t="s">
        <v>6452</v>
      </c>
      <c r="B5070" s="40" t="s">
        <v>3891</v>
      </c>
      <c r="C5070" s="1161"/>
      <c r="D5070" s="317"/>
      <c r="E5070" s="1365"/>
      <c r="F5070" s="1365"/>
      <c r="G5070" s="1364"/>
      <c r="H5070" s="1365"/>
      <c r="I5070" s="1365"/>
      <c r="J5070" s="1365"/>
      <c r="K5070" s="1365"/>
      <c r="L5070" s="1365"/>
      <c r="M5070" s="1273"/>
    </row>
    <row r="5071" customFormat="false" ht="15" hidden="false" customHeight="false" outlineLevel="0" collapsed="false">
      <c r="A5071" s="216"/>
      <c r="B5071" s="78"/>
      <c r="C5071" s="1161" t="s">
        <v>7247</v>
      </c>
      <c r="D5071" s="317" t="n">
        <v>2004</v>
      </c>
      <c r="E5071" s="1365" t="n">
        <v>6</v>
      </c>
      <c r="F5071" s="1365" t="n">
        <v>202860</v>
      </c>
      <c r="G5071" s="1364" t="n">
        <v>0.1</v>
      </c>
      <c r="H5071" s="1365" t="n">
        <f aca="false">E5071*F5071*G5071</f>
        <v>121716</v>
      </c>
      <c r="I5071" s="1365" t="n">
        <f aca="false">F5071-H5071</f>
        <v>81144</v>
      </c>
      <c r="J5071" s="1365" t="n">
        <f aca="false">F5071*G5071</f>
        <v>20286</v>
      </c>
      <c r="K5071" s="1365" t="n">
        <f aca="false">J5071/1792.8</f>
        <v>11.3152610441767</v>
      </c>
      <c r="L5071" s="1365" t="n">
        <v>1440</v>
      </c>
      <c r="M5071" s="1273" t="n">
        <f aca="false">K5071*L5071/60</f>
        <v>271.566265060241</v>
      </c>
    </row>
    <row r="5072" customFormat="false" ht="15" hidden="false" customHeight="false" outlineLevel="0" collapsed="false">
      <c r="A5072" s="216"/>
      <c r="B5072" s="78"/>
      <c r="C5072" s="1161" t="s">
        <v>7245</v>
      </c>
      <c r="D5072" s="317" t="n">
        <v>2005</v>
      </c>
      <c r="E5072" s="1365" t="n">
        <v>5</v>
      </c>
      <c r="F5072" s="1365" t="n">
        <v>347000</v>
      </c>
      <c r="G5072" s="1364" t="n">
        <v>0.1</v>
      </c>
      <c r="H5072" s="1365" t="n">
        <f aca="false">E5072*F5072*G5072</f>
        <v>173500</v>
      </c>
      <c r="I5072" s="1365" t="n">
        <f aca="false">F5072-H5072</f>
        <v>173500</v>
      </c>
      <c r="J5072" s="1365" t="n">
        <f aca="false">F5072*G5072</f>
        <v>34700</v>
      </c>
      <c r="K5072" s="1365" t="n">
        <f aca="false">J5072/1792.8</f>
        <v>19.355198572066</v>
      </c>
      <c r="L5072" s="1365" t="n">
        <v>30</v>
      </c>
      <c r="M5072" s="1273" t="n">
        <f aca="false">K5072*L5072/60</f>
        <v>9.67759928603302</v>
      </c>
    </row>
    <row r="5073" customFormat="false" ht="15" hidden="false" customHeight="false" outlineLevel="0" collapsed="false">
      <c r="A5073" s="216"/>
      <c r="B5073" s="78"/>
      <c r="C5073" s="1161" t="s">
        <v>7191</v>
      </c>
      <c r="D5073" s="317" t="n">
        <v>2005</v>
      </c>
      <c r="E5073" s="1365" t="n">
        <v>5</v>
      </c>
      <c r="F5073" s="1365" t="n">
        <v>347000</v>
      </c>
      <c r="G5073" s="1364" t="n">
        <v>0.1</v>
      </c>
      <c r="H5073" s="1365" t="n">
        <f aca="false">E5073*F5073*G5073</f>
        <v>173500</v>
      </c>
      <c r="I5073" s="1365" t="n">
        <f aca="false">F5073-H5073</f>
        <v>173500</v>
      </c>
      <c r="J5073" s="1365" t="n">
        <f aca="false">F5073*G5073</f>
        <v>34700</v>
      </c>
      <c r="K5073" s="1365" t="n">
        <f aca="false">J5073/1792.8</f>
        <v>19.355198572066</v>
      </c>
      <c r="L5073" s="1365" t="n">
        <v>60</v>
      </c>
      <c r="M5073" s="1273" t="n">
        <f aca="false">K5073*L5073/60</f>
        <v>19.355198572066</v>
      </c>
    </row>
    <row r="5074" customFormat="false" ht="15" hidden="false" customHeight="false" outlineLevel="0" collapsed="false">
      <c r="A5074" s="216"/>
      <c r="B5074" s="78"/>
      <c r="C5074" s="1161" t="s">
        <v>7256</v>
      </c>
      <c r="D5074" s="317" t="n">
        <v>2005</v>
      </c>
      <c r="E5074" s="1365" t="n">
        <v>5</v>
      </c>
      <c r="F5074" s="1365" t="n">
        <v>197664</v>
      </c>
      <c r="G5074" s="1364" t="n">
        <v>0.1</v>
      </c>
      <c r="H5074" s="1365" t="n">
        <f aca="false">E5074*F5074*G5074</f>
        <v>98832</v>
      </c>
      <c r="I5074" s="1365" t="n">
        <f aca="false">F5074-H5074</f>
        <v>98832</v>
      </c>
      <c r="J5074" s="1365" t="n">
        <f aca="false">F5074*G5074</f>
        <v>19766.4</v>
      </c>
      <c r="K5074" s="1365" t="n">
        <f aca="false">J5074/1792.8</f>
        <v>11.0254350736278</v>
      </c>
      <c r="L5074" s="1365" t="n">
        <v>180</v>
      </c>
      <c r="M5074" s="1273" t="n">
        <f aca="false">K5074*L5074/60</f>
        <v>33.0763052208835</v>
      </c>
    </row>
    <row r="5075" customFormat="false" ht="15" hidden="false" customHeight="false" outlineLevel="0" collapsed="false">
      <c r="A5075" s="216"/>
      <c r="B5075" s="78"/>
      <c r="C5075" s="1161" t="s">
        <v>7158</v>
      </c>
      <c r="D5075" s="317" t="n">
        <v>2004</v>
      </c>
      <c r="E5075" s="1365" t="n">
        <v>6</v>
      </c>
      <c r="F5075" s="1365" t="n">
        <v>6985000</v>
      </c>
      <c r="G5075" s="1364" t="n">
        <v>0.1</v>
      </c>
      <c r="H5075" s="1365" t="n">
        <f aca="false">E5075*F5075*G5075</f>
        <v>4191000</v>
      </c>
      <c r="I5075" s="1365" t="n">
        <f aca="false">F5075-H5075</f>
        <v>2794000</v>
      </c>
      <c r="J5075" s="1365" t="n">
        <f aca="false">F5075*G5075</f>
        <v>698500</v>
      </c>
      <c r="K5075" s="1365" t="n">
        <f aca="false">J5075/1792.8</f>
        <v>389.614011601963</v>
      </c>
      <c r="L5075" s="1365" t="n">
        <v>20</v>
      </c>
      <c r="M5075" s="1273" t="n">
        <f aca="false">K5075*L5075/60</f>
        <v>129.871337200654</v>
      </c>
    </row>
    <row r="5076" customFormat="false" ht="15" hidden="false" customHeight="false" outlineLevel="0" collapsed="false">
      <c r="A5076" s="216"/>
      <c r="B5076" s="78"/>
      <c r="C5076" s="1161" t="s">
        <v>7255</v>
      </c>
      <c r="D5076" s="317" t="n">
        <v>2004</v>
      </c>
      <c r="E5076" s="1365" t="n">
        <v>6</v>
      </c>
      <c r="F5076" s="1365" t="n">
        <v>6985000</v>
      </c>
      <c r="G5076" s="1364" t="n">
        <v>0.1</v>
      </c>
      <c r="H5076" s="1365" t="n">
        <f aca="false">E5076*F5076*G5076</f>
        <v>4191000</v>
      </c>
      <c r="I5076" s="1365" t="n">
        <f aca="false">F5076-H5076</f>
        <v>2794000</v>
      </c>
      <c r="J5076" s="1365" t="n">
        <f aca="false">F5076*G5076</f>
        <v>698500</v>
      </c>
      <c r="K5076" s="1365" t="n">
        <f aca="false">J5076/1792.8</f>
        <v>389.614011601963</v>
      </c>
      <c r="L5076" s="1365" t="n">
        <v>20</v>
      </c>
      <c r="M5076" s="1273" t="n">
        <f aca="false">K5076*L5076/60</f>
        <v>129.871337200654</v>
      </c>
    </row>
    <row r="5077" s="311" customFormat="true" ht="15" hidden="false" customHeight="false" outlineLevel="0" collapsed="false">
      <c r="A5077" s="316"/>
      <c r="C5077" s="1160"/>
      <c r="D5077" s="135"/>
      <c r="E5077" s="1370"/>
      <c r="F5077" s="1370"/>
      <c r="G5077" s="1372" t="n">
        <v>0.1</v>
      </c>
      <c r="H5077" s="1365" t="n">
        <f aca="false">E5077*F5077*G5077</f>
        <v>0</v>
      </c>
      <c r="I5077" s="1365" t="n">
        <f aca="false">F5077-H5077</f>
        <v>0</v>
      </c>
      <c r="J5077" s="1365" t="n">
        <f aca="false">F5077*G5077</f>
        <v>0</v>
      </c>
      <c r="K5077" s="1365" t="n">
        <f aca="false">J5077/1792.8</f>
        <v>0</v>
      </c>
      <c r="L5077" s="1370" t="n">
        <f aca="false">SUM(L5070:L5076)</f>
        <v>1750</v>
      </c>
      <c r="M5077" s="1366" t="n">
        <f aca="false">SUM(M5070:M5076)</f>
        <v>593.418042540533</v>
      </c>
    </row>
    <row r="5078" customFormat="false" ht="30" hidden="false" customHeight="false" outlineLevel="0" collapsed="false">
      <c r="A5078" s="216" t="s">
        <v>6454</v>
      </c>
      <c r="B5078" s="40" t="s">
        <v>6455</v>
      </c>
      <c r="C5078" s="1161"/>
      <c r="D5078" s="317"/>
      <c r="E5078" s="1365"/>
      <c r="F5078" s="1365"/>
      <c r="G5078" s="1364" t="n">
        <v>0.1</v>
      </c>
      <c r="H5078" s="1365" t="n">
        <f aca="false">E5078*F5078*G5078</f>
        <v>0</v>
      </c>
      <c r="I5078" s="1365" t="n">
        <f aca="false">F5078-H5078</f>
        <v>0</v>
      </c>
      <c r="J5078" s="1365" t="n">
        <f aca="false">F5078*G5078</f>
        <v>0</v>
      </c>
      <c r="K5078" s="1365" t="n">
        <f aca="false">J5078/1792.8</f>
        <v>0</v>
      </c>
      <c r="L5078" s="1365"/>
      <c r="M5078" s="1273"/>
    </row>
    <row r="5079" customFormat="false" ht="15" hidden="false" customHeight="false" outlineLevel="0" collapsed="false">
      <c r="A5079" s="216"/>
      <c r="B5079" s="78"/>
      <c r="C5079" s="1161" t="s">
        <v>7247</v>
      </c>
      <c r="D5079" s="317" t="n">
        <v>2004</v>
      </c>
      <c r="E5079" s="1365" t="n">
        <v>6</v>
      </c>
      <c r="F5079" s="1365" t="n">
        <v>202860</v>
      </c>
      <c r="G5079" s="1364" t="n">
        <v>0.1</v>
      </c>
      <c r="H5079" s="1365" t="n">
        <f aca="false">E5079*F5079*G5079</f>
        <v>121716</v>
      </c>
      <c r="I5079" s="1365" t="n">
        <f aca="false">F5079-H5079</f>
        <v>81144</v>
      </c>
      <c r="J5079" s="1365" t="n">
        <f aca="false">F5079*G5079</f>
        <v>20286</v>
      </c>
      <c r="K5079" s="1365" t="n">
        <f aca="false">J5079/1792.8</f>
        <v>11.3152610441767</v>
      </c>
      <c r="L5079" s="1365" t="n">
        <v>1440</v>
      </c>
      <c r="M5079" s="1273" t="n">
        <f aca="false">K5079*L5079/60</f>
        <v>271.566265060241</v>
      </c>
    </row>
    <row r="5080" customFormat="false" ht="30" hidden="false" customHeight="false" outlineLevel="0" collapsed="false">
      <c r="A5080" s="216"/>
      <c r="B5080" s="78"/>
      <c r="C5080" s="1161" t="s">
        <v>7250</v>
      </c>
      <c r="D5080" s="317" t="n">
        <v>2005</v>
      </c>
      <c r="E5080" s="1365" t="n">
        <v>5</v>
      </c>
      <c r="F5080" s="1365" t="n">
        <v>347000</v>
      </c>
      <c r="G5080" s="1364" t="n">
        <v>0.1</v>
      </c>
      <c r="H5080" s="1365" t="n">
        <f aca="false">E5080*F5080*G5080</f>
        <v>173500</v>
      </c>
      <c r="I5080" s="1365" t="n">
        <f aca="false">F5080-H5080</f>
        <v>173500</v>
      </c>
      <c r="J5080" s="1365" t="n">
        <f aca="false">F5080*G5080</f>
        <v>34700</v>
      </c>
      <c r="K5080" s="1365" t="n">
        <f aca="false">J5080/1792.8</f>
        <v>19.355198572066</v>
      </c>
      <c r="L5080" s="1365" t="n">
        <v>60</v>
      </c>
      <c r="M5080" s="1273" t="n">
        <f aca="false">K5080*L5080/60</f>
        <v>19.355198572066</v>
      </c>
    </row>
    <row r="5081" customFormat="false" ht="15" hidden="false" customHeight="false" outlineLevel="0" collapsed="false">
      <c r="A5081" s="216"/>
      <c r="B5081" s="78"/>
      <c r="C5081" s="1161" t="s">
        <v>7245</v>
      </c>
      <c r="D5081" s="317" t="n">
        <v>2005</v>
      </c>
      <c r="E5081" s="1365" t="n">
        <v>5</v>
      </c>
      <c r="F5081" s="1365" t="n">
        <v>347000</v>
      </c>
      <c r="G5081" s="1364" t="n">
        <v>0.1</v>
      </c>
      <c r="H5081" s="1365" t="n">
        <f aca="false">E5081*F5081*G5081</f>
        <v>173500</v>
      </c>
      <c r="I5081" s="1365" t="n">
        <f aca="false">F5081-H5081</f>
        <v>173500</v>
      </c>
      <c r="J5081" s="1365" t="n">
        <f aca="false">F5081*G5081</f>
        <v>34700</v>
      </c>
      <c r="K5081" s="1365" t="n">
        <f aca="false">J5081/1792.8</f>
        <v>19.355198572066</v>
      </c>
      <c r="L5081" s="1365" t="n">
        <v>30</v>
      </c>
      <c r="M5081" s="1273" t="n">
        <f aca="false">K5081*L5081/60</f>
        <v>9.67759928603302</v>
      </c>
    </row>
    <row r="5082" customFormat="false" ht="15" hidden="false" customHeight="false" outlineLevel="0" collapsed="false">
      <c r="A5082" s="216"/>
      <c r="B5082" s="78"/>
      <c r="C5082" s="1161" t="s">
        <v>7170</v>
      </c>
      <c r="D5082" s="317" t="n">
        <v>2004</v>
      </c>
      <c r="E5082" s="1365" t="n">
        <v>6</v>
      </c>
      <c r="F5082" s="1365" t="n">
        <v>196670</v>
      </c>
      <c r="G5082" s="1364" t="n">
        <v>0.1</v>
      </c>
      <c r="H5082" s="1365" t="n">
        <f aca="false">E5082*F5082*G5082</f>
        <v>118002</v>
      </c>
      <c r="I5082" s="1365" t="n">
        <f aca="false">F5082-H5082</f>
        <v>78668</v>
      </c>
      <c r="J5082" s="1365" t="n">
        <f aca="false">F5082*G5082</f>
        <v>19667</v>
      </c>
      <c r="K5082" s="1365" t="n">
        <f aca="false">J5082/1792.8</f>
        <v>10.9699910754128</v>
      </c>
      <c r="L5082" s="1365" t="n">
        <v>15</v>
      </c>
      <c r="M5082" s="1273" t="n">
        <f aca="false">K5082*L5082/60</f>
        <v>2.74249776885319</v>
      </c>
    </row>
    <row r="5083" customFormat="false" ht="15" hidden="false" customHeight="false" outlineLevel="0" collapsed="false">
      <c r="A5083" s="216"/>
      <c r="B5083" s="78"/>
      <c r="C5083" s="1161" t="s">
        <v>7191</v>
      </c>
      <c r="D5083" s="317" t="n">
        <v>2005</v>
      </c>
      <c r="E5083" s="1365" t="n">
        <v>5</v>
      </c>
      <c r="F5083" s="1365" t="n">
        <v>347000</v>
      </c>
      <c r="G5083" s="1364" t="n">
        <v>0.1</v>
      </c>
      <c r="H5083" s="1365" t="n">
        <f aca="false">E5083*F5083*G5083</f>
        <v>173500</v>
      </c>
      <c r="I5083" s="1365" t="n">
        <f aca="false">F5083-H5083</f>
        <v>173500</v>
      </c>
      <c r="J5083" s="1365" t="n">
        <f aca="false">F5083*G5083</f>
        <v>34700</v>
      </c>
      <c r="K5083" s="1365" t="n">
        <f aca="false">J5083/1792.8</f>
        <v>19.355198572066</v>
      </c>
      <c r="L5083" s="1365" t="n">
        <v>60</v>
      </c>
      <c r="M5083" s="1273" t="n">
        <f aca="false">K5083*L5083/60</f>
        <v>19.355198572066</v>
      </c>
    </row>
    <row r="5084" customFormat="false" ht="15" hidden="false" customHeight="false" outlineLevel="0" collapsed="false">
      <c r="A5084" s="216"/>
      <c r="B5084" s="78"/>
      <c r="C5084" s="1161" t="s">
        <v>7158</v>
      </c>
      <c r="D5084" s="317" t="n">
        <v>2004</v>
      </c>
      <c r="E5084" s="1365" t="n">
        <v>6</v>
      </c>
      <c r="F5084" s="1365" t="n">
        <v>6985000</v>
      </c>
      <c r="G5084" s="1364" t="n">
        <v>0.1</v>
      </c>
      <c r="H5084" s="1365" t="n">
        <f aca="false">E5084*F5084*G5084</f>
        <v>4191000</v>
      </c>
      <c r="I5084" s="1365" t="n">
        <f aca="false">F5084-H5084</f>
        <v>2794000</v>
      </c>
      <c r="J5084" s="1365" t="n">
        <f aca="false">F5084*G5084</f>
        <v>698500</v>
      </c>
      <c r="K5084" s="1365" t="n">
        <f aca="false">J5084/1792.8</f>
        <v>389.614011601963</v>
      </c>
      <c r="L5084" s="1365" t="n">
        <v>20</v>
      </c>
      <c r="M5084" s="1273" t="n">
        <f aca="false">K5084*L5084/60</f>
        <v>129.871337200654</v>
      </c>
    </row>
    <row r="5085" s="311" customFormat="true" ht="15" hidden="false" customHeight="false" outlineLevel="0" collapsed="false">
      <c r="A5085" s="316"/>
      <c r="C5085" s="1160"/>
      <c r="D5085" s="135"/>
      <c r="E5085" s="1370"/>
      <c r="F5085" s="1370"/>
      <c r="G5085" s="1372" t="n">
        <v>0.1</v>
      </c>
      <c r="H5085" s="1365" t="n">
        <f aca="false">E5085*F5085*G5085</f>
        <v>0</v>
      </c>
      <c r="I5085" s="1365" t="n">
        <f aca="false">F5085-H5085</f>
        <v>0</v>
      </c>
      <c r="J5085" s="1365" t="n">
        <f aca="false">F5085*G5085</f>
        <v>0</v>
      </c>
      <c r="K5085" s="1365" t="n">
        <f aca="false">J5085/1792.8</f>
        <v>0</v>
      </c>
      <c r="L5085" s="1370" t="n">
        <f aca="false">SUM(L5078:L5084)</f>
        <v>1625</v>
      </c>
      <c r="M5085" s="1366" t="n">
        <f aca="false">SUM(M5078:M5084)</f>
        <v>452.568096459914</v>
      </c>
    </row>
    <row r="5086" customFormat="false" ht="30" hidden="false" customHeight="false" outlineLevel="0" collapsed="false">
      <c r="A5086" s="216" t="s">
        <v>6457</v>
      </c>
      <c r="B5086" s="40" t="s">
        <v>6458</v>
      </c>
      <c r="C5086" s="1160"/>
      <c r="D5086" s="135"/>
      <c r="E5086" s="1370"/>
      <c r="F5086" s="1370"/>
      <c r="G5086" s="1372" t="n">
        <v>0.1</v>
      </c>
      <c r="H5086" s="1365" t="n">
        <f aca="false">E5086*F5086*G5086</f>
        <v>0</v>
      </c>
      <c r="I5086" s="1365" t="n">
        <f aca="false">F5086-H5086</f>
        <v>0</v>
      </c>
      <c r="J5086" s="1365" t="n">
        <f aca="false">F5086*G5086</f>
        <v>0</v>
      </c>
      <c r="K5086" s="1365" t="n">
        <f aca="false">J5086/1792.8</f>
        <v>0</v>
      </c>
      <c r="L5086" s="1370"/>
      <c r="M5086" s="1366"/>
    </row>
    <row r="5087" customFormat="false" ht="15" hidden="false" customHeight="false" outlineLevel="0" collapsed="false">
      <c r="A5087" s="216"/>
      <c r="B5087" s="78"/>
      <c r="C5087" s="1161" t="s">
        <v>7247</v>
      </c>
      <c r="D5087" s="317" t="n">
        <v>2004</v>
      </c>
      <c r="E5087" s="1365" t="n">
        <v>6</v>
      </c>
      <c r="F5087" s="1365" t="n">
        <v>202860</v>
      </c>
      <c r="G5087" s="1364" t="n">
        <v>0.1</v>
      </c>
      <c r="H5087" s="1365" t="n">
        <f aca="false">E5087*F5087*G5087</f>
        <v>121716</v>
      </c>
      <c r="I5087" s="1365" t="n">
        <f aca="false">F5087-H5087</f>
        <v>81144</v>
      </c>
      <c r="J5087" s="1365" t="n">
        <f aca="false">F5087*G5087</f>
        <v>20286</v>
      </c>
      <c r="K5087" s="1365" t="n">
        <f aca="false">J5087/1792.8</f>
        <v>11.3152610441767</v>
      </c>
      <c r="L5087" s="1365" t="n">
        <v>2880</v>
      </c>
      <c r="M5087" s="1273" t="n">
        <f aca="false">K5087*L5087/60</f>
        <v>543.132530120482</v>
      </c>
    </row>
    <row r="5088" customFormat="false" ht="30" hidden="false" customHeight="false" outlineLevel="0" collapsed="false">
      <c r="A5088" s="216"/>
      <c r="B5088" s="78"/>
      <c r="C5088" s="1161" t="s">
        <v>7250</v>
      </c>
      <c r="D5088" s="317" t="n">
        <v>2005</v>
      </c>
      <c r="E5088" s="1365" t="n">
        <v>5</v>
      </c>
      <c r="F5088" s="1365" t="n">
        <v>347000</v>
      </c>
      <c r="G5088" s="1364" t="n">
        <v>0.1</v>
      </c>
      <c r="H5088" s="1365" t="n">
        <f aca="false">E5088*F5088*G5088</f>
        <v>173500</v>
      </c>
      <c r="I5088" s="1365" t="n">
        <f aca="false">F5088-H5088</f>
        <v>173500</v>
      </c>
      <c r="J5088" s="1365" t="n">
        <f aca="false">F5088*G5088</f>
        <v>34700</v>
      </c>
      <c r="K5088" s="1365" t="n">
        <f aca="false">J5088/1792.8</f>
        <v>19.355198572066</v>
      </c>
      <c r="L5088" s="1365" t="n">
        <v>60</v>
      </c>
      <c r="M5088" s="1273" t="n">
        <f aca="false">K5088*L5088/60</f>
        <v>19.355198572066</v>
      </c>
    </row>
    <row r="5089" customFormat="false" ht="15" hidden="false" customHeight="false" outlineLevel="0" collapsed="false">
      <c r="A5089" s="216"/>
      <c r="B5089" s="78"/>
      <c r="C5089" s="1161" t="s">
        <v>7245</v>
      </c>
      <c r="D5089" s="317" t="n">
        <v>2005</v>
      </c>
      <c r="E5089" s="1365" t="n">
        <v>5</v>
      </c>
      <c r="F5089" s="1365" t="n">
        <v>347000</v>
      </c>
      <c r="G5089" s="1364" t="n">
        <v>0.1</v>
      </c>
      <c r="H5089" s="1365" t="n">
        <f aca="false">E5089*F5089*G5089</f>
        <v>173500</v>
      </c>
      <c r="I5089" s="1365" t="n">
        <f aca="false">F5089-H5089</f>
        <v>173500</v>
      </c>
      <c r="J5089" s="1365" t="n">
        <f aca="false">F5089*G5089</f>
        <v>34700</v>
      </c>
      <c r="K5089" s="1365" t="n">
        <f aca="false">J5089/1792.8</f>
        <v>19.355198572066</v>
      </c>
      <c r="L5089" s="1365" t="n">
        <v>30</v>
      </c>
      <c r="M5089" s="1273" t="n">
        <f aca="false">K5089*L5089/60</f>
        <v>9.67759928603302</v>
      </c>
    </row>
    <row r="5090" customFormat="false" ht="15" hidden="false" customHeight="false" outlineLevel="0" collapsed="false">
      <c r="A5090" s="216"/>
      <c r="B5090" s="78"/>
      <c r="C5090" s="1161" t="s">
        <v>7170</v>
      </c>
      <c r="D5090" s="317" t="n">
        <v>2004</v>
      </c>
      <c r="E5090" s="1365" t="n">
        <v>6</v>
      </c>
      <c r="F5090" s="1365" t="n">
        <v>196670</v>
      </c>
      <c r="G5090" s="1364" t="n">
        <v>0.1</v>
      </c>
      <c r="H5090" s="1365" t="n">
        <f aca="false">E5090*F5090*G5090</f>
        <v>118002</v>
      </c>
      <c r="I5090" s="1365" t="n">
        <f aca="false">F5090-H5090</f>
        <v>78668</v>
      </c>
      <c r="J5090" s="1365" t="n">
        <f aca="false">F5090*G5090</f>
        <v>19667</v>
      </c>
      <c r="K5090" s="1365" t="n">
        <f aca="false">J5090/1792.8</f>
        <v>10.9699910754128</v>
      </c>
      <c r="L5090" s="1365" t="n">
        <v>15</v>
      </c>
      <c r="M5090" s="1273" t="n">
        <f aca="false">K5090*L5090/60</f>
        <v>2.74249776885319</v>
      </c>
    </row>
    <row r="5091" customFormat="false" ht="15" hidden="false" customHeight="false" outlineLevel="0" collapsed="false">
      <c r="A5091" s="216"/>
      <c r="B5091" s="78"/>
      <c r="C5091" s="1161" t="s">
        <v>7191</v>
      </c>
      <c r="D5091" s="317" t="n">
        <v>2005</v>
      </c>
      <c r="E5091" s="1365" t="n">
        <v>5</v>
      </c>
      <c r="F5091" s="1365" t="n">
        <v>347000</v>
      </c>
      <c r="G5091" s="1364" t="n">
        <v>0.1</v>
      </c>
      <c r="H5091" s="1365" t="n">
        <f aca="false">E5091*F5091*G5091</f>
        <v>173500</v>
      </c>
      <c r="I5091" s="1365" t="n">
        <f aca="false">F5091-H5091</f>
        <v>173500</v>
      </c>
      <c r="J5091" s="1365" t="n">
        <f aca="false">F5091*G5091</f>
        <v>34700</v>
      </c>
      <c r="K5091" s="1365" t="n">
        <f aca="false">J5091/1792.8</f>
        <v>19.355198572066</v>
      </c>
      <c r="L5091" s="1365" t="n">
        <v>60</v>
      </c>
      <c r="M5091" s="1273" t="n">
        <f aca="false">K5091*L5091/60</f>
        <v>19.355198572066</v>
      </c>
    </row>
    <row r="5092" customFormat="false" ht="15" hidden="false" customHeight="false" outlineLevel="0" collapsed="false">
      <c r="A5092" s="216"/>
      <c r="B5092" s="78"/>
      <c r="C5092" s="1161" t="s">
        <v>7158</v>
      </c>
      <c r="D5092" s="317" t="n">
        <v>2004</v>
      </c>
      <c r="E5092" s="1365" t="n">
        <v>6</v>
      </c>
      <c r="F5092" s="1365" t="n">
        <v>6985000</v>
      </c>
      <c r="G5092" s="1364" t="n">
        <v>0.1</v>
      </c>
      <c r="H5092" s="1365" t="n">
        <f aca="false">E5092*F5092*G5092</f>
        <v>4191000</v>
      </c>
      <c r="I5092" s="1365" t="n">
        <f aca="false">F5092-H5092</f>
        <v>2794000</v>
      </c>
      <c r="J5092" s="1365" t="n">
        <f aca="false">F5092*G5092</f>
        <v>698500</v>
      </c>
      <c r="K5092" s="1365" t="n">
        <f aca="false">J5092/1792.8</f>
        <v>389.614011601963</v>
      </c>
      <c r="L5092" s="1365" t="n">
        <v>20</v>
      </c>
      <c r="M5092" s="1273" t="n">
        <f aca="false">K5092*L5092/60</f>
        <v>129.871337200654</v>
      </c>
    </row>
    <row r="5093" customFormat="false" ht="15" hidden="false" customHeight="false" outlineLevel="0" collapsed="false">
      <c r="A5093" s="216"/>
      <c r="B5093" s="78"/>
      <c r="C5093" s="1160"/>
      <c r="D5093" s="135"/>
      <c r="E5093" s="1370"/>
      <c r="F5093" s="1370"/>
      <c r="G5093" s="1372" t="n">
        <v>0.1</v>
      </c>
      <c r="H5093" s="1365" t="n">
        <f aca="false">E5093*F5093*G5093</f>
        <v>0</v>
      </c>
      <c r="I5093" s="1365" t="n">
        <f aca="false">F5093-H5093</f>
        <v>0</v>
      </c>
      <c r="J5093" s="1365" t="n">
        <f aca="false">F5093*G5093</f>
        <v>0</v>
      </c>
      <c r="K5093" s="1365" t="n">
        <f aca="false">J5093/1792.8</f>
        <v>0</v>
      </c>
      <c r="L5093" s="1370" t="n">
        <f aca="false">SUM(L5086:L5092)</f>
        <v>3065</v>
      </c>
      <c r="M5093" s="1366" t="n">
        <f aca="false">SUM(M5086:M5092)</f>
        <v>724.134361520155</v>
      </c>
    </row>
    <row r="5094" customFormat="false" ht="30" hidden="false" customHeight="false" outlineLevel="0" collapsed="false">
      <c r="A5094" s="216" t="s">
        <v>6460</v>
      </c>
      <c r="B5094" s="40" t="s">
        <v>7265</v>
      </c>
      <c r="C5094" s="1161"/>
      <c r="D5094" s="317"/>
      <c r="E5094" s="1365"/>
      <c r="F5094" s="1365"/>
      <c r="G5094" s="1364" t="n">
        <v>0.1</v>
      </c>
      <c r="H5094" s="1365" t="n">
        <f aca="false">E5094*F5094*G5094</f>
        <v>0</v>
      </c>
      <c r="I5094" s="1365" t="n">
        <f aca="false">F5094-H5094</f>
        <v>0</v>
      </c>
      <c r="J5094" s="1365" t="n">
        <f aca="false">F5094*G5094</f>
        <v>0</v>
      </c>
      <c r="K5094" s="1365" t="n">
        <f aca="false">J5094/1792.8</f>
        <v>0</v>
      </c>
      <c r="L5094" s="1365"/>
      <c r="M5094" s="1273"/>
    </row>
    <row r="5095" customFormat="false" ht="15" hidden="false" customHeight="false" outlineLevel="0" collapsed="false">
      <c r="A5095" s="216"/>
      <c r="B5095" s="78"/>
      <c r="C5095" s="1161" t="s">
        <v>7245</v>
      </c>
      <c r="D5095" s="317" t="n">
        <v>2005</v>
      </c>
      <c r="E5095" s="1365" t="n">
        <v>5</v>
      </c>
      <c r="F5095" s="1365" t="n">
        <v>347000</v>
      </c>
      <c r="G5095" s="1364" t="n">
        <v>0.1</v>
      </c>
      <c r="H5095" s="1365" t="n">
        <f aca="false">E5095*F5095*G5095</f>
        <v>173500</v>
      </c>
      <c r="I5095" s="1365" t="n">
        <f aca="false">F5095-H5095</f>
        <v>173500</v>
      </c>
      <c r="J5095" s="1365" t="n">
        <f aca="false">F5095*G5095</f>
        <v>34700</v>
      </c>
      <c r="K5095" s="1365" t="n">
        <f aca="false">J5095/1792.8</f>
        <v>19.355198572066</v>
      </c>
      <c r="L5095" s="1365" t="n">
        <v>30</v>
      </c>
      <c r="M5095" s="1273" t="n">
        <f aca="false">K5095*L5095/60</f>
        <v>9.67759928603302</v>
      </c>
    </row>
    <row r="5096" customFormat="false" ht="15" hidden="false" customHeight="false" outlineLevel="0" collapsed="false">
      <c r="A5096" s="216"/>
      <c r="B5096" s="78"/>
      <c r="C5096" s="1161" t="s">
        <v>7264</v>
      </c>
      <c r="D5096" s="317" t="n">
        <v>2014</v>
      </c>
      <c r="E5096" s="1365" t="n">
        <v>10</v>
      </c>
      <c r="F5096" s="1365" t="n">
        <v>1411800</v>
      </c>
      <c r="G5096" s="1364" t="n">
        <v>0.1</v>
      </c>
      <c r="H5096" s="1365" t="n">
        <f aca="false">E5096*F5096*G5096</f>
        <v>1411800</v>
      </c>
      <c r="I5096" s="1365" t="n">
        <f aca="false">F5096-H5096</f>
        <v>0</v>
      </c>
      <c r="J5096" s="1365" t="n">
        <f aca="false">F5096*G5096</f>
        <v>141180</v>
      </c>
      <c r="K5096" s="1365" t="n">
        <f aca="false">J5096/1792.8</f>
        <v>78.7483266398929</v>
      </c>
      <c r="L5096" s="1365"/>
      <c r="M5096" s="1273" t="n">
        <f aca="false">K5096*L5096/60</f>
        <v>0</v>
      </c>
    </row>
    <row r="5097" customFormat="false" ht="15" hidden="false" customHeight="false" outlineLevel="0" collapsed="false">
      <c r="A5097" s="216"/>
      <c r="B5097" s="78"/>
      <c r="C5097" s="1161" t="s">
        <v>7249</v>
      </c>
      <c r="D5097" s="317" t="n">
        <v>2005</v>
      </c>
      <c r="E5097" s="1365" t="n">
        <v>5</v>
      </c>
      <c r="F5097" s="1365" t="n">
        <v>347000</v>
      </c>
      <c r="G5097" s="1364" t="n">
        <v>0.1</v>
      </c>
      <c r="H5097" s="1365" t="n">
        <f aca="false">E5097*F5097*G5097</f>
        <v>173500</v>
      </c>
      <c r="I5097" s="1365" t="n">
        <f aca="false">F5097-H5097</f>
        <v>173500</v>
      </c>
      <c r="J5097" s="1365" t="n">
        <f aca="false">F5097*G5097</f>
        <v>34700</v>
      </c>
      <c r="K5097" s="1365" t="n">
        <f aca="false">J5097/1792.8</f>
        <v>19.355198572066</v>
      </c>
      <c r="L5097" s="1365" t="n">
        <v>60</v>
      </c>
      <c r="M5097" s="1273" t="n">
        <f aca="false">K5097*L5097/60</f>
        <v>19.355198572066</v>
      </c>
    </row>
    <row r="5098" customFormat="false" ht="15" hidden="false" customHeight="false" outlineLevel="0" collapsed="false">
      <c r="A5098" s="216"/>
      <c r="B5098" s="78"/>
      <c r="C5098" s="1161" t="s">
        <v>7170</v>
      </c>
      <c r="D5098" s="317" t="n">
        <v>2004</v>
      </c>
      <c r="E5098" s="1365" t="n">
        <v>6</v>
      </c>
      <c r="F5098" s="1365" t="n">
        <v>196670</v>
      </c>
      <c r="G5098" s="1364" t="n">
        <v>0.1</v>
      </c>
      <c r="H5098" s="1365" t="n">
        <f aca="false">E5098*F5098*G5098</f>
        <v>118002</v>
      </c>
      <c r="I5098" s="1365" t="n">
        <f aca="false">F5098-H5098</f>
        <v>78668</v>
      </c>
      <c r="J5098" s="1365" t="n">
        <f aca="false">F5098*G5098</f>
        <v>19667</v>
      </c>
      <c r="K5098" s="1365" t="n">
        <f aca="false">J5098/1792.8</f>
        <v>10.9699910754128</v>
      </c>
      <c r="L5098" s="1365" t="n">
        <v>15</v>
      </c>
      <c r="M5098" s="1273" t="n">
        <f aca="false">K5098*L5098/60</f>
        <v>2.74249776885319</v>
      </c>
    </row>
    <row r="5099" customFormat="false" ht="15" hidden="false" customHeight="false" outlineLevel="0" collapsed="false">
      <c r="A5099" s="216"/>
      <c r="B5099" s="78"/>
      <c r="C5099" s="1161" t="s">
        <v>7247</v>
      </c>
      <c r="D5099" s="317" t="n">
        <v>2004</v>
      </c>
      <c r="E5099" s="1365" t="n">
        <v>6</v>
      </c>
      <c r="F5099" s="1365" t="n">
        <v>202860</v>
      </c>
      <c r="G5099" s="1364" t="n">
        <v>0.1</v>
      </c>
      <c r="H5099" s="1365" t="n">
        <f aca="false">E5099*F5099*G5099</f>
        <v>121716</v>
      </c>
      <c r="I5099" s="1365" t="n">
        <f aca="false">F5099-H5099</f>
        <v>81144</v>
      </c>
      <c r="J5099" s="1365" t="n">
        <f aca="false">F5099*G5099</f>
        <v>20286</v>
      </c>
      <c r="K5099" s="1365" t="n">
        <f aca="false">J5099/1792.8</f>
        <v>11.3152610441767</v>
      </c>
      <c r="L5099" s="1365" t="n">
        <v>2880</v>
      </c>
      <c r="M5099" s="1273" t="n">
        <f aca="false">K5099*L5099/60</f>
        <v>543.132530120482</v>
      </c>
    </row>
    <row r="5100" customFormat="false" ht="15" hidden="false" customHeight="false" outlineLevel="0" collapsed="false">
      <c r="A5100" s="216"/>
      <c r="B5100" s="78"/>
      <c r="C5100" s="1161" t="s">
        <v>7158</v>
      </c>
      <c r="D5100" s="317" t="n">
        <v>2004</v>
      </c>
      <c r="E5100" s="1365" t="n">
        <v>6</v>
      </c>
      <c r="F5100" s="1365" t="n">
        <v>6985000</v>
      </c>
      <c r="G5100" s="1364" t="n">
        <v>0.1</v>
      </c>
      <c r="H5100" s="1365" t="n">
        <f aca="false">E5100*F5100*G5100</f>
        <v>4191000</v>
      </c>
      <c r="I5100" s="1365" t="n">
        <f aca="false">F5100-H5100</f>
        <v>2794000</v>
      </c>
      <c r="J5100" s="1365" t="n">
        <f aca="false">F5100*G5100</f>
        <v>698500</v>
      </c>
      <c r="K5100" s="1365" t="n">
        <f aca="false">J5100/1792.8</f>
        <v>389.614011601963</v>
      </c>
      <c r="L5100" s="1365" t="n">
        <v>15</v>
      </c>
      <c r="M5100" s="1273" t="n">
        <f aca="false">K5100*L5100/60</f>
        <v>97.4035029004909</v>
      </c>
    </row>
    <row r="5101" customFormat="false" ht="15" hidden="false" customHeight="false" outlineLevel="0" collapsed="false">
      <c r="A5101" s="216"/>
      <c r="B5101" s="78"/>
      <c r="C5101" s="1160"/>
      <c r="D5101" s="135"/>
      <c r="E5101" s="1370"/>
      <c r="F5101" s="1370"/>
      <c r="G5101" s="1372" t="n">
        <v>0.1</v>
      </c>
      <c r="H5101" s="1365" t="n">
        <f aca="false">E5101*F5101*G5101</f>
        <v>0</v>
      </c>
      <c r="I5101" s="1365" t="n">
        <f aca="false">F5101-H5101</f>
        <v>0</v>
      </c>
      <c r="J5101" s="1365" t="n">
        <f aca="false">F5101*G5101</f>
        <v>0</v>
      </c>
      <c r="K5101" s="1365" t="n">
        <f aca="false">J5101/1792.8</f>
        <v>0</v>
      </c>
      <c r="L5101" s="1370" t="n">
        <f aca="false">SUM(L5094:L5100)</f>
        <v>3000</v>
      </c>
      <c r="M5101" s="1366" t="n">
        <f aca="false">SUM(M5094:M5100)</f>
        <v>672.311328647925</v>
      </c>
    </row>
    <row r="5102" s="311" customFormat="true" ht="30" hidden="false" customHeight="false" outlineLevel="0" collapsed="false">
      <c r="A5102" s="316" t="s">
        <v>6465</v>
      </c>
      <c r="B5102" s="40" t="s">
        <v>3895</v>
      </c>
      <c r="G5102" s="311" t="n">
        <v>0.1</v>
      </c>
      <c r="H5102" s="1365" t="n">
        <f aca="false">E5102*F5102*G5102</f>
        <v>0</v>
      </c>
      <c r="I5102" s="1365" t="n">
        <f aca="false">F5102-H5102</f>
        <v>0</v>
      </c>
      <c r="J5102" s="1365" t="n">
        <f aca="false">F5102*G5102</f>
        <v>0</v>
      </c>
      <c r="K5102" s="1365" t="n">
        <f aca="false">J5102/1792.8</f>
        <v>0</v>
      </c>
    </row>
    <row r="5103" customFormat="false" ht="15" hidden="false" customHeight="false" outlineLevel="0" collapsed="false">
      <c r="A5103" s="316"/>
      <c r="B5103" s="40"/>
      <c r="C5103" s="1161" t="s">
        <v>7247</v>
      </c>
      <c r="D5103" s="317" t="n">
        <v>2004</v>
      </c>
      <c r="E5103" s="1365" t="n">
        <v>6</v>
      </c>
      <c r="F5103" s="1365" t="n">
        <v>202860</v>
      </c>
      <c r="G5103" s="1364" t="n">
        <v>0.1</v>
      </c>
      <c r="H5103" s="1365" t="n">
        <f aca="false">E5103*F5103*G5103</f>
        <v>121716</v>
      </c>
      <c r="I5103" s="1365" t="n">
        <f aca="false">F5103-H5103</f>
        <v>81144</v>
      </c>
      <c r="J5103" s="1365" t="n">
        <f aca="false">F5103*G5103</f>
        <v>20286</v>
      </c>
      <c r="K5103" s="1365" t="n">
        <f aca="false">J5103/1792.8</f>
        <v>11.3152610441767</v>
      </c>
      <c r="L5103" s="1365" t="n">
        <v>1440</v>
      </c>
      <c r="M5103" s="1273" t="n">
        <f aca="false">K5103*L5103/60</f>
        <v>271.566265060241</v>
      </c>
    </row>
    <row r="5104" customFormat="false" ht="15" hidden="false" customHeight="false" outlineLevel="0" collapsed="false">
      <c r="A5104" s="316"/>
      <c r="B5104" s="40"/>
      <c r="C5104" s="1161" t="s">
        <v>7249</v>
      </c>
      <c r="D5104" s="317" t="n">
        <v>2006</v>
      </c>
      <c r="E5104" s="1365" t="n">
        <v>4</v>
      </c>
      <c r="F5104" s="1365" t="n">
        <v>55500</v>
      </c>
      <c r="G5104" s="1364" t="n">
        <v>0.1</v>
      </c>
      <c r="H5104" s="1365" t="n">
        <f aca="false">E5104*F5104*G5104</f>
        <v>22200</v>
      </c>
      <c r="I5104" s="1365" t="n">
        <f aca="false">F5104-H5104</f>
        <v>33300</v>
      </c>
      <c r="J5104" s="1365" t="n">
        <f aca="false">F5104*G5104</f>
        <v>5550</v>
      </c>
      <c r="K5104" s="1365" t="n">
        <f aca="false">J5104/1792.8</f>
        <v>3.09571619812584</v>
      </c>
      <c r="L5104" s="1365" t="n">
        <v>10</v>
      </c>
      <c r="M5104" s="1273" t="n">
        <f aca="false">K5104*L5104/60</f>
        <v>0.51595269968764</v>
      </c>
    </row>
    <row r="5105" customFormat="false" ht="15" hidden="false" customHeight="false" outlineLevel="0" collapsed="false">
      <c r="A5105" s="316"/>
      <c r="B5105" s="40"/>
      <c r="C5105" s="1161" t="s">
        <v>7251</v>
      </c>
      <c r="D5105" s="317" t="n">
        <v>2005</v>
      </c>
      <c r="E5105" s="1365" t="n">
        <v>5</v>
      </c>
      <c r="F5105" s="1365" t="n">
        <v>1638000</v>
      </c>
      <c r="G5105" s="1364" t="n">
        <v>0.1</v>
      </c>
      <c r="H5105" s="1365" t="n">
        <f aca="false">E5105*F5105*G5105</f>
        <v>819000</v>
      </c>
      <c r="I5105" s="1365" t="n">
        <f aca="false">F5105-H5105</f>
        <v>819000</v>
      </c>
      <c r="J5105" s="1365" t="n">
        <f aca="false">F5105*G5105</f>
        <v>163800</v>
      </c>
      <c r="K5105" s="1365" t="n">
        <f aca="false">J5105/1792.8</f>
        <v>91.3654618473896</v>
      </c>
      <c r="L5105" s="1365" t="n">
        <v>80</v>
      </c>
      <c r="M5105" s="1273" t="n">
        <f aca="false">K5105*L5105/60</f>
        <v>121.820615796519</v>
      </c>
    </row>
    <row r="5106" customFormat="false" ht="15" hidden="false" customHeight="false" outlineLevel="0" collapsed="false">
      <c r="A5106" s="316"/>
      <c r="B5106" s="40"/>
      <c r="C5106" s="1161" t="s">
        <v>7252</v>
      </c>
      <c r="D5106" s="317" t="n">
        <v>2005</v>
      </c>
      <c r="E5106" s="1365" t="n">
        <v>5</v>
      </c>
      <c r="F5106" s="1365" t="n">
        <v>12190000</v>
      </c>
      <c r="G5106" s="1364" t="n">
        <v>0.1</v>
      </c>
      <c r="H5106" s="1365" t="n">
        <f aca="false">E5106*F5106*G5106</f>
        <v>6095000</v>
      </c>
      <c r="I5106" s="1365" t="n">
        <f aca="false">F5106-H5106</f>
        <v>6095000</v>
      </c>
      <c r="J5106" s="1365" t="n">
        <f aca="false">F5106*G5106</f>
        <v>1219000</v>
      </c>
      <c r="K5106" s="1365" t="n">
        <f aca="false">J5106/1792.8</f>
        <v>679.941990182954</v>
      </c>
      <c r="L5106" s="1365" t="n">
        <v>20</v>
      </c>
      <c r="M5106" s="1273" t="n">
        <f aca="false">K5106*L5106/60</f>
        <v>226.647330060985</v>
      </c>
    </row>
    <row r="5107" customFormat="false" ht="15" hidden="false" customHeight="false" outlineLevel="0" collapsed="false">
      <c r="A5107" s="316"/>
      <c r="B5107" s="40"/>
      <c r="C5107" s="1161" t="s">
        <v>7170</v>
      </c>
      <c r="D5107" s="317" t="n">
        <v>2004</v>
      </c>
      <c r="E5107" s="1365" t="n">
        <v>6</v>
      </c>
      <c r="F5107" s="1365" t="n">
        <v>196670</v>
      </c>
      <c r="G5107" s="1364" t="n">
        <v>0.1</v>
      </c>
      <c r="H5107" s="1365" t="n">
        <f aca="false">E5107*F5107*G5107</f>
        <v>118002</v>
      </c>
      <c r="I5107" s="1365" t="n">
        <f aca="false">F5107-H5107</f>
        <v>78668</v>
      </c>
      <c r="J5107" s="1365" t="n">
        <f aca="false">F5107*G5107</f>
        <v>19667</v>
      </c>
      <c r="K5107" s="1365" t="n">
        <f aca="false">J5107/1792.8</f>
        <v>10.9699910754128</v>
      </c>
      <c r="L5107" s="1365" t="n">
        <v>15</v>
      </c>
      <c r="M5107" s="1273" t="n">
        <f aca="false">K5107*L5107/60</f>
        <v>2.74249776885319</v>
      </c>
    </row>
    <row r="5108" customFormat="false" ht="15" hidden="false" customHeight="false" outlineLevel="0" collapsed="false">
      <c r="A5108" s="316"/>
      <c r="B5108" s="40"/>
      <c r="C5108" s="1161" t="s">
        <v>7158</v>
      </c>
      <c r="D5108" s="317" t="n">
        <v>2004</v>
      </c>
      <c r="E5108" s="1365" t="n">
        <v>6</v>
      </c>
      <c r="F5108" s="1365" t="n">
        <v>6985000</v>
      </c>
      <c r="G5108" s="1364" t="n">
        <v>0.1</v>
      </c>
      <c r="H5108" s="1365" t="n">
        <f aca="false">E5108*F5108*G5108</f>
        <v>4191000</v>
      </c>
      <c r="I5108" s="1365" t="n">
        <f aca="false">F5108-H5108</f>
        <v>2794000</v>
      </c>
      <c r="J5108" s="1365" t="n">
        <f aca="false">F5108*G5108</f>
        <v>698500</v>
      </c>
      <c r="K5108" s="1365" t="n">
        <f aca="false">J5108/1792.8</f>
        <v>389.614011601963</v>
      </c>
      <c r="L5108" s="1365" t="n">
        <v>15</v>
      </c>
      <c r="M5108" s="1273" t="n">
        <f aca="false">K5108*L5108/60</f>
        <v>97.4035029004909</v>
      </c>
    </row>
    <row r="5109" customFormat="false" ht="15" hidden="false" customHeight="false" outlineLevel="0" collapsed="false">
      <c r="A5109" s="316"/>
      <c r="B5109" s="40"/>
      <c r="C5109" s="1160"/>
      <c r="D5109" s="135"/>
      <c r="E5109" s="1370"/>
      <c r="F5109" s="1370"/>
      <c r="G5109" s="1372" t="n">
        <v>0.1</v>
      </c>
      <c r="H5109" s="1365" t="n">
        <f aca="false">E5109*F5109*G5109</f>
        <v>0</v>
      </c>
      <c r="I5109" s="1365" t="n">
        <f aca="false">F5109-H5109</f>
        <v>0</v>
      </c>
      <c r="J5109" s="1365" t="n">
        <f aca="false">F5109*G5109</f>
        <v>0</v>
      </c>
      <c r="K5109" s="1365" t="n">
        <f aca="false">J5109/1792.8</f>
        <v>0</v>
      </c>
      <c r="L5109" s="1370" t="n">
        <f aca="false">SUM(L5103:L5108)</f>
        <v>1580</v>
      </c>
      <c r="M5109" s="1370" t="n">
        <f aca="false">SUM(M5103:M5108)</f>
        <v>720.696164286777</v>
      </c>
    </row>
    <row r="5110" customFormat="false" ht="30" hidden="false" customHeight="false" outlineLevel="0" collapsed="false">
      <c r="A5110" s="316" t="s">
        <v>6468</v>
      </c>
      <c r="B5110" s="40" t="s">
        <v>6469</v>
      </c>
      <c r="C5110" s="1160"/>
      <c r="D5110" s="135"/>
      <c r="E5110" s="1370"/>
      <c r="F5110" s="1370"/>
      <c r="G5110" s="1372" t="n">
        <v>0.1</v>
      </c>
      <c r="H5110" s="1365" t="n">
        <f aca="false">E5110*F5110*G5110</f>
        <v>0</v>
      </c>
      <c r="I5110" s="1365" t="n">
        <f aca="false">F5110-H5110</f>
        <v>0</v>
      </c>
      <c r="J5110" s="1365" t="n">
        <f aca="false">F5110*G5110</f>
        <v>0</v>
      </c>
      <c r="K5110" s="1365" t="n">
        <f aca="false">J5110/1792.8</f>
        <v>0</v>
      </c>
      <c r="L5110" s="1370"/>
      <c r="M5110" s="1366"/>
    </row>
    <row r="5111" customFormat="false" ht="15" hidden="false" customHeight="false" outlineLevel="0" collapsed="false">
      <c r="A5111" s="216"/>
      <c r="B5111" s="78"/>
      <c r="C5111" s="1161" t="s">
        <v>7245</v>
      </c>
      <c r="D5111" s="317" t="n">
        <v>2005</v>
      </c>
      <c r="E5111" s="1365" t="n">
        <v>5</v>
      </c>
      <c r="F5111" s="1365" t="n">
        <v>347000</v>
      </c>
      <c r="G5111" s="1364" t="n">
        <v>0.1</v>
      </c>
      <c r="H5111" s="1365" t="n">
        <f aca="false">E5111*F5111*G5111</f>
        <v>173500</v>
      </c>
      <c r="I5111" s="1365" t="n">
        <f aca="false">F5111-H5111</f>
        <v>173500</v>
      </c>
      <c r="J5111" s="1365" t="n">
        <f aca="false">F5111*G5111</f>
        <v>34700</v>
      </c>
      <c r="K5111" s="1365" t="n">
        <f aca="false">J5111/1792.8</f>
        <v>19.355198572066</v>
      </c>
      <c r="L5111" s="1365" t="n">
        <v>30</v>
      </c>
      <c r="M5111" s="1273" t="n">
        <f aca="false">K5111*L5111/60</f>
        <v>9.67759928603302</v>
      </c>
    </row>
    <row r="5112" customFormat="false" ht="15" hidden="false" customHeight="false" outlineLevel="0" collapsed="false">
      <c r="A5112" s="216"/>
      <c r="B5112" s="78"/>
      <c r="C5112" s="1161" t="s">
        <v>7249</v>
      </c>
      <c r="D5112" s="317" t="n">
        <v>2004</v>
      </c>
      <c r="E5112" s="1365" t="n">
        <v>6</v>
      </c>
      <c r="F5112" s="1365" t="n">
        <v>39832</v>
      </c>
      <c r="G5112" s="1364" t="n">
        <v>0.1</v>
      </c>
      <c r="H5112" s="1365" t="n">
        <f aca="false">E5112*F5112*G5112</f>
        <v>23899.2</v>
      </c>
      <c r="I5112" s="1365" t="n">
        <f aca="false">F5112-H5112</f>
        <v>15932.8</v>
      </c>
      <c r="J5112" s="1365" t="n">
        <f aca="false">F5112*G5112</f>
        <v>3983.2</v>
      </c>
      <c r="K5112" s="1365" t="n">
        <f aca="false">J5112/1792.8</f>
        <v>2.22177599286033</v>
      </c>
      <c r="L5112" s="1365" t="n">
        <v>30</v>
      </c>
      <c r="M5112" s="1273" t="n">
        <f aca="false">K5112*L5112/60</f>
        <v>1.11088799643017</v>
      </c>
    </row>
    <row r="5113" customFormat="false" ht="15" hidden="false" customHeight="false" outlineLevel="0" collapsed="false">
      <c r="A5113" s="216"/>
      <c r="B5113" s="78"/>
      <c r="C5113" s="1161" t="s">
        <v>7247</v>
      </c>
      <c r="D5113" s="317" t="n">
        <v>2004</v>
      </c>
      <c r="E5113" s="1365" t="n">
        <v>6</v>
      </c>
      <c r="F5113" s="1365" t="n">
        <v>202860</v>
      </c>
      <c r="G5113" s="1364" t="n">
        <v>0.1</v>
      </c>
      <c r="H5113" s="1365" t="n">
        <f aca="false">E5113*F5113*G5113</f>
        <v>121716</v>
      </c>
      <c r="I5113" s="1365" t="n">
        <f aca="false">F5113-H5113</f>
        <v>81144</v>
      </c>
      <c r="J5113" s="1365" t="n">
        <f aca="false">F5113*G5113</f>
        <v>20286</v>
      </c>
      <c r="K5113" s="1365" t="n">
        <f aca="false">J5113/1792.8</f>
        <v>11.3152610441767</v>
      </c>
      <c r="L5113" s="1365" t="n">
        <v>2880</v>
      </c>
      <c r="M5113" s="1273" t="n">
        <f aca="false">K5113*L5113/60</f>
        <v>543.132530120482</v>
      </c>
    </row>
    <row r="5114" customFormat="false" ht="15" hidden="false" customHeight="false" outlineLevel="0" collapsed="false">
      <c r="A5114" s="216"/>
      <c r="B5114" s="78"/>
      <c r="C5114" s="1161" t="s">
        <v>7255</v>
      </c>
      <c r="D5114" s="317" t="n">
        <v>2004</v>
      </c>
      <c r="E5114" s="1365" t="n">
        <v>6</v>
      </c>
      <c r="F5114" s="1365" t="n">
        <v>6985000</v>
      </c>
      <c r="G5114" s="1364" t="n">
        <v>0.1</v>
      </c>
      <c r="H5114" s="1365" t="n">
        <f aca="false">E5114*F5114*G5114</f>
        <v>4191000</v>
      </c>
      <c r="I5114" s="1365" t="n">
        <f aca="false">F5114-H5114</f>
        <v>2794000</v>
      </c>
      <c r="J5114" s="1365" t="n">
        <f aca="false">F5114*G5114</f>
        <v>698500</v>
      </c>
      <c r="K5114" s="1365" t="n">
        <f aca="false">J5114/1792.8</f>
        <v>389.614011601963</v>
      </c>
      <c r="L5114" s="1365" t="n">
        <v>15</v>
      </c>
      <c r="M5114" s="1273" t="n">
        <f aca="false">K5114*L5114/60</f>
        <v>97.4035029004909</v>
      </c>
    </row>
    <row r="5115" s="311" customFormat="true" ht="15" hidden="false" customHeight="false" outlineLevel="0" collapsed="false">
      <c r="C5115" s="1160"/>
      <c r="D5115" s="135"/>
      <c r="E5115" s="1370"/>
      <c r="F5115" s="1370"/>
      <c r="G5115" s="1372" t="n">
        <v>0.1</v>
      </c>
      <c r="H5115" s="1365" t="n">
        <f aca="false">E5115*F5115*G5115</f>
        <v>0</v>
      </c>
      <c r="I5115" s="1365" t="n">
        <f aca="false">F5115-H5115</f>
        <v>0</v>
      </c>
      <c r="J5115" s="1365" t="n">
        <f aca="false">F5115*G5115</f>
        <v>0</v>
      </c>
      <c r="K5115" s="1365" t="n">
        <f aca="false">J5115/1792.8</f>
        <v>0</v>
      </c>
      <c r="L5115" s="1370" t="n">
        <f aca="false">SUM(L5110:L5114)</f>
        <v>2955</v>
      </c>
      <c r="M5115" s="1366" t="n">
        <f aca="false">SUM(M5110:M5114)</f>
        <v>651.324520303436</v>
      </c>
    </row>
    <row r="5116" s="311" customFormat="true" ht="15" hidden="false" customHeight="false" outlineLevel="0" collapsed="false">
      <c r="C5116" s="1160"/>
      <c r="D5116" s="135"/>
      <c r="E5116" s="1370"/>
      <c r="F5116" s="1370"/>
      <c r="G5116" s="1372" t="n">
        <v>0.1</v>
      </c>
      <c r="H5116" s="1365" t="n">
        <f aca="false">E5116*F5116*G5116</f>
        <v>0</v>
      </c>
      <c r="I5116" s="1365" t="n">
        <f aca="false">F5116-H5116</f>
        <v>0</v>
      </c>
      <c r="J5116" s="1365" t="n">
        <f aca="false">F5116*G5116</f>
        <v>0</v>
      </c>
      <c r="K5116" s="1365" t="n">
        <f aca="false">J5116/1792.8</f>
        <v>0</v>
      </c>
      <c r="L5116" s="1370"/>
      <c r="M5116" s="1366"/>
    </row>
    <row r="5117" customFormat="false" ht="45" hidden="false" customHeight="false" outlineLevel="0" collapsed="false">
      <c r="A5117" s="316" t="s">
        <v>6472</v>
      </c>
      <c r="B5117" s="40" t="s">
        <v>3897</v>
      </c>
      <c r="C5117" s="1160"/>
      <c r="D5117" s="135"/>
      <c r="E5117" s="1370"/>
      <c r="F5117" s="1370"/>
      <c r="G5117" s="1372" t="n">
        <v>0.1</v>
      </c>
      <c r="H5117" s="1365" t="n">
        <f aca="false">E5117*F5117*G5117</f>
        <v>0</v>
      </c>
      <c r="I5117" s="1365" t="n">
        <f aca="false">F5117-H5117</f>
        <v>0</v>
      </c>
      <c r="J5117" s="1365" t="n">
        <f aca="false">F5117*G5117</f>
        <v>0</v>
      </c>
      <c r="K5117" s="1365" t="n">
        <f aca="false">J5117/1792.8</f>
        <v>0</v>
      </c>
      <c r="L5117" s="1370"/>
      <c r="M5117" s="1366"/>
    </row>
    <row r="5118" customFormat="false" ht="15" hidden="false" customHeight="false" outlineLevel="0" collapsed="false">
      <c r="A5118" s="216"/>
      <c r="B5118" s="78"/>
      <c r="C5118" s="1161" t="s">
        <v>7245</v>
      </c>
      <c r="D5118" s="317" t="n">
        <v>2005</v>
      </c>
      <c r="E5118" s="1365" t="n">
        <v>5</v>
      </c>
      <c r="F5118" s="1365" t="n">
        <v>347000</v>
      </c>
      <c r="G5118" s="1364" t="n">
        <v>0.1</v>
      </c>
      <c r="H5118" s="1365" t="n">
        <f aca="false">E5118*F5118*G5118</f>
        <v>173500</v>
      </c>
      <c r="I5118" s="1365" t="n">
        <f aca="false">F5118-H5118</f>
        <v>173500</v>
      </c>
      <c r="J5118" s="1365" t="n">
        <f aca="false">F5118*G5118</f>
        <v>34700</v>
      </c>
      <c r="K5118" s="1365" t="n">
        <f aca="false">J5118/1792.8</f>
        <v>19.355198572066</v>
      </c>
      <c r="L5118" s="1365" t="n">
        <v>30</v>
      </c>
      <c r="M5118" s="1273" t="n">
        <f aca="false">K5118*L5118/60</f>
        <v>9.67759928603302</v>
      </c>
    </row>
    <row r="5119" customFormat="false" ht="15" hidden="false" customHeight="false" outlineLevel="0" collapsed="false">
      <c r="A5119" s="216"/>
      <c r="B5119" s="78"/>
      <c r="C5119" s="1161" t="s">
        <v>7249</v>
      </c>
      <c r="D5119" s="317" t="n">
        <v>2004</v>
      </c>
      <c r="E5119" s="1365" t="n">
        <v>6</v>
      </c>
      <c r="F5119" s="1365" t="n">
        <v>39832</v>
      </c>
      <c r="G5119" s="1364" t="n">
        <v>0.1</v>
      </c>
      <c r="H5119" s="1365" t="n">
        <f aca="false">E5119*F5119*G5119</f>
        <v>23899.2</v>
      </c>
      <c r="I5119" s="1365" t="n">
        <f aca="false">F5119-H5119</f>
        <v>15932.8</v>
      </c>
      <c r="J5119" s="1365" t="n">
        <f aca="false">F5119*G5119</f>
        <v>3983.2</v>
      </c>
      <c r="K5119" s="1365" t="n">
        <f aca="false">J5119/1792.8</f>
        <v>2.22177599286033</v>
      </c>
      <c r="L5119" s="1365" t="n">
        <v>30</v>
      </c>
      <c r="M5119" s="1273" t="n">
        <f aca="false">K5119*L5119/60</f>
        <v>1.11088799643017</v>
      </c>
    </row>
    <row r="5120" customFormat="false" ht="15" hidden="false" customHeight="false" outlineLevel="0" collapsed="false">
      <c r="A5120" s="216"/>
      <c r="B5120" s="78"/>
      <c r="C5120" s="1161" t="s">
        <v>7247</v>
      </c>
      <c r="D5120" s="317" t="n">
        <v>2004</v>
      </c>
      <c r="E5120" s="1365" t="n">
        <v>6</v>
      </c>
      <c r="F5120" s="1365" t="n">
        <v>202860</v>
      </c>
      <c r="G5120" s="1364" t="n">
        <v>0.1</v>
      </c>
      <c r="H5120" s="1365" t="n">
        <f aca="false">E5120*F5120*G5120</f>
        <v>121716</v>
      </c>
      <c r="I5120" s="1365" t="n">
        <f aca="false">F5120-H5120</f>
        <v>81144</v>
      </c>
      <c r="J5120" s="1365" t="n">
        <f aca="false">F5120*G5120</f>
        <v>20286</v>
      </c>
      <c r="K5120" s="1365" t="n">
        <f aca="false">J5120/1792.8</f>
        <v>11.3152610441767</v>
      </c>
      <c r="L5120" s="1365" t="n">
        <v>2880</v>
      </c>
      <c r="M5120" s="1273" t="n">
        <f aca="false">K5120*L5120/60</f>
        <v>543.132530120482</v>
      </c>
    </row>
    <row r="5121" customFormat="false" ht="15" hidden="false" customHeight="false" outlineLevel="0" collapsed="false">
      <c r="A5121" s="216"/>
      <c r="B5121" s="78"/>
      <c r="C5121" s="1161" t="s">
        <v>7255</v>
      </c>
      <c r="D5121" s="317" t="n">
        <v>2004</v>
      </c>
      <c r="E5121" s="1365" t="n">
        <v>6</v>
      </c>
      <c r="F5121" s="1365" t="n">
        <v>6985000</v>
      </c>
      <c r="G5121" s="1364" t="n">
        <v>0.1</v>
      </c>
      <c r="H5121" s="1365" t="n">
        <f aca="false">E5121*F5121*G5121</f>
        <v>4191000</v>
      </c>
      <c r="I5121" s="1365" t="n">
        <f aca="false">F5121-H5121</f>
        <v>2794000</v>
      </c>
      <c r="J5121" s="1365" t="n">
        <f aca="false">F5121*G5121</f>
        <v>698500</v>
      </c>
      <c r="K5121" s="1365" t="n">
        <f aca="false">J5121/1792.8</f>
        <v>389.614011601963</v>
      </c>
      <c r="L5121" s="1365" t="n">
        <v>15</v>
      </c>
      <c r="M5121" s="1273" t="n">
        <f aca="false">K5121*L5121/60</f>
        <v>97.4035029004909</v>
      </c>
    </row>
    <row r="5122" customFormat="false" ht="15" hidden="false" customHeight="false" outlineLevel="0" collapsed="false">
      <c r="A5122" s="316"/>
      <c r="B5122" s="316"/>
      <c r="C5122" s="1160"/>
      <c r="D5122" s="135"/>
      <c r="E5122" s="1370"/>
      <c r="F5122" s="1370"/>
      <c r="G5122" s="1372" t="n">
        <v>0.1</v>
      </c>
      <c r="H5122" s="1365" t="n">
        <f aca="false">E5122*F5122*G5122</f>
        <v>0</v>
      </c>
      <c r="I5122" s="1365" t="n">
        <f aca="false">F5122-H5122</f>
        <v>0</v>
      </c>
      <c r="J5122" s="1365" t="n">
        <f aca="false">F5122*G5122</f>
        <v>0</v>
      </c>
      <c r="K5122" s="1365" t="n">
        <f aca="false">J5122/1792.8</f>
        <v>0</v>
      </c>
      <c r="L5122" s="1370" t="n">
        <f aca="false">SUM(L5117:L5121)</f>
        <v>2955</v>
      </c>
      <c r="M5122" s="1366" t="n">
        <f aca="false">SUM(M5117:M5121)</f>
        <v>651.324520303436</v>
      </c>
    </row>
    <row r="5123" customFormat="false" ht="15" hidden="false" customHeight="false" outlineLevel="0" collapsed="false">
      <c r="A5123" s="350" t="s">
        <v>2333</v>
      </c>
      <c r="B5123" s="790" t="s">
        <v>2334</v>
      </c>
      <c r="C5123" s="1569"/>
      <c r="D5123" s="339"/>
      <c r="E5123" s="1246"/>
      <c r="F5123" s="1246"/>
      <c r="G5123" s="1570"/>
      <c r="H5123" s="1512"/>
      <c r="I5123" s="1512"/>
      <c r="J5123" s="1512"/>
      <c r="K5123" s="1512"/>
      <c r="L5123" s="1246"/>
      <c r="M5123" s="1250"/>
    </row>
    <row r="5124" customFormat="false" ht="30" hidden="false" customHeight="false" outlineLevel="0" collapsed="false">
      <c r="A5124" s="216" t="s">
        <v>7266</v>
      </c>
      <c r="B5124" s="40" t="s">
        <v>6476</v>
      </c>
      <c r="C5124" s="1161"/>
      <c r="D5124" s="317"/>
      <c r="E5124" s="1365"/>
      <c r="F5124" s="1365"/>
      <c r="G5124" s="1364"/>
      <c r="H5124" s="1365"/>
      <c r="I5124" s="1365"/>
      <c r="J5124" s="1365"/>
      <c r="K5124" s="1365"/>
      <c r="L5124" s="1365"/>
      <c r="M5124" s="1273"/>
    </row>
    <row r="5125" customFormat="false" ht="15" hidden="false" customHeight="false" outlineLevel="0" collapsed="false">
      <c r="A5125" s="216"/>
      <c r="B5125" s="78"/>
      <c r="C5125" s="1161" t="s">
        <v>7247</v>
      </c>
      <c r="D5125" s="317" t="n">
        <v>2004</v>
      </c>
      <c r="E5125" s="1365" t="n">
        <v>6</v>
      </c>
      <c r="F5125" s="1365" t="n">
        <v>202860</v>
      </c>
      <c r="G5125" s="1364" t="n">
        <v>0.1</v>
      </c>
      <c r="H5125" s="1365" t="n">
        <f aca="false">E5125*F5125*G5125</f>
        <v>121716</v>
      </c>
      <c r="I5125" s="1365" t="n">
        <f aca="false">F5125-H5125</f>
        <v>81144</v>
      </c>
      <c r="J5125" s="1365" t="n">
        <f aca="false">F5125*G5125</f>
        <v>20286</v>
      </c>
      <c r="K5125" s="1365" t="n">
        <f aca="false">J5125/1792.8</f>
        <v>11.3152610441767</v>
      </c>
      <c r="L5125" s="1365" t="n">
        <v>2880</v>
      </c>
      <c r="M5125" s="1273" t="n">
        <f aca="false">K5125*L5125/60</f>
        <v>543.132530120482</v>
      </c>
    </row>
    <row r="5126" customFormat="false" ht="15" hidden="false" customHeight="false" outlineLevel="0" collapsed="false">
      <c r="A5126" s="216"/>
      <c r="B5126" s="78"/>
      <c r="C5126" s="1161" t="s">
        <v>7254</v>
      </c>
      <c r="D5126" s="317" t="n">
        <v>2007</v>
      </c>
      <c r="E5126" s="1365" t="n">
        <v>3</v>
      </c>
      <c r="F5126" s="1365" t="n">
        <v>1638000</v>
      </c>
      <c r="G5126" s="1364" t="n">
        <v>0.1</v>
      </c>
      <c r="H5126" s="1365" t="n">
        <f aca="false">E5126*F5126*G5126</f>
        <v>491400</v>
      </c>
      <c r="I5126" s="1365" t="n">
        <f aca="false">F5126-H5126</f>
        <v>1146600</v>
      </c>
      <c r="J5126" s="1365" t="n">
        <f aca="false">F5126*G5126</f>
        <v>163800</v>
      </c>
      <c r="K5126" s="1365" t="n">
        <f aca="false">J5126/1792.8</f>
        <v>91.3654618473896</v>
      </c>
      <c r="L5126" s="1365"/>
      <c r="M5126" s="1273" t="n">
        <f aca="false">K5126*L5126/60</f>
        <v>0</v>
      </c>
    </row>
    <row r="5127" customFormat="false" ht="15" hidden="false" customHeight="false" outlineLevel="0" collapsed="false">
      <c r="A5127" s="216"/>
      <c r="B5127" s="78"/>
      <c r="C5127" s="1161" t="s">
        <v>7158</v>
      </c>
      <c r="D5127" s="317" t="n">
        <v>2004</v>
      </c>
      <c r="E5127" s="1365" t="n">
        <v>6</v>
      </c>
      <c r="F5127" s="1365" t="n">
        <v>6985000</v>
      </c>
      <c r="G5127" s="1364" t="n">
        <v>0.1</v>
      </c>
      <c r="H5127" s="1365" t="n">
        <f aca="false">E5127*F5127*G5127</f>
        <v>4191000</v>
      </c>
      <c r="I5127" s="1365" t="n">
        <f aca="false">F5127-H5127</f>
        <v>2794000</v>
      </c>
      <c r="J5127" s="1365" t="n">
        <f aca="false">F5127*G5127</f>
        <v>698500</v>
      </c>
      <c r="K5127" s="1365" t="n">
        <f aca="false">J5127/1792.8</f>
        <v>389.614011601963</v>
      </c>
      <c r="L5127" s="1365" t="n">
        <v>20</v>
      </c>
      <c r="M5127" s="1273" t="n">
        <f aca="false">K5127*L5127/60</f>
        <v>129.871337200654</v>
      </c>
    </row>
    <row r="5128" customFormat="false" ht="15" hidden="false" customHeight="false" outlineLevel="0" collapsed="false">
      <c r="A5128" s="216"/>
      <c r="B5128" s="78"/>
      <c r="C5128" s="1161" t="s">
        <v>7249</v>
      </c>
      <c r="D5128" s="317" t="n">
        <v>2005</v>
      </c>
      <c r="E5128" s="1365" t="n">
        <v>5</v>
      </c>
      <c r="F5128" s="1365" t="n">
        <v>347000</v>
      </c>
      <c r="G5128" s="1364" t="n">
        <v>0.1</v>
      </c>
      <c r="H5128" s="1365" t="n">
        <f aca="false">E5128*F5128*G5128</f>
        <v>173500</v>
      </c>
      <c r="I5128" s="1365" t="n">
        <f aca="false">F5128-H5128</f>
        <v>173500</v>
      </c>
      <c r="J5128" s="1365" t="n">
        <f aca="false">F5128*G5128</f>
        <v>34700</v>
      </c>
      <c r="K5128" s="1365" t="n">
        <f aca="false">J5128/1792.8</f>
        <v>19.355198572066</v>
      </c>
      <c r="L5128" s="1365" t="n">
        <v>60</v>
      </c>
      <c r="M5128" s="1273" t="n">
        <f aca="false">K5128*L5128/60</f>
        <v>19.355198572066</v>
      </c>
    </row>
    <row r="5129" customFormat="false" ht="15" hidden="false" customHeight="false" outlineLevel="0" collapsed="false">
      <c r="A5129" s="216"/>
      <c r="B5129" s="78"/>
      <c r="C5129" s="1161" t="s">
        <v>7245</v>
      </c>
      <c r="D5129" s="317" t="n">
        <v>2005</v>
      </c>
      <c r="E5129" s="1365" t="n">
        <v>5</v>
      </c>
      <c r="F5129" s="1365" t="n">
        <v>347000</v>
      </c>
      <c r="G5129" s="1364" t="n">
        <v>0.1</v>
      </c>
      <c r="H5129" s="1365" t="n">
        <f aca="false">E5129*F5129*G5129</f>
        <v>173500</v>
      </c>
      <c r="I5129" s="1365" t="n">
        <f aca="false">F5129-H5129</f>
        <v>173500</v>
      </c>
      <c r="J5129" s="1365" t="n">
        <f aca="false">F5129*G5129</f>
        <v>34700</v>
      </c>
      <c r="K5129" s="1365" t="n">
        <f aca="false">J5129/1792.8</f>
        <v>19.355198572066</v>
      </c>
      <c r="L5129" s="1365" t="n">
        <v>30</v>
      </c>
      <c r="M5129" s="1273" t="n">
        <f aca="false">K5129*L5129/60</f>
        <v>9.67759928603302</v>
      </c>
    </row>
    <row r="5130" customFormat="false" ht="15" hidden="false" customHeight="false" outlineLevel="0" collapsed="false">
      <c r="A5130" s="216"/>
      <c r="B5130" s="78"/>
      <c r="C5130" s="1161" t="s">
        <v>7256</v>
      </c>
      <c r="D5130" s="317" t="n">
        <v>2005</v>
      </c>
      <c r="E5130" s="1365" t="n">
        <v>5</v>
      </c>
      <c r="F5130" s="1365" t="n">
        <v>197664</v>
      </c>
      <c r="G5130" s="1364" t="n">
        <v>0.1</v>
      </c>
      <c r="H5130" s="1365" t="n">
        <f aca="false">E5130*F5130*G5130</f>
        <v>98832</v>
      </c>
      <c r="I5130" s="1365" t="n">
        <f aca="false">F5130-H5130</f>
        <v>98832</v>
      </c>
      <c r="J5130" s="1365" t="n">
        <f aca="false">F5130*G5130</f>
        <v>19766.4</v>
      </c>
      <c r="K5130" s="1365" t="n">
        <f aca="false">J5130/1792.8</f>
        <v>11.0254350736278</v>
      </c>
      <c r="L5130" s="1365" t="n">
        <v>485</v>
      </c>
      <c r="M5130" s="1273" t="n">
        <f aca="false">K5130*L5130/60</f>
        <v>89.1222668451584</v>
      </c>
    </row>
    <row r="5131" customFormat="false" ht="15" hidden="false" customHeight="false" outlineLevel="0" collapsed="false">
      <c r="A5131" s="216"/>
      <c r="B5131" s="78"/>
      <c r="C5131" s="1160"/>
      <c r="D5131" s="135"/>
      <c r="E5131" s="1370"/>
      <c r="F5131" s="1370"/>
      <c r="G5131" s="1372" t="n">
        <v>0.1</v>
      </c>
      <c r="H5131" s="1365" t="n">
        <f aca="false">E5131*F5131*G5131</f>
        <v>0</v>
      </c>
      <c r="I5131" s="1365" t="n">
        <f aca="false">F5131-H5131</f>
        <v>0</v>
      </c>
      <c r="J5131" s="1365" t="n">
        <f aca="false">F5131*G5131</f>
        <v>0</v>
      </c>
      <c r="K5131" s="1365" t="n">
        <f aca="false">J5131/1792.8</f>
        <v>0</v>
      </c>
      <c r="L5131" s="1370" t="n">
        <f aca="false">SUM(L5125:L5130)</f>
        <v>3475</v>
      </c>
      <c r="M5131" s="1370" t="n">
        <f aca="false">SUM(M5125:M5130)</f>
        <v>791.158932024394</v>
      </c>
    </row>
    <row r="5132" customFormat="false" ht="45" hidden="false" customHeight="false" outlineLevel="0" collapsed="false">
      <c r="A5132" s="316" t="s">
        <v>6486</v>
      </c>
      <c r="B5132" s="40" t="s">
        <v>3899</v>
      </c>
      <c r="C5132" s="1161"/>
      <c r="D5132" s="317"/>
      <c r="E5132" s="1365"/>
      <c r="F5132" s="1365"/>
      <c r="G5132" s="1364" t="n">
        <v>0.1</v>
      </c>
      <c r="H5132" s="1365" t="n">
        <f aca="false">E5132*F5132*G5132</f>
        <v>0</v>
      </c>
      <c r="I5132" s="1365" t="n">
        <f aca="false">F5132-H5132</f>
        <v>0</v>
      </c>
      <c r="J5132" s="1365" t="n">
        <f aca="false">F5132*G5132</f>
        <v>0</v>
      </c>
      <c r="K5132" s="1365" t="n">
        <f aca="false">J5132/1792.8</f>
        <v>0</v>
      </c>
      <c r="L5132" s="1365"/>
      <c r="M5132" s="1273"/>
    </row>
    <row r="5133" customFormat="false" ht="30" hidden="false" customHeight="false" outlineLevel="0" collapsed="false">
      <c r="A5133" s="216"/>
      <c r="B5133" s="78"/>
      <c r="C5133" s="1161" t="s">
        <v>7250</v>
      </c>
      <c r="D5133" s="317" t="n">
        <v>2005</v>
      </c>
      <c r="E5133" s="1365" t="n">
        <v>5</v>
      </c>
      <c r="F5133" s="1365" t="n">
        <v>347000</v>
      </c>
      <c r="G5133" s="1364" t="n">
        <v>0.1</v>
      </c>
      <c r="H5133" s="1365" t="n">
        <f aca="false">E5133*F5133*G5133</f>
        <v>173500</v>
      </c>
      <c r="I5133" s="1365" t="n">
        <f aca="false">F5133-H5133</f>
        <v>173500</v>
      </c>
      <c r="J5133" s="1365" t="n">
        <f aca="false">F5133*G5133</f>
        <v>34700</v>
      </c>
      <c r="K5133" s="1365" t="n">
        <f aca="false">J5133/1792.8</f>
        <v>19.355198572066</v>
      </c>
      <c r="L5133" s="1365" t="n">
        <v>60</v>
      </c>
      <c r="M5133" s="1273" t="n">
        <f aca="false">K5133*L5133/60</f>
        <v>19.355198572066</v>
      </c>
    </row>
    <row r="5134" customFormat="false" ht="15" hidden="false" customHeight="false" outlineLevel="0" collapsed="false">
      <c r="A5134" s="216"/>
      <c r="B5134" s="78"/>
      <c r="C5134" s="1161" t="s">
        <v>7245</v>
      </c>
      <c r="D5134" s="317" t="n">
        <v>2005</v>
      </c>
      <c r="E5134" s="1365" t="n">
        <v>5</v>
      </c>
      <c r="F5134" s="1365" t="n">
        <v>347000</v>
      </c>
      <c r="G5134" s="1364" t="n">
        <v>0.1</v>
      </c>
      <c r="H5134" s="1365" t="n">
        <f aca="false">E5134*F5134*G5134</f>
        <v>173500</v>
      </c>
      <c r="I5134" s="1365" t="n">
        <f aca="false">F5134-H5134</f>
        <v>173500</v>
      </c>
      <c r="J5134" s="1365" t="n">
        <f aca="false">F5134*G5134</f>
        <v>34700</v>
      </c>
      <c r="K5134" s="1365" t="n">
        <f aca="false">J5134/1792.8</f>
        <v>19.355198572066</v>
      </c>
      <c r="L5134" s="1365" t="n">
        <v>30</v>
      </c>
      <c r="M5134" s="1273" t="n">
        <f aca="false">K5134*L5134/60</f>
        <v>9.67759928603302</v>
      </c>
    </row>
    <row r="5135" customFormat="false" ht="15" hidden="false" customHeight="false" outlineLevel="0" collapsed="false">
      <c r="A5135" s="216"/>
      <c r="B5135" s="78"/>
      <c r="C5135" s="1161" t="s">
        <v>7170</v>
      </c>
      <c r="D5135" s="317" t="n">
        <v>2004</v>
      </c>
      <c r="E5135" s="1365" t="n">
        <v>6</v>
      </c>
      <c r="F5135" s="1365" t="n">
        <v>196670</v>
      </c>
      <c r="G5135" s="1364" t="n">
        <v>0.1</v>
      </c>
      <c r="H5135" s="1365" t="n">
        <f aca="false">E5135*F5135*G5135</f>
        <v>118002</v>
      </c>
      <c r="I5135" s="1365" t="n">
        <f aca="false">F5135-H5135</f>
        <v>78668</v>
      </c>
      <c r="J5135" s="1365" t="n">
        <f aca="false">F5135*G5135</f>
        <v>19667</v>
      </c>
      <c r="K5135" s="1365" t="n">
        <f aca="false">J5135/1792.8</f>
        <v>10.9699910754128</v>
      </c>
      <c r="L5135" s="1365" t="n">
        <v>15</v>
      </c>
      <c r="M5135" s="1273" t="n">
        <f aca="false">K5135*L5135/60</f>
        <v>2.74249776885319</v>
      </c>
    </row>
    <row r="5136" customFormat="false" ht="15" hidden="false" customHeight="false" outlineLevel="0" collapsed="false">
      <c r="A5136" s="216"/>
      <c r="B5136" s="78"/>
      <c r="C5136" s="1161" t="s">
        <v>7191</v>
      </c>
      <c r="D5136" s="317" t="n">
        <v>2005</v>
      </c>
      <c r="E5136" s="1365" t="n">
        <v>5</v>
      </c>
      <c r="F5136" s="1365" t="n">
        <v>347000</v>
      </c>
      <c r="G5136" s="1364" t="n">
        <v>0.1</v>
      </c>
      <c r="H5136" s="1365" t="n">
        <f aca="false">E5136*F5136*G5136</f>
        <v>173500</v>
      </c>
      <c r="I5136" s="1365" t="n">
        <f aca="false">F5136-H5136</f>
        <v>173500</v>
      </c>
      <c r="J5136" s="1365" t="n">
        <f aca="false">F5136*G5136</f>
        <v>34700</v>
      </c>
      <c r="K5136" s="1365" t="n">
        <f aca="false">J5136/1792.8</f>
        <v>19.355198572066</v>
      </c>
      <c r="L5136" s="1365" t="n">
        <v>60</v>
      </c>
      <c r="M5136" s="1273" t="n">
        <f aca="false">K5136*L5136/60</f>
        <v>19.355198572066</v>
      </c>
    </row>
    <row r="5137" customFormat="false" ht="15" hidden="false" customHeight="false" outlineLevel="0" collapsed="false">
      <c r="A5137" s="216"/>
      <c r="B5137" s="78"/>
      <c r="C5137" s="1161" t="s">
        <v>7158</v>
      </c>
      <c r="D5137" s="317" t="n">
        <v>2004</v>
      </c>
      <c r="E5137" s="1365" t="n">
        <v>6</v>
      </c>
      <c r="F5137" s="1365" t="n">
        <v>6985000</v>
      </c>
      <c r="G5137" s="1364" t="n">
        <v>0.1</v>
      </c>
      <c r="H5137" s="1365" t="n">
        <f aca="false">E5137*F5137*G5137</f>
        <v>4191000</v>
      </c>
      <c r="I5137" s="1365" t="n">
        <f aca="false">F5137-H5137</f>
        <v>2794000</v>
      </c>
      <c r="J5137" s="1365" t="n">
        <f aca="false">F5137*G5137</f>
        <v>698500</v>
      </c>
      <c r="K5137" s="1365" t="n">
        <f aca="false">J5137/1792.8</f>
        <v>389.614011601963</v>
      </c>
      <c r="L5137" s="1365" t="n">
        <v>20</v>
      </c>
      <c r="M5137" s="1273" t="n">
        <f aca="false">K5137*L5137/60</f>
        <v>129.871337200654</v>
      </c>
    </row>
    <row r="5138" customFormat="false" ht="15" hidden="false" customHeight="false" outlineLevel="0" collapsed="false">
      <c r="A5138" s="216"/>
      <c r="B5138" s="78"/>
      <c r="C5138" s="1160"/>
      <c r="D5138" s="135"/>
      <c r="E5138" s="1370"/>
      <c r="F5138" s="1370"/>
      <c r="G5138" s="1372" t="n">
        <v>0.1</v>
      </c>
      <c r="H5138" s="1365" t="n">
        <f aca="false">E5138*F5138*G5138</f>
        <v>0</v>
      </c>
      <c r="I5138" s="1365" t="n">
        <f aca="false">F5138-H5138</f>
        <v>0</v>
      </c>
      <c r="J5138" s="1365" t="n">
        <f aca="false">F5138*G5138</f>
        <v>0</v>
      </c>
      <c r="K5138" s="1365" t="n">
        <f aca="false">J5138/1792.8</f>
        <v>0</v>
      </c>
      <c r="L5138" s="1370" t="n">
        <f aca="false">SUM(L5133:L5137)</f>
        <v>185</v>
      </c>
      <c r="M5138" s="1370" t="n">
        <f aca="false">SUM(M5133:M5137)</f>
        <v>181.001831399673</v>
      </c>
    </row>
    <row r="5139" customFormat="false" ht="45" hidden="false" customHeight="false" outlineLevel="0" collapsed="false">
      <c r="A5139" s="216" t="s">
        <v>6491</v>
      </c>
      <c r="B5139" s="40" t="s">
        <v>3900</v>
      </c>
      <c r="C5139" s="1161"/>
      <c r="D5139" s="317"/>
      <c r="E5139" s="1365"/>
      <c r="F5139" s="1365"/>
      <c r="G5139" s="1364" t="n">
        <v>0.1</v>
      </c>
      <c r="H5139" s="1365" t="n">
        <f aca="false">E5139*F5139*G5139</f>
        <v>0</v>
      </c>
      <c r="I5139" s="1365" t="n">
        <f aca="false">F5139-H5139</f>
        <v>0</v>
      </c>
      <c r="J5139" s="1365" t="n">
        <f aca="false">F5139*G5139</f>
        <v>0</v>
      </c>
      <c r="K5139" s="1365" t="n">
        <f aca="false">J5139/1792.8</f>
        <v>0</v>
      </c>
      <c r="L5139" s="1365"/>
      <c r="M5139" s="1273"/>
    </row>
    <row r="5140" customFormat="false" ht="15" hidden="false" customHeight="false" outlineLevel="0" collapsed="false">
      <c r="A5140" s="216"/>
      <c r="B5140" s="78"/>
      <c r="C5140" s="1161" t="s">
        <v>7247</v>
      </c>
      <c r="D5140" s="317" t="n">
        <v>2004</v>
      </c>
      <c r="E5140" s="1365" t="n">
        <v>6</v>
      </c>
      <c r="F5140" s="1365" t="n">
        <v>202860</v>
      </c>
      <c r="G5140" s="1364" t="n">
        <v>0.1</v>
      </c>
      <c r="H5140" s="1365" t="n">
        <f aca="false">E5140*F5140*G5140</f>
        <v>121716</v>
      </c>
      <c r="I5140" s="1365" t="n">
        <f aca="false">F5140-H5140</f>
        <v>81144</v>
      </c>
      <c r="J5140" s="1365" t="n">
        <f aca="false">F5140*G5140</f>
        <v>20286</v>
      </c>
      <c r="K5140" s="1365" t="n">
        <f aca="false">J5140/1792.8</f>
        <v>11.3152610441767</v>
      </c>
      <c r="L5140" s="1365" t="n">
        <v>1440</v>
      </c>
      <c r="M5140" s="1273" t="n">
        <f aca="false">K5140*L5140/60</f>
        <v>271.566265060241</v>
      </c>
    </row>
    <row r="5141" customFormat="false" ht="15" hidden="false" customHeight="false" outlineLevel="0" collapsed="false">
      <c r="A5141" s="216"/>
      <c r="B5141" s="78"/>
      <c r="C5141" s="1161" t="s">
        <v>7249</v>
      </c>
      <c r="D5141" s="317" t="n">
        <v>2006</v>
      </c>
      <c r="E5141" s="1365" t="n">
        <v>4</v>
      </c>
      <c r="F5141" s="1365" t="n">
        <v>55500</v>
      </c>
      <c r="G5141" s="1364" t="n">
        <v>0.1</v>
      </c>
      <c r="H5141" s="1365" t="n">
        <f aca="false">E5141*F5141*G5141</f>
        <v>22200</v>
      </c>
      <c r="I5141" s="1365" t="n">
        <f aca="false">F5141-H5141</f>
        <v>33300</v>
      </c>
      <c r="J5141" s="1365" t="n">
        <f aca="false">F5141*G5141</f>
        <v>5550</v>
      </c>
      <c r="K5141" s="1365" t="n">
        <f aca="false">J5141/1792.8</f>
        <v>3.09571619812584</v>
      </c>
      <c r="L5141" s="1365" t="n">
        <v>10</v>
      </c>
      <c r="M5141" s="1273" t="n">
        <f aca="false">K5141*L5141/60</f>
        <v>0.51595269968764</v>
      </c>
    </row>
    <row r="5142" customFormat="false" ht="15" hidden="false" customHeight="false" outlineLevel="0" collapsed="false">
      <c r="A5142" s="216"/>
      <c r="B5142" s="78"/>
      <c r="C5142" s="1161" t="s">
        <v>7251</v>
      </c>
      <c r="D5142" s="317" t="n">
        <v>2005</v>
      </c>
      <c r="E5142" s="1365" t="n">
        <v>5</v>
      </c>
      <c r="F5142" s="1365" t="n">
        <v>1638000</v>
      </c>
      <c r="G5142" s="1364" t="n">
        <v>0.1</v>
      </c>
      <c r="H5142" s="1365" t="n">
        <f aca="false">E5142*F5142*G5142</f>
        <v>819000</v>
      </c>
      <c r="I5142" s="1365" t="n">
        <f aca="false">F5142-H5142</f>
        <v>819000</v>
      </c>
      <c r="J5142" s="1365" t="n">
        <f aca="false">F5142*G5142</f>
        <v>163800</v>
      </c>
      <c r="K5142" s="1365" t="n">
        <f aca="false">J5142/1792.8</f>
        <v>91.3654618473896</v>
      </c>
      <c r="L5142" s="1365" t="n">
        <v>80</v>
      </c>
      <c r="M5142" s="1273" t="n">
        <f aca="false">K5142*L5142/60</f>
        <v>121.820615796519</v>
      </c>
    </row>
    <row r="5143" customFormat="false" ht="15" hidden="false" customHeight="false" outlineLevel="0" collapsed="false">
      <c r="A5143" s="216"/>
      <c r="B5143" s="78"/>
      <c r="C5143" s="1161" t="s">
        <v>7252</v>
      </c>
      <c r="D5143" s="317" t="n">
        <v>2005</v>
      </c>
      <c r="E5143" s="1365" t="n">
        <v>5</v>
      </c>
      <c r="F5143" s="1365" t="n">
        <v>12190000</v>
      </c>
      <c r="G5143" s="1364" t="n">
        <v>0.1</v>
      </c>
      <c r="H5143" s="1365" t="n">
        <f aca="false">E5143*F5143*G5143</f>
        <v>6095000</v>
      </c>
      <c r="I5143" s="1365" t="n">
        <f aca="false">F5143-H5143</f>
        <v>6095000</v>
      </c>
      <c r="J5143" s="1365" t="n">
        <f aca="false">F5143*G5143</f>
        <v>1219000</v>
      </c>
      <c r="K5143" s="1365" t="n">
        <f aca="false">J5143/1792.8</f>
        <v>679.941990182954</v>
      </c>
      <c r="L5143" s="1365" t="n">
        <v>20</v>
      </c>
      <c r="M5143" s="1273" t="n">
        <f aca="false">K5143*L5143/60</f>
        <v>226.647330060985</v>
      </c>
    </row>
    <row r="5144" customFormat="false" ht="15" hidden="false" customHeight="false" outlineLevel="0" collapsed="false">
      <c r="A5144" s="216"/>
      <c r="B5144" s="78"/>
      <c r="C5144" s="1161" t="s">
        <v>7170</v>
      </c>
      <c r="D5144" s="317" t="n">
        <v>2004</v>
      </c>
      <c r="E5144" s="1365" t="n">
        <v>6</v>
      </c>
      <c r="F5144" s="1365" t="n">
        <v>196670</v>
      </c>
      <c r="G5144" s="1364" t="n">
        <v>0.1</v>
      </c>
      <c r="H5144" s="1365" t="n">
        <f aca="false">E5144*F5144*G5144</f>
        <v>118002</v>
      </c>
      <c r="I5144" s="1365" t="n">
        <f aca="false">F5144-H5144</f>
        <v>78668</v>
      </c>
      <c r="J5144" s="1365" t="n">
        <f aca="false">F5144*G5144</f>
        <v>19667</v>
      </c>
      <c r="K5144" s="1365" t="n">
        <f aca="false">J5144/1792.8</f>
        <v>10.9699910754128</v>
      </c>
      <c r="L5144" s="1365" t="n">
        <v>15</v>
      </c>
      <c r="M5144" s="1273" t="n">
        <f aca="false">K5144*L5144/60</f>
        <v>2.74249776885319</v>
      </c>
    </row>
    <row r="5145" customFormat="false" ht="15" hidden="false" customHeight="false" outlineLevel="0" collapsed="false">
      <c r="A5145" s="216"/>
      <c r="B5145" s="78"/>
      <c r="C5145" s="1161" t="s">
        <v>7158</v>
      </c>
      <c r="D5145" s="317" t="n">
        <v>2004</v>
      </c>
      <c r="E5145" s="1365" t="n">
        <v>6</v>
      </c>
      <c r="F5145" s="1365" t="n">
        <v>6985000</v>
      </c>
      <c r="G5145" s="1364" t="n">
        <v>0.1</v>
      </c>
      <c r="H5145" s="1365" t="n">
        <f aca="false">E5145*F5145*G5145</f>
        <v>4191000</v>
      </c>
      <c r="I5145" s="1365" t="n">
        <f aca="false">F5145-H5145</f>
        <v>2794000</v>
      </c>
      <c r="J5145" s="1365" t="n">
        <f aca="false">F5145*G5145</f>
        <v>698500</v>
      </c>
      <c r="K5145" s="1365" t="n">
        <f aca="false">J5145/1792.8</f>
        <v>389.614011601963</v>
      </c>
      <c r="L5145" s="1365" t="n">
        <v>20</v>
      </c>
      <c r="M5145" s="1273" t="n">
        <f aca="false">K5145*L5145/60</f>
        <v>129.871337200654</v>
      </c>
    </row>
    <row r="5146" customFormat="false" ht="15" hidden="false" customHeight="false" outlineLevel="0" collapsed="false">
      <c r="A5146" s="216"/>
      <c r="B5146" s="78"/>
      <c r="C5146" s="1160"/>
      <c r="D5146" s="135"/>
      <c r="E5146" s="1370"/>
      <c r="F5146" s="1370"/>
      <c r="G5146" s="1372" t="n">
        <v>0.1</v>
      </c>
      <c r="H5146" s="1365" t="n">
        <f aca="false">E5146*F5146*G5146</f>
        <v>0</v>
      </c>
      <c r="I5146" s="1365" t="n">
        <f aca="false">F5146-H5146</f>
        <v>0</v>
      </c>
      <c r="J5146" s="1365" t="n">
        <f aca="false">F5146*G5146</f>
        <v>0</v>
      </c>
      <c r="K5146" s="1365" t="n">
        <f aca="false">J5146/1792.8</f>
        <v>0</v>
      </c>
      <c r="L5146" s="1370" t="n">
        <f aca="false">SUM(L5140:L5145)</f>
        <v>1585</v>
      </c>
      <c r="M5146" s="1370" t="n">
        <f aca="false">SUM(M5140:M5145)</f>
        <v>753.16399858694</v>
      </c>
    </row>
    <row r="5147" customFormat="false" ht="30" hidden="false" customHeight="false" outlineLevel="0" collapsed="false">
      <c r="A5147" s="316" t="s">
        <v>6492</v>
      </c>
      <c r="B5147" s="40" t="s">
        <v>7267</v>
      </c>
      <c r="C5147" s="1161"/>
      <c r="D5147" s="317"/>
      <c r="E5147" s="1365"/>
      <c r="F5147" s="1365"/>
      <c r="G5147" s="1364" t="n">
        <v>0.1</v>
      </c>
      <c r="H5147" s="1365" t="n">
        <f aca="false">E5147*F5147*G5147</f>
        <v>0</v>
      </c>
      <c r="I5147" s="1365" t="n">
        <f aca="false">F5147-H5147</f>
        <v>0</v>
      </c>
      <c r="J5147" s="1365" t="n">
        <f aca="false">F5147*G5147</f>
        <v>0</v>
      </c>
      <c r="K5147" s="1365" t="n">
        <f aca="false">J5147/1792.8</f>
        <v>0</v>
      </c>
      <c r="L5147" s="1370"/>
      <c r="M5147" s="1366"/>
    </row>
    <row r="5148" customFormat="false" ht="15" hidden="false" customHeight="false" outlineLevel="0" collapsed="false">
      <c r="A5148" s="216"/>
      <c r="B5148" s="78"/>
      <c r="C5148" s="1161" t="s">
        <v>7245</v>
      </c>
      <c r="D5148" s="317" t="n">
        <v>2005</v>
      </c>
      <c r="E5148" s="1365" t="n">
        <v>5</v>
      </c>
      <c r="F5148" s="1365" t="n">
        <v>347000</v>
      </c>
      <c r="G5148" s="1364" t="n">
        <v>0.1</v>
      </c>
      <c r="H5148" s="1365" t="n">
        <f aca="false">E5148*F5148*G5148</f>
        <v>173500</v>
      </c>
      <c r="I5148" s="1365" t="n">
        <f aca="false">F5148-H5148</f>
        <v>173500</v>
      </c>
      <c r="J5148" s="1365" t="n">
        <f aca="false">F5148*G5148</f>
        <v>34700</v>
      </c>
      <c r="K5148" s="1365" t="n">
        <f aca="false">J5148/1792.8</f>
        <v>19.355198572066</v>
      </c>
      <c r="L5148" s="1365" t="n">
        <v>30</v>
      </c>
      <c r="M5148" s="1273" t="n">
        <f aca="false">K5148*L5148/60</f>
        <v>9.67759928603302</v>
      </c>
    </row>
    <row r="5149" customFormat="false" ht="15" hidden="false" customHeight="false" outlineLevel="0" collapsed="false">
      <c r="A5149" s="316"/>
      <c r="B5149" s="316"/>
      <c r="C5149" s="1161" t="s">
        <v>7264</v>
      </c>
      <c r="D5149" s="317" t="n">
        <v>2014</v>
      </c>
      <c r="E5149" s="1365" t="n">
        <v>10</v>
      </c>
      <c r="F5149" s="1365" t="n">
        <v>1411000</v>
      </c>
      <c r="G5149" s="1364" t="n">
        <v>0.1</v>
      </c>
      <c r="H5149" s="1365" t="n">
        <f aca="false">E5149*F5149*G5149</f>
        <v>1411000</v>
      </c>
      <c r="I5149" s="1365" t="n">
        <f aca="false">F5149-H5149</f>
        <v>0</v>
      </c>
      <c r="J5149" s="1365" t="n">
        <f aca="false">F5149*G5149</f>
        <v>141100</v>
      </c>
      <c r="K5149" s="1365" t="n">
        <f aca="false">J5149/1792.8</f>
        <v>78.7037037037037</v>
      </c>
      <c r="L5149" s="1365"/>
      <c r="M5149" s="1273" t="n">
        <f aca="false">K5149*L5149/60</f>
        <v>0</v>
      </c>
    </row>
    <row r="5150" customFormat="false" ht="15" hidden="false" customHeight="false" outlineLevel="0" collapsed="false">
      <c r="A5150" s="316"/>
      <c r="B5150" s="316"/>
      <c r="C5150" s="1161" t="s">
        <v>7249</v>
      </c>
      <c r="D5150" s="317" t="n">
        <v>2005</v>
      </c>
      <c r="E5150" s="1365" t="n">
        <v>5</v>
      </c>
      <c r="F5150" s="1365" t="n">
        <v>347000</v>
      </c>
      <c r="G5150" s="1364" t="n">
        <v>0.1</v>
      </c>
      <c r="H5150" s="1365" t="n">
        <f aca="false">E5150*F5150*G5150</f>
        <v>173500</v>
      </c>
      <c r="I5150" s="1365" t="n">
        <f aca="false">F5150-H5150</f>
        <v>173500</v>
      </c>
      <c r="J5150" s="1365" t="n">
        <f aca="false">F5150*G5150</f>
        <v>34700</v>
      </c>
      <c r="K5150" s="1365" t="n">
        <f aca="false">J5150/1792.8</f>
        <v>19.355198572066</v>
      </c>
      <c r="L5150" s="1365" t="n">
        <v>60</v>
      </c>
      <c r="M5150" s="1273" t="n">
        <f aca="false">K5150*L5150/60</f>
        <v>19.355198572066</v>
      </c>
    </row>
    <row r="5151" customFormat="false" ht="15" hidden="false" customHeight="false" outlineLevel="0" collapsed="false">
      <c r="A5151" s="316"/>
      <c r="B5151" s="316"/>
      <c r="C5151" s="1161" t="s">
        <v>7170</v>
      </c>
      <c r="D5151" s="317" t="n">
        <v>2004</v>
      </c>
      <c r="E5151" s="1365" t="n">
        <v>6</v>
      </c>
      <c r="F5151" s="1365" t="n">
        <v>196670</v>
      </c>
      <c r="G5151" s="1364" t="n">
        <v>0.1</v>
      </c>
      <c r="H5151" s="1365" t="n">
        <f aca="false">E5151*F5151*G5151</f>
        <v>118002</v>
      </c>
      <c r="I5151" s="1365" t="n">
        <f aca="false">F5151-H5151</f>
        <v>78668</v>
      </c>
      <c r="J5151" s="1365" t="n">
        <f aca="false">F5151*G5151</f>
        <v>19667</v>
      </c>
      <c r="K5151" s="1365" t="n">
        <f aca="false">J5151/1792.8</f>
        <v>10.9699910754128</v>
      </c>
      <c r="L5151" s="1365" t="n">
        <v>15</v>
      </c>
      <c r="M5151" s="1273" t="n">
        <f aca="false">K5151*L5151/60</f>
        <v>2.74249776885319</v>
      </c>
    </row>
    <row r="5152" customFormat="false" ht="15" hidden="false" customHeight="false" outlineLevel="0" collapsed="false">
      <c r="A5152" s="216"/>
      <c r="B5152" s="78"/>
      <c r="C5152" s="1161" t="s">
        <v>7247</v>
      </c>
      <c r="D5152" s="317" t="n">
        <v>2004</v>
      </c>
      <c r="E5152" s="1365" t="n">
        <v>6</v>
      </c>
      <c r="F5152" s="1365" t="n">
        <v>202860</v>
      </c>
      <c r="G5152" s="1364" t="n">
        <v>0.1</v>
      </c>
      <c r="H5152" s="1365" t="n">
        <f aca="false">E5152*F5152*G5152</f>
        <v>121716</v>
      </c>
      <c r="I5152" s="1365" t="n">
        <f aca="false">F5152-H5152</f>
        <v>81144</v>
      </c>
      <c r="J5152" s="1365" t="n">
        <f aca="false">F5152*G5152</f>
        <v>20286</v>
      </c>
      <c r="K5152" s="1365" t="n">
        <f aca="false">J5152/1792.8</f>
        <v>11.3152610441767</v>
      </c>
      <c r="L5152" s="1365" t="n">
        <v>2880</v>
      </c>
      <c r="M5152" s="1273" t="n">
        <f aca="false">K5152*L5152/60</f>
        <v>543.132530120482</v>
      </c>
    </row>
    <row r="5153" customFormat="false" ht="15" hidden="false" customHeight="false" outlineLevel="0" collapsed="false">
      <c r="A5153" s="216"/>
      <c r="B5153" s="78"/>
      <c r="C5153" s="1161" t="s">
        <v>7158</v>
      </c>
      <c r="D5153" s="317" t="n">
        <v>2004</v>
      </c>
      <c r="E5153" s="1365" t="n">
        <v>6</v>
      </c>
      <c r="F5153" s="1365" t="n">
        <v>6985000</v>
      </c>
      <c r="G5153" s="1364" t="n">
        <v>0.1</v>
      </c>
      <c r="H5153" s="1365" t="n">
        <f aca="false">E5153*F5153*G5153</f>
        <v>4191000</v>
      </c>
      <c r="I5153" s="1365" t="n">
        <f aca="false">F5153-H5153</f>
        <v>2794000</v>
      </c>
      <c r="J5153" s="1365" t="n">
        <f aca="false">F5153*G5153</f>
        <v>698500</v>
      </c>
      <c r="K5153" s="1365" t="n">
        <f aca="false">J5153/1792.8</f>
        <v>389.614011601963</v>
      </c>
      <c r="L5153" s="1365" t="n">
        <v>15</v>
      </c>
      <c r="M5153" s="1273" t="n">
        <f aca="false">K5153*L5153/60</f>
        <v>97.4035029004909</v>
      </c>
    </row>
    <row r="5154" customFormat="false" ht="15" hidden="false" customHeight="false" outlineLevel="0" collapsed="false">
      <c r="A5154" s="216"/>
      <c r="B5154" s="78"/>
      <c r="C5154" s="1160"/>
      <c r="D5154" s="135"/>
      <c r="E5154" s="1370"/>
      <c r="F5154" s="1370"/>
      <c r="G5154" s="1372" t="n">
        <v>0.1</v>
      </c>
      <c r="H5154" s="1365" t="n">
        <f aca="false">E5154*F5154*G5154</f>
        <v>0</v>
      </c>
      <c r="I5154" s="1365" t="n">
        <f aca="false">F5154-H5154</f>
        <v>0</v>
      </c>
      <c r="J5154" s="1365" t="n">
        <f aca="false">F5154*G5154</f>
        <v>0</v>
      </c>
      <c r="K5154" s="1365" t="n">
        <f aca="false">J5154/1792.8</f>
        <v>0</v>
      </c>
      <c r="L5154" s="1370" t="n">
        <f aca="false">SUM(L5147:L5153)</f>
        <v>3000</v>
      </c>
      <c r="M5154" s="1370" t="n">
        <f aca="false">SUM(M5147:M5153)</f>
        <v>672.311328647925</v>
      </c>
    </row>
    <row r="5155" customFormat="false" ht="15" hidden="false" customHeight="false" outlineLevel="0" collapsed="false">
      <c r="A5155" s="350" t="s">
        <v>2343</v>
      </c>
      <c r="B5155" s="509" t="s">
        <v>2344</v>
      </c>
      <c r="C5155" s="1569"/>
      <c r="D5155" s="339"/>
      <c r="E5155" s="1246"/>
      <c r="F5155" s="1246"/>
      <c r="G5155" s="1570"/>
      <c r="H5155" s="1512"/>
      <c r="I5155" s="1512"/>
      <c r="J5155" s="1512"/>
      <c r="K5155" s="1512" t="n">
        <f aca="false">J5155/1792.8</f>
        <v>0</v>
      </c>
      <c r="L5155" s="1246"/>
      <c r="M5155" s="1246"/>
    </row>
    <row r="5156" customFormat="false" ht="30" hidden="false" customHeight="false" outlineLevel="0" collapsed="false">
      <c r="A5156" s="316" t="s">
        <v>6496</v>
      </c>
      <c r="B5156" s="40" t="s">
        <v>3902</v>
      </c>
      <c r="C5156" s="1161"/>
      <c r="D5156" s="317"/>
      <c r="E5156" s="1365"/>
      <c r="F5156" s="1365"/>
      <c r="G5156" s="1364"/>
      <c r="H5156" s="1365"/>
      <c r="I5156" s="1365"/>
      <c r="J5156" s="1365"/>
      <c r="K5156" s="1365"/>
      <c r="L5156" s="1370"/>
      <c r="M5156" s="1366"/>
    </row>
    <row r="5157" customFormat="false" ht="15" hidden="false" customHeight="false" outlineLevel="0" collapsed="false">
      <c r="A5157" s="216"/>
      <c r="B5157" s="78"/>
      <c r="C5157" s="1161" t="s">
        <v>7247</v>
      </c>
      <c r="D5157" s="317" t="n">
        <v>2004</v>
      </c>
      <c r="E5157" s="1365" t="n">
        <v>6</v>
      </c>
      <c r="F5157" s="1365" t="n">
        <v>202860</v>
      </c>
      <c r="G5157" s="1364" t="n">
        <v>0.1</v>
      </c>
      <c r="H5157" s="1365" t="n">
        <f aca="false">E5157*F5157*G5157</f>
        <v>121716</v>
      </c>
      <c r="I5157" s="1365" t="n">
        <f aca="false">F5157-H5157</f>
        <v>81144</v>
      </c>
      <c r="J5157" s="1365" t="n">
        <f aca="false">F5157*G5157</f>
        <v>20286</v>
      </c>
      <c r="K5157" s="1365" t="n">
        <f aca="false">J5157/1792.8</f>
        <v>11.3152610441767</v>
      </c>
      <c r="L5157" s="1365" t="n">
        <v>2880</v>
      </c>
      <c r="M5157" s="1273" t="n">
        <f aca="false">K5157*L5157/60</f>
        <v>543.132530120482</v>
      </c>
    </row>
    <row r="5158" customFormat="false" ht="15" hidden="false" customHeight="false" outlineLevel="0" collapsed="false">
      <c r="A5158" s="316"/>
      <c r="B5158" s="1467"/>
      <c r="C5158" s="1161" t="s">
        <v>7254</v>
      </c>
      <c r="D5158" s="317" t="n">
        <v>2007</v>
      </c>
      <c r="E5158" s="1365" t="n">
        <v>3</v>
      </c>
      <c r="F5158" s="1365" t="n">
        <v>1638000</v>
      </c>
      <c r="G5158" s="1364" t="n">
        <v>0.1</v>
      </c>
      <c r="H5158" s="1365" t="n">
        <f aca="false">E5158*F5158*G5158</f>
        <v>491400</v>
      </c>
      <c r="I5158" s="1365" t="n">
        <f aca="false">F5158-H5158</f>
        <v>1146600</v>
      </c>
      <c r="J5158" s="1365" t="n">
        <f aca="false">F5158*G5158</f>
        <v>163800</v>
      </c>
      <c r="K5158" s="1365" t="n">
        <f aca="false">J5158/1792.8</f>
        <v>91.3654618473896</v>
      </c>
      <c r="L5158" s="1365"/>
      <c r="M5158" s="1273" t="n">
        <f aca="false">K5158*L5158/60</f>
        <v>0</v>
      </c>
    </row>
    <row r="5159" s="311" customFormat="true" ht="15" hidden="false" customHeight="false" outlineLevel="0" collapsed="false">
      <c r="C5159" s="1161" t="s">
        <v>7158</v>
      </c>
      <c r="D5159" s="317" t="n">
        <v>2004</v>
      </c>
      <c r="E5159" s="1365" t="n">
        <v>6</v>
      </c>
      <c r="F5159" s="1365" t="n">
        <v>6985000</v>
      </c>
      <c r="G5159" s="1364" t="n">
        <v>0.1</v>
      </c>
      <c r="H5159" s="1365" t="n">
        <f aca="false">E5159*F5159*G5159</f>
        <v>4191000</v>
      </c>
      <c r="I5159" s="1365" t="n">
        <f aca="false">F5159-H5159</f>
        <v>2794000</v>
      </c>
      <c r="J5159" s="1365" t="n">
        <f aca="false">F5159*G5159</f>
        <v>698500</v>
      </c>
      <c r="K5159" s="1365" t="n">
        <f aca="false">J5159/1792.8</f>
        <v>389.614011601963</v>
      </c>
      <c r="L5159" s="1365" t="n">
        <v>15</v>
      </c>
      <c r="M5159" s="1273" t="n">
        <f aca="false">K5159*L5159/60</f>
        <v>97.4035029004909</v>
      </c>
    </row>
    <row r="5160" customFormat="false" ht="15" hidden="false" customHeight="false" outlineLevel="0" collapsed="false">
      <c r="A5160" s="216"/>
      <c r="B5160" s="78"/>
      <c r="C5160" s="1161" t="s">
        <v>7249</v>
      </c>
      <c r="D5160" s="317" t="n">
        <v>2005</v>
      </c>
      <c r="E5160" s="1365" t="n">
        <v>5</v>
      </c>
      <c r="F5160" s="1365" t="n">
        <v>347000</v>
      </c>
      <c r="G5160" s="1364" t="n">
        <v>0.1</v>
      </c>
      <c r="H5160" s="1365" t="n">
        <f aca="false">E5160*F5160*G5160</f>
        <v>173500</v>
      </c>
      <c r="I5160" s="1365" t="n">
        <f aca="false">F5160-H5160</f>
        <v>173500</v>
      </c>
      <c r="J5160" s="1365" t="n">
        <f aca="false">F5160*G5160</f>
        <v>34700</v>
      </c>
      <c r="K5160" s="1365" t="n">
        <f aca="false">J5160/1792.8</f>
        <v>19.355198572066</v>
      </c>
      <c r="L5160" s="1365" t="n">
        <v>60</v>
      </c>
      <c r="M5160" s="1273" t="n">
        <f aca="false">K5160*L5160/60</f>
        <v>19.355198572066</v>
      </c>
    </row>
    <row r="5161" customFormat="false" ht="15" hidden="false" customHeight="false" outlineLevel="0" collapsed="false">
      <c r="A5161" s="216"/>
      <c r="B5161" s="78"/>
      <c r="C5161" s="1161" t="s">
        <v>7245</v>
      </c>
      <c r="D5161" s="317" t="n">
        <v>2005</v>
      </c>
      <c r="E5161" s="1365" t="n">
        <v>5</v>
      </c>
      <c r="F5161" s="1365" t="n">
        <v>347000</v>
      </c>
      <c r="G5161" s="1364" t="n">
        <v>0.1</v>
      </c>
      <c r="H5161" s="1365" t="n">
        <f aca="false">E5161*F5161*G5161</f>
        <v>173500</v>
      </c>
      <c r="I5161" s="1365" t="n">
        <f aca="false">F5161-H5161</f>
        <v>173500</v>
      </c>
      <c r="J5161" s="1365" t="n">
        <f aca="false">F5161*G5161</f>
        <v>34700</v>
      </c>
      <c r="K5161" s="1365" t="n">
        <f aca="false">J5161/1792.8</f>
        <v>19.355198572066</v>
      </c>
      <c r="L5161" s="1365" t="n">
        <v>30</v>
      </c>
      <c r="M5161" s="1273" t="n">
        <f aca="false">K5161*L5161/60</f>
        <v>9.67759928603302</v>
      </c>
    </row>
    <row r="5162" customFormat="false" ht="15" hidden="false" customHeight="false" outlineLevel="0" collapsed="false">
      <c r="A5162" s="216"/>
      <c r="B5162" s="78"/>
      <c r="C5162" s="1161" t="s">
        <v>7256</v>
      </c>
      <c r="D5162" s="317" t="n">
        <v>2005</v>
      </c>
      <c r="E5162" s="1365" t="n">
        <v>5</v>
      </c>
      <c r="F5162" s="1365" t="n">
        <v>197664</v>
      </c>
      <c r="G5162" s="1364" t="n">
        <v>0.1</v>
      </c>
      <c r="H5162" s="1365" t="n">
        <f aca="false">E5162*F5162*G5162</f>
        <v>98832</v>
      </c>
      <c r="I5162" s="1365" t="n">
        <f aca="false">F5162-H5162</f>
        <v>98832</v>
      </c>
      <c r="J5162" s="1365" t="n">
        <f aca="false">F5162*G5162</f>
        <v>19766.4</v>
      </c>
      <c r="K5162" s="1365" t="n">
        <f aca="false">J5162/1792.8</f>
        <v>11.0254350736278</v>
      </c>
      <c r="L5162" s="1365" t="n">
        <v>485</v>
      </c>
      <c r="M5162" s="1273" t="n">
        <f aca="false">K5162*L5162/60</f>
        <v>89.1222668451584</v>
      </c>
    </row>
    <row r="5163" customFormat="false" ht="15" hidden="false" customHeight="false" outlineLevel="0" collapsed="false">
      <c r="A5163" s="216"/>
      <c r="B5163" s="78"/>
      <c r="C5163" s="1160"/>
      <c r="D5163" s="135"/>
      <c r="E5163" s="1370"/>
      <c r="F5163" s="1370"/>
      <c r="G5163" s="1372" t="n">
        <v>0.1</v>
      </c>
      <c r="H5163" s="1365" t="n">
        <f aca="false">E5163*F5163*G5163</f>
        <v>0</v>
      </c>
      <c r="I5163" s="1365" t="n">
        <f aca="false">F5163-H5163</f>
        <v>0</v>
      </c>
      <c r="J5163" s="1365" t="n">
        <f aca="false">F5163*G5163</f>
        <v>0</v>
      </c>
      <c r="K5163" s="1365" t="n">
        <f aca="false">J5163/1792.8</f>
        <v>0</v>
      </c>
      <c r="L5163" s="1370" t="n">
        <f aca="false">SUM(L5157:L5162)</f>
        <v>3470</v>
      </c>
      <c r="M5163" s="1370" t="n">
        <f aca="false">SUM(M5157:M5162)</f>
        <v>758.69109772423</v>
      </c>
    </row>
    <row r="5164" customFormat="false" ht="30" hidden="false" customHeight="false" outlineLevel="0" collapsed="false">
      <c r="A5164" s="316" t="s">
        <v>6504</v>
      </c>
      <c r="B5164" s="40" t="s">
        <v>6505</v>
      </c>
      <c r="C5164" s="1161"/>
      <c r="D5164" s="317"/>
      <c r="E5164" s="1365"/>
      <c r="F5164" s="1365"/>
      <c r="G5164" s="1364" t="n">
        <v>0.1</v>
      </c>
      <c r="H5164" s="1365" t="n">
        <f aca="false">E5164*F5164*G5164</f>
        <v>0</v>
      </c>
      <c r="I5164" s="1365" t="n">
        <f aca="false">F5164-H5164</f>
        <v>0</v>
      </c>
      <c r="J5164" s="1365" t="n">
        <f aca="false">F5164*G5164</f>
        <v>0</v>
      </c>
      <c r="K5164" s="1365" t="n">
        <f aca="false">J5164/1792.8</f>
        <v>0</v>
      </c>
      <c r="L5164" s="1365"/>
      <c r="M5164" s="1273"/>
    </row>
    <row r="5165" customFormat="false" ht="30" hidden="false" customHeight="false" outlineLevel="0" collapsed="false">
      <c r="A5165" s="216"/>
      <c r="B5165" s="78"/>
      <c r="C5165" s="1161" t="s">
        <v>7250</v>
      </c>
      <c r="D5165" s="317" t="n">
        <v>2005</v>
      </c>
      <c r="E5165" s="1365" t="n">
        <v>5</v>
      </c>
      <c r="F5165" s="1365" t="n">
        <v>347000</v>
      </c>
      <c r="G5165" s="1364" t="n">
        <v>0.1</v>
      </c>
      <c r="H5165" s="1365" t="n">
        <f aca="false">E5165*F5165*G5165</f>
        <v>173500</v>
      </c>
      <c r="I5165" s="1365" t="n">
        <f aca="false">F5165-H5165</f>
        <v>173500</v>
      </c>
      <c r="J5165" s="1365" t="n">
        <f aca="false">F5165*G5165</f>
        <v>34700</v>
      </c>
      <c r="K5165" s="1365" t="n">
        <f aca="false">J5165/1792.8</f>
        <v>19.355198572066</v>
      </c>
      <c r="L5165" s="1365" t="n">
        <v>30</v>
      </c>
      <c r="M5165" s="1273" t="n">
        <f aca="false">K5165*L5165/60</f>
        <v>9.67759928603302</v>
      </c>
    </row>
    <row r="5166" customFormat="false" ht="15" hidden="false" customHeight="false" outlineLevel="0" collapsed="false">
      <c r="A5166" s="216"/>
      <c r="B5166" s="78"/>
      <c r="C5166" s="1161" t="s">
        <v>7245</v>
      </c>
      <c r="D5166" s="317" t="n">
        <v>2005</v>
      </c>
      <c r="E5166" s="1365" t="n">
        <v>5</v>
      </c>
      <c r="F5166" s="1365" t="n">
        <v>347000</v>
      </c>
      <c r="G5166" s="1364" t="n">
        <v>0.1</v>
      </c>
      <c r="H5166" s="1365" t="n">
        <f aca="false">E5166*F5166*G5166</f>
        <v>173500</v>
      </c>
      <c r="I5166" s="1365" t="n">
        <f aca="false">F5166-H5166</f>
        <v>173500</v>
      </c>
      <c r="J5166" s="1365" t="n">
        <f aca="false">F5166*G5166</f>
        <v>34700</v>
      </c>
      <c r="K5166" s="1365" t="n">
        <f aca="false">J5166/1792.8</f>
        <v>19.355198572066</v>
      </c>
      <c r="L5166" s="1365" t="n">
        <v>30</v>
      </c>
      <c r="M5166" s="1273" t="n">
        <f aca="false">K5166*L5166/60</f>
        <v>9.67759928603302</v>
      </c>
    </row>
    <row r="5167" customFormat="false" ht="15" hidden="false" customHeight="false" outlineLevel="0" collapsed="false">
      <c r="A5167" s="216"/>
      <c r="B5167" s="78"/>
      <c r="C5167" s="1161" t="s">
        <v>7170</v>
      </c>
      <c r="D5167" s="317" t="n">
        <v>2004</v>
      </c>
      <c r="E5167" s="1365" t="n">
        <v>6</v>
      </c>
      <c r="F5167" s="1365" t="n">
        <v>196670</v>
      </c>
      <c r="G5167" s="1364" t="n">
        <v>0.1</v>
      </c>
      <c r="H5167" s="1365" t="n">
        <f aca="false">E5167*F5167*G5167</f>
        <v>118002</v>
      </c>
      <c r="I5167" s="1365" t="n">
        <f aca="false">F5167-H5167</f>
        <v>78668</v>
      </c>
      <c r="J5167" s="1365" t="n">
        <f aca="false">F5167*G5167</f>
        <v>19667</v>
      </c>
      <c r="K5167" s="1365" t="n">
        <f aca="false">J5167/1792.8</f>
        <v>10.9699910754128</v>
      </c>
      <c r="L5167" s="1365" t="n">
        <v>15</v>
      </c>
      <c r="M5167" s="1273" t="n">
        <f aca="false">K5167*L5167/60</f>
        <v>2.74249776885319</v>
      </c>
    </row>
    <row r="5168" customFormat="false" ht="15" hidden="false" customHeight="false" outlineLevel="0" collapsed="false">
      <c r="A5168" s="216"/>
      <c r="B5168" s="78"/>
      <c r="C5168" s="1161" t="s">
        <v>7191</v>
      </c>
      <c r="D5168" s="317" t="n">
        <v>2005</v>
      </c>
      <c r="E5168" s="1365" t="n">
        <v>5</v>
      </c>
      <c r="F5168" s="1365" t="n">
        <v>347000</v>
      </c>
      <c r="G5168" s="1364" t="n">
        <v>0.1</v>
      </c>
      <c r="H5168" s="1365" t="n">
        <f aca="false">E5168*F5168*G5168</f>
        <v>173500</v>
      </c>
      <c r="I5168" s="1365" t="n">
        <f aca="false">F5168-H5168</f>
        <v>173500</v>
      </c>
      <c r="J5168" s="1365" t="n">
        <f aca="false">F5168*G5168</f>
        <v>34700</v>
      </c>
      <c r="K5168" s="1365" t="n">
        <f aca="false">J5168/1792.8</f>
        <v>19.355198572066</v>
      </c>
      <c r="L5168" s="1365" t="n">
        <v>30</v>
      </c>
      <c r="M5168" s="1273" t="n">
        <f aca="false">K5168*L5168/60</f>
        <v>9.67759928603302</v>
      </c>
    </row>
    <row r="5169" customFormat="false" ht="15" hidden="false" customHeight="false" outlineLevel="0" collapsed="false">
      <c r="A5169" s="216"/>
      <c r="B5169" s="78"/>
      <c r="C5169" s="1161" t="s">
        <v>7158</v>
      </c>
      <c r="D5169" s="317" t="n">
        <v>2004</v>
      </c>
      <c r="E5169" s="1365" t="n">
        <v>6</v>
      </c>
      <c r="F5169" s="1365" t="n">
        <v>6985000</v>
      </c>
      <c r="G5169" s="1364" t="n">
        <v>0.1</v>
      </c>
      <c r="H5169" s="1365" t="n">
        <f aca="false">E5169*F5169*G5169</f>
        <v>4191000</v>
      </c>
      <c r="I5169" s="1365" t="n">
        <f aca="false">F5169-H5169</f>
        <v>2794000</v>
      </c>
      <c r="J5169" s="1365" t="n">
        <f aca="false">F5169*G5169</f>
        <v>698500</v>
      </c>
      <c r="K5169" s="1365" t="n">
        <f aca="false">J5169/1792.8</f>
        <v>389.614011601963</v>
      </c>
      <c r="L5169" s="1365" t="n">
        <v>20</v>
      </c>
      <c r="M5169" s="1273" t="n">
        <f aca="false">K5169*L5169/60</f>
        <v>129.871337200654</v>
      </c>
    </row>
    <row r="5170" customFormat="false" ht="15" hidden="false" customHeight="false" outlineLevel="0" collapsed="false">
      <c r="A5170" s="216"/>
      <c r="B5170" s="78"/>
      <c r="C5170" s="1160"/>
      <c r="D5170" s="135"/>
      <c r="E5170" s="1370"/>
      <c r="F5170" s="1370"/>
      <c r="G5170" s="1372" t="n">
        <v>0.1</v>
      </c>
      <c r="H5170" s="1365" t="n">
        <f aca="false">E5170*F5170*G5170</f>
        <v>0</v>
      </c>
      <c r="I5170" s="1365" t="n">
        <f aca="false">F5170-H5170</f>
        <v>0</v>
      </c>
      <c r="J5170" s="1365" t="n">
        <f aca="false">F5170*G5170</f>
        <v>0</v>
      </c>
      <c r="K5170" s="1365" t="n">
        <f aca="false">J5170/1792.8</f>
        <v>0</v>
      </c>
      <c r="L5170" s="1370" t="n">
        <f aca="false">SUM(L5165:L5169)</f>
        <v>125</v>
      </c>
      <c r="M5170" s="1370" t="n">
        <f aca="false">SUM(M5165:M5169)</f>
        <v>161.646632827607</v>
      </c>
    </row>
    <row r="5171" customFormat="false" ht="30" hidden="false" customHeight="false" outlineLevel="0" collapsed="false">
      <c r="A5171" s="316" t="s">
        <v>6507</v>
      </c>
      <c r="B5171" s="40" t="s">
        <v>3904</v>
      </c>
      <c r="C5171" s="1161"/>
      <c r="D5171" s="317"/>
      <c r="E5171" s="1365"/>
      <c r="F5171" s="1365"/>
      <c r="G5171" s="1364" t="n">
        <v>0.1</v>
      </c>
      <c r="H5171" s="1365" t="n">
        <f aca="false">E5171*F5171*G5171</f>
        <v>0</v>
      </c>
      <c r="I5171" s="1365" t="n">
        <f aca="false">F5171-H5171</f>
        <v>0</v>
      </c>
      <c r="J5171" s="1365" t="n">
        <f aca="false">F5171*G5171</f>
        <v>0</v>
      </c>
      <c r="K5171" s="1365" t="n">
        <f aca="false">J5171/1792.8</f>
        <v>0</v>
      </c>
      <c r="L5171" s="1365"/>
      <c r="M5171" s="1273"/>
    </row>
    <row r="5172" customFormat="false" ht="15" hidden="false" customHeight="false" outlineLevel="0" collapsed="false">
      <c r="A5172" s="316"/>
      <c r="B5172" s="40"/>
      <c r="C5172" s="1161" t="s">
        <v>7247</v>
      </c>
      <c r="D5172" s="317" t="n">
        <v>2004</v>
      </c>
      <c r="E5172" s="1365" t="n">
        <v>6</v>
      </c>
      <c r="F5172" s="1365" t="n">
        <v>202860</v>
      </c>
      <c r="G5172" s="1364" t="n">
        <v>0.1</v>
      </c>
      <c r="H5172" s="1365" t="n">
        <f aca="false">E5172*F5172*G5172</f>
        <v>121716</v>
      </c>
      <c r="I5172" s="1365" t="n">
        <f aca="false">F5172-H5172</f>
        <v>81144</v>
      </c>
      <c r="J5172" s="1365" t="n">
        <f aca="false">F5172*G5172</f>
        <v>20286</v>
      </c>
      <c r="K5172" s="1365" t="n">
        <f aca="false">J5172/1792.8</f>
        <v>11.3152610441767</v>
      </c>
      <c r="L5172" s="1365" t="n">
        <v>1440</v>
      </c>
      <c r="M5172" s="1273" t="n">
        <f aca="false">K5172*L5172/60</f>
        <v>271.566265060241</v>
      </c>
    </row>
    <row r="5173" customFormat="false" ht="15" hidden="false" customHeight="false" outlineLevel="0" collapsed="false">
      <c r="A5173" s="316"/>
      <c r="B5173" s="40"/>
      <c r="C5173" s="1161" t="s">
        <v>7249</v>
      </c>
      <c r="D5173" s="317" t="n">
        <v>2006</v>
      </c>
      <c r="E5173" s="1365" t="n">
        <v>4</v>
      </c>
      <c r="F5173" s="1365" t="n">
        <v>55500</v>
      </c>
      <c r="G5173" s="1364" t="n">
        <v>0.1</v>
      </c>
      <c r="H5173" s="1365" t="n">
        <f aca="false">E5173*F5173*G5173</f>
        <v>22200</v>
      </c>
      <c r="I5173" s="1365" t="n">
        <f aca="false">F5173-H5173</f>
        <v>33300</v>
      </c>
      <c r="J5173" s="1365" t="n">
        <f aca="false">F5173*G5173</f>
        <v>5550</v>
      </c>
      <c r="K5173" s="1365" t="n">
        <f aca="false">J5173/1792.8</f>
        <v>3.09571619812584</v>
      </c>
      <c r="L5173" s="1365" t="n">
        <v>10</v>
      </c>
      <c r="M5173" s="1273" t="n">
        <f aca="false">K5173*L5173/60</f>
        <v>0.51595269968764</v>
      </c>
    </row>
    <row r="5174" customFormat="false" ht="15" hidden="false" customHeight="false" outlineLevel="0" collapsed="false">
      <c r="A5174" s="316"/>
      <c r="B5174" s="40"/>
      <c r="C5174" s="1161" t="s">
        <v>7251</v>
      </c>
      <c r="D5174" s="317" t="n">
        <v>2005</v>
      </c>
      <c r="E5174" s="1365" t="n">
        <v>5</v>
      </c>
      <c r="F5174" s="1365" t="n">
        <v>1638000</v>
      </c>
      <c r="G5174" s="1364" t="n">
        <v>0.1</v>
      </c>
      <c r="H5174" s="1365" t="n">
        <f aca="false">E5174*F5174*G5174</f>
        <v>819000</v>
      </c>
      <c r="I5174" s="1365" t="n">
        <f aca="false">F5174-H5174</f>
        <v>819000</v>
      </c>
      <c r="J5174" s="1365" t="n">
        <f aca="false">F5174*G5174</f>
        <v>163800</v>
      </c>
      <c r="K5174" s="1365" t="n">
        <f aca="false">J5174/1792.8</f>
        <v>91.3654618473896</v>
      </c>
      <c r="L5174" s="1365" t="n">
        <v>80</v>
      </c>
      <c r="M5174" s="1273" t="n">
        <f aca="false">K5174*L5174/60</f>
        <v>121.820615796519</v>
      </c>
    </row>
    <row r="5175" customFormat="false" ht="15" hidden="false" customHeight="false" outlineLevel="0" collapsed="false">
      <c r="A5175" s="316"/>
      <c r="B5175" s="40"/>
      <c r="C5175" s="1161" t="s">
        <v>7252</v>
      </c>
      <c r="D5175" s="317" t="n">
        <v>2005</v>
      </c>
      <c r="E5175" s="1365" t="n">
        <v>5</v>
      </c>
      <c r="F5175" s="1365" t="n">
        <v>12190000</v>
      </c>
      <c r="G5175" s="1364" t="n">
        <v>0.1</v>
      </c>
      <c r="H5175" s="1365" t="n">
        <f aca="false">E5175*F5175*G5175</f>
        <v>6095000</v>
      </c>
      <c r="I5175" s="1365" t="n">
        <f aca="false">F5175-H5175</f>
        <v>6095000</v>
      </c>
      <c r="J5175" s="1365" t="n">
        <f aca="false">F5175*G5175</f>
        <v>1219000</v>
      </c>
      <c r="K5175" s="1365" t="n">
        <f aca="false">J5175/1792.8</f>
        <v>679.941990182954</v>
      </c>
      <c r="L5175" s="1365" t="n">
        <v>20</v>
      </c>
      <c r="M5175" s="1273" t="n">
        <f aca="false">K5175*L5175/60</f>
        <v>226.647330060985</v>
      </c>
    </row>
    <row r="5176" customFormat="false" ht="15" hidden="false" customHeight="false" outlineLevel="0" collapsed="false">
      <c r="A5176" s="316"/>
      <c r="B5176" s="40"/>
      <c r="C5176" s="1161" t="s">
        <v>7170</v>
      </c>
      <c r="D5176" s="317" t="n">
        <v>2004</v>
      </c>
      <c r="E5176" s="1365" t="n">
        <v>6</v>
      </c>
      <c r="F5176" s="1365" t="n">
        <v>196670</v>
      </c>
      <c r="G5176" s="1364" t="n">
        <v>0.1</v>
      </c>
      <c r="H5176" s="1365" t="n">
        <f aca="false">E5176*F5176*G5176</f>
        <v>118002</v>
      </c>
      <c r="I5176" s="1365" t="n">
        <f aca="false">F5176-H5176</f>
        <v>78668</v>
      </c>
      <c r="J5176" s="1365" t="n">
        <f aca="false">F5176*G5176</f>
        <v>19667</v>
      </c>
      <c r="K5176" s="1365" t="n">
        <f aca="false">J5176/1792.8</f>
        <v>10.9699910754128</v>
      </c>
      <c r="L5176" s="1365" t="n">
        <v>15</v>
      </c>
      <c r="M5176" s="1273" t="n">
        <f aca="false">K5176*L5176/60</f>
        <v>2.74249776885319</v>
      </c>
    </row>
    <row r="5177" customFormat="false" ht="15" hidden="false" customHeight="false" outlineLevel="0" collapsed="false">
      <c r="A5177" s="316"/>
      <c r="B5177" s="40"/>
      <c r="C5177" s="1161" t="s">
        <v>7158</v>
      </c>
      <c r="D5177" s="317" t="n">
        <v>2004</v>
      </c>
      <c r="E5177" s="1365" t="n">
        <v>6</v>
      </c>
      <c r="F5177" s="1365" t="n">
        <v>6985000</v>
      </c>
      <c r="G5177" s="1364" t="n">
        <v>0.1</v>
      </c>
      <c r="H5177" s="1365" t="n">
        <f aca="false">E5177*F5177*G5177</f>
        <v>4191000</v>
      </c>
      <c r="I5177" s="1365" t="n">
        <f aca="false">F5177-H5177</f>
        <v>2794000</v>
      </c>
      <c r="J5177" s="1365" t="n">
        <f aca="false">F5177*G5177</f>
        <v>698500</v>
      </c>
      <c r="K5177" s="1365" t="n">
        <f aca="false">J5177/1792.8</f>
        <v>389.614011601963</v>
      </c>
      <c r="L5177" s="1365" t="n">
        <v>20</v>
      </c>
      <c r="M5177" s="1273" t="n">
        <f aca="false">K5177*L5177/60</f>
        <v>129.871337200654</v>
      </c>
    </row>
    <row r="5178" customFormat="false" ht="15" hidden="false" customHeight="false" outlineLevel="0" collapsed="false">
      <c r="A5178" s="316"/>
      <c r="B5178" s="40"/>
      <c r="C5178" s="1160"/>
      <c r="D5178" s="135"/>
      <c r="E5178" s="1370"/>
      <c r="F5178" s="1370"/>
      <c r="G5178" s="1372" t="n">
        <v>0.1</v>
      </c>
      <c r="H5178" s="1365" t="n">
        <f aca="false">E5178*F5178*G5178</f>
        <v>0</v>
      </c>
      <c r="I5178" s="1365" t="n">
        <f aca="false">F5178-H5178</f>
        <v>0</v>
      </c>
      <c r="J5178" s="1365" t="n">
        <f aca="false">F5178*G5178</f>
        <v>0</v>
      </c>
      <c r="K5178" s="1365" t="n">
        <f aca="false">J5178/1792.8</f>
        <v>0</v>
      </c>
      <c r="L5178" s="1370" t="n">
        <f aca="false">SUM(L5172:L5177)</f>
        <v>1585</v>
      </c>
      <c r="M5178" s="1370" t="n">
        <f aca="false">SUM(M5172:M5177)</f>
        <v>753.16399858694</v>
      </c>
    </row>
    <row r="5179" customFormat="false" ht="30" hidden="false" customHeight="false" outlineLevel="0" collapsed="false">
      <c r="A5179" s="316" t="s">
        <v>6509</v>
      </c>
      <c r="B5179" s="40" t="s">
        <v>7268</v>
      </c>
      <c r="C5179" s="1161"/>
      <c r="D5179" s="317"/>
      <c r="E5179" s="1365"/>
      <c r="F5179" s="1365"/>
      <c r="G5179" s="1364" t="n">
        <v>0.1</v>
      </c>
      <c r="H5179" s="1365" t="n">
        <f aca="false">E5179*F5179*G5179</f>
        <v>0</v>
      </c>
      <c r="I5179" s="1365" t="n">
        <f aca="false">F5179-H5179</f>
        <v>0</v>
      </c>
      <c r="J5179" s="1365" t="n">
        <f aca="false">F5179*G5179</f>
        <v>0</v>
      </c>
      <c r="K5179" s="1365" t="n">
        <f aca="false">J5179/1792.8</f>
        <v>0</v>
      </c>
      <c r="L5179" s="1365"/>
      <c r="M5179" s="1273"/>
    </row>
    <row r="5180" customFormat="false" ht="15" hidden="false" customHeight="false" outlineLevel="0" collapsed="false">
      <c r="A5180" s="316"/>
      <c r="B5180" s="40"/>
      <c r="C5180" s="1161" t="s">
        <v>7245</v>
      </c>
      <c r="D5180" s="317" t="n">
        <v>2005</v>
      </c>
      <c r="E5180" s="1365" t="n">
        <v>5</v>
      </c>
      <c r="F5180" s="1365" t="n">
        <v>347000</v>
      </c>
      <c r="G5180" s="1364" t="n">
        <v>0.1</v>
      </c>
      <c r="H5180" s="1365" t="n">
        <f aca="false">E5180*F5180*G5180</f>
        <v>173500</v>
      </c>
      <c r="I5180" s="1365" t="n">
        <f aca="false">F5180-H5180</f>
        <v>173500</v>
      </c>
      <c r="J5180" s="1365" t="n">
        <f aca="false">F5180*G5180</f>
        <v>34700</v>
      </c>
      <c r="K5180" s="1365" t="n">
        <f aca="false">J5180/1792.8</f>
        <v>19.355198572066</v>
      </c>
      <c r="L5180" s="1365" t="n">
        <v>30</v>
      </c>
      <c r="M5180" s="1273" t="n">
        <f aca="false">K5180*L5180/60</f>
        <v>9.67759928603302</v>
      </c>
    </row>
    <row r="5181" customFormat="false" ht="15" hidden="false" customHeight="false" outlineLevel="0" collapsed="false">
      <c r="A5181" s="316"/>
      <c r="B5181" s="40"/>
      <c r="C5181" s="1161" t="s">
        <v>7264</v>
      </c>
      <c r="D5181" s="317" t="n">
        <v>2014</v>
      </c>
      <c r="E5181" s="1365" t="n">
        <v>10</v>
      </c>
      <c r="F5181" s="1365" t="n">
        <v>1411800</v>
      </c>
      <c r="G5181" s="1364" t="n">
        <v>0.1</v>
      </c>
      <c r="H5181" s="1365" t="n">
        <f aca="false">E5181*F5181*G5181</f>
        <v>1411800</v>
      </c>
      <c r="I5181" s="1365" t="n">
        <f aca="false">F5181-H5181</f>
        <v>0</v>
      </c>
      <c r="J5181" s="1365" t="n">
        <f aca="false">F5181*G5181</f>
        <v>141180</v>
      </c>
      <c r="K5181" s="1365" t="n">
        <f aca="false">J5181/1792.8</f>
        <v>78.7483266398929</v>
      </c>
      <c r="L5181" s="1365"/>
      <c r="M5181" s="1273" t="n">
        <f aca="false">K5181*L5181/60</f>
        <v>0</v>
      </c>
    </row>
    <row r="5182" customFormat="false" ht="15" hidden="false" customHeight="false" outlineLevel="0" collapsed="false">
      <c r="A5182" s="316"/>
      <c r="B5182" s="40"/>
      <c r="C5182" s="1161" t="s">
        <v>7249</v>
      </c>
      <c r="D5182" s="317" t="n">
        <v>2005</v>
      </c>
      <c r="E5182" s="1365" t="n">
        <v>5</v>
      </c>
      <c r="F5182" s="1365" t="n">
        <v>347000</v>
      </c>
      <c r="G5182" s="1364" t="n">
        <v>0.1</v>
      </c>
      <c r="H5182" s="1365" t="n">
        <f aca="false">E5182*F5182*G5182</f>
        <v>173500</v>
      </c>
      <c r="I5182" s="1365" t="n">
        <f aca="false">F5182-H5182</f>
        <v>173500</v>
      </c>
      <c r="J5182" s="1365" t="n">
        <f aca="false">F5182*G5182</f>
        <v>34700</v>
      </c>
      <c r="K5182" s="1365" t="n">
        <f aca="false">J5182/1792.8</f>
        <v>19.355198572066</v>
      </c>
      <c r="L5182" s="1365" t="n">
        <v>60</v>
      </c>
      <c r="M5182" s="1273" t="n">
        <f aca="false">K5182*L5182/60</f>
        <v>19.355198572066</v>
      </c>
    </row>
    <row r="5183" customFormat="false" ht="15" hidden="false" customHeight="false" outlineLevel="0" collapsed="false">
      <c r="A5183" s="316"/>
      <c r="B5183" s="40"/>
      <c r="C5183" s="1161" t="s">
        <v>7170</v>
      </c>
      <c r="D5183" s="317" t="n">
        <v>2004</v>
      </c>
      <c r="E5183" s="1365" t="n">
        <v>6</v>
      </c>
      <c r="F5183" s="1365" t="n">
        <v>196670</v>
      </c>
      <c r="G5183" s="1364" t="n">
        <v>0.1</v>
      </c>
      <c r="H5183" s="1365" t="n">
        <f aca="false">E5183*F5183*G5183</f>
        <v>118002</v>
      </c>
      <c r="I5183" s="1365" t="n">
        <f aca="false">F5183-H5183</f>
        <v>78668</v>
      </c>
      <c r="J5183" s="1365" t="n">
        <f aca="false">F5183*G5183</f>
        <v>19667</v>
      </c>
      <c r="K5183" s="1365" t="n">
        <f aca="false">J5183/1792.8</f>
        <v>10.9699910754128</v>
      </c>
      <c r="L5183" s="1365" t="n">
        <v>15</v>
      </c>
      <c r="M5183" s="1273" t="n">
        <f aca="false">K5183*L5183/60</f>
        <v>2.74249776885319</v>
      </c>
    </row>
    <row r="5184" customFormat="false" ht="15" hidden="false" customHeight="false" outlineLevel="0" collapsed="false">
      <c r="A5184" s="316"/>
      <c r="B5184" s="40"/>
      <c r="C5184" s="1161" t="s">
        <v>7247</v>
      </c>
      <c r="D5184" s="317" t="n">
        <v>2004</v>
      </c>
      <c r="E5184" s="1365" t="n">
        <v>6</v>
      </c>
      <c r="F5184" s="1365" t="n">
        <v>202860</v>
      </c>
      <c r="G5184" s="1364" t="n">
        <v>0.1</v>
      </c>
      <c r="H5184" s="1365" t="n">
        <f aca="false">E5184*F5184*G5184</f>
        <v>121716</v>
      </c>
      <c r="I5184" s="1365" t="n">
        <f aca="false">F5184-H5184</f>
        <v>81144</v>
      </c>
      <c r="J5184" s="1365" t="n">
        <f aca="false">F5184*G5184</f>
        <v>20286</v>
      </c>
      <c r="K5184" s="1365" t="n">
        <f aca="false">J5184/1792.8</f>
        <v>11.3152610441767</v>
      </c>
      <c r="L5184" s="1365" t="n">
        <v>2880</v>
      </c>
      <c r="M5184" s="1273" t="n">
        <f aca="false">K5184*L5184/60</f>
        <v>543.132530120482</v>
      </c>
    </row>
    <row r="5185" customFormat="false" ht="15" hidden="false" customHeight="false" outlineLevel="0" collapsed="false">
      <c r="A5185" s="316"/>
      <c r="B5185" s="40"/>
      <c r="C5185" s="1161" t="s">
        <v>7158</v>
      </c>
      <c r="D5185" s="317" t="n">
        <v>2004</v>
      </c>
      <c r="E5185" s="1365" t="n">
        <v>6</v>
      </c>
      <c r="F5185" s="1365" t="n">
        <v>6985000</v>
      </c>
      <c r="G5185" s="1364" t="n">
        <v>0.1</v>
      </c>
      <c r="H5185" s="1365" t="n">
        <f aca="false">E5185*F5185*G5185</f>
        <v>4191000</v>
      </c>
      <c r="I5185" s="1365" t="n">
        <f aca="false">F5185-H5185</f>
        <v>2794000</v>
      </c>
      <c r="J5185" s="1365" t="n">
        <f aca="false">F5185*G5185</f>
        <v>698500</v>
      </c>
      <c r="K5185" s="1365" t="n">
        <f aca="false">J5185/1792.8</f>
        <v>389.614011601963</v>
      </c>
      <c r="L5185" s="1365" t="n">
        <v>15</v>
      </c>
      <c r="M5185" s="1273" t="n">
        <f aca="false">K5185*L5185/60</f>
        <v>97.4035029004909</v>
      </c>
    </row>
    <row r="5186" customFormat="false" ht="15" hidden="false" customHeight="false" outlineLevel="0" collapsed="false">
      <c r="A5186" s="316"/>
      <c r="B5186" s="40"/>
      <c r="C5186" s="1160"/>
      <c r="D5186" s="135"/>
      <c r="E5186" s="1370"/>
      <c r="F5186" s="1370"/>
      <c r="G5186" s="1372" t="n">
        <v>0.1</v>
      </c>
      <c r="H5186" s="1365" t="n">
        <f aca="false">E5186*F5186*G5186</f>
        <v>0</v>
      </c>
      <c r="I5186" s="1365" t="n">
        <f aca="false">F5186-H5186</f>
        <v>0</v>
      </c>
      <c r="J5186" s="1365" t="n">
        <f aca="false">F5186*G5186</f>
        <v>0</v>
      </c>
      <c r="K5186" s="1365" t="n">
        <f aca="false">J5186/1792.8</f>
        <v>0</v>
      </c>
      <c r="L5186" s="1370" t="n">
        <f aca="false">SUM(L5179:L5185)</f>
        <v>3000</v>
      </c>
      <c r="M5186" s="1370" t="n">
        <f aca="false">SUM(M5179:M5185)</f>
        <v>672.311328647925</v>
      </c>
    </row>
    <row r="5187" customFormat="false" ht="15" hidden="false" customHeight="false" outlineLevel="0" collapsed="false">
      <c r="A5187" s="350" t="s">
        <v>2353</v>
      </c>
      <c r="B5187" s="346" t="s">
        <v>2354</v>
      </c>
      <c r="C5187" s="1569"/>
      <c r="D5187" s="339"/>
      <c r="E5187" s="1246"/>
      <c r="F5187" s="1246"/>
      <c r="G5187" s="1570"/>
      <c r="H5187" s="1512"/>
      <c r="I5187" s="1512"/>
      <c r="J5187" s="1512"/>
      <c r="K5187" s="1512" t="n">
        <f aca="false">J5187/1792.8</f>
        <v>0</v>
      </c>
      <c r="L5187" s="1246"/>
      <c r="M5187" s="1246"/>
    </row>
    <row r="5188" customFormat="false" ht="30" hidden="false" customHeight="false" outlineLevel="0" collapsed="false">
      <c r="A5188" s="316" t="s">
        <v>6513</v>
      </c>
      <c r="B5188" s="40" t="s">
        <v>6514</v>
      </c>
      <c r="C5188" s="1161"/>
      <c r="D5188" s="317"/>
      <c r="E5188" s="1365"/>
      <c r="F5188" s="1365"/>
      <c r="G5188" s="1364" t="n">
        <v>0.1</v>
      </c>
      <c r="H5188" s="1365" t="n">
        <f aca="false">E5188*F5188*G5188</f>
        <v>0</v>
      </c>
      <c r="I5188" s="1365" t="n">
        <f aca="false">F5188-H5188</f>
        <v>0</v>
      </c>
      <c r="J5188" s="1365" t="n">
        <f aca="false">F5188*G5188</f>
        <v>0</v>
      </c>
      <c r="K5188" s="1365" t="n">
        <f aca="false">J5188/1792.8</f>
        <v>0</v>
      </c>
      <c r="L5188" s="1365"/>
      <c r="M5188" s="1273"/>
    </row>
    <row r="5189" customFormat="false" ht="15" hidden="false" customHeight="false" outlineLevel="0" collapsed="false">
      <c r="A5189" s="316"/>
      <c r="B5189" s="40"/>
      <c r="C5189" s="1161" t="s">
        <v>7247</v>
      </c>
      <c r="D5189" s="317" t="n">
        <v>2004</v>
      </c>
      <c r="E5189" s="1365" t="n">
        <v>6</v>
      </c>
      <c r="F5189" s="1365" t="n">
        <v>202860</v>
      </c>
      <c r="G5189" s="1364" t="n">
        <v>0.1</v>
      </c>
      <c r="H5189" s="1365" t="n">
        <f aca="false">E5189*F5189*G5189</f>
        <v>121716</v>
      </c>
      <c r="I5189" s="1365" t="n">
        <f aca="false">F5189-H5189</f>
        <v>81144</v>
      </c>
      <c r="J5189" s="1365" t="n">
        <f aca="false">F5189*G5189</f>
        <v>20286</v>
      </c>
      <c r="K5189" s="1365" t="n">
        <f aca="false">J5189/1792.8</f>
        <v>11.3152610441767</v>
      </c>
      <c r="L5189" s="1365" t="n">
        <v>2880</v>
      </c>
      <c r="M5189" s="1273" t="n">
        <f aca="false">K5189*L5189/60</f>
        <v>543.132530120482</v>
      </c>
    </row>
    <row r="5190" customFormat="false" ht="15" hidden="false" customHeight="false" outlineLevel="0" collapsed="false">
      <c r="A5190" s="316"/>
      <c r="B5190" s="40"/>
      <c r="C5190" s="1161" t="s">
        <v>7254</v>
      </c>
      <c r="D5190" s="317" t="n">
        <v>2007</v>
      </c>
      <c r="E5190" s="1365" t="n">
        <v>3</v>
      </c>
      <c r="F5190" s="1365" t="n">
        <v>1638000</v>
      </c>
      <c r="G5190" s="1364" t="n">
        <v>0.1</v>
      </c>
      <c r="H5190" s="1365" t="n">
        <f aca="false">E5190*F5190*G5190</f>
        <v>491400</v>
      </c>
      <c r="I5190" s="1365" t="n">
        <f aca="false">F5190-H5190</f>
        <v>1146600</v>
      </c>
      <c r="J5190" s="1365" t="n">
        <f aca="false">F5190*G5190</f>
        <v>163800</v>
      </c>
      <c r="K5190" s="1365" t="n">
        <f aca="false">J5190/1792.8</f>
        <v>91.3654618473896</v>
      </c>
      <c r="L5190" s="1365"/>
      <c r="M5190" s="1273" t="n">
        <f aca="false">K5190*L5190/60</f>
        <v>0</v>
      </c>
    </row>
    <row r="5191" customFormat="false" ht="15" hidden="false" customHeight="false" outlineLevel="0" collapsed="false">
      <c r="A5191" s="316"/>
      <c r="B5191" s="40"/>
      <c r="C5191" s="1161" t="s">
        <v>7158</v>
      </c>
      <c r="D5191" s="317" t="n">
        <v>2004</v>
      </c>
      <c r="E5191" s="1365" t="n">
        <v>6</v>
      </c>
      <c r="F5191" s="1365" t="n">
        <v>6985000</v>
      </c>
      <c r="G5191" s="1364" t="n">
        <v>0.1</v>
      </c>
      <c r="H5191" s="1365" t="n">
        <f aca="false">E5191*F5191*G5191</f>
        <v>4191000</v>
      </c>
      <c r="I5191" s="1365" t="n">
        <f aca="false">F5191-H5191</f>
        <v>2794000</v>
      </c>
      <c r="J5191" s="1365" t="n">
        <f aca="false">F5191*G5191</f>
        <v>698500</v>
      </c>
      <c r="K5191" s="1365" t="n">
        <f aca="false">J5191/1792.8</f>
        <v>389.614011601963</v>
      </c>
      <c r="L5191" s="1365" t="n">
        <v>20</v>
      </c>
      <c r="M5191" s="1273" t="n">
        <f aca="false">K5191*L5191/60</f>
        <v>129.871337200654</v>
      </c>
    </row>
    <row r="5192" customFormat="false" ht="15" hidden="false" customHeight="false" outlineLevel="0" collapsed="false">
      <c r="A5192" s="316"/>
      <c r="B5192" s="40"/>
      <c r="C5192" s="1161" t="s">
        <v>7249</v>
      </c>
      <c r="D5192" s="317" t="n">
        <v>2005</v>
      </c>
      <c r="E5192" s="1365" t="n">
        <v>5</v>
      </c>
      <c r="F5192" s="1365" t="n">
        <v>347000</v>
      </c>
      <c r="G5192" s="1364" t="n">
        <v>0.1</v>
      </c>
      <c r="H5192" s="1365" t="n">
        <f aca="false">E5192*F5192*G5192</f>
        <v>173500</v>
      </c>
      <c r="I5192" s="1365" t="n">
        <f aca="false">F5192-H5192</f>
        <v>173500</v>
      </c>
      <c r="J5192" s="1365" t="n">
        <f aca="false">F5192*G5192</f>
        <v>34700</v>
      </c>
      <c r="K5192" s="1365" t="n">
        <f aca="false">J5192/1792.8</f>
        <v>19.355198572066</v>
      </c>
      <c r="L5192" s="1365" t="n">
        <v>60</v>
      </c>
      <c r="M5192" s="1273" t="n">
        <f aca="false">K5192*L5192/60</f>
        <v>19.355198572066</v>
      </c>
    </row>
    <row r="5193" customFormat="false" ht="15" hidden="false" customHeight="false" outlineLevel="0" collapsed="false">
      <c r="A5193" s="316"/>
      <c r="B5193" s="40"/>
      <c r="C5193" s="1161" t="s">
        <v>7245</v>
      </c>
      <c r="D5193" s="317" t="n">
        <v>2005</v>
      </c>
      <c r="E5193" s="1365" t="n">
        <v>5</v>
      </c>
      <c r="F5193" s="1365" t="n">
        <v>347000</v>
      </c>
      <c r="G5193" s="1364" t="n">
        <v>0.1</v>
      </c>
      <c r="H5193" s="1365" t="n">
        <f aca="false">E5193*F5193*G5193</f>
        <v>173500</v>
      </c>
      <c r="I5193" s="1365" t="n">
        <f aca="false">F5193-H5193</f>
        <v>173500</v>
      </c>
      <c r="J5193" s="1365" t="n">
        <f aca="false">F5193*G5193</f>
        <v>34700</v>
      </c>
      <c r="K5193" s="1365" t="n">
        <f aca="false">J5193/1792.8</f>
        <v>19.355198572066</v>
      </c>
      <c r="L5193" s="1365" t="n">
        <v>30</v>
      </c>
      <c r="M5193" s="1273" t="n">
        <f aca="false">K5193*L5193/60</f>
        <v>9.67759928603302</v>
      </c>
    </row>
    <row r="5194" customFormat="false" ht="15" hidden="false" customHeight="false" outlineLevel="0" collapsed="false">
      <c r="A5194" s="316"/>
      <c r="B5194" s="40"/>
      <c r="C5194" s="1161" t="s">
        <v>7256</v>
      </c>
      <c r="D5194" s="317" t="n">
        <v>2005</v>
      </c>
      <c r="E5194" s="1365" t="n">
        <v>5</v>
      </c>
      <c r="F5194" s="1365" t="n">
        <v>197664</v>
      </c>
      <c r="G5194" s="1364" t="n">
        <v>0.1</v>
      </c>
      <c r="H5194" s="1365" t="n">
        <f aca="false">E5194*F5194*G5194</f>
        <v>98832</v>
      </c>
      <c r="I5194" s="1365" t="n">
        <f aca="false">F5194-H5194</f>
        <v>98832</v>
      </c>
      <c r="J5194" s="1365" t="n">
        <f aca="false">F5194*G5194</f>
        <v>19766.4</v>
      </c>
      <c r="K5194" s="1365" t="n">
        <f aca="false">J5194/1792.8</f>
        <v>11.0254350736278</v>
      </c>
      <c r="L5194" s="1365" t="n">
        <v>485</v>
      </c>
      <c r="M5194" s="1273" t="n">
        <f aca="false">K5194*L5194/60</f>
        <v>89.1222668451584</v>
      </c>
    </row>
    <row r="5195" customFormat="false" ht="15" hidden="false" customHeight="false" outlineLevel="0" collapsed="false">
      <c r="A5195" s="316"/>
      <c r="B5195" s="40"/>
      <c r="C5195" s="1160"/>
      <c r="D5195" s="135"/>
      <c r="E5195" s="1370"/>
      <c r="F5195" s="1370"/>
      <c r="G5195" s="1372" t="n">
        <v>0.1</v>
      </c>
      <c r="H5195" s="1365" t="n">
        <f aca="false">E5195*F5195*G5195</f>
        <v>0</v>
      </c>
      <c r="I5195" s="1365" t="n">
        <f aca="false">F5195-H5195</f>
        <v>0</v>
      </c>
      <c r="J5195" s="1365" t="n">
        <f aca="false">F5195*G5195</f>
        <v>0</v>
      </c>
      <c r="K5195" s="1365" t="n">
        <f aca="false">J5195/1792.8</f>
        <v>0</v>
      </c>
      <c r="L5195" s="1370" t="n">
        <f aca="false">SUM(L5189:L5194)</f>
        <v>3475</v>
      </c>
      <c r="M5195" s="1370" t="n">
        <f aca="false">SUM(M5189:M5194)</f>
        <v>791.158932024394</v>
      </c>
    </row>
    <row r="5196" customFormat="false" ht="30" hidden="false" customHeight="false" outlineLevel="0" collapsed="false">
      <c r="A5196" s="316" t="s">
        <v>6515</v>
      </c>
      <c r="B5196" s="40" t="s">
        <v>6516</v>
      </c>
      <c r="C5196" s="1161"/>
      <c r="D5196" s="317"/>
      <c r="E5196" s="1365"/>
      <c r="F5196" s="1365"/>
      <c r="G5196" s="1364" t="n">
        <v>0.1</v>
      </c>
      <c r="H5196" s="1365" t="n">
        <f aca="false">E5196*F5196*G5196</f>
        <v>0</v>
      </c>
      <c r="I5196" s="1365" t="n">
        <f aca="false">F5196-H5196</f>
        <v>0</v>
      </c>
      <c r="J5196" s="1365" t="n">
        <f aca="false">F5196*G5196</f>
        <v>0</v>
      </c>
      <c r="K5196" s="1365" t="n">
        <f aca="false">J5196/1792.8</f>
        <v>0</v>
      </c>
      <c r="L5196" s="1365"/>
      <c r="M5196" s="1273"/>
    </row>
    <row r="5197" customFormat="false" ht="30" hidden="false" customHeight="false" outlineLevel="0" collapsed="false">
      <c r="A5197" s="316"/>
      <c r="B5197" s="40"/>
      <c r="C5197" s="1161" t="s">
        <v>7250</v>
      </c>
      <c r="D5197" s="317" t="n">
        <v>2005</v>
      </c>
      <c r="E5197" s="1365" t="n">
        <v>5</v>
      </c>
      <c r="F5197" s="1365" t="n">
        <v>347000</v>
      </c>
      <c r="G5197" s="1364" t="n">
        <v>0.1</v>
      </c>
      <c r="H5197" s="1365" t="n">
        <f aca="false">E5197*F5197*G5197</f>
        <v>173500</v>
      </c>
      <c r="I5197" s="1365" t="n">
        <f aca="false">F5197-H5197</f>
        <v>173500</v>
      </c>
      <c r="J5197" s="1365" t="n">
        <f aca="false">F5197*G5197</f>
        <v>34700</v>
      </c>
      <c r="K5197" s="1365" t="n">
        <f aca="false">J5197/1792.8</f>
        <v>19.355198572066</v>
      </c>
      <c r="L5197" s="1365" t="n">
        <v>60</v>
      </c>
      <c r="M5197" s="1273" t="n">
        <f aca="false">K5197*L5197/60</f>
        <v>19.355198572066</v>
      </c>
    </row>
    <row r="5198" customFormat="false" ht="15" hidden="false" customHeight="false" outlineLevel="0" collapsed="false">
      <c r="A5198" s="316"/>
      <c r="B5198" s="40"/>
      <c r="C5198" s="1161" t="s">
        <v>7245</v>
      </c>
      <c r="D5198" s="317" t="n">
        <v>2005</v>
      </c>
      <c r="E5198" s="1365" t="n">
        <v>5</v>
      </c>
      <c r="F5198" s="1365" t="n">
        <v>347000</v>
      </c>
      <c r="G5198" s="1364" t="n">
        <v>0.1</v>
      </c>
      <c r="H5198" s="1365" t="n">
        <f aca="false">E5198*F5198*G5198</f>
        <v>173500</v>
      </c>
      <c r="I5198" s="1365" t="n">
        <f aca="false">F5198-H5198</f>
        <v>173500</v>
      </c>
      <c r="J5198" s="1365" t="n">
        <f aca="false">F5198*G5198</f>
        <v>34700</v>
      </c>
      <c r="K5198" s="1365" t="n">
        <f aca="false">J5198/1792.8</f>
        <v>19.355198572066</v>
      </c>
      <c r="L5198" s="1365" t="n">
        <v>30</v>
      </c>
      <c r="M5198" s="1273" t="n">
        <f aca="false">K5198*L5198/60</f>
        <v>9.67759928603302</v>
      </c>
    </row>
    <row r="5199" customFormat="false" ht="15" hidden="false" customHeight="false" outlineLevel="0" collapsed="false">
      <c r="A5199" s="316"/>
      <c r="B5199" s="40"/>
      <c r="C5199" s="1161" t="s">
        <v>7170</v>
      </c>
      <c r="D5199" s="317" t="n">
        <v>2004</v>
      </c>
      <c r="E5199" s="1365" t="n">
        <v>6</v>
      </c>
      <c r="F5199" s="1365" t="n">
        <v>196670</v>
      </c>
      <c r="G5199" s="1364" t="n">
        <v>0.1</v>
      </c>
      <c r="H5199" s="1365" t="n">
        <f aca="false">E5199*F5199*G5199</f>
        <v>118002</v>
      </c>
      <c r="I5199" s="1365" t="n">
        <f aca="false">F5199-H5199</f>
        <v>78668</v>
      </c>
      <c r="J5199" s="1365" t="n">
        <f aca="false">F5199*G5199</f>
        <v>19667</v>
      </c>
      <c r="K5199" s="1365" t="n">
        <f aca="false">J5199/1792.8</f>
        <v>10.9699910754128</v>
      </c>
      <c r="L5199" s="1365" t="n">
        <v>15</v>
      </c>
      <c r="M5199" s="1273" t="n">
        <f aca="false">K5199*L5199/60</f>
        <v>2.74249776885319</v>
      </c>
    </row>
    <row r="5200" customFormat="false" ht="15" hidden="false" customHeight="false" outlineLevel="0" collapsed="false">
      <c r="A5200" s="316"/>
      <c r="B5200" s="40"/>
      <c r="C5200" s="1161" t="s">
        <v>7191</v>
      </c>
      <c r="D5200" s="317" t="n">
        <v>2005</v>
      </c>
      <c r="E5200" s="1365" t="n">
        <v>5</v>
      </c>
      <c r="F5200" s="1365" t="n">
        <v>347000</v>
      </c>
      <c r="G5200" s="1364" t="n">
        <v>0.1</v>
      </c>
      <c r="H5200" s="1365" t="n">
        <f aca="false">E5200*F5200*G5200</f>
        <v>173500</v>
      </c>
      <c r="I5200" s="1365" t="n">
        <f aca="false">F5200-H5200</f>
        <v>173500</v>
      </c>
      <c r="J5200" s="1365" t="n">
        <f aca="false">F5200*G5200</f>
        <v>34700</v>
      </c>
      <c r="K5200" s="1365" t="n">
        <f aca="false">J5200/1792.8</f>
        <v>19.355198572066</v>
      </c>
      <c r="L5200" s="1365" t="n">
        <v>60</v>
      </c>
      <c r="M5200" s="1273" t="n">
        <f aca="false">K5200*L5200/60</f>
        <v>19.355198572066</v>
      </c>
    </row>
    <row r="5201" customFormat="false" ht="15" hidden="false" customHeight="false" outlineLevel="0" collapsed="false">
      <c r="A5201" s="316"/>
      <c r="B5201" s="40"/>
      <c r="C5201" s="1161" t="s">
        <v>7158</v>
      </c>
      <c r="D5201" s="317" t="n">
        <v>2004</v>
      </c>
      <c r="E5201" s="1365" t="n">
        <v>6</v>
      </c>
      <c r="F5201" s="1365" t="n">
        <v>6985000</v>
      </c>
      <c r="G5201" s="1364" t="n">
        <v>0.1</v>
      </c>
      <c r="H5201" s="1365" t="n">
        <f aca="false">E5201*F5201*G5201</f>
        <v>4191000</v>
      </c>
      <c r="I5201" s="1365" t="n">
        <f aca="false">F5201-H5201</f>
        <v>2794000</v>
      </c>
      <c r="J5201" s="1365" t="n">
        <f aca="false">F5201*G5201</f>
        <v>698500</v>
      </c>
      <c r="K5201" s="1365" t="n">
        <f aca="false">J5201/1792.8</f>
        <v>389.614011601963</v>
      </c>
      <c r="L5201" s="1365" t="n">
        <v>20</v>
      </c>
      <c r="M5201" s="1273" t="n">
        <f aca="false">K5201*L5201/60</f>
        <v>129.871337200654</v>
      </c>
    </row>
    <row r="5202" customFormat="false" ht="15" hidden="false" customHeight="false" outlineLevel="0" collapsed="false">
      <c r="A5202" s="316"/>
      <c r="B5202" s="40"/>
      <c r="C5202" s="1160"/>
      <c r="D5202" s="135"/>
      <c r="E5202" s="1370"/>
      <c r="F5202" s="1370"/>
      <c r="G5202" s="1372" t="n">
        <v>0.1</v>
      </c>
      <c r="H5202" s="1365" t="n">
        <f aca="false">E5202*F5202*G5202</f>
        <v>0</v>
      </c>
      <c r="I5202" s="1365" t="n">
        <f aca="false">F5202-H5202</f>
        <v>0</v>
      </c>
      <c r="J5202" s="1365" t="n">
        <f aca="false">F5202*G5202</f>
        <v>0</v>
      </c>
      <c r="K5202" s="1365" t="n">
        <f aca="false">J5202/1792.8</f>
        <v>0</v>
      </c>
      <c r="L5202" s="1370" t="n">
        <f aca="false">SUM(L5196:L5201)</f>
        <v>185</v>
      </c>
      <c r="M5202" s="1370" t="n">
        <f aca="false">SUM(M5196:M5201)</f>
        <v>181.001831399673</v>
      </c>
    </row>
    <row r="5203" customFormat="false" ht="30" hidden="false" customHeight="false" outlineLevel="0" collapsed="false">
      <c r="A5203" s="316" t="s">
        <v>6519</v>
      </c>
      <c r="B5203" s="40" t="s">
        <v>7269</v>
      </c>
      <c r="C5203" s="1161"/>
      <c r="D5203" s="317"/>
      <c r="E5203" s="1365"/>
      <c r="F5203" s="1365"/>
      <c r="G5203" s="1364" t="n">
        <v>0.1</v>
      </c>
      <c r="H5203" s="1365" t="n">
        <f aca="false">E5203*F5203*G5203</f>
        <v>0</v>
      </c>
      <c r="I5203" s="1365" t="n">
        <f aca="false">F5203-H5203</f>
        <v>0</v>
      </c>
      <c r="J5203" s="1365" t="n">
        <f aca="false">F5203*G5203</f>
        <v>0</v>
      </c>
      <c r="K5203" s="1365" t="n">
        <f aca="false">J5203/1792.8</f>
        <v>0</v>
      </c>
      <c r="L5203" s="1365"/>
      <c r="M5203" s="1273"/>
    </row>
    <row r="5204" customFormat="false" ht="15" hidden="false" customHeight="false" outlineLevel="0" collapsed="false">
      <c r="A5204" s="316"/>
      <c r="B5204" s="40"/>
      <c r="C5204" s="1161" t="s">
        <v>7245</v>
      </c>
      <c r="D5204" s="317" t="n">
        <v>2005</v>
      </c>
      <c r="E5204" s="1365" t="n">
        <v>5</v>
      </c>
      <c r="F5204" s="1365" t="n">
        <v>347000</v>
      </c>
      <c r="G5204" s="1364" t="n">
        <v>0.1</v>
      </c>
      <c r="H5204" s="1365" t="n">
        <f aca="false">E5204*F5204*G5204</f>
        <v>173500</v>
      </c>
      <c r="I5204" s="1365" t="n">
        <f aca="false">F5204-H5204</f>
        <v>173500</v>
      </c>
      <c r="J5204" s="1365" t="n">
        <f aca="false">F5204*G5204</f>
        <v>34700</v>
      </c>
      <c r="K5204" s="1365" t="n">
        <f aca="false">J5204/1792.8</f>
        <v>19.355198572066</v>
      </c>
      <c r="L5204" s="1365" t="n">
        <v>30</v>
      </c>
      <c r="M5204" s="1273" t="n">
        <f aca="false">K5204*L5204/60</f>
        <v>9.67759928603302</v>
      </c>
    </row>
    <row r="5205" customFormat="false" ht="15" hidden="false" customHeight="false" outlineLevel="0" collapsed="false">
      <c r="A5205" s="316"/>
      <c r="B5205" s="40"/>
      <c r="C5205" s="1161" t="s">
        <v>7264</v>
      </c>
      <c r="D5205" s="317" t="n">
        <v>2014</v>
      </c>
      <c r="E5205" s="1365" t="n">
        <v>10</v>
      </c>
      <c r="F5205" s="1365" t="n">
        <v>1411800</v>
      </c>
      <c r="G5205" s="1364" t="n">
        <v>0.1</v>
      </c>
      <c r="H5205" s="1365" t="n">
        <f aca="false">E5205*F5205*G5205</f>
        <v>1411800</v>
      </c>
      <c r="I5205" s="1365" t="n">
        <f aca="false">F5205-H5205</f>
        <v>0</v>
      </c>
      <c r="J5205" s="1365" t="n">
        <f aca="false">F5205*G5205</f>
        <v>141180</v>
      </c>
      <c r="K5205" s="1365" t="n">
        <f aca="false">J5205/1792.8</f>
        <v>78.7483266398929</v>
      </c>
      <c r="L5205" s="1365"/>
      <c r="M5205" s="1273" t="n">
        <f aca="false">K5205*L5205/60</f>
        <v>0</v>
      </c>
    </row>
    <row r="5206" customFormat="false" ht="15" hidden="false" customHeight="false" outlineLevel="0" collapsed="false">
      <c r="A5206" s="316"/>
      <c r="B5206" s="40"/>
      <c r="C5206" s="1161" t="s">
        <v>7249</v>
      </c>
      <c r="D5206" s="317" t="n">
        <v>2005</v>
      </c>
      <c r="E5206" s="1365" t="n">
        <v>5</v>
      </c>
      <c r="F5206" s="1365" t="n">
        <v>347000</v>
      </c>
      <c r="G5206" s="1364" t="n">
        <v>0.1</v>
      </c>
      <c r="H5206" s="1365" t="n">
        <f aca="false">E5206*F5206*G5206</f>
        <v>173500</v>
      </c>
      <c r="I5206" s="1365" t="n">
        <f aca="false">F5206-H5206</f>
        <v>173500</v>
      </c>
      <c r="J5206" s="1365" t="n">
        <f aca="false">F5206*G5206</f>
        <v>34700</v>
      </c>
      <c r="K5206" s="1365" t="n">
        <f aca="false">J5206/1792.8</f>
        <v>19.355198572066</v>
      </c>
      <c r="L5206" s="1365" t="n">
        <v>60</v>
      </c>
      <c r="M5206" s="1273" t="n">
        <f aca="false">K5206*L5206/60</f>
        <v>19.355198572066</v>
      </c>
    </row>
    <row r="5207" customFormat="false" ht="15" hidden="false" customHeight="false" outlineLevel="0" collapsed="false">
      <c r="A5207" s="316"/>
      <c r="B5207" s="40"/>
      <c r="C5207" s="1161" t="s">
        <v>7170</v>
      </c>
      <c r="D5207" s="317" t="n">
        <v>2004</v>
      </c>
      <c r="E5207" s="1365" t="n">
        <v>6</v>
      </c>
      <c r="F5207" s="1365" t="n">
        <v>196670</v>
      </c>
      <c r="G5207" s="1364" t="n">
        <v>0.1</v>
      </c>
      <c r="H5207" s="1365" t="n">
        <f aca="false">E5207*F5207*G5207</f>
        <v>118002</v>
      </c>
      <c r="I5207" s="1365" t="n">
        <f aca="false">F5207-H5207</f>
        <v>78668</v>
      </c>
      <c r="J5207" s="1365" t="n">
        <f aca="false">F5207*G5207</f>
        <v>19667</v>
      </c>
      <c r="K5207" s="1365" t="n">
        <f aca="false">J5207/1792.8</f>
        <v>10.9699910754128</v>
      </c>
      <c r="L5207" s="1365" t="n">
        <v>15</v>
      </c>
      <c r="M5207" s="1273" t="n">
        <f aca="false">K5207*L5207/60</f>
        <v>2.74249776885319</v>
      </c>
    </row>
    <row r="5208" customFormat="false" ht="15" hidden="false" customHeight="false" outlineLevel="0" collapsed="false">
      <c r="A5208" s="316"/>
      <c r="B5208" s="40"/>
      <c r="C5208" s="1161" t="s">
        <v>7247</v>
      </c>
      <c r="D5208" s="317" t="n">
        <v>2004</v>
      </c>
      <c r="E5208" s="1365" t="n">
        <v>6</v>
      </c>
      <c r="F5208" s="1365" t="n">
        <v>202860</v>
      </c>
      <c r="G5208" s="1364" t="n">
        <v>0.1</v>
      </c>
      <c r="H5208" s="1365" t="n">
        <f aca="false">E5208*F5208*G5208</f>
        <v>121716</v>
      </c>
      <c r="I5208" s="1365" t="n">
        <f aca="false">F5208-H5208</f>
        <v>81144</v>
      </c>
      <c r="J5208" s="1365" t="n">
        <f aca="false">F5208*G5208</f>
        <v>20286</v>
      </c>
      <c r="K5208" s="1365" t="n">
        <f aca="false">J5208/1792.8</f>
        <v>11.3152610441767</v>
      </c>
      <c r="L5208" s="1365" t="n">
        <v>1440</v>
      </c>
      <c r="M5208" s="1273" t="n">
        <f aca="false">K5208*L5208/60</f>
        <v>271.566265060241</v>
      </c>
    </row>
    <row r="5209" customFormat="false" ht="15" hidden="false" customHeight="false" outlineLevel="0" collapsed="false">
      <c r="A5209" s="316"/>
      <c r="B5209" s="40"/>
      <c r="C5209" s="1161" t="s">
        <v>7158</v>
      </c>
      <c r="D5209" s="317" t="n">
        <v>2004</v>
      </c>
      <c r="E5209" s="1365" t="n">
        <v>6</v>
      </c>
      <c r="F5209" s="1365" t="n">
        <v>6985000</v>
      </c>
      <c r="G5209" s="1364" t="n">
        <v>0.1</v>
      </c>
      <c r="H5209" s="1365" t="n">
        <f aca="false">E5209*F5209*G5209</f>
        <v>4191000</v>
      </c>
      <c r="I5209" s="1365" t="n">
        <f aca="false">F5209-H5209</f>
        <v>2794000</v>
      </c>
      <c r="J5209" s="1365" t="n">
        <f aca="false">F5209*G5209</f>
        <v>698500</v>
      </c>
      <c r="K5209" s="1365" t="n">
        <f aca="false">J5209/1792.8</f>
        <v>389.614011601963</v>
      </c>
      <c r="L5209" s="1365" t="n">
        <v>15</v>
      </c>
      <c r="M5209" s="1273" t="n">
        <f aca="false">K5209*L5209/60</f>
        <v>97.4035029004909</v>
      </c>
    </row>
    <row r="5210" customFormat="false" ht="15" hidden="false" customHeight="false" outlineLevel="0" collapsed="false">
      <c r="A5210" s="316"/>
      <c r="B5210" s="40"/>
      <c r="C5210" s="1160"/>
      <c r="D5210" s="135"/>
      <c r="E5210" s="1370"/>
      <c r="F5210" s="1370"/>
      <c r="G5210" s="1372" t="n">
        <v>0.1</v>
      </c>
      <c r="H5210" s="1365" t="n">
        <f aca="false">E5210*F5210*G5210</f>
        <v>0</v>
      </c>
      <c r="I5210" s="1365" t="n">
        <f aca="false">F5210-H5210</f>
        <v>0</v>
      </c>
      <c r="J5210" s="1365" t="n">
        <f aca="false">F5210*G5210</f>
        <v>0</v>
      </c>
      <c r="K5210" s="1365" t="n">
        <f aca="false">J5210/1792.8</f>
        <v>0</v>
      </c>
      <c r="L5210" s="1370" t="n">
        <f aca="false">SUM(L5203:L5209)</f>
        <v>1560</v>
      </c>
      <c r="M5210" s="1370" t="n">
        <f aca="false">SUM(M5203:M5209)</f>
        <v>400.745063587684</v>
      </c>
    </row>
    <row r="5211" customFormat="false" ht="30" hidden="false" customHeight="false" outlineLevel="0" collapsed="false">
      <c r="A5211" s="316" t="s">
        <v>6522</v>
      </c>
      <c r="B5211" s="40" t="s">
        <v>6523</v>
      </c>
      <c r="C5211" s="1161"/>
      <c r="D5211" s="317"/>
      <c r="E5211" s="1365"/>
      <c r="F5211" s="1365"/>
      <c r="G5211" s="1364" t="n">
        <v>0.1</v>
      </c>
      <c r="H5211" s="1365" t="n">
        <f aca="false">E5211*F5211*G5211</f>
        <v>0</v>
      </c>
      <c r="I5211" s="1365" t="n">
        <f aca="false">F5211-H5211</f>
        <v>0</v>
      </c>
      <c r="J5211" s="1365" t="n">
        <f aca="false">F5211*G5211</f>
        <v>0</v>
      </c>
      <c r="K5211" s="1365" t="n">
        <f aca="false">J5211/1792.8</f>
        <v>0</v>
      </c>
      <c r="L5211" s="1365"/>
      <c r="M5211" s="1273"/>
    </row>
    <row r="5212" customFormat="false" ht="15" hidden="false" customHeight="false" outlineLevel="0" collapsed="false">
      <c r="A5212" s="316"/>
      <c r="B5212" s="40"/>
      <c r="C5212" s="1161" t="s">
        <v>7247</v>
      </c>
      <c r="D5212" s="317" t="n">
        <v>2004</v>
      </c>
      <c r="E5212" s="1365" t="n">
        <v>6</v>
      </c>
      <c r="F5212" s="1365" t="n">
        <v>202860</v>
      </c>
      <c r="G5212" s="1364" t="n">
        <v>0.1</v>
      </c>
      <c r="H5212" s="1365" t="n">
        <f aca="false">E5212*F5212*G5212</f>
        <v>121716</v>
      </c>
      <c r="I5212" s="1365" t="n">
        <f aca="false">F5212-H5212</f>
        <v>81144</v>
      </c>
      <c r="J5212" s="1365" t="n">
        <f aca="false">F5212*G5212</f>
        <v>20286</v>
      </c>
      <c r="K5212" s="1365" t="n">
        <f aca="false">J5212/1792.8</f>
        <v>11.3152610441767</v>
      </c>
      <c r="L5212" s="1365" t="n">
        <v>1440</v>
      </c>
      <c r="M5212" s="1273" t="n">
        <f aca="false">K5212*L5212/60</f>
        <v>271.566265060241</v>
      </c>
    </row>
    <row r="5213" customFormat="false" ht="15" hidden="false" customHeight="false" outlineLevel="0" collapsed="false">
      <c r="A5213" s="316"/>
      <c r="B5213" s="40"/>
      <c r="C5213" s="1161" t="s">
        <v>7249</v>
      </c>
      <c r="D5213" s="317" t="n">
        <v>2006</v>
      </c>
      <c r="E5213" s="1365" t="n">
        <v>4</v>
      </c>
      <c r="F5213" s="1365" t="n">
        <v>55500</v>
      </c>
      <c r="G5213" s="1364" t="n">
        <v>0.1</v>
      </c>
      <c r="H5213" s="1365" t="n">
        <f aca="false">E5213*F5213*G5213</f>
        <v>22200</v>
      </c>
      <c r="I5213" s="1365" t="n">
        <f aca="false">F5213-H5213</f>
        <v>33300</v>
      </c>
      <c r="J5213" s="1365" t="n">
        <f aca="false">F5213*G5213</f>
        <v>5550</v>
      </c>
      <c r="K5213" s="1365" t="n">
        <f aca="false">J5213/1792.8</f>
        <v>3.09571619812584</v>
      </c>
      <c r="L5213" s="1365" t="n">
        <v>10</v>
      </c>
      <c r="M5213" s="1273" t="n">
        <f aca="false">K5213*L5213/60</f>
        <v>0.51595269968764</v>
      </c>
    </row>
    <row r="5214" customFormat="false" ht="15" hidden="false" customHeight="false" outlineLevel="0" collapsed="false">
      <c r="A5214" s="316"/>
      <c r="B5214" s="40"/>
      <c r="C5214" s="1161" t="s">
        <v>7251</v>
      </c>
      <c r="D5214" s="317" t="n">
        <v>2005</v>
      </c>
      <c r="E5214" s="1365" t="n">
        <v>5</v>
      </c>
      <c r="F5214" s="1365" t="n">
        <v>1638000</v>
      </c>
      <c r="G5214" s="1364" t="n">
        <v>0.1</v>
      </c>
      <c r="H5214" s="1365" t="n">
        <f aca="false">E5214*F5214*G5214</f>
        <v>819000</v>
      </c>
      <c r="I5214" s="1365" t="n">
        <f aca="false">F5214-H5214</f>
        <v>819000</v>
      </c>
      <c r="J5214" s="1365" t="n">
        <f aca="false">F5214*G5214</f>
        <v>163800</v>
      </c>
      <c r="K5214" s="1365" t="n">
        <f aca="false">J5214/1792.8</f>
        <v>91.3654618473896</v>
      </c>
      <c r="L5214" s="1365" t="n">
        <v>80</v>
      </c>
      <c r="M5214" s="1273" t="n">
        <f aca="false">K5214*L5214/60</f>
        <v>121.820615796519</v>
      </c>
    </row>
    <row r="5215" customFormat="false" ht="15" hidden="false" customHeight="false" outlineLevel="0" collapsed="false">
      <c r="A5215" s="316"/>
      <c r="B5215" s="40"/>
      <c r="C5215" s="1161" t="s">
        <v>7252</v>
      </c>
      <c r="D5215" s="317" t="n">
        <v>2005</v>
      </c>
      <c r="E5215" s="1365" t="n">
        <v>5</v>
      </c>
      <c r="F5215" s="1365" t="n">
        <v>12190000</v>
      </c>
      <c r="G5215" s="1364" t="n">
        <v>0.1</v>
      </c>
      <c r="H5215" s="1365" t="n">
        <f aca="false">E5215*F5215*G5215</f>
        <v>6095000</v>
      </c>
      <c r="I5215" s="1365" t="n">
        <f aca="false">F5215-H5215</f>
        <v>6095000</v>
      </c>
      <c r="J5215" s="1365" t="n">
        <f aca="false">F5215*G5215</f>
        <v>1219000</v>
      </c>
      <c r="K5215" s="1365" t="n">
        <f aca="false">J5215/1792.8</f>
        <v>679.941990182954</v>
      </c>
      <c r="L5215" s="1365" t="n">
        <v>20</v>
      </c>
      <c r="M5215" s="1273" t="n">
        <f aca="false">K5215*L5215/60</f>
        <v>226.647330060985</v>
      </c>
    </row>
    <row r="5216" customFormat="false" ht="15" hidden="false" customHeight="false" outlineLevel="0" collapsed="false">
      <c r="A5216" s="316"/>
      <c r="B5216" s="40"/>
      <c r="C5216" s="1161" t="s">
        <v>7170</v>
      </c>
      <c r="D5216" s="317" t="n">
        <v>2004</v>
      </c>
      <c r="E5216" s="1365" t="n">
        <v>6</v>
      </c>
      <c r="F5216" s="1365" t="n">
        <v>196670</v>
      </c>
      <c r="G5216" s="1364" t="n">
        <v>0.1</v>
      </c>
      <c r="H5216" s="1365" t="n">
        <f aca="false">E5216*F5216*G5216</f>
        <v>118002</v>
      </c>
      <c r="I5216" s="1365" t="n">
        <f aca="false">F5216-H5216</f>
        <v>78668</v>
      </c>
      <c r="J5216" s="1365" t="n">
        <f aca="false">F5216*G5216</f>
        <v>19667</v>
      </c>
      <c r="K5216" s="1365" t="n">
        <f aca="false">J5216/1792.8</f>
        <v>10.9699910754128</v>
      </c>
      <c r="L5216" s="1365" t="n">
        <v>15</v>
      </c>
      <c r="M5216" s="1273" t="n">
        <f aca="false">K5216*L5216/60</f>
        <v>2.74249776885319</v>
      </c>
    </row>
    <row r="5217" customFormat="false" ht="15" hidden="false" customHeight="false" outlineLevel="0" collapsed="false">
      <c r="A5217" s="316"/>
      <c r="B5217" s="40"/>
      <c r="C5217" s="1161" t="s">
        <v>7158</v>
      </c>
      <c r="D5217" s="317" t="n">
        <v>2004</v>
      </c>
      <c r="E5217" s="1365" t="n">
        <v>6</v>
      </c>
      <c r="F5217" s="1365" t="n">
        <v>6985000</v>
      </c>
      <c r="G5217" s="1364" t="n">
        <v>0.1</v>
      </c>
      <c r="H5217" s="1365" t="n">
        <f aca="false">E5217*F5217*G5217</f>
        <v>4191000</v>
      </c>
      <c r="I5217" s="1365" t="n">
        <f aca="false">F5217-H5217</f>
        <v>2794000</v>
      </c>
      <c r="J5217" s="1365" t="n">
        <f aca="false">F5217*G5217</f>
        <v>698500</v>
      </c>
      <c r="K5217" s="1365" t="n">
        <f aca="false">J5217/1792.8</f>
        <v>389.614011601963</v>
      </c>
      <c r="L5217" s="1365" t="n">
        <v>15</v>
      </c>
      <c r="M5217" s="1273" t="n">
        <f aca="false">K5217*L5217/60</f>
        <v>97.4035029004909</v>
      </c>
    </row>
    <row r="5218" customFormat="false" ht="15" hidden="false" customHeight="false" outlineLevel="0" collapsed="false">
      <c r="A5218" s="316"/>
      <c r="B5218" s="40"/>
      <c r="C5218" s="1160"/>
      <c r="D5218" s="135"/>
      <c r="E5218" s="1370"/>
      <c r="F5218" s="1370"/>
      <c r="G5218" s="1372" t="n">
        <v>0.1</v>
      </c>
      <c r="H5218" s="1365" t="n">
        <f aca="false">E5218*F5218*G5218</f>
        <v>0</v>
      </c>
      <c r="I5218" s="1365" t="n">
        <f aca="false">F5218-H5218</f>
        <v>0</v>
      </c>
      <c r="J5218" s="1365" t="n">
        <f aca="false">F5218*G5218</f>
        <v>0</v>
      </c>
      <c r="K5218" s="1365" t="n">
        <f aca="false">J5218/1792.8</f>
        <v>0</v>
      </c>
      <c r="L5218" s="1370" t="n">
        <f aca="false">SUM(L5212:L5217)</f>
        <v>1580</v>
      </c>
      <c r="M5218" s="1370" t="n">
        <f aca="false">SUM(M5212:M5217)</f>
        <v>720.696164286777</v>
      </c>
    </row>
    <row r="5219" customFormat="false" ht="28.5" hidden="false" customHeight="false" outlineLevel="0" collapsed="false">
      <c r="A5219" s="350" t="s">
        <v>2363</v>
      </c>
      <c r="B5219" s="346" t="s">
        <v>7270</v>
      </c>
      <c r="C5219" s="1569"/>
      <c r="D5219" s="339"/>
      <c r="E5219" s="1246"/>
      <c r="F5219" s="1246"/>
      <c r="G5219" s="1570"/>
      <c r="H5219" s="1512"/>
      <c r="I5219" s="1512"/>
      <c r="J5219" s="1512"/>
      <c r="K5219" s="1246"/>
      <c r="L5219" s="1246"/>
      <c r="M5219" s="1246"/>
    </row>
    <row r="5220" customFormat="false" ht="30" hidden="false" customHeight="false" outlineLevel="0" collapsed="false">
      <c r="A5220" s="316" t="s">
        <v>6525</v>
      </c>
      <c r="B5220" s="40" t="s">
        <v>6526</v>
      </c>
      <c r="C5220" s="1160"/>
      <c r="D5220" s="135"/>
      <c r="E5220" s="1370"/>
      <c r="F5220" s="1370"/>
      <c r="G5220" s="1372" t="n">
        <v>0.1</v>
      </c>
      <c r="H5220" s="1365" t="n">
        <f aca="false">E5220*F5220*G5220</f>
        <v>0</v>
      </c>
      <c r="I5220" s="1365" t="n">
        <f aca="false">F5220-H5220</f>
        <v>0</v>
      </c>
      <c r="J5220" s="1365" t="n">
        <f aca="false">F5220*G5220</f>
        <v>0</v>
      </c>
      <c r="K5220" s="1365" t="n">
        <f aca="false">J5220/1792.8</f>
        <v>0</v>
      </c>
      <c r="L5220" s="1370"/>
      <c r="M5220" s="1366"/>
    </row>
    <row r="5221" customFormat="false" ht="30" hidden="false" customHeight="false" outlineLevel="0" collapsed="false">
      <c r="A5221" s="216"/>
      <c r="B5221" s="78"/>
      <c r="C5221" s="1161" t="s">
        <v>7250</v>
      </c>
      <c r="D5221" s="317" t="n">
        <v>2005</v>
      </c>
      <c r="E5221" s="1365" t="n">
        <v>5</v>
      </c>
      <c r="F5221" s="1365" t="n">
        <v>347000</v>
      </c>
      <c r="G5221" s="1364" t="n">
        <v>0.1</v>
      </c>
      <c r="H5221" s="1365" t="n">
        <f aca="false">E5221*F5221*G5221</f>
        <v>173500</v>
      </c>
      <c r="I5221" s="1365" t="n">
        <f aca="false">F5221-H5221</f>
        <v>173500</v>
      </c>
      <c r="J5221" s="1365" t="n">
        <f aca="false">F5221*G5221</f>
        <v>34700</v>
      </c>
      <c r="K5221" s="1365" t="n">
        <f aca="false">J5221/1792.8</f>
        <v>19.355198572066</v>
      </c>
      <c r="L5221" s="1365" t="n">
        <v>60</v>
      </c>
      <c r="M5221" s="1273" t="n">
        <f aca="false">K5221*L5221/60</f>
        <v>19.355198572066</v>
      </c>
    </row>
    <row r="5222" customFormat="false" ht="15" hidden="false" customHeight="false" outlineLevel="0" collapsed="false">
      <c r="A5222" s="216"/>
      <c r="B5222" s="78"/>
      <c r="C5222" s="1161" t="s">
        <v>7245</v>
      </c>
      <c r="D5222" s="317" t="n">
        <v>2005</v>
      </c>
      <c r="E5222" s="1365" t="n">
        <v>5</v>
      </c>
      <c r="F5222" s="1365" t="n">
        <v>347000</v>
      </c>
      <c r="G5222" s="1364" t="n">
        <v>0.1</v>
      </c>
      <c r="H5222" s="1365" t="n">
        <f aca="false">E5222*F5222*G5222</f>
        <v>173500</v>
      </c>
      <c r="I5222" s="1365" t="n">
        <f aca="false">F5222-H5222</f>
        <v>173500</v>
      </c>
      <c r="J5222" s="1365" t="n">
        <f aca="false">F5222*G5222</f>
        <v>34700</v>
      </c>
      <c r="K5222" s="1365" t="n">
        <f aca="false">J5222/1792.8</f>
        <v>19.355198572066</v>
      </c>
      <c r="L5222" s="1365" t="n">
        <v>30</v>
      </c>
      <c r="M5222" s="1273" t="n">
        <f aca="false">K5222*L5222/60</f>
        <v>9.67759928603302</v>
      </c>
    </row>
    <row r="5223" customFormat="false" ht="15" hidden="false" customHeight="false" outlineLevel="0" collapsed="false">
      <c r="A5223" s="216"/>
      <c r="B5223" s="78"/>
      <c r="C5223" s="1161" t="s">
        <v>7170</v>
      </c>
      <c r="D5223" s="317" t="n">
        <v>2004</v>
      </c>
      <c r="E5223" s="1365" t="n">
        <v>6</v>
      </c>
      <c r="F5223" s="1365" t="n">
        <v>196670</v>
      </c>
      <c r="G5223" s="1364" t="n">
        <v>0.1</v>
      </c>
      <c r="H5223" s="1365" t="n">
        <f aca="false">E5223*F5223*G5223</f>
        <v>118002</v>
      </c>
      <c r="I5223" s="1365" t="n">
        <f aca="false">F5223-H5223</f>
        <v>78668</v>
      </c>
      <c r="J5223" s="1365" t="n">
        <f aca="false">F5223*G5223</f>
        <v>19667</v>
      </c>
      <c r="K5223" s="1365" t="n">
        <f aca="false">J5223/1792.8</f>
        <v>10.9699910754128</v>
      </c>
      <c r="L5223" s="1365" t="n">
        <v>15</v>
      </c>
      <c r="M5223" s="1273" t="n">
        <f aca="false">K5223*L5223/60</f>
        <v>2.74249776885319</v>
      </c>
    </row>
    <row r="5224" customFormat="false" ht="15" hidden="false" customHeight="false" outlineLevel="0" collapsed="false">
      <c r="A5224" s="216"/>
      <c r="B5224" s="78"/>
      <c r="C5224" s="1161" t="s">
        <v>7191</v>
      </c>
      <c r="D5224" s="317" t="n">
        <v>2005</v>
      </c>
      <c r="E5224" s="1365" t="n">
        <v>5</v>
      </c>
      <c r="F5224" s="1365" t="n">
        <v>347000</v>
      </c>
      <c r="G5224" s="1364" t="n">
        <v>0.1</v>
      </c>
      <c r="H5224" s="1365" t="n">
        <f aca="false">E5224*F5224*G5224</f>
        <v>173500</v>
      </c>
      <c r="I5224" s="1365" t="n">
        <f aca="false">F5224-H5224</f>
        <v>173500</v>
      </c>
      <c r="J5224" s="1365" t="n">
        <f aca="false">F5224*G5224</f>
        <v>34700</v>
      </c>
      <c r="K5224" s="1365" t="n">
        <f aca="false">J5224/1792.8</f>
        <v>19.355198572066</v>
      </c>
      <c r="L5224" s="1365" t="n">
        <v>60</v>
      </c>
      <c r="M5224" s="1273" t="n">
        <f aca="false">K5224*L5224/60</f>
        <v>19.355198572066</v>
      </c>
    </row>
    <row r="5225" customFormat="false" ht="15" hidden="false" customHeight="false" outlineLevel="0" collapsed="false">
      <c r="A5225" s="216"/>
      <c r="B5225" s="78"/>
      <c r="C5225" s="1161" t="s">
        <v>7158</v>
      </c>
      <c r="D5225" s="317" t="n">
        <v>2004</v>
      </c>
      <c r="E5225" s="1365" t="n">
        <v>6</v>
      </c>
      <c r="F5225" s="1365" t="n">
        <v>6985000</v>
      </c>
      <c r="G5225" s="1364" t="n">
        <v>0.1</v>
      </c>
      <c r="H5225" s="1365" t="n">
        <f aca="false">E5225*F5225*G5225</f>
        <v>4191000</v>
      </c>
      <c r="I5225" s="1365" t="n">
        <f aca="false">F5225-H5225</f>
        <v>2794000</v>
      </c>
      <c r="J5225" s="1365" t="n">
        <f aca="false">F5225*G5225</f>
        <v>698500</v>
      </c>
      <c r="K5225" s="1365" t="n">
        <f aca="false">J5225/1792.8</f>
        <v>389.614011601963</v>
      </c>
      <c r="L5225" s="1365" t="n">
        <v>20</v>
      </c>
      <c r="M5225" s="1273" t="n">
        <f aca="false">K5225*L5225/60</f>
        <v>129.871337200654</v>
      </c>
    </row>
    <row r="5226" customFormat="false" ht="15" hidden="false" customHeight="false" outlineLevel="0" collapsed="false">
      <c r="A5226" s="316"/>
      <c r="B5226" s="1467"/>
      <c r="C5226" s="1160"/>
      <c r="D5226" s="135"/>
      <c r="E5226" s="1370"/>
      <c r="F5226" s="1370"/>
      <c r="G5226" s="1372" t="n">
        <v>0.1</v>
      </c>
      <c r="H5226" s="1365" t="n">
        <f aca="false">E5226*F5226*G5226</f>
        <v>0</v>
      </c>
      <c r="I5226" s="1365" t="n">
        <f aca="false">F5226-H5226</f>
        <v>0</v>
      </c>
      <c r="J5226" s="1365" t="n">
        <f aca="false">F5226*G5226</f>
        <v>0</v>
      </c>
      <c r="K5226" s="1365" t="n">
        <f aca="false">J5226/1792.8</f>
        <v>0</v>
      </c>
      <c r="L5226" s="1370" t="n">
        <f aca="false">SUM(L5220:L5225)</f>
        <v>185</v>
      </c>
      <c r="M5226" s="1370" t="n">
        <f aca="false">SUM(M5220:M5225)</f>
        <v>181.001831399673</v>
      </c>
    </row>
    <row r="5227" customFormat="false" ht="30" hidden="false" customHeight="false" outlineLevel="0" collapsed="false">
      <c r="A5227" s="316" t="s">
        <v>6528</v>
      </c>
      <c r="B5227" s="40" t="s">
        <v>6529</v>
      </c>
      <c r="C5227" s="1161"/>
      <c r="D5227" s="317"/>
      <c r="E5227" s="1365"/>
      <c r="F5227" s="1365"/>
      <c r="G5227" s="1364" t="n">
        <v>0.1</v>
      </c>
      <c r="H5227" s="1365" t="n">
        <f aca="false">E5227*F5227*G5227</f>
        <v>0</v>
      </c>
      <c r="I5227" s="1365" t="n">
        <f aca="false">F5227-H5227</f>
        <v>0</v>
      </c>
      <c r="J5227" s="1365" t="n">
        <f aca="false">F5227*G5227</f>
        <v>0</v>
      </c>
      <c r="K5227" s="1365" t="n">
        <f aca="false">J5227/1792.8</f>
        <v>0</v>
      </c>
      <c r="L5227" s="1365"/>
      <c r="M5227" s="1273"/>
    </row>
    <row r="5228" customFormat="false" ht="15" hidden="false" customHeight="false" outlineLevel="0" collapsed="false">
      <c r="A5228" s="316"/>
      <c r="B5228" s="40"/>
      <c r="C5228" s="1161" t="s">
        <v>7245</v>
      </c>
      <c r="D5228" s="317" t="n">
        <v>2005</v>
      </c>
      <c r="E5228" s="1365" t="n">
        <v>5</v>
      </c>
      <c r="F5228" s="1365" t="n">
        <v>347000</v>
      </c>
      <c r="G5228" s="1364" t="n">
        <v>0.1</v>
      </c>
      <c r="H5228" s="1365" t="n">
        <f aca="false">E5228*F5228*G5228</f>
        <v>173500</v>
      </c>
      <c r="I5228" s="1365" t="n">
        <f aca="false">F5228-H5228</f>
        <v>173500</v>
      </c>
      <c r="J5228" s="1365" t="n">
        <f aca="false">F5228*G5228</f>
        <v>34700</v>
      </c>
      <c r="K5228" s="1365" t="n">
        <f aca="false">J5228/1792.8</f>
        <v>19.355198572066</v>
      </c>
      <c r="L5228" s="1365" t="n">
        <v>30</v>
      </c>
      <c r="M5228" s="1273" t="n">
        <f aca="false">K5228*L5228/60</f>
        <v>9.67759928603302</v>
      </c>
    </row>
    <row r="5229" customFormat="false" ht="15" hidden="false" customHeight="false" outlineLevel="0" collapsed="false">
      <c r="A5229" s="316"/>
      <c r="B5229" s="40"/>
      <c r="C5229" s="1161" t="s">
        <v>7264</v>
      </c>
      <c r="D5229" s="317" t="n">
        <v>2014</v>
      </c>
      <c r="E5229" s="1365" t="n">
        <v>3</v>
      </c>
      <c r="F5229" s="1365" t="n">
        <v>1638000</v>
      </c>
      <c r="G5229" s="1364" t="n">
        <v>0.1</v>
      </c>
      <c r="H5229" s="1365" t="n">
        <f aca="false">E5229*F5229*G5229</f>
        <v>491400</v>
      </c>
      <c r="I5229" s="1365" t="n">
        <f aca="false">F5229-H5229</f>
        <v>1146600</v>
      </c>
      <c r="J5229" s="1365" t="n">
        <f aca="false">F5229*G5229</f>
        <v>163800</v>
      </c>
      <c r="K5229" s="1365" t="n">
        <f aca="false">J5229/1792.8</f>
        <v>91.3654618473896</v>
      </c>
      <c r="L5229" s="1365"/>
      <c r="M5229" s="1273" t="n">
        <f aca="false">K5229*L5229/60</f>
        <v>0</v>
      </c>
    </row>
    <row r="5230" customFormat="false" ht="15" hidden="false" customHeight="false" outlineLevel="0" collapsed="false">
      <c r="A5230" s="316"/>
      <c r="B5230" s="40"/>
      <c r="C5230" s="1161" t="s">
        <v>7249</v>
      </c>
      <c r="D5230" s="317" t="n">
        <v>2005</v>
      </c>
      <c r="E5230" s="1365" t="n">
        <v>5</v>
      </c>
      <c r="F5230" s="1365" t="n">
        <v>347000</v>
      </c>
      <c r="G5230" s="1364" t="n">
        <v>0.1</v>
      </c>
      <c r="H5230" s="1365" t="n">
        <f aca="false">E5230*F5230*G5230</f>
        <v>173500</v>
      </c>
      <c r="I5230" s="1365" t="n">
        <f aca="false">F5230-H5230</f>
        <v>173500</v>
      </c>
      <c r="J5230" s="1365" t="n">
        <f aca="false">F5230*G5230</f>
        <v>34700</v>
      </c>
      <c r="K5230" s="1365" t="n">
        <f aca="false">J5230/1792.8</f>
        <v>19.355198572066</v>
      </c>
      <c r="L5230" s="1365" t="n">
        <v>60</v>
      </c>
      <c r="M5230" s="1273" t="n">
        <f aca="false">K5230*L5230/60</f>
        <v>19.355198572066</v>
      </c>
    </row>
    <row r="5231" customFormat="false" ht="15" hidden="false" customHeight="false" outlineLevel="0" collapsed="false">
      <c r="A5231" s="316"/>
      <c r="B5231" s="40"/>
      <c r="C5231" s="1161" t="s">
        <v>7170</v>
      </c>
      <c r="D5231" s="317" t="n">
        <v>2004</v>
      </c>
      <c r="E5231" s="1365" t="n">
        <v>6</v>
      </c>
      <c r="F5231" s="1365" t="n">
        <v>196670</v>
      </c>
      <c r="G5231" s="1364" t="n">
        <v>0.1</v>
      </c>
      <c r="H5231" s="1365" t="n">
        <f aca="false">E5231*F5231*G5231</f>
        <v>118002</v>
      </c>
      <c r="I5231" s="1365" t="n">
        <f aca="false">F5231-H5231</f>
        <v>78668</v>
      </c>
      <c r="J5231" s="1365" t="n">
        <f aca="false">F5231*G5231</f>
        <v>19667</v>
      </c>
      <c r="K5231" s="1365" t="n">
        <f aca="false">J5231/1792.8</f>
        <v>10.9699910754128</v>
      </c>
      <c r="L5231" s="1365" t="n">
        <v>15</v>
      </c>
      <c r="M5231" s="1273" t="n">
        <f aca="false">K5231*L5231/60</f>
        <v>2.74249776885319</v>
      </c>
    </row>
    <row r="5232" customFormat="false" ht="15" hidden="false" customHeight="false" outlineLevel="0" collapsed="false">
      <c r="A5232" s="316"/>
      <c r="B5232" s="40"/>
      <c r="C5232" s="1161" t="s">
        <v>7247</v>
      </c>
      <c r="D5232" s="317" t="n">
        <v>2004</v>
      </c>
      <c r="E5232" s="1365" t="n">
        <v>6</v>
      </c>
      <c r="F5232" s="1365" t="n">
        <v>202860</v>
      </c>
      <c r="G5232" s="1364" t="n">
        <v>0.1</v>
      </c>
      <c r="H5232" s="1365" t="n">
        <f aca="false">E5232*F5232*G5232</f>
        <v>121716</v>
      </c>
      <c r="I5232" s="1365" t="n">
        <f aca="false">F5232-H5232</f>
        <v>81144</v>
      </c>
      <c r="J5232" s="1365" t="n">
        <f aca="false">F5232*G5232</f>
        <v>20286</v>
      </c>
      <c r="K5232" s="1365" t="n">
        <f aca="false">J5232/1792.8</f>
        <v>11.3152610441767</v>
      </c>
      <c r="L5232" s="1365" t="n">
        <v>1440</v>
      </c>
      <c r="M5232" s="1273" t="n">
        <f aca="false">K5232*L5232/60</f>
        <v>271.566265060241</v>
      </c>
    </row>
    <row r="5233" customFormat="false" ht="15" hidden="false" customHeight="false" outlineLevel="0" collapsed="false">
      <c r="A5233" s="316"/>
      <c r="B5233" s="40"/>
      <c r="C5233" s="1161" t="s">
        <v>7158</v>
      </c>
      <c r="D5233" s="317" t="n">
        <v>2004</v>
      </c>
      <c r="E5233" s="1365" t="n">
        <v>6</v>
      </c>
      <c r="F5233" s="1365" t="n">
        <v>6985000</v>
      </c>
      <c r="G5233" s="1364" t="n">
        <v>0.1</v>
      </c>
      <c r="H5233" s="1365" t="n">
        <f aca="false">E5233*F5233*G5233</f>
        <v>4191000</v>
      </c>
      <c r="I5233" s="1365" t="n">
        <f aca="false">F5233-H5233</f>
        <v>2794000</v>
      </c>
      <c r="J5233" s="1365" t="n">
        <f aca="false">F5233*G5233</f>
        <v>698500</v>
      </c>
      <c r="K5233" s="1365" t="n">
        <f aca="false">J5233/1792.8</f>
        <v>389.614011601963</v>
      </c>
      <c r="L5233" s="1365" t="n">
        <v>15</v>
      </c>
      <c r="M5233" s="1273" t="n">
        <f aca="false">K5233*L5233/60</f>
        <v>97.4035029004909</v>
      </c>
    </row>
    <row r="5234" customFormat="false" ht="15" hidden="false" customHeight="false" outlineLevel="0" collapsed="false">
      <c r="A5234" s="316"/>
      <c r="B5234" s="40"/>
      <c r="C5234" s="1160"/>
      <c r="D5234" s="135"/>
      <c r="E5234" s="1370"/>
      <c r="F5234" s="1370"/>
      <c r="G5234" s="1372" t="n">
        <v>0.1</v>
      </c>
      <c r="H5234" s="1365" t="n">
        <f aca="false">E5234*F5234*G5234</f>
        <v>0</v>
      </c>
      <c r="I5234" s="1365" t="n">
        <f aca="false">F5234-H5234</f>
        <v>0</v>
      </c>
      <c r="J5234" s="1365" t="n">
        <f aca="false">F5234*G5234</f>
        <v>0</v>
      </c>
      <c r="K5234" s="1365" t="n">
        <f aca="false">J5234/1792.8</f>
        <v>0</v>
      </c>
      <c r="L5234" s="1370" t="n">
        <f aca="false">SUM(L5227:L5233)</f>
        <v>1560</v>
      </c>
      <c r="M5234" s="1370" t="n">
        <f aca="false">SUM(M5227:M5233)</f>
        <v>400.745063587684</v>
      </c>
    </row>
    <row r="5235" customFormat="false" ht="30" hidden="false" customHeight="false" outlineLevel="0" collapsed="false">
      <c r="A5235" s="316" t="s">
        <v>6531</v>
      </c>
      <c r="B5235" s="40" t="s">
        <v>6532</v>
      </c>
      <c r="C5235" s="1161"/>
      <c r="D5235" s="317"/>
      <c r="E5235" s="1365"/>
      <c r="F5235" s="1365"/>
      <c r="G5235" s="1364" t="n">
        <v>0.1</v>
      </c>
      <c r="H5235" s="1365" t="n">
        <f aca="false">E5235*F5235*G5235</f>
        <v>0</v>
      </c>
      <c r="I5235" s="1365" t="n">
        <f aca="false">F5235-H5235</f>
        <v>0</v>
      </c>
      <c r="J5235" s="1365" t="n">
        <f aca="false">F5235*G5235</f>
        <v>0</v>
      </c>
      <c r="K5235" s="1365" t="n">
        <f aca="false">J5235/1792.8</f>
        <v>0</v>
      </c>
      <c r="L5235" s="1365"/>
      <c r="M5235" s="1273"/>
    </row>
    <row r="5236" customFormat="false" ht="15" hidden="false" customHeight="false" outlineLevel="0" collapsed="false">
      <c r="A5236" s="316"/>
      <c r="B5236" s="40"/>
      <c r="C5236" s="1161" t="s">
        <v>7247</v>
      </c>
      <c r="D5236" s="317" t="n">
        <v>2004</v>
      </c>
      <c r="E5236" s="1365" t="n">
        <v>6</v>
      </c>
      <c r="F5236" s="1365" t="n">
        <v>202860</v>
      </c>
      <c r="G5236" s="1364" t="n">
        <v>0.1</v>
      </c>
      <c r="H5236" s="1365" t="n">
        <f aca="false">E5236*F5236*G5236</f>
        <v>121716</v>
      </c>
      <c r="I5236" s="1365" t="n">
        <f aca="false">F5236-H5236</f>
        <v>81144</v>
      </c>
      <c r="J5236" s="1365" t="n">
        <f aca="false">F5236*G5236</f>
        <v>20286</v>
      </c>
      <c r="K5236" s="1365" t="n">
        <f aca="false">J5236/1792.8</f>
        <v>11.3152610441767</v>
      </c>
      <c r="L5236" s="1365" t="n">
        <v>180</v>
      </c>
      <c r="M5236" s="1273" t="n">
        <f aca="false">K5236*L5236/60</f>
        <v>33.9457831325301</v>
      </c>
    </row>
    <row r="5237" customFormat="false" ht="15" hidden="false" customHeight="false" outlineLevel="0" collapsed="false">
      <c r="A5237" s="316"/>
      <c r="B5237" s="40"/>
      <c r="C5237" s="1161" t="s">
        <v>7249</v>
      </c>
      <c r="D5237" s="317" t="n">
        <v>2006</v>
      </c>
      <c r="E5237" s="1365" t="n">
        <v>4</v>
      </c>
      <c r="F5237" s="1365" t="n">
        <v>55500</v>
      </c>
      <c r="G5237" s="1364" t="n">
        <v>0.1</v>
      </c>
      <c r="H5237" s="1365" t="n">
        <f aca="false">E5237*F5237*G5237</f>
        <v>22200</v>
      </c>
      <c r="I5237" s="1365" t="n">
        <f aca="false">F5237-H5237</f>
        <v>33300</v>
      </c>
      <c r="J5237" s="1365" t="n">
        <f aca="false">F5237*G5237</f>
        <v>5550</v>
      </c>
      <c r="K5237" s="1365" t="n">
        <f aca="false">J5237/1792.8</f>
        <v>3.09571619812584</v>
      </c>
      <c r="L5237" s="1365" t="n">
        <v>10</v>
      </c>
      <c r="M5237" s="1273" t="n">
        <f aca="false">K5237*L5237/60</f>
        <v>0.51595269968764</v>
      </c>
    </row>
    <row r="5238" customFormat="false" ht="15" hidden="false" customHeight="false" outlineLevel="0" collapsed="false">
      <c r="A5238" s="316"/>
      <c r="B5238" s="40"/>
      <c r="C5238" s="1161" t="s">
        <v>7251</v>
      </c>
      <c r="D5238" s="317" t="n">
        <v>2005</v>
      </c>
      <c r="E5238" s="1365" t="n">
        <v>5</v>
      </c>
      <c r="F5238" s="1365" t="n">
        <v>1638000</v>
      </c>
      <c r="G5238" s="1364" t="n">
        <v>0.1</v>
      </c>
      <c r="H5238" s="1365" t="n">
        <f aca="false">E5238*F5238*G5238</f>
        <v>819000</v>
      </c>
      <c r="I5238" s="1365" t="n">
        <f aca="false">F5238-H5238</f>
        <v>819000</v>
      </c>
      <c r="J5238" s="1365" t="n">
        <f aca="false">F5238*G5238</f>
        <v>163800</v>
      </c>
      <c r="K5238" s="1365" t="n">
        <f aca="false">J5238/1792.8</f>
        <v>91.3654618473896</v>
      </c>
      <c r="L5238" s="1365" t="n">
        <v>80</v>
      </c>
      <c r="M5238" s="1273" t="n">
        <f aca="false">K5238*L5238/60</f>
        <v>121.820615796519</v>
      </c>
    </row>
    <row r="5239" customFormat="false" ht="15" hidden="false" customHeight="false" outlineLevel="0" collapsed="false">
      <c r="A5239" s="316"/>
      <c r="B5239" s="40"/>
      <c r="C5239" s="1161" t="s">
        <v>7252</v>
      </c>
      <c r="D5239" s="317" t="n">
        <v>2005</v>
      </c>
      <c r="E5239" s="1365" t="n">
        <v>5</v>
      </c>
      <c r="F5239" s="1365" t="n">
        <v>12190000</v>
      </c>
      <c r="G5239" s="1364" t="n">
        <v>0.1</v>
      </c>
      <c r="H5239" s="1365" t="n">
        <f aca="false">E5239*F5239*G5239</f>
        <v>6095000</v>
      </c>
      <c r="I5239" s="1365" t="n">
        <f aca="false">F5239-H5239</f>
        <v>6095000</v>
      </c>
      <c r="J5239" s="1365" t="n">
        <f aca="false">F5239*G5239</f>
        <v>1219000</v>
      </c>
      <c r="K5239" s="1365" t="n">
        <f aca="false">J5239/1792.8</f>
        <v>679.941990182954</v>
      </c>
      <c r="L5239" s="1365" t="n">
        <v>20</v>
      </c>
      <c r="M5239" s="1273" t="n">
        <f aca="false">K5239*L5239/60</f>
        <v>226.647330060985</v>
      </c>
    </row>
    <row r="5240" customFormat="false" ht="15" hidden="false" customHeight="false" outlineLevel="0" collapsed="false">
      <c r="A5240" s="316"/>
      <c r="B5240" s="40"/>
      <c r="C5240" s="1161" t="s">
        <v>7170</v>
      </c>
      <c r="D5240" s="317" t="n">
        <v>2004</v>
      </c>
      <c r="E5240" s="1365" t="n">
        <v>6</v>
      </c>
      <c r="F5240" s="1365" t="n">
        <v>196670</v>
      </c>
      <c r="G5240" s="1364" t="n">
        <v>0.1</v>
      </c>
      <c r="H5240" s="1365" t="n">
        <f aca="false">E5240*F5240*G5240</f>
        <v>118002</v>
      </c>
      <c r="I5240" s="1365" t="n">
        <f aca="false">F5240-H5240</f>
        <v>78668</v>
      </c>
      <c r="J5240" s="1365" t="n">
        <f aca="false">F5240*G5240</f>
        <v>19667</v>
      </c>
      <c r="K5240" s="1365" t="n">
        <f aca="false">J5240/1792.8</f>
        <v>10.9699910754128</v>
      </c>
      <c r="L5240" s="1365" t="n">
        <v>15</v>
      </c>
      <c r="M5240" s="1273" t="n">
        <f aca="false">K5240*L5240/60</f>
        <v>2.74249776885319</v>
      </c>
    </row>
    <row r="5241" customFormat="false" ht="15" hidden="false" customHeight="false" outlineLevel="0" collapsed="false">
      <c r="A5241" s="316"/>
      <c r="B5241" s="40"/>
      <c r="C5241" s="1161" t="s">
        <v>7158</v>
      </c>
      <c r="D5241" s="317" t="n">
        <v>2004</v>
      </c>
      <c r="E5241" s="1365" t="n">
        <v>6</v>
      </c>
      <c r="F5241" s="1365" t="n">
        <v>6985000</v>
      </c>
      <c r="G5241" s="1364" t="n">
        <v>0.1</v>
      </c>
      <c r="H5241" s="1365" t="n">
        <f aca="false">E5241*F5241*G5241</f>
        <v>4191000</v>
      </c>
      <c r="I5241" s="1365" t="n">
        <f aca="false">F5241-H5241</f>
        <v>2794000</v>
      </c>
      <c r="J5241" s="1365" t="n">
        <f aca="false">F5241*G5241</f>
        <v>698500</v>
      </c>
      <c r="K5241" s="1365" t="n">
        <f aca="false">J5241/1792.8</f>
        <v>389.614011601963</v>
      </c>
      <c r="L5241" s="1365" t="n">
        <v>15</v>
      </c>
      <c r="M5241" s="1273" t="n">
        <f aca="false">K5241*L5241/60</f>
        <v>97.4035029004909</v>
      </c>
    </row>
    <row r="5242" customFormat="false" ht="15" hidden="false" customHeight="false" outlineLevel="0" collapsed="false">
      <c r="A5242" s="316"/>
      <c r="B5242" s="40"/>
      <c r="C5242" s="1160"/>
      <c r="D5242" s="135"/>
      <c r="E5242" s="1370"/>
      <c r="F5242" s="1370"/>
      <c r="G5242" s="1372" t="n">
        <v>0.1</v>
      </c>
      <c r="H5242" s="1365" t="n">
        <f aca="false">E5242*F5242*G5242</f>
        <v>0</v>
      </c>
      <c r="I5242" s="1365" t="n">
        <f aca="false">F5242-H5242</f>
        <v>0</v>
      </c>
      <c r="J5242" s="1365" t="n">
        <f aca="false">F5242*G5242</f>
        <v>0</v>
      </c>
      <c r="K5242" s="1365" t="n">
        <f aca="false">J5242/1792.8</f>
        <v>0</v>
      </c>
      <c r="L5242" s="1370" t="n">
        <f aca="false">SUM(L5236:L5241)</f>
        <v>320</v>
      </c>
      <c r="M5242" s="1370" t="n">
        <f aca="false">SUM(M5236:M5241)</f>
        <v>483.075682359066</v>
      </c>
    </row>
    <row r="5243" customFormat="false" ht="15" hidden="false" customHeight="false" outlineLevel="0" collapsed="false">
      <c r="A5243" s="350" t="s">
        <v>2371</v>
      </c>
      <c r="B5243" s="509" t="s">
        <v>3914</v>
      </c>
      <c r="C5243" s="509"/>
      <c r="D5243" s="350"/>
      <c r="E5243" s="1572"/>
      <c r="F5243" s="1572"/>
      <c r="G5243" s="1572"/>
      <c r="H5243" s="1512"/>
      <c r="I5243" s="1512"/>
      <c r="J5243" s="1512"/>
      <c r="K5243" s="1512"/>
      <c r="L5243" s="1572"/>
      <c r="M5243" s="1572"/>
    </row>
    <row r="5244" customFormat="false" ht="30" hidden="false" customHeight="false" outlineLevel="0" collapsed="false">
      <c r="A5244" s="316" t="s">
        <v>6533</v>
      </c>
      <c r="B5244" s="40" t="s">
        <v>6534</v>
      </c>
      <c r="C5244" s="1160"/>
      <c r="D5244" s="135"/>
      <c r="E5244" s="1370"/>
      <c r="F5244" s="1370"/>
      <c r="G5244" s="1372" t="n">
        <v>0.1</v>
      </c>
      <c r="H5244" s="1365" t="n">
        <f aca="false">E5244*F5244*G5244</f>
        <v>0</v>
      </c>
      <c r="I5244" s="1365" t="n">
        <f aca="false">F5244-H5244</f>
        <v>0</v>
      </c>
      <c r="J5244" s="1365" t="n">
        <f aca="false">F5244*G5244</f>
        <v>0</v>
      </c>
      <c r="K5244" s="1365" t="n">
        <f aca="false">J5244/1792.8</f>
        <v>0</v>
      </c>
      <c r="L5244" s="1370"/>
      <c r="M5244" s="1366"/>
    </row>
    <row r="5245" customFormat="false" ht="30" hidden="false" customHeight="false" outlineLevel="0" collapsed="false">
      <c r="A5245" s="216"/>
      <c r="B5245" s="78"/>
      <c r="C5245" s="1161" t="s">
        <v>7250</v>
      </c>
      <c r="D5245" s="317" t="n">
        <v>2005</v>
      </c>
      <c r="E5245" s="1365" t="n">
        <v>5</v>
      </c>
      <c r="F5245" s="1365" t="n">
        <v>347000</v>
      </c>
      <c r="G5245" s="1364" t="n">
        <v>0.1</v>
      </c>
      <c r="H5245" s="1365" t="n">
        <f aca="false">E5245*F5245*G5245</f>
        <v>173500</v>
      </c>
      <c r="I5245" s="1365" t="n">
        <f aca="false">F5245-H5245</f>
        <v>173500</v>
      </c>
      <c r="J5245" s="1365" t="n">
        <f aca="false">F5245*G5245</f>
        <v>34700</v>
      </c>
      <c r="K5245" s="1365" t="n">
        <f aca="false">J5245/1792.8</f>
        <v>19.355198572066</v>
      </c>
      <c r="L5245" s="1365" t="n">
        <v>60</v>
      </c>
      <c r="M5245" s="1273" t="n">
        <f aca="false">K5245*L5245/60</f>
        <v>19.355198572066</v>
      </c>
    </row>
    <row r="5246" customFormat="false" ht="15" hidden="false" customHeight="false" outlineLevel="0" collapsed="false">
      <c r="A5246" s="216"/>
      <c r="B5246" s="78"/>
      <c r="C5246" s="1161" t="s">
        <v>7245</v>
      </c>
      <c r="D5246" s="317" t="n">
        <v>2005</v>
      </c>
      <c r="E5246" s="1365" t="n">
        <v>5</v>
      </c>
      <c r="F5246" s="1365" t="n">
        <v>347000</v>
      </c>
      <c r="G5246" s="1364" t="n">
        <v>0.1</v>
      </c>
      <c r="H5246" s="1365" t="n">
        <f aca="false">E5246*F5246*G5246</f>
        <v>173500</v>
      </c>
      <c r="I5246" s="1365" t="n">
        <f aca="false">F5246-H5246</f>
        <v>173500</v>
      </c>
      <c r="J5246" s="1365" t="n">
        <f aca="false">F5246*G5246</f>
        <v>34700</v>
      </c>
      <c r="K5246" s="1365" t="n">
        <f aca="false">J5246/1792.8</f>
        <v>19.355198572066</v>
      </c>
      <c r="L5246" s="1365" t="n">
        <v>30</v>
      </c>
      <c r="M5246" s="1273" t="n">
        <f aca="false">K5246*L5246/60</f>
        <v>9.67759928603302</v>
      </c>
    </row>
    <row r="5247" customFormat="false" ht="15" hidden="false" customHeight="false" outlineLevel="0" collapsed="false">
      <c r="A5247" s="216"/>
      <c r="B5247" s="78"/>
      <c r="C5247" s="1161" t="s">
        <v>7170</v>
      </c>
      <c r="D5247" s="317" t="n">
        <v>2004</v>
      </c>
      <c r="E5247" s="1365" t="n">
        <v>6</v>
      </c>
      <c r="F5247" s="1365" t="n">
        <v>196670</v>
      </c>
      <c r="G5247" s="1364" t="n">
        <v>0.1</v>
      </c>
      <c r="H5247" s="1365" t="n">
        <f aca="false">E5247*F5247*G5247</f>
        <v>118002</v>
      </c>
      <c r="I5247" s="1365" t="n">
        <f aca="false">F5247-H5247</f>
        <v>78668</v>
      </c>
      <c r="J5247" s="1365" t="n">
        <f aca="false">F5247*G5247</f>
        <v>19667</v>
      </c>
      <c r="K5247" s="1365" t="n">
        <f aca="false">J5247/1792.8</f>
        <v>10.9699910754128</v>
      </c>
      <c r="L5247" s="1365" t="n">
        <v>15</v>
      </c>
      <c r="M5247" s="1273" t="n">
        <f aca="false">K5247*L5247/60</f>
        <v>2.74249776885319</v>
      </c>
    </row>
    <row r="5248" customFormat="false" ht="15" hidden="false" customHeight="false" outlineLevel="0" collapsed="false">
      <c r="A5248" s="216"/>
      <c r="B5248" s="78"/>
      <c r="C5248" s="1161" t="s">
        <v>7191</v>
      </c>
      <c r="D5248" s="317" t="n">
        <v>2005</v>
      </c>
      <c r="E5248" s="1365" t="n">
        <v>5</v>
      </c>
      <c r="F5248" s="1365" t="n">
        <v>347000</v>
      </c>
      <c r="G5248" s="1364" t="n">
        <v>0.1</v>
      </c>
      <c r="H5248" s="1365" t="n">
        <f aca="false">E5248*F5248*G5248</f>
        <v>173500</v>
      </c>
      <c r="I5248" s="1365" t="n">
        <f aca="false">F5248-H5248</f>
        <v>173500</v>
      </c>
      <c r="J5248" s="1365" t="n">
        <f aca="false">F5248*G5248</f>
        <v>34700</v>
      </c>
      <c r="K5248" s="1365" t="n">
        <f aca="false">J5248/1792.8</f>
        <v>19.355198572066</v>
      </c>
      <c r="L5248" s="1365" t="n">
        <v>60</v>
      </c>
      <c r="M5248" s="1273" t="n">
        <f aca="false">K5248*L5248/60</f>
        <v>19.355198572066</v>
      </c>
    </row>
    <row r="5249" customFormat="false" ht="15" hidden="false" customHeight="false" outlineLevel="0" collapsed="false">
      <c r="A5249" s="216"/>
      <c r="B5249" s="78"/>
      <c r="C5249" s="1161" t="s">
        <v>7158</v>
      </c>
      <c r="D5249" s="317" t="n">
        <v>2004</v>
      </c>
      <c r="E5249" s="1365" t="n">
        <v>6</v>
      </c>
      <c r="F5249" s="1365" t="n">
        <v>6985000</v>
      </c>
      <c r="G5249" s="1364" t="n">
        <v>0.1</v>
      </c>
      <c r="H5249" s="1365" t="n">
        <f aca="false">E5249*F5249*G5249</f>
        <v>4191000</v>
      </c>
      <c r="I5249" s="1365" t="n">
        <f aca="false">F5249-H5249</f>
        <v>2794000</v>
      </c>
      <c r="J5249" s="1365" t="n">
        <f aca="false">F5249*G5249</f>
        <v>698500</v>
      </c>
      <c r="K5249" s="1365" t="n">
        <f aca="false">J5249/1792.8</f>
        <v>389.614011601963</v>
      </c>
      <c r="L5249" s="1365" t="n">
        <v>20</v>
      </c>
      <c r="M5249" s="1273" t="n">
        <f aca="false">K5249*L5249/60</f>
        <v>129.871337200654</v>
      </c>
    </row>
    <row r="5250" customFormat="false" ht="15" hidden="false" customHeight="false" outlineLevel="0" collapsed="false">
      <c r="A5250" s="316"/>
      <c r="B5250" s="1467"/>
      <c r="C5250" s="1160"/>
      <c r="D5250" s="135"/>
      <c r="E5250" s="1370"/>
      <c r="F5250" s="1370"/>
      <c r="G5250" s="1372" t="n">
        <v>0.1</v>
      </c>
      <c r="H5250" s="1365" t="n">
        <f aca="false">E5250*F5250*G5250</f>
        <v>0</v>
      </c>
      <c r="I5250" s="1365" t="n">
        <f aca="false">F5250-H5250</f>
        <v>0</v>
      </c>
      <c r="J5250" s="1365" t="n">
        <f aca="false">F5250*G5250</f>
        <v>0</v>
      </c>
      <c r="K5250" s="1365" t="n">
        <f aca="false">J5250/1792.8</f>
        <v>0</v>
      </c>
      <c r="L5250" s="1370" t="n">
        <f aca="false">SUM(L5244:L5249)</f>
        <v>185</v>
      </c>
      <c r="M5250" s="1370" t="n">
        <f aca="false">SUM(M5244:M5249)</f>
        <v>181.001831399673</v>
      </c>
    </row>
    <row r="5251" customFormat="false" ht="30" hidden="false" customHeight="false" outlineLevel="0" collapsed="false">
      <c r="A5251" s="316" t="s">
        <v>6539</v>
      </c>
      <c r="B5251" s="40" t="s">
        <v>6540</v>
      </c>
      <c r="C5251" s="1161"/>
      <c r="D5251" s="317"/>
      <c r="E5251" s="1365"/>
      <c r="F5251" s="1365"/>
      <c r="G5251" s="1364" t="n">
        <v>0.1</v>
      </c>
      <c r="H5251" s="1365" t="n">
        <f aca="false">E5251*F5251*G5251</f>
        <v>0</v>
      </c>
      <c r="I5251" s="1365" t="n">
        <f aca="false">F5251-H5251</f>
        <v>0</v>
      </c>
      <c r="J5251" s="1365" t="n">
        <f aca="false">F5251*G5251</f>
        <v>0</v>
      </c>
      <c r="K5251" s="1365" t="n">
        <f aca="false">J5251/1792.8</f>
        <v>0</v>
      </c>
      <c r="L5251" s="1365"/>
      <c r="M5251" s="1273"/>
    </row>
    <row r="5252" customFormat="false" ht="15" hidden="false" customHeight="false" outlineLevel="0" collapsed="false">
      <c r="A5252" s="316"/>
      <c r="B5252" s="40"/>
      <c r="C5252" s="1161" t="s">
        <v>7245</v>
      </c>
      <c r="D5252" s="317" t="n">
        <v>2005</v>
      </c>
      <c r="E5252" s="1365" t="n">
        <v>5</v>
      </c>
      <c r="F5252" s="1365" t="n">
        <v>347000</v>
      </c>
      <c r="G5252" s="1364" t="n">
        <v>0.1</v>
      </c>
      <c r="H5252" s="1365" t="n">
        <f aca="false">E5252*F5252*G5252</f>
        <v>173500</v>
      </c>
      <c r="I5252" s="1365" t="n">
        <f aca="false">F5252-H5252</f>
        <v>173500</v>
      </c>
      <c r="J5252" s="1365" t="n">
        <f aca="false">F5252*G5252</f>
        <v>34700</v>
      </c>
      <c r="K5252" s="1365" t="n">
        <f aca="false">J5252/1792.8</f>
        <v>19.355198572066</v>
      </c>
      <c r="L5252" s="1365" t="n">
        <v>30</v>
      </c>
      <c r="M5252" s="1273" t="n">
        <f aca="false">K5252*L5252/60</f>
        <v>9.67759928603302</v>
      </c>
    </row>
    <row r="5253" customFormat="false" ht="15" hidden="false" customHeight="false" outlineLevel="0" collapsed="false">
      <c r="A5253" s="316"/>
      <c r="B5253" s="40"/>
      <c r="C5253" s="1161" t="s">
        <v>7264</v>
      </c>
      <c r="D5253" s="317" t="n">
        <v>2014</v>
      </c>
      <c r="E5253" s="1365" t="n">
        <v>3</v>
      </c>
      <c r="F5253" s="1365" t="n">
        <v>1411800</v>
      </c>
      <c r="G5253" s="1364" t="n">
        <v>0.1</v>
      </c>
      <c r="H5253" s="1365" t="n">
        <f aca="false">E5253*F5253*G5253</f>
        <v>423540</v>
      </c>
      <c r="I5253" s="1365" t="n">
        <f aca="false">F5253-H5253</f>
        <v>988260</v>
      </c>
      <c r="J5253" s="1365" t="n">
        <f aca="false">F5253*G5253</f>
        <v>141180</v>
      </c>
      <c r="K5253" s="1365" t="n">
        <f aca="false">J5253/1792.8</f>
        <v>78.7483266398929</v>
      </c>
      <c r="L5253" s="1365"/>
      <c r="M5253" s="1273" t="n">
        <f aca="false">K5253*L5253/60</f>
        <v>0</v>
      </c>
    </row>
    <row r="5254" customFormat="false" ht="15" hidden="false" customHeight="false" outlineLevel="0" collapsed="false">
      <c r="A5254" s="316"/>
      <c r="B5254" s="40"/>
      <c r="C5254" s="1161" t="s">
        <v>7249</v>
      </c>
      <c r="D5254" s="317" t="n">
        <v>2005</v>
      </c>
      <c r="E5254" s="1365" t="n">
        <v>5</v>
      </c>
      <c r="F5254" s="1365" t="n">
        <v>347000</v>
      </c>
      <c r="G5254" s="1364" t="n">
        <v>0.1</v>
      </c>
      <c r="H5254" s="1365" t="n">
        <f aca="false">E5254*F5254*G5254</f>
        <v>173500</v>
      </c>
      <c r="I5254" s="1365" t="n">
        <f aca="false">F5254-H5254</f>
        <v>173500</v>
      </c>
      <c r="J5254" s="1365" t="n">
        <f aca="false">F5254*G5254</f>
        <v>34700</v>
      </c>
      <c r="K5254" s="1365" t="n">
        <f aca="false">J5254/1792.8</f>
        <v>19.355198572066</v>
      </c>
      <c r="L5254" s="1365" t="n">
        <v>60</v>
      </c>
      <c r="M5254" s="1273" t="n">
        <f aca="false">K5254*L5254/60</f>
        <v>19.355198572066</v>
      </c>
    </row>
    <row r="5255" customFormat="false" ht="15" hidden="false" customHeight="false" outlineLevel="0" collapsed="false">
      <c r="A5255" s="316"/>
      <c r="B5255" s="40"/>
      <c r="C5255" s="1161" t="s">
        <v>7170</v>
      </c>
      <c r="D5255" s="317" t="n">
        <v>2004</v>
      </c>
      <c r="E5255" s="1365" t="n">
        <v>6</v>
      </c>
      <c r="F5255" s="1365" t="n">
        <v>196670</v>
      </c>
      <c r="G5255" s="1364" t="n">
        <v>0.1</v>
      </c>
      <c r="H5255" s="1365" t="n">
        <f aca="false">E5255*F5255*G5255</f>
        <v>118002</v>
      </c>
      <c r="I5255" s="1365" t="n">
        <f aca="false">F5255-H5255</f>
        <v>78668</v>
      </c>
      <c r="J5255" s="1365" t="n">
        <f aca="false">F5255*G5255</f>
        <v>19667</v>
      </c>
      <c r="K5255" s="1365" t="n">
        <f aca="false">J5255/1792.8</f>
        <v>10.9699910754128</v>
      </c>
      <c r="L5255" s="1365" t="n">
        <v>15</v>
      </c>
      <c r="M5255" s="1273" t="n">
        <f aca="false">K5255*L5255/60</f>
        <v>2.74249776885319</v>
      </c>
    </row>
    <row r="5256" customFormat="false" ht="15" hidden="false" customHeight="false" outlineLevel="0" collapsed="false">
      <c r="A5256" s="316"/>
      <c r="B5256" s="40"/>
      <c r="C5256" s="1161" t="s">
        <v>7247</v>
      </c>
      <c r="D5256" s="317" t="n">
        <v>2004</v>
      </c>
      <c r="E5256" s="1365" t="n">
        <v>6</v>
      </c>
      <c r="F5256" s="1365" t="n">
        <v>202860</v>
      </c>
      <c r="G5256" s="1364" t="n">
        <v>0.1</v>
      </c>
      <c r="H5256" s="1365" t="n">
        <f aca="false">E5256*F5256*G5256</f>
        <v>121716</v>
      </c>
      <c r="I5256" s="1365" t="n">
        <f aca="false">F5256-H5256</f>
        <v>81144</v>
      </c>
      <c r="J5256" s="1365" t="n">
        <f aca="false">F5256*G5256</f>
        <v>20286</v>
      </c>
      <c r="K5256" s="1365" t="n">
        <f aca="false">J5256/1792.8</f>
        <v>11.3152610441767</v>
      </c>
      <c r="L5256" s="1365" t="n">
        <v>2880</v>
      </c>
      <c r="M5256" s="1273" t="n">
        <f aca="false">K5256*L5256/60</f>
        <v>543.132530120482</v>
      </c>
    </row>
    <row r="5257" customFormat="false" ht="15" hidden="false" customHeight="false" outlineLevel="0" collapsed="false">
      <c r="A5257" s="316"/>
      <c r="B5257" s="40"/>
      <c r="C5257" s="1161" t="s">
        <v>7158</v>
      </c>
      <c r="D5257" s="317" t="n">
        <v>2004</v>
      </c>
      <c r="E5257" s="1365" t="n">
        <v>6</v>
      </c>
      <c r="F5257" s="1365" t="n">
        <v>6985000</v>
      </c>
      <c r="G5257" s="1364" t="n">
        <v>0.1</v>
      </c>
      <c r="H5257" s="1365" t="n">
        <f aca="false">E5257*F5257*G5257</f>
        <v>4191000</v>
      </c>
      <c r="I5257" s="1365" t="n">
        <f aca="false">F5257-H5257</f>
        <v>2794000</v>
      </c>
      <c r="J5257" s="1365" t="n">
        <f aca="false">F5257*G5257</f>
        <v>698500</v>
      </c>
      <c r="K5257" s="1365" t="n">
        <f aca="false">J5257/1792.8</f>
        <v>389.614011601963</v>
      </c>
      <c r="L5257" s="1365" t="n">
        <v>15</v>
      </c>
      <c r="M5257" s="1273" t="n">
        <f aca="false">K5257*L5257/60</f>
        <v>97.4035029004909</v>
      </c>
    </row>
    <row r="5258" customFormat="false" ht="15" hidden="false" customHeight="false" outlineLevel="0" collapsed="false">
      <c r="A5258" s="216"/>
      <c r="B5258" s="78"/>
      <c r="C5258" s="1160"/>
      <c r="D5258" s="135"/>
      <c r="E5258" s="1370"/>
      <c r="F5258" s="1370"/>
      <c r="G5258" s="1372" t="n">
        <v>0.1</v>
      </c>
      <c r="H5258" s="1365" t="n">
        <f aca="false">E5258*F5258*G5258</f>
        <v>0</v>
      </c>
      <c r="I5258" s="1365" t="n">
        <f aca="false">F5258-H5258</f>
        <v>0</v>
      </c>
      <c r="J5258" s="1365" t="n">
        <f aca="false">F5258*G5258</f>
        <v>0</v>
      </c>
      <c r="K5258" s="1365" t="n">
        <f aca="false">J5258/1792.8</f>
        <v>0</v>
      </c>
      <c r="L5258" s="1370" t="n">
        <f aca="false">SUM(L5251:L5257)</f>
        <v>3000</v>
      </c>
      <c r="M5258" s="1370" t="n">
        <f aca="false">SUM(M5251:M5257)</f>
        <v>672.311328647925</v>
      </c>
    </row>
    <row r="5259" customFormat="false" ht="45" hidden="false" customHeight="false" outlineLevel="0" collapsed="false">
      <c r="A5259" s="316" t="s">
        <v>6541</v>
      </c>
      <c r="B5259" s="40" t="s">
        <v>3917</v>
      </c>
      <c r="C5259" s="1161"/>
      <c r="D5259" s="317"/>
      <c r="E5259" s="1365"/>
      <c r="F5259" s="1365"/>
      <c r="G5259" s="1364" t="n">
        <v>0.1</v>
      </c>
      <c r="H5259" s="1365" t="n">
        <f aca="false">E5259*F5259*G5259</f>
        <v>0</v>
      </c>
      <c r="I5259" s="1365" t="n">
        <f aca="false">F5259-H5259</f>
        <v>0</v>
      </c>
      <c r="J5259" s="1365" t="n">
        <f aca="false">F5259*G5259</f>
        <v>0</v>
      </c>
      <c r="K5259" s="1365" t="n">
        <f aca="false">J5259/1792.8</f>
        <v>0</v>
      </c>
      <c r="L5259" s="1365"/>
      <c r="M5259" s="1273"/>
    </row>
    <row r="5260" customFormat="false" ht="15" hidden="false" customHeight="false" outlineLevel="0" collapsed="false">
      <c r="A5260" s="316"/>
      <c r="B5260" s="40"/>
      <c r="C5260" s="1161" t="s">
        <v>7247</v>
      </c>
      <c r="D5260" s="317" t="n">
        <v>2004</v>
      </c>
      <c r="E5260" s="1365" t="n">
        <v>6</v>
      </c>
      <c r="F5260" s="1365" t="n">
        <v>202860</v>
      </c>
      <c r="G5260" s="1364" t="n">
        <v>0.1</v>
      </c>
      <c r="H5260" s="1365" t="n">
        <f aca="false">E5260*F5260*G5260</f>
        <v>121716</v>
      </c>
      <c r="I5260" s="1365" t="n">
        <f aca="false">F5260-H5260</f>
        <v>81144</v>
      </c>
      <c r="J5260" s="1365" t="n">
        <f aca="false">F5260*G5260</f>
        <v>20286</v>
      </c>
      <c r="K5260" s="1365" t="n">
        <f aca="false">J5260/1792.8</f>
        <v>11.3152610441767</v>
      </c>
      <c r="L5260" s="1365" t="n">
        <v>1440</v>
      </c>
      <c r="M5260" s="1273" t="n">
        <f aca="false">K5260*L5260/60</f>
        <v>271.566265060241</v>
      </c>
    </row>
    <row r="5261" customFormat="false" ht="15" hidden="false" customHeight="false" outlineLevel="0" collapsed="false">
      <c r="A5261" s="316"/>
      <c r="B5261" s="40"/>
      <c r="C5261" s="1161" t="s">
        <v>7249</v>
      </c>
      <c r="D5261" s="317" t="n">
        <v>2006</v>
      </c>
      <c r="E5261" s="1365" t="n">
        <v>4</v>
      </c>
      <c r="F5261" s="1365" t="n">
        <v>55500</v>
      </c>
      <c r="G5261" s="1364" t="n">
        <v>0.1</v>
      </c>
      <c r="H5261" s="1365" t="n">
        <f aca="false">E5261*F5261*G5261</f>
        <v>22200</v>
      </c>
      <c r="I5261" s="1365" t="n">
        <f aca="false">F5261-H5261</f>
        <v>33300</v>
      </c>
      <c r="J5261" s="1365" t="n">
        <f aca="false">F5261*G5261</f>
        <v>5550</v>
      </c>
      <c r="K5261" s="1365" t="n">
        <f aca="false">J5261/1792.8</f>
        <v>3.09571619812584</v>
      </c>
      <c r="L5261" s="1365" t="n">
        <v>10</v>
      </c>
      <c r="M5261" s="1273" t="n">
        <f aca="false">K5261*L5261/60</f>
        <v>0.51595269968764</v>
      </c>
    </row>
    <row r="5262" customFormat="false" ht="15" hidden="false" customHeight="false" outlineLevel="0" collapsed="false">
      <c r="A5262" s="316"/>
      <c r="B5262" s="40"/>
      <c r="C5262" s="1161" t="s">
        <v>7251</v>
      </c>
      <c r="D5262" s="317" t="n">
        <v>2005</v>
      </c>
      <c r="E5262" s="1365" t="n">
        <v>5</v>
      </c>
      <c r="F5262" s="1365" t="n">
        <v>1638000</v>
      </c>
      <c r="G5262" s="1364" t="n">
        <v>0.1</v>
      </c>
      <c r="H5262" s="1365" t="n">
        <f aca="false">E5262*F5262*G5262</f>
        <v>819000</v>
      </c>
      <c r="I5262" s="1365" t="n">
        <f aca="false">F5262-H5262</f>
        <v>819000</v>
      </c>
      <c r="J5262" s="1365" t="n">
        <f aca="false">F5262*G5262</f>
        <v>163800</v>
      </c>
      <c r="K5262" s="1365" t="n">
        <f aca="false">J5262/1792.8</f>
        <v>91.3654618473896</v>
      </c>
      <c r="L5262" s="1365" t="n">
        <v>80</v>
      </c>
      <c r="M5262" s="1273" t="n">
        <f aca="false">K5262*L5262/60</f>
        <v>121.820615796519</v>
      </c>
    </row>
    <row r="5263" customFormat="false" ht="15" hidden="false" customHeight="false" outlineLevel="0" collapsed="false">
      <c r="A5263" s="316"/>
      <c r="B5263" s="40"/>
      <c r="C5263" s="1161" t="s">
        <v>7252</v>
      </c>
      <c r="D5263" s="317" t="n">
        <v>2005</v>
      </c>
      <c r="E5263" s="1365" t="n">
        <v>5</v>
      </c>
      <c r="F5263" s="1365" t="n">
        <v>12190000</v>
      </c>
      <c r="G5263" s="1364" t="n">
        <v>0.1</v>
      </c>
      <c r="H5263" s="1365" t="n">
        <f aca="false">E5263*F5263*G5263</f>
        <v>6095000</v>
      </c>
      <c r="I5263" s="1365" t="n">
        <f aca="false">F5263-H5263</f>
        <v>6095000</v>
      </c>
      <c r="J5263" s="1365" t="n">
        <f aca="false">F5263*G5263</f>
        <v>1219000</v>
      </c>
      <c r="K5263" s="1365" t="n">
        <f aca="false">J5263/1792.8</f>
        <v>679.941990182954</v>
      </c>
      <c r="L5263" s="1365" t="n">
        <v>20</v>
      </c>
      <c r="M5263" s="1273" t="n">
        <f aca="false">K5263*L5263/60</f>
        <v>226.647330060985</v>
      </c>
    </row>
    <row r="5264" customFormat="false" ht="15" hidden="false" customHeight="false" outlineLevel="0" collapsed="false">
      <c r="A5264" s="316"/>
      <c r="B5264" s="40"/>
      <c r="C5264" s="1161" t="s">
        <v>7170</v>
      </c>
      <c r="D5264" s="317" t="n">
        <v>2004</v>
      </c>
      <c r="E5264" s="1365" t="n">
        <v>6</v>
      </c>
      <c r="F5264" s="1365" t="n">
        <v>196670</v>
      </c>
      <c r="G5264" s="1364" t="n">
        <v>0.1</v>
      </c>
      <c r="H5264" s="1365" t="n">
        <f aca="false">E5264*F5264*G5264</f>
        <v>118002</v>
      </c>
      <c r="I5264" s="1365" t="n">
        <f aca="false">F5264-H5264</f>
        <v>78668</v>
      </c>
      <c r="J5264" s="1365" t="n">
        <f aca="false">F5264*G5264</f>
        <v>19667</v>
      </c>
      <c r="K5264" s="1365" t="n">
        <f aca="false">J5264/1792.8</f>
        <v>10.9699910754128</v>
      </c>
      <c r="L5264" s="1365" t="n">
        <v>15</v>
      </c>
      <c r="M5264" s="1273" t="n">
        <f aca="false">K5264*L5264/60</f>
        <v>2.74249776885319</v>
      </c>
    </row>
    <row r="5265" customFormat="false" ht="15" hidden="false" customHeight="false" outlineLevel="0" collapsed="false">
      <c r="A5265" s="316"/>
      <c r="B5265" s="40"/>
      <c r="C5265" s="1161" t="s">
        <v>7158</v>
      </c>
      <c r="D5265" s="317" t="n">
        <v>2004</v>
      </c>
      <c r="E5265" s="1365" t="n">
        <v>6</v>
      </c>
      <c r="F5265" s="1365" t="n">
        <v>6985000</v>
      </c>
      <c r="G5265" s="1364" t="n">
        <v>0.1</v>
      </c>
      <c r="H5265" s="1365" t="n">
        <f aca="false">E5265*F5265*G5265</f>
        <v>4191000</v>
      </c>
      <c r="I5265" s="1365" t="n">
        <f aca="false">F5265-H5265</f>
        <v>2794000</v>
      </c>
      <c r="J5265" s="1365" t="n">
        <f aca="false">F5265*G5265</f>
        <v>698500</v>
      </c>
      <c r="K5265" s="1365" t="n">
        <f aca="false">J5265/1792.8</f>
        <v>389.614011601963</v>
      </c>
      <c r="L5265" s="1365" t="n">
        <v>15</v>
      </c>
      <c r="M5265" s="1273" t="n">
        <f aca="false">K5265*L5265/60</f>
        <v>97.4035029004909</v>
      </c>
    </row>
    <row r="5266" customFormat="false" ht="15" hidden="false" customHeight="false" outlineLevel="0" collapsed="false">
      <c r="A5266" s="316"/>
      <c r="B5266" s="40"/>
      <c r="C5266" s="1160"/>
      <c r="D5266" s="135"/>
      <c r="E5266" s="1370"/>
      <c r="F5266" s="1370"/>
      <c r="G5266" s="1372" t="n">
        <v>0.1</v>
      </c>
      <c r="H5266" s="1365" t="n">
        <f aca="false">E5266*F5266*G5266</f>
        <v>0</v>
      </c>
      <c r="I5266" s="1365" t="n">
        <f aca="false">F5266-H5266</f>
        <v>0</v>
      </c>
      <c r="J5266" s="1365" t="n">
        <f aca="false">F5266*G5266</f>
        <v>0</v>
      </c>
      <c r="K5266" s="1365" t="n">
        <f aca="false">J5266/1792.8</f>
        <v>0</v>
      </c>
      <c r="L5266" s="1370" t="n">
        <f aca="false">SUM(L5260:L5265)</f>
        <v>1580</v>
      </c>
      <c r="M5266" s="1370" t="n">
        <f aca="false">SUM(M5260:M5265)</f>
        <v>720.696164286777</v>
      </c>
    </row>
    <row r="5267" customFormat="false" ht="15" hidden="false" customHeight="false" outlineLevel="0" collapsed="false">
      <c r="A5267" s="350" t="s">
        <v>2379</v>
      </c>
      <c r="B5267" s="509" t="s">
        <v>3918</v>
      </c>
      <c r="C5267" s="509"/>
      <c r="D5267" s="350"/>
      <c r="E5267" s="1572"/>
      <c r="F5267" s="1572"/>
      <c r="G5267" s="1572"/>
      <c r="H5267" s="1512"/>
      <c r="I5267" s="1512"/>
      <c r="J5267" s="1512"/>
      <c r="K5267" s="1512"/>
      <c r="L5267" s="1572"/>
      <c r="M5267" s="1572"/>
    </row>
    <row r="5268" customFormat="false" ht="30" hidden="false" customHeight="false" outlineLevel="0" collapsed="false">
      <c r="A5268" s="316" t="s">
        <v>6542</v>
      </c>
      <c r="B5268" s="40" t="s">
        <v>7271</v>
      </c>
      <c r="C5268" s="1160"/>
      <c r="D5268" s="135"/>
      <c r="E5268" s="1370"/>
      <c r="F5268" s="1370"/>
      <c r="G5268" s="1372" t="n">
        <v>0.1</v>
      </c>
      <c r="H5268" s="1365" t="n">
        <f aca="false">E5268*F5268*G5268</f>
        <v>0</v>
      </c>
      <c r="I5268" s="1365" t="n">
        <f aca="false">F5268-H5268</f>
        <v>0</v>
      </c>
      <c r="J5268" s="1365" t="n">
        <f aca="false">F5268*G5268</f>
        <v>0</v>
      </c>
      <c r="K5268" s="1365" t="n">
        <f aca="false">J5268/1792.8</f>
        <v>0</v>
      </c>
      <c r="L5268" s="1370"/>
      <c r="M5268" s="1366"/>
    </row>
    <row r="5269" customFormat="false" ht="30" hidden="false" customHeight="false" outlineLevel="0" collapsed="false">
      <c r="A5269" s="216"/>
      <c r="B5269" s="78"/>
      <c r="C5269" s="1161" t="s">
        <v>7250</v>
      </c>
      <c r="D5269" s="317" t="n">
        <v>2005</v>
      </c>
      <c r="E5269" s="1365" t="n">
        <v>5</v>
      </c>
      <c r="F5269" s="1365" t="n">
        <v>347000</v>
      </c>
      <c r="G5269" s="1364" t="n">
        <v>0.1</v>
      </c>
      <c r="H5269" s="1365" t="n">
        <f aca="false">E5269*F5269*G5269</f>
        <v>173500</v>
      </c>
      <c r="I5269" s="1365" t="n">
        <f aca="false">F5269-H5269</f>
        <v>173500</v>
      </c>
      <c r="J5269" s="1365" t="n">
        <f aca="false">F5269*G5269</f>
        <v>34700</v>
      </c>
      <c r="K5269" s="1365" t="n">
        <f aca="false">J5269/1792.8</f>
        <v>19.355198572066</v>
      </c>
      <c r="L5269" s="1365" t="n">
        <v>60</v>
      </c>
      <c r="M5269" s="1273" t="n">
        <f aca="false">K5269*L5269/60</f>
        <v>19.355198572066</v>
      </c>
    </row>
    <row r="5270" customFormat="false" ht="15" hidden="false" customHeight="false" outlineLevel="0" collapsed="false">
      <c r="A5270" s="316"/>
      <c r="B5270" s="316"/>
      <c r="C5270" s="1161" t="s">
        <v>7245</v>
      </c>
      <c r="D5270" s="317" t="n">
        <v>2005</v>
      </c>
      <c r="E5270" s="1365" t="n">
        <v>5</v>
      </c>
      <c r="F5270" s="1365" t="n">
        <v>347000</v>
      </c>
      <c r="G5270" s="1364" t="n">
        <v>0.1</v>
      </c>
      <c r="H5270" s="1365" t="n">
        <f aca="false">E5270*F5270*G5270</f>
        <v>173500</v>
      </c>
      <c r="I5270" s="1365" t="n">
        <f aca="false">F5270-H5270</f>
        <v>173500</v>
      </c>
      <c r="J5270" s="1365" t="n">
        <f aca="false">F5270*G5270</f>
        <v>34700</v>
      </c>
      <c r="K5270" s="1365" t="n">
        <f aca="false">J5270/1792.8</f>
        <v>19.355198572066</v>
      </c>
      <c r="L5270" s="1365" t="n">
        <v>30</v>
      </c>
      <c r="M5270" s="1273" t="n">
        <f aca="false">K5270*L5270/60</f>
        <v>9.67759928603302</v>
      </c>
    </row>
    <row r="5271" customFormat="false" ht="15" hidden="false" customHeight="false" outlineLevel="0" collapsed="false">
      <c r="A5271" s="874"/>
      <c r="B5271" s="59"/>
      <c r="C5271" s="1161" t="s">
        <v>7170</v>
      </c>
      <c r="D5271" s="317" t="n">
        <v>2004</v>
      </c>
      <c r="E5271" s="1365" t="n">
        <v>6</v>
      </c>
      <c r="F5271" s="1365" t="n">
        <v>196670</v>
      </c>
      <c r="G5271" s="1364" t="n">
        <v>0.1</v>
      </c>
      <c r="H5271" s="1365" t="n">
        <f aca="false">E5271*F5271*G5271</f>
        <v>118002</v>
      </c>
      <c r="I5271" s="1365" t="n">
        <f aca="false">F5271-H5271</f>
        <v>78668</v>
      </c>
      <c r="J5271" s="1365" t="n">
        <f aca="false">F5271*G5271</f>
        <v>19667</v>
      </c>
      <c r="K5271" s="1365" t="n">
        <f aca="false">J5271/1792.8</f>
        <v>10.9699910754128</v>
      </c>
      <c r="L5271" s="1365" t="n">
        <v>15</v>
      </c>
      <c r="M5271" s="1273" t="n">
        <f aca="false">(J5271/1778.4)*(L5271/60)</f>
        <v>2.76470422852002</v>
      </c>
    </row>
    <row r="5272" customFormat="false" ht="15" hidden="false" customHeight="false" outlineLevel="0" collapsed="false">
      <c r="A5272" s="874"/>
      <c r="B5272" s="59"/>
      <c r="C5272" s="1161" t="s">
        <v>7191</v>
      </c>
      <c r="D5272" s="317" t="n">
        <v>2005</v>
      </c>
      <c r="E5272" s="1365" t="n">
        <v>5</v>
      </c>
      <c r="F5272" s="1365" t="n">
        <v>347000</v>
      </c>
      <c r="G5272" s="1364" t="n">
        <v>0.1</v>
      </c>
      <c r="H5272" s="1365" t="n">
        <f aca="false">E5272*F5272*G5272</f>
        <v>173500</v>
      </c>
      <c r="I5272" s="1365" t="n">
        <f aca="false">F5272-H5272</f>
        <v>173500</v>
      </c>
      <c r="J5272" s="1365" t="n">
        <f aca="false">F5272*G5272</f>
        <v>34700</v>
      </c>
      <c r="K5272" s="1365" t="n">
        <f aca="false">J5272/1792.8</f>
        <v>19.355198572066</v>
      </c>
      <c r="L5272" s="1365" t="n">
        <v>60</v>
      </c>
      <c r="M5272" s="1273" t="n">
        <f aca="false">(J5272/1778.4)*(L5272/60)</f>
        <v>19.5119208277103</v>
      </c>
    </row>
    <row r="5273" customFormat="false" ht="15" hidden="false" customHeight="false" outlineLevel="0" collapsed="false">
      <c r="A5273" s="874"/>
      <c r="B5273" s="59"/>
      <c r="C5273" s="1161" t="s">
        <v>7158</v>
      </c>
      <c r="D5273" s="317" t="n">
        <v>2004</v>
      </c>
      <c r="E5273" s="1365" t="n">
        <v>6</v>
      </c>
      <c r="F5273" s="1365" t="n">
        <v>6985000</v>
      </c>
      <c r="G5273" s="1364" t="n">
        <v>0.1</v>
      </c>
      <c r="H5273" s="1365" t="n">
        <f aca="false">E5273*F5273*G5273</f>
        <v>4191000</v>
      </c>
      <c r="I5273" s="1365" t="n">
        <f aca="false">F5273-H5273</f>
        <v>2794000</v>
      </c>
      <c r="J5273" s="1365" t="n">
        <f aca="false">F5273*G5273</f>
        <v>698500</v>
      </c>
      <c r="K5273" s="1365" t="n">
        <f aca="false">J5273/1792.8</f>
        <v>389.614011601963</v>
      </c>
      <c r="L5273" s="1365" t="n">
        <v>20</v>
      </c>
      <c r="M5273" s="1273" t="n">
        <f aca="false">(J5273/1778.4)*(L5273/60)</f>
        <v>130.922926975559</v>
      </c>
    </row>
    <row r="5274" customFormat="false" ht="15" hidden="false" customHeight="false" outlineLevel="0" collapsed="false">
      <c r="A5274" s="874"/>
      <c r="B5274" s="59"/>
      <c r="C5274" s="1160"/>
      <c r="D5274" s="135"/>
      <c r="E5274" s="1370"/>
      <c r="F5274" s="1370"/>
      <c r="G5274" s="1372" t="n">
        <v>0.1</v>
      </c>
      <c r="H5274" s="1365" t="n">
        <f aca="false">E5274*F5274*G5274</f>
        <v>0</v>
      </c>
      <c r="I5274" s="1365" t="n">
        <f aca="false">F5274-H5274</f>
        <v>0</v>
      </c>
      <c r="J5274" s="1365" t="n">
        <f aca="false">F5274*G5274</f>
        <v>0</v>
      </c>
      <c r="K5274" s="1365" t="n">
        <f aca="false">J5274/1792.8</f>
        <v>0</v>
      </c>
      <c r="L5274" s="1370" t="n">
        <f aca="false">SUM(L5268:L5273)</f>
        <v>185</v>
      </c>
      <c r="M5274" s="1370" t="n">
        <f aca="false">SUM(M5268:M5273)</f>
        <v>182.232349889888</v>
      </c>
    </row>
    <row r="5275" customFormat="false" ht="30" hidden="false" customHeight="false" outlineLevel="0" collapsed="false">
      <c r="A5275" s="874" t="s">
        <v>6544</v>
      </c>
      <c r="B5275" s="59" t="s">
        <v>6545</v>
      </c>
      <c r="C5275" s="59"/>
      <c r="D5275" s="59"/>
      <c r="E5275" s="1370"/>
      <c r="F5275" s="1370"/>
      <c r="G5275" s="1372" t="n">
        <v>0.1</v>
      </c>
      <c r="H5275" s="1365" t="n">
        <f aca="false">E5275*F5275*G5275</f>
        <v>0</v>
      </c>
      <c r="I5275" s="1365" t="n">
        <f aca="false">F5275-H5275</f>
        <v>0</v>
      </c>
      <c r="J5275" s="1365" t="n">
        <f aca="false">F5275*G5275</f>
        <v>0</v>
      </c>
      <c r="K5275" s="1365" t="n">
        <f aca="false">J5275/1792.8</f>
        <v>0</v>
      </c>
      <c r="L5275" s="1370"/>
      <c r="M5275" s="1366"/>
    </row>
    <row r="5276" customFormat="false" ht="15" hidden="false" customHeight="false" outlineLevel="0" collapsed="false">
      <c r="A5276" s="874"/>
      <c r="B5276" s="59"/>
      <c r="C5276" s="1161" t="s">
        <v>7245</v>
      </c>
      <c r="D5276" s="317" t="n">
        <v>2005</v>
      </c>
      <c r="E5276" s="1365" t="n">
        <v>5</v>
      </c>
      <c r="F5276" s="1365" t="n">
        <v>347000</v>
      </c>
      <c r="G5276" s="1364" t="n">
        <v>0.1</v>
      </c>
      <c r="H5276" s="1365" t="n">
        <f aca="false">E5276*F5276*G5276</f>
        <v>173500</v>
      </c>
      <c r="I5276" s="1365" t="n">
        <f aca="false">F5276-H5276</f>
        <v>173500</v>
      </c>
      <c r="J5276" s="1365" t="n">
        <f aca="false">F5276*G5276</f>
        <v>34700</v>
      </c>
      <c r="K5276" s="1365" t="n">
        <f aca="false">J5276/1792.8</f>
        <v>19.355198572066</v>
      </c>
      <c r="L5276" s="1365" t="n">
        <v>30</v>
      </c>
      <c r="M5276" s="1273" t="n">
        <f aca="false">K5276*L5276/60</f>
        <v>9.67759928603302</v>
      </c>
    </row>
    <row r="5277" customFormat="false" ht="15" hidden="false" customHeight="false" outlineLevel="0" collapsed="false">
      <c r="A5277" s="323"/>
      <c r="B5277" s="1419"/>
      <c r="C5277" s="1161" t="s">
        <v>7264</v>
      </c>
      <c r="D5277" s="317" t="n">
        <v>2014</v>
      </c>
      <c r="E5277" s="1365" t="n">
        <v>3</v>
      </c>
      <c r="F5277" s="1365" t="n">
        <v>1638000</v>
      </c>
      <c r="G5277" s="1364" t="n">
        <v>0.1</v>
      </c>
      <c r="H5277" s="1365" t="n">
        <f aca="false">E5277*F5277*G5277</f>
        <v>491400</v>
      </c>
      <c r="I5277" s="1365" t="n">
        <f aca="false">F5277-H5277</f>
        <v>1146600</v>
      </c>
      <c r="J5277" s="1365" t="n">
        <f aca="false">F5277*G5277</f>
        <v>163800</v>
      </c>
      <c r="K5277" s="1365" t="n">
        <f aca="false">J5277/1792.8</f>
        <v>91.3654618473896</v>
      </c>
      <c r="L5277" s="1365"/>
      <c r="M5277" s="1273" t="n">
        <f aca="false">K5277*L5277/60</f>
        <v>0</v>
      </c>
    </row>
    <row r="5278" customFormat="false" ht="15" hidden="false" customHeight="false" outlineLevel="0" collapsed="false">
      <c r="A5278" s="316"/>
      <c r="B5278" s="40"/>
      <c r="C5278" s="1161" t="s">
        <v>7249</v>
      </c>
      <c r="D5278" s="317" t="n">
        <v>2005</v>
      </c>
      <c r="E5278" s="1365" t="n">
        <v>5</v>
      </c>
      <c r="F5278" s="1365" t="n">
        <v>347000</v>
      </c>
      <c r="G5278" s="1364" t="n">
        <v>0.1</v>
      </c>
      <c r="H5278" s="1365" t="n">
        <f aca="false">E5278*F5278*G5278</f>
        <v>173500</v>
      </c>
      <c r="I5278" s="1365" t="n">
        <f aca="false">F5278-H5278</f>
        <v>173500</v>
      </c>
      <c r="J5278" s="1365" t="n">
        <f aca="false">F5278*G5278</f>
        <v>34700</v>
      </c>
      <c r="K5278" s="1365" t="n">
        <f aca="false">J5278/1792.8</f>
        <v>19.355198572066</v>
      </c>
      <c r="L5278" s="1365" t="n">
        <v>60</v>
      </c>
      <c r="M5278" s="1273" t="n">
        <f aca="false">K5278*L5278/60</f>
        <v>19.355198572066</v>
      </c>
    </row>
    <row r="5279" customFormat="false" ht="15" hidden="false" customHeight="false" outlineLevel="0" collapsed="false">
      <c r="A5279" s="316"/>
      <c r="B5279" s="40"/>
      <c r="C5279" s="1161" t="s">
        <v>7170</v>
      </c>
      <c r="D5279" s="317" t="n">
        <v>2004</v>
      </c>
      <c r="E5279" s="1365" t="n">
        <v>6</v>
      </c>
      <c r="F5279" s="1365" t="n">
        <v>196670</v>
      </c>
      <c r="G5279" s="1364" t="n">
        <v>0.1</v>
      </c>
      <c r="H5279" s="1365" t="n">
        <f aca="false">E5279*F5279*G5279</f>
        <v>118002</v>
      </c>
      <c r="I5279" s="1365" t="n">
        <f aca="false">F5279-H5279</f>
        <v>78668</v>
      </c>
      <c r="J5279" s="1365" t="n">
        <f aca="false">F5279*G5279</f>
        <v>19667</v>
      </c>
      <c r="K5279" s="1365" t="n">
        <f aca="false">J5279/1792.8</f>
        <v>10.9699910754128</v>
      </c>
      <c r="L5279" s="1365" t="n">
        <v>15</v>
      </c>
      <c r="M5279" s="1273" t="n">
        <f aca="false">K5279*L5279/60</f>
        <v>2.74249776885319</v>
      </c>
    </row>
    <row r="5280" customFormat="false" ht="15" hidden="false" customHeight="false" outlineLevel="0" collapsed="false">
      <c r="A5280" s="316"/>
      <c r="B5280" s="40"/>
      <c r="C5280" s="1161" t="s">
        <v>7247</v>
      </c>
      <c r="D5280" s="317" t="n">
        <v>2004</v>
      </c>
      <c r="E5280" s="1365" t="n">
        <v>6</v>
      </c>
      <c r="F5280" s="1365" t="n">
        <v>202860</v>
      </c>
      <c r="G5280" s="1364" t="n">
        <v>0.1</v>
      </c>
      <c r="H5280" s="1365" t="n">
        <f aca="false">E5280*F5280*G5280</f>
        <v>121716</v>
      </c>
      <c r="I5280" s="1365" t="n">
        <f aca="false">F5280-H5280</f>
        <v>81144</v>
      </c>
      <c r="J5280" s="1365" t="n">
        <f aca="false">F5280*G5280</f>
        <v>20286</v>
      </c>
      <c r="K5280" s="1365" t="n">
        <f aca="false">J5280/1792.8</f>
        <v>11.3152610441767</v>
      </c>
      <c r="L5280" s="1365" t="n">
        <v>2880</v>
      </c>
      <c r="M5280" s="1273" t="n">
        <f aca="false">K5280*L5280/60</f>
        <v>543.132530120482</v>
      </c>
    </row>
    <row r="5281" customFormat="false" ht="15" hidden="false" customHeight="false" outlineLevel="0" collapsed="false">
      <c r="C5281" s="1161" t="s">
        <v>7158</v>
      </c>
      <c r="D5281" s="317" t="n">
        <v>2004</v>
      </c>
      <c r="E5281" s="1365" t="n">
        <v>6</v>
      </c>
      <c r="F5281" s="1365" t="n">
        <v>6985000</v>
      </c>
      <c r="G5281" s="1364" t="n">
        <v>0.1</v>
      </c>
      <c r="H5281" s="1365" t="n">
        <f aca="false">E5281*F5281*G5281</f>
        <v>4191000</v>
      </c>
      <c r="I5281" s="1365" t="n">
        <f aca="false">F5281-H5281</f>
        <v>2794000</v>
      </c>
      <c r="J5281" s="1365" t="n">
        <f aca="false">F5281*G5281</f>
        <v>698500</v>
      </c>
      <c r="K5281" s="1365" t="n">
        <f aca="false">J5281/1792.8</f>
        <v>389.614011601963</v>
      </c>
      <c r="L5281" s="1365" t="n">
        <v>15</v>
      </c>
      <c r="M5281" s="1273" t="n">
        <f aca="false">K5281*L5281/60</f>
        <v>97.4035029004909</v>
      </c>
    </row>
    <row r="5282" customFormat="false" ht="15" hidden="false" customHeight="false" outlineLevel="0" collapsed="false">
      <c r="A5282" s="874"/>
      <c r="B5282" s="59"/>
      <c r="C5282" s="1160"/>
      <c r="D5282" s="135"/>
      <c r="E5282" s="1370"/>
      <c r="F5282" s="1370"/>
      <c r="G5282" s="1372" t="n">
        <v>0.1</v>
      </c>
      <c r="H5282" s="1365" t="n">
        <f aca="false">E5282*F5282*G5282</f>
        <v>0</v>
      </c>
      <c r="I5282" s="1365" t="n">
        <f aca="false">F5282-H5282</f>
        <v>0</v>
      </c>
      <c r="J5282" s="1365" t="n">
        <f aca="false">F5282*G5282</f>
        <v>0</v>
      </c>
      <c r="K5282" s="1365" t="n">
        <f aca="false">J5282/1792.8</f>
        <v>0</v>
      </c>
      <c r="L5282" s="1370" t="n">
        <f aca="false">SUM(L5275:L5281)</f>
        <v>3000</v>
      </c>
      <c r="M5282" s="1370" t="n">
        <f aca="false">SUM(M5275:M5281)</f>
        <v>672.311328647925</v>
      </c>
    </row>
    <row r="5283" customFormat="false" ht="45" hidden="false" customHeight="false" outlineLevel="0" collapsed="false">
      <c r="A5283" s="874" t="s">
        <v>6546</v>
      </c>
      <c r="B5283" s="59" t="s">
        <v>3921</v>
      </c>
      <c r="C5283" s="59"/>
      <c r="D5283" s="59"/>
      <c r="E5283" s="1370"/>
      <c r="F5283" s="1370"/>
      <c r="G5283" s="1372" t="n">
        <v>0.1</v>
      </c>
      <c r="H5283" s="1365" t="n">
        <f aca="false">E5283*F5283*G5283</f>
        <v>0</v>
      </c>
      <c r="I5283" s="1365" t="n">
        <f aca="false">F5283-H5283</f>
        <v>0</v>
      </c>
      <c r="J5283" s="1365" t="n">
        <f aca="false">F5283*G5283</f>
        <v>0</v>
      </c>
      <c r="K5283" s="1365" t="n">
        <f aca="false">J5283/1792.8</f>
        <v>0</v>
      </c>
      <c r="L5283" s="1370"/>
      <c r="M5283" s="1366"/>
    </row>
    <row r="5284" customFormat="false" ht="15" hidden="false" customHeight="false" outlineLevel="0" collapsed="false">
      <c r="A5284" s="874"/>
      <c r="B5284" s="59"/>
      <c r="C5284" s="1161" t="s">
        <v>7247</v>
      </c>
      <c r="D5284" s="317" t="n">
        <v>2004</v>
      </c>
      <c r="E5284" s="1365" t="n">
        <v>6</v>
      </c>
      <c r="F5284" s="1365" t="n">
        <v>202860</v>
      </c>
      <c r="G5284" s="1364" t="n">
        <v>0.1</v>
      </c>
      <c r="H5284" s="1365" t="n">
        <f aca="false">E5284*F5284*G5284</f>
        <v>121716</v>
      </c>
      <c r="I5284" s="1365" t="n">
        <f aca="false">F5284-H5284</f>
        <v>81144</v>
      </c>
      <c r="J5284" s="1365" t="n">
        <f aca="false">F5284*G5284</f>
        <v>20286</v>
      </c>
      <c r="K5284" s="1365" t="n">
        <f aca="false">J5284/1792.8</f>
        <v>11.3152610441767</v>
      </c>
      <c r="L5284" s="1365" t="n">
        <v>1440</v>
      </c>
      <c r="M5284" s="1273" t="n">
        <f aca="false">K5284*L5284/60</f>
        <v>271.566265060241</v>
      </c>
    </row>
    <row r="5285" customFormat="false" ht="15" hidden="false" customHeight="false" outlineLevel="0" collapsed="false">
      <c r="A5285" s="1068"/>
      <c r="B5285" s="1573"/>
      <c r="C5285" s="1161" t="s">
        <v>7249</v>
      </c>
      <c r="D5285" s="317" t="n">
        <v>2006</v>
      </c>
      <c r="E5285" s="1365" t="n">
        <v>4</v>
      </c>
      <c r="F5285" s="1365" t="n">
        <v>55500</v>
      </c>
      <c r="G5285" s="1364" t="n">
        <v>0.1</v>
      </c>
      <c r="H5285" s="1365" t="n">
        <f aca="false">E5285*F5285*G5285</f>
        <v>22200</v>
      </c>
      <c r="I5285" s="1365" t="n">
        <f aca="false">F5285-H5285</f>
        <v>33300</v>
      </c>
      <c r="J5285" s="1365" t="n">
        <f aca="false">F5285*G5285</f>
        <v>5550</v>
      </c>
      <c r="K5285" s="1365" t="n">
        <f aca="false">J5285/1792.8</f>
        <v>3.09571619812584</v>
      </c>
      <c r="L5285" s="1365" t="n">
        <v>10</v>
      </c>
      <c r="M5285" s="1273" t="n">
        <f aca="false">K5285*L5285/60</f>
        <v>0.51595269968764</v>
      </c>
    </row>
    <row r="5286" customFormat="false" ht="15" hidden="false" customHeight="false" outlineLevel="0" collapsed="false">
      <c r="A5286" s="874"/>
      <c r="B5286" s="59"/>
      <c r="C5286" s="1161" t="s">
        <v>7251</v>
      </c>
      <c r="D5286" s="317" t="n">
        <v>2005</v>
      </c>
      <c r="E5286" s="1365" t="n">
        <v>5</v>
      </c>
      <c r="F5286" s="1365" t="n">
        <v>1638000</v>
      </c>
      <c r="G5286" s="1364" t="n">
        <v>0.1</v>
      </c>
      <c r="H5286" s="1365" t="n">
        <f aca="false">E5286*F5286*G5286</f>
        <v>819000</v>
      </c>
      <c r="I5286" s="1365" t="n">
        <f aca="false">F5286-H5286</f>
        <v>819000</v>
      </c>
      <c r="J5286" s="1365" t="n">
        <f aca="false">F5286*G5286</f>
        <v>163800</v>
      </c>
      <c r="K5286" s="1365" t="n">
        <f aca="false">J5286/1792.8</f>
        <v>91.3654618473896</v>
      </c>
      <c r="L5286" s="1365" t="n">
        <v>80</v>
      </c>
      <c r="M5286" s="1273" t="n">
        <f aca="false">K5286*L5286/60</f>
        <v>121.820615796519</v>
      </c>
    </row>
    <row r="5287" customFormat="false" ht="15" hidden="false" customHeight="false" outlineLevel="0" collapsed="false">
      <c r="A5287" s="874"/>
      <c r="B5287" s="59"/>
      <c r="C5287" s="1161" t="s">
        <v>7252</v>
      </c>
      <c r="D5287" s="317" t="n">
        <v>2005</v>
      </c>
      <c r="E5287" s="1365" t="n">
        <v>5</v>
      </c>
      <c r="F5287" s="1365" t="n">
        <v>12190000</v>
      </c>
      <c r="G5287" s="1364" t="n">
        <v>0.1</v>
      </c>
      <c r="H5287" s="1365" t="n">
        <f aca="false">E5287*F5287*G5287</f>
        <v>6095000</v>
      </c>
      <c r="I5287" s="1365" t="n">
        <f aca="false">F5287-H5287</f>
        <v>6095000</v>
      </c>
      <c r="J5287" s="1365" t="n">
        <f aca="false">F5287*G5287</f>
        <v>1219000</v>
      </c>
      <c r="K5287" s="1365" t="n">
        <f aca="false">J5287/1792.8</f>
        <v>679.941990182954</v>
      </c>
      <c r="L5287" s="1365" t="n">
        <v>20</v>
      </c>
      <c r="M5287" s="1273" t="n">
        <f aca="false">K5287*L5287/60</f>
        <v>226.647330060985</v>
      </c>
    </row>
    <row r="5288" customFormat="false" ht="15" hidden="false" customHeight="false" outlineLevel="0" collapsed="false">
      <c r="A5288" s="316"/>
      <c r="B5288" s="316"/>
      <c r="C5288" s="1161" t="s">
        <v>7170</v>
      </c>
      <c r="D5288" s="317" t="n">
        <v>2004</v>
      </c>
      <c r="E5288" s="1365" t="n">
        <v>6</v>
      </c>
      <c r="F5288" s="1365" t="n">
        <v>196670</v>
      </c>
      <c r="G5288" s="1364" t="n">
        <v>0.1</v>
      </c>
      <c r="H5288" s="1365" t="n">
        <f aca="false">E5288*F5288*G5288</f>
        <v>118002</v>
      </c>
      <c r="I5288" s="1365" t="n">
        <f aca="false">F5288-H5288</f>
        <v>78668</v>
      </c>
      <c r="J5288" s="1365" t="n">
        <f aca="false">F5288*G5288</f>
        <v>19667</v>
      </c>
      <c r="K5288" s="1365" t="n">
        <f aca="false">J5288/1792.8</f>
        <v>10.9699910754128</v>
      </c>
      <c r="L5288" s="1365" t="n">
        <v>15</v>
      </c>
      <c r="M5288" s="1273" t="n">
        <f aca="false">K5288*L5288/60</f>
        <v>2.74249776885319</v>
      </c>
    </row>
    <row r="5289" customFormat="false" ht="15" hidden="false" customHeight="false" outlineLevel="0" collapsed="false">
      <c r="A5289" s="874"/>
      <c r="B5289" s="59"/>
      <c r="C5289" s="1161" t="s">
        <v>7158</v>
      </c>
      <c r="D5289" s="317" t="n">
        <v>2004</v>
      </c>
      <c r="E5289" s="1365" t="n">
        <v>6</v>
      </c>
      <c r="F5289" s="1365" t="n">
        <v>6985000</v>
      </c>
      <c r="G5289" s="1364" t="n">
        <v>0.1</v>
      </c>
      <c r="H5289" s="1365" t="n">
        <f aca="false">E5289*F5289*G5289</f>
        <v>4191000</v>
      </c>
      <c r="I5289" s="1365" t="n">
        <f aca="false">F5289-H5289</f>
        <v>2794000</v>
      </c>
      <c r="J5289" s="1365" t="n">
        <f aca="false">F5289*G5289</f>
        <v>698500</v>
      </c>
      <c r="K5289" s="1365" t="n">
        <f aca="false">J5289/1792.8</f>
        <v>389.614011601963</v>
      </c>
      <c r="L5289" s="1365" t="n">
        <v>15</v>
      </c>
      <c r="M5289" s="1273" t="n">
        <f aca="false">K5289*L5289/60</f>
        <v>97.4035029004909</v>
      </c>
    </row>
    <row r="5290" customFormat="false" ht="15" hidden="false" customHeight="false" outlineLevel="0" collapsed="false">
      <c r="A5290" s="874"/>
      <c r="B5290" s="59"/>
      <c r="C5290" s="1160"/>
      <c r="D5290" s="135"/>
      <c r="E5290" s="1370"/>
      <c r="F5290" s="1370"/>
      <c r="G5290" s="1372" t="n">
        <v>0.1</v>
      </c>
      <c r="H5290" s="1365" t="n">
        <f aca="false">E5290*F5290*G5290</f>
        <v>0</v>
      </c>
      <c r="I5290" s="1365" t="n">
        <f aca="false">F5290-H5290</f>
        <v>0</v>
      </c>
      <c r="J5290" s="1365" t="n">
        <f aca="false">F5290*G5290</f>
        <v>0</v>
      </c>
      <c r="K5290" s="1365" t="n">
        <f aca="false">J5290/1792.8</f>
        <v>0</v>
      </c>
      <c r="L5290" s="1370" t="n">
        <f aca="false">SUM(L5284:L5289)</f>
        <v>1580</v>
      </c>
      <c r="M5290" s="1370" t="n">
        <f aca="false">SUM(M5284:M5289)</f>
        <v>720.696164286777</v>
      </c>
    </row>
    <row r="5291" customFormat="false" ht="15" hidden="false" customHeight="false" outlineLevel="0" collapsed="false">
      <c r="A5291" s="1574" t="s">
        <v>2387</v>
      </c>
      <c r="B5291" s="1575" t="s">
        <v>3922</v>
      </c>
      <c r="C5291" s="509"/>
      <c r="D5291" s="350"/>
      <c r="E5291" s="1572"/>
      <c r="F5291" s="1572"/>
      <c r="G5291" s="1572"/>
      <c r="H5291" s="1512"/>
      <c r="I5291" s="1512"/>
      <c r="J5291" s="1512"/>
      <c r="K5291" s="1512"/>
      <c r="L5291" s="1572"/>
      <c r="M5291" s="1572"/>
    </row>
    <row r="5292" customFormat="false" ht="30" hidden="false" customHeight="false" outlineLevel="0" collapsed="false">
      <c r="A5292" s="874" t="s">
        <v>6547</v>
      </c>
      <c r="B5292" s="59" t="s">
        <v>7272</v>
      </c>
      <c r="C5292" s="1160"/>
      <c r="D5292" s="135"/>
      <c r="E5292" s="1370"/>
      <c r="F5292" s="1370"/>
      <c r="G5292" s="1372" t="n">
        <v>0.1</v>
      </c>
      <c r="H5292" s="1365" t="n">
        <f aca="false">E5292*F5292*G5292</f>
        <v>0</v>
      </c>
      <c r="I5292" s="1365" t="n">
        <f aca="false">F5292-H5292</f>
        <v>0</v>
      </c>
      <c r="J5292" s="1365" t="n">
        <f aca="false">F5292*G5292</f>
        <v>0</v>
      </c>
      <c r="K5292" s="1365" t="n">
        <f aca="false">J5292/1792.8</f>
        <v>0</v>
      </c>
      <c r="L5292" s="1370"/>
      <c r="M5292" s="1366"/>
    </row>
    <row r="5293" customFormat="false" ht="30" hidden="false" customHeight="false" outlineLevel="0" collapsed="false">
      <c r="A5293" s="216"/>
      <c r="B5293" s="78"/>
      <c r="C5293" s="1161" t="s">
        <v>7250</v>
      </c>
      <c r="D5293" s="317" t="n">
        <v>2005</v>
      </c>
      <c r="E5293" s="1365" t="n">
        <v>5</v>
      </c>
      <c r="F5293" s="1365" t="n">
        <v>347000</v>
      </c>
      <c r="G5293" s="1364" t="n">
        <v>0.1</v>
      </c>
      <c r="H5293" s="1365" t="n">
        <f aca="false">E5293*F5293*G5293</f>
        <v>173500</v>
      </c>
      <c r="I5293" s="1365" t="n">
        <f aca="false">F5293-H5293</f>
        <v>173500</v>
      </c>
      <c r="J5293" s="1365" t="n">
        <f aca="false">F5293*G5293</f>
        <v>34700</v>
      </c>
      <c r="K5293" s="1365" t="n">
        <f aca="false">J5293/1792.8</f>
        <v>19.355198572066</v>
      </c>
      <c r="L5293" s="1365" t="n">
        <v>60</v>
      </c>
      <c r="M5293" s="1273" t="n">
        <f aca="false">K5293*L5293/60</f>
        <v>19.355198572066</v>
      </c>
    </row>
    <row r="5294" customFormat="false" ht="15" hidden="false" customHeight="false" outlineLevel="0" collapsed="false">
      <c r="A5294" s="216"/>
      <c r="B5294" s="78"/>
      <c r="C5294" s="1161" t="s">
        <v>7245</v>
      </c>
      <c r="D5294" s="317" t="n">
        <v>2005</v>
      </c>
      <c r="E5294" s="1365" t="n">
        <v>5</v>
      </c>
      <c r="F5294" s="1365" t="n">
        <v>347000</v>
      </c>
      <c r="G5294" s="1364" t="n">
        <v>0.1</v>
      </c>
      <c r="H5294" s="1365" t="n">
        <f aca="false">E5294*F5294*G5294</f>
        <v>173500</v>
      </c>
      <c r="I5294" s="1365" t="n">
        <f aca="false">F5294-H5294</f>
        <v>173500</v>
      </c>
      <c r="J5294" s="1365" t="n">
        <f aca="false">F5294*G5294</f>
        <v>34700</v>
      </c>
      <c r="K5294" s="1365" t="n">
        <f aca="false">J5294/1792.8</f>
        <v>19.355198572066</v>
      </c>
      <c r="L5294" s="1365" t="n">
        <v>30</v>
      </c>
      <c r="M5294" s="1273" t="n">
        <f aca="false">K5294*L5294/60</f>
        <v>9.67759928603302</v>
      </c>
    </row>
    <row r="5295" customFormat="false" ht="15" hidden="false" customHeight="false" outlineLevel="0" collapsed="false">
      <c r="A5295" s="216"/>
      <c r="B5295" s="78"/>
      <c r="C5295" s="1161" t="s">
        <v>7170</v>
      </c>
      <c r="D5295" s="317" t="n">
        <v>2004</v>
      </c>
      <c r="E5295" s="1365" t="n">
        <v>6</v>
      </c>
      <c r="F5295" s="1365" t="n">
        <v>196670</v>
      </c>
      <c r="G5295" s="1364" t="n">
        <v>0.1</v>
      </c>
      <c r="H5295" s="1365" t="n">
        <f aca="false">E5295*F5295*G5295</f>
        <v>118002</v>
      </c>
      <c r="I5295" s="1365" t="n">
        <f aca="false">F5295-H5295</f>
        <v>78668</v>
      </c>
      <c r="J5295" s="1365" t="n">
        <f aca="false">F5295*G5295</f>
        <v>19667</v>
      </c>
      <c r="K5295" s="1365" t="n">
        <f aca="false">J5295/1792.8</f>
        <v>10.9699910754128</v>
      </c>
      <c r="L5295" s="1365" t="n">
        <v>15</v>
      </c>
      <c r="M5295" s="1273" t="n">
        <f aca="false">(J5295/1778.4)*(L5295/60)</f>
        <v>2.76470422852002</v>
      </c>
    </row>
    <row r="5296" customFormat="false" ht="15" hidden="false" customHeight="false" outlineLevel="0" collapsed="false">
      <c r="A5296" s="216"/>
      <c r="B5296" s="78"/>
      <c r="C5296" s="1161" t="s">
        <v>7191</v>
      </c>
      <c r="D5296" s="317" t="n">
        <v>2005</v>
      </c>
      <c r="E5296" s="1365" t="n">
        <v>5</v>
      </c>
      <c r="F5296" s="1365" t="n">
        <v>347000</v>
      </c>
      <c r="G5296" s="1364" t="n">
        <v>0.1</v>
      </c>
      <c r="H5296" s="1365" t="n">
        <f aca="false">E5296*F5296*G5296</f>
        <v>173500</v>
      </c>
      <c r="I5296" s="1365" t="n">
        <f aca="false">F5296-H5296</f>
        <v>173500</v>
      </c>
      <c r="J5296" s="1365" t="n">
        <f aca="false">F5296*G5296</f>
        <v>34700</v>
      </c>
      <c r="K5296" s="1365" t="n">
        <f aca="false">J5296/1792.8</f>
        <v>19.355198572066</v>
      </c>
      <c r="L5296" s="1365" t="n">
        <v>60</v>
      </c>
      <c r="M5296" s="1273" t="n">
        <f aca="false">(J5296/1778.4)*(L5296/60)</f>
        <v>19.5119208277103</v>
      </c>
    </row>
    <row r="5297" customFormat="false" ht="15" hidden="false" customHeight="false" outlineLevel="0" collapsed="false">
      <c r="A5297" s="316"/>
      <c r="B5297" s="316"/>
      <c r="C5297" s="1161" t="s">
        <v>7158</v>
      </c>
      <c r="D5297" s="317" t="n">
        <v>2004</v>
      </c>
      <c r="E5297" s="1365" t="n">
        <v>6</v>
      </c>
      <c r="F5297" s="1365" t="n">
        <v>6985000</v>
      </c>
      <c r="G5297" s="1364" t="n">
        <v>0.1</v>
      </c>
      <c r="H5297" s="1365" t="n">
        <f aca="false">E5297*F5297*G5297</f>
        <v>4191000</v>
      </c>
      <c r="I5297" s="1365" t="n">
        <f aca="false">F5297-H5297</f>
        <v>2794000</v>
      </c>
      <c r="J5297" s="1365" t="n">
        <f aca="false">F5297*G5297</f>
        <v>698500</v>
      </c>
      <c r="K5297" s="1365" t="n">
        <f aca="false">J5297/1792.8</f>
        <v>389.614011601963</v>
      </c>
      <c r="L5297" s="1365" t="n">
        <v>20</v>
      </c>
      <c r="M5297" s="1273" t="n">
        <f aca="false">(J5297/1778.4)*(L5297/60)</f>
        <v>130.922926975559</v>
      </c>
    </row>
    <row r="5298" customFormat="false" ht="15" hidden="false" customHeight="false" outlineLevel="0" collapsed="false">
      <c r="A5298" s="874"/>
      <c r="B5298" s="59"/>
      <c r="C5298" s="1160"/>
      <c r="D5298" s="135"/>
      <c r="E5298" s="1370"/>
      <c r="F5298" s="1370"/>
      <c r="G5298" s="1372" t="n">
        <v>0.1</v>
      </c>
      <c r="H5298" s="1365" t="n">
        <f aca="false">E5298*F5298*G5298</f>
        <v>0</v>
      </c>
      <c r="I5298" s="1365" t="n">
        <f aca="false">F5298-H5298</f>
        <v>0</v>
      </c>
      <c r="J5298" s="1365" t="n">
        <f aca="false">F5298*G5298</f>
        <v>0</v>
      </c>
      <c r="K5298" s="1365" t="n">
        <f aca="false">J5298/1792.8</f>
        <v>0</v>
      </c>
      <c r="L5298" s="1370" t="n">
        <f aca="false">SUM(L5292:L5297)</f>
        <v>185</v>
      </c>
      <c r="M5298" s="1370" t="n">
        <f aca="false">SUM(M5292:M5297)</f>
        <v>182.232349889888</v>
      </c>
    </row>
    <row r="5299" customFormat="false" ht="30" hidden="false" customHeight="false" outlineLevel="0" collapsed="false">
      <c r="A5299" s="874" t="s">
        <v>6550</v>
      </c>
      <c r="B5299" s="59" t="s">
        <v>6551</v>
      </c>
      <c r="C5299" s="59"/>
      <c r="D5299" s="59"/>
      <c r="E5299" s="1370"/>
      <c r="F5299" s="1370"/>
      <c r="G5299" s="1372" t="n">
        <v>0.1</v>
      </c>
      <c r="H5299" s="1365" t="n">
        <f aca="false">E5299*F5299*G5299</f>
        <v>0</v>
      </c>
      <c r="I5299" s="1365" t="n">
        <f aca="false">F5299-H5299</f>
        <v>0</v>
      </c>
      <c r="J5299" s="1365" t="n">
        <f aca="false">F5299*G5299</f>
        <v>0</v>
      </c>
      <c r="K5299" s="1365" t="n">
        <f aca="false">J5299/1792.8</f>
        <v>0</v>
      </c>
      <c r="L5299" s="1370"/>
      <c r="M5299" s="1366"/>
    </row>
    <row r="5300" customFormat="false" ht="15" hidden="false" customHeight="false" outlineLevel="0" collapsed="false">
      <c r="A5300" s="874"/>
      <c r="B5300" s="59"/>
      <c r="C5300" s="1161" t="s">
        <v>7247</v>
      </c>
      <c r="D5300" s="317" t="n">
        <v>2004</v>
      </c>
      <c r="E5300" s="1365" t="n">
        <v>6</v>
      </c>
      <c r="F5300" s="1365" t="n">
        <v>202860</v>
      </c>
      <c r="G5300" s="1364" t="n">
        <v>0.1</v>
      </c>
      <c r="H5300" s="1365" t="n">
        <f aca="false">E5300*F5300*G5300</f>
        <v>121716</v>
      </c>
      <c r="I5300" s="1365" t="n">
        <f aca="false">F5300-H5300</f>
        <v>81144</v>
      </c>
      <c r="J5300" s="1365" t="n">
        <f aca="false">F5300*G5300</f>
        <v>20286</v>
      </c>
      <c r="K5300" s="1365" t="n">
        <f aca="false">J5300/1792.8</f>
        <v>11.3152610441767</v>
      </c>
      <c r="L5300" s="1365" t="n">
        <v>1440</v>
      </c>
      <c r="M5300" s="1273" t="n">
        <f aca="false">K5300*L5300/60</f>
        <v>271.566265060241</v>
      </c>
    </row>
    <row r="5301" customFormat="false" ht="15" hidden="false" customHeight="false" outlineLevel="0" collapsed="false">
      <c r="A5301" s="874"/>
      <c r="B5301" s="59"/>
      <c r="C5301" s="1161" t="s">
        <v>7249</v>
      </c>
      <c r="D5301" s="317" t="n">
        <v>2006</v>
      </c>
      <c r="E5301" s="1365" t="n">
        <v>4</v>
      </c>
      <c r="F5301" s="1365" t="n">
        <v>55500</v>
      </c>
      <c r="G5301" s="1364" t="n">
        <v>0.1</v>
      </c>
      <c r="H5301" s="1365" t="n">
        <f aca="false">E5301*F5301*G5301</f>
        <v>22200</v>
      </c>
      <c r="I5301" s="1365" t="n">
        <f aca="false">F5301-H5301</f>
        <v>33300</v>
      </c>
      <c r="J5301" s="1365" t="n">
        <f aca="false">F5301*G5301</f>
        <v>5550</v>
      </c>
      <c r="K5301" s="1365" t="n">
        <f aca="false">J5301/1792.8</f>
        <v>3.09571619812584</v>
      </c>
      <c r="L5301" s="1365" t="n">
        <v>10</v>
      </c>
      <c r="M5301" s="1273" t="n">
        <f aca="false">K5301*L5301/60</f>
        <v>0.51595269968764</v>
      </c>
    </row>
    <row r="5302" customFormat="false" ht="15" hidden="false" customHeight="false" outlineLevel="0" collapsed="false">
      <c r="A5302" s="874"/>
      <c r="B5302" s="59"/>
      <c r="C5302" s="1161" t="s">
        <v>7251</v>
      </c>
      <c r="D5302" s="317" t="n">
        <v>2005</v>
      </c>
      <c r="E5302" s="1365" t="n">
        <v>5</v>
      </c>
      <c r="F5302" s="1365" t="n">
        <v>1638000</v>
      </c>
      <c r="G5302" s="1364" t="n">
        <v>0.1</v>
      </c>
      <c r="H5302" s="1365" t="n">
        <f aca="false">E5302*F5302*G5302</f>
        <v>819000</v>
      </c>
      <c r="I5302" s="1365" t="n">
        <f aca="false">F5302-H5302</f>
        <v>819000</v>
      </c>
      <c r="J5302" s="1365" t="n">
        <f aca="false">F5302*G5302</f>
        <v>163800</v>
      </c>
      <c r="K5302" s="1365" t="n">
        <f aca="false">J5302/1792.8</f>
        <v>91.3654618473896</v>
      </c>
      <c r="L5302" s="1365" t="n">
        <v>80</v>
      </c>
      <c r="M5302" s="1273" t="n">
        <f aca="false">K5302*L5302/60</f>
        <v>121.820615796519</v>
      </c>
    </row>
    <row r="5303" customFormat="false" ht="15" hidden="false" customHeight="false" outlineLevel="0" collapsed="false">
      <c r="A5303" s="874"/>
      <c r="B5303" s="59"/>
      <c r="C5303" s="1161" t="s">
        <v>7252</v>
      </c>
      <c r="D5303" s="317" t="n">
        <v>2005</v>
      </c>
      <c r="E5303" s="1365" t="n">
        <v>5</v>
      </c>
      <c r="F5303" s="1365" t="n">
        <v>12190000</v>
      </c>
      <c r="G5303" s="1364" t="n">
        <v>0.1</v>
      </c>
      <c r="H5303" s="1365" t="n">
        <f aca="false">E5303*F5303*G5303</f>
        <v>6095000</v>
      </c>
      <c r="I5303" s="1365" t="n">
        <f aca="false">F5303-H5303</f>
        <v>6095000</v>
      </c>
      <c r="J5303" s="1365" t="n">
        <f aca="false">F5303*G5303</f>
        <v>1219000</v>
      </c>
      <c r="K5303" s="1365" t="n">
        <f aca="false">J5303/1792.8</f>
        <v>679.941990182954</v>
      </c>
      <c r="L5303" s="1365" t="n">
        <v>20</v>
      </c>
      <c r="M5303" s="1273" t="n">
        <f aca="false">K5303*L5303/60</f>
        <v>226.647330060985</v>
      </c>
    </row>
    <row r="5304" customFormat="false" ht="15" hidden="false" customHeight="false" outlineLevel="0" collapsed="false">
      <c r="A5304" s="874"/>
      <c r="B5304" s="59"/>
      <c r="C5304" s="1161" t="s">
        <v>7170</v>
      </c>
      <c r="D5304" s="317" t="n">
        <v>2004</v>
      </c>
      <c r="E5304" s="1365" t="n">
        <v>6</v>
      </c>
      <c r="F5304" s="1365" t="n">
        <v>196670</v>
      </c>
      <c r="G5304" s="1364" t="n">
        <v>0.1</v>
      </c>
      <c r="H5304" s="1365" t="n">
        <f aca="false">E5304*F5304*G5304</f>
        <v>118002</v>
      </c>
      <c r="I5304" s="1365" t="n">
        <f aca="false">F5304-H5304</f>
        <v>78668</v>
      </c>
      <c r="J5304" s="1365" t="n">
        <f aca="false">F5304*G5304</f>
        <v>19667</v>
      </c>
      <c r="K5304" s="1365" t="n">
        <f aca="false">J5304/1792.8</f>
        <v>10.9699910754128</v>
      </c>
      <c r="L5304" s="1365" t="n">
        <v>15</v>
      </c>
      <c r="M5304" s="1273" t="n">
        <f aca="false">K5304*L5304/60</f>
        <v>2.74249776885319</v>
      </c>
    </row>
    <row r="5305" customFormat="false" ht="15" hidden="false" customHeight="false" outlineLevel="0" collapsed="false">
      <c r="A5305" s="316"/>
      <c r="B5305" s="316"/>
      <c r="C5305" s="1161" t="s">
        <v>7158</v>
      </c>
      <c r="D5305" s="317" t="n">
        <v>2004</v>
      </c>
      <c r="E5305" s="1365" t="n">
        <v>6</v>
      </c>
      <c r="F5305" s="1365" t="n">
        <v>6985000</v>
      </c>
      <c r="G5305" s="1364" t="n">
        <v>0.1</v>
      </c>
      <c r="H5305" s="1365" t="n">
        <f aca="false">E5305*F5305*G5305</f>
        <v>4191000</v>
      </c>
      <c r="I5305" s="1365" t="n">
        <f aca="false">F5305-H5305</f>
        <v>2794000</v>
      </c>
      <c r="J5305" s="1365" t="n">
        <f aca="false">F5305*G5305</f>
        <v>698500</v>
      </c>
      <c r="K5305" s="1365" t="n">
        <f aca="false">J5305/1792.8</f>
        <v>389.614011601963</v>
      </c>
      <c r="L5305" s="1365" t="n">
        <v>15</v>
      </c>
      <c r="M5305" s="1273" t="n">
        <f aca="false">K5305*L5305/60</f>
        <v>97.4035029004909</v>
      </c>
    </row>
    <row r="5306" customFormat="false" ht="15" hidden="false" customHeight="false" outlineLevel="0" collapsed="false">
      <c r="A5306" s="874"/>
      <c r="B5306" s="59"/>
      <c r="C5306" s="1160"/>
      <c r="D5306" s="135"/>
      <c r="E5306" s="1370"/>
      <c r="F5306" s="1370"/>
      <c r="G5306" s="1372" t="n">
        <v>0.1</v>
      </c>
      <c r="H5306" s="1365" t="n">
        <f aca="false">E5306*F5306*G5306</f>
        <v>0</v>
      </c>
      <c r="I5306" s="1365" t="n">
        <f aca="false">F5306-H5306</f>
        <v>0</v>
      </c>
      <c r="J5306" s="1365" t="n">
        <f aca="false">F5306*G5306</f>
        <v>0</v>
      </c>
      <c r="K5306" s="1365" t="n">
        <f aca="false">J5306/1792.8</f>
        <v>0</v>
      </c>
      <c r="L5306" s="1370" t="n">
        <f aca="false">SUM(L5300:L5305)</f>
        <v>1580</v>
      </c>
      <c r="M5306" s="1370" t="n">
        <f aca="false">SUM(M5300:M5305)</f>
        <v>720.696164286777</v>
      </c>
    </row>
    <row r="5307" customFormat="false" ht="15" hidden="false" customHeight="false" outlineLevel="0" collapsed="false">
      <c r="A5307" s="1574" t="s">
        <v>2393</v>
      </c>
      <c r="B5307" s="1575" t="s">
        <v>2394</v>
      </c>
      <c r="C5307" s="509"/>
      <c r="D5307" s="350"/>
      <c r="E5307" s="1572"/>
      <c r="F5307" s="1572"/>
      <c r="G5307" s="1572"/>
      <c r="H5307" s="1512"/>
      <c r="I5307" s="1512"/>
      <c r="J5307" s="1512"/>
      <c r="K5307" s="1512"/>
      <c r="L5307" s="1572"/>
      <c r="M5307" s="1572"/>
    </row>
    <row r="5308" customFormat="false" ht="30" hidden="false" customHeight="false" outlineLevel="0" collapsed="false">
      <c r="A5308" s="874" t="s">
        <v>6552</v>
      </c>
      <c r="B5308" s="59" t="s">
        <v>6553</v>
      </c>
      <c r="C5308" s="59"/>
      <c r="D5308" s="59"/>
      <c r="E5308" s="1370"/>
      <c r="F5308" s="1370"/>
      <c r="G5308" s="1372" t="n">
        <v>0.1</v>
      </c>
      <c r="H5308" s="1365" t="n">
        <f aca="false">E5308*F5308*G5308</f>
        <v>0</v>
      </c>
      <c r="I5308" s="1365" t="n">
        <f aca="false">F5308-H5308</f>
        <v>0</v>
      </c>
      <c r="J5308" s="1365" t="n">
        <f aca="false">F5308*G5308</f>
        <v>0</v>
      </c>
      <c r="K5308" s="1365" t="n">
        <f aca="false">J5308/1792.8</f>
        <v>0</v>
      </c>
      <c r="L5308" s="1370"/>
      <c r="M5308" s="1366"/>
    </row>
    <row r="5309" customFormat="false" ht="15" hidden="false" customHeight="false" outlineLevel="0" collapsed="false">
      <c r="A5309" s="1068"/>
      <c r="B5309" s="1573"/>
      <c r="C5309" s="1161" t="s">
        <v>7247</v>
      </c>
      <c r="D5309" s="317" t="n">
        <v>2004</v>
      </c>
      <c r="E5309" s="1365" t="n">
        <v>6</v>
      </c>
      <c r="F5309" s="1365" t="n">
        <v>202860</v>
      </c>
      <c r="G5309" s="1364" t="n">
        <v>0.1</v>
      </c>
      <c r="H5309" s="1365" t="n">
        <f aca="false">E5309*F5309*G5309</f>
        <v>121716</v>
      </c>
      <c r="I5309" s="1365" t="n">
        <f aca="false">F5309-H5309</f>
        <v>81144</v>
      </c>
      <c r="J5309" s="1365" t="n">
        <f aca="false">F5309*G5309</f>
        <v>20286</v>
      </c>
      <c r="K5309" s="1365" t="n">
        <f aca="false">J5309/1792.8</f>
        <v>11.3152610441767</v>
      </c>
      <c r="L5309" s="1365" t="n">
        <v>1440</v>
      </c>
      <c r="M5309" s="1273" t="n">
        <f aca="false">K5309*L5309/60</f>
        <v>271.566265060241</v>
      </c>
    </row>
    <row r="5310" customFormat="false" ht="15" hidden="false" customHeight="false" outlineLevel="0" collapsed="false">
      <c r="A5310" s="874"/>
      <c r="B5310" s="59"/>
      <c r="C5310" s="1161" t="s">
        <v>7249</v>
      </c>
      <c r="D5310" s="317" t="n">
        <v>2006</v>
      </c>
      <c r="E5310" s="1365" t="n">
        <v>4</v>
      </c>
      <c r="F5310" s="1365" t="n">
        <v>55500</v>
      </c>
      <c r="G5310" s="1364" t="n">
        <v>0.1</v>
      </c>
      <c r="H5310" s="1365" t="n">
        <f aca="false">E5310*F5310*G5310</f>
        <v>22200</v>
      </c>
      <c r="I5310" s="1365" t="n">
        <f aca="false">F5310-H5310</f>
        <v>33300</v>
      </c>
      <c r="J5310" s="1365" t="n">
        <f aca="false">F5310*G5310</f>
        <v>5550</v>
      </c>
      <c r="K5310" s="1365" t="n">
        <f aca="false">J5310/1792.8</f>
        <v>3.09571619812584</v>
      </c>
      <c r="L5310" s="1365" t="n">
        <v>10</v>
      </c>
      <c r="M5310" s="1273" t="n">
        <f aca="false">K5310*L5310/60</f>
        <v>0.51595269968764</v>
      </c>
    </row>
    <row r="5311" customFormat="false" ht="15" hidden="false" customHeight="false" outlineLevel="0" collapsed="false">
      <c r="A5311" s="874"/>
      <c r="B5311" s="59"/>
      <c r="C5311" s="1161" t="s">
        <v>7251</v>
      </c>
      <c r="D5311" s="317" t="n">
        <v>2005</v>
      </c>
      <c r="E5311" s="1365" t="n">
        <v>5</v>
      </c>
      <c r="F5311" s="1365" t="n">
        <v>1638000</v>
      </c>
      <c r="G5311" s="1364" t="n">
        <v>0.1</v>
      </c>
      <c r="H5311" s="1365" t="n">
        <f aca="false">E5311*F5311*G5311</f>
        <v>819000</v>
      </c>
      <c r="I5311" s="1365" t="n">
        <f aca="false">F5311-H5311</f>
        <v>819000</v>
      </c>
      <c r="J5311" s="1365" t="n">
        <f aca="false">F5311*G5311</f>
        <v>163800</v>
      </c>
      <c r="K5311" s="1365" t="n">
        <f aca="false">J5311/1792.8</f>
        <v>91.3654618473896</v>
      </c>
      <c r="L5311" s="1365" t="n">
        <v>80</v>
      </c>
      <c r="M5311" s="1273" t="n">
        <f aca="false">K5311*L5311/60</f>
        <v>121.820615796519</v>
      </c>
    </row>
    <row r="5312" customFormat="false" ht="15" hidden="false" customHeight="false" outlineLevel="0" collapsed="false">
      <c r="A5312" s="874"/>
      <c r="B5312" s="59"/>
      <c r="C5312" s="1161" t="s">
        <v>7252</v>
      </c>
      <c r="D5312" s="317" t="n">
        <v>2005</v>
      </c>
      <c r="E5312" s="1365" t="n">
        <v>5</v>
      </c>
      <c r="F5312" s="1365" t="n">
        <v>12190000</v>
      </c>
      <c r="G5312" s="1364" t="n">
        <v>0.1</v>
      </c>
      <c r="H5312" s="1365" t="n">
        <f aca="false">E5312*F5312*G5312</f>
        <v>6095000</v>
      </c>
      <c r="I5312" s="1365" t="n">
        <f aca="false">F5312-H5312</f>
        <v>6095000</v>
      </c>
      <c r="J5312" s="1365" t="n">
        <f aca="false">F5312*G5312</f>
        <v>1219000</v>
      </c>
      <c r="K5312" s="1365" t="n">
        <f aca="false">J5312/1792.8</f>
        <v>679.941990182954</v>
      </c>
      <c r="L5312" s="1365" t="n">
        <v>20</v>
      </c>
      <c r="M5312" s="1273" t="n">
        <f aca="false">K5312*L5312/60</f>
        <v>226.647330060985</v>
      </c>
    </row>
    <row r="5313" s="311" customFormat="true" ht="15" hidden="false" customHeight="false" outlineLevel="0" collapsed="false">
      <c r="C5313" s="1161" t="s">
        <v>7170</v>
      </c>
      <c r="D5313" s="317" t="n">
        <v>2004</v>
      </c>
      <c r="E5313" s="1365" t="n">
        <v>6</v>
      </c>
      <c r="F5313" s="1365" t="n">
        <v>196670</v>
      </c>
      <c r="G5313" s="1364" t="n">
        <v>0.1</v>
      </c>
      <c r="H5313" s="1365" t="n">
        <f aca="false">E5313*F5313*G5313</f>
        <v>118002</v>
      </c>
      <c r="I5313" s="1365" t="n">
        <f aca="false">F5313-H5313</f>
        <v>78668</v>
      </c>
      <c r="J5313" s="1365" t="n">
        <f aca="false">F5313*G5313</f>
        <v>19667</v>
      </c>
      <c r="K5313" s="1365" t="n">
        <f aca="false">J5313/1792.8</f>
        <v>10.9699910754128</v>
      </c>
      <c r="L5313" s="1365" t="n">
        <v>15</v>
      </c>
      <c r="M5313" s="1273" t="n">
        <f aca="false">K5313*L5313/60</f>
        <v>2.74249776885319</v>
      </c>
    </row>
    <row r="5314" customFormat="false" ht="15" hidden="false" customHeight="false" outlineLevel="0" collapsed="false">
      <c r="A5314" s="874"/>
      <c r="B5314" s="59"/>
      <c r="C5314" s="1161" t="s">
        <v>7158</v>
      </c>
      <c r="D5314" s="317" t="n">
        <v>2004</v>
      </c>
      <c r="E5314" s="1365" t="n">
        <v>6</v>
      </c>
      <c r="F5314" s="1365" t="n">
        <v>6985000</v>
      </c>
      <c r="G5314" s="1364" t="n">
        <v>0.1</v>
      </c>
      <c r="H5314" s="1365" t="n">
        <f aca="false">E5314*F5314*G5314</f>
        <v>4191000</v>
      </c>
      <c r="I5314" s="1365" t="n">
        <f aca="false">F5314-H5314</f>
        <v>2794000</v>
      </c>
      <c r="J5314" s="1365" t="n">
        <f aca="false">F5314*G5314</f>
        <v>698500</v>
      </c>
      <c r="K5314" s="1365" t="n">
        <f aca="false">J5314/1792.8</f>
        <v>389.614011601963</v>
      </c>
      <c r="L5314" s="1365" t="n">
        <v>20</v>
      </c>
      <c r="M5314" s="1273" t="n">
        <f aca="false">K5314*L5314/60</f>
        <v>129.871337200654</v>
      </c>
    </row>
    <row r="5315" customFormat="false" ht="15" hidden="false" customHeight="false" outlineLevel="0" collapsed="false">
      <c r="A5315" s="874"/>
      <c r="B5315" s="59"/>
      <c r="C5315" s="1160"/>
      <c r="D5315" s="135"/>
      <c r="E5315" s="1370"/>
      <c r="F5315" s="1370"/>
      <c r="G5315" s="1372" t="n">
        <v>0.1</v>
      </c>
      <c r="H5315" s="1365" t="n">
        <f aca="false">E5315*F5315*G5315</f>
        <v>0</v>
      </c>
      <c r="I5315" s="1365" t="n">
        <f aca="false">F5315-H5315</f>
        <v>0</v>
      </c>
      <c r="J5315" s="1365" t="n">
        <f aca="false">F5315*G5315</f>
        <v>0</v>
      </c>
      <c r="K5315" s="1365" t="n">
        <f aca="false">J5315/1792.8</f>
        <v>0</v>
      </c>
      <c r="L5315" s="1370" t="n">
        <f aca="false">SUM(L5309:L5314)</f>
        <v>1585</v>
      </c>
      <c r="M5315" s="1370" t="n">
        <f aca="false">SUM(M5309:M5314)</f>
        <v>753.16399858694</v>
      </c>
    </row>
    <row r="5316" customFormat="false" ht="30" hidden="false" customHeight="false" outlineLevel="0" collapsed="false">
      <c r="A5316" s="874" t="s">
        <v>6555</v>
      </c>
      <c r="B5316" s="59" t="s">
        <v>6556</v>
      </c>
      <c r="C5316" s="59"/>
      <c r="D5316" s="59"/>
      <c r="E5316" s="1370"/>
      <c r="F5316" s="1370"/>
      <c r="G5316" s="1372" t="n">
        <v>0.1</v>
      </c>
      <c r="H5316" s="1365" t="n">
        <f aca="false">E5316*F5316*G5316</f>
        <v>0</v>
      </c>
      <c r="I5316" s="1365" t="n">
        <f aca="false">F5316-H5316</f>
        <v>0</v>
      </c>
      <c r="J5316" s="1365" t="n">
        <f aca="false">F5316*G5316</f>
        <v>0</v>
      </c>
      <c r="K5316" s="1365" t="n">
        <f aca="false">J5316/1792.8</f>
        <v>0</v>
      </c>
      <c r="L5316" s="1370"/>
      <c r="M5316" s="1366"/>
    </row>
    <row r="5317" customFormat="false" ht="15" hidden="false" customHeight="false" outlineLevel="0" collapsed="false">
      <c r="A5317" s="874"/>
      <c r="B5317" s="59"/>
      <c r="C5317" s="1161" t="s">
        <v>7245</v>
      </c>
      <c r="D5317" s="317" t="n">
        <v>2005</v>
      </c>
      <c r="E5317" s="1365" t="n">
        <v>5</v>
      </c>
      <c r="F5317" s="1365" t="n">
        <v>347000</v>
      </c>
      <c r="G5317" s="1364" t="n">
        <v>0.1</v>
      </c>
      <c r="H5317" s="1365" t="n">
        <f aca="false">E5317*F5317*G5317</f>
        <v>173500</v>
      </c>
      <c r="I5317" s="1365" t="n">
        <f aca="false">F5317-H5317</f>
        <v>173500</v>
      </c>
      <c r="J5317" s="1365" t="n">
        <f aca="false">F5317*G5317</f>
        <v>34700</v>
      </c>
      <c r="K5317" s="1365" t="n">
        <f aca="false">J5317/1792.8</f>
        <v>19.355198572066</v>
      </c>
      <c r="L5317" s="1365" t="n">
        <v>30</v>
      </c>
      <c r="M5317" s="1273" t="n">
        <f aca="false">K5317*L5317/60</f>
        <v>9.67759928603302</v>
      </c>
    </row>
    <row r="5318" customFormat="false" ht="15" hidden="false" customHeight="false" outlineLevel="0" collapsed="false">
      <c r="A5318" s="874"/>
      <c r="B5318" s="59"/>
      <c r="C5318" s="1161" t="s">
        <v>7264</v>
      </c>
      <c r="D5318" s="317" t="n">
        <v>2014</v>
      </c>
      <c r="E5318" s="1365" t="n">
        <v>10</v>
      </c>
      <c r="F5318" s="1365" t="n">
        <v>1411800</v>
      </c>
      <c r="G5318" s="1364" t="n">
        <v>0.1</v>
      </c>
      <c r="H5318" s="1365" t="n">
        <f aca="false">E5318*F5318*G5318</f>
        <v>1411800</v>
      </c>
      <c r="I5318" s="1365" t="n">
        <f aca="false">F5318-H5318</f>
        <v>0</v>
      </c>
      <c r="J5318" s="1365" t="n">
        <f aca="false">F5318*G5318</f>
        <v>141180</v>
      </c>
      <c r="K5318" s="1365" t="n">
        <f aca="false">J5318/1792.8</f>
        <v>78.7483266398929</v>
      </c>
      <c r="L5318" s="1365"/>
      <c r="M5318" s="1273" t="n">
        <f aca="false">K5318*L5318/60</f>
        <v>0</v>
      </c>
    </row>
    <row r="5319" customFormat="false" ht="15" hidden="false" customHeight="false" outlineLevel="0" collapsed="false">
      <c r="A5319" s="874"/>
      <c r="B5319" s="59"/>
      <c r="C5319" s="1161" t="s">
        <v>7249</v>
      </c>
      <c r="D5319" s="317" t="n">
        <v>2005</v>
      </c>
      <c r="E5319" s="1365" t="n">
        <v>5</v>
      </c>
      <c r="F5319" s="1365" t="n">
        <v>347000</v>
      </c>
      <c r="G5319" s="1364" t="n">
        <v>0.1</v>
      </c>
      <c r="H5319" s="1365" t="n">
        <f aca="false">E5319*F5319*G5319</f>
        <v>173500</v>
      </c>
      <c r="I5319" s="1365" t="n">
        <f aca="false">F5319-H5319</f>
        <v>173500</v>
      </c>
      <c r="J5319" s="1365" t="n">
        <f aca="false">F5319*G5319</f>
        <v>34700</v>
      </c>
      <c r="K5319" s="1365" t="n">
        <f aca="false">J5319/1792.8</f>
        <v>19.355198572066</v>
      </c>
      <c r="L5319" s="1365" t="n">
        <v>60</v>
      </c>
      <c r="M5319" s="1273" t="n">
        <f aca="false">K5319*L5319/60</f>
        <v>19.355198572066</v>
      </c>
    </row>
    <row r="5320" customFormat="false" ht="15" hidden="false" customHeight="false" outlineLevel="0" collapsed="false">
      <c r="A5320" s="874"/>
      <c r="B5320" s="59"/>
      <c r="C5320" s="1161" t="s">
        <v>7170</v>
      </c>
      <c r="D5320" s="317" t="n">
        <v>2004</v>
      </c>
      <c r="E5320" s="1365" t="n">
        <v>6</v>
      </c>
      <c r="F5320" s="1365" t="n">
        <v>196670</v>
      </c>
      <c r="G5320" s="1364" t="n">
        <v>0.1</v>
      </c>
      <c r="H5320" s="1365" t="n">
        <f aca="false">E5320*F5320*G5320</f>
        <v>118002</v>
      </c>
      <c r="I5320" s="1365" t="n">
        <f aca="false">F5320-H5320</f>
        <v>78668</v>
      </c>
      <c r="J5320" s="1365" t="n">
        <f aca="false">F5320*G5320</f>
        <v>19667</v>
      </c>
      <c r="K5320" s="1365" t="n">
        <f aca="false">J5320/1792.8</f>
        <v>10.9699910754128</v>
      </c>
      <c r="L5320" s="1365" t="n">
        <v>15</v>
      </c>
      <c r="M5320" s="1273" t="n">
        <f aca="false">K5320*L5320/60</f>
        <v>2.74249776885319</v>
      </c>
    </row>
    <row r="5321" customFormat="false" ht="15" hidden="false" customHeight="false" outlineLevel="0" collapsed="false">
      <c r="A5321" s="874"/>
      <c r="B5321" s="59"/>
      <c r="C5321" s="1161" t="s">
        <v>7247</v>
      </c>
      <c r="D5321" s="317" t="n">
        <v>2004</v>
      </c>
      <c r="E5321" s="1365" t="n">
        <v>6</v>
      </c>
      <c r="F5321" s="1365" t="n">
        <v>202860</v>
      </c>
      <c r="G5321" s="1364" t="n">
        <v>0.1</v>
      </c>
      <c r="H5321" s="1365" t="n">
        <f aca="false">E5321*F5321*G5321</f>
        <v>121716</v>
      </c>
      <c r="I5321" s="1365" t="n">
        <f aca="false">F5321-H5321</f>
        <v>81144</v>
      </c>
      <c r="J5321" s="1365" t="n">
        <f aca="false">F5321*G5321</f>
        <v>20286</v>
      </c>
      <c r="K5321" s="1365" t="n">
        <f aca="false">J5321/1792.8</f>
        <v>11.3152610441767</v>
      </c>
      <c r="L5321" s="1365" t="n">
        <v>2880</v>
      </c>
      <c r="M5321" s="1273" t="n">
        <f aca="false">K5321*L5321/60</f>
        <v>543.132530120482</v>
      </c>
    </row>
    <row r="5322" customFormat="false" ht="15" hidden="false" customHeight="false" outlineLevel="0" collapsed="false">
      <c r="A5322" s="28"/>
      <c r="B5322" s="78"/>
      <c r="C5322" s="1161" t="s">
        <v>7158</v>
      </c>
      <c r="D5322" s="317" t="n">
        <v>2004</v>
      </c>
      <c r="E5322" s="1365" t="n">
        <v>6</v>
      </c>
      <c r="F5322" s="1365" t="n">
        <v>6985000</v>
      </c>
      <c r="G5322" s="1364" t="n">
        <v>0.1</v>
      </c>
      <c r="H5322" s="1365" t="n">
        <f aca="false">E5322*F5322*G5322</f>
        <v>4191000</v>
      </c>
      <c r="I5322" s="1365" t="n">
        <f aca="false">F5322-H5322</f>
        <v>2794000</v>
      </c>
      <c r="J5322" s="1365" t="n">
        <f aca="false">F5322*G5322</f>
        <v>698500</v>
      </c>
      <c r="K5322" s="1365" t="n">
        <f aca="false">J5322/1792.8</f>
        <v>389.614011601963</v>
      </c>
      <c r="L5322" s="1365" t="n">
        <v>15</v>
      </c>
      <c r="M5322" s="1273" t="n">
        <f aca="false">K5322*L5322/60</f>
        <v>97.4035029004909</v>
      </c>
    </row>
    <row r="5323" customFormat="false" ht="15" hidden="false" customHeight="false" outlineLevel="0" collapsed="false">
      <c r="A5323" s="216"/>
      <c r="B5323" s="78"/>
      <c r="C5323" s="1160"/>
      <c r="D5323" s="135"/>
      <c r="E5323" s="1370"/>
      <c r="F5323" s="1370"/>
      <c r="G5323" s="1372" t="n">
        <v>0.1</v>
      </c>
      <c r="H5323" s="1365" t="n">
        <f aca="false">E5323*F5323*G5323</f>
        <v>0</v>
      </c>
      <c r="I5323" s="1365" t="n">
        <f aca="false">F5323-H5323</f>
        <v>0</v>
      </c>
      <c r="J5323" s="1365" t="n">
        <f aca="false">F5323*G5323</f>
        <v>0</v>
      </c>
      <c r="K5323" s="1365" t="n">
        <f aca="false">J5323/1792.8</f>
        <v>0</v>
      </c>
      <c r="L5323" s="1370" t="n">
        <f aca="false">SUM(L5316:L5322)</f>
        <v>3000</v>
      </c>
      <c r="M5323" s="1370" t="n">
        <f aca="false">SUM(M5316:M5322)</f>
        <v>672.311328647925</v>
      </c>
    </row>
    <row r="5324" customFormat="false" ht="15" hidden="false" customHeight="false" outlineLevel="0" collapsed="false">
      <c r="A5324" s="350" t="s">
        <v>2399</v>
      </c>
      <c r="B5324" s="509" t="s">
        <v>7273</v>
      </c>
      <c r="C5324" s="509"/>
      <c r="D5324" s="350"/>
      <c r="E5324" s="1572"/>
      <c r="F5324" s="1572"/>
      <c r="G5324" s="1572"/>
      <c r="H5324" s="1512"/>
      <c r="I5324" s="1512"/>
      <c r="J5324" s="1512"/>
      <c r="K5324" s="1512"/>
      <c r="L5324" s="1572"/>
      <c r="M5324" s="1572"/>
    </row>
    <row r="5325" customFormat="false" ht="30" hidden="false" customHeight="false" outlineLevel="0" collapsed="false">
      <c r="A5325" s="874" t="s">
        <v>6559</v>
      </c>
      <c r="B5325" s="59" t="s">
        <v>3928</v>
      </c>
      <c r="C5325" s="1160"/>
      <c r="D5325" s="135"/>
      <c r="E5325" s="1370"/>
      <c r="F5325" s="1370"/>
      <c r="G5325" s="1372" t="n">
        <v>0.1</v>
      </c>
      <c r="H5325" s="1365" t="n">
        <f aca="false">E5325*F5325*G5325</f>
        <v>0</v>
      </c>
      <c r="I5325" s="1365" t="n">
        <f aca="false">F5325-H5325</f>
        <v>0</v>
      </c>
      <c r="J5325" s="1365" t="n">
        <f aca="false">F5325*G5325</f>
        <v>0</v>
      </c>
      <c r="K5325" s="1365" t="n">
        <f aca="false">J5325/1792.8</f>
        <v>0</v>
      </c>
      <c r="L5325" s="1370"/>
      <c r="M5325" s="1366"/>
    </row>
    <row r="5326" customFormat="false" ht="15" hidden="false" customHeight="false" outlineLevel="0" collapsed="false">
      <c r="A5326" s="216"/>
      <c r="B5326" s="78"/>
      <c r="C5326" s="1161" t="s">
        <v>7247</v>
      </c>
      <c r="D5326" s="317" t="n">
        <v>2004</v>
      </c>
      <c r="E5326" s="1365" t="n">
        <v>6</v>
      </c>
      <c r="F5326" s="1365" t="n">
        <v>202860</v>
      </c>
      <c r="G5326" s="1364" t="n">
        <v>0.1</v>
      </c>
      <c r="H5326" s="1365" t="n">
        <f aca="false">E5326*F5326*G5326</f>
        <v>121716</v>
      </c>
      <c r="I5326" s="1365" t="n">
        <f aca="false">F5326-H5326</f>
        <v>81144</v>
      </c>
      <c r="J5326" s="1365" t="n">
        <f aca="false">F5326*G5326</f>
        <v>20286</v>
      </c>
      <c r="K5326" s="1365" t="n">
        <f aca="false">J5326/1792.8</f>
        <v>11.3152610441767</v>
      </c>
      <c r="L5326" s="1365" t="n">
        <v>2880</v>
      </c>
      <c r="M5326" s="1273" t="n">
        <f aca="false">K5326*L5326/60</f>
        <v>543.132530120482</v>
      </c>
    </row>
    <row r="5327" customFormat="false" ht="15" hidden="false" customHeight="false" outlineLevel="0" collapsed="false">
      <c r="A5327" s="216"/>
      <c r="B5327" s="78"/>
      <c r="C5327" s="1161" t="s">
        <v>7254</v>
      </c>
      <c r="D5327" s="317" t="n">
        <v>2007</v>
      </c>
      <c r="E5327" s="1365" t="n">
        <v>3</v>
      </c>
      <c r="F5327" s="1365" t="n">
        <v>1638000</v>
      </c>
      <c r="G5327" s="1364" t="n">
        <v>0.1</v>
      </c>
      <c r="H5327" s="1365" t="n">
        <f aca="false">E5327*F5327*G5327</f>
        <v>491400</v>
      </c>
      <c r="I5327" s="1365" t="n">
        <f aca="false">F5327-H5327</f>
        <v>1146600</v>
      </c>
      <c r="J5327" s="1365" t="n">
        <f aca="false">F5327*G5327</f>
        <v>163800</v>
      </c>
      <c r="K5327" s="1365" t="n">
        <f aca="false">J5327/1792.8</f>
        <v>91.3654618473896</v>
      </c>
      <c r="L5327" s="1365"/>
      <c r="M5327" s="1273" t="n">
        <f aca="false">K5327*L5327/60</f>
        <v>0</v>
      </c>
    </row>
    <row r="5328" customFormat="false" ht="15" hidden="false" customHeight="false" outlineLevel="0" collapsed="false">
      <c r="A5328" s="216"/>
      <c r="B5328" s="78"/>
      <c r="C5328" s="1161" t="s">
        <v>7158</v>
      </c>
      <c r="D5328" s="317" t="n">
        <v>2004</v>
      </c>
      <c r="E5328" s="1365" t="n">
        <v>6</v>
      </c>
      <c r="F5328" s="1365" t="n">
        <v>6985000</v>
      </c>
      <c r="G5328" s="1364" t="n">
        <v>0.1</v>
      </c>
      <c r="H5328" s="1365" t="n">
        <f aca="false">E5328*F5328*G5328</f>
        <v>4191000</v>
      </c>
      <c r="I5328" s="1365" t="n">
        <f aca="false">F5328-H5328</f>
        <v>2794000</v>
      </c>
      <c r="J5328" s="1365" t="n">
        <f aca="false">F5328*G5328</f>
        <v>698500</v>
      </c>
      <c r="K5328" s="1365" t="n">
        <f aca="false">J5328/1792.8</f>
        <v>389.614011601963</v>
      </c>
      <c r="L5328" s="1365" t="n">
        <v>15</v>
      </c>
      <c r="M5328" s="1273" t="n">
        <f aca="false">K5328*L5328/60</f>
        <v>97.4035029004909</v>
      </c>
    </row>
    <row r="5329" s="311" customFormat="true" ht="15" hidden="false" customHeight="false" outlineLevel="0" collapsed="false">
      <c r="C5329" s="1161" t="s">
        <v>7249</v>
      </c>
      <c r="D5329" s="317" t="n">
        <v>2005</v>
      </c>
      <c r="E5329" s="1365" t="n">
        <v>5</v>
      </c>
      <c r="F5329" s="1365" t="n">
        <v>347000</v>
      </c>
      <c r="G5329" s="1364" t="n">
        <v>0.1</v>
      </c>
      <c r="H5329" s="1365" t="n">
        <f aca="false">E5329*F5329*G5329</f>
        <v>173500</v>
      </c>
      <c r="I5329" s="1365" t="n">
        <f aca="false">F5329-H5329</f>
        <v>173500</v>
      </c>
      <c r="J5329" s="1365" t="n">
        <f aca="false">F5329*G5329</f>
        <v>34700</v>
      </c>
      <c r="K5329" s="1365" t="n">
        <f aca="false">J5329/1792.8</f>
        <v>19.355198572066</v>
      </c>
      <c r="L5329" s="1365" t="n">
        <v>60</v>
      </c>
      <c r="M5329" s="1273" t="n">
        <f aca="false">K5329*L5329/60</f>
        <v>19.355198572066</v>
      </c>
    </row>
    <row r="5330" customFormat="false" ht="15" hidden="false" customHeight="false" outlineLevel="0" collapsed="false">
      <c r="A5330" s="874"/>
      <c r="B5330" s="59"/>
      <c r="C5330" s="1161" t="s">
        <v>7245</v>
      </c>
      <c r="D5330" s="317" t="n">
        <v>2005</v>
      </c>
      <c r="E5330" s="1365" t="n">
        <v>5</v>
      </c>
      <c r="F5330" s="1365" t="n">
        <v>347000</v>
      </c>
      <c r="G5330" s="1364" t="n">
        <v>0.1</v>
      </c>
      <c r="H5330" s="1365" t="n">
        <f aca="false">E5330*F5330*G5330</f>
        <v>173500</v>
      </c>
      <c r="I5330" s="1365" t="n">
        <f aca="false">F5330-H5330</f>
        <v>173500</v>
      </c>
      <c r="J5330" s="1365" t="n">
        <f aca="false">F5330*G5330</f>
        <v>34700</v>
      </c>
      <c r="K5330" s="1365" t="n">
        <f aca="false">J5330/1792.8</f>
        <v>19.355198572066</v>
      </c>
      <c r="L5330" s="1365" t="n">
        <v>30</v>
      </c>
      <c r="M5330" s="1273" t="n">
        <f aca="false">K5330*L5330/60</f>
        <v>9.67759928603302</v>
      </c>
    </row>
    <row r="5331" customFormat="false" ht="15" hidden="false" customHeight="false" outlineLevel="0" collapsed="false">
      <c r="A5331" s="874"/>
      <c r="B5331" s="59"/>
      <c r="C5331" s="1161" t="s">
        <v>7256</v>
      </c>
      <c r="D5331" s="317" t="n">
        <v>2004</v>
      </c>
      <c r="E5331" s="1365" t="n">
        <v>6</v>
      </c>
      <c r="F5331" s="1365" t="n">
        <v>6985000</v>
      </c>
      <c r="G5331" s="1364" t="n">
        <v>0.1</v>
      </c>
      <c r="H5331" s="1365" t="n">
        <f aca="false">E5331*F5331*G5331</f>
        <v>4191000</v>
      </c>
      <c r="I5331" s="1365" t="n">
        <f aca="false">F5331-H5331</f>
        <v>2794000</v>
      </c>
      <c r="J5331" s="1365" t="n">
        <f aca="false">F5331*G5331</f>
        <v>698500</v>
      </c>
      <c r="K5331" s="1365" t="n">
        <f aca="false">J5331/1792.8</f>
        <v>389.614011601963</v>
      </c>
      <c r="L5331" s="1365" t="n">
        <v>20</v>
      </c>
      <c r="M5331" s="1273" t="n">
        <f aca="false">K5331*L5331/60</f>
        <v>129.871337200654</v>
      </c>
    </row>
    <row r="5332" customFormat="false" ht="15" hidden="false" customHeight="false" outlineLevel="0" collapsed="false">
      <c r="A5332" s="874"/>
      <c r="B5332" s="59"/>
      <c r="C5332" s="1160"/>
      <c r="D5332" s="135"/>
      <c r="E5332" s="1370"/>
      <c r="F5332" s="1370"/>
      <c r="G5332" s="1372" t="n">
        <v>0.1</v>
      </c>
      <c r="H5332" s="1365" t="n">
        <f aca="false">E5332*F5332*G5332</f>
        <v>0</v>
      </c>
      <c r="I5332" s="1365" t="n">
        <f aca="false">F5332-H5332</f>
        <v>0</v>
      </c>
      <c r="J5332" s="1365" t="n">
        <f aca="false">F5332*G5332</f>
        <v>0</v>
      </c>
      <c r="K5332" s="1365" t="n">
        <f aca="false">J5332/1792.8</f>
        <v>0</v>
      </c>
      <c r="L5332" s="1370" t="n">
        <f aca="false">SUM(L5326:L5331)</f>
        <v>3005</v>
      </c>
      <c r="M5332" s="1370" t="n">
        <f aca="false">SUM(M5326:M5331)</f>
        <v>799.440168079726</v>
      </c>
    </row>
    <row r="5333" customFormat="false" ht="45" hidden="false" customHeight="false" outlineLevel="0" collapsed="false">
      <c r="A5333" s="874" t="s">
        <v>6561</v>
      </c>
      <c r="B5333" s="59" t="s">
        <v>3929</v>
      </c>
      <c r="C5333" s="59"/>
      <c r="D5333" s="59"/>
      <c r="E5333" s="1370"/>
      <c r="F5333" s="1370"/>
      <c r="G5333" s="1372" t="n">
        <v>0.1</v>
      </c>
      <c r="H5333" s="1365" t="n">
        <f aca="false">E5333*F5333*G5333</f>
        <v>0</v>
      </c>
      <c r="I5333" s="1365" t="n">
        <f aca="false">F5333-H5333</f>
        <v>0</v>
      </c>
      <c r="J5333" s="1365" t="n">
        <f aca="false">F5333*G5333</f>
        <v>0</v>
      </c>
      <c r="K5333" s="1365" t="n">
        <f aca="false">J5333/1792.8</f>
        <v>0</v>
      </c>
      <c r="L5333" s="1370"/>
      <c r="M5333" s="1366"/>
    </row>
    <row r="5334" customFormat="false" ht="30" hidden="false" customHeight="false" outlineLevel="0" collapsed="false">
      <c r="A5334" s="874"/>
      <c r="B5334" s="59"/>
      <c r="C5334" s="1161" t="s">
        <v>7250</v>
      </c>
      <c r="D5334" s="317" t="n">
        <v>2005</v>
      </c>
      <c r="E5334" s="1365" t="n">
        <v>5</v>
      </c>
      <c r="F5334" s="1365" t="n">
        <v>347000</v>
      </c>
      <c r="G5334" s="1364" t="n">
        <v>0.1</v>
      </c>
      <c r="H5334" s="1365" t="n">
        <f aca="false">E5334*F5334*G5334</f>
        <v>173500</v>
      </c>
      <c r="I5334" s="1365" t="n">
        <f aca="false">F5334-H5334</f>
        <v>173500</v>
      </c>
      <c r="J5334" s="1365" t="n">
        <f aca="false">F5334*G5334</f>
        <v>34700</v>
      </c>
      <c r="K5334" s="1365" t="n">
        <f aca="false">J5334/1792.8</f>
        <v>19.355198572066</v>
      </c>
      <c r="L5334" s="1365" t="n">
        <v>60</v>
      </c>
      <c r="M5334" s="1273" t="n">
        <f aca="false">K5334*L5334/60</f>
        <v>19.355198572066</v>
      </c>
    </row>
    <row r="5335" customFormat="false" ht="15" hidden="false" customHeight="false" outlineLevel="0" collapsed="false">
      <c r="A5335" s="874"/>
      <c r="B5335" s="59"/>
      <c r="C5335" s="1161" t="s">
        <v>7245</v>
      </c>
      <c r="D5335" s="317" t="n">
        <v>2005</v>
      </c>
      <c r="E5335" s="1365" t="n">
        <v>5</v>
      </c>
      <c r="F5335" s="1365" t="n">
        <v>347000</v>
      </c>
      <c r="G5335" s="1364" t="n">
        <v>0.1</v>
      </c>
      <c r="H5335" s="1365" t="n">
        <f aca="false">E5335*F5335*G5335</f>
        <v>173500</v>
      </c>
      <c r="I5335" s="1365" t="n">
        <f aca="false">F5335-H5335</f>
        <v>173500</v>
      </c>
      <c r="J5335" s="1365" t="n">
        <f aca="false">F5335*G5335</f>
        <v>34700</v>
      </c>
      <c r="K5335" s="1365" t="n">
        <f aca="false">J5335/1792.8</f>
        <v>19.355198572066</v>
      </c>
      <c r="L5335" s="1365" t="n">
        <v>30</v>
      </c>
      <c r="M5335" s="1273" t="n">
        <f aca="false">K5335*L5335/60</f>
        <v>9.67759928603302</v>
      </c>
    </row>
    <row r="5336" customFormat="false" ht="15" hidden="false" customHeight="false" outlineLevel="0" collapsed="false">
      <c r="A5336" s="874"/>
      <c r="B5336" s="59"/>
      <c r="C5336" s="1161" t="s">
        <v>7170</v>
      </c>
      <c r="D5336" s="317" t="n">
        <v>2004</v>
      </c>
      <c r="E5336" s="1365" t="n">
        <v>6</v>
      </c>
      <c r="F5336" s="1365" t="n">
        <v>196670</v>
      </c>
      <c r="G5336" s="1364" t="n">
        <v>0.1</v>
      </c>
      <c r="H5336" s="1365" t="n">
        <f aca="false">E5336*F5336*G5336</f>
        <v>118002</v>
      </c>
      <c r="I5336" s="1365" t="n">
        <f aca="false">F5336-H5336</f>
        <v>78668</v>
      </c>
      <c r="J5336" s="1365" t="n">
        <f aca="false">F5336*G5336</f>
        <v>19667</v>
      </c>
      <c r="K5336" s="1365" t="n">
        <f aca="false">J5336/1792.8</f>
        <v>10.9699910754128</v>
      </c>
      <c r="L5336" s="1365" t="n">
        <v>15</v>
      </c>
      <c r="M5336" s="1273" t="n">
        <f aca="false">(J5336/1778.4)*(L5336/60)</f>
        <v>2.76470422852002</v>
      </c>
    </row>
    <row r="5337" customFormat="false" ht="15" hidden="false" customHeight="false" outlineLevel="0" collapsed="false">
      <c r="A5337" s="316"/>
      <c r="B5337" s="316"/>
      <c r="C5337" s="1161" t="s">
        <v>7191</v>
      </c>
      <c r="D5337" s="317" t="n">
        <v>2005</v>
      </c>
      <c r="E5337" s="1365" t="n">
        <v>5</v>
      </c>
      <c r="F5337" s="1365" t="n">
        <v>347000</v>
      </c>
      <c r="G5337" s="1364" t="n">
        <v>0.1</v>
      </c>
      <c r="H5337" s="1365" t="n">
        <f aca="false">E5337*F5337*G5337</f>
        <v>173500</v>
      </c>
      <c r="I5337" s="1365" t="n">
        <f aca="false">F5337-H5337</f>
        <v>173500</v>
      </c>
      <c r="J5337" s="1365" t="n">
        <f aca="false">F5337*G5337</f>
        <v>34700</v>
      </c>
      <c r="K5337" s="1365" t="n">
        <f aca="false">J5337/1792.8</f>
        <v>19.355198572066</v>
      </c>
      <c r="L5337" s="1365" t="n">
        <v>60</v>
      </c>
      <c r="M5337" s="1273" t="n">
        <f aca="false">(J5337/1778.4)*(L5337/60)</f>
        <v>19.5119208277103</v>
      </c>
    </row>
    <row r="5338" customFormat="false" ht="15" hidden="false" customHeight="false" outlineLevel="0" collapsed="false">
      <c r="A5338" s="874"/>
      <c r="B5338" s="59"/>
      <c r="C5338" s="1161" t="s">
        <v>7158</v>
      </c>
      <c r="D5338" s="317" t="n">
        <v>2004</v>
      </c>
      <c r="E5338" s="1365" t="n">
        <v>6</v>
      </c>
      <c r="F5338" s="1365" t="n">
        <v>6985000</v>
      </c>
      <c r="G5338" s="1364" t="n">
        <v>0.1</v>
      </c>
      <c r="H5338" s="1365" t="n">
        <f aca="false">E5338*F5338*G5338</f>
        <v>4191000</v>
      </c>
      <c r="I5338" s="1365" t="n">
        <f aca="false">F5338-H5338</f>
        <v>2794000</v>
      </c>
      <c r="J5338" s="1365" t="n">
        <f aca="false">F5338*G5338</f>
        <v>698500</v>
      </c>
      <c r="K5338" s="1365" t="n">
        <f aca="false">J5338/1792.8</f>
        <v>389.614011601963</v>
      </c>
      <c r="L5338" s="1365" t="n">
        <v>20</v>
      </c>
      <c r="M5338" s="1273" t="n">
        <f aca="false">(J5338/1778.4)*(L5338/60)</f>
        <v>130.922926975559</v>
      </c>
    </row>
    <row r="5339" customFormat="false" ht="15" hidden="false" customHeight="false" outlineLevel="0" collapsed="false">
      <c r="A5339" s="874"/>
      <c r="B5339" s="59"/>
      <c r="C5339" s="1160"/>
      <c r="D5339" s="135"/>
      <c r="E5339" s="1370"/>
      <c r="F5339" s="1370"/>
      <c r="G5339" s="1372" t="n">
        <v>0.1</v>
      </c>
      <c r="H5339" s="1365" t="n">
        <f aca="false">E5339*F5339*G5339</f>
        <v>0</v>
      </c>
      <c r="I5339" s="1365" t="n">
        <f aca="false">F5339-H5339</f>
        <v>0</v>
      </c>
      <c r="J5339" s="1365" t="n">
        <f aca="false">F5339*G5339</f>
        <v>0</v>
      </c>
      <c r="K5339" s="1365" t="n">
        <f aca="false">J5339/1792.8</f>
        <v>0</v>
      </c>
      <c r="L5339" s="1370" t="n">
        <f aca="false">SUM(L5333:L5338)</f>
        <v>185</v>
      </c>
      <c r="M5339" s="1370" t="n">
        <f aca="false">SUM(M5333:M5338)</f>
        <v>182.232349889888</v>
      </c>
    </row>
    <row r="5340" customFormat="false" ht="30" hidden="false" customHeight="false" outlineLevel="0" collapsed="false">
      <c r="A5340" s="316" t="s">
        <v>6564</v>
      </c>
      <c r="B5340" s="40" t="s">
        <v>3930</v>
      </c>
      <c r="C5340" s="59"/>
      <c r="D5340" s="59"/>
      <c r="E5340" s="1370"/>
      <c r="F5340" s="1370"/>
      <c r="G5340" s="1372" t="n">
        <v>0.1</v>
      </c>
      <c r="H5340" s="1365" t="n">
        <f aca="false">E5340*F5340*G5340</f>
        <v>0</v>
      </c>
      <c r="I5340" s="1365" t="n">
        <f aca="false">F5340-H5340</f>
        <v>0</v>
      </c>
      <c r="J5340" s="1365" t="n">
        <f aca="false">F5340*G5340</f>
        <v>0</v>
      </c>
      <c r="K5340" s="1365" t="n">
        <f aca="false">J5340/1792.8</f>
        <v>0</v>
      </c>
      <c r="L5340" s="1370"/>
      <c r="M5340" s="1366"/>
    </row>
    <row r="5341" customFormat="false" ht="15" hidden="false" customHeight="false" outlineLevel="0" collapsed="false">
      <c r="A5341" s="874"/>
      <c r="B5341" s="59"/>
      <c r="C5341" s="1161" t="s">
        <v>7247</v>
      </c>
      <c r="D5341" s="317" t="n">
        <v>2004</v>
      </c>
      <c r="E5341" s="1365" t="n">
        <v>6</v>
      </c>
      <c r="F5341" s="1365" t="n">
        <v>202860</v>
      </c>
      <c r="G5341" s="1364" t="n">
        <v>0.1</v>
      </c>
      <c r="H5341" s="1365" t="n">
        <f aca="false">E5341*F5341*G5341</f>
        <v>121716</v>
      </c>
      <c r="I5341" s="1365" t="n">
        <f aca="false">F5341-H5341</f>
        <v>81144</v>
      </c>
      <c r="J5341" s="1365" t="n">
        <f aca="false">F5341*G5341</f>
        <v>20286</v>
      </c>
      <c r="K5341" s="1365" t="n">
        <f aca="false">J5341/1792.8</f>
        <v>11.3152610441767</v>
      </c>
      <c r="L5341" s="1365" t="n">
        <v>1440</v>
      </c>
      <c r="M5341" s="1273" t="n">
        <f aca="false">K5341*L5341/60</f>
        <v>271.566265060241</v>
      </c>
    </row>
    <row r="5342" customFormat="false" ht="15" hidden="false" customHeight="false" outlineLevel="0" collapsed="false">
      <c r="A5342" s="316"/>
      <c r="B5342" s="316"/>
      <c r="C5342" s="1161" t="s">
        <v>7249</v>
      </c>
      <c r="D5342" s="317" t="n">
        <v>2006</v>
      </c>
      <c r="E5342" s="1365" t="n">
        <v>4</v>
      </c>
      <c r="F5342" s="1365" t="n">
        <v>55500</v>
      </c>
      <c r="G5342" s="1364" t="n">
        <v>0.1</v>
      </c>
      <c r="H5342" s="1365" t="n">
        <f aca="false">E5342*F5342*G5342</f>
        <v>22200</v>
      </c>
      <c r="I5342" s="1365" t="n">
        <f aca="false">F5342-H5342</f>
        <v>33300</v>
      </c>
      <c r="J5342" s="1365" t="n">
        <f aca="false">F5342*G5342</f>
        <v>5550</v>
      </c>
      <c r="K5342" s="1365" t="n">
        <f aca="false">J5342/1792.8</f>
        <v>3.09571619812584</v>
      </c>
      <c r="L5342" s="1365" t="n">
        <v>10</v>
      </c>
      <c r="M5342" s="1273" t="n">
        <f aca="false">K5342*L5342/60</f>
        <v>0.51595269968764</v>
      </c>
    </row>
    <row r="5343" customFormat="false" ht="15" hidden="false" customHeight="false" outlineLevel="0" collapsed="false">
      <c r="A5343" s="316"/>
      <c r="B5343" s="316"/>
      <c r="C5343" s="1161" t="s">
        <v>7251</v>
      </c>
      <c r="D5343" s="317" t="n">
        <v>2005</v>
      </c>
      <c r="E5343" s="1365" t="n">
        <v>5</v>
      </c>
      <c r="F5343" s="1365" t="n">
        <v>1638000</v>
      </c>
      <c r="G5343" s="1364" t="n">
        <v>0.1</v>
      </c>
      <c r="H5343" s="1365" t="n">
        <f aca="false">E5343*F5343*G5343</f>
        <v>819000</v>
      </c>
      <c r="I5343" s="1365" t="n">
        <f aca="false">F5343-H5343</f>
        <v>819000</v>
      </c>
      <c r="J5343" s="1365" t="n">
        <f aca="false">F5343*G5343</f>
        <v>163800</v>
      </c>
      <c r="K5343" s="1365" t="n">
        <f aca="false">J5343/1792.8</f>
        <v>91.3654618473896</v>
      </c>
      <c r="L5343" s="1365" t="n">
        <v>80</v>
      </c>
      <c r="M5343" s="1273" t="n">
        <f aca="false">K5343*L5343/60</f>
        <v>121.820615796519</v>
      </c>
    </row>
    <row r="5344" customFormat="false" ht="15" hidden="false" customHeight="false" outlineLevel="0" collapsed="false">
      <c r="A5344" s="316"/>
      <c r="B5344" s="316"/>
      <c r="C5344" s="1161" t="s">
        <v>7252</v>
      </c>
      <c r="D5344" s="317" t="n">
        <v>2005</v>
      </c>
      <c r="E5344" s="1365" t="n">
        <v>5</v>
      </c>
      <c r="F5344" s="1365" t="n">
        <v>12190000</v>
      </c>
      <c r="G5344" s="1364" t="n">
        <v>0.1</v>
      </c>
      <c r="H5344" s="1365" t="n">
        <f aca="false">E5344*F5344*G5344</f>
        <v>6095000</v>
      </c>
      <c r="I5344" s="1365" t="n">
        <f aca="false">F5344-H5344</f>
        <v>6095000</v>
      </c>
      <c r="J5344" s="1365" t="n">
        <f aca="false">F5344*G5344</f>
        <v>1219000</v>
      </c>
      <c r="K5344" s="1365" t="n">
        <f aca="false">J5344/1792.8</f>
        <v>679.941990182954</v>
      </c>
      <c r="L5344" s="1365" t="n">
        <v>20</v>
      </c>
      <c r="M5344" s="1273" t="n">
        <f aca="false">K5344*L5344/60</f>
        <v>226.647330060985</v>
      </c>
    </row>
    <row r="5345" customFormat="false" ht="15" hidden="false" customHeight="false" outlineLevel="0" collapsed="false">
      <c r="A5345" s="316"/>
      <c r="B5345" s="40"/>
      <c r="C5345" s="1161" t="s">
        <v>7170</v>
      </c>
      <c r="D5345" s="317" t="n">
        <v>2004</v>
      </c>
      <c r="E5345" s="1365" t="n">
        <v>6</v>
      </c>
      <c r="F5345" s="1365" t="n">
        <v>196670</v>
      </c>
      <c r="G5345" s="1364" t="n">
        <v>0.1</v>
      </c>
      <c r="H5345" s="1365" t="n">
        <f aca="false">E5345*F5345*G5345</f>
        <v>118002</v>
      </c>
      <c r="I5345" s="1365" t="n">
        <f aca="false">F5345-H5345</f>
        <v>78668</v>
      </c>
      <c r="J5345" s="1365" t="n">
        <f aca="false">F5345*G5345</f>
        <v>19667</v>
      </c>
      <c r="K5345" s="1365" t="n">
        <f aca="false">J5345/1792.8</f>
        <v>10.9699910754128</v>
      </c>
      <c r="L5345" s="1365" t="n">
        <v>15</v>
      </c>
      <c r="M5345" s="1273" t="n">
        <f aca="false">K5345*L5345/60</f>
        <v>2.74249776885319</v>
      </c>
    </row>
    <row r="5346" customFormat="false" ht="15" hidden="false" customHeight="false" outlineLevel="0" collapsed="false">
      <c r="A5346" s="316"/>
      <c r="B5346" s="40"/>
      <c r="C5346" s="1161" t="s">
        <v>7158</v>
      </c>
      <c r="D5346" s="317" t="n">
        <v>2004</v>
      </c>
      <c r="E5346" s="1365" t="n">
        <v>6</v>
      </c>
      <c r="F5346" s="1365" t="n">
        <v>6985000</v>
      </c>
      <c r="G5346" s="1364" t="n">
        <v>0.1</v>
      </c>
      <c r="H5346" s="1365" t="n">
        <f aca="false">E5346*F5346*G5346</f>
        <v>4191000</v>
      </c>
      <c r="I5346" s="1365" t="n">
        <f aca="false">F5346-H5346</f>
        <v>2794000</v>
      </c>
      <c r="J5346" s="1365" t="n">
        <f aca="false">F5346*G5346</f>
        <v>698500</v>
      </c>
      <c r="K5346" s="1365" t="n">
        <f aca="false">J5346/1792.8</f>
        <v>389.614011601963</v>
      </c>
      <c r="L5346" s="1365" t="n">
        <v>20</v>
      </c>
      <c r="M5346" s="1273" t="n">
        <f aca="false">K5346*L5346/60</f>
        <v>129.871337200654</v>
      </c>
    </row>
    <row r="5347" customFormat="false" ht="15" hidden="false" customHeight="false" outlineLevel="0" collapsed="false">
      <c r="A5347" s="316"/>
      <c r="B5347" s="40"/>
      <c r="C5347" s="1160"/>
      <c r="D5347" s="135"/>
      <c r="E5347" s="1370"/>
      <c r="F5347" s="1370"/>
      <c r="G5347" s="1372" t="n">
        <v>0.1</v>
      </c>
      <c r="H5347" s="1365" t="n">
        <f aca="false">E5347*F5347*G5347</f>
        <v>0</v>
      </c>
      <c r="I5347" s="1365" t="n">
        <f aca="false">F5347-H5347</f>
        <v>0</v>
      </c>
      <c r="J5347" s="1365" t="n">
        <f aca="false">F5347*G5347</f>
        <v>0</v>
      </c>
      <c r="K5347" s="1365" t="n">
        <f aca="false">J5347/1792.8</f>
        <v>0</v>
      </c>
      <c r="L5347" s="1370" t="n">
        <f aca="false">SUM(L5341:L5346)</f>
        <v>1585</v>
      </c>
      <c r="M5347" s="1370" t="n">
        <f aca="false">SUM(M5341:M5346)</f>
        <v>753.16399858694</v>
      </c>
    </row>
    <row r="5348" customFormat="false" ht="15" hidden="false" customHeight="false" outlineLevel="0" collapsed="false">
      <c r="A5348" s="350" t="s">
        <v>2407</v>
      </c>
      <c r="B5348" s="509" t="s">
        <v>7274</v>
      </c>
      <c r="C5348" s="509"/>
      <c r="D5348" s="350"/>
      <c r="E5348" s="1572"/>
      <c r="F5348" s="1572"/>
      <c r="G5348" s="1572"/>
      <c r="H5348" s="1512"/>
      <c r="I5348" s="1512"/>
      <c r="J5348" s="1512"/>
      <c r="K5348" s="1512"/>
      <c r="L5348" s="1572"/>
      <c r="M5348" s="1572"/>
    </row>
    <row r="5349" customFormat="false" ht="30" hidden="false" customHeight="false" outlineLevel="0" collapsed="false">
      <c r="A5349" s="316" t="s">
        <v>6566</v>
      </c>
      <c r="B5349" s="40" t="s">
        <v>3931</v>
      </c>
      <c r="C5349" s="1161" t="s">
        <v>7247</v>
      </c>
      <c r="D5349" s="317" t="n">
        <v>2004</v>
      </c>
      <c r="E5349" s="1365" t="n">
        <v>6</v>
      </c>
      <c r="F5349" s="1365" t="n">
        <v>202860</v>
      </c>
      <c r="G5349" s="1364" t="n">
        <v>0.1</v>
      </c>
      <c r="H5349" s="1365" t="n">
        <f aca="false">E5349*F5349*G5349</f>
        <v>121716</v>
      </c>
      <c r="I5349" s="1365" t="n">
        <f aca="false">F5349-H5349</f>
        <v>81144</v>
      </c>
      <c r="J5349" s="1365" t="n">
        <f aca="false">F5349*G5349</f>
        <v>20286</v>
      </c>
      <c r="K5349" s="1365" t="n">
        <f aca="false">J5349/1792.8</f>
        <v>11.3152610441767</v>
      </c>
      <c r="L5349" s="1365" t="n">
        <v>2880</v>
      </c>
      <c r="M5349" s="1273" t="n">
        <f aca="false">K5349*L5349/60</f>
        <v>543.132530120482</v>
      </c>
    </row>
    <row r="5350" customFormat="false" ht="15" hidden="false" customHeight="false" outlineLevel="0" collapsed="false">
      <c r="A5350" s="316"/>
      <c r="B5350" s="40"/>
      <c r="C5350" s="1161" t="s">
        <v>7254</v>
      </c>
      <c r="D5350" s="317" t="n">
        <v>2007</v>
      </c>
      <c r="E5350" s="1365" t="n">
        <v>3</v>
      </c>
      <c r="F5350" s="1365" t="n">
        <v>1638000</v>
      </c>
      <c r="G5350" s="1364" t="n">
        <v>0.1</v>
      </c>
      <c r="H5350" s="1365" t="n">
        <f aca="false">E5350*F5350*G5350</f>
        <v>491400</v>
      </c>
      <c r="I5350" s="1365" t="n">
        <f aca="false">F5350-H5350</f>
        <v>1146600</v>
      </c>
      <c r="J5350" s="1365" t="n">
        <f aca="false">F5350*G5350</f>
        <v>163800</v>
      </c>
      <c r="K5350" s="1365" t="n">
        <f aca="false">J5350/1792.8</f>
        <v>91.3654618473896</v>
      </c>
      <c r="L5350" s="1365"/>
      <c r="M5350" s="1273" t="n">
        <f aca="false">K5350*L5350/60</f>
        <v>0</v>
      </c>
    </row>
    <row r="5351" customFormat="false" ht="15" hidden="false" customHeight="false" outlineLevel="0" collapsed="false">
      <c r="A5351" s="316"/>
      <c r="B5351" s="40"/>
      <c r="C5351" s="1161" t="s">
        <v>7158</v>
      </c>
      <c r="D5351" s="317" t="n">
        <v>2004</v>
      </c>
      <c r="E5351" s="1365" t="n">
        <v>6</v>
      </c>
      <c r="F5351" s="1365" t="n">
        <v>6985000</v>
      </c>
      <c r="G5351" s="1364" t="n">
        <v>0.1</v>
      </c>
      <c r="H5351" s="1365" t="n">
        <f aca="false">E5351*F5351*G5351</f>
        <v>4191000</v>
      </c>
      <c r="I5351" s="1365" t="n">
        <f aca="false">F5351-H5351</f>
        <v>2794000</v>
      </c>
      <c r="J5351" s="1365" t="n">
        <f aca="false">F5351*G5351</f>
        <v>698500</v>
      </c>
      <c r="K5351" s="1365" t="n">
        <f aca="false">J5351/1792.8</f>
        <v>389.614011601963</v>
      </c>
      <c r="L5351" s="1365" t="n">
        <v>15</v>
      </c>
      <c r="M5351" s="1273" t="n">
        <f aca="false">K5351*L5351/60</f>
        <v>97.4035029004909</v>
      </c>
    </row>
    <row r="5352" customFormat="false" ht="15" hidden="false" customHeight="false" outlineLevel="0" collapsed="false">
      <c r="A5352" s="316"/>
      <c r="B5352" s="40"/>
      <c r="C5352" s="1161" t="s">
        <v>7249</v>
      </c>
      <c r="D5352" s="317" t="n">
        <v>2005</v>
      </c>
      <c r="E5352" s="1365" t="n">
        <v>5</v>
      </c>
      <c r="F5352" s="1365" t="n">
        <v>347000</v>
      </c>
      <c r="G5352" s="1364" t="n">
        <v>0.1</v>
      </c>
      <c r="H5352" s="1365" t="n">
        <f aca="false">E5352*F5352*G5352</f>
        <v>173500</v>
      </c>
      <c r="I5352" s="1365" t="n">
        <f aca="false">F5352-H5352</f>
        <v>173500</v>
      </c>
      <c r="J5352" s="1365" t="n">
        <f aca="false">F5352*G5352</f>
        <v>34700</v>
      </c>
      <c r="K5352" s="1365" t="n">
        <f aca="false">J5352/1792.8</f>
        <v>19.355198572066</v>
      </c>
      <c r="L5352" s="1365" t="n">
        <v>60</v>
      </c>
      <c r="M5352" s="1273" t="n">
        <f aca="false">K5352*L5352/60</f>
        <v>19.355198572066</v>
      </c>
    </row>
    <row r="5353" customFormat="false" ht="15" hidden="false" customHeight="false" outlineLevel="0" collapsed="false">
      <c r="A5353" s="316"/>
      <c r="B5353" s="40"/>
      <c r="C5353" s="1161" t="s">
        <v>7245</v>
      </c>
      <c r="D5353" s="317" t="n">
        <v>2005</v>
      </c>
      <c r="E5353" s="1365" t="n">
        <v>5</v>
      </c>
      <c r="F5353" s="1365" t="n">
        <v>347000</v>
      </c>
      <c r="G5353" s="1364" t="n">
        <v>0.1</v>
      </c>
      <c r="H5353" s="1365" t="n">
        <f aca="false">E5353*F5353*G5353</f>
        <v>173500</v>
      </c>
      <c r="I5353" s="1365" t="n">
        <f aca="false">F5353-H5353</f>
        <v>173500</v>
      </c>
      <c r="J5353" s="1365" t="n">
        <f aca="false">F5353*G5353</f>
        <v>34700</v>
      </c>
      <c r="K5353" s="1365" t="n">
        <f aca="false">J5353/1792.8</f>
        <v>19.355198572066</v>
      </c>
      <c r="L5353" s="1365" t="n">
        <v>30</v>
      </c>
      <c r="M5353" s="1273" t="n">
        <f aca="false">K5353*L5353/60</f>
        <v>9.67759928603302</v>
      </c>
    </row>
    <row r="5354" customFormat="false" ht="15" hidden="false" customHeight="false" outlineLevel="0" collapsed="false">
      <c r="A5354" s="316"/>
      <c r="B5354" s="40"/>
      <c r="C5354" s="1161" t="s">
        <v>7256</v>
      </c>
      <c r="D5354" s="317" t="n">
        <v>2004</v>
      </c>
      <c r="E5354" s="1365" t="n">
        <v>6</v>
      </c>
      <c r="F5354" s="1365" t="n">
        <v>6985000</v>
      </c>
      <c r="G5354" s="1364" t="n">
        <v>0.1</v>
      </c>
      <c r="H5354" s="1365" t="n">
        <f aca="false">E5354*F5354*G5354</f>
        <v>4191000</v>
      </c>
      <c r="I5354" s="1365" t="n">
        <f aca="false">F5354-H5354</f>
        <v>2794000</v>
      </c>
      <c r="J5354" s="1365" t="n">
        <f aca="false">F5354*G5354</f>
        <v>698500</v>
      </c>
      <c r="K5354" s="1365" t="n">
        <f aca="false">J5354/1792.8</f>
        <v>389.614011601963</v>
      </c>
      <c r="L5354" s="1365" t="n">
        <v>20</v>
      </c>
      <c r="M5354" s="1273" t="n">
        <f aca="false">K5354*L5354/60</f>
        <v>129.871337200654</v>
      </c>
    </row>
    <row r="5355" customFormat="false" ht="15" hidden="false" customHeight="false" outlineLevel="0" collapsed="false">
      <c r="A5355" s="316"/>
      <c r="B5355" s="40"/>
      <c r="C5355" s="1160"/>
      <c r="D5355" s="135"/>
      <c r="E5355" s="1370"/>
      <c r="F5355" s="1370"/>
      <c r="G5355" s="1372" t="n">
        <v>0.1</v>
      </c>
      <c r="H5355" s="1365" t="n">
        <f aca="false">E5355*F5355*G5355</f>
        <v>0</v>
      </c>
      <c r="I5355" s="1365" t="n">
        <f aca="false">F5355-H5355</f>
        <v>0</v>
      </c>
      <c r="J5355" s="1365" t="n">
        <f aca="false">F5355*G5355</f>
        <v>0</v>
      </c>
      <c r="K5355" s="1365" t="n">
        <f aca="false">J5355/1792.8</f>
        <v>0</v>
      </c>
      <c r="L5355" s="1370" t="n">
        <f aca="false">SUM(L5349:L5354)</f>
        <v>3005</v>
      </c>
      <c r="M5355" s="1370" t="n">
        <f aca="false">SUM(M5349:M5354)</f>
        <v>799.440168079726</v>
      </c>
    </row>
    <row r="5356" customFormat="false" ht="30" hidden="false" customHeight="false" outlineLevel="0" collapsed="false">
      <c r="A5356" s="316" t="s">
        <v>6573</v>
      </c>
      <c r="B5356" s="40" t="s">
        <v>7275</v>
      </c>
      <c r="C5356" s="1161" t="s">
        <v>7247</v>
      </c>
      <c r="D5356" s="317" t="n">
        <v>2004</v>
      </c>
      <c r="E5356" s="1365" t="n">
        <v>6</v>
      </c>
      <c r="F5356" s="1365" t="n">
        <v>202860</v>
      </c>
      <c r="G5356" s="1364" t="n">
        <v>0.1</v>
      </c>
      <c r="H5356" s="1365" t="n">
        <f aca="false">E5356*F5356*G5356</f>
        <v>121716</v>
      </c>
      <c r="I5356" s="1365" t="n">
        <f aca="false">F5356-H5356</f>
        <v>81144</v>
      </c>
      <c r="J5356" s="1365" t="n">
        <f aca="false">F5356*G5356</f>
        <v>20286</v>
      </c>
      <c r="K5356" s="1365" t="n">
        <f aca="false">J5356/1792.8</f>
        <v>11.3152610441767</v>
      </c>
      <c r="L5356" s="1365" t="n">
        <v>2880</v>
      </c>
      <c r="M5356" s="1273" t="n">
        <f aca="false">K5356*L5356/60</f>
        <v>543.132530120482</v>
      </c>
    </row>
    <row r="5357" customFormat="false" ht="15" hidden="false" customHeight="false" outlineLevel="0" collapsed="false">
      <c r="A5357" s="316"/>
      <c r="B5357" s="40"/>
      <c r="C5357" s="1161" t="s">
        <v>7254</v>
      </c>
      <c r="D5357" s="317" t="n">
        <v>2007</v>
      </c>
      <c r="E5357" s="1365" t="n">
        <v>3</v>
      </c>
      <c r="F5357" s="1365" t="n">
        <v>1638000</v>
      </c>
      <c r="G5357" s="1364" t="n">
        <v>0.1</v>
      </c>
      <c r="H5357" s="1365" t="n">
        <f aca="false">E5357*F5357*G5357</f>
        <v>491400</v>
      </c>
      <c r="I5357" s="1365" t="n">
        <f aca="false">F5357-H5357</f>
        <v>1146600</v>
      </c>
      <c r="J5357" s="1365" t="n">
        <f aca="false">F5357*G5357</f>
        <v>163800</v>
      </c>
      <c r="K5357" s="1365" t="n">
        <f aca="false">J5357/1792.8</f>
        <v>91.3654618473896</v>
      </c>
      <c r="L5357" s="1365"/>
      <c r="M5357" s="1273" t="n">
        <f aca="false">K5357*L5357/60</f>
        <v>0</v>
      </c>
    </row>
    <row r="5358" customFormat="false" ht="15" hidden="false" customHeight="false" outlineLevel="0" collapsed="false">
      <c r="A5358" s="316"/>
      <c r="B5358" s="40"/>
      <c r="C5358" s="1161" t="s">
        <v>7158</v>
      </c>
      <c r="D5358" s="317" t="n">
        <v>2004</v>
      </c>
      <c r="E5358" s="1365" t="n">
        <v>6</v>
      </c>
      <c r="F5358" s="1365" t="n">
        <v>6985000</v>
      </c>
      <c r="G5358" s="1364" t="n">
        <v>0.1</v>
      </c>
      <c r="H5358" s="1365" t="n">
        <f aca="false">E5358*F5358*G5358</f>
        <v>4191000</v>
      </c>
      <c r="I5358" s="1365" t="n">
        <f aca="false">F5358-H5358</f>
        <v>2794000</v>
      </c>
      <c r="J5358" s="1365" t="n">
        <f aca="false">F5358*G5358</f>
        <v>698500</v>
      </c>
      <c r="K5358" s="1365" t="n">
        <f aca="false">J5358/1792.8</f>
        <v>389.614011601963</v>
      </c>
      <c r="L5358" s="1365" t="n">
        <v>15</v>
      </c>
      <c r="M5358" s="1273" t="n">
        <f aca="false">K5358*L5358/60</f>
        <v>97.4035029004909</v>
      </c>
    </row>
    <row r="5359" customFormat="false" ht="15" hidden="false" customHeight="false" outlineLevel="0" collapsed="false">
      <c r="A5359" s="316"/>
      <c r="B5359" s="40"/>
      <c r="C5359" s="1161" t="s">
        <v>7249</v>
      </c>
      <c r="D5359" s="317" t="n">
        <v>2005</v>
      </c>
      <c r="E5359" s="1365" t="n">
        <v>5</v>
      </c>
      <c r="F5359" s="1365" t="n">
        <v>347000</v>
      </c>
      <c r="G5359" s="1364" t="n">
        <v>0.1</v>
      </c>
      <c r="H5359" s="1365" t="n">
        <f aca="false">E5359*F5359*G5359</f>
        <v>173500</v>
      </c>
      <c r="I5359" s="1365" t="n">
        <f aca="false">F5359-H5359</f>
        <v>173500</v>
      </c>
      <c r="J5359" s="1365" t="n">
        <f aca="false">F5359*G5359</f>
        <v>34700</v>
      </c>
      <c r="K5359" s="1365" t="n">
        <f aca="false">J5359/1792.8</f>
        <v>19.355198572066</v>
      </c>
      <c r="L5359" s="1365" t="n">
        <v>60</v>
      </c>
      <c r="M5359" s="1273" t="n">
        <f aca="false">K5359*L5359/60</f>
        <v>19.355198572066</v>
      </c>
    </row>
    <row r="5360" customFormat="false" ht="15" hidden="false" customHeight="false" outlineLevel="0" collapsed="false">
      <c r="A5360" s="316"/>
      <c r="B5360" s="40"/>
      <c r="C5360" s="1161" t="s">
        <v>7245</v>
      </c>
      <c r="D5360" s="317" t="n">
        <v>2005</v>
      </c>
      <c r="E5360" s="1365" t="n">
        <v>5</v>
      </c>
      <c r="F5360" s="1365" t="n">
        <v>347000</v>
      </c>
      <c r="G5360" s="1364" t="n">
        <v>0.1</v>
      </c>
      <c r="H5360" s="1365" t="n">
        <f aca="false">E5360*F5360*G5360</f>
        <v>173500</v>
      </c>
      <c r="I5360" s="1365" t="n">
        <f aca="false">F5360-H5360</f>
        <v>173500</v>
      </c>
      <c r="J5360" s="1365" t="n">
        <f aca="false">F5360*G5360</f>
        <v>34700</v>
      </c>
      <c r="K5360" s="1365" t="n">
        <f aca="false">J5360/1792.8</f>
        <v>19.355198572066</v>
      </c>
      <c r="L5360" s="1365" t="n">
        <v>30</v>
      </c>
      <c r="M5360" s="1273" t="n">
        <f aca="false">K5360*L5360/60</f>
        <v>9.67759928603302</v>
      </c>
    </row>
    <row r="5361" customFormat="false" ht="15" hidden="false" customHeight="false" outlineLevel="0" collapsed="false">
      <c r="A5361" s="316"/>
      <c r="B5361" s="40"/>
      <c r="C5361" s="1161" t="s">
        <v>7256</v>
      </c>
      <c r="D5361" s="317" t="n">
        <v>2004</v>
      </c>
      <c r="E5361" s="1365" t="n">
        <v>6</v>
      </c>
      <c r="F5361" s="1365" t="n">
        <v>6985000</v>
      </c>
      <c r="G5361" s="1364" t="n">
        <v>0.1</v>
      </c>
      <c r="H5361" s="1365" t="n">
        <f aca="false">E5361*F5361*G5361</f>
        <v>4191000</v>
      </c>
      <c r="I5361" s="1365" t="n">
        <f aca="false">F5361-H5361</f>
        <v>2794000</v>
      </c>
      <c r="J5361" s="1365" t="n">
        <f aca="false">F5361*G5361</f>
        <v>698500</v>
      </c>
      <c r="K5361" s="1365" t="n">
        <f aca="false">J5361/1792.8</f>
        <v>389.614011601963</v>
      </c>
      <c r="L5361" s="1365" t="n">
        <v>20</v>
      </c>
      <c r="M5361" s="1273" t="n">
        <f aca="false">K5361*L5361/60</f>
        <v>129.871337200654</v>
      </c>
    </row>
    <row r="5362" customFormat="false" ht="15" hidden="false" customHeight="false" outlineLevel="0" collapsed="false">
      <c r="A5362" s="316"/>
      <c r="B5362" s="40"/>
      <c r="C5362" s="1161" t="s">
        <v>7252</v>
      </c>
      <c r="D5362" s="317" t="n">
        <v>2005</v>
      </c>
      <c r="E5362" s="1365" t="n">
        <v>5</v>
      </c>
      <c r="F5362" s="1365" t="n">
        <v>12190000</v>
      </c>
      <c r="G5362" s="1364" t="n">
        <v>0.1</v>
      </c>
      <c r="H5362" s="1365" t="n">
        <f aca="false">E5362*F5362*G5362</f>
        <v>6095000</v>
      </c>
      <c r="I5362" s="1365" t="n">
        <f aca="false">F5362-H5362</f>
        <v>6095000</v>
      </c>
      <c r="J5362" s="1365" t="n">
        <f aca="false">F5362*G5362</f>
        <v>1219000</v>
      </c>
      <c r="K5362" s="1365" t="n">
        <f aca="false">J5362/1792.8</f>
        <v>679.941990182954</v>
      </c>
      <c r="L5362" s="1365" t="n">
        <v>20</v>
      </c>
      <c r="M5362" s="1273" t="n">
        <f aca="false">K5362*L5362/60</f>
        <v>226.647330060985</v>
      </c>
    </row>
    <row r="5363" customFormat="false" ht="15" hidden="false" customHeight="false" outlineLevel="0" collapsed="false">
      <c r="A5363" s="316"/>
      <c r="B5363" s="40"/>
      <c r="C5363" s="1160"/>
      <c r="D5363" s="135"/>
      <c r="E5363" s="1370"/>
      <c r="F5363" s="1370"/>
      <c r="G5363" s="1372"/>
      <c r="H5363" s="1365"/>
      <c r="I5363" s="1365"/>
      <c r="J5363" s="1365"/>
      <c r="K5363" s="1365" t="n">
        <f aca="false">J5363/1792.8</f>
        <v>0</v>
      </c>
      <c r="L5363" s="1370" t="n">
        <f aca="false">SUM(L5356:L5362)</f>
        <v>3025</v>
      </c>
      <c r="M5363" s="1370" t="n">
        <f aca="false">SUM(M5356:M5362)</f>
        <v>1026.08749814071</v>
      </c>
    </row>
    <row r="5364" customFormat="false" ht="15" hidden="false" customHeight="false" outlineLevel="0" collapsed="false">
      <c r="A5364" s="316"/>
      <c r="B5364" s="40"/>
      <c r="C5364" s="1160"/>
      <c r="D5364" s="135"/>
      <c r="E5364" s="1370"/>
      <c r="F5364" s="1370"/>
      <c r="G5364" s="1372"/>
      <c r="H5364" s="1365"/>
      <c r="I5364" s="1365"/>
      <c r="J5364" s="1365"/>
      <c r="K5364" s="1365" t="n">
        <f aca="false">J5364/1792.8</f>
        <v>0</v>
      </c>
      <c r="L5364" s="1370"/>
      <c r="M5364" s="1370"/>
    </row>
    <row r="5365" customFormat="false" ht="28.5" hidden="false" customHeight="false" outlineLevel="0" collapsed="false">
      <c r="A5365" s="350" t="s">
        <v>2413</v>
      </c>
      <c r="B5365" s="509" t="s">
        <v>6575</v>
      </c>
      <c r="C5365" s="509"/>
      <c r="D5365" s="350"/>
      <c r="E5365" s="1572"/>
      <c r="F5365" s="1572"/>
      <c r="G5365" s="1572"/>
      <c r="H5365" s="1512"/>
      <c r="I5365" s="1512"/>
      <c r="J5365" s="1512"/>
      <c r="K5365" s="1512"/>
      <c r="L5365" s="1572"/>
      <c r="M5365" s="1572"/>
    </row>
    <row r="5366" s="311" customFormat="true" ht="30" hidden="false" customHeight="false" outlineLevel="0" collapsed="false">
      <c r="A5366" s="1428" t="s">
        <v>6576</v>
      </c>
      <c r="B5366" s="1576" t="s">
        <v>7276</v>
      </c>
      <c r="C5366" s="1577"/>
      <c r="E5366" s="1578"/>
      <c r="F5366" s="1578"/>
      <c r="G5366" s="1579"/>
      <c r="H5366" s="1365" t="n">
        <f aca="false">E5366*F5366*G5366</f>
        <v>0</v>
      </c>
      <c r="I5366" s="1365" t="n">
        <f aca="false">F5366-H5366</f>
        <v>0</v>
      </c>
      <c r="J5366" s="1365" t="n">
        <f aca="false">F5366*G5366</f>
        <v>0</v>
      </c>
      <c r="K5366" s="1365" t="n">
        <f aca="false">J5366/1792.8</f>
        <v>0</v>
      </c>
      <c r="L5366" s="1578"/>
      <c r="M5366" s="1580"/>
    </row>
    <row r="5367" customFormat="false" ht="15" hidden="false" customHeight="false" outlineLevel="0" collapsed="false">
      <c r="A5367" s="317"/>
      <c r="B5367" s="59"/>
      <c r="C5367" s="1161" t="s">
        <v>7247</v>
      </c>
      <c r="D5367" s="317" t="n">
        <v>2004</v>
      </c>
      <c r="E5367" s="1365" t="n">
        <v>6</v>
      </c>
      <c r="F5367" s="1365" t="n">
        <v>202860</v>
      </c>
      <c r="G5367" s="1364" t="n">
        <v>0.15</v>
      </c>
      <c r="H5367" s="1365" t="n">
        <f aca="false">E5367*F5367*G5367</f>
        <v>182574</v>
      </c>
      <c r="I5367" s="1365" t="n">
        <f aca="false">F5367-H5367</f>
        <v>20286</v>
      </c>
      <c r="J5367" s="1365" t="n">
        <f aca="false">F5367*G5367</f>
        <v>30429</v>
      </c>
      <c r="K5367" s="1365" t="n">
        <f aca="false">J5367/1792.8</f>
        <v>16.9728915662651</v>
      </c>
      <c r="L5367" s="1365" t="n">
        <v>360</v>
      </c>
      <c r="M5367" s="1273" t="n">
        <f aca="false">K5367*L5367/60</f>
        <v>101.83734939759</v>
      </c>
    </row>
    <row r="5368" customFormat="false" ht="15" hidden="false" customHeight="false" outlineLevel="0" collapsed="false">
      <c r="A5368" s="317"/>
      <c r="B5368" s="59"/>
      <c r="C5368" s="1161" t="s">
        <v>7249</v>
      </c>
      <c r="D5368" s="317" t="n">
        <v>2006</v>
      </c>
      <c r="E5368" s="1365" t="n">
        <v>4</v>
      </c>
      <c r="F5368" s="1365" t="n">
        <v>55500</v>
      </c>
      <c r="G5368" s="1364" t="n">
        <v>0.1</v>
      </c>
      <c r="H5368" s="1365" t="n">
        <f aca="false">E5368*F5368*G5368</f>
        <v>22200</v>
      </c>
      <c r="I5368" s="1365" t="n">
        <f aca="false">F5368-H5368</f>
        <v>33300</v>
      </c>
      <c r="J5368" s="1365" t="n">
        <f aca="false">F5368*G5368</f>
        <v>5550</v>
      </c>
      <c r="K5368" s="1365" t="n">
        <f aca="false">J5368/1792.8</f>
        <v>3.09571619812584</v>
      </c>
      <c r="L5368" s="1365" t="n">
        <v>10</v>
      </c>
      <c r="M5368" s="1273" t="n">
        <f aca="false">K5368*L5368/60</f>
        <v>0.51595269968764</v>
      </c>
    </row>
    <row r="5369" customFormat="false" ht="15" hidden="false" customHeight="false" outlineLevel="0" collapsed="false">
      <c r="A5369" s="317"/>
      <c r="B5369" s="59"/>
      <c r="C5369" s="1161" t="s">
        <v>7251</v>
      </c>
      <c r="D5369" s="317" t="n">
        <v>2005</v>
      </c>
      <c r="E5369" s="1365" t="n">
        <v>5</v>
      </c>
      <c r="F5369" s="1365" t="n">
        <v>1638000</v>
      </c>
      <c r="G5369" s="1364" t="n">
        <v>0.1</v>
      </c>
      <c r="H5369" s="1365" t="n">
        <f aca="false">E5369*F5369*G5369</f>
        <v>819000</v>
      </c>
      <c r="I5369" s="1365" t="n">
        <f aca="false">F5369-H5369</f>
        <v>819000</v>
      </c>
      <c r="J5369" s="1365" t="n">
        <f aca="false">F5369*G5369</f>
        <v>163800</v>
      </c>
      <c r="K5369" s="1365" t="n">
        <f aca="false">J5369/1792.8</f>
        <v>91.3654618473896</v>
      </c>
      <c r="L5369" s="1365" t="n">
        <v>80</v>
      </c>
      <c r="M5369" s="1273" t="n">
        <f aca="false">K5369*L5369/60</f>
        <v>121.820615796519</v>
      </c>
    </row>
    <row r="5370" customFormat="false" ht="15" hidden="false" customHeight="false" outlineLevel="0" collapsed="false">
      <c r="A5370" s="317"/>
      <c r="B5370" s="59"/>
      <c r="C5370" s="1161" t="s">
        <v>7252</v>
      </c>
      <c r="D5370" s="317" t="n">
        <v>2005</v>
      </c>
      <c r="E5370" s="1365" t="n">
        <v>5</v>
      </c>
      <c r="F5370" s="1365" t="n">
        <v>12190000</v>
      </c>
      <c r="G5370" s="1364" t="n">
        <v>0.1</v>
      </c>
      <c r="H5370" s="1365" t="n">
        <f aca="false">E5370*F5370*G5370</f>
        <v>6095000</v>
      </c>
      <c r="I5370" s="1365" t="n">
        <f aca="false">F5370-H5370</f>
        <v>6095000</v>
      </c>
      <c r="J5370" s="1365" t="n">
        <f aca="false">F5370*G5370</f>
        <v>1219000</v>
      </c>
      <c r="K5370" s="1365" t="n">
        <f aca="false">J5370/1792.8</f>
        <v>679.941990182954</v>
      </c>
      <c r="L5370" s="1365" t="n">
        <v>20</v>
      </c>
      <c r="M5370" s="1273" t="n">
        <f aca="false">K5370*L5370/60</f>
        <v>226.647330060985</v>
      </c>
    </row>
    <row r="5371" customFormat="false" ht="15" hidden="false" customHeight="false" outlineLevel="0" collapsed="false">
      <c r="A5371" s="317"/>
      <c r="B5371" s="59"/>
      <c r="C5371" s="1161" t="s">
        <v>7170</v>
      </c>
      <c r="D5371" s="317" t="n">
        <v>2004</v>
      </c>
      <c r="E5371" s="1365" t="n">
        <v>6</v>
      </c>
      <c r="F5371" s="1365" t="n">
        <v>196670</v>
      </c>
      <c r="G5371" s="1364" t="n">
        <v>0.1</v>
      </c>
      <c r="H5371" s="1365" t="n">
        <f aca="false">E5371*F5371*G5371</f>
        <v>118002</v>
      </c>
      <c r="I5371" s="1365" t="n">
        <f aca="false">F5371-H5371</f>
        <v>78668</v>
      </c>
      <c r="J5371" s="1365" t="n">
        <f aca="false">F5371*G5371</f>
        <v>19667</v>
      </c>
      <c r="K5371" s="1365" t="n">
        <f aca="false">J5371/1792.8</f>
        <v>10.9699910754128</v>
      </c>
      <c r="L5371" s="1365" t="n">
        <v>15</v>
      </c>
      <c r="M5371" s="1273" t="n">
        <f aca="false">K5371*L5371/60</f>
        <v>2.74249776885319</v>
      </c>
    </row>
    <row r="5372" customFormat="false" ht="15" hidden="false" customHeight="false" outlineLevel="0" collapsed="false">
      <c r="A5372" s="317"/>
      <c r="B5372" s="59"/>
      <c r="C5372" s="1161" t="s">
        <v>7158</v>
      </c>
      <c r="D5372" s="317" t="n">
        <v>2004</v>
      </c>
      <c r="E5372" s="1365" t="n">
        <v>6</v>
      </c>
      <c r="F5372" s="1365" t="n">
        <v>6985000</v>
      </c>
      <c r="G5372" s="1364" t="n">
        <v>0.1</v>
      </c>
      <c r="H5372" s="1365" t="n">
        <f aca="false">E5372*F5372*G5372</f>
        <v>4191000</v>
      </c>
      <c r="I5372" s="1365" t="n">
        <f aca="false">F5372-H5372</f>
        <v>2794000</v>
      </c>
      <c r="J5372" s="1365" t="n">
        <f aca="false">F5372*G5372</f>
        <v>698500</v>
      </c>
      <c r="K5372" s="1365" t="n">
        <f aca="false">J5372/1792.8</f>
        <v>389.614011601963</v>
      </c>
      <c r="L5372" s="1365" t="n">
        <v>20</v>
      </c>
      <c r="M5372" s="1273" t="n">
        <f aca="false">K5372*L5372/60</f>
        <v>129.871337200654</v>
      </c>
    </row>
    <row r="5373" customFormat="false" ht="15" hidden="false" customHeight="false" outlineLevel="0" collapsed="false">
      <c r="A5373" s="317"/>
      <c r="B5373" s="59"/>
      <c r="C5373" s="1160"/>
      <c r="D5373" s="135"/>
      <c r="E5373" s="1370"/>
      <c r="F5373" s="1370"/>
      <c r="G5373" s="1372"/>
      <c r="H5373" s="1365" t="n">
        <f aca="false">E5373*F5373*G5373</f>
        <v>0</v>
      </c>
      <c r="I5373" s="1365" t="n">
        <f aca="false">F5373-H5373</f>
        <v>0</v>
      </c>
      <c r="J5373" s="1365" t="n">
        <f aca="false">F5373*G5373</f>
        <v>0</v>
      </c>
      <c r="K5373" s="1365" t="n">
        <f aca="false">J5373/1792.8</f>
        <v>0</v>
      </c>
      <c r="L5373" s="1370" t="n">
        <f aca="false">SUM(L5367:L5372)</f>
        <v>505</v>
      </c>
      <c r="M5373" s="1370" t="n">
        <f aca="false">SUM(M5367:M5372)</f>
        <v>583.43508292429</v>
      </c>
    </row>
    <row r="5374" customFormat="false" ht="15" hidden="false" customHeight="false" outlineLevel="0" collapsed="false">
      <c r="A5374" s="317" t="s">
        <v>2417</v>
      </c>
      <c r="B5374" s="40" t="s">
        <v>3935</v>
      </c>
      <c r="C5374" s="1219"/>
      <c r="D5374" s="40"/>
      <c r="E5374" s="1370"/>
      <c r="F5374" s="1370"/>
      <c r="G5374" s="1372"/>
      <c r="H5374" s="1365" t="n">
        <f aca="false">E5374*F5374*G5374</f>
        <v>0</v>
      </c>
      <c r="I5374" s="1365" t="n">
        <f aca="false">F5374-H5374</f>
        <v>0</v>
      </c>
      <c r="J5374" s="1365" t="n">
        <f aca="false">F5374*G5374</f>
        <v>0</v>
      </c>
      <c r="K5374" s="1365" t="n">
        <f aca="false">J5374/1792.8</f>
        <v>0</v>
      </c>
      <c r="L5374" s="1370"/>
      <c r="M5374" s="1366"/>
    </row>
    <row r="5375" customFormat="false" ht="15" hidden="false" customHeight="false" outlineLevel="0" collapsed="false">
      <c r="A5375" s="316"/>
      <c r="B5375" s="316"/>
      <c r="C5375" s="1161" t="s">
        <v>7245</v>
      </c>
      <c r="D5375" s="317" t="n">
        <v>2005</v>
      </c>
      <c r="E5375" s="1365" t="n">
        <v>5</v>
      </c>
      <c r="F5375" s="1365" t="n">
        <v>347000</v>
      </c>
      <c r="G5375" s="1364" t="n">
        <v>0.1</v>
      </c>
      <c r="H5375" s="1365" t="n">
        <f aca="false">E5375*F5375*G5375</f>
        <v>173500</v>
      </c>
      <c r="I5375" s="1365" t="n">
        <f aca="false">F5375-H5375</f>
        <v>173500</v>
      </c>
      <c r="J5375" s="1365" t="n">
        <f aca="false">F5375*G5375</f>
        <v>34700</v>
      </c>
      <c r="K5375" s="1365" t="n">
        <f aca="false">J5375/1792.8</f>
        <v>19.355198572066</v>
      </c>
      <c r="L5375" s="1365" t="n">
        <v>30</v>
      </c>
      <c r="M5375" s="1273" t="n">
        <f aca="false">K5375*L5375/60</f>
        <v>9.67759928603302</v>
      </c>
    </row>
    <row r="5376" customFormat="false" ht="15" hidden="false" customHeight="false" outlineLevel="0" collapsed="false">
      <c r="A5376" s="316"/>
      <c r="B5376" s="316"/>
      <c r="C5376" s="1161" t="s">
        <v>7264</v>
      </c>
      <c r="D5376" s="317" t="n">
        <v>2014</v>
      </c>
      <c r="E5376" s="1365" t="n">
        <v>10</v>
      </c>
      <c r="F5376" s="1365" t="n">
        <v>1638000</v>
      </c>
      <c r="G5376" s="1364"/>
      <c r="H5376" s="1365" t="n">
        <f aca="false">E5376*F5376*G5376</f>
        <v>0</v>
      </c>
      <c r="I5376" s="1365" t="n">
        <f aca="false">F5376-H5376</f>
        <v>1638000</v>
      </c>
      <c r="J5376" s="1365" t="n">
        <f aca="false">F5376*G5376</f>
        <v>0</v>
      </c>
      <c r="K5376" s="1365" t="n">
        <f aca="false">J5376/1792.8</f>
        <v>0</v>
      </c>
      <c r="L5376" s="1365"/>
      <c r="M5376" s="1273" t="n">
        <f aca="false">K5376*L5376/60</f>
        <v>0</v>
      </c>
    </row>
    <row r="5377" customFormat="false" ht="15" hidden="false" customHeight="false" outlineLevel="0" collapsed="false">
      <c r="A5377" s="316"/>
      <c r="B5377" s="316"/>
      <c r="C5377" s="1161" t="s">
        <v>7249</v>
      </c>
      <c r="D5377" s="317" t="n">
        <v>2005</v>
      </c>
      <c r="E5377" s="1365" t="n">
        <v>5</v>
      </c>
      <c r="F5377" s="1365" t="n">
        <v>347000</v>
      </c>
      <c r="G5377" s="1364" t="n">
        <v>0.1</v>
      </c>
      <c r="H5377" s="1365" t="n">
        <f aca="false">E5377*F5377*G5377</f>
        <v>173500</v>
      </c>
      <c r="I5377" s="1365" t="n">
        <f aca="false">F5377-H5377</f>
        <v>173500</v>
      </c>
      <c r="J5377" s="1365" t="n">
        <f aca="false">F5377*G5377</f>
        <v>34700</v>
      </c>
      <c r="K5377" s="1365" t="n">
        <f aca="false">J5377/1792.8</f>
        <v>19.355198572066</v>
      </c>
      <c r="L5377" s="1365" t="n">
        <v>60</v>
      </c>
      <c r="M5377" s="1273" t="n">
        <f aca="false">K5377*L5377/60</f>
        <v>19.355198572066</v>
      </c>
    </row>
    <row r="5378" customFormat="false" ht="15" hidden="false" customHeight="false" outlineLevel="0" collapsed="false">
      <c r="A5378" s="316"/>
      <c r="B5378" s="316"/>
      <c r="C5378" s="1161" t="s">
        <v>7170</v>
      </c>
      <c r="D5378" s="317" t="n">
        <v>2004</v>
      </c>
      <c r="E5378" s="1365" t="n">
        <v>6</v>
      </c>
      <c r="F5378" s="1365" t="n">
        <v>196670</v>
      </c>
      <c r="G5378" s="1364" t="n">
        <v>0.1</v>
      </c>
      <c r="H5378" s="1365" t="n">
        <f aca="false">E5378*F5378*G5378</f>
        <v>118002</v>
      </c>
      <c r="I5378" s="1365" t="n">
        <f aca="false">F5378-H5378</f>
        <v>78668</v>
      </c>
      <c r="J5378" s="1365" t="n">
        <f aca="false">F5378*G5378</f>
        <v>19667</v>
      </c>
      <c r="K5378" s="1365" t="n">
        <f aca="false">J5378/1792.8</f>
        <v>10.9699910754128</v>
      </c>
      <c r="L5378" s="1365" t="n">
        <v>15</v>
      </c>
      <c r="M5378" s="1273" t="n">
        <f aca="false">K5378*L5378/60</f>
        <v>2.74249776885319</v>
      </c>
    </row>
    <row r="5379" customFormat="false" ht="15" hidden="false" customHeight="false" outlineLevel="0" collapsed="false">
      <c r="A5379" s="216"/>
      <c r="B5379" s="78"/>
      <c r="C5379" s="1161" t="s">
        <v>7247</v>
      </c>
      <c r="D5379" s="317" t="n">
        <v>2004</v>
      </c>
      <c r="E5379" s="1365" t="n">
        <v>6</v>
      </c>
      <c r="F5379" s="1365" t="n">
        <v>202860</v>
      </c>
      <c r="G5379" s="1364" t="n">
        <v>0.1</v>
      </c>
      <c r="H5379" s="1365" t="n">
        <f aca="false">E5379*F5379*G5379</f>
        <v>121716</v>
      </c>
      <c r="I5379" s="1365" t="n">
        <f aca="false">F5379-H5379</f>
        <v>81144</v>
      </c>
      <c r="J5379" s="1365" t="n">
        <f aca="false">F5379*G5379</f>
        <v>20286</v>
      </c>
      <c r="K5379" s="1365" t="n">
        <f aca="false">J5379/1792.8</f>
        <v>11.3152610441767</v>
      </c>
      <c r="L5379" s="1365" t="n">
        <v>2880</v>
      </c>
      <c r="M5379" s="1273" t="n">
        <f aca="false">K5379*L5379/60</f>
        <v>543.132530120482</v>
      </c>
    </row>
    <row r="5380" customFormat="false" ht="15" hidden="false" customHeight="false" outlineLevel="0" collapsed="false">
      <c r="A5380" s="216"/>
      <c r="B5380" s="78"/>
      <c r="C5380" s="1161" t="s">
        <v>7158</v>
      </c>
      <c r="D5380" s="317" t="n">
        <v>2004</v>
      </c>
      <c r="E5380" s="1365" t="n">
        <v>6</v>
      </c>
      <c r="F5380" s="1365" t="n">
        <v>6985000</v>
      </c>
      <c r="G5380" s="1364" t="n">
        <v>0.1</v>
      </c>
      <c r="H5380" s="1365" t="n">
        <f aca="false">E5380*F5380*G5380</f>
        <v>4191000</v>
      </c>
      <c r="I5380" s="1365" t="n">
        <f aca="false">F5380-H5380</f>
        <v>2794000</v>
      </c>
      <c r="J5380" s="1365" t="n">
        <f aca="false">F5380*G5380</f>
        <v>698500</v>
      </c>
      <c r="K5380" s="1365" t="n">
        <f aca="false">J5380/1792.8</f>
        <v>389.614011601963</v>
      </c>
      <c r="L5380" s="1365" t="n">
        <v>15</v>
      </c>
      <c r="M5380" s="1273" t="n">
        <f aca="false">K5380*L5380/60</f>
        <v>97.4035029004909</v>
      </c>
    </row>
    <row r="5381" customFormat="false" ht="15" hidden="false" customHeight="false" outlineLevel="0" collapsed="false">
      <c r="A5381" s="216"/>
      <c r="B5381" s="78"/>
      <c r="C5381" s="1160"/>
      <c r="D5381" s="135"/>
      <c r="E5381" s="1370"/>
      <c r="F5381" s="1370"/>
      <c r="G5381" s="1372"/>
      <c r="H5381" s="1365" t="n">
        <f aca="false">E5381*F5381*G5381</f>
        <v>0</v>
      </c>
      <c r="I5381" s="1365" t="n">
        <f aca="false">F5381-H5381</f>
        <v>0</v>
      </c>
      <c r="J5381" s="1365" t="n">
        <f aca="false">F5381*G5381</f>
        <v>0</v>
      </c>
      <c r="K5381" s="1365" t="n">
        <f aca="false">J5381/1792.8</f>
        <v>0</v>
      </c>
      <c r="L5381" s="1370" t="n">
        <f aca="false">SUM(L5374:L5380)</f>
        <v>3000</v>
      </c>
      <c r="M5381" s="1370" t="n">
        <f aca="false">SUM(M5374:M5380)</f>
        <v>672.311328647925</v>
      </c>
    </row>
    <row r="5382" customFormat="false" ht="28.5" hidden="false" customHeight="false" outlineLevel="0" collapsed="false">
      <c r="A5382" s="350" t="s">
        <v>2419</v>
      </c>
      <c r="B5382" s="509" t="s">
        <v>3936</v>
      </c>
      <c r="C5382" s="509"/>
      <c r="D5382" s="350"/>
      <c r="E5382" s="1572"/>
      <c r="F5382" s="1572"/>
      <c r="G5382" s="1572"/>
      <c r="H5382" s="1512"/>
      <c r="I5382" s="1512"/>
      <c r="J5382" s="1512"/>
      <c r="K5382" s="1512"/>
      <c r="L5382" s="1572"/>
      <c r="M5382" s="1572"/>
    </row>
    <row r="5383" customFormat="false" ht="30" hidden="false" customHeight="false" outlineLevel="0" collapsed="false">
      <c r="A5383" s="317" t="s">
        <v>6581</v>
      </c>
      <c r="B5383" s="40" t="s">
        <v>7277</v>
      </c>
      <c r="C5383" s="1160"/>
      <c r="D5383" s="135"/>
      <c r="E5383" s="1370"/>
      <c r="F5383" s="1370"/>
      <c r="G5383" s="1372"/>
      <c r="H5383" s="1365" t="n">
        <f aca="false">E5383*F5383*G5383</f>
        <v>0</v>
      </c>
      <c r="I5383" s="1365" t="n">
        <f aca="false">F5383-H5383</f>
        <v>0</v>
      </c>
      <c r="J5383" s="1365" t="n">
        <f aca="false">F5383*G5383</f>
        <v>0</v>
      </c>
      <c r="K5383" s="1365" t="n">
        <f aca="false">J5383/1792.8</f>
        <v>0</v>
      </c>
      <c r="L5383" s="1370"/>
      <c r="M5383" s="1366"/>
    </row>
    <row r="5384" customFormat="false" ht="15" hidden="false" customHeight="false" outlineLevel="0" collapsed="false">
      <c r="A5384" s="216"/>
      <c r="B5384" s="78"/>
      <c r="C5384" s="1161" t="s">
        <v>7247</v>
      </c>
      <c r="D5384" s="317" t="n">
        <v>2004</v>
      </c>
      <c r="E5384" s="1365" t="n">
        <v>6</v>
      </c>
      <c r="F5384" s="1365" t="n">
        <v>202860</v>
      </c>
      <c r="G5384" s="1364" t="n">
        <v>0.15</v>
      </c>
      <c r="H5384" s="1365" t="n">
        <f aca="false">E5384*F5384*G5384</f>
        <v>182574</v>
      </c>
      <c r="I5384" s="1365" t="n">
        <f aca="false">F5384-H5384</f>
        <v>20286</v>
      </c>
      <c r="J5384" s="1365" t="n">
        <f aca="false">F5384*G5384</f>
        <v>30429</v>
      </c>
      <c r="K5384" s="1365" t="n">
        <f aca="false">J5384/1792.8</f>
        <v>16.9728915662651</v>
      </c>
      <c r="L5384" s="1365" t="n">
        <v>1440</v>
      </c>
      <c r="M5384" s="1273" t="n">
        <f aca="false">K5384*L5384/60</f>
        <v>407.349397590362</v>
      </c>
    </row>
    <row r="5385" customFormat="false" ht="15" hidden="false" customHeight="false" outlineLevel="0" collapsed="false">
      <c r="A5385" s="216"/>
      <c r="B5385" s="78"/>
      <c r="C5385" s="1161" t="s">
        <v>7249</v>
      </c>
      <c r="D5385" s="317" t="n">
        <v>2006</v>
      </c>
      <c r="E5385" s="1365" t="n">
        <v>4</v>
      </c>
      <c r="F5385" s="1365" t="n">
        <v>55500</v>
      </c>
      <c r="G5385" s="1364" t="n">
        <v>0.1</v>
      </c>
      <c r="H5385" s="1365" t="n">
        <f aca="false">E5385*F5385*G5385</f>
        <v>22200</v>
      </c>
      <c r="I5385" s="1365" t="n">
        <f aca="false">F5385-H5385</f>
        <v>33300</v>
      </c>
      <c r="J5385" s="1365" t="n">
        <f aca="false">F5385*G5385</f>
        <v>5550</v>
      </c>
      <c r="K5385" s="1365" t="n">
        <f aca="false">J5385/1792.8</f>
        <v>3.09571619812584</v>
      </c>
      <c r="L5385" s="1365" t="n">
        <v>10</v>
      </c>
      <c r="M5385" s="1273" t="n">
        <f aca="false">K5385*L5385/60</f>
        <v>0.51595269968764</v>
      </c>
    </row>
    <row r="5386" customFormat="false" ht="15" hidden="false" customHeight="false" outlineLevel="0" collapsed="false">
      <c r="A5386" s="216"/>
      <c r="B5386" s="78"/>
      <c r="C5386" s="1161" t="s">
        <v>7251</v>
      </c>
      <c r="D5386" s="317" t="n">
        <v>2005</v>
      </c>
      <c r="E5386" s="1365" t="n">
        <v>5</v>
      </c>
      <c r="F5386" s="1365" t="n">
        <v>1638000</v>
      </c>
      <c r="G5386" s="1364" t="n">
        <v>0.1</v>
      </c>
      <c r="H5386" s="1365" t="n">
        <f aca="false">E5386*F5386*G5386</f>
        <v>819000</v>
      </c>
      <c r="I5386" s="1365" t="n">
        <f aca="false">F5386-H5386</f>
        <v>819000</v>
      </c>
      <c r="J5386" s="1365" t="n">
        <f aca="false">F5386*G5386</f>
        <v>163800</v>
      </c>
      <c r="K5386" s="1365" t="n">
        <f aca="false">J5386/1792.8</f>
        <v>91.3654618473896</v>
      </c>
      <c r="L5386" s="1365" t="n">
        <v>80</v>
      </c>
      <c r="M5386" s="1273" t="n">
        <f aca="false">K5386*L5386/60</f>
        <v>121.820615796519</v>
      </c>
    </row>
    <row r="5387" customFormat="false" ht="15" hidden="false" customHeight="false" outlineLevel="0" collapsed="false">
      <c r="A5387" s="216"/>
      <c r="B5387" s="78"/>
      <c r="C5387" s="1161" t="s">
        <v>7252</v>
      </c>
      <c r="D5387" s="317" t="n">
        <v>2005</v>
      </c>
      <c r="E5387" s="1365" t="n">
        <v>5</v>
      </c>
      <c r="F5387" s="1365" t="n">
        <v>12190000</v>
      </c>
      <c r="G5387" s="1364" t="n">
        <v>0.1</v>
      </c>
      <c r="H5387" s="1365" t="n">
        <f aca="false">E5387*F5387*G5387</f>
        <v>6095000</v>
      </c>
      <c r="I5387" s="1365" t="n">
        <f aca="false">F5387-H5387</f>
        <v>6095000</v>
      </c>
      <c r="J5387" s="1365" t="n">
        <f aca="false">F5387*G5387</f>
        <v>1219000</v>
      </c>
      <c r="K5387" s="1365" t="n">
        <f aca="false">J5387/1792.8</f>
        <v>679.941990182954</v>
      </c>
      <c r="L5387" s="1365" t="n">
        <v>20</v>
      </c>
      <c r="M5387" s="1273" t="n">
        <f aca="false">K5387*L5387/60</f>
        <v>226.647330060985</v>
      </c>
    </row>
    <row r="5388" customFormat="false" ht="15" hidden="false" customHeight="false" outlineLevel="0" collapsed="false">
      <c r="A5388" s="316"/>
      <c r="B5388" s="316"/>
      <c r="C5388" s="1161" t="s">
        <v>7170</v>
      </c>
      <c r="D5388" s="317" t="n">
        <v>2004</v>
      </c>
      <c r="E5388" s="1365" t="n">
        <v>6</v>
      </c>
      <c r="F5388" s="1365" t="n">
        <v>196670</v>
      </c>
      <c r="G5388" s="1364" t="n">
        <v>0.1</v>
      </c>
      <c r="H5388" s="1365" t="n">
        <f aca="false">E5388*F5388*G5388</f>
        <v>118002</v>
      </c>
      <c r="I5388" s="1365" t="n">
        <f aca="false">F5388-H5388</f>
        <v>78668</v>
      </c>
      <c r="J5388" s="1365" t="n">
        <f aca="false">F5388*G5388</f>
        <v>19667</v>
      </c>
      <c r="K5388" s="1365" t="n">
        <f aca="false">J5388/1792.8</f>
        <v>10.9699910754128</v>
      </c>
      <c r="L5388" s="1365" t="n">
        <v>15</v>
      </c>
      <c r="M5388" s="1273" t="n">
        <f aca="false">K5388*L5388/60</f>
        <v>2.74249776885319</v>
      </c>
    </row>
    <row r="5389" customFormat="false" ht="15" hidden="false" customHeight="false" outlineLevel="0" collapsed="false">
      <c r="A5389" s="317"/>
      <c r="B5389" s="59"/>
      <c r="C5389" s="1161" t="s">
        <v>7158</v>
      </c>
      <c r="D5389" s="317" t="n">
        <v>2004</v>
      </c>
      <c r="E5389" s="1365" t="n">
        <v>6</v>
      </c>
      <c r="F5389" s="1365" t="n">
        <v>6985000</v>
      </c>
      <c r="G5389" s="1364" t="n">
        <v>0.1</v>
      </c>
      <c r="H5389" s="1365" t="n">
        <f aca="false">E5389*F5389*G5389</f>
        <v>4191000</v>
      </c>
      <c r="I5389" s="1365" t="n">
        <f aca="false">F5389-H5389</f>
        <v>2794000</v>
      </c>
      <c r="J5389" s="1365" t="n">
        <f aca="false">F5389*G5389</f>
        <v>698500</v>
      </c>
      <c r="K5389" s="1365" t="n">
        <f aca="false">J5389/1792.8</f>
        <v>389.614011601963</v>
      </c>
      <c r="L5389" s="1365" t="n">
        <v>20</v>
      </c>
      <c r="M5389" s="1273" t="n">
        <f aca="false">K5389*L5389/60</f>
        <v>129.871337200654</v>
      </c>
    </row>
    <row r="5390" customFormat="false" ht="15" hidden="false" customHeight="false" outlineLevel="0" collapsed="false">
      <c r="A5390" s="317"/>
      <c r="B5390" s="59"/>
      <c r="C5390" s="1219"/>
      <c r="D5390" s="40"/>
      <c r="E5390" s="1370"/>
      <c r="F5390" s="1370"/>
      <c r="G5390" s="1372"/>
      <c r="H5390" s="1365" t="n">
        <f aca="false">E5390*F5390*G5390</f>
        <v>0</v>
      </c>
      <c r="I5390" s="1365" t="n">
        <f aca="false">F5390-H5390</f>
        <v>0</v>
      </c>
      <c r="J5390" s="1365" t="n">
        <f aca="false">F5390*G5390</f>
        <v>0</v>
      </c>
      <c r="K5390" s="1365" t="n">
        <f aca="false">J5390/1792.8</f>
        <v>0</v>
      </c>
      <c r="L5390" s="1370" t="n">
        <f aca="false">SUM(L5384:L5389)</f>
        <v>1585</v>
      </c>
      <c r="M5390" s="1370" t="n">
        <f aca="false">SUM(M5384:M5389)</f>
        <v>888.947131117061</v>
      </c>
    </row>
    <row r="5391" customFormat="false" ht="30" hidden="false" customHeight="false" outlineLevel="0" collapsed="false">
      <c r="A5391" s="317" t="s">
        <v>6582</v>
      </c>
      <c r="B5391" s="40" t="s">
        <v>7278</v>
      </c>
      <c r="C5391" s="1161" t="s">
        <v>7245</v>
      </c>
      <c r="D5391" s="317" t="n">
        <v>2005</v>
      </c>
      <c r="E5391" s="1365" t="n">
        <v>5</v>
      </c>
      <c r="F5391" s="1365" t="n">
        <v>347000</v>
      </c>
      <c r="G5391" s="1364" t="n">
        <v>0.1</v>
      </c>
      <c r="H5391" s="1365" t="n">
        <f aca="false">E5391*F5391*G5391</f>
        <v>173500</v>
      </c>
      <c r="I5391" s="1365" t="n">
        <f aca="false">F5391-H5391</f>
        <v>173500</v>
      </c>
      <c r="J5391" s="1365" t="n">
        <f aca="false">F5391*G5391</f>
        <v>34700</v>
      </c>
      <c r="K5391" s="1365" t="n">
        <f aca="false">J5391/1792.8</f>
        <v>19.355198572066</v>
      </c>
      <c r="L5391" s="1365" t="n">
        <v>30</v>
      </c>
      <c r="M5391" s="1273" t="n">
        <f aca="false">K5391*L5391/60</f>
        <v>9.67759928603302</v>
      </c>
    </row>
    <row r="5392" customFormat="false" ht="15" hidden="false" customHeight="false" outlineLevel="0" collapsed="false">
      <c r="A5392" s="317"/>
      <c r="B5392" s="59"/>
      <c r="C5392" s="1161" t="s">
        <v>7264</v>
      </c>
      <c r="D5392" s="317" t="n">
        <v>2014</v>
      </c>
      <c r="E5392" s="1365" t="n">
        <v>10</v>
      </c>
      <c r="F5392" s="1365" t="n">
        <v>1638000</v>
      </c>
      <c r="G5392" s="1364"/>
      <c r="H5392" s="1365" t="n">
        <f aca="false">E5392*F5392*G5392</f>
        <v>0</v>
      </c>
      <c r="I5392" s="1365" t="n">
        <f aca="false">F5392-H5392</f>
        <v>1638000</v>
      </c>
      <c r="J5392" s="1365" t="n">
        <f aca="false">F5392*G5392</f>
        <v>0</v>
      </c>
      <c r="K5392" s="1365" t="n">
        <f aca="false">J5392/1792.8</f>
        <v>0</v>
      </c>
      <c r="L5392" s="1365"/>
      <c r="M5392" s="1273" t="n">
        <f aca="false">K5392*L5392/60</f>
        <v>0</v>
      </c>
    </row>
    <row r="5393" customFormat="false" ht="15" hidden="false" customHeight="false" outlineLevel="0" collapsed="false">
      <c r="A5393" s="317"/>
      <c r="B5393" s="59"/>
      <c r="C5393" s="1161" t="s">
        <v>7249</v>
      </c>
      <c r="D5393" s="317" t="n">
        <v>2005</v>
      </c>
      <c r="E5393" s="1365" t="n">
        <v>5</v>
      </c>
      <c r="F5393" s="1365" t="n">
        <v>347000</v>
      </c>
      <c r="G5393" s="1364" t="n">
        <v>0.1</v>
      </c>
      <c r="H5393" s="1365" t="n">
        <f aca="false">E5393*F5393*G5393</f>
        <v>173500</v>
      </c>
      <c r="I5393" s="1365" t="n">
        <f aca="false">F5393-H5393</f>
        <v>173500</v>
      </c>
      <c r="J5393" s="1365" t="n">
        <f aca="false">F5393*G5393</f>
        <v>34700</v>
      </c>
      <c r="K5393" s="1365" t="n">
        <f aca="false">J5393/1792.8</f>
        <v>19.355198572066</v>
      </c>
      <c r="L5393" s="1365" t="n">
        <v>60</v>
      </c>
      <c r="M5393" s="1273" t="n">
        <f aca="false">K5393*L5393/60</f>
        <v>19.355198572066</v>
      </c>
    </row>
    <row r="5394" customFormat="false" ht="15" hidden="false" customHeight="false" outlineLevel="0" collapsed="false">
      <c r="A5394" s="317"/>
      <c r="B5394" s="59"/>
      <c r="C5394" s="1161" t="s">
        <v>7170</v>
      </c>
      <c r="D5394" s="317" t="n">
        <v>2004</v>
      </c>
      <c r="E5394" s="1365" t="n">
        <v>6</v>
      </c>
      <c r="F5394" s="1365" t="n">
        <v>196670</v>
      </c>
      <c r="G5394" s="1364" t="n">
        <v>0.1</v>
      </c>
      <c r="H5394" s="1365" t="n">
        <f aca="false">E5394*F5394*G5394</f>
        <v>118002</v>
      </c>
      <c r="I5394" s="1365" t="n">
        <f aca="false">F5394-H5394</f>
        <v>78668</v>
      </c>
      <c r="J5394" s="1365" t="n">
        <f aca="false">F5394*G5394</f>
        <v>19667</v>
      </c>
      <c r="K5394" s="1365" t="n">
        <f aca="false">J5394/1792.8</f>
        <v>10.9699910754128</v>
      </c>
      <c r="L5394" s="1365" t="n">
        <v>15</v>
      </c>
      <c r="M5394" s="1273" t="n">
        <f aca="false">K5394*L5394/60</f>
        <v>2.74249776885319</v>
      </c>
    </row>
    <row r="5395" customFormat="false" ht="15" hidden="false" customHeight="false" outlineLevel="0" collapsed="false">
      <c r="A5395" s="317"/>
      <c r="B5395" s="59"/>
      <c r="C5395" s="1161" t="s">
        <v>7247</v>
      </c>
      <c r="D5395" s="317" t="n">
        <v>2004</v>
      </c>
      <c r="E5395" s="1365" t="n">
        <v>6</v>
      </c>
      <c r="F5395" s="1365" t="n">
        <v>202860</v>
      </c>
      <c r="G5395" s="1364" t="n">
        <v>0.1</v>
      </c>
      <c r="H5395" s="1365" t="n">
        <f aca="false">E5395*F5395*G5395</f>
        <v>121716</v>
      </c>
      <c r="I5395" s="1365" t="n">
        <f aca="false">F5395-H5395</f>
        <v>81144</v>
      </c>
      <c r="J5395" s="1365" t="n">
        <f aca="false">F5395*G5395</f>
        <v>20286</v>
      </c>
      <c r="K5395" s="1365" t="n">
        <f aca="false">J5395/1792.8</f>
        <v>11.3152610441767</v>
      </c>
      <c r="L5395" s="1365" t="n">
        <v>2880</v>
      </c>
      <c r="M5395" s="1273" t="n">
        <f aca="false">K5395*L5395/60</f>
        <v>543.132530120482</v>
      </c>
    </row>
    <row r="5396" customFormat="false" ht="15" hidden="false" customHeight="false" outlineLevel="0" collapsed="false">
      <c r="A5396" s="316"/>
      <c r="B5396" s="316"/>
      <c r="C5396" s="1161" t="s">
        <v>7158</v>
      </c>
      <c r="D5396" s="317" t="n">
        <v>2004</v>
      </c>
      <c r="E5396" s="1365" t="n">
        <v>6</v>
      </c>
      <c r="F5396" s="1365" t="n">
        <v>6985000</v>
      </c>
      <c r="G5396" s="1364" t="n">
        <v>0.1</v>
      </c>
      <c r="H5396" s="1365" t="n">
        <f aca="false">E5396*F5396*G5396</f>
        <v>4191000</v>
      </c>
      <c r="I5396" s="1365" t="n">
        <f aca="false">F5396-H5396</f>
        <v>2794000</v>
      </c>
      <c r="J5396" s="1365" t="n">
        <f aca="false">F5396*G5396</f>
        <v>698500</v>
      </c>
      <c r="K5396" s="1365" t="n">
        <f aca="false">J5396/1792.8</f>
        <v>389.614011601963</v>
      </c>
      <c r="L5396" s="1365" t="n">
        <v>15</v>
      </c>
      <c r="M5396" s="1273" t="n">
        <f aca="false">K5396*L5396/60</f>
        <v>97.4035029004909</v>
      </c>
    </row>
    <row r="5397" customFormat="false" ht="15" hidden="false" customHeight="false" outlineLevel="0" collapsed="false">
      <c r="A5397" s="317"/>
      <c r="B5397" s="59"/>
      <c r="C5397" s="1160"/>
      <c r="D5397" s="135"/>
      <c r="E5397" s="1370"/>
      <c r="F5397" s="1370"/>
      <c r="G5397" s="1372"/>
      <c r="H5397" s="1365" t="n">
        <f aca="false">E5397*F5397*G5397</f>
        <v>0</v>
      </c>
      <c r="I5397" s="1365" t="n">
        <f aca="false">F5397-H5397</f>
        <v>0</v>
      </c>
      <c r="J5397" s="1365" t="n">
        <f aca="false">F5397*G5397</f>
        <v>0</v>
      </c>
      <c r="K5397" s="1365" t="n">
        <f aca="false">J5397/1792.8</f>
        <v>0</v>
      </c>
      <c r="L5397" s="1370" t="n">
        <f aca="false">SUM(L5391:L5396)</f>
        <v>3000</v>
      </c>
      <c r="M5397" s="1370" t="n">
        <f aca="false">SUM(M5391:M5396)</f>
        <v>672.311328647925</v>
      </c>
    </row>
    <row r="5398" customFormat="false" ht="30" hidden="false" customHeight="false" outlineLevel="0" collapsed="false">
      <c r="A5398" s="317" t="s">
        <v>6585</v>
      </c>
      <c r="B5398" s="40" t="s">
        <v>3939</v>
      </c>
      <c r="C5398" s="1161" t="s">
        <v>7245</v>
      </c>
      <c r="D5398" s="317" t="n">
        <v>2005</v>
      </c>
      <c r="E5398" s="1365" t="n">
        <v>5</v>
      </c>
      <c r="F5398" s="1365" t="n">
        <v>347000</v>
      </c>
      <c r="G5398" s="1364" t="n">
        <v>0.1</v>
      </c>
      <c r="H5398" s="1365" t="n">
        <f aca="false">E5398*F5398*G5398</f>
        <v>173500</v>
      </c>
      <c r="I5398" s="1365" t="n">
        <f aca="false">F5398-H5398</f>
        <v>173500</v>
      </c>
      <c r="J5398" s="1365" t="n">
        <f aca="false">F5398*G5398</f>
        <v>34700</v>
      </c>
      <c r="K5398" s="1365" t="n">
        <f aca="false">J5398/1792.8</f>
        <v>19.355198572066</v>
      </c>
      <c r="L5398" s="1365" t="n">
        <v>30</v>
      </c>
      <c r="M5398" s="1273" t="n">
        <f aca="false">K5398*L5398/60</f>
        <v>9.67759928603302</v>
      </c>
    </row>
    <row r="5399" customFormat="false" ht="15" hidden="false" customHeight="false" outlineLevel="0" collapsed="false">
      <c r="A5399" s="317"/>
      <c r="B5399" s="59"/>
      <c r="C5399" s="1161" t="s">
        <v>7264</v>
      </c>
      <c r="D5399" s="317" t="n">
        <v>2014</v>
      </c>
      <c r="E5399" s="1365" t="n">
        <v>10</v>
      </c>
      <c r="F5399" s="1365" t="n">
        <v>1638000</v>
      </c>
      <c r="G5399" s="1364"/>
      <c r="H5399" s="1365" t="n">
        <f aca="false">E5399*F5399*G5399</f>
        <v>0</v>
      </c>
      <c r="I5399" s="1365" t="n">
        <f aca="false">F5399-H5399</f>
        <v>1638000</v>
      </c>
      <c r="J5399" s="1365" t="n">
        <f aca="false">F5399*G5399</f>
        <v>0</v>
      </c>
      <c r="K5399" s="1365" t="n">
        <f aca="false">J5399/1792.8</f>
        <v>0</v>
      </c>
      <c r="L5399" s="1365"/>
      <c r="M5399" s="1273" t="n">
        <f aca="false">K5399*L5399/60</f>
        <v>0</v>
      </c>
    </row>
    <row r="5400" customFormat="false" ht="15" hidden="false" customHeight="false" outlineLevel="0" collapsed="false">
      <c r="A5400" s="317"/>
      <c r="B5400" s="59"/>
      <c r="C5400" s="1161" t="s">
        <v>7249</v>
      </c>
      <c r="D5400" s="317" t="n">
        <v>2005</v>
      </c>
      <c r="E5400" s="1365" t="n">
        <v>5</v>
      </c>
      <c r="F5400" s="1365" t="n">
        <v>347000</v>
      </c>
      <c r="G5400" s="1364" t="n">
        <v>0.1</v>
      </c>
      <c r="H5400" s="1365" t="n">
        <f aca="false">E5400*F5400*G5400</f>
        <v>173500</v>
      </c>
      <c r="I5400" s="1365" t="n">
        <f aca="false">F5400-H5400</f>
        <v>173500</v>
      </c>
      <c r="J5400" s="1365" t="n">
        <f aca="false">F5400*G5400</f>
        <v>34700</v>
      </c>
      <c r="K5400" s="1365" t="n">
        <f aca="false">J5400/1792.8</f>
        <v>19.355198572066</v>
      </c>
      <c r="L5400" s="1365" t="n">
        <v>60</v>
      </c>
      <c r="M5400" s="1273" t="n">
        <f aca="false">K5400*L5400/60</f>
        <v>19.355198572066</v>
      </c>
    </row>
    <row r="5401" customFormat="false" ht="15" hidden="false" customHeight="false" outlineLevel="0" collapsed="false">
      <c r="A5401" s="317"/>
      <c r="B5401" s="59"/>
      <c r="C5401" s="1161" t="s">
        <v>7170</v>
      </c>
      <c r="D5401" s="317" t="n">
        <v>2004</v>
      </c>
      <c r="E5401" s="1365" t="n">
        <v>6</v>
      </c>
      <c r="F5401" s="1365" t="n">
        <v>196670</v>
      </c>
      <c r="G5401" s="1364" t="n">
        <v>0.1</v>
      </c>
      <c r="H5401" s="1365" t="n">
        <f aca="false">E5401*F5401*G5401</f>
        <v>118002</v>
      </c>
      <c r="I5401" s="1365" t="n">
        <f aca="false">F5401-H5401</f>
        <v>78668</v>
      </c>
      <c r="J5401" s="1365" t="n">
        <f aca="false">F5401*G5401</f>
        <v>19667</v>
      </c>
      <c r="K5401" s="1365" t="n">
        <f aca="false">J5401/1792.8</f>
        <v>10.9699910754128</v>
      </c>
      <c r="L5401" s="1365" t="n">
        <v>15</v>
      </c>
      <c r="M5401" s="1273" t="n">
        <f aca="false">K5401*L5401/60</f>
        <v>2.74249776885319</v>
      </c>
    </row>
    <row r="5402" customFormat="false" ht="15" hidden="false" customHeight="false" outlineLevel="0" collapsed="false">
      <c r="A5402" s="317"/>
      <c r="B5402" s="59"/>
      <c r="C5402" s="1161" t="s">
        <v>7247</v>
      </c>
      <c r="D5402" s="317" t="n">
        <v>2004</v>
      </c>
      <c r="E5402" s="1365" t="n">
        <v>6</v>
      </c>
      <c r="F5402" s="1365" t="n">
        <v>202860</v>
      </c>
      <c r="G5402" s="1364" t="n">
        <v>0.1</v>
      </c>
      <c r="H5402" s="1365" t="n">
        <f aca="false">E5402*F5402*G5402</f>
        <v>121716</v>
      </c>
      <c r="I5402" s="1365" t="n">
        <f aca="false">F5402-H5402</f>
        <v>81144</v>
      </c>
      <c r="J5402" s="1365" t="n">
        <f aca="false">F5402*G5402</f>
        <v>20286</v>
      </c>
      <c r="K5402" s="1365" t="n">
        <f aca="false">J5402/1792.8</f>
        <v>11.3152610441767</v>
      </c>
      <c r="L5402" s="1365" t="n">
        <v>1440</v>
      </c>
      <c r="M5402" s="1273" t="n">
        <f aca="false">K5402*L5402/60</f>
        <v>271.566265060241</v>
      </c>
    </row>
    <row r="5403" customFormat="false" ht="15" hidden="false" customHeight="false" outlineLevel="0" collapsed="false">
      <c r="A5403" s="317"/>
      <c r="B5403" s="59"/>
      <c r="C5403" s="1161" t="s">
        <v>7158</v>
      </c>
      <c r="D5403" s="317" t="n">
        <v>2004</v>
      </c>
      <c r="E5403" s="1365" t="n">
        <v>6</v>
      </c>
      <c r="F5403" s="1365" t="n">
        <v>6985000</v>
      </c>
      <c r="G5403" s="1364" t="n">
        <v>0.1</v>
      </c>
      <c r="H5403" s="1365" t="n">
        <f aca="false">E5403*F5403*G5403</f>
        <v>4191000</v>
      </c>
      <c r="I5403" s="1365" t="n">
        <f aca="false">F5403-H5403</f>
        <v>2794000</v>
      </c>
      <c r="J5403" s="1365" t="n">
        <f aca="false">F5403*G5403</f>
        <v>698500</v>
      </c>
      <c r="K5403" s="1365" t="n">
        <f aca="false">J5403/1792.8</f>
        <v>389.614011601963</v>
      </c>
      <c r="L5403" s="1365" t="n">
        <v>15</v>
      </c>
      <c r="M5403" s="1273" t="n">
        <f aca="false">K5403*L5403/60</f>
        <v>97.4035029004909</v>
      </c>
    </row>
    <row r="5404" customFormat="false" ht="15" hidden="false" customHeight="false" outlineLevel="0" collapsed="false">
      <c r="A5404" s="317"/>
      <c r="B5404" s="59"/>
      <c r="C5404" s="1160"/>
      <c r="D5404" s="135"/>
      <c r="E5404" s="1370"/>
      <c r="F5404" s="1370"/>
      <c r="G5404" s="1372"/>
      <c r="H5404" s="1365" t="n">
        <f aca="false">E5404*F5404*G5404</f>
        <v>0</v>
      </c>
      <c r="I5404" s="1365" t="n">
        <f aca="false">F5404-H5404</f>
        <v>0</v>
      </c>
      <c r="J5404" s="1365" t="n">
        <f aca="false">F5404*G5404</f>
        <v>0</v>
      </c>
      <c r="K5404" s="1365" t="n">
        <f aca="false">J5404/1792.8</f>
        <v>0</v>
      </c>
      <c r="L5404" s="1370" t="n">
        <f aca="false">SUM(L5398:L5403)</f>
        <v>1560</v>
      </c>
      <c r="M5404" s="1370" t="n">
        <f aca="false">SUM(M5398:M5403)</f>
        <v>400.745063587684</v>
      </c>
    </row>
    <row r="5405" customFormat="false" ht="15" hidden="false" customHeight="false" outlineLevel="0" collapsed="false">
      <c r="A5405" s="350" t="s">
        <v>2427</v>
      </c>
      <c r="B5405" s="1575" t="s">
        <v>6588</v>
      </c>
      <c r="C5405" s="509"/>
      <c r="D5405" s="350"/>
      <c r="E5405" s="1572"/>
      <c r="F5405" s="1572"/>
      <c r="G5405" s="1572"/>
      <c r="H5405" s="1512" t="n">
        <f aca="false">E5405*F5405*G5405</f>
        <v>0</v>
      </c>
      <c r="I5405" s="1512" t="n">
        <f aca="false">F5405-H5405</f>
        <v>0</v>
      </c>
      <c r="J5405" s="1512" t="n">
        <f aca="false">F5405*G5405</f>
        <v>0</v>
      </c>
      <c r="K5405" s="1512"/>
      <c r="L5405" s="1572"/>
      <c r="M5405" s="1572"/>
    </row>
    <row r="5406" customFormat="false" ht="30" hidden="false" customHeight="false" outlineLevel="0" collapsed="false">
      <c r="A5406" s="317" t="s">
        <v>6589</v>
      </c>
      <c r="B5406" s="40" t="s">
        <v>7279</v>
      </c>
      <c r="C5406" s="1160"/>
      <c r="D5406" s="135"/>
      <c r="E5406" s="1370"/>
      <c r="F5406" s="1370"/>
      <c r="G5406" s="1372"/>
      <c r="H5406" s="1365" t="n">
        <f aca="false">E5406*F5406*G5406</f>
        <v>0</v>
      </c>
      <c r="I5406" s="1365" t="n">
        <f aca="false">F5406-H5406</f>
        <v>0</v>
      </c>
      <c r="J5406" s="1365" t="n">
        <f aca="false">F5406*G5406</f>
        <v>0</v>
      </c>
      <c r="K5406" s="1365" t="n">
        <f aca="false">J5406/1792.8</f>
        <v>0</v>
      </c>
      <c r="L5406" s="1370"/>
      <c r="M5406" s="1366"/>
    </row>
    <row r="5407" customFormat="false" ht="15" hidden="false" customHeight="false" outlineLevel="0" collapsed="false">
      <c r="A5407" s="216"/>
      <c r="B5407" s="78"/>
      <c r="C5407" s="1161" t="s">
        <v>7247</v>
      </c>
      <c r="D5407" s="317" t="n">
        <v>2004</v>
      </c>
      <c r="E5407" s="1365" t="n">
        <v>6</v>
      </c>
      <c r="F5407" s="1365" t="n">
        <v>202860</v>
      </c>
      <c r="G5407" s="1364" t="n">
        <v>0.15</v>
      </c>
      <c r="H5407" s="1365" t="n">
        <f aca="false">E5407*F5407*G5407</f>
        <v>182574</v>
      </c>
      <c r="I5407" s="1365" t="n">
        <f aca="false">F5407-H5407</f>
        <v>20286</v>
      </c>
      <c r="J5407" s="1365" t="n">
        <f aca="false">F5407*G5407</f>
        <v>30429</v>
      </c>
      <c r="K5407" s="1365" t="n">
        <f aca="false">J5407/1792.8</f>
        <v>16.9728915662651</v>
      </c>
      <c r="L5407" s="1365" t="n">
        <v>1440</v>
      </c>
      <c r="M5407" s="1273" t="n">
        <f aca="false">K5407*L5407/60</f>
        <v>407.349397590362</v>
      </c>
    </row>
    <row r="5408" customFormat="false" ht="15" hidden="false" customHeight="false" outlineLevel="0" collapsed="false">
      <c r="A5408" s="216"/>
      <c r="B5408" s="78"/>
      <c r="C5408" s="1161" t="s">
        <v>7249</v>
      </c>
      <c r="D5408" s="317" t="n">
        <v>2006</v>
      </c>
      <c r="E5408" s="1365" t="n">
        <v>4</v>
      </c>
      <c r="F5408" s="1365" t="n">
        <v>55500</v>
      </c>
      <c r="G5408" s="1364" t="n">
        <v>0.1</v>
      </c>
      <c r="H5408" s="1365" t="n">
        <f aca="false">E5408*F5408*G5408</f>
        <v>22200</v>
      </c>
      <c r="I5408" s="1365" t="n">
        <f aca="false">F5408-H5408</f>
        <v>33300</v>
      </c>
      <c r="J5408" s="1365" t="n">
        <f aca="false">F5408*G5408</f>
        <v>5550</v>
      </c>
      <c r="K5408" s="1365" t="n">
        <f aca="false">J5408/1792.8</f>
        <v>3.09571619812584</v>
      </c>
      <c r="L5408" s="1365" t="n">
        <v>10</v>
      </c>
      <c r="M5408" s="1273" t="n">
        <f aca="false">K5408*L5408/60</f>
        <v>0.51595269968764</v>
      </c>
    </row>
    <row r="5409" s="311" customFormat="true" ht="15" hidden="false" customHeight="false" outlineLevel="0" collapsed="false">
      <c r="C5409" s="1161" t="s">
        <v>7251</v>
      </c>
      <c r="D5409" s="317" t="n">
        <v>2005</v>
      </c>
      <c r="E5409" s="1365" t="n">
        <v>5</v>
      </c>
      <c r="F5409" s="1365" t="n">
        <v>1638000</v>
      </c>
      <c r="G5409" s="1364" t="n">
        <v>0.1</v>
      </c>
      <c r="H5409" s="1365" t="n">
        <f aca="false">E5409*F5409*G5409</f>
        <v>819000</v>
      </c>
      <c r="I5409" s="1365" t="n">
        <f aca="false">F5409-H5409</f>
        <v>819000</v>
      </c>
      <c r="J5409" s="1365" t="n">
        <f aca="false">F5409*G5409</f>
        <v>163800</v>
      </c>
      <c r="K5409" s="1365" t="n">
        <f aca="false">J5409/1792.8</f>
        <v>91.3654618473896</v>
      </c>
      <c r="L5409" s="1365" t="n">
        <v>80</v>
      </c>
      <c r="M5409" s="1273" t="n">
        <f aca="false">K5409*L5409/60</f>
        <v>121.820615796519</v>
      </c>
    </row>
    <row r="5410" customFormat="false" ht="15" hidden="false" customHeight="false" outlineLevel="0" collapsed="false">
      <c r="A5410" s="317"/>
      <c r="B5410" s="59"/>
      <c r="C5410" s="1161" t="s">
        <v>7252</v>
      </c>
      <c r="D5410" s="317" t="n">
        <v>2005</v>
      </c>
      <c r="E5410" s="1365" t="n">
        <v>5</v>
      </c>
      <c r="F5410" s="1365" t="n">
        <v>12190000</v>
      </c>
      <c r="G5410" s="1364" t="n">
        <v>0.1</v>
      </c>
      <c r="H5410" s="1365" t="n">
        <f aca="false">E5410*F5410*G5410</f>
        <v>6095000</v>
      </c>
      <c r="I5410" s="1365" t="n">
        <f aca="false">F5410-H5410</f>
        <v>6095000</v>
      </c>
      <c r="J5410" s="1365" t="n">
        <f aca="false">F5410*G5410</f>
        <v>1219000</v>
      </c>
      <c r="K5410" s="1365" t="n">
        <f aca="false">J5410/1792.8</f>
        <v>679.941990182954</v>
      </c>
      <c r="L5410" s="1365" t="n">
        <v>20</v>
      </c>
      <c r="M5410" s="1273" t="n">
        <f aca="false">K5410*L5410/60</f>
        <v>226.647330060985</v>
      </c>
    </row>
    <row r="5411" customFormat="false" ht="15" hidden="false" customHeight="false" outlineLevel="0" collapsed="false">
      <c r="A5411" s="317"/>
      <c r="B5411" s="59"/>
      <c r="C5411" s="1161" t="s">
        <v>7170</v>
      </c>
      <c r="D5411" s="317" t="n">
        <v>2004</v>
      </c>
      <c r="E5411" s="1365" t="n">
        <v>6</v>
      </c>
      <c r="F5411" s="1365" t="n">
        <v>196670</v>
      </c>
      <c r="G5411" s="1364" t="n">
        <v>0.1</v>
      </c>
      <c r="H5411" s="1365" t="n">
        <f aca="false">E5411*F5411*G5411</f>
        <v>118002</v>
      </c>
      <c r="I5411" s="1365" t="n">
        <f aca="false">F5411-H5411</f>
        <v>78668</v>
      </c>
      <c r="J5411" s="1365" t="n">
        <f aca="false">F5411*G5411</f>
        <v>19667</v>
      </c>
      <c r="K5411" s="1365" t="n">
        <f aca="false">J5411/1792.8</f>
        <v>10.9699910754128</v>
      </c>
      <c r="L5411" s="1365" t="n">
        <v>15</v>
      </c>
      <c r="M5411" s="1273" t="n">
        <f aca="false">K5411*L5411/60</f>
        <v>2.74249776885319</v>
      </c>
    </row>
    <row r="5412" customFormat="false" ht="15" hidden="false" customHeight="false" outlineLevel="0" collapsed="false">
      <c r="A5412" s="317"/>
      <c r="B5412" s="59"/>
      <c r="C5412" s="1161" t="s">
        <v>7158</v>
      </c>
      <c r="D5412" s="317" t="n">
        <v>2004</v>
      </c>
      <c r="E5412" s="1365" t="n">
        <v>6</v>
      </c>
      <c r="F5412" s="1365" t="n">
        <v>6985000</v>
      </c>
      <c r="G5412" s="1364" t="n">
        <v>0.1</v>
      </c>
      <c r="H5412" s="1365" t="n">
        <f aca="false">E5412*F5412*G5412</f>
        <v>4191000</v>
      </c>
      <c r="I5412" s="1365" t="n">
        <f aca="false">F5412-H5412</f>
        <v>2794000</v>
      </c>
      <c r="J5412" s="1365" t="n">
        <f aca="false">F5412*G5412</f>
        <v>698500</v>
      </c>
      <c r="K5412" s="1365" t="n">
        <f aca="false">J5412/1792.8</f>
        <v>389.614011601963</v>
      </c>
      <c r="L5412" s="1365" t="n">
        <v>20</v>
      </c>
      <c r="M5412" s="1273" t="n">
        <f aca="false">K5412*L5412/60</f>
        <v>129.871337200654</v>
      </c>
    </row>
    <row r="5413" customFormat="false" ht="15" hidden="false" customHeight="false" outlineLevel="0" collapsed="false">
      <c r="A5413" s="317"/>
      <c r="B5413" s="59"/>
      <c r="C5413" s="1160"/>
      <c r="D5413" s="135"/>
      <c r="E5413" s="1370"/>
      <c r="F5413" s="1370"/>
      <c r="G5413" s="1372"/>
      <c r="H5413" s="1365" t="n">
        <f aca="false">E5413*F5413*G5413</f>
        <v>0</v>
      </c>
      <c r="I5413" s="1365" t="n">
        <f aca="false">F5413-H5413</f>
        <v>0</v>
      </c>
      <c r="J5413" s="1365" t="n">
        <f aca="false">F5413*G5413</f>
        <v>0</v>
      </c>
      <c r="K5413" s="1365" t="n">
        <f aca="false">J5413/1792.8</f>
        <v>0</v>
      </c>
      <c r="L5413" s="1370" t="n">
        <f aca="false">SUM(L5407:L5412)</f>
        <v>1585</v>
      </c>
      <c r="M5413" s="1370" t="n">
        <f aca="false">SUM(M5407:M5412)</f>
        <v>888.947131117061</v>
      </c>
    </row>
    <row r="5414" customFormat="false" ht="15" hidden="false" customHeight="false" outlineLevel="0" collapsed="false">
      <c r="A5414" s="317" t="s">
        <v>6591</v>
      </c>
      <c r="B5414" s="40" t="s">
        <v>7280</v>
      </c>
      <c r="C5414" s="972"/>
      <c r="D5414" s="40"/>
      <c r="E5414" s="1370"/>
      <c r="F5414" s="1370"/>
      <c r="G5414" s="1372"/>
      <c r="H5414" s="1365" t="n">
        <f aca="false">E5414*F5414*G5414</f>
        <v>0</v>
      </c>
      <c r="I5414" s="1365" t="n">
        <f aca="false">F5414-H5414</f>
        <v>0</v>
      </c>
      <c r="J5414" s="1365" t="n">
        <f aca="false">F5414*G5414</f>
        <v>0</v>
      </c>
      <c r="K5414" s="1365" t="n">
        <f aca="false">J5414/1792.8</f>
        <v>0</v>
      </c>
      <c r="L5414" s="1370"/>
      <c r="M5414" s="1366"/>
    </row>
    <row r="5415" customFormat="false" ht="15" hidden="false" customHeight="false" outlineLevel="0" collapsed="false">
      <c r="A5415" s="317"/>
      <c r="B5415" s="59"/>
      <c r="C5415" s="1161" t="s">
        <v>7245</v>
      </c>
      <c r="D5415" s="317" t="n">
        <v>2005</v>
      </c>
      <c r="E5415" s="1365" t="n">
        <v>5</v>
      </c>
      <c r="F5415" s="1365" t="n">
        <v>347000</v>
      </c>
      <c r="G5415" s="1364" t="n">
        <v>0.1</v>
      </c>
      <c r="H5415" s="1365" t="n">
        <f aca="false">E5415*F5415*G5415</f>
        <v>173500</v>
      </c>
      <c r="I5415" s="1365" t="n">
        <f aca="false">F5415-H5415</f>
        <v>173500</v>
      </c>
      <c r="J5415" s="1365" t="n">
        <f aca="false">F5415*G5415</f>
        <v>34700</v>
      </c>
      <c r="K5415" s="1365" t="n">
        <f aca="false">J5415/1792.8</f>
        <v>19.355198572066</v>
      </c>
      <c r="L5415" s="1365" t="n">
        <v>30</v>
      </c>
      <c r="M5415" s="1273" t="n">
        <f aca="false">K5415*L5415/60</f>
        <v>9.67759928603302</v>
      </c>
    </row>
    <row r="5416" customFormat="false" ht="15" hidden="false" customHeight="false" outlineLevel="0" collapsed="false">
      <c r="A5416" s="317"/>
      <c r="B5416" s="59"/>
      <c r="C5416" s="1161" t="s">
        <v>7264</v>
      </c>
      <c r="D5416" s="317" t="n">
        <v>2014</v>
      </c>
      <c r="E5416" s="1365" t="n">
        <v>3</v>
      </c>
      <c r="F5416" s="1365" t="n">
        <v>1411800</v>
      </c>
      <c r="G5416" s="1364"/>
      <c r="H5416" s="1365" t="n">
        <f aca="false">E5416*F5416*G5416</f>
        <v>0</v>
      </c>
      <c r="I5416" s="1365" t="n">
        <f aca="false">F5416-H5416</f>
        <v>1411800</v>
      </c>
      <c r="J5416" s="1365" t="n">
        <f aca="false">F5416*G5416</f>
        <v>0</v>
      </c>
      <c r="K5416" s="1365" t="n">
        <f aca="false">J5416/1792.8</f>
        <v>0</v>
      </c>
      <c r="L5416" s="1365"/>
      <c r="M5416" s="1273" t="n">
        <f aca="false">K5416*L5416/60</f>
        <v>0</v>
      </c>
    </row>
    <row r="5417" s="311" customFormat="true" ht="15" hidden="false" customHeight="false" outlineLevel="0" collapsed="false">
      <c r="C5417" s="1161" t="s">
        <v>7249</v>
      </c>
      <c r="D5417" s="317" t="n">
        <v>2005</v>
      </c>
      <c r="E5417" s="1365" t="n">
        <v>5</v>
      </c>
      <c r="F5417" s="1365" t="n">
        <v>347000</v>
      </c>
      <c r="G5417" s="1364" t="n">
        <v>0.1</v>
      </c>
      <c r="H5417" s="1365" t="n">
        <f aca="false">E5417*F5417*G5417</f>
        <v>173500</v>
      </c>
      <c r="I5417" s="1365" t="n">
        <f aca="false">F5417-H5417</f>
        <v>173500</v>
      </c>
      <c r="J5417" s="1365" t="n">
        <f aca="false">F5417*G5417</f>
        <v>34700</v>
      </c>
      <c r="K5417" s="1365" t="n">
        <f aca="false">J5417/1792.8</f>
        <v>19.355198572066</v>
      </c>
      <c r="L5417" s="1365" t="n">
        <v>60</v>
      </c>
      <c r="M5417" s="1273" t="n">
        <f aca="false">K5417*L5417/60</f>
        <v>19.355198572066</v>
      </c>
    </row>
    <row r="5418" customFormat="false" ht="15" hidden="false" customHeight="false" outlineLevel="0" collapsed="false">
      <c r="A5418" s="216"/>
      <c r="B5418" s="78"/>
      <c r="C5418" s="1161" t="s">
        <v>7170</v>
      </c>
      <c r="D5418" s="317" t="n">
        <v>2004</v>
      </c>
      <c r="E5418" s="1365" t="n">
        <v>6</v>
      </c>
      <c r="F5418" s="1365" t="n">
        <v>196670</v>
      </c>
      <c r="G5418" s="1364" t="n">
        <v>0.1</v>
      </c>
      <c r="H5418" s="1365" t="n">
        <f aca="false">E5418*F5418*G5418</f>
        <v>118002</v>
      </c>
      <c r="I5418" s="1365" t="n">
        <f aca="false">F5418-H5418</f>
        <v>78668</v>
      </c>
      <c r="J5418" s="1365" t="n">
        <f aca="false">F5418*G5418</f>
        <v>19667</v>
      </c>
      <c r="K5418" s="1365" t="n">
        <f aca="false">J5418/1792.8</f>
        <v>10.9699910754128</v>
      </c>
      <c r="L5418" s="1365" t="n">
        <v>15</v>
      </c>
      <c r="M5418" s="1273" t="n">
        <f aca="false">K5418*L5418/60</f>
        <v>2.74249776885319</v>
      </c>
    </row>
    <row r="5419" customFormat="false" ht="15" hidden="false" customHeight="false" outlineLevel="0" collapsed="false">
      <c r="A5419" s="216"/>
      <c r="B5419" s="78"/>
      <c r="C5419" s="1161" t="s">
        <v>7247</v>
      </c>
      <c r="D5419" s="317" t="n">
        <v>2004</v>
      </c>
      <c r="E5419" s="1365" t="n">
        <v>6</v>
      </c>
      <c r="F5419" s="1365" t="n">
        <v>202860</v>
      </c>
      <c r="G5419" s="1364" t="n">
        <v>0.1</v>
      </c>
      <c r="H5419" s="1365" t="n">
        <f aca="false">E5419*F5419*G5419</f>
        <v>121716</v>
      </c>
      <c r="I5419" s="1365" t="n">
        <f aca="false">F5419-H5419</f>
        <v>81144</v>
      </c>
      <c r="J5419" s="1365" t="n">
        <f aca="false">F5419*G5419</f>
        <v>20286</v>
      </c>
      <c r="K5419" s="1365" t="n">
        <f aca="false">J5419/1792.8</f>
        <v>11.3152610441767</v>
      </c>
      <c r="L5419" s="1365" t="n">
        <v>2880</v>
      </c>
      <c r="M5419" s="1273" t="n">
        <f aca="false">K5419*L5419/60</f>
        <v>543.132530120482</v>
      </c>
    </row>
    <row r="5420" customFormat="false" ht="15" hidden="false" customHeight="false" outlineLevel="0" collapsed="false">
      <c r="A5420" s="216"/>
      <c r="B5420" s="78"/>
      <c r="C5420" s="1161" t="s">
        <v>7158</v>
      </c>
      <c r="D5420" s="317" t="n">
        <v>2004</v>
      </c>
      <c r="E5420" s="1365" t="n">
        <v>6</v>
      </c>
      <c r="F5420" s="1365" t="n">
        <v>6985000</v>
      </c>
      <c r="G5420" s="1364" t="n">
        <v>0.1</v>
      </c>
      <c r="H5420" s="1365" t="n">
        <f aca="false">E5420*F5420*G5420</f>
        <v>4191000</v>
      </c>
      <c r="I5420" s="1365" t="n">
        <f aca="false">F5420-H5420</f>
        <v>2794000</v>
      </c>
      <c r="J5420" s="1365" t="n">
        <f aca="false">F5420*G5420</f>
        <v>698500</v>
      </c>
      <c r="K5420" s="1365" t="n">
        <f aca="false">J5420/1792.8</f>
        <v>389.614011601963</v>
      </c>
      <c r="L5420" s="1365" t="n">
        <v>15</v>
      </c>
      <c r="M5420" s="1273" t="n">
        <f aca="false">K5420*L5420/60</f>
        <v>97.4035029004909</v>
      </c>
    </row>
    <row r="5421" customFormat="false" ht="15" hidden="false" customHeight="false" outlineLevel="0" collapsed="false">
      <c r="A5421" s="216"/>
      <c r="B5421" s="78"/>
      <c r="C5421" s="1160"/>
      <c r="D5421" s="135"/>
      <c r="E5421" s="1370"/>
      <c r="F5421" s="1370"/>
      <c r="G5421" s="1372"/>
      <c r="H5421" s="1365" t="n">
        <f aca="false">E5421*F5421*G5421</f>
        <v>0</v>
      </c>
      <c r="I5421" s="1365" t="n">
        <f aca="false">F5421-H5421</f>
        <v>0</v>
      </c>
      <c r="J5421" s="1365" t="n">
        <f aca="false">F5421*G5421</f>
        <v>0</v>
      </c>
      <c r="K5421" s="1365" t="n">
        <f aca="false">J5421/1792.8</f>
        <v>0</v>
      </c>
      <c r="L5421" s="1370" t="n">
        <f aca="false">SUM(L5414:L5420)</f>
        <v>3000</v>
      </c>
      <c r="M5421" s="1370" t="n">
        <f aca="false">SUM(M5414:M5420)</f>
        <v>672.311328647925</v>
      </c>
    </row>
    <row r="5422" customFormat="false" ht="15" hidden="false" customHeight="false" outlineLevel="0" collapsed="false">
      <c r="A5422" s="350" t="s">
        <v>2433</v>
      </c>
      <c r="B5422" s="509" t="s">
        <v>3943</v>
      </c>
      <c r="C5422" s="509"/>
      <c r="D5422" s="350"/>
      <c r="E5422" s="1572"/>
      <c r="F5422" s="1572"/>
      <c r="G5422" s="1572"/>
      <c r="H5422" s="1512"/>
      <c r="I5422" s="1512"/>
      <c r="J5422" s="1512"/>
      <c r="K5422" s="1512"/>
      <c r="L5422" s="1572"/>
      <c r="M5422" s="1572"/>
    </row>
    <row r="5423" customFormat="false" ht="30" hidden="false" customHeight="true" outlineLevel="0" collapsed="false">
      <c r="A5423" s="216" t="s">
        <v>6594</v>
      </c>
      <c r="B5423" s="29" t="s">
        <v>3944</v>
      </c>
      <c r="C5423" s="972"/>
      <c r="D5423" s="40"/>
      <c r="E5423" s="1370"/>
      <c r="F5423" s="1370"/>
      <c r="G5423" s="1372"/>
      <c r="H5423" s="1365"/>
      <c r="I5423" s="1365"/>
      <c r="J5423" s="1365"/>
      <c r="K5423" s="1365"/>
      <c r="L5423" s="1370"/>
      <c r="M5423" s="1366"/>
    </row>
    <row r="5424" customFormat="false" ht="15" hidden="false" customHeight="false" outlineLevel="0" collapsed="false">
      <c r="A5424" s="216"/>
      <c r="B5424" s="78"/>
      <c r="C5424" s="1161" t="s">
        <v>7245</v>
      </c>
      <c r="D5424" s="317" t="n">
        <v>2005</v>
      </c>
      <c r="E5424" s="1365" t="n">
        <v>5</v>
      </c>
      <c r="F5424" s="1365" t="n">
        <v>347000</v>
      </c>
      <c r="G5424" s="1364" t="n">
        <v>0.1</v>
      </c>
      <c r="H5424" s="1365" t="n">
        <f aca="false">E5424*F5424*G5424</f>
        <v>173500</v>
      </c>
      <c r="I5424" s="1365" t="n">
        <f aca="false">F5424-H5424</f>
        <v>173500</v>
      </c>
      <c r="J5424" s="1365" t="n">
        <f aca="false">F5424*G5424</f>
        <v>34700</v>
      </c>
      <c r="K5424" s="1365" t="n">
        <f aca="false">J5424/1792.8</f>
        <v>19.355198572066</v>
      </c>
      <c r="L5424" s="1365" t="n">
        <v>30</v>
      </c>
      <c r="M5424" s="1273" t="n">
        <f aca="false">K5424*L5424/60</f>
        <v>9.67759928603302</v>
      </c>
    </row>
    <row r="5425" customFormat="false" ht="15" hidden="false" customHeight="false" outlineLevel="0" collapsed="false">
      <c r="A5425" s="216"/>
      <c r="B5425" s="78"/>
      <c r="C5425" s="1161" t="s">
        <v>7264</v>
      </c>
      <c r="D5425" s="317" t="n">
        <v>2014</v>
      </c>
      <c r="E5425" s="1365" t="n">
        <v>3</v>
      </c>
      <c r="F5425" s="1365" t="n">
        <v>1411800</v>
      </c>
      <c r="G5425" s="1364"/>
      <c r="H5425" s="1365" t="n">
        <f aca="false">E5425*F5425*G5425</f>
        <v>0</v>
      </c>
      <c r="I5425" s="1365" t="n">
        <f aca="false">F5425-H5425</f>
        <v>1411800</v>
      </c>
      <c r="J5425" s="1365" t="n">
        <f aca="false">F5425*G5425</f>
        <v>0</v>
      </c>
      <c r="K5425" s="1365" t="n">
        <f aca="false">J5425/1792.8</f>
        <v>0</v>
      </c>
      <c r="L5425" s="1365"/>
      <c r="M5425" s="1273" t="n">
        <f aca="false">K5425*L5425/60</f>
        <v>0</v>
      </c>
    </row>
    <row r="5426" customFormat="false" ht="15" hidden="false" customHeight="false" outlineLevel="0" collapsed="false">
      <c r="A5426" s="216"/>
      <c r="B5426" s="78"/>
      <c r="C5426" s="1161" t="s">
        <v>7249</v>
      </c>
      <c r="D5426" s="317" t="n">
        <v>2005</v>
      </c>
      <c r="E5426" s="1365" t="n">
        <v>5</v>
      </c>
      <c r="F5426" s="1365" t="n">
        <v>347000</v>
      </c>
      <c r="G5426" s="1364" t="n">
        <v>0.1</v>
      </c>
      <c r="H5426" s="1365" t="n">
        <f aca="false">E5426*F5426*G5426</f>
        <v>173500</v>
      </c>
      <c r="I5426" s="1365" t="n">
        <f aca="false">F5426-H5426</f>
        <v>173500</v>
      </c>
      <c r="J5426" s="1365" t="n">
        <f aca="false">F5426*G5426</f>
        <v>34700</v>
      </c>
      <c r="K5426" s="1365" t="n">
        <f aca="false">J5426/1792.8</f>
        <v>19.355198572066</v>
      </c>
      <c r="L5426" s="1365" t="n">
        <v>60</v>
      </c>
      <c r="M5426" s="1273" t="n">
        <f aca="false">K5426*L5426/60</f>
        <v>19.355198572066</v>
      </c>
    </row>
    <row r="5427" customFormat="false" ht="15" hidden="false" customHeight="false" outlineLevel="0" collapsed="false">
      <c r="A5427" s="216"/>
      <c r="B5427" s="78"/>
      <c r="C5427" s="1161" t="s">
        <v>7170</v>
      </c>
      <c r="D5427" s="317" t="n">
        <v>2004</v>
      </c>
      <c r="E5427" s="1365" t="n">
        <v>6</v>
      </c>
      <c r="F5427" s="1365" t="n">
        <v>196670</v>
      </c>
      <c r="G5427" s="1364" t="n">
        <v>0.1</v>
      </c>
      <c r="H5427" s="1365" t="n">
        <f aca="false">E5427*F5427*G5427</f>
        <v>118002</v>
      </c>
      <c r="I5427" s="1365" t="n">
        <f aca="false">F5427-H5427</f>
        <v>78668</v>
      </c>
      <c r="J5427" s="1365" t="n">
        <f aca="false">F5427*G5427</f>
        <v>19667</v>
      </c>
      <c r="K5427" s="1365" t="n">
        <f aca="false">J5427/1792.8</f>
        <v>10.9699910754128</v>
      </c>
      <c r="L5427" s="1365" t="n">
        <v>15</v>
      </c>
      <c r="M5427" s="1273" t="n">
        <f aca="false">K5427*L5427/60</f>
        <v>2.74249776885319</v>
      </c>
    </row>
    <row r="5428" customFormat="false" ht="15" hidden="false" customHeight="false" outlineLevel="0" collapsed="false">
      <c r="A5428" s="216"/>
      <c r="B5428" s="78"/>
      <c r="C5428" s="1161" t="s">
        <v>7247</v>
      </c>
      <c r="D5428" s="317" t="n">
        <v>2004</v>
      </c>
      <c r="E5428" s="1365" t="n">
        <v>6</v>
      </c>
      <c r="F5428" s="1365" t="n">
        <v>202860</v>
      </c>
      <c r="G5428" s="1364" t="n">
        <v>0.1</v>
      </c>
      <c r="H5428" s="1365" t="n">
        <f aca="false">E5428*F5428*G5428</f>
        <v>121716</v>
      </c>
      <c r="I5428" s="1365" t="n">
        <f aca="false">F5428-H5428</f>
        <v>81144</v>
      </c>
      <c r="J5428" s="1365" t="n">
        <f aca="false">F5428*G5428</f>
        <v>20286</v>
      </c>
      <c r="K5428" s="1365" t="n">
        <f aca="false">J5428/1792.8</f>
        <v>11.3152610441767</v>
      </c>
      <c r="L5428" s="1365" t="n">
        <v>60</v>
      </c>
      <c r="M5428" s="1273" t="n">
        <f aca="false">K5428*L5428/60</f>
        <v>11.3152610441767</v>
      </c>
    </row>
    <row r="5429" customFormat="false" ht="15" hidden="false" customHeight="false" outlineLevel="0" collapsed="false">
      <c r="A5429" s="216"/>
      <c r="B5429" s="78"/>
      <c r="C5429" s="1161" t="s">
        <v>7158</v>
      </c>
      <c r="D5429" s="317" t="n">
        <v>2004</v>
      </c>
      <c r="E5429" s="1365" t="n">
        <v>6</v>
      </c>
      <c r="F5429" s="1365" t="n">
        <v>6985000</v>
      </c>
      <c r="G5429" s="1364" t="n">
        <v>0.1</v>
      </c>
      <c r="H5429" s="1365" t="n">
        <f aca="false">E5429*F5429*G5429</f>
        <v>4191000</v>
      </c>
      <c r="I5429" s="1365" t="n">
        <f aca="false">F5429-H5429</f>
        <v>2794000</v>
      </c>
      <c r="J5429" s="1365" t="n">
        <f aca="false">F5429*G5429</f>
        <v>698500</v>
      </c>
      <c r="K5429" s="1365" t="n">
        <f aca="false">J5429/1792.8</f>
        <v>389.614011601963</v>
      </c>
      <c r="L5429" s="1365" t="n">
        <v>15</v>
      </c>
      <c r="M5429" s="1273" t="n">
        <f aca="false">K5429*L5429/60</f>
        <v>97.4035029004909</v>
      </c>
    </row>
    <row r="5430" customFormat="false" ht="15" hidden="false" customHeight="false" outlineLevel="0" collapsed="false">
      <c r="A5430" s="216"/>
      <c r="B5430" s="78"/>
      <c r="C5430" s="1160"/>
      <c r="D5430" s="135"/>
      <c r="E5430" s="1370"/>
      <c r="F5430" s="1370"/>
      <c r="G5430" s="1372"/>
      <c r="H5430" s="1365" t="n">
        <f aca="false">E5430*F5430*G5430</f>
        <v>0</v>
      </c>
      <c r="I5430" s="1365" t="n">
        <f aca="false">F5430-H5430</f>
        <v>0</v>
      </c>
      <c r="J5430" s="1365" t="n">
        <f aca="false">F5430*G5430</f>
        <v>0</v>
      </c>
      <c r="K5430" s="1365" t="n">
        <f aca="false">J5430/1792.8</f>
        <v>0</v>
      </c>
      <c r="L5430" s="1370" t="n">
        <f aca="false">SUM(L5423:L5429)</f>
        <v>180</v>
      </c>
      <c r="M5430" s="1370" t="n">
        <f aca="false">SUM(M5423:M5429)</f>
        <v>140.49405957162</v>
      </c>
    </row>
    <row r="5431" customFormat="false" ht="27" hidden="false" customHeight="true" outlineLevel="0" collapsed="false">
      <c r="A5431" s="216" t="s">
        <v>6597</v>
      </c>
      <c r="B5431" s="78" t="s">
        <v>3945</v>
      </c>
      <c r="C5431" s="1160"/>
      <c r="D5431" s="135"/>
      <c r="E5431" s="1370"/>
      <c r="F5431" s="1370"/>
      <c r="G5431" s="1372"/>
      <c r="H5431" s="1365" t="n">
        <f aca="false">E5431*F5431*G5431</f>
        <v>0</v>
      </c>
      <c r="I5431" s="1365" t="n">
        <f aca="false">F5431-H5431</f>
        <v>0</v>
      </c>
      <c r="J5431" s="1365" t="n">
        <f aca="false">F5431*G5431</f>
        <v>0</v>
      </c>
      <c r="K5431" s="1365" t="n">
        <f aca="false">J5431/1792.8</f>
        <v>0</v>
      </c>
      <c r="L5431" s="1370"/>
      <c r="M5431" s="1370"/>
    </row>
    <row r="5432" customFormat="false" ht="15" hidden="false" customHeight="false" outlineLevel="0" collapsed="false">
      <c r="A5432" s="216"/>
      <c r="B5432" s="78"/>
      <c r="C5432" s="1161" t="s">
        <v>7245</v>
      </c>
      <c r="D5432" s="317" t="n">
        <v>2005</v>
      </c>
      <c r="E5432" s="1365" t="n">
        <v>5</v>
      </c>
      <c r="F5432" s="1365" t="n">
        <v>347000</v>
      </c>
      <c r="G5432" s="1364" t="n">
        <v>0.1</v>
      </c>
      <c r="H5432" s="1365" t="n">
        <f aca="false">E5432*F5432*G5432</f>
        <v>173500</v>
      </c>
      <c r="I5432" s="1365" t="n">
        <f aca="false">F5432-H5432</f>
        <v>173500</v>
      </c>
      <c r="J5432" s="1365" t="n">
        <f aca="false">F5432*G5432</f>
        <v>34700</v>
      </c>
      <c r="K5432" s="1365" t="n">
        <f aca="false">J5432/1792.8</f>
        <v>19.355198572066</v>
      </c>
      <c r="L5432" s="1365" t="n">
        <v>30</v>
      </c>
      <c r="M5432" s="1273" t="n">
        <f aca="false">K5432*L5432/60</f>
        <v>9.67759928603302</v>
      </c>
    </row>
    <row r="5433" customFormat="false" ht="15" hidden="false" customHeight="false" outlineLevel="0" collapsed="false">
      <c r="A5433" s="216"/>
      <c r="B5433" s="78"/>
      <c r="C5433" s="1161" t="s">
        <v>7264</v>
      </c>
      <c r="D5433" s="317" t="n">
        <v>2014</v>
      </c>
      <c r="E5433" s="1365" t="n">
        <v>3</v>
      </c>
      <c r="F5433" s="1365" t="n">
        <v>1411800</v>
      </c>
      <c r="G5433" s="1364"/>
      <c r="H5433" s="1365" t="n">
        <f aca="false">E5433*F5433*G5433</f>
        <v>0</v>
      </c>
      <c r="I5433" s="1365" t="n">
        <f aca="false">F5433-H5433</f>
        <v>1411800</v>
      </c>
      <c r="J5433" s="1365" t="n">
        <f aca="false">F5433*G5433</f>
        <v>0</v>
      </c>
      <c r="K5433" s="1365" t="n">
        <f aca="false">J5433/1792.8</f>
        <v>0</v>
      </c>
      <c r="L5433" s="1365"/>
      <c r="M5433" s="1273" t="n">
        <f aca="false">K5433*L5433/60</f>
        <v>0</v>
      </c>
    </row>
    <row r="5434" customFormat="false" ht="15" hidden="false" customHeight="false" outlineLevel="0" collapsed="false">
      <c r="A5434" s="216"/>
      <c r="B5434" s="78"/>
      <c r="C5434" s="1161" t="s">
        <v>7249</v>
      </c>
      <c r="D5434" s="317" t="n">
        <v>2005</v>
      </c>
      <c r="E5434" s="1365" t="n">
        <v>5</v>
      </c>
      <c r="F5434" s="1365" t="n">
        <v>347000</v>
      </c>
      <c r="G5434" s="1364" t="n">
        <v>0.1</v>
      </c>
      <c r="H5434" s="1365" t="n">
        <f aca="false">E5434*F5434*G5434</f>
        <v>173500</v>
      </c>
      <c r="I5434" s="1365" t="n">
        <f aca="false">F5434-H5434</f>
        <v>173500</v>
      </c>
      <c r="J5434" s="1365" t="n">
        <f aca="false">F5434*G5434</f>
        <v>34700</v>
      </c>
      <c r="K5434" s="1365" t="n">
        <f aca="false">J5434/1792.8</f>
        <v>19.355198572066</v>
      </c>
      <c r="L5434" s="1365" t="n">
        <v>60</v>
      </c>
      <c r="M5434" s="1273" t="n">
        <f aca="false">K5434*L5434/60</f>
        <v>19.355198572066</v>
      </c>
    </row>
    <row r="5435" customFormat="false" ht="15" hidden="false" customHeight="false" outlineLevel="0" collapsed="false">
      <c r="A5435" s="216"/>
      <c r="B5435" s="78"/>
      <c r="C5435" s="1161" t="s">
        <v>7170</v>
      </c>
      <c r="D5435" s="317" t="n">
        <v>2004</v>
      </c>
      <c r="E5435" s="1365" t="n">
        <v>6</v>
      </c>
      <c r="F5435" s="1365" t="n">
        <v>196670</v>
      </c>
      <c r="G5435" s="1364" t="n">
        <v>0.1</v>
      </c>
      <c r="H5435" s="1365" t="n">
        <f aca="false">E5435*F5435*G5435</f>
        <v>118002</v>
      </c>
      <c r="I5435" s="1365" t="n">
        <f aca="false">F5435-H5435</f>
        <v>78668</v>
      </c>
      <c r="J5435" s="1365" t="n">
        <f aca="false">F5435*G5435</f>
        <v>19667</v>
      </c>
      <c r="K5435" s="1365" t="n">
        <f aca="false">J5435/1792.8</f>
        <v>10.9699910754128</v>
      </c>
      <c r="L5435" s="1365" t="n">
        <v>15</v>
      </c>
      <c r="M5435" s="1273" t="n">
        <f aca="false">K5435*L5435/60</f>
        <v>2.74249776885319</v>
      </c>
    </row>
    <row r="5436" customFormat="false" ht="15" hidden="false" customHeight="false" outlineLevel="0" collapsed="false">
      <c r="A5436" s="216"/>
      <c r="B5436" s="78"/>
      <c r="C5436" s="1161" t="s">
        <v>7247</v>
      </c>
      <c r="D5436" s="317" t="n">
        <v>2004</v>
      </c>
      <c r="E5436" s="1365" t="n">
        <v>6</v>
      </c>
      <c r="F5436" s="1365" t="n">
        <v>202860</v>
      </c>
      <c r="G5436" s="1364" t="n">
        <v>0.1</v>
      </c>
      <c r="H5436" s="1365" t="n">
        <f aca="false">E5436*F5436*G5436</f>
        <v>121716</v>
      </c>
      <c r="I5436" s="1365" t="n">
        <f aca="false">F5436-H5436</f>
        <v>81144</v>
      </c>
      <c r="J5436" s="1365" t="n">
        <f aca="false">F5436*G5436</f>
        <v>20286</v>
      </c>
      <c r="K5436" s="1365" t="n">
        <f aca="false">J5436/1792.8</f>
        <v>11.3152610441767</v>
      </c>
      <c r="L5436" s="1365" t="n">
        <v>2880</v>
      </c>
      <c r="M5436" s="1273" t="n">
        <f aca="false">K5436*L5436/60</f>
        <v>543.132530120482</v>
      </c>
    </row>
    <row r="5437" customFormat="false" ht="15" hidden="false" customHeight="false" outlineLevel="0" collapsed="false">
      <c r="A5437" s="216"/>
      <c r="B5437" s="78"/>
      <c r="C5437" s="1161" t="s">
        <v>7158</v>
      </c>
      <c r="D5437" s="317" t="n">
        <v>2004</v>
      </c>
      <c r="E5437" s="1365" t="n">
        <v>6</v>
      </c>
      <c r="F5437" s="1365" t="n">
        <v>6985000</v>
      </c>
      <c r="G5437" s="1364" t="n">
        <v>0.1</v>
      </c>
      <c r="H5437" s="1365" t="n">
        <f aca="false">E5437*F5437*G5437</f>
        <v>4191000</v>
      </c>
      <c r="I5437" s="1365" t="n">
        <f aca="false">F5437-H5437</f>
        <v>2794000</v>
      </c>
      <c r="J5437" s="1365" t="n">
        <f aca="false">F5437*G5437</f>
        <v>698500</v>
      </c>
      <c r="K5437" s="1365" t="n">
        <f aca="false">J5437/1792.8</f>
        <v>389.614011601963</v>
      </c>
      <c r="L5437" s="1365" t="n">
        <v>15</v>
      </c>
      <c r="M5437" s="1273" t="n">
        <f aca="false">K5437*L5437/60</f>
        <v>97.4035029004909</v>
      </c>
    </row>
    <row r="5438" customFormat="false" ht="15" hidden="false" customHeight="false" outlineLevel="0" collapsed="false">
      <c r="A5438" s="216"/>
      <c r="B5438" s="78"/>
      <c r="C5438" s="1160"/>
      <c r="D5438" s="135"/>
      <c r="E5438" s="1370"/>
      <c r="F5438" s="1370"/>
      <c r="G5438" s="1372"/>
      <c r="H5438" s="1365"/>
      <c r="I5438" s="1365"/>
      <c r="J5438" s="1365"/>
      <c r="K5438" s="1365"/>
      <c r="L5438" s="1370" t="n">
        <v>3000</v>
      </c>
      <c r="M5438" s="1370" t="n">
        <f aca="false">SUM(M5431:M5437)</f>
        <v>672.311328647925</v>
      </c>
    </row>
    <row r="5439" customFormat="false" ht="15.75" hidden="false" customHeight="true" outlineLevel="0" collapsed="false">
      <c r="A5439" s="15" t="s">
        <v>2439</v>
      </c>
      <c r="B5439" s="88" t="s">
        <v>3946</v>
      </c>
      <c r="C5439" s="1387"/>
      <c r="D5439" s="1388"/>
      <c r="E5439" s="1390"/>
      <c r="F5439" s="1390"/>
      <c r="G5439" s="1391"/>
      <c r="H5439" s="1512"/>
      <c r="I5439" s="1512"/>
      <c r="J5439" s="1512"/>
      <c r="K5439" s="1512"/>
      <c r="L5439" s="1390"/>
      <c r="M5439" s="1390"/>
    </row>
    <row r="5440" customFormat="false" ht="30" hidden="false" customHeight="false" outlineLevel="0" collapsed="false">
      <c r="A5440" s="216" t="s">
        <v>6599</v>
      </c>
      <c r="B5440" s="78" t="s">
        <v>3947</v>
      </c>
      <c r="C5440" s="1161"/>
      <c r="D5440" s="317"/>
      <c r="E5440" s="1365"/>
      <c r="F5440" s="1365"/>
      <c r="G5440" s="1364"/>
      <c r="H5440" s="1365"/>
      <c r="I5440" s="1365"/>
      <c r="J5440" s="1365"/>
      <c r="K5440" s="1365"/>
      <c r="L5440" s="1365"/>
      <c r="M5440" s="1365"/>
    </row>
    <row r="5441" customFormat="false" ht="15" hidden="false" customHeight="false" outlineLevel="0" collapsed="false">
      <c r="A5441" s="216"/>
      <c r="B5441" s="78"/>
      <c r="C5441" s="1161" t="s">
        <v>7245</v>
      </c>
      <c r="D5441" s="317" t="n">
        <v>2005</v>
      </c>
      <c r="E5441" s="1365" t="n">
        <v>5</v>
      </c>
      <c r="F5441" s="1365" t="n">
        <v>347000</v>
      </c>
      <c r="G5441" s="1364" t="n">
        <v>0.1</v>
      </c>
      <c r="H5441" s="1365" t="n">
        <f aca="false">E5441*F5441*G5441</f>
        <v>173500</v>
      </c>
      <c r="I5441" s="1365" t="n">
        <f aca="false">F5441-H5441</f>
        <v>173500</v>
      </c>
      <c r="J5441" s="1365" t="n">
        <f aca="false">F5441*G5441</f>
        <v>34700</v>
      </c>
      <c r="K5441" s="1365" t="n">
        <f aca="false">J5441/1792.8</f>
        <v>19.355198572066</v>
      </c>
      <c r="L5441" s="1365" t="n">
        <v>30</v>
      </c>
      <c r="M5441" s="1273" t="n">
        <f aca="false">K5441*L5441/60</f>
        <v>9.67759928603302</v>
      </c>
    </row>
    <row r="5442" customFormat="false" ht="15" hidden="false" customHeight="false" outlineLevel="0" collapsed="false">
      <c r="A5442" s="216"/>
      <c r="B5442" s="78"/>
      <c r="C5442" s="1161" t="s">
        <v>7264</v>
      </c>
      <c r="D5442" s="317" t="n">
        <v>2014</v>
      </c>
      <c r="E5442" s="1365" t="n">
        <v>3</v>
      </c>
      <c r="F5442" s="1365" t="n">
        <v>1411800</v>
      </c>
      <c r="G5442" s="1364"/>
      <c r="H5442" s="1365" t="n">
        <f aca="false">E5442*F5442*G5442</f>
        <v>0</v>
      </c>
      <c r="I5442" s="1365" t="n">
        <f aca="false">F5442-H5442</f>
        <v>1411800</v>
      </c>
      <c r="J5442" s="1365" t="n">
        <f aca="false">F5442*G5442</f>
        <v>0</v>
      </c>
      <c r="K5442" s="1365" t="n">
        <f aca="false">J5442/1792.8</f>
        <v>0</v>
      </c>
      <c r="L5442" s="1365"/>
      <c r="M5442" s="1273" t="n">
        <f aca="false">K5442*L5442/60</f>
        <v>0</v>
      </c>
    </row>
    <row r="5443" customFormat="false" ht="15" hidden="false" customHeight="false" outlineLevel="0" collapsed="false">
      <c r="A5443" s="216"/>
      <c r="B5443" s="78"/>
      <c r="C5443" s="1161" t="s">
        <v>7249</v>
      </c>
      <c r="D5443" s="317" t="n">
        <v>2005</v>
      </c>
      <c r="E5443" s="1365" t="n">
        <v>5</v>
      </c>
      <c r="F5443" s="1365" t="n">
        <v>347000</v>
      </c>
      <c r="G5443" s="1364" t="n">
        <v>0.1</v>
      </c>
      <c r="H5443" s="1365" t="n">
        <f aca="false">E5443*F5443*G5443</f>
        <v>173500</v>
      </c>
      <c r="I5443" s="1365" t="n">
        <f aca="false">F5443-H5443</f>
        <v>173500</v>
      </c>
      <c r="J5443" s="1365" t="n">
        <f aca="false">F5443*G5443</f>
        <v>34700</v>
      </c>
      <c r="K5443" s="1365" t="n">
        <f aca="false">J5443/1792.8</f>
        <v>19.355198572066</v>
      </c>
      <c r="L5443" s="1365" t="n">
        <v>60</v>
      </c>
      <c r="M5443" s="1273" t="n">
        <f aca="false">K5443*L5443/60</f>
        <v>19.355198572066</v>
      </c>
    </row>
    <row r="5444" customFormat="false" ht="15" hidden="false" customHeight="false" outlineLevel="0" collapsed="false">
      <c r="A5444" s="216"/>
      <c r="B5444" s="78"/>
      <c r="C5444" s="1161" t="s">
        <v>7170</v>
      </c>
      <c r="D5444" s="317" t="n">
        <v>2004</v>
      </c>
      <c r="E5444" s="1365" t="n">
        <v>6</v>
      </c>
      <c r="F5444" s="1365" t="n">
        <v>196670</v>
      </c>
      <c r="G5444" s="1364" t="n">
        <v>0.1</v>
      </c>
      <c r="H5444" s="1365" t="n">
        <f aca="false">E5444*F5444*G5444</f>
        <v>118002</v>
      </c>
      <c r="I5444" s="1365" t="n">
        <f aca="false">F5444-H5444</f>
        <v>78668</v>
      </c>
      <c r="J5444" s="1365" t="n">
        <f aca="false">F5444*G5444</f>
        <v>19667</v>
      </c>
      <c r="K5444" s="1365" t="n">
        <f aca="false">J5444/1792.8</f>
        <v>10.9699910754128</v>
      </c>
      <c r="L5444" s="1365" t="n">
        <v>15</v>
      </c>
      <c r="M5444" s="1273" t="n">
        <f aca="false">K5444*L5444/60</f>
        <v>2.74249776885319</v>
      </c>
    </row>
    <row r="5445" customFormat="false" ht="15" hidden="false" customHeight="false" outlineLevel="0" collapsed="false">
      <c r="A5445" s="216"/>
      <c r="B5445" s="78"/>
      <c r="C5445" s="1161" t="s">
        <v>7247</v>
      </c>
      <c r="D5445" s="317" t="n">
        <v>2004</v>
      </c>
      <c r="E5445" s="1365" t="n">
        <v>6</v>
      </c>
      <c r="F5445" s="1365" t="n">
        <v>202860</v>
      </c>
      <c r="G5445" s="1364" t="n">
        <v>0.1</v>
      </c>
      <c r="H5445" s="1365" t="n">
        <f aca="false">E5445*F5445*G5445</f>
        <v>121716</v>
      </c>
      <c r="I5445" s="1365" t="n">
        <f aca="false">F5445-H5445</f>
        <v>81144</v>
      </c>
      <c r="J5445" s="1365" t="n">
        <f aca="false">F5445*G5445</f>
        <v>20286</v>
      </c>
      <c r="K5445" s="1365" t="n">
        <f aca="false">J5445/1792.8</f>
        <v>11.3152610441767</v>
      </c>
      <c r="L5445" s="1365" t="n">
        <v>2880</v>
      </c>
      <c r="M5445" s="1273" t="n">
        <f aca="false">K5445*L5445/60</f>
        <v>543.132530120482</v>
      </c>
    </row>
    <row r="5446" customFormat="false" ht="15" hidden="false" customHeight="false" outlineLevel="0" collapsed="false">
      <c r="A5446" s="216"/>
      <c r="B5446" s="78"/>
      <c r="C5446" s="1161" t="s">
        <v>7158</v>
      </c>
      <c r="D5446" s="317" t="n">
        <v>2004</v>
      </c>
      <c r="E5446" s="1365" t="n">
        <v>6</v>
      </c>
      <c r="F5446" s="1365" t="n">
        <v>6985000</v>
      </c>
      <c r="G5446" s="1364" t="n">
        <v>0.1</v>
      </c>
      <c r="H5446" s="1365" t="n">
        <f aca="false">E5446*F5446*G5446</f>
        <v>4191000</v>
      </c>
      <c r="I5446" s="1365" t="n">
        <f aca="false">F5446-H5446</f>
        <v>2794000</v>
      </c>
      <c r="J5446" s="1365" t="n">
        <f aca="false">F5446*G5446</f>
        <v>698500</v>
      </c>
      <c r="K5446" s="1365" t="n">
        <f aca="false">J5446/1792.8</f>
        <v>389.614011601963</v>
      </c>
      <c r="L5446" s="1365" t="n">
        <v>15</v>
      </c>
      <c r="M5446" s="1273" t="n">
        <f aca="false">K5446*L5446/60</f>
        <v>97.4035029004909</v>
      </c>
    </row>
    <row r="5447" customFormat="false" ht="15" hidden="false" customHeight="false" outlineLevel="0" collapsed="false">
      <c r="A5447" s="216"/>
      <c r="B5447" s="78"/>
      <c r="C5447" s="1160"/>
      <c r="D5447" s="135"/>
      <c r="E5447" s="1370"/>
      <c r="F5447" s="1370"/>
      <c r="G5447" s="1372"/>
      <c r="H5447" s="1365" t="n">
        <f aca="false">E5447*F5447*G5447</f>
        <v>0</v>
      </c>
      <c r="I5447" s="1365" t="n">
        <f aca="false">F5447-H5447</f>
        <v>0</v>
      </c>
      <c r="J5447" s="1365" t="n">
        <f aca="false">F5447*G5447</f>
        <v>0</v>
      </c>
      <c r="K5447" s="1365" t="n">
        <f aca="false">J5447/1792.8</f>
        <v>0</v>
      </c>
      <c r="L5447" s="1370" t="n">
        <v>3000</v>
      </c>
      <c r="M5447" s="1370" t="n">
        <f aca="false">SUM(M5440:M5446)</f>
        <v>672.311328647925</v>
      </c>
    </row>
    <row r="5448" customFormat="false" ht="27" hidden="false" customHeight="true" outlineLevel="0" collapsed="false">
      <c r="A5448" s="216" t="s">
        <v>6602</v>
      </c>
      <c r="B5448" s="78" t="s">
        <v>3948</v>
      </c>
      <c r="C5448" s="1161"/>
      <c r="D5448" s="317"/>
      <c r="E5448" s="1365"/>
      <c r="F5448" s="1365"/>
      <c r="G5448" s="1364"/>
      <c r="H5448" s="1365" t="n">
        <f aca="false">E5448*F5448*G5448</f>
        <v>0</v>
      </c>
      <c r="I5448" s="1365" t="n">
        <f aca="false">F5448-H5448</f>
        <v>0</v>
      </c>
      <c r="J5448" s="1365" t="n">
        <f aca="false">F5448*G5448</f>
        <v>0</v>
      </c>
      <c r="K5448" s="1365" t="n">
        <f aca="false">J5448/1792.8</f>
        <v>0</v>
      </c>
      <c r="L5448" s="1365"/>
      <c r="M5448" s="1365"/>
    </row>
    <row r="5449" customFormat="false" ht="15" hidden="false" customHeight="false" outlineLevel="0" collapsed="false">
      <c r="A5449" s="216"/>
      <c r="B5449" s="78"/>
      <c r="C5449" s="1161" t="s">
        <v>7245</v>
      </c>
      <c r="D5449" s="317" t="n">
        <v>2005</v>
      </c>
      <c r="E5449" s="1365" t="n">
        <v>5</v>
      </c>
      <c r="F5449" s="1365" t="n">
        <v>347000</v>
      </c>
      <c r="G5449" s="1364" t="n">
        <v>0.1</v>
      </c>
      <c r="H5449" s="1365" t="n">
        <f aca="false">E5449*F5449*G5449</f>
        <v>173500</v>
      </c>
      <c r="I5449" s="1365" t="n">
        <f aca="false">F5449-H5449</f>
        <v>173500</v>
      </c>
      <c r="J5449" s="1365" t="n">
        <f aca="false">F5449*G5449</f>
        <v>34700</v>
      </c>
      <c r="K5449" s="1365" t="n">
        <f aca="false">J5449/1792.8</f>
        <v>19.355198572066</v>
      </c>
      <c r="L5449" s="1365" t="n">
        <v>30</v>
      </c>
      <c r="M5449" s="1273" t="n">
        <f aca="false">K5449*L5449/60</f>
        <v>9.67759928603302</v>
      </c>
    </row>
    <row r="5450" customFormat="false" ht="15" hidden="false" customHeight="false" outlineLevel="0" collapsed="false">
      <c r="A5450" s="216"/>
      <c r="B5450" s="78"/>
      <c r="C5450" s="1161" t="s">
        <v>7264</v>
      </c>
      <c r="D5450" s="317" t="n">
        <v>2014</v>
      </c>
      <c r="E5450" s="1365" t="n">
        <v>3</v>
      </c>
      <c r="F5450" s="1365" t="n">
        <v>1411800</v>
      </c>
      <c r="G5450" s="1364"/>
      <c r="H5450" s="1365" t="n">
        <f aca="false">E5450*F5450*G5450</f>
        <v>0</v>
      </c>
      <c r="I5450" s="1365" t="n">
        <f aca="false">F5450-H5450</f>
        <v>1411800</v>
      </c>
      <c r="J5450" s="1365" t="n">
        <f aca="false">F5450*G5450</f>
        <v>0</v>
      </c>
      <c r="K5450" s="1365" t="n">
        <f aca="false">J5450/1792.8</f>
        <v>0</v>
      </c>
      <c r="L5450" s="1365"/>
      <c r="M5450" s="1273" t="n">
        <f aca="false">K5450*L5450/60</f>
        <v>0</v>
      </c>
    </row>
    <row r="5451" customFormat="false" ht="15" hidden="false" customHeight="false" outlineLevel="0" collapsed="false">
      <c r="A5451" s="216"/>
      <c r="B5451" s="78"/>
      <c r="C5451" s="1161" t="s">
        <v>7249</v>
      </c>
      <c r="D5451" s="317" t="n">
        <v>2005</v>
      </c>
      <c r="E5451" s="1365" t="n">
        <v>5</v>
      </c>
      <c r="F5451" s="1365" t="n">
        <v>347000</v>
      </c>
      <c r="G5451" s="1364" t="n">
        <v>0.1</v>
      </c>
      <c r="H5451" s="1365" t="n">
        <f aca="false">E5451*F5451*G5451</f>
        <v>173500</v>
      </c>
      <c r="I5451" s="1365" t="n">
        <f aca="false">F5451-H5451</f>
        <v>173500</v>
      </c>
      <c r="J5451" s="1365" t="n">
        <f aca="false">F5451*G5451</f>
        <v>34700</v>
      </c>
      <c r="K5451" s="1365" t="n">
        <f aca="false">J5451/1792.8</f>
        <v>19.355198572066</v>
      </c>
      <c r="L5451" s="1365" t="n">
        <v>30</v>
      </c>
      <c r="M5451" s="1273" t="n">
        <f aca="false">K5451*L5451/60</f>
        <v>9.67759928603302</v>
      </c>
    </row>
    <row r="5452" customFormat="false" ht="15" hidden="false" customHeight="false" outlineLevel="0" collapsed="false">
      <c r="A5452" s="216"/>
      <c r="B5452" s="78"/>
      <c r="C5452" s="1161" t="s">
        <v>7170</v>
      </c>
      <c r="D5452" s="317" t="n">
        <v>2004</v>
      </c>
      <c r="E5452" s="1365" t="n">
        <v>6</v>
      </c>
      <c r="F5452" s="1365" t="n">
        <v>196670</v>
      </c>
      <c r="G5452" s="1364" t="n">
        <v>0.1</v>
      </c>
      <c r="H5452" s="1365" t="n">
        <f aca="false">E5452*F5452*G5452</f>
        <v>118002</v>
      </c>
      <c r="I5452" s="1365" t="n">
        <f aca="false">F5452-H5452</f>
        <v>78668</v>
      </c>
      <c r="J5452" s="1365" t="n">
        <f aca="false">F5452*G5452</f>
        <v>19667</v>
      </c>
      <c r="K5452" s="1365" t="n">
        <f aca="false">J5452/1792.8</f>
        <v>10.9699910754128</v>
      </c>
      <c r="L5452" s="1365" t="n">
        <v>15</v>
      </c>
      <c r="M5452" s="1273" t="n">
        <f aca="false">K5452*L5452/60</f>
        <v>2.74249776885319</v>
      </c>
    </row>
    <row r="5453" customFormat="false" ht="15" hidden="false" customHeight="false" outlineLevel="0" collapsed="false">
      <c r="A5453" s="216"/>
      <c r="B5453" s="78"/>
      <c r="C5453" s="1161" t="s">
        <v>7247</v>
      </c>
      <c r="D5453" s="317" t="n">
        <v>2004</v>
      </c>
      <c r="E5453" s="1365" t="n">
        <v>6</v>
      </c>
      <c r="F5453" s="1365" t="n">
        <v>202860</v>
      </c>
      <c r="G5453" s="1364" t="n">
        <v>0.1</v>
      </c>
      <c r="H5453" s="1365" t="n">
        <f aca="false">E5453*F5453*G5453</f>
        <v>121716</v>
      </c>
      <c r="I5453" s="1365" t="n">
        <f aca="false">F5453-H5453</f>
        <v>81144</v>
      </c>
      <c r="J5453" s="1365" t="n">
        <f aca="false">F5453*G5453</f>
        <v>20286</v>
      </c>
      <c r="K5453" s="1365" t="n">
        <f aca="false">J5453/1792.8</f>
        <v>11.3152610441767</v>
      </c>
      <c r="L5453" s="1365" t="n">
        <v>60</v>
      </c>
      <c r="M5453" s="1273" t="n">
        <f aca="false">K5453*L5453/60</f>
        <v>11.3152610441767</v>
      </c>
    </row>
    <row r="5454" customFormat="false" ht="15" hidden="false" customHeight="false" outlineLevel="0" collapsed="false">
      <c r="A5454" s="216"/>
      <c r="B5454" s="78"/>
      <c r="C5454" s="1161" t="s">
        <v>7158</v>
      </c>
      <c r="D5454" s="317" t="n">
        <v>2004</v>
      </c>
      <c r="E5454" s="1365" t="n">
        <v>6</v>
      </c>
      <c r="F5454" s="1365" t="n">
        <v>6985000</v>
      </c>
      <c r="G5454" s="1364" t="n">
        <v>0.1</v>
      </c>
      <c r="H5454" s="1365" t="n">
        <f aca="false">E5454*F5454*G5454</f>
        <v>4191000</v>
      </c>
      <c r="I5454" s="1365" t="n">
        <f aca="false">F5454-H5454</f>
        <v>2794000</v>
      </c>
      <c r="J5454" s="1365" t="n">
        <f aca="false">F5454*G5454</f>
        <v>698500</v>
      </c>
      <c r="K5454" s="1365" t="n">
        <f aca="false">J5454/1792.8</f>
        <v>389.614011601963</v>
      </c>
      <c r="L5454" s="1365" t="n">
        <v>15</v>
      </c>
      <c r="M5454" s="1273" t="n">
        <f aca="false">K5454*L5454/60</f>
        <v>97.4035029004909</v>
      </c>
    </row>
    <row r="5455" customFormat="false" ht="15" hidden="false" customHeight="false" outlineLevel="0" collapsed="false">
      <c r="A5455" s="216"/>
      <c r="B5455" s="78"/>
      <c r="C5455" s="1160"/>
      <c r="D5455" s="135"/>
      <c r="E5455" s="1370"/>
      <c r="F5455" s="1370"/>
      <c r="G5455" s="1372"/>
      <c r="H5455" s="1365"/>
      <c r="I5455" s="1365"/>
      <c r="J5455" s="1365"/>
      <c r="K5455" s="1365"/>
      <c r="L5455" s="1370" t="n">
        <v>3000</v>
      </c>
      <c r="M5455" s="1370" t="n">
        <f aca="false">SUM(M5448:M5454)</f>
        <v>130.816460285587</v>
      </c>
    </row>
    <row r="5456" customFormat="false" ht="15" hidden="false" customHeight="false" outlineLevel="0" collapsed="false">
      <c r="A5456" s="15" t="s">
        <v>2445</v>
      </c>
      <c r="B5456" s="88" t="s">
        <v>3949</v>
      </c>
      <c r="C5456" s="1387"/>
      <c r="D5456" s="1388"/>
      <c r="E5456" s="1390"/>
      <c r="F5456" s="1390"/>
      <c r="G5456" s="1391"/>
      <c r="H5456" s="1512"/>
      <c r="I5456" s="1512"/>
      <c r="J5456" s="1512"/>
      <c r="K5456" s="1512"/>
      <c r="L5456" s="1390"/>
      <c r="M5456" s="1390"/>
    </row>
    <row r="5457" customFormat="false" ht="30" hidden="false" customHeight="false" outlineLevel="0" collapsed="false">
      <c r="A5457" s="317" t="s">
        <v>6607</v>
      </c>
      <c r="B5457" s="40" t="s">
        <v>6608</v>
      </c>
      <c r="C5457" s="1161"/>
      <c r="D5457" s="317"/>
      <c r="E5457" s="1365"/>
      <c r="F5457" s="1365"/>
      <c r="G5457" s="1364"/>
      <c r="H5457" s="1365"/>
      <c r="I5457" s="1365"/>
      <c r="J5457" s="1365"/>
      <c r="K5457" s="1365"/>
      <c r="L5457" s="1365"/>
      <c r="M5457" s="1365"/>
    </row>
    <row r="5458" customFormat="false" ht="15" hidden="false" customHeight="false" outlineLevel="0" collapsed="false">
      <c r="A5458" s="216"/>
      <c r="B5458" s="78"/>
      <c r="C5458" s="1161" t="s">
        <v>7245</v>
      </c>
      <c r="D5458" s="317" t="n">
        <v>2005</v>
      </c>
      <c r="E5458" s="1365" t="n">
        <v>5</v>
      </c>
      <c r="F5458" s="1365" t="n">
        <v>347000</v>
      </c>
      <c r="G5458" s="1364" t="n">
        <v>0.1</v>
      </c>
      <c r="H5458" s="1365" t="n">
        <f aca="false">E5458*F5458*G5458</f>
        <v>173500</v>
      </c>
      <c r="I5458" s="1365" t="n">
        <f aca="false">F5458-H5458</f>
        <v>173500</v>
      </c>
      <c r="J5458" s="1365" t="n">
        <f aca="false">F5458*G5458</f>
        <v>34700</v>
      </c>
      <c r="K5458" s="1365" t="n">
        <f aca="false">J5458/1792.8</f>
        <v>19.355198572066</v>
      </c>
      <c r="L5458" s="1365" t="n">
        <v>30</v>
      </c>
      <c r="M5458" s="1273" t="n">
        <f aca="false">K5458*L5458/60</f>
        <v>9.67759928603302</v>
      </c>
    </row>
    <row r="5459" customFormat="false" ht="15" hidden="false" customHeight="false" outlineLevel="0" collapsed="false">
      <c r="A5459" s="216"/>
      <c r="B5459" s="78"/>
      <c r="C5459" s="1161" t="s">
        <v>7264</v>
      </c>
      <c r="D5459" s="317" t="n">
        <v>2014</v>
      </c>
      <c r="E5459" s="1365" t="n">
        <v>3</v>
      </c>
      <c r="F5459" s="1365" t="n">
        <v>1411800</v>
      </c>
      <c r="G5459" s="1364"/>
      <c r="H5459" s="1365" t="n">
        <f aca="false">E5459*F5459*G5459</f>
        <v>0</v>
      </c>
      <c r="I5459" s="1365" t="n">
        <f aca="false">F5459-H5459</f>
        <v>1411800</v>
      </c>
      <c r="J5459" s="1365" t="n">
        <f aca="false">F5459*G5459</f>
        <v>0</v>
      </c>
      <c r="K5459" s="1365" t="n">
        <f aca="false">J5459/1792.8</f>
        <v>0</v>
      </c>
      <c r="L5459" s="1365"/>
      <c r="M5459" s="1273" t="n">
        <f aca="false">K5459*L5459/60</f>
        <v>0</v>
      </c>
    </row>
    <row r="5460" customFormat="false" ht="15" hidden="false" customHeight="false" outlineLevel="0" collapsed="false">
      <c r="A5460" s="216"/>
      <c r="B5460" s="78"/>
      <c r="C5460" s="1161" t="s">
        <v>7249</v>
      </c>
      <c r="D5460" s="317" t="n">
        <v>2005</v>
      </c>
      <c r="E5460" s="1365" t="n">
        <v>5</v>
      </c>
      <c r="F5460" s="1365" t="n">
        <v>347000</v>
      </c>
      <c r="G5460" s="1364" t="n">
        <v>0.1</v>
      </c>
      <c r="H5460" s="1365" t="n">
        <f aca="false">E5460*F5460*G5460</f>
        <v>173500</v>
      </c>
      <c r="I5460" s="1365" t="n">
        <f aca="false">F5460-H5460</f>
        <v>173500</v>
      </c>
      <c r="J5460" s="1365" t="n">
        <f aca="false">F5460*G5460</f>
        <v>34700</v>
      </c>
      <c r="K5460" s="1365" t="n">
        <f aca="false">J5460/1792.8</f>
        <v>19.355198572066</v>
      </c>
      <c r="L5460" s="1365" t="n">
        <v>60</v>
      </c>
      <c r="M5460" s="1273" t="n">
        <f aca="false">K5460*L5460/60</f>
        <v>19.355198572066</v>
      </c>
    </row>
    <row r="5461" customFormat="false" ht="15" hidden="false" customHeight="false" outlineLevel="0" collapsed="false">
      <c r="A5461" s="216"/>
      <c r="B5461" s="78"/>
      <c r="C5461" s="1161" t="s">
        <v>7170</v>
      </c>
      <c r="D5461" s="317" t="n">
        <v>2004</v>
      </c>
      <c r="E5461" s="1365" t="n">
        <v>6</v>
      </c>
      <c r="F5461" s="1365" t="n">
        <v>196670</v>
      </c>
      <c r="G5461" s="1364" t="n">
        <v>0.1</v>
      </c>
      <c r="H5461" s="1365" t="n">
        <f aca="false">E5461*F5461*G5461</f>
        <v>118002</v>
      </c>
      <c r="I5461" s="1365" t="n">
        <f aca="false">F5461-H5461</f>
        <v>78668</v>
      </c>
      <c r="J5461" s="1365" t="n">
        <f aca="false">F5461*G5461</f>
        <v>19667</v>
      </c>
      <c r="K5461" s="1365" t="n">
        <f aca="false">J5461/1792.8</f>
        <v>10.9699910754128</v>
      </c>
      <c r="L5461" s="1365" t="n">
        <v>15</v>
      </c>
      <c r="M5461" s="1273" t="n">
        <f aca="false">K5461*L5461/60</f>
        <v>2.74249776885319</v>
      </c>
    </row>
    <row r="5462" customFormat="false" ht="15" hidden="false" customHeight="false" outlineLevel="0" collapsed="false">
      <c r="A5462" s="216"/>
      <c r="B5462" s="78"/>
      <c r="C5462" s="1161" t="s">
        <v>7247</v>
      </c>
      <c r="D5462" s="317" t="n">
        <v>2004</v>
      </c>
      <c r="E5462" s="1365" t="n">
        <v>6</v>
      </c>
      <c r="F5462" s="1365" t="n">
        <v>202860</v>
      </c>
      <c r="G5462" s="1364" t="n">
        <v>0.1</v>
      </c>
      <c r="H5462" s="1365" t="n">
        <f aca="false">E5462*F5462*G5462</f>
        <v>121716</v>
      </c>
      <c r="I5462" s="1365" t="n">
        <f aca="false">F5462-H5462</f>
        <v>81144</v>
      </c>
      <c r="J5462" s="1365" t="n">
        <f aca="false">F5462*G5462</f>
        <v>20286</v>
      </c>
      <c r="K5462" s="1365" t="n">
        <f aca="false">J5462/1792.8</f>
        <v>11.3152610441767</v>
      </c>
      <c r="L5462" s="1365" t="n">
        <v>2880</v>
      </c>
      <c r="M5462" s="1273" t="n">
        <f aca="false">K5462*L5462/60</f>
        <v>543.132530120482</v>
      </c>
    </row>
    <row r="5463" customFormat="false" ht="15" hidden="false" customHeight="false" outlineLevel="0" collapsed="false">
      <c r="A5463" s="216"/>
      <c r="B5463" s="78"/>
      <c r="C5463" s="1161" t="s">
        <v>7158</v>
      </c>
      <c r="D5463" s="317" t="n">
        <v>2004</v>
      </c>
      <c r="E5463" s="1365" t="n">
        <v>6</v>
      </c>
      <c r="F5463" s="1365" t="n">
        <v>6985000</v>
      </c>
      <c r="G5463" s="1364" t="n">
        <v>0.1</v>
      </c>
      <c r="H5463" s="1365" t="n">
        <f aca="false">E5463*F5463*G5463</f>
        <v>4191000</v>
      </c>
      <c r="I5463" s="1365" t="n">
        <f aca="false">F5463-H5463</f>
        <v>2794000</v>
      </c>
      <c r="J5463" s="1365" t="n">
        <f aca="false">F5463*G5463</f>
        <v>698500</v>
      </c>
      <c r="K5463" s="1365" t="n">
        <f aca="false">J5463/1792.8</f>
        <v>389.614011601963</v>
      </c>
      <c r="L5463" s="1365" t="n">
        <v>15</v>
      </c>
      <c r="M5463" s="1273" t="n">
        <f aca="false">K5463*L5463/60</f>
        <v>97.4035029004909</v>
      </c>
    </row>
    <row r="5464" customFormat="false" ht="15" hidden="false" customHeight="false" outlineLevel="0" collapsed="false">
      <c r="A5464" s="216"/>
      <c r="B5464" s="78"/>
      <c r="C5464" s="1160"/>
      <c r="D5464" s="135"/>
      <c r="E5464" s="1370"/>
      <c r="F5464" s="1370"/>
      <c r="G5464" s="1372"/>
      <c r="H5464" s="1365" t="n">
        <f aca="false">E5464*F5464*G5464</f>
        <v>0</v>
      </c>
      <c r="I5464" s="1365" t="n">
        <f aca="false">F5464-H5464</f>
        <v>0</v>
      </c>
      <c r="J5464" s="1365" t="n">
        <f aca="false">F5464*G5464</f>
        <v>0</v>
      </c>
      <c r="K5464" s="1365" t="n">
        <f aca="false">J5464/1792.8</f>
        <v>0</v>
      </c>
      <c r="L5464" s="1370" t="n">
        <v>3000</v>
      </c>
      <c r="M5464" s="1370" t="n">
        <f aca="false">SUM(M5457:M5463)</f>
        <v>672.311328647925</v>
      </c>
    </row>
    <row r="5465" customFormat="false" ht="30" hidden="false" customHeight="false" outlineLevel="0" collapsed="false">
      <c r="A5465" s="317" t="s">
        <v>6610</v>
      </c>
      <c r="B5465" s="40" t="s">
        <v>6611</v>
      </c>
      <c r="C5465" s="1161"/>
      <c r="D5465" s="317"/>
      <c r="E5465" s="1365"/>
      <c r="F5465" s="1365"/>
      <c r="G5465" s="1364"/>
      <c r="H5465" s="1365" t="n">
        <f aca="false">E5465*F5465*G5465</f>
        <v>0</v>
      </c>
      <c r="I5465" s="1365" t="n">
        <f aca="false">F5465-H5465</f>
        <v>0</v>
      </c>
      <c r="J5465" s="1365" t="n">
        <f aca="false">F5465*G5465</f>
        <v>0</v>
      </c>
      <c r="K5465" s="1365" t="n">
        <f aca="false">J5465/1792.8</f>
        <v>0</v>
      </c>
      <c r="L5465" s="1365"/>
      <c r="M5465" s="1365"/>
    </row>
    <row r="5466" customFormat="false" ht="15" hidden="false" customHeight="false" outlineLevel="0" collapsed="false">
      <c r="A5466" s="216"/>
      <c r="B5466" s="78"/>
      <c r="C5466" s="1161" t="s">
        <v>7245</v>
      </c>
      <c r="D5466" s="317" t="n">
        <v>2005</v>
      </c>
      <c r="E5466" s="1365" t="n">
        <v>5</v>
      </c>
      <c r="F5466" s="1365" t="n">
        <v>347000</v>
      </c>
      <c r="G5466" s="1364" t="n">
        <v>0.1</v>
      </c>
      <c r="H5466" s="1365" t="n">
        <f aca="false">E5466*F5466*G5466</f>
        <v>173500</v>
      </c>
      <c r="I5466" s="1365" t="n">
        <f aca="false">F5466-H5466</f>
        <v>173500</v>
      </c>
      <c r="J5466" s="1365" t="n">
        <f aca="false">F5466*G5466</f>
        <v>34700</v>
      </c>
      <c r="K5466" s="1365" t="n">
        <f aca="false">J5466/1792.8</f>
        <v>19.355198572066</v>
      </c>
      <c r="L5466" s="1365" t="n">
        <v>30</v>
      </c>
      <c r="M5466" s="1273" t="n">
        <f aca="false">K5466*L5466/60</f>
        <v>9.67759928603302</v>
      </c>
    </row>
    <row r="5467" customFormat="false" ht="15" hidden="false" customHeight="false" outlineLevel="0" collapsed="false">
      <c r="A5467" s="216"/>
      <c r="B5467" s="78"/>
      <c r="C5467" s="1161" t="s">
        <v>7264</v>
      </c>
      <c r="D5467" s="317" t="n">
        <v>2014</v>
      </c>
      <c r="E5467" s="1365" t="n">
        <v>3</v>
      </c>
      <c r="F5467" s="1365" t="n">
        <v>1411800</v>
      </c>
      <c r="G5467" s="1364"/>
      <c r="H5467" s="1365" t="n">
        <f aca="false">E5467*F5467*G5467</f>
        <v>0</v>
      </c>
      <c r="I5467" s="1365" t="n">
        <f aca="false">F5467-H5467</f>
        <v>1411800</v>
      </c>
      <c r="J5467" s="1365" t="n">
        <f aca="false">F5467*G5467</f>
        <v>0</v>
      </c>
      <c r="K5467" s="1365" t="n">
        <f aca="false">J5467/1792.8</f>
        <v>0</v>
      </c>
      <c r="L5467" s="1365"/>
      <c r="M5467" s="1273" t="n">
        <f aca="false">K5467*L5467/60</f>
        <v>0</v>
      </c>
    </row>
    <row r="5468" customFormat="false" ht="15" hidden="false" customHeight="false" outlineLevel="0" collapsed="false">
      <c r="A5468" s="216"/>
      <c r="B5468" s="78"/>
      <c r="C5468" s="1161" t="s">
        <v>7249</v>
      </c>
      <c r="D5468" s="317" t="n">
        <v>2005</v>
      </c>
      <c r="E5468" s="1365" t="n">
        <v>5</v>
      </c>
      <c r="F5468" s="1365" t="n">
        <v>347000</v>
      </c>
      <c r="G5468" s="1364" t="n">
        <v>0.1</v>
      </c>
      <c r="H5468" s="1365" t="n">
        <f aca="false">E5468*F5468*G5468</f>
        <v>173500</v>
      </c>
      <c r="I5468" s="1365" t="n">
        <f aca="false">F5468-H5468</f>
        <v>173500</v>
      </c>
      <c r="J5468" s="1365" t="n">
        <f aca="false">F5468*G5468</f>
        <v>34700</v>
      </c>
      <c r="K5468" s="1365" t="n">
        <f aca="false">J5468/1792.8</f>
        <v>19.355198572066</v>
      </c>
      <c r="L5468" s="1365" t="n">
        <v>60</v>
      </c>
      <c r="M5468" s="1273" t="n">
        <f aca="false">K5468*L5468/60</f>
        <v>19.355198572066</v>
      </c>
    </row>
    <row r="5469" customFormat="false" ht="15" hidden="false" customHeight="false" outlineLevel="0" collapsed="false">
      <c r="A5469" s="216"/>
      <c r="B5469" s="78"/>
      <c r="C5469" s="1161" t="s">
        <v>7170</v>
      </c>
      <c r="D5469" s="317" t="n">
        <v>2004</v>
      </c>
      <c r="E5469" s="1365" t="n">
        <v>6</v>
      </c>
      <c r="F5469" s="1365" t="n">
        <v>196670</v>
      </c>
      <c r="G5469" s="1364" t="n">
        <v>0.1</v>
      </c>
      <c r="H5469" s="1365" t="n">
        <f aca="false">E5469*F5469*G5469</f>
        <v>118002</v>
      </c>
      <c r="I5469" s="1365" t="n">
        <f aca="false">F5469-H5469</f>
        <v>78668</v>
      </c>
      <c r="J5469" s="1365" t="n">
        <f aca="false">F5469*G5469</f>
        <v>19667</v>
      </c>
      <c r="K5469" s="1365" t="n">
        <f aca="false">J5469/1792.8</f>
        <v>10.9699910754128</v>
      </c>
      <c r="L5469" s="1365" t="n">
        <v>15</v>
      </c>
      <c r="M5469" s="1273" t="n">
        <f aca="false">K5469*L5469/60</f>
        <v>2.74249776885319</v>
      </c>
    </row>
    <row r="5470" customFormat="false" ht="15" hidden="false" customHeight="false" outlineLevel="0" collapsed="false">
      <c r="A5470" s="216"/>
      <c r="B5470" s="78"/>
      <c r="C5470" s="1161" t="s">
        <v>7247</v>
      </c>
      <c r="D5470" s="317" t="n">
        <v>2004</v>
      </c>
      <c r="E5470" s="1365" t="n">
        <v>6</v>
      </c>
      <c r="F5470" s="1365" t="n">
        <v>202860</v>
      </c>
      <c r="G5470" s="1364" t="n">
        <v>0.1</v>
      </c>
      <c r="H5470" s="1365" t="n">
        <f aca="false">E5470*F5470*G5470</f>
        <v>121716</v>
      </c>
      <c r="I5470" s="1365" t="n">
        <f aca="false">F5470-H5470</f>
        <v>81144</v>
      </c>
      <c r="J5470" s="1365" t="n">
        <f aca="false">F5470*G5470</f>
        <v>20286</v>
      </c>
      <c r="K5470" s="1365" t="n">
        <f aca="false">J5470/1792.8</f>
        <v>11.3152610441767</v>
      </c>
      <c r="L5470" s="1365" t="n">
        <v>1440</v>
      </c>
      <c r="M5470" s="1273" t="n">
        <f aca="false">K5470*L5470/60</f>
        <v>271.566265060241</v>
      </c>
    </row>
    <row r="5471" customFormat="false" ht="15" hidden="false" customHeight="false" outlineLevel="0" collapsed="false">
      <c r="A5471" s="216"/>
      <c r="B5471" s="78"/>
      <c r="C5471" s="1161" t="s">
        <v>7158</v>
      </c>
      <c r="D5471" s="317" t="n">
        <v>2004</v>
      </c>
      <c r="E5471" s="1365" t="n">
        <v>6</v>
      </c>
      <c r="F5471" s="1365" t="n">
        <v>6985000</v>
      </c>
      <c r="G5471" s="1364" t="n">
        <v>0.1</v>
      </c>
      <c r="H5471" s="1365" t="n">
        <f aca="false">E5471*F5471*G5471</f>
        <v>4191000</v>
      </c>
      <c r="I5471" s="1365" t="n">
        <f aca="false">F5471-H5471</f>
        <v>2794000</v>
      </c>
      <c r="J5471" s="1365" t="n">
        <f aca="false">F5471*G5471</f>
        <v>698500</v>
      </c>
      <c r="K5471" s="1365" t="n">
        <f aca="false">J5471/1792.8</f>
        <v>389.614011601963</v>
      </c>
      <c r="L5471" s="1365" t="n">
        <v>15</v>
      </c>
      <c r="M5471" s="1273" t="n">
        <f aca="false">K5471*L5471/60</f>
        <v>97.4035029004909</v>
      </c>
    </row>
    <row r="5472" customFormat="false" ht="15" hidden="false" customHeight="false" outlineLevel="0" collapsed="false">
      <c r="A5472" s="216"/>
      <c r="B5472" s="78"/>
      <c r="C5472" s="1160"/>
      <c r="D5472" s="135"/>
      <c r="E5472" s="1370"/>
      <c r="F5472" s="1370"/>
      <c r="G5472" s="1372"/>
      <c r="H5472" s="1365"/>
      <c r="I5472" s="1365"/>
      <c r="J5472" s="1365"/>
      <c r="K5472" s="1365"/>
      <c r="L5472" s="1370" t="n">
        <v>3000</v>
      </c>
      <c r="M5472" s="1370" t="n">
        <f aca="false">SUM(M5465:M5471)</f>
        <v>400.745063587684</v>
      </c>
    </row>
    <row r="5473" customFormat="false" ht="22.5" hidden="false" customHeight="true" outlineLevel="0" collapsed="false">
      <c r="A5473" s="15" t="s">
        <v>2451</v>
      </c>
      <c r="B5473" s="88" t="s">
        <v>3952</v>
      </c>
      <c r="C5473" s="1387"/>
      <c r="D5473" s="1388"/>
      <c r="E5473" s="1390"/>
      <c r="F5473" s="1390"/>
      <c r="G5473" s="1391"/>
      <c r="H5473" s="1512"/>
      <c r="I5473" s="1512"/>
      <c r="J5473" s="1512"/>
      <c r="K5473" s="1512"/>
      <c r="L5473" s="1390"/>
      <c r="M5473" s="1390"/>
    </row>
    <row r="5474" customFormat="false" ht="30" hidden="false" customHeight="false" outlineLevel="0" collapsed="false">
      <c r="A5474" s="317" t="s">
        <v>6613</v>
      </c>
      <c r="B5474" s="40" t="s">
        <v>6614</v>
      </c>
      <c r="C5474" s="1161"/>
      <c r="D5474" s="317"/>
      <c r="E5474" s="1365"/>
      <c r="F5474" s="1365"/>
      <c r="G5474" s="1364"/>
      <c r="H5474" s="1365"/>
      <c r="I5474" s="1365"/>
      <c r="J5474" s="1365"/>
      <c r="K5474" s="1365"/>
      <c r="L5474" s="1365"/>
      <c r="M5474" s="1365"/>
    </row>
    <row r="5475" customFormat="false" ht="15" hidden="false" customHeight="false" outlineLevel="0" collapsed="false">
      <c r="A5475" s="216"/>
      <c r="B5475" s="78"/>
      <c r="C5475" s="1161" t="s">
        <v>7245</v>
      </c>
      <c r="D5475" s="317" t="n">
        <v>2005</v>
      </c>
      <c r="E5475" s="1365" t="n">
        <v>5</v>
      </c>
      <c r="F5475" s="1365" t="n">
        <v>347000</v>
      </c>
      <c r="G5475" s="1364" t="n">
        <v>0.1</v>
      </c>
      <c r="H5475" s="1365" t="n">
        <f aca="false">E5475*F5475*G5475</f>
        <v>173500</v>
      </c>
      <c r="I5475" s="1365" t="n">
        <f aca="false">F5475-H5475</f>
        <v>173500</v>
      </c>
      <c r="J5475" s="1365" t="n">
        <f aca="false">F5475*G5475</f>
        <v>34700</v>
      </c>
      <c r="K5475" s="1365" t="n">
        <f aca="false">J5475/1792.8</f>
        <v>19.355198572066</v>
      </c>
      <c r="L5475" s="1365" t="n">
        <v>30</v>
      </c>
      <c r="M5475" s="1273" t="n">
        <f aca="false">K5475*L5475/60</f>
        <v>9.67759928603302</v>
      </c>
    </row>
    <row r="5476" customFormat="false" ht="15" hidden="false" customHeight="false" outlineLevel="0" collapsed="false">
      <c r="A5476" s="216"/>
      <c r="B5476" s="78"/>
      <c r="C5476" s="1161" t="s">
        <v>7264</v>
      </c>
      <c r="D5476" s="317" t="n">
        <v>2014</v>
      </c>
      <c r="E5476" s="1365" t="n">
        <v>3</v>
      </c>
      <c r="F5476" s="1365" t="n">
        <v>1411800</v>
      </c>
      <c r="G5476" s="1364"/>
      <c r="H5476" s="1365" t="n">
        <f aca="false">E5476*F5476*G5476</f>
        <v>0</v>
      </c>
      <c r="I5476" s="1365" t="n">
        <f aca="false">F5476-H5476</f>
        <v>1411800</v>
      </c>
      <c r="J5476" s="1365" t="n">
        <f aca="false">F5476*G5476</f>
        <v>0</v>
      </c>
      <c r="K5476" s="1365" t="n">
        <f aca="false">J5476/1792.8</f>
        <v>0</v>
      </c>
      <c r="L5476" s="1365"/>
      <c r="M5476" s="1273" t="n">
        <f aca="false">K5476*L5476/60</f>
        <v>0</v>
      </c>
    </row>
    <row r="5477" customFormat="false" ht="15" hidden="false" customHeight="false" outlineLevel="0" collapsed="false">
      <c r="A5477" s="216"/>
      <c r="B5477" s="78"/>
      <c r="C5477" s="1161" t="s">
        <v>7249</v>
      </c>
      <c r="D5477" s="317" t="n">
        <v>2005</v>
      </c>
      <c r="E5477" s="1365" t="n">
        <v>5</v>
      </c>
      <c r="F5477" s="1365" t="n">
        <v>347000</v>
      </c>
      <c r="G5477" s="1364" t="n">
        <v>0.1</v>
      </c>
      <c r="H5477" s="1365" t="n">
        <f aca="false">E5477*F5477*G5477</f>
        <v>173500</v>
      </c>
      <c r="I5477" s="1365" t="n">
        <f aca="false">F5477-H5477</f>
        <v>173500</v>
      </c>
      <c r="J5477" s="1365" t="n">
        <f aca="false">F5477*G5477</f>
        <v>34700</v>
      </c>
      <c r="K5477" s="1365" t="n">
        <f aca="false">J5477/1792.8</f>
        <v>19.355198572066</v>
      </c>
      <c r="L5477" s="1365" t="n">
        <v>60</v>
      </c>
      <c r="M5477" s="1273" t="n">
        <f aca="false">K5477*L5477/60</f>
        <v>19.355198572066</v>
      </c>
    </row>
    <row r="5478" customFormat="false" ht="15" hidden="false" customHeight="false" outlineLevel="0" collapsed="false">
      <c r="A5478" s="216"/>
      <c r="B5478" s="78"/>
      <c r="C5478" s="1161" t="s">
        <v>7170</v>
      </c>
      <c r="D5478" s="317" t="n">
        <v>2004</v>
      </c>
      <c r="E5478" s="1365" t="n">
        <v>6</v>
      </c>
      <c r="F5478" s="1365" t="n">
        <v>196670</v>
      </c>
      <c r="G5478" s="1364" t="n">
        <v>0.1</v>
      </c>
      <c r="H5478" s="1365" t="n">
        <f aca="false">E5478*F5478*G5478</f>
        <v>118002</v>
      </c>
      <c r="I5478" s="1365" t="n">
        <f aca="false">F5478-H5478</f>
        <v>78668</v>
      </c>
      <c r="J5478" s="1365" t="n">
        <f aca="false">F5478*G5478</f>
        <v>19667</v>
      </c>
      <c r="K5478" s="1365" t="n">
        <f aca="false">J5478/1792.8</f>
        <v>10.9699910754128</v>
      </c>
      <c r="L5478" s="1365" t="n">
        <v>15</v>
      </c>
      <c r="M5478" s="1273" t="n">
        <f aca="false">K5478*L5478/60</f>
        <v>2.74249776885319</v>
      </c>
    </row>
    <row r="5479" customFormat="false" ht="15" hidden="false" customHeight="false" outlineLevel="0" collapsed="false">
      <c r="A5479" s="216"/>
      <c r="B5479" s="78"/>
      <c r="C5479" s="1161" t="s">
        <v>7247</v>
      </c>
      <c r="D5479" s="317" t="n">
        <v>2004</v>
      </c>
      <c r="E5479" s="1365" t="n">
        <v>6</v>
      </c>
      <c r="F5479" s="1365" t="n">
        <v>202860</v>
      </c>
      <c r="G5479" s="1364" t="n">
        <v>0.1</v>
      </c>
      <c r="H5479" s="1365" t="n">
        <f aca="false">E5479*F5479*G5479</f>
        <v>121716</v>
      </c>
      <c r="I5479" s="1365" t="n">
        <f aca="false">F5479-H5479</f>
        <v>81144</v>
      </c>
      <c r="J5479" s="1365" t="n">
        <f aca="false">F5479*G5479</f>
        <v>20286</v>
      </c>
      <c r="K5479" s="1365" t="n">
        <f aca="false">J5479/1792.8</f>
        <v>11.3152610441767</v>
      </c>
      <c r="L5479" s="1365" t="n">
        <v>2880</v>
      </c>
      <c r="M5479" s="1273" t="n">
        <f aca="false">K5479*L5479/60</f>
        <v>543.132530120482</v>
      </c>
    </row>
    <row r="5480" customFormat="false" ht="15" hidden="false" customHeight="false" outlineLevel="0" collapsed="false">
      <c r="A5480" s="216"/>
      <c r="B5480" s="78"/>
      <c r="C5480" s="1161" t="s">
        <v>7158</v>
      </c>
      <c r="D5480" s="317" t="n">
        <v>2004</v>
      </c>
      <c r="E5480" s="1365" t="n">
        <v>6</v>
      </c>
      <c r="F5480" s="1365" t="n">
        <v>6985000</v>
      </c>
      <c r="G5480" s="1364" t="n">
        <v>0.1</v>
      </c>
      <c r="H5480" s="1365" t="n">
        <f aca="false">E5480*F5480*G5480</f>
        <v>4191000</v>
      </c>
      <c r="I5480" s="1365" t="n">
        <f aca="false">F5480-H5480</f>
        <v>2794000</v>
      </c>
      <c r="J5480" s="1365" t="n">
        <f aca="false">F5480*G5480</f>
        <v>698500</v>
      </c>
      <c r="K5480" s="1365" t="n">
        <f aca="false">J5480/1792.8</f>
        <v>389.614011601963</v>
      </c>
      <c r="L5480" s="1365" t="n">
        <v>15</v>
      </c>
      <c r="M5480" s="1273" t="n">
        <f aca="false">K5480*L5480/60</f>
        <v>97.4035029004909</v>
      </c>
    </row>
    <row r="5481" customFormat="false" ht="15" hidden="false" customHeight="false" outlineLevel="0" collapsed="false">
      <c r="A5481" s="216"/>
      <c r="B5481" s="78"/>
      <c r="C5481" s="1160"/>
      <c r="D5481" s="135"/>
      <c r="E5481" s="1370"/>
      <c r="F5481" s="1370"/>
      <c r="G5481" s="1372"/>
      <c r="H5481" s="1365" t="n">
        <f aca="false">E5481*F5481*G5481</f>
        <v>0</v>
      </c>
      <c r="I5481" s="1365" t="n">
        <f aca="false">F5481-H5481</f>
        <v>0</v>
      </c>
      <c r="J5481" s="1365" t="n">
        <f aca="false">F5481*G5481</f>
        <v>0</v>
      </c>
      <c r="K5481" s="1365" t="n">
        <f aca="false">J5481/1792.8</f>
        <v>0</v>
      </c>
      <c r="L5481" s="1370" t="n">
        <v>3000</v>
      </c>
      <c r="M5481" s="1370" t="n">
        <f aca="false">SUM(M5474:M5480)</f>
        <v>672.311328647925</v>
      </c>
    </row>
    <row r="5482" customFormat="false" ht="30" hidden="false" customHeight="false" outlineLevel="0" collapsed="false">
      <c r="A5482" s="317" t="s">
        <v>6616</v>
      </c>
      <c r="B5482" s="40" t="s">
        <v>6617</v>
      </c>
      <c r="C5482" s="1161"/>
      <c r="D5482" s="317"/>
      <c r="E5482" s="1365"/>
      <c r="F5482" s="1365"/>
      <c r="G5482" s="1364"/>
      <c r="H5482" s="1365" t="n">
        <f aca="false">E5482*F5482*G5482</f>
        <v>0</v>
      </c>
      <c r="I5482" s="1365" t="n">
        <f aca="false">F5482-H5482</f>
        <v>0</v>
      </c>
      <c r="J5482" s="1365" t="n">
        <f aca="false">F5482*G5482</f>
        <v>0</v>
      </c>
      <c r="K5482" s="1365" t="n">
        <f aca="false">J5482/1792.8</f>
        <v>0</v>
      </c>
      <c r="L5482" s="1365"/>
      <c r="M5482" s="1365"/>
    </row>
    <row r="5483" customFormat="false" ht="15" hidden="false" customHeight="false" outlineLevel="0" collapsed="false">
      <c r="A5483" s="216"/>
      <c r="B5483" s="78"/>
      <c r="C5483" s="1161" t="s">
        <v>7245</v>
      </c>
      <c r="D5483" s="317" t="n">
        <v>2005</v>
      </c>
      <c r="E5483" s="1365" t="n">
        <v>5</v>
      </c>
      <c r="F5483" s="1365" t="n">
        <v>347000</v>
      </c>
      <c r="G5483" s="1364" t="n">
        <v>0.1</v>
      </c>
      <c r="H5483" s="1365" t="n">
        <f aca="false">E5483*F5483*G5483</f>
        <v>173500</v>
      </c>
      <c r="I5483" s="1365" t="n">
        <f aca="false">F5483-H5483</f>
        <v>173500</v>
      </c>
      <c r="J5483" s="1365" t="n">
        <f aca="false">F5483*G5483</f>
        <v>34700</v>
      </c>
      <c r="K5483" s="1365" t="n">
        <f aca="false">J5483/1792.8</f>
        <v>19.355198572066</v>
      </c>
      <c r="L5483" s="1365" t="n">
        <v>30</v>
      </c>
      <c r="M5483" s="1273" t="n">
        <f aca="false">K5483*L5483/60</f>
        <v>9.67759928603302</v>
      </c>
    </row>
    <row r="5484" customFormat="false" ht="15" hidden="false" customHeight="false" outlineLevel="0" collapsed="false">
      <c r="A5484" s="216"/>
      <c r="B5484" s="78"/>
      <c r="C5484" s="1161" t="s">
        <v>7264</v>
      </c>
      <c r="D5484" s="317" t="n">
        <v>2014</v>
      </c>
      <c r="E5484" s="1365" t="n">
        <v>3</v>
      </c>
      <c r="F5484" s="1365" t="n">
        <v>1411800</v>
      </c>
      <c r="G5484" s="1364"/>
      <c r="H5484" s="1365" t="n">
        <f aca="false">E5484*F5484*G5484</f>
        <v>0</v>
      </c>
      <c r="I5484" s="1365" t="n">
        <f aca="false">F5484-H5484</f>
        <v>1411800</v>
      </c>
      <c r="J5484" s="1365" t="n">
        <f aca="false">F5484*G5484</f>
        <v>0</v>
      </c>
      <c r="K5484" s="1365" t="n">
        <f aca="false">J5484/1792.8</f>
        <v>0</v>
      </c>
      <c r="L5484" s="1365"/>
      <c r="M5484" s="1273" t="n">
        <f aca="false">K5484*L5484/60</f>
        <v>0</v>
      </c>
    </row>
    <row r="5485" customFormat="false" ht="15" hidden="false" customHeight="false" outlineLevel="0" collapsed="false">
      <c r="A5485" s="216"/>
      <c r="B5485" s="78"/>
      <c r="C5485" s="1161" t="s">
        <v>7249</v>
      </c>
      <c r="D5485" s="317" t="n">
        <v>2005</v>
      </c>
      <c r="E5485" s="1365" t="n">
        <v>5</v>
      </c>
      <c r="F5485" s="1365" t="n">
        <v>347000</v>
      </c>
      <c r="G5485" s="1364" t="n">
        <v>0.1</v>
      </c>
      <c r="H5485" s="1365" t="n">
        <f aca="false">E5485*F5485*G5485</f>
        <v>173500</v>
      </c>
      <c r="I5485" s="1365" t="n">
        <f aca="false">F5485-H5485</f>
        <v>173500</v>
      </c>
      <c r="J5485" s="1365" t="n">
        <f aca="false">F5485*G5485</f>
        <v>34700</v>
      </c>
      <c r="K5485" s="1365" t="n">
        <f aca="false">J5485/1792.8</f>
        <v>19.355198572066</v>
      </c>
      <c r="L5485" s="1365" t="n">
        <v>60</v>
      </c>
      <c r="M5485" s="1273" t="n">
        <f aca="false">K5485*L5485/60</f>
        <v>19.355198572066</v>
      </c>
    </row>
    <row r="5486" customFormat="false" ht="15" hidden="false" customHeight="false" outlineLevel="0" collapsed="false">
      <c r="A5486" s="216"/>
      <c r="B5486" s="78"/>
      <c r="C5486" s="1161" t="s">
        <v>7170</v>
      </c>
      <c r="D5486" s="317" t="n">
        <v>2004</v>
      </c>
      <c r="E5486" s="1365" t="n">
        <v>6</v>
      </c>
      <c r="F5486" s="1365" t="n">
        <v>196670</v>
      </c>
      <c r="G5486" s="1364" t="n">
        <v>0.1</v>
      </c>
      <c r="H5486" s="1365" t="n">
        <f aca="false">E5486*F5486*G5486</f>
        <v>118002</v>
      </c>
      <c r="I5486" s="1365" t="n">
        <f aca="false">F5486-H5486</f>
        <v>78668</v>
      </c>
      <c r="J5486" s="1365" t="n">
        <f aca="false">F5486*G5486</f>
        <v>19667</v>
      </c>
      <c r="K5486" s="1365" t="n">
        <f aca="false">J5486/1792.8</f>
        <v>10.9699910754128</v>
      </c>
      <c r="L5486" s="1365" t="n">
        <v>15</v>
      </c>
      <c r="M5486" s="1273" t="n">
        <f aca="false">K5486*L5486/60</f>
        <v>2.74249776885319</v>
      </c>
    </row>
    <row r="5487" customFormat="false" ht="15" hidden="false" customHeight="false" outlineLevel="0" collapsed="false">
      <c r="A5487" s="216"/>
      <c r="B5487" s="78"/>
      <c r="C5487" s="1161" t="s">
        <v>7247</v>
      </c>
      <c r="D5487" s="317" t="n">
        <v>2004</v>
      </c>
      <c r="E5487" s="1365" t="n">
        <v>6</v>
      </c>
      <c r="F5487" s="1365" t="n">
        <v>202860</v>
      </c>
      <c r="G5487" s="1364" t="n">
        <v>0.1</v>
      </c>
      <c r="H5487" s="1365" t="n">
        <f aca="false">E5487*F5487*G5487</f>
        <v>121716</v>
      </c>
      <c r="I5487" s="1365" t="n">
        <f aca="false">F5487-H5487</f>
        <v>81144</v>
      </c>
      <c r="J5487" s="1365" t="n">
        <f aca="false">F5487*G5487</f>
        <v>20286</v>
      </c>
      <c r="K5487" s="1365" t="n">
        <f aca="false">J5487/1792.8</f>
        <v>11.3152610441767</v>
      </c>
      <c r="L5487" s="1365" t="n">
        <v>1440</v>
      </c>
      <c r="M5487" s="1273" t="n">
        <f aca="false">K5487*L5487/60</f>
        <v>271.566265060241</v>
      </c>
    </row>
    <row r="5488" customFormat="false" ht="15" hidden="false" customHeight="false" outlineLevel="0" collapsed="false">
      <c r="A5488" s="216"/>
      <c r="B5488" s="78"/>
      <c r="C5488" s="1161" t="s">
        <v>7158</v>
      </c>
      <c r="D5488" s="317" t="n">
        <v>2004</v>
      </c>
      <c r="E5488" s="1365" t="n">
        <v>6</v>
      </c>
      <c r="F5488" s="1365" t="n">
        <v>6985000</v>
      </c>
      <c r="G5488" s="1364" t="n">
        <v>0.1</v>
      </c>
      <c r="H5488" s="1365" t="n">
        <f aca="false">E5488*F5488*G5488</f>
        <v>4191000</v>
      </c>
      <c r="I5488" s="1365" t="n">
        <f aca="false">F5488-H5488</f>
        <v>2794000</v>
      </c>
      <c r="J5488" s="1365" t="n">
        <f aca="false">F5488*G5488</f>
        <v>698500</v>
      </c>
      <c r="K5488" s="1365" t="n">
        <f aca="false">J5488/1792.8</f>
        <v>389.614011601963</v>
      </c>
      <c r="L5488" s="1365" t="n">
        <v>15</v>
      </c>
      <c r="M5488" s="1273" t="n">
        <f aca="false">K5488*L5488/60</f>
        <v>97.4035029004909</v>
      </c>
    </row>
    <row r="5489" customFormat="false" ht="15" hidden="false" customHeight="false" outlineLevel="0" collapsed="false">
      <c r="A5489" s="216"/>
      <c r="B5489" s="78"/>
      <c r="C5489" s="1160"/>
      <c r="D5489" s="135"/>
      <c r="E5489" s="1370"/>
      <c r="F5489" s="1370"/>
      <c r="G5489" s="1372"/>
      <c r="H5489" s="1365"/>
      <c r="I5489" s="1365"/>
      <c r="J5489" s="1365"/>
      <c r="K5489" s="1365"/>
      <c r="L5489" s="1370" t="n">
        <v>3000</v>
      </c>
      <c r="M5489" s="1370" t="n">
        <f aca="false">SUM(M5482:M5488)</f>
        <v>400.745063587684</v>
      </c>
    </row>
    <row r="5490" customFormat="false" ht="22.5" hidden="false" customHeight="true" outlineLevel="0" collapsed="false">
      <c r="A5490" s="15" t="s">
        <v>2457</v>
      </c>
      <c r="B5490" s="88" t="s">
        <v>2458</v>
      </c>
      <c r="C5490" s="1387"/>
      <c r="D5490" s="1388"/>
      <c r="E5490" s="1390"/>
      <c r="F5490" s="1390"/>
      <c r="G5490" s="1391"/>
      <c r="H5490" s="1512"/>
      <c r="I5490" s="1512"/>
      <c r="J5490" s="1512"/>
      <c r="K5490" s="1512"/>
      <c r="L5490" s="1390"/>
      <c r="M5490" s="1390"/>
    </row>
    <row r="5491" customFormat="false" ht="30" hidden="false" customHeight="false" outlineLevel="0" collapsed="false">
      <c r="A5491" s="317" t="s">
        <v>6619</v>
      </c>
      <c r="B5491" s="40" t="s">
        <v>3955</v>
      </c>
      <c r="C5491" s="1161"/>
      <c r="D5491" s="317"/>
      <c r="E5491" s="1365"/>
      <c r="F5491" s="1365"/>
      <c r="G5491" s="1364"/>
      <c r="H5491" s="1365"/>
      <c r="I5491" s="1365"/>
      <c r="J5491" s="1365"/>
      <c r="K5491" s="1365"/>
      <c r="L5491" s="1365"/>
      <c r="M5491" s="1365"/>
    </row>
    <row r="5492" customFormat="false" ht="15" hidden="false" customHeight="false" outlineLevel="0" collapsed="false">
      <c r="A5492" s="216"/>
      <c r="B5492" s="78"/>
      <c r="C5492" s="1161" t="s">
        <v>7245</v>
      </c>
      <c r="D5492" s="317" t="n">
        <v>2005</v>
      </c>
      <c r="E5492" s="1365" t="n">
        <v>5</v>
      </c>
      <c r="F5492" s="1365" t="n">
        <v>347000</v>
      </c>
      <c r="G5492" s="1364" t="n">
        <v>0.1</v>
      </c>
      <c r="H5492" s="1365" t="n">
        <f aca="false">E5492*F5492*G5492</f>
        <v>173500</v>
      </c>
      <c r="I5492" s="1365" t="n">
        <f aca="false">F5492-H5492</f>
        <v>173500</v>
      </c>
      <c r="J5492" s="1365" t="n">
        <f aca="false">F5492*G5492</f>
        <v>34700</v>
      </c>
      <c r="K5492" s="1365" t="n">
        <f aca="false">J5492/1792.8</f>
        <v>19.355198572066</v>
      </c>
      <c r="L5492" s="1365" t="n">
        <v>30</v>
      </c>
      <c r="M5492" s="1273" t="n">
        <f aca="false">K5492*L5492/60</f>
        <v>9.67759928603302</v>
      </c>
    </row>
    <row r="5493" customFormat="false" ht="15" hidden="false" customHeight="false" outlineLevel="0" collapsed="false">
      <c r="A5493" s="216"/>
      <c r="B5493" s="78"/>
      <c r="C5493" s="1161" t="s">
        <v>7264</v>
      </c>
      <c r="D5493" s="317" t="n">
        <v>2014</v>
      </c>
      <c r="E5493" s="1365" t="n">
        <v>3</v>
      </c>
      <c r="F5493" s="1365" t="n">
        <v>1411800</v>
      </c>
      <c r="G5493" s="1364"/>
      <c r="H5493" s="1365" t="n">
        <f aca="false">E5493*F5493*G5493</f>
        <v>0</v>
      </c>
      <c r="I5493" s="1365" t="n">
        <f aca="false">F5493-H5493</f>
        <v>1411800</v>
      </c>
      <c r="J5493" s="1365" t="n">
        <f aca="false">F5493*G5493</f>
        <v>0</v>
      </c>
      <c r="K5493" s="1365" t="n">
        <f aca="false">J5493/1792.8</f>
        <v>0</v>
      </c>
      <c r="L5493" s="1365"/>
      <c r="M5493" s="1273" t="n">
        <f aca="false">K5493*L5493/60</f>
        <v>0</v>
      </c>
    </row>
    <row r="5494" customFormat="false" ht="15" hidden="false" customHeight="false" outlineLevel="0" collapsed="false">
      <c r="A5494" s="216"/>
      <c r="B5494" s="78"/>
      <c r="C5494" s="1161" t="s">
        <v>7249</v>
      </c>
      <c r="D5494" s="317" t="n">
        <v>2005</v>
      </c>
      <c r="E5494" s="1365" t="n">
        <v>5</v>
      </c>
      <c r="F5494" s="1365" t="n">
        <v>347000</v>
      </c>
      <c r="G5494" s="1364" t="n">
        <v>0.1</v>
      </c>
      <c r="H5494" s="1365" t="n">
        <f aca="false">E5494*F5494*G5494</f>
        <v>173500</v>
      </c>
      <c r="I5494" s="1365" t="n">
        <f aca="false">F5494-H5494</f>
        <v>173500</v>
      </c>
      <c r="J5494" s="1365" t="n">
        <f aca="false">F5494*G5494</f>
        <v>34700</v>
      </c>
      <c r="K5494" s="1365" t="n">
        <f aca="false">J5494/1792.8</f>
        <v>19.355198572066</v>
      </c>
      <c r="L5494" s="1365" t="n">
        <v>60</v>
      </c>
      <c r="M5494" s="1273" t="n">
        <f aca="false">K5494*L5494/60</f>
        <v>19.355198572066</v>
      </c>
    </row>
    <row r="5495" customFormat="false" ht="15" hidden="false" customHeight="false" outlineLevel="0" collapsed="false">
      <c r="A5495" s="216"/>
      <c r="B5495" s="78"/>
      <c r="C5495" s="1161" t="s">
        <v>7170</v>
      </c>
      <c r="D5495" s="317" t="n">
        <v>2004</v>
      </c>
      <c r="E5495" s="1365" t="n">
        <v>6</v>
      </c>
      <c r="F5495" s="1365" t="n">
        <v>196670</v>
      </c>
      <c r="G5495" s="1364" t="n">
        <v>0.1</v>
      </c>
      <c r="H5495" s="1365" t="n">
        <f aca="false">E5495*F5495*G5495</f>
        <v>118002</v>
      </c>
      <c r="I5495" s="1365" t="n">
        <f aca="false">F5495-H5495</f>
        <v>78668</v>
      </c>
      <c r="J5495" s="1365" t="n">
        <f aca="false">F5495*G5495</f>
        <v>19667</v>
      </c>
      <c r="K5495" s="1365" t="n">
        <f aca="false">J5495/1792.8</f>
        <v>10.9699910754128</v>
      </c>
      <c r="L5495" s="1365" t="n">
        <v>15</v>
      </c>
      <c r="M5495" s="1273" t="n">
        <f aca="false">K5495*L5495/60</f>
        <v>2.74249776885319</v>
      </c>
    </row>
    <row r="5496" customFormat="false" ht="15" hidden="false" customHeight="false" outlineLevel="0" collapsed="false">
      <c r="A5496" s="216"/>
      <c r="B5496" s="78"/>
      <c r="C5496" s="1161" t="s">
        <v>7247</v>
      </c>
      <c r="D5496" s="317" t="n">
        <v>2004</v>
      </c>
      <c r="E5496" s="1365" t="n">
        <v>6</v>
      </c>
      <c r="F5496" s="1365" t="n">
        <v>202860</v>
      </c>
      <c r="G5496" s="1364" t="n">
        <v>0.1</v>
      </c>
      <c r="H5496" s="1365" t="n">
        <f aca="false">E5496*F5496*G5496</f>
        <v>121716</v>
      </c>
      <c r="I5496" s="1365" t="n">
        <f aca="false">F5496-H5496</f>
        <v>81144</v>
      </c>
      <c r="J5496" s="1365" t="n">
        <f aca="false">F5496*G5496</f>
        <v>20286</v>
      </c>
      <c r="K5496" s="1365" t="n">
        <f aca="false">J5496/1792.8</f>
        <v>11.3152610441767</v>
      </c>
      <c r="L5496" s="1365" t="n">
        <v>2880</v>
      </c>
      <c r="M5496" s="1273" t="n">
        <f aca="false">K5496*L5496/60</f>
        <v>543.132530120482</v>
      </c>
    </row>
    <row r="5497" customFormat="false" ht="15" hidden="false" customHeight="false" outlineLevel="0" collapsed="false">
      <c r="A5497" s="216"/>
      <c r="B5497" s="78"/>
      <c r="C5497" s="1161" t="s">
        <v>7158</v>
      </c>
      <c r="D5497" s="317" t="n">
        <v>2004</v>
      </c>
      <c r="E5497" s="1365" t="n">
        <v>6</v>
      </c>
      <c r="F5497" s="1365" t="n">
        <v>6985000</v>
      </c>
      <c r="G5497" s="1364" t="n">
        <v>0.1</v>
      </c>
      <c r="H5497" s="1365" t="n">
        <f aca="false">E5497*F5497*G5497</f>
        <v>4191000</v>
      </c>
      <c r="I5497" s="1365" t="n">
        <f aca="false">F5497-H5497</f>
        <v>2794000</v>
      </c>
      <c r="J5497" s="1365" t="n">
        <f aca="false">F5497*G5497</f>
        <v>698500</v>
      </c>
      <c r="K5497" s="1365" t="n">
        <f aca="false">J5497/1792.8</f>
        <v>389.614011601963</v>
      </c>
      <c r="L5497" s="1365" t="n">
        <v>15</v>
      </c>
      <c r="M5497" s="1273" t="n">
        <f aca="false">K5497*L5497/60</f>
        <v>97.4035029004909</v>
      </c>
    </row>
    <row r="5498" customFormat="false" ht="15" hidden="false" customHeight="false" outlineLevel="0" collapsed="false">
      <c r="A5498" s="216"/>
      <c r="B5498" s="78"/>
      <c r="C5498" s="1160"/>
      <c r="D5498" s="135"/>
      <c r="E5498" s="1370"/>
      <c r="F5498" s="1370"/>
      <c r="G5498" s="1372"/>
      <c r="H5498" s="1365" t="n">
        <f aca="false">E5498*F5498*G5498</f>
        <v>0</v>
      </c>
      <c r="I5498" s="1365" t="n">
        <f aca="false">F5498-H5498</f>
        <v>0</v>
      </c>
      <c r="J5498" s="1365" t="n">
        <f aca="false">F5498*G5498</f>
        <v>0</v>
      </c>
      <c r="K5498" s="1365" t="n">
        <f aca="false">J5498/1792.8</f>
        <v>0</v>
      </c>
      <c r="L5498" s="1370" t="n">
        <v>3000</v>
      </c>
      <c r="M5498" s="1370" t="n">
        <f aca="false">SUM(M5491:M5497)</f>
        <v>672.311328647925</v>
      </c>
    </row>
    <row r="5499" customFormat="false" ht="19.5" hidden="false" customHeight="true" outlineLevel="0" collapsed="false">
      <c r="A5499" s="216" t="s">
        <v>6622</v>
      </c>
      <c r="B5499" s="78" t="s">
        <v>6623</v>
      </c>
      <c r="C5499" s="1161"/>
      <c r="D5499" s="317"/>
      <c r="E5499" s="1365"/>
      <c r="F5499" s="1365"/>
      <c r="G5499" s="1364"/>
      <c r="H5499" s="1365" t="n">
        <f aca="false">E5499*F5499*G5499</f>
        <v>0</v>
      </c>
      <c r="I5499" s="1365" t="n">
        <f aca="false">F5499-H5499</f>
        <v>0</v>
      </c>
      <c r="J5499" s="1365" t="n">
        <f aca="false">F5499*G5499</f>
        <v>0</v>
      </c>
      <c r="K5499" s="1365" t="n">
        <f aca="false">J5499/1792.8</f>
        <v>0</v>
      </c>
      <c r="L5499" s="1365"/>
      <c r="M5499" s="1365"/>
    </row>
    <row r="5500" customFormat="false" ht="15" hidden="false" customHeight="false" outlineLevel="0" collapsed="false">
      <c r="A5500" s="216"/>
      <c r="B5500" s="78"/>
      <c r="C5500" s="1161" t="s">
        <v>7245</v>
      </c>
      <c r="D5500" s="317" t="n">
        <v>2005</v>
      </c>
      <c r="E5500" s="1365" t="n">
        <v>5</v>
      </c>
      <c r="F5500" s="1365" t="n">
        <v>347000</v>
      </c>
      <c r="G5500" s="1364" t="n">
        <v>0.1</v>
      </c>
      <c r="H5500" s="1365" t="n">
        <f aca="false">E5500*F5500*G5500</f>
        <v>173500</v>
      </c>
      <c r="I5500" s="1365" t="n">
        <f aca="false">F5500-H5500</f>
        <v>173500</v>
      </c>
      <c r="J5500" s="1365" t="n">
        <f aca="false">F5500*G5500</f>
        <v>34700</v>
      </c>
      <c r="K5500" s="1365" t="n">
        <f aca="false">J5500/1792.8</f>
        <v>19.355198572066</v>
      </c>
      <c r="L5500" s="1365" t="n">
        <v>30</v>
      </c>
      <c r="M5500" s="1273" t="n">
        <f aca="false">K5500*L5500/60</f>
        <v>9.67759928603302</v>
      </c>
    </row>
    <row r="5501" customFormat="false" ht="15" hidden="false" customHeight="false" outlineLevel="0" collapsed="false">
      <c r="A5501" s="216"/>
      <c r="B5501" s="78"/>
      <c r="C5501" s="1161" t="s">
        <v>7264</v>
      </c>
      <c r="D5501" s="317" t="n">
        <v>2014</v>
      </c>
      <c r="E5501" s="1365" t="n">
        <v>3</v>
      </c>
      <c r="F5501" s="1365" t="n">
        <v>1411800</v>
      </c>
      <c r="G5501" s="1364"/>
      <c r="H5501" s="1365" t="n">
        <f aca="false">E5501*F5501*G5501</f>
        <v>0</v>
      </c>
      <c r="I5501" s="1365" t="n">
        <f aca="false">F5501-H5501</f>
        <v>1411800</v>
      </c>
      <c r="J5501" s="1365" t="n">
        <f aca="false">F5501*G5501</f>
        <v>0</v>
      </c>
      <c r="K5501" s="1365" t="n">
        <f aca="false">J5501/1792.8</f>
        <v>0</v>
      </c>
      <c r="L5501" s="1365"/>
      <c r="M5501" s="1273" t="n">
        <f aca="false">K5501*L5501/60</f>
        <v>0</v>
      </c>
    </row>
    <row r="5502" customFormat="false" ht="15" hidden="false" customHeight="false" outlineLevel="0" collapsed="false">
      <c r="A5502" s="216"/>
      <c r="B5502" s="78"/>
      <c r="C5502" s="1161" t="s">
        <v>7249</v>
      </c>
      <c r="D5502" s="317" t="n">
        <v>2005</v>
      </c>
      <c r="E5502" s="1365" t="n">
        <v>5</v>
      </c>
      <c r="F5502" s="1365" t="n">
        <v>347000</v>
      </c>
      <c r="G5502" s="1364" t="n">
        <v>0.1</v>
      </c>
      <c r="H5502" s="1365" t="n">
        <f aca="false">E5502*F5502*G5502</f>
        <v>173500</v>
      </c>
      <c r="I5502" s="1365" t="n">
        <f aca="false">F5502-H5502</f>
        <v>173500</v>
      </c>
      <c r="J5502" s="1365" t="n">
        <f aca="false">F5502*G5502</f>
        <v>34700</v>
      </c>
      <c r="K5502" s="1365" t="n">
        <f aca="false">J5502/1792.8</f>
        <v>19.355198572066</v>
      </c>
      <c r="L5502" s="1365" t="n">
        <v>60</v>
      </c>
      <c r="M5502" s="1273" t="n">
        <f aca="false">K5502*L5502/60</f>
        <v>19.355198572066</v>
      </c>
    </row>
    <row r="5503" customFormat="false" ht="15" hidden="false" customHeight="false" outlineLevel="0" collapsed="false">
      <c r="A5503" s="216"/>
      <c r="B5503" s="78"/>
      <c r="C5503" s="1161" t="s">
        <v>7170</v>
      </c>
      <c r="D5503" s="317" t="n">
        <v>2004</v>
      </c>
      <c r="E5503" s="1365" t="n">
        <v>6</v>
      </c>
      <c r="F5503" s="1365" t="n">
        <v>196670</v>
      </c>
      <c r="G5503" s="1364" t="n">
        <v>0.1</v>
      </c>
      <c r="H5503" s="1365" t="n">
        <f aca="false">E5503*F5503*G5503</f>
        <v>118002</v>
      </c>
      <c r="I5503" s="1365" t="n">
        <f aca="false">F5503-H5503</f>
        <v>78668</v>
      </c>
      <c r="J5503" s="1365" t="n">
        <f aca="false">F5503*G5503</f>
        <v>19667</v>
      </c>
      <c r="K5503" s="1365" t="n">
        <f aca="false">J5503/1792.8</f>
        <v>10.9699910754128</v>
      </c>
      <c r="L5503" s="1365" t="n">
        <v>15</v>
      </c>
      <c r="M5503" s="1273" t="n">
        <f aca="false">K5503*L5503/60</f>
        <v>2.74249776885319</v>
      </c>
    </row>
    <row r="5504" customFormat="false" ht="15" hidden="false" customHeight="false" outlineLevel="0" collapsed="false">
      <c r="A5504" s="216"/>
      <c r="B5504" s="78"/>
      <c r="C5504" s="1161" t="s">
        <v>7247</v>
      </c>
      <c r="D5504" s="317" t="n">
        <v>2004</v>
      </c>
      <c r="E5504" s="1365" t="n">
        <v>6</v>
      </c>
      <c r="F5504" s="1365" t="n">
        <v>202860</v>
      </c>
      <c r="G5504" s="1364" t="n">
        <v>0.1</v>
      </c>
      <c r="H5504" s="1365" t="n">
        <f aca="false">E5504*F5504*G5504</f>
        <v>121716</v>
      </c>
      <c r="I5504" s="1365" t="n">
        <f aca="false">F5504-H5504</f>
        <v>81144</v>
      </c>
      <c r="J5504" s="1365" t="n">
        <f aca="false">F5504*G5504</f>
        <v>20286</v>
      </c>
      <c r="K5504" s="1365" t="n">
        <f aca="false">J5504/1792.8</f>
        <v>11.3152610441767</v>
      </c>
      <c r="L5504" s="1365" t="n">
        <v>2880</v>
      </c>
      <c r="M5504" s="1273" t="n">
        <f aca="false">K5504*L5504/60</f>
        <v>543.132530120482</v>
      </c>
    </row>
    <row r="5505" customFormat="false" ht="15" hidden="false" customHeight="false" outlineLevel="0" collapsed="false">
      <c r="A5505" s="216"/>
      <c r="B5505" s="78"/>
      <c r="C5505" s="1161" t="s">
        <v>7158</v>
      </c>
      <c r="D5505" s="317" t="n">
        <v>2004</v>
      </c>
      <c r="E5505" s="1365" t="n">
        <v>6</v>
      </c>
      <c r="F5505" s="1365" t="n">
        <v>6985000</v>
      </c>
      <c r="G5505" s="1364" t="n">
        <v>0.1</v>
      </c>
      <c r="H5505" s="1365" t="n">
        <f aca="false">E5505*F5505*G5505</f>
        <v>4191000</v>
      </c>
      <c r="I5505" s="1365" t="n">
        <f aca="false">F5505-H5505</f>
        <v>2794000</v>
      </c>
      <c r="J5505" s="1365" t="n">
        <f aca="false">F5505*G5505</f>
        <v>698500</v>
      </c>
      <c r="K5505" s="1365" t="n">
        <f aca="false">J5505/1792.8</f>
        <v>389.614011601963</v>
      </c>
      <c r="L5505" s="1365" t="n">
        <v>15</v>
      </c>
      <c r="M5505" s="1273" t="n">
        <f aca="false">K5505*L5505/60</f>
        <v>97.4035029004909</v>
      </c>
    </row>
    <row r="5506" customFormat="false" ht="15" hidden="false" customHeight="false" outlineLevel="0" collapsed="false">
      <c r="A5506" s="216"/>
      <c r="B5506" s="78"/>
      <c r="C5506" s="1160"/>
      <c r="D5506" s="135"/>
      <c r="E5506" s="1370"/>
      <c r="F5506" s="1370"/>
      <c r="G5506" s="1372"/>
      <c r="H5506" s="1365"/>
      <c r="I5506" s="1365"/>
      <c r="J5506" s="1365"/>
      <c r="K5506" s="1365"/>
      <c r="L5506" s="1370" t="n">
        <v>3000</v>
      </c>
      <c r="M5506" s="1370" t="n">
        <f aca="false">SUM(M5499:M5505)</f>
        <v>672.311328647925</v>
      </c>
    </row>
    <row r="5507" customFormat="false" ht="28.5" hidden="false" customHeight="true" outlineLevel="0" collapsed="false">
      <c r="A5507" s="350" t="s">
        <v>2463</v>
      </c>
      <c r="B5507" s="509" t="s">
        <v>3957</v>
      </c>
      <c r="C5507" s="1569"/>
      <c r="D5507" s="339"/>
      <c r="E5507" s="1246"/>
      <c r="F5507" s="1246"/>
      <c r="G5507" s="1570"/>
      <c r="H5507" s="1512"/>
      <c r="I5507" s="1512"/>
      <c r="J5507" s="1512"/>
      <c r="K5507" s="1512"/>
      <c r="L5507" s="1246"/>
      <c r="M5507" s="1246"/>
    </row>
    <row r="5508" customFormat="false" ht="30" hidden="false" customHeight="false" outlineLevel="0" collapsed="false">
      <c r="A5508" s="317" t="s">
        <v>6628</v>
      </c>
      <c r="B5508" s="40" t="s">
        <v>3958</v>
      </c>
      <c r="C5508" s="1161"/>
      <c r="D5508" s="317"/>
      <c r="E5508" s="1365"/>
      <c r="F5508" s="1365"/>
      <c r="G5508" s="1364"/>
      <c r="H5508" s="1365"/>
      <c r="I5508" s="1365"/>
      <c r="J5508" s="1365"/>
      <c r="K5508" s="1365"/>
      <c r="L5508" s="1365"/>
      <c r="M5508" s="1365"/>
    </row>
    <row r="5509" customFormat="false" ht="15" hidden="false" customHeight="false" outlineLevel="0" collapsed="false">
      <c r="A5509" s="216"/>
      <c r="B5509" s="78"/>
      <c r="C5509" s="1161" t="s">
        <v>7245</v>
      </c>
      <c r="D5509" s="317" t="n">
        <v>2005</v>
      </c>
      <c r="E5509" s="1365" t="n">
        <v>5</v>
      </c>
      <c r="F5509" s="1365" t="n">
        <v>347000</v>
      </c>
      <c r="G5509" s="1364" t="n">
        <v>0.1</v>
      </c>
      <c r="H5509" s="1365" t="n">
        <f aca="false">E5509*F5509*G5509</f>
        <v>173500</v>
      </c>
      <c r="I5509" s="1365" t="n">
        <f aca="false">F5509-H5509</f>
        <v>173500</v>
      </c>
      <c r="J5509" s="1365" t="n">
        <f aca="false">F5509*G5509</f>
        <v>34700</v>
      </c>
      <c r="K5509" s="1365" t="n">
        <f aca="false">J5509/1792.8</f>
        <v>19.355198572066</v>
      </c>
      <c r="L5509" s="1365" t="n">
        <v>30</v>
      </c>
      <c r="M5509" s="1273" t="n">
        <f aca="false">K5509*L5509/60</f>
        <v>9.67759928603302</v>
      </c>
    </row>
    <row r="5510" customFormat="false" ht="15" hidden="false" customHeight="false" outlineLevel="0" collapsed="false">
      <c r="A5510" s="216"/>
      <c r="B5510" s="78"/>
      <c r="C5510" s="1161" t="s">
        <v>7264</v>
      </c>
      <c r="D5510" s="317" t="n">
        <v>2014</v>
      </c>
      <c r="E5510" s="1365" t="n">
        <v>3</v>
      </c>
      <c r="F5510" s="1365" t="n">
        <v>1411800</v>
      </c>
      <c r="G5510" s="1364"/>
      <c r="H5510" s="1365" t="n">
        <f aca="false">E5510*F5510*G5510</f>
        <v>0</v>
      </c>
      <c r="I5510" s="1365" t="n">
        <f aca="false">F5510-H5510</f>
        <v>1411800</v>
      </c>
      <c r="J5510" s="1365" t="n">
        <f aca="false">F5510*G5510</f>
        <v>0</v>
      </c>
      <c r="K5510" s="1365" t="n">
        <f aca="false">J5510/1792.8</f>
        <v>0</v>
      </c>
      <c r="L5510" s="1365"/>
      <c r="M5510" s="1273" t="n">
        <f aca="false">K5510*L5510/60</f>
        <v>0</v>
      </c>
    </row>
    <row r="5511" customFormat="false" ht="15" hidden="false" customHeight="false" outlineLevel="0" collapsed="false">
      <c r="A5511" s="216"/>
      <c r="B5511" s="78"/>
      <c r="C5511" s="1161" t="s">
        <v>7249</v>
      </c>
      <c r="D5511" s="317" t="n">
        <v>2005</v>
      </c>
      <c r="E5511" s="1365" t="n">
        <v>5</v>
      </c>
      <c r="F5511" s="1365" t="n">
        <v>347000</v>
      </c>
      <c r="G5511" s="1364" t="n">
        <v>0.1</v>
      </c>
      <c r="H5511" s="1365" t="n">
        <f aca="false">E5511*F5511*G5511</f>
        <v>173500</v>
      </c>
      <c r="I5511" s="1365" t="n">
        <f aca="false">F5511-H5511</f>
        <v>173500</v>
      </c>
      <c r="J5511" s="1365" t="n">
        <f aca="false">F5511*G5511</f>
        <v>34700</v>
      </c>
      <c r="K5511" s="1365" t="n">
        <f aca="false">J5511/1792.8</f>
        <v>19.355198572066</v>
      </c>
      <c r="L5511" s="1365" t="n">
        <v>60</v>
      </c>
      <c r="M5511" s="1273" t="n">
        <f aca="false">K5511*L5511/60</f>
        <v>19.355198572066</v>
      </c>
    </row>
    <row r="5512" customFormat="false" ht="15" hidden="false" customHeight="false" outlineLevel="0" collapsed="false">
      <c r="A5512" s="216"/>
      <c r="B5512" s="78"/>
      <c r="C5512" s="1161" t="s">
        <v>7170</v>
      </c>
      <c r="D5512" s="317" t="n">
        <v>2004</v>
      </c>
      <c r="E5512" s="1365" t="n">
        <v>6</v>
      </c>
      <c r="F5512" s="1365" t="n">
        <v>196670</v>
      </c>
      <c r="G5512" s="1364" t="n">
        <v>0.1</v>
      </c>
      <c r="H5512" s="1365" t="n">
        <f aca="false">E5512*F5512*G5512</f>
        <v>118002</v>
      </c>
      <c r="I5512" s="1365" t="n">
        <f aca="false">F5512-H5512</f>
        <v>78668</v>
      </c>
      <c r="J5512" s="1365" t="n">
        <f aca="false">F5512*G5512</f>
        <v>19667</v>
      </c>
      <c r="K5512" s="1365" t="n">
        <f aca="false">J5512/1792.8</f>
        <v>10.9699910754128</v>
      </c>
      <c r="L5512" s="1365" t="n">
        <v>15</v>
      </c>
      <c r="M5512" s="1273" t="n">
        <f aca="false">K5512*L5512/60</f>
        <v>2.74249776885319</v>
      </c>
    </row>
    <row r="5513" customFormat="false" ht="15" hidden="false" customHeight="false" outlineLevel="0" collapsed="false">
      <c r="A5513" s="216"/>
      <c r="B5513" s="78"/>
      <c r="C5513" s="1161" t="s">
        <v>7247</v>
      </c>
      <c r="D5513" s="317" t="n">
        <v>2004</v>
      </c>
      <c r="E5513" s="1365" t="n">
        <v>6</v>
      </c>
      <c r="F5513" s="1365" t="n">
        <v>202860</v>
      </c>
      <c r="G5513" s="1364" t="n">
        <v>0.1</v>
      </c>
      <c r="H5513" s="1365" t="n">
        <f aca="false">E5513*F5513*G5513</f>
        <v>121716</v>
      </c>
      <c r="I5513" s="1365" t="n">
        <f aca="false">F5513-H5513</f>
        <v>81144</v>
      </c>
      <c r="J5513" s="1365" t="n">
        <f aca="false">F5513*G5513</f>
        <v>20286</v>
      </c>
      <c r="K5513" s="1365" t="n">
        <f aca="false">J5513/1792.8</f>
        <v>11.3152610441767</v>
      </c>
      <c r="L5513" s="1365" t="n">
        <v>2880</v>
      </c>
      <c r="M5513" s="1273" t="n">
        <f aca="false">K5513*L5513/60</f>
        <v>543.132530120482</v>
      </c>
    </row>
    <row r="5514" customFormat="false" ht="15" hidden="false" customHeight="false" outlineLevel="0" collapsed="false">
      <c r="A5514" s="216"/>
      <c r="B5514" s="78"/>
      <c r="C5514" s="1161" t="s">
        <v>7158</v>
      </c>
      <c r="D5514" s="317" t="n">
        <v>2004</v>
      </c>
      <c r="E5514" s="1365" t="n">
        <v>6</v>
      </c>
      <c r="F5514" s="1365" t="n">
        <v>6985000</v>
      </c>
      <c r="G5514" s="1364" t="n">
        <v>0.1</v>
      </c>
      <c r="H5514" s="1365" t="n">
        <f aca="false">E5514*F5514*G5514</f>
        <v>4191000</v>
      </c>
      <c r="I5514" s="1365" t="n">
        <f aca="false">F5514-H5514</f>
        <v>2794000</v>
      </c>
      <c r="J5514" s="1365" t="n">
        <f aca="false">F5514*G5514</f>
        <v>698500</v>
      </c>
      <c r="K5514" s="1365" t="n">
        <f aca="false">J5514/1792.8</f>
        <v>389.614011601963</v>
      </c>
      <c r="L5514" s="1365" t="n">
        <v>15</v>
      </c>
      <c r="M5514" s="1273" t="n">
        <f aca="false">K5514*L5514/60</f>
        <v>97.4035029004909</v>
      </c>
    </row>
    <row r="5515" customFormat="false" ht="15" hidden="false" customHeight="false" outlineLevel="0" collapsed="false">
      <c r="A5515" s="216"/>
      <c r="B5515" s="78"/>
      <c r="C5515" s="1160"/>
      <c r="D5515" s="135"/>
      <c r="E5515" s="1370"/>
      <c r="F5515" s="1370"/>
      <c r="G5515" s="1372"/>
      <c r="H5515" s="1365" t="n">
        <f aca="false">E5515*F5515*G5515</f>
        <v>0</v>
      </c>
      <c r="I5515" s="1365" t="n">
        <f aca="false">F5515-H5515</f>
        <v>0</v>
      </c>
      <c r="J5515" s="1365" t="n">
        <f aca="false">F5515*G5515</f>
        <v>0</v>
      </c>
      <c r="K5515" s="1365" t="n">
        <f aca="false">J5515/1792.8</f>
        <v>0</v>
      </c>
      <c r="L5515" s="1370" t="n">
        <v>3000</v>
      </c>
      <c r="M5515" s="1370" t="n">
        <f aca="false">SUM(M5508:M5514)</f>
        <v>672.311328647925</v>
      </c>
    </row>
    <row r="5516" customFormat="false" ht="16.5" hidden="false" customHeight="true" outlineLevel="0" collapsed="false">
      <c r="A5516" s="317" t="s">
        <v>6630</v>
      </c>
      <c r="B5516" s="40" t="s">
        <v>6631</v>
      </c>
      <c r="C5516" s="1161"/>
      <c r="D5516" s="317"/>
      <c r="E5516" s="1365"/>
      <c r="F5516" s="1365"/>
      <c r="G5516" s="1364"/>
      <c r="H5516" s="1365" t="n">
        <f aca="false">E5516*F5516*G5516</f>
        <v>0</v>
      </c>
      <c r="I5516" s="1365" t="n">
        <f aca="false">F5516-H5516</f>
        <v>0</v>
      </c>
      <c r="J5516" s="1365" t="n">
        <f aca="false">F5516*G5516</f>
        <v>0</v>
      </c>
      <c r="K5516" s="1365" t="n">
        <f aca="false">J5516/1792.8</f>
        <v>0</v>
      </c>
      <c r="L5516" s="1365"/>
      <c r="M5516" s="1365"/>
    </row>
    <row r="5517" customFormat="false" ht="15" hidden="false" customHeight="false" outlineLevel="0" collapsed="false">
      <c r="A5517" s="216"/>
      <c r="B5517" s="78"/>
      <c r="C5517" s="1161" t="s">
        <v>7245</v>
      </c>
      <c r="D5517" s="317" t="n">
        <v>2005</v>
      </c>
      <c r="E5517" s="1365" t="n">
        <v>5</v>
      </c>
      <c r="F5517" s="1365" t="n">
        <v>347000</v>
      </c>
      <c r="G5517" s="1364" t="n">
        <v>0.1</v>
      </c>
      <c r="H5517" s="1365" t="n">
        <f aca="false">E5517*F5517*G5517</f>
        <v>173500</v>
      </c>
      <c r="I5517" s="1365" t="n">
        <f aca="false">F5517-H5517</f>
        <v>173500</v>
      </c>
      <c r="J5517" s="1365" t="n">
        <f aca="false">F5517*G5517</f>
        <v>34700</v>
      </c>
      <c r="K5517" s="1365" t="n">
        <f aca="false">J5517/1792.8</f>
        <v>19.355198572066</v>
      </c>
      <c r="L5517" s="1365" t="n">
        <v>30</v>
      </c>
      <c r="M5517" s="1273" t="n">
        <f aca="false">K5517*L5517/60</f>
        <v>9.67759928603302</v>
      </c>
    </row>
    <row r="5518" customFormat="false" ht="15" hidden="false" customHeight="false" outlineLevel="0" collapsed="false">
      <c r="A5518" s="216"/>
      <c r="B5518" s="78"/>
      <c r="C5518" s="1161" t="s">
        <v>7264</v>
      </c>
      <c r="D5518" s="317" t="n">
        <v>2014</v>
      </c>
      <c r="E5518" s="1365" t="n">
        <v>3</v>
      </c>
      <c r="F5518" s="1365" t="n">
        <v>1411800</v>
      </c>
      <c r="G5518" s="1364"/>
      <c r="H5518" s="1365" t="n">
        <f aca="false">E5518*F5518*G5518</f>
        <v>0</v>
      </c>
      <c r="I5518" s="1365" t="n">
        <f aca="false">F5518-H5518</f>
        <v>1411800</v>
      </c>
      <c r="J5518" s="1365" t="n">
        <f aca="false">F5518*G5518</f>
        <v>0</v>
      </c>
      <c r="K5518" s="1365" t="n">
        <f aca="false">J5518/1792.8</f>
        <v>0</v>
      </c>
      <c r="L5518" s="1365"/>
      <c r="M5518" s="1273" t="n">
        <f aca="false">K5518*L5518/60</f>
        <v>0</v>
      </c>
    </row>
    <row r="5519" customFormat="false" ht="15" hidden="false" customHeight="false" outlineLevel="0" collapsed="false">
      <c r="A5519" s="216"/>
      <c r="B5519" s="78"/>
      <c r="C5519" s="1161" t="s">
        <v>7249</v>
      </c>
      <c r="D5519" s="317" t="n">
        <v>2005</v>
      </c>
      <c r="E5519" s="1365" t="n">
        <v>5</v>
      </c>
      <c r="F5519" s="1365" t="n">
        <v>347000</v>
      </c>
      <c r="G5519" s="1364" t="n">
        <v>0.1</v>
      </c>
      <c r="H5519" s="1365" t="n">
        <f aca="false">E5519*F5519*G5519</f>
        <v>173500</v>
      </c>
      <c r="I5519" s="1365" t="n">
        <f aca="false">F5519-H5519</f>
        <v>173500</v>
      </c>
      <c r="J5519" s="1365" t="n">
        <f aca="false">F5519*G5519</f>
        <v>34700</v>
      </c>
      <c r="K5519" s="1365" t="n">
        <f aca="false">J5519/1792.8</f>
        <v>19.355198572066</v>
      </c>
      <c r="L5519" s="1365" t="n">
        <v>60</v>
      </c>
      <c r="M5519" s="1273" t="n">
        <f aca="false">K5519*L5519/60</f>
        <v>19.355198572066</v>
      </c>
    </row>
    <row r="5520" customFormat="false" ht="15" hidden="false" customHeight="false" outlineLevel="0" collapsed="false">
      <c r="A5520" s="216"/>
      <c r="B5520" s="78"/>
      <c r="C5520" s="1161" t="s">
        <v>7170</v>
      </c>
      <c r="D5520" s="317" t="n">
        <v>2004</v>
      </c>
      <c r="E5520" s="1365" t="n">
        <v>6</v>
      </c>
      <c r="F5520" s="1365" t="n">
        <v>196670</v>
      </c>
      <c r="G5520" s="1364" t="n">
        <v>0.1</v>
      </c>
      <c r="H5520" s="1365" t="n">
        <f aca="false">E5520*F5520*G5520</f>
        <v>118002</v>
      </c>
      <c r="I5520" s="1365" t="n">
        <f aca="false">F5520-H5520</f>
        <v>78668</v>
      </c>
      <c r="J5520" s="1365" t="n">
        <f aca="false">F5520*G5520</f>
        <v>19667</v>
      </c>
      <c r="K5520" s="1365" t="n">
        <f aca="false">J5520/1792.8</f>
        <v>10.9699910754128</v>
      </c>
      <c r="L5520" s="1365" t="n">
        <v>15</v>
      </c>
      <c r="M5520" s="1273" t="n">
        <f aca="false">K5520*L5520/60</f>
        <v>2.74249776885319</v>
      </c>
    </row>
    <row r="5521" customFormat="false" ht="15" hidden="false" customHeight="false" outlineLevel="0" collapsed="false">
      <c r="A5521" s="216"/>
      <c r="B5521" s="78"/>
      <c r="C5521" s="1161" t="s">
        <v>7247</v>
      </c>
      <c r="D5521" s="317" t="n">
        <v>2004</v>
      </c>
      <c r="E5521" s="1365" t="n">
        <v>6</v>
      </c>
      <c r="F5521" s="1365" t="n">
        <v>202860</v>
      </c>
      <c r="G5521" s="1364" t="n">
        <v>0.1</v>
      </c>
      <c r="H5521" s="1365" t="n">
        <f aca="false">E5521*F5521*G5521</f>
        <v>121716</v>
      </c>
      <c r="I5521" s="1365" t="n">
        <f aca="false">F5521-H5521</f>
        <v>81144</v>
      </c>
      <c r="J5521" s="1365" t="n">
        <f aca="false">F5521*G5521</f>
        <v>20286</v>
      </c>
      <c r="K5521" s="1365" t="n">
        <f aca="false">J5521/1792.8</f>
        <v>11.3152610441767</v>
      </c>
      <c r="L5521" s="1365" t="n">
        <v>2880</v>
      </c>
      <c r="M5521" s="1273" t="n">
        <f aca="false">K5521*L5521/60</f>
        <v>543.132530120482</v>
      </c>
    </row>
    <row r="5522" customFormat="false" ht="15" hidden="false" customHeight="false" outlineLevel="0" collapsed="false">
      <c r="A5522" s="216"/>
      <c r="B5522" s="78"/>
      <c r="C5522" s="1161" t="s">
        <v>7158</v>
      </c>
      <c r="D5522" s="317" t="n">
        <v>2004</v>
      </c>
      <c r="E5522" s="1365" t="n">
        <v>6</v>
      </c>
      <c r="F5522" s="1365" t="n">
        <v>6985000</v>
      </c>
      <c r="G5522" s="1364" t="n">
        <v>0.1</v>
      </c>
      <c r="H5522" s="1365" t="n">
        <f aca="false">E5522*F5522*G5522</f>
        <v>4191000</v>
      </c>
      <c r="I5522" s="1365" t="n">
        <f aca="false">F5522-H5522</f>
        <v>2794000</v>
      </c>
      <c r="J5522" s="1365" t="n">
        <f aca="false">F5522*G5522</f>
        <v>698500</v>
      </c>
      <c r="K5522" s="1365" t="n">
        <f aca="false">J5522/1792.8</f>
        <v>389.614011601963</v>
      </c>
      <c r="L5522" s="1365" t="n">
        <v>15</v>
      </c>
      <c r="M5522" s="1273" t="n">
        <f aca="false">K5522*L5522/60</f>
        <v>97.4035029004909</v>
      </c>
    </row>
    <row r="5523" customFormat="false" ht="15" hidden="false" customHeight="false" outlineLevel="0" collapsed="false">
      <c r="A5523" s="216"/>
      <c r="B5523" s="78"/>
      <c r="C5523" s="1160"/>
      <c r="D5523" s="135"/>
      <c r="E5523" s="1370"/>
      <c r="F5523" s="1370"/>
      <c r="G5523" s="1372"/>
      <c r="H5523" s="1365"/>
      <c r="I5523" s="1365"/>
      <c r="J5523" s="1365"/>
      <c r="K5523" s="1365"/>
      <c r="L5523" s="1370" t="n">
        <v>3000</v>
      </c>
      <c r="M5523" s="1370" t="n">
        <f aca="false">SUM(M5516:M5522)</f>
        <v>672.311328647925</v>
      </c>
    </row>
    <row r="5524" customFormat="false" ht="21" hidden="false" customHeight="true" outlineLevel="0" collapsed="false">
      <c r="A5524" s="15" t="s">
        <v>2469</v>
      </c>
      <c r="B5524" s="88" t="s">
        <v>3960</v>
      </c>
      <c r="C5524" s="1387"/>
      <c r="D5524" s="1388"/>
      <c r="E5524" s="1390"/>
      <c r="F5524" s="1390"/>
      <c r="G5524" s="1391"/>
      <c r="H5524" s="1512"/>
      <c r="I5524" s="1512"/>
      <c r="J5524" s="1512"/>
      <c r="K5524" s="1512"/>
      <c r="L5524" s="1390"/>
      <c r="M5524" s="1390"/>
    </row>
    <row r="5525" customFormat="false" ht="45" hidden="false" customHeight="false" outlineLevel="0" collapsed="false">
      <c r="A5525" s="317" t="s">
        <v>6633</v>
      </c>
      <c r="B5525" s="40" t="s">
        <v>6634</v>
      </c>
      <c r="C5525" s="1161"/>
      <c r="D5525" s="317"/>
      <c r="E5525" s="1365"/>
      <c r="F5525" s="1365"/>
      <c r="G5525" s="1364"/>
      <c r="H5525" s="1365"/>
      <c r="I5525" s="1365"/>
      <c r="J5525" s="1365"/>
      <c r="K5525" s="1365"/>
      <c r="L5525" s="1365"/>
      <c r="M5525" s="1365"/>
    </row>
    <row r="5526" customFormat="false" ht="15" hidden="false" customHeight="false" outlineLevel="0" collapsed="false">
      <c r="A5526" s="216"/>
      <c r="B5526" s="78"/>
      <c r="C5526" s="1161" t="s">
        <v>7245</v>
      </c>
      <c r="D5526" s="317" t="n">
        <v>2005</v>
      </c>
      <c r="E5526" s="1365" t="n">
        <v>5</v>
      </c>
      <c r="F5526" s="1365" t="n">
        <v>347000</v>
      </c>
      <c r="G5526" s="1364" t="n">
        <v>0.1</v>
      </c>
      <c r="H5526" s="1365" t="n">
        <f aca="false">E5526*F5526*G5526</f>
        <v>173500</v>
      </c>
      <c r="I5526" s="1365" t="n">
        <f aca="false">F5526-H5526</f>
        <v>173500</v>
      </c>
      <c r="J5526" s="1365" t="n">
        <f aca="false">F5526*G5526</f>
        <v>34700</v>
      </c>
      <c r="K5526" s="1365" t="n">
        <f aca="false">J5526/1792.8</f>
        <v>19.355198572066</v>
      </c>
      <c r="L5526" s="1365" t="n">
        <v>30</v>
      </c>
      <c r="M5526" s="1273" t="n">
        <f aca="false">K5526*L5526/60</f>
        <v>9.67759928603302</v>
      </c>
    </row>
    <row r="5527" customFormat="false" ht="15" hidden="false" customHeight="false" outlineLevel="0" collapsed="false">
      <c r="A5527" s="216"/>
      <c r="B5527" s="78"/>
      <c r="C5527" s="1161" t="s">
        <v>7264</v>
      </c>
      <c r="D5527" s="317" t="n">
        <v>2014</v>
      </c>
      <c r="E5527" s="1365" t="n">
        <v>3</v>
      </c>
      <c r="F5527" s="1365" t="n">
        <v>1411800</v>
      </c>
      <c r="G5527" s="1364"/>
      <c r="H5527" s="1365" t="n">
        <f aca="false">E5527*F5527*G5527</f>
        <v>0</v>
      </c>
      <c r="I5527" s="1365" t="n">
        <f aca="false">F5527-H5527</f>
        <v>1411800</v>
      </c>
      <c r="J5527" s="1365" t="n">
        <f aca="false">F5527*G5527</f>
        <v>0</v>
      </c>
      <c r="K5527" s="1365" t="n">
        <f aca="false">J5527/1792.8</f>
        <v>0</v>
      </c>
      <c r="L5527" s="1365"/>
      <c r="M5527" s="1273" t="n">
        <f aca="false">K5527*L5527/60</f>
        <v>0</v>
      </c>
    </row>
    <row r="5528" customFormat="false" ht="15" hidden="false" customHeight="false" outlineLevel="0" collapsed="false">
      <c r="A5528" s="216"/>
      <c r="B5528" s="78"/>
      <c r="C5528" s="1161" t="s">
        <v>7249</v>
      </c>
      <c r="D5528" s="317" t="n">
        <v>2005</v>
      </c>
      <c r="E5528" s="1365" t="n">
        <v>5</v>
      </c>
      <c r="F5528" s="1365" t="n">
        <v>347000</v>
      </c>
      <c r="G5528" s="1364" t="n">
        <v>0.1</v>
      </c>
      <c r="H5528" s="1365" t="n">
        <f aca="false">E5528*F5528*G5528</f>
        <v>173500</v>
      </c>
      <c r="I5528" s="1365" t="n">
        <f aca="false">F5528-H5528</f>
        <v>173500</v>
      </c>
      <c r="J5528" s="1365" t="n">
        <f aca="false">F5528*G5528</f>
        <v>34700</v>
      </c>
      <c r="K5528" s="1365" t="n">
        <f aca="false">J5528/1792.8</f>
        <v>19.355198572066</v>
      </c>
      <c r="L5528" s="1365" t="n">
        <v>60</v>
      </c>
      <c r="M5528" s="1273" t="n">
        <f aca="false">K5528*L5528/60</f>
        <v>19.355198572066</v>
      </c>
    </row>
    <row r="5529" customFormat="false" ht="15" hidden="false" customHeight="false" outlineLevel="0" collapsed="false">
      <c r="A5529" s="216"/>
      <c r="B5529" s="78"/>
      <c r="C5529" s="1161" t="s">
        <v>7170</v>
      </c>
      <c r="D5529" s="317" t="n">
        <v>2004</v>
      </c>
      <c r="E5529" s="1365" t="n">
        <v>6</v>
      </c>
      <c r="F5529" s="1365" t="n">
        <v>196670</v>
      </c>
      <c r="G5529" s="1364" t="n">
        <v>0.1</v>
      </c>
      <c r="H5529" s="1365" t="n">
        <f aca="false">E5529*F5529*G5529</f>
        <v>118002</v>
      </c>
      <c r="I5529" s="1365" t="n">
        <f aca="false">F5529-H5529</f>
        <v>78668</v>
      </c>
      <c r="J5529" s="1365" t="n">
        <f aca="false">F5529*G5529</f>
        <v>19667</v>
      </c>
      <c r="K5529" s="1365" t="n">
        <f aca="false">J5529/1792.8</f>
        <v>10.9699910754128</v>
      </c>
      <c r="L5529" s="1365" t="n">
        <v>15</v>
      </c>
      <c r="M5529" s="1273" t="n">
        <f aca="false">K5529*L5529/60</f>
        <v>2.74249776885319</v>
      </c>
    </row>
    <row r="5530" customFormat="false" ht="15" hidden="false" customHeight="false" outlineLevel="0" collapsed="false">
      <c r="A5530" s="216"/>
      <c r="B5530" s="78"/>
      <c r="C5530" s="1161" t="s">
        <v>7247</v>
      </c>
      <c r="D5530" s="317" t="n">
        <v>2004</v>
      </c>
      <c r="E5530" s="1365" t="n">
        <v>6</v>
      </c>
      <c r="F5530" s="1365" t="n">
        <v>202860</v>
      </c>
      <c r="G5530" s="1364" t="n">
        <v>0.1</v>
      </c>
      <c r="H5530" s="1365" t="n">
        <f aca="false">E5530*F5530*G5530</f>
        <v>121716</v>
      </c>
      <c r="I5530" s="1365" t="n">
        <f aca="false">F5530-H5530</f>
        <v>81144</v>
      </c>
      <c r="J5530" s="1365" t="n">
        <f aca="false">F5530*G5530</f>
        <v>20286</v>
      </c>
      <c r="K5530" s="1365" t="n">
        <f aca="false">J5530/1792.8</f>
        <v>11.3152610441767</v>
      </c>
      <c r="L5530" s="1365" t="n">
        <v>2520</v>
      </c>
      <c r="M5530" s="1273" t="n">
        <f aca="false">K5530*L5530/60</f>
        <v>475.240963855422</v>
      </c>
    </row>
    <row r="5531" customFormat="false" ht="15" hidden="false" customHeight="false" outlineLevel="0" collapsed="false">
      <c r="A5531" s="216"/>
      <c r="B5531" s="78"/>
      <c r="C5531" s="1161" t="s">
        <v>7158</v>
      </c>
      <c r="D5531" s="317" t="n">
        <v>2004</v>
      </c>
      <c r="E5531" s="1365" t="n">
        <v>6</v>
      </c>
      <c r="F5531" s="1365" t="n">
        <v>6985000</v>
      </c>
      <c r="G5531" s="1364" t="n">
        <v>0.1</v>
      </c>
      <c r="H5531" s="1365" t="n">
        <f aca="false">E5531*F5531*G5531</f>
        <v>4191000</v>
      </c>
      <c r="I5531" s="1365" t="n">
        <f aca="false">F5531-H5531</f>
        <v>2794000</v>
      </c>
      <c r="J5531" s="1365" t="n">
        <f aca="false">F5531*G5531</f>
        <v>698500</v>
      </c>
      <c r="K5531" s="1365" t="n">
        <f aca="false">J5531/1792.8</f>
        <v>389.614011601963</v>
      </c>
      <c r="L5531" s="1365" t="n">
        <v>15</v>
      </c>
      <c r="M5531" s="1273" t="n">
        <f aca="false">K5531*L5531/60</f>
        <v>97.4035029004909</v>
      </c>
    </row>
    <row r="5532" customFormat="false" ht="15" hidden="false" customHeight="false" outlineLevel="0" collapsed="false">
      <c r="A5532" s="216"/>
      <c r="B5532" s="78"/>
      <c r="C5532" s="1160"/>
      <c r="D5532" s="135"/>
      <c r="E5532" s="1370"/>
      <c r="F5532" s="1370"/>
      <c r="G5532" s="1372"/>
      <c r="H5532" s="1365" t="n">
        <f aca="false">E5532*F5532*G5532</f>
        <v>0</v>
      </c>
      <c r="I5532" s="1365" t="n">
        <f aca="false">F5532-H5532</f>
        <v>0</v>
      </c>
      <c r="J5532" s="1365" t="n">
        <f aca="false">F5532*G5532</f>
        <v>0</v>
      </c>
      <c r="K5532" s="1365" t="n">
        <f aca="false">J5532/1792.8</f>
        <v>0</v>
      </c>
      <c r="L5532" s="1370" t="n">
        <v>3000</v>
      </c>
      <c r="M5532" s="1370" t="n">
        <f aca="false">SUM(M5525:M5531)</f>
        <v>604.419762382865</v>
      </c>
    </row>
    <row r="5533" customFormat="false" ht="30" hidden="false" customHeight="false" outlineLevel="0" collapsed="false">
      <c r="A5533" s="317" t="s">
        <v>6636</v>
      </c>
      <c r="B5533" s="40" t="s">
        <v>6637</v>
      </c>
      <c r="C5533" s="1161"/>
      <c r="D5533" s="317"/>
      <c r="E5533" s="1365"/>
      <c r="F5533" s="1365"/>
      <c r="G5533" s="1364"/>
      <c r="H5533" s="1365" t="n">
        <f aca="false">E5533*F5533*G5533</f>
        <v>0</v>
      </c>
      <c r="I5533" s="1365" t="n">
        <f aca="false">F5533-H5533</f>
        <v>0</v>
      </c>
      <c r="J5533" s="1365" t="n">
        <f aca="false">F5533*G5533</f>
        <v>0</v>
      </c>
      <c r="K5533" s="1365" t="n">
        <f aca="false">J5533/1792.8</f>
        <v>0</v>
      </c>
      <c r="L5533" s="1365"/>
      <c r="M5533" s="1365"/>
    </row>
    <row r="5534" customFormat="false" ht="15" hidden="false" customHeight="false" outlineLevel="0" collapsed="false">
      <c r="A5534" s="216"/>
      <c r="B5534" s="78"/>
      <c r="C5534" s="1161" t="s">
        <v>7245</v>
      </c>
      <c r="D5534" s="317" t="n">
        <v>2005</v>
      </c>
      <c r="E5534" s="1365" t="n">
        <v>5</v>
      </c>
      <c r="F5534" s="1365" t="n">
        <v>347000</v>
      </c>
      <c r="G5534" s="1364" t="n">
        <v>0.1</v>
      </c>
      <c r="H5534" s="1365" t="n">
        <f aca="false">E5534*F5534*G5534</f>
        <v>173500</v>
      </c>
      <c r="I5534" s="1365" t="n">
        <f aca="false">F5534-H5534</f>
        <v>173500</v>
      </c>
      <c r="J5534" s="1365" t="n">
        <f aca="false">F5534*G5534</f>
        <v>34700</v>
      </c>
      <c r="K5534" s="1365" t="n">
        <f aca="false">J5534/1792.8</f>
        <v>19.355198572066</v>
      </c>
      <c r="L5534" s="1365" t="n">
        <v>30</v>
      </c>
      <c r="M5534" s="1273" t="n">
        <f aca="false">K5534*L5534/60</f>
        <v>9.67759928603302</v>
      </c>
    </row>
    <row r="5535" customFormat="false" ht="15" hidden="false" customHeight="false" outlineLevel="0" collapsed="false">
      <c r="A5535" s="216"/>
      <c r="B5535" s="78"/>
      <c r="C5535" s="1161" t="s">
        <v>7264</v>
      </c>
      <c r="D5535" s="317" t="n">
        <v>2014</v>
      </c>
      <c r="E5535" s="1365" t="n">
        <v>3</v>
      </c>
      <c r="F5535" s="1365" t="n">
        <v>1411800</v>
      </c>
      <c r="G5535" s="1364"/>
      <c r="H5535" s="1365" t="n">
        <f aca="false">E5535*F5535*G5535</f>
        <v>0</v>
      </c>
      <c r="I5535" s="1365" t="n">
        <f aca="false">F5535-H5535</f>
        <v>1411800</v>
      </c>
      <c r="J5535" s="1365" t="n">
        <f aca="false">F5535*G5535</f>
        <v>0</v>
      </c>
      <c r="K5535" s="1365" t="n">
        <f aca="false">J5535/1792.8</f>
        <v>0</v>
      </c>
      <c r="L5535" s="1365"/>
      <c r="M5535" s="1273" t="n">
        <f aca="false">K5535*L5535/60</f>
        <v>0</v>
      </c>
    </row>
    <row r="5536" customFormat="false" ht="15" hidden="false" customHeight="false" outlineLevel="0" collapsed="false">
      <c r="A5536" s="216"/>
      <c r="B5536" s="78"/>
      <c r="C5536" s="1161" t="s">
        <v>7249</v>
      </c>
      <c r="D5536" s="317" t="n">
        <v>2005</v>
      </c>
      <c r="E5536" s="1365" t="n">
        <v>5</v>
      </c>
      <c r="F5536" s="1365" t="n">
        <v>347000</v>
      </c>
      <c r="G5536" s="1364" t="n">
        <v>0.1</v>
      </c>
      <c r="H5536" s="1365" t="n">
        <f aca="false">E5536*F5536*G5536</f>
        <v>173500</v>
      </c>
      <c r="I5536" s="1365" t="n">
        <f aca="false">F5536-H5536</f>
        <v>173500</v>
      </c>
      <c r="J5536" s="1365" t="n">
        <f aca="false">F5536*G5536</f>
        <v>34700</v>
      </c>
      <c r="K5536" s="1365" t="n">
        <f aca="false">J5536/1792.8</f>
        <v>19.355198572066</v>
      </c>
      <c r="L5536" s="1365" t="n">
        <v>60</v>
      </c>
      <c r="M5536" s="1273" t="n">
        <f aca="false">K5536*L5536/60</f>
        <v>19.355198572066</v>
      </c>
    </row>
    <row r="5537" customFormat="false" ht="15" hidden="false" customHeight="false" outlineLevel="0" collapsed="false">
      <c r="A5537" s="216"/>
      <c r="B5537" s="78"/>
      <c r="C5537" s="1161" t="s">
        <v>7170</v>
      </c>
      <c r="D5537" s="317" t="n">
        <v>2004</v>
      </c>
      <c r="E5537" s="1365" t="n">
        <v>6</v>
      </c>
      <c r="F5537" s="1365" t="n">
        <v>196670</v>
      </c>
      <c r="G5537" s="1364" t="n">
        <v>0.1</v>
      </c>
      <c r="H5537" s="1365" t="n">
        <f aca="false">E5537*F5537*G5537</f>
        <v>118002</v>
      </c>
      <c r="I5537" s="1365" t="n">
        <f aca="false">F5537-H5537</f>
        <v>78668</v>
      </c>
      <c r="J5537" s="1365" t="n">
        <f aca="false">F5537*G5537</f>
        <v>19667</v>
      </c>
      <c r="K5537" s="1365" t="n">
        <f aca="false">J5537/1792.8</f>
        <v>10.9699910754128</v>
      </c>
      <c r="L5537" s="1365" t="n">
        <v>15</v>
      </c>
      <c r="M5537" s="1273" t="n">
        <f aca="false">K5537*L5537/60</f>
        <v>2.74249776885319</v>
      </c>
    </row>
    <row r="5538" customFormat="false" ht="15" hidden="false" customHeight="false" outlineLevel="0" collapsed="false">
      <c r="A5538" s="216"/>
      <c r="B5538" s="78"/>
      <c r="C5538" s="1161" t="s">
        <v>7247</v>
      </c>
      <c r="D5538" s="317" t="n">
        <v>2004</v>
      </c>
      <c r="E5538" s="1365" t="n">
        <v>6</v>
      </c>
      <c r="F5538" s="1365" t="n">
        <v>202860</v>
      </c>
      <c r="G5538" s="1364" t="n">
        <v>0.1</v>
      </c>
      <c r="H5538" s="1365" t="n">
        <f aca="false">E5538*F5538*G5538</f>
        <v>121716</v>
      </c>
      <c r="I5538" s="1365" t="n">
        <f aca="false">F5538-H5538</f>
        <v>81144</v>
      </c>
      <c r="J5538" s="1365" t="n">
        <f aca="false">F5538*G5538</f>
        <v>20286</v>
      </c>
      <c r="K5538" s="1365" t="n">
        <f aca="false">J5538/1792.8</f>
        <v>11.3152610441767</v>
      </c>
      <c r="L5538" s="1365" t="n">
        <v>2520</v>
      </c>
      <c r="M5538" s="1273" t="n">
        <f aca="false">K5538*L5538/60</f>
        <v>475.240963855422</v>
      </c>
    </row>
    <row r="5539" customFormat="false" ht="15" hidden="false" customHeight="false" outlineLevel="0" collapsed="false">
      <c r="A5539" s="216"/>
      <c r="B5539" s="78"/>
      <c r="C5539" s="1161" t="s">
        <v>7158</v>
      </c>
      <c r="D5539" s="317" t="n">
        <v>2004</v>
      </c>
      <c r="E5539" s="1365" t="n">
        <v>6</v>
      </c>
      <c r="F5539" s="1365" t="n">
        <v>6985000</v>
      </c>
      <c r="G5539" s="1364" t="n">
        <v>0.1</v>
      </c>
      <c r="H5539" s="1365" t="n">
        <f aca="false">E5539*F5539*G5539</f>
        <v>4191000</v>
      </c>
      <c r="I5539" s="1365" t="n">
        <f aca="false">F5539-H5539</f>
        <v>2794000</v>
      </c>
      <c r="J5539" s="1365" t="n">
        <f aca="false">F5539*G5539</f>
        <v>698500</v>
      </c>
      <c r="K5539" s="1365" t="n">
        <f aca="false">J5539/1792.8</f>
        <v>389.614011601963</v>
      </c>
      <c r="L5539" s="1365" t="n">
        <v>15</v>
      </c>
      <c r="M5539" s="1273" t="n">
        <f aca="false">K5539*L5539/60</f>
        <v>97.4035029004909</v>
      </c>
    </row>
    <row r="5540" customFormat="false" ht="15" hidden="false" customHeight="false" outlineLevel="0" collapsed="false">
      <c r="A5540" s="216"/>
      <c r="B5540" s="78"/>
      <c r="C5540" s="1160"/>
      <c r="D5540" s="135"/>
      <c r="E5540" s="1370"/>
      <c r="F5540" s="1370"/>
      <c r="G5540" s="1372"/>
      <c r="H5540" s="1365"/>
      <c r="I5540" s="1365"/>
      <c r="J5540" s="1365"/>
      <c r="K5540" s="1365"/>
      <c r="L5540" s="1370" t="n">
        <v>3000</v>
      </c>
      <c r="M5540" s="1370" t="n">
        <f aca="false">SUM(M5533:M5539)</f>
        <v>604.419762382865</v>
      </c>
    </row>
    <row r="5541" customFormat="false" ht="21.75" hidden="false" customHeight="true" outlineLevel="0" collapsed="false">
      <c r="A5541" s="15" t="s">
        <v>2475</v>
      </c>
      <c r="B5541" s="88" t="s">
        <v>3963</v>
      </c>
      <c r="C5541" s="1387"/>
      <c r="D5541" s="1388"/>
      <c r="E5541" s="1390"/>
      <c r="F5541" s="1390"/>
      <c r="G5541" s="1391"/>
      <c r="H5541" s="1512"/>
      <c r="I5541" s="1512"/>
      <c r="J5541" s="1512"/>
      <c r="K5541" s="1512"/>
      <c r="L5541" s="1390"/>
      <c r="M5541" s="1390"/>
    </row>
    <row r="5542" customFormat="false" ht="30.75" hidden="false" customHeight="true" outlineLevel="0" collapsed="false">
      <c r="A5542" s="317" t="s">
        <v>7281</v>
      </c>
      <c r="B5542" s="29" t="s">
        <v>3964</v>
      </c>
      <c r="C5542" s="1160"/>
      <c r="D5542" s="135"/>
      <c r="E5542" s="1370"/>
      <c r="F5542" s="1370"/>
      <c r="G5542" s="1372"/>
      <c r="H5542" s="1365"/>
      <c r="I5542" s="1365"/>
      <c r="J5542" s="1365"/>
      <c r="K5542" s="1365"/>
      <c r="L5542" s="1370"/>
      <c r="M5542" s="1366"/>
    </row>
    <row r="5543" s="311" customFormat="true" ht="15" hidden="false" customHeight="false" outlineLevel="0" collapsed="false">
      <c r="C5543" s="1161" t="s">
        <v>7247</v>
      </c>
      <c r="D5543" s="317" t="n">
        <v>2004</v>
      </c>
      <c r="E5543" s="1365" t="n">
        <v>6</v>
      </c>
      <c r="F5543" s="1365" t="n">
        <v>202860</v>
      </c>
      <c r="G5543" s="1364" t="n">
        <v>0.15</v>
      </c>
      <c r="H5543" s="1365" t="n">
        <f aca="false">E5543*F5543*G5543</f>
        <v>182574</v>
      </c>
      <c r="I5543" s="1365" t="n">
        <f aca="false">F5543-H5543</f>
        <v>20286</v>
      </c>
      <c r="J5543" s="1365" t="n">
        <f aca="false">F5543*G5543</f>
        <v>30429</v>
      </c>
      <c r="K5543" s="1365" t="n">
        <f aca="false">J5543/1792.8</f>
        <v>16.9728915662651</v>
      </c>
      <c r="L5543" s="1365" t="n">
        <v>2880</v>
      </c>
      <c r="M5543" s="1273" t="n">
        <f aca="false">K5543*L5543/60</f>
        <v>814.698795180723</v>
      </c>
    </row>
    <row r="5544" customFormat="false" ht="15" hidden="false" customHeight="false" outlineLevel="0" collapsed="false">
      <c r="A5544" s="317"/>
      <c r="B5544" s="59"/>
      <c r="C5544" s="1161" t="s">
        <v>7249</v>
      </c>
      <c r="D5544" s="317" t="n">
        <v>2006</v>
      </c>
      <c r="E5544" s="1365" t="n">
        <v>4</v>
      </c>
      <c r="F5544" s="1365" t="n">
        <v>55500</v>
      </c>
      <c r="G5544" s="1364" t="n">
        <v>0.1</v>
      </c>
      <c r="H5544" s="1365" t="n">
        <f aca="false">E5544*F5544*G5544</f>
        <v>22200</v>
      </c>
      <c r="I5544" s="1365" t="n">
        <f aca="false">F5544-H5544</f>
        <v>33300</v>
      </c>
      <c r="J5544" s="1365" t="n">
        <f aca="false">F5544*G5544</f>
        <v>5550</v>
      </c>
      <c r="K5544" s="1365" t="n">
        <f aca="false">J5544/1792.8</f>
        <v>3.09571619812584</v>
      </c>
      <c r="L5544" s="1365" t="n">
        <v>10</v>
      </c>
      <c r="M5544" s="1273" t="n">
        <f aca="false">K5544*L5544/60</f>
        <v>0.51595269968764</v>
      </c>
    </row>
    <row r="5545" customFormat="false" ht="15" hidden="false" customHeight="false" outlineLevel="0" collapsed="false">
      <c r="A5545" s="317"/>
      <c r="B5545" s="59"/>
      <c r="C5545" s="1161" t="s">
        <v>7251</v>
      </c>
      <c r="D5545" s="317" t="n">
        <v>2005</v>
      </c>
      <c r="E5545" s="1365" t="n">
        <v>5</v>
      </c>
      <c r="F5545" s="1365" t="n">
        <v>1638000</v>
      </c>
      <c r="G5545" s="1364" t="n">
        <v>0.1</v>
      </c>
      <c r="H5545" s="1365" t="n">
        <f aca="false">E5545*F5545*G5545</f>
        <v>819000</v>
      </c>
      <c r="I5545" s="1365" t="n">
        <f aca="false">F5545-H5545</f>
        <v>819000</v>
      </c>
      <c r="J5545" s="1365" t="n">
        <f aca="false">F5545*G5545</f>
        <v>163800</v>
      </c>
      <c r="K5545" s="1365" t="n">
        <f aca="false">J5545/1792.8</f>
        <v>91.3654618473896</v>
      </c>
      <c r="L5545" s="1365" t="n">
        <v>80</v>
      </c>
      <c r="M5545" s="1273" t="n">
        <f aca="false">K5545*L5545/60</f>
        <v>121.820615796519</v>
      </c>
    </row>
    <row r="5546" customFormat="false" ht="15" hidden="false" customHeight="false" outlineLevel="0" collapsed="false">
      <c r="A5546" s="317"/>
      <c r="B5546" s="59"/>
      <c r="C5546" s="1161" t="s">
        <v>7252</v>
      </c>
      <c r="D5546" s="317" t="n">
        <v>2005</v>
      </c>
      <c r="E5546" s="1365" t="n">
        <v>5</v>
      </c>
      <c r="F5546" s="1365" t="n">
        <v>12190000</v>
      </c>
      <c r="G5546" s="1364" t="n">
        <v>0.1</v>
      </c>
      <c r="H5546" s="1365" t="n">
        <f aca="false">E5546*F5546*G5546</f>
        <v>6095000</v>
      </c>
      <c r="I5546" s="1365" t="n">
        <f aca="false">F5546-H5546</f>
        <v>6095000</v>
      </c>
      <c r="J5546" s="1365" t="n">
        <f aca="false">F5546*G5546</f>
        <v>1219000</v>
      </c>
      <c r="K5546" s="1365" t="n">
        <f aca="false">J5546/1792.8</f>
        <v>679.941990182954</v>
      </c>
      <c r="L5546" s="1365" t="n">
        <v>20</v>
      </c>
      <c r="M5546" s="1273" t="n">
        <f aca="false">K5546*L5546/60</f>
        <v>226.647330060985</v>
      </c>
    </row>
    <row r="5547" customFormat="false" ht="15" hidden="false" customHeight="false" outlineLevel="0" collapsed="false">
      <c r="A5547" s="317"/>
      <c r="B5547" s="59"/>
      <c r="C5547" s="1161" t="s">
        <v>7170</v>
      </c>
      <c r="D5547" s="317" t="n">
        <v>2004</v>
      </c>
      <c r="E5547" s="1365" t="n">
        <v>6</v>
      </c>
      <c r="F5547" s="1365" t="n">
        <v>196670</v>
      </c>
      <c r="G5547" s="1364" t="n">
        <v>0.1</v>
      </c>
      <c r="H5547" s="1365" t="n">
        <f aca="false">E5547*F5547*G5547</f>
        <v>118002</v>
      </c>
      <c r="I5547" s="1365" t="n">
        <f aca="false">F5547-H5547</f>
        <v>78668</v>
      </c>
      <c r="J5547" s="1365" t="n">
        <f aca="false">F5547*G5547</f>
        <v>19667</v>
      </c>
      <c r="K5547" s="1365" t="n">
        <f aca="false">J5547/1792.8</f>
        <v>10.9699910754128</v>
      </c>
      <c r="L5547" s="1365" t="n">
        <v>15</v>
      </c>
      <c r="M5547" s="1273" t="n">
        <f aca="false">K5547*L5547/60</f>
        <v>2.74249776885319</v>
      </c>
    </row>
    <row r="5548" customFormat="false" ht="15" hidden="false" customHeight="false" outlineLevel="0" collapsed="false">
      <c r="A5548" s="317"/>
      <c r="B5548" s="59"/>
      <c r="C5548" s="1161" t="s">
        <v>7158</v>
      </c>
      <c r="D5548" s="317" t="n">
        <v>2004</v>
      </c>
      <c r="E5548" s="1365" t="n">
        <v>6</v>
      </c>
      <c r="F5548" s="1365" t="n">
        <v>6985000</v>
      </c>
      <c r="G5548" s="1364" t="n">
        <v>0.1</v>
      </c>
      <c r="H5548" s="1365" t="n">
        <f aca="false">E5548*F5548*G5548</f>
        <v>4191000</v>
      </c>
      <c r="I5548" s="1365" t="n">
        <f aca="false">F5548-H5548</f>
        <v>2794000</v>
      </c>
      <c r="J5548" s="1365" t="n">
        <f aca="false">F5548*G5548</f>
        <v>698500</v>
      </c>
      <c r="K5548" s="1365" t="n">
        <f aca="false">J5548/1792.8</f>
        <v>389.614011601963</v>
      </c>
      <c r="L5548" s="1365" t="n">
        <v>60</v>
      </c>
      <c r="M5548" s="1273" t="n">
        <f aca="false">K5548*L5548/60</f>
        <v>389.614011601963</v>
      </c>
    </row>
    <row r="5549" customFormat="false" ht="15" hidden="false" customHeight="false" outlineLevel="0" collapsed="false">
      <c r="A5549" s="317"/>
      <c r="B5549" s="59"/>
      <c r="C5549" s="1160"/>
      <c r="D5549" s="135"/>
      <c r="E5549" s="1370"/>
      <c r="F5549" s="1370"/>
      <c r="G5549" s="1372"/>
      <c r="H5549" s="1365" t="n">
        <f aca="false">E5549*F5549*G5549</f>
        <v>0</v>
      </c>
      <c r="I5549" s="1365" t="n">
        <f aca="false">F5549-H5549</f>
        <v>0</v>
      </c>
      <c r="J5549" s="1365" t="n">
        <f aca="false">F5549*G5549</f>
        <v>0</v>
      </c>
      <c r="K5549" s="1365" t="n">
        <f aca="false">J5549/1792.8</f>
        <v>0</v>
      </c>
      <c r="L5549" s="1370" t="n">
        <f aca="false">SUM(L5543:L5548)</f>
        <v>3065</v>
      </c>
      <c r="M5549" s="1370" t="n">
        <f aca="false">SUM(M5542:M5548)</f>
        <v>1556.03920310873</v>
      </c>
    </row>
    <row r="5550" customFormat="false" ht="30" hidden="false" customHeight="false" outlineLevel="0" collapsed="false">
      <c r="A5550" s="317" t="s">
        <v>2479</v>
      </c>
      <c r="B5550" s="29" t="s">
        <v>3965</v>
      </c>
      <c r="C5550" s="1160"/>
      <c r="D5550" s="135"/>
      <c r="E5550" s="1370"/>
      <c r="F5550" s="1370"/>
      <c r="G5550" s="1372"/>
      <c r="H5550" s="1365" t="n">
        <f aca="false">E5550*F5550*G5550</f>
        <v>0</v>
      </c>
      <c r="I5550" s="1365" t="n">
        <f aca="false">F5550-H5550</f>
        <v>0</v>
      </c>
      <c r="J5550" s="1365" t="n">
        <f aca="false">F5550*G5550</f>
        <v>0</v>
      </c>
      <c r="K5550" s="1365" t="n">
        <f aca="false">J5550/1792.8</f>
        <v>0</v>
      </c>
      <c r="L5550" s="1370"/>
      <c r="M5550" s="1366"/>
    </row>
    <row r="5551" s="311" customFormat="true" ht="15" hidden="false" customHeight="false" outlineLevel="0" collapsed="false">
      <c r="C5551" s="1161" t="s">
        <v>7247</v>
      </c>
      <c r="D5551" s="317" t="n">
        <v>2004</v>
      </c>
      <c r="E5551" s="1365" t="n">
        <v>6</v>
      </c>
      <c r="F5551" s="1365" t="n">
        <v>202860</v>
      </c>
      <c r="G5551" s="1364" t="n">
        <v>0.15</v>
      </c>
      <c r="H5551" s="1365" t="n">
        <f aca="false">E5551*F5551*G5551</f>
        <v>182574</v>
      </c>
      <c r="I5551" s="1365" t="n">
        <f aca="false">F5551-H5551</f>
        <v>20286</v>
      </c>
      <c r="J5551" s="1365" t="n">
        <f aca="false">F5551*G5551</f>
        <v>30429</v>
      </c>
      <c r="K5551" s="1365" t="n">
        <f aca="false">J5551/1792.8</f>
        <v>16.9728915662651</v>
      </c>
      <c r="L5551" s="1365" t="n">
        <v>2880</v>
      </c>
      <c r="M5551" s="1273" t="n">
        <f aca="false">K5551*L5551/60</f>
        <v>814.698795180723</v>
      </c>
    </row>
    <row r="5552" customFormat="false" ht="15" hidden="false" customHeight="false" outlineLevel="0" collapsed="false">
      <c r="A5552" s="317"/>
      <c r="B5552" s="59"/>
      <c r="C5552" s="1161" t="s">
        <v>7249</v>
      </c>
      <c r="D5552" s="317" t="n">
        <v>2006</v>
      </c>
      <c r="E5552" s="1365" t="n">
        <v>4</v>
      </c>
      <c r="F5552" s="1365" t="n">
        <v>55500</v>
      </c>
      <c r="G5552" s="1364" t="n">
        <v>0.1</v>
      </c>
      <c r="H5552" s="1365" t="n">
        <f aca="false">E5552*F5552*G5552</f>
        <v>22200</v>
      </c>
      <c r="I5552" s="1365" t="n">
        <f aca="false">F5552-H5552</f>
        <v>33300</v>
      </c>
      <c r="J5552" s="1365" t="n">
        <f aca="false">F5552*G5552</f>
        <v>5550</v>
      </c>
      <c r="K5552" s="1365" t="n">
        <f aca="false">J5552/1792.8</f>
        <v>3.09571619812584</v>
      </c>
      <c r="L5552" s="1365" t="n">
        <v>10</v>
      </c>
      <c r="M5552" s="1273" t="n">
        <f aca="false">K5552*L5552/60</f>
        <v>0.51595269968764</v>
      </c>
    </row>
    <row r="5553" customFormat="false" ht="15" hidden="false" customHeight="false" outlineLevel="0" collapsed="false">
      <c r="A5553" s="317"/>
      <c r="B5553" s="59"/>
      <c r="C5553" s="1161" t="s">
        <v>7251</v>
      </c>
      <c r="D5553" s="317" t="n">
        <v>2005</v>
      </c>
      <c r="E5553" s="1365" t="n">
        <v>5</v>
      </c>
      <c r="F5553" s="1365" t="n">
        <v>1638000</v>
      </c>
      <c r="G5553" s="1364" t="n">
        <v>0.1</v>
      </c>
      <c r="H5553" s="1365" t="n">
        <f aca="false">E5553*F5553*G5553</f>
        <v>819000</v>
      </c>
      <c r="I5553" s="1365" t="n">
        <f aca="false">F5553-H5553</f>
        <v>819000</v>
      </c>
      <c r="J5553" s="1365" t="n">
        <f aca="false">F5553*G5553</f>
        <v>163800</v>
      </c>
      <c r="K5553" s="1365" t="n">
        <f aca="false">J5553/1792.8</f>
        <v>91.3654618473896</v>
      </c>
      <c r="L5553" s="1365" t="n">
        <v>80</v>
      </c>
      <c r="M5553" s="1273" t="n">
        <f aca="false">K5553*L5553/60</f>
        <v>121.820615796519</v>
      </c>
    </row>
    <row r="5554" customFormat="false" ht="15" hidden="false" customHeight="false" outlineLevel="0" collapsed="false">
      <c r="A5554" s="317"/>
      <c r="B5554" s="59"/>
      <c r="C5554" s="1161" t="s">
        <v>7252</v>
      </c>
      <c r="D5554" s="317" t="n">
        <v>2005</v>
      </c>
      <c r="E5554" s="1365" t="n">
        <v>5</v>
      </c>
      <c r="F5554" s="1365" t="n">
        <v>12190000</v>
      </c>
      <c r="G5554" s="1364" t="n">
        <v>0.1</v>
      </c>
      <c r="H5554" s="1365" t="n">
        <f aca="false">E5554*F5554*G5554</f>
        <v>6095000</v>
      </c>
      <c r="I5554" s="1365" t="n">
        <f aca="false">F5554-H5554</f>
        <v>6095000</v>
      </c>
      <c r="J5554" s="1365" t="n">
        <f aca="false">F5554*G5554</f>
        <v>1219000</v>
      </c>
      <c r="K5554" s="1365" t="n">
        <f aca="false">J5554/1792.8</f>
        <v>679.941990182954</v>
      </c>
      <c r="L5554" s="1365" t="n">
        <v>20</v>
      </c>
      <c r="M5554" s="1273" t="n">
        <f aca="false">K5554*L5554/60</f>
        <v>226.647330060985</v>
      </c>
    </row>
    <row r="5555" customFormat="false" ht="15" hidden="false" customHeight="false" outlineLevel="0" collapsed="false">
      <c r="A5555" s="317"/>
      <c r="B5555" s="59"/>
      <c r="C5555" s="1161" t="s">
        <v>7170</v>
      </c>
      <c r="D5555" s="317" t="n">
        <v>2004</v>
      </c>
      <c r="E5555" s="1365" t="n">
        <v>6</v>
      </c>
      <c r="F5555" s="1365" t="n">
        <v>196670</v>
      </c>
      <c r="G5555" s="1364" t="n">
        <v>0.1</v>
      </c>
      <c r="H5555" s="1365" t="n">
        <f aca="false">E5555*F5555*G5555</f>
        <v>118002</v>
      </c>
      <c r="I5555" s="1365" t="n">
        <f aca="false">F5555-H5555</f>
        <v>78668</v>
      </c>
      <c r="J5555" s="1365" t="n">
        <f aca="false">F5555*G5555</f>
        <v>19667</v>
      </c>
      <c r="K5555" s="1365" t="n">
        <f aca="false">J5555/1792.8</f>
        <v>10.9699910754128</v>
      </c>
      <c r="L5555" s="1365" t="n">
        <v>15</v>
      </c>
      <c r="M5555" s="1273" t="n">
        <f aca="false">K5555*L5555/60</f>
        <v>2.74249776885319</v>
      </c>
    </row>
    <row r="5556" customFormat="false" ht="15" hidden="false" customHeight="false" outlineLevel="0" collapsed="false">
      <c r="A5556" s="317"/>
      <c r="B5556" s="59"/>
      <c r="C5556" s="1161" t="s">
        <v>7158</v>
      </c>
      <c r="D5556" s="317" t="n">
        <v>2004</v>
      </c>
      <c r="E5556" s="1365" t="n">
        <v>6</v>
      </c>
      <c r="F5556" s="1365" t="n">
        <v>6985000</v>
      </c>
      <c r="G5556" s="1364" t="n">
        <v>0.1</v>
      </c>
      <c r="H5556" s="1365" t="n">
        <f aca="false">E5556*F5556*G5556</f>
        <v>4191000</v>
      </c>
      <c r="I5556" s="1365" t="n">
        <f aca="false">F5556-H5556</f>
        <v>2794000</v>
      </c>
      <c r="J5556" s="1365" t="n">
        <f aca="false">F5556*G5556</f>
        <v>698500</v>
      </c>
      <c r="K5556" s="1365" t="n">
        <f aca="false">J5556/1792.8</f>
        <v>389.614011601963</v>
      </c>
      <c r="L5556" s="1365" t="n">
        <v>60</v>
      </c>
      <c r="M5556" s="1273" t="n">
        <f aca="false">K5556*L5556/60</f>
        <v>389.614011601963</v>
      </c>
    </row>
    <row r="5557" customFormat="false" ht="15" hidden="false" customHeight="false" outlineLevel="0" collapsed="false">
      <c r="A5557" s="317"/>
      <c r="B5557" s="59"/>
      <c r="C5557" s="1160"/>
      <c r="D5557" s="135"/>
      <c r="E5557" s="1370"/>
      <c r="F5557" s="1370"/>
      <c r="G5557" s="1372"/>
      <c r="H5557" s="1365" t="n">
        <f aca="false">E5557*F5557*G5557</f>
        <v>0</v>
      </c>
      <c r="I5557" s="1365" t="n">
        <f aca="false">F5557-H5557</f>
        <v>0</v>
      </c>
      <c r="J5557" s="1365" t="n">
        <f aca="false">F5557*G5557</f>
        <v>0</v>
      </c>
      <c r="K5557" s="1365" t="n">
        <f aca="false">J5557/1792.8</f>
        <v>0</v>
      </c>
      <c r="L5557" s="1370" t="n">
        <f aca="false">SUM(L5551:L5556)</f>
        <v>3065</v>
      </c>
      <c r="M5557" s="1370" t="n">
        <f aca="false">SUM(M5550:M5556)</f>
        <v>1556.03920310873</v>
      </c>
    </row>
    <row r="5558" customFormat="false" ht="45" hidden="false" customHeight="false" outlineLevel="0" collapsed="false">
      <c r="A5558" s="317" t="s">
        <v>2481</v>
      </c>
      <c r="B5558" s="29" t="s">
        <v>3966</v>
      </c>
      <c r="C5558" s="1160"/>
      <c r="D5558" s="135"/>
      <c r="E5558" s="1370"/>
      <c r="F5558" s="1370"/>
      <c r="G5558" s="1372"/>
      <c r="H5558" s="1365" t="n">
        <f aca="false">E5558*F5558*G5558</f>
        <v>0</v>
      </c>
      <c r="I5558" s="1365" t="n">
        <f aca="false">F5558-H5558</f>
        <v>0</v>
      </c>
      <c r="J5558" s="1365" t="n">
        <f aca="false">F5558*G5558</f>
        <v>0</v>
      </c>
      <c r="K5558" s="1365" t="n">
        <f aca="false">J5558/1792.8</f>
        <v>0</v>
      </c>
      <c r="L5558" s="1370"/>
      <c r="M5558" s="1366"/>
    </row>
    <row r="5559" s="311" customFormat="true" ht="15" hidden="false" customHeight="false" outlineLevel="0" collapsed="false">
      <c r="C5559" s="1161" t="s">
        <v>7247</v>
      </c>
      <c r="D5559" s="317" t="n">
        <v>2004</v>
      </c>
      <c r="E5559" s="1365" t="n">
        <v>6</v>
      </c>
      <c r="F5559" s="1365" t="n">
        <v>202860</v>
      </c>
      <c r="G5559" s="1364" t="n">
        <v>0.15</v>
      </c>
      <c r="H5559" s="1365" t="n">
        <f aca="false">E5559*F5559*G5559</f>
        <v>182574</v>
      </c>
      <c r="I5559" s="1365" t="n">
        <f aca="false">F5559-H5559</f>
        <v>20286</v>
      </c>
      <c r="J5559" s="1365" t="n">
        <f aca="false">F5559*G5559</f>
        <v>30429</v>
      </c>
      <c r="K5559" s="1365" t="n">
        <f aca="false">J5559/1792.8</f>
        <v>16.9728915662651</v>
      </c>
      <c r="L5559" s="1365" t="n">
        <v>2880</v>
      </c>
      <c r="M5559" s="1273" t="n">
        <f aca="false">K5559*L5559/60</f>
        <v>814.698795180723</v>
      </c>
    </row>
    <row r="5560" customFormat="false" ht="15" hidden="false" customHeight="false" outlineLevel="0" collapsed="false">
      <c r="A5560" s="317"/>
      <c r="B5560" s="59"/>
      <c r="C5560" s="1161" t="s">
        <v>7249</v>
      </c>
      <c r="D5560" s="317" t="n">
        <v>2006</v>
      </c>
      <c r="E5560" s="1365" t="n">
        <v>4</v>
      </c>
      <c r="F5560" s="1365" t="n">
        <v>55500</v>
      </c>
      <c r="G5560" s="1364" t="n">
        <v>0.1</v>
      </c>
      <c r="H5560" s="1365" t="n">
        <f aca="false">E5560*F5560*G5560</f>
        <v>22200</v>
      </c>
      <c r="I5560" s="1365" t="n">
        <f aca="false">F5560-H5560</f>
        <v>33300</v>
      </c>
      <c r="J5560" s="1365" t="n">
        <f aca="false">F5560*G5560</f>
        <v>5550</v>
      </c>
      <c r="K5560" s="1365" t="n">
        <f aca="false">J5560/1792.8</f>
        <v>3.09571619812584</v>
      </c>
      <c r="L5560" s="1365" t="n">
        <v>10</v>
      </c>
      <c r="M5560" s="1273" t="n">
        <f aca="false">K5560*L5560/60</f>
        <v>0.51595269968764</v>
      </c>
    </row>
    <row r="5561" customFormat="false" ht="15" hidden="false" customHeight="false" outlineLevel="0" collapsed="false">
      <c r="A5561" s="317"/>
      <c r="B5561" s="59"/>
      <c r="C5561" s="1161" t="s">
        <v>7251</v>
      </c>
      <c r="D5561" s="317" t="n">
        <v>2005</v>
      </c>
      <c r="E5561" s="1365" t="n">
        <v>5</v>
      </c>
      <c r="F5561" s="1365" t="n">
        <v>1638000</v>
      </c>
      <c r="G5561" s="1364" t="n">
        <v>0.1</v>
      </c>
      <c r="H5561" s="1365" t="n">
        <f aca="false">E5561*F5561*G5561</f>
        <v>819000</v>
      </c>
      <c r="I5561" s="1365" t="n">
        <f aca="false">F5561-H5561</f>
        <v>819000</v>
      </c>
      <c r="J5561" s="1365" t="n">
        <f aca="false">F5561*G5561</f>
        <v>163800</v>
      </c>
      <c r="K5561" s="1365" t="n">
        <f aca="false">J5561/1792.8</f>
        <v>91.3654618473896</v>
      </c>
      <c r="L5561" s="1365" t="n">
        <v>80</v>
      </c>
      <c r="M5561" s="1273" t="n">
        <f aca="false">K5561*L5561/60</f>
        <v>121.820615796519</v>
      </c>
    </row>
    <row r="5562" customFormat="false" ht="15" hidden="false" customHeight="false" outlineLevel="0" collapsed="false">
      <c r="A5562" s="317"/>
      <c r="B5562" s="59"/>
      <c r="C5562" s="1161" t="s">
        <v>7252</v>
      </c>
      <c r="D5562" s="317" t="n">
        <v>2005</v>
      </c>
      <c r="E5562" s="1365" t="n">
        <v>5</v>
      </c>
      <c r="F5562" s="1365" t="n">
        <v>12190000</v>
      </c>
      <c r="G5562" s="1364" t="n">
        <v>0.1</v>
      </c>
      <c r="H5562" s="1365" t="n">
        <f aca="false">E5562*F5562*G5562</f>
        <v>6095000</v>
      </c>
      <c r="I5562" s="1365" t="n">
        <f aca="false">F5562-H5562</f>
        <v>6095000</v>
      </c>
      <c r="J5562" s="1365" t="n">
        <f aca="false">F5562*G5562</f>
        <v>1219000</v>
      </c>
      <c r="K5562" s="1365" t="n">
        <f aca="false">J5562/1792.8</f>
        <v>679.941990182954</v>
      </c>
      <c r="L5562" s="1365" t="n">
        <v>20</v>
      </c>
      <c r="M5562" s="1273" t="n">
        <f aca="false">K5562*L5562/60</f>
        <v>226.647330060985</v>
      </c>
    </row>
    <row r="5563" customFormat="false" ht="15" hidden="false" customHeight="false" outlineLevel="0" collapsed="false">
      <c r="A5563" s="317"/>
      <c r="B5563" s="59"/>
      <c r="C5563" s="1161" t="s">
        <v>7170</v>
      </c>
      <c r="D5563" s="317" t="n">
        <v>2004</v>
      </c>
      <c r="E5563" s="1365" t="n">
        <v>6</v>
      </c>
      <c r="F5563" s="1365" t="n">
        <v>196670</v>
      </c>
      <c r="G5563" s="1364" t="n">
        <v>0.1</v>
      </c>
      <c r="H5563" s="1365" t="n">
        <f aca="false">E5563*F5563*G5563</f>
        <v>118002</v>
      </c>
      <c r="I5563" s="1365" t="n">
        <f aca="false">F5563-H5563</f>
        <v>78668</v>
      </c>
      <c r="J5563" s="1365" t="n">
        <f aca="false">F5563*G5563</f>
        <v>19667</v>
      </c>
      <c r="K5563" s="1365" t="n">
        <f aca="false">J5563/1792.8</f>
        <v>10.9699910754128</v>
      </c>
      <c r="L5563" s="1365" t="n">
        <v>15</v>
      </c>
      <c r="M5563" s="1273" t="n">
        <f aca="false">K5563*L5563/60</f>
        <v>2.74249776885319</v>
      </c>
    </row>
    <row r="5564" customFormat="false" ht="15" hidden="false" customHeight="false" outlineLevel="0" collapsed="false">
      <c r="A5564" s="317"/>
      <c r="B5564" s="59"/>
      <c r="C5564" s="1161" t="s">
        <v>7158</v>
      </c>
      <c r="D5564" s="317" t="n">
        <v>2004</v>
      </c>
      <c r="E5564" s="1365" t="n">
        <v>6</v>
      </c>
      <c r="F5564" s="1365" t="n">
        <v>6985000</v>
      </c>
      <c r="G5564" s="1364" t="n">
        <v>0.1</v>
      </c>
      <c r="H5564" s="1365" t="n">
        <f aca="false">E5564*F5564*G5564</f>
        <v>4191000</v>
      </c>
      <c r="I5564" s="1365" t="n">
        <f aca="false">F5564-H5564</f>
        <v>2794000</v>
      </c>
      <c r="J5564" s="1365" t="n">
        <f aca="false">F5564*G5564</f>
        <v>698500</v>
      </c>
      <c r="K5564" s="1365" t="n">
        <f aca="false">J5564/1792.8</f>
        <v>389.614011601963</v>
      </c>
      <c r="L5564" s="1365" t="n">
        <v>60</v>
      </c>
      <c r="M5564" s="1273" t="n">
        <f aca="false">K5564*L5564/60</f>
        <v>389.614011601963</v>
      </c>
    </row>
    <row r="5565" customFormat="false" ht="15" hidden="false" customHeight="false" outlineLevel="0" collapsed="false">
      <c r="A5565" s="317"/>
      <c r="B5565" s="59"/>
      <c r="C5565" s="1160"/>
      <c r="D5565" s="135"/>
      <c r="E5565" s="1370"/>
      <c r="F5565" s="1370"/>
      <c r="G5565" s="1372"/>
      <c r="H5565" s="1365" t="n">
        <f aca="false">E5565*F5565*G5565</f>
        <v>0</v>
      </c>
      <c r="I5565" s="1365" t="n">
        <f aca="false">F5565-H5565</f>
        <v>0</v>
      </c>
      <c r="J5565" s="1365" t="n">
        <f aca="false">F5565*G5565</f>
        <v>0</v>
      </c>
      <c r="K5565" s="1365" t="n">
        <f aca="false">J5565/1792.8</f>
        <v>0</v>
      </c>
      <c r="L5565" s="1370" t="n">
        <f aca="false">SUM(L5559:L5564)</f>
        <v>3065</v>
      </c>
      <c r="M5565" s="1370" t="n">
        <f aca="false">SUM(M5558:M5564)</f>
        <v>1556.03920310873</v>
      </c>
    </row>
    <row r="5566" customFormat="false" ht="73.5" hidden="false" customHeight="true" outlineLevel="0" collapsed="false">
      <c r="A5566" s="317" t="s">
        <v>7282</v>
      </c>
      <c r="B5566" s="47" t="s">
        <v>3967</v>
      </c>
      <c r="C5566" s="135"/>
      <c r="E5566" s="891"/>
      <c r="F5566" s="891"/>
      <c r="G5566" s="1364"/>
      <c r="H5566" s="1365" t="n">
        <f aca="false">E5566*F5566*G5566</f>
        <v>0</v>
      </c>
      <c r="I5566" s="1365" t="n">
        <f aca="false">F5566-H5566</f>
        <v>0</v>
      </c>
      <c r="J5566" s="1365" t="n">
        <f aca="false">F5566*G5566</f>
        <v>0</v>
      </c>
      <c r="K5566" s="1365" t="n">
        <f aca="false">J5566/1792.8</f>
        <v>0</v>
      </c>
      <c r="L5566" s="891"/>
      <c r="M5566" s="1273"/>
    </row>
    <row r="5567" customFormat="false" ht="15" hidden="false" customHeight="false" outlineLevel="0" collapsed="false">
      <c r="A5567" s="216"/>
      <c r="B5567" s="78"/>
      <c r="C5567" s="1161" t="s">
        <v>7245</v>
      </c>
      <c r="D5567" s="317" t="n">
        <v>2005</v>
      </c>
      <c r="E5567" s="1365" t="n">
        <v>5</v>
      </c>
      <c r="F5567" s="1365" t="n">
        <v>347000</v>
      </c>
      <c r="G5567" s="1364" t="n">
        <v>0.1</v>
      </c>
      <c r="H5567" s="1365" t="n">
        <f aca="false">E5567*F5567*G5567</f>
        <v>173500</v>
      </c>
      <c r="I5567" s="1365" t="n">
        <f aca="false">F5567-H5567</f>
        <v>173500</v>
      </c>
      <c r="J5567" s="1365" t="n">
        <f aca="false">F5567*G5567</f>
        <v>34700</v>
      </c>
      <c r="K5567" s="1365" t="n">
        <f aca="false">J5567/1792.8</f>
        <v>19.355198572066</v>
      </c>
      <c r="L5567" s="1365" t="n">
        <v>30</v>
      </c>
      <c r="M5567" s="1273" t="n">
        <f aca="false">K5567*L5567/60</f>
        <v>9.67759928603302</v>
      </c>
    </row>
    <row r="5568" customFormat="false" ht="15" hidden="false" customHeight="false" outlineLevel="0" collapsed="false">
      <c r="A5568" s="216"/>
      <c r="B5568" s="78"/>
      <c r="C5568" s="1161" t="s">
        <v>7264</v>
      </c>
      <c r="D5568" s="317" t="n">
        <v>2014</v>
      </c>
      <c r="E5568" s="1365" t="n">
        <v>10</v>
      </c>
      <c r="F5568" s="1365" t="n">
        <v>1411800</v>
      </c>
      <c r="G5568" s="1364"/>
      <c r="H5568" s="1365" t="n">
        <f aca="false">E5568*F5568*G5568</f>
        <v>0</v>
      </c>
      <c r="I5568" s="1365" t="n">
        <f aca="false">F5568-H5568</f>
        <v>1411800</v>
      </c>
      <c r="J5568" s="1365" t="n">
        <f aca="false">F5568*G5568</f>
        <v>0</v>
      </c>
      <c r="K5568" s="1365" t="n">
        <f aca="false">J5568/1792.8</f>
        <v>0</v>
      </c>
      <c r="L5568" s="1365"/>
      <c r="M5568" s="1273" t="n">
        <f aca="false">K5568*L5568/60</f>
        <v>0</v>
      </c>
    </row>
    <row r="5569" customFormat="false" ht="15" hidden="false" customHeight="false" outlineLevel="0" collapsed="false">
      <c r="A5569" s="216"/>
      <c r="B5569" s="78"/>
      <c r="C5569" s="1161" t="s">
        <v>7249</v>
      </c>
      <c r="D5569" s="317" t="n">
        <v>2005</v>
      </c>
      <c r="E5569" s="1365" t="n">
        <v>5</v>
      </c>
      <c r="F5569" s="1365" t="n">
        <v>347000</v>
      </c>
      <c r="G5569" s="1364" t="n">
        <v>0.1</v>
      </c>
      <c r="H5569" s="1365" t="n">
        <f aca="false">E5569*F5569*G5569</f>
        <v>173500</v>
      </c>
      <c r="I5569" s="1365" t="n">
        <f aca="false">F5569-H5569</f>
        <v>173500</v>
      </c>
      <c r="J5569" s="1365" t="n">
        <f aca="false">F5569*G5569</f>
        <v>34700</v>
      </c>
      <c r="K5569" s="1365" t="n">
        <f aca="false">J5569/1792.8</f>
        <v>19.355198572066</v>
      </c>
      <c r="L5569" s="1365" t="n">
        <v>60</v>
      </c>
      <c r="M5569" s="1273" t="n">
        <f aca="false">K5569*L5569/60</f>
        <v>19.355198572066</v>
      </c>
    </row>
    <row r="5570" customFormat="false" ht="15" hidden="false" customHeight="false" outlineLevel="0" collapsed="false">
      <c r="A5570" s="216"/>
      <c r="B5570" s="78"/>
      <c r="C5570" s="1161" t="s">
        <v>7170</v>
      </c>
      <c r="D5570" s="317" t="n">
        <v>2004</v>
      </c>
      <c r="E5570" s="1365" t="n">
        <v>6</v>
      </c>
      <c r="F5570" s="1365" t="n">
        <v>196670</v>
      </c>
      <c r="G5570" s="1364" t="n">
        <v>0.1</v>
      </c>
      <c r="H5570" s="1365" t="n">
        <f aca="false">E5570*F5570*G5570</f>
        <v>118002</v>
      </c>
      <c r="I5570" s="1365" t="n">
        <f aca="false">F5570-H5570</f>
        <v>78668</v>
      </c>
      <c r="J5570" s="1365" t="n">
        <f aca="false">F5570*G5570</f>
        <v>19667</v>
      </c>
      <c r="K5570" s="1365" t="n">
        <f aca="false">J5570/1792.8</f>
        <v>10.9699910754128</v>
      </c>
      <c r="L5570" s="1365" t="n">
        <v>15</v>
      </c>
      <c r="M5570" s="1273" t="n">
        <f aca="false">K5570*L5570/60</f>
        <v>2.74249776885319</v>
      </c>
    </row>
    <row r="5571" s="311" customFormat="true" ht="15" hidden="false" customHeight="false" outlineLevel="0" collapsed="false">
      <c r="C5571" s="1161" t="s">
        <v>7247</v>
      </c>
      <c r="D5571" s="317" t="n">
        <v>2004</v>
      </c>
      <c r="E5571" s="1365" t="n">
        <v>6</v>
      </c>
      <c r="F5571" s="1365" t="n">
        <v>202860</v>
      </c>
      <c r="G5571" s="1364" t="n">
        <v>0.1</v>
      </c>
      <c r="H5571" s="1365" t="n">
        <f aca="false">E5571*F5571*G5571</f>
        <v>121716</v>
      </c>
      <c r="I5571" s="1365" t="n">
        <f aca="false">F5571-H5571</f>
        <v>81144</v>
      </c>
      <c r="J5571" s="1365" t="n">
        <f aca="false">F5571*G5571</f>
        <v>20286</v>
      </c>
      <c r="K5571" s="1365" t="n">
        <f aca="false">J5571/1792.8</f>
        <v>11.3152610441767</v>
      </c>
      <c r="L5571" s="1365" t="n">
        <v>2880</v>
      </c>
      <c r="M5571" s="1273" t="n">
        <f aca="false">K5571*L5571/60</f>
        <v>543.132530120482</v>
      </c>
    </row>
    <row r="5572" customFormat="false" ht="15" hidden="false" customHeight="false" outlineLevel="0" collapsed="false">
      <c r="A5572" s="317"/>
      <c r="B5572" s="59"/>
      <c r="C5572" s="1161" t="s">
        <v>7158</v>
      </c>
      <c r="D5572" s="317" t="n">
        <v>2004</v>
      </c>
      <c r="E5572" s="1365" t="n">
        <v>6</v>
      </c>
      <c r="F5572" s="1365" t="n">
        <v>6985000</v>
      </c>
      <c r="G5572" s="1364" t="n">
        <v>0.1</v>
      </c>
      <c r="H5572" s="1365" t="n">
        <f aca="false">E5572*F5572*G5572</f>
        <v>4191000</v>
      </c>
      <c r="I5572" s="1365" t="n">
        <f aca="false">F5572-H5572</f>
        <v>2794000</v>
      </c>
      <c r="J5572" s="1365" t="n">
        <f aca="false">F5572*G5572</f>
        <v>698500</v>
      </c>
      <c r="K5572" s="1365" t="n">
        <f aca="false">J5572/1792.8</f>
        <v>389.614011601963</v>
      </c>
      <c r="L5572" s="1365" t="n">
        <v>15</v>
      </c>
      <c r="M5572" s="1273" t="n">
        <f aca="false">K5572*L5572/60</f>
        <v>97.4035029004909</v>
      </c>
    </row>
    <row r="5573" customFormat="false" ht="15" hidden="false" customHeight="false" outlineLevel="0" collapsed="false">
      <c r="A5573" s="317"/>
      <c r="B5573" s="59"/>
      <c r="C5573" s="1160"/>
      <c r="D5573" s="135"/>
      <c r="E5573" s="1370"/>
      <c r="F5573" s="1370"/>
      <c r="G5573" s="1372"/>
      <c r="H5573" s="1365" t="n">
        <f aca="false">E5573*F5573*G5573</f>
        <v>0</v>
      </c>
      <c r="I5573" s="1365" t="n">
        <f aca="false">F5573-H5573</f>
        <v>0</v>
      </c>
      <c r="J5573" s="1365" t="n">
        <f aca="false">F5573*G5573</f>
        <v>0</v>
      </c>
      <c r="K5573" s="1365" t="n">
        <f aca="false">J5573/1792.8</f>
        <v>0</v>
      </c>
      <c r="L5573" s="1370" t="n">
        <f aca="false">SUM(L5567:L5572)</f>
        <v>3000</v>
      </c>
      <c r="M5573" s="1370" t="n">
        <f aca="false">SUM(M5567:M5572)</f>
        <v>672.311328647925</v>
      </c>
    </row>
    <row r="5574" customFormat="false" ht="45" hidden="false" customHeight="false" outlineLevel="0" collapsed="false">
      <c r="A5574" s="317" t="s">
        <v>2485</v>
      </c>
      <c r="B5574" s="47" t="s">
        <v>3968</v>
      </c>
      <c r="C5574" s="135"/>
      <c r="E5574" s="891"/>
      <c r="F5574" s="891"/>
      <c r="G5574" s="1364"/>
      <c r="H5574" s="1365" t="n">
        <f aca="false">E5574*F5574*G5574</f>
        <v>0</v>
      </c>
      <c r="I5574" s="1365" t="n">
        <f aca="false">F5574-H5574</f>
        <v>0</v>
      </c>
      <c r="J5574" s="1365" t="n">
        <f aca="false">F5574*G5574</f>
        <v>0</v>
      </c>
      <c r="K5574" s="1365" t="n">
        <f aca="false">J5574/1792.8</f>
        <v>0</v>
      </c>
      <c r="L5574" s="891"/>
      <c r="M5574" s="1273"/>
    </row>
    <row r="5575" customFormat="false" ht="15" hidden="false" customHeight="false" outlineLevel="0" collapsed="false">
      <c r="A5575" s="216"/>
      <c r="B5575" s="78"/>
      <c r="C5575" s="1161" t="s">
        <v>7245</v>
      </c>
      <c r="D5575" s="317" t="n">
        <v>2005</v>
      </c>
      <c r="E5575" s="1365" t="n">
        <v>5</v>
      </c>
      <c r="F5575" s="1365" t="n">
        <v>347000</v>
      </c>
      <c r="G5575" s="1364" t="n">
        <v>0.1</v>
      </c>
      <c r="H5575" s="1365" t="n">
        <f aca="false">E5575*F5575*G5575</f>
        <v>173500</v>
      </c>
      <c r="I5575" s="1365" t="n">
        <f aca="false">F5575-H5575</f>
        <v>173500</v>
      </c>
      <c r="J5575" s="1365" t="n">
        <f aca="false">F5575*G5575</f>
        <v>34700</v>
      </c>
      <c r="K5575" s="1365" t="n">
        <f aca="false">J5575/1792.8</f>
        <v>19.355198572066</v>
      </c>
      <c r="L5575" s="1365" t="n">
        <v>30</v>
      </c>
      <c r="M5575" s="1273" t="n">
        <f aca="false">K5575*L5575/60</f>
        <v>9.67759928603302</v>
      </c>
    </row>
    <row r="5576" customFormat="false" ht="15" hidden="false" customHeight="false" outlineLevel="0" collapsed="false">
      <c r="A5576" s="216"/>
      <c r="B5576" s="78"/>
      <c r="C5576" s="1161" t="s">
        <v>7264</v>
      </c>
      <c r="D5576" s="317" t="n">
        <v>2014</v>
      </c>
      <c r="E5576" s="1365" t="n">
        <v>10</v>
      </c>
      <c r="F5576" s="1365" t="n">
        <v>1411800</v>
      </c>
      <c r="G5576" s="1364"/>
      <c r="H5576" s="1365" t="n">
        <f aca="false">E5576*F5576*G5576</f>
        <v>0</v>
      </c>
      <c r="I5576" s="1365" t="n">
        <f aca="false">F5576-H5576</f>
        <v>1411800</v>
      </c>
      <c r="J5576" s="1365" t="n">
        <f aca="false">F5576*G5576</f>
        <v>0</v>
      </c>
      <c r="K5576" s="1365" t="n">
        <f aca="false">J5576/1792.8</f>
        <v>0</v>
      </c>
      <c r="L5576" s="1365"/>
      <c r="M5576" s="1273" t="n">
        <f aca="false">K5576*L5576/60</f>
        <v>0</v>
      </c>
    </row>
    <row r="5577" customFormat="false" ht="15" hidden="false" customHeight="false" outlineLevel="0" collapsed="false">
      <c r="A5577" s="216"/>
      <c r="B5577" s="78"/>
      <c r="C5577" s="1161" t="s">
        <v>7249</v>
      </c>
      <c r="D5577" s="317" t="n">
        <v>2005</v>
      </c>
      <c r="E5577" s="1365" t="n">
        <v>5</v>
      </c>
      <c r="F5577" s="1365" t="n">
        <v>347000</v>
      </c>
      <c r="G5577" s="1364" t="n">
        <v>0.1</v>
      </c>
      <c r="H5577" s="1365" t="n">
        <f aca="false">E5577*F5577*G5577</f>
        <v>173500</v>
      </c>
      <c r="I5577" s="1365" t="n">
        <f aca="false">F5577-H5577</f>
        <v>173500</v>
      </c>
      <c r="J5577" s="1365" t="n">
        <f aca="false">F5577*G5577</f>
        <v>34700</v>
      </c>
      <c r="K5577" s="1365" t="n">
        <f aca="false">J5577/1792.8</f>
        <v>19.355198572066</v>
      </c>
      <c r="L5577" s="1365" t="n">
        <v>60</v>
      </c>
      <c r="M5577" s="1273" t="n">
        <f aca="false">K5577*L5577/60</f>
        <v>19.355198572066</v>
      </c>
    </row>
    <row r="5578" customFormat="false" ht="15" hidden="false" customHeight="false" outlineLevel="0" collapsed="false">
      <c r="A5578" s="216"/>
      <c r="B5578" s="78"/>
      <c r="C5578" s="1161" t="s">
        <v>7170</v>
      </c>
      <c r="D5578" s="317" t="n">
        <v>2004</v>
      </c>
      <c r="E5578" s="1365" t="n">
        <v>6</v>
      </c>
      <c r="F5578" s="1365" t="n">
        <v>196670</v>
      </c>
      <c r="G5578" s="1364" t="n">
        <v>0.1</v>
      </c>
      <c r="H5578" s="1365" t="n">
        <f aca="false">E5578*F5578*G5578</f>
        <v>118002</v>
      </c>
      <c r="I5578" s="1365" t="n">
        <f aca="false">F5578-H5578</f>
        <v>78668</v>
      </c>
      <c r="J5578" s="1365" t="n">
        <f aca="false">F5578*G5578</f>
        <v>19667</v>
      </c>
      <c r="K5578" s="1365" t="n">
        <f aca="false">J5578/1792.8</f>
        <v>10.9699910754128</v>
      </c>
      <c r="L5578" s="1365" t="n">
        <v>15</v>
      </c>
      <c r="M5578" s="1273" t="n">
        <f aca="false">K5578*L5578/60</f>
        <v>2.74249776885319</v>
      </c>
    </row>
    <row r="5579" s="311" customFormat="true" ht="15" hidden="false" customHeight="false" outlineLevel="0" collapsed="false">
      <c r="C5579" s="1161" t="s">
        <v>7247</v>
      </c>
      <c r="D5579" s="317" t="n">
        <v>2004</v>
      </c>
      <c r="E5579" s="1365" t="n">
        <v>6</v>
      </c>
      <c r="F5579" s="1365" t="n">
        <v>202860</v>
      </c>
      <c r="G5579" s="1364" t="n">
        <v>0.1</v>
      </c>
      <c r="H5579" s="1365" t="n">
        <f aca="false">E5579*F5579*G5579</f>
        <v>121716</v>
      </c>
      <c r="I5579" s="1365" t="n">
        <f aca="false">F5579-H5579</f>
        <v>81144</v>
      </c>
      <c r="J5579" s="1365" t="n">
        <f aca="false">F5579*G5579</f>
        <v>20286</v>
      </c>
      <c r="K5579" s="1365" t="n">
        <f aca="false">J5579/1792.8</f>
        <v>11.3152610441767</v>
      </c>
      <c r="L5579" s="1365" t="n">
        <v>2880</v>
      </c>
      <c r="M5579" s="1273" t="n">
        <f aca="false">K5579*L5579/60</f>
        <v>543.132530120482</v>
      </c>
    </row>
    <row r="5580" customFormat="false" ht="15" hidden="false" customHeight="false" outlineLevel="0" collapsed="false">
      <c r="A5580" s="317"/>
      <c r="B5580" s="59"/>
      <c r="C5580" s="1161" t="s">
        <v>7158</v>
      </c>
      <c r="D5580" s="317" t="n">
        <v>2004</v>
      </c>
      <c r="E5580" s="1365" t="n">
        <v>6</v>
      </c>
      <c r="F5580" s="1365" t="n">
        <v>6985000</v>
      </c>
      <c r="G5580" s="1364" t="n">
        <v>0.1</v>
      </c>
      <c r="H5580" s="1365" t="n">
        <f aca="false">E5580*F5580*G5580</f>
        <v>4191000</v>
      </c>
      <c r="I5580" s="1365" t="n">
        <f aca="false">F5580-H5580</f>
        <v>2794000</v>
      </c>
      <c r="J5580" s="1365" t="n">
        <f aca="false">F5580*G5580</f>
        <v>698500</v>
      </c>
      <c r="K5580" s="1365" t="n">
        <f aca="false">J5580/1792.8</f>
        <v>389.614011601963</v>
      </c>
      <c r="L5580" s="1365" t="n">
        <v>15</v>
      </c>
      <c r="M5580" s="1273" t="n">
        <f aca="false">K5580*L5580/60</f>
        <v>97.4035029004909</v>
      </c>
    </row>
    <row r="5581" customFormat="false" ht="15" hidden="false" customHeight="false" outlineLevel="0" collapsed="false">
      <c r="A5581" s="317"/>
      <c r="B5581" s="59"/>
      <c r="C5581" s="1160"/>
      <c r="D5581" s="135"/>
      <c r="E5581" s="1370"/>
      <c r="F5581" s="1370"/>
      <c r="G5581" s="1372"/>
      <c r="H5581" s="1365" t="n">
        <f aca="false">E5581*F5581*G5581</f>
        <v>0</v>
      </c>
      <c r="I5581" s="1365" t="n">
        <f aca="false">F5581-H5581</f>
        <v>0</v>
      </c>
      <c r="J5581" s="1365" t="n">
        <f aca="false">F5581*G5581</f>
        <v>0</v>
      </c>
      <c r="K5581" s="1365" t="n">
        <f aca="false">J5581/1792.8</f>
        <v>0</v>
      </c>
      <c r="L5581" s="1370" t="n">
        <f aca="false">SUM(L5575:L5580)</f>
        <v>3000</v>
      </c>
      <c r="M5581" s="1370" t="n">
        <f aca="false">SUM(M5575:M5580)</f>
        <v>672.311328647925</v>
      </c>
    </row>
    <row r="5582" customFormat="false" ht="45" hidden="false" customHeight="false" outlineLevel="0" collapsed="false">
      <c r="A5582" s="317" t="s">
        <v>2487</v>
      </c>
      <c r="B5582" s="47" t="s">
        <v>3969</v>
      </c>
      <c r="C5582" s="135"/>
      <c r="E5582" s="891"/>
      <c r="F5582" s="891"/>
      <c r="G5582" s="1364"/>
      <c r="H5582" s="1365" t="n">
        <f aca="false">E5582*F5582*G5582</f>
        <v>0</v>
      </c>
      <c r="I5582" s="1365" t="n">
        <f aca="false">F5582-H5582</f>
        <v>0</v>
      </c>
      <c r="J5582" s="1365" t="n">
        <f aca="false">F5582*G5582</f>
        <v>0</v>
      </c>
      <c r="K5582" s="1365" t="n">
        <f aca="false">J5582/1792.8</f>
        <v>0</v>
      </c>
      <c r="L5582" s="891"/>
      <c r="M5582" s="1273"/>
    </row>
    <row r="5583" customFormat="false" ht="15" hidden="false" customHeight="false" outlineLevel="0" collapsed="false">
      <c r="A5583" s="216"/>
      <c r="B5583" s="78"/>
      <c r="C5583" s="1161" t="s">
        <v>7245</v>
      </c>
      <c r="D5583" s="317" t="n">
        <v>2005</v>
      </c>
      <c r="E5583" s="1365" t="n">
        <v>5</v>
      </c>
      <c r="F5583" s="1365" t="n">
        <v>347000</v>
      </c>
      <c r="G5583" s="1364" t="n">
        <v>0.1</v>
      </c>
      <c r="H5583" s="1365" t="n">
        <f aca="false">E5583*F5583*G5583</f>
        <v>173500</v>
      </c>
      <c r="I5583" s="1365" t="n">
        <f aca="false">F5583-H5583</f>
        <v>173500</v>
      </c>
      <c r="J5583" s="1365" t="n">
        <f aca="false">F5583*G5583</f>
        <v>34700</v>
      </c>
      <c r="K5583" s="1365" t="n">
        <f aca="false">J5583/1792.8</f>
        <v>19.355198572066</v>
      </c>
      <c r="L5583" s="1365" t="n">
        <v>30</v>
      </c>
      <c r="M5583" s="1273" t="n">
        <f aca="false">K5583*L5583/60</f>
        <v>9.67759928603302</v>
      </c>
    </row>
    <row r="5584" customFormat="false" ht="15" hidden="false" customHeight="false" outlineLevel="0" collapsed="false">
      <c r="A5584" s="216"/>
      <c r="B5584" s="78"/>
      <c r="C5584" s="1161" t="s">
        <v>7264</v>
      </c>
      <c r="D5584" s="317" t="n">
        <v>2014</v>
      </c>
      <c r="E5584" s="1365" t="n">
        <v>10</v>
      </c>
      <c r="F5584" s="1365" t="n">
        <v>1411800</v>
      </c>
      <c r="G5584" s="1364"/>
      <c r="H5584" s="1365" t="n">
        <f aca="false">E5584*F5584*G5584</f>
        <v>0</v>
      </c>
      <c r="I5584" s="1365" t="n">
        <f aca="false">F5584-H5584</f>
        <v>1411800</v>
      </c>
      <c r="J5584" s="1365" t="n">
        <f aca="false">F5584*G5584</f>
        <v>0</v>
      </c>
      <c r="K5584" s="1365" t="n">
        <f aca="false">J5584/1792.8</f>
        <v>0</v>
      </c>
      <c r="L5584" s="1365"/>
      <c r="M5584" s="1273" t="n">
        <f aca="false">K5584*L5584/60</f>
        <v>0</v>
      </c>
    </row>
    <row r="5585" customFormat="false" ht="15" hidden="false" customHeight="false" outlineLevel="0" collapsed="false">
      <c r="A5585" s="216"/>
      <c r="B5585" s="78"/>
      <c r="C5585" s="1161" t="s">
        <v>7249</v>
      </c>
      <c r="D5585" s="317" t="n">
        <v>2005</v>
      </c>
      <c r="E5585" s="1365" t="n">
        <v>5</v>
      </c>
      <c r="F5585" s="1365" t="n">
        <v>347000</v>
      </c>
      <c r="G5585" s="1364" t="n">
        <v>0.1</v>
      </c>
      <c r="H5585" s="1365" t="n">
        <f aca="false">E5585*F5585*G5585</f>
        <v>173500</v>
      </c>
      <c r="I5585" s="1365" t="n">
        <f aca="false">F5585-H5585</f>
        <v>173500</v>
      </c>
      <c r="J5585" s="1365" t="n">
        <f aca="false">F5585*G5585</f>
        <v>34700</v>
      </c>
      <c r="K5585" s="1365" t="n">
        <f aca="false">J5585/1792.8</f>
        <v>19.355198572066</v>
      </c>
      <c r="L5585" s="1365" t="n">
        <v>60</v>
      </c>
      <c r="M5585" s="1273" t="n">
        <f aca="false">K5585*L5585/60</f>
        <v>19.355198572066</v>
      </c>
    </row>
    <row r="5586" customFormat="false" ht="15" hidden="false" customHeight="false" outlineLevel="0" collapsed="false">
      <c r="A5586" s="216"/>
      <c r="B5586" s="78"/>
      <c r="C5586" s="1161" t="s">
        <v>7170</v>
      </c>
      <c r="D5586" s="317" t="n">
        <v>2004</v>
      </c>
      <c r="E5586" s="1365" t="n">
        <v>6</v>
      </c>
      <c r="F5586" s="1365" t="n">
        <v>196670</v>
      </c>
      <c r="G5586" s="1364" t="n">
        <v>0.1</v>
      </c>
      <c r="H5586" s="1365" t="n">
        <f aca="false">E5586*F5586*G5586</f>
        <v>118002</v>
      </c>
      <c r="I5586" s="1365" t="n">
        <f aca="false">F5586-H5586</f>
        <v>78668</v>
      </c>
      <c r="J5586" s="1365" t="n">
        <f aca="false">F5586*G5586</f>
        <v>19667</v>
      </c>
      <c r="K5586" s="1365" t="n">
        <f aca="false">J5586/1792.8</f>
        <v>10.9699910754128</v>
      </c>
      <c r="L5586" s="1365" t="n">
        <v>15</v>
      </c>
      <c r="M5586" s="1273" t="n">
        <f aca="false">K5586*L5586/60</f>
        <v>2.74249776885319</v>
      </c>
    </row>
    <row r="5587" s="311" customFormat="true" ht="15" hidden="false" customHeight="false" outlineLevel="0" collapsed="false">
      <c r="C5587" s="1161" t="s">
        <v>7247</v>
      </c>
      <c r="D5587" s="317" t="n">
        <v>2004</v>
      </c>
      <c r="E5587" s="1365" t="n">
        <v>6</v>
      </c>
      <c r="F5587" s="1365" t="n">
        <v>202860</v>
      </c>
      <c r="G5587" s="1364" t="n">
        <v>0.1</v>
      </c>
      <c r="H5587" s="1365" t="n">
        <f aca="false">E5587*F5587*G5587</f>
        <v>121716</v>
      </c>
      <c r="I5587" s="1365" t="n">
        <f aca="false">F5587-H5587</f>
        <v>81144</v>
      </c>
      <c r="J5587" s="1365" t="n">
        <f aca="false">F5587*G5587</f>
        <v>20286</v>
      </c>
      <c r="K5587" s="1365" t="n">
        <f aca="false">J5587/1792.8</f>
        <v>11.3152610441767</v>
      </c>
      <c r="L5587" s="1365" t="n">
        <v>2880</v>
      </c>
      <c r="M5587" s="1273" t="n">
        <f aca="false">K5587*L5587/60</f>
        <v>543.132530120482</v>
      </c>
    </row>
    <row r="5588" customFormat="false" ht="15" hidden="false" customHeight="false" outlineLevel="0" collapsed="false">
      <c r="A5588" s="317"/>
      <c r="B5588" s="59"/>
      <c r="C5588" s="1161" t="s">
        <v>7158</v>
      </c>
      <c r="D5588" s="317" t="n">
        <v>2004</v>
      </c>
      <c r="E5588" s="1365" t="n">
        <v>6</v>
      </c>
      <c r="F5588" s="1365" t="n">
        <v>6985000</v>
      </c>
      <c r="G5588" s="1364" t="n">
        <v>0.1</v>
      </c>
      <c r="H5588" s="1365" t="n">
        <f aca="false">E5588*F5588*G5588</f>
        <v>4191000</v>
      </c>
      <c r="I5588" s="1365" t="n">
        <f aca="false">F5588-H5588</f>
        <v>2794000</v>
      </c>
      <c r="J5588" s="1365" t="n">
        <f aca="false">F5588*G5588</f>
        <v>698500</v>
      </c>
      <c r="K5588" s="1365" t="n">
        <f aca="false">J5588/1792.8</f>
        <v>389.614011601963</v>
      </c>
      <c r="L5588" s="1365" t="n">
        <v>15</v>
      </c>
      <c r="M5588" s="1273" t="n">
        <f aca="false">K5588*L5588/60</f>
        <v>97.4035029004909</v>
      </c>
    </row>
    <row r="5589" customFormat="false" ht="15" hidden="false" customHeight="false" outlineLevel="0" collapsed="false">
      <c r="A5589" s="317"/>
      <c r="B5589" s="59"/>
      <c r="C5589" s="1160"/>
      <c r="D5589" s="135"/>
      <c r="E5589" s="1370"/>
      <c r="F5589" s="1370"/>
      <c r="G5589" s="1372"/>
      <c r="H5589" s="1365" t="n">
        <f aca="false">E5589*F5589*G5589</f>
        <v>0</v>
      </c>
      <c r="I5589" s="1365" t="n">
        <f aca="false">F5589-H5589</f>
        <v>0</v>
      </c>
      <c r="J5589" s="1365" t="n">
        <f aca="false">F5589*G5589</f>
        <v>0</v>
      </c>
      <c r="K5589" s="1365" t="n">
        <f aca="false">J5589/1792.8</f>
        <v>0</v>
      </c>
      <c r="L5589" s="1370" t="n">
        <f aca="false">SUM(L5583:L5588)</f>
        <v>3000</v>
      </c>
      <c r="M5589" s="1370" t="n">
        <f aca="false">SUM(M5583:M5588)</f>
        <v>672.311328647925</v>
      </c>
    </row>
    <row r="5590" s="531" customFormat="true" ht="30" hidden="false" customHeight="false" outlineLevel="0" collapsed="false">
      <c r="A5590" s="912" t="s">
        <v>7283</v>
      </c>
      <c r="B5590" s="47" t="s">
        <v>3970</v>
      </c>
      <c r="C5590" s="889" t="s">
        <v>7247</v>
      </c>
      <c r="D5590" s="912" t="n">
        <v>2004</v>
      </c>
      <c r="E5590" s="660" t="n">
        <v>6</v>
      </c>
      <c r="F5590" s="660" t="n">
        <v>202860</v>
      </c>
      <c r="G5590" s="1581" t="n">
        <v>0.15</v>
      </c>
      <c r="H5590" s="1365" t="n">
        <f aca="false">E5590*F5590*G5590</f>
        <v>182574</v>
      </c>
      <c r="I5590" s="1365" t="n">
        <f aca="false">F5590-H5590</f>
        <v>20286</v>
      </c>
      <c r="J5590" s="1365" t="n">
        <f aca="false">F5590*G5590</f>
        <v>30429</v>
      </c>
      <c r="K5590" s="1365" t="n">
        <f aca="false">J5590/1792.8</f>
        <v>16.9728915662651</v>
      </c>
      <c r="L5590" s="660" t="n">
        <v>360</v>
      </c>
      <c r="M5590" s="661" t="n">
        <f aca="false">K5590*L5590/60</f>
        <v>101.83734939759</v>
      </c>
    </row>
    <row r="5591" customFormat="false" ht="15" hidden="false" customHeight="false" outlineLevel="0" collapsed="false">
      <c r="A5591" s="317"/>
      <c r="B5591" s="59"/>
      <c r="C5591" s="1161" t="s">
        <v>7249</v>
      </c>
      <c r="D5591" s="317" t="n">
        <v>2006</v>
      </c>
      <c r="E5591" s="1365" t="n">
        <v>4</v>
      </c>
      <c r="F5591" s="1365" t="n">
        <v>55500</v>
      </c>
      <c r="G5591" s="1364" t="n">
        <v>0.1</v>
      </c>
      <c r="H5591" s="1365" t="n">
        <f aca="false">E5591*F5591*G5591</f>
        <v>22200</v>
      </c>
      <c r="I5591" s="1365" t="n">
        <f aca="false">F5591-H5591</f>
        <v>33300</v>
      </c>
      <c r="J5591" s="1365" t="n">
        <f aca="false">F5591*G5591</f>
        <v>5550</v>
      </c>
      <c r="K5591" s="1365" t="n">
        <f aca="false">J5591/1792.8</f>
        <v>3.09571619812584</v>
      </c>
      <c r="L5591" s="1365" t="n">
        <v>10</v>
      </c>
      <c r="M5591" s="1273" t="n">
        <f aca="false">K5591*L5591/60</f>
        <v>0.51595269968764</v>
      </c>
    </row>
    <row r="5592" customFormat="false" ht="15" hidden="false" customHeight="false" outlineLevel="0" collapsed="false">
      <c r="A5592" s="317"/>
      <c r="B5592" s="59"/>
      <c r="C5592" s="1161" t="s">
        <v>7251</v>
      </c>
      <c r="D5592" s="317" t="n">
        <v>2005</v>
      </c>
      <c r="E5592" s="1365" t="n">
        <v>5</v>
      </c>
      <c r="F5592" s="1365" t="n">
        <v>1638000</v>
      </c>
      <c r="G5592" s="1364" t="n">
        <v>0.1</v>
      </c>
      <c r="H5592" s="1365" t="n">
        <f aca="false">E5592*F5592*G5592</f>
        <v>819000</v>
      </c>
      <c r="I5592" s="1365" t="n">
        <f aca="false">F5592-H5592</f>
        <v>819000</v>
      </c>
      <c r="J5592" s="1365" t="n">
        <f aca="false">F5592*G5592</f>
        <v>163800</v>
      </c>
      <c r="K5592" s="1365" t="n">
        <f aca="false">J5592/1792.8</f>
        <v>91.3654618473896</v>
      </c>
      <c r="L5592" s="1365" t="n">
        <v>80</v>
      </c>
      <c r="M5592" s="1273" t="n">
        <f aca="false">K5592*L5592/60</f>
        <v>121.820615796519</v>
      </c>
    </row>
    <row r="5593" customFormat="false" ht="15" hidden="false" customHeight="false" outlineLevel="0" collapsed="false">
      <c r="A5593" s="317"/>
      <c r="B5593" s="59"/>
      <c r="C5593" s="1161" t="s">
        <v>7252</v>
      </c>
      <c r="D5593" s="317" t="n">
        <v>2005</v>
      </c>
      <c r="E5593" s="1365" t="n">
        <v>5</v>
      </c>
      <c r="F5593" s="1365" t="n">
        <v>12190000</v>
      </c>
      <c r="G5593" s="1364" t="n">
        <v>0.1</v>
      </c>
      <c r="H5593" s="1365" t="n">
        <f aca="false">E5593*F5593*G5593</f>
        <v>6095000</v>
      </c>
      <c r="I5593" s="1365" t="n">
        <f aca="false">F5593-H5593</f>
        <v>6095000</v>
      </c>
      <c r="J5593" s="1365" t="n">
        <f aca="false">F5593*G5593</f>
        <v>1219000</v>
      </c>
      <c r="K5593" s="1365" t="n">
        <f aca="false">J5593/1792.8</f>
        <v>679.941990182954</v>
      </c>
      <c r="L5593" s="1365" t="n">
        <v>20</v>
      </c>
      <c r="M5593" s="1273" t="n">
        <f aca="false">K5593*L5593/60</f>
        <v>226.647330060985</v>
      </c>
    </row>
    <row r="5594" customFormat="false" ht="15" hidden="false" customHeight="false" outlineLevel="0" collapsed="false">
      <c r="A5594" s="317"/>
      <c r="B5594" s="59"/>
      <c r="C5594" s="1161" t="s">
        <v>7170</v>
      </c>
      <c r="D5594" s="317" t="n">
        <v>2004</v>
      </c>
      <c r="E5594" s="1365" t="n">
        <v>6</v>
      </c>
      <c r="F5594" s="1365" t="n">
        <v>196670</v>
      </c>
      <c r="G5594" s="1364" t="n">
        <v>0.1</v>
      </c>
      <c r="H5594" s="1365" t="n">
        <f aca="false">E5594*F5594*G5594</f>
        <v>118002</v>
      </c>
      <c r="I5594" s="1365" t="n">
        <f aca="false">F5594-H5594</f>
        <v>78668</v>
      </c>
      <c r="J5594" s="1365" t="n">
        <f aca="false">F5594*G5594</f>
        <v>19667</v>
      </c>
      <c r="K5594" s="1365" t="n">
        <f aca="false">J5594/1792.8</f>
        <v>10.9699910754128</v>
      </c>
      <c r="L5594" s="1365" t="n">
        <v>15</v>
      </c>
      <c r="M5594" s="1273" t="n">
        <f aca="false">K5594*L5594/60</f>
        <v>2.74249776885319</v>
      </c>
    </row>
    <row r="5595" customFormat="false" ht="15" hidden="false" customHeight="false" outlineLevel="0" collapsed="false">
      <c r="A5595" s="317"/>
      <c r="B5595" s="59"/>
      <c r="C5595" s="1161" t="s">
        <v>7158</v>
      </c>
      <c r="D5595" s="317" t="n">
        <v>2004</v>
      </c>
      <c r="E5595" s="1365" t="n">
        <v>6</v>
      </c>
      <c r="F5595" s="1365" t="n">
        <v>6985000</v>
      </c>
      <c r="G5595" s="1364" t="n">
        <v>0.1</v>
      </c>
      <c r="H5595" s="1365" t="n">
        <f aca="false">E5595*F5595*G5595</f>
        <v>4191000</v>
      </c>
      <c r="I5595" s="1365" t="n">
        <f aca="false">F5595-H5595</f>
        <v>2794000</v>
      </c>
      <c r="J5595" s="1365" t="n">
        <f aca="false">F5595*G5595</f>
        <v>698500</v>
      </c>
      <c r="K5595" s="1365" t="n">
        <f aca="false">J5595/1792.8</f>
        <v>389.614011601963</v>
      </c>
      <c r="L5595" s="1365" t="n">
        <v>20</v>
      </c>
      <c r="M5595" s="1273" t="n">
        <f aca="false">K5595*L5595/60</f>
        <v>129.871337200654</v>
      </c>
    </row>
    <row r="5596" customFormat="false" ht="15" hidden="false" customHeight="false" outlineLevel="0" collapsed="false">
      <c r="A5596" s="317"/>
      <c r="B5596" s="59"/>
      <c r="C5596" s="1160"/>
      <c r="D5596" s="135"/>
      <c r="E5596" s="1370"/>
      <c r="F5596" s="1370"/>
      <c r="G5596" s="1372"/>
      <c r="H5596" s="1365" t="n">
        <f aca="false">E5596*F5596*G5596</f>
        <v>0</v>
      </c>
      <c r="I5596" s="1365" t="n">
        <f aca="false">F5596-H5596</f>
        <v>0</v>
      </c>
      <c r="J5596" s="1365" t="n">
        <f aca="false">F5596*G5596</f>
        <v>0</v>
      </c>
      <c r="K5596" s="1365" t="n">
        <f aca="false">J5596/1792.8</f>
        <v>0</v>
      </c>
      <c r="L5596" s="1370" t="n">
        <f aca="false">SUM(L5590:L5595)</f>
        <v>505</v>
      </c>
      <c r="M5596" s="1370" t="n">
        <f aca="false">SUM(M5590:M5595)</f>
        <v>583.43508292429</v>
      </c>
    </row>
    <row r="5597" customFormat="false" ht="30" hidden="false" customHeight="false" outlineLevel="0" collapsed="false">
      <c r="A5597" s="912" t="s">
        <v>2491</v>
      </c>
      <c r="B5597" s="47" t="s">
        <v>3971</v>
      </c>
      <c r="C5597" s="889" t="s">
        <v>7247</v>
      </c>
      <c r="D5597" s="912" t="n">
        <v>2004</v>
      </c>
      <c r="E5597" s="660" t="n">
        <v>6</v>
      </c>
      <c r="F5597" s="660" t="n">
        <v>202860</v>
      </c>
      <c r="G5597" s="1581" t="n">
        <v>0.15</v>
      </c>
      <c r="H5597" s="1365" t="n">
        <f aca="false">E5597*F5597*G5597</f>
        <v>182574</v>
      </c>
      <c r="I5597" s="1365" t="n">
        <f aca="false">F5597-H5597</f>
        <v>20286</v>
      </c>
      <c r="J5597" s="1365" t="n">
        <f aca="false">F5597*G5597</f>
        <v>30429</v>
      </c>
      <c r="K5597" s="1365" t="n">
        <f aca="false">J5597/1792.8</f>
        <v>16.9728915662651</v>
      </c>
      <c r="L5597" s="660" t="n">
        <v>360</v>
      </c>
      <c r="M5597" s="661" t="n">
        <f aca="false">K5597*L5597/60</f>
        <v>101.83734939759</v>
      </c>
    </row>
    <row r="5598" customFormat="false" ht="15" hidden="false" customHeight="false" outlineLevel="0" collapsed="false">
      <c r="A5598" s="317"/>
      <c r="B5598" s="59"/>
      <c r="C5598" s="1161" t="s">
        <v>7249</v>
      </c>
      <c r="D5598" s="317" t="n">
        <v>2006</v>
      </c>
      <c r="E5598" s="1365" t="n">
        <v>4</v>
      </c>
      <c r="F5598" s="1365" t="n">
        <v>55500</v>
      </c>
      <c r="G5598" s="1364" t="n">
        <v>0.1</v>
      </c>
      <c r="H5598" s="1365" t="n">
        <f aca="false">E5598*F5598*G5598</f>
        <v>22200</v>
      </c>
      <c r="I5598" s="1365" t="n">
        <f aca="false">F5598-H5598</f>
        <v>33300</v>
      </c>
      <c r="J5598" s="1365" t="n">
        <f aca="false">F5598*G5598</f>
        <v>5550</v>
      </c>
      <c r="K5598" s="1365" t="n">
        <f aca="false">J5598/1792.8</f>
        <v>3.09571619812584</v>
      </c>
      <c r="L5598" s="1365" t="n">
        <v>10</v>
      </c>
      <c r="M5598" s="1273" t="n">
        <f aca="false">K5598*L5598/60</f>
        <v>0.51595269968764</v>
      </c>
    </row>
    <row r="5599" customFormat="false" ht="15" hidden="false" customHeight="false" outlineLevel="0" collapsed="false">
      <c r="A5599" s="317"/>
      <c r="B5599" s="59"/>
      <c r="C5599" s="1161" t="s">
        <v>7251</v>
      </c>
      <c r="D5599" s="317" t="n">
        <v>2005</v>
      </c>
      <c r="E5599" s="1365" t="n">
        <v>5</v>
      </c>
      <c r="F5599" s="1365" t="n">
        <v>1638000</v>
      </c>
      <c r="G5599" s="1364" t="n">
        <v>0.1</v>
      </c>
      <c r="H5599" s="1365" t="n">
        <f aca="false">E5599*F5599*G5599</f>
        <v>819000</v>
      </c>
      <c r="I5599" s="1365" t="n">
        <f aca="false">F5599-H5599</f>
        <v>819000</v>
      </c>
      <c r="J5599" s="1365" t="n">
        <f aca="false">F5599*G5599</f>
        <v>163800</v>
      </c>
      <c r="K5599" s="1365" t="n">
        <f aca="false">J5599/1792.8</f>
        <v>91.3654618473896</v>
      </c>
      <c r="L5599" s="1365" t="n">
        <v>80</v>
      </c>
      <c r="M5599" s="1273" t="n">
        <f aca="false">K5599*L5599/60</f>
        <v>121.820615796519</v>
      </c>
    </row>
    <row r="5600" customFormat="false" ht="15" hidden="false" customHeight="false" outlineLevel="0" collapsed="false">
      <c r="A5600" s="317"/>
      <c r="B5600" s="59"/>
      <c r="C5600" s="1161" t="s">
        <v>7252</v>
      </c>
      <c r="D5600" s="317" t="n">
        <v>2005</v>
      </c>
      <c r="E5600" s="1365" t="n">
        <v>5</v>
      </c>
      <c r="F5600" s="1365" t="n">
        <v>12190000</v>
      </c>
      <c r="G5600" s="1364" t="n">
        <v>0.1</v>
      </c>
      <c r="H5600" s="1365" t="n">
        <f aca="false">E5600*F5600*G5600</f>
        <v>6095000</v>
      </c>
      <c r="I5600" s="1365" t="n">
        <f aca="false">F5600-H5600</f>
        <v>6095000</v>
      </c>
      <c r="J5600" s="1365" t="n">
        <f aca="false">F5600*G5600</f>
        <v>1219000</v>
      </c>
      <c r="K5600" s="1365" t="n">
        <f aca="false">J5600/1792.8</f>
        <v>679.941990182954</v>
      </c>
      <c r="L5600" s="1365" t="n">
        <v>20</v>
      </c>
      <c r="M5600" s="1273" t="n">
        <f aca="false">K5600*L5600/60</f>
        <v>226.647330060985</v>
      </c>
    </row>
    <row r="5601" customFormat="false" ht="15" hidden="false" customHeight="false" outlineLevel="0" collapsed="false">
      <c r="A5601" s="317"/>
      <c r="B5601" s="59"/>
      <c r="C5601" s="1161" t="s">
        <v>7170</v>
      </c>
      <c r="D5601" s="317" t="n">
        <v>2004</v>
      </c>
      <c r="E5601" s="1365" t="n">
        <v>6</v>
      </c>
      <c r="F5601" s="1365" t="n">
        <v>196670</v>
      </c>
      <c r="G5601" s="1364" t="n">
        <v>0.1</v>
      </c>
      <c r="H5601" s="1365" t="n">
        <f aca="false">E5601*F5601*G5601</f>
        <v>118002</v>
      </c>
      <c r="I5601" s="1365" t="n">
        <f aca="false">F5601-H5601</f>
        <v>78668</v>
      </c>
      <c r="J5601" s="1365" t="n">
        <f aca="false">F5601*G5601</f>
        <v>19667</v>
      </c>
      <c r="K5601" s="1365" t="n">
        <f aca="false">J5601/1792.8</f>
        <v>10.9699910754128</v>
      </c>
      <c r="L5601" s="1365" t="n">
        <v>15</v>
      </c>
      <c r="M5601" s="1273" t="n">
        <f aca="false">K5601*L5601/60</f>
        <v>2.74249776885319</v>
      </c>
    </row>
    <row r="5602" customFormat="false" ht="15" hidden="false" customHeight="false" outlineLevel="0" collapsed="false">
      <c r="A5602" s="317"/>
      <c r="B5602" s="59"/>
      <c r="C5602" s="1161" t="s">
        <v>7158</v>
      </c>
      <c r="D5602" s="317" t="n">
        <v>2004</v>
      </c>
      <c r="E5602" s="1365" t="n">
        <v>6</v>
      </c>
      <c r="F5602" s="1365" t="n">
        <v>6985000</v>
      </c>
      <c r="G5602" s="1364" t="n">
        <v>0.1</v>
      </c>
      <c r="H5602" s="1365" t="n">
        <f aca="false">E5602*F5602*G5602</f>
        <v>4191000</v>
      </c>
      <c r="I5602" s="1365" t="n">
        <f aca="false">F5602-H5602</f>
        <v>2794000</v>
      </c>
      <c r="J5602" s="1365" t="n">
        <f aca="false">F5602*G5602</f>
        <v>698500</v>
      </c>
      <c r="K5602" s="1365" t="n">
        <f aca="false">J5602/1792.8</f>
        <v>389.614011601963</v>
      </c>
      <c r="L5602" s="1365" t="n">
        <v>20</v>
      </c>
      <c r="M5602" s="1273" t="n">
        <f aca="false">K5602*L5602/60</f>
        <v>129.871337200654</v>
      </c>
    </row>
    <row r="5603" customFormat="false" ht="15" hidden="false" customHeight="false" outlineLevel="0" collapsed="false">
      <c r="A5603" s="317"/>
      <c r="B5603" s="59"/>
      <c r="C5603" s="1160"/>
      <c r="D5603" s="135"/>
      <c r="E5603" s="1370"/>
      <c r="F5603" s="1370"/>
      <c r="G5603" s="1372"/>
      <c r="H5603" s="1365" t="n">
        <f aca="false">E5603*F5603*G5603</f>
        <v>0</v>
      </c>
      <c r="I5603" s="1365" t="n">
        <f aca="false">F5603-H5603</f>
        <v>0</v>
      </c>
      <c r="J5603" s="1365" t="n">
        <f aca="false">F5603*G5603</f>
        <v>0</v>
      </c>
      <c r="K5603" s="1365" t="n">
        <f aca="false">J5603/1792.8</f>
        <v>0</v>
      </c>
      <c r="L5603" s="1370" t="n">
        <f aca="false">SUM(L5597:L5602)</f>
        <v>505</v>
      </c>
      <c r="M5603" s="1370" t="n">
        <f aca="false">SUM(M5597:M5602)</f>
        <v>583.43508292429</v>
      </c>
    </row>
    <row r="5604" customFormat="false" ht="44.25" hidden="false" customHeight="true" outlineLevel="0" collapsed="false">
      <c r="A5604" s="912" t="s">
        <v>2493</v>
      </c>
      <c r="B5604" s="47" t="s">
        <v>3972</v>
      </c>
      <c r="C5604" s="889" t="s">
        <v>7247</v>
      </c>
      <c r="D5604" s="912" t="n">
        <v>2004</v>
      </c>
      <c r="E5604" s="660" t="n">
        <v>6</v>
      </c>
      <c r="F5604" s="660" t="n">
        <v>202860</v>
      </c>
      <c r="G5604" s="1581" t="n">
        <v>0.15</v>
      </c>
      <c r="H5604" s="1365" t="n">
        <f aca="false">E5604*F5604*G5604</f>
        <v>182574</v>
      </c>
      <c r="I5604" s="1365" t="n">
        <f aca="false">F5604-H5604</f>
        <v>20286</v>
      </c>
      <c r="J5604" s="1365" t="n">
        <f aca="false">F5604*G5604</f>
        <v>30429</v>
      </c>
      <c r="K5604" s="1365" t="n">
        <f aca="false">J5604/1792.8</f>
        <v>16.9728915662651</v>
      </c>
      <c r="L5604" s="660" t="n">
        <v>360</v>
      </c>
      <c r="M5604" s="661" t="n">
        <f aca="false">K5604*L5604/60</f>
        <v>101.83734939759</v>
      </c>
    </row>
    <row r="5605" customFormat="false" ht="15" hidden="false" customHeight="false" outlineLevel="0" collapsed="false">
      <c r="A5605" s="317"/>
      <c r="B5605" s="59"/>
      <c r="C5605" s="1161" t="s">
        <v>7249</v>
      </c>
      <c r="D5605" s="317" t="n">
        <v>2006</v>
      </c>
      <c r="E5605" s="1365" t="n">
        <v>4</v>
      </c>
      <c r="F5605" s="1365" t="n">
        <v>55500</v>
      </c>
      <c r="G5605" s="1364" t="n">
        <v>0.1</v>
      </c>
      <c r="H5605" s="1365" t="n">
        <f aca="false">E5605*F5605*G5605</f>
        <v>22200</v>
      </c>
      <c r="I5605" s="1365" t="n">
        <f aca="false">F5605-H5605</f>
        <v>33300</v>
      </c>
      <c r="J5605" s="1365" t="n">
        <f aca="false">F5605*G5605</f>
        <v>5550</v>
      </c>
      <c r="K5605" s="1365" t="n">
        <f aca="false">J5605/1792.8</f>
        <v>3.09571619812584</v>
      </c>
      <c r="L5605" s="1365" t="n">
        <v>10</v>
      </c>
      <c r="M5605" s="1273" t="n">
        <f aca="false">K5605*L5605/60</f>
        <v>0.51595269968764</v>
      </c>
    </row>
    <row r="5606" customFormat="false" ht="15" hidden="false" customHeight="false" outlineLevel="0" collapsed="false">
      <c r="A5606" s="317"/>
      <c r="B5606" s="59"/>
      <c r="C5606" s="1161" t="s">
        <v>7251</v>
      </c>
      <c r="D5606" s="317" t="n">
        <v>2005</v>
      </c>
      <c r="E5606" s="1365" t="n">
        <v>5</v>
      </c>
      <c r="F5606" s="1365" t="n">
        <v>1638000</v>
      </c>
      <c r="G5606" s="1364" t="n">
        <v>0.1</v>
      </c>
      <c r="H5606" s="1365" t="n">
        <f aca="false">E5606*F5606*G5606</f>
        <v>819000</v>
      </c>
      <c r="I5606" s="1365" t="n">
        <f aca="false">F5606-H5606</f>
        <v>819000</v>
      </c>
      <c r="J5606" s="1365" t="n">
        <f aca="false">F5606*G5606</f>
        <v>163800</v>
      </c>
      <c r="K5606" s="1365" t="n">
        <f aca="false">J5606/1792.8</f>
        <v>91.3654618473896</v>
      </c>
      <c r="L5606" s="1365" t="n">
        <v>80</v>
      </c>
      <c r="M5606" s="1273" t="n">
        <f aca="false">K5606*L5606/60</f>
        <v>121.820615796519</v>
      </c>
    </row>
    <row r="5607" customFormat="false" ht="15" hidden="false" customHeight="false" outlineLevel="0" collapsed="false">
      <c r="A5607" s="317"/>
      <c r="B5607" s="59"/>
      <c r="C5607" s="1161" t="s">
        <v>7252</v>
      </c>
      <c r="D5607" s="317" t="n">
        <v>2005</v>
      </c>
      <c r="E5607" s="1365" t="n">
        <v>5</v>
      </c>
      <c r="F5607" s="1365" t="n">
        <v>12190000</v>
      </c>
      <c r="G5607" s="1364" t="n">
        <v>0.1</v>
      </c>
      <c r="H5607" s="1365" t="n">
        <f aca="false">E5607*F5607*G5607</f>
        <v>6095000</v>
      </c>
      <c r="I5607" s="1365" t="n">
        <f aca="false">F5607-H5607</f>
        <v>6095000</v>
      </c>
      <c r="J5607" s="1365" t="n">
        <f aca="false">F5607*G5607</f>
        <v>1219000</v>
      </c>
      <c r="K5607" s="1365" t="n">
        <f aca="false">J5607/1792.8</f>
        <v>679.941990182954</v>
      </c>
      <c r="L5607" s="1365" t="n">
        <v>20</v>
      </c>
      <c r="M5607" s="1273" t="n">
        <f aca="false">K5607*L5607/60</f>
        <v>226.647330060985</v>
      </c>
    </row>
    <row r="5608" customFormat="false" ht="15" hidden="false" customHeight="false" outlineLevel="0" collapsed="false">
      <c r="A5608" s="317"/>
      <c r="B5608" s="59"/>
      <c r="C5608" s="1161" t="s">
        <v>7170</v>
      </c>
      <c r="D5608" s="317" t="n">
        <v>2004</v>
      </c>
      <c r="E5608" s="1365" t="n">
        <v>6</v>
      </c>
      <c r="F5608" s="1365" t="n">
        <v>196670</v>
      </c>
      <c r="G5608" s="1364" t="n">
        <v>0.1</v>
      </c>
      <c r="H5608" s="1365" t="n">
        <f aca="false">E5608*F5608*G5608</f>
        <v>118002</v>
      </c>
      <c r="I5608" s="1365" t="n">
        <f aca="false">F5608-H5608</f>
        <v>78668</v>
      </c>
      <c r="J5608" s="1365" t="n">
        <f aca="false">F5608*G5608</f>
        <v>19667</v>
      </c>
      <c r="K5608" s="1365" t="n">
        <f aca="false">J5608/1792.8</f>
        <v>10.9699910754128</v>
      </c>
      <c r="L5608" s="1365" t="n">
        <v>15</v>
      </c>
      <c r="M5608" s="1273" t="n">
        <f aca="false">K5608*L5608/60</f>
        <v>2.74249776885319</v>
      </c>
    </row>
    <row r="5609" customFormat="false" ht="15" hidden="false" customHeight="false" outlineLevel="0" collapsed="false">
      <c r="A5609" s="317"/>
      <c r="B5609" s="59"/>
      <c r="C5609" s="1161" t="s">
        <v>7158</v>
      </c>
      <c r="D5609" s="317" t="n">
        <v>2004</v>
      </c>
      <c r="E5609" s="1365" t="n">
        <v>6</v>
      </c>
      <c r="F5609" s="1365" t="n">
        <v>6985000</v>
      </c>
      <c r="G5609" s="1364" t="n">
        <v>0.1</v>
      </c>
      <c r="H5609" s="1365" t="n">
        <f aca="false">E5609*F5609*G5609</f>
        <v>4191000</v>
      </c>
      <c r="I5609" s="1365" t="n">
        <f aca="false">F5609-H5609</f>
        <v>2794000</v>
      </c>
      <c r="J5609" s="1365" t="n">
        <f aca="false">F5609*G5609</f>
        <v>698500</v>
      </c>
      <c r="K5609" s="1365" t="n">
        <f aca="false">J5609/1792.8</f>
        <v>389.614011601963</v>
      </c>
      <c r="L5609" s="1365" t="n">
        <v>20</v>
      </c>
      <c r="M5609" s="1273" t="n">
        <f aca="false">K5609*L5609/60</f>
        <v>129.871337200654</v>
      </c>
    </row>
    <row r="5610" customFormat="false" ht="15" hidden="false" customHeight="false" outlineLevel="0" collapsed="false">
      <c r="A5610" s="317"/>
      <c r="B5610" s="59"/>
      <c r="C5610" s="1160"/>
      <c r="D5610" s="135"/>
      <c r="E5610" s="1370"/>
      <c r="F5610" s="1370"/>
      <c r="G5610" s="1372"/>
      <c r="H5610" s="1365" t="n">
        <f aca="false">E5610*F5610*G5610</f>
        <v>0</v>
      </c>
      <c r="I5610" s="1365" t="n">
        <f aca="false">F5610-H5610</f>
        <v>0</v>
      </c>
      <c r="J5610" s="1365" t="n">
        <f aca="false">F5610*G5610</f>
        <v>0</v>
      </c>
      <c r="K5610" s="1365" t="n">
        <f aca="false">J5610/1792.8</f>
        <v>0</v>
      </c>
      <c r="L5610" s="1370" t="n">
        <f aca="false">SUM(L5604:L5609)</f>
        <v>505</v>
      </c>
      <c r="M5610" s="1370" t="n">
        <f aca="false">SUM(M5604:M5609)</f>
        <v>583.43508292429</v>
      </c>
    </row>
    <row r="5611" s="531" customFormat="true" ht="36" hidden="false" customHeight="true" outlineLevel="0" collapsed="false">
      <c r="A5611" s="912" t="s">
        <v>7284</v>
      </c>
      <c r="B5611" s="47" t="s">
        <v>3973</v>
      </c>
      <c r="C5611" s="889" t="s">
        <v>7245</v>
      </c>
      <c r="D5611" s="912" t="n">
        <v>2005</v>
      </c>
      <c r="E5611" s="660" t="n">
        <v>5</v>
      </c>
      <c r="F5611" s="660" t="n">
        <v>347000</v>
      </c>
      <c r="G5611" s="1581" t="n">
        <v>0.1</v>
      </c>
      <c r="H5611" s="1365" t="n">
        <f aca="false">E5611*F5611*G5611</f>
        <v>173500</v>
      </c>
      <c r="I5611" s="1365" t="n">
        <f aca="false">F5611-H5611</f>
        <v>173500</v>
      </c>
      <c r="J5611" s="1365" t="n">
        <f aca="false">F5611*G5611</f>
        <v>34700</v>
      </c>
      <c r="K5611" s="1365" t="n">
        <f aca="false">J5611/1792.8</f>
        <v>19.355198572066</v>
      </c>
      <c r="L5611" s="660" t="n">
        <v>30</v>
      </c>
      <c r="M5611" s="661" t="n">
        <f aca="false">K5611*L5611/60</f>
        <v>9.67759928603302</v>
      </c>
    </row>
    <row r="5612" customFormat="false" ht="15" hidden="false" customHeight="false" outlineLevel="0" collapsed="false">
      <c r="A5612" s="317"/>
      <c r="B5612" s="59"/>
      <c r="C5612" s="1161" t="s">
        <v>7264</v>
      </c>
      <c r="D5612" s="317" t="n">
        <v>2014</v>
      </c>
      <c r="E5612" s="1365" t="n">
        <v>10</v>
      </c>
      <c r="F5612" s="1365" t="n">
        <v>1411800</v>
      </c>
      <c r="G5612" s="1364"/>
      <c r="H5612" s="1365" t="n">
        <f aca="false">E5612*F5612*G5612</f>
        <v>0</v>
      </c>
      <c r="I5612" s="1365" t="n">
        <f aca="false">F5612-H5612</f>
        <v>1411800</v>
      </c>
      <c r="J5612" s="1365" t="n">
        <f aca="false">F5612*G5612</f>
        <v>0</v>
      </c>
      <c r="K5612" s="1365" t="n">
        <f aca="false">J5612/1792.8</f>
        <v>0</v>
      </c>
      <c r="L5612" s="1365"/>
      <c r="M5612" s="1273" t="n">
        <f aca="false">K5612*L5612/60</f>
        <v>0</v>
      </c>
    </row>
    <row r="5613" customFormat="false" ht="15" hidden="false" customHeight="false" outlineLevel="0" collapsed="false">
      <c r="A5613" s="317"/>
      <c r="B5613" s="59"/>
      <c r="C5613" s="1161" t="s">
        <v>7249</v>
      </c>
      <c r="D5613" s="317" t="n">
        <v>2005</v>
      </c>
      <c r="E5613" s="1365" t="n">
        <v>5</v>
      </c>
      <c r="F5613" s="1365" t="n">
        <v>347000</v>
      </c>
      <c r="G5613" s="1364" t="n">
        <v>0.1</v>
      </c>
      <c r="H5613" s="1365" t="n">
        <f aca="false">E5613*F5613*G5613</f>
        <v>173500</v>
      </c>
      <c r="I5613" s="1365" t="n">
        <f aca="false">F5613-H5613</f>
        <v>173500</v>
      </c>
      <c r="J5613" s="1365" t="n">
        <f aca="false">F5613*G5613</f>
        <v>34700</v>
      </c>
      <c r="K5613" s="1365" t="n">
        <f aca="false">J5613/1792.8</f>
        <v>19.355198572066</v>
      </c>
      <c r="L5613" s="1365" t="n">
        <v>60</v>
      </c>
      <c r="M5613" s="1273" t="n">
        <f aca="false">K5613*L5613/60</f>
        <v>19.355198572066</v>
      </c>
    </row>
    <row r="5614" customFormat="false" ht="15" hidden="false" customHeight="false" outlineLevel="0" collapsed="false">
      <c r="A5614" s="317"/>
      <c r="B5614" s="59"/>
      <c r="C5614" s="1161" t="s">
        <v>7170</v>
      </c>
      <c r="D5614" s="317" t="n">
        <v>2004</v>
      </c>
      <c r="E5614" s="1365" t="n">
        <v>6</v>
      </c>
      <c r="F5614" s="1365" t="n">
        <v>196670</v>
      </c>
      <c r="G5614" s="1364" t="n">
        <v>0.1</v>
      </c>
      <c r="H5614" s="1365" t="n">
        <f aca="false">E5614*F5614*G5614</f>
        <v>118002</v>
      </c>
      <c r="I5614" s="1365" t="n">
        <f aca="false">F5614-H5614</f>
        <v>78668</v>
      </c>
      <c r="J5614" s="1365" t="n">
        <f aca="false">F5614*G5614</f>
        <v>19667</v>
      </c>
      <c r="K5614" s="1365" t="n">
        <f aca="false">J5614/1792.8</f>
        <v>10.9699910754128</v>
      </c>
      <c r="L5614" s="1365" t="n">
        <v>15</v>
      </c>
      <c r="M5614" s="1273" t="n">
        <f aca="false">K5614*L5614/60</f>
        <v>2.74249776885319</v>
      </c>
    </row>
    <row r="5615" customFormat="false" ht="15" hidden="false" customHeight="false" outlineLevel="0" collapsed="false">
      <c r="A5615" s="317"/>
      <c r="B5615" s="59"/>
      <c r="C5615" s="1161" t="s">
        <v>7247</v>
      </c>
      <c r="D5615" s="317" t="n">
        <v>2004</v>
      </c>
      <c r="E5615" s="1365" t="n">
        <v>6</v>
      </c>
      <c r="F5615" s="1365" t="n">
        <v>202860</v>
      </c>
      <c r="G5615" s="1364" t="n">
        <v>0.1</v>
      </c>
      <c r="H5615" s="1365" t="n">
        <f aca="false">E5615*F5615*G5615</f>
        <v>121716</v>
      </c>
      <c r="I5615" s="1365" t="n">
        <f aca="false">F5615-H5615</f>
        <v>81144</v>
      </c>
      <c r="J5615" s="1365" t="n">
        <f aca="false">F5615*G5615</f>
        <v>20286</v>
      </c>
      <c r="K5615" s="1365" t="n">
        <f aca="false">J5615/1792.8</f>
        <v>11.3152610441767</v>
      </c>
      <c r="L5615" s="1365" t="n">
        <v>2880</v>
      </c>
      <c r="M5615" s="1273" t="n">
        <f aca="false">K5615*L5615/60</f>
        <v>543.132530120482</v>
      </c>
    </row>
    <row r="5616" customFormat="false" ht="15" hidden="false" customHeight="false" outlineLevel="0" collapsed="false">
      <c r="A5616" s="317"/>
      <c r="B5616" s="59"/>
      <c r="C5616" s="1161" t="s">
        <v>7158</v>
      </c>
      <c r="D5616" s="317" t="n">
        <v>2004</v>
      </c>
      <c r="E5616" s="1365" t="n">
        <v>6</v>
      </c>
      <c r="F5616" s="1365" t="n">
        <v>6985000</v>
      </c>
      <c r="G5616" s="1364" t="n">
        <v>0.1</v>
      </c>
      <c r="H5616" s="1365" t="n">
        <f aca="false">E5616*F5616*G5616</f>
        <v>4191000</v>
      </c>
      <c r="I5616" s="1365" t="n">
        <f aca="false">F5616-H5616</f>
        <v>2794000</v>
      </c>
      <c r="J5616" s="1365" t="n">
        <f aca="false">F5616*G5616</f>
        <v>698500</v>
      </c>
      <c r="K5616" s="1365" t="n">
        <f aca="false">J5616/1792.8</f>
        <v>389.614011601963</v>
      </c>
      <c r="L5616" s="1365" t="n">
        <v>15</v>
      </c>
      <c r="M5616" s="1273" t="n">
        <f aca="false">K5616*L5616/60</f>
        <v>97.4035029004909</v>
      </c>
    </row>
    <row r="5617" customFormat="false" ht="15" hidden="false" customHeight="false" outlineLevel="0" collapsed="false">
      <c r="A5617" s="317"/>
      <c r="B5617" s="59"/>
      <c r="C5617" s="1160"/>
      <c r="D5617" s="135"/>
      <c r="E5617" s="1370"/>
      <c r="F5617" s="1370"/>
      <c r="G5617" s="1372"/>
      <c r="H5617" s="1365" t="n">
        <f aca="false">E5617*F5617*G5617</f>
        <v>0</v>
      </c>
      <c r="I5617" s="1365" t="n">
        <f aca="false">F5617-H5617</f>
        <v>0</v>
      </c>
      <c r="J5617" s="1365" t="n">
        <f aca="false">F5617*G5617</f>
        <v>0</v>
      </c>
      <c r="K5617" s="1365" t="n">
        <f aca="false">J5617/1792.8</f>
        <v>0</v>
      </c>
      <c r="L5617" s="1370" t="n">
        <f aca="false">SUM(L5611:L5616)</f>
        <v>3000</v>
      </c>
      <c r="M5617" s="1370" t="n">
        <f aca="false">SUM(M5611:M5616)</f>
        <v>672.311328647925</v>
      </c>
    </row>
    <row r="5618" customFormat="false" ht="45" hidden="false" customHeight="false" outlineLevel="0" collapsed="false">
      <c r="A5618" s="912" t="s">
        <v>2497</v>
      </c>
      <c r="B5618" s="47" t="s">
        <v>3974</v>
      </c>
      <c r="C5618" s="889" t="s">
        <v>7245</v>
      </c>
      <c r="D5618" s="912" t="n">
        <v>2005</v>
      </c>
      <c r="E5618" s="660" t="n">
        <v>5</v>
      </c>
      <c r="F5618" s="660" t="n">
        <v>347000</v>
      </c>
      <c r="G5618" s="1581" t="n">
        <v>0.1</v>
      </c>
      <c r="H5618" s="1365" t="n">
        <f aca="false">E5618*F5618*G5618</f>
        <v>173500</v>
      </c>
      <c r="I5618" s="1365" t="n">
        <f aca="false">F5618-H5618</f>
        <v>173500</v>
      </c>
      <c r="J5618" s="1365" t="n">
        <f aca="false">F5618*G5618</f>
        <v>34700</v>
      </c>
      <c r="K5618" s="1365" t="n">
        <f aca="false">J5618/1792.8</f>
        <v>19.355198572066</v>
      </c>
      <c r="L5618" s="660" t="n">
        <v>30</v>
      </c>
      <c r="M5618" s="661" t="n">
        <f aca="false">K5618*L5618/60</f>
        <v>9.67759928603302</v>
      </c>
    </row>
    <row r="5619" customFormat="false" ht="15" hidden="false" customHeight="false" outlineLevel="0" collapsed="false">
      <c r="A5619" s="317"/>
      <c r="B5619" s="59"/>
      <c r="C5619" s="1161" t="s">
        <v>7264</v>
      </c>
      <c r="D5619" s="317" t="n">
        <v>2014</v>
      </c>
      <c r="E5619" s="1365" t="n">
        <v>10</v>
      </c>
      <c r="F5619" s="1365" t="n">
        <v>1411800</v>
      </c>
      <c r="G5619" s="1364"/>
      <c r="H5619" s="1365" t="n">
        <f aca="false">E5619*F5619*G5619</f>
        <v>0</v>
      </c>
      <c r="I5619" s="1365" t="n">
        <f aca="false">F5619-H5619</f>
        <v>1411800</v>
      </c>
      <c r="J5619" s="1365" t="n">
        <f aca="false">F5619*G5619</f>
        <v>0</v>
      </c>
      <c r="K5619" s="1365" t="n">
        <f aca="false">J5619/1792.8</f>
        <v>0</v>
      </c>
      <c r="L5619" s="1365"/>
      <c r="M5619" s="1273" t="n">
        <f aca="false">K5619*L5619/60</f>
        <v>0</v>
      </c>
    </row>
    <row r="5620" customFormat="false" ht="15" hidden="false" customHeight="false" outlineLevel="0" collapsed="false">
      <c r="A5620" s="317"/>
      <c r="B5620" s="59"/>
      <c r="C5620" s="1161" t="s">
        <v>7249</v>
      </c>
      <c r="D5620" s="317" t="n">
        <v>2005</v>
      </c>
      <c r="E5620" s="1365" t="n">
        <v>5</v>
      </c>
      <c r="F5620" s="1365" t="n">
        <v>347000</v>
      </c>
      <c r="G5620" s="1364" t="n">
        <v>0.1</v>
      </c>
      <c r="H5620" s="1365" t="n">
        <f aca="false">E5620*F5620*G5620</f>
        <v>173500</v>
      </c>
      <c r="I5620" s="1365" t="n">
        <f aca="false">F5620-H5620</f>
        <v>173500</v>
      </c>
      <c r="J5620" s="1365" t="n">
        <f aca="false">F5620*G5620</f>
        <v>34700</v>
      </c>
      <c r="K5620" s="1365" t="n">
        <f aca="false">J5620/1792.8</f>
        <v>19.355198572066</v>
      </c>
      <c r="L5620" s="1365" t="n">
        <v>60</v>
      </c>
      <c r="M5620" s="1273" t="n">
        <f aca="false">K5620*L5620/60</f>
        <v>19.355198572066</v>
      </c>
    </row>
    <row r="5621" customFormat="false" ht="15" hidden="false" customHeight="false" outlineLevel="0" collapsed="false">
      <c r="A5621" s="317"/>
      <c r="B5621" s="59"/>
      <c r="C5621" s="1161" t="s">
        <v>7170</v>
      </c>
      <c r="D5621" s="317" t="n">
        <v>2004</v>
      </c>
      <c r="E5621" s="1365" t="n">
        <v>6</v>
      </c>
      <c r="F5621" s="1365" t="n">
        <v>196670</v>
      </c>
      <c r="G5621" s="1364" t="n">
        <v>0.1</v>
      </c>
      <c r="H5621" s="1365" t="n">
        <f aca="false">E5621*F5621*G5621</f>
        <v>118002</v>
      </c>
      <c r="I5621" s="1365" t="n">
        <f aca="false">F5621-H5621</f>
        <v>78668</v>
      </c>
      <c r="J5621" s="1365" t="n">
        <f aca="false">F5621*G5621</f>
        <v>19667</v>
      </c>
      <c r="K5621" s="1365" t="n">
        <f aca="false">J5621/1792.8</f>
        <v>10.9699910754128</v>
      </c>
      <c r="L5621" s="1365" t="n">
        <v>15</v>
      </c>
      <c r="M5621" s="1273" t="n">
        <f aca="false">K5621*L5621/60</f>
        <v>2.74249776885319</v>
      </c>
    </row>
    <row r="5622" customFormat="false" ht="15" hidden="false" customHeight="false" outlineLevel="0" collapsed="false">
      <c r="A5622" s="317"/>
      <c r="B5622" s="59"/>
      <c r="C5622" s="1161" t="s">
        <v>7247</v>
      </c>
      <c r="D5622" s="317" t="n">
        <v>2004</v>
      </c>
      <c r="E5622" s="1365" t="n">
        <v>6</v>
      </c>
      <c r="F5622" s="1365" t="n">
        <v>202860</v>
      </c>
      <c r="G5622" s="1364" t="n">
        <v>0.1</v>
      </c>
      <c r="H5622" s="1365" t="n">
        <f aca="false">E5622*F5622*G5622</f>
        <v>121716</v>
      </c>
      <c r="I5622" s="1365" t="n">
        <f aca="false">F5622-H5622</f>
        <v>81144</v>
      </c>
      <c r="J5622" s="1365" t="n">
        <f aca="false">F5622*G5622</f>
        <v>20286</v>
      </c>
      <c r="K5622" s="1365" t="n">
        <f aca="false">J5622/1792.8</f>
        <v>11.3152610441767</v>
      </c>
      <c r="L5622" s="1365" t="n">
        <v>2880</v>
      </c>
      <c r="M5622" s="1273" t="n">
        <f aca="false">K5622*L5622/60</f>
        <v>543.132530120482</v>
      </c>
    </row>
    <row r="5623" customFormat="false" ht="15" hidden="false" customHeight="false" outlineLevel="0" collapsed="false">
      <c r="A5623" s="317"/>
      <c r="B5623" s="59"/>
      <c r="C5623" s="1161" t="s">
        <v>7158</v>
      </c>
      <c r="D5623" s="317" t="n">
        <v>2004</v>
      </c>
      <c r="E5623" s="1365" t="n">
        <v>6</v>
      </c>
      <c r="F5623" s="1365" t="n">
        <v>6985000</v>
      </c>
      <c r="G5623" s="1364" t="n">
        <v>0.1</v>
      </c>
      <c r="H5623" s="1365" t="n">
        <f aca="false">E5623*F5623*G5623</f>
        <v>4191000</v>
      </c>
      <c r="I5623" s="1365" t="n">
        <f aca="false">F5623-H5623</f>
        <v>2794000</v>
      </c>
      <c r="J5623" s="1365" t="n">
        <f aca="false">F5623*G5623</f>
        <v>698500</v>
      </c>
      <c r="K5623" s="1365" t="n">
        <f aca="false">J5623/1792.8</f>
        <v>389.614011601963</v>
      </c>
      <c r="L5623" s="1365" t="n">
        <v>15</v>
      </c>
      <c r="M5623" s="1273" t="n">
        <f aca="false">K5623*L5623/60</f>
        <v>97.4035029004909</v>
      </c>
    </row>
    <row r="5624" customFormat="false" ht="15" hidden="false" customHeight="false" outlineLevel="0" collapsed="false">
      <c r="A5624" s="317"/>
      <c r="B5624" s="59"/>
      <c r="C5624" s="1160"/>
      <c r="D5624" s="135"/>
      <c r="E5624" s="1370"/>
      <c r="F5624" s="1370"/>
      <c r="G5624" s="1372"/>
      <c r="H5624" s="1365" t="n">
        <f aca="false">E5624*F5624*G5624</f>
        <v>0</v>
      </c>
      <c r="I5624" s="1365" t="n">
        <f aca="false">F5624-H5624</f>
        <v>0</v>
      </c>
      <c r="J5624" s="1365" t="n">
        <f aca="false">F5624*G5624</f>
        <v>0</v>
      </c>
      <c r="K5624" s="1365" t="n">
        <f aca="false">J5624/1792.8</f>
        <v>0</v>
      </c>
      <c r="L5624" s="1370" t="n">
        <f aca="false">SUM(L5618:L5623)</f>
        <v>3000</v>
      </c>
      <c r="M5624" s="1370" t="n">
        <f aca="false">SUM(M5618:M5623)</f>
        <v>672.311328647925</v>
      </c>
    </row>
    <row r="5625" s="531" customFormat="true" ht="30" hidden="false" customHeight="false" outlineLevel="0" collapsed="false">
      <c r="A5625" s="912" t="s">
        <v>7285</v>
      </c>
      <c r="B5625" s="47" t="s">
        <v>3975</v>
      </c>
      <c r="C5625" s="391"/>
      <c r="D5625" s="433"/>
      <c r="E5625" s="954"/>
      <c r="F5625" s="954"/>
      <c r="G5625" s="1581"/>
      <c r="H5625" s="1365" t="n">
        <f aca="false">E5625*F5625*G5625</f>
        <v>0</v>
      </c>
      <c r="I5625" s="1365" t="n">
        <f aca="false">F5625-H5625</f>
        <v>0</v>
      </c>
      <c r="J5625" s="1365" t="n">
        <f aca="false">F5625*G5625</f>
        <v>0</v>
      </c>
      <c r="K5625" s="1365" t="n">
        <f aca="false">J5625/1792.8</f>
        <v>0</v>
      </c>
      <c r="L5625" s="966"/>
      <c r="M5625" s="1286"/>
    </row>
    <row r="5626" customFormat="false" ht="15" hidden="false" customHeight="false" outlineLevel="0" collapsed="false">
      <c r="A5626" s="317"/>
      <c r="B5626" s="59"/>
      <c r="C5626" s="1161" t="s">
        <v>7247</v>
      </c>
      <c r="D5626" s="317" t="n">
        <v>2004</v>
      </c>
      <c r="E5626" s="1365" t="n">
        <v>6</v>
      </c>
      <c r="F5626" s="1365" t="n">
        <v>202860</v>
      </c>
      <c r="G5626" s="1364" t="n">
        <v>0.1</v>
      </c>
      <c r="H5626" s="1365" t="n">
        <f aca="false">E5626*F5626*G5626</f>
        <v>121716</v>
      </c>
      <c r="I5626" s="1365" t="n">
        <f aca="false">F5626-H5626</f>
        <v>81144</v>
      </c>
      <c r="J5626" s="1365" t="n">
        <f aca="false">F5626*G5626</f>
        <v>20286</v>
      </c>
      <c r="K5626" s="1365" t="n">
        <f aca="false">J5626/1792.8</f>
        <v>11.3152610441767</v>
      </c>
      <c r="L5626" s="1365" t="n">
        <v>2880</v>
      </c>
      <c r="M5626" s="1273" t="n">
        <f aca="false">K5626*L5626/60</f>
        <v>543.132530120482</v>
      </c>
    </row>
    <row r="5627" customFormat="false" ht="15" hidden="false" customHeight="false" outlineLevel="0" collapsed="false">
      <c r="A5627" s="317"/>
      <c r="B5627" s="59"/>
      <c r="C5627" s="1161" t="s">
        <v>7254</v>
      </c>
      <c r="D5627" s="317" t="n">
        <v>2007</v>
      </c>
      <c r="E5627" s="1365" t="n">
        <v>3</v>
      </c>
      <c r="F5627" s="1365" t="n">
        <v>1638000</v>
      </c>
      <c r="G5627" s="1364"/>
      <c r="H5627" s="1365" t="n">
        <f aca="false">E5627*F5627*G5627</f>
        <v>0</v>
      </c>
      <c r="I5627" s="1365" t="n">
        <f aca="false">F5627-H5627</f>
        <v>1638000</v>
      </c>
      <c r="J5627" s="1365" t="n">
        <f aca="false">F5627*G5627</f>
        <v>0</v>
      </c>
      <c r="K5627" s="1365" t="n">
        <f aca="false">J5627/1792.8</f>
        <v>0</v>
      </c>
      <c r="L5627" s="1365"/>
      <c r="M5627" s="1273" t="n">
        <f aca="false">K5627*L5627/60</f>
        <v>0</v>
      </c>
    </row>
    <row r="5628" customFormat="false" ht="15" hidden="false" customHeight="false" outlineLevel="0" collapsed="false">
      <c r="A5628" s="317"/>
      <c r="B5628" s="59"/>
      <c r="C5628" s="1161" t="s">
        <v>7158</v>
      </c>
      <c r="D5628" s="317" t="n">
        <v>2004</v>
      </c>
      <c r="E5628" s="1365" t="n">
        <v>6</v>
      </c>
      <c r="F5628" s="1365" t="n">
        <v>6985000</v>
      </c>
      <c r="G5628" s="1364" t="n">
        <v>0.1</v>
      </c>
      <c r="H5628" s="1365" t="n">
        <f aca="false">E5628*F5628*G5628</f>
        <v>4191000</v>
      </c>
      <c r="I5628" s="1365" t="n">
        <f aca="false">F5628-H5628</f>
        <v>2794000</v>
      </c>
      <c r="J5628" s="1365" t="n">
        <f aca="false">F5628*G5628</f>
        <v>698500</v>
      </c>
      <c r="K5628" s="1365" t="n">
        <f aca="false">J5628/1792.8</f>
        <v>389.614011601963</v>
      </c>
      <c r="L5628" s="1365" t="n">
        <v>20</v>
      </c>
      <c r="M5628" s="1273" t="n">
        <f aca="false">K5628*L5628/60</f>
        <v>129.871337200654</v>
      </c>
    </row>
    <row r="5629" customFormat="false" ht="15" hidden="false" customHeight="false" outlineLevel="0" collapsed="false">
      <c r="A5629" s="317"/>
      <c r="B5629" s="59"/>
      <c r="C5629" s="1161" t="s">
        <v>7249</v>
      </c>
      <c r="D5629" s="317" t="n">
        <v>2005</v>
      </c>
      <c r="E5629" s="1365" t="n">
        <v>5</v>
      </c>
      <c r="F5629" s="1365" t="n">
        <v>347000</v>
      </c>
      <c r="G5629" s="1364" t="n">
        <v>0.1</v>
      </c>
      <c r="H5629" s="1365" t="n">
        <f aca="false">E5629*F5629*G5629</f>
        <v>173500</v>
      </c>
      <c r="I5629" s="1365" t="n">
        <f aca="false">F5629-H5629</f>
        <v>173500</v>
      </c>
      <c r="J5629" s="1365" t="n">
        <f aca="false">F5629*G5629</f>
        <v>34700</v>
      </c>
      <c r="K5629" s="1365" t="n">
        <f aca="false">J5629/1792.8</f>
        <v>19.355198572066</v>
      </c>
      <c r="L5629" s="1365" t="n">
        <v>60</v>
      </c>
      <c r="M5629" s="1273" t="n">
        <f aca="false">K5629*L5629/60</f>
        <v>19.355198572066</v>
      </c>
    </row>
    <row r="5630" customFormat="false" ht="15" hidden="false" customHeight="false" outlineLevel="0" collapsed="false">
      <c r="A5630" s="317"/>
      <c r="B5630" s="59"/>
      <c r="C5630" s="1161" t="s">
        <v>7245</v>
      </c>
      <c r="D5630" s="317" t="n">
        <v>2005</v>
      </c>
      <c r="E5630" s="1365" t="n">
        <v>5</v>
      </c>
      <c r="F5630" s="1365" t="n">
        <v>347000</v>
      </c>
      <c r="G5630" s="1364" t="n">
        <v>0.1</v>
      </c>
      <c r="H5630" s="1365" t="n">
        <f aca="false">E5630*F5630*G5630</f>
        <v>173500</v>
      </c>
      <c r="I5630" s="1365" t="n">
        <f aca="false">F5630-H5630</f>
        <v>173500</v>
      </c>
      <c r="J5630" s="1365" t="n">
        <f aca="false">F5630*G5630</f>
        <v>34700</v>
      </c>
      <c r="K5630" s="1365" t="n">
        <f aca="false">J5630/1792.8</f>
        <v>19.355198572066</v>
      </c>
      <c r="L5630" s="1365" t="n">
        <v>30</v>
      </c>
      <c r="M5630" s="1273" t="n">
        <f aca="false">K5630*L5630/60</f>
        <v>9.67759928603302</v>
      </c>
    </row>
    <row r="5631" customFormat="false" ht="15" hidden="false" customHeight="false" outlineLevel="0" collapsed="false">
      <c r="A5631" s="317"/>
      <c r="B5631" s="59"/>
      <c r="C5631" s="1161" t="s">
        <v>7256</v>
      </c>
      <c r="D5631" s="317" t="n">
        <v>2004</v>
      </c>
      <c r="E5631" s="1365" t="n">
        <v>6</v>
      </c>
      <c r="F5631" s="1365" t="n">
        <v>6985000</v>
      </c>
      <c r="G5631" s="1364" t="n">
        <v>0.1</v>
      </c>
      <c r="H5631" s="1365" t="n">
        <f aca="false">E5631*F5631*G5631</f>
        <v>4191000</v>
      </c>
      <c r="I5631" s="1365" t="n">
        <f aca="false">F5631-H5631</f>
        <v>2794000</v>
      </c>
      <c r="J5631" s="1365" t="n">
        <f aca="false">F5631*G5631</f>
        <v>698500</v>
      </c>
      <c r="K5631" s="1365" t="n">
        <f aca="false">J5631/1792.8</f>
        <v>389.614011601963</v>
      </c>
      <c r="L5631" s="1365" t="n">
        <v>20</v>
      </c>
      <c r="M5631" s="1273" t="n">
        <f aca="false">K5631*L5631/60</f>
        <v>129.871337200654</v>
      </c>
    </row>
    <row r="5632" customFormat="false" ht="15" hidden="false" customHeight="false" outlineLevel="0" collapsed="false">
      <c r="A5632" s="317"/>
      <c r="B5632" s="59"/>
      <c r="C5632" s="1160"/>
      <c r="D5632" s="135"/>
      <c r="E5632" s="1370"/>
      <c r="F5632" s="1370"/>
      <c r="G5632" s="1372"/>
      <c r="H5632" s="1365" t="n">
        <f aca="false">E5632*F5632*G5632</f>
        <v>0</v>
      </c>
      <c r="I5632" s="1365" t="n">
        <f aca="false">F5632-H5632</f>
        <v>0</v>
      </c>
      <c r="J5632" s="1365" t="n">
        <f aca="false">F5632*G5632</f>
        <v>0</v>
      </c>
      <c r="K5632" s="1365" t="n">
        <f aca="false">J5632/1792.8</f>
        <v>0</v>
      </c>
      <c r="L5632" s="1370" t="n">
        <f aca="false">SUM(L5626:L5631)</f>
        <v>3010</v>
      </c>
      <c r="M5632" s="1370" t="n">
        <f aca="false">SUM(M5626:M5631)</f>
        <v>831.90800237989</v>
      </c>
    </row>
    <row r="5633" customFormat="false" ht="45" hidden="false" customHeight="false" outlineLevel="0" collapsed="false">
      <c r="A5633" s="912" t="s">
        <v>2501</v>
      </c>
      <c r="B5633" s="47" t="s">
        <v>3976</v>
      </c>
      <c r="C5633" s="391"/>
      <c r="D5633" s="433"/>
      <c r="E5633" s="954"/>
      <c r="F5633" s="954"/>
      <c r="G5633" s="1581"/>
      <c r="H5633" s="1365" t="n">
        <f aca="false">E5633*F5633*G5633</f>
        <v>0</v>
      </c>
      <c r="I5633" s="1365" t="n">
        <f aca="false">F5633-H5633</f>
        <v>0</v>
      </c>
      <c r="J5633" s="1365" t="n">
        <f aca="false">F5633*G5633</f>
        <v>0</v>
      </c>
      <c r="K5633" s="1365" t="n">
        <f aca="false">J5633/1792.8</f>
        <v>0</v>
      </c>
      <c r="L5633" s="966"/>
      <c r="M5633" s="1286"/>
    </row>
    <row r="5634" customFormat="false" ht="15" hidden="false" customHeight="false" outlineLevel="0" collapsed="false">
      <c r="A5634" s="317"/>
      <c r="B5634" s="59"/>
      <c r="C5634" s="1161" t="s">
        <v>7247</v>
      </c>
      <c r="D5634" s="317" t="n">
        <v>2004</v>
      </c>
      <c r="E5634" s="1365" t="n">
        <v>6</v>
      </c>
      <c r="F5634" s="1365" t="n">
        <v>202860</v>
      </c>
      <c r="G5634" s="1364" t="n">
        <v>0.1</v>
      </c>
      <c r="H5634" s="1365" t="n">
        <f aca="false">E5634*F5634*G5634</f>
        <v>121716</v>
      </c>
      <c r="I5634" s="1365" t="n">
        <f aca="false">F5634-H5634</f>
        <v>81144</v>
      </c>
      <c r="J5634" s="1365" t="n">
        <f aca="false">F5634*G5634</f>
        <v>20286</v>
      </c>
      <c r="K5634" s="1365" t="n">
        <f aca="false">J5634/1792.8</f>
        <v>11.3152610441767</v>
      </c>
      <c r="L5634" s="1365" t="n">
        <v>2880</v>
      </c>
      <c r="M5634" s="1273" t="n">
        <f aca="false">K5634*L5634/60</f>
        <v>543.132530120482</v>
      </c>
    </row>
    <row r="5635" customFormat="false" ht="15" hidden="false" customHeight="false" outlineLevel="0" collapsed="false">
      <c r="A5635" s="317"/>
      <c r="B5635" s="59"/>
      <c r="C5635" s="1161" t="s">
        <v>7254</v>
      </c>
      <c r="D5635" s="317" t="n">
        <v>2007</v>
      </c>
      <c r="E5635" s="1365" t="n">
        <v>3</v>
      </c>
      <c r="F5635" s="1365" t="n">
        <v>1638000</v>
      </c>
      <c r="G5635" s="1364"/>
      <c r="H5635" s="1365" t="n">
        <f aca="false">E5635*F5635*G5635</f>
        <v>0</v>
      </c>
      <c r="I5635" s="1365" t="n">
        <f aca="false">F5635-H5635</f>
        <v>1638000</v>
      </c>
      <c r="J5635" s="1365" t="n">
        <f aca="false">F5635*G5635</f>
        <v>0</v>
      </c>
      <c r="K5635" s="1365" t="n">
        <f aca="false">J5635/1792.8</f>
        <v>0</v>
      </c>
      <c r="L5635" s="1365"/>
      <c r="M5635" s="1273" t="n">
        <f aca="false">K5635*L5635/60</f>
        <v>0</v>
      </c>
    </row>
    <row r="5636" customFormat="false" ht="15" hidden="false" customHeight="false" outlineLevel="0" collapsed="false">
      <c r="A5636" s="317"/>
      <c r="B5636" s="59"/>
      <c r="C5636" s="1161" t="s">
        <v>7158</v>
      </c>
      <c r="D5636" s="317" t="n">
        <v>2004</v>
      </c>
      <c r="E5636" s="1365" t="n">
        <v>6</v>
      </c>
      <c r="F5636" s="1365" t="n">
        <v>6985000</v>
      </c>
      <c r="G5636" s="1364" t="n">
        <v>0.1</v>
      </c>
      <c r="H5636" s="1365" t="n">
        <f aca="false">E5636*F5636*G5636</f>
        <v>4191000</v>
      </c>
      <c r="I5636" s="1365" t="n">
        <f aca="false">F5636-H5636</f>
        <v>2794000</v>
      </c>
      <c r="J5636" s="1365" t="n">
        <f aca="false">F5636*G5636</f>
        <v>698500</v>
      </c>
      <c r="K5636" s="1365" t="n">
        <f aca="false">J5636/1792.8</f>
        <v>389.614011601963</v>
      </c>
      <c r="L5636" s="1365" t="n">
        <v>20</v>
      </c>
      <c r="M5636" s="1273" t="n">
        <f aca="false">K5636*L5636/60</f>
        <v>129.871337200654</v>
      </c>
    </row>
    <row r="5637" customFormat="false" ht="15" hidden="false" customHeight="false" outlineLevel="0" collapsed="false">
      <c r="A5637" s="317"/>
      <c r="B5637" s="59"/>
      <c r="C5637" s="1161" t="s">
        <v>7249</v>
      </c>
      <c r="D5637" s="317" t="n">
        <v>2005</v>
      </c>
      <c r="E5637" s="1365" t="n">
        <v>5</v>
      </c>
      <c r="F5637" s="1365" t="n">
        <v>347000</v>
      </c>
      <c r="G5637" s="1364" t="n">
        <v>0.1</v>
      </c>
      <c r="H5637" s="1365" t="n">
        <f aca="false">E5637*F5637*G5637</f>
        <v>173500</v>
      </c>
      <c r="I5637" s="1365" t="n">
        <f aca="false">F5637-H5637</f>
        <v>173500</v>
      </c>
      <c r="J5637" s="1365" t="n">
        <f aca="false">F5637*G5637</f>
        <v>34700</v>
      </c>
      <c r="K5637" s="1365" t="n">
        <f aca="false">J5637/1792.8</f>
        <v>19.355198572066</v>
      </c>
      <c r="L5637" s="1365" t="n">
        <v>60</v>
      </c>
      <c r="M5637" s="1273" t="n">
        <f aca="false">K5637*L5637/60</f>
        <v>19.355198572066</v>
      </c>
    </row>
    <row r="5638" customFormat="false" ht="15" hidden="false" customHeight="false" outlineLevel="0" collapsed="false">
      <c r="A5638" s="317"/>
      <c r="B5638" s="59"/>
      <c r="C5638" s="1161" t="s">
        <v>7245</v>
      </c>
      <c r="D5638" s="317" t="n">
        <v>2005</v>
      </c>
      <c r="E5638" s="1365" t="n">
        <v>5</v>
      </c>
      <c r="F5638" s="1365" t="n">
        <v>347000</v>
      </c>
      <c r="G5638" s="1364" t="n">
        <v>0.1</v>
      </c>
      <c r="H5638" s="1365" t="n">
        <f aca="false">E5638*F5638*G5638</f>
        <v>173500</v>
      </c>
      <c r="I5638" s="1365" t="n">
        <f aca="false">F5638-H5638</f>
        <v>173500</v>
      </c>
      <c r="J5638" s="1365" t="n">
        <f aca="false">F5638*G5638</f>
        <v>34700</v>
      </c>
      <c r="K5638" s="1365" t="n">
        <f aca="false">J5638/1792.8</f>
        <v>19.355198572066</v>
      </c>
      <c r="L5638" s="1365" t="n">
        <v>30</v>
      </c>
      <c r="M5638" s="1273" t="n">
        <f aca="false">K5638*L5638/60</f>
        <v>9.67759928603302</v>
      </c>
    </row>
    <row r="5639" customFormat="false" ht="15" hidden="false" customHeight="false" outlineLevel="0" collapsed="false">
      <c r="A5639" s="317"/>
      <c r="B5639" s="59"/>
      <c r="C5639" s="1161" t="s">
        <v>7256</v>
      </c>
      <c r="D5639" s="317" t="n">
        <v>2004</v>
      </c>
      <c r="E5639" s="1365" t="n">
        <v>6</v>
      </c>
      <c r="F5639" s="1365" t="n">
        <v>6985000</v>
      </c>
      <c r="G5639" s="1364" t="n">
        <v>0.1</v>
      </c>
      <c r="H5639" s="1365" t="n">
        <f aca="false">E5639*F5639*G5639</f>
        <v>4191000</v>
      </c>
      <c r="I5639" s="1365" t="n">
        <f aca="false">F5639-H5639</f>
        <v>2794000</v>
      </c>
      <c r="J5639" s="1365" t="n">
        <f aca="false">F5639*G5639</f>
        <v>698500</v>
      </c>
      <c r="K5639" s="1365" t="n">
        <f aca="false">J5639/1792.8</f>
        <v>389.614011601963</v>
      </c>
      <c r="L5639" s="1365" t="n">
        <v>20</v>
      </c>
      <c r="M5639" s="1273" t="n">
        <f aca="false">K5639*L5639/60</f>
        <v>129.871337200654</v>
      </c>
    </row>
    <row r="5640" customFormat="false" ht="15" hidden="false" customHeight="false" outlineLevel="0" collapsed="false">
      <c r="A5640" s="317"/>
      <c r="B5640" s="59"/>
      <c r="C5640" s="1160"/>
      <c r="D5640" s="135"/>
      <c r="E5640" s="1370"/>
      <c r="F5640" s="1370"/>
      <c r="G5640" s="1372"/>
      <c r="H5640" s="1365" t="n">
        <f aca="false">E5640*F5640*G5640</f>
        <v>0</v>
      </c>
      <c r="I5640" s="1365" t="n">
        <f aca="false">F5640-H5640</f>
        <v>0</v>
      </c>
      <c r="J5640" s="1365" t="n">
        <f aca="false">F5640*G5640</f>
        <v>0</v>
      </c>
      <c r="K5640" s="1365" t="n">
        <f aca="false">J5640/1792.8</f>
        <v>0</v>
      </c>
      <c r="L5640" s="1370" t="n">
        <f aca="false">SUM(L5634:L5639)</f>
        <v>3010</v>
      </c>
      <c r="M5640" s="1370" t="n">
        <f aca="false">SUM(M5634:M5639)</f>
        <v>831.90800237989</v>
      </c>
    </row>
    <row r="5641" customFormat="false" ht="49.5" hidden="false" customHeight="true" outlineLevel="0" collapsed="false">
      <c r="A5641" s="912" t="s">
        <v>2503</v>
      </c>
      <c r="B5641" s="47" t="s">
        <v>3977</v>
      </c>
      <c r="C5641" s="391"/>
      <c r="D5641" s="433"/>
      <c r="E5641" s="954"/>
      <c r="F5641" s="954"/>
      <c r="G5641" s="1581"/>
      <c r="H5641" s="1365" t="n">
        <f aca="false">E5641*F5641*G5641</f>
        <v>0</v>
      </c>
      <c r="I5641" s="1365" t="n">
        <f aca="false">F5641-H5641</f>
        <v>0</v>
      </c>
      <c r="J5641" s="1365" t="n">
        <f aca="false">F5641*G5641</f>
        <v>0</v>
      </c>
      <c r="K5641" s="1365" t="n">
        <f aca="false">J5641/1792.8</f>
        <v>0</v>
      </c>
      <c r="L5641" s="966"/>
      <c r="M5641" s="1286"/>
    </row>
    <row r="5642" customFormat="false" ht="15" hidden="false" customHeight="false" outlineLevel="0" collapsed="false">
      <c r="A5642" s="317"/>
      <c r="B5642" s="59"/>
      <c r="C5642" s="1161" t="s">
        <v>7247</v>
      </c>
      <c r="D5642" s="317" t="n">
        <v>2004</v>
      </c>
      <c r="E5642" s="1365" t="n">
        <v>6</v>
      </c>
      <c r="F5642" s="1365" t="n">
        <v>202860</v>
      </c>
      <c r="G5642" s="1364" t="n">
        <v>0.1</v>
      </c>
      <c r="H5642" s="1365" t="n">
        <f aca="false">E5642*F5642*G5642</f>
        <v>121716</v>
      </c>
      <c r="I5642" s="1365" t="n">
        <f aca="false">F5642-H5642</f>
        <v>81144</v>
      </c>
      <c r="J5642" s="1365" t="n">
        <f aca="false">F5642*G5642</f>
        <v>20286</v>
      </c>
      <c r="K5642" s="1365" t="n">
        <f aca="false">J5642/1792.8</f>
        <v>11.3152610441767</v>
      </c>
      <c r="L5642" s="1365" t="n">
        <v>2880</v>
      </c>
      <c r="M5642" s="1273" t="n">
        <f aca="false">K5642*L5642/60</f>
        <v>543.132530120482</v>
      </c>
    </row>
    <row r="5643" customFormat="false" ht="15" hidden="false" customHeight="false" outlineLevel="0" collapsed="false">
      <c r="A5643" s="317"/>
      <c r="B5643" s="59"/>
      <c r="C5643" s="1161" t="s">
        <v>7254</v>
      </c>
      <c r="D5643" s="317" t="n">
        <v>2007</v>
      </c>
      <c r="E5643" s="1365" t="n">
        <v>3</v>
      </c>
      <c r="F5643" s="1365" t="n">
        <v>1638000</v>
      </c>
      <c r="G5643" s="1364"/>
      <c r="H5643" s="1365" t="n">
        <f aca="false">E5643*F5643*G5643</f>
        <v>0</v>
      </c>
      <c r="I5643" s="1365" t="n">
        <f aca="false">F5643-H5643</f>
        <v>1638000</v>
      </c>
      <c r="J5643" s="1365" t="n">
        <f aca="false">F5643*G5643</f>
        <v>0</v>
      </c>
      <c r="K5643" s="1365" t="n">
        <f aca="false">J5643/1792.8</f>
        <v>0</v>
      </c>
      <c r="L5643" s="1365"/>
      <c r="M5643" s="1273" t="n">
        <f aca="false">K5643*L5643/60</f>
        <v>0</v>
      </c>
    </row>
    <row r="5644" customFormat="false" ht="15" hidden="false" customHeight="false" outlineLevel="0" collapsed="false">
      <c r="A5644" s="317"/>
      <c r="B5644" s="59"/>
      <c r="C5644" s="1161" t="s">
        <v>7158</v>
      </c>
      <c r="D5644" s="317" t="n">
        <v>2004</v>
      </c>
      <c r="E5644" s="1365" t="n">
        <v>6</v>
      </c>
      <c r="F5644" s="1365" t="n">
        <v>6985000</v>
      </c>
      <c r="G5644" s="1364" t="n">
        <v>0.1</v>
      </c>
      <c r="H5644" s="1365" t="n">
        <f aca="false">E5644*F5644*G5644</f>
        <v>4191000</v>
      </c>
      <c r="I5644" s="1365" t="n">
        <f aca="false">F5644-H5644</f>
        <v>2794000</v>
      </c>
      <c r="J5644" s="1365" t="n">
        <f aca="false">F5644*G5644</f>
        <v>698500</v>
      </c>
      <c r="K5644" s="1365" t="n">
        <f aca="false">J5644/1792.8</f>
        <v>389.614011601963</v>
      </c>
      <c r="L5644" s="1365" t="n">
        <v>20</v>
      </c>
      <c r="M5644" s="1273" t="n">
        <f aca="false">K5644*L5644/60</f>
        <v>129.871337200654</v>
      </c>
    </row>
    <row r="5645" customFormat="false" ht="15" hidden="false" customHeight="false" outlineLevel="0" collapsed="false">
      <c r="A5645" s="317"/>
      <c r="B5645" s="59"/>
      <c r="C5645" s="1161" t="s">
        <v>7249</v>
      </c>
      <c r="D5645" s="317" t="n">
        <v>2005</v>
      </c>
      <c r="E5645" s="1365" t="n">
        <v>5</v>
      </c>
      <c r="F5645" s="1365" t="n">
        <v>347000</v>
      </c>
      <c r="G5645" s="1364" t="n">
        <v>0.1</v>
      </c>
      <c r="H5645" s="1365" t="n">
        <f aca="false">E5645*F5645*G5645</f>
        <v>173500</v>
      </c>
      <c r="I5645" s="1365" t="n">
        <f aca="false">F5645-H5645</f>
        <v>173500</v>
      </c>
      <c r="J5645" s="1365" t="n">
        <f aca="false">F5645*G5645</f>
        <v>34700</v>
      </c>
      <c r="K5645" s="1365" t="n">
        <f aca="false">J5645/1792.8</f>
        <v>19.355198572066</v>
      </c>
      <c r="L5645" s="1365" t="n">
        <v>60</v>
      </c>
      <c r="M5645" s="1273" t="n">
        <f aca="false">K5645*L5645/60</f>
        <v>19.355198572066</v>
      </c>
    </row>
    <row r="5646" customFormat="false" ht="15" hidden="false" customHeight="false" outlineLevel="0" collapsed="false">
      <c r="A5646" s="317"/>
      <c r="B5646" s="59"/>
      <c r="C5646" s="1161" t="s">
        <v>7245</v>
      </c>
      <c r="D5646" s="317" t="n">
        <v>2005</v>
      </c>
      <c r="E5646" s="1365" t="n">
        <v>5</v>
      </c>
      <c r="F5646" s="1365" t="n">
        <v>347000</v>
      </c>
      <c r="G5646" s="1364" t="n">
        <v>0.1</v>
      </c>
      <c r="H5646" s="1365" t="n">
        <f aca="false">E5646*F5646*G5646</f>
        <v>173500</v>
      </c>
      <c r="I5646" s="1365" t="n">
        <f aca="false">F5646-H5646</f>
        <v>173500</v>
      </c>
      <c r="J5646" s="1365" t="n">
        <f aca="false">F5646*G5646</f>
        <v>34700</v>
      </c>
      <c r="K5646" s="1365" t="n">
        <f aca="false">J5646/1792.8</f>
        <v>19.355198572066</v>
      </c>
      <c r="L5646" s="1365" t="n">
        <v>30</v>
      </c>
      <c r="M5646" s="1273" t="n">
        <f aca="false">K5646*L5646/60</f>
        <v>9.67759928603302</v>
      </c>
    </row>
    <row r="5647" customFormat="false" ht="15" hidden="false" customHeight="false" outlineLevel="0" collapsed="false">
      <c r="A5647" s="317"/>
      <c r="B5647" s="59"/>
      <c r="C5647" s="1161" t="s">
        <v>7256</v>
      </c>
      <c r="D5647" s="317" t="n">
        <v>2004</v>
      </c>
      <c r="E5647" s="1365" t="n">
        <v>6</v>
      </c>
      <c r="F5647" s="1365" t="n">
        <v>6985000</v>
      </c>
      <c r="G5647" s="1364" t="n">
        <v>0.1</v>
      </c>
      <c r="H5647" s="1365" t="n">
        <f aca="false">E5647*F5647*G5647</f>
        <v>4191000</v>
      </c>
      <c r="I5647" s="1365" t="n">
        <f aca="false">F5647-H5647</f>
        <v>2794000</v>
      </c>
      <c r="J5647" s="1365" t="n">
        <f aca="false">F5647*G5647</f>
        <v>698500</v>
      </c>
      <c r="K5647" s="1365" t="n">
        <f aca="false">J5647/1792.8</f>
        <v>389.614011601963</v>
      </c>
      <c r="L5647" s="1365" t="n">
        <v>20</v>
      </c>
      <c r="M5647" s="1273" t="n">
        <f aca="false">K5647*L5647/60</f>
        <v>129.871337200654</v>
      </c>
    </row>
    <row r="5648" customFormat="false" ht="15" hidden="false" customHeight="false" outlineLevel="0" collapsed="false">
      <c r="A5648" s="317"/>
      <c r="B5648" s="59"/>
      <c r="C5648" s="1160"/>
      <c r="D5648" s="135"/>
      <c r="E5648" s="1370"/>
      <c r="F5648" s="1370"/>
      <c r="G5648" s="1372"/>
      <c r="H5648" s="1365" t="n">
        <f aca="false">E5648*F5648*G5648</f>
        <v>0</v>
      </c>
      <c r="I5648" s="1365" t="n">
        <f aca="false">F5648-H5648</f>
        <v>0</v>
      </c>
      <c r="J5648" s="1365" t="n">
        <f aca="false">F5648*G5648</f>
        <v>0</v>
      </c>
      <c r="K5648" s="1365" t="n">
        <f aca="false">J5648/1792.8</f>
        <v>0</v>
      </c>
      <c r="L5648" s="1370" t="n">
        <f aca="false">SUM(L5642:L5647)</f>
        <v>3010</v>
      </c>
      <c r="M5648" s="1370" t="n">
        <f aca="false">SUM(M5642:M5647)</f>
        <v>831.90800237989</v>
      </c>
    </row>
    <row r="5649" customFormat="false" ht="33" hidden="false" customHeight="true" outlineLevel="0" collapsed="false">
      <c r="A5649" s="317" t="s">
        <v>6651</v>
      </c>
      <c r="B5649" s="47" t="s">
        <v>3978</v>
      </c>
      <c r="C5649" s="135"/>
      <c r="D5649" s="40"/>
      <c r="E5649" s="891"/>
      <c r="F5649" s="891"/>
      <c r="G5649" s="1364"/>
      <c r="H5649" s="1365" t="n">
        <f aca="false">E5649*F5649*G5649</f>
        <v>0</v>
      </c>
      <c r="I5649" s="1365" t="n">
        <f aca="false">F5649-H5649</f>
        <v>0</v>
      </c>
      <c r="J5649" s="1365" t="n">
        <f aca="false">F5649*G5649</f>
        <v>0</v>
      </c>
      <c r="K5649" s="1365" t="n">
        <f aca="false">J5649/1792.8</f>
        <v>0</v>
      </c>
      <c r="L5649" s="1490"/>
      <c r="M5649" s="1366"/>
    </row>
    <row r="5650" customFormat="false" ht="15" hidden="false" customHeight="false" outlineLevel="0" collapsed="false">
      <c r="A5650" s="317"/>
      <c r="B5650" s="59"/>
      <c r="C5650" s="1161" t="s">
        <v>7247</v>
      </c>
      <c r="D5650" s="317" t="n">
        <v>2004</v>
      </c>
      <c r="E5650" s="1365" t="n">
        <v>6</v>
      </c>
      <c r="F5650" s="1365" t="n">
        <v>202860</v>
      </c>
      <c r="G5650" s="1364" t="n">
        <v>0.1</v>
      </c>
      <c r="H5650" s="1365" t="n">
        <f aca="false">E5650*F5650*G5650</f>
        <v>121716</v>
      </c>
      <c r="I5650" s="1365" t="n">
        <f aca="false">F5650-H5650</f>
        <v>81144</v>
      </c>
      <c r="J5650" s="1365" t="n">
        <f aca="false">F5650*G5650</f>
        <v>20286</v>
      </c>
      <c r="K5650" s="1365" t="n">
        <f aca="false">J5650/1792.8</f>
        <v>11.3152610441767</v>
      </c>
      <c r="L5650" s="1365" t="n">
        <v>2880</v>
      </c>
      <c r="M5650" s="1273" t="n">
        <f aca="false">K5650*L5650/60</f>
        <v>543.132530120482</v>
      </c>
    </row>
    <row r="5651" customFormat="false" ht="15" hidden="false" customHeight="false" outlineLevel="0" collapsed="false">
      <c r="A5651" s="317"/>
      <c r="B5651" s="59"/>
      <c r="C5651" s="1161" t="s">
        <v>7254</v>
      </c>
      <c r="D5651" s="317" t="n">
        <v>2007</v>
      </c>
      <c r="E5651" s="1365" t="n">
        <v>3</v>
      </c>
      <c r="F5651" s="1365" t="n">
        <v>1638000</v>
      </c>
      <c r="G5651" s="1364"/>
      <c r="H5651" s="1365" t="n">
        <f aca="false">E5651*F5651*G5651</f>
        <v>0</v>
      </c>
      <c r="I5651" s="1365" t="n">
        <f aca="false">F5651-H5651</f>
        <v>1638000</v>
      </c>
      <c r="J5651" s="1365" t="n">
        <f aca="false">F5651*G5651</f>
        <v>0</v>
      </c>
      <c r="K5651" s="1365" t="n">
        <f aca="false">J5651/1792.8</f>
        <v>0</v>
      </c>
      <c r="L5651" s="1365"/>
      <c r="M5651" s="1273" t="n">
        <f aca="false">K5651*L5651/60</f>
        <v>0</v>
      </c>
    </row>
    <row r="5652" customFormat="false" ht="15" hidden="false" customHeight="false" outlineLevel="0" collapsed="false">
      <c r="A5652" s="317"/>
      <c r="B5652" s="59"/>
      <c r="C5652" s="1161" t="s">
        <v>7158</v>
      </c>
      <c r="D5652" s="317" t="n">
        <v>2004</v>
      </c>
      <c r="E5652" s="1365" t="n">
        <v>6</v>
      </c>
      <c r="F5652" s="1365" t="n">
        <v>6985000</v>
      </c>
      <c r="G5652" s="1364" t="n">
        <v>0.1</v>
      </c>
      <c r="H5652" s="1365" t="n">
        <f aca="false">E5652*F5652*G5652</f>
        <v>4191000</v>
      </c>
      <c r="I5652" s="1365" t="n">
        <f aca="false">F5652-H5652</f>
        <v>2794000</v>
      </c>
      <c r="J5652" s="1365" t="n">
        <f aca="false">F5652*G5652</f>
        <v>698500</v>
      </c>
      <c r="K5652" s="1365" t="n">
        <f aca="false">J5652/1792.8</f>
        <v>389.614011601963</v>
      </c>
      <c r="L5652" s="1365" t="n">
        <v>20</v>
      </c>
      <c r="M5652" s="1273" t="n">
        <f aca="false">K5652*L5652/60</f>
        <v>129.871337200654</v>
      </c>
    </row>
    <row r="5653" customFormat="false" ht="15" hidden="false" customHeight="false" outlineLevel="0" collapsed="false">
      <c r="A5653" s="317"/>
      <c r="B5653" s="59"/>
      <c r="C5653" s="1161" t="s">
        <v>7249</v>
      </c>
      <c r="D5653" s="317" t="n">
        <v>2005</v>
      </c>
      <c r="E5653" s="1365" t="n">
        <v>5</v>
      </c>
      <c r="F5653" s="1365" t="n">
        <v>347000</v>
      </c>
      <c r="G5653" s="1364" t="n">
        <v>0.1</v>
      </c>
      <c r="H5653" s="1365" t="n">
        <f aca="false">E5653*F5653*G5653</f>
        <v>173500</v>
      </c>
      <c r="I5653" s="1365" t="n">
        <f aca="false">F5653-H5653</f>
        <v>173500</v>
      </c>
      <c r="J5653" s="1365" t="n">
        <f aca="false">F5653*G5653</f>
        <v>34700</v>
      </c>
      <c r="K5653" s="1365" t="n">
        <f aca="false">J5653/1792.8</f>
        <v>19.355198572066</v>
      </c>
      <c r="L5653" s="1365" t="n">
        <v>60</v>
      </c>
      <c r="M5653" s="1273" t="n">
        <f aca="false">K5653*L5653/60</f>
        <v>19.355198572066</v>
      </c>
    </row>
    <row r="5654" customFormat="false" ht="15" hidden="false" customHeight="false" outlineLevel="0" collapsed="false">
      <c r="A5654" s="317"/>
      <c r="B5654" s="59"/>
      <c r="C5654" s="1161" t="s">
        <v>7245</v>
      </c>
      <c r="D5654" s="317" t="n">
        <v>2005</v>
      </c>
      <c r="E5654" s="1365" t="n">
        <v>5</v>
      </c>
      <c r="F5654" s="1365" t="n">
        <v>347000</v>
      </c>
      <c r="G5654" s="1364" t="n">
        <v>0.1</v>
      </c>
      <c r="H5654" s="1365" t="n">
        <f aca="false">E5654*F5654*G5654</f>
        <v>173500</v>
      </c>
      <c r="I5654" s="1365" t="n">
        <f aca="false">F5654-H5654</f>
        <v>173500</v>
      </c>
      <c r="J5654" s="1365" t="n">
        <f aca="false">F5654*G5654</f>
        <v>34700</v>
      </c>
      <c r="K5654" s="1365" t="n">
        <f aca="false">J5654/1792.8</f>
        <v>19.355198572066</v>
      </c>
      <c r="L5654" s="1365" t="n">
        <v>30</v>
      </c>
      <c r="M5654" s="1273" t="n">
        <f aca="false">K5654*L5654/60</f>
        <v>9.67759928603302</v>
      </c>
    </row>
    <row r="5655" customFormat="false" ht="15" hidden="false" customHeight="false" outlineLevel="0" collapsed="false">
      <c r="A5655" s="317"/>
      <c r="B5655" s="59"/>
      <c r="C5655" s="1161" t="s">
        <v>7256</v>
      </c>
      <c r="D5655" s="317" t="n">
        <v>2004</v>
      </c>
      <c r="E5655" s="1365" t="n">
        <v>6</v>
      </c>
      <c r="F5655" s="1365" t="n">
        <v>6985000</v>
      </c>
      <c r="G5655" s="1364" t="n">
        <v>0.1</v>
      </c>
      <c r="H5655" s="1365" t="n">
        <f aca="false">E5655*F5655*G5655</f>
        <v>4191000</v>
      </c>
      <c r="I5655" s="1365" t="n">
        <f aca="false">F5655-H5655</f>
        <v>2794000</v>
      </c>
      <c r="J5655" s="1365" t="n">
        <f aca="false">F5655*G5655</f>
        <v>698500</v>
      </c>
      <c r="K5655" s="1365" t="n">
        <f aca="false">J5655/1792.8</f>
        <v>389.614011601963</v>
      </c>
      <c r="L5655" s="1365" t="n">
        <v>20</v>
      </c>
      <c r="M5655" s="1273" t="n">
        <f aca="false">K5655*L5655/60</f>
        <v>129.871337200654</v>
      </c>
    </row>
    <row r="5656" customFormat="false" ht="15" hidden="false" customHeight="false" outlineLevel="0" collapsed="false">
      <c r="A5656" s="317"/>
      <c r="B5656" s="59"/>
      <c r="C5656" s="1160"/>
      <c r="D5656" s="135"/>
      <c r="E5656" s="1370"/>
      <c r="F5656" s="1370"/>
      <c r="G5656" s="1372"/>
      <c r="H5656" s="1365" t="n">
        <f aca="false">E5656*F5656*G5656</f>
        <v>0</v>
      </c>
      <c r="I5656" s="1365" t="n">
        <f aca="false">F5656-H5656</f>
        <v>0</v>
      </c>
      <c r="J5656" s="1365" t="n">
        <f aca="false">F5656*G5656</f>
        <v>0</v>
      </c>
      <c r="K5656" s="1365" t="n">
        <f aca="false">J5656/1792.8</f>
        <v>0</v>
      </c>
      <c r="L5656" s="1370" t="n">
        <f aca="false">SUM(L5650:L5655)</f>
        <v>3010</v>
      </c>
      <c r="M5656" s="1370" t="n">
        <f aca="false">SUM(M5650:M5655)</f>
        <v>831.90800237989</v>
      </c>
    </row>
    <row r="5657" customFormat="false" ht="32.25" hidden="false" customHeight="true" outlineLevel="0" collapsed="false">
      <c r="A5657" s="317" t="s">
        <v>6653</v>
      </c>
      <c r="B5657" s="47" t="s">
        <v>3979</v>
      </c>
      <c r="C5657" s="135"/>
      <c r="D5657" s="40"/>
      <c r="E5657" s="891"/>
      <c r="F5657" s="891"/>
      <c r="G5657" s="1364"/>
      <c r="H5657" s="1365" t="n">
        <f aca="false">E5657*F5657*G5657</f>
        <v>0</v>
      </c>
      <c r="I5657" s="1365" t="n">
        <f aca="false">F5657-H5657</f>
        <v>0</v>
      </c>
      <c r="J5657" s="1365" t="n">
        <f aca="false">F5657*G5657</f>
        <v>0</v>
      </c>
      <c r="K5657" s="1365" t="n">
        <f aca="false">J5657/1792.8</f>
        <v>0</v>
      </c>
      <c r="L5657" s="1490"/>
      <c r="M5657" s="1366"/>
    </row>
    <row r="5658" customFormat="false" ht="15" hidden="false" customHeight="false" outlineLevel="0" collapsed="false">
      <c r="A5658" s="317"/>
      <c r="B5658" s="59"/>
      <c r="C5658" s="1161" t="s">
        <v>7247</v>
      </c>
      <c r="D5658" s="317" t="n">
        <v>2004</v>
      </c>
      <c r="E5658" s="1365" t="n">
        <v>6</v>
      </c>
      <c r="F5658" s="1365" t="n">
        <v>202860</v>
      </c>
      <c r="G5658" s="1364" t="n">
        <v>0.1</v>
      </c>
      <c r="H5658" s="1365" t="n">
        <f aca="false">E5658*F5658*G5658</f>
        <v>121716</v>
      </c>
      <c r="I5658" s="1365" t="n">
        <f aca="false">F5658-H5658</f>
        <v>81144</v>
      </c>
      <c r="J5658" s="1365" t="n">
        <f aca="false">F5658*G5658</f>
        <v>20286</v>
      </c>
      <c r="K5658" s="1365" t="n">
        <f aca="false">J5658/1792.8</f>
        <v>11.3152610441767</v>
      </c>
      <c r="L5658" s="1365" t="n">
        <v>2880</v>
      </c>
      <c r="M5658" s="1273" t="n">
        <f aca="false">K5658*L5658/60</f>
        <v>543.132530120482</v>
      </c>
    </row>
    <row r="5659" customFormat="false" ht="15" hidden="false" customHeight="false" outlineLevel="0" collapsed="false">
      <c r="A5659" s="317"/>
      <c r="B5659" s="59"/>
      <c r="C5659" s="1161" t="s">
        <v>7254</v>
      </c>
      <c r="D5659" s="317" t="n">
        <v>2007</v>
      </c>
      <c r="E5659" s="1365" t="n">
        <v>3</v>
      </c>
      <c r="F5659" s="1365" t="n">
        <v>1638000</v>
      </c>
      <c r="G5659" s="1364"/>
      <c r="H5659" s="1365" t="n">
        <f aca="false">E5659*F5659*G5659</f>
        <v>0</v>
      </c>
      <c r="I5659" s="1365" t="n">
        <f aca="false">F5659-H5659</f>
        <v>1638000</v>
      </c>
      <c r="J5659" s="1365" t="n">
        <f aca="false">F5659*G5659</f>
        <v>0</v>
      </c>
      <c r="K5659" s="1365" t="n">
        <f aca="false">J5659/1792.8</f>
        <v>0</v>
      </c>
      <c r="L5659" s="1365"/>
      <c r="M5659" s="1273" t="n">
        <f aca="false">K5659*L5659/60</f>
        <v>0</v>
      </c>
    </row>
    <row r="5660" customFormat="false" ht="15" hidden="false" customHeight="false" outlineLevel="0" collapsed="false">
      <c r="A5660" s="317"/>
      <c r="B5660" s="59"/>
      <c r="C5660" s="1161" t="s">
        <v>7158</v>
      </c>
      <c r="D5660" s="317" t="n">
        <v>2004</v>
      </c>
      <c r="E5660" s="1365" t="n">
        <v>6</v>
      </c>
      <c r="F5660" s="1365" t="n">
        <v>6985000</v>
      </c>
      <c r="G5660" s="1364" t="n">
        <v>0.1</v>
      </c>
      <c r="H5660" s="1365" t="n">
        <f aca="false">E5660*F5660*G5660</f>
        <v>4191000</v>
      </c>
      <c r="I5660" s="1365" t="n">
        <f aca="false">F5660-H5660</f>
        <v>2794000</v>
      </c>
      <c r="J5660" s="1365" t="n">
        <f aca="false">F5660*G5660</f>
        <v>698500</v>
      </c>
      <c r="K5660" s="1365" t="n">
        <f aca="false">J5660/1792.8</f>
        <v>389.614011601963</v>
      </c>
      <c r="L5660" s="1365" t="n">
        <v>20</v>
      </c>
      <c r="M5660" s="1273" t="n">
        <f aca="false">K5660*L5660/60</f>
        <v>129.871337200654</v>
      </c>
    </row>
    <row r="5661" customFormat="false" ht="15" hidden="false" customHeight="false" outlineLevel="0" collapsed="false">
      <c r="A5661" s="317"/>
      <c r="B5661" s="59"/>
      <c r="C5661" s="1161" t="s">
        <v>7249</v>
      </c>
      <c r="D5661" s="317" t="n">
        <v>2005</v>
      </c>
      <c r="E5661" s="1365" t="n">
        <v>5</v>
      </c>
      <c r="F5661" s="1365" t="n">
        <v>347000</v>
      </c>
      <c r="G5661" s="1364" t="n">
        <v>0.1</v>
      </c>
      <c r="H5661" s="1365" t="n">
        <f aca="false">E5661*F5661*G5661</f>
        <v>173500</v>
      </c>
      <c r="I5661" s="1365" t="n">
        <f aca="false">F5661-H5661</f>
        <v>173500</v>
      </c>
      <c r="J5661" s="1365" t="n">
        <f aca="false">F5661*G5661</f>
        <v>34700</v>
      </c>
      <c r="K5661" s="1365" t="n">
        <f aca="false">J5661/1792.8</f>
        <v>19.355198572066</v>
      </c>
      <c r="L5661" s="1365" t="n">
        <v>60</v>
      </c>
      <c r="M5661" s="1273" t="n">
        <f aca="false">K5661*L5661/60</f>
        <v>19.355198572066</v>
      </c>
    </row>
    <row r="5662" customFormat="false" ht="15" hidden="false" customHeight="false" outlineLevel="0" collapsed="false">
      <c r="A5662" s="317"/>
      <c r="B5662" s="59"/>
      <c r="C5662" s="1161" t="s">
        <v>7245</v>
      </c>
      <c r="D5662" s="317" t="n">
        <v>2005</v>
      </c>
      <c r="E5662" s="1365" t="n">
        <v>5</v>
      </c>
      <c r="F5662" s="1365" t="n">
        <v>347000</v>
      </c>
      <c r="G5662" s="1364" t="n">
        <v>0.1</v>
      </c>
      <c r="H5662" s="1365" t="n">
        <f aca="false">E5662*F5662*G5662</f>
        <v>173500</v>
      </c>
      <c r="I5662" s="1365" t="n">
        <f aca="false">F5662-H5662</f>
        <v>173500</v>
      </c>
      <c r="J5662" s="1365" t="n">
        <f aca="false">F5662*G5662</f>
        <v>34700</v>
      </c>
      <c r="K5662" s="1365" t="n">
        <f aca="false">J5662/1792.8</f>
        <v>19.355198572066</v>
      </c>
      <c r="L5662" s="1365" t="n">
        <v>30</v>
      </c>
      <c r="M5662" s="1273" t="n">
        <f aca="false">K5662*L5662/60</f>
        <v>9.67759928603302</v>
      </c>
    </row>
    <row r="5663" customFormat="false" ht="15" hidden="false" customHeight="false" outlineLevel="0" collapsed="false">
      <c r="A5663" s="317"/>
      <c r="B5663" s="59"/>
      <c r="C5663" s="1161" t="s">
        <v>7256</v>
      </c>
      <c r="D5663" s="317" t="n">
        <v>2004</v>
      </c>
      <c r="E5663" s="1365" t="n">
        <v>6</v>
      </c>
      <c r="F5663" s="1365" t="n">
        <v>6985000</v>
      </c>
      <c r="G5663" s="1364" t="n">
        <v>0.1</v>
      </c>
      <c r="H5663" s="1365" t="n">
        <f aca="false">E5663*F5663*G5663</f>
        <v>4191000</v>
      </c>
      <c r="I5663" s="1365" t="n">
        <f aca="false">F5663-H5663</f>
        <v>2794000</v>
      </c>
      <c r="J5663" s="1365" t="n">
        <f aca="false">F5663*G5663</f>
        <v>698500</v>
      </c>
      <c r="K5663" s="1365" t="n">
        <f aca="false">J5663/1792.8</f>
        <v>389.614011601963</v>
      </c>
      <c r="L5663" s="1365" t="n">
        <v>20</v>
      </c>
      <c r="M5663" s="1273" t="n">
        <f aca="false">K5663*L5663/60</f>
        <v>129.871337200654</v>
      </c>
    </row>
    <row r="5664" customFormat="false" ht="15" hidden="false" customHeight="false" outlineLevel="0" collapsed="false">
      <c r="A5664" s="317"/>
      <c r="B5664" s="59"/>
      <c r="C5664" s="1160"/>
      <c r="D5664" s="135"/>
      <c r="E5664" s="1370"/>
      <c r="F5664" s="1370"/>
      <c r="G5664" s="1372"/>
      <c r="H5664" s="1365" t="n">
        <f aca="false">E5664*F5664*G5664</f>
        <v>0</v>
      </c>
      <c r="I5664" s="1365" t="n">
        <f aca="false">F5664-H5664</f>
        <v>0</v>
      </c>
      <c r="J5664" s="1365" t="n">
        <f aca="false">F5664*G5664</f>
        <v>0</v>
      </c>
      <c r="K5664" s="1365" t="n">
        <f aca="false">J5664/1792.8</f>
        <v>0</v>
      </c>
      <c r="L5664" s="1370" t="n">
        <f aca="false">SUM(L5658:L5663)</f>
        <v>3010</v>
      </c>
      <c r="M5664" s="1370" t="n">
        <f aca="false">SUM(M5658:M5663)</f>
        <v>831.90800237989</v>
      </c>
    </row>
    <row r="5665" customFormat="false" ht="41.25" hidden="false" customHeight="true" outlineLevel="0" collapsed="false">
      <c r="A5665" s="317" t="s">
        <v>6655</v>
      </c>
      <c r="B5665" s="47" t="s">
        <v>3980</v>
      </c>
      <c r="C5665" s="135"/>
      <c r="D5665" s="40"/>
      <c r="E5665" s="891"/>
      <c r="F5665" s="891"/>
      <c r="G5665" s="1364"/>
      <c r="H5665" s="1365" t="n">
        <f aca="false">E5665*F5665*G5665</f>
        <v>0</v>
      </c>
      <c r="I5665" s="1365" t="n">
        <f aca="false">F5665-H5665</f>
        <v>0</v>
      </c>
      <c r="J5665" s="1365" t="n">
        <f aca="false">F5665*G5665</f>
        <v>0</v>
      </c>
      <c r="K5665" s="1365" t="n">
        <f aca="false">J5665/1792.8</f>
        <v>0</v>
      </c>
      <c r="L5665" s="1490"/>
      <c r="M5665" s="1366"/>
    </row>
    <row r="5666" customFormat="false" ht="15" hidden="false" customHeight="false" outlineLevel="0" collapsed="false">
      <c r="A5666" s="317"/>
      <c r="B5666" s="59"/>
      <c r="C5666" s="1161" t="s">
        <v>7247</v>
      </c>
      <c r="D5666" s="317" t="n">
        <v>2004</v>
      </c>
      <c r="E5666" s="1365" t="n">
        <v>6</v>
      </c>
      <c r="F5666" s="1365" t="n">
        <v>202860</v>
      </c>
      <c r="G5666" s="1364" t="n">
        <v>0.1</v>
      </c>
      <c r="H5666" s="1365" t="n">
        <f aca="false">E5666*F5666*G5666</f>
        <v>121716</v>
      </c>
      <c r="I5666" s="1365" t="n">
        <f aca="false">F5666-H5666</f>
        <v>81144</v>
      </c>
      <c r="J5666" s="1365" t="n">
        <f aca="false">F5666*G5666</f>
        <v>20286</v>
      </c>
      <c r="K5666" s="1365" t="n">
        <f aca="false">J5666/1792.8</f>
        <v>11.3152610441767</v>
      </c>
      <c r="L5666" s="1365" t="n">
        <v>2880</v>
      </c>
      <c r="M5666" s="1273" t="n">
        <f aca="false">K5666*L5666/60</f>
        <v>543.132530120482</v>
      </c>
    </row>
    <row r="5667" customFormat="false" ht="15" hidden="false" customHeight="false" outlineLevel="0" collapsed="false">
      <c r="A5667" s="317"/>
      <c r="B5667" s="59"/>
      <c r="C5667" s="1161" t="s">
        <v>7254</v>
      </c>
      <c r="D5667" s="317" t="n">
        <v>2007</v>
      </c>
      <c r="E5667" s="1365" t="n">
        <v>3</v>
      </c>
      <c r="F5667" s="1365" t="n">
        <v>1638000</v>
      </c>
      <c r="G5667" s="1364"/>
      <c r="H5667" s="1365" t="n">
        <f aca="false">E5667*F5667*G5667</f>
        <v>0</v>
      </c>
      <c r="I5667" s="1365" t="n">
        <f aca="false">F5667-H5667</f>
        <v>1638000</v>
      </c>
      <c r="J5667" s="1365" t="n">
        <f aca="false">F5667*G5667</f>
        <v>0</v>
      </c>
      <c r="K5667" s="1365" t="n">
        <f aca="false">J5667/1792.8</f>
        <v>0</v>
      </c>
      <c r="L5667" s="1365"/>
      <c r="M5667" s="1273" t="n">
        <f aca="false">K5667*L5667/60</f>
        <v>0</v>
      </c>
    </row>
    <row r="5668" customFormat="false" ht="15" hidden="false" customHeight="false" outlineLevel="0" collapsed="false">
      <c r="A5668" s="317"/>
      <c r="B5668" s="59"/>
      <c r="C5668" s="1161" t="s">
        <v>7158</v>
      </c>
      <c r="D5668" s="317" t="n">
        <v>2004</v>
      </c>
      <c r="E5668" s="1365" t="n">
        <v>6</v>
      </c>
      <c r="F5668" s="1365" t="n">
        <v>6985000</v>
      </c>
      <c r="G5668" s="1364" t="n">
        <v>0.1</v>
      </c>
      <c r="H5668" s="1365" t="n">
        <f aca="false">E5668*F5668*G5668</f>
        <v>4191000</v>
      </c>
      <c r="I5668" s="1365" t="n">
        <f aca="false">F5668-H5668</f>
        <v>2794000</v>
      </c>
      <c r="J5668" s="1365" t="n">
        <f aca="false">F5668*G5668</f>
        <v>698500</v>
      </c>
      <c r="K5668" s="1365" t="n">
        <f aca="false">J5668/1792.8</f>
        <v>389.614011601963</v>
      </c>
      <c r="L5668" s="1365" t="n">
        <v>20</v>
      </c>
      <c r="M5668" s="1273" t="n">
        <f aca="false">K5668*L5668/60</f>
        <v>129.871337200654</v>
      </c>
    </row>
    <row r="5669" customFormat="false" ht="15" hidden="false" customHeight="false" outlineLevel="0" collapsed="false">
      <c r="A5669" s="317"/>
      <c r="B5669" s="59"/>
      <c r="C5669" s="1161" t="s">
        <v>7249</v>
      </c>
      <c r="D5669" s="317" t="n">
        <v>2005</v>
      </c>
      <c r="E5669" s="1365" t="n">
        <v>5</v>
      </c>
      <c r="F5669" s="1365" t="n">
        <v>347000</v>
      </c>
      <c r="G5669" s="1364" t="n">
        <v>0.1</v>
      </c>
      <c r="H5669" s="1365" t="n">
        <f aca="false">E5669*F5669*G5669</f>
        <v>173500</v>
      </c>
      <c r="I5669" s="1365" t="n">
        <f aca="false">F5669-H5669</f>
        <v>173500</v>
      </c>
      <c r="J5669" s="1365" t="n">
        <f aca="false">F5669*G5669</f>
        <v>34700</v>
      </c>
      <c r="K5669" s="1365" t="n">
        <f aca="false">J5669/1792.8</f>
        <v>19.355198572066</v>
      </c>
      <c r="L5669" s="1365" t="n">
        <v>60</v>
      </c>
      <c r="M5669" s="1273" t="n">
        <f aca="false">K5669*L5669/60</f>
        <v>19.355198572066</v>
      </c>
    </row>
    <row r="5670" customFormat="false" ht="15" hidden="false" customHeight="false" outlineLevel="0" collapsed="false">
      <c r="A5670" s="317"/>
      <c r="B5670" s="59"/>
      <c r="C5670" s="1161" t="s">
        <v>7245</v>
      </c>
      <c r="D5670" s="317" t="n">
        <v>2005</v>
      </c>
      <c r="E5670" s="1365" t="n">
        <v>5</v>
      </c>
      <c r="F5670" s="1365" t="n">
        <v>347000</v>
      </c>
      <c r="G5670" s="1364" t="n">
        <v>0.1</v>
      </c>
      <c r="H5670" s="1365" t="n">
        <f aca="false">E5670*F5670*G5670</f>
        <v>173500</v>
      </c>
      <c r="I5670" s="1365" t="n">
        <f aca="false">F5670-H5670</f>
        <v>173500</v>
      </c>
      <c r="J5670" s="1365" t="n">
        <f aca="false">F5670*G5670</f>
        <v>34700</v>
      </c>
      <c r="K5670" s="1365" t="n">
        <f aca="false">J5670/1792.8</f>
        <v>19.355198572066</v>
      </c>
      <c r="L5670" s="1365" t="n">
        <v>30</v>
      </c>
      <c r="M5670" s="1273" t="n">
        <f aca="false">K5670*L5670/60</f>
        <v>9.67759928603302</v>
      </c>
    </row>
    <row r="5671" customFormat="false" ht="15" hidden="false" customHeight="false" outlineLevel="0" collapsed="false">
      <c r="A5671" s="317"/>
      <c r="B5671" s="59"/>
      <c r="C5671" s="1161" t="s">
        <v>7256</v>
      </c>
      <c r="D5671" s="317" t="n">
        <v>2004</v>
      </c>
      <c r="E5671" s="1365" t="n">
        <v>6</v>
      </c>
      <c r="F5671" s="1365" t="n">
        <v>6985000</v>
      </c>
      <c r="G5671" s="1364" t="n">
        <v>0.1</v>
      </c>
      <c r="H5671" s="1365" t="n">
        <f aca="false">E5671*F5671*G5671</f>
        <v>4191000</v>
      </c>
      <c r="I5671" s="1365" t="n">
        <f aca="false">F5671-H5671</f>
        <v>2794000</v>
      </c>
      <c r="J5671" s="1365" t="n">
        <f aca="false">F5671*G5671</f>
        <v>698500</v>
      </c>
      <c r="K5671" s="1365" t="n">
        <f aca="false">J5671/1792.8</f>
        <v>389.614011601963</v>
      </c>
      <c r="L5671" s="1365" t="n">
        <v>20</v>
      </c>
      <c r="M5671" s="1273" t="n">
        <f aca="false">K5671*L5671/60</f>
        <v>129.871337200654</v>
      </c>
    </row>
    <row r="5672" customFormat="false" ht="15" hidden="false" customHeight="false" outlineLevel="0" collapsed="false">
      <c r="A5672" s="317"/>
      <c r="B5672" s="59"/>
      <c r="C5672" s="1160"/>
      <c r="D5672" s="135"/>
      <c r="E5672" s="1370"/>
      <c r="F5672" s="1370"/>
      <c r="G5672" s="1372"/>
      <c r="H5672" s="1365" t="n">
        <f aca="false">E5672*F5672*G5672</f>
        <v>0</v>
      </c>
      <c r="I5672" s="1365" t="n">
        <f aca="false">F5672-H5672</f>
        <v>0</v>
      </c>
      <c r="J5672" s="1365" t="n">
        <f aca="false">F5672*G5672</f>
        <v>0</v>
      </c>
      <c r="K5672" s="1365" t="n">
        <f aca="false">J5672/1792.8</f>
        <v>0</v>
      </c>
      <c r="L5672" s="1370" t="n">
        <f aca="false">SUM(L5666:L5671)</f>
        <v>3010</v>
      </c>
      <c r="M5672" s="1370" t="n">
        <f aca="false">SUM(M5666:M5671)</f>
        <v>831.90800237989</v>
      </c>
    </row>
    <row r="5673" customFormat="false" ht="45" hidden="false" customHeight="false" outlineLevel="0" collapsed="false">
      <c r="A5673" s="317" t="s">
        <v>2511</v>
      </c>
      <c r="B5673" s="47" t="s">
        <v>3981</v>
      </c>
      <c r="C5673" s="135"/>
      <c r="D5673" s="40"/>
      <c r="E5673" s="891"/>
      <c r="F5673" s="891"/>
      <c r="G5673" s="1364"/>
      <c r="H5673" s="1365" t="n">
        <f aca="false">E5673*F5673*G5673</f>
        <v>0</v>
      </c>
      <c r="I5673" s="1365" t="n">
        <f aca="false">F5673-H5673</f>
        <v>0</v>
      </c>
      <c r="J5673" s="1365" t="n">
        <f aca="false">F5673*G5673</f>
        <v>0</v>
      </c>
      <c r="K5673" s="1365" t="n">
        <f aca="false">J5673/1792.8</f>
        <v>0</v>
      </c>
      <c r="L5673" s="1490"/>
      <c r="M5673" s="1366"/>
    </row>
    <row r="5674" customFormat="false" ht="15" hidden="false" customHeight="false" outlineLevel="0" collapsed="false">
      <c r="A5674" s="317"/>
      <c r="B5674" s="59"/>
      <c r="C5674" s="1161" t="s">
        <v>7247</v>
      </c>
      <c r="D5674" s="317" t="n">
        <v>2004</v>
      </c>
      <c r="E5674" s="1365" t="n">
        <v>6</v>
      </c>
      <c r="F5674" s="1365" t="n">
        <v>202860</v>
      </c>
      <c r="G5674" s="1364" t="n">
        <v>0.1</v>
      </c>
      <c r="H5674" s="1365" t="n">
        <f aca="false">E5674*F5674*G5674</f>
        <v>121716</v>
      </c>
      <c r="I5674" s="1365" t="n">
        <f aca="false">F5674-H5674</f>
        <v>81144</v>
      </c>
      <c r="J5674" s="1365" t="n">
        <f aca="false">F5674*G5674</f>
        <v>20286</v>
      </c>
      <c r="K5674" s="1365" t="n">
        <f aca="false">J5674/1792.8</f>
        <v>11.3152610441767</v>
      </c>
      <c r="L5674" s="1365" t="n">
        <v>2880</v>
      </c>
      <c r="M5674" s="1273" t="n">
        <f aca="false">K5674*L5674/60</f>
        <v>543.132530120482</v>
      </c>
    </row>
    <row r="5675" customFormat="false" ht="15" hidden="false" customHeight="false" outlineLevel="0" collapsed="false">
      <c r="A5675" s="317"/>
      <c r="B5675" s="59"/>
      <c r="C5675" s="1161" t="s">
        <v>7254</v>
      </c>
      <c r="D5675" s="317" t="n">
        <v>2007</v>
      </c>
      <c r="E5675" s="1365" t="n">
        <v>3</v>
      </c>
      <c r="F5675" s="1365" t="n">
        <v>1638000</v>
      </c>
      <c r="G5675" s="1364"/>
      <c r="H5675" s="1365" t="n">
        <f aca="false">E5675*F5675*G5675</f>
        <v>0</v>
      </c>
      <c r="I5675" s="1365" t="n">
        <f aca="false">F5675-H5675</f>
        <v>1638000</v>
      </c>
      <c r="J5675" s="1365" t="n">
        <f aca="false">F5675*G5675</f>
        <v>0</v>
      </c>
      <c r="K5675" s="1365" t="n">
        <f aca="false">J5675/1792.8</f>
        <v>0</v>
      </c>
      <c r="L5675" s="1365"/>
      <c r="M5675" s="1273" t="n">
        <f aca="false">K5675*L5675/60</f>
        <v>0</v>
      </c>
    </row>
    <row r="5676" customFormat="false" ht="15" hidden="false" customHeight="false" outlineLevel="0" collapsed="false">
      <c r="A5676" s="317"/>
      <c r="B5676" s="59"/>
      <c r="C5676" s="1161" t="s">
        <v>7158</v>
      </c>
      <c r="D5676" s="317" t="n">
        <v>2004</v>
      </c>
      <c r="E5676" s="1365" t="n">
        <v>6</v>
      </c>
      <c r="F5676" s="1365" t="n">
        <v>6985000</v>
      </c>
      <c r="G5676" s="1364" t="n">
        <v>0.1</v>
      </c>
      <c r="H5676" s="1365" t="n">
        <f aca="false">E5676*F5676*G5676</f>
        <v>4191000</v>
      </c>
      <c r="I5676" s="1365" t="n">
        <f aca="false">F5676-H5676</f>
        <v>2794000</v>
      </c>
      <c r="J5676" s="1365" t="n">
        <f aca="false">F5676*G5676</f>
        <v>698500</v>
      </c>
      <c r="K5676" s="1365" t="n">
        <f aca="false">J5676/1792.8</f>
        <v>389.614011601963</v>
      </c>
      <c r="L5676" s="1365" t="n">
        <v>20</v>
      </c>
      <c r="M5676" s="1273" t="n">
        <f aca="false">K5676*L5676/60</f>
        <v>129.871337200654</v>
      </c>
    </row>
    <row r="5677" customFormat="false" ht="15" hidden="false" customHeight="false" outlineLevel="0" collapsed="false">
      <c r="A5677" s="317"/>
      <c r="B5677" s="59"/>
      <c r="C5677" s="1161" t="s">
        <v>7249</v>
      </c>
      <c r="D5677" s="317" t="n">
        <v>2005</v>
      </c>
      <c r="E5677" s="1365" t="n">
        <v>5</v>
      </c>
      <c r="F5677" s="1365" t="n">
        <v>347000</v>
      </c>
      <c r="G5677" s="1364" t="n">
        <v>0.1</v>
      </c>
      <c r="H5677" s="1365" t="n">
        <f aca="false">E5677*F5677*G5677</f>
        <v>173500</v>
      </c>
      <c r="I5677" s="1365" t="n">
        <f aca="false">F5677-H5677</f>
        <v>173500</v>
      </c>
      <c r="J5677" s="1365" t="n">
        <f aca="false">F5677*G5677</f>
        <v>34700</v>
      </c>
      <c r="K5677" s="1365" t="n">
        <f aca="false">J5677/1792.8</f>
        <v>19.355198572066</v>
      </c>
      <c r="L5677" s="1365" t="n">
        <v>60</v>
      </c>
      <c r="M5677" s="1273" t="n">
        <f aca="false">K5677*L5677/60</f>
        <v>19.355198572066</v>
      </c>
    </row>
    <row r="5678" customFormat="false" ht="15" hidden="false" customHeight="false" outlineLevel="0" collapsed="false">
      <c r="A5678" s="317"/>
      <c r="B5678" s="59"/>
      <c r="C5678" s="1161" t="s">
        <v>7245</v>
      </c>
      <c r="D5678" s="317" t="n">
        <v>2005</v>
      </c>
      <c r="E5678" s="1365" t="n">
        <v>5</v>
      </c>
      <c r="F5678" s="1365" t="n">
        <v>347000</v>
      </c>
      <c r="G5678" s="1364" t="n">
        <v>0.1</v>
      </c>
      <c r="H5678" s="1365" t="n">
        <f aca="false">E5678*F5678*G5678</f>
        <v>173500</v>
      </c>
      <c r="I5678" s="1365" t="n">
        <f aca="false">F5678-H5678</f>
        <v>173500</v>
      </c>
      <c r="J5678" s="1365" t="n">
        <f aca="false">F5678*G5678</f>
        <v>34700</v>
      </c>
      <c r="K5678" s="1365" t="n">
        <f aca="false">J5678/1792.8</f>
        <v>19.355198572066</v>
      </c>
      <c r="L5678" s="1365" t="n">
        <v>30</v>
      </c>
      <c r="M5678" s="1273" t="n">
        <f aca="false">K5678*L5678/60</f>
        <v>9.67759928603302</v>
      </c>
    </row>
    <row r="5679" customFormat="false" ht="15" hidden="false" customHeight="false" outlineLevel="0" collapsed="false">
      <c r="A5679" s="317"/>
      <c r="B5679" s="59"/>
      <c r="C5679" s="1161" t="s">
        <v>7256</v>
      </c>
      <c r="D5679" s="317" t="n">
        <v>2004</v>
      </c>
      <c r="E5679" s="1365" t="n">
        <v>6</v>
      </c>
      <c r="F5679" s="1365" t="n">
        <v>6985000</v>
      </c>
      <c r="G5679" s="1364" t="n">
        <v>0.1</v>
      </c>
      <c r="H5679" s="1365" t="n">
        <f aca="false">E5679*F5679*G5679</f>
        <v>4191000</v>
      </c>
      <c r="I5679" s="1365" t="n">
        <f aca="false">F5679-H5679</f>
        <v>2794000</v>
      </c>
      <c r="J5679" s="1365" t="n">
        <f aca="false">F5679*G5679</f>
        <v>698500</v>
      </c>
      <c r="K5679" s="1365" t="n">
        <f aca="false">J5679/1792.8</f>
        <v>389.614011601963</v>
      </c>
      <c r="L5679" s="1365" t="n">
        <v>20</v>
      </c>
      <c r="M5679" s="1273" t="n">
        <f aca="false">K5679*L5679/60</f>
        <v>129.871337200654</v>
      </c>
    </row>
    <row r="5680" customFormat="false" ht="15" hidden="false" customHeight="false" outlineLevel="0" collapsed="false">
      <c r="A5680" s="317"/>
      <c r="B5680" s="59"/>
      <c r="C5680" s="1160"/>
      <c r="D5680" s="135"/>
      <c r="E5680" s="1370"/>
      <c r="F5680" s="1370"/>
      <c r="G5680" s="1372"/>
      <c r="H5680" s="1365" t="n">
        <f aca="false">E5680*F5680*G5680</f>
        <v>0</v>
      </c>
      <c r="I5680" s="1365" t="n">
        <f aca="false">F5680-H5680</f>
        <v>0</v>
      </c>
      <c r="J5680" s="1365" t="n">
        <f aca="false">F5680*G5680</f>
        <v>0</v>
      </c>
      <c r="K5680" s="1365" t="n">
        <f aca="false">J5680/1792.8</f>
        <v>0</v>
      </c>
      <c r="L5680" s="1370" t="n">
        <f aca="false">SUM(L5674:L5679)</f>
        <v>3010</v>
      </c>
      <c r="M5680" s="1370" t="n">
        <f aca="false">SUM(M5674:M5679)</f>
        <v>831.90800237989</v>
      </c>
    </row>
    <row r="5681" s="531" customFormat="true" ht="45" hidden="false" customHeight="false" outlineLevel="0" collapsed="false">
      <c r="A5681" s="912" t="s">
        <v>6663</v>
      </c>
      <c r="B5681" s="29" t="s">
        <v>3982</v>
      </c>
      <c r="C5681" s="391"/>
      <c r="D5681" s="433"/>
      <c r="E5681" s="954"/>
      <c r="F5681" s="954"/>
      <c r="G5681" s="1581"/>
      <c r="H5681" s="1365" t="n">
        <f aca="false">E5681*F5681*G5681</f>
        <v>0</v>
      </c>
      <c r="I5681" s="1365" t="n">
        <f aca="false">F5681-H5681</f>
        <v>0</v>
      </c>
      <c r="J5681" s="1365" t="n">
        <f aca="false">F5681*G5681</f>
        <v>0</v>
      </c>
      <c r="K5681" s="1365" t="n">
        <f aca="false">J5681/1792.8</f>
        <v>0</v>
      </c>
      <c r="L5681" s="966"/>
      <c r="M5681" s="1286"/>
    </row>
    <row r="5682" customFormat="false" ht="15" hidden="false" customHeight="false" outlineLevel="0" collapsed="false">
      <c r="A5682" s="317"/>
      <c r="B5682" s="59"/>
      <c r="C5682" s="1161" t="s">
        <v>7247</v>
      </c>
      <c r="D5682" s="317" t="n">
        <v>2004</v>
      </c>
      <c r="E5682" s="1365" t="n">
        <v>6</v>
      </c>
      <c r="F5682" s="1365" t="n">
        <v>202860</v>
      </c>
      <c r="G5682" s="1364" t="n">
        <v>0.1</v>
      </c>
      <c r="H5682" s="1365" t="n">
        <f aca="false">E5682*F5682*G5682</f>
        <v>121716</v>
      </c>
      <c r="I5682" s="1365" t="n">
        <f aca="false">F5682-H5682</f>
        <v>81144</v>
      </c>
      <c r="J5682" s="1365" t="n">
        <f aca="false">F5682*G5682</f>
        <v>20286</v>
      </c>
      <c r="K5682" s="1365" t="n">
        <f aca="false">J5682/1792.8</f>
        <v>11.3152610441767</v>
      </c>
      <c r="L5682" s="1365" t="n">
        <v>2880</v>
      </c>
      <c r="M5682" s="1273" t="n">
        <f aca="false">K5682*L5682/60</f>
        <v>543.132530120482</v>
      </c>
    </row>
    <row r="5683" customFormat="false" ht="15" hidden="false" customHeight="false" outlineLevel="0" collapsed="false">
      <c r="A5683" s="317"/>
      <c r="B5683" s="59"/>
      <c r="C5683" s="1161" t="s">
        <v>7254</v>
      </c>
      <c r="D5683" s="317" t="n">
        <v>2007</v>
      </c>
      <c r="E5683" s="1365" t="n">
        <v>3</v>
      </c>
      <c r="F5683" s="1365" t="n">
        <v>1638000</v>
      </c>
      <c r="G5683" s="1364"/>
      <c r="H5683" s="1365" t="n">
        <f aca="false">E5683*F5683*G5683</f>
        <v>0</v>
      </c>
      <c r="I5683" s="1365" t="n">
        <f aca="false">F5683-H5683</f>
        <v>1638000</v>
      </c>
      <c r="J5683" s="1365" t="n">
        <f aca="false">F5683*G5683</f>
        <v>0</v>
      </c>
      <c r="K5683" s="1365" t="n">
        <f aca="false">J5683/1792.8</f>
        <v>0</v>
      </c>
      <c r="L5683" s="1365"/>
      <c r="M5683" s="1273" t="n">
        <f aca="false">K5683*L5683/60</f>
        <v>0</v>
      </c>
    </row>
    <row r="5684" customFormat="false" ht="15" hidden="false" customHeight="false" outlineLevel="0" collapsed="false">
      <c r="A5684" s="317"/>
      <c r="B5684" s="59"/>
      <c r="C5684" s="1161" t="s">
        <v>7158</v>
      </c>
      <c r="D5684" s="317" t="n">
        <v>2004</v>
      </c>
      <c r="E5684" s="1365" t="n">
        <v>6</v>
      </c>
      <c r="F5684" s="1365" t="n">
        <v>6985000</v>
      </c>
      <c r="G5684" s="1364" t="n">
        <v>0.1</v>
      </c>
      <c r="H5684" s="1365" t="n">
        <f aca="false">E5684*F5684*G5684</f>
        <v>4191000</v>
      </c>
      <c r="I5684" s="1365" t="n">
        <f aca="false">F5684-H5684</f>
        <v>2794000</v>
      </c>
      <c r="J5684" s="1365" t="n">
        <f aca="false">F5684*G5684</f>
        <v>698500</v>
      </c>
      <c r="K5684" s="1365" t="n">
        <f aca="false">J5684/1792.8</f>
        <v>389.614011601963</v>
      </c>
      <c r="L5684" s="1365" t="n">
        <v>20</v>
      </c>
      <c r="M5684" s="1273" t="n">
        <f aca="false">K5684*L5684/60</f>
        <v>129.871337200654</v>
      </c>
    </row>
    <row r="5685" customFormat="false" ht="15" hidden="false" customHeight="false" outlineLevel="0" collapsed="false">
      <c r="A5685" s="317"/>
      <c r="B5685" s="59"/>
      <c r="C5685" s="1161" t="s">
        <v>7249</v>
      </c>
      <c r="D5685" s="317" t="n">
        <v>2005</v>
      </c>
      <c r="E5685" s="1365" t="n">
        <v>5</v>
      </c>
      <c r="F5685" s="1365" t="n">
        <v>347000</v>
      </c>
      <c r="G5685" s="1364" t="n">
        <v>0.1</v>
      </c>
      <c r="H5685" s="1365" t="n">
        <f aca="false">E5685*F5685*G5685</f>
        <v>173500</v>
      </c>
      <c r="I5685" s="1365" t="n">
        <f aca="false">F5685-H5685</f>
        <v>173500</v>
      </c>
      <c r="J5685" s="1365" t="n">
        <f aca="false">F5685*G5685</f>
        <v>34700</v>
      </c>
      <c r="K5685" s="1365" t="n">
        <f aca="false">J5685/1792.8</f>
        <v>19.355198572066</v>
      </c>
      <c r="L5685" s="1365" t="n">
        <v>60</v>
      </c>
      <c r="M5685" s="1273" t="n">
        <f aca="false">K5685*L5685/60</f>
        <v>19.355198572066</v>
      </c>
    </row>
    <row r="5686" customFormat="false" ht="15" hidden="false" customHeight="false" outlineLevel="0" collapsed="false">
      <c r="A5686" s="317"/>
      <c r="B5686" s="59"/>
      <c r="C5686" s="1161" t="s">
        <v>7245</v>
      </c>
      <c r="D5686" s="317" t="n">
        <v>2005</v>
      </c>
      <c r="E5686" s="1365" t="n">
        <v>5</v>
      </c>
      <c r="F5686" s="1365" t="n">
        <v>347000</v>
      </c>
      <c r="G5686" s="1364" t="n">
        <v>0.1</v>
      </c>
      <c r="H5686" s="1365" t="n">
        <f aca="false">E5686*F5686*G5686</f>
        <v>173500</v>
      </c>
      <c r="I5686" s="1365" t="n">
        <f aca="false">F5686-H5686</f>
        <v>173500</v>
      </c>
      <c r="J5686" s="1365" t="n">
        <f aca="false">F5686*G5686</f>
        <v>34700</v>
      </c>
      <c r="K5686" s="1365" t="n">
        <f aca="false">J5686/1792.8</f>
        <v>19.355198572066</v>
      </c>
      <c r="L5686" s="1365" t="n">
        <v>1440</v>
      </c>
      <c r="M5686" s="1273" t="n">
        <f aca="false">K5686*L5686/60</f>
        <v>464.524765729585</v>
      </c>
    </row>
    <row r="5687" customFormat="false" ht="15" hidden="false" customHeight="false" outlineLevel="0" collapsed="false">
      <c r="A5687" s="317"/>
      <c r="B5687" s="59"/>
      <c r="C5687" s="1161" t="s">
        <v>7256</v>
      </c>
      <c r="D5687" s="317" t="n">
        <v>2004</v>
      </c>
      <c r="E5687" s="1365" t="n">
        <v>6</v>
      </c>
      <c r="F5687" s="1365" t="n">
        <v>6985000</v>
      </c>
      <c r="G5687" s="1364" t="n">
        <v>0.1</v>
      </c>
      <c r="H5687" s="1365" t="n">
        <f aca="false">E5687*F5687*G5687</f>
        <v>4191000</v>
      </c>
      <c r="I5687" s="1365" t="n">
        <f aca="false">F5687-H5687</f>
        <v>2794000</v>
      </c>
      <c r="J5687" s="1365" t="n">
        <f aca="false">F5687*G5687</f>
        <v>698500</v>
      </c>
      <c r="K5687" s="1365" t="n">
        <f aca="false">J5687/1792.8</f>
        <v>389.614011601963</v>
      </c>
      <c r="L5687" s="1365" t="n">
        <v>20</v>
      </c>
      <c r="M5687" s="1273" t="n">
        <f aca="false">K5687*L5687/60</f>
        <v>129.871337200654</v>
      </c>
    </row>
    <row r="5688" customFormat="false" ht="15" hidden="false" customHeight="false" outlineLevel="0" collapsed="false">
      <c r="A5688" s="317"/>
      <c r="B5688" s="59"/>
      <c r="C5688" s="1160"/>
      <c r="D5688" s="135"/>
      <c r="E5688" s="1370"/>
      <c r="F5688" s="1370"/>
      <c r="G5688" s="1372"/>
      <c r="H5688" s="1365" t="n">
        <f aca="false">E5688*F5688*G5688</f>
        <v>0</v>
      </c>
      <c r="I5688" s="1365" t="n">
        <f aca="false">F5688-H5688</f>
        <v>0</v>
      </c>
      <c r="J5688" s="1365" t="n">
        <f aca="false">F5688*G5688</f>
        <v>0</v>
      </c>
      <c r="K5688" s="1365" t="n">
        <f aca="false">J5688/1792.8</f>
        <v>0</v>
      </c>
      <c r="L5688" s="1370" t="n">
        <f aca="false">SUM(L5682:L5687)</f>
        <v>4420</v>
      </c>
      <c r="M5688" s="1370" t="n">
        <f aca="false">SUM(M5682:M5687)</f>
        <v>1286.75516882344</v>
      </c>
    </row>
    <row r="5689" customFormat="false" ht="45" hidden="false" customHeight="false" outlineLevel="0" collapsed="false">
      <c r="A5689" s="912" t="s">
        <v>2515</v>
      </c>
      <c r="B5689" s="29" t="s">
        <v>3983</v>
      </c>
      <c r="C5689" s="391"/>
      <c r="D5689" s="433"/>
      <c r="E5689" s="954"/>
      <c r="F5689" s="954"/>
      <c r="G5689" s="1581"/>
      <c r="H5689" s="1365" t="n">
        <f aca="false">E5689*F5689*G5689</f>
        <v>0</v>
      </c>
      <c r="I5689" s="1365" t="n">
        <f aca="false">F5689-H5689</f>
        <v>0</v>
      </c>
      <c r="J5689" s="1365" t="n">
        <f aca="false">F5689*G5689</f>
        <v>0</v>
      </c>
      <c r="K5689" s="1365" t="n">
        <f aca="false">J5689/1792.8</f>
        <v>0</v>
      </c>
      <c r="L5689" s="966"/>
      <c r="M5689" s="1286"/>
    </row>
    <row r="5690" customFormat="false" ht="15" hidden="false" customHeight="false" outlineLevel="0" collapsed="false">
      <c r="A5690" s="317"/>
      <c r="B5690" s="59"/>
      <c r="C5690" s="1161" t="s">
        <v>7247</v>
      </c>
      <c r="D5690" s="317" t="n">
        <v>2004</v>
      </c>
      <c r="E5690" s="1365" t="n">
        <v>6</v>
      </c>
      <c r="F5690" s="1365" t="n">
        <v>202860</v>
      </c>
      <c r="G5690" s="1364" t="n">
        <v>0.1</v>
      </c>
      <c r="H5690" s="1365" t="n">
        <f aca="false">E5690*F5690*G5690</f>
        <v>121716</v>
      </c>
      <c r="I5690" s="1365" t="n">
        <f aca="false">F5690-H5690</f>
        <v>81144</v>
      </c>
      <c r="J5690" s="1365" t="n">
        <f aca="false">F5690*G5690</f>
        <v>20286</v>
      </c>
      <c r="K5690" s="1365" t="n">
        <f aca="false">J5690/1792.8</f>
        <v>11.3152610441767</v>
      </c>
      <c r="L5690" s="1365" t="n">
        <v>2880</v>
      </c>
      <c r="M5690" s="1273" t="n">
        <f aca="false">K5690*L5690/60</f>
        <v>543.132530120482</v>
      </c>
    </row>
    <row r="5691" customFormat="false" ht="15" hidden="false" customHeight="false" outlineLevel="0" collapsed="false">
      <c r="A5691" s="317"/>
      <c r="B5691" s="59"/>
      <c r="C5691" s="1161" t="s">
        <v>7254</v>
      </c>
      <c r="D5691" s="317" t="n">
        <v>2007</v>
      </c>
      <c r="E5691" s="1365" t="n">
        <v>3</v>
      </c>
      <c r="F5691" s="1365" t="n">
        <v>1638000</v>
      </c>
      <c r="G5691" s="1364"/>
      <c r="H5691" s="1365" t="n">
        <f aca="false">E5691*F5691*G5691</f>
        <v>0</v>
      </c>
      <c r="I5691" s="1365" t="n">
        <f aca="false">F5691-H5691</f>
        <v>1638000</v>
      </c>
      <c r="J5691" s="1365" t="n">
        <f aca="false">F5691*G5691</f>
        <v>0</v>
      </c>
      <c r="K5691" s="1365" t="n">
        <f aca="false">J5691/1792.8</f>
        <v>0</v>
      </c>
      <c r="L5691" s="1365"/>
      <c r="M5691" s="1273" t="n">
        <f aca="false">K5691*L5691/60</f>
        <v>0</v>
      </c>
    </row>
    <row r="5692" customFormat="false" ht="15" hidden="false" customHeight="false" outlineLevel="0" collapsed="false">
      <c r="A5692" s="317"/>
      <c r="B5692" s="59"/>
      <c r="C5692" s="1161" t="s">
        <v>7158</v>
      </c>
      <c r="D5692" s="317" t="n">
        <v>2004</v>
      </c>
      <c r="E5692" s="1365" t="n">
        <v>6</v>
      </c>
      <c r="F5692" s="1365" t="n">
        <v>6985000</v>
      </c>
      <c r="G5692" s="1364" t="n">
        <v>0.1</v>
      </c>
      <c r="H5692" s="1365" t="n">
        <f aca="false">E5692*F5692*G5692</f>
        <v>4191000</v>
      </c>
      <c r="I5692" s="1365" t="n">
        <f aca="false">F5692-H5692</f>
        <v>2794000</v>
      </c>
      <c r="J5692" s="1365" t="n">
        <f aca="false">F5692*G5692</f>
        <v>698500</v>
      </c>
      <c r="K5692" s="1365" t="n">
        <f aca="false">J5692/1792.8</f>
        <v>389.614011601963</v>
      </c>
      <c r="L5692" s="1365" t="n">
        <v>20</v>
      </c>
      <c r="M5692" s="1273" t="n">
        <f aca="false">K5692*L5692/60</f>
        <v>129.871337200654</v>
      </c>
    </row>
    <row r="5693" customFormat="false" ht="15" hidden="false" customHeight="false" outlineLevel="0" collapsed="false">
      <c r="A5693" s="317"/>
      <c r="B5693" s="59"/>
      <c r="C5693" s="1161" t="s">
        <v>7249</v>
      </c>
      <c r="D5693" s="317" t="n">
        <v>2005</v>
      </c>
      <c r="E5693" s="1365" t="n">
        <v>5</v>
      </c>
      <c r="F5693" s="1365" t="n">
        <v>347000</v>
      </c>
      <c r="G5693" s="1364" t="n">
        <v>0.1</v>
      </c>
      <c r="H5693" s="1365" t="n">
        <f aca="false">E5693*F5693*G5693</f>
        <v>173500</v>
      </c>
      <c r="I5693" s="1365" t="n">
        <f aca="false">F5693-H5693</f>
        <v>173500</v>
      </c>
      <c r="J5693" s="1365" t="n">
        <f aca="false">F5693*G5693</f>
        <v>34700</v>
      </c>
      <c r="K5693" s="1365" t="n">
        <f aca="false">J5693/1792.8</f>
        <v>19.355198572066</v>
      </c>
      <c r="L5693" s="1365" t="n">
        <v>60</v>
      </c>
      <c r="M5693" s="1273" t="n">
        <f aca="false">K5693*L5693/60</f>
        <v>19.355198572066</v>
      </c>
    </row>
    <row r="5694" customFormat="false" ht="15" hidden="false" customHeight="false" outlineLevel="0" collapsed="false">
      <c r="A5694" s="317"/>
      <c r="B5694" s="59"/>
      <c r="C5694" s="1161" t="s">
        <v>7245</v>
      </c>
      <c r="D5694" s="317" t="n">
        <v>2005</v>
      </c>
      <c r="E5694" s="1365" t="n">
        <v>5</v>
      </c>
      <c r="F5694" s="1365" t="n">
        <v>347000</v>
      </c>
      <c r="G5694" s="1364" t="n">
        <v>0.1</v>
      </c>
      <c r="H5694" s="1365" t="n">
        <f aca="false">E5694*F5694*G5694</f>
        <v>173500</v>
      </c>
      <c r="I5694" s="1365" t="n">
        <f aca="false">F5694-H5694</f>
        <v>173500</v>
      </c>
      <c r="J5694" s="1365" t="n">
        <f aca="false">F5694*G5694</f>
        <v>34700</v>
      </c>
      <c r="K5694" s="1365" t="n">
        <f aca="false">J5694/1792.8</f>
        <v>19.355198572066</v>
      </c>
      <c r="L5694" s="1365" t="n">
        <v>1440</v>
      </c>
      <c r="M5694" s="1273" t="n">
        <f aca="false">K5694*L5694/60</f>
        <v>464.524765729585</v>
      </c>
    </row>
    <row r="5695" customFormat="false" ht="15" hidden="false" customHeight="false" outlineLevel="0" collapsed="false">
      <c r="A5695" s="317"/>
      <c r="B5695" s="59"/>
      <c r="C5695" s="1161" t="s">
        <v>7256</v>
      </c>
      <c r="D5695" s="317" t="n">
        <v>2004</v>
      </c>
      <c r="E5695" s="1365" t="n">
        <v>6</v>
      </c>
      <c r="F5695" s="1365" t="n">
        <v>6985000</v>
      </c>
      <c r="G5695" s="1364" t="n">
        <v>0.1</v>
      </c>
      <c r="H5695" s="1365" t="n">
        <f aca="false">E5695*F5695*G5695</f>
        <v>4191000</v>
      </c>
      <c r="I5695" s="1365" t="n">
        <f aca="false">F5695-H5695</f>
        <v>2794000</v>
      </c>
      <c r="J5695" s="1365" t="n">
        <f aca="false">F5695*G5695</f>
        <v>698500</v>
      </c>
      <c r="K5695" s="1365" t="n">
        <f aca="false">J5695/1792.8</f>
        <v>389.614011601963</v>
      </c>
      <c r="L5695" s="1365" t="n">
        <v>20</v>
      </c>
      <c r="M5695" s="1273" t="n">
        <f aca="false">K5695*L5695/60</f>
        <v>129.871337200654</v>
      </c>
    </row>
    <row r="5696" customFormat="false" ht="15" hidden="false" customHeight="false" outlineLevel="0" collapsed="false">
      <c r="A5696" s="317"/>
      <c r="B5696" s="59"/>
      <c r="C5696" s="1160"/>
      <c r="D5696" s="135"/>
      <c r="E5696" s="1370"/>
      <c r="F5696" s="1370"/>
      <c r="G5696" s="1372"/>
      <c r="H5696" s="1365" t="n">
        <f aca="false">E5696*F5696*G5696</f>
        <v>0</v>
      </c>
      <c r="I5696" s="1365" t="n">
        <f aca="false">F5696-H5696</f>
        <v>0</v>
      </c>
      <c r="J5696" s="1365" t="n">
        <f aca="false">F5696*G5696</f>
        <v>0</v>
      </c>
      <c r="K5696" s="1365" t="n">
        <f aca="false">J5696/1792.8</f>
        <v>0</v>
      </c>
      <c r="L5696" s="1370" t="n">
        <f aca="false">SUM(L5690:L5695)</f>
        <v>4420</v>
      </c>
      <c r="M5696" s="1370" t="n">
        <f aca="false">SUM(M5690:M5695)</f>
        <v>1286.75516882344</v>
      </c>
    </row>
    <row r="5697" customFormat="false" ht="33" hidden="false" customHeight="true" outlineLevel="0" collapsed="false">
      <c r="A5697" s="317" t="s">
        <v>6665</v>
      </c>
      <c r="B5697" s="29" t="s">
        <v>3984</v>
      </c>
      <c r="C5697" s="135"/>
      <c r="D5697" s="40"/>
      <c r="E5697" s="891"/>
      <c r="F5697" s="891"/>
      <c r="G5697" s="1364"/>
      <c r="H5697" s="1365" t="n">
        <f aca="false">E5697*F5697*G5697</f>
        <v>0</v>
      </c>
      <c r="I5697" s="1365" t="n">
        <f aca="false">F5697-H5697</f>
        <v>0</v>
      </c>
      <c r="J5697" s="1365" t="n">
        <f aca="false">F5697*G5697</f>
        <v>0</v>
      </c>
      <c r="K5697" s="1365" t="n">
        <f aca="false">J5697/1792.8</f>
        <v>0</v>
      </c>
      <c r="L5697" s="1490"/>
      <c r="M5697" s="1366"/>
    </row>
    <row r="5698" customFormat="false" ht="15" hidden="false" customHeight="false" outlineLevel="0" collapsed="false">
      <c r="A5698" s="317"/>
      <c r="B5698" s="59"/>
      <c r="C5698" s="1161" t="s">
        <v>7247</v>
      </c>
      <c r="D5698" s="317" t="n">
        <v>2004</v>
      </c>
      <c r="E5698" s="1365" t="n">
        <v>6</v>
      </c>
      <c r="F5698" s="1365" t="n">
        <v>202860</v>
      </c>
      <c r="G5698" s="1364" t="n">
        <v>0.1</v>
      </c>
      <c r="H5698" s="1365" t="n">
        <f aca="false">E5698*F5698*G5698</f>
        <v>121716</v>
      </c>
      <c r="I5698" s="1365" t="n">
        <f aca="false">F5698-H5698</f>
        <v>81144</v>
      </c>
      <c r="J5698" s="1365" t="n">
        <f aca="false">F5698*G5698</f>
        <v>20286</v>
      </c>
      <c r="K5698" s="1365" t="n">
        <f aca="false">J5698/1792.8</f>
        <v>11.3152610441767</v>
      </c>
      <c r="L5698" s="1365" t="n">
        <v>2880</v>
      </c>
      <c r="M5698" s="1273" t="n">
        <f aca="false">K5698*L5698/60</f>
        <v>543.132530120482</v>
      </c>
    </row>
    <row r="5699" customFormat="false" ht="15" hidden="false" customHeight="false" outlineLevel="0" collapsed="false">
      <c r="A5699" s="317"/>
      <c r="B5699" s="59"/>
      <c r="C5699" s="1161" t="s">
        <v>7254</v>
      </c>
      <c r="D5699" s="317" t="n">
        <v>2007</v>
      </c>
      <c r="E5699" s="1365" t="n">
        <v>3</v>
      </c>
      <c r="F5699" s="1365" t="n">
        <v>1638000</v>
      </c>
      <c r="G5699" s="1364"/>
      <c r="H5699" s="1365" t="n">
        <f aca="false">E5699*F5699*G5699</f>
        <v>0</v>
      </c>
      <c r="I5699" s="1365" t="n">
        <f aca="false">F5699-H5699</f>
        <v>1638000</v>
      </c>
      <c r="J5699" s="1365" t="n">
        <f aca="false">F5699*G5699</f>
        <v>0</v>
      </c>
      <c r="K5699" s="1365" t="n">
        <f aca="false">J5699/1792.8</f>
        <v>0</v>
      </c>
      <c r="L5699" s="1365"/>
      <c r="M5699" s="1273" t="n">
        <f aca="false">K5699*L5699/60</f>
        <v>0</v>
      </c>
    </row>
    <row r="5700" customFormat="false" ht="15" hidden="false" customHeight="false" outlineLevel="0" collapsed="false">
      <c r="A5700" s="317"/>
      <c r="B5700" s="59"/>
      <c r="C5700" s="1161" t="s">
        <v>7158</v>
      </c>
      <c r="D5700" s="317" t="n">
        <v>2004</v>
      </c>
      <c r="E5700" s="1365" t="n">
        <v>6</v>
      </c>
      <c r="F5700" s="1365" t="n">
        <v>6985000</v>
      </c>
      <c r="G5700" s="1364" t="n">
        <v>0.1</v>
      </c>
      <c r="H5700" s="1365" t="n">
        <f aca="false">E5700*F5700*G5700</f>
        <v>4191000</v>
      </c>
      <c r="I5700" s="1365" t="n">
        <f aca="false">F5700-H5700</f>
        <v>2794000</v>
      </c>
      <c r="J5700" s="1365" t="n">
        <f aca="false">F5700*G5700</f>
        <v>698500</v>
      </c>
      <c r="K5700" s="1365" t="n">
        <f aca="false">J5700/1792.8</f>
        <v>389.614011601963</v>
      </c>
      <c r="L5700" s="1365" t="n">
        <v>20</v>
      </c>
      <c r="M5700" s="1273" t="n">
        <f aca="false">K5700*L5700/60</f>
        <v>129.871337200654</v>
      </c>
    </row>
    <row r="5701" customFormat="false" ht="15" hidden="false" customHeight="false" outlineLevel="0" collapsed="false">
      <c r="A5701" s="317"/>
      <c r="B5701" s="59"/>
      <c r="C5701" s="1161" t="s">
        <v>7249</v>
      </c>
      <c r="D5701" s="317" t="n">
        <v>2005</v>
      </c>
      <c r="E5701" s="1365" t="n">
        <v>5</v>
      </c>
      <c r="F5701" s="1365" t="n">
        <v>347000</v>
      </c>
      <c r="G5701" s="1364" t="n">
        <v>0.1</v>
      </c>
      <c r="H5701" s="1365" t="n">
        <f aca="false">E5701*F5701*G5701</f>
        <v>173500</v>
      </c>
      <c r="I5701" s="1365" t="n">
        <f aca="false">F5701-H5701</f>
        <v>173500</v>
      </c>
      <c r="J5701" s="1365" t="n">
        <f aca="false">F5701*G5701</f>
        <v>34700</v>
      </c>
      <c r="K5701" s="1365" t="n">
        <f aca="false">J5701/1792.8</f>
        <v>19.355198572066</v>
      </c>
      <c r="L5701" s="1365" t="n">
        <v>60</v>
      </c>
      <c r="M5701" s="1273" t="n">
        <f aca="false">K5701*L5701/60</f>
        <v>19.355198572066</v>
      </c>
    </row>
    <row r="5702" customFormat="false" ht="15" hidden="false" customHeight="false" outlineLevel="0" collapsed="false">
      <c r="A5702" s="317"/>
      <c r="B5702" s="59"/>
      <c r="C5702" s="1161" t="s">
        <v>7245</v>
      </c>
      <c r="D5702" s="317" t="n">
        <v>2005</v>
      </c>
      <c r="E5702" s="1365" t="n">
        <v>5</v>
      </c>
      <c r="F5702" s="1365" t="n">
        <v>347000</v>
      </c>
      <c r="G5702" s="1364" t="n">
        <v>0.1</v>
      </c>
      <c r="H5702" s="1365" t="n">
        <f aca="false">E5702*F5702*G5702</f>
        <v>173500</v>
      </c>
      <c r="I5702" s="1365" t="n">
        <f aca="false">F5702-H5702</f>
        <v>173500</v>
      </c>
      <c r="J5702" s="1365" t="n">
        <f aca="false">F5702*G5702</f>
        <v>34700</v>
      </c>
      <c r="K5702" s="1365" t="n">
        <f aca="false">J5702/1792.8</f>
        <v>19.355198572066</v>
      </c>
      <c r="L5702" s="1365" t="n">
        <v>1440</v>
      </c>
      <c r="M5702" s="1273" t="n">
        <f aca="false">K5702*L5702/60</f>
        <v>464.524765729585</v>
      </c>
    </row>
    <row r="5703" customFormat="false" ht="15" hidden="false" customHeight="false" outlineLevel="0" collapsed="false">
      <c r="A5703" s="317"/>
      <c r="B5703" s="59"/>
      <c r="C5703" s="1161" t="s">
        <v>7256</v>
      </c>
      <c r="D5703" s="317" t="n">
        <v>2004</v>
      </c>
      <c r="E5703" s="1365" t="n">
        <v>6</v>
      </c>
      <c r="F5703" s="1365" t="n">
        <v>6985000</v>
      </c>
      <c r="G5703" s="1364" t="n">
        <v>0.1</v>
      </c>
      <c r="H5703" s="1365" t="n">
        <f aca="false">E5703*F5703*G5703</f>
        <v>4191000</v>
      </c>
      <c r="I5703" s="1365" t="n">
        <f aca="false">F5703-H5703</f>
        <v>2794000</v>
      </c>
      <c r="J5703" s="1365" t="n">
        <f aca="false">F5703*G5703</f>
        <v>698500</v>
      </c>
      <c r="K5703" s="1365" t="n">
        <f aca="false">J5703/1792.8</f>
        <v>389.614011601963</v>
      </c>
      <c r="L5703" s="1365" t="n">
        <v>20</v>
      </c>
      <c r="M5703" s="1273" t="n">
        <f aca="false">K5703*L5703/60</f>
        <v>129.871337200654</v>
      </c>
    </row>
    <row r="5704" customFormat="false" ht="15" hidden="false" customHeight="false" outlineLevel="0" collapsed="false">
      <c r="A5704" s="317"/>
      <c r="B5704" s="59"/>
      <c r="C5704" s="1160"/>
      <c r="D5704" s="135"/>
      <c r="E5704" s="1370"/>
      <c r="F5704" s="1370"/>
      <c r="G5704" s="1372"/>
      <c r="H5704" s="1365" t="n">
        <f aca="false">E5704*F5704*G5704</f>
        <v>0</v>
      </c>
      <c r="I5704" s="1365" t="n">
        <f aca="false">F5704-H5704</f>
        <v>0</v>
      </c>
      <c r="J5704" s="1365" t="n">
        <f aca="false">F5704*G5704</f>
        <v>0</v>
      </c>
      <c r="K5704" s="1365" t="n">
        <f aca="false">J5704/1792.8</f>
        <v>0</v>
      </c>
      <c r="L5704" s="1370" t="n">
        <f aca="false">SUM(L5698:L5703)</f>
        <v>4420</v>
      </c>
      <c r="M5704" s="1370" t="n">
        <f aca="false">SUM(M5698:M5703)</f>
        <v>1286.75516882344</v>
      </c>
    </row>
    <row r="5705" customFormat="false" ht="45" hidden="false" customHeight="false" outlineLevel="0" collapsed="false">
      <c r="A5705" s="317" t="s">
        <v>2519</v>
      </c>
      <c r="B5705" s="29" t="s">
        <v>3985</v>
      </c>
      <c r="C5705" s="135"/>
      <c r="D5705" s="40"/>
      <c r="E5705" s="891"/>
      <c r="F5705" s="891"/>
      <c r="G5705" s="1364"/>
      <c r="H5705" s="1365" t="n">
        <f aca="false">E5705*F5705*G5705</f>
        <v>0</v>
      </c>
      <c r="I5705" s="1365" t="n">
        <f aca="false">F5705-H5705</f>
        <v>0</v>
      </c>
      <c r="J5705" s="1365" t="n">
        <f aca="false">F5705*G5705</f>
        <v>0</v>
      </c>
      <c r="K5705" s="1365" t="n">
        <f aca="false">J5705/1792.8</f>
        <v>0</v>
      </c>
      <c r="L5705" s="1490"/>
      <c r="M5705" s="1366"/>
    </row>
    <row r="5706" customFormat="false" ht="15" hidden="false" customHeight="false" outlineLevel="0" collapsed="false">
      <c r="A5706" s="317"/>
      <c r="B5706" s="59"/>
      <c r="C5706" s="1161" t="s">
        <v>7247</v>
      </c>
      <c r="D5706" s="317" t="n">
        <v>2004</v>
      </c>
      <c r="E5706" s="1365" t="n">
        <v>6</v>
      </c>
      <c r="F5706" s="1365" t="n">
        <v>202860</v>
      </c>
      <c r="G5706" s="1364" t="n">
        <v>0.1</v>
      </c>
      <c r="H5706" s="1365" t="n">
        <f aca="false">E5706*F5706*G5706</f>
        <v>121716</v>
      </c>
      <c r="I5706" s="1365" t="n">
        <f aca="false">F5706-H5706</f>
        <v>81144</v>
      </c>
      <c r="J5706" s="1365" t="n">
        <f aca="false">F5706*G5706</f>
        <v>20286</v>
      </c>
      <c r="K5706" s="1365" t="n">
        <f aca="false">J5706/1792.8</f>
        <v>11.3152610441767</v>
      </c>
      <c r="L5706" s="1365" t="n">
        <v>2880</v>
      </c>
      <c r="M5706" s="1273" t="n">
        <f aca="false">K5706*L5706/60</f>
        <v>543.132530120482</v>
      </c>
    </row>
    <row r="5707" customFormat="false" ht="15" hidden="false" customHeight="false" outlineLevel="0" collapsed="false">
      <c r="A5707" s="317"/>
      <c r="B5707" s="59"/>
      <c r="C5707" s="1161" t="s">
        <v>7254</v>
      </c>
      <c r="D5707" s="317" t="n">
        <v>2007</v>
      </c>
      <c r="E5707" s="1365" t="n">
        <v>3</v>
      </c>
      <c r="F5707" s="1365" t="n">
        <v>1638000</v>
      </c>
      <c r="G5707" s="1364"/>
      <c r="H5707" s="1365" t="n">
        <f aca="false">E5707*F5707*G5707</f>
        <v>0</v>
      </c>
      <c r="I5707" s="1365" t="n">
        <f aca="false">F5707-H5707</f>
        <v>1638000</v>
      </c>
      <c r="J5707" s="1365" t="n">
        <f aca="false">F5707*G5707</f>
        <v>0</v>
      </c>
      <c r="K5707" s="1365" t="n">
        <f aca="false">J5707/1792.8</f>
        <v>0</v>
      </c>
      <c r="L5707" s="1365"/>
      <c r="M5707" s="1273" t="n">
        <f aca="false">K5707*L5707/60</f>
        <v>0</v>
      </c>
    </row>
    <row r="5708" customFormat="false" ht="15" hidden="false" customHeight="false" outlineLevel="0" collapsed="false">
      <c r="A5708" s="317"/>
      <c r="B5708" s="59"/>
      <c r="C5708" s="1161" t="s">
        <v>7158</v>
      </c>
      <c r="D5708" s="317" t="n">
        <v>2004</v>
      </c>
      <c r="E5708" s="1365" t="n">
        <v>6</v>
      </c>
      <c r="F5708" s="1365" t="n">
        <v>6985000</v>
      </c>
      <c r="G5708" s="1364" t="n">
        <v>0.1</v>
      </c>
      <c r="H5708" s="1365" t="n">
        <f aca="false">E5708*F5708*G5708</f>
        <v>4191000</v>
      </c>
      <c r="I5708" s="1365" t="n">
        <f aca="false">F5708-H5708</f>
        <v>2794000</v>
      </c>
      <c r="J5708" s="1365" t="n">
        <f aca="false">F5708*G5708</f>
        <v>698500</v>
      </c>
      <c r="K5708" s="1365" t="n">
        <f aca="false">J5708/1792.8</f>
        <v>389.614011601963</v>
      </c>
      <c r="L5708" s="1365" t="n">
        <v>20</v>
      </c>
      <c r="M5708" s="1273" t="n">
        <f aca="false">K5708*L5708/60</f>
        <v>129.871337200654</v>
      </c>
    </row>
    <row r="5709" customFormat="false" ht="15" hidden="false" customHeight="false" outlineLevel="0" collapsed="false">
      <c r="A5709" s="317"/>
      <c r="B5709" s="59"/>
      <c r="C5709" s="1161" t="s">
        <v>7249</v>
      </c>
      <c r="D5709" s="317" t="n">
        <v>2005</v>
      </c>
      <c r="E5709" s="1365" t="n">
        <v>5</v>
      </c>
      <c r="F5709" s="1365" t="n">
        <v>347000</v>
      </c>
      <c r="G5709" s="1364" t="n">
        <v>0.1</v>
      </c>
      <c r="H5709" s="1365" t="n">
        <f aca="false">E5709*F5709*G5709</f>
        <v>173500</v>
      </c>
      <c r="I5709" s="1365" t="n">
        <f aca="false">F5709-H5709</f>
        <v>173500</v>
      </c>
      <c r="J5709" s="1365" t="n">
        <f aca="false">F5709*G5709</f>
        <v>34700</v>
      </c>
      <c r="K5709" s="1365" t="n">
        <f aca="false">J5709/1792.8</f>
        <v>19.355198572066</v>
      </c>
      <c r="L5709" s="1365" t="n">
        <v>60</v>
      </c>
      <c r="M5709" s="1273" t="n">
        <f aca="false">K5709*L5709/60</f>
        <v>19.355198572066</v>
      </c>
    </row>
    <row r="5710" customFormat="false" ht="15" hidden="false" customHeight="false" outlineLevel="0" collapsed="false">
      <c r="A5710" s="317"/>
      <c r="B5710" s="59"/>
      <c r="C5710" s="1161" t="s">
        <v>7245</v>
      </c>
      <c r="D5710" s="317" t="n">
        <v>2005</v>
      </c>
      <c r="E5710" s="1365" t="n">
        <v>5</v>
      </c>
      <c r="F5710" s="1365" t="n">
        <v>347000</v>
      </c>
      <c r="G5710" s="1364" t="n">
        <v>0.1</v>
      </c>
      <c r="H5710" s="1365" t="n">
        <f aca="false">E5710*F5710*G5710</f>
        <v>173500</v>
      </c>
      <c r="I5710" s="1365" t="n">
        <f aca="false">F5710-H5710</f>
        <v>173500</v>
      </c>
      <c r="J5710" s="1365" t="n">
        <f aca="false">F5710*G5710</f>
        <v>34700</v>
      </c>
      <c r="K5710" s="1365" t="n">
        <f aca="false">J5710/1792.8</f>
        <v>19.355198572066</v>
      </c>
      <c r="L5710" s="1365" t="n">
        <v>1440</v>
      </c>
      <c r="M5710" s="1273" t="n">
        <f aca="false">K5710*L5710/60</f>
        <v>464.524765729585</v>
      </c>
    </row>
    <row r="5711" customFormat="false" ht="15" hidden="false" customHeight="false" outlineLevel="0" collapsed="false">
      <c r="A5711" s="317"/>
      <c r="B5711" s="59"/>
      <c r="C5711" s="1161" t="s">
        <v>7256</v>
      </c>
      <c r="D5711" s="317" t="n">
        <v>2004</v>
      </c>
      <c r="E5711" s="1365" t="n">
        <v>6</v>
      </c>
      <c r="F5711" s="1365" t="n">
        <v>6985000</v>
      </c>
      <c r="G5711" s="1364" t="n">
        <v>0.1</v>
      </c>
      <c r="H5711" s="1365" t="n">
        <f aca="false">E5711*F5711*G5711</f>
        <v>4191000</v>
      </c>
      <c r="I5711" s="1365" t="n">
        <f aca="false">F5711-H5711</f>
        <v>2794000</v>
      </c>
      <c r="J5711" s="1365" t="n">
        <f aca="false">F5711*G5711</f>
        <v>698500</v>
      </c>
      <c r="K5711" s="1365" t="n">
        <f aca="false">J5711/1792.8</f>
        <v>389.614011601963</v>
      </c>
      <c r="L5711" s="1365" t="n">
        <v>20</v>
      </c>
      <c r="M5711" s="1273" t="n">
        <f aca="false">K5711*L5711/60</f>
        <v>129.871337200654</v>
      </c>
    </row>
    <row r="5712" customFormat="false" ht="15" hidden="false" customHeight="false" outlineLevel="0" collapsed="false">
      <c r="A5712" s="317"/>
      <c r="B5712" s="59"/>
      <c r="C5712" s="1160"/>
      <c r="D5712" s="135"/>
      <c r="E5712" s="1370"/>
      <c r="F5712" s="1370"/>
      <c r="G5712" s="1372"/>
      <c r="H5712" s="1365" t="n">
        <f aca="false">E5712*F5712*G5712</f>
        <v>0</v>
      </c>
      <c r="I5712" s="1365" t="n">
        <f aca="false">F5712-H5712</f>
        <v>0</v>
      </c>
      <c r="J5712" s="1365" t="n">
        <f aca="false">F5712*G5712</f>
        <v>0</v>
      </c>
      <c r="K5712" s="1365" t="n">
        <f aca="false">J5712/1792.8</f>
        <v>0</v>
      </c>
      <c r="L5712" s="1370" t="n">
        <f aca="false">SUM(L5706:L5711)</f>
        <v>4420</v>
      </c>
      <c r="M5712" s="1370" t="n">
        <f aca="false">SUM(M5706:M5711)</f>
        <v>1286.75516882344</v>
      </c>
    </row>
    <row r="5713" customFormat="false" ht="24.75" hidden="false" customHeight="true" outlineLevel="0" collapsed="false">
      <c r="A5713" s="1582" t="s">
        <v>2521</v>
      </c>
      <c r="B5713" s="1101" t="s">
        <v>3751</v>
      </c>
      <c r="C5713" s="1569"/>
      <c r="D5713" s="339"/>
      <c r="E5713" s="1246"/>
      <c r="F5713" s="1246"/>
      <c r="G5713" s="1570"/>
      <c r="H5713" s="1512"/>
      <c r="I5713" s="1512"/>
      <c r="J5713" s="1512"/>
      <c r="K5713" s="1512"/>
      <c r="L5713" s="1246"/>
      <c r="M5713" s="1246"/>
    </row>
    <row r="5714" s="311" customFormat="true" ht="60" hidden="false" customHeight="false" outlineLevel="0" collapsed="false">
      <c r="A5714" s="1428" t="s">
        <v>6670</v>
      </c>
      <c r="B5714" s="1583" t="s">
        <v>7286</v>
      </c>
      <c r="C5714" s="1584"/>
      <c r="E5714" s="1525"/>
      <c r="F5714" s="1525"/>
      <c r="G5714" s="1526"/>
      <c r="H5714" s="1365"/>
      <c r="I5714" s="1365"/>
      <c r="J5714" s="1365"/>
      <c r="K5714" s="1365"/>
      <c r="L5714" s="1585"/>
      <c r="M5714" s="1580"/>
    </row>
    <row r="5715" customFormat="false" ht="15" hidden="false" customHeight="false" outlineLevel="0" collapsed="false">
      <c r="A5715" s="317"/>
      <c r="B5715" s="59"/>
      <c r="C5715" s="1161" t="s">
        <v>7247</v>
      </c>
      <c r="D5715" s="317" t="n">
        <v>2004</v>
      </c>
      <c r="E5715" s="1365" t="n">
        <v>6</v>
      </c>
      <c r="F5715" s="1365" t="n">
        <v>202860</v>
      </c>
      <c r="G5715" s="1364" t="n">
        <v>0.1</v>
      </c>
      <c r="H5715" s="1365" t="n">
        <f aca="false">E5715*F5715*G5715</f>
        <v>121716</v>
      </c>
      <c r="I5715" s="1365" t="n">
        <f aca="false">F5715-H5715</f>
        <v>81144</v>
      </c>
      <c r="J5715" s="1365" t="n">
        <f aca="false">F5715*G5715</f>
        <v>20286</v>
      </c>
      <c r="K5715" s="1365" t="n">
        <f aca="false">J5715/1792.8</f>
        <v>11.3152610441767</v>
      </c>
      <c r="L5715" s="1365" t="n">
        <v>2880</v>
      </c>
      <c r="M5715" s="1273" t="n">
        <f aca="false">K5715*L5715/60</f>
        <v>543.132530120482</v>
      </c>
    </row>
    <row r="5716" customFormat="false" ht="15" hidden="false" customHeight="false" outlineLevel="0" collapsed="false">
      <c r="A5716" s="317"/>
      <c r="B5716" s="59"/>
      <c r="C5716" s="1161" t="s">
        <v>7254</v>
      </c>
      <c r="D5716" s="317" t="n">
        <v>2007</v>
      </c>
      <c r="E5716" s="1365" t="n">
        <v>3</v>
      </c>
      <c r="F5716" s="1365" t="n">
        <v>1638000</v>
      </c>
      <c r="G5716" s="1364"/>
      <c r="H5716" s="1365" t="n">
        <f aca="false">E5716*F5716*G5716</f>
        <v>0</v>
      </c>
      <c r="I5716" s="1365" t="n">
        <f aca="false">F5716-H5716</f>
        <v>1638000</v>
      </c>
      <c r="J5716" s="1365" t="n">
        <f aca="false">F5716*G5716</f>
        <v>0</v>
      </c>
      <c r="K5716" s="1365" t="n">
        <f aca="false">J5716/1792.8</f>
        <v>0</v>
      </c>
      <c r="L5716" s="1365"/>
      <c r="M5716" s="1273" t="n">
        <f aca="false">K5716*L5716/60</f>
        <v>0</v>
      </c>
    </row>
    <row r="5717" customFormat="false" ht="15" hidden="false" customHeight="false" outlineLevel="0" collapsed="false">
      <c r="A5717" s="317"/>
      <c r="B5717" s="59"/>
      <c r="C5717" s="1161" t="s">
        <v>7158</v>
      </c>
      <c r="D5717" s="317" t="n">
        <v>2004</v>
      </c>
      <c r="E5717" s="1365" t="n">
        <v>6</v>
      </c>
      <c r="F5717" s="1365" t="n">
        <v>6985000</v>
      </c>
      <c r="G5717" s="1364" t="n">
        <v>0.1</v>
      </c>
      <c r="H5717" s="1365" t="n">
        <f aca="false">E5717*F5717*G5717</f>
        <v>4191000</v>
      </c>
      <c r="I5717" s="1365" t="n">
        <f aca="false">F5717-H5717</f>
        <v>2794000</v>
      </c>
      <c r="J5717" s="1365" t="n">
        <f aca="false">F5717*G5717</f>
        <v>698500</v>
      </c>
      <c r="K5717" s="1365" t="n">
        <f aca="false">J5717/1792.8</f>
        <v>389.614011601963</v>
      </c>
      <c r="L5717" s="1365" t="n">
        <v>20</v>
      </c>
      <c r="M5717" s="1273" t="n">
        <f aca="false">K5717*L5717/60</f>
        <v>129.871337200654</v>
      </c>
    </row>
    <row r="5718" customFormat="false" ht="15" hidden="false" customHeight="false" outlineLevel="0" collapsed="false">
      <c r="A5718" s="317"/>
      <c r="B5718" s="59"/>
      <c r="C5718" s="1161" t="s">
        <v>7249</v>
      </c>
      <c r="D5718" s="317" t="n">
        <v>2005</v>
      </c>
      <c r="E5718" s="1365" t="n">
        <v>5</v>
      </c>
      <c r="F5718" s="1365" t="n">
        <v>347000</v>
      </c>
      <c r="G5718" s="1364" t="n">
        <v>0.1</v>
      </c>
      <c r="H5718" s="1365" t="n">
        <f aca="false">E5718*F5718*G5718</f>
        <v>173500</v>
      </c>
      <c r="I5718" s="1365" t="n">
        <f aca="false">F5718-H5718</f>
        <v>173500</v>
      </c>
      <c r="J5718" s="1365" t="n">
        <f aca="false">F5718*G5718</f>
        <v>34700</v>
      </c>
      <c r="K5718" s="1365" t="n">
        <f aca="false">J5718/1792.8</f>
        <v>19.355198572066</v>
      </c>
      <c r="L5718" s="1365" t="n">
        <v>60</v>
      </c>
      <c r="M5718" s="1273" t="n">
        <f aca="false">K5718*L5718/60</f>
        <v>19.355198572066</v>
      </c>
    </row>
    <row r="5719" customFormat="false" ht="15" hidden="false" customHeight="false" outlineLevel="0" collapsed="false">
      <c r="A5719" s="28"/>
      <c r="C5719" s="1161" t="s">
        <v>7245</v>
      </c>
      <c r="D5719" s="317" t="n">
        <v>2005</v>
      </c>
      <c r="E5719" s="1365" t="n">
        <v>5</v>
      </c>
      <c r="F5719" s="1365" t="n">
        <v>347000</v>
      </c>
      <c r="G5719" s="1364" t="n">
        <v>0.1</v>
      </c>
      <c r="H5719" s="1365" t="n">
        <f aca="false">E5719*F5719*G5719</f>
        <v>173500</v>
      </c>
      <c r="I5719" s="1365" t="n">
        <f aca="false">F5719-H5719</f>
        <v>173500</v>
      </c>
      <c r="J5719" s="1365" t="n">
        <f aca="false">F5719*G5719</f>
        <v>34700</v>
      </c>
      <c r="K5719" s="1365" t="n">
        <f aca="false">J5719/1792.8</f>
        <v>19.355198572066</v>
      </c>
      <c r="L5719" s="1365" t="n">
        <v>30</v>
      </c>
      <c r="M5719" s="1273" t="n">
        <f aca="false">K5719*L5719/60</f>
        <v>9.67759928603302</v>
      </c>
    </row>
    <row r="5720" customFormat="false" ht="15" hidden="false" customHeight="false" outlineLevel="0" collapsed="false">
      <c r="A5720" s="317"/>
      <c r="B5720" s="59"/>
      <c r="C5720" s="1161" t="s">
        <v>7256</v>
      </c>
      <c r="D5720" s="317" t="n">
        <v>2004</v>
      </c>
      <c r="E5720" s="1365" t="n">
        <v>6</v>
      </c>
      <c r="F5720" s="1365" t="n">
        <v>6985000</v>
      </c>
      <c r="G5720" s="1364" t="n">
        <v>0.1</v>
      </c>
      <c r="H5720" s="1365" t="n">
        <f aca="false">E5720*F5720*G5720</f>
        <v>4191000</v>
      </c>
      <c r="I5720" s="1365" t="n">
        <f aca="false">F5720-H5720</f>
        <v>2794000</v>
      </c>
      <c r="J5720" s="1365" t="n">
        <f aca="false">F5720*G5720</f>
        <v>698500</v>
      </c>
      <c r="K5720" s="1365" t="n">
        <f aca="false">J5720/1792.8</f>
        <v>389.614011601963</v>
      </c>
      <c r="L5720" s="1365" t="n">
        <v>20</v>
      </c>
      <c r="M5720" s="1273" t="n">
        <f aca="false">K5720*L5720/60</f>
        <v>129.871337200654</v>
      </c>
    </row>
    <row r="5721" customFormat="false" ht="15" hidden="false" customHeight="false" outlineLevel="0" collapsed="false">
      <c r="A5721" s="317"/>
      <c r="B5721" s="59"/>
      <c r="C5721" s="1160"/>
      <c r="D5721" s="135"/>
      <c r="E5721" s="1370"/>
      <c r="F5721" s="1370"/>
      <c r="G5721" s="1372"/>
      <c r="H5721" s="1365" t="n">
        <f aca="false">E5721*F5721*G5721</f>
        <v>0</v>
      </c>
      <c r="I5721" s="1365" t="n">
        <f aca="false">F5721-H5721</f>
        <v>0</v>
      </c>
      <c r="J5721" s="1365" t="n">
        <f aca="false">F5721*G5721</f>
        <v>0</v>
      </c>
      <c r="K5721" s="1365" t="n">
        <f aca="false">J5721/1792.8</f>
        <v>0</v>
      </c>
      <c r="L5721" s="1370" t="n">
        <f aca="false">SUM(L5715:L5720)</f>
        <v>3010</v>
      </c>
      <c r="M5721" s="1370" t="n">
        <f aca="false">SUM(M5715:M5720)</f>
        <v>831.90800237989</v>
      </c>
    </row>
    <row r="5722" customFormat="false" ht="30" hidden="false" customHeight="false" outlineLevel="0" collapsed="false">
      <c r="A5722" s="1389" t="s">
        <v>6674</v>
      </c>
      <c r="B5722" s="1586" t="s">
        <v>3987</v>
      </c>
      <c r="C5722" s="1471" t="s">
        <v>7247</v>
      </c>
      <c r="D5722" s="1389" t="n">
        <v>2004</v>
      </c>
      <c r="E5722" s="1512" t="n">
        <v>6</v>
      </c>
      <c r="F5722" s="1512" t="n">
        <v>202860</v>
      </c>
      <c r="G5722" s="1513" t="n">
        <v>0.1</v>
      </c>
      <c r="H5722" s="1512" t="n">
        <f aca="false">E5722*F5722*G5722</f>
        <v>121716</v>
      </c>
      <c r="I5722" s="1512" t="n">
        <f aca="false">F5722-H5722</f>
        <v>81144</v>
      </c>
      <c r="J5722" s="1512" t="n">
        <f aca="false">F5722*G5722</f>
        <v>20286</v>
      </c>
      <c r="K5722" s="1512" t="n">
        <f aca="false">J5722/1792.8</f>
        <v>11.3152610441767</v>
      </c>
      <c r="L5722" s="1512" t="n">
        <v>1440</v>
      </c>
      <c r="M5722" s="1511" t="n">
        <f aca="false">K5722*L5722/60</f>
        <v>271.566265060241</v>
      </c>
    </row>
    <row r="5723" customFormat="false" ht="15" hidden="false" customHeight="false" outlineLevel="0" collapsed="false">
      <c r="A5723" s="317"/>
      <c r="B5723" s="59"/>
      <c r="C5723" s="1161" t="s">
        <v>7254</v>
      </c>
      <c r="D5723" s="317" t="n">
        <v>2007</v>
      </c>
      <c r="E5723" s="1365" t="n">
        <v>3</v>
      </c>
      <c r="F5723" s="1365" t="n">
        <v>1638000</v>
      </c>
      <c r="G5723" s="1364"/>
      <c r="H5723" s="1365" t="n">
        <f aca="false">E5723*F5723*G5723</f>
        <v>0</v>
      </c>
      <c r="I5723" s="1365" t="n">
        <f aca="false">F5723-H5723</f>
        <v>1638000</v>
      </c>
      <c r="J5723" s="1365" t="n">
        <f aca="false">F5723*G5723</f>
        <v>0</v>
      </c>
      <c r="K5723" s="1365" t="n">
        <f aca="false">J5723/1792.8</f>
        <v>0</v>
      </c>
      <c r="L5723" s="1365"/>
      <c r="M5723" s="1273" t="n">
        <f aca="false">K5723*L5723/60</f>
        <v>0</v>
      </c>
    </row>
    <row r="5724" customFormat="false" ht="15" hidden="false" customHeight="false" outlineLevel="0" collapsed="false">
      <c r="A5724" s="317"/>
      <c r="B5724" s="59"/>
      <c r="C5724" s="1161" t="s">
        <v>7158</v>
      </c>
      <c r="D5724" s="317" t="n">
        <v>2004</v>
      </c>
      <c r="E5724" s="1365" t="n">
        <v>6</v>
      </c>
      <c r="F5724" s="1365" t="n">
        <v>6985000</v>
      </c>
      <c r="G5724" s="1364" t="n">
        <v>0.1</v>
      </c>
      <c r="H5724" s="1365" t="n">
        <f aca="false">E5724*F5724*G5724</f>
        <v>4191000</v>
      </c>
      <c r="I5724" s="1365" t="n">
        <f aca="false">F5724-H5724</f>
        <v>2794000</v>
      </c>
      <c r="J5724" s="1365" t="n">
        <f aca="false">F5724*G5724</f>
        <v>698500</v>
      </c>
      <c r="K5724" s="1365" t="n">
        <f aca="false">J5724/1792.8</f>
        <v>389.614011601963</v>
      </c>
      <c r="L5724" s="1365" t="n">
        <v>20</v>
      </c>
      <c r="M5724" s="1273" t="n">
        <f aca="false">K5724*L5724/60</f>
        <v>129.871337200654</v>
      </c>
    </row>
    <row r="5725" customFormat="false" ht="15" hidden="false" customHeight="false" outlineLevel="0" collapsed="false">
      <c r="A5725" s="317"/>
      <c r="B5725" s="59"/>
      <c r="C5725" s="1161" t="s">
        <v>7249</v>
      </c>
      <c r="D5725" s="317" t="n">
        <v>2005</v>
      </c>
      <c r="E5725" s="1365" t="n">
        <v>5</v>
      </c>
      <c r="F5725" s="1365" t="n">
        <v>347000</v>
      </c>
      <c r="G5725" s="1364" t="n">
        <v>0.1</v>
      </c>
      <c r="H5725" s="1365" t="n">
        <f aca="false">E5725*F5725*G5725</f>
        <v>173500</v>
      </c>
      <c r="I5725" s="1365" t="n">
        <f aca="false">F5725-H5725</f>
        <v>173500</v>
      </c>
      <c r="J5725" s="1365" t="n">
        <f aca="false">F5725*G5725</f>
        <v>34700</v>
      </c>
      <c r="K5725" s="1365" t="n">
        <f aca="false">J5725/1792.8</f>
        <v>19.355198572066</v>
      </c>
      <c r="L5725" s="1365" t="n">
        <v>60</v>
      </c>
      <c r="M5725" s="1273" t="n">
        <f aca="false">K5725*L5725/60</f>
        <v>19.355198572066</v>
      </c>
    </row>
    <row r="5726" customFormat="false" ht="15" hidden="false" customHeight="false" outlineLevel="0" collapsed="false">
      <c r="A5726" s="317"/>
      <c r="B5726" s="59"/>
      <c r="C5726" s="1161" t="s">
        <v>7245</v>
      </c>
      <c r="D5726" s="317" t="n">
        <v>2005</v>
      </c>
      <c r="E5726" s="1365" t="n">
        <v>5</v>
      </c>
      <c r="F5726" s="1365" t="n">
        <v>347000</v>
      </c>
      <c r="G5726" s="1364" t="n">
        <v>0.1</v>
      </c>
      <c r="H5726" s="1365" t="n">
        <f aca="false">E5726*F5726*G5726</f>
        <v>173500</v>
      </c>
      <c r="I5726" s="1365" t="n">
        <f aca="false">F5726-H5726</f>
        <v>173500</v>
      </c>
      <c r="J5726" s="1365" t="n">
        <f aca="false">F5726*G5726</f>
        <v>34700</v>
      </c>
      <c r="K5726" s="1365" t="n">
        <f aca="false">J5726/1792.8</f>
        <v>19.355198572066</v>
      </c>
      <c r="L5726" s="1365" t="n">
        <v>30</v>
      </c>
      <c r="M5726" s="1273" t="n">
        <f aca="false">K5726*L5726/60</f>
        <v>9.67759928603302</v>
      </c>
    </row>
    <row r="5727" customFormat="false" ht="15" hidden="false" customHeight="false" outlineLevel="0" collapsed="false">
      <c r="A5727" s="317"/>
      <c r="B5727" s="59"/>
      <c r="C5727" s="1161" t="s">
        <v>7256</v>
      </c>
      <c r="D5727" s="317" t="n">
        <v>2004</v>
      </c>
      <c r="E5727" s="1365" t="n">
        <v>6</v>
      </c>
      <c r="F5727" s="1365" t="n">
        <v>6985000</v>
      </c>
      <c r="G5727" s="1364" t="n">
        <v>0.1</v>
      </c>
      <c r="H5727" s="1365" t="n">
        <f aca="false">E5727*F5727*G5727</f>
        <v>4191000</v>
      </c>
      <c r="I5727" s="1365" t="n">
        <f aca="false">F5727-H5727</f>
        <v>2794000</v>
      </c>
      <c r="J5727" s="1365" t="n">
        <f aca="false">F5727*G5727</f>
        <v>698500</v>
      </c>
      <c r="K5727" s="1365" t="n">
        <f aca="false">J5727/1792.8</f>
        <v>389.614011601963</v>
      </c>
      <c r="L5727" s="1365" t="n">
        <v>20</v>
      </c>
      <c r="M5727" s="1273" t="n">
        <f aca="false">K5727*L5727/60</f>
        <v>129.871337200654</v>
      </c>
    </row>
    <row r="5728" customFormat="false" ht="15" hidden="false" customHeight="false" outlineLevel="0" collapsed="false">
      <c r="A5728" s="317"/>
      <c r="B5728" s="59"/>
      <c r="C5728" s="1160"/>
      <c r="D5728" s="135"/>
      <c r="E5728" s="1370"/>
      <c r="F5728" s="1370"/>
      <c r="G5728" s="1372"/>
      <c r="H5728" s="1365"/>
      <c r="I5728" s="1365"/>
      <c r="J5728" s="1365"/>
      <c r="K5728" s="1365"/>
      <c r="L5728" s="1370" t="n">
        <f aca="false">SUM(L5722:L5727)</f>
        <v>1570</v>
      </c>
      <c r="M5728" s="1370" t="n">
        <f aca="false">SUM(M5722:M5727)</f>
        <v>560.341737319649</v>
      </c>
    </row>
    <row r="5729" customFormat="false" ht="18.75" hidden="false" customHeight="true" outlineLevel="0" collapsed="false">
      <c r="A5729" s="15" t="s">
        <v>2526</v>
      </c>
      <c r="B5729" s="54" t="s">
        <v>3988</v>
      </c>
      <c r="C5729" s="1387"/>
      <c r="D5729" s="1388"/>
      <c r="E5729" s="1390"/>
      <c r="F5729" s="1390"/>
      <c r="G5729" s="1391"/>
      <c r="H5729" s="1512"/>
      <c r="I5729" s="1512"/>
      <c r="J5729" s="1512"/>
      <c r="K5729" s="1512"/>
      <c r="L5729" s="1390"/>
      <c r="M5729" s="1390"/>
    </row>
    <row r="5730" customFormat="false" ht="45" hidden="false" customHeight="true" outlineLevel="0" collapsed="false">
      <c r="A5730" s="15" t="s">
        <v>2528</v>
      </c>
      <c r="B5730" s="54" t="s">
        <v>3989</v>
      </c>
      <c r="C5730" s="1387"/>
      <c r="D5730" s="1388"/>
      <c r="E5730" s="1390"/>
      <c r="F5730" s="1390"/>
      <c r="G5730" s="1391"/>
      <c r="H5730" s="1512"/>
      <c r="I5730" s="1512"/>
      <c r="J5730" s="1512"/>
      <c r="K5730" s="1512"/>
      <c r="L5730" s="1390"/>
      <c r="M5730" s="1390"/>
    </row>
    <row r="5731" customFormat="false" ht="47.25" hidden="false" customHeight="true" outlineLevel="0" collapsed="false">
      <c r="A5731" s="15" t="s">
        <v>2530</v>
      </c>
      <c r="B5731" s="54" t="s">
        <v>3990</v>
      </c>
      <c r="C5731" s="1387"/>
      <c r="D5731" s="1388"/>
      <c r="E5731" s="1390"/>
      <c r="F5731" s="1390"/>
      <c r="G5731" s="1391"/>
      <c r="H5731" s="1512"/>
      <c r="I5731" s="1512"/>
      <c r="J5731" s="1512"/>
      <c r="K5731" s="1512"/>
      <c r="L5731" s="1390"/>
      <c r="M5731" s="1390"/>
    </row>
    <row r="5732" customFormat="false" ht="71.25" hidden="false" customHeight="true" outlineLevel="0" collapsed="false">
      <c r="A5732" s="15" t="s">
        <v>2532</v>
      </c>
      <c r="B5732" s="54" t="s">
        <v>3991</v>
      </c>
      <c r="C5732" s="1471" t="s">
        <v>7247</v>
      </c>
      <c r="D5732" s="1389" t="n">
        <v>2004</v>
      </c>
      <c r="E5732" s="1512" t="n">
        <v>6</v>
      </c>
      <c r="F5732" s="1512" t="n">
        <v>202860</v>
      </c>
      <c r="G5732" s="1513" t="n">
        <v>0.15</v>
      </c>
      <c r="H5732" s="1512" t="n">
        <f aca="false">E5732*F5732*G5732</f>
        <v>182574</v>
      </c>
      <c r="I5732" s="1512" t="n">
        <f aca="false">F5732-H5732</f>
        <v>20286</v>
      </c>
      <c r="J5732" s="1512" t="n">
        <f aca="false">F5732*G5732</f>
        <v>30429</v>
      </c>
      <c r="K5732" s="1512" t="n">
        <f aca="false">J5732/1792.8</f>
        <v>16.9728915662651</v>
      </c>
      <c r="L5732" s="1512" t="n">
        <v>1440</v>
      </c>
      <c r="M5732" s="1511" t="n">
        <f aca="false">K5732*L5732/60</f>
        <v>407.349397590362</v>
      </c>
    </row>
    <row r="5733" customFormat="false" ht="15" hidden="false" customHeight="false" outlineLevel="0" collapsed="false">
      <c r="A5733" s="28"/>
      <c r="B5733" s="40"/>
      <c r="C5733" s="1161" t="s">
        <v>7249</v>
      </c>
      <c r="D5733" s="317" t="n">
        <v>2006</v>
      </c>
      <c r="E5733" s="1365" t="n">
        <v>4</v>
      </c>
      <c r="F5733" s="1365" t="n">
        <v>55500</v>
      </c>
      <c r="G5733" s="1364" t="n">
        <v>0.1</v>
      </c>
      <c r="H5733" s="1365" t="n">
        <f aca="false">E5733*F5733*G5733</f>
        <v>22200</v>
      </c>
      <c r="I5733" s="1365" t="n">
        <f aca="false">F5733-H5733</f>
        <v>33300</v>
      </c>
      <c r="J5733" s="1365" t="n">
        <f aca="false">F5733*G5733</f>
        <v>5550</v>
      </c>
      <c r="K5733" s="1365" t="n">
        <f aca="false">J5733/1792.8</f>
        <v>3.09571619812584</v>
      </c>
      <c r="L5733" s="1365" t="n">
        <v>10</v>
      </c>
      <c r="M5733" s="1273" t="n">
        <f aca="false">K5733*L5733/60</f>
        <v>0.51595269968764</v>
      </c>
    </row>
    <row r="5734" customFormat="false" ht="15" hidden="false" customHeight="false" outlineLevel="0" collapsed="false">
      <c r="A5734" s="28"/>
      <c r="B5734" s="40"/>
      <c r="C5734" s="1161" t="s">
        <v>7251</v>
      </c>
      <c r="D5734" s="317" t="n">
        <v>2005</v>
      </c>
      <c r="E5734" s="1365" t="n">
        <v>5</v>
      </c>
      <c r="F5734" s="1365" t="n">
        <v>1638000</v>
      </c>
      <c r="G5734" s="1364" t="n">
        <v>0.1</v>
      </c>
      <c r="H5734" s="1365" t="n">
        <f aca="false">E5734*F5734*G5734</f>
        <v>819000</v>
      </c>
      <c r="I5734" s="1365" t="n">
        <f aca="false">F5734-H5734</f>
        <v>819000</v>
      </c>
      <c r="J5734" s="1365" t="n">
        <f aca="false">F5734*G5734</f>
        <v>163800</v>
      </c>
      <c r="K5734" s="1365" t="n">
        <f aca="false">J5734/1792.8</f>
        <v>91.3654618473896</v>
      </c>
      <c r="L5734" s="1365" t="n">
        <v>80</v>
      </c>
      <c r="M5734" s="1273" t="n">
        <f aca="false">K5734*L5734/60</f>
        <v>121.820615796519</v>
      </c>
    </row>
    <row r="5735" customFormat="false" ht="15" hidden="false" customHeight="false" outlineLevel="0" collapsed="false">
      <c r="A5735" s="28"/>
      <c r="B5735" s="40"/>
      <c r="C5735" s="1161" t="s">
        <v>7170</v>
      </c>
      <c r="D5735" s="317" t="n">
        <v>2004</v>
      </c>
      <c r="E5735" s="1365" t="n">
        <v>6</v>
      </c>
      <c r="F5735" s="1365" t="n">
        <v>196670</v>
      </c>
      <c r="G5735" s="1364" t="n">
        <v>0.1</v>
      </c>
      <c r="H5735" s="1365" t="n">
        <f aca="false">E5735*F5735*G5735</f>
        <v>118002</v>
      </c>
      <c r="I5735" s="1365" t="n">
        <f aca="false">F5735-H5735</f>
        <v>78668</v>
      </c>
      <c r="J5735" s="1365" t="n">
        <f aca="false">F5735*G5735</f>
        <v>19667</v>
      </c>
      <c r="K5735" s="1365" t="n">
        <f aca="false">J5735/1792.8</f>
        <v>10.9699910754128</v>
      </c>
      <c r="L5735" s="1365" t="n">
        <v>15</v>
      </c>
      <c r="M5735" s="1273" t="n">
        <f aca="false">K5735*L5735/60</f>
        <v>2.74249776885319</v>
      </c>
    </row>
    <row r="5736" customFormat="false" ht="15" hidden="false" customHeight="false" outlineLevel="0" collapsed="false">
      <c r="A5736" s="28"/>
      <c r="B5736" s="40"/>
      <c r="C5736" s="1161" t="s">
        <v>7158</v>
      </c>
      <c r="D5736" s="317" t="n">
        <v>2004</v>
      </c>
      <c r="E5736" s="1365" t="n">
        <v>6</v>
      </c>
      <c r="F5736" s="1365" t="n">
        <v>6985000</v>
      </c>
      <c r="G5736" s="1364" t="n">
        <v>0.1</v>
      </c>
      <c r="H5736" s="1365" t="n">
        <f aca="false">E5736*F5736*G5736</f>
        <v>4191000</v>
      </c>
      <c r="I5736" s="1365" t="n">
        <f aca="false">F5736-H5736</f>
        <v>2794000</v>
      </c>
      <c r="J5736" s="1365" t="n">
        <f aca="false">F5736*G5736</f>
        <v>698500</v>
      </c>
      <c r="K5736" s="1365" t="n">
        <f aca="false">J5736/1792.8</f>
        <v>389.614011601963</v>
      </c>
      <c r="L5736" s="1365" t="n">
        <v>20</v>
      </c>
      <c r="M5736" s="1273" t="n">
        <f aca="false">K5736*L5736/60</f>
        <v>129.871337200654</v>
      </c>
    </row>
    <row r="5737" customFormat="false" ht="34.5" hidden="false" customHeight="true" outlineLevel="0" collapsed="false">
      <c r="A5737" s="28"/>
      <c r="B5737" s="40"/>
      <c r="C5737" s="1160"/>
      <c r="D5737" s="135"/>
      <c r="E5737" s="1370"/>
      <c r="F5737" s="1370"/>
      <c r="G5737" s="1372"/>
      <c r="H5737" s="1365" t="n">
        <f aca="false">E5737*F5737*G5737</f>
        <v>0</v>
      </c>
      <c r="I5737" s="1365" t="n">
        <f aca="false">F5737-H5737</f>
        <v>0</v>
      </c>
      <c r="J5737" s="1365" t="n">
        <f aca="false">F5737*G5737</f>
        <v>0</v>
      </c>
      <c r="K5737" s="1365" t="n">
        <f aca="false">J5737/1792.8</f>
        <v>0</v>
      </c>
      <c r="L5737" s="1370" t="n">
        <f aca="false">SUM(L5732:L5736)</f>
        <v>1565</v>
      </c>
      <c r="M5737" s="1370" t="n">
        <f aca="false">SUM(M5732:M5736)</f>
        <v>662.299801056076</v>
      </c>
    </row>
    <row r="5738" customFormat="false" ht="54.75" hidden="false" customHeight="true" outlineLevel="0" collapsed="false">
      <c r="A5738" s="15" t="s">
        <v>2534</v>
      </c>
      <c r="B5738" s="54" t="s">
        <v>3992</v>
      </c>
      <c r="C5738" s="1387" t="s">
        <v>7247</v>
      </c>
      <c r="D5738" s="1388" t="n">
        <v>2004</v>
      </c>
      <c r="E5738" s="1390" t="n">
        <v>6</v>
      </c>
      <c r="F5738" s="1390" t="n">
        <v>202860</v>
      </c>
      <c r="G5738" s="1391" t="n">
        <v>0.15</v>
      </c>
      <c r="H5738" s="1512" t="n">
        <f aca="false">E5738*F5738*G5738</f>
        <v>182574</v>
      </c>
      <c r="I5738" s="1512" t="n">
        <f aca="false">F5738-H5738</f>
        <v>20286</v>
      </c>
      <c r="J5738" s="1512" t="n">
        <f aca="false">F5738*G5738</f>
        <v>30429</v>
      </c>
      <c r="K5738" s="1512" t="n">
        <f aca="false">J5738/1792.8</f>
        <v>16.9728915662651</v>
      </c>
      <c r="L5738" s="1390" t="n">
        <v>1440</v>
      </c>
      <c r="M5738" s="1392" t="n">
        <f aca="false">K5738*L5738/60</f>
        <v>407.349397590362</v>
      </c>
    </row>
    <row r="5739" customFormat="false" ht="15" hidden="false" customHeight="false" outlineLevel="0" collapsed="false">
      <c r="A5739" s="28"/>
      <c r="B5739" s="40"/>
      <c r="C5739" s="1161" t="s">
        <v>7249</v>
      </c>
      <c r="D5739" s="317" t="n">
        <v>2006</v>
      </c>
      <c r="E5739" s="1365" t="n">
        <v>4</v>
      </c>
      <c r="F5739" s="1365" t="n">
        <v>55500</v>
      </c>
      <c r="G5739" s="1364" t="n">
        <v>0.1</v>
      </c>
      <c r="H5739" s="1365" t="n">
        <f aca="false">E5739*F5739*G5739</f>
        <v>22200</v>
      </c>
      <c r="I5739" s="1365" t="n">
        <f aca="false">F5739-H5739</f>
        <v>33300</v>
      </c>
      <c r="J5739" s="1365" t="n">
        <f aca="false">F5739*G5739</f>
        <v>5550</v>
      </c>
      <c r="K5739" s="1365" t="n">
        <f aca="false">J5739/1792.8</f>
        <v>3.09571619812584</v>
      </c>
      <c r="L5739" s="1365" t="n">
        <v>10</v>
      </c>
      <c r="M5739" s="1273" t="n">
        <f aca="false">K5739*L5739/60</f>
        <v>0.51595269968764</v>
      </c>
    </row>
    <row r="5740" customFormat="false" ht="15" hidden="false" customHeight="false" outlineLevel="0" collapsed="false">
      <c r="A5740" s="28"/>
      <c r="B5740" s="40"/>
      <c r="C5740" s="1161" t="s">
        <v>7251</v>
      </c>
      <c r="D5740" s="317" t="n">
        <v>2005</v>
      </c>
      <c r="E5740" s="1365" t="n">
        <v>5</v>
      </c>
      <c r="F5740" s="1365" t="n">
        <v>1638000</v>
      </c>
      <c r="G5740" s="1364" t="n">
        <v>0.1</v>
      </c>
      <c r="H5740" s="1365" t="n">
        <f aca="false">E5740*F5740*G5740</f>
        <v>819000</v>
      </c>
      <c r="I5740" s="1365" t="n">
        <f aca="false">F5740-H5740</f>
        <v>819000</v>
      </c>
      <c r="J5740" s="1365" t="n">
        <f aca="false">F5740*G5740</f>
        <v>163800</v>
      </c>
      <c r="K5740" s="1365" t="n">
        <f aca="false">J5740/1792.8</f>
        <v>91.3654618473896</v>
      </c>
      <c r="L5740" s="1365" t="n">
        <v>80</v>
      </c>
      <c r="M5740" s="1273" t="n">
        <f aca="false">K5740*L5740/60</f>
        <v>121.820615796519</v>
      </c>
    </row>
    <row r="5741" customFormat="false" ht="15" hidden="false" customHeight="false" outlineLevel="0" collapsed="false">
      <c r="A5741" s="28"/>
      <c r="B5741" s="40"/>
      <c r="C5741" s="1161" t="s">
        <v>7170</v>
      </c>
      <c r="D5741" s="317" t="n">
        <v>2004</v>
      </c>
      <c r="E5741" s="1365" t="n">
        <v>6</v>
      </c>
      <c r="F5741" s="1365" t="n">
        <v>196670</v>
      </c>
      <c r="G5741" s="1364" t="n">
        <v>0.1</v>
      </c>
      <c r="H5741" s="1365" t="n">
        <f aca="false">E5741*F5741*G5741</f>
        <v>118002</v>
      </c>
      <c r="I5741" s="1365" t="n">
        <f aca="false">F5741-H5741</f>
        <v>78668</v>
      </c>
      <c r="J5741" s="1365" t="n">
        <f aca="false">F5741*G5741</f>
        <v>19667</v>
      </c>
      <c r="K5741" s="1365" t="n">
        <f aca="false">J5741/1792.8</f>
        <v>10.9699910754128</v>
      </c>
      <c r="L5741" s="1365" t="n">
        <v>15</v>
      </c>
      <c r="M5741" s="1273" t="n">
        <f aca="false">K5741*L5741/60</f>
        <v>2.74249776885319</v>
      </c>
    </row>
    <row r="5742" customFormat="false" ht="15" hidden="false" customHeight="false" outlineLevel="0" collapsed="false">
      <c r="A5742" s="28"/>
      <c r="B5742" s="40"/>
      <c r="C5742" s="1161" t="s">
        <v>7158</v>
      </c>
      <c r="D5742" s="317" t="n">
        <v>2004</v>
      </c>
      <c r="E5742" s="1365" t="n">
        <v>6</v>
      </c>
      <c r="F5742" s="1365" t="n">
        <v>6985000</v>
      </c>
      <c r="G5742" s="1364" t="n">
        <v>0.1</v>
      </c>
      <c r="H5742" s="1365" t="n">
        <f aca="false">E5742*F5742*G5742</f>
        <v>4191000</v>
      </c>
      <c r="I5742" s="1365" t="n">
        <f aca="false">F5742-H5742</f>
        <v>2794000</v>
      </c>
      <c r="J5742" s="1365" t="n">
        <f aca="false">F5742*G5742</f>
        <v>698500</v>
      </c>
      <c r="K5742" s="1365" t="n">
        <f aca="false">J5742/1792.8</f>
        <v>389.614011601963</v>
      </c>
      <c r="L5742" s="1365" t="n">
        <v>20</v>
      </c>
      <c r="M5742" s="1273" t="n">
        <f aca="false">K5742*L5742/60</f>
        <v>129.871337200654</v>
      </c>
    </row>
    <row r="5743" customFormat="false" ht="15" hidden="false" customHeight="false" outlineLevel="0" collapsed="false">
      <c r="A5743" s="28"/>
      <c r="B5743" s="40"/>
      <c r="C5743" s="1160"/>
      <c r="D5743" s="135"/>
      <c r="E5743" s="1370"/>
      <c r="F5743" s="1370"/>
      <c r="G5743" s="1372"/>
      <c r="H5743" s="1365" t="n">
        <f aca="false">E5743*F5743*G5743</f>
        <v>0</v>
      </c>
      <c r="I5743" s="1365" t="n">
        <f aca="false">F5743-H5743</f>
        <v>0</v>
      </c>
      <c r="J5743" s="1365" t="n">
        <f aca="false">F5743*G5743</f>
        <v>0</v>
      </c>
      <c r="K5743" s="1365" t="n">
        <f aca="false">J5743/1792.8</f>
        <v>0</v>
      </c>
      <c r="L5743" s="1370" t="n">
        <f aca="false">SUM(L5738:L5742)</f>
        <v>1565</v>
      </c>
      <c r="M5743" s="1370" t="n">
        <f aca="false">SUM(M5738:M5742)</f>
        <v>662.299801056076</v>
      </c>
    </row>
    <row r="5744" customFormat="false" ht="71.25" hidden="false" customHeight="true" outlineLevel="0" collapsed="false">
      <c r="A5744" s="15" t="s">
        <v>2536</v>
      </c>
      <c r="B5744" s="54" t="s">
        <v>3993</v>
      </c>
      <c r="C5744" s="1387" t="s">
        <v>7247</v>
      </c>
      <c r="D5744" s="1388" t="n">
        <v>2004</v>
      </c>
      <c r="E5744" s="1390" t="n">
        <v>6</v>
      </c>
      <c r="F5744" s="1390" t="n">
        <v>202860</v>
      </c>
      <c r="G5744" s="1391" t="n">
        <v>0.15</v>
      </c>
      <c r="H5744" s="1512" t="n">
        <f aca="false">E5744*F5744*G5744</f>
        <v>182574</v>
      </c>
      <c r="I5744" s="1512" t="n">
        <f aca="false">F5744-H5744</f>
        <v>20286</v>
      </c>
      <c r="J5744" s="1512" t="n">
        <f aca="false">F5744*G5744</f>
        <v>30429</v>
      </c>
      <c r="K5744" s="1512" t="n">
        <f aca="false">J5744/1792.8</f>
        <v>16.9728915662651</v>
      </c>
      <c r="L5744" s="1390" t="n">
        <v>1440</v>
      </c>
      <c r="M5744" s="1392" t="n">
        <f aca="false">K5744*L5744/60</f>
        <v>407.349397590362</v>
      </c>
    </row>
    <row r="5745" customFormat="false" ht="15" hidden="false" customHeight="false" outlineLevel="0" collapsed="false">
      <c r="A5745" s="28"/>
      <c r="B5745" s="40"/>
      <c r="C5745" s="1161" t="s">
        <v>7249</v>
      </c>
      <c r="D5745" s="317" t="n">
        <v>2006</v>
      </c>
      <c r="E5745" s="1365" t="n">
        <v>4</v>
      </c>
      <c r="F5745" s="1365" t="n">
        <v>55500</v>
      </c>
      <c r="G5745" s="1364" t="n">
        <v>0.1</v>
      </c>
      <c r="H5745" s="1365" t="n">
        <f aca="false">E5745*F5745*G5745</f>
        <v>22200</v>
      </c>
      <c r="I5745" s="1365" t="n">
        <f aca="false">F5745-H5745</f>
        <v>33300</v>
      </c>
      <c r="J5745" s="1365" t="n">
        <f aca="false">F5745*G5745</f>
        <v>5550</v>
      </c>
      <c r="K5745" s="1365" t="n">
        <f aca="false">J5745/1792.8</f>
        <v>3.09571619812584</v>
      </c>
      <c r="L5745" s="1365" t="n">
        <v>10</v>
      </c>
      <c r="M5745" s="1273" t="n">
        <f aca="false">K5745*L5745/60</f>
        <v>0.51595269968764</v>
      </c>
    </row>
    <row r="5746" customFormat="false" ht="15" hidden="false" customHeight="false" outlineLevel="0" collapsed="false">
      <c r="A5746" s="28"/>
      <c r="B5746" s="40"/>
      <c r="C5746" s="1161" t="s">
        <v>7251</v>
      </c>
      <c r="D5746" s="317" t="n">
        <v>2005</v>
      </c>
      <c r="E5746" s="1365" t="n">
        <v>5</v>
      </c>
      <c r="F5746" s="1365" t="n">
        <v>1638000</v>
      </c>
      <c r="G5746" s="1364" t="n">
        <v>0.1</v>
      </c>
      <c r="H5746" s="1365" t="n">
        <f aca="false">E5746*F5746*G5746</f>
        <v>819000</v>
      </c>
      <c r="I5746" s="1365" t="n">
        <f aca="false">F5746-H5746</f>
        <v>819000</v>
      </c>
      <c r="J5746" s="1365" t="n">
        <f aca="false">F5746*G5746</f>
        <v>163800</v>
      </c>
      <c r="K5746" s="1365" t="n">
        <f aca="false">J5746/1792.8</f>
        <v>91.3654618473896</v>
      </c>
      <c r="L5746" s="1365" t="n">
        <v>80</v>
      </c>
      <c r="M5746" s="1273" t="n">
        <f aca="false">K5746*L5746/60</f>
        <v>121.820615796519</v>
      </c>
    </row>
    <row r="5747" customFormat="false" ht="15" hidden="false" customHeight="false" outlineLevel="0" collapsed="false">
      <c r="A5747" s="28"/>
      <c r="B5747" s="40"/>
      <c r="C5747" s="1161" t="s">
        <v>7170</v>
      </c>
      <c r="D5747" s="317" t="n">
        <v>2004</v>
      </c>
      <c r="E5747" s="1365" t="n">
        <v>6</v>
      </c>
      <c r="F5747" s="1365" t="n">
        <v>196670</v>
      </c>
      <c r="G5747" s="1364" t="n">
        <v>0.1</v>
      </c>
      <c r="H5747" s="1365" t="n">
        <f aca="false">E5747*F5747*G5747</f>
        <v>118002</v>
      </c>
      <c r="I5747" s="1365" t="n">
        <f aca="false">F5747-H5747</f>
        <v>78668</v>
      </c>
      <c r="J5747" s="1365" t="n">
        <f aca="false">F5747*G5747</f>
        <v>19667</v>
      </c>
      <c r="K5747" s="1365" t="n">
        <f aca="false">J5747/1792.8</f>
        <v>10.9699910754128</v>
      </c>
      <c r="L5747" s="1365" t="n">
        <v>15</v>
      </c>
      <c r="M5747" s="1273" t="n">
        <f aca="false">K5747*L5747/60</f>
        <v>2.74249776885319</v>
      </c>
    </row>
    <row r="5748" customFormat="false" ht="15" hidden="false" customHeight="false" outlineLevel="0" collapsed="false">
      <c r="A5748" s="28"/>
      <c r="B5748" s="40"/>
      <c r="C5748" s="1161" t="s">
        <v>7158</v>
      </c>
      <c r="D5748" s="317" t="n">
        <v>2004</v>
      </c>
      <c r="E5748" s="1365" t="n">
        <v>6</v>
      </c>
      <c r="F5748" s="1365" t="n">
        <v>6985000</v>
      </c>
      <c r="G5748" s="1364" t="n">
        <v>0.1</v>
      </c>
      <c r="H5748" s="1365" t="n">
        <f aca="false">E5748*F5748*G5748</f>
        <v>4191000</v>
      </c>
      <c r="I5748" s="1365" t="n">
        <f aca="false">F5748-H5748</f>
        <v>2794000</v>
      </c>
      <c r="J5748" s="1365" t="n">
        <f aca="false">F5748*G5748</f>
        <v>698500</v>
      </c>
      <c r="K5748" s="1365" t="n">
        <f aca="false">J5748/1792.8</f>
        <v>389.614011601963</v>
      </c>
      <c r="L5748" s="1365" t="n">
        <v>20</v>
      </c>
      <c r="M5748" s="1273" t="n">
        <f aca="false">K5748*L5748/60</f>
        <v>129.871337200654</v>
      </c>
    </row>
    <row r="5749" customFormat="false" ht="15" hidden="false" customHeight="false" outlineLevel="0" collapsed="false">
      <c r="A5749" s="28"/>
      <c r="B5749" s="40"/>
      <c r="C5749" s="1160"/>
      <c r="D5749" s="135"/>
      <c r="E5749" s="1370"/>
      <c r="F5749" s="1370"/>
      <c r="G5749" s="1372"/>
      <c r="H5749" s="1365" t="n">
        <f aca="false">E5749*F5749*G5749</f>
        <v>0</v>
      </c>
      <c r="I5749" s="1365" t="n">
        <f aca="false">F5749-H5749</f>
        <v>0</v>
      </c>
      <c r="J5749" s="1365" t="n">
        <f aca="false">F5749*G5749</f>
        <v>0</v>
      </c>
      <c r="K5749" s="1365" t="n">
        <f aca="false">J5749/1792.8</f>
        <v>0</v>
      </c>
      <c r="L5749" s="1370" t="n">
        <f aca="false">SUM(L5744:L5748)</f>
        <v>1565</v>
      </c>
      <c r="M5749" s="1370" t="n">
        <f aca="false">SUM(M5744:M5748)</f>
        <v>662.299801056076</v>
      </c>
    </row>
    <row r="5750" s="1587" customFormat="true" ht="71.25" hidden="false" customHeight="false" outlineLevel="0" collapsed="false">
      <c r="A5750" s="15" t="s">
        <v>2538</v>
      </c>
      <c r="B5750" s="54" t="s">
        <v>3994</v>
      </c>
      <c r="C5750" s="1387" t="s">
        <v>7247</v>
      </c>
      <c r="D5750" s="1388" t="n">
        <v>2004</v>
      </c>
      <c r="E5750" s="1390" t="n">
        <v>6</v>
      </c>
      <c r="F5750" s="1390" t="n">
        <v>202860</v>
      </c>
      <c r="G5750" s="1391" t="n">
        <v>0.15</v>
      </c>
      <c r="H5750" s="1512" t="n">
        <f aca="false">E5750*F5750*G5750</f>
        <v>182574</v>
      </c>
      <c r="I5750" s="1512" t="n">
        <f aca="false">F5750-H5750</f>
        <v>20286</v>
      </c>
      <c r="J5750" s="1512" t="n">
        <f aca="false">F5750*G5750</f>
        <v>30429</v>
      </c>
      <c r="K5750" s="1512" t="n">
        <f aca="false">J5750/1792.8</f>
        <v>16.9728915662651</v>
      </c>
      <c r="L5750" s="1390" t="n">
        <v>1440</v>
      </c>
      <c r="M5750" s="1392" t="n">
        <f aca="false">K5750*L5750/60</f>
        <v>407.349397590362</v>
      </c>
    </row>
    <row r="5751" customFormat="false" ht="15" hidden="false" customHeight="false" outlineLevel="0" collapsed="false">
      <c r="A5751" s="28"/>
      <c r="B5751" s="40"/>
      <c r="C5751" s="1161" t="s">
        <v>7249</v>
      </c>
      <c r="D5751" s="317" t="n">
        <v>2006</v>
      </c>
      <c r="E5751" s="1365" t="n">
        <v>4</v>
      </c>
      <c r="F5751" s="1365" t="n">
        <v>55500</v>
      </c>
      <c r="G5751" s="1364" t="n">
        <v>0.1</v>
      </c>
      <c r="H5751" s="1365" t="n">
        <f aca="false">E5751*F5751*G5751</f>
        <v>22200</v>
      </c>
      <c r="I5751" s="1365" t="n">
        <f aca="false">F5751-H5751</f>
        <v>33300</v>
      </c>
      <c r="J5751" s="1365" t="n">
        <f aca="false">F5751*G5751</f>
        <v>5550</v>
      </c>
      <c r="K5751" s="1365" t="n">
        <f aca="false">J5751/1792.8</f>
        <v>3.09571619812584</v>
      </c>
      <c r="L5751" s="1365" t="n">
        <v>10</v>
      </c>
      <c r="M5751" s="1273" t="n">
        <f aca="false">K5751*L5751/60</f>
        <v>0.51595269968764</v>
      </c>
    </row>
    <row r="5752" customFormat="false" ht="15" hidden="false" customHeight="false" outlineLevel="0" collapsed="false">
      <c r="A5752" s="28"/>
      <c r="B5752" s="40"/>
      <c r="C5752" s="1161" t="s">
        <v>7251</v>
      </c>
      <c r="D5752" s="317" t="n">
        <v>2005</v>
      </c>
      <c r="E5752" s="1365" t="n">
        <v>5</v>
      </c>
      <c r="F5752" s="1365" t="n">
        <v>1638000</v>
      </c>
      <c r="G5752" s="1364" t="n">
        <v>0.1</v>
      </c>
      <c r="H5752" s="1365" t="n">
        <f aca="false">E5752*F5752*G5752</f>
        <v>819000</v>
      </c>
      <c r="I5752" s="1365" t="n">
        <f aca="false">F5752-H5752</f>
        <v>819000</v>
      </c>
      <c r="J5752" s="1365" t="n">
        <f aca="false">F5752*G5752</f>
        <v>163800</v>
      </c>
      <c r="K5752" s="1365" t="n">
        <f aca="false">J5752/1792.8</f>
        <v>91.3654618473896</v>
      </c>
      <c r="L5752" s="1365" t="n">
        <v>80</v>
      </c>
      <c r="M5752" s="1273" t="n">
        <f aca="false">K5752*L5752/60</f>
        <v>121.820615796519</v>
      </c>
    </row>
    <row r="5753" customFormat="false" ht="15" hidden="false" customHeight="false" outlineLevel="0" collapsed="false">
      <c r="A5753" s="28"/>
      <c r="B5753" s="40"/>
      <c r="C5753" s="1161" t="s">
        <v>7170</v>
      </c>
      <c r="D5753" s="317" t="n">
        <v>2004</v>
      </c>
      <c r="E5753" s="1365" t="n">
        <v>6</v>
      </c>
      <c r="F5753" s="1365" t="n">
        <v>196670</v>
      </c>
      <c r="G5753" s="1364" t="n">
        <v>0.1</v>
      </c>
      <c r="H5753" s="1365" t="n">
        <f aca="false">E5753*F5753*G5753</f>
        <v>118002</v>
      </c>
      <c r="I5753" s="1365" t="n">
        <f aca="false">F5753-H5753</f>
        <v>78668</v>
      </c>
      <c r="J5753" s="1365" t="n">
        <f aca="false">F5753*G5753</f>
        <v>19667</v>
      </c>
      <c r="K5753" s="1365" t="n">
        <f aca="false">J5753/1792.8</f>
        <v>10.9699910754128</v>
      </c>
      <c r="L5753" s="1365" t="n">
        <v>15</v>
      </c>
      <c r="M5753" s="1273" t="n">
        <f aca="false">K5753*L5753/60</f>
        <v>2.74249776885319</v>
      </c>
    </row>
    <row r="5754" customFormat="false" ht="15" hidden="false" customHeight="false" outlineLevel="0" collapsed="false">
      <c r="A5754" s="28"/>
      <c r="B5754" s="40"/>
      <c r="C5754" s="1161" t="s">
        <v>7158</v>
      </c>
      <c r="D5754" s="317" t="n">
        <v>2004</v>
      </c>
      <c r="E5754" s="1365" t="n">
        <v>6</v>
      </c>
      <c r="F5754" s="1365" t="n">
        <v>6985000</v>
      </c>
      <c r="G5754" s="1364" t="n">
        <v>0.1</v>
      </c>
      <c r="H5754" s="1365" t="n">
        <f aca="false">E5754*F5754*G5754</f>
        <v>4191000</v>
      </c>
      <c r="I5754" s="1365" t="n">
        <f aca="false">F5754-H5754</f>
        <v>2794000</v>
      </c>
      <c r="J5754" s="1365" t="n">
        <f aca="false">F5754*G5754</f>
        <v>698500</v>
      </c>
      <c r="K5754" s="1365" t="n">
        <f aca="false">J5754/1792.8</f>
        <v>389.614011601963</v>
      </c>
      <c r="L5754" s="1365" t="n">
        <v>20</v>
      </c>
      <c r="M5754" s="1273" t="n">
        <f aca="false">K5754*L5754/60</f>
        <v>129.871337200654</v>
      </c>
    </row>
    <row r="5755" customFormat="false" ht="15" hidden="false" customHeight="false" outlineLevel="0" collapsed="false">
      <c r="A5755" s="1588"/>
      <c r="B5755" s="149" t="s">
        <v>4128</v>
      </c>
      <c r="C5755" s="149"/>
      <c r="D5755" s="149"/>
      <c r="E5755" s="149"/>
      <c r="F5755" s="149"/>
      <c r="G5755" s="149"/>
      <c r="H5755" s="149" t="n">
        <f aca="false">E5755*F5755*G5755</f>
        <v>0</v>
      </c>
      <c r="I5755" s="149" t="n">
        <f aca="false">F5755-H5755</f>
        <v>0</v>
      </c>
      <c r="J5755" s="149" t="n">
        <f aca="false">F5755*G5755</f>
        <v>0</v>
      </c>
      <c r="K5755" s="149" t="n">
        <f aca="false">J5755/1792.8</f>
        <v>0</v>
      </c>
      <c r="L5755" s="149" t="n">
        <f aca="false">SUM(L5750:L5754)</f>
        <v>1565</v>
      </c>
      <c r="M5755" s="235" t="n">
        <f aca="false">SUM(M5750:M5754)</f>
        <v>662.299801056076</v>
      </c>
    </row>
    <row r="5756" customFormat="false" ht="28.5" hidden="false" customHeight="false" outlineLevel="0" collapsed="false">
      <c r="A5756" s="138" t="s">
        <v>2540</v>
      </c>
      <c r="B5756" s="92" t="s">
        <v>3995</v>
      </c>
      <c r="C5756" s="92"/>
      <c r="D5756" s="92"/>
      <c r="E5756" s="92"/>
      <c r="F5756" s="92"/>
      <c r="G5756" s="92"/>
      <c r="H5756" s="92"/>
      <c r="I5756" s="92"/>
      <c r="J5756" s="92"/>
      <c r="K5756" s="92"/>
      <c r="L5756" s="92"/>
      <c r="M5756" s="1589"/>
    </row>
    <row r="5757" customFormat="false" ht="45" hidden="false" customHeight="false" outlineLevel="0" collapsed="false">
      <c r="A5757" s="142" t="s">
        <v>2542</v>
      </c>
      <c r="B5757" s="49" t="s">
        <v>3996</v>
      </c>
      <c r="C5757" s="49" t="s">
        <v>7287</v>
      </c>
      <c r="D5757" s="49" t="n">
        <v>2013</v>
      </c>
      <c r="E5757" s="49" t="n">
        <f aca="false">2019-D5757</f>
        <v>6</v>
      </c>
      <c r="F5757" s="49" t="n">
        <v>20400</v>
      </c>
      <c r="G5757" s="49" t="n">
        <v>0.1</v>
      </c>
      <c r="H5757" s="49" t="n">
        <f aca="false">E5757*F5757*G5757</f>
        <v>12240</v>
      </c>
      <c r="I5757" s="49" t="n">
        <f aca="false">F5757-H5757</f>
        <v>8160</v>
      </c>
      <c r="J5757" s="49" t="n">
        <f aca="false">F5757*G5757</f>
        <v>2040</v>
      </c>
      <c r="K5757" s="1590" t="n">
        <f aca="false">J5757/1764</f>
        <v>1.15646258503401</v>
      </c>
      <c r="L5757" s="49" t="n">
        <v>1440</v>
      </c>
      <c r="M5757" s="1590" t="n">
        <f aca="false">K5757*L5757/60</f>
        <v>27.7551020408163</v>
      </c>
    </row>
    <row r="5758" customFormat="false" ht="30" hidden="false" customHeight="false" outlineLevel="0" collapsed="false">
      <c r="A5758" s="142"/>
      <c r="B5758" s="49"/>
      <c r="C5758" s="49" t="s">
        <v>7288</v>
      </c>
      <c r="D5758" s="49" t="n">
        <v>2013</v>
      </c>
      <c r="E5758" s="49" t="n">
        <f aca="false">2019-D5758</f>
        <v>6</v>
      </c>
      <c r="F5758" s="49" t="n">
        <v>79800</v>
      </c>
      <c r="G5758" s="49" t="n">
        <v>0.1</v>
      </c>
      <c r="H5758" s="49" t="n">
        <f aca="false">E5758*F5758*G5758</f>
        <v>47880</v>
      </c>
      <c r="I5758" s="49" t="n">
        <f aca="false">F5758-H5758</f>
        <v>31920</v>
      </c>
      <c r="J5758" s="49" t="n">
        <f aca="false">F5758*G5758</f>
        <v>7980</v>
      </c>
      <c r="K5758" s="1590" t="n">
        <f aca="false">J5758/1764</f>
        <v>4.52380952380952</v>
      </c>
      <c r="L5758" s="49" t="n">
        <v>1440</v>
      </c>
      <c r="M5758" s="1590" t="n">
        <f aca="false">K5758*L5758/60</f>
        <v>108.571428571429</v>
      </c>
    </row>
    <row r="5759" customFormat="false" ht="15" hidden="false" customHeight="false" outlineLevel="0" collapsed="false">
      <c r="A5759" s="142"/>
      <c r="B5759" s="49"/>
      <c r="C5759" s="49" t="s">
        <v>7289</v>
      </c>
      <c r="D5759" s="49" t="n">
        <v>2016</v>
      </c>
      <c r="E5759" s="49" t="n">
        <f aca="false">2019-D5759</f>
        <v>3</v>
      </c>
      <c r="F5759" s="49" t="n">
        <v>30800</v>
      </c>
      <c r="G5759" s="49" t="n">
        <v>0.1</v>
      </c>
      <c r="H5759" s="49" t="n">
        <f aca="false">E5759*F5759*G5759</f>
        <v>9240</v>
      </c>
      <c r="I5759" s="49" t="n">
        <f aca="false">F5759-H5759</f>
        <v>21560</v>
      </c>
      <c r="J5759" s="49" t="n">
        <f aca="false">F5759*G5759</f>
        <v>3080</v>
      </c>
      <c r="K5759" s="1590" t="n">
        <f aca="false">J5759/1764</f>
        <v>1.74603174603175</v>
      </c>
      <c r="L5759" s="49" t="n">
        <v>320</v>
      </c>
      <c r="M5759" s="1590" t="n">
        <f aca="false">K5759*L5759/60</f>
        <v>9.31216931216931</v>
      </c>
    </row>
    <row r="5760" customFormat="false" ht="15" hidden="false" customHeight="false" outlineLevel="0" collapsed="false">
      <c r="A5760" s="142"/>
      <c r="B5760" s="1591" t="s">
        <v>4128</v>
      </c>
      <c r="C5760" s="1160"/>
      <c r="D5760" s="135"/>
      <c r="E5760" s="1370"/>
      <c r="F5760" s="1370"/>
      <c r="G5760" s="1372"/>
      <c r="H5760" s="1365"/>
      <c r="I5760" s="1365"/>
      <c r="J5760" s="1365"/>
      <c r="K5760" s="1365"/>
      <c r="L5760" s="1370"/>
      <c r="M5760" s="1370" t="n">
        <f aca="false">SUM(M5757:M5759)</f>
        <v>145.638699924414</v>
      </c>
    </row>
    <row r="5761" customFormat="false" ht="30" hidden="false" customHeight="false" outlineLevel="0" collapsed="false">
      <c r="A5761" s="142" t="s">
        <v>2545</v>
      </c>
      <c r="B5761" s="49" t="s">
        <v>3997</v>
      </c>
      <c r="C5761" s="49" t="s">
        <v>7287</v>
      </c>
      <c r="D5761" s="49" t="n">
        <v>2013</v>
      </c>
      <c r="E5761" s="49" t="n">
        <f aca="false">2019-D5761</f>
        <v>6</v>
      </c>
      <c r="F5761" s="49" t="n">
        <v>20400</v>
      </c>
      <c r="G5761" s="49" t="n">
        <v>0.1</v>
      </c>
      <c r="H5761" s="49" t="n">
        <f aca="false">E5761*F5761*G5761</f>
        <v>12240</v>
      </c>
      <c r="I5761" s="49" t="n">
        <f aca="false">F5761-H5761</f>
        <v>8160</v>
      </c>
      <c r="J5761" s="49" t="n">
        <f aca="false">F5761*G5761</f>
        <v>2040</v>
      </c>
      <c r="K5761" s="1590" t="n">
        <f aca="false">J5761/1764</f>
        <v>1.15646258503401</v>
      </c>
      <c r="L5761" s="49" t="n">
        <v>1440</v>
      </c>
      <c r="M5761" s="1590" t="n">
        <f aca="false">K5761*L5761/60</f>
        <v>27.7551020408163</v>
      </c>
    </row>
    <row r="5762" customFormat="false" ht="30" hidden="false" customHeight="false" outlineLevel="0" collapsed="false">
      <c r="A5762" s="1592"/>
      <c r="B5762" s="40"/>
      <c r="C5762" s="49" t="s">
        <v>7288</v>
      </c>
      <c r="D5762" s="49" t="n">
        <v>2013</v>
      </c>
      <c r="E5762" s="49" t="n">
        <f aca="false">2019-D5762</f>
        <v>6</v>
      </c>
      <c r="F5762" s="49" t="n">
        <v>79800</v>
      </c>
      <c r="G5762" s="49" t="n">
        <v>0.1</v>
      </c>
      <c r="H5762" s="49" t="n">
        <f aca="false">E5762*F5762*G5762</f>
        <v>47880</v>
      </c>
      <c r="I5762" s="49" t="n">
        <f aca="false">F5762-H5762</f>
        <v>31920</v>
      </c>
      <c r="J5762" s="49" t="n">
        <f aca="false">F5762*G5762</f>
        <v>7980</v>
      </c>
      <c r="K5762" s="1590" t="n">
        <f aca="false">J5762/1764</f>
        <v>4.52380952380952</v>
      </c>
      <c r="L5762" s="49" t="n">
        <v>1440</v>
      </c>
      <c r="M5762" s="1590" t="n">
        <f aca="false">K5762*L5762/60</f>
        <v>108.571428571429</v>
      </c>
    </row>
    <row r="5763" customFormat="false" ht="15" hidden="false" customHeight="false" outlineLevel="0" collapsed="false">
      <c r="A5763" s="1592"/>
      <c r="B5763" s="40"/>
      <c r="C5763" s="49" t="s">
        <v>7289</v>
      </c>
      <c r="D5763" s="49" t="n">
        <v>2016</v>
      </c>
      <c r="E5763" s="49" t="n">
        <f aca="false">2019-D5763</f>
        <v>3</v>
      </c>
      <c r="F5763" s="49" t="n">
        <v>30800</v>
      </c>
      <c r="G5763" s="49" t="n">
        <v>0.1</v>
      </c>
      <c r="H5763" s="49" t="n">
        <f aca="false">E5763*F5763*G5763</f>
        <v>9240</v>
      </c>
      <c r="I5763" s="49" t="n">
        <f aca="false">F5763-H5763</f>
        <v>21560</v>
      </c>
      <c r="J5763" s="49" t="n">
        <f aca="false">F5763*G5763</f>
        <v>3080</v>
      </c>
      <c r="K5763" s="1590" t="n">
        <f aca="false">J5763/1764</f>
        <v>1.74603174603175</v>
      </c>
      <c r="L5763" s="49" t="n">
        <v>320</v>
      </c>
      <c r="M5763" s="1590" t="n">
        <f aca="false">K5763*L5763/60</f>
        <v>9.31216931216931</v>
      </c>
    </row>
    <row r="5764" customFormat="false" ht="15" hidden="false" customHeight="false" outlineLevel="0" collapsed="false">
      <c r="A5764" s="1592"/>
      <c r="B5764" s="1591" t="s">
        <v>4128</v>
      </c>
      <c r="C5764" s="1160"/>
      <c r="D5764" s="135"/>
      <c r="E5764" s="1370"/>
      <c r="F5764" s="1370"/>
      <c r="G5764" s="1372"/>
      <c r="H5764" s="1365"/>
      <c r="I5764" s="1365"/>
      <c r="J5764" s="1365"/>
      <c r="K5764" s="1273"/>
      <c r="L5764" s="1370"/>
      <c r="M5764" s="1370" t="n">
        <f aca="false">SUM(M5761:M5763)</f>
        <v>145.638699924414</v>
      </c>
    </row>
    <row r="5765" customFormat="false" ht="42.75" hidden="false" customHeight="false" outlineLevel="0" collapsed="false">
      <c r="A5765" s="138" t="s">
        <v>2548</v>
      </c>
      <c r="B5765" s="92" t="s">
        <v>3998</v>
      </c>
      <c r="C5765" s="92"/>
      <c r="D5765" s="92"/>
      <c r="E5765" s="92"/>
      <c r="F5765" s="92"/>
      <c r="G5765" s="92"/>
      <c r="H5765" s="92"/>
      <c r="I5765" s="92"/>
      <c r="J5765" s="92"/>
      <c r="K5765" s="92"/>
      <c r="L5765" s="92"/>
      <c r="M5765" s="92"/>
    </row>
    <row r="5766" customFormat="false" ht="60" hidden="false" customHeight="false" outlineLevel="0" collapsed="false">
      <c r="A5766" s="142" t="s">
        <v>2550</v>
      </c>
      <c r="B5766" s="49" t="s">
        <v>3999</v>
      </c>
      <c r="C5766" s="49" t="s">
        <v>7290</v>
      </c>
      <c r="D5766" s="49" t="n">
        <v>2015</v>
      </c>
      <c r="E5766" s="49" t="n">
        <f aca="false">2019-D5766</f>
        <v>4</v>
      </c>
      <c r="F5766" s="49" t="n">
        <v>139017</v>
      </c>
      <c r="G5766" s="49" t="n">
        <v>0.1</v>
      </c>
      <c r="H5766" s="49" t="n">
        <f aca="false">E5766*F5766*G5766</f>
        <v>55606.8</v>
      </c>
      <c r="I5766" s="49" t="n">
        <f aca="false">F5766-H5766</f>
        <v>83410.2</v>
      </c>
      <c r="J5766" s="49" t="n">
        <f aca="false">F5766*G5766</f>
        <v>13901.7</v>
      </c>
      <c r="K5766" s="1590" t="n">
        <f aca="false">J5766/1764</f>
        <v>7.88078231292517</v>
      </c>
      <c r="L5766" s="49" t="n">
        <v>40</v>
      </c>
      <c r="M5766" s="1590" t="n">
        <f aca="false">K5766*L5766/60</f>
        <v>5.25385487528345</v>
      </c>
    </row>
    <row r="5767" customFormat="false" ht="15" hidden="false" customHeight="false" outlineLevel="0" collapsed="false">
      <c r="A5767" s="142"/>
      <c r="B5767" s="49"/>
      <c r="C5767" s="49" t="s">
        <v>7291</v>
      </c>
      <c r="D5767" s="49" t="n">
        <v>2014</v>
      </c>
      <c r="E5767" s="49" t="n">
        <f aca="false">2019-D5767</f>
        <v>5</v>
      </c>
      <c r="F5767" s="49" t="n">
        <v>68000</v>
      </c>
      <c r="G5767" s="49" t="n">
        <v>0.1</v>
      </c>
      <c r="H5767" s="49" t="n">
        <f aca="false">E5767*F5767*G5767</f>
        <v>34000</v>
      </c>
      <c r="I5767" s="49" t="n">
        <f aca="false">F5767-H5767</f>
        <v>34000</v>
      </c>
      <c r="J5767" s="49" t="n">
        <f aca="false">F5767*G5767</f>
        <v>6800</v>
      </c>
      <c r="K5767" s="1590" t="n">
        <f aca="false">J5767/1764</f>
        <v>3.85487528344671</v>
      </c>
      <c r="L5767" s="49" t="n">
        <v>30</v>
      </c>
      <c r="M5767" s="1590" t="n">
        <f aca="false">K5767*L5767/60</f>
        <v>1.92743764172336</v>
      </c>
    </row>
    <row r="5768" customFormat="false" ht="15" hidden="false" customHeight="false" outlineLevel="0" collapsed="false">
      <c r="A5768" s="142"/>
      <c r="B5768" s="49"/>
      <c r="C5768" s="49" t="s">
        <v>7292</v>
      </c>
      <c r="D5768" s="49" t="n">
        <v>2014</v>
      </c>
      <c r="E5768" s="49" t="n">
        <f aca="false">2019-D5768</f>
        <v>5</v>
      </c>
      <c r="F5768" s="49" t="n">
        <v>22800</v>
      </c>
      <c r="G5768" s="49" t="n">
        <v>0.1</v>
      </c>
      <c r="H5768" s="49" t="n">
        <f aca="false">E5768*F5768*G5768</f>
        <v>11400</v>
      </c>
      <c r="I5768" s="49" t="n">
        <f aca="false">F5768-H5768</f>
        <v>11400</v>
      </c>
      <c r="J5768" s="49" t="n">
        <f aca="false">F5768*G5768</f>
        <v>2280</v>
      </c>
      <c r="K5768" s="1590" t="n">
        <f aca="false">J5768/1764</f>
        <v>1.29251700680272</v>
      </c>
      <c r="L5768" s="49" t="n">
        <v>30</v>
      </c>
      <c r="M5768" s="1590" t="n">
        <f aca="false">K5768*L5768/60</f>
        <v>0.646258503401361</v>
      </c>
    </row>
    <row r="5769" customFormat="false" ht="15" hidden="false" customHeight="false" outlineLevel="0" collapsed="false">
      <c r="A5769" s="142"/>
      <c r="B5769" s="1591" t="s">
        <v>4128</v>
      </c>
      <c r="C5769" s="1160"/>
      <c r="D5769" s="135"/>
      <c r="E5769" s="1370"/>
      <c r="F5769" s="1370"/>
      <c r="G5769" s="1372"/>
      <c r="H5769" s="1370"/>
      <c r="I5769" s="1370"/>
      <c r="J5769" s="1370"/>
      <c r="K5769" s="1366"/>
      <c r="L5769" s="1370"/>
      <c r="M5769" s="1366" t="n">
        <f aca="false">SUM(M5766:M5768)</f>
        <v>7.82755102040816</v>
      </c>
    </row>
    <row r="5770" customFormat="false" ht="45" hidden="false" customHeight="false" outlineLevel="0" collapsed="false">
      <c r="A5770" s="142" t="s">
        <v>2553</v>
      </c>
      <c r="B5770" s="49" t="s">
        <v>4000</v>
      </c>
      <c r="C5770" s="49" t="s">
        <v>7290</v>
      </c>
      <c r="D5770" s="49" t="n">
        <v>2015</v>
      </c>
      <c r="E5770" s="49" t="n">
        <f aca="false">2019-D5770</f>
        <v>4</v>
      </c>
      <c r="F5770" s="49" t="n">
        <v>139017</v>
      </c>
      <c r="G5770" s="49" t="n">
        <v>0.1</v>
      </c>
      <c r="H5770" s="49" t="n">
        <f aca="false">E5770*F5770*G5770</f>
        <v>55606.8</v>
      </c>
      <c r="I5770" s="49" t="n">
        <f aca="false">F5770-H5770</f>
        <v>83410.2</v>
      </c>
      <c r="J5770" s="49" t="n">
        <f aca="false">F5770*G5770</f>
        <v>13901.7</v>
      </c>
      <c r="K5770" s="1590" t="n">
        <f aca="false">J5770/1764</f>
        <v>7.88078231292517</v>
      </c>
      <c r="L5770" s="49" t="n">
        <v>40</v>
      </c>
      <c r="M5770" s="1590" t="n">
        <f aca="false">K5770*L5770/60</f>
        <v>5.25385487528345</v>
      </c>
    </row>
    <row r="5771" customFormat="false" ht="15" hidden="false" customHeight="false" outlineLevel="0" collapsed="false">
      <c r="A5771" s="1592"/>
      <c r="B5771" s="40"/>
      <c r="C5771" s="49" t="s">
        <v>7291</v>
      </c>
      <c r="D5771" s="49" t="n">
        <v>2014</v>
      </c>
      <c r="E5771" s="49" t="n">
        <f aca="false">2019-D5771</f>
        <v>5</v>
      </c>
      <c r="F5771" s="49" t="n">
        <v>68000</v>
      </c>
      <c r="G5771" s="49" t="n">
        <v>0.1</v>
      </c>
      <c r="H5771" s="49" t="n">
        <f aca="false">E5771*F5771*G5771</f>
        <v>34000</v>
      </c>
      <c r="I5771" s="49" t="n">
        <f aca="false">F5771-H5771</f>
        <v>34000</v>
      </c>
      <c r="J5771" s="49" t="n">
        <f aca="false">F5771*G5771</f>
        <v>6800</v>
      </c>
      <c r="K5771" s="1590" t="n">
        <f aca="false">J5771/1764</f>
        <v>3.85487528344671</v>
      </c>
      <c r="L5771" s="49" t="n">
        <v>30</v>
      </c>
      <c r="M5771" s="1590" t="n">
        <f aca="false">K5771*L5771/60</f>
        <v>1.92743764172336</v>
      </c>
    </row>
    <row r="5772" customFormat="false" ht="15" hidden="false" customHeight="false" outlineLevel="0" collapsed="false">
      <c r="A5772" s="1592"/>
      <c r="B5772" s="40"/>
      <c r="C5772" s="49" t="s">
        <v>7292</v>
      </c>
      <c r="D5772" s="49" t="n">
        <v>2014</v>
      </c>
      <c r="E5772" s="49" t="n">
        <f aca="false">2019-D5772</f>
        <v>5</v>
      </c>
      <c r="F5772" s="49" t="n">
        <v>22800</v>
      </c>
      <c r="G5772" s="49" t="n">
        <v>0.1</v>
      </c>
      <c r="H5772" s="49" t="n">
        <f aca="false">E5772*F5772*G5772</f>
        <v>11400</v>
      </c>
      <c r="I5772" s="49" t="n">
        <f aca="false">F5772-H5772</f>
        <v>11400</v>
      </c>
      <c r="J5772" s="49" t="n">
        <f aca="false">F5772*G5772</f>
        <v>2280</v>
      </c>
      <c r="K5772" s="1590" t="n">
        <f aca="false">J5772/1764</f>
        <v>1.29251700680272</v>
      </c>
      <c r="L5772" s="49" t="n">
        <v>30</v>
      </c>
      <c r="M5772" s="1590" t="n">
        <f aca="false">K5772*L5772/60</f>
        <v>0.646258503401361</v>
      </c>
    </row>
    <row r="5773" customFormat="false" ht="15" hidden="false" customHeight="false" outlineLevel="0" collapsed="false">
      <c r="A5773" s="1592"/>
      <c r="B5773" s="1591" t="s">
        <v>4128</v>
      </c>
      <c r="C5773" s="1160"/>
      <c r="D5773" s="135"/>
      <c r="E5773" s="1370"/>
      <c r="F5773" s="1370"/>
      <c r="G5773" s="1372"/>
      <c r="H5773" s="1365"/>
      <c r="I5773" s="1365"/>
      <c r="J5773" s="1365"/>
      <c r="K5773" s="1273"/>
      <c r="L5773" s="1370"/>
      <c r="M5773" s="1366" t="n">
        <f aca="false">SUM(M5770:M5772)</f>
        <v>7.82755102040816</v>
      </c>
    </row>
    <row r="5774" customFormat="false" ht="33" hidden="false" customHeight="true" outlineLevel="0" collapsed="false">
      <c r="A5774" s="138" t="s">
        <v>2555</v>
      </c>
      <c r="B5774" s="92" t="s">
        <v>4001</v>
      </c>
      <c r="C5774" s="92"/>
      <c r="D5774" s="92"/>
      <c r="E5774" s="92"/>
      <c r="F5774" s="92"/>
      <c r="G5774" s="92"/>
      <c r="H5774" s="92"/>
      <c r="I5774" s="92"/>
      <c r="J5774" s="92"/>
      <c r="K5774" s="92"/>
      <c r="L5774" s="92"/>
      <c r="M5774" s="92"/>
    </row>
    <row r="5775" customFormat="false" ht="15" hidden="false" customHeight="false" outlineLevel="0" collapsed="false">
      <c r="A5775" s="142" t="s">
        <v>2557</v>
      </c>
      <c r="B5775" s="40" t="s">
        <v>7293</v>
      </c>
      <c r="C5775" s="40" t="s">
        <v>7294</v>
      </c>
      <c r="D5775" s="316" t="n">
        <v>2016</v>
      </c>
      <c r="E5775" s="891"/>
      <c r="F5775" s="891" t="n">
        <v>4500</v>
      </c>
      <c r="G5775" s="1364" t="n">
        <v>0.1</v>
      </c>
      <c r="H5775" s="1365" t="n">
        <f aca="false">E5775*F5775*G5775</f>
        <v>0</v>
      </c>
      <c r="I5775" s="1365" t="n">
        <f aca="false">F5775</f>
        <v>4500</v>
      </c>
      <c r="J5775" s="1365" t="n">
        <f aca="false">F5775*G5775</f>
        <v>450</v>
      </c>
      <c r="K5775" s="547" t="n">
        <f aca="false">J5775/1764</f>
        <v>0.255102040816327</v>
      </c>
      <c r="L5775" s="1365" t="n">
        <v>20</v>
      </c>
      <c r="M5775" s="1273" t="n">
        <f aca="false">K5775*L5775/60</f>
        <v>0.0850340136054422</v>
      </c>
    </row>
    <row r="5776" customFormat="false" ht="15" hidden="false" customHeight="false" outlineLevel="0" collapsed="false">
      <c r="A5776" s="142" t="s">
        <v>2560</v>
      </c>
      <c r="B5776" s="40"/>
      <c r="C5776" s="40" t="s">
        <v>7295</v>
      </c>
      <c r="D5776" s="316" t="n">
        <v>2016</v>
      </c>
      <c r="E5776" s="891"/>
      <c r="F5776" s="891" t="n">
        <v>2500</v>
      </c>
      <c r="G5776" s="1364" t="n">
        <v>0.1</v>
      </c>
      <c r="H5776" s="1365" t="n">
        <f aca="false">E5776*F5776*G5776</f>
        <v>0</v>
      </c>
      <c r="I5776" s="1365" t="n">
        <f aca="false">F5776</f>
        <v>2500</v>
      </c>
      <c r="J5776" s="1365" t="n">
        <f aca="false">F5776*G5776</f>
        <v>250</v>
      </c>
      <c r="K5776" s="547" t="n">
        <f aca="false">J5776/1764</f>
        <v>0.14172335600907</v>
      </c>
      <c r="L5776" s="1365" t="n">
        <v>20</v>
      </c>
      <c r="M5776" s="1273" t="n">
        <f aca="false">K5776*L5776/60</f>
        <v>0.0472411186696901</v>
      </c>
    </row>
    <row r="5777" customFormat="false" ht="15" hidden="false" customHeight="false" outlineLevel="0" collapsed="false">
      <c r="A5777" s="142" t="s">
        <v>2562</v>
      </c>
      <c r="B5777" s="40"/>
      <c r="C5777" s="40" t="s">
        <v>4347</v>
      </c>
      <c r="D5777" s="316" t="n">
        <v>2016</v>
      </c>
      <c r="E5777" s="891"/>
      <c r="F5777" s="891" t="n">
        <v>300</v>
      </c>
      <c r="G5777" s="1364" t="n">
        <v>0.1</v>
      </c>
      <c r="H5777" s="1365" t="n">
        <f aca="false">E5777*F5777*G5777</f>
        <v>0</v>
      </c>
      <c r="I5777" s="1365" t="n">
        <f aca="false">F5777</f>
        <v>300</v>
      </c>
      <c r="J5777" s="1365" t="n">
        <f aca="false">F5777*G5777</f>
        <v>30</v>
      </c>
      <c r="K5777" s="547" t="n">
        <f aca="false">J5777/1764</f>
        <v>0.0170068027210884</v>
      </c>
      <c r="L5777" s="1365" t="n">
        <v>20</v>
      </c>
      <c r="M5777" s="1273" t="n">
        <f aca="false">K5777*L5777/60</f>
        <v>0.00566893424036281</v>
      </c>
    </row>
    <row r="5778" customFormat="false" ht="15" hidden="false" customHeight="false" outlineLevel="0" collapsed="false">
      <c r="A5778" s="142" t="s">
        <v>2564</v>
      </c>
      <c r="B5778" s="40"/>
      <c r="C5778" s="40" t="s">
        <v>7296</v>
      </c>
      <c r="D5778" s="316" t="n">
        <v>2016</v>
      </c>
      <c r="E5778" s="891"/>
      <c r="F5778" s="891" t="n">
        <v>5000</v>
      </c>
      <c r="G5778" s="1364" t="n">
        <v>0.1</v>
      </c>
      <c r="H5778" s="1365" t="n">
        <f aca="false">E5778*F5778*G5778</f>
        <v>0</v>
      </c>
      <c r="I5778" s="1365" t="n">
        <f aca="false">F5778</f>
        <v>5000</v>
      </c>
      <c r="J5778" s="1365" t="n">
        <f aca="false">F5778*G5778</f>
        <v>500</v>
      </c>
      <c r="K5778" s="547" t="n">
        <f aca="false">J5778/1764</f>
        <v>0.283446712018141</v>
      </c>
      <c r="L5778" s="1365" t="n">
        <v>20</v>
      </c>
      <c r="M5778" s="1273" t="n">
        <f aca="false">K5778*L5778/60</f>
        <v>0.0944822373393802</v>
      </c>
    </row>
    <row r="5779" customFormat="false" ht="15" hidden="false" customHeight="false" outlineLevel="0" collapsed="false">
      <c r="A5779" s="28"/>
      <c r="B5779" s="40"/>
      <c r="C5779" s="40" t="s">
        <v>7297</v>
      </c>
      <c r="D5779" s="316" t="n">
        <v>2016</v>
      </c>
      <c r="E5779" s="891"/>
      <c r="F5779" s="891" t="n">
        <v>15000</v>
      </c>
      <c r="G5779" s="1364" t="n">
        <v>0.1</v>
      </c>
      <c r="H5779" s="1365" t="n">
        <f aca="false">E5779*F5779*G5779</f>
        <v>0</v>
      </c>
      <c r="I5779" s="1365" t="n">
        <f aca="false">F5779</f>
        <v>15000</v>
      </c>
      <c r="J5779" s="1365" t="n">
        <f aca="false">F5779*G5779</f>
        <v>1500</v>
      </c>
      <c r="K5779" s="547" t="n">
        <f aca="false">J5779/1764</f>
        <v>0.850340136054422</v>
      </c>
      <c r="L5779" s="1365" t="n">
        <v>20</v>
      </c>
      <c r="M5779" s="1273" t="n">
        <f aca="false">K5779*L5779/60</f>
        <v>0.283446712018141</v>
      </c>
    </row>
    <row r="5780" customFormat="false" ht="15" hidden="false" customHeight="false" outlineLevel="0" collapsed="false">
      <c r="A5780" s="28"/>
      <c r="B5780" s="40"/>
      <c r="C5780" s="40" t="s">
        <v>7298</v>
      </c>
      <c r="D5780" s="316" t="n">
        <v>2016</v>
      </c>
      <c r="E5780" s="891"/>
      <c r="F5780" s="891" t="n">
        <v>12000</v>
      </c>
      <c r="G5780" s="1364" t="n">
        <v>0.1</v>
      </c>
      <c r="H5780" s="1365" t="n">
        <f aca="false">E5780*F5780*G5780</f>
        <v>0</v>
      </c>
      <c r="I5780" s="1365" t="n">
        <f aca="false">F5780</f>
        <v>12000</v>
      </c>
      <c r="J5780" s="1365" t="n">
        <f aca="false">F5780*G5780</f>
        <v>1200</v>
      </c>
      <c r="K5780" s="547" t="n">
        <f aca="false">J5780/1764</f>
        <v>0.680272108843537</v>
      </c>
      <c r="L5780" s="1365" t="n">
        <v>20</v>
      </c>
      <c r="M5780" s="1273" t="n">
        <f aca="false">K5780*L5780/60</f>
        <v>0.226757369614512</v>
      </c>
    </row>
    <row r="5781" customFormat="false" ht="15" hidden="false" customHeight="false" outlineLevel="0" collapsed="false">
      <c r="A5781" s="28"/>
      <c r="B5781" s="40"/>
      <c r="C5781" s="40" t="s">
        <v>7299</v>
      </c>
      <c r="D5781" s="316" t="n">
        <v>2016</v>
      </c>
      <c r="E5781" s="891"/>
      <c r="F5781" s="891" t="n">
        <v>10000</v>
      </c>
      <c r="G5781" s="1364" t="n">
        <v>0.1</v>
      </c>
      <c r="H5781" s="1365" t="n">
        <f aca="false">E5781*F5781*G5781</f>
        <v>0</v>
      </c>
      <c r="I5781" s="1365" t="n">
        <f aca="false">F5781</f>
        <v>10000</v>
      </c>
      <c r="J5781" s="1365" t="n">
        <f aca="false">F5781*G5781</f>
        <v>1000</v>
      </c>
      <c r="K5781" s="547" t="n">
        <f aca="false">J5781/1764</f>
        <v>0.566893424036281</v>
      </c>
      <c r="L5781" s="1365" t="n">
        <v>20</v>
      </c>
      <c r="M5781" s="1273" t="n">
        <f aca="false">K5781*L5781/60</f>
        <v>0.18896447467876</v>
      </c>
    </row>
    <row r="5782" customFormat="false" ht="15" hidden="false" customHeight="false" outlineLevel="0" collapsed="false">
      <c r="B5782" s="1333" t="s">
        <v>4128</v>
      </c>
      <c r="L5782" s="1593" t="n">
        <f aca="false">SUM(L5775:L5781)</f>
        <v>140</v>
      </c>
      <c r="M5782" s="1594" t="n">
        <f aca="false">SUM(M5775:M5781)</f>
        <v>0.931594860166289</v>
      </c>
    </row>
    <row r="5783" customFormat="false" ht="28.5" hidden="false" customHeight="false" outlineLevel="0" collapsed="false">
      <c r="A5783" s="207" t="n">
        <v>11</v>
      </c>
      <c r="B5783" s="92" t="s">
        <v>4007</v>
      </c>
      <c r="C5783" s="1220" t="s">
        <v>7300</v>
      </c>
      <c r="D5783" s="434" t="n">
        <v>2016</v>
      </c>
      <c r="E5783" s="1595"/>
      <c r="F5783" s="434" t="n">
        <v>22800</v>
      </c>
      <c r="G5783" s="434" t="n">
        <v>10</v>
      </c>
      <c r="H5783" s="434"/>
      <c r="I5783" s="434" t="n">
        <f aca="false">F5783-H5783</f>
        <v>22800</v>
      </c>
      <c r="J5783" s="434" t="n">
        <f aca="false">F5783*G5783/100</f>
        <v>2280</v>
      </c>
      <c r="K5783" s="1596" t="n">
        <f aca="false">J5783/1764</f>
        <v>1.29251700680272</v>
      </c>
      <c r="L5783" s="1597" t="n">
        <v>20</v>
      </c>
      <c r="M5783" s="1598" t="n">
        <f aca="false">L5783*K5783</f>
        <v>25.8503401360544</v>
      </c>
    </row>
    <row r="5784" customFormat="false" ht="28.5" hidden="false" customHeight="false" outlineLevel="0" collapsed="false">
      <c r="A5784" s="207" t="n">
        <v>12</v>
      </c>
      <c r="B5784" s="92" t="s">
        <v>4007</v>
      </c>
      <c r="C5784" s="1220"/>
      <c r="D5784" s="434"/>
      <c r="E5784" s="1595"/>
      <c r="F5784" s="434"/>
      <c r="G5784" s="434"/>
      <c r="H5784" s="434"/>
      <c r="I5784" s="434"/>
      <c r="J5784" s="434"/>
      <c r="K5784" s="1596"/>
      <c r="L5784" s="1597"/>
      <c r="M5784" s="1598" t="n">
        <v>0</v>
      </c>
    </row>
    <row r="5785" customFormat="false" ht="15" hidden="false" customHeight="false" outlineLevel="0" collapsed="false">
      <c r="A5785" s="207" t="n">
        <v>13</v>
      </c>
      <c r="B5785" s="92" t="s">
        <v>4008</v>
      </c>
      <c r="C5785" s="1220"/>
      <c r="D5785" s="434"/>
      <c r="E5785" s="1595"/>
      <c r="F5785" s="434"/>
      <c r="G5785" s="434"/>
      <c r="H5785" s="434"/>
      <c r="I5785" s="434"/>
      <c r="J5785" s="434"/>
      <c r="K5785" s="1596"/>
      <c r="L5785" s="1597"/>
      <c r="M5785" s="1598" t="n">
        <v>0</v>
      </c>
    </row>
    <row r="5786" customFormat="false" ht="15" hidden="false" customHeight="false" outlineLevel="0" collapsed="false">
      <c r="A5786" s="207" t="n">
        <v>14</v>
      </c>
      <c r="B5786" s="92" t="s">
        <v>4009</v>
      </c>
      <c r="C5786" s="1220"/>
      <c r="D5786" s="434"/>
      <c r="E5786" s="1595"/>
      <c r="F5786" s="434"/>
      <c r="G5786" s="434"/>
      <c r="H5786" s="434"/>
      <c r="I5786" s="434"/>
      <c r="J5786" s="434"/>
      <c r="K5786" s="1596"/>
      <c r="L5786" s="1597"/>
      <c r="M5786" s="1598" t="n">
        <v>0</v>
      </c>
    </row>
    <row r="5787" customFormat="false" ht="33.75" hidden="false" customHeight="true" outlineLevel="0" collapsed="false">
      <c r="A5787" s="152" t="s">
        <v>2573</v>
      </c>
      <c r="B5787" s="395" t="s">
        <v>4010</v>
      </c>
      <c r="C5787" s="1220"/>
      <c r="D5787" s="434"/>
      <c r="E5787" s="1595"/>
      <c r="F5787" s="434"/>
      <c r="G5787" s="434"/>
      <c r="H5787" s="434"/>
      <c r="I5787" s="434"/>
      <c r="J5787" s="434"/>
      <c r="K5787" s="1596"/>
      <c r="L5787" s="1597"/>
      <c r="M5787" s="1598" t="n">
        <v>0</v>
      </c>
    </row>
    <row r="5788" customFormat="false" ht="61.5" hidden="false" customHeight="true" outlineLevel="0" collapsed="false">
      <c r="A5788" s="167" t="s">
        <v>2586</v>
      </c>
      <c r="B5788" s="168" t="s">
        <v>4015</v>
      </c>
      <c r="C5788" s="1220"/>
      <c r="D5788" s="434"/>
      <c r="E5788" s="1595"/>
      <c r="F5788" s="434"/>
      <c r="G5788" s="434"/>
      <c r="H5788" s="434"/>
      <c r="I5788" s="434"/>
      <c r="J5788" s="434"/>
      <c r="K5788" s="1596"/>
      <c r="L5788" s="1597"/>
      <c r="M5788" s="1598" t="n">
        <v>0</v>
      </c>
    </row>
    <row r="5789" s="1600" customFormat="true" ht="15" hidden="false" customHeight="false" outlineLevel="0" collapsed="false">
      <c r="A5789" s="192" t="n">
        <v>17</v>
      </c>
      <c r="B5789" s="1599" t="s">
        <v>4040</v>
      </c>
      <c r="C5789" s="192"/>
      <c r="D5789" s="192"/>
      <c r="E5789" s="192"/>
      <c r="F5789" s="192"/>
      <c r="G5789" s="192"/>
      <c r="H5789" s="192"/>
      <c r="I5789" s="192"/>
      <c r="J5789" s="192"/>
      <c r="K5789" s="192"/>
      <c r="L5789" s="192"/>
      <c r="M5789" s="192"/>
    </row>
    <row r="5790" s="1600" customFormat="true" ht="15" hidden="false" customHeight="false" outlineLevel="0" collapsed="false">
      <c r="A5790" s="1601" t="s">
        <v>2638</v>
      </c>
      <c r="B5790" s="1156" t="s">
        <v>6719</v>
      </c>
      <c r="C5790" s="1180"/>
      <c r="D5790" s="1602"/>
      <c r="E5790" s="1602"/>
      <c r="F5790" s="1603"/>
      <c r="G5790" s="1602"/>
      <c r="H5790" s="1602"/>
      <c r="I5790" s="1603"/>
      <c r="J5790" s="1602"/>
      <c r="K5790" s="1602"/>
      <c r="L5790" s="1603"/>
      <c r="M5790" s="1604" t="n">
        <f aca="false">+M5792</f>
        <v>43.59410430839</v>
      </c>
    </row>
    <row r="5791" s="1600" customFormat="true" ht="30" hidden="false" customHeight="false" outlineLevel="0" collapsed="false">
      <c r="A5791" s="1352"/>
      <c r="B5791" s="1605" t="s">
        <v>3810</v>
      </c>
      <c r="C5791" s="29" t="s">
        <v>7201</v>
      </c>
      <c r="D5791" s="547" t="n">
        <v>2008</v>
      </c>
      <c r="E5791" s="547" t="n">
        <f aca="false">2015-D5791</f>
        <v>7</v>
      </c>
      <c r="F5791" s="547" t="n">
        <v>2307000</v>
      </c>
      <c r="G5791" s="1444" t="n">
        <v>0.1</v>
      </c>
      <c r="H5791" s="1105" t="n">
        <f aca="false">E5791*F5791*G5791</f>
        <v>1614900</v>
      </c>
      <c r="I5791" s="1105" t="n">
        <f aca="false">F5791-H5791</f>
        <v>692100</v>
      </c>
      <c r="J5791" s="1105" t="n">
        <f aca="false">F5791*G5791</f>
        <v>230700</v>
      </c>
      <c r="K5791" s="1105" t="n">
        <f aca="false">J5791/1764</f>
        <v>130.78231292517</v>
      </c>
      <c r="L5791" s="547" t="n">
        <v>20</v>
      </c>
      <c r="M5791" s="865" t="n">
        <f aca="false">K5791*L5791/60</f>
        <v>43.59410430839</v>
      </c>
    </row>
    <row r="5792" s="1600" customFormat="true" ht="15" hidden="false" customHeight="false" outlineLevel="0" collapsed="false">
      <c r="A5792" s="1352"/>
      <c r="B5792" s="972" t="s">
        <v>4128</v>
      </c>
      <c r="C5792" s="29"/>
      <c r="D5792" s="547"/>
      <c r="E5792" s="547"/>
      <c r="F5792" s="547"/>
      <c r="G5792" s="1413"/>
      <c r="H5792" s="547"/>
      <c r="I5792" s="547"/>
      <c r="J5792" s="547"/>
      <c r="K5792" s="547"/>
      <c r="L5792" s="714" t="n">
        <f aca="false">L5791</f>
        <v>20</v>
      </c>
      <c r="M5792" s="934" t="n">
        <f aca="false">M5791</f>
        <v>43.59410430839</v>
      </c>
    </row>
    <row r="5793" s="1600" customFormat="true" ht="28.5" hidden="false" customHeight="false" outlineLevel="0" collapsed="false">
      <c r="A5793" s="1601" t="s">
        <v>6723</v>
      </c>
      <c r="B5793" s="1156" t="s">
        <v>6724</v>
      </c>
      <c r="C5793" s="1180"/>
      <c r="D5793" s="1602"/>
      <c r="E5793" s="1602"/>
      <c r="F5793" s="1603"/>
      <c r="G5793" s="1602"/>
      <c r="H5793" s="1602"/>
      <c r="I5793" s="1603"/>
      <c r="J5793" s="1602"/>
      <c r="K5793" s="1602"/>
      <c r="L5793" s="1603"/>
      <c r="M5793" s="1604" t="n">
        <f aca="false">M5805</f>
        <v>694.339172335601</v>
      </c>
    </row>
    <row r="5794" s="1600" customFormat="true" ht="30" hidden="false" customHeight="false" outlineLevel="0" collapsed="false">
      <c r="A5794" s="1352"/>
      <c r="B5794" s="1605" t="s">
        <v>6725</v>
      </c>
      <c r="C5794" s="29" t="s">
        <v>7301</v>
      </c>
      <c r="D5794" s="547" t="n">
        <v>2007</v>
      </c>
      <c r="E5794" s="547" t="n">
        <v>8</v>
      </c>
      <c r="F5794" s="547" t="n">
        <v>1068000</v>
      </c>
      <c r="G5794" s="1444" t="n">
        <v>0.1</v>
      </c>
      <c r="H5794" s="1105" t="n">
        <f aca="false">E5794*F5794*G5794</f>
        <v>854400</v>
      </c>
      <c r="I5794" s="1105" t="n">
        <f aca="false">F5794-H5794</f>
        <v>213600</v>
      </c>
      <c r="J5794" s="1105" t="n">
        <f aca="false">F5794*G5794</f>
        <v>106800</v>
      </c>
      <c r="K5794" s="1105" t="n">
        <f aca="false">J5794/1764</f>
        <v>60.5442176870748</v>
      </c>
      <c r="L5794" s="547" t="n">
        <v>9.6</v>
      </c>
      <c r="M5794" s="865" t="n">
        <f aca="false">K5794*L5794/60</f>
        <v>9.68707482993197</v>
      </c>
    </row>
    <row r="5795" s="1600" customFormat="true" ht="15" hidden="false" customHeight="false" outlineLevel="0" collapsed="false">
      <c r="A5795" s="1352"/>
      <c r="B5795" s="1605"/>
      <c r="C5795" s="29" t="s">
        <v>6976</v>
      </c>
      <c r="D5795" s="547" t="n">
        <v>2010</v>
      </c>
      <c r="E5795" s="547" t="n">
        <v>5</v>
      </c>
      <c r="F5795" s="547" t="n">
        <v>223200</v>
      </c>
      <c r="G5795" s="1444" t="n">
        <v>0.1</v>
      </c>
      <c r="H5795" s="1105" t="n">
        <f aca="false">E5795*F5795*G5795</f>
        <v>111600</v>
      </c>
      <c r="I5795" s="1105" t="n">
        <f aca="false">F5795-H5795</f>
        <v>111600</v>
      </c>
      <c r="J5795" s="1105" t="n">
        <f aca="false">F5795*G5795</f>
        <v>22320</v>
      </c>
      <c r="K5795" s="1105" t="n">
        <f aca="false">J5795/1764</f>
        <v>12.6530612244898</v>
      </c>
      <c r="L5795" s="547" t="n">
        <v>3</v>
      </c>
      <c r="M5795" s="865" t="n">
        <f aca="false">K5795*L5795/60</f>
        <v>0.63265306122449</v>
      </c>
    </row>
    <row r="5796" s="1600" customFormat="true" ht="15" hidden="false" customHeight="false" outlineLevel="0" collapsed="false">
      <c r="A5796" s="1352"/>
      <c r="B5796" s="1605"/>
      <c r="C5796" s="29" t="s">
        <v>7302</v>
      </c>
      <c r="D5796" s="547" t="n">
        <v>2007</v>
      </c>
      <c r="E5796" s="547" t="n">
        <v>8</v>
      </c>
      <c r="F5796" s="547" t="n">
        <v>25000</v>
      </c>
      <c r="G5796" s="1444" t="n">
        <v>0.1</v>
      </c>
      <c r="H5796" s="1105" t="n">
        <f aca="false">E5796*F5796*G5796</f>
        <v>20000</v>
      </c>
      <c r="I5796" s="1105" t="n">
        <f aca="false">F5796-H5796</f>
        <v>5000</v>
      </c>
      <c r="J5796" s="1105" t="n">
        <f aca="false">F5796*G5796</f>
        <v>2500</v>
      </c>
      <c r="K5796" s="1105" t="n">
        <f aca="false">J5796/1764</f>
        <v>1.4172335600907</v>
      </c>
      <c r="L5796" s="547" t="n">
        <v>6</v>
      </c>
      <c r="M5796" s="865" t="n">
        <f aca="false">K5796*L5796/60</f>
        <v>0.14172335600907</v>
      </c>
    </row>
    <row r="5797" s="1600" customFormat="true" ht="15" hidden="false" customHeight="false" outlineLevel="0" collapsed="false">
      <c r="A5797" s="1352"/>
      <c r="B5797" s="1605"/>
      <c r="C5797" s="29" t="s">
        <v>7303</v>
      </c>
      <c r="D5797" s="547" t="n">
        <v>2007</v>
      </c>
      <c r="E5797" s="547" t="n">
        <v>8</v>
      </c>
      <c r="F5797" s="547" t="n">
        <v>92000</v>
      </c>
      <c r="G5797" s="1444" t="n">
        <v>0.1</v>
      </c>
      <c r="H5797" s="1105" t="n">
        <f aca="false">E5797*F5797*G5797</f>
        <v>73600</v>
      </c>
      <c r="I5797" s="1105" t="n">
        <f aca="false">F5797-H5797</f>
        <v>18400</v>
      </c>
      <c r="J5797" s="1105" t="n">
        <f aca="false">F5797*G5797</f>
        <v>9200</v>
      </c>
      <c r="K5797" s="1105" t="n">
        <f aca="false">J5797/1764</f>
        <v>5.21541950113379</v>
      </c>
      <c r="L5797" s="547" t="n">
        <v>5</v>
      </c>
      <c r="M5797" s="865" t="n">
        <f aca="false">K5797*L5797/60</f>
        <v>0.434618291761149</v>
      </c>
    </row>
    <row r="5798" s="1600" customFormat="true" ht="15" hidden="false" customHeight="false" outlineLevel="0" collapsed="false">
      <c r="A5798" s="1352"/>
      <c r="B5798" s="1605"/>
      <c r="C5798" s="29" t="s">
        <v>7304</v>
      </c>
      <c r="D5798" s="547" t="n">
        <v>2007</v>
      </c>
      <c r="E5798" s="547" t="n">
        <v>8</v>
      </c>
      <c r="F5798" s="547" t="n">
        <v>3000000</v>
      </c>
      <c r="G5798" s="1444" t="n">
        <v>0.1</v>
      </c>
      <c r="H5798" s="1105" t="n">
        <f aca="false">E5798*F5798*G5798</f>
        <v>2400000</v>
      </c>
      <c r="I5798" s="1105" t="n">
        <f aca="false">F5798-H5798</f>
        <v>600000</v>
      </c>
      <c r="J5798" s="1105" t="n">
        <f aca="false">F5798*G5798</f>
        <v>300000</v>
      </c>
      <c r="K5798" s="1105" t="n">
        <f aca="false">J5798/1764</f>
        <v>170.068027210884</v>
      </c>
      <c r="L5798" s="547" t="n">
        <v>240</v>
      </c>
      <c r="M5798" s="865" t="n">
        <f aca="false">K5798*L5798/60</f>
        <v>680.272108843538</v>
      </c>
    </row>
    <row r="5799" s="1600" customFormat="true" ht="15" hidden="false" customHeight="false" outlineLevel="0" collapsed="false">
      <c r="A5799" s="1352"/>
      <c r="B5799" s="1605"/>
      <c r="C5799" s="29" t="s">
        <v>7236</v>
      </c>
      <c r="D5799" s="547" t="n">
        <v>2004</v>
      </c>
      <c r="E5799" s="547" t="n">
        <v>11</v>
      </c>
      <c r="F5799" s="547" t="n">
        <v>39263</v>
      </c>
      <c r="G5799" s="1444" t="n">
        <v>0.1</v>
      </c>
      <c r="H5799" s="1105" t="n">
        <f aca="false">E5799*F5799*G5799</f>
        <v>43189.3</v>
      </c>
      <c r="I5799" s="547" t="n">
        <f aca="false">F5799</f>
        <v>39263</v>
      </c>
      <c r="J5799" s="1105" t="n">
        <f aca="false">F5799*G5799</f>
        <v>3926.3</v>
      </c>
      <c r="K5799" s="1105" t="n">
        <f aca="false">J5799/1764</f>
        <v>2.22579365079365</v>
      </c>
      <c r="L5799" s="547" t="n">
        <v>60</v>
      </c>
      <c r="M5799" s="865" t="n">
        <f aca="false">K5799*L5799/60</f>
        <v>2.22579365079365</v>
      </c>
    </row>
    <row r="5800" s="1600" customFormat="true" ht="15" hidden="false" customHeight="false" outlineLevel="0" collapsed="false">
      <c r="A5800" s="1352"/>
      <c r="B5800" s="1605"/>
      <c r="C5800" s="29" t="s">
        <v>7305</v>
      </c>
      <c r="D5800" s="547" t="n">
        <v>2006</v>
      </c>
      <c r="E5800" s="547" t="n">
        <v>9</v>
      </c>
      <c r="F5800" s="547" t="n">
        <v>20640</v>
      </c>
      <c r="G5800" s="1444" t="n">
        <v>0.1</v>
      </c>
      <c r="H5800" s="1105" t="n">
        <f aca="false">E5800*F5800*G5800</f>
        <v>18576</v>
      </c>
      <c r="I5800" s="1105" t="n">
        <f aca="false">F5800-H5800</f>
        <v>2064</v>
      </c>
      <c r="J5800" s="1105" t="n">
        <f aca="false">F5800*G5800</f>
        <v>2064</v>
      </c>
      <c r="K5800" s="1105" t="n">
        <f aca="false">J5800/1764</f>
        <v>1.17006802721088</v>
      </c>
      <c r="L5800" s="547" t="n">
        <v>10</v>
      </c>
      <c r="M5800" s="865" t="n">
        <f aca="false">K5800*L5800/60</f>
        <v>0.195011337868481</v>
      </c>
    </row>
    <row r="5801" s="1600" customFormat="true" ht="15" hidden="false" customHeight="false" outlineLevel="0" collapsed="false">
      <c r="A5801" s="1352"/>
      <c r="B5801" s="1605"/>
      <c r="C5801" s="29" t="s">
        <v>7306</v>
      </c>
      <c r="D5801" s="547" t="n">
        <v>2007</v>
      </c>
      <c r="E5801" s="547" t="n">
        <v>8</v>
      </c>
      <c r="F5801" s="547" t="n">
        <v>10000</v>
      </c>
      <c r="G5801" s="1444" t="n">
        <v>0.1</v>
      </c>
      <c r="H5801" s="1105" t="n">
        <f aca="false">E5801*F5801*G5801</f>
        <v>8000</v>
      </c>
      <c r="I5801" s="1105" t="n">
        <f aca="false">F5801-H5801</f>
        <v>2000</v>
      </c>
      <c r="J5801" s="1105" t="n">
        <f aca="false">F5801*G5801</f>
        <v>1000</v>
      </c>
      <c r="K5801" s="1105" t="n">
        <f aca="false">J5801/1764</f>
        <v>0.566893424036281</v>
      </c>
      <c r="L5801" s="547" t="n">
        <v>5</v>
      </c>
      <c r="M5801" s="865" t="n">
        <f aca="false">K5801*L5801/60</f>
        <v>0.0472411186696901</v>
      </c>
    </row>
    <row r="5802" s="1600" customFormat="true" ht="15" hidden="false" customHeight="false" outlineLevel="0" collapsed="false">
      <c r="A5802" s="1352"/>
      <c r="B5802" s="1605"/>
      <c r="C5802" s="29" t="s">
        <v>7307</v>
      </c>
      <c r="D5802" s="547" t="n">
        <v>2007</v>
      </c>
      <c r="E5802" s="547" t="n">
        <v>8</v>
      </c>
      <c r="F5802" s="547" t="n">
        <v>68000</v>
      </c>
      <c r="G5802" s="1444" t="n">
        <v>0.1</v>
      </c>
      <c r="H5802" s="1105" t="n">
        <f aca="false">E5802*F5802*G5802</f>
        <v>54400</v>
      </c>
      <c r="I5802" s="1105" t="n">
        <f aca="false">F5802-H5802</f>
        <v>13600</v>
      </c>
      <c r="J5802" s="1105" t="n">
        <f aca="false">F5802*G5802</f>
        <v>6800</v>
      </c>
      <c r="K5802" s="1105" t="n">
        <f aca="false">J5802/1764</f>
        <v>3.85487528344671</v>
      </c>
      <c r="L5802" s="547" t="n">
        <v>3</v>
      </c>
      <c r="M5802" s="865" t="n">
        <f aca="false">K5802*L5802/60</f>
        <v>0.192743764172336</v>
      </c>
    </row>
    <row r="5803" s="1600" customFormat="true" ht="15" hidden="false" customHeight="false" outlineLevel="0" collapsed="false">
      <c r="A5803" s="1352"/>
      <c r="B5803" s="1605"/>
      <c r="C5803" s="29" t="s">
        <v>7308</v>
      </c>
      <c r="D5803" s="547" t="n">
        <v>2007</v>
      </c>
      <c r="E5803" s="547" t="n">
        <v>8</v>
      </c>
      <c r="F5803" s="547" t="n">
        <v>18000</v>
      </c>
      <c r="G5803" s="1444" t="n">
        <v>0.1</v>
      </c>
      <c r="H5803" s="1105" t="n">
        <f aca="false">E5803*F5803*G5803</f>
        <v>14400</v>
      </c>
      <c r="I5803" s="1105" t="n">
        <f aca="false">F5803-H5803</f>
        <v>3600</v>
      </c>
      <c r="J5803" s="1105" t="n">
        <f aca="false">F5803*G5803</f>
        <v>1800</v>
      </c>
      <c r="K5803" s="1105" t="n">
        <f aca="false">J5803/1764</f>
        <v>1.02040816326531</v>
      </c>
      <c r="L5803" s="547" t="n">
        <v>10</v>
      </c>
      <c r="M5803" s="865" t="n">
        <f aca="false">K5803*L5803/60</f>
        <v>0.170068027210884</v>
      </c>
    </row>
    <row r="5804" s="1600" customFormat="true" ht="15" hidden="false" customHeight="false" outlineLevel="0" collapsed="false">
      <c r="A5804" s="1352"/>
      <c r="B5804" s="1605"/>
      <c r="C5804" s="29" t="s">
        <v>7309</v>
      </c>
      <c r="D5804" s="547" t="n">
        <v>2007</v>
      </c>
      <c r="E5804" s="547" t="n">
        <v>8</v>
      </c>
      <c r="F5804" s="547" t="n">
        <v>60000</v>
      </c>
      <c r="G5804" s="1444" t="n">
        <v>0.1</v>
      </c>
      <c r="H5804" s="1105" t="n">
        <f aca="false">E5804*F5804*G5804</f>
        <v>48000</v>
      </c>
      <c r="I5804" s="1105" t="n">
        <f aca="false">F5804-H5804</f>
        <v>12000</v>
      </c>
      <c r="J5804" s="1105" t="n">
        <f aca="false">F5804*G5804</f>
        <v>6000</v>
      </c>
      <c r="K5804" s="1105" t="n">
        <f aca="false">J5804/1764</f>
        <v>3.40136054421769</v>
      </c>
      <c r="L5804" s="547" t="n">
        <v>6</v>
      </c>
      <c r="M5804" s="865" t="n">
        <f aca="false">K5804*L5804/60</f>
        <v>0.340136054421769</v>
      </c>
    </row>
    <row r="5805" s="1600" customFormat="true" ht="15" hidden="false" customHeight="false" outlineLevel="0" collapsed="false">
      <c r="A5805" s="1352"/>
      <c r="B5805" s="972" t="s">
        <v>4128</v>
      </c>
      <c r="C5805" s="29"/>
      <c r="D5805" s="547"/>
      <c r="E5805" s="547"/>
      <c r="F5805" s="547"/>
      <c r="G5805" s="1444"/>
      <c r="H5805" s="1105"/>
      <c r="I5805" s="1105"/>
      <c r="J5805" s="1105"/>
      <c r="K5805" s="1105"/>
      <c r="L5805" s="714" t="n">
        <f aca="false">SUM(L5794:L5804)</f>
        <v>357.6</v>
      </c>
      <c r="M5805" s="1558" t="n">
        <f aca="false">SUM(M5794:M5804)</f>
        <v>694.339172335601</v>
      </c>
    </row>
    <row r="5806" s="1600" customFormat="true" ht="28.5" hidden="false" customHeight="false" outlineLevel="0" collapsed="false">
      <c r="A5806" s="1601" t="s">
        <v>6733</v>
      </c>
      <c r="B5806" s="1156" t="s">
        <v>6734</v>
      </c>
      <c r="C5806" s="1180"/>
      <c r="D5806" s="1602"/>
      <c r="E5806" s="1602"/>
      <c r="F5806" s="1603"/>
      <c r="G5806" s="1602"/>
      <c r="H5806" s="1602"/>
      <c r="I5806" s="1603"/>
      <c r="J5806" s="1602"/>
      <c r="K5806" s="1602"/>
      <c r="L5806" s="1603"/>
      <c r="M5806" s="1604" t="n">
        <f aca="false">M5812+M5818+M5824+M5830</f>
        <v>1746.8157519868</v>
      </c>
    </row>
    <row r="5807" s="1600" customFormat="true" ht="30" hidden="false" customHeight="false" outlineLevel="0" collapsed="false">
      <c r="A5807" s="1184"/>
      <c r="B5807" s="1605" t="s">
        <v>6735</v>
      </c>
      <c r="C5807" s="29" t="s">
        <v>7310</v>
      </c>
      <c r="D5807" s="547" t="n">
        <v>2004</v>
      </c>
      <c r="E5807" s="547" t="n">
        <v>6</v>
      </c>
      <c r="F5807" s="547" t="n">
        <v>40572</v>
      </c>
      <c r="G5807" s="1444" t="n">
        <v>0.15</v>
      </c>
      <c r="H5807" s="1105" t="n">
        <f aca="false">E5807*F5807*G5807</f>
        <v>36514.8</v>
      </c>
      <c r="I5807" s="547" t="n">
        <v>28400.4</v>
      </c>
      <c r="J5807" s="1105" t="n">
        <f aca="false">F5807*G5807</f>
        <v>6085.8</v>
      </c>
      <c r="K5807" s="1105" t="n">
        <f aca="false">J5807/1778.4</f>
        <v>3.42206477732794</v>
      </c>
      <c r="L5807" s="547" t="n">
        <v>1440</v>
      </c>
      <c r="M5807" s="865" t="n">
        <f aca="false">(J5807/1778.4)*(L5807/60)</f>
        <v>82.1295546558704</v>
      </c>
    </row>
    <row r="5808" s="1600" customFormat="true" ht="15" hidden="false" customHeight="false" outlineLevel="0" collapsed="false">
      <c r="A5808" s="1184"/>
      <c r="B5808" s="1606"/>
      <c r="C5808" s="29" t="s">
        <v>7311</v>
      </c>
      <c r="D5808" s="547" t="n">
        <v>2006</v>
      </c>
      <c r="E5808" s="547" t="n">
        <v>4</v>
      </c>
      <c r="F5808" s="547" t="n">
        <v>55500</v>
      </c>
      <c r="G5808" s="1444" t="n">
        <v>0.1</v>
      </c>
      <c r="H5808" s="1105" t="n">
        <f aca="false">E5808*F5808*G5808</f>
        <v>22200</v>
      </c>
      <c r="I5808" s="1105" t="n">
        <v>44400</v>
      </c>
      <c r="J5808" s="1105" t="n">
        <f aca="false">F5808*G5808</f>
        <v>5550</v>
      </c>
      <c r="K5808" s="1105" t="n">
        <f aca="false">J5808/1778.4</f>
        <v>3.12078272604588</v>
      </c>
      <c r="L5808" s="547" t="n">
        <v>10</v>
      </c>
      <c r="M5808" s="865" t="n">
        <f aca="false">(J5808/1778.4)*(L5808/60)</f>
        <v>0.520130454340981</v>
      </c>
    </row>
    <row r="5809" s="1600" customFormat="true" ht="15" hidden="false" customHeight="false" outlineLevel="0" collapsed="false">
      <c r="A5809" s="1184"/>
      <c r="B5809" s="1606"/>
      <c r="C5809" s="29" t="s">
        <v>7251</v>
      </c>
      <c r="D5809" s="547" t="n">
        <v>2005</v>
      </c>
      <c r="E5809" s="547" t="n">
        <v>5</v>
      </c>
      <c r="F5809" s="547" t="n">
        <v>1638000</v>
      </c>
      <c r="G5809" s="1444" t="n">
        <v>0.1</v>
      </c>
      <c r="H5809" s="1105" t="n">
        <f aca="false">E5809*F5809*G5809</f>
        <v>819000</v>
      </c>
      <c r="I5809" s="1105" t="n">
        <v>1310400</v>
      </c>
      <c r="J5809" s="1105" t="n">
        <f aca="false">F5809*G5809</f>
        <v>163800</v>
      </c>
      <c r="K5809" s="1105" t="n">
        <f aca="false">J5809/1778.4</f>
        <v>92.1052631578947</v>
      </c>
      <c r="L5809" s="547" t="n">
        <v>80</v>
      </c>
      <c r="M5809" s="865" t="n">
        <f aca="false">(J5809/1778.4)*(L5809/60)</f>
        <v>122.80701754386</v>
      </c>
    </row>
    <row r="5810" s="1600" customFormat="true" ht="15" hidden="false" customHeight="false" outlineLevel="0" collapsed="false">
      <c r="A5810" s="1184"/>
      <c r="B5810" s="1606"/>
      <c r="C5810" s="29" t="s">
        <v>7312</v>
      </c>
      <c r="D5810" s="547" t="n">
        <v>2005</v>
      </c>
      <c r="E5810" s="547" t="n">
        <v>5</v>
      </c>
      <c r="F5810" s="547" t="n">
        <v>12190000</v>
      </c>
      <c r="G5810" s="1444" t="n">
        <v>0.1</v>
      </c>
      <c r="H5810" s="1105" t="n">
        <f aca="false">E5810*F5810*G5810</f>
        <v>6095000</v>
      </c>
      <c r="I5810" s="1105" t="n">
        <v>9752000</v>
      </c>
      <c r="J5810" s="1105" t="n">
        <f aca="false">F5810*G5810</f>
        <v>1219000</v>
      </c>
      <c r="K5810" s="1105" t="n">
        <f aca="false">J5810/1778.4</f>
        <v>685.44759334233</v>
      </c>
      <c r="L5810" s="547" t="n">
        <v>20</v>
      </c>
      <c r="M5810" s="865" t="n">
        <f aca="false">(J5810/1778.4)*(L5810/60)</f>
        <v>228.48253111411</v>
      </c>
    </row>
    <row r="5811" s="1600" customFormat="true" ht="15" hidden="false" customHeight="false" outlineLevel="0" collapsed="false">
      <c r="A5811" s="1184"/>
      <c r="B5811" s="1606"/>
      <c r="C5811" s="29" t="s">
        <v>7313</v>
      </c>
      <c r="D5811" s="547" t="n">
        <v>2004</v>
      </c>
      <c r="E5811" s="547" t="n">
        <v>6</v>
      </c>
      <c r="F5811" s="547" t="n">
        <v>196670</v>
      </c>
      <c r="G5811" s="1444" t="n">
        <v>0.1</v>
      </c>
      <c r="H5811" s="1105" t="n">
        <f aca="false">E5811*F5811*G5811</f>
        <v>118002</v>
      </c>
      <c r="I5811" s="1105" t="n">
        <v>157336</v>
      </c>
      <c r="J5811" s="1105" t="n">
        <f aca="false">F5811*G5811</f>
        <v>19667</v>
      </c>
      <c r="K5811" s="1105" t="n">
        <f aca="false">J5811/1778.4</f>
        <v>11.0588169140801</v>
      </c>
      <c r="L5811" s="547" t="n">
        <v>15</v>
      </c>
      <c r="M5811" s="865" t="n">
        <f aca="false">(J5811/1778.4)*(L5811/60)</f>
        <v>2.76470422852002</v>
      </c>
    </row>
    <row r="5812" s="1600" customFormat="true" ht="15" hidden="false" customHeight="false" outlineLevel="0" collapsed="false">
      <c r="A5812" s="1184"/>
      <c r="B5812" s="972" t="s">
        <v>4128</v>
      </c>
      <c r="C5812" s="29"/>
      <c r="D5812" s="547"/>
      <c r="E5812" s="547"/>
      <c r="F5812" s="547"/>
      <c r="G5812" s="1444"/>
      <c r="H5812" s="1105"/>
      <c r="I5812" s="547"/>
      <c r="J5812" s="1105"/>
      <c r="K5812" s="1105"/>
      <c r="L5812" s="714" t="n">
        <f aca="false">SUM(L5807:L5811)</f>
        <v>1565</v>
      </c>
      <c r="M5812" s="1558" t="n">
        <f aca="false">SUM(M5807:M5811)</f>
        <v>436.703937996701</v>
      </c>
    </row>
    <row r="5813" s="1600" customFormat="true" ht="45" hidden="false" customHeight="false" outlineLevel="0" collapsed="false">
      <c r="A5813" s="1184"/>
      <c r="B5813" s="1605" t="s">
        <v>6742</v>
      </c>
      <c r="C5813" s="29" t="s">
        <v>7310</v>
      </c>
      <c r="D5813" s="547" t="n">
        <v>2004</v>
      </c>
      <c r="E5813" s="547" t="n">
        <v>6</v>
      </c>
      <c r="F5813" s="547" t="n">
        <v>40572</v>
      </c>
      <c r="G5813" s="1444" t="n">
        <v>0.15</v>
      </c>
      <c r="H5813" s="1105" t="n">
        <f aca="false">E5813*F5813*G5813</f>
        <v>36514.8</v>
      </c>
      <c r="I5813" s="547" t="n">
        <v>28400.4</v>
      </c>
      <c r="J5813" s="1105" t="n">
        <f aca="false">F5813*G5813</f>
        <v>6085.8</v>
      </c>
      <c r="K5813" s="1105" t="n">
        <f aca="false">J5813/1778.4</f>
        <v>3.42206477732794</v>
      </c>
      <c r="L5813" s="547" t="n">
        <v>1440</v>
      </c>
      <c r="M5813" s="865" t="n">
        <f aca="false">(J5813/1778.4)*(L5813/60)</f>
        <v>82.1295546558704</v>
      </c>
    </row>
    <row r="5814" s="1600" customFormat="true" ht="15" hidden="false" customHeight="false" outlineLevel="0" collapsed="false">
      <c r="A5814" s="1184"/>
      <c r="B5814" s="1606"/>
      <c r="C5814" s="29" t="s">
        <v>7311</v>
      </c>
      <c r="D5814" s="547" t="n">
        <v>2006</v>
      </c>
      <c r="E5814" s="547" t="n">
        <v>4</v>
      </c>
      <c r="F5814" s="547" t="n">
        <v>55500</v>
      </c>
      <c r="G5814" s="1444" t="n">
        <v>0.1</v>
      </c>
      <c r="H5814" s="1105" t="n">
        <f aca="false">E5814*F5814*G5814</f>
        <v>22200</v>
      </c>
      <c r="I5814" s="1105" t="n">
        <v>44400</v>
      </c>
      <c r="J5814" s="1105" t="n">
        <f aca="false">F5814*G5814</f>
        <v>5550</v>
      </c>
      <c r="K5814" s="1105" t="n">
        <f aca="false">J5814/1778.4</f>
        <v>3.12078272604588</v>
      </c>
      <c r="L5814" s="547" t="n">
        <v>10</v>
      </c>
      <c r="M5814" s="865" t="n">
        <f aca="false">(J5814/1778.4)*(L5814/60)</f>
        <v>0.520130454340981</v>
      </c>
    </row>
    <row r="5815" s="1600" customFormat="true" ht="15" hidden="false" customHeight="false" outlineLevel="0" collapsed="false">
      <c r="A5815" s="1184"/>
      <c r="B5815" s="1606"/>
      <c r="C5815" s="29" t="s">
        <v>7251</v>
      </c>
      <c r="D5815" s="547" t="n">
        <v>2005</v>
      </c>
      <c r="E5815" s="547" t="n">
        <v>5</v>
      </c>
      <c r="F5815" s="547" t="n">
        <v>1638000</v>
      </c>
      <c r="G5815" s="1444" t="n">
        <v>0.1</v>
      </c>
      <c r="H5815" s="1105" t="n">
        <f aca="false">E5815*F5815*G5815</f>
        <v>819000</v>
      </c>
      <c r="I5815" s="1105" t="n">
        <v>1310400</v>
      </c>
      <c r="J5815" s="1105" t="n">
        <f aca="false">F5815*G5815</f>
        <v>163800</v>
      </c>
      <c r="K5815" s="1105" t="n">
        <f aca="false">J5815/1778.4</f>
        <v>92.1052631578947</v>
      </c>
      <c r="L5815" s="547" t="n">
        <v>80</v>
      </c>
      <c r="M5815" s="865" t="n">
        <f aca="false">(J5815/1778.4)*(L5815/60)</f>
        <v>122.80701754386</v>
      </c>
    </row>
    <row r="5816" s="1600" customFormat="true" ht="15" hidden="false" customHeight="false" outlineLevel="0" collapsed="false">
      <c r="A5816" s="1184"/>
      <c r="B5816" s="1606"/>
      <c r="C5816" s="29" t="s">
        <v>7312</v>
      </c>
      <c r="D5816" s="547" t="n">
        <v>2005</v>
      </c>
      <c r="E5816" s="547" t="n">
        <v>5</v>
      </c>
      <c r="F5816" s="547" t="n">
        <v>12190000</v>
      </c>
      <c r="G5816" s="1444" t="n">
        <v>0.1</v>
      </c>
      <c r="H5816" s="1105" t="n">
        <f aca="false">E5816*F5816*G5816</f>
        <v>6095000</v>
      </c>
      <c r="I5816" s="1105" t="n">
        <v>9752000</v>
      </c>
      <c r="J5816" s="1105" t="n">
        <f aca="false">F5816*G5816</f>
        <v>1219000</v>
      </c>
      <c r="K5816" s="1105" t="n">
        <f aca="false">J5816/1778.4</f>
        <v>685.44759334233</v>
      </c>
      <c r="L5816" s="547" t="n">
        <v>20</v>
      </c>
      <c r="M5816" s="865" t="n">
        <f aca="false">(J5816/1778.4)*(L5816/60)</f>
        <v>228.48253111411</v>
      </c>
    </row>
    <row r="5817" s="1600" customFormat="true" ht="15" hidden="false" customHeight="false" outlineLevel="0" collapsed="false">
      <c r="A5817" s="1352"/>
      <c r="B5817" s="1605"/>
      <c r="C5817" s="29" t="s">
        <v>7313</v>
      </c>
      <c r="D5817" s="547" t="n">
        <v>2004</v>
      </c>
      <c r="E5817" s="547" t="n">
        <v>6</v>
      </c>
      <c r="F5817" s="547" t="n">
        <v>196670</v>
      </c>
      <c r="G5817" s="1444" t="n">
        <v>0.1</v>
      </c>
      <c r="H5817" s="1105" t="n">
        <f aca="false">E5817*F5817*G5817</f>
        <v>118002</v>
      </c>
      <c r="I5817" s="1105" t="n">
        <v>157336</v>
      </c>
      <c r="J5817" s="1105" t="n">
        <f aca="false">F5817*G5817</f>
        <v>19667</v>
      </c>
      <c r="K5817" s="1105" t="n">
        <f aca="false">J5817/1778.4</f>
        <v>11.0588169140801</v>
      </c>
      <c r="L5817" s="547" t="n">
        <v>15</v>
      </c>
      <c r="M5817" s="865" t="n">
        <f aca="false">(J5817/1778.4)*(L5817/60)</f>
        <v>2.76470422852002</v>
      </c>
    </row>
    <row r="5818" s="1600" customFormat="true" ht="15" hidden="false" customHeight="false" outlineLevel="0" collapsed="false">
      <c r="A5818" s="1352"/>
      <c r="B5818" s="972" t="s">
        <v>4128</v>
      </c>
      <c r="C5818" s="29"/>
      <c r="D5818" s="547"/>
      <c r="E5818" s="547"/>
      <c r="F5818" s="547"/>
      <c r="G5818" s="1444"/>
      <c r="H5818" s="1105"/>
      <c r="I5818" s="547"/>
      <c r="J5818" s="1105"/>
      <c r="K5818" s="1105"/>
      <c r="L5818" s="714" t="n">
        <f aca="false">SUM(L5813:L5817)</f>
        <v>1565</v>
      </c>
      <c r="M5818" s="1558" t="n">
        <f aca="false">SUM(M5813:M5817)</f>
        <v>436.703937996701</v>
      </c>
    </row>
    <row r="5819" s="1600" customFormat="true" ht="30" hidden="false" customHeight="false" outlineLevel="0" collapsed="false">
      <c r="A5819" s="1352"/>
      <c r="B5819" s="1605" t="s">
        <v>6520</v>
      </c>
      <c r="C5819" s="29" t="s">
        <v>7310</v>
      </c>
      <c r="D5819" s="547" t="n">
        <v>2004</v>
      </c>
      <c r="E5819" s="547" t="n">
        <v>6</v>
      </c>
      <c r="F5819" s="547" t="n">
        <v>40572</v>
      </c>
      <c r="G5819" s="1444" t="n">
        <v>0.15</v>
      </c>
      <c r="H5819" s="1105" t="n">
        <f aca="false">E5819*F5819*G5819</f>
        <v>36514.8</v>
      </c>
      <c r="I5819" s="547" t="n">
        <v>28400.4</v>
      </c>
      <c r="J5819" s="1105" t="n">
        <f aca="false">F5819*G5819</f>
        <v>6085.8</v>
      </c>
      <c r="K5819" s="1105" t="n">
        <f aca="false">J5819/1778.4</f>
        <v>3.42206477732794</v>
      </c>
      <c r="L5819" s="547" t="n">
        <v>1440</v>
      </c>
      <c r="M5819" s="865" t="n">
        <f aca="false">(J5819/1778.4)*(L5819/60)</f>
        <v>82.1295546558704</v>
      </c>
    </row>
    <row r="5820" s="1600" customFormat="true" ht="15" hidden="false" customHeight="false" outlineLevel="0" collapsed="false">
      <c r="A5820" s="1352"/>
      <c r="B5820" s="972"/>
      <c r="C5820" s="29" t="s">
        <v>7311</v>
      </c>
      <c r="D5820" s="547" t="n">
        <v>2006</v>
      </c>
      <c r="E5820" s="547" t="n">
        <v>4</v>
      </c>
      <c r="F5820" s="547" t="n">
        <v>55500</v>
      </c>
      <c r="G5820" s="1444" t="n">
        <v>0.1</v>
      </c>
      <c r="H5820" s="1105" t="n">
        <f aca="false">E5820*F5820*G5820</f>
        <v>22200</v>
      </c>
      <c r="I5820" s="1105" t="n">
        <v>44400</v>
      </c>
      <c r="J5820" s="1105" t="n">
        <f aca="false">F5820*G5820</f>
        <v>5550</v>
      </c>
      <c r="K5820" s="1105" t="n">
        <f aca="false">J5820/1778.4</f>
        <v>3.12078272604588</v>
      </c>
      <c r="L5820" s="547" t="n">
        <v>10</v>
      </c>
      <c r="M5820" s="865" t="n">
        <f aca="false">(J5820/1778.4)*(L5820/60)</f>
        <v>0.520130454340981</v>
      </c>
    </row>
    <row r="5821" s="1600" customFormat="true" ht="15" hidden="false" customHeight="false" outlineLevel="0" collapsed="false">
      <c r="A5821" s="1352"/>
      <c r="B5821" s="972"/>
      <c r="C5821" s="29" t="s">
        <v>7251</v>
      </c>
      <c r="D5821" s="547" t="n">
        <v>2005</v>
      </c>
      <c r="E5821" s="547" t="n">
        <v>5</v>
      </c>
      <c r="F5821" s="547" t="n">
        <v>1638000</v>
      </c>
      <c r="G5821" s="1444" t="n">
        <v>0.1</v>
      </c>
      <c r="H5821" s="1105" t="n">
        <f aca="false">E5821*F5821*G5821</f>
        <v>819000</v>
      </c>
      <c r="I5821" s="1105" t="n">
        <v>1310400</v>
      </c>
      <c r="J5821" s="1105" t="n">
        <f aca="false">F5821*G5821</f>
        <v>163800</v>
      </c>
      <c r="K5821" s="1105" t="n">
        <f aca="false">J5821/1778.4</f>
        <v>92.1052631578947</v>
      </c>
      <c r="L5821" s="547" t="n">
        <v>80</v>
      </c>
      <c r="M5821" s="865" t="n">
        <f aca="false">(J5821/1778.4)*(L5821/60)</f>
        <v>122.80701754386</v>
      </c>
    </row>
    <row r="5822" s="1600" customFormat="true" ht="15" hidden="false" customHeight="false" outlineLevel="0" collapsed="false">
      <c r="A5822" s="1352"/>
      <c r="B5822" s="972"/>
      <c r="C5822" s="29" t="s">
        <v>7312</v>
      </c>
      <c r="D5822" s="547" t="n">
        <v>2005</v>
      </c>
      <c r="E5822" s="547" t="n">
        <v>5</v>
      </c>
      <c r="F5822" s="547" t="n">
        <v>12190000</v>
      </c>
      <c r="G5822" s="1444" t="n">
        <v>0.1</v>
      </c>
      <c r="H5822" s="1105" t="n">
        <f aca="false">E5822*F5822*G5822</f>
        <v>6095000</v>
      </c>
      <c r="I5822" s="1105" t="n">
        <v>9752000</v>
      </c>
      <c r="J5822" s="1105" t="n">
        <f aca="false">F5822*G5822</f>
        <v>1219000</v>
      </c>
      <c r="K5822" s="1105" t="n">
        <f aca="false">J5822/1778.4</f>
        <v>685.44759334233</v>
      </c>
      <c r="L5822" s="547" t="n">
        <v>20</v>
      </c>
      <c r="M5822" s="865" t="n">
        <f aca="false">(J5822/1778.4)*(L5822/60)</f>
        <v>228.48253111411</v>
      </c>
    </row>
    <row r="5823" s="1600" customFormat="true" ht="15" hidden="false" customHeight="false" outlineLevel="0" collapsed="false">
      <c r="A5823" s="1352"/>
      <c r="B5823" s="972"/>
      <c r="C5823" s="29" t="s">
        <v>7313</v>
      </c>
      <c r="D5823" s="547" t="n">
        <v>2004</v>
      </c>
      <c r="E5823" s="547" t="n">
        <v>6</v>
      </c>
      <c r="F5823" s="547" t="n">
        <v>196670</v>
      </c>
      <c r="G5823" s="1444" t="n">
        <v>0.1</v>
      </c>
      <c r="H5823" s="1105" t="n">
        <f aca="false">E5823*F5823*G5823</f>
        <v>118002</v>
      </c>
      <c r="I5823" s="1105" t="n">
        <v>157336</v>
      </c>
      <c r="J5823" s="1105" t="n">
        <f aca="false">F5823*G5823</f>
        <v>19667</v>
      </c>
      <c r="K5823" s="1105" t="n">
        <f aca="false">J5823/1778.4</f>
        <v>11.0588169140801</v>
      </c>
      <c r="L5823" s="547" t="n">
        <v>15</v>
      </c>
      <c r="M5823" s="865" t="n">
        <f aca="false">(J5823/1778.4)*(L5823/60)</f>
        <v>2.76470422852002</v>
      </c>
    </row>
    <row r="5824" s="1600" customFormat="true" ht="15" hidden="false" customHeight="false" outlineLevel="0" collapsed="false">
      <c r="A5824" s="1352"/>
      <c r="B5824" s="972" t="s">
        <v>4128</v>
      </c>
      <c r="C5824" s="29"/>
      <c r="D5824" s="547"/>
      <c r="E5824" s="547"/>
      <c r="F5824" s="547"/>
      <c r="G5824" s="1444"/>
      <c r="H5824" s="1105"/>
      <c r="I5824" s="547"/>
      <c r="J5824" s="1105"/>
      <c r="K5824" s="1105"/>
      <c r="L5824" s="714" t="n">
        <f aca="false">SUM(L5819:L5823)</f>
        <v>1565</v>
      </c>
      <c r="M5824" s="1558" t="n">
        <f aca="false">SUM(M5819:M5823)</f>
        <v>436.703937996701</v>
      </c>
    </row>
    <row r="5825" s="1600" customFormat="true" ht="15" hidden="false" customHeight="false" outlineLevel="0" collapsed="false">
      <c r="A5825" s="1352"/>
      <c r="B5825" s="1605" t="s">
        <v>3935</v>
      </c>
      <c r="C5825" s="29" t="s">
        <v>7310</v>
      </c>
      <c r="D5825" s="547" t="n">
        <v>2004</v>
      </c>
      <c r="E5825" s="547" t="n">
        <v>6</v>
      </c>
      <c r="F5825" s="547" t="n">
        <v>40572</v>
      </c>
      <c r="G5825" s="1444" t="n">
        <v>0.15</v>
      </c>
      <c r="H5825" s="1105" t="n">
        <f aca="false">E5825*F5825*G5825</f>
        <v>36514.8</v>
      </c>
      <c r="I5825" s="547" t="n">
        <v>28400.4</v>
      </c>
      <c r="J5825" s="1105" t="n">
        <f aca="false">F5825*G5825</f>
        <v>6085.8</v>
      </c>
      <c r="K5825" s="1105" t="n">
        <f aca="false">J5825/1778.4</f>
        <v>3.42206477732794</v>
      </c>
      <c r="L5825" s="547" t="n">
        <v>1440</v>
      </c>
      <c r="M5825" s="865" t="n">
        <f aca="false">(J5825/1778.4)*(L5825/60)</f>
        <v>82.1295546558704</v>
      </c>
    </row>
    <row r="5826" s="1600" customFormat="true" ht="15" hidden="false" customHeight="false" outlineLevel="0" collapsed="false">
      <c r="A5826" s="1352"/>
      <c r="B5826" s="972"/>
      <c r="C5826" s="29" t="s">
        <v>7311</v>
      </c>
      <c r="D5826" s="547" t="n">
        <v>2006</v>
      </c>
      <c r="E5826" s="547" t="n">
        <v>4</v>
      </c>
      <c r="F5826" s="547" t="n">
        <v>55500</v>
      </c>
      <c r="G5826" s="1444" t="n">
        <v>0.1</v>
      </c>
      <c r="H5826" s="1105" t="n">
        <f aca="false">E5826*F5826*G5826</f>
        <v>22200</v>
      </c>
      <c r="I5826" s="1105" t="n">
        <v>44400</v>
      </c>
      <c r="J5826" s="1105" t="n">
        <f aca="false">F5826*G5826</f>
        <v>5550</v>
      </c>
      <c r="K5826" s="1105" t="n">
        <f aca="false">J5826/1778.4</f>
        <v>3.12078272604588</v>
      </c>
      <c r="L5826" s="547" t="n">
        <v>10</v>
      </c>
      <c r="M5826" s="865" t="n">
        <f aca="false">(J5826/1778.4)*(L5826/60)</f>
        <v>0.520130454340981</v>
      </c>
    </row>
    <row r="5827" s="1600" customFormat="true" ht="15" hidden="false" customHeight="false" outlineLevel="0" collapsed="false">
      <c r="A5827" s="1352"/>
      <c r="B5827" s="972"/>
      <c r="C5827" s="29" t="s">
        <v>7251</v>
      </c>
      <c r="D5827" s="547" t="n">
        <v>2005</v>
      </c>
      <c r="E5827" s="547" t="n">
        <v>5</v>
      </c>
      <c r="F5827" s="547" t="n">
        <v>1638000</v>
      </c>
      <c r="G5827" s="1444" t="n">
        <v>0.1</v>
      </c>
      <c r="H5827" s="1105" t="n">
        <f aca="false">E5827*F5827*G5827</f>
        <v>819000</v>
      </c>
      <c r="I5827" s="1105" t="n">
        <v>1310400</v>
      </c>
      <c r="J5827" s="1105" t="n">
        <f aca="false">F5827*G5827</f>
        <v>163800</v>
      </c>
      <c r="K5827" s="1105" t="n">
        <f aca="false">J5827/1778.4</f>
        <v>92.1052631578947</v>
      </c>
      <c r="L5827" s="547" t="n">
        <v>80</v>
      </c>
      <c r="M5827" s="865" t="n">
        <f aca="false">(J5827/1778.4)*(L5827/60)</f>
        <v>122.80701754386</v>
      </c>
    </row>
    <row r="5828" s="1600" customFormat="true" ht="15" hidden="false" customHeight="false" outlineLevel="0" collapsed="false">
      <c r="A5828" s="1352"/>
      <c r="B5828" s="972"/>
      <c r="C5828" s="29" t="s">
        <v>7312</v>
      </c>
      <c r="D5828" s="547" t="n">
        <v>2005</v>
      </c>
      <c r="E5828" s="547" t="n">
        <v>5</v>
      </c>
      <c r="F5828" s="547" t="n">
        <v>12190000</v>
      </c>
      <c r="G5828" s="1444" t="n">
        <v>0.1</v>
      </c>
      <c r="H5828" s="1105" t="n">
        <f aca="false">E5828*F5828*G5828</f>
        <v>6095000</v>
      </c>
      <c r="I5828" s="1105" t="n">
        <v>9752000</v>
      </c>
      <c r="J5828" s="1105" t="n">
        <f aca="false">F5828*G5828</f>
        <v>1219000</v>
      </c>
      <c r="K5828" s="1105" t="n">
        <f aca="false">J5828/1778.4</f>
        <v>685.44759334233</v>
      </c>
      <c r="L5828" s="547" t="n">
        <v>20</v>
      </c>
      <c r="M5828" s="865" t="n">
        <f aca="false">(J5828/1778.4)*(L5828/60)</f>
        <v>228.48253111411</v>
      </c>
    </row>
    <row r="5829" s="1600" customFormat="true" ht="15" hidden="false" customHeight="false" outlineLevel="0" collapsed="false">
      <c r="A5829" s="1352"/>
      <c r="B5829" s="972"/>
      <c r="C5829" s="29" t="s">
        <v>7313</v>
      </c>
      <c r="D5829" s="547" t="n">
        <v>2004</v>
      </c>
      <c r="E5829" s="547" t="n">
        <v>6</v>
      </c>
      <c r="F5829" s="547" t="n">
        <v>196670</v>
      </c>
      <c r="G5829" s="1444" t="n">
        <v>0.1</v>
      </c>
      <c r="H5829" s="1105" t="n">
        <f aca="false">E5829*F5829*G5829</f>
        <v>118002</v>
      </c>
      <c r="I5829" s="1105" t="n">
        <v>157336</v>
      </c>
      <c r="J5829" s="1105" t="n">
        <f aca="false">F5829*G5829</f>
        <v>19667</v>
      </c>
      <c r="K5829" s="1105" t="n">
        <f aca="false">J5829/1778.4</f>
        <v>11.0588169140801</v>
      </c>
      <c r="L5829" s="547" t="n">
        <v>15</v>
      </c>
      <c r="M5829" s="865" t="n">
        <f aca="false">(J5829/1778.4)*(L5829/60)</f>
        <v>2.76470422852002</v>
      </c>
    </row>
    <row r="5830" s="1600" customFormat="true" ht="15" hidden="false" customHeight="false" outlineLevel="0" collapsed="false">
      <c r="A5830" s="1352"/>
      <c r="B5830" s="972" t="s">
        <v>4128</v>
      </c>
      <c r="C5830" s="29"/>
      <c r="D5830" s="547"/>
      <c r="E5830" s="547"/>
      <c r="F5830" s="547"/>
      <c r="G5830" s="1444"/>
      <c r="H5830" s="1105"/>
      <c r="I5830" s="547"/>
      <c r="J5830" s="1105"/>
      <c r="K5830" s="1105"/>
      <c r="L5830" s="714" t="n">
        <f aca="false">SUM(L5825:L5829)</f>
        <v>1565</v>
      </c>
      <c r="M5830" s="1558" t="n">
        <f aca="false">SUM(M5825:M5829)</f>
        <v>436.703937996701</v>
      </c>
    </row>
    <row r="5831" s="1600" customFormat="true" ht="28.5" hidden="false" customHeight="false" outlineLevel="0" collapsed="false">
      <c r="A5831" s="1601" t="s">
        <v>6749</v>
      </c>
      <c r="B5831" s="1156" t="s">
        <v>6750</v>
      </c>
      <c r="C5831" s="1180"/>
      <c r="D5831" s="1602"/>
      <c r="E5831" s="1602"/>
      <c r="F5831" s="1603"/>
      <c r="G5831" s="1602"/>
      <c r="H5831" s="1602"/>
      <c r="I5831" s="1603"/>
      <c r="J5831" s="1602"/>
      <c r="K5831" s="1602"/>
      <c r="L5831" s="1603"/>
      <c r="M5831" s="1604" t="n">
        <f aca="false">M5835</f>
        <v>592.615665154951</v>
      </c>
    </row>
    <row r="5832" s="1600" customFormat="true" ht="60" hidden="false" customHeight="false" outlineLevel="0" collapsed="false">
      <c r="A5832" s="1352"/>
      <c r="B5832" s="1605" t="s">
        <v>6751</v>
      </c>
      <c r="C5832" s="78" t="s">
        <v>7314</v>
      </c>
      <c r="D5832" s="547" t="n">
        <v>2005</v>
      </c>
      <c r="E5832" s="547" t="n">
        <f aca="false">2015-D5832</f>
        <v>10</v>
      </c>
      <c r="F5832" s="547" t="n">
        <v>1874800</v>
      </c>
      <c r="G5832" s="1413" t="n">
        <v>0.1</v>
      </c>
      <c r="H5832" s="547" t="n">
        <f aca="false">E5832*F5832*G5832</f>
        <v>1874800</v>
      </c>
      <c r="I5832" s="547" t="n">
        <f aca="false">F5832</f>
        <v>1874800</v>
      </c>
      <c r="J5832" s="547" t="n">
        <f aca="false">F5832*G5832</f>
        <v>187480</v>
      </c>
      <c r="K5832" s="547" t="n">
        <f aca="false">J5832/1764</f>
        <v>106.281179138322</v>
      </c>
      <c r="L5832" s="547" t="n">
        <v>20</v>
      </c>
      <c r="M5832" s="819" t="n">
        <f aca="false">K5832*L5832/60</f>
        <v>35.427059712774</v>
      </c>
    </row>
    <row r="5833" s="1600" customFormat="true" ht="30" hidden="false" customHeight="false" outlineLevel="0" collapsed="false">
      <c r="A5833" s="1352"/>
      <c r="B5833" s="1605"/>
      <c r="C5833" s="78" t="s">
        <v>7315</v>
      </c>
      <c r="D5833" s="547" t="n">
        <v>2009</v>
      </c>
      <c r="E5833" s="547" t="n">
        <f aca="false">2015-D5833</f>
        <v>6</v>
      </c>
      <c r="F5833" s="547" t="n">
        <v>891000</v>
      </c>
      <c r="G5833" s="1413" t="n">
        <v>1.1</v>
      </c>
      <c r="H5833" s="547" t="n">
        <f aca="false">E5833*F5833*G5833</f>
        <v>5880600</v>
      </c>
      <c r="I5833" s="547" t="n">
        <f aca="false">F5833</f>
        <v>891000</v>
      </c>
      <c r="J5833" s="547" t="n">
        <f aca="false">F5833*G5833</f>
        <v>980100</v>
      </c>
      <c r="K5833" s="547" t="n">
        <f aca="false">J5833/1764</f>
        <v>555.612244897959</v>
      </c>
      <c r="L5833" s="547" t="n">
        <v>20</v>
      </c>
      <c r="M5833" s="819" t="n">
        <f aca="false">K5833*L5833/60</f>
        <v>185.204081632653</v>
      </c>
    </row>
    <row r="5834" s="1600" customFormat="true" ht="30" hidden="false" customHeight="false" outlineLevel="0" collapsed="false">
      <c r="A5834" s="1352"/>
      <c r="B5834" s="1605"/>
      <c r="C5834" s="78" t="s">
        <v>7316</v>
      </c>
      <c r="D5834" s="547" t="n">
        <v>2005</v>
      </c>
      <c r="E5834" s="547" t="n">
        <f aca="false">2015-D5834</f>
        <v>10</v>
      </c>
      <c r="F5834" s="547" t="n">
        <v>1874802</v>
      </c>
      <c r="G5834" s="1413" t="n">
        <v>2.1</v>
      </c>
      <c r="H5834" s="547" t="n">
        <f aca="false">E5834*F5834*G5834</f>
        <v>39370842</v>
      </c>
      <c r="I5834" s="547" t="n">
        <f aca="false">F5834</f>
        <v>1874802</v>
      </c>
      <c r="J5834" s="547" t="n">
        <f aca="false">F5834*G5834</f>
        <v>3937084.2</v>
      </c>
      <c r="K5834" s="547" t="n">
        <f aca="false">J5834/1764</f>
        <v>2231.90714285714</v>
      </c>
      <c r="L5834" s="547" t="n">
        <v>10</v>
      </c>
      <c r="M5834" s="819" t="n">
        <f aca="false">K5834*L5834/60</f>
        <v>371.984523809524</v>
      </c>
    </row>
    <row r="5835" s="1600" customFormat="true" ht="15" hidden="false" customHeight="false" outlineLevel="0" collapsed="false">
      <c r="A5835" s="1352"/>
      <c r="B5835" s="972" t="s">
        <v>4128</v>
      </c>
      <c r="C5835" s="965"/>
      <c r="D5835" s="609"/>
      <c r="E5835" s="609"/>
      <c r="F5835" s="640"/>
      <c r="G5835" s="640"/>
      <c r="H5835" s="609"/>
      <c r="I5835" s="609"/>
      <c r="J5835" s="609"/>
      <c r="K5835" s="609"/>
      <c r="L5835" s="714" t="n">
        <f aca="false">SUM(L5832:L5834)</f>
        <v>50</v>
      </c>
      <c r="M5835" s="934" t="n">
        <f aca="false">SUM(M5832:M5834)</f>
        <v>592.615665154951</v>
      </c>
    </row>
    <row r="5836" s="1600" customFormat="true" ht="42.75" hidden="false" customHeight="false" outlineLevel="0" collapsed="false">
      <c r="A5836" s="1601" t="s">
        <v>6753</v>
      </c>
      <c r="B5836" s="1156" t="s">
        <v>6754</v>
      </c>
      <c r="C5836" s="1180"/>
      <c r="D5836" s="1602"/>
      <c r="E5836" s="1602"/>
      <c r="F5836" s="1603"/>
      <c r="G5836" s="1602"/>
      <c r="H5836" s="1602"/>
      <c r="I5836" s="1603"/>
      <c r="J5836" s="1602"/>
      <c r="K5836" s="1602"/>
      <c r="L5836" s="1603"/>
      <c r="M5836" s="1604" t="n">
        <f aca="false">M5840</f>
        <v>592.615665154951</v>
      </c>
    </row>
    <row r="5837" s="1600" customFormat="true" ht="60" hidden="false" customHeight="false" outlineLevel="0" collapsed="false">
      <c r="A5837" s="1352"/>
      <c r="B5837" s="1605" t="s">
        <v>6755</v>
      </c>
      <c r="C5837" s="78" t="s">
        <v>7314</v>
      </c>
      <c r="D5837" s="547" t="n">
        <v>2005</v>
      </c>
      <c r="E5837" s="547" t="n">
        <f aca="false">2015-D5837</f>
        <v>10</v>
      </c>
      <c r="F5837" s="547" t="n">
        <v>1874800</v>
      </c>
      <c r="G5837" s="1413" t="n">
        <v>0.1</v>
      </c>
      <c r="H5837" s="547" t="n">
        <f aca="false">E5837*F5837*G5837</f>
        <v>1874800</v>
      </c>
      <c r="I5837" s="547" t="n">
        <f aca="false">F5837</f>
        <v>1874800</v>
      </c>
      <c r="J5837" s="547" t="n">
        <f aca="false">F5837*G5837</f>
        <v>187480</v>
      </c>
      <c r="K5837" s="547" t="n">
        <f aca="false">J5837/1764</f>
        <v>106.281179138322</v>
      </c>
      <c r="L5837" s="547" t="n">
        <v>20</v>
      </c>
      <c r="M5837" s="819" t="n">
        <f aca="false">K5837*L5837/60</f>
        <v>35.427059712774</v>
      </c>
    </row>
    <row r="5838" s="1600" customFormat="true" ht="30" hidden="false" customHeight="false" outlineLevel="0" collapsed="false">
      <c r="A5838" s="1352"/>
      <c r="B5838" s="1605"/>
      <c r="C5838" s="78" t="s">
        <v>7315</v>
      </c>
      <c r="D5838" s="547" t="n">
        <v>2009</v>
      </c>
      <c r="E5838" s="547" t="n">
        <f aca="false">2015-D5838</f>
        <v>6</v>
      </c>
      <c r="F5838" s="547" t="n">
        <v>891000</v>
      </c>
      <c r="G5838" s="1413" t="n">
        <v>1.1</v>
      </c>
      <c r="H5838" s="547" t="n">
        <f aca="false">E5838*F5838*G5838</f>
        <v>5880600</v>
      </c>
      <c r="I5838" s="547" t="n">
        <f aca="false">F5838</f>
        <v>891000</v>
      </c>
      <c r="J5838" s="547" t="n">
        <f aca="false">F5838*G5838</f>
        <v>980100</v>
      </c>
      <c r="K5838" s="547" t="n">
        <f aca="false">J5838/1764</f>
        <v>555.612244897959</v>
      </c>
      <c r="L5838" s="547" t="n">
        <v>20</v>
      </c>
      <c r="M5838" s="819" t="n">
        <f aca="false">K5838*L5838/60</f>
        <v>185.204081632653</v>
      </c>
    </row>
    <row r="5839" s="1600" customFormat="true" ht="30" hidden="false" customHeight="false" outlineLevel="0" collapsed="false">
      <c r="A5839" s="1352"/>
      <c r="B5839" s="1605"/>
      <c r="C5839" s="78" t="s">
        <v>7316</v>
      </c>
      <c r="D5839" s="547" t="n">
        <v>2005</v>
      </c>
      <c r="E5839" s="547" t="n">
        <f aca="false">2015-D5839</f>
        <v>10</v>
      </c>
      <c r="F5839" s="547" t="n">
        <v>1874802</v>
      </c>
      <c r="G5839" s="1413" t="n">
        <v>2.1</v>
      </c>
      <c r="H5839" s="547" t="n">
        <f aca="false">E5839*F5839*G5839</f>
        <v>39370842</v>
      </c>
      <c r="I5839" s="547" t="n">
        <f aca="false">F5839</f>
        <v>1874802</v>
      </c>
      <c r="J5839" s="547" t="n">
        <f aca="false">F5839*G5839</f>
        <v>3937084.2</v>
      </c>
      <c r="K5839" s="547" t="n">
        <f aca="false">J5839/1764</f>
        <v>2231.90714285714</v>
      </c>
      <c r="L5839" s="547" t="n">
        <v>10</v>
      </c>
      <c r="M5839" s="819" t="n">
        <f aca="false">K5839*L5839/60</f>
        <v>371.984523809524</v>
      </c>
    </row>
    <row r="5840" s="1600" customFormat="true" ht="15" hidden="false" customHeight="false" outlineLevel="0" collapsed="false">
      <c r="A5840" s="1352"/>
      <c r="B5840" s="972" t="s">
        <v>4128</v>
      </c>
      <c r="C5840" s="965"/>
      <c r="D5840" s="609"/>
      <c r="E5840" s="609"/>
      <c r="F5840" s="640"/>
      <c r="G5840" s="640"/>
      <c r="H5840" s="609"/>
      <c r="I5840" s="609"/>
      <c r="J5840" s="609"/>
      <c r="K5840" s="609"/>
      <c r="L5840" s="714" t="n">
        <f aca="false">SUM(L5837:L5839)</f>
        <v>50</v>
      </c>
      <c r="M5840" s="934" t="n">
        <f aca="false">SUM(M5837:M5839)</f>
        <v>592.615665154951</v>
      </c>
    </row>
    <row r="5841" s="1600" customFormat="true" ht="20.25" hidden="false" customHeight="true" outlineLevel="0" collapsed="false">
      <c r="A5841" s="1601" t="s">
        <v>6756</v>
      </c>
      <c r="B5841" s="1156" t="s">
        <v>6757</v>
      </c>
      <c r="C5841" s="1180"/>
      <c r="D5841" s="1602"/>
      <c r="E5841" s="1602"/>
      <c r="F5841" s="1603"/>
      <c r="G5841" s="1602"/>
      <c r="H5841" s="1602"/>
      <c r="I5841" s="1603"/>
      <c r="J5841" s="1602"/>
      <c r="K5841" s="1602"/>
      <c r="L5841" s="1603"/>
      <c r="M5841" s="1604" t="n">
        <f aca="false">M5844+M5846+M5849+M5851</f>
        <v>150.028722600151</v>
      </c>
    </row>
    <row r="5842" s="1600" customFormat="true" ht="57" hidden="false" customHeight="false" outlineLevel="0" collapsed="false">
      <c r="A5842" s="1607" t="s">
        <v>6758</v>
      </c>
      <c r="B5842" s="1606" t="s">
        <v>6759</v>
      </c>
      <c r="C5842" s="547"/>
      <c r="D5842" s="317"/>
      <c r="E5842" s="317"/>
      <c r="F5842" s="429"/>
      <c r="G5842" s="317"/>
      <c r="H5842" s="317"/>
      <c r="I5842" s="429"/>
      <c r="J5842" s="317"/>
      <c r="K5842" s="317"/>
      <c r="L5842" s="429"/>
      <c r="M5842" s="317"/>
    </row>
    <row r="5843" s="1600" customFormat="true" ht="30" hidden="false" customHeight="false" outlineLevel="0" collapsed="false">
      <c r="A5843" s="1352"/>
      <c r="B5843" s="1605" t="s">
        <v>3585</v>
      </c>
      <c r="C5843" s="29" t="s">
        <v>7317</v>
      </c>
      <c r="D5843" s="547" t="n">
        <v>2010</v>
      </c>
      <c r="E5843" s="547" t="n">
        <f aca="false">2015-D5843</f>
        <v>5</v>
      </c>
      <c r="F5843" s="547" t="n">
        <v>1500000</v>
      </c>
      <c r="G5843" s="1444" t="n">
        <v>0.1</v>
      </c>
      <c r="H5843" s="1105" t="n">
        <f aca="false">E5843*F5843*G5843</f>
        <v>750000</v>
      </c>
      <c r="I5843" s="1105" t="n">
        <f aca="false">F5843-H5843</f>
        <v>750000</v>
      </c>
      <c r="J5843" s="1105" t="n">
        <f aca="false">F5843*G5843</f>
        <v>150000</v>
      </c>
      <c r="K5843" s="1105" t="n">
        <f aca="false">J5843/1764</f>
        <v>85.0340136054422</v>
      </c>
      <c r="L5843" s="547" t="n">
        <v>50</v>
      </c>
      <c r="M5843" s="865" t="n">
        <f aca="false">K5843*L5843/60</f>
        <v>70.8616780045352</v>
      </c>
    </row>
    <row r="5844" s="1600" customFormat="true" ht="15" hidden="false" customHeight="false" outlineLevel="0" collapsed="false">
      <c r="A5844" s="1352"/>
      <c r="B5844" s="972" t="s">
        <v>4128</v>
      </c>
      <c r="C5844" s="29"/>
      <c r="D5844" s="547"/>
      <c r="E5844" s="547"/>
      <c r="F5844" s="547"/>
      <c r="G5844" s="1444"/>
      <c r="H5844" s="1105"/>
      <c r="I5844" s="1105"/>
      <c r="J5844" s="1105"/>
      <c r="K5844" s="1105"/>
      <c r="L5844" s="714" t="n">
        <f aca="false">SUM(L5843)</f>
        <v>50</v>
      </c>
      <c r="M5844" s="1558" t="n">
        <f aca="false">SUM(M5843)</f>
        <v>70.8616780045352</v>
      </c>
    </row>
    <row r="5845" s="1600" customFormat="true" ht="30" hidden="false" customHeight="false" outlineLevel="0" collapsed="false">
      <c r="A5845" s="1352"/>
      <c r="B5845" s="1605" t="s">
        <v>3586</v>
      </c>
      <c r="C5845" s="29" t="s">
        <v>7128</v>
      </c>
      <c r="D5845" s="547" t="n">
        <v>2010</v>
      </c>
      <c r="E5845" s="547" t="n">
        <f aca="false">2015-D5845</f>
        <v>5</v>
      </c>
      <c r="F5845" s="547" t="n">
        <v>292500</v>
      </c>
      <c r="G5845" s="1444" t="n">
        <v>0.1</v>
      </c>
      <c r="H5845" s="1105" t="n">
        <f aca="false">E5845*F5845*G5845</f>
        <v>146250</v>
      </c>
      <c r="I5845" s="1105" t="n">
        <f aca="false">F5845-H5845</f>
        <v>146250</v>
      </c>
      <c r="J5845" s="1105" t="n">
        <f aca="false">F5845*G5845</f>
        <v>29250</v>
      </c>
      <c r="K5845" s="1105" t="n">
        <f aca="false">J5845/1764</f>
        <v>16.5816326530612</v>
      </c>
      <c r="L5845" s="547" t="n">
        <v>60</v>
      </c>
      <c r="M5845" s="865" t="n">
        <f aca="false">K5845*L5845/60</f>
        <v>16.5816326530612</v>
      </c>
    </row>
    <row r="5846" s="1600" customFormat="true" ht="15" hidden="false" customHeight="false" outlineLevel="0" collapsed="false">
      <c r="A5846" s="1352"/>
      <c r="B5846" s="972" t="s">
        <v>4128</v>
      </c>
      <c r="C5846" s="29"/>
      <c r="D5846" s="547"/>
      <c r="E5846" s="547"/>
      <c r="F5846" s="547"/>
      <c r="G5846" s="1444"/>
      <c r="H5846" s="1105"/>
      <c r="I5846" s="1105"/>
      <c r="J5846" s="1105"/>
      <c r="K5846" s="1105"/>
      <c r="L5846" s="714" t="n">
        <f aca="false">SUM(L5845)</f>
        <v>60</v>
      </c>
      <c r="M5846" s="1558" t="n">
        <f aca="false">SUM(M5845)</f>
        <v>16.5816326530612</v>
      </c>
    </row>
    <row r="5847" s="1600" customFormat="true" ht="57" hidden="false" customHeight="false" outlineLevel="0" collapsed="false">
      <c r="A5847" s="1607" t="s">
        <v>6762</v>
      </c>
      <c r="B5847" s="1606" t="s">
        <v>3587</v>
      </c>
      <c r="C5847" s="547"/>
      <c r="D5847" s="317"/>
      <c r="E5847" s="317"/>
      <c r="F5847" s="429"/>
      <c r="G5847" s="317"/>
      <c r="H5847" s="317"/>
      <c r="I5847" s="429"/>
      <c r="J5847" s="317"/>
      <c r="K5847" s="317"/>
      <c r="L5847" s="429"/>
      <c r="M5847" s="317"/>
    </row>
    <row r="5848" s="1600" customFormat="true" ht="45" hidden="false" customHeight="false" outlineLevel="0" collapsed="false">
      <c r="A5848" s="1352"/>
      <c r="B5848" s="1605" t="s">
        <v>6763</v>
      </c>
      <c r="C5848" s="29" t="s">
        <v>7127</v>
      </c>
      <c r="D5848" s="547" t="n">
        <v>2009</v>
      </c>
      <c r="E5848" s="547" t="n">
        <f aca="false">2015-D5848</f>
        <v>6</v>
      </c>
      <c r="F5848" s="547" t="n">
        <v>783808</v>
      </c>
      <c r="G5848" s="1444" t="n">
        <v>0.1</v>
      </c>
      <c r="H5848" s="1105" t="n">
        <f aca="false">E5848*F5848*G5848</f>
        <v>470284.8</v>
      </c>
      <c r="I5848" s="1105" t="n">
        <f aca="false">F5848-H5848</f>
        <v>313523.2</v>
      </c>
      <c r="J5848" s="1105" t="n">
        <f aca="false">F5848*G5848</f>
        <v>78380.8</v>
      </c>
      <c r="K5848" s="1105" t="n">
        <f aca="false">J5848/1764</f>
        <v>44.433560090703</v>
      </c>
      <c r="L5848" s="547" t="n">
        <v>50</v>
      </c>
      <c r="M5848" s="865" t="n">
        <f aca="false">K5848*L5848/60</f>
        <v>37.0279667422525</v>
      </c>
    </row>
    <row r="5849" s="1600" customFormat="true" ht="15" hidden="false" customHeight="false" outlineLevel="0" collapsed="false">
      <c r="A5849" s="1352"/>
      <c r="B5849" s="972" t="s">
        <v>4128</v>
      </c>
      <c r="C5849" s="29"/>
      <c r="D5849" s="547"/>
      <c r="E5849" s="547"/>
      <c r="F5849" s="547"/>
      <c r="G5849" s="1444"/>
      <c r="H5849" s="1105"/>
      <c r="I5849" s="1105"/>
      <c r="J5849" s="1105"/>
      <c r="K5849" s="1105"/>
      <c r="L5849" s="714" t="n">
        <f aca="false">SUM(L5848)</f>
        <v>50</v>
      </c>
      <c r="M5849" s="1558" t="n">
        <f aca="false">SUM(M5848)</f>
        <v>37.0279667422525</v>
      </c>
    </row>
    <row r="5850" s="1600" customFormat="true" ht="75" hidden="false" customHeight="false" outlineLevel="0" collapsed="false">
      <c r="A5850" s="1352"/>
      <c r="B5850" s="1605" t="s">
        <v>3589</v>
      </c>
      <c r="C5850" s="29" t="s">
        <v>7318</v>
      </c>
      <c r="D5850" s="547" t="n">
        <v>2009</v>
      </c>
      <c r="E5850" s="547" t="n">
        <f aca="false">2015-D5850</f>
        <v>6</v>
      </c>
      <c r="F5850" s="547" t="n">
        <v>541000</v>
      </c>
      <c r="G5850" s="1444" t="n">
        <v>0.1</v>
      </c>
      <c r="H5850" s="1105" t="n">
        <f aca="false">E5850*F5850*G5850</f>
        <v>324600</v>
      </c>
      <c r="I5850" s="1105" t="n">
        <f aca="false">F5850-H5850</f>
        <v>216400</v>
      </c>
      <c r="J5850" s="1105" t="n">
        <f aca="false">F5850*G5850</f>
        <v>54100</v>
      </c>
      <c r="K5850" s="1105" t="n">
        <f aca="false">J5850/1764</f>
        <v>30.6689342403628</v>
      </c>
      <c r="L5850" s="547" t="n">
        <v>50</v>
      </c>
      <c r="M5850" s="865" t="n">
        <f aca="false">K5850*L5850/60</f>
        <v>25.5574452003023</v>
      </c>
    </row>
    <row r="5851" s="1600" customFormat="true" ht="15" hidden="false" customHeight="false" outlineLevel="0" collapsed="false">
      <c r="A5851" s="1352"/>
      <c r="B5851" s="972" t="s">
        <v>4128</v>
      </c>
      <c r="C5851" s="29"/>
      <c r="D5851" s="547"/>
      <c r="E5851" s="547"/>
      <c r="F5851" s="547"/>
      <c r="G5851" s="1444"/>
      <c r="H5851" s="1105"/>
      <c r="I5851" s="1105"/>
      <c r="J5851" s="1105"/>
      <c r="K5851" s="1105"/>
      <c r="L5851" s="714" t="n">
        <f aca="false">SUM(L5850)</f>
        <v>50</v>
      </c>
      <c r="M5851" s="1558" t="n">
        <f aca="false">SUM(M5850)</f>
        <v>25.5574452003023</v>
      </c>
    </row>
    <row r="5852" s="1600" customFormat="true" ht="28.5" hidden="false" customHeight="false" outlineLevel="0" collapsed="false">
      <c r="A5852" s="1601" t="s">
        <v>6764</v>
      </c>
      <c r="B5852" s="1156" t="s">
        <v>6765</v>
      </c>
      <c r="C5852" s="1180"/>
      <c r="D5852" s="1602"/>
      <c r="E5852" s="1602"/>
      <c r="F5852" s="1603"/>
      <c r="G5852" s="1602"/>
      <c r="H5852" s="1602"/>
      <c r="I5852" s="1603"/>
      <c r="J5852" s="1602"/>
      <c r="K5852" s="1602"/>
      <c r="L5852" s="1603"/>
      <c r="M5852" s="1604" t="n">
        <f aca="false">M5855+M5857+M5859+M5864</f>
        <v>1115.55933484505</v>
      </c>
    </row>
    <row r="5853" s="1600" customFormat="true" ht="28.5" hidden="false" customHeight="false" outlineLevel="0" collapsed="false">
      <c r="A5853" s="1607" t="s">
        <v>6766</v>
      </c>
      <c r="B5853" s="1606" t="s">
        <v>6767</v>
      </c>
      <c r="C5853" s="547"/>
      <c r="D5853" s="317"/>
      <c r="E5853" s="317"/>
      <c r="F5853" s="429"/>
      <c r="G5853" s="317"/>
      <c r="H5853" s="317"/>
      <c r="I5853" s="429"/>
      <c r="J5853" s="317"/>
      <c r="K5853" s="317"/>
      <c r="L5853" s="429"/>
      <c r="M5853" s="317"/>
    </row>
    <row r="5854" s="1600" customFormat="true" ht="15" hidden="false" customHeight="false" outlineLevel="0" collapsed="false">
      <c r="A5854" s="1352"/>
      <c r="B5854" s="1605" t="s">
        <v>6768</v>
      </c>
      <c r="C5854" s="29" t="s">
        <v>7319</v>
      </c>
      <c r="D5854" s="547" t="n">
        <v>2005</v>
      </c>
      <c r="E5854" s="547" t="n">
        <f aca="false">2015-D5854</f>
        <v>10</v>
      </c>
      <c r="F5854" s="547" t="n">
        <v>658300</v>
      </c>
      <c r="G5854" s="1444" t="n">
        <v>0.1</v>
      </c>
      <c r="H5854" s="1105" t="n">
        <f aca="false">E5854*F5854*G5854</f>
        <v>658300</v>
      </c>
      <c r="I5854" s="1105" t="n">
        <f aca="false">F5854</f>
        <v>658300</v>
      </c>
      <c r="J5854" s="1105" t="n">
        <f aca="false">F5854*G5854</f>
        <v>65830</v>
      </c>
      <c r="K5854" s="1105" t="n">
        <f aca="false">J5854/1764</f>
        <v>37.3185941043084</v>
      </c>
      <c r="L5854" s="547" t="n">
        <v>40</v>
      </c>
      <c r="M5854" s="865" t="n">
        <f aca="false">K5854*L5854/60</f>
        <v>24.8790627362056</v>
      </c>
    </row>
    <row r="5855" s="1600" customFormat="true" ht="15" hidden="false" customHeight="false" outlineLevel="0" collapsed="false">
      <c r="A5855" s="1352"/>
      <c r="B5855" s="972" t="s">
        <v>4128</v>
      </c>
      <c r="C5855" s="1161"/>
      <c r="D5855" s="547"/>
      <c r="E5855" s="547"/>
      <c r="F5855" s="547"/>
      <c r="G5855" s="1444"/>
      <c r="H5855" s="1105"/>
      <c r="I5855" s="1105"/>
      <c r="J5855" s="1105"/>
      <c r="K5855" s="1105"/>
      <c r="L5855" s="714" t="n">
        <f aca="false">SUM(L5854)</f>
        <v>40</v>
      </c>
      <c r="M5855" s="714" t="n">
        <f aca="false">SUM(M5854)</f>
        <v>24.8790627362056</v>
      </c>
    </row>
    <row r="5856" s="1600" customFormat="true" ht="30" hidden="false" customHeight="false" outlineLevel="0" collapsed="false">
      <c r="A5856" s="1352"/>
      <c r="B5856" s="1605" t="s">
        <v>6769</v>
      </c>
      <c r="C5856" s="29" t="s">
        <v>7319</v>
      </c>
      <c r="D5856" s="547" t="n">
        <v>2005</v>
      </c>
      <c r="E5856" s="547" t="n">
        <f aca="false">2015-D5856</f>
        <v>10</v>
      </c>
      <c r="F5856" s="547" t="n">
        <v>658300</v>
      </c>
      <c r="G5856" s="1444" t="n">
        <v>0.1</v>
      </c>
      <c r="H5856" s="1105" t="n">
        <f aca="false">E5856*F5856*G5856</f>
        <v>658300</v>
      </c>
      <c r="I5856" s="1105" t="n">
        <f aca="false">F5856</f>
        <v>658300</v>
      </c>
      <c r="J5856" s="1105" t="n">
        <f aca="false">F5856*G5856</f>
        <v>65830</v>
      </c>
      <c r="K5856" s="1105" t="n">
        <f aca="false">J5856/1764</f>
        <v>37.3185941043084</v>
      </c>
      <c r="L5856" s="547" t="n">
        <v>40</v>
      </c>
      <c r="M5856" s="865" t="n">
        <f aca="false">K5856*L5856/60</f>
        <v>24.8790627362056</v>
      </c>
    </row>
    <row r="5857" s="1600" customFormat="true" ht="15" hidden="false" customHeight="false" outlineLevel="0" collapsed="false">
      <c r="A5857" s="1352"/>
      <c r="B5857" s="972" t="s">
        <v>4128</v>
      </c>
      <c r="C5857" s="1161"/>
      <c r="D5857" s="547"/>
      <c r="E5857" s="547"/>
      <c r="F5857" s="547"/>
      <c r="G5857" s="1444"/>
      <c r="H5857" s="1105"/>
      <c r="I5857" s="1105"/>
      <c r="J5857" s="1105"/>
      <c r="K5857" s="1105"/>
      <c r="L5857" s="714" t="n">
        <f aca="false">SUM(L5856)</f>
        <v>40</v>
      </c>
      <c r="M5857" s="714" t="n">
        <f aca="false">SUM(M5856)</f>
        <v>24.8790627362056</v>
      </c>
    </row>
    <row r="5858" s="1600" customFormat="true" ht="30" hidden="false" customHeight="false" outlineLevel="0" collapsed="false">
      <c r="A5858" s="1352"/>
      <c r="B5858" s="1605" t="s">
        <v>6770</v>
      </c>
      <c r="C5858" s="29" t="s">
        <v>7319</v>
      </c>
      <c r="D5858" s="547" t="n">
        <v>2005</v>
      </c>
      <c r="E5858" s="547" t="n">
        <f aca="false">2015-D5858</f>
        <v>10</v>
      </c>
      <c r="F5858" s="547" t="n">
        <v>658300</v>
      </c>
      <c r="G5858" s="1444" t="n">
        <v>0.1</v>
      </c>
      <c r="H5858" s="1105" t="n">
        <f aca="false">E5858*F5858*G5858</f>
        <v>658300</v>
      </c>
      <c r="I5858" s="1105" t="n">
        <f aca="false">F5858</f>
        <v>658300</v>
      </c>
      <c r="J5858" s="1105" t="n">
        <f aca="false">F5858*G5858</f>
        <v>65830</v>
      </c>
      <c r="K5858" s="1105" t="n">
        <f aca="false">J5858/1764</f>
        <v>37.3185941043084</v>
      </c>
      <c r="L5858" s="547" t="n">
        <v>40</v>
      </c>
      <c r="M5858" s="865" t="n">
        <f aca="false">K5858*L5858/60</f>
        <v>24.8790627362056</v>
      </c>
    </row>
    <row r="5859" s="1600" customFormat="true" ht="15" hidden="false" customHeight="false" outlineLevel="0" collapsed="false">
      <c r="A5859" s="1352"/>
      <c r="B5859" s="972" t="s">
        <v>4128</v>
      </c>
      <c r="C5859" s="1161"/>
      <c r="D5859" s="547"/>
      <c r="E5859" s="547"/>
      <c r="F5859" s="547"/>
      <c r="G5859" s="1444"/>
      <c r="H5859" s="1105"/>
      <c r="I5859" s="1105"/>
      <c r="J5859" s="1105"/>
      <c r="K5859" s="1105"/>
      <c r="L5859" s="714" t="n">
        <f aca="false">SUM(L5858)</f>
        <v>40</v>
      </c>
      <c r="M5859" s="714" t="n">
        <f aca="false">SUM(M5858)</f>
        <v>24.8790627362056</v>
      </c>
    </row>
    <row r="5860" s="1600" customFormat="true" ht="28.5" hidden="false" customHeight="false" outlineLevel="0" collapsed="false">
      <c r="A5860" s="1607" t="s">
        <v>6771</v>
      </c>
      <c r="B5860" s="1606" t="s">
        <v>3624</v>
      </c>
      <c r="C5860" s="547"/>
      <c r="D5860" s="317"/>
      <c r="E5860" s="317"/>
      <c r="F5860" s="429"/>
      <c r="G5860" s="317"/>
      <c r="H5860" s="317"/>
      <c r="I5860" s="429"/>
      <c r="J5860" s="317"/>
      <c r="K5860" s="317"/>
      <c r="L5860" s="429"/>
      <c r="M5860" s="317"/>
    </row>
    <row r="5861" s="1600" customFormat="true" ht="30" hidden="false" customHeight="false" outlineLevel="0" collapsed="false">
      <c r="A5861" s="1352"/>
      <c r="B5861" s="1605" t="s">
        <v>3625</v>
      </c>
      <c r="C5861" s="29" t="s">
        <v>7149</v>
      </c>
      <c r="D5861" s="547" t="n">
        <v>2009</v>
      </c>
      <c r="E5861" s="547" t="n">
        <f aca="false">2015-D5861</f>
        <v>6</v>
      </c>
      <c r="F5861" s="547" t="n">
        <v>1939200</v>
      </c>
      <c r="G5861" s="1444" t="n">
        <v>0.1</v>
      </c>
      <c r="H5861" s="1105" t="n">
        <f aca="false">E5861*F5861*G5861</f>
        <v>1163520</v>
      </c>
      <c r="I5861" s="1105" t="n">
        <f aca="false">F5861-H5861</f>
        <v>775680</v>
      </c>
      <c r="J5861" s="1105" t="n">
        <f aca="false">F5861*G5861</f>
        <v>193920</v>
      </c>
      <c r="K5861" s="1105" t="n">
        <f aca="false">J5861/1764</f>
        <v>109.931972789116</v>
      </c>
      <c r="L5861" s="547" t="n">
        <v>20</v>
      </c>
      <c r="M5861" s="865" t="n">
        <f aca="false">K5861*L5861/60</f>
        <v>36.6439909297052</v>
      </c>
    </row>
    <row r="5862" s="1600" customFormat="true" ht="15" hidden="false" customHeight="false" outlineLevel="0" collapsed="false">
      <c r="A5862" s="1352"/>
      <c r="B5862" s="1605"/>
      <c r="C5862" s="29" t="s">
        <v>7150</v>
      </c>
      <c r="D5862" s="547" t="s">
        <v>7151</v>
      </c>
      <c r="E5862" s="547" t="n">
        <f aca="false">2015-D5862</f>
        <v>0</v>
      </c>
      <c r="F5862" s="547" t="s">
        <v>7152</v>
      </c>
      <c r="G5862" s="1444" t="n">
        <v>0.1</v>
      </c>
      <c r="H5862" s="1105" t="n">
        <f aca="false">E5862*F5862*G5862</f>
        <v>0</v>
      </c>
      <c r="I5862" s="1105" t="n">
        <f aca="false">F5862-H5862</f>
        <v>8110</v>
      </c>
      <c r="J5862" s="1105" t="n">
        <f aca="false">F5862*G5862</f>
        <v>811</v>
      </c>
      <c r="K5862" s="1105" t="n">
        <f aca="false">J5862/1764</f>
        <v>0.459750566893424</v>
      </c>
      <c r="L5862" s="547" t="n">
        <v>129600</v>
      </c>
      <c r="M5862" s="865" t="n">
        <f aca="false">K5862*L5862/60</f>
        <v>993.061224489796</v>
      </c>
    </row>
    <row r="5863" s="1600" customFormat="true" ht="15" hidden="false" customHeight="false" outlineLevel="0" collapsed="false">
      <c r="A5863" s="1352"/>
      <c r="B5863" s="1605"/>
      <c r="C5863" s="29" t="s">
        <v>7134</v>
      </c>
      <c r="D5863" s="547" t="n">
        <v>2013</v>
      </c>
      <c r="E5863" s="547" t="n">
        <f aca="false">2015-D5863</f>
        <v>2</v>
      </c>
      <c r="F5863" s="547" t="n">
        <v>237440</v>
      </c>
      <c r="G5863" s="1444" t="n">
        <v>0.1</v>
      </c>
      <c r="H5863" s="1105" t="n">
        <f aca="false">E5863*F5863*G5863</f>
        <v>47488</v>
      </c>
      <c r="I5863" s="1105" t="n">
        <f aca="false">F5863-H5863</f>
        <v>189952</v>
      </c>
      <c r="J5863" s="1105" t="n">
        <f aca="false">F5863*G5863</f>
        <v>23744</v>
      </c>
      <c r="K5863" s="1105" t="n">
        <f aca="false">J5863/1764</f>
        <v>13.4603174603175</v>
      </c>
      <c r="L5863" s="547" t="n">
        <v>50</v>
      </c>
      <c r="M5863" s="865" t="n">
        <f aca="false">K5863*L5863/60</f>
        <v>11.2169312169312</v>
      </c>
    </row>
    <row r="5864" s="1600" customFormat="true" ht="15" hidden="false" customHeight="false" outlineLevel="0" collapsed="false">
      <c r="A5864" s="1352"/>
      <c r="B5864" s="972" t="s">
        <v>4128</v>
      </c>
      <c r="C5864" s="1161"/>
      <c r="D5864" s="547"/>
      <c r="E5864" s="547"/>
      <c r="F5864" s="547"/>
      <c r="G5864" s="1444"/>
      <c r="H5864" s="1105"/>
      <c r="I5864" s="1105"/>
      <c r="J5864" s="1105"/>
      <c r="K5864" s="1105"/>
      <c r="L5864" s="714" t="n">
        <f aca="false">SUM(L5861:L5863)</f>
        <v>129670</v>
      </c>
      <c r="M5864" s="714" t="n">
        <f aca="false">SUM(M5861:M5863)</f>
        <v>1040.92214663643</v>
      </c>
    </row>
    <row r="5865" s="1600" customFormat="true" ht="42.75" hidden="false" customHeight="false" outlineLevel="0" collapsed="false">
      <c r="A5865" s="1601" t="s">
        <v>6772</v>
      </c>
      <c r="B5865" s="1156" t="s">
        <v>6773</v>
      </c>
      <c r="C5865" s="1180"/>
      <c r="D5865" s="1602"/>
      <c r="E5865" s="1602"/>
      <c r="F5865" s="1603"/>
      <c r="G5865" s="1602"/>
      <c r="H5865" s="1602"/>
      <c r="I5865" s="1603"/>
      <c r="J5865" s="1602"/>
      <c r="K5865" s="1602"/>
      <c r="L5865" s="1603"/>
      <c r="M5865" s="1604" t="n">
        <f aca="false">M5869+M5874</f>
        <v>1488.90287226002</v>
      </c>
    </row>
    <row r="5866" s="1600" customFormat="true" ht="57" hidden="false" customHeight="false" outlineLevel="0" collapsed="false">
      <c r="A5866" s="1352"/>
      <c r="B5866" s="1606" t="s">
        <v>6774</v>
      </c>
      <c r="C5866" s="547"/>
      <c r="D5866" s="317"/>
      <c r="E5866" s="317"/>
      <c r="F5866" s="429"/>
      <c r="G5866" s="317"/>
      <c r="H5866" s="317"/>
      <c r="I5866" s="429"/>
      <c r="J5866" s="317"/>
      <c r="K5866" s="317"/>
      <c r="L5866" s="429"/>
      <c r="M5866" s="317"/>
    </row>
    <row r="5867" s="1600" customFormat="true" ht="15" hidden="false" customHeight="false" outlineLevel="0" collapsed="false">
      <c r="A5867" s="1352"/>
      <c r="B5867" s="1605" t="s">
        <v>3611</v>
      </c>
      <c r="C5867" s="29" t="s">
        <v>7143</v>
      </c>
      <c r="D5867" s="547" t="n">
        <v>2011</v>
      </c>
      <c r="E5867" s="547" t="n">
        <f aca="false">2015-D5867</f>
        <v>4</v>
      </c>
      <c r="F5867" s="547" t="n">
        <v>4258100</v>
      </c>
      <c r="G5867" s="1444" t="n">
        <v>0.1</v>
      </c>
      <c r="H5867" s="1105" t="n">
        <f aca="false">E5867*F5867*G5867</f>
        <v>1703240</v>
      </c>
      <c r="I5867" s="1105" t="n">
        <f aca="false">F5867-H5867</f>
        <v>2554860</v>
      </c>
      <c r="J5867" s="1105" t="n">
        <f aca="false">F5867*G5867</f>
        <v>425810</v>
      </c>
      <c r="K5867" s="1105" t="n">
        <f aca="false">J5867/1764</f>
        <v>241.388888888889</v>
      </c>
      <c r="L5867" s="547" t="n">
        <v>182</v>
      </c>
      <c r="M5867" s="865" t="n">
        <f aca="false">K5867*L5867/60</f>
        <v>732.212962962963</v>
      </c>
    </row>
    <row r="5868" s="1600" customFormat="true" ht="15" hidden="false" customHeight="false" outlineLevel="0" collapsed="false">
      <c r="A5868" s="1352"/>
      <c r="B5868" s="1605"/>
      <c r="C5868" s="29" t="s">
        <v>7313</v>
      </c>
      <c r="D5868" s="547" t="n">
        <v>2009</v>
      </c>
      <c r="E5868" s="547" t="n">
        <f aca="false">2015-D5868</f>
        <v>6</v>
      </c>
      <c r="F5868" s="547" t="n">
        <v>745000</v>
      </c>
      <c r="G5868" s="1444" t="n">
        <v>0.1</v>
      </c>
      <c r="H5868" s="1105" t="n">
        <f aca="false">E5868*F5868*G5868</f>
        <v>447000</v>
      </c>
      <c r="I5868" s="1105" t="n">
        <f aca="false">F5868-H5868</f>
        <v>298000</v>
      </c>
      <c r="J5868" s="1105" t="n">
        <f aca="false">F5868*G5868</f>
        <v>74500</v>
      </c>
      <c r="K5868" s="1105" t="n">
        <f aca="false">J5868/1764</f>
        <v>42.2335600907029</v>
      </c>
      <c r="L5868" s="547" t="n">
        <v>3</v>
      </c>
      <c r="M5868" s="865" t="n">
        <f aca="false">K5868*L5868/60</f>
        <v>2.11167800453515</v>
      </c>
    </row>
    <row r="5869" s="1600" customFormat="true" ht="15" hidden="false" customHeight="false" outlineLevel="0" collapsed="false">
      <c r="A5869" s="1352"/>
      <c r="B5869" s="972" t="s">
        <v>4128</v>
      </c>
      <c r="C5869" s="29"/>
      <c r="D5869" s="547"/>
      <c r="E5869" s="547"/>
      <c r="F5869" s="547"/>
      <c r="G5869" s="1444"/>
      <c r="H5869" s="1105"/>
      <c r="I5869" s="1105"/>
      <c r="J5869" s="1105"/>
      <c r="K5869" s="1105"/>
      <c r="L5869" s="714" t="n">
        <f aca="false">SUM(L5867:L5868)</f>
        <v>185</v>
      </c>
      <c r="M5869" s="1558" t="n">
        <f aca="false">SUM(M5867:M5868)</f>
        <v>734.324640967498</v>
      </c>
    </row>
    <row r="5870" s="1600" customFormat="true" ht="15" hidden="false" customHeight="false" outlineLevel="0" collapsed="false">
      <c r="A5870" s="1352"/>
      <c r="B5870" s="1605" t="s">
        <v>3612</v>
      </c>
      <c r="C5870" s="29" t="s">
        <v>7142</v>
      </c>
      <c r="D5870" s="547" t="n">
        <v>2012</v>
      </c>
      <c r="E5870" s="547" t="n">
        <f aca="false">2015-D5870</f>
        <v>3</v>
      </c>
      <c r="F5870" s="547" t="n">
        <v>4258100</v>
      </c>
      <c r="G5870" s="1444" t="n">
        <v>0.1</v>
      </c>
      <c r="H5870" s="1105" t="n">
        <f aca="false">E5870*F5870*G5870</f>
        <v>1277430</v>
      </c>
      <c r="I5870" s="1105" t="n">
        <f aca="false">F5870-H5870</f>
        <v>2980670</v>
      </c>
      <c r="J5870" s="1105" t="n">
        <f aca="false">F5870*G5870</f>
        <v>425810</v>
      </c>
      <c r="K5870" s="1105" t="n">
        <f aca="false">J5870/1764</f>
        <v>241.388888888889</v>
      </c>
      <c r="L5870" s="547" t="n">
        <v>182</v>
      </c>
      <c r="M5870" s="865" t="n">
        <f aca="false">K5870*L5870/60</f>
        <v>732.212962962963</v>
      </c>
    </row>
    <row r="5871" s="1600" customFormat="true" ht="15" hidden="false" customHeight="false" outlineLevel="0" collapsed="false">
      <c r="A5871" s="1352"/>
      <c r="B5871" s="1605"/>
      <c r="C5871" s="29" t="s">
        <v>7313</v>
      </c>
      <c r="D5871" s="547" t="n">
        <v>2009</v>
      </c>
      <c r="E5871" s="547" t="n">
        <f aca="false">2015-D5871</f>
        <v>6</v>
      </c>
      <c r="F5871" s="547" t="n">
        <v>745000</v>
      </c>
      <c r="G5871" s="1444" t="n">
        <v>0.1</v>
      </c>
      <c r="H5871" s="1105" t="n">
        <f aca="false">E5871*F5871*G5871</f>
        <v>447000</v>
      </c>
      <c r="I5871" s="1105" t="n">
        <f aca="false">F5871-H5871</f>
        <v>298000</v>
      </c>
      <c r="J5871" s="1105" t="n">
        <f aca="false">F5871*G5871</f>
        <v>74500</v>
      </c>
      <c r="K5871" s="1105" t="n">
        <f aca="false">J5871/1764</f>
        <v>42.2335600907029</v>
      </c>
      <c r="L5871" s="547" t="n">
        <v>5</v>
      </c>
      <c r="M5871" s="865" t="n">
        <f aca="false">K5871*L5871/60</f>
        <v>3.51946334089191</v>
      </c>
    </row>
    <row r="5872" s="1600" customFormat="true" ht="15" hidden="false" customHeight="false" outlineLevel="0" collapsed="false">
      <c r="A5872" s="1352"/>
      <c r="B5872" s="1605"/>
      <c r="C5872" s="29" t="s">
        <v>7134</v>
      </c>
      <c r="D5872" s="547" t="n">
        <v>2013</v>
      </c>
      <c r="E5872" s="547" t="n">
        <f aca="false">2015-D5872</f>
        <v>2</v>
      </c>
      <c r="F5872" s="547" t="n">
        <v>237440</v>
      </c>
      <c r="G5872" s="1444" t="n">
        <v>0.1</v>
      </c>
      <c r="H5872" s="1105" t="n">
        <f aca="false">E5872*F5872*G5872</f>
        <v>47488</v>
      </c>
      <c r="I5872" s="1105" t="n">
        <f aca="false">F5872-H5872</f>
        <v>189952</v>
      </c>
      <c r="J5872" s="1105" t="n">
        <f aca="false">F5872*G5872</f>
        <v>23744</v>
      </c>
      <c r="K5872" s="1105" t="n">
        <f aca="false">J5872/1764</f>
        <v>13.4603174603175</v>
      </c>
      <c r="L5872" s="547" t="n">
        <v>60</v>
      </c>
      <c r="M5872" s="865" t="n">
        <f aca="false">K5872*L5872/60</f>
        <v>13.4603174603175</v>
      </c>
    </row>
    <row r="5873" s="1600" customFormat="true" ht="15" hidden="false" customHeight="false" outlineLevel="0" collapsed="false">
      <c r="A5873" s="1352"/>
      <c r="B5873" s="1605"/>
      <c r="C5873" s="29" t="s">
        <v>7320</v>
      </c>
      <c r="D5873" s="547" t="n">
        <v>2009</v>
      </c>
      <c r="E5873" s="547" t="n">
        <f aca="false">2015-D5873</f>
        <v>6</v>
      </c>
      <c r="F5873" s="547" t="n">
        <v>190000</v>
      </c>
      <c r="G5873" s="1444" t="n">
        <v>0.1</v>
      </c>
      <c r="H5873" s="1105" t="n">
        <f aca="false">E5873*F5873*G5873</f>
        <v>114000</v>
      </c>
      <c r="I5873" s="1105" t="n">
        <f aca="false">F5873-H5873</f>
        <v>76000</v>
      </c>
      <c r="J5873" s="1105" t="n">
        <f aca="false">F5873*G5873</f>
        <v>19000</v>
      </c>
      <c r="K5873" s="1105" t="n">
        <f aca="false">J5873/1764</f>
        <v>10.7709750566893</v>
      </c>
      <c r="L5873" s="547" t="n">
        <v>30</v>
      </c>
      <c r="M5873" s="865" t="n">
        <f aca="false">K5873*L5873/60</f>
        <v>5.38548752834467</v>
      </c>
    </row>
    <row r="5874" s="1600" customFormat="true" ht="15" hidden="false" customHeight="false" outlineLevel="0" collapsed="false">
      <c r="A5874" s="1352"/>
      <c r="B5874" s="972" t="s">
        <v>4128</v>
      </c>
      <c r="C5874" s="1608"/>
      <c r="D5874" s="1609"/>
      <c r="E5874" s="1609"/>
      <c r="F5874" s="547"/>
      <c r="G5874" s="1444"/>
      <c r="H5874" s="1105"/>
      <c r="I5874" s="1105"/>
      <c r="J5874" s="1105"/>
      <c r="K5874" s="1105"/>
      <c r="L5874" s="714" t="n">
        <f aca="false">SUM(L5870:L5873)</f>
        <v>277</v>
      </c>
      <c r="M5874" s="1558" t="n">
        <f aca="false">SUM(M5870:M5873)</f>
        <v>754.578231292517</v>
      </c>
    </row>
    <row r="5875" s="1600" customFormat="true" ht="42.75" hidden="false" customHeight="false" outlineLevel="0" collapsed="false">
      <c r="A5875" s="1601" t="s">
        <v>6775</v>
      </c>
      <c r="B5875" s="1156" t="s">
        <v>6776</v>
      </c>
      <c r="C5875" s="1180"/>
      <c r="D5875" s="1602"/>
      <c r="E5875" s="1602"/>
      <c r="F5875" s="1603"/>
      <c r="G5875" s="1602"/>
      <c r="H5875" s="1602"/>
      <c r="I5875" s="1603"/>
      <c r="J5875" s="1602"/>
      <c r="K5875" s="1602"/>
      <c r="L5875" s="1610"/>
      <c r="M5875" s="1604" t="n">
        <f aca="false">M5883+M5891+M5899+M5904+M5913+M5922+M5926+M5934+M5942+M5945+M5948</f>
        <v>12753.4624433107</v>
      </c>
    </row>
    <row r="5876" s="1600" customFormat="true" ht="57" hidden="false" customHeight="false" outlineLevel="0" collapsed="false">
      <c r="A5876" s="1607" t="s">
        <v>6777</v>
      </c>
      <c r="B5876" s="1606" t="s">
        <v>6778</v>
      </c>
      <c r="C5876" s="547"/>
      <c r="D5876" s="317"/>
      <c r="E5876" s="317"/>
      <c r="F5876" s="429"/>
      <c r="G5876" s="317"/>
      <c r="H5876" s="317"/>
      <c r="I5876" s="429"/>
      <c r="J5876" s="317"/>
      <c r="K5876" s="317"/>
      <c r="L5876" s="1611"/>
      <c r="M5876" s="317"/>
    </row>
    <row r="5877" s="1600" customFormat="true" ht="30" hidden="false" customHeight="false" outlineLevel="0" collapsed="false">
      <c r="A5877" s="1352"/>
      <c r="B5877" s="1605" t="s">
        <v>3616</v>
      </c>
      <c r="C5877" s="29" t="s">
        <v>7130</v>
      </c>
      <c r="D5877" s="547" t="n">
        <v>2010</v>
      </c>
      <c r="E5877" s="547" t="n">
        <f aca="false">2015-D5877</f>
        <v>5</v>
      </c>
      <c r="F5877" s="547" t="n">
        <v>1835351</v>
      </c>
      <c r="G5877" s="1444" t="n">
        <v>0.1</v>
      </c>
      <c r="H5877" s="1105" t="n">
        <f aca="false">E5877*F5877*G5877</f>
        <v>917675.5</v>
      </c>
      <c r="I5877" s="1105" t="n">
        <f aca="false">F5877-H5877</f>
        <v>917675.5</v>
      </c>
      <c r="J5877" s="1105" t="n">
        <f aca="false">F5877*G5877</f>
        <v>183535.1</v>
      </c>
      <c r="K5877" s="1105" t="n">
        <f aca="false">J5877/1764</f>
        <v>104.044841269841</v>
      </c>
      <c r="L5877" s="547" t="n">
        <v>220</v>
      </c>
      <c r="M5877" s="865" t="n">
        <f aca="false">K5877*L5877/60</f>
        <v>381.497751322751</v>
      </c>
    </row>
    <row r="5878" s="1600" customFormat="true" ht="15" hidden="false" customHeight="false" outlineLevel="0" collapsed="false">
      <c r="A5878" s="1352"/>
      <c r="B5878" s="1605"/>
      <c r="C5878" s="29" t="s">
        <v>7321</v>
      </c>
      <c r="D5878" s="547" t="n">
        <v>2010</v>
      </c>
      <c r="E5878" s="547" t="n">
        <f aca="false">2015-D5878</f>
        <v>5</v>
      </c>
      <c r="F5878" s="547" t="n">
        <v>90000</v>
      </c>
      <c r="G5878" s="1444" t="n">
        <v>0.1</v>
      </c>
      <c r="H5878" s="1105" t="n">
        <f aca="false">E5878*F5878*G5878</f>
        <v>45000</v>
      </c>
      <c r="I5878" s="1105" t="n">
        <f aca="false">F5878-H5878</f>
        <v>45000</v>
      </c>
      <c r="J5878" s="1105" t="n">
        <f aca="false">F5878*G5878</f>
        <v>9000</v>
      </c>
      <c r="K5878" s="1105" t="n">
        <f aca="false">J5878/1764</f>
        <v>5.10204081632653</v>
      </c>
      <c r="L5878" s="547" t="n">
        <v>2</v>
      </c>
      <c r="M5878" s="865" t="n">
        <f aca="false">K5878*L5878/60</f>
        <v>0.170068027210884</v>
      </c>
    </row>
    <row r="5879" s="1600" customFormat="true" ht="15" hidden="false" customHeight="false" outlineLevel="0" collapsed="false">
      <c r="A5879" s="1352"/>
      <c r="B5879" s="1605"/>
      <c r="C5879" s="29" t="s">
        <v>7313</v>
      </c>
      <c r="D5879" s="547" t="n">
        <v>2009</v>
      </c>
      <c r="E5879" s="547" t="n">
        <f aca="false">2015-D5879</f>
        <v>6</v>
      </c>
      <c r="F5879" s="547" t="n">
        <v>745000</v>
      </c>
      <c r="G5879" s="1444" t="n">
        <v>0.1</v>
      </c>
      <c r="H5879" s="1105" t="n">
        <f aca="false">E5879*F5879*G5879</f>
        <v>447000</v>
      </c>
      <c r="I5879" s="1105" t="n">
        <f aca="false">F5879-H5879</f>
        <v>298000</v>
      </c>
      <c r="J5879" s="1105" t="n">
        <f aca="false">F5879*G5879</f>
        <v>74500</v>
      </c>
      <c r="K5879" s="1105" t="n">
        <f aca="false">J5879/1764</f>
        <v>42.2335600907029</v>
      </c>
      <c r="L5879" s="547" t="n">
        <v>3</v>
      </c>
      <c r="M5879" s="865" t="n">
        <f aca="false">K5879*L5879/60</f>
        <v>2.11167800453515</v>
      </c>
    </row>
    <row r="5880" s="1600" customFormat="true" ht="15" hidden="false" customHeight="false" outlineLevel="0" collapsed="false">
      <c r="A5880" s="1352"/>
      <c r="B5880" s="1605"/>
      <c r="C5880" s="29" t="s">
        <v>7136</v>
      </c>
      <c r="D5880" s="547" t="n">
        <v>2012</v>
      </c>
      <c r="E5880" s="547" t="n">
        <f aca="false">2015-D5880</f>
        <v>3</v>
      </c>
      <c r="F5880" s="547" t="n">
        <v>198900</v>
      </c>
      <c r="G5880" s="1444" t="n">
        <v>0.1</v>
      </c>
      <c r="H5880" s="1105" t="n">
        <f aca="false">E5880*F5880*G5880</f>
        <v>59670</v>
      </c>
      <c r="I5880" s="1105" t="n">
        <f aca="false">F5880-H5880</f>
        <v>139230</v>
      </c>
      <c r="J5880" s="1105" t="n">
        <f aca="false">F5880*G5880</f>
        <v>19890</v>
      </c>
      <c r="K5880" s="1105" t="n">
        <f aca="false">J5880/1764</f>
        <v>11.2755102040816</v>
      </c>
      <c r="L5880" s="547" t="n">
        <v>60</v>
      </c>
      <c r="M5880" s="865" t="n">
        <f aca="false">K5880*L5880/60</f>
        <v>11.2755102040816</v>
      </c>
    </row>
    <row r="5881" s="1600" customFormat="true" ht="15" hidden="false" customHeight="false" outlineLevel="0" collapsed="false">
      <c r="A5881" s="1352"/>
      <c r="B5881" s="1605"/>
      <c r="C5881" s="29" t="s">
        <v>7134</v>
      </c>
      <c r="D5881" s="547" t="n">
        <v>2013</v>
      </c>
      <c r="E5881" s="547" t="n">
        <f aca="false">2015-D5881</f>
        <v>2</v>
      </c>
      <c r="F5881" s="547" t="n">
        <v>237440</v>
      </c>
      <c r="G5881" s="1444" t="n">
        <v>0.1</v>
      </c>
      <c r="H5881" s="1105" t="n">
        <f aca="false">E5881*F5881*G5881</f>
        <v>47488</v>
      </c>
      <c r="I5881" s="1105" t="n">
        <f aca="false">F5881-H5881</f>
        <v>189952</v>
      </c>
      <c r="J5881" s="1105" t="n">
        <f aca="false">F5881*G5881</f>
        <v>23744</v>
      </c>
      <c r="K5881" s="1105" t="n">
        <f aca="false">J5881/1764</f>
        <v>13.4603174603175</v>
      </c>
      <c r="L5881" s="547" t="n">
        <v>30</v>
      </c>
      <c r="M5881" s="865" t="n">
        <f aca="false">K5881*L5881/60</f>
        <v>6.73015873015873</v>
      </c>
    </row>
    <row r="5882" s="1600" customFormat="true" ht="15" hidden="false" customHeight="false" outlineLevel="0" collapsed="false">
      <c r="A5882" s="1352"/>
      <c r="B5882" s="1605"/>
      <c r="C5882" s="29" t="s">
        <v>7320</v>
      </c>
      <c r="D5882" s="547" t="n">
        <v>2009</v>
      </c>
      <c r="E5882" s="547" t="n">
        <f aca="false">2015-D5882</f>
        <v>6</v>
      </c>
      <c r="F5882" s="547" t="n">
        <v>190000</v>
      </c>
      <c r="G5882" s="1444" t="n">
        <v>0.1</v>
      </c>
      <c r="H5882" s="1105" t="n">
        <f aca="false">E5882*F5882*G5882</f>
        <v>114000</v>
      </c>
      <c r="I5882" s="1105" t="n">
        <f aca="false">F5882-H5882</f>
        <v>76000</v>
      </c>
      <c r="J5882" s="1105" t="n">
        <f aca="false">F5882*G5882</f>
        <v>19000</v>
      </c>
      <c r="K5882" s="1105" t="n">
        <f aca="false">J5882/1764</f>
        <v>10.7709750566893</v>
      </c>
      <c r="L5882" s="547" t="n">
        <v>45</v>
      </c>
      <c r="M5882" s="819" t="n">
        <f aca="false">K5882*L5882/60</f>
        <v>8.07823129251701</v>
      </c>
    </row>
    <row r="5883" s="1600" customFormat="true" ht="15" hidden="false" customHeight="false" outlineLevel="0" collapsed="false">
      <c r="A5883" s="1352"/>
      <c r="B5883" s="972" t="s">
        <v>4128</v>
      </c>
      <c r="C5883" s="1608"/>
      <c r="D5883" s="1609"/>
      <c r="E5883" s="1609"/>
      <c r="F5883" s="547"/>
      <c r="G5883" s="1444"/>
      <c r="H5883" s="1105"/>
      <c r="I5883" s="1105"/>
      <c r="J5883" s="1105"/>
      <c r="K5883" s="1105"/>
      <c r="L5883" s="714" t="n">
        <f aca="false">SUM(L5877:L5882)</f>
        <v>360</v>
      </c>
      <c r="M5883" s="1558" t="n">
        <f aca="false">SUM(M5877:M5882)</f>
        <v>409.863397581255</v>
      </c>
    </row>
    <row r="5884" s="1600" customFormat="true" ht="15" hidden="false" customHeight="false" outlineLevel="0" collapsed="false">
      <c r="A5884" s="1352"/>
      <c r="B5884" s="1605" t="s">
        <v>3594</v>
      </c>
      <c r="C5884" s="29" t="s">
        <v>7130</v>
      </c>
      <c r="D5884" s="547" t="n">
        <v>2010</v>
      </c>
      <c r="E5884" s="547" t="n">
        <f aca="false">2015-D5884</f>
        <v>5</v>
      </c>
      <c r="F5884" s="547" t="n">
        <v>1835351</v>
      </c>
      <c r="G5884" s="1444" t="n">
        <v>0.1</v>
      </c>
      <c r="H5884" s="1105" t="n">
        <f aca="false">E5884*F5884*G5884</f>
        <v>917675.5</v>
      </c>
      <c r="I5884" s="1105" t="n">
        <f aca="false">F5884-H5884</f>
        <v>917675.5</v>
      </c>
      <c r="J5884" s="1105" t="n">
        <f aca="false">F5884*G5884</f>
        <v>183535.1</v>
      </c>
      <c r="K5884" s="1105" t="n">
        <f aca="false">J5884/1764</f>
        <v>104.044841269841</v>
      </c>
      <c r="L5884" s="547" t="n">
        <v>220</v>
      </c>
      <c r="M5884" s="865" t="n">
        <f aca="false">K5884*L5884/60</f>
        <v>381.497751322751</v>
      </c>
    </row>
    <row r="5885" s="1600" customFormat="true" ht="15" hidden="false" customHeight="false" outlineLevel="0" collapsed="false">
      <c r="A5885" s="1352"/>
      <c r="B5885" s="1605"/>
      <c r="C5885" s="29" t="s">
        <v>7321</v>
      </c>
      <c r="D5885" s="547" t="n">
        <v>2010</v>
      </c>
      <c r="E5885" s="547" t="n">
        <f aca="false">2015-D5885</f>
        <v>5</v>
      </c>
      <c r="F5885" s="547" t="n">
        <v>90000</v>
      </c>
      <c r="G5885" s="1444" t="n">
        <v>0.1</v>
      </c>
      <c r="H5885" s="1105" t="n">
        <f aca="false">E5885*F5885*G5885</f>
        <v>45000</v>
      </c>
      <c r="I5885" s="1105" t="n">
        <f aca="false">F5885-H5885</f>
        <v>45000</v>
      </c>
      <c r="J5885" s="1105" t="n">
        <f aca="false">F5885*G5885</f>
        <v>9000</v>
      </c>
      <c r="K5885" s="1105" t="n">
        <f aca="false">J5885/1764</f>
        <v>5.10204081632653</v>
      </c>
      <c r="L5885" s="547" t="n">
        <v>2</v>
      </c>
      <c r="M5885" s="865" t="n">
        <f aca="false">K5885*L5885/60</f>
        <v>0.170068027210884</v>
      </c>
    </row>
    <row r="5886" s="1600" customFormat="true" ht="15" hidden="false" customHeight="false" outlineLevel="0" collapsed="false">
      <c r="A5886" s="1352"/>
      <c r="B5886" s="1605"/>
      <c r="C5886" s="29" t="s">
        <v>7313</v>
      </c>
      <c r="D5886" s="547" t="n">
        <v>2009</v>
      </c>
      <c r="E5886" s="547" t="n">
        <f aca="false">2015-D5886</f>
        <v>6</v>
      </c>
      <c r="F5886" s="547" t="n">
        <v>745000</v>
      </c>
      <c r="G5886" s="1444" t="n">
        <v>0.1</v>
      </c>
      <c r="H5886" s="1105" t="n">
        <f aca="false">E5886*F5886*G5886</f>
        <v>447000</v>
      </c>
      <c r="I5886" s="1105" t="n">
        <f aca="false">F5886-H5886</f>
        <v>298000</v>
      </c>
      <c r="J5886" s="1105" t="n">
        <f aca="false">F5886*G5886</f>
        <v>74500</v>
      </c>
      <c r="K5886" s="1105" t="n">
        <f aca="false">J5886/1764</f>
        <v>42.2335600907029</v>
      </c>
      <c r="L5886" s="547" t="n">
        <v>5</v>
      </c>
      <c r="M5886" s="865" t="n">
        <f aca="false">K5886*L5886/60</f>
        <v>3.51946334089191</v>
      </c>
    </row>
    <row r="5887" s="1600" customFormat="true" ht="15" hidden="false" customHeight="false" outlineLevel="0" collapsed="false">
      <c r="A5887" s="1352"/>
      <c r="B5887" s="1605"/>
      <c r="C5887" s="29" t="s">
        <v>7134</v>
      </c>
      <c r="D5887" s="547" t="n">
        <v>2013</v>
      </c>
      <c r="E5887" s="547" t="n">
        <f aca="false">2015-D5887</f>
        <v>2</v>
      </c>
      <c r="F5887" s="547" t="n">
        <v>237440</v>
      </c>
      <c r="G5887" s="1444" t="n">
        <v>0.1</v>
      </c>
      <c r="H5887" s="1105" t="n">
        <f aca="false">E5887*F5887*G5887</f>
        <v>47488</v>
      </c>
      <c r="I5887" s="1105" t="n">
        <f aca="false">F5887-H5887</f>
        <v>189952</v>
      </c>
      <c r="J5887" s="1105" t="n">
        <f aca="false">F5887*G5887</f>
        <v>23744</v>
      </c>
      <c r="K5887" s="1105" t="n">
        <f aca="false">J5887/1764</f>
        <v>13.4603174603175</v>
      </c>
      <c r="L5887" s="547" t="n">
        <v>60</v>
      </c>
      <c r="M5887" s="865" t="n">
        <f aca="false">K5887*L5887/60</f>
        <v>13.4603174603175</v>
      </c>
    </row>
    <row r="5888" s="1600" customFormat="true" ht="15" hidden="false" customHeight="false" outlineLevel="0" collapsed="false">
      <c r="A5888" s="1352"/>
      <c r="B5888" s="1605"/>
      <c r="C5888" s="29" t="s">
        <v>7136</v>
      </c>
      <c r="D5888" s="547" t="n">
        <v>2012</v>
      </c>
      <c r="E5888" s="547" t="n">
        <f aca="false">2015-D5888</f>
        <v>3</v>
      </c>
      <c r="F5888" s="547" t="n">
        <v>198900</v>
      </c>
      <c r="G5888" s="1444" t="n">
        <v>0.1</v>
      </c>
      <c r="H5888" s="1105" t="n">
        <f aca="false">E5888*F5888*G5888</f>
        <v>59670</v>
      </c>
      <c r="I5888" s="1105" t="n">
        <f aca="false">F5888-H5888</f>
        <v>139230</v>
      </c>
      <c r="J5888" s="1105" t="n">
        <f aca="false">F5888*G5888</f>
        <v>19890</v>
      </c>
      <c r="K5888" s="1105" t="n">
        <f aca="false">J5888/1764</f>
        <v>11.2755102040816</v>
      </c>
      <c r="L5888" s="547" t="n">
        <v>30</v>
      </c>
      <c r="M5888" s="865" t="n">
        <f aca="false">K5888*L5888/60</f>
        <v>5.63775510204082</v>
      </c>
    </row>
    <row r="5889" s="1600" customFormat="true" ht="15" hidden="false" customHeight="false" outlineLevel="0" collapsed="false">
      <c r="A5889" s="1352"/>
      <c r="B5889" s="1605"/>
      <c r="C5889" s="29" t="s">
        <v>7322</v>
      </c>
      <c r="D5889" s="547" t="n">
        <v>2006</v>
      </c>
      <c r="E5889" s="547" t="n">
        <f aca="false">2015-D5889</f>
        <v>9</v>
      </c>
      <c r="F5889" s="547" t="n">
        <v>67676</v>
      </c>
      <c r="G5889" s="1444" t="n">
        <v>0.1</v>
      </c>
      <c r="H5889" s="1105" t="n">
        <f aca="false">E5889*F5889*G5889</f>
        <v>60908.4</v>
      </c>
      <c r="I5889" s="1105" t="n">
        <f aca="false">F5889-H5889</f>
        <v>6767.6</v>
      </c>
      <c r="J5889" s="1105" t="n">
        <f aca="false">F5889*G5889</f>
        <v>6767.6</v>
      </c>
      <c r="K5889" s="1105" t="n">
        <f aca="false">J5889/1764</f>
        <v>3.83650793650794</v>
      </c>
      <c r="L5889" s="547" t="n">
        <v>20</v>
      </c>
      <c r="M5889" s="865" t="n">
        <f aca="false">K5889*L5889/60</f>
        <v>1.27883597883598</v>
      </c>
    </row>
    <row r="5890" s="1600" customFormat="true" ht="15" hidden="false" customHeight="false" outlineLevel="0" collapsed="false">
      <c r="A5890" s="1352"/>
      <c r="B5890" s="1605"/>
      <c r="C5890" s="29" t="s">
        <v>7320</v>
      </c>
      <c r="D5890" s="547" t="n">
        <v>2009</v>
      </c>
      <c r="E5890" s="547" t="n">
        <f aca="false">2015-D5890</f>
        <v>6</v>
      </c>
      <c r="F5890" s="547" t="n">
        <v>190000</v>
      </c>
      <c r="G5890" s="1444" t="n">
        <v>0.1</v>
      </c>
      <c r="H5890" s="1105" t="n">
        <f aca="false">E5890*F5890*G5890</f>
        <v>114000</v>
      </c>
      <c r="I5890" s="1105" t="n">
        <f aca="false">F5890-H5890</f>
        <v>76000</v>
      </c>
      <c r="J5890" s="1105" t="n">
        <f aca="false">F5890*G5890</f>
        <v>19000</v>
      </c>
      <c r="K5890" s="1105" t="n">
        <f aca="false">J5890/1764</f>
        <v>10.7709750566893</v>
      </c>
      <c r="L5890" s="547" t="n">
        <v>30</v>
      </c>
      <c r="M5890" s="865" t="n">
        <f aca="false">K5890*L5890/60</f>
        <v>5.38548752834467</v>
      </c>
    </row>
    <row r="5891" s="1600" customFormat="true" ht="15" hidden="false" customHeight="false" outlineLevel="0" collapsed="false">
      <c r="A5891" s="1352"/>
      <c r="B5891" s="972" t="s">
        <v>4128</v>
      </c>
      <c r="C5891" s="1161"/>
      <c r="D5891" s="547"/>
      <c r="E5891" s="547"/>
      <c r="F5891" s="547"/>
      <c r="G5891" s="1444"/>
      <c r="H5891" s="1105"/>
      <c r="I5891" s="1105"/>
      <c r="J5891" s="1105"/>
      <c r="K5891" s="1105"/>
      <c r="L5891" s="714" t="n">
        <f aca="false">SUM(L5884:L5890)</f>
        <v>367</v>
      </c>
      <c r="M5891" s="1558" t="n">
        <f aca="false">SUM(M5884:M5890)</f>
        <v>410.949678760393</v>
      </c>
    </row>
    <row r="5892" s="1600" customFormat="true" ht="15" hidden="false" customHeight="false" outlineLevel="0" collapsed="false">
      <c r="A5892" s="1352"/>
      <c r="B5892" s="1605" t="s">
        <v>3595</v>
      </c>
      <c r="C5892" s="29" t="s">
        <v>7130</v>
      </c>
      <c r="D5892" s="547" t="n">
        <v>2010</v>
      </c>
      <c r="E5892" s="547" t="n">
        <f aca="false">2015-D5892</f>
        <v>5</v>
      </c>
      <c r="F5892" s="547" t="n">
        <v>1835351</v>
      </c>
      <c r="G5892" s="1444" t="n">
        <v>0.1</v>
      </c>
      <c r="H5892" s="1105" t="n">
        <f aca="false">E5892*F5892*G5892</f>
        <v>917675.5</v>
      </c>
      <c r="I5892" s="1105" t="n">
        <f aca="false">F5892-H5892</f>
        <v>917675.5</v>
      </c>
      <c r="J5892" s="1105" t="n">
        <f aca="false">F5892*G5892</f>
        <v>183535.1</v>
      </c>
      <c r="K5892" s="1105" t="n">
        <f aca="false">J5892/1764</f>
        <v>104.044841269841</v>
      </c>
      <c r="L5892" s="547" t="n">
        <v>220</v>
      </c>
      <c r="M5892" s="865" t="n">
        <f aca="false">K5892*L5892/60</f>
        <v>381.497751322751</v>
      </c>
    </row>
    <row r="5893" s="1600" customFormat="true" ht="15" hidden="false" customHeight="false" outlineLevel="0" collapsed="false">
      <c r="A5893" s="1352"/>
      <c r="B5893" s="1605"/>
      <c r="C5893" s="29" t="s">
        <v>7321</v>
      </c>
      <c r="D5893" s="547" t="n">
        <v>2010</v>
      </c>
      <c r="E5893" s="547" t="n">
        <f aca="false">2015-D5893</f>
        <v>5</v>
      </c>
      <c r="F5893" s="547" t="n">
        <v>90000</v>
      </c>
      <c r="G5893" s="1444" t="n">
        <v>0.1</v>
      </c>
      <c r="H5893" s="1105" t="n">
        <f aca="false">E5893*F5893*G5893</f>
        <v>45000</v>
      </c>
      <c r="I5893" s="1105" t="n">
        <f aca="false">F5893-H5893</f>
        <v>45000</v>
      </c>
      <c r="J5893" s="1105" t="n">
        <f aca="false">F5893*G5893</f>
        <v>9000</v>
      </c>
      <c r="K5893" s="1105" t="n">
        <f aca="false">J5893/1764</f>
        <v>5.10204081632653</v>
      </c>
      <c r="L5893" s="547" t="n">
        <v>2</v>
      </c>
      <c r="M5893" s="865" t="n">
        <f aca="false">K5893*L5893/60</f>
        <v>0.170068027210884</v>
      </c>
    </row>
    <row r="5894" s="1600" customFormat="true" ht="15" hidden="false" customHeight="false" outlineLevel="0" collapsed="false">
      <c r="A5894" s="1352"/>
      <c r="B5894" s="1605"/>
      <c r="C5894" s="29" t="s">
        <v>7313</v>
      </c>
      <c r="D5894" s="547" t="n">
        <v>2009</v>
      </c>
      <c r="E5894" s="547" t="n">
        <f aca="false">2015-D5894</f>
        <v>6</v>
      </c>
      <c r="F5894" s="547" t="n">
        <v>745000</v>
      </c>
      <c r="G5894" s="1444" t="n">
        <v>0.1</v>
      </c>
      <c r="H5894" s="1105" t="n">
        <f aca="false">E5894*F5894*G5894</f>
        <v>447000</v>
      </c>
      <c r="I5894" s="1105" t="n">
        <f aca="false">F5894-H5894</f>
        <v>298000</v>
      </c>
      <c r="J5894" s="1105" t="n">
        <f aca="false">F5894*G5894</f>
        <v>74500</v>
      </c>
      <c r="K5894" s="1105" t="n">
        <f aca="false">J5894/1764</f>
        <v>42.2335600907029</v>
      </c>
      <c r="L5894" s="547" t="n">
        <v>6</v>
      </c>
      <c r="M5894" s="865" t="n">
        <f aca="false">K5894*L5894/60</f>
        <v>4.2233560090703</v>
      </c>
    </row>
    <row r="5895" s="1600" customFormat="true" ht="15" hidden="false" customHeight="false" outlineLevel="0" collapsed="false">
      <c r="A5895" s="1352"/>
      <c r="B5895" s="1605"/>
      <c r="C5895" s="29" t="s">
        <v>7134</v>
      </c>
      <c r="D5895" s="547" t="n">
        <v>2013</v>
      </c>
      <c r="E5895" s="547" t="n">
        <f aca="false">2015-D5895</f>
        <v>2</v>
      </c>
      <c r="F5895" s="547" t="n">
        <v>237440</v>
      </c>
      <c r="G5895" s="1444" t="n">
        <v>0.1</v>
      </c>
      <c r="H5895" s="1105" t="n">
        <f aca="false">E5895*F5895*G5895</f>
        <v>47488</v>
      </c>
      <c r="I5895" s="1105" t="n">
        <f aca="false">F5895-H5895</f>
        <v>189952</v>
      </c>
      <c r="J5895" s="1105" t="n">
        <f aca="false">F5895*G5895</f>
        <v>23744</v>
      </c>
      <c r="K5895" s="1105" t="n">
        <f aca="false">J5895/1764</f>
        <v>13.4603174603175</v>
      </c>
      <c r="L5895" s="547" t="n">
        <v>60</v>
      </c>
      <c r="M5895" s="865" t="n">
        <f aca="false">K5895*L5895/60</f>
        <v>13.4603174603175</v>
      </c>
    </row>
    <row r="5896" s="1600" customFormat="true" ht="15" hidden="false" customHeight="false" outlineLevel="0" collapsed="false">
      <c r="A5896" s="1352"/>
      <c r="B5896" s="1605"/>
      <c r="C5896" s="29" t="s">
        <v>7136</v>
      </c>
      <c r="D5896" s="547" t="n">
        <v>2012</v>
      </c>
      <c r="E5896" s="547" t="n">
        <f aca="false">2015-D5896</f>
        <v>3</v>
      </c>
      <c r="F5896" s="547" t="n">
        <v>198900</v>
      </c>
      <c r="G5896" s="1444" t="n">
        <v>0.1</v>
      </c>
      <c r="H5896" s="1105" t="n">
        <f aca="false">E5896*F5896*G5896</f>
        <v>59670</v>
      </c>
      <c r="I5896" s="1105" t="n">
        <f aca="false">F5896-H5896</f>
        <v>139230</v>
      </c>
      <c r="J5896" s="1105" t="n">
        <f aca="false">F5896*G5896</f>
        <v>19890</v>
      </c>
      <c r="K5896" s="1105" t="n">
        <f aca="false">J5896/1764</f>
        <v>11.2755102040816</v>
      </c>
      <c r="L5896" s="547" t="n">
        <v>30</v>
      </c>
      <c r="M5896" s="865" t="n">
        <f aca="false">K5896*L5896/60</f>
        <v>5.63775510204082</v>
      </c>
    </row>
    <row r="5897" s="1600" customFormat="true" ht="15" hidden="false" customHeight="false" outlineLevel="0" collapsed="false">
      <c r="A5897" s="1352"/>
      <c r="B5897" s="1605"/>
      <c r="C5897" s="29" t="s">
        <v>7322</v>
      </c>
      <c r="D5897" s="547" t="n">
        <v>2006</v>
      </c>
      <c r="E5897" s="547" t="n">
        <f aca="false">2015-D5897</f>
        <v>9</v>
      </c>
      <c r="F5897" s="547" t="n">
        <v>67676</v>
      </c>
      <c r="G5897" s="1444" t="n">
        <v>0.1</v>
      </c>
      <c r="H5897" s="1105" t="n">
        <f aca="false">E5897*F5897*G5897</f>
        <v>60908.4</v>
      </c>
      <c r="I5897" s="1105" t="n">
        <f aca="false">F5897-H5897</f>
        <v>6767.6</v>
      </c>
      <c r="J5897" s="1105" t="n">
        <f aca="false">F5897*G5897</f>
        <v>6767.6</v>
      </c>
      <c r="K5897" s="1105" t="n">
        <f aca="false">J5897/1764</f>
        <v>3.83650793650794</v>
      </c>
      <c r="L5897" s="547" t="n">
        <v>20</v>
      </c>
      <c r="M5897" s="865" t="n">
        <f aca="false">K5897*L5897/60</f>
        <v>1.27883597883598</v>
      </c>
    </row>
    <row r="5898" s="1600" customFormat="true" ht="15" hidden="false" customHeight="false" outlineLevel="0" collapsed="false">
      <c r="A5898" s="1352"/>
      <c r="B5898" s="1605"/>
      <c r="C5898" s="29" t="s">
        <v>7320</v>
      </c>
      <c r="D5898" s="547" t="n">
        <v>2009</v>
      </c>
      <c r="E5898" s="547" t="n">
        <f aca="false">2015-D5898</f>
        <v>6</v>
      </c>
      <c r="F5898" s="547" t="n">
        <v>190000</v>
      </c>
      <c r="G5898" s="1444" t="n">
        <v>0.1</v>
      </c>
      <c r="H5898" s="1105" t="n">
        <f aca="false">E5898*F5898*G5898</f>
        <v>114000</v>
      </c>
      <c r="I5898" s="1105" t="n">
        <f aca="false">F5898-H5898</f>
        <v>76000</v>
      </c>
      <c r="J5898" s="1105" t="n">
        <f aca="false">F5898*G5898</f>
        <v>19000</v>
      </c>
      <c r="K5898" s="1105" t="n">
        <f aca="false">J5898/1764</f>
        <v>10.7709750566893</v>
      </c>
      <c r="L5898" s="547" t="n">
        <v>30</v>
      </c>
      <c r="M5898" s="865" t="n">
        <f aca="false">K5898*L5898/60</f>
        <v>5.38548752834467</v>
      </c>
    </row>
    <row r="5899" s="1600" customFormat="true" ht="15" hidden="false" customHeight="false" outlineLevel="0" collapsed="false">
      <c r="A5899" s="1352"/>
      <c r="B5899" s="972" t="s">
        <v>4128</v>
      </c>
      <c r="C5899" s="1161"/>
      <c r="D5899" s="547"/>
      <c r="E5899" s="547"/>
      <c r="F5899" s="547"/>
      <c r="G5899" s="1444"/>
      <c r="H5899" s="1105"/>
      <c r="I5899" s="1105"/>
      <c r="J5899" s="1105"/>
      <c r="K5899" s="1105"/>
      <c r="L5899" s="714" t="n">
        <f aca="false">SUM(L5892:L5898)</f>
        <v>368</v>
      </c>
      <c r="M5899" s="1558" t="n">
        <f aca="false">SUM(M5892:M5898)</f>
        <v>411.653571428571</v>
      </c>
    </row>
    <row r="5900" s="1600" customFormat="true" ht="30" hidden="false" customHeight="false" outlineLevel="0" collapsed="false">
      <c r="A5900" s="1352"/>
      <c r="B5900" s="1605" t="s">
        <v>3617</v>
      </c>
      <c r="C5900" s="29" t="s">
        <v>7145</v>
      </c>
      <c r="D5900" s="547" t="n">
        <v>2014</v>
      </c>
      <c r="E5900" s="547" t="n">
        <f aca="false">2015-D5900</f>
        <v>1</v>
      </c>
      <c r="F5900" s="547" t="n">
        <v>566496</v>
      </c>
      <c r="G5900" s="1444" t="n">
        <v>0.1</v>
      </c>
      <c r="H5900" s="1105" t="n">
        <f aca="false">E5900*F5900*G5900</f>
        <v>56649.6</v>
      </c>
      <c r="I5900" s="1105" t="n">
        <f aca="false">F5900-H5900</f>
        <v>509846.4</v>
      </c>
      <c r="J5900" s="1105" t="n">
        <f aca="false">F5900*G5900</f>
        <v>56649.6</v>
      </c>
      <c r="K5900" s="1105" t="n">
        <f aca="false">J5900/1764</f>
        <v>32.1142857142857</v>
      </c>
      <c r="L5900" s="547" t="n">
        <v>40</v>
      </c>
      <c r="M5900" s="865" t="n">
        <f aca="false">K5900*L5900/60</f>
        <v>21.4095238095238</v>
      </c>
    </row>
    <row r="5901" s="1600" customFormat="true" ht="15" hidden="false" customHeight="false" outlineLevel="0" collapsed="false">
      <c r="A5901" s="1352"/>
      <c r="B5901" s="1605"/>
      <c r="C5901" s="29" t="s">
        <v>7136</v>
      </c>
      <c r="D5901" s="547" t="n">
        <v>2012</v>
      </c>
      <c r="E5901" s="547" t="n">
        <f aca="false">2015-D5901</f>
        <v>3</v>
      </c>
      <c r="F5901" s="547" t="n">
        <v>198900</v>
      </c>
      <c r="G5901" s="1444" t="n">
        <v>0.1</v>
      </c>
      <c r="H5901" s="1105" t="n">
        <f aca="false">E5901*F5901*G5901</f>
        <v>59670</v>
      </c>
      <c r="I5901" s="1105" t="n">
        <f aca="false">F5901-H5901</f>
        <v>139230</v>
      </c>
      <c r="J5901" s="1105" t="n">
        <f aca="false">F5901*G5901</f>
        <v>19890</v>
      </c>
      <c r="K5901" s="1105" t="n">
        <f aca="false">J5901/1764</f>
        <v>11.2755102040816</v>
      </c>
      <c r="L5901" s="547" t="n">
        <v>30</v>
      </c>
      <c r="M5901" s="865" t="n">
        <f aca="false">K5901*L5901/60</f>
        <v>5.63775510204082</v>
      </c>
    </row>
    <row r="5902" s="1600" customFormat="true" ht="15" hidden="false" customHeight="false" outlineLevel="0" collapsed="false">
      <c r="A5902" s="1352"/>
      <c r="B5902" s="1605"/>
      <c r="C5902" s="29" t="s">
        <v>7322</v>
      </c>
      <c r="D5902" s="547" t="n">
        <v>2006</v>
      </c>
      <c r="E5902" s="547" t="n">
        <f aca="false">2015-D5902</f>
        <v>9</v>
      </c>
      <c r="F5902" s="547" t="n">
        <v>67676</v>
      </c>
      <c r="G5902" s="1444" t="n">
        <v>0.1</v>
      </c>
      <c r="H5902" s="1105" t="n">
        <f aca="false">E5902*F5902*G5902</f>
        <v>60908.4</v>
      </c>
      <c r="I5902" s="1105" t="n">
        <f aca="false">F5902-H5902</f>
        <v>6767.6</v>
      </c>
      <c r="J5902" s="1105" t="n">
        <f aca="false">F5902*G5902</f>
        <v>6767.6</v>
      </c>
      <c r="K5902" s="1105" t="n">
        <f aca="false">J5902/1764</f>
        <v>3.83650793650794</v>
      </c>
      <c r="L5902" s="547" t="n">
        <v>20</v>
      </c>
      <c r="M5902" s="865" t="n">
        <f aca="false">K5902*L5902/60</f>
        <v>1.27883597883598</v>
      </c>
    </row>
    <row r="5903" s="1600" customFormat="true" ht="15" hidden="false" customHeight="false" outlineLevel="0" collapsed="false">
      <c r="A5903" s="1352"/>
      <c r="B5903" s="1605"/>
      <c r="C5903" s="29" t="s">
        <v>7320</v>
      </c>
      <c r="D5903" s="547" t="n">
        <v>2009</v>
      </c>
      <c r="E5903" s="547" t="n">
        <f aca="false">2015-D5903</f>
        <v>6</v>
      </c>
      <c r="F5903" s="547" t="n">
        <v>190000</v>
      </c>
      <c r="G5903" s="1444" t="n">
        <v>0.1</v>
      </c>
      <c r="H5903" s="1105" t="n">
        <f aca="false">E5903*F5903*G5903</f>
        <v>114000</v>
      </c>
      <c r="I5903" s="1105" t="n">
        <f aca="false">F5903-H5903</f>
        <v>76000</v>
      </c>
      <c r="J5903" s="1105" t="n">
        <f aca="false">F5903*G5903</f>
        <v>19000</v>
      </c>
      <c r="K5903" s="1105" t="n">
        <f aca="false">J5903/1764</f>
        <v>10.7709750566893</v>
      </c>
      <c r="L5903" s="547" t="n">
        <v>40</v>
      </c>
      <c r="M5903" s="865" t="n">
        <f aca="false">K5903*L5903/60</f>
        <v>7.1806500377929</v>
      </c>
    </row>
    <row r="5904" s="1600" customFormat="true" ht="15" hidden="false" customHeight="false" outlineLevel="0" collapsed="false">
      <c r="A5904" s="1352"/>
      <c r="B5904" s="972" t="s">
        <v>4128</v>
      </c>
      <c r="C5904" s="1161"/>
      <c r="D5904" s="547"/>
      <c r="E5904" s="547"/>
      <c r="F5904" s="547"/>
      <c r="G5904" s="1444"/>
      <c r="H5904" s="1105"/>
      <c r="I5904" s="1105"/>
      <c r="J5904" s="1105"/>
      <c r="K5904" s="1105"/>
      <c r="L5904" s="714" t="n">
        <f aca="false">SUM(L5900:L5903)</f>
        <v>130</v>
      </c>
      <c r="M5904" s="1558" t="n">
        <f aca="false">SUM(M5900:M5903)</f>
        <v>35.5067649281935</v>
      </c>
    </row>
    <row r="5905" s="1600" customFormat="true" ht="15" hidden="false" customHeight="false" outlineLevel="0" collapsed="false">
      <c r="A5905" s="1352"/>
      <c r="B5905" s="1605" t="s">
        <v>3618</v>
      </c>
      <c r="C5905" s="29" t="s">
        <v>7140</v>
      </c>
      <c r="D5905" s="547" t="n">
        <v>2012</v>
      </c>
      <c r="E5905" s="547" t="n">
        <f aca="false">2015-D5905</f>
        <v>3</v>
      </c>
      <c r="F5905" s="547" t="n">
        <v>25366060</v>
      </c>
      <c r="G5905" s="1444" t="n">
        <v>0.1</v>
      </c>
      <c r="H5905" s="1105" t="n">
        <f aca="false">E5905*F5905*G5905</f>
        <v>7609818</v>
      </c>
      <c r="I5905" s="1105" t="n">
        <f aca="false">F5905-H5905</f>
        <v>17756242</v>
      </c>
      <c r="J5905" s="1105" t="n">
        <f aca="false">F5905*G5905</f>
        <v>2536606</v>
      </c>
      <c r="K5905" s="1105" t="n">
        <f aca="false">J5905/1764</f>
        <v>1437.98526077098</v>
      </c>
      <c r="L5905" s="547" t="n">
        <v>182</v>
      </c>
      <c r="M5905" s="865" t="n">
        <f aca="false">K5905*L5905/60</f>
        <v>4361.88862433862</v>
      </c>
    </row>
    <row r="5906" s="1600" customFormat="true" ht="15" hidden="false" customHeight="false" outlineLevel="0" collapsed="false">
      <c r="A5906" s="1352"/>
      <c r="B5906" s="1605"/>
      <c r="C5906" s="29" t="s">
        <v>7143</v>
      </c>
      <c r="D5906" s="547" t="n">
        <v>2011</v>
      </c>
      <c r="E5906" s="547" t="n">
        <f aca="false">2015-D5906</f>
        <v>4</v>
      </c>
      <c r="F5906" s="547" t="n">
        <v>4258100</v>
      </c>
      <c r="G5906" s="1444" t="n">
        <v>0.1</v>
      </c>
      <c r="H5906" s="1105" t="n">
        <f aca="false">E5906*F5906*G5906</f>
        <v>1703240</v>
      </c>
      <c r="I5906" s="1105" t="n">
        <f aca="false">F5906-H5906</f>
        <v>2554860</v>
      </c>
      <c r="J5906" s="1105" t="n">
        <f aca="false">F5906*G5906</f>
        <v>425810</v>
      </c>
      <c r="K5906" s="1105" t="n">
        <f aca="false">J5906/1764</f>
        <v>241.388888888889</v>
      </c>
      <c r="L5906" s="547" t="n">
        <v>182</v>
      </c>
      <c r="M5906" s="865" t="n">
        <f aca="false">K5906*L5906/60</f>
        <v>732.212962962963</v>
      </c>
    </row>
    <row r="5907" s="1600" customFormat="true" ht="15" hidden="false" customHeight="false" outlineLevel="0" collapsed="false">
      <c r="A5907" s="1352"/>
      <c r="B5907" s="1605"/>
      <c r="C5907" s="29" t="s">
        <v>7313</v>
      </c>
      <c r="D5907" s="547" t="n">
        <v>2009</v>
      </c>
      <c r="E5907" s="547" t="n">
        <f aca="false">2015-D5907</f>
        <v>6</v>
      </c>
      <c r="F5907" s="547" t="n">
        <v>745000</v>
      </c>
      <c r="G5907" s="1444" t="n">
        <v>0.1</v>
      </c>
      <c r="H5907" s="1105" t="n">
        <f aca="false">E5907*F5907*G5907</f>
        <v>447000</v>
      </c>
      <c r="I5907" s="1105" t="n">
        <f aca="false">F5907-H5907</f>
        <v>298000</v>
      </c>
      <c r="J5907" s="1105" t="n">
        <f aca="false">F5907*G5907</f>
        <v>74500</v>
      </c>
      <c r="K5907" s="1105" t="n">
        <f aca="false">J5907/1764</f>
        <v>42.2335600907029</v>
      </c>
      <c r="L5907" s="547" t="n">
        <v>6</v>
      </c>
      <c r="M5907" s="865" t="n">
        <f aca="false">K5907*L5907/60</f>
        <v>4.2233560090703</v>
      </c>
    </row>
    <row r="5908" s="1600" customFormat="true" ht="15" hidden="false" customHeight="false" outlineLevel="0" collapsed="false">
      <c r="A5908" s="1352"/>
      <c r="B5908" s="1605"/>
      <c r="C5908" s="29" t="s">
        <v>7134</v>
      </c>
      <c r="D5908" s="547" t="n">
        <v>2013</v>
      </c>
      <c r="E5908" s="547" t="n">
        <f aca="false">2015-D5908</f>
        <v>2</v>
      </c>
      <c r="F5908" s="547" t="n">
        <v>237440</v>
      </c>
      <c r="G5908" s="1444" t="n">
        <v>0.1</v>
      </c>
      <c r="H5908" s="1105" t="n">
        <f aca="false">E5908*F5908*G5908</f>
        <v>47488</v>
      </c>
      <c r="I5908" s="1105" t="n">
        <f aca="false">F5908-H5908</f>
        <v>189952</v>
      </c>
      <c r="J5908" s="1105" t="n">
        <f aca="false">F5908*G5908</f>
        <v>23744</v>
      </c>
      <c r="K5908" s="1105" t="n">
        <f aca="false">J5908/1764</f>
        <v>13.4603174603175</v>
      </c>
      <c r="L5908" s="547" t="n">
        <v>60</v>
      </c>
      <c r="M5908" s="865" t="n">
        <f aca="false">K5908*L5908/60</f>
        <v>13.4603174603175</v>
      </c>
    </row>
    <row r="5909" s="1600" customFormat="true" ht="15" hidden="false" customHeight="false" outlineLevel="0" collapsed="false">
      <c r="A5909" s="1352"/>
      <c r="B5909" s="1605"/>
      <c r="C5909" s="29" t="s">
        <v>7136</v>
      </c>
      <c r="D5909" s="547" t="n">
        <v>2012</v>
      </c>
      <c r="E5909" s="547" t="n">
        <f aca="false">2015-D5909</f>
        <v>3</v>
      </c>
      <c r="F5909" s="547" t="n">
        <v>198900</v>
      </c>
      <c r="G5909" s="1444" t="n">
        <v>0.1</v>
      </c>
      <c r="H5909" s="1105" t="n">
        <f aca="false">E5909*F5909*G5909</f>
        <v>59670</v>
      </c>
      <c r="I5909" s="1105" t="n">
        <f aca="false">F5909-H5909</f>
        <v>139230</v>
      </c>
      <c r="J5909" s="1105" t="n">
        <f aca="false">F5909*G5909</f>
        <v>19890</v>
      </c>
      <c r="K5909" s="1105" t="n">
        <f aca="false">J5909/1764</f>
        <v>11.2755102040816</v>
      </c>
      <c r="L5909" s="547" t="n">
        <v>30</v>
      </c>
      <c r="M5909" s="865" t="n">
        <f aca="false">K5909*L5909/60</f>
        <v>5.63775510204082</v>
      </c>
    </row>
    <row r="5910" s="1600" customFormat="true" ht="15" hidden="false" customHeight="false" outlineLevel="0" collapsed="false">
      <c r="A5910" s="1352"/>
      <c r="B5910" s="1605"/>
      <c r="C5910" s="29" t="s">
        <v>7323</v>
      </c>
      <c r="D5910" s="547" t="n">
        <v>2013</v>
      </c>
      <c r="E5910" s="547" t="n">
        <f aca="false">2015-D5910</f>
        <v>2</v>
      </c>
      <c r="F5910" s="547" t="n">
        <v>3608</v>
      </c>
      <c r="G5910" s="1444" t="n">
        <v>0.1</v>
      </c>
      <c r="H5910" s="1105" t="n">
        <f aca="false">E5910*F5910*G5910</f>
        <v>721.6</v>
      </c>
      <c r="I5910" s="1105" t="n">
        <f aca="false">F5910-H5910</f>
        <v>2886.4</v>
      </c>
      <c r="J5910" s="1105" t="n">
        <f aca="false">F5910*G5910</f>
        <v>360.8</v>
      </c>
      <c r="K5910" s="1105" t="n">
        <f aca="false">J5910/1764</f>
        <v>0.20453514739229</v>
      </c>
      <c r="L5910" s="547" t="n">
        <v>60</v>
      </c>
      <c r="M5910" s="865" t="n">
        <f aca="false">K5910*L5910/60</f>
        <v>0.20453514739229</v>
      </c>
    </row>
    <row r="5911" s="1600" customFormat="true" ht="15" hidden="false" customHeight="false" outlineLevel="0" collapsed="false">
      <c r="A5911" s="1352"/>
      <c r="B5911" s="1605"/>
      <c r="C5911" s="29" t="s">
        <v>7322</v>
      </c>
      <c r="D5911" s="547" t="n">
        <v>2006</v>
      </c>
      <c r="E5911" s="547" t="n">
        <f aca="false">2015-D5911</f>
        <v>9</v>
      </c>
      <c r="F5911" s="547" t="n">
        <v>67676</v>
      </c>
      <c r="G5911" s="1444" t="n">
        <v>0.1</v>
      </c>
      <c r="H5911" s="1105" t="n">
        <f aca="false">E5911*F5911*G5911</f>
        <v>60908.4</v>
      </c>
      <c r="I5911" s="1105" t="n">
        <f aca="false">F5911-H5911</f>
        <v>6767.6</v>
      </c>
      <c r="J5911" s="1105" t="n">
        <f aca="false">F5911*G5911</f>
        <v>6767.6</v>
      </c>
      <c r="K5911" s="1105" t="n">
        <f aca="false">J5911/1764</f>
        <v>3.83650793650794</v>
      </c>
      <c r="L5911" s="547" t="n">
        <v>20</v>
      </c>
      <c r="M5911" s="865" t="n">
        <f aca="false">K5911*L5911/60</f>
        <v>1.27883597883598</v>
      </c>
    </row>
    <row r="5912" s="1600" customFormat="true" ht="15" hidden="false" customHeight="false" outlineLevel="0" collapsed="false">
      <c r="A5912" s="1352"/>
      <c r="B5912" s="1605"/>
      <c r="C5912" s="29" t="s">
        <v>7320</v>
      </c>
      <c r="D5912" s="547" t="n">
        <v>2009</v>
      </c>
      <c r="E5912" s="547" t="n">
        <f aca="false">2015-D5912</f>
        <v>6</v>
      </c>
      <c r="F5912" s="547" t="n">
        <v>190000</v>
      </c>
      <c r="G5912" s="1444" t="n">
        <v>0.1</v>
      </c>
      <c r="H5912" s="1105" t="n">
        <f aca="false">E5912*F5912*G5912</f>
        <v>114000</v>
      </c>
      <c r="I5912" s="1105" t="n">
        <f aca="false">F5912-H5912</f>
        <v>76000</v>
      </c>
      <c r="J5912" s="1105" t="n">
        <f aca="false">F5912*G5912</f>
        <v>19000</v>
      </c>
      <c r="K5912" s="1105" t="n">
        <f aca="false">J5912/1764</f>
        <v>10.7709750566893</v>
      </c>
      <c r="L5912" s="547" t="n">
        <v>30</v>
      </c>
      <c r="M5912" s="865" t="n">
        <f aca="false">K5912*L5912/60</f>
        <v>5.38548752834467</v>
      </c>
    </row>
    <row r="5913" s="1600" customFormat="true" ht="15" hidden="false" customHeight="false" outlineLevel="0" collapsed="false">
      <c r="A5913" s="1352"/>
      <c r="B5913" s="972" t="s">
        <v>4128</v>
      </c>
      <c r="C5913" s="1161"/>
      <c r="D5913" s="547"/>
      <c r="E5913" s="547"/>
      <c r="F5913" s="547"/>
      <c r="G5913" s="1444"/>
      <c r="H5913" s="1105"/>
      <c r="I5913" s="1105"/>
      <c r="J5913" s="1105"/>
      <c r="K5913" s="1105"/>
      <c r="L5913" s="714" t="n">
        <f aca="false">SUM(L5905:L5912)</f>
        <v>570</v>
      </c>
      <c r="M5913" s="1558" t="n">
        <f aca="false">SUM(M5905:M5912)</f>
        <v>5124.29187452759</v>
      </c>
    </row>
    <row r="5914" s="1600" customFormat="true" ht="15" hidden="false" customHeight="false" outlineLevel="0" collapsed="false">
      <c r="A5914" s="1352"/>
      <c r="B5914" s="1605" t="s">
        <v>3619</v>
      </c>
      <c r="C5914" s="29" t="s">
        <v>7140</v>
      </c>
      <c r="D5914" s="547" t="n">
        <v>2012</v>
      </c>
      <c r="E5914" s="547" t="n">
        <f aca="false">2015-D5914</f>
        <v>3</v>
      </c>
      <c r="F5914" s="547" t="n">
        <v>25366060</v>
      </c>
      <c r="G5914" s="1444" t="n">
        <v>0.1</v>
      </c>
      <c r="H5914" s="1105" t="n">
        <f aca="false">E5914*F5914*G5914</f>
        <v>7609818</v>
      </c>
      <c r="I5914" s="1105" t="n">
        <f aca="false">F5914-H5914</f>
        <v>17756242</v>
      </c>
      <c r="J5914" s="1105" t="n">
        <f aca="false">F5914*G5914</f>
        <v>2536606</v>
      </c>
      <c r="K5914" s="1105" t="n">
        <f aca="false">J5914/1764</f>
        <v>1437.98526077098</v>
      </c>
      <c r="L5914" s="547" t="n">
        <v>182</v>
      </c>
      <c r="M5914" s="865" t="n">
        <f aca="false">K5914*L5914/60</f>
        <v>4361.88862433862</v>
      </c>
    </row>
    <row r="5915" s="1600" customFormat="true" ht="15" hidden="false" customHeight="false" outlineLevel="0" collapsed="false">
      <c r="A5915" s="1352"/>
      <c r="B5915" s="1605"/>
      <c r="C5915" s="29" t="s">
        <v>7143</v>
      </c>
      <c r="D5915" s="547" t="n">
        <v>2011</v>
      </c>
      <c r="E5915" s="547" t="n">
        <f aca="false">2015-D5915</f>
        <v>4</v>
      </c>
      <c r="F5915" s="547" t="n">
        <v>4258100</v>
      </c>
      <c r="G5915" s="1444" t="n">
        <v>0.1</v>
      </c>
      <c r="H5915" s="1105" t="n">
        <f aca="false">E5915*F5915*G5915</f>
        <v>1703240</v>
      </c>
      <c r="I5915" s="1105" t="n">
        <f aca="false">F5915-H5915</f>
        <v>2554860</v>
      </c>
      <c r="J5915" s="1105" t="n">
        <f aca="false">F5915*G5915</f>
        <v>425810</v>
      </c>
      <c r="K5915" s="1105" t="n">
        <f aca="false">J5915/1764</f>
        <v>241.388888888889</v>
      </c>
      <c r="L5915" s="547" t="n">
        <v>182</v>
      </c>
      <c r="M5915" s="865" t="n">
        <f aca="false">K5915*L5915/60</f>
        <v>732.212962962963</v>
      </c>
    </row>
    <row r="5916" s="1600" customFormat="true" ht="15" hidden="false" customHeight="false" outlineLevel="0" collapsed="false">
      <c r="A5916" s="1352"/>
      <c r="B5916" s="1605"/>
      <c r="C5916" s="29" t="s">
        <v>7313</v>
      </c>
      <c r="D5916" s="547" t="n">
        <v>2009</v>
      </c>
      <c r="E5916" s="547" t="n">
        <f aca="false">2015-D5916</f>
        <v>6</v>
      </c>
      <c r="F5916" s="547" t="n">
        <v>745000</v>
      </c>
      <c r="G5916" s="1444" t="n">
        <v>0.1</v>
      </c>
      <c r="H5916" s="1105" t="n">
        <f aca="false">E5916*F5916*G5916</f>
        <v>447000</v>
      </c>
      <c r="I5916" s="1105" t="n">
        <f aca="false">F5916-H5916</f>
        <v>298000</v>
      </c>
      <c r="J5916" s="1105" t="n">
        <f aca="false">F5916*G5916</f>
        <v>74500</v>
      </c>
      <c r="K5916" s="1105" t="n">
        <f aca="false">J5916/1764</f>
        <v>42.2335600907029</v>
      </c>
      <c r="L5916" s="547" t="n">
        <v>6</v>
      </c>
      <c r="M5916" s="865" t="n">
        <f aca="false">K5916*L5916/60</f>
        <v>4.2233560090703</v>
      </c>
    </row>
    <row r="5917" s="1600" customFormat="true" ht="15" hidden="false" customHeight="false" outlineLevel="0" collapsed="false">
      <c r="A5917" s="1352"/>
      <c r="B5917" s="1605"/>
      <c r="C5917" s="29" t="s">
        <v>7134</v>
      </c>
      <c r="D5917" s="547" t="n">
        <v>2013</v>
      </c>
      <c r="E5917" s="547" t="n">
        <f aca="false">2015-D5917</f>
        <v>2</v>
      </c>
      <c r="F5917" s="547" t="n">
        <v>237440</v>
      </c>
      <c r="G5917" s="1444" t="n">
        <v>0.1</v>
      </c>
      <c r="H5917" s="1105" t="n">
        <f aca="false">E5917*F5917*G5917</f>
        <v>47488</v>
      </c>
      <c r="I5917" s="1105" t="n">
        <f aca="false">F5917-H5917</f>
        <v>189952</v>
      </c>
      <c r="J5917" s="1105" t="n">
        <f aca="false">F5917*G5917</f>
        <v>23744</v>
      </c>
      <c r="K5917" s="1105" t="n">
        <f aca="false">J5917/1764</f>
        <v>13.4603174603175</v>
      </c>
      <c r="L5917" s="547" t="n">
        <v>60</v>
      </c>
      <c r="M5917" s="865" t="n">
        <f aca="false">K5917*L5917/60</f>
        <v>13.4603174603175</v>
      </c>
    </row>
    <row r="5918" s="1600" customFormat="true" ht="15" hidden="false" customHeight="false" outlineLevel="0" collapsed="false">
      <c r="A5918" s="1352"/>
      <c r="B5918" s="1605"/>
      <c r="C5918" s="29" t="s">
        <v>7136</v>
      </c>
      <c r="D5918" s="547" t="n">
        <v>2012</v>
      </c>
      <c r="E5918" s="547" t="n">
        <f aca="false">2015-D5918</f>
        <v>3</v>
      </c>
      <c r="F5918" s="547" t="n">
        <v>198900</v>
      </c>
      <c r="G5918" s="1444" t="n">
        <v>0.1</v>
      </c>
      <c r="H5918" s="1105" t="n">
        <f aca="false">E5918*F5918*G5918</f>
        <v>59670</v>
      </c>
      <c r="I5918" s="1105" t="n">
        <f aca="false">F5918-H5918</f>
        <v>139230</v>
      </c>
      <c r="J5918" s="1105" t="n">
        <f aca="false">F5918*G5918</f>
        <v>19890</v>
      </c>
      <c r="K5918" s="1105" t="n">
        <f aca="false">J5918/1764</f>
        <v>11.2755102040816</v>
      </c>
      <c r="L5918" s="547" t="n">
        <v>30</v>
      </c>
      <c r="M5918" s="865" t="n">
        <f aca="false">K5918*L5918/60</f>
        <v>5.63775510204082</v>
      </c>
    </row>
    <row r="5919" s="1600" customFormat="true" ht="15" hidden="false" customHeight="false" outlineLevel="0" collapsed="false">
      <c r="A5919" s="1352"/>
      <c r="B5919" s="1605"/>
      <c r="C5919" s="29" t="s">
        <v>7323</v>
      </c>
      <c r="D5919" s="547" t="n">
        <v>2013</v>
      </c>
      <c r="E5919" s="547" t="n">
        <f aca="false">2015-D5919</f>
        <v>2</v>
      </c>
      <c r="F5919" s="547" t="n">
        <v>3608</v>
      </c>
      <c r="G5919" s="1444" t="n">
        <v>0.1</v>
      </c>
      <c r="H5919" s="1105" t="n">
        <f aca="false">E5919*F5919*G5919</f>
        <v>721.6</v>
      </c>
      <c r="I5919" s="1105" t="n">
        <f aca="false">F5919-H5919</f>
        <v>2886.4</v>
      </c>
      <c r="J5919" s="1105" t="n">
        <f aca="false">F5919*G5919</f>
        <v>360.8</v>
      </c>
      <c r="K5919" s="1105" t="n">
        <f aca="false">J5919/1764</f>
        <v>0.20453514739229</v>
      </c>
      <c r="L5919" s="547" t="n">
        <v>60</v>
      </c>
      <c r="M5919" s="865" t="n">
        <f aca="false">K5919*L5919/60</f>
        <v>0.20453514739229</v>
      </c>
    </row>
    <row r="5920" s="1600" customFormat="true" ht="15" hidden="false" customHeight="false" outlineLevel="0" collapsed="false">
      <c r="A5920" s="1352"/>
      <c r="B5920" s="1605"/>
      <c r="C5920" s="29" t="s">
        <v>7322</v>
      </c>
      <c r="D5920" s="547" t="n">
        <v>2006</v>
      </c>
      <c r="E5920" s="547" t="n">
        <f aca="false">2015-D5920</f>
        <v>9</v>
      </c>
      <c r="F5920" s="547" t="n">
        <v>67676</v>
      </c>
      <c r="G5920" s="1444" t="n">
        <v>0.1</v>
      </c>
      <c r="H5920" s="1105" t="n">
        <f aca="false">E5920*F5920*G5920</f>
        <v>60908.4</v>
      </c>
      <c r="I5920" s="1105" t="n">
        <f aca="false">F5920-H5920</f>
        <v>6767.6</v>
      </c>
      <c r="J5920" s="1105" t="n">
        <f aca="false">F5920*G5920</f>
        <v>6767.6</v>
      </c>
      <c r="K5920" s="1105" t="n">
        <f aca="false">J5920/1764</f>
        <v>3.83650793650794</v>
      </c>
      <c r="L5920" s="547" t="n">
        <v>20</v>
      </c>
      <c r="M5920" s="865" t="n">
        <f aca="false">K5920*L5920/60</f>
        <v>1.27883597883598</v>
      </c>
    </row>
    <row r="5921" s="1600" customFormat="true" ht="15" hidden="false" customHeight="false" outlineLevel="0" collapsed="false">
      <c r="A5921" s="1352"/>
      <c r="B5921" s="1605"/>
      <c r="C5921" s="29" t="s">
        <v>7320</v>
      </c>
      <c r="D5921" s="547" t="n">
        <v>2009</v>
      </c>
      <c r="E5921" s="547" t="n">
        <f aca="false">2015-D5921</f>
        <v>6</v>
      </c>
      <c r="F5921" s="547" t="n">
        <v>190000</v>
      </c>
      <c r="G5921" s="1444" t="n">
        <v>0.1</v>
      </c>
      <c r="H5921" s="1105" t="n">
        <f aca="false">E5921*F5921*G5921</f>
        <v>114000</v>
      </c>
      <c r="I5921" s="1105" t="n">
        <f aca="false">F5921-H5921</f>
        <v>76000</v>
      </c>
      <c r="J5921" s="1105" t="n">
        <f aca="false">F5921*G5921</f>
        <v>19000</v>
      </c>
      <c r="K5921" s="1105" t="n">
        <f aca="false">J5921/1764</f>
        <v>10.7709750566893</v>
      </c>
      <c r="L5921" s="547" t="n">
        <v>30</v>
      </c>
      <c r="M5921" s="865" t="n">
        <f aca="false">K5921*L5921/60</f>
        <v>5.38548752834467</v>
      </c>
    </row>
    <row r="5922" s="1600" customFormat="true" ht="15" hidden="false" customHeight="false" outlineLevel="0" collapsed="false">
      <c r="A5922" s="1352"/>
      <c r="B5922" s="972" t="s">
        <v>4128</v>
      </c>
      <c r="C5922" s="1161"/>
      <c r="D5922" s="547"/>
      <c r="E5922" s="547"/>
      <c r="F5922" s="547"/>
      <c r="G5922" s="1444"/>
      <c r="H5922" s="1105"/>
      <c r="I5922" s="1105"/>
      <c r="J5922" s="1105"/>
      <c r="K5922" s="1105"/>
      <c r="L5922" s="714" t="n">
        <f aca="false">SUM(L5914:L5921)</f>
        <v>570</v>
      </c>
      <c r="M5922" s="1558" t="n">
        <f aca="false">SUM(M5914:M5921)</f>
        <v>5124.29187452759</v>
      </c>
    </row>
    <row r="5923" s="1600" customFormat="true" ht="30" hidden="false" customHeight="false" outlineLevel="0" collapsed="false">
      <c r="A5923" s="1352"/>
      <c r="B5923" s="1605" t="s">
        <v>3620</v>
      </c>
      <c r="C5923" s="29" t="s">
        <v>7145</v>
      </c>
      <c r="D5923" s="547" t="n">
        <v>2014</v>
      </c>
      <c r="E5923" s="547" t="n">
        <f aca="false">2015-D5923</f>
        <v>1</v>
      </c>
      <c r="F5923" s="547" t="n">
        <v>566496</v>
      </c>
      <c r="G5923" s="1444" t="n">
        <v>0.1</v>
      </c>
      <c r="H5923" s="1105" t="n">
        <f aca="false">E5923*F5923*G5923</f>
        <v>56649.6</v>
      </c>
      <c r="I5923" s="1105" t="n">
        <f aca="false">F5923-H5923</f>
        <v>509846.4</v>
      </c>
      <c r="J5923" s="1105" t="n">
        <f aca="false">F5923*G5923</f>
        <v>56649.6</v>
      </c>
      <c r="K5923" s="1105" t="n">
        <f aca="false">J5923/1764</f>
        <v>32.1142857142857</v>
      </c>
      <c r="L5923" s="547" t="n">
        <v>60</v>
      </c>
      <c r="M5923" s="865" t="n">
        <f aca="false">K5923*L5923/60</f>
        <v>32.1142857142857</v>
      </c>
    </row>
    <row r="5924" s="1600" customFormat="true" ht="15" hidden="false" customHeight="false" outlineLevel="0" collapsed="false">
      <c r="A5924" s="1352"/>
      <c r="B5924" s="1605"/>
      <c r="C5924" s="29" t="s">
        <v>7322</v>
      </c>
      <c r="D5924" s="547" t="n">
        <v>2006</v>
      </c>
      <c r="E5924" s="547" t="n">
        <f aca="false">2015-D5924</f>
        <v>9</v>
      </c>
      <c r="F5924" s="547" t="n">
        <v>67676</v>
      </c>
      <c r="G5924" s="1444" t="n">
        <v>0.1</v>
      </c>
      <c r="H5924" s="1105" t="n">
        <f aca="false">E5924*F5924*G5924</f>
        <v>60908.4</v>
      </c>
      <c r="I5924" s="1105" t="n">
        <f aca="false">F5924-H5924</f>
        <v>6767.6</v>
      </c>
      <c r="J5924" s="1105" t="n">
        <f aca="false">F5924*G5924</f>
        <v>6767.6</v>
      </c>
      <c r="K5924" s="1105" t="n">
        <f aca="false">J5924/1764</f>
        <v>3.83650793650794</v>
      </c>
      <c r="L5924" s="547" t="n">
        <v>20</v>
      </c>
      <c r="M5924" s="865" t="n">
        <f aca="false">K5924*L5924/60</f>
        <v>1.27883597883598</v>
      </c>
    </row>
    <row r="5925" s="1600" customFormat="true" ht="15" hidden="false" customHeight="false" outlineLevel="0" collapsed="false">
      <c r="A5925" s="1352"/>
      <c r="B5925" s="1605"/>
      <c r="C5925" s="29" t="s">
        <v>7320</v>
      </c>
      <c r="D5925" s="547" t="n">
        <v>2009</v>
      </c>
      <c r="E5925" s="547" t="n">
        <f aca="false">2015-D5925</f>
        <v>6</v>
      </c>
      <c r="F5925" s="547" t="n">
        <v>190000</v>
      </c>
      <c r="G5925" s="1444" t="n">
        <v>0.1</v>
      </c>
      <c r="H5925" s="1105" t="n">
        <f aca="false">E5925*F5925*G5925</f>
        <v>114000</v>
      </c>
      <c r="I5925" s="1105" t="n">
        <f aca="false">F5925-H5925</f>
        <v>76000</v>
      </c>
      <c r="J5925" s="1105" t="n">
        <f aca="false">F5925*G5925</f>
        <v>19000</v>
      </c>
      <c r="K5925" s="1105" t="n">
        <f aca="false">J5925/1764</f>
        <v>10.7709750566893</v>
      </c>
      <c r="L5925" s="547" t="n">
        <v>30</v>
      </c>
      <c r="M5925" s="865" t="n">
        <f aca="false">K5925*L5925/60</f>
        <v>5.38548752834467</v>
      </c>
    </row>
    <row r="5926" s="1600" customFormat="true" ht="15" hidden="false" customHeight="false" outlineLevel="0" collapsed="false">
      <c r="A5926" s="1352"/>
      <c r="B5926" s="972" t="s">
        <v>4128</v>
      </c>
      <c r="C5926" s="1161"/>
      <c r="D5926" s="547"/>
      <c r="E5926" s="547"/>
      <c r="F5926" s="547"/>
      <c r="G5926" s="1444"/>
      <c r="H5926" s="1105"/>
      <c r="I5926" s="1105"/>
      <c r="J5926" s="1105"/>
      <c r="K5926" s="1105"/>
      <c r="L5926" s="714" t="n">
        <f aca="false">SUM(L5923:L5925)</f>
        <v>110</v>
      </c>
      <c r="M5926" s="1558" t="n">
        <f aca="false">SUM(M5923:M5925)</f>
        <v>38.7786092214664</v>
      </c>
    </row>
    <row r="5927" s="1600" customFormat="true" ht="30" hidden="false" customHeight="false" outlineLevel="0" collapsed="false">
      <c r="A5927" s="1352"/>
      <c r="B5927" s="1605" t="s">
        <v>3621</v>
      </c>
      <c r="C5927" s="29" t="s">
        <v>7130</v>
      </c>
      <c r="D5927" s="547" t="n">
        <v>2010</v>
      </c>
      <c r="E5927" s="547" t="n">
        <f aca="false">2015-D5927</f>
        <v>5</v>
      </c>
      <c r="F5927" s="547" t="n">
        <v>1835351</v>
      </c>
      <c r="G5927" s="1444" t="n">
        <v>0.1</v>
      </c>
      <c r="H5927" s="1105" t="n">
        <f aca="false">E5927*F5927*G5927</f>
        <v>917675.5</v>
      </c>
      <c r="I5927" s="1105" t="n">
        <f aca="false">F5927-H5927</f>
        <v>917675.5</v>
      </c>
      <c r="J5927" s="1105" t="n">
        <f aca="false">F5927*G5927</f>
        <v>183535.1</v>
      </c>
      <c r="K5927" s="1105" t="n">
        <f aca="false">J5927/1764</f>
        <v>104.044841269841</v>
      </c>
      <c r="L5927" s="547" t="n">
        <v>220</v>
      </c>
      <c r="M5927" s="865" t="n">
        <f aca="false">K5927*L5927/60</f>
        <v>381.497751322751</v>
      </c>
    </row>
    <row r="5928" s="1600" customFormat="true" ht="15" hidden="false" customHeight="false" outlineLevel="0" collapsed="false">
      <c r="A5928" s="1352"/>
      <c r="B5928" s="1605"/>
      <c r="C5928" s="29" t="s">
        <v>7321</v>
      </c>
      <c r="D5928" s="547" t="n">
        <v>2010</v>
      </c>
      <c r="E5928" s="547" t="n">
        <f aca="false">2015-D5928</f>
        <v>5</v>
      </c>
      <c r="F5928" s="547" t="n">
        <v>90000</v>
      </c>
      <c r="G5928" s="1444" t="n">
        <v>0.1</v>
      </c>
      <c r="H5928" s="1105" t="n">
        <f aca="false">E5928*F5928*G5928</f>
        <v>45000</v>
      </c>
      <c r="I5928" s="1105" t="n">
        <f aca="false">F5928-H5928</f>
        <v>45000</v>
      </c>
      <c r="J5928" s="1105" t="n">
        <f aca="false">F5928*G5928</f>
        <v>9000</v>
      </c>
      <c r="K5928" s="1105" t="n">
        <f aca="false">J5928/1764</f>
        <v>5.10204081632653</v>
      </c>
      <c r="L5928" s="547" t="n">
        <v>2</v>
      </c>
      <c r="M5928" s="865" t="n">
        <f aca="false">K5928*L5928/60</f>
        <v>0.170068027210884</v>
      </c>
    </row>
    <row r="5929" s="1600" customFormat="true" ht="15" hidden="false" customHeight="false" outlineLevel="0" collapsed="false">
      <c r="A5929" s="1352"/>
      <c r="B5929" s="1605"/>
      <c r="C5929" s="29" t="s">
        <v>7313</v>
      </c>
      <c r="D5929" s="547" t="n">
        <v>2009</v>
      </c>
      <c r="E5929" s="547" t="n">
        <f aca="false">2015-D5929</f>
        <v>6</v>
      </c>
      <c r="F5929" s="547" t="n">
        <v>745000</v>
      </c>
      <c r="G5929" s="1444" t="n">
        <v>0.1</v>
      </c>
      <c r="H5929" s="1105" t="n">
        <f aca="false">E5929*F5929*G5929</f>
        <v>447000</v>
      </c>
      <c r="I5929" s="1105" t="n">
        <f aca="false">F5929-H5929</f>
        <v>298000</v>
      </c>
      <c r="J5929" s="1105" t="n">
        <f aca="false">F5929*G5929</f>
        <v>74500</v>
      </c>
      <c r="K5929" s="1105" t="n">
        <f aca="false">J5929/1764</f>
        <v>42.2335600907029</v>
      </c>
      <c r="L5929" s="547" t="n">
        <v>6</v>
      </c>
      <c r="M5929" s="865" t="n">
        <f aca="false">K5929*L5929/60</f>
        <v>4.2233560090703</v>
      </c>
    </row>
    <row r="5930" s="1600" customFormat="true" ht="15" hidden="false" customHeight="false" outlineLevel="0" collapsed="false">
      <c r="A5930" s="1352"/>
      <c r="B5930" s="1605"/>
      <c r="C5930" s="29" t="s">
        <v>7134</v>
      </c>
      <c r="D5930" s="547" t="n">
        <v>2013</v>
      </c>
      <c r="E5930" s="547" t="n">
        <f aca="false">2015-D5930</f>
        <v>2</v>
      </c>
      <c r="F5930" s="547" t="n">
        <v>237440</v>
      </c>
      <c r="G5930" s="1444" t="n">
        <v>0.1</v>
      </c>
      <c r="H5930" s="1105" t="n">
        <f aca="false">E5930*F5930*G5930</f>
        <v>47488</v>
      </c>
      <c r="I5930" s="1105" t="n">
        <f aca="false">F5930-H5930</f>
        <v>189952</v>
      </c>
      <c r="J5930" s="1105" t="n">
        <f aca="false">F5930*G5930</f>
        <v>23744</v>
      </c>
      <c r="K5930" s="1105" t="n">
        <f aca="false">J5930/1764</f>
        <v>13.4603174603175</v>
      </c>
      <c r="L5930" s="547" t="n">
        <v>60</v>
      </c>
      <c r="M5930" s="865" t="n">
        <f aca="false">K5930*L5930/60</f>
        <v>13.4603174603175</v>
      </c>
    </row>
    <row r="5931" s="1600" customFormat="true" ht="15" hidden="false" customHeight="false" outlineLevel="0" collapsed="false">
      <c r="A5931" s="1352"/>
      <c r="B5931" s="1605"/>
      <c r="C5931" s="29" t="s">
        <v>7323</v>
      </c>
      <c r="D5931" s="547" t="n">
        <v>2013</v>
      </c>
      <c r="E5931" s="547" t="n">
        <f aca="false">2015-D5931</f>
        <v>2</v>
      </c>
      <c r="F5931" s="547" t="n">
        <v>3608</v>
      </c>
      <c r="G5931" s="1444" t="n">
        <v>0.1</v>
      </c>
      <c r="H5931" s="1105" t="n">
        <f aca="false">E5931*F5931*G5931</f>
        <v>721.6</v>
      </c>
      <c r="I5931" s="1105" t="n">
        <f aca="false">F5931-H5931</f>
        <v>2886.4</v>
      </c>
      <c r="J5931" s="1105" t="n">
        <f aca="false">F5931*G5931</f>
        <v>360.8</v>
      </c>
      <c r="K5931" s="1105" t="n">
        <f aca="false">J5931/1764</f>
        <v>0.20453514739229</v>
      </c>
      <c r="L5931" s="547" t="n">
        <v>60</v>
      </c>
      <c r="M5931" s="865" t="n">
        <f aca="false">K5931*L5931/60</f>
        <v>0.20453514739229</v>
      </c>
    </row>
    <row r="5932" s="1600" customFormat="true" ht="15" hidden="false" customHeight="false" outlineLevel="0" collapsed="false">
      <c r="A5932" s="1352"/>
      <c r="B5932" s="1605"/>
      <c r="C5932" s="29" t="s">
        <v>7322</v>
      </c>
      <c r="D5932" s="547" t="n">
        <v>2006</v>
      </c>
      <c r="E5932" s="547" t="n">
        <f aca="false">2015-D5932</f>
        <v>9</v>
      </c>
      <c r="F5932" s="547" t="n">
        <v>67676</v>
      </c>
      <c r="G5932" s="1444" t="n">
        <v>0.1</v>
      </c>
      <c r="H5932" s="1105" t="n">
        <f aca="false">E5932*F5932*G5932</f>
        <v>60908.4</v>
      </c>
      <c r="I5932" s="1105" t="n">
        <f aca="false">F5932-H5932</f>
        <v>6767.6</v>
      </c>
      <c r="J5932" s="1105" t="n">
        <f aca="false">F5932*G5932</f>
        <v>6767.6</v>
      </c>
      <c r="K5932" s="1105" t="n">
        <f aca="false">J5932/1764</f>
        <v>3.83650793650794</v>
      </c>
      <c r="L5932" s="547" t="n">
        <v>20</v>
      </c>
      <c r="M5932" s="865" t="n">
        <f aca="false">K5932*L5932/60</f>
        <v>1.27883597883598</v>
      </c>
    </row>
    <row r="5933" s="1600" customFormat="true" ht="15" hidden="false" customHeight="false" outlineLevel="0" collapsed="false">
      <c r="A5933" s="1352"/>
      <c r="B5933" s="1605"/>
      <c r="C5933" s="29" t="s">
        <v>7320</v>
      </c>
      <c r="D5933" s="547" t="n">
        <v>2009</v>
      </c>
      <c r="E5933" s="547" t="n">
        <f aca="false">2015-D5933</f>
        <v>6</v>
      </c>
      <c r="F5933" s="547" t="n">
        <v>190000</v>
      </c>
      <c r="G5933" s="1444" t="n">
        <v>0.1</v>
      </c>
      <c r="H5933" s="1105" t="n">
        <f aca="false">E5933*F5933*G5933</f>
        <v>114000</v>
      </c>
      <c r="I5933" s="1105" t="n">
        <f aca="false">F5933-H5933</f>
        <v>76000</v>
      </c>
      <c r="J5933" s="1105" t="n">
        <f aca="false">F5933*G5933</f>
        <v>19000</v>
      </c>
      <c r="K5933" s="1105" t="n">
        <f aca="false">J5933/1764</f>
        <v>10.7709750566893</v>
      </c>
      <c r="L5933" s="547" t="n">
        <v>30</v>
      </c>
      <c r="M5933" s="865" t="n">
        <f aca="false">K5933*L5933/60</f>
        <v>5.38548752834467</v>
      </c>
    </row>
    <row r="5934" s="1600" customFormat="true" ht="15" hidden="false" customHeight="false" outlineLevel="0" collapsed="false">
      <c r="A5934" s="1352"/>
      <c r="B5934" s="972" t="s">
        <v>4128</v>
      </c>
      <c r="C5934" s="1161"/>
      <c r="D5934" s="547"/>
      <c r="E5934" s="547"/>
      <c r="F5934" s="547"/>
      <c r="G5934" s="1444"/>
      <c r="H5934" s="1105"/>
      <c r="I5934" s="1105"/>
      <c r="J5934" s="1105"/>
      <c r="K5934" s="1105"/>
      <c r="L5934" s="714" t="n">
        <f aca="false">SUM(L5927:L5933)</f>
        <v>398</v>
      </c>
      <c r="M5934" s="1558" t="n">
        <f aca="false">SUM(M5927:M5933)</f>
        <v>406.220351473923</v>
      </c>
    </row>
    <row r="5935" s="1600" customFormat="true" ht="30" hidden="false" customHeight="false" outlineLevel="0" collapsed="false">
      <c r="A5935" s="1352"/>
      <c r="B5935" s="1605" t="s">
        <v>3621</v>
      </c>
      <c r="C5935" s="29" t="s">
        <v>7130</v>
      </c>
      <c r="D5935" s="547" t="n">
        <v>2010</v>
      </c>
      <c r="E5935" s="547" t="n">
        <f aca="false">2015-D5935</f>
        <v>5</v>
      </c>
      <c r="F5935" s="547" t="n">
        <v>1835351</v>
      </c>
      <c r="G5935" s="1444" t="n">
        <v>0.1</v>
      </c>
      <c r="H5935" s="1105" t="n">
        <f aca="false">E5935*F5935*G5935</f>
        <v>917675.5</v>
      </c>
      <c r="I5935" s="1105" t="n">
        <f aca="false">F5935-H5935</f>
        <v>917675.5</v>
      </c>
      <c r="J5935" s="1105" t="n">
        <f aca="false">F5935*G5935</f>
        <v>183535.1</v>
      </c>
      <c r="K5935" s="1105" t="n">
        <f aca="false">J5935/1764</f>
        <v>104.044841269841</v>
      </c>
      <c r="L5935" s="547" t="n">
        <v>220</v>
      </c>
      <c r="M5935" s="865" t="n">
        <f aca="false">K5935*L5935/60</f>
        <v>381.497751322751</v>
      </c>
    </row>
    <row r="5936" s="1600" customFormat="true" ht="15" hidden="false" customHeight="false" outlineLevel="0" collapsed="false">
      <c r="A5936" s="1352"/>
      <c r="B5936" s="1605"/>
      <c r="C5936" s="29" t="s">
        <v>7321</v>
      </c>
      <c r="D5936" s="547" t="n">
        <v>2010</v>
      </c>
      <c r="E5936" s="547" t="n">
        <f aca="false">2015-D5936</f>
        <v>5</v>
      </c>
      <c r="F5936" s="547" t="n">
        <v>90000</v>
      </c>
      <c r="G5936" s="1444" t="n">
        <v>0.1</v>
      </c>
      <c r="H5936" s="1105" t="n">
        <f aca="false">E5936*F5936*G5936</f>
        <v>45000</v>
      </c>
      <c r="I5936" s="1105" t="n">
        <f aca="false">F5936-H5936</f>
        <v>45000</v>
      </c>
      <c r="J5936" s="1105" t="n">
        <f aca="false">F5936*G5936</f>
        <v>9000</v>
      </c>
      <c r="K5936" s="1105" t="n">
        <f aca="false">J5936/1764</f>
        <v>5.10204081632653</v>
      </c>
      <c r="L5936" s="547" t="n">
        <v>2</v>
      </c>
      <c r="M5936" s="865" t="n">
        <f aca="false">K5936*L5936/60</f>
        <v>0.170068027210884</v>
      </c>
    </row>
    <row r="5937" s="1600" customFormat="true" ht="15" hidden="false" customHeight="false" outlineLevel="0" collapsed="false">
      <c r="A5937" s="1352"/>
      <c r="B5937" s="1605"/>
      <c r="C5937" s="29" t="s">
        <v>7313</v>
      </c>
      <c r="D5937" s="547" t="n">
        <v>2009</v>
      </c>
      <c r="E5937" s="547" t="n">
        <f aca="false">2015-D5937</f>
        <v>6</v>
      </c>
      <c r="F5937" s="547" t="n">
        <v>745000</v>
      </c>
      <c r="G5937" s="1444" t="n">
        <v>0.1</v>
      </c>
      <c r="H5937" s="1105" t="n">
        <f aca="false">E5937*F5937*G5937</f>
        <v>447000</v>
      </c>
      <c r="I5937" s="1105" t="n">
        <f aca="false">F5937-H5937</f>
        <v>298000</v>
      </c>
      <c r="J5937" s="1105" t="n">
        <f aca="false">F5937*G5937</f>
        <v>74500</v>
      </c>
      <c r="K5937" s="1105" t="n">
        <f aca="false">J5937/1764</f>
        <v>42.2335600907029</v>
      </c>
      <c r="L5937" s="547" t="n">
        <v>6</v>
      </c>
      <c r="M5937" s="865" t="n">
        <f aca="false">K5937*L5937/60</f>
        <v>4.2233560090703</v>
      </c>
    </row>
    <row r="5938" s="1600" customFormat="true" ht="15" hidden="false" customHeight="false" outlineLevel="0" collapsed="false">
      <c r="A5938" s="1352"/>
      <c r="B5938" s="1605"/>
      <c r="C5938" s="29" t="s">
        <v>7134</v>
      </c>
      <c r="D5938" s="547" t="n">
        <v>2013</v>
      </c>
      <c r="E5938" s="547" t="n">
        <f aca="false">2015-D5938</f>
        <v>2</v>
      </c>
      <c r="F5938" s="547" t="n">
        <v>237440</v>
      </c>
      <c r="G5938" s="1444" t="n">
        <v>0.1</v>
      </c>
      <c r="H5938" s="1105" t="n">
        <f aca="false">E5938*F5938*G5938</f>
        <v>47488</v>
      </c>
      <c r="I5938" s="1105" t="n">
        <f aca="false">F5938-H5938</f>
        <v>189952</v>
      </c>
      <c r="J5938" s="1105" t="n">
        <f aca="false">F5938*G5938</f>
        <v>23744</v>
      </c>
      <c r="K5938" s="1105" t="n">
        <f aca="false">J5938/1764</f>
        <v>13.4603174603175</v>
      </c>
      <c r="L5938" s="547" t="n">
        <v>60</v>
      </c>
      <c r="M5938" s="865" t="n">
        <f aca="false">K5938*L5938/60</f>
        <v>13.4603174603175</v>
      </c>
    </row>
    <row r="5939" s="1600" customFormat="true" ht="15" hidden="false" customHeight="false" outlineLevel="0" collapsed="false">
      <c r="A5939" s="1352"/>
      <c r="B5939" s="1605"/>
      <c r="C5939" s="29" t="s">
        <v>7323</v>
      </c>
      <c r="D5939" s="547" t="n">
        <v>2013</v>
      </c>
      <c r="E5939" s="547" t="n">
        <f aca="false">2015-D5939</f>
        <v>2</v>
      </c>
      <c r="F5939" s="547" t="n">
        <v>3608</v>
      </c>
      <c r="G5939" s="1444" t="n">
        <v>0.1</v>
      </c>
      <c r="H5939" s="1105" t="n">
        <f aca="false">E5939*F5939*G5939</f>
        <v>721.6</v>
      </c>
      <c r="I5939" s="1105" t="n">
        <f aca="false">F5939-H5939</f>
        <v>2886.4</v>
      </c>
      <c r="J5939" s="1105" t="n">
        <f aca="false">F5939*G5939</f>
        <v>360.8</v>
      </c>
      <c r="K5939" s="1105" t="n">
        <f aca="false">J5939/1764</f>
        <v>0.20453514739229</v>
      </c>
      <c r="L5939" s="547" t="n">
        <v>60</v>
      </c>
      <c r="M5939" s="865" t="n">
        <f aca="false">K5939*L5939/60</f>
        <v>0.20453514739229</v>
      </c>
    </row>
    <row r="5940" s="1600" customFormat="true" ht="15" hidden="false" customHeight="false" outlineLevel="0" collapsed="false">
      <c r="A5940" s="1352"/>
      <c r="B5940" s="1605"/>
      <c r="C5940" s="29" t="s">
        <v>7322</v>
      </c>
      <c r="D5940" s="547" t="n">
        <v>2006</v>
      </c>
      <c r="E5940" s="547" t="n">
        <f aca="false">2015-D5940</f>
        <v>9</v>
      </c>
      <c r="F5940" s="547" t="n">
        <v>67676</v>
      </c>
      <c r="G5940" s="1444" t="n">
        <v>0.1</v>
      </c>
      <c r="H5940" s="1105" t="n">
        <f aca="false">E5940*F5940*G5940</f>
        <v>60908.4</v>
      </c>
      <c r="I5940" s="1105" t="n">
        <f aca="false">F5940-H5940</f>
        <v>6767.6</v>
      </c>
      <c r="J5940" s="1105" t="n">
        <f aca="false">F5940*G5940</f>
        <v>6767.6</v>
      </c>
      <c r="K5940" s="1105" t="n">
        <f aca="false">J5940/1764</f>
        <v>3.83650793650794</v>
      </c>
      <c r="L5940" s="547" t="n">
        <v>20</v>
      </c>
      <c r="M5940" s="865" t="n">
        <f aca="false">K5940*L5940/60</f>
        <v>1.27883597883598</v>
      </c>
    </row>
    <row r="5941" s="1600" customFormat="true" ht="15" hidden="false" customHeight="false" outlineLevel="0" collapsed="false">
      <c r="A5941" s="1352"/>
      <c r="B5941" s="1605"/>
      <c r="C5941" s="29" t="s">
        <v>7320</v>
      </c>
      <c r="D5941" s="547" t="n">
        <v>2009</v>
      </c>
      <c r="E5941" s="547" t="n">
        <f aca="false">2015-D5941</f>
        <v>6</v>
      </c>
      <c r="F5941" s="547" t="n">
        <v>190000</v>
      </c>
      <c r="G5941" s="1444" t="n">
        <v>0.1</v>
      </c>
      <c r="H5941" s="1105" t="n">
        <f aca="false">E5941*F5941*G5941</f>
        <v>114000</v>
      </c>
      <c r="I5941" s="1105" t="n">
        <f aca="false">F5941-H5941</f>
        <v>76000</v>
      </c>
      <c r="J5941" s="1105" t="n">
        <f aca="false">F5941*G5941</f>
        <v>19000</v>
      </c>
      <c r="K5941" s="1105" t="n">
        <f aca="false">J5941/1764</f>
        <v>10.7709750566893</v>
      </c>
      <c r="L5941" s="547" t="n">
        <v>30</v>
      </c>
      <c r="M5941" s="865" t="n">
        <f aca="false">K5941*L5941/60</f>
        <v>5.38548752834467</v>
      </c>
    </row>
    <row r="5942" s="1600" customFormat="true" ht="15" hidden="false" customHeight="false" outlineLevel="0" collapsed="false">
      <c r="A5942" s="1352"/>
      <c r="B5942" s="972" t="s">
        <v>4128</v>
      </c>
      <c r="C5942" s="1161"/>
      <c r="D5942" s="547"/>
      <c r="E5942" s="547"/>
      <c r="F5942" s="547"/>
      <c r="G5942" s="1444"/>
      <c r="H5942" s="1105"/>
      <c r="I5942" s="1105"/>
      <c r="J5942" s="1105"/>
      <c r="K5942" s="1105"/>
      <c r="L5942" s="714" t="n">
        <f aca="false">SUM(L5935:L5941)</f>
        <v>398</v>
      </c>
      <c r="M5942" s="1558" t="n">
        <f aca="false">SUM(M5935:M5941)</f>
        <v>406.220351473923</v>
      </c>
    </row>
    <row r="5943" s="1600" customFormat="true" ht="15" hidden="false" customHeight="false" outlineLevel="0" collapsed="false">
      <c r="A5943" s="1352"/>
      <c r="B5943" s="1605" t="s">
        <v>6804</v>
      </c>
      <c r="C5943" s="1608" t="s">
        <v>7128</v>
      </c>
      <c r="D5943" s="1609" t="n">
        <v>2015</v>
      </c>
      <c r="E5943" s="1609" t="n">
        <v>0</v>
      </c>
      <c r="F5943" s="547" t="n">
        <v>2312140</v>
      </c>
      <c r="G5943" s="1444" t="n">
        <v>0.1</v>
      </c>
      <c r="H5943" s="1105" t="n">
        <v>0</v>
      </c>
      <c r="I5943" s="1105" t="n">
        <v>2312140</v>
      </c>
      <c r="J5943" s="1105" t="n">
        <v>231214</v>
      </c>
      <c r="K5943" s="1105" t="n">
        <v>131</v>
      </c>
      <c r="L5943" s="547" t="n">
        <v>90</v>
      </c>
      <c r="M5943" s="865" t="n">
        <v>196.61</v>
      </c>
    </row>
    <row r="5944" s="1600" customFormat="true" ht="15" hidden="false" customHeight="false" outlineLevel="0" collapsed="false">
      <c r="A5944" s="1352"/>
      <c r="B5944" s="1605"/>
      <c r="C5944" s="1608" t="s">
        <v>7322</v>
      </c>
      <c r="D5944" s="1609" t="n">
        <v>2006</v>
      </c>
      <c r="E5944" s="1609" t="n">
        <v>9</v>
      </c>
      <c r="F5944" s="547" t="n">
        <v>67676</v>
      </c>
      <c r="G5944" s="1444" t="n">
        <v>0.1</v>
      </c>
      <c r="H5944" s="1105" t="n">
        <v>60908</v>
      </c>
      <c r="I5944" s="1105" t="n">
        <v>6768</v>
      </c>
      <c r="J5944" s="1105" t="n">
        <v>6768</v>
      </c>
      <c r="K5944" s="1105" t="n">
        <v>4</v>
      </c>
      <c r="L5944" s="547" t="n">
        <v>20</v>
      </c>
      <c r="M5944" s="865" t="n">
        <v>1.28</v>
      </c>
    </row>
    <row r="5945" s="1600" customFormat="true" ht="15" hidden="false" customHeight="false" outlineLevel="0" collapsed="false">
      <c r="A5945" s="1352"/>
      <c r="B5945" s="972" t="s">
        <v>4128</v>
      </c>
      <c r="C5945" s="1608"/>
      <c r="D5945" s="1609"/>
      <c r="E5945" s="1609"/>
      <c r="F5945" s="547"/>
      <c r="G5945" s="1444"/>
      <c r="H5945" s="1105"/>
      <c r="I5945" s="1105"/>
      <c r="J5945" s="1105"/>
      <c r="K5945" s="1105"/>
      <c r="L5945" s="714" t="n">
        <v>110</v>
      </c>
      <c r="M5945" s="1558" t="n">
        <v>198</v>
      </c>
    </row>
    <row r="5946" s="1600" customFormat="true" ht="15" hidden="false" customHeight="false" outlineLevel="0" collapsed="false">
      <c r="A5946" s="1607" t="s">
        <v>6807</v>
      </c>
      <c r="B5946" s="1606" t="s">
        <v>3626</v>
      </c>
      <c r="C5946" s="1608"/>
      <c r="D5946" s="1609"/>
      <c r="E5946" s="1609"/>
      <c r="F5946" s="547"/>
      <c r="G5946" s="1444"/>
      <c r="H5946" s="1105"/>
      <c r="I5946" s="1105"/>
      <c r="J5946" s="1105"/>
      <c r="K5946" s="1105"/>
      <c r="L5946" s="714"/>
      <c r="M5946" s="1558"/>
    </row>
    <row r="5947" s="1600" customFormat="true" ht="30" hidden="false" customHeight="false" outlineLevel="0" collapsed="false">
      <c r="A5947" s="1352"/>
      <c r="B5947" s="1605" t="s">
        <v>6808</v>
      </c>
      <c r="C5947" s="29" t="s">
        <v>7153</v>
      </c>
      <c r="D5947" s="547" t="n">
        <v>2012</v>
      </c>
      <c r="E5947" s="547" t="n">
        <f aca="false">2015-D5947</f>
        <v>3</v>
      </c>
      <c r="F5947" s="547" t="n">
        <v>6621561</v>
      </c>
      <c r="G5947" s="1444" t="n">
        <v>0.1</v>
      </c>
      <c r="H5947" s="1105" t="n">
        <f aca="false">E5947*F5947*G5947</f>
        <v>1986468.3</v>
      </c>
      <c r="I5947" s="1105" t="n">
        <f aca="false">F5947-H5947</f>
        <v>4635092.7</v>
      </c>
      <c r="J5947" s="1105" t="n">
        <f aca="false">F5947*G5947</f>
        <v>662156.1</v>
      </c>
      <c r="K5947" s="1105" t="n">
        <f aca="false">J5947/1764</f>
        <v>375.37193877551</v>
      </c>
      <c r="L5947" s="547" t="n">
        <v>30</v>
      </c>
      <c r="M5947" s="865" t="n">
        <f aca="false">K5947*L5947/60</f>
        <v>187.685969387755</v>
      </c>
    </row>
    <row r="5948" s="1600" customFormat="true" ht="15" hidden="false" customHeight="false" outlineLevel="0" collapsed="false">
      <c r="A5948" s="1352"/>
      <c r="B5948" s="972" t="s">
        <v>4128</v>
      </c>
      <c r="C5948" s="1161"/>
      <c r="D5948" s="547"/>
      <c r="E5948" s="547"/>
      <c r="F5948" s="547"/>
      <c r="G5948" s="1444"/>
      <c r="H5948" s="1105"/>
      <c r="I5948" s="1105"/>
      <c r="J5948" s="1105"/>
      <c r="K5948" s="1105"/>
      <c r="L5948" s="714" t="n">
        <f aca="false">L5947</f>
        <v>30</v>
      </c>
      <c r="M5948" s="1558" t="n">
        <f aca="false">M5947</f>
        <v>187.685969387755</v>
      </c>
    </row>
    <row r="5949" s="1600" customFormat="true" ht="42.75" hidden="false" customHeight="false" outlineLevel="0" collapsed="false">
      <c r="A5949" s="1601" t="s">
        <v>6809</v>
      </c>
      <c r="B5949" s="1156" t="s">
        <v>6810</v>
      </c>
      <c r="C5949" s="1180"/>
      <c r="D5949" s="1602"/>
      <c r="E5949" s="1602"/>
      <c r="F5949" s="1603"/>
      <c r="G5949" s="1602"/>
      <c r="H5949" s="1602"/>
      <c r="I5949" s="1603"/>
      <c r="J5949" s="1602"/>
      <c r="K5949" s="1602"/>
      <c r="L5949" s="1610"/>
      <c r="M5949" s="1604" t="n">
        <f aca="false">M5953</f>
        <v>30.2625094482237</v>
      </c>
    </row>
    <row r="5950" s="1600" customFormat="true" ht="15" hidden="false" customHeight="false" outlineLevel="0" collapsed="false">
      <c r="A5950" s="1352"/>
      <c r="B5950" s="1605"/>
      <c r="C5950" s="29" t="s">
        <v>7324</v>
      </c>
      <c r="D5950" s="547" t="n">
        <v>2007</v>
      </c>
      <c r="E5950" s="547" t="n">
        <f aca="false">2015-D5950</f>
        <v>8</v>
      </c>
      <c r="F5950" s="547" t="n">
        <v>1401704</v>
      </c>
      <c r="G5950" s="1413" t="n">
        <v>0.1</v>
      </c>
      <c r="H5950" s="547" t="n">
        <f aca="false">E5950*F5950*G5950</f>
        <v>1121363.2</v>
      </c>
      <c r="I5950" s="547" t="n">
        <f aca="false">F5950-H5950</f>
        <v>280340.8</v>
      </c>
      <c r="J5950" s="547" t="n">
        <f aca="false">F5950*G5950</f>
        <v>140170.4</v>
      </c>
      <c r="K5950" s="547" t="n">
        <f aca="false">J5950/1764</f>
        <v>79.4616780045351</v>
      </c>
      <c r="L5950" s="547" t="n">
        <v>10</v>
      </c>
      <c r="M5950" s="819" t="n">
        <f aca="false">K5950*L5950/60</f>
        <v>13.2436130007559</v>
      </c>
    </row>
    <row r="5951" s="1600" customFormat="true" ht="15" hidden="false" customHeight="false" outlineLevel="0" collapsed="false">
      <c r="A5951" s="1352"/>
      <c r="B5951" s="1605"/>
      <c r="C5951" s="29" t="s">
        <v>7235</v>
      </c>
      <c r="D5951" s="547" t="n">
        <v>2009</v>
      </c>
      <c r="E5951" s="547" t="n">
        <f aca="false">2015-D5951</f>
        <v>6</v>
      </c>
      <c r="F5951" s="547" t="n">
        <v>797040</v>
      </c>
      <c r="G5951" s="1413" t="n">
        <v>0.1</v>
      </c>
      <c r="H5951" s="547" t="n">
        <f aca="false">E5951*F5951*G5951</f>
        <v>478224</v>
      </c>
      <c r="I5951" s="547" t="n">
        <f aca="false">F5951-H5951</f>
        <v>318816</v>
      </c>
      <c r="J5951" s="547" t="n">
        <f aca="false">F5951*G5951</f>
        <v>79704</v>
      </c>
      <c r="K5951" s="547" t="n">
        <f aca="false">J5951/1764</f>
        <v>45.1836734693878</v>
      </c>
      <c r="L5951" s="547" t="n">
        <v>5</v>
      </c>
      <c r="M5951" s="819" t="n">
        <f aca="false">K5951*L5951/60</f>
        <v>3.76530612244898</v>
      </c>
    </row>
    <row r="5952" s="1600" customFormat="true" ht="15" hidden="false" customHeight="false" outlineLevel="0" collapsed="false">
      <c r="A5952" s="1352"/>
      <c r="B5952" s="1605"/>
      <c r="C5952" s="29" t="s">
        <v>7325</v>
      </c>
      <c r="D5952" s="547" t="n">
        <v>2009</v>
      </c>
      <c r="E5952" s="547" t="n">
        <f aca="false">2015-D5952</f>
        <v>6</v>
      </c>
      <c r="F5952" s="547" t="n">
        <v>1402760</v>
      </c>
      <c r="G5952" s="1413" t="n">
        <v>0.1</v>
      </c>
      <c r="H5952" s="547" t="n">
        <f aca="false">E5952*F5952*G5952</f>
        <v>841656</v>
      </c>
      <c r="I5952" s="547" t="n">
        <f aca="false">F5952-H5952</f>
        <v>561104</v>
      </c>
      <c r="J5952" s="547" t="n">
        <f aca="false">F5952*G5952</f>
        <v>140276</v>
      </c>
      <c r="K5952" s="547" t="n">
        <f aca="false">J5952/1764</f>
        <v>79.5215419501134</v>
      </c>
      <c r="L5952" s="547" t="n">
        <v>10</v>
      </c>
      <c r="M5952" s="819" t="n">
        <f aca="false">K5952*L5952/60</f>
        <v>13.2535903250189</v>
      </c>
    </row>
    <row r="5953" s="1600" customFormat="true" ht="15" hidden="false" customHeight="false" outlineLevel="0" collapsed="false">
      <c r="A5953" s="1352"/>
      <c r="B5953" s="972" t="s">
        <v>4128</v>
      </c>
      <c r="C5953" s="40"/>
      <c r="D5953" s="547"/>
      <c r="E5953" s="547"/>
      <c r="F5953" s="873"/>
      <c r="G5953" s="1413"/>
      <c r="H5953" s="547"/>
      <c r="I5953" s="547"/>
      <c r="J5953" s="547"/>
      <c r="K5953" s="547"/>
      <c r="L5953" s="714" t="n">
        <f aca="false">SUM(L5950:L5952)</f>
        <v>25</v>
      </c>
      <c r="M5953" s="934" t="n">
        <f aca="false">SUM(M5950:M5952)</f>
        <v>30.2625094482237</v>
      </c>
    </row>
    <row r="5954" s="1600" customFormat="true" ht="46.5" hidden="false" customHeight="true" outlineLevel="0" collapsed="false">
      <c r="A5954" s="1601" t="s">
        <v>6813</v>
      </c>
      <c r="B5954" s="1156" t="s">
        <v>6814</v>
      </c>
      <c r="C5954" s="1180"/>
      <c r="D5954" s="1602"/>
      <c r="E5954" s="1602"/>
      <c r="F5954" s="1603"/>
      <c r="G5954" s="1602"/>
      <c r="H5954" s="1602"/>
      <c r="I5954" s="1603"/>
      <c r="J5954" s="1602"/>
      <c r="K5954" s="1602"/>
      <c r="L5954" s="1610"/>
      <c r="M5954" s="1604" t="n">
        <f aca="false">M5958</f>
        <v>35.7008456160242</v>
      </c>
    </row>
    <row r="5955" s="1600" customFormat="true" ht="15" hidden="false" customHeight="false" outlineLevel="0" collapsed="false">
      <c r="A5955" s="1352"/>
      <c r="B5955" s="1605"/>
      <c r="C5955" s="29" t="s">
        <v>7326</v>
      </c>
      <c r="D5955" s="547" t="n">
        <v>2007</v>
      </c>
      <c r="E5955" s="547" t="n">
        <f aca="false">2015-D5955</f>
        <v>8</v>
      </c>
      <c r="F5955" s="547" t="n">
        <v>2292414</v>
      </c>
      <c r="G5955" s="1413" t="n">
        <v>0.1</v>
      </c>
      <c r="H5955" s="547" t="n">
        <f aca="false">E5955*F5955*G5955</f>
        <v>1833931.2</v>
      </c>
      <c r="I5955" s="547" t="n">
        <f aca="false">F5955-H5955</f>
        <v>458482.8</v>
      </c>
      <c r="J5955" s="547" t="n">
        <f aca="false">F5955*G5955</f>
        <v>229241.4</v>
      </c>
      <c r="K5955" s="547" t="n">
        <f aca="false">J5955/1764</f>
        <v>129.955442176871</v>
      </c>
      <c r="L5955" s="547" t="n">
        <v>10</v>
      </c>
      <c r="M5955" s="819" t="n">
        <f aca="false">K5955*L5955/60</f>
        <v>21.6592403628118</v>
      </c>
    </row>
    <row r="5956" s="1600" customFormat="true" ht="15" hidden="false" customHeight="false" outlineLevel="0" collapsed="false">
      <c r="A5956" s="1352"/>
      <c r="B5956" s="1605"/>
      <c r="C5956" s="29" t="s">
        <v>7302</v>
      </c>
      <c r="D5956" s="547" t="n">
        <v>2009</v>
      </c>
      <c r="E5956" s="547" t="n">
        <f aca="false">2015-D5956</f>
        <v>6</v>
      </c>
      <c r="F5956" s="547" t="n">
        <v>166807</v>
      </c>
      <c r="G5956" s="1413" t="n">
        <v>0.1</v>
      </c>
      <c r="H5956" s="547" t="n">
        <f aca="false">E5956*F5956*G5956</f>
        <v>100084.2</v>
      </c>
      <c r="I5956" s="547" t="n">
        <f aca="false">F5956-H5956</f>
        <v>66722.8</v>
      </c>
      <c r="J5956" s="547" t="n">
        <f aca="false">F5956*G5956</f>
        <v>16680.7</v>
      </c>
      <c r="K5956" s="547" t="n">
        <f aca="false">J5956/1764</f>
        <v>9.456179138322</v>
      </c>
      <c r="L5956" s="547" t="n">
        <v>5</v>
      </c>
      <c r="M5956" s="819" t="n">
        <f aca="false">K5956*L5956/60</f>
        <v>0.7880149281935</v>
      </c>
    </row>
    <row r="5957" s="1600" customFormat="true" ht="15" hidden="false" customHeight="false" outlineLevel="0" collapsed="false">
      <c r="A5957" s="1352"/>
      <c r="B5957" s="1605"/>
      <c r="C5957" s="29" t="s">
        <v>7325</v>
      </c>
      <c r="D5957" s="547" t="n">
        <v>2009</v>
      </c>
      <c r="E5957" s="547" t="n">
        <f aca="false">2015-D5957</f>
        <v>6</v>
      </c>
      <c r="F5957" s="547" t="n">
        <v>1402760</v>
      </c>
      <c r="G5957" s="1413" t="n">
        <v>0.1</v>
      </c>
      <c r="H5957" s="547" t="n">
        <f aca="false">E5957*F5957*G5957</f>
        <v>841656</v>
      </c>
      <c r="I5957" s="547" t="n">
        <f aca="false">F5957-H5957</f>
        <v>561104</v>
      </c>
      <c r="J5957" s="547" t="n">
        <f aca="false">F5957*G5957</f>
        <v>140276</v>
      </c>
      <c r="K5957" s="547" t="n">
        <f aca="false">J5957/1764</f>
        <v>79.5215419501134</v>
      </c>
      <c r="L5957" s="547" t="n">
        <v>10</v>
      </c>
      <c r="M5957" s="819" t="n">
        <f aca="false">K5957*L5957/60</f>
        <v>13.2535903250189</v>
      </c>
    </row>
    <row r="5958" s="1600" customFormat="true" ht="15" hidden="false" customHeight="false" outlineLevel="0" collapsed="false">
      <c r="A5958" s="1352"/>
      <c r="B5958" s="972" t="s">
        <v>4128</v>
      </c>
      <c r="C5958" s="29"/>
      <c r="D5958" s="547"/>
      <c r="E5958" s="547"/>
      <c r="F5958" s="547"/>
      <c r="G5958" s="1413"/>
      <c r="H5958" s="547"/>
      <c r="I5958" s="547"/>
      <c r="J5958" s="547"/>
      <c r="K5958" s="547"/>
      <c r="L5958" s="714" t="n">
        <f aca="false">SUM(L5955:L5957)</f>
        <v>25</v>
      </c>
      <c r="M5958" s="934" t="n">
        <f aca="false">SUM(M5955:M5957)</f>
        <v>35.7008456160242</v>
      </c>
    </row>
    <row r="5959" s="1600" customFormat="true" ht="28.5" hidden="false" customHeight="false" outlineLevel="0" collapsed="false">
      <c r="A5959" s="1601" t="s">
        <v>6828</v>
      </c>
      <c r="B5959" s="1156" t="s">
        <v>6829</v>
      </c>
      <c r="C5959" s="1180"/>
      <c r="D5959" s="1602"/>
      <c r="E5959" s="1602"/>
      <c r="F5959" s="1603"/>
      <c r="G5959" s="1602"/>
      <c r="H5959" s="1602"/>
      <c r="I5959" s="1603"/>
      <c r="J5959" s="1602"/>
      <c r="K5959" s="1602"/>
      <c r="L5959" s="1610"/>
      <c r="M5959" s="1604" t="n">
        <f aca="false">M5964</f>
        <v>35.245275888133</v>
      </c>
    </row>
    <row r="5960" s="1600" customFormat="true" ht="15" hidden="false" customHeight="false" outlineLevel="0" collapsed="false">
      <c r="A5960" s="1352"/>
      <c r="B5960" s="1605"/>
      <c r="C5960" s="29" t="s">
        <v>7327</v>
      </c>
      <c r="D5960" s="547" t="n">
        <v>2009</v>
      </c>
      <c r="E5960" s="547" t="n">
        <f aca="false">2015-D5960</f>
        <v>6</v>
      </c>
      <c r="F5960" s="547" t="n">
        <v>2030000</v>
      </c>
      <c r="G5960" s="1413" t="n">
        <v>0.1</v>
      </c>
      <c r="H5960" s="547" t="n">
        <f aca="false">E5960*F5960*G5960</f>
        <v>1218000</v>
      </c>
      <c r="I5960" s="547" t="n">
        <f aca="false">F5960-H5960</f>
        <v>812000</v>
      </c>
      <c r="J5960" s="547" t="n">
        <f aca="false">F5960*G5960</f>
        <v>203000</v>
      </c>
      <c r="K5960" s="547" t="n">
        <f aca="false">J5960/1764</f>
        <v>115.079365079365</v>
      </c>
      <c r="L5960" s="547" t="n">
        <v>10</v>
      </c>
      <c r="M5960" s="819" t="n">
        <f aca="false">K5960*L5960/60</f>
        <v>19.1798941798942</v>
      </c>
    </row>
    <row r="5961" s="1600" customFormat="true" ht="15" hidden="false" customHeight="false" outlineLevel="0" collapsed="false">
      <c r="A5961" s="1352"/>
      <c r="B5961" s="1605"/>
      <c r="C5961" s="29" t="s">
        <v>7328</v>
      </c>
      <c r="D5961" s="547" t="n">
        <v>2008</v>
      </c>
      <c r="E5961" s="547" t="n">
        <f aca="false">2015-D5961</f>
        <v>7</v>
      </c>
      <c r="F5961" s="547" t="n">
        <v>397200</v>
      </c>
      <c r="G5961" s="1413" t="n">
        <v>0.1</v>
      </c>
      <c r="H5961" s="547" t="n">
        <f aca="false">E5961*F5961*G5961</f>
        <v>278040</v>
      </c>
      <c r="I5961" s="547" t="n">
        <f aca="false">F5961-H5961</f>
        <v>119160</v>
      </c>
      <c r="J5961" s="547" t="n">
        <f aca="false">F5961*G5961</f>
        <v>39720</v>
      </c>
      <c r="K5961" s="547" t="n">
        <f aca="false">J5961/1764</f>
        <v>22.5170068027211</v>
      </c>
      <c r="L5961" s="547" t="n">
        <v>5</v>
      </c>
      <c r="M5961" s="819" t="n">
        <f aca="false">K5961*L5961/60</f>
        <v>1.87641723356009</v>
      </c>
    </row>
    <row r="5962" s="1600" customFormat="true" ht="15" hidden="false" customHeight="false" outlineLevel="0" collapsed="false">
      <c r="A5962" s="1352"/>
      <c r="B5962" s="1605"/>
      <c r="C5962" s="29" t="s">
        <v>7329</v>
      </c>
      <c r="D5962" s="547" t="n">
        <v>2004</v>
      </c>
      <c r="E5962" s="547" t="n">
        <f aca="false">2015-D5962</f>
        <v>11</v>
      </c>
      <c r="F5962" s="547" t="n">
        <v>198000</v>
      </c>
      <c r="G5962" s="1413" t="n">
        <v>0.1</v>
      </c>
      <c r="H5962" s="547" t="n">
        <f aca="false">E5962*F5962*G5962</f>
        <v>217800</v>
      </c>
      <c r="I5962" s="547" t="n">
        <f aca="false">H5962</f>
        <v>217800</v>
      </c>
      <c r="J5962" s="547" t="n">
        <f aca="false">F5962*G5962</f>
        <v>19800</v>
      </c>
      <c r="K5962" s="547" t="n">
        <f aca="false">J5962/1764</f>
        <v>11.2244897959184</v>
      </c>
      <c r="L5962" s="547" t="n">
        <v>5</v>
      </c>
      <c r="M5962" s="819" t="n">
        <f aca="false">K5962*L5962/60</f>
        <v>0.935374149659864</v>
      </c>
    </row>
    <row r="5963" s="1600" customFormat="true" ht="15" hidden="false" customHeight="false" outlineLevel="0" collapsed="false">
      <c r="A5963" s="1352"/>
      <c r="B5963" s="1605"/>
      <c r="C5963" s="29" t="s">
        <v>7325</v>
      </c>
      <c r="D5963" s="547" t="n">
        <v>2009</v>
      </c>
      <c r="E5963" s="547" t="n">
        <f aca="false">2015-D5963</f>
        <v>6</v>
      </c>
      <c r="F5963" s="547" t="n">
        <v>1402760</v>
      </c>
      <c r="G5963" s="1413" t="n">
        <v>0.1</v>
      </c>
      <c r="H5963" s="547" t="n">
        <f aca="false">E5963*F5963*G5963</f>
        <v>841656</v>
      </c>
      <c r="I5963" s="547" t="n">
        <f aca="false">F5963-H5963</f>
        <v>561104</v>
      </c>
      <c r="J5963" s="547" t="n">
        <f aca="false">F5963*G5963</f>
        <v>140276</v>
      </c>
      <c r="K5963" s="547" t="n">
        <f aca="false">J5963/1764</f>
        <v>79.5215419501134</v>
      </c>
      <c r="L5963" s="547" t="n">
        <v>10</v>
      </c>
      <c r="M5963" s="819" t="n">
        <f aca="false">K5963*L5963/60</f>
        <v>13.2535903250189</v>
      </c>
    </row>
    <row r="5964" s="1600" customFormat="true" ht="15" hidden="false" customHeight="false" outlineLevel="0" collapsed="false">
      <c r="A5964" s="1352"/>
      <c r="B5964" s="972" t="s">
        <v>4128</v>
      </c>
      <c r="C5964" s="1612"/>
      <c r="D5964" s="547"/>
      <c r="E5964" s="547"/>
      <c r="F5964" s="685"/>
      <c r="G5964" s="1413"/>
      <c r="H5964" s="547"/>
      <c r="I5964" s="547"/>
      <c r="J5964" s="547"/>
      <c r="K5964" s="547"/>
      <c r="L5964" s="714" t="n">
        <f aca="false">SUM(L5960:L5963)</f>
        <v>30</v>
      </c>
      <c r="M5964" s="934" t="n">
        <f aca="false">SUM(M5960:M5963)</f>
        <v>35.245275888133</v>
      </c>
    </row>
    <row r="5965" s="1600" customFormat="true" ht="15" hidden="false" customHeight="false" outlineLevel="0" collapsed="false">
      <c r="A5965" s="1601" t="s">
        <v>6841</v>
      </c>
      <c r="B5965" s="1156" t="s">
        <v>6842</v>
      </c>
      <c r="C5965" s="1180"/>
      <c r="D5965" s="1602"/>
      <c r="E5965" s="1602"/>
      <c r="F5965" s="1603"/>
      <c r="G5965" s="1602"/>
      <c r="H5965" s="1602"/>
      <c r="I5965" s="1603"/>
      <c r="J5965" s="1602"/>
      <c r="K5965" s="1602"/>
      <c r="L5965" s="1610"/>
      <c r="M5965" s="1604" t="n">
        <f aca="false">M5970</f>
        <v>36.1806500377929</v>
      </c>
    </row>
    <row r="5966" s="1600" customFormat="true" ht="15" hidden="false" customHeight="false" outlineLevel="0" collapsed="false">
      <c r="A5966" s="1352"/>
      <c r="B5966" s="1605"/>
      <c r="C5966" s="29" t="s">
        <v>7330</v>
      </c>
      <c r="D5966" s="547" t="n">
        <v>2009</v>
      </c>
      <c r="E5966" s="547" t="n">
        <f aca="false">2015-D5966</f>
        <v>6</v>
      </c>
      <c r="F5966" s="547" t="n">
        <v>2030000</v>
      </c>
      <c r="G5966" s="1413" t="n">
        <v>0.1</v>
      </c>
      <c r="H5966" s="547" t="n">
        <f aca="false">E5966*F5966*G5966</f>
        <v>1218000</v>
      </c>
      <c r="I5966" s="547" t="n">
        <f aca="false">F5966-H5966</f>
        <v>812000</v>
      </c>
      <c r="J5966" s="547" t="n">
        <f aca="false">F5966*G5966</f>
        <v>203000</v>
      </c>
      <c r="K5966" s="547" t="n">
        <f aca="false">J5966/1764</f>
        <v>115.079365079365</v>
      </c>
      <c r="L5966" s="547" t="n">
        <v>10</v>
      </c>
      <c r="M5966" s="819" t="n">
        <f aca="false">K5966*L5966/60</f>
        <v>19.1798941798942</v>
      </c>
    </row>
    <row r="5967" s="1600" customFormat="true" ht="15" hidden="false" customHeight="false" outlineLevel="0" collapsed="false">
      <c r="A5967" s="1352"/>
      <c r="B5967" s="1605"/>
      <c r="C5967" s="29" t="s">
        <v>7256</v>
      </c>
      <c r="D5967" s="547" t="n">
        <v>2008</v>
      </c>
      <c r="E5967" s="547" t="n">
        <f aca="false">2015-D5967</f>
        <v>7</v>
      </c>
      <c r="F5967" s="547" t="n">
        <v>397200</v>
      </c>
      <c r="G5967" s="1413" t="n">
        <v>0.1</v>
      </c>
      <c r="H5967" s="547" t="n">
        <f aca="false">E5967*F5967*G5967</f>
        <v>278040</v>
      </c>
      <c r="I5967" s="547" t="n">
        <f aca="false">F5967-H5967</f>
        <v>119160</v>
      </c>
      <c r="J5967" s="547" t="n">
        <f aca="false">F5967*G5967</f>
        <v>39720</v>
      </c>
      <c r="K5967" s="547" t="n">
        <f aca="false">J5967/1764</f>
        <v>22.5170068027211</v>
      </c>
      <c r="L5967" s="547" t="n">
        <v>5</v>
      </c>
      <c r="M5967" s="819" t="n">
        <f aca="false">K5967*L5967/60</f>
        <v>1.87641723356009</v>
      </c>
    </row>
    <row r="5968" s="1600" customFormat="true" ht="15" hidden="false" customHeight="false" outlineLevel="0" collapsed="false">
      <c r="A5968" s="1352"/>
      <c r="B5968" s="1605"/>
      <c r="C5968" s="29" t="s">
        <v>7331</v>
      </c>
      <c r="D5968" s="547" t="n">
        <v>2004</v>
      </c>
      <c r="E5968" s="547" t="n">
        <f aca="false">2015-D5968</f>
        <v>11</v>
      </c>
      <c r="F5968" s="547" t="n">
        <v>198000</v>
      </c>
      <c r="G5968" s="1413" t="n">
        <v>0.1</v>
      </c>
      <c r="H5968" s="547" t="n">
        <f aca="false">E5968*F5968*G5968</f>
        <v>217800</v>
      </c>
      <c r="I5968" s="547" t="n">
        <f aca="false">H5968</f>
        <v>217800</v>
      </c>
      <c r="J5968" s="547" t="n">
        <f aca="false">F5968*G5968</f>
        <v>19800</v>
      </c>
      <c r="K5968" s="547" t="n">
        <f aca="false">J5968/1764</f>
        <v>11.2244897959184</v>
      </c>
      <c r="L5968" s="547" t="n">
        <v>10</v>
      </c>
      <c r="M5968" s="819" t="n">
        <f aca="false">K5968*L5968/60</f>
        <v>1.87074829931973</v>
      </c>
    </row>
    <row r="5969" s="1600" customFormat="true" ht="15" hidden="false" customHeight="false" outlineLevel="0" collapsed="false">
      <c r="A5969" s="1352"/>
      <c r="B5969" s="1605"/>
      <c r="C5969" s="29" t="s">
        <v>7325</v>
      </c>
      <c r="D5969" s="547" t="n">
        <v>2009</v>
      </c>
      <c r="E5969" s="547" t="n">
        <f aca="false">2015-D5969</f>
        <v>6</v>
      </c>
      <c r="F5969" s="547" t="n">
        <v>1402760</v>
      </c>
      <c r="G5969" s="1413" t="n">
        <v>0.1</v>
      </c>
      <c r="H5969" s="547" t="n">
        <f aca="false">E5969*F5969*G5969</f>
        <v>841656</v>
      </c>
      <c r="I5969" s="547" t="n">
        <f aca="false">F5969-H5969</f>
        <v>561104</v>
      </c>
      <c r="J5969" s="547" t="n">
        <f aca="false">F5969*G5969</f>
        <v>140276</v>
      </c>
      <c r="K5969" s="547" t="n">
        <f aca="false">J5969/1764</f>
        <v>79.5215419501134</v>
      </c>
      <c r="L5969" s="547" t="n">
        <v>10</v>
      </c>
      <c r="M5969" s="819" t="n">
        <f aca="false">K5969*L5969/60</f>
        <v>13.2535903250189</v>
      </c>
    </row>
    <row r="5970" s="1600" customFormat="true" ht="15" hidden="false" customHeight="false" outlineLevel="0" collapsed="false">
      <c r="A5970" s="1352"/>
      <c r="B5970" s="972" t="s">
        <v>4128</v>
      </c>
      <c r="C5970" s="1608"/>
      <c r="D5970" s="547"/>
      <c r="E5970" s="547"/>
      <c r="F5970" s="547"/>
      <c r="G5970" s="1413"/>
      <c r="H5970" s="547"/>
      <c r="I5970" s="547"/>
      <c r="J5970" s="547"/>
      <c r="K5970" s="547"/>
      <c r="L5970" s="714" t="n">
        <f aca="false">SUM(L5966:L5969)</f>
        <v>35</v>
      </c>
      <c r="M5970" s="934" t="n">
        <f aca="false">SUM(M5966:M5969)</f>
        <v>36.1806500377929</v>
      </c>
    </row>
    <row r="5971" s="1600" customFormat="true" ht="28.5" hidden="false" customHeight="false" outlineLevel="0" collapsed="false">
      <c r="A5971" s="1601" t="s">
        <v>6850</v>
      </c>
      <c r="B5971" s="1156" t="s">
        <v>6851</v>
      </c>
      <c r="C5971" s="1180" t="n">
        <f aca="false">'[3]Норма времени'!C5806</f>
        <v>0</v>
      </c>
      <c r="D5971" s="1602"/>
      <c r="E5971" s="1602"/>
      <c r="F5971" s="1603"/>
      <c r="G5971" s="1602"/>
      <c r="H5971" s="1602"/>
      <c r="I5971" s="1603"/>
      <c r="J5971" s="1602"/>
      <c r="K5971" s="1602"/>
      <c r="L5971" s="1610"/>
      <c r="M5971" s="1604"/>
    </row>
    <row r="5972" s="1600" customFormat="true" ht="57" hidden="false" customHeight="false" outlineLevel="0" collapsed="false">
      <c r="A5972" s="1601" t="s">
        <v>6852</v>
      </c>
      <c r="B5972" s="1156" t="s">
        <v>6853</v>
      </c>
      <c r="C5972" s="1180" t="n">
        <f aca="false">'[3]Норма времени'!C5807</f>
        <v>0</v>
      </c>
      <c r="D5972" s="1602"/>
      <c r="E5972" s="1602"/>
      <c r="F5972" s="1603"/>
      <c r="G5972" s="1602"/>
      <c r="H5972" s="1602"/>
      <c r="I5972" s="1603"/>
      <c r="J5972" s="1602"/>
      <c r="K5972" s="1602"/>
      <c r="L5972" s="1610"/>
      <c r="M5972" s="1604"/>
    </row>
    <row r="5973" s="1600" customFormat="true" ht="28.5" hidden="false" customHeight="false" outlineLevel="0" collapsed="false">
      <c r="A5973" s="1601" t="s">
        <v>6854</v>
      </c>
      <c r="B5973" s="1156" t="s">
        <v>6855</v>
      </c>
      <c r="C5973" s="1180"/>
      <c r="D5973" s="1602"/>
      <c r="E5973" s="1602"/>
      <c r="F5973" s="1603"/>
      <c r="G5973" s="1602"/>
      <c r="H5973" s="1602"/>
      <c r="I5973" s="1603"/>
      <c r="J5973" s="1602"/>
      <c r="K5973" s="1602"/>
      <c r="L5973" s="1610"/>
      <c r="M5973" s="1604" t="n">
        <f aca="false">M5984</f>
        <v>480.306018518519</v>
      </c>
    </row>
    <row r="5974" s="1600" customFormat="true" ht="15" hidden="false" customHeight="false" outlineLevel="0" collapsed="false">
      <c r="A5974" s="1184"/>
      <c r="B5974" s="1606" t="s">
        <v>6856</v>
      </c>
      <c r="C5974" s="29" t="s">
        <v>7310</v>
      </c>
      <c r="D5974" s="547" t="n">
        <v>2004</v>
      </c>
      <c r="E5974" s="547" t="n">
        <v>6</v>
      </c>
      <c r="F5974" s="547" t="n">
        <v>40572</v>
      </c>
      <c r="G5974" s="1413" t="n">
        <v>0.1</v>
      </c>
      <c r="H5974" s="547" t="n">
        <f aca="false">E5974*F5974*G5974</f>
        <v>24343.2</v>
      </c>
      <c r="I5974" s="547" t="n">
        <f aca="false">F5974-H5974</f>
        <v>16228.8</v>
      </c>
      <c r="J5974" s="547" t="n">
        <f aca="false">F5974*G5974</f>
        <v>4057.2</v>
      </c>
      <c r="K5974" s="547" t="n">
        <f aca="false">J5974/1764</f>
        <v>2.3</v>
      </c>
      <c r="L5974" s="547" t="n">
        <v>1440</v>
      </c>
      <c r="M5974" s="819" t="n">
        <f aca="false">K5974*L5974/60</f>
        <v>55.2</v>
      </c>
    </row>
    <row r="5975" s="1600" customFormat="true" ht="15" hidden="false" customHeight="false" outlineLevel="0" collapsed="false">
      <c r="A5975" s="1184"/>
      <c r="B5975" s="1606"/>
      <c r="C5975" s="29" t="s">
        <v>7311</v>
      </c>
      <c r="D5975" s="547" t="n">
        <v>2006</v>
      </c>
      <c r="E5975" s="547" t="n">
        <v>4</v>
      </c>
      <c r="F5975" s="547" t="n">
        <v>55500</v>
      </c>
      <c r="G5975" s="1413" t="n">
        <v>0.1</v>
      </c>
      <c r="H5975" s="547" t="n">
        <f aca="false">E5975*F5975*G5975</f>
        <v>22200</v>
      </c>
      <c r="I5975" s="547" t="n">
        <f aca="false">F5975-H5975</f>
        <v>33300</v>
      </c>
      <c r="J5975" s="547" t="n">
        <f aca="false">F5975*G5975</f>
        <v>5550</v>
      </c>
      <c r="K5975" s="547" t="n">
        <f aca="false">J5975/1764</f>
        <v>3.14625850340136</v>
      </c>
      <c r="L5975" s="547" t="n">
        <v>10</v>
      </c>
      <c r="M5975" s="819" t="n">
        <f aca="false">K5975*L5975/60</f>
        <v>0.52437641723356</v>
      </c>
    </row>
    <row r="5976" s="1600" customFormat="true" ht="15" hidden="false" customHeight="false" outlineLevel="0" collapsed="false">
      <c r="A5976" s="1184"/>
      <c r="B5976" s="1606"/>
      <c r="C5976" s="29" t="s">
        <v>7251</v>
      </c>
      <c r="D5976" s="547" t="n">
        <v>2005</v>
      </c>
      <c r="E5976" s="547" t="n">
        <v>5</v>
      </c>
      <c r="F5976" s="547" t="n">
        <v>1638000</v>
      </c>
      <c r="G5976" s="1413" t="n">
        <v>0.1</v>
      </c>
      <c r="H5976" s="547" t="n">
        <f aca="false">E5976*F5976*G5976</f>
        <v>819000</v>
      </c>
      <c r="I5976" s="547" t="n">
        <f aca="false">F5976-H5976</f>
        <v>819000</v>
      </c>
      <c r="J5976" s="547" t="n">
        <f aca="false">F5976*G5976</f>
        <v>163800</v>
      </c>
      <c r="K5976" s="547" t="n">
        <f aca="false">J5976/1764</f>
        <v>92.8571428571429</v>
      </c>
      <c r="L5976" s="547" t="n">
        <v>80</v>
      </c>
      <c r="M5976" s="819" t="n">
        <f aca="false">K5976*L5976/60</f>
        <v>123.809523809524</v>
      </c>
    </row>
    <row r="5977" s="1600" customFormat="true" ht="15" hidden="false" customHeight="false" outlineLevel="0" collapsed="false">
      <c r="A5977" s="1184"/>
      <c r="B5977" s="1606"/>
      <c r="C5977" s="29" t="s">
        <v>7312</v>
      </c>
      <c r="D5977" s="547" t="n">
        <v>2005</v>
      </c>
      <c r="E5977" s="547" t="n">
        <v>5</v>
      </c>
      <c r="F5977" s="547" t="n">
        <v>12190000</v>
      </c>
      <c r="G5977" s="1413" t="n">
        <v>0.1</v>
      </c>
      <c r="H5977" s="547" t="n">
        <f aca="false">E5977*F5977*G5977</f>
        <v>6095000</v>
      </c>
      <c r="I5977" s="547" t="n">
        <f aca="false">F5977-H5977</f>
        <v>6095000</v>
      </c>
      <c r="J5977" s="547" t="n">
        <f aca="false">F5977*G5977</f>
        <v>1219000</v>
      </c>
      <c r="K5977" s="547" t="n">
        <f aca="false">J5977/1764</f>
        <v>691.043083900227</v>
      </c>
      <c r="L5977" s="547" t="n">
        <v>20</v>
      </c>
      <c r="M5977" s="819" t="n">
        <f aca="false">K5977*L5977/60</f>
        <v>230.347694633409</v>
      </c>
    </row>
    <row r="5978" s="1600" customFormat="true" ht="15" hidden="false" customHeight="false" outlineLevel="0" collapsed="false">
      <c r="A5978" s="1184"/>
      <c r="B5978" s="1606"/>
      <c r="C5978" s="29" t="s">
        <v>7313</v>
      </c>
      <c r="D5978" s="547" t="n">
        <v>2004</v>
      </c>
      <c r="E5978" s="547" t="n">
        <v>6</v>
      </c>
      <c r="F5978" s="547" t="n">
        <v>196670</v>
      </c>
      <c r="G5978" s="1413" t="n">
        <v>0.1</v>
      </c>
      <c r="H5978" s="547" t="n">
        <f aca="false">E5978*F5978*G5978</f>
        <v>118002</v>
      </c>
      <c r="I5978" s="547" t="n">
        <f aca="false">F5978-H5978</f>
        <v>78668</v>
      </c>
      <c r="J5978" s="547" t="n">
        <f aca="false">F5978*G5978</f>
        <v>19667</v>
      </c>
      <c r="K5978" s="547" t="n">
        <f aca="false">J5978/1764</f>
        <v>11.1490929705215</v>
      </c>
      <c r="L5978" s="547" t="n">
        <v>15</v>
      </c>
      <c r="M5978" s="819" t="n">
        <f aca="false">K5978*L5978/60</f>
        <v>2.78727324263039</v>
      </c>
    </row>
    <row r="5979" s="1600" customFormat="true" ht="15" hidden="false" customHeight="false" outlineLevel="0" collapsed="false">
      <c r="A5979" s="1352"/>
      <c r="B5979" s="1605"/>
      <c r="C5979" s="29" t="s">
        <v>6976</v>
      </c>
      <c r="D5979" s="547" t="n">
        <v>2005</v>
      </c>
      <c r="E5979" s="547" t="n">
        <v>5</v>
      </c>
      <c r="F5979" s="547" t="n">
        <v>57600</v>
      </c>
      <c r="G5979" s="1413" t="n">
        <v>0.1</v>
      </c>
      <c r="H5979" s="547" t="n">
        <f aca="false">E5979*F5979*G5979</f>
        <v>28800</v>
      </c>
      <c r="I5979" s="547" t="n">
        <f aca="false">F5979-H5979</f>
        <v>28800</v>
      </c>
      <c r="J5979" s="547" t="n">
        <f aca="false">F5979*G5979</f>
        <v>5760</v>
      </c>
      <c r="K5979" s="547" t="n">
        <f aca="false">J5979/1764</f>
        <v>3.26530612244898</v>
      </c>
      <c r="L5979" s="547" t="n">
        <v>30</v>
      </c>
      <c r="M5979" s="819" t="n">
        <f aca="false">K5979*L5979/60</f>
        <v>1.63265306122449</v>
      </c>
    </row>
    <row r="5980" s="1600" customFormat="true" ht="15" hidden="false" customHeight="false" outlineLevel="0" collapsed="false">
      <c r="A5980" s="1352"/>
      <c r="B5980" s="1605"/>
      <c r="C5980" s="29" t="s">
        <v>7232</v>
      </c>
      <c r="D5980" s="547" t="n">
        <v>2006</v>
      </c>
      <c r="E5980" s="547" t="n">
        <v>4</v>
      </c>
      <c r="F5980" s="547" t="n">
        <v>442300</v>
      </c>
      <c r="G5980" s="1413" t="n">
        <v>0.1</v>
      </c>
      <c r="H5980" s="547" t="n">
        <f aca="false">E5980*F5980*G5980</f>
        <v>176920</v>
      </c>
      <c r="I5980" s="547" t="n">
        <f aca="false">F5980-H5980</f>
        <v>265380</v>
      </c>
      <c r="J5980" s="547" t="n">
        <f aca="false">F5980*G5980</f>
        <v>44230</v>
      </c>
      <c r="K5980" s="547" t="n">
        <f aca="false">J5980/1764</f>
        <v>25.0736961451247</v>
      </c>
      <c r="L5980" s="547" t="n">
        <v>30</v>
      </c>
      <c r="M5980" s="819" t="n">
        <f aca="false">K5980*L5980/60</f>
        <v>12.5368480725624</v>
      </c>
    </row>
    <row r="5981" s="1613" customFormat="true" ht="19.5" hidden="false" customHeight="true" outlineLevel="0" collapsed="false">
      <c r="A5981" s="1352"/>
      <c r="B5981" s="1605"/>
      <c r="C5981" s="29" t="s">
        <v>7233</v>
      </c>
      <c r="D5981" s="547" t="n">
        <v>2005</v>
      </c>
      <c r="E5981" s="547" t="n">
        <v>5</v>
      </c>
      <c r="F5981" s="547" t="n">
        <v>132000</v>
      </c>
      <c r="G5981" s="1413" t="n">
        <v>0.1</v>
      </c>
      <c r="H5981" s="547" t="n">
        <f aca="false">E5981*F5981*G5981</f>
        <v>66000</v>
      </c>
      <c r="I5981" s="547" t="n">
        <f aca="false">F5981-H5981</f>
        <v>66000</v>
      </c>
      <c r="J5981" s="547" t="n">
        <f aca="false">F5981*G5981</f>
        <v>13200</v>
      </c>
      <c r="K5981" s="547" t="n">
        <f aca="false">J5981/1764</f>
        <v>7.48299319727891</v>
      </c>
      <c r="L5981" s="547" t="n">
        <v>300</v>
      </c>
      <c r="M5981" s="819" t="n">
        <f aca="false">K5981*L5981/60</f>
        <v>37.4149659863946</v>
      </c>
    </row>
    <row r="5982" s="1613" customFormat="true" ht="18" hidden="false" customHeight="true" outlineLevel="0" collapsed="false">
      <c r="A5982" s="1352"/>
      <c r="B5982" s="1605"/>
      <c r="C5982" s="29" t="s">
        <v>7234</v>
      </c>
      <c r="D5982" s="547" t="n">
        <v>2007</v>
      </c>
      <c r="E5982" s="547" t="n">
        <v>3</v>
      </c>
      <c r="F5982" s="547" t="n">
        <v>769804</v>
      </c>
      <c r="G5982" s="1413" t="n">
        <v>0.1</v>
      </c>
      <c r="H5982" s="547" t="n">
        <f aca="false">E5982*F5982*G5982</f>
        <v>230941.2</v>
      </c>
      <c r="I5982" s="547" t="n">
        <f aca="false">F5982-H5982</f>
        <v>538862.8</v>
      </c>
      <c r="J5982" s="547" t="n">
        <f aca="false">F5982*G5982</f>
        <v>76980.4</v>
      </c>
      <c r="K5982" s="547" t="n">
        <f aca="false">J5982/1764</f>
        <v>43.6396825396825</v>
      </c>
      <c r="L5982" s="547" t="n">
        <v>20</v>
      </c>
      <c r="M5982" s="819" t="n">
        <f aca="false">K5982*L5982/60</f>
        <v>14.5465608465609</v>
      </c>
    </row>
    <row r="5983" s="1613" customFormat="true" ht="18" hidden="false" customHeight="true" outlineLevel="0" collapsed="false">
      <c r="A5983" s="1352"/>
      <c r="B5983" s="1605"/>
      <c r="C5983" s="29" t="s">
        <v>7235</v>
      </c>
      <c r="D5983" s="547" t="n">
        <v>2000</v>
      </c>
      <c r="E5983" s="547" t="n">
        <v>10</v>
      </c>
      <c r="F5983" s="547" t="n">
        <v>797040</v>
      </c>
      <c r="G5983" s="1413" t="n">
        <v>0.1</v>
      </c>
      <c r="H5983" s="547" t="n">
        <f aca="false">E5983*F5983*G5983</f>
        <v>797040</v>
      </c>
      <c r="I5983" s="547" t="n">
        <f aca="false">F5983-H5983</f>
        <v>0</v>
      </c>
      <c r="J5983" s="547" t="n">
        <f aca="false">F5983*G5983</f>
        <v>79704</v>
      </c>
      <c r="K5983" s="547" t="n">
        <f aca="false">J5983/1764</f>
        <v>45.1836734693878</v>
      </c>
      <c r="L5983" s="547" t="n">
        <v>2</v>
      </c>
      <c r="M5983" s="819" t="n">
        <f aca="false">K5983*L5983/60</f>
        <v>1.50612244897959</v>
      </c>
    </row>
    <row r="5984" s="1613" customFormat="true" ht="19.5" hidden="false" customHeight="true" outlineLevel="0" collapsed="false">
      <c r="A5984" s="1352"/>
      <c r="B5984" s="972" t="s">
        <v>4128</v>
      </c>
      <c r="C5984" s="547"/>
      <c r="D5984" s="317"/>
      <c r="E5984" s="317"/>
      <c r="F5984" s="429"/>
      <c r="G5984" s="317"/>
      <c r="H5984" s="317"/>
      <c r="I5984" s="429"/>
      <c r="J5984" s="317"/>
      <c r="K5984" s="317"/>
      <c r="L5984" s="714" t="n">
        <f aca="false">SUM(L5974:L5983)</f>
        <v>1947</v>
      </c>
      <c r="M5984" s="934" t="n">
        <f aca="false">SUM(M5974:M5983)</f>
        <v>480.306018518519</v>
      </c>
    </row>
    <row r="5985" s="1613" customFormat="true" ht="36.75" hidden="false" customHeight="true" outlineLevel="0" collapsed="false">
      <c r="A5985" s="1601" t="s">
        <v>6859</v>
      </c>
      <c r="B5985" s="1156" t="s">
        <v>6860</v>
      </c>
      <c r="C5985" s="1180" t="n">
        <f aca="false">'[3]Норма времени'!C5809</f>
        <v>0</v>
      </c>
      <c r="D5985" s="1602"/>
      <c r="E5985" s="1602"/>
      <c r="F5985" s="1603"/>
      <c r="G5985" s="1602"/>
      <c r="H5985" s="1602"/>
      <c r="I5985" s="1603"/>
      <c r="J5985" s="1602"/>
      <c r="K5985" s="1602"/>
      <c r="L5985" s="1610"/>
      <c r="M5985" s="1604"/>
    </row>
    <row r="5986" s="1613" customFormat="true" ht="59.25" hidden="false" customHeight="true" outlineLevel="0" collapsed="false">
      <c r="A5986" s="1601" t="s">
        <v>6861</v>
      </c>
      <c r="B5986" s="1156" t="s">
        <v>6862</v>
      </c>
      <c r="C5986" s="1180"/>
      <c r="D5986" s="1602"/>
      <c r="E5986" s="1602"/>
      <c r="F5986" s="1603"/>
      <c r="G5986" s="1602"/>
      <c r="H5986" s="1602"/>
      <c r="I5986" s="1603"/>
      <c r="J5986" s="1602"/>
      <c r="K5986" s="1602"/>
      <c r="L5986" s="1610"/>
      <c r="M5986" s="1604" t="n">
        <f aca="false">M5991+M5996+M6001+M6006</f>
        <v>1641.89850718065</v>
      </c>
    </row>
    <row r="5987" s="1613" customFormat="true" ht="55.5" hidden="false" customHeight="true" outlineLevel="0" collapsed="false">
      <c r="A5987" s="1614"/>
      <c r="B5987" s="1606" t="s">
        <v>6863</v>
      </c>
      <c r="C5987" s="29" t="s">
        <v>7332</v>
      </c>
      <c r="D5987" s="547" t="n">
        <v>2006</v>
      </c>
      <c r="E5987" s="547" t="n">
        <f aca="false">2015-D5987</f>
        <v>9</v>
      </c>
      <c r="F5987" s="547" t="n">
        <v>138575</v>
      </c>
      <c r="G5987" s="1444" t="n">
        <v>0.1</v>
      </c>
      <c r="H5987" s="1105" t="n">
        <f aca="false">E5987*F5987*G5987</f>
        <v>124717.5</v>
      </c>
      <c r="I5987" s="1105" t="n">
        <f aca="false">F5987-H5987</f>
        <v>13857.5</v>
      </c>
      <c r="J5987" s="1105" t="n">
        <f aca="false">F5987*G5987</f>
        <v>13857.5</v>
      </c>
      <c r="K5987" s="1105" t="n">
        <f aca="false">J5987/1764</f>
        <v>7.85572562358277</v>
      </c>
      <c r="L5987" s="547" t="n">
        <v>10</v>
      </c>
      <c r="M5987" s="865" t="n">
        <f aca="false">K5987*L5987/60</f>
        <v>1.30928760393046</v>
      </c>
    </row>
    <row r="5988" s="1613" customFormat="true" ht="19.5" hidden="false" customHeight="true" outlineLevel="0" collapsed="false">
      <c r="A5988" s="1614"/>
      <c r="B5988" s="1606"/>
      <c r="C5988" s="29" t="s">
        <v>7313</v>
      </c>
      <c r="D5988" s="547" t="n">
        <v>2007</v>
      </c>
      <c r="E5988" s="547" t="n">
        <f aca="false">2015-D5988</f>
        <v>8</v>
      </c>
      <c r="F5988" s="547" t="n">
        <v>61985</v>
      </c>
      <c r="G5988" s="1444" t="n">
        <v>0.1</v>
      </c>
      <c r="H5988" s="1105" t="n">
        <f aca="false">E5988*F5988*G5988</f>
        <v>49588</v>
      </c>
      <c r="I5988" s="1105" t="n">
        <f aca="false">F5988-H5988</f>
        <v>12397</v>
      </c>
      <c r="J5988" s="1105" t="n">
        <f aca="false">F5988*G5988</f>
        <v>6198.5</v>
      </c>
      <c r="K5988" s="1105" t="n">
        <f aca="false">J5988/1764</f>
        <v>3.51388888888889</v>
      </c>
      <c r="L5988" s="547" t="n">
        <v>15</v>
      </c>
      <c r="M5988" s="865" t="n">
        <f aca="false">K5988*L5988/60</f>
        <v>0.878472222222222</v>
      </c>
    </row>
    <row r="5989" s="1613" customFormat="true" ht="19.5" hidden="false" customHeight="true" outlineLevel="0" collapsed="false">
      <c r="A5989" s="1614"/>
      <c r="B5989" s="1606"/>
      <c r="C5989" s="29" t="s">
        <v>7333</v>
      </c>
      <c r="D5989" s="547" t="n">
        <v>2005</v>
      </c>
      <c r="E5989" s="547" t="n">
        <f aca="false">2015-D5989</f>
        <v>10</v>
      </c>
      <c r="F5989" s="547" t="n">
        <v>345000</v>
      </c>
      <c r="G5989" s="1444" t="n">
        <v>0.1</v>
      </c>
      <c r="H5989" s="1105" t="n">
        <f aca="false">E5989*F5989*G5989</f>
        <v>345000</v>
      </c>
      <c r="I5989" s="1105" t="n">
        <f aca="false">H5989</f>
        <v>345000</v>
      </c>
      <c r="J5989" s="1105" t="n">
        <f aca="false">F5989*G5989</f>
        <v>34500</v>
      </c>
      <c r="K5989" s="1105" t="n">
        <f aca="false">J5989/1764</f>
        <v>19.5578231292517</v>
      </c>
      <c r="L5989" s="547" t="n">
        <v>20</v>
      </c>
      <c r="M5989" s="865" t="n">
        <f aca="false">K5989*L5989/60</f>
        <v>6.51927437641723</v>
      </c>
    </row>
    <row r="5990" s="1613" customFormat="true" ht="19.5" hidden="false" customHeight="true" outlineLevel="0" collapsed="false">
      <c r="A5990" s="1614"/>
      <c r="B5990" s="1606"/>
      <c r="C5990" s="29" t="s">
        <v>7334</v>
      </c>
      <c r="D5990" s="547" t="n">
        <v>2007</v>
      </c>
      <c r="E5990" s="547" t="n">
        <f aca="false">2015-D5990</f>
        <v>8</v>
      </c>
      <c r="F5990" s="547" t="n">
        <v>10950000</v>
      </c>
      <c r="G5990" s="1444" t="n">
        <v>0.1</v>
      </c>
      <c r="H5990" s="1105" t="n">
        <f aca="false">E5990*F5990*G5990</f>
        <v>8760000</v>
      </c>
      <c r="I5990" s="1105" t="n">
        <f aca="false">F5990-H5990</f>
        <v>2190000</v>
      </c>
      <c r="J5990" s="1105" t="n">
        <f aca="false">F5990*G5990</f>
        <v>1095000</v>
      </c>
      <c r="K5990" s="1105" t="n">
        <f aca="false">J5990/1764</f>
        <v>620.748299319728</v>
      </c>
      <c r="L5990" s="547" t="n">
        <v>60</v>
      </c>
      <c r="M5990" s="865" t="n">
        <f aca="false">K5990*L5990/60</f>
        <v>620.748299319728</v>
      </c>
    </row>
    <row r="5991" s="1613" customFormat="true" ht="19.5" hidden="false" customHeight="true" outlineLevel="0" collapsed="false">
      <c r="A5991" s="1614"/>
      <c r="B5991" s="972" t="s">
        <v>4128</v>
      </c>
      <c r="C5991" s="29"/>
      <c r="D5991" s="547"/>
      <c r="E5991" s="547"/>
      <c r="F5991" s="547"/>
      <c r="G5991" s="1444"/>
      <c r="H5991" s="1105"/>
      <c r="I5991" s="1105"/>
      <c r="J5991" s="1105"/>
      <c r="K5991" s="1105"/>
      <c r="L5991" s="714" t="n">
        <f aca="false">SUM(L5987:L5990)</f>
        <v>105</v>
      </c>
      <c r="M5991" s="1558" t="n">
        <f aca="false">SUM(M5987:M5990)</f>
        <v>629.455333522298</v>
      </c>
    </row>
    <row r="5992" s="1613" customFormat="true" ht="45" hidden="false" customHeight="true" outlineLevel="0" collapsed="false">
      <c r="A5992" s="1614"/>
      <c r="B5992" s="1606" t="s">
        <v>6871</v>
      </c>
      <c r="C5992" s="29" t="s">
        <v>7335</v>
      </c>
      <c r="D5992" s="547" t="n">
        <v>2006</v>
      </c>
      <c r="E5992" s="547" t="n">
        <f aca="false">2015-D5992</f>
        <v>9</v>
      </c>
      <c r="F5992" s="547" t="n">
        <v>133722</v>
      </c>
      <c r="G5992" s="1444" t="n">
        <v>0.1</v>
      </c>
      <c r="H5992" s="1105" t="n">
        <f aca="false">E5992*F5992*G5992</f>
        <v>120349.8</v>
      </c>
      <c r="I5992" s="1105" t="n">
        <f aca="false">F5992-H5992</f>
        <v>13372.2</v>
      </c>
      <c r="J5992" s="1105" t="n">
        <f aca="false">F5992*G5992</f>
        <v>13372.2</v>
      </c>
      <c r="K5992" s="1105" t="n">
        <f aca="false">J5992/1764</f>
        <v>7.58061224489796</v>
      </c>
      <c r="L5992" s="547" t="n">
        <v>20</v>
      </c>
      <c r="M5992" s="865" t="n">
        <f aca="false">K5992*L5992/60</f>
        <v>2.52687074829932</v>
      </c>
    </row>
    <row r="5993" s="1613" customFormat="true" ht="19.5" hidden="false" customHeight="true" outlineLevel="0" collapsed="false">
      <c r="A5993" s="1614"/>
      <c r="B5993" s="1606"/>
      <c r="C5993" s="29" t="s">
        <v>7336</v>
      </c>
      <c r="D5993" s="547" t="n">
        <v>2007</v>
      </c>
      <c r="E5993" s="547" t="n">
        <f aca="false">2015-D5993</f>
        <v>8</v>
      </c>
      <c r="F5993" s="547" t="n">
        <v>61985</v>
      </c>
      <c r="G5993" s="1444" t="n">
        <v>0.1</v>
      </c>
      <c r="H5993" s="1105" t="n">
        <f aca="false">E5993*F5993*G5993</f>
        <v>49588</v>
      </c>
      <c r="I5993" s="1105" t="n">
        <f aca="false">F5993-H5993</f>
        <v>12397</v>
      </c>
      <c r="J5993" s="1105" t="n">
        <f aca="false">F5993*G5993</f>
        <v>6198.5</v>
      </c>
      <c r="K5993" s="1105" t="n">
        <f aca="false">J5993/1764</f>
        <v>3.51388888888889</v>
      </c>
      <c r="L5993" s="547" t="n">
        <v>15</v>
      </c>
      <c r="M5993" s="865" t="n">
        <f aca="false">K5993*L5993/60</f>
        <v>0.878472222222222</v>
      </c>
    </row>
    <row r="5994" s="1613" customFormat="true" ht="19.5" hidden="false" customHeight="true" outlineLevel="0" collapsed="false">
      <c r="A5994" s="1614"/>
      <c r="B5994" s="1606"/>
      <c r="C5994" s="29" t="s">
        <v>7332</v>
      </c>
      <c r="D5994" s="547" t="n">
        <v>2006</v>
      </c>
      <c r="E5994" s="547" t="n">
        <f aca="false">2015-D5994</f>
        <v>9</v>
      </c>
      <c r="F5994" s="547" t="n">
        <v>138575</v>
      </c>
      <c r="G5994" s="1444" t="n">
        <v>0.1</v>
      </c>
      <c r="H5994" s="1105" t="n">
        <f aca="false">E5994*F5994*G5994</f>
        <v>124717.5</v>
      </c>
      <c r="I5994" s="1105" t="n">
        <f aca="false">F5994-H5994</f>
        <v>13857.5</v>
      </c>
      <c r="J5994" s="1105" t="n">
        <f aca="false">F5994*G5994</f>
        <v>13857.5</v>
      </c>
      <c r="K5994" s="1105" t="n">
        <f aca="false">J5994/1764</f>
        <v>7.85572562358277</v>
      </c>
      <c r="L5994" s="547" t="n">
        <v>10</v>
      </c>
      <c r="M5994" s="865" t="n">
        <f aca="false">K5994*L5994/60</f>
        <v>1.30928760393046</v>
      </c>
    </row>
    <row r="5995" s="1613" customFormat="true" ht="19.5" hidden="false" customHeight="true" outlineLevel="0" collapsed="false">
      <c r="A5995" s="1614"/>
      <c r="B5995" s="1606"/>
      <c r="C5995" s="29" t="s">
        <v>7337</v>
      </c>
      <c r="D5995" s="547" t="n">
        <v>2003</v>
      </c>
      <c r="E5995" s="547" t="n">
        <f aca="false">2015-D5995</f>
        <v>12</v>
      </c>
      <c r="F5995" s="547" t="n">
        <v>2471090</v>
      </c>
      <c r="G5995" s="1444" t="n">
        <v>0.1</v>
      </c>
      <c r="H5995" s="1105" t="n">
        <f aca="false">E5995*F5995*G5995</f>
        <v>2965308</v>
      </c>
      <c r="I5995" s="1105" t="n">
        <f aca="false">H5995</f>
        <v>2965308</v>
      </c>
      <c r="J5995" s="1105" t="n">
        <f aca="false">F5995*G5995</f>
        <v>247109</v>
      </c>
      <c r="K5995" s="1105" t="n">
        <f aca="false">J5995/1764</f>
        <v>140.084467120181</v>
      </c>
      <c r="L5995" s="547" t="n">
        <v>80</v>
      </c>
      <c r="M5995" s="865" t="n">
        <f aca="false">K5995*L5995/60</f>
        <v>186.779289493575</v>
      </c>
    </row>
    <row r="5996" s="1613" customFormat="true" ht="19.5" hidden="false" customHeight="true" outlineLevel="0" collapsed="false">
      <c r="A5996" s="1614"/>
      <c r="B5996" s="972" t="s">
        <v>4128</v>
      </c>
      <c r="C5996" s="29"/>
      <c r="D5996" s="547"/>
      <c r="E5996" s="547"/>
      <c r="F5996" s="547"/>
      <c r="G5996" s="1444"/>
      <c r="H5996" s="1105"/>
      <c r="I5996" s="1105"/>
      <c r="J5996" s="1105"/>
      <c r="K5996" s="1105"/>
      <c r="L5996" s="714" t="n">
        <f aca="false">SUM(L5992:L5995)</f>
        <v>125</v>
      </c>
      <c r="M5996" s="1558" t="n">
        <f aca="false">SUM(M5992:M5995)</f>
        <v>191.493920068027</v>
      </c>
    </row>
    <row r="5997" s="1613" customFormat="true" ht="33.75" hidden="false" customHeight="true" outlineLevel="0" collapsed="false">
      <c r="A5997" s="1614"/>
      <c r="B5997" s="1606" t="s">
        <v>6877</v>
      </c>
      <c r="C5997" s="29" t="s">
        <v>7335</v>
      </c>
      <c r="D5997" s="547" t="n">
        <v>2006</v>
      </c>
      <c r="E5997" s="547" t="n">
        <f aca="false">2015-D5997</f>
        <v>9</v>
      </c>
      <c r="F5997" s="547" t="n">
        <v>133722</v>
      </c>
      <c r="G5997" s="1444" t="n">
        <v>0.1</v>
      </c>
      <c r="H5997" s="1105" t="n">
        <f aca="false">E5997*F5997*G5997</f>
        <v>120349.8</v>
      </c>
      <c r="I5997" s="1105" t="n">
        <f aca="false">F5997-H5997</f>
        <v>13372.2</v>
      </c>
      <c r="J5997" s="1105" t="n">
        <f aca="false">F5997*G5997</f>
        <v>13372.2</v>
      </c>
      <c r="K5997" s="1105" t="n">
        <f aca="false">J5997/1764</f>
        <v>7.58061224489796</v>
      </c>
      <c r="L5997" s="547" t="n">
        <v>20</v>
      </c>
      <c r="M5997" s="865" t="n">
        <f aca="false">K5997*L5997/60</f>
        <v>2.52687074829932</v>
      </c>
    </row>
    <row r="5998" s="1613" customFormat="true" ht="19.5" hidden="false" customHeight="true" outlineLevel="0" collapsed="false">
      <c r="A5998" s="1614"/>
      <c r="B5998" s="1606"/>
      <c r="C5998" s="29" t="s">
        <v>7336</v>
      </c>
      <c r="D5998" s="547" t="n">
        <v>2007</v>
      </c>
      <c r="E5998" s="547" t="n">
        <f aca="false">2015-D5998</f>
        <v>8</v>
      </c>
      <c r="F5998" s="547" t="n">
        <v>61985</v>
      </c>
      <c r="G5998" s="1444" t="n">
        <v>0.1</v>
      </c>
      <c r="H5998" s="1105" t="n">
        <f aca="false">E5998*F5998*G5998</f>
        <v>49588</v>
      </c>
      <c r="I5998" s="1105" t="n">
        <f aca="false">F5998-H5998</f>
        <v>12397</v>
      </c>
      <c r="J5998" s="1105" t="n">
        <f aca="false">F5998*G5998</f>
        <v>6198.5</v>
      </c>
      <c r="K5998" s="1105" t="n">
        <f aca="false">J5998/1764</f>
        <v>3.51388888888889</v>
      </c>
      <c r="L5998" s="547" t="n">
        <v>15</v>
      </c>
      <c r="M5998" s="865" t="n">
        <f aca="false">K5998*L5998/60</f>
        <v>0.878472222222222</v>
      </c>
    </row>
    <row r="5999" s="1613" customFormat="true" ht="19.5" hidden="false" customHeight="true" outlineLevel="0" collapsed="false">
      <c r="A5999" s="1614"/>
      <c r="B5999" s="1606"/>
      <c r="C5999" s="29" t="s">
        <v>7332</v>
      </c>
      <c r="D5999" s="547" t="n">
        <v>2006</v>
      </c>
      <c r="E5999" s="547" t="n">
        <f aca="false">2015-D5999</f>
        <v>9</v>
      </c>
      <c r="F5999" s="547" t="n">
        <v>138575</v>
      </c>
      <c r="G5999" s="1444" t="n">
        <v>0.1</v>
      </c>
      <c r="H5999" s="1105" t="n">
        <f aca="false">E5999*F5999*G5999</f>
        <v>124717.5</v>
      </c>
      <c r="I5999" s="1105" t="n">
        <f aca="false">F5999-H5999</f>
        <v>13857.5</v>
      </c>
      <c r="J5999" s="1105" t="n">
        <f aca="false">F5999*G5999</f>
        <v>13857.5</v>
      </c>
      <c r="K5999" s="1105" t="n">
        <f aca="false">J5999/1764</f>
        <v>7.85572562358277</v>
      </c>
      <c r="L5999" s="547" t="n">
        <v>10</v>
      </c>
      <c r="M5999" s="865" t="n">
        <f aca="false">K5999*L5999/60</f>
        <v>1.30928760393046</v>
      </c>
    </row>
    <row r="6000" s="1613" customFormat="true" ht="19.5" hidden="false" customHeight="true" outlineLevel="0" collapsed="false">
      <c r="A6000" s="1614"/>
      <c r="B6000" s="1606"/>
      <c r="C6000" s="29" t="s">
        <v>7337</v>
      </c>
      <c r="D6000" s="547" t="n">
        <v>2003</v>
      </c>
      <c r="E6000" s="547" t="n">
        <f aca="false">2015-D6000</f>
        <v>12</v>
      </c>
      <c r="F6000" s="547" t="n">
        <v>2471090</v>
      </c>
      <c r="G6000" s="1444" t="n">
        <v>0.1</v>
      </c>
      <c r="H6000" s="1105" t="n">
        <f aca="false">E6000*F6000*G6000</f>
        <v>2965308</v>
      </c>
      <c r="I6000" s="1105" t="n">
        <f aca="false">H6000</f>
        <v>2965308</v>
      </c>
      <c r="J6000" s="1105" t="n">
        <f aca="false">F6000*G6000</f>
        <v>247109</v>
      </c>
      <c r="K6000" s="1105" t="n">
        <f aca="false">J6000/1764</f>
        <v>140.084467120181</v>
      </c>
      <c r="L6000" s="547" t="n">
        <v>80</v>
      </c>
      <c r="M6000" s="865" t="n">
        <f aca="false">K6000*L6000/60</f>
        <v>186.779289493575</v>
      </c>
    </row>
    <row r="6001" s="1613" customFormat="true" ht="19.5" hidden="false" customHeight="true" outlineLevel="0" collapsed="false">
      <c r="A6001" s="1614"/>
      <c r="B6001" s="972" t="s">
        <v>4128</v>
      </c>
      <c r="C6001" s="29"/>
      <c r="D6001" s="547"/>
      <c r="E6001" s="547"/>
      <c r="F6001" s="547"/>
      <c r="G6001" s="1444"/>
      <c r="H6001" s="1105"/>
      <c r="I6001" s="1105"/>
      <c r="J6001" s="1105"/>
      <c r="K6001" s="1105"/>
      <c r="L6001" s="714" t="n">
        <f aca="false">SUM(L5997:L6000)</f>
        <v>125</v>
      </c>
      <c r="M6001" s="1558" t="n">
        <f aca="false">SUM(M5997:M6000)</f>
        <v>191.493920068027</v>
      </c>
    </row>
    <row r="6002" s="1613" customFormat="true" ht="39" hidden="false" customHeight="true" outlineLevel="0" collapsed="false">
      <c r="A6002" s="1614"/>
      <c r="B6002" s="1606" t="s">
        <v>6880</v>
      </c>
      <c r="C6002" s="29" t="s">
        <v>7332</v>
      </c>
      <c r="D6002" s="547" t="n">
        <v>2006</v>
      </c>
      <c r="E6002" s="547" t="n">
        <f aca="false">2015-D6002</f>
        <v>9</v>
      </c>
      <c r="F6002" s="547" t="n">
        <v>138575</v>
      </c>
      <c r="G6002" s="1444" t="n">
        <v>0.1</v>
      </c>
      <c r="H6002" s="1105" t="n">
        <f aca="false">E6002*F6002*G6002</f>
        <v>124717.5</v>
      </c>
      <c r="I6002" s="1105" t="n">
        <f aca="false">F6002-H6002</f>
        <v>13857.5</v>
      </c>
      <c r="J6002" s="1105" t="n">
        <f aca="false">F6002*G6002</f>
        <v>13857.5</v>
      </c>
      <c r="K6002" s="1105" t="n">
        <f aca="false">J6002/1764</f>
        <v>7.85572562358277</v>
      </c>
      <c r="L6002" s="547" t="n">
        <v>10</v>
      </c>
      <c r="M6002" s="865" t="n">
        <f aca="false">K6002*L6002/60</f>
        <v>1.30928760393046</v>
      </c>
    </row>
    <row r="6003" s="1613" customFormat="true" ht="22.5" hidden="false" customHeight="true" outlineLevel="0" collapsed="false">
      <c r="A6003" s="1614"/>
      <c r="B6003" s="1606"/>
      <c r="C6003" s="29" t="s">
        <v>7313</v>
      </c>
      <c r="D6003" s="547" t="n">
        <v>2007</v>
      </c>
      <c r="E6003" s="547" t="n">
        <f aca="false">2015-D6003</f>
        <v>8</v>
      </c>
      <c r="F6003" s="547" t="n">
        <v>61985</v>
      </c>
      <c r="G6003" s="1444" t="n">
        <v>0.1</v>
      </c>
      <c r="H6003" s="1105" t="n">
        <f aca="false">E6003*F6003*G6003</f>
        <v>49588</v>
      </c>
      <c r="I6003" s="1105" t="n">
        <f aca="false">F6003-H6003</f>
        <v>12397</v>
      </c>
      <c r="J6003" s="1105" t="n">
        <f aca="false">F6003*G6003</f>
        <v>6198.5</v>
      </c>
      <c r="K6003" s="1105" t="n">
        <f aca="false">J6003/1764</f>
        <v>3.51388888888889</v>
      </c>
      <c r="L6003" s="547" t="n">
        <v>15</v>
      </c>
      <c r="M6003" s="865" t="n">
        <f aca="false">K6003*L6003/60</f>
        <v>0.878472222222222</v>
      </c>
    </row>
    <row r="6004" s="1613" customFormat="true" ht="22.5" hidden="false" customHeight="true" outlineLevel="0" collapsed="false">
      <c r="A6004" s="1614"/>
      <c r="B6004" s="1606"/>
      <c r="C6004" s="29" t="s">
        <v>7333</v>
      </c>
      <c r="D6004" s="547" t="n">
        <v>2005</v>
      </c>
      <c r="E6004" s="547" t="n">
        <f aca="false">2015-D6004</f>
        <v>10</v>
      </c>
      <c r="F6004" s="547" t="n">
        <v>345000</v>
      </c>
      <c r="G6004" s="1444" t="n">
        <v>0.1</v>
      </c>
      <c r="H6004" s="1105" t="n">
        <f aca="false">E6004*F6004*G6004</f>
        <v>345000</v>
      </c>
      <c r="I6004" s="1105" t="n">
        <f aca="false">H6004</f>
        <v>345000</v>
      </c>
      <c r="J6004" s="1105" t="n">
        <f aca="false">F6004*G6004</f>
        <v>34500</v>
      </c>
      <c r="K6004" s="1105" t="n">
        <f aca="false">J6004/1764</f>
        <v>19.5578231292517</v>
      </c>
      <c r="L6004" s="547" t="n">
        <v>20</v>
      </c>
      <c r="M6004" s="865" t="n">
        <f aca="false">K6004*L6004/60</f>
        <v>6.51927437641723</v>
      </c>
    </row>
    <row r="6005" s="1613" customFormat="true" ht="22.5" hidden="false" customHeight="true" outlineLevel="0" collapsed="false">
      <c r="A6005" s="1614"/>
      <c r="B6005" s="1606"/>
      <c r="C6005" s="29" t="s">
        <v>7334</v>
      </c>
      <c r="D6005" s="547" t="n">
        <v>2007</v>
      </c>
      <c r="E6005" s="547" t="n">
        <f aca="false">2015-D6005</f>
        <v>8</v>
      </c>
      <c r="F6005" s="547" t="n">
        <v>10950000</v>
      </c>
      <c r="G6005" s="1444" t="n">
        <v>0.1</v>
      </c>
      <c r="H6005" s="1105" t="n">
        <f aca="false">E6005*F6005*G6005</f>
        <v>8760000</v>
      </c>
      <c r="I6005" s="1105" t="n">
        <f aca="false">F6005-H6005</f>
        <v>2190000</v>
      </c>
      <c r="J6005" s="1105" t="n">
        <f aca="false">F6005*G6005</f>
        <v>1095000</v>
      </c>
      <c r="K6005" s="1105" t="n">
        <f aca="false">J6005/1764</f>
        <v>620.748299319728</v>
      </c>
      <c r="L6005" s="547" t="n">
        <v>60</v>
      </c>
      <c r="M6005" s="865" t="n">
        <f aca="false">K6005*L6005/60</f>
        <v>620.748299319728</v>
      </c>
    </row>
    <row r="6006" s="1613" customFormat="true" ht="19.5" hidden="false" customHeight="true" outlineLevel="0" collapsed="false">
      <c r="A6006" s="1614"/>
      <c r="B6006" s="972" t="s">
        <v>4128</v>
      </c>
      <c r="C6006" s="29"/>
      <c r="D6006" s="547"/>
      <c r="E6006" s="547"/>
      <c r="F6006" s="547"/>
      <c r="G6006" s="1444"/>
      <c r="H6006" s="1105"/>
      <c r="I6006" s="1105"/>
      <c r="J6006" s="1105"/>
      <c r="K6006" s="1105"/>
      <c r="L6006" s="714" t="n">
        <f aca="false">SUM(L6002:L6005)</f>
        <v>105</v>
      </c>
      <c r="M6006" s="1558" t="n">
        <f aca="false">SUM(M6002:M6005)</f>
        <v>629.455333522298</v>
      </c>
    </row>
    <row r="6007" s="1613" customFormat="true" ht="35.25" hidden="false" customHeight="true" outlineLevel="0" collapsed="false">
      <c r="A6007" s="1601" t="s">
        <v>6881</v>
      </c>
      <c r="B6007" s="1156" t="s">
        <v>6882</v>
      </c>
      <c r="C6007" s="1180"/>
      <c r="D6007" s="1602"/>
      <c r="E6007" s="1602"/>
      <c r="F6007" s="1603"/>
      <c r="G6007" s="1602"/>
      <c r="H6007" s="1602"/>
      <c r="I6007" s="1603"/>
      <c r="J6007" s="1602"/>
      <c r="K6007" s="1602"/>
      <c r="L6007" s="1610"/>
      <c r="M6007" s="1615" t="n">
        <v>0</v>
      </c>
    </row>
    <row r="6008" s="1613" customFormat="true" ht="18" hidden="false" customHeight="true" outlineLevel="0" collapsed="false">
      <c r="A6008" s="202" t="n">
        <v>18</v>
      </c>
      <c r="B6008" s="92" t="s">
        <v>4042</v>
      </c>
      <c r="C6008" s="93"/>
      <c r="D6008" s="92"/>
      <c r="E6008" s="93"/>
      <c r="F6008" s="92"/>
      <c r="G6008" s="93"/>
      <c r="H6008" s="92"/>
      <c r="I6008" s="93"/>
      <c r="J6008" s="92"/>
      <c r="K6008" s="93"/>
      <c r="L6008" s="92"/>
      <c r="M6008" s="93"/>
    </row>
    <row r="6009" s="1613" customFormat="true" ht="18" hidden="false" customHeight="true" outlineLevel="0" collapsed="false">
      <c r="A6009" s="142" t="s">
        <v>2644</v>
      </c>
      <c r="B6009" s="203" t="s">
        <v>4043</v>
      </c>
      <c r="C6009" s="424"/>
      <c r="D6009" s="149"/>
      <c r="E6009" s="424"/>
      <c r="F6009" s="149"/>
      <c r="G6009" s="424"/>
      <c r="H6009" s="149"/>
      <c r="I6009" s="424"/>
      <c r="J6009" s="149"/>
      <c r="K6009" s="424"/>
      <c r="L6009" s="149"/>
      <c r="M6009" s="149" t="n">
        <v>0</v>
      </c>
    </row>
    <row r="6010" s="1613" customFormat="true" ht="14.25" hidden="false" customHeight="true" outlineLevel="0" collapsed="false">
      <c r="A6010" s="142" t="s">
        <v>2646</v>
      </c>
      <c r="B6010" s="203" t="s">
        <v>4044</v>
      </c>
      <c r="C6010" s="424"/>
      <c r="D6010" s="149"/>
      <c r="E6010" s="424"/>
      <c r="F6010" s="149"/>
      <c r="G6010" s="424"/>
      <c r="H6010" s="149"/>
      <c r="I6010" s="424"/>
      <c r="J6010" s="149"/>
      <c r="K6010" s="424"/>
      <c r="L6010" s="149"/>
      <c r="M6010" s="149" t="n">
        <v>0</v>
      </c>
    </row>
    <row r="6011" s="1613" customFormat="true" ht="105.75" hidden="false" customHeight="true" outlineLevel="0" collapsed="false">
      <c r="A6011" s="142" t="s">
        <v>2648</v>
      </c>
      <c r="B6011" s="423" t="s">
        <v>4045</v>
      </c>
      <c r="C6011" s="424"/>
      <c r="D6011" s="424"/>
      <c r="E6011" s="424"/>
      <c r="F6011" s="424"/>
      <c r="G6011" s="424"/>
      <c r="H6011" s="424"/>
      <c r="I6011" s="424"/>
      <c r="J6011" s="424"/>
      <c r="K6011" s="424"/>
      <c r="L6011" s="424"/>
      <c r="M6011" s="1616" t="n">
        <v>0</v>
      </c>
    </row>
    <row r="6012" s="1613" customFormat="true" ht="61.5" hidden="false" customHeight="true" outlineLevel="0" collapsed="false">
      <c r="A6012" s="142" t="s">
        <v>2650</v>
      </c>
      <c r="B6012" s="423" t="s">
        <v>4046</v>
      </c>
      <c r="C6012" s="424"/>
      <c r="D6012" s="424"/>
      <c r="E6012" s="424"/>
      <c r="F6012" s="424"/>
      <c r="G6012" s="424"/>
      <c r="H6012" s="424"/>
      <c r="I6012" s="424"/>
      <c r="J6012" s="424"/>
      <c r="K6012" s="424"/>
      <c r="L6012" s="424"/>
      <c r="M6012" s="1616" t="n">
        <v>0</v>
      </c>
    </row>
    <row r="6013" s="1600" customFormat="true" ht="28.5" hidden="false" customHeight="false" outlineLevel="0" collapsed="false">
      <c r="A6013" s="207" t="n">
        <v>19</v>
      </c>
      <c r="B6013" s="92" t="s">
        <v>4047</v>
      </c>
      <c r="C6013" s="92"/>
      <c r="D6013" s="92"/>
      <c r="E6013" s="92"/>
      <c r="F6013" s="92"/>
      <c r="G6013" s="92"/>
      <c r="H6013" s="92"/>
      <c r="I6013" s="92"/>
      <c r="J6013" s="92"/>
      <c r="K6013" s="92"/>
      <c r="L6013" s="92"/>
      <c r="M6013" s="92"/>
      <c r="N6013" s="1617"/>
      <c r="O6013" s="1617"/>
    </row>
    <row r="6014" s="1600" customFormat="true" ht="30" hidden="false" customHeight="false" outlineLevel="0" collapsed="false">
      <c r="A6014" s="142" t="s">
        <v>2656</v>
      </c>
      <c r="B6014" s="49" t="s">
        <v>4048</v>
      </c>
      <c r="C6014" s="29"/>
      <c r="D6014" s="547"/>
      <c r="E6014" s="547"/>
      <c r="F6014" s="547"/>
      <c r="G6014" s="1444"/>
      <c r="H6014" s="1105"/>
      <c r="I6014" s="1105"/>
      <c r="J6014" s="1105"/>
      <c r="K6014" s="1105"/>
      <c r="L6014" s="714"/>
      <c r="M6014" s="1558" t="n">
        <v>0</v>
      </c>
      <c r="N6014" s="1617"/>
      <c r="O6014" s="1617"/>
    </row>
    <row r="6015" s="1600" customFormat="true" ht="15" hidden="false" customHeight="true" outlineLevel="0" collapsed="false">
      <c r="A6015" s="91" t="s">
        <v>2658</v>
      </c>
      <c r="B6015" s="211" t="s">
        <v>4049</v>
      </c>
      <c r="C6015" s="211"/>
      <c r="D6015" s="211"/>
      <c r="E6015" s="211"/>
      <c r="F6015" s="211"/>
      <c r="G6015" s="211"/>
      <c r="H6015" s="211"/>
      <c r="I6015" s="211"/>
      <c r="J6015" s="211"/>
      <c r="K6015" s="211"/>
      <c r="L6015" s="211"/>
      <c r="M6015" s="211"/>
      <c r="N6015" s="1617"/>
      <c r="O6015" s="1617"/>
    </row>
    <row r="6016" s="1618" customFormat="true" ht="36.75" hidden="false" customHeight="true" outlineLevel="0" collapsed="false">
      <c r="A6016" s="284" t="s">
        <v>2682</v>
      </c>
      <c r="B6016" s="433" t="s">
        <v>4064</v>
      </c>
      <c r="C6016" s="423"/>
      <c r="D6016" s="423"/>
      <c r="E6016" s="423"/>
      <c r="F6016" s="423"/>
      <c r="G6016" s="423"/>
      <c r="H6016" s="423"/>
      <c r="I6016" s="423"/>
      <c r="J6016" s="423"/>
      <c r="K6016" s="423"/>
      <c r="L6016" s="423"/>
      <c r="M6016" s="1558" t="n">
        <v>0</v>
      </c>
    </row>
    <row r="6017" s="1618" customFormat="true" ht="15" hidden="false" customHeight="true" outlineLevel="0" collapsed="false">
      <c r="A6017" s="343" t="s">
        <v>6887</v>
      </c>
      <c r="B6017" s="1265" t="s">
        <v>4066</v>
      </c>
      <c r="C6017" s="1619"/>
      <c r="D6017" s="1547"/>
      <c r="E6017" s="1264"/>
      <c r="F6017" s="1547"/>
      <c r="G6017" s="1547"/>
      <c r="H6017" s="1547"/>
      <c r="I6017" s="1547"/>
      <c r="J6017" s="1547"/>
      <c r="K6017" s="1547"/>
      <c r="L6017" s="1547"/>
      <c r="M6017" s="1547"/>
    </row>
    <row r="6018" customFormat="false" ht="21.75" hidden="false" customHeight="true" outlineLevel="0" collapsed="false">
      <c r="A6018" s="571" t="s">
        <v>2689</v>
      </c>
      <c r="B6018" s="328" t="s">
        <v>4067</v>
      </c>
      <c r="C6018" s="702" t="s">
        <v>7338</v>
      </c>
      <c r="D6018" s="912" t="n">
        <v>2017</v>
      </c>
      <c r="E6018" s="569" t="n">
        <f aca="false">2021-D6018</f>
        <v>4</v>
      </c>
      <c r="F6018" s="1105" t="n">
        <v>57000</v>
      </c>
      <c r="G6018" s="1444" t="n">
        <v>0.1</v>
      </c>
      <c r="H6018" s="1105" t="n">
        <f aca="false">E6018*F6018*G6018</f>
        <v>22800</v>
      </c>
      <c r="I6018" s="1105" t="n">
        <f aca="false">F6018-H6018</f>
        <v>34200</v>
      </c>
      <c r="J6018" s="1105" t="n">
        <f aca="false">F6018*G6018</f>
        <v>5700</v>
      </c>
      <c r="K6018" s="1365" t="n">
        <f aca="false">J6018/1792.8</f>
        <v>3.17938420348059</v>
      </c>
      <c r="L6018" s="1105" t="n">
        <v>365</v>
      </c>
      <c r="M6018" s="865" t="n">
        <f aca="false">K6018*L6018/60</f>
        <v>19.3412539045069</v>
      </c>
    </row>
    <row r="6019" customFormat="false" ht="16.5" hidden="false" customHeight="true" outlineLevel="0" collapsed="false">
      <c r="A6019" s="571"/>
      <c r="B6019" s="328"/>
      <c r="C6019" s="702" t="s">
        <v>7339</v>
      </c>
      <c r="D6019" s="912" t="n">
        <v>2010</v>
      </c>
      <c r="E6019" s="569" t="n">
        <f aca="false">2021-D6019</f>
        <v>11</v>
      </c>
      <c r="F6019" s="1105" t="n">
        <v>58500</v>
      </c>
      <c r="G6019" s="1444" t="n">
        <v>0.1</v>
      </c>
      <c r="H6019" s="1105" t="n">
        <f aca="false">E6019*F6019*G6019</f>
        <v>64350</v>
      </c>
      <c r="I6019" s="1105" t="n">
        <f aca="false">F6019-H6019</f>
        <v>-5850</v>
      </c>
      <c r="J6019" s="1105" t="n">
        <f aca="false">F6019*G6019</f>
        <v>5850</v>
      </c>
      <c r="K6019" s="1365" t="n">
        <f aca="false">J6019/1792.8</f>
        <v>3.26305220883534</v>
      </c>
      <c r="L6019" s="1105" t="n">
        <v>365</v>
      </c>
      <c r="M6019" s="865" t="n">
        <f aca="false">K6019*L6019/60</f>
        <v>19.850234270415</v>
      </c>
    </row>
    <row r="6020" customFormat="false" ht="15.75" hidden="false" customHeight="true" outlineLevel="0" collapsed="false">
      <c r="A6020" s="571"/>
      <c r="B6020" s="328" t="s">
        <v>5806</v>
      </c>
      <c r="C6020" s="702"/>
      <c r="D6020" s="912"/>
      <c r="E6020" s="660"/>
      <c r="F6020" s="912"/>
      <c r="G6020" s="912"/>
      <c r="H6020" s="912"/>
      <c r="I6020" s="912"/>
      <c r="J6020" s="912"/>
      <c r="K6020" s="1365" t="n">
        <f aca="false">J6020/1792.8</f>
        <v>0</v>
      </c>
      <c r="L6020" s="935"/>
      <c r="M6020" s="1620" t="n">
        <f aca="false">SUM(M6018:M6019)</f>
        <v>39.1914881749219</v>
      </c>
    </row>
    <row r="6021" s="1618" customFormat="true" ht="20.25" hidden="false" customHeight="true" outlineLevel="0" collapsed="false">
      <c r="A6021" s="571" t="s">
        <v>2692</v>
      </c>
      <c r="B6021" s="328" t="s">
        <v>4068</v>
      </c>
      <c r="C6021" s="702" t="s">
        <v>7338</v>
      </c>
      <c r="D6021" s="912" t="n">
        <v>2017</v>
      </c>
      <c r="E6021" s="569" t="n">
        <f aca="false">2021-D6021</f>
        <v>4</v>
      </c>
      <c r="F6021" s="1105" t="n">
        <v>57000</v>
      </c>
      <c r="G6021" s="1444" t="n">
        <v>0.1</v>
      </c>
      <c r="H6021" s="1105" t="n">
        <f aca="false">E6021*F6021*G6021</f>
        <v>22800</v>
      </c>
      <c r="I6021" s="1105" t="n">
        <f aca="false">F6021-H6021</f>
        <v>34200</v>
      </c>
      <c r="J6021" s="1105" t="n">
        <f aca="false">F6021*G6021</f>
        <v>5700</v>
      </c>
      <c r="K6021" s="1365" t="n">
        <f aca="false">J6021/1792.8</f>
        <v>3.17938420348059</v>
      </c>
      <c r="L6021" s="1105" t="n">
        <v>365</v>
      </c>
      <c r="M6021" s="865" t="n">
        <f aca="false">K6021*L6021/60</f>
        <v>19.3412539045069</v>
      </c>
    </row>
    <row r="6022" s="1618" customFormat="true" ht="16.5" hidden="false" customHeight="true" outlineLevel="0" collapsed="false">
      <c r="A6022" s="571"/>
      <c r="B6022" s="328"/>
      <c r="C6022" s="702" t="s">
        <v>7339</v>
      </c>
      <c r="D6022" s="912" t="n">
        <v>2010</v>
      </c>
      <c r="E6022" s="569" t="n">
        <f aca="false">2021-D6022</f>
        <v>11</v>
      </c>
      <c r="F6022" s="1105" t="n">
        <v>58500</v>
      </c>
      <c r="G6022" s="1444" t="n">
        <v>0.1</v>
      </c>
      <c r="H6022" s="1105" t="n">
        <f aca="false">E6022*F6022*G6022</f>
        <v>64350</v>
      </c>
      <c r="I6022" s="1105" t="n">
        <f aca="false">F6022-H6022</f>
        <v>-5850</v>
      </c>
      <c r="J6022" s="1105" t="n">
        <f aca="false">F6022*G6022</f>
        <v>5850</v>
      </c>
      <c r="K6022" s="1365" t="n">
        <f aca="false">J6022/1792.8</f>
        <v>3.26305220883534</v>
      </c>
      <c r="L6022" s="1105" t="n">
        <v>365</v>
      </c>
      <c r="M6022" s="865" t="n">
        <f aca="false">K6022*L6022/60</f>
        <v>19.850234270415</v>
      </c>
    </row>
    <row r="6023" customFormat="false" ht="15" hidden="false" customHeight="false" outlineLevel="0" collapsed="false">
      <c r="A6023" s="571"/>
      <c r="B6023" s="328"/>
      <c r="C6023" s="702"/>
      <c r="D6023" s="912"/>
      <c r="E6023" s="660"/>
      <c r="F6023" s="912"/>
      <c r="G6023" s="912"/>
      <c r="H6023" s="912"/>
      <c r="I6023" s="912"/>
      <c r="J6023" s="912"/>
      <c r="K6023" s="1365" t="n">
        <f aca="false">J6023/1792.8</f>
        <v>0</v>
      </c>
      <c r="L6023" s="935"/>
      <c r="M6023" s="1620" t="n">
        <f aca="false">SUM(M6021:M6022)</f>
        <v>39.1914881749219</v>
      </c>
    </row>
    <row r="6024" customFormat="false" ht="15" hidden="false" customHeight="false" outlineLevel="0" collapsed="false">
      <c r="A6024" s="571" t="s">
        <v>2694</v>
      </c>
      <c r="B6024" s="328" t="s">
        <v>4069</v>
      </c>
      <c r="C6024" s="702" t="s">
        <v>7338</v>
      </c>
      <c r="D6024" s="912" t="n">
        <v>2017</v>
      </c>
      <c r="E6024" s="569" t="n">
        <f aca="false">2021-D6024</f>
        <v>4</v>
      </c>
      <c r="F6024" s="1105" t="n">
        <v>57000</v>
      </c>
      <c r="G6024" s="1444" t="n">
        <v>0.1</v>
      </c>
      <c r="H6024" s="1105" t="n">
        <f aca="false">E6024*F6024*G6024</f>
        <v>22800</v>
      </c>
      <c r="I6024" s="1105" t="n">
        <f aca="false">F6024-H6024</f>
        <v>34200</v>
      </c>
      <c r="J6024" s="1105" t="n">
        <f aca="false">F6024*G6024</f>
        <v>5700</v>
      </c>
      <c r="K6024" s="1365" t="n">
        <f aca="false">J6024/1792.8</f>
        <v>3.17938420348059</v>
      </c>
      <c r="L6024" s="1105" t="n">
        <v>365</v>
      </c>
      <c r="M6024" s="865" t="n">
        <f aca="false">K6024*L6024/60</f>
        <v>19.3412539045069</v>
      </c>
    </row>
    <row r="6025" customFormat="false" ht="15" hidden="false" customHeight="false" outlineLevel="0" collapsed="false">
      <c r="A6025" s="571"/>
      <c r="B6025" s="328"/>
      <c r="C6025" s="702" t="s">
        <v>7339</v>
      </c>
      <c r="D6025" s="912" t="n">
        <v>2010</v>
      </c>
      <c r="E6025" s="569" t="n">
        <f aca="false">2021-D6025</f>
        <v>11</v>
      </c>
      <c r="F6025" s="1105" t="n">
        <v>58500</v>
      </c>
      <c r="G6025" s="1444" t="n">
        <v>0.1</v>
      </c>
      <c r="H6025" s="1105" t="n">
        <f aca="false">E6025*F6025*G6025</f>
        <v>64350</v>
      </c>
      <c r="I6025" s="1105" t="n">
        <f aca="false">F6025-H6025</f>
        <v>-5850</v>
      </c>
      <c r="J6025" s="1105" t="n">
        <f aca="false">F6025*G6025</f>
        <v>5850</v>
      </c>
      <c r="K6025" s="1365" t="n">
        <f aca="false">J6025/1792.8</f>
        <v>3.26305220883534</v>
      </c>
      <c r="L6025" s="1105" t="n">
        <v>365</v>
      </c>
      <c r="M6025" s="865" t="n">
        <f aca="false">K6025*L6025/60</f>
        <v>19.850234270415</v>
      </c>
    </row>
    <row r="6026" customFormat="false" ht="15" hidden="false" customHeight="false" outlineLevel="0" collapsed="false">
      <c r="A6026" s="571"/>
      <c r="B6026" s="328"/>
      <c r="C6026" s="702" t="s">
        <v>7340</v>
      </c>
      <c r="D6026" s="912" t="n">
        <v>2017</v>
      </c>
      <c r="E6026" s="569" t="n">
        <f aca="false">2021-D6026</f>
        <v>4</v>
      </c>
      <c r="F6026" s="1105" t="n">
        <v>27000</v>
      </c>
      <c r="G6026" s="1444" t="n">
        <v>0.1</v>
      </c>
      <c r="H6026" s="1105" t="n">
        <f aca="false">E6026*F6026*G6026</f>
        <v>10800</v>
      </c>
      <c r="I6026" s="1105" t="n">
        <f aca="false">F6026-H6026</f>
        <v>16200</v>
      </c>
      <c r="J6026" s="1105" t="n">
        <f aca="false">F6026*G6026</f>
        <v>2700</v>
      </c>
      <c r="K6026" s="1365" t="n">
        <f aca="false">J6026/1792.8</f>
        <v>1.50602409638554</v>
      </c>
      <c r="L6026" s="1105" t="n">
        <v>150</v>
      </c>
      <c r="M6026" s="865" t="n">
        <f aca="false">K6026*L6026/60</f>
        <v>3.76506024096386</v>
      </c>
    </row>
    <row r="6027" customFormat="false" ht="15" hidden="false" customHeight="false" outlineLevel="0" collapsed="false">
      <c r="A6027" s="571"/>
      <c r="B6027" s="328" t="s">
        <v>5806</v>
      </c>
      <c r="C6027" s="702"/>
      <c r="D6027" s="912"/>
      <c r="E6027" s="660"/>
      <c r="F6027" s="912"/>
      <c r="G6027" s="912"/>
      <c r="H6027" s="912"/>
      <c r="I6027" s="912"/>
      <c r="J6027" s="912"/>
      <c r="K6027" s="1365" t="n">
        <f aca="false">J6027/1792.8</f>
        <v>0</v>
      </c>
      <c r="L6027" s="935"/>
      <c r="M6027" s="1620" t="n">
        <f aca="false">SUM(M6024:M6026)</f>
        <v>42.9565484158858</v>
      </c>
    </row>
    <row r="6028" customFormat="false" ht="15" hidden="false" customHeight="false" outlineLevel="0" collapsed="false">
      <c r="A6028" s="571" t="s">
        <v>2696</v>
      </c>
      <c r="B6028" s="328" t="s">
        <v>4070</v>
      </c>
      <c r="C6028" s="702" t="s">
        <v>7338</v>
      </c>
      <c r="D6028" s="912" t="n">
        <v>2017</v>
      </c>
      <c r="E6028" s="569" t="n">
        <f aca="false">2021-D6028</f>
        <v>4</v>
      </c>
      <c r="F6028" s="1105" t="n">
        <v>57000</v>
      </c>
      <c r="G6028" s="1444" t="n">
        <v>0.1</v>
      </c>
      <c r="H6028" s="1105" t="n">
        <f aca="false">E6028*F6028*G6028</f>
        <v>22800</v>
      </c>
      <c r="I6028" s="1105" t="n">
        <f aca="false">F6028-H6028</f>
        <v>34200</v>
      </c>
      <c r="J6028" s="1105" t="n">
        <f aca="false">F6028*G6028</f>
        <v>5700</v>
      </c>
      <c r="K6028" s="1365" t="n">
        <f aca="false">J6028/1792.8</f>
        <v>3.17938420348059</v>
      </c>
      <c r="L6028" s="1105" t="n">
        <v>360</v>
      </c>
      <c r="M6028" s="865" t="n">
        <f aca="false">K6028*L6028/60</f>
        <v>19.0763052208835</v>
      </c>
    </row>
    <row r="6029" customFormat="false" ht="15.75" hidden="false" customHeight="false" outlineLevel="0" collapsed="false">
      <c r="A6029" s="399" t="s">
        <v>2698</v>
      </c>
      <c r="B6029" s="401" t="s">
        <v>4071</v>
      </c>
      <c r="C6029" s="1621"/>
      <c r="D6029" s="537"/>
      <c r="E6029" s="537"/>
      <c r="F6029" s="1622"/>
      <c r="G6029" s="1623"/>
      <c r="H6029" s="1622"/>
      <c r="I6029" s="1622"/>
      <c r="J6029" s="1622"/>
      <c r="K6029" s="1595"/>
      <c r="L6029" s="1622"/>
      <c r="M6029" s="1210"/>
    </row>
    <row r="6030" customFormat="false" ht="48.75" hidden="false" customHeight="true" outlineLevel="0" collapsed="false">
      <c r="A6030" s="435" t="s">
        <v>2700</v>
      </c>
      <c r="B6030" s="40" t="s">
        <v>4072</v>
      </c>
      <c r="C6030" s="702" t="s">
        <v>7290</v>
      </c>
      <c r="D6030" s="912" t="n">
        <v>2015</v>
      </c>
      <c r="E6030" s="912" t="n">
        <v>4</v>
      </c>
      <c r="F6030" s="912" t="n">
        <v>139017</v>
      </c>
      <c r="G6030" s="1418" t="n">
        <v>0.1</v>
      </c>
      <c r="H6030" s="912" t="n">
        <v>55606.8</v>
      </c>
      <c r="I6030" s="912" t="n">
        <v>83410.2</v>
      </c>
      <c r="J6030" s="912" t="n">
        <v>13901.7</v>
      </c>
      <c r="K6030" s="912" t="n">
        <v>7.88078231292517</v>
      </c>
      <c r="L6030" s="912" t="n">
        <v>40</v>
      </c>
      <c r="M6030" s="702" t="n">
        <v>5.25385487528345</v>
      </c>
    </row>
    <row r="6031" customFormat="false" ht="45" hidden="false" customHeight="false" outlineLevel="0" collapsed="false">
      <c r="A6031" s="435" t="s">
        <v>2702</v>
      </c>
      <c r="B6031" s="40" t="s">
        <v>4073</v>
      </c>
      <c r="C6031" s="702" t="s">
        <v>7290</v>
      </c>
      <c r="D6031" s="912" t="n">
        <v>2015</v>
      </c>
      <c r="E6031" s="912" t="n">
        <v>4</v>
      </c>
      <c r="F6031" s="912" t="n">
        <v>139017</v>
      </c>
      <c r="G6031" s="1418" t="n">
        <v>0.1</v>
      </c>
      <c r="H6031" s="912" t="n">
        <v>55606.8</v>
      </c>
      <c r="I6031" s="912" t="n">
        <v>83410.2</v>
      </c>
      <c r="J6031" s="912" t="n">
        <v>13901.7</v>
      </c>
      <c r="K6031" s="912" t="n">
        <v>7.88078231292517</v>
      </c>
      <c r="L6031" s="912" t="n">
        <v>40</v>
      </c>
      <c r="M6031" s="702" t="n">
        <v>5.25385487528345</v>
      </c>
    </row>
    <row r="6032" customFormat="false" ht="45" hidden="false" customHeight="false" outlineLevel="0" collapsed="false">
      <c r="A6032" s="435" t="s">
        <v>2704</v>
      </c>
      <c r="B6032" s="40" t="s">
        <v>4074</v>
      </c>
      <c r="C6032" s="702" t="s">
        <v>7290</v>
      </c>
      <c r="D6032" s="912" t="n">
        <v>2015</v>
      </c>
      <c r="E6032" s="912" t="n">
        <v>4</v>
      </c>
      <c r="F6032" s="912" t="n">
        <v>139017</v>
      </c>
      <c r="G6032" s="1418" t="n">
        <v>0.1</v>
      </c>
      <c r="H6032" s="912" t="n">
        <v>55606.8</v>
      </c>
      <c r="I6032" s="912" t="n">
        <v>83410.2</v>
      </c>
      <c r="J6032" s="912" t="n">
        <v>13901.7</v>
      </c>
      <c r="K6032" s="912" t="n">
        <v>7.88078231292517</v>
      </c>
      <c r="L6032" s="912" t="n">
        <v>40</v>
      </c>
      <c r="M6032" s="702" t="n">
        <v>5.25385487528345</v>
      </c>
    </row>
    <row r="6033" customFormat="false" ht="105" hidden="false" customHeight="false" outlineLevel="0" collapsed="false">
      <c r="A6033" s="1624" t="s">
        <v>2706</v>
      </c>
      <c r="B6033" s="231" t="s">
        <v>4075</v>
      </c>
      <c r="C6033" s="702"/>
      <c r="D6033" s="912"/>
      <c r="E6033" s="912"/>
      <c r="F6033" s="912"/>
      <c r="G6033" s="1418"/>
      <c r="H6033" s="912"/>
      <c r="I6033" s="912"/>
      <c r="J6033" s="912"/>
      <c r="K6033" s="912"/>
      <c r="L6033" s="912"/>
      <c r="M6033" s="702"/>
    </row>
    <row r="6034" customFormat="false" ht="15" hidden="false" customHeight="false" outlineLevel="0" collapsed="false">
      <c r="A6034" s="216"/>
      <c r="B6034" s="78"/>
      <c r="C6034" s="1605" t="s">
        <v>7290</v>
      </c>
      <c r="D6034" s="29" t="n">
        <v>2015</v>
      </c>
      <c r="E6034" s="547" t="n">
        <f aca="false">2019-D6034</f>
        <v>4</v>
      </c>
      <c r="F6034" s="547" t="n">
        <v>139017</v>
      </c>
      <c r="G6034" s="547" t="n">
        <v>0.1</v>
      </c>
      <c r="H6034" s="1444" t="n">
        <f aca="false">E6034*F6034*G6034</f>
        <v>55606.8</v>
      </c>
      <c r="I6034" s="1105" t="n">
        <f aca="false">F6034-H6034</f>
        <v>83410.2</v>
      </c>
      <c r="J6034" s="1105" t="n">
        <f aca="false">F6034*G6034</f>
        <v>13901.7</v>
      </c>
      <c r="K6034" s="1105" t="n">
        <f aca="false">J6034/1764</f>
        <v>7.88078231292517</v>
      </c>
      <c r="L6034" s="1105" t="n">
        <v>19</v>
      </c>
      <c r="M6034" s="819" t="n">
        <f aca="false">K6034*L6034/60</f>
        <v>2.49558106575964</v>
      </c>
    </row>
    <row r="6035" customFormat="false" ht="15" hidden="false" customHeight="false" outlineLevel="0" collapsed="false">
      <c r="A6035" s="216"/>
      <c r="B6035" s="78"/>
      <c r="C6035" s="1605" t="s">
        <v>7291</v>
      </c>
      <c r="D6035" s="29" t="n">
        <v>2014</v>
      </c>
      <c r="E6035" s="547" t="n">
        <f aca="false">2019-D6035</f>
        <v>5</v>
      </c>
      <c r="F6035" s="547" t="n">
        <v>68000</v>
      </c>
      <c r="G6035" s="547" t="n">
        <v>0.1</v>
      </c>
      <c r="H6035" s="1444" t="n">
        <f aca="false">E6035*F6035*G6035</f>
        <v>34000</v>
      </c>
      <c r="I6035" s="1105" t="n">
        <f aca="false">F6035-H6035</f>
        <v>34000</v>
      </c>
      <c r="J6035" s="1105" t="n">
        <f aca="false">F6035*G6035</f>
        <v>6800</v>
      </c>
      <c r="K6035" s="1105" t="n">
        <f aca="false">J6035/1764</f>
        <v>3.85487528344671</v>
      </c>
      <c r="L6035" s="1105" t="n">
        <v>20</v>
      </c>
      <c r="M6035" s="819" t="n">
        <f aca="false">K6035*L6035/60</f>
        <v>1.28495842781557</v>
      </c>
    </row>
    <row r="6036" customFormat="false" ht="15" hidden="false" customHeight="true" outlineLevel="0" collapsed="false">
      <c r="A6036" s="216"/>
      <c r="B6036" s="78"/>
      <c r="C6036" s="1605" t="s">
        <v>7292</v>
      </c>
      <c r="D6036" s="29" t="n">
        <v>2014</v>
      </c>
      <c r="E6036" s="547" t="n">
        <f aca="false">2019-D6036</f>
        <v>5</v>
      </c>
      <c r="F6036" s="547" t="n">
        <v>22800</v>
      </c>
      <c r="G6036" s="547" t="n">
        <v>0.1</v>
      </c>
      <c r="H6036" s="1444" t="n">
        <f aca="false">E6036*F6036*G6036</f>
        <v>11400</v>
      </c>
      <c r="I6036" s="1105" t="n">
        <f aca="false">F6036-H6036</f>
        <v>11400</v>
      </c>
      <c r="J6036" s="1105" t="n">
        <f aca="false">F6036*G6036</f>
        <v>2280</v>
      </c>
      <c r="K6036" s="1105" t="n">
        <f aca="false">J6036/1764</f>
        <v>1.29251700680272</v>
      </c>
      <c r="L6036" s="1105" t="n">
        <v>20</v>
      </c>
      <c r="M6036" s="819" t="n">
        <f aca="false">K6036*L6036/60</f>
        <v>0.430839002267574</v>
      </c>
    </row>
    <row r="6037" customFormat="false" ht="15" hidden="false" customHeight="true" outlineLevel="0" collapsed="false">
      <c r="A6037" s="221"/>
      <c r="B6037" s="78"/>
      <c r="C6037" s="1605"/>
      <c r="D6037" s="29"/>
      <c r="E6037" s="547"/>
      <c r="F6037" s="547"/>
      <c r="G6037" s="547"/>
      <c r="H6037" s="1444"/>
      <c r="I6037" s="1105"/>
      <c r="J6037" s="1105"/>
      <c r="K6037" s="1105"/>
      <c r="L6037" s="1105"/>
      <c r="M6037" s="934" t="n">
        <f aca="false">SUM(M6040:M6042)</f>
        <v>4.21137849584278</v>
      </c>
    </row>
    <row r="6038" customFormat="false" ht="15" hidden="false" customHeight="true" outlineLevel="0" collapsed="false">
      <c r="A6038" s="442" t="s">
        <v>2708</v>
      </c>
      <c r="B6038" s="401" t="s">
        <v>4076</v>
      </c>
      <c r="C6038" s="169"/>
      <c r="D6038" s="155"/>
      <c r="E6038" s="155"/>
      <c r="F6038" s="227"/>
      <c r="G6038" s="227"/>
      <c r="H6038" s="443"/>
      <c r="I6038" s="1324"/>
      <c r="J6038" s="1325"/>
      <c r="K6038" s="1622"/>
      <c r="L6038" s="1622"/>
      <c r="M6038" s="944"/>
    </row>
    <row r="6039" s="1600" customFormat="true" ht="17.25" hidden="false" customHeight="true" outlineLevel="0" collapsed="false">
      <c r="A6039" s="167"/>
      <c r="B6039" s="168" t="s">
        <v>4077</v>
      </c>
      <c r="C6039" s="1625"/>
      <c r="D6039" s="1626"/>
      <c r="E6039" s="1622"/>
      <c r="F6039" s="1622"/>
      <c r="G6039" s="1622"/>
      <c r="H6039" s="1623"/>
      <c r="I6039" s="1622"/>
      <c r="J6039" s="1622"/>
      <c r="K6039" s="1622"/>
      <c r="L6039" s="1622"/>
      <c r="M6039" s="1627"/>
    </row>
    <row r="6040" s="1600" customFormat="true" ht="15" hidden="false" customHeight="false" outlineLevel="0" collapsed="false">
      <c r="A6040" s="216"/>
      <c r="B6040" s="78"/>
      <c r="C6040" s="1605" t="s">
        <v>7290</v>
      </c>
      <c r="D6040" s="29" t="n">
        <v>2015</v>
      </c>
      <c r="E6040" s="547" t="n">
        <f aca="false">2019-D6040</f>
        <v>4</v>
      </c>
      <c r="F6040" s="547" t="n">
        <v>139017</v>
      </c>
      <c r="G6040" s="547" t="n">
        <v>0.1</v>
      </c>
      <c r="H6040" s="1444" t="n">
        <f aca="false">E6040*F6040*G6040</f>
        <v>55606.8</v>
      </c>
      <c r="I6040" s="1105" t="n">
        <f aca="false">F6040-H6040</f>
        <v>83410.2</v>
      </c>
      <c r="J6040" s="1105" t="n">
        <f aca="false">F6040*G6040</f>
        <v>13901.7</v>
      </c>
      <c r="K6040" s="1105" t="n">
        <f aca="false">J6040/1764</f>
        <v>7.88078231292517</v>
      </c>
      <c r="L6040" s="1105" t="n">
        <v>19</v>
      </c>
      <c r="M6040" s="819" t="n">
        <f aca="false">K6040*L6040/60</f>
        <v>2.49558106575964</v>
      </c>
    </row>
    <row r="6041" s="1600" customFormat="true" ht="15" hidden="false" customHeight="false" outlineLevel="0" collapsed="false">
      <c r="A6041" s="216"/>
      <c r="B6041" s="78"/>
      <c r="C6041" s="1605" t="s">
        <v>7291</v>
      </c>
      <c r="D6041" s="29" t="n">
        <v>2014</v>
      </c>
      <c r="E6041" s="547" t="n">
        <f aca="false">2019-D6041</f>
        <v>5</v>
      </c>
      <c r="F6041" s="547" t="n">
        <v>68000</v>
      </c>
      <c r="G6041" s="547" t="n">
        <v>0.1</v>
      </c>
      <c r="H6041" s="1444" t="n">
        <f aca="false">E6041*F6041*G6041</f>
        <v>34000</v>
      </c>
      <c r="I6041" s="1105" t="n">
        <f aca="false">F6041-H6041</f>
        <v>34000</v>
      </c>
      <c r="J6041" s="1105" t="n">
        <f aca="false">F6041*G6041</f>
        <v>6800</v>
      </c>
      <c r="K6041" s="1105" t="n">
        <f aca="false">J6041/1764</f>
        <v>3.85487528344671</v>
      </c>
      <c r="L6041" s="1105" t="n">
        <v>20</v>
      </c>
      <c r="M6041" s="819" t="n">
        <f aca="false">K6041*L6041/60</f>
        <v>1.28495842781557</v>
      </c>
    </row>
    <row r="6042" s="1600" customFormat="true" ht="34.5" hidden="false" customHeight="true" outlineLevel="0" collapsed="false">
      <c r="A6042" s="216"/>
      <c r="B6042" s="78"/>
      <c r="C6042" s="1605" t="s">
        <v>7292</v>
      </c>
      <c r="D6042" s="29" t="n">
        <v>2014</v>
      </c>
      <c r="E6042" s="547" t="n">
        <f aca="false">2019-D6042</f>
        <v>5</v>
      </c>
      <c r="F6042" s="547" t="n">
        <v>22800</v>
      </c>
      <c r="G6042" s="547" t="n">
        <v>0.1</v>
      </c>
      <c r="H6042" s="1444" t="n">
        <f aca="false">E6042*F6042*G6042</f>
        <v>11400</v>
      </c>
      <c r="I6042" s="1105" t="n">
        <f aca="false">F6042-H6042</f>
        <v>11400</v>
      </c>
      <c r="J6042" s="1105" t="n">
        <f aca="false">F6042*G6042</f>
        <v>2280</v>
      </c>
      <c r="K6042" s="1105" t="n">
        <f aca="false">J6042/1764</f>
        <v>1.29251700680272</v>
      </c>
      <c r="L6042" s="1105" t="n">
        <v>20</v>
      </c>
      <c r="M6042" s="819" t="n">
        <f aca="false">K6042*L6042/60</f>
        <v>0.430839002267574</v>
      </c>
    </row>
    <row r="6043" customFormat="false" ht="15" hidden="false" customHeight="false" outlineLevel="0" collapsed="false">
      <c r="A6043" s="216"/>
      <c r="B6043" s="29"/>
      <c r="C6043" s="1161"/>
      <c r="D6043" s="912"/>
      <c r="E6043" s="660"/>
      <c r="F6043" s="912"/>
      <c r="G6043" s="912"/>
      <c r="H6043" s="912"/>
      <c r="I6043" s="912"/>
      <c r="J6043" s="912"/>
      <c r="K6043" s="702"/>
      <c r="L6043" s="935"/>
      <c r="M6043" s="1620" t="n">
        <f aca="false">SUM(M6028)</f>
        <v>19.0763052208835</v>
      </c>
    </row>
  </sheetData>
  <autoFilter ref="A10:V6043"/>
  <mergeCells count="10">
    <mergeCell ref="K1:M4"/>
    <mergeCell ref="A2:G2"/>
    <mergeCell ref="K5:M5"/>
    <mergeCell ref="A6:M6"/>
    <mergeCell ref="A7:M7"/>
    <mergeCell ref="A8:M8"/>
    <mergeCell ref="A2830:A2831"/>
    <mergeCell ref="B6015:E6015"/>
    <mergeCell ref="F6015:I6015"/>
    <mergeCell ref="J6015:M601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620"/>
  <sheetViews>
    <sheetView showFormulas="false" showGridLines="true" showRowColHeaders="true" showZeros="true" rightToLeft="false" tabSelected="false" showOutlineSymbols="true" defaultGridColor="true" view="pageBreakPreview" topLeftCell="A7" colorId="64" zoomScale="85" zoomScaleNormal="82" zoomScalePageLayoutView="85" workbookViewId="0">
      <pane xSplit="0" ySplit="7" topLeftCell="A1572" activePane="bottomLeft" state="frozen"/>
      <selection pane="topLeft" activeCell="A7" activeCellId="0" sqref="A7"/>
      <selection pane="bottomLeft" activeCell="I1581" activeCellId="0" sqref="I1581"/>
    </sheetView>
  </sheetViews>
  <sheetFormatPr defaultColWidth="9.1484375" defaultRowHeight="15" zeroHeight="false" outlineLevelRow="0" outlineLevelCol="0"/>
  <cols>
    <col collapsed="false" customWidth="false" hidden="false" outlineLevel="0" max="1" min="1" style="1628" width="9.14"/>
    <col collapsed="false" customWidth="true" hidden="false" outlineLevel="0" max="2" min="2" style="1629" width="50"/>
    <col collapsed="false" customWidth="true" hidden="false" outlineLevel="0" max="3" min="3" style="446" width="21.57"/>
    <col collapsed="false" customWidth="true" hidden="false" outlineLevel="0" max="4" min="4" style="1630" width="13"/>
    <col collapsed="false" customWidth="true" hidden="false" outlineLevel="0" max="5" min="5" style="1630" width="11.71"/>
    <col collapsed="false" customWidth="true" hidden="false" outlineLevel="0" max="6" min="6" style="446" width="13.71"/>
    <col collapsed="false" customWidth="true" hidden="false" outlineLevel="0" max="7" min="7" style="446" width="12.86"/>
    <col collapsed="false" customWidth="true" hidden="false" outlineLevel="0" max="8" min="8" style="446" width="11.57"/>
    <col collapsed="false" customWidth="true" hidden="false" outlineLevel="0" max="9" min="9" style="446" width="12.86"/>
    <col collapsed="false" customWidth="true" hidden="false" outlineLevel="0" max="10" min="10" style="451" width="17.42"/>
    <col collapsed="false" customWidth="true" hidden="false" outlineLevel="0" max="11" min="11" style="451" width="19.57"/>
    <col collapsed="false" customWidth="false" hidden="false" outlineLevel="0" max="16384" min="12" style="122" width="9.14"/>
  </cols>
  <sheetData>
    <row r="1" customFormat="false" ht="18.75" hidden="false" customHeight="true" outlineLevel="0" collapsed="false">
      <c r="A1" s="1631"/>
      <c r="B1" s="1632"/>
      <c r="C1" s="1316"/>
      <c r="D1" s="1633"/>
      <c r="E1" s="1633"/>
      <c r="F1" s="1634"/>
      <c r="G1" s="1635" t="s">
        <v>7341</v>
      </c>
      <c r="H1" s="1635"/>
      <c r="I1" s="1635"/>
    </row>
    <row r="2" customFormat="false" ht="19.5" hidden="false" customHeight="true" outlineLevel="0" collapsed="false">
      <c r="A2" s="1636"/>
      <c r="B2" s="1637"/>
      <c r="C2" s="1316"/>
      <c r="D2" s="1633"/>
      <c r="E2" s="1638"/>
      <c r="F2" s="1635" t="s">
        <v>7342</v>
      </c>
      <c r="G2" s="1635"/>
      <c r="H2" s="1635"/>
      <c r="I2" s="1635"/>
    </row>
    <row r="3" customFormat="false" ht="17.25" hidden="false" customHeight="true" outlineLevel="0" collapsed="false">
      <c r="A3" s="1636"/>
      <c r="B3" s="1637"/>
      <c r="C3" s="1316"/>
      <c r="D3" s="1633"/>
      <c r="E3" s="1633"/>
      <c r="F3" s="1635" t="s">
        <v>4104</v>
      </c>
      <c r="G3" s="1635"/>
      <c r="H3" s="1635"/>
      <c r="I3" s="1635"/>
    </row>
    <row r="4" customFormat="false" ht="18.75" hidden="false" customHeight="true" outlineLevel="0" collapsed="false">
      <c r="A4" s="1639" t="s">
        <v>7343</v>
      </c>
      <c r="B4" s="1639"/>
      <c r="C4" s="1639"/>
      <c r="D4" s="1633"/>
      <c r="E4" s="1633"/>
      <c r="F4" s="1634"/>
      <c r="G4" s="1634"/>
      <c r="H4" s="1634"/>
      <c r="I4" s="1634" t="s">
        <v>7344</v>
      </c>
    </row>
    <row r="5" customFormat="false" ht="58.5" hidden="false" customHeight="true" outlineLevel="0" collapsed="false">
      <c r="A5" s="1639" t="s">
        <v>7345</v>
      </c>
      <c r="B5" s="1639"/>
      <c r="C5" s="1639"/>
      <c r="D5" s="1633"/>
      <c r="E5" s="1633"/>
      <c r="F5" s="1316"/>
      <c r="G5" s="1316"/>
      <c r="H5" s="1316"/>
    </row>
    <row r="6" s="1643" customFormat="true" ht="15" hidden="false" customHeight="true" outlineLevel="0" collapsed="false">
      <c r="A6" s="1640" t="s">
        <v>7346</v>
      </c>
      <c r="B6" s="1640"/>
      <c r="C6" s="1640"/>
      <c r="D6" s="1640"/>
      <c r="E6" s="1640"/>
      <c r="F6" s="1640"/>
      <c r="G6" s="1640"/>
      <c r="H6" s="1640"/>
      <c r="I6" s="1640"/>
      <c r="J6" s="1641"/>
      <c r="K6" s="1641"/>
      <c r="L6" s="1642"/>
      <c r="M6" s="1642"/>
      <c r="N6" s="1642"/>
      <c r="O6" s="1642"/>
    </row>
    <row r="7" s="1643" customFormat="true" ht="15" hidden="false" customHeight="false" outlineLevel="0" collapsed="false">
      <c r="A7" s="1631"/>
      <c r="B7" s="1632"/>
      <c r="C7" s="1316"/>
      <c r="D7" s="1633"/>
      <c r="E7" s="1633"/>
      <c r="F7" s="1316"/>
      <c r="G7" s="1316"/>
      <c r="H7" s="1316"/>
      <c r="I7" s="1317"/>
      <c r="J7" s="1644"/>
      <c r="K7" s="1641"/>
      <c r="L7" s="1642"/>
      <c r="M7" s="1642"/>
      <c r="N7" s="1642"/>
      <c r="O7" s="1642"/>
    </row>
    <row r="8" s="1643" customFormat="true" ht="63.75" hidden="false" customHeight="true" outlineLevel="0" collapsed="false">
      <c r="A8" s="1640" t="s">
        <v>7347</v>
      </c>
      <c r="B8" s="1640"/>
      <c r="C8" s="1640"/>
      <c r="D8" s="1640"/>
      <c r="E8" s="1640"/>
      <c r="F8" s="1640"/>
      <c r="G8" s="1640"/>
      <c r="H8" s="1640"/>
      <c r="I8" s="1640"/>
      <c r="J8" s="1644"/>
      <c r="K8" s="1641"/>
      <c r="L8" s="1642"/>
      <c r="M8" s="1642"/>
      <c r="N8" s="1642"/>
      <c r="O8" s="1642"/>
    </row>
    <row r="9" s="1643" customFormat="true" ht="15" hidden="false" customHeight="false" outlineLevel="0" collapsed="false">
      <c r="A9" s="1631"/>
      <c r="B9" s="1632"/>
      <c r="C9" s="1645"/>
      <c r="D9" s="1633"/>
      <c r="E9" s="1633"/>
      <c r="F9" s="1316"/>
      <c r="G9" s="1316"/>
      <c r="H9" s="1316"/>
      <c r="I9" s="1317"/>
      <c r="J9" s="1644"/>
      <c r="K9" s="1641"/>
      <c r="L9" s="1642"/>
      <c r="M9" s="1642"/>
      <c r="N9" s="1642"/>
      <c r="O9" s="1642"/>
    </row>
    <row r="10" customFormat="false" ht="22.5" hidden="false" customHeight="true" outlineLevel="0" collapsed="false">
      <c r="A10" s="1646"/>
      <c r="B10" s="1647" t="s">
        <v>7348</v>
      </c>
      <c r="C10" s="457" t="s">
        <v>7349</v>
      </c>
      <c r="D10" s="1648" t="s">
        <v>7350</v>
      </c>
      <c r="E10" s="1649" t="s">
        <v>7351</v>
      </c>
      <c r="F10" s="1649"/>
      <c r="G10" s="1649"/>
      <c r="H10" s="1649"/>
      <c r="I10" s="1649"/>
      <c r="J10" s="1650"/>
      <c r="K10" s="679"/>
    </row>
    <row r="11" customFormat="false" ht="20.25" hidden="false" customHeight="true" outlineLevel="0" collapsed="false">
      <c r="A11" s="1646"/>
      <c r="B11" s="1647"/>
      <c r="C11" s="457"/>
      <c r="D11" s="1648"/>
      <c r="E11" s="1649" t="s">
        <v>7352</v>
      </c>
      <c r="F11" s="1649"/>
      <c r="G11" s="1649"/>
      <c r="H11" s="1649"/>
      <c r="I11" s="1651" t="s">
        <v>7353</v>
      </c>
      <c r="J11" s="1650"/>
      <c r="K11" s="679"/>
    </row>
    <row r="12" customFormat="false" ht="45.75" hidden="false" customHeight="true" outlineLevel="0" collapsed="false">
      <c r="A12" s="1646"/>
      <c r="B12" s="1647"/>
      <c r="C12" s="457"/>
      <c r="D12" s="1648"/>
      <c r="E12" s="1652" t="s">
        <v>6903</v>
      </c>
      <c r="F12" s="1653" t="s">
        <v>6904</v>
      </c>
      <c r="G12" s="719" t="s">
        <v>7354</v>
      </c>
      <c r="H12" s="719" t="s">
        <v>7355</v>
      </c>
      <c r="I12" s="1651"/>
      <c r="J12" s="679" t="s">
        <v>7356</v>
      </c>
      <c r="K12" s="679" t="s">
        <v>7357</v>
      </c>
    </row>
    <row r="13" customFormat="false" ht="15" hidden="false" customHeight="false" outlineLevel="0" collapsed="false">
      <c r="A13" s="1654" t="s">
        <v>4117</v>
      </c>
      <c r="B13" s="1647" t="n">
        <v>2</v>
      </c>
      <c r="C13" s="457" t="n">
        <v>3</v>
      </c>
      <c r="D13" s="1648" t="n">
        <v>4</v>
      </c>
      <c r="E13" s="1655" t="s">
        <v>2061</v>
      </c>
      <c r="F13" s="457" t="n">
        <v>6</v>
      </c>
      <c r="G13" s="456" t="s">
        <v>2259</v>
      </c>
      <c r="H13" s="457" t="n">
        <v>8</v>
      </c>
      <c r="I13" s="456" t="s">
        <v>2548</v>
      </c>
      <c r="J13" s="457"/>
      <c r="K13" s="456"/>
    </row>
    <row r="14" customFormat="false" ht="42.75" hidden="false" customHeight="false" outlineLevel="0" collapsed="false">
      <c r="A14" s="10" t="n">
        <v>1</v>
      </c>
      <c r="B14" s="11" t="s">
        <v>2879</v>
      </c>
      <c r="C14" s="1656"/>
      <c r="D14" s="1242"/>
      <c r="E14" s="1242"/>
      <c r="F14" s="1656"/>
      <c r="G14" s="1656"/>
      <c r="H14" s="1656"/>
      <c r="I14" s="1656"/>
      <c r="J14" s="1208"/>
      <c r="K14" s="1208"/>
    </row>
    <row r="15" customFormat="false" ht="142.5" hidden="false" customHeight="false" outlineLevel="0" collapsed="false">
      <c r="A15" s="1657" t="s">
        <v>11</v>
      </c>
      <c r="B15" s="1658" t="s">
        <v>2880</v>
      </c>
      <c r="C15" s="1659"/>
      <c r="D15" s="1660"/>
      <c r="E15" s="1660"/>
      <c r="F15" s="1659"/>
      <c r="G15" s="1659"/>
      <c r="H15" s="1659"/>
      <c r="I15" s="1659"/>
      <c r="J15" s="1661"/>
      <c r="K15" s="1661"/>
    </row>
    <row r="16" customFormat="false" ht="15" hidden="false" customHeight="false" outlineLevel="0" collapsed="false">
      <c r="A16" s="20" t="s">
        <v>13</v>
      </c>
      <c r="B16" s="21" t="s">
        <v>2881</v>
      </c>
      <c r="C16" s="569" t="n">
        <v>1</v>
      </c>
      <c r="D16" s="1105" t="n">
        <f aca="false">E16+F16+G16+H16</f>
        <v>15</v>
      </c>
      <c r="E16" s="1105" t="n">
        <v>5</v>
      </c>
      <c r="F16" s="569" t="n">
        <v>10</v>
      </c>
      <c r="G16" s="569"/>
      <c r="H16" s="569"/>
      <c r="I16" s="569"/>
      <c r="J16" s="679"/>
      <c r="K16" s="679"/>
    </row>
    <row r="17" customFormat="false" ht="15" hidden="false" customHeight="false" outlineLevel="0" collapsed="false">
      <c r="A17" s="20" t="s">
        <v>16</v>
      </c>
      <c r="B17" s="21" t="s">
        <v>2882</v>
      </c>
      <c r="C17" s="569" t="n">
        <v>1</v>
      </c>
      <c r="D17" s="1105" t="n">
        <f aca="false">E17+F17+G17+H17</f>
        <v>15</v>
      </c>
      <c r="E17" s="1105" t="n">
        <v>5</v>
      </c>
      <c r="F17" s="569" t="n">
        <v>10</v>
      </c>
      <c r="G17" s="569"/>
      <c r="H17" s="569"/>
      <c r="I17" s="569"/>
      <c r="J17" s="679"/>
      <c r="K17" s="679"/>
    </row>
    <row r="18" customFormat="false" ht="15" hidden="false" customHeight="false" outlineLevel="0" collapsed="false">
      <c r="A18" s="20" t="s">
        <v>18</v>
      </c>
      <c r="B18" s="21" t="s">
        <v>2883</v>
      </c>
      <c r="C18" s="569" t="n">
        <v>1</v>
      </c>
      <c r="D18" s="1105" t="n">
        <f aca="false">E18+F18+G18+H18</f>
        <v>20</v>
      </c>
      <c r="E18" s="1105" t="n">
        <v>10</v>
      </c>
      <c r="F18" s="569" t="n">
        <v>10</v>
      </c>
      <c r="G18" s="569"/>
      <c r="H18" s="569"/>
      <c r="I18" s="569"/>
      <c r="J18" s="679"/>
      <c r="K18" s="679"/>
    </row>
    <row r="19" customFormat="false" ht="15" hidden="false" customHeight="false" outlineLevel="0" collapsed="false">
      <c r="A19" s="20" t="s">
        <v>20</v>
      </c>
      <c r="B19" s="21" t="s">
        <v>2884</v>
      </c>
      <c r="C19" s="569" t="n">
        <v>1</v>
      </c>
      <c r="D19" s="1105" t="n">
        <f aca="false">E19+F19+G19+H19</f>
        <v>40</v>
      </c>
      <c r="E19" s="1105" t="n">
        <v>20</v>
      </c>
      <c r="F19" s="569" t="n">
        <v>20</v>
      </c>
      <c r="G19" s="569"/>
      <c r="H19" s="569"/>
      <c r="I19" s="569"/>
      <c r="J19" s="679"/>
      <c r="K19" s="679"/>
    </row>
    <row r="20" customFormat="false" ht="15" hidden="false" customHeight="false" outlineLevel="0" collapsed="false">
      <c r="A20" s="20" t="s">
        <v>22</v>
      </c>
      <c r="B20" s="21" t="s">
        <v>2885</v>
      </c>
      <c r="C20" s="569" t="n">
        <v>1</v>
      </c>
      <c r="D20" s="1105" t="n">
        <f aca="false">E20+F20+G20+H20</f>
        <v>30</v>
      </c>
      <c r="E20" s="1105" t="n">
        <v>15</v>
      </c>
      <c r="F20" s="569" t="n">
        <v>15</v>
      </c>
      <c r="G20" s="569"/>
      <c r="H20" s="569"/>
      <c r="I20" s="569" t="n">
        <v>10</v>
      </c>
      <c r="J20" s="679"/>
      <c r="K20" s="679"/>
    </row>
    <row r="21" customFormat="false" ht="15" hidden="false" customHeight="false" outlineLevel="0" collapsed="false">
      <c r="A21" s="20" t="s">
        <v>24</v>
      </c>
      <c r="B21" s="21" t="s">
        <v>2886</v>
      </c>
      <c r="C21" s="569" t="n">
        <v>1</v>
      </c>
      <c r="D21" s="1105" t="n">
        <f aca="false">E21+F21+G21+H21</f>
        <v>20</v>
      </c>
      <c r="E21" s="1105" t="n">
        <v>10</v>
      </c>
      <c r="F21" s="569" t="n">
        <v>10</v>
      </c>
      <c r="G21" s="569"/>
      <c r="H21" s="569"/>
      <c r="I21" s="569" t="n">
        <v>10</v>
      </c>
      <c r="J21" s="679"/>
      <c r="K21" s="679"/>
    </row>
    <row r="22" customFormat="false" ht="15" hidden="false" customHeight="false" outlineLevel="0" collapsed="false">
      <c r="A22" s="20" t="s">
        <v>26</v>
      </c>
      <c r="B22" s="25" t="s">
        <v>2887</v>
      </c>
      <c r="C22" s="569" t="n">
        <v>1</v>
      </c>
      <c r="D22" s="1105" t="n">
        <f aca="false">E22+F22+G22+H22</f>
        <v>40</v>
      </c>
      <c r="E22" s="1105" t="n">
        <v>20</v>
      </c>
      <c r="F22" s="569" t="n">
        <v>10</v>
      </c>
      <c r="G22" s="569"/>
      <c r="H22" s="569" t="n">
        <v>10</v>
      </c>
      <c r="I22" s="569" t="n">
        <v>10</v>
      </c>
      <c r="J22" s="679"/>
      <c r="K22" s="679"/>
    </row>
    <row r="23" customFormat="false" ht="15" hidden="false" customHeight="false" outlineLevel="0" collapsed="false">
      <c r="A23" s="20" t="s">
        <v>28</v>
      </c>
      <c r="B23" s="25" t="s">
        <v>2888</v>
      </c>
      <c r="C23" s="569" t="n">
        <v>1</v>
      </c>
      <c r="D23" s="1105" t="n">
        <f aca="false">E23+F23+G23+H23</f>
        <v>55</v>
      </c>
      <c r="E23" s="1105" t="n">
        <v>20</v>
      </c>
      <c r="F23" s="569" t="n">
        <v>25</v>
      </c>
      <c r="G23" s="569"/>
      <c r="H23" s="569" t="n">
        <v>10</v>
      </c>
      <c r="I23" s="569" t="n">
        <v>20</v>
      </c>
      <c r="J23" s="679"/>
      <c r="K23" s="679"/>
    </row>
    <row r="24" customFormat="false" ht="15" hidden="false" customHeight="false" outlineLevel="0" collapsed="false">
      <c r="A24" s="20" t="s">
        <v>30</v>
      </c>
      <c r="B24" s="25" t="s">
        <v>2889</v>
      </c>
      <c r="C24" s="569" t="n">
        <v>1</v>
      </c>
      <c r="D24" s="1105" t="n">
        <f aca="false">E24+F24+G24+H24</f>
        <v>70</v>
      </c>
      <c r="E24" s="1105" t="n">
        <v>30</v>
      </c>
      <c r="F24" s="569" t="n">
        <v>30</v>
      </c>
      <c r="G24" s="569"/>
      <c r="H24" s="569" t="n">
        <v>10</v>
      </c>
      <c r="I24" s="569" t="n">
        <v>10</v>
      </c>
      <c r="J24" s="679"/>
      <c r="K24" s="679"/>
    </row>
    <row r="25" customFormat="false" ht="15" hidden="false" customHeight="false" outlineLevel="0" collapsed="false">
      <c r="A25" s="20" t="s">
        <v>32</v>
      </c>
      <c r="B25" s="25" t="s">
        <v>2890</v>
      </c>
      <c r="C25" s="569" t="n">
        <v>1</v>
      </c>
      <c r="D25" s="1105" t="n">
        <f aca="false">E25+F25+G25+H25</f>
        <v>40</v>
      </c>
      <c r="E25" s="1105" t="n">
        <v>15</v>
      </c>
      <c r="F25" s="569" t="n">
        <v>15</v>
      </c>
      <c r="G25" s="569"/>
      <c r="H25" s="569" t="n">
        <v>10</v>
      </c>
      <c r="I25" s="569"/>
      <c r="J25" s="679"/>
      <c r="K25" s="679"/>
    </row>
    <row r="26" customFormat="false" ht="15" hidden="false" customHeight="false" outlineLevel="0" collapsed="false">
      <c r="A26" s="20" t="s">
        <v>34</v>
      </c>
      <c r="B26" s="25" t="s">
        <v>2891</v>
      </c>
      <c r="C26" s="569" t="n">
        <v>1</v>
      </c>
      <c r="D26" s="1105" t="n">
        <f aca="false">E26+F26+G26+H26</f>
        <v>45</v>
      </c>
      <c r="E26" s="1105" t="n">
        <v>20</v>
      </c>
      <c r="F26" s="569" t="n">
        <v>20</v>
      </c>
      <c r="G26" s="569"/>
      <c r="H26" s="569" t="n">
        <v>5</v>
      </c>
      <c r="I26" s="569"/>
      <c r="J26" s="679"/>
      <c r="K26" s="679"/>
    </row>
    <row r="27" customFormat="false" ht="15" hidden="false" customHeight="false" outlineLevel="0" collapsed="false">
      <c r="A27" s="20" t="s">
        <v>36</v>
      </c>
      <c r="B27" s="25" t="s">
        <v>2892</v>
      </c>
      <c r="C27" s="569" t="n">
        <v>1</v>
      </c>
      <c r="D27" s="1105" t="n">
        <f aca="false">E27+F27+G27+H27</f>
        <v>30</v>
      </c>
      <c r="E27" s="1105" t="n">
        <v>10</v>
      </c>
      <c r="F27" s="569" t="n">
        <v>10</v>
      </c>
      <c r="G27" s="569"/>
      <c r="H27" s="569" t="n">
        <v>10</v>
      </c>
      <c r="I27" s="569"/>
      <c r="J27" s="679"/>
      <c r="K27" s="679"/>
    </row>
    <row r="28" customFormat="false" ht="15" hidden="false" customHeight="false" outlineLevel="0" collapsed="false">
      <c r="A28" s="20" t="s">
        <v>38</v>
      </c>
      <c r="B28" s="25" t="s">
        <v>2893</v>
      </c>
      <c r="C28" s="569" t="n">
        <v>1</v>
      </c>
      <c r="D28" s="1105" t="n">
        <f aca="false">E28+F28+G28+H28</f>
        <v>60</v>
      </c>
      <c r="E28" s="1105" t="n">
        <v>20</v>
      </c>
      <c r="F28" s="569" t="n">
        <v>20</v>
      </c>
      <c r="G28" s="569"/>
      <c r="H28" s="569" t="n">
        <v>20</v>
      </c>
      <c r="I28" s="569" t="n">
        <v>10</v>
      </c>
      <c r="J28" s="679"/>
      <c r="K28" s="679"/>
    </row>
    <row r="29" customFormat="false" ht="15" hidden="false" customHeight="false" outlineLevel="0" collapsed="false">
      <c r="A29" s="20" t="s">
        <v>40</v>
      </c>
      <c r="B29" s="25" t="s">
        <v>2894</v>
      </c>
      <c r="C29" s="569" t="n">
        <v>1</v>
      </c>
      <c r="D29" s="1105" t="n">
        <f aca="false">E29+F29+G29+H29</f>
        <v>90</v>
      </c>
      <c r="E29" s="1105" t="n">
        <v>30</v>
      </c>
      <c r="F29" s="569" t="n">
        <v>30</v>
      </c>
      <c r="G29" s="569"/>
      <c r="H29" s="569" t="n">
        <v>30</v>
      </c>
      <c r="I29" s="569" t="n">
        <v>25</v>
      </c>
      <c r="J29" s="679"/>
      <c r="K29" s="679"/>
    </row>
    <row r="30" customFormat="false" ht="15" hidden="false" customHeight="false" outlineLevel="0" collapsed="false">
      <c r="A30" s="20" t="s">
        <v>42</v>
      </c>
      <c r="B30" s="25" t="s">
        <v>2895</v>
      </c>
      <c r="C30" s="569" t="n">
        <v>1</v>
      </c>
      <c r="D30" s="1105" t="n">
        <f aca="false">E30+F30+G30+H30</f>
        <v>85</v>
      </c>
      <c r="E30" s="1105" t="n">
        <v>40</v>
      </c>
      <c r="F30" s="569" t="n">
        <v>25</v>
      </c>
      <c r="G30" s="569"/>
      <c r="H30" s="569" t="n">
        <v>20</v>
      </c>
      <c r="I30" s="569" t="n">
        <v>25</v>
      </c>
      <c r="J30" s="679"/>
      <c r="K30" s="679"/>
    </row>
    <row r="31" customFormat="false" ht="15" hidden="false" customHeight="false" outlineLevel="0" collapsed="false">
      <c r="A31" s="20" t="s">
        <v>44</v>
      </c>
      <c r="B31" s="25" t="s">
        <v>2896</v>
      </c>
      <c r="C31" s="569" t="n">
        <v>1</v>
      </c>
      <c r="D31" s="1105" t="n">
        <f aca="false">E31+F31+G31+H31</f>
        <v>85</v>
      </c>
      <c r="E31" s="1105" t="n">
        <v>30</v>
      </c>
      <c r="F31" s="569" t="n">
        <v>35</v>
      </c>
      <c r="G31" s="569"/>
      <c r="H31" s="569" t="n">
        <v>20</v>
      </c>
      <c r="I31" s="569" t="n">
        <v>25</v>
      </c>
      <c r="J31" s="679"/>
      <c r="K31" s="679"/>
    </row>
    <row r="32" customFormat="false" ht="15" hidden="false" customHeight="false" outlineLevel="0" collapsed="false">
      <c r="A32" s="20" t="s">
        <v>46</v>
      </c>
      <c r="B32" s="25" t="s">
        <v>2897</v>
      </c>
      <c r="C32" s="569" t="n">
        <v>1</v>
      </c>
      <c r="D32" s="1105" t="n">
        <f aca="false">E32+F32+G32+H32</f>
        <v>50</v>
      </c>
      <c r="E32" s="547" t="n">
        <v>20</v>
      </c>
      <c r="F32" s="912" t="n">
        <v>20</v>
      </c>
      <c r="G32" s="912"/>
      <c r="H32" s="912" t="n">
        <v>10</v>
      </c>
      <c r="I32" s="912" t="n">
        <v>10</v>
      </c>
      <c r="J32" s="679"/>
      <c r="K32" s="679"/>
    </row>
    <row r="33" customFormat="false" ht="15" hidden="false" customHeight="false" outlineLevel="0" collapsed="false">
      <c r="A33" s="20" t="s">
        <v>48</v>
      </c>
      <c r="B33" s="25" t="s">
        <v>2898</v>
      </c>
      <c r="C33" s="569" t="n">
        <v>1</v>
      </c>
      <c r="D33" s="1105" t="n">
        <f aca="false">E33+F33+G33+H33</f>
        <v>70</v>
      </c>
      <c r="E33" s="547" t="n">
        <v>40</v>
      </c>
      <c r="F33" s="912" t="n">
        <v>20</v>
      </c>
      <c r="G33" s="912"/>
      <c r="H33" s="912" t="n">
        <v>10</v>
      </c>
      <c r="I33" s="569"/>
      <c r="J33" s="679"/>
      <c r="K33" s="679"/>
    </row>
    <row r="34" customFormat="false" ht="15" hidden="false" customHeight="false" outlineLevel="0" collapsed="false">
      <c r="A34" s="20" t="s">
        <v>50</v>
      </c>
      <c r="B34" s="25" t="s">
        <v>2899</v>
      </c>
      <c r="C34" s="569" t="n">
        <v>1</v>
      </c>
      <c r="D34" s="1105" t="n">
        <f aca="false">E34+F34+G34+H34</f>
        <v>100</v>
      </c>
      <c r="E34" s="547" t="n">
        <v>60</v>
      </c>
      <c r="F34" s="912" t="n">
        <v>30</v>
      </c>
      <c r="G34" s="912"/>
      <c r="H34" s="912" t="n">
        <v>10</v>
      </c>
      <c r="I34" s="569"/>
      <c r="J34" s="679"/>
      <c r="K34" s="679"/>
    </row>
    <row r="35" customFormat="false" ht="15" hidden="false" customHeight="false" outlineLevel="0" collapsed="false">
      <c r="A35" s="20" t="s">
        <v>52</v>
      </c>
      <c r="B35" s="25" t="s">
        <v>2900</v>
      </c>
      <c r="C35" s="569" t="n">
        <v>1</v>
      </c>
      <c r="D35" s="1105" t="n">
        <f aca="false">E35+F35+G35+H35</f>
        <v>50</v>
      </c>
      <c r="E35" s="547" t="n">
        <v>20</v>
      </c>
      <c r="F35" s="912" t="n">
        <v>20</v>
      </c>
      <c r="G35" s="912"/>
      <c r="H35" s="912" t="n">
        <v>10</v>
      </c>
      <c r="I35" s="569"/>
      <c r="J35" s="679"/>
      <c r="K35" s="679"/>
    </row>
    <row r="36" customFormat="false" ht="15" hidden="false" customHeight="false" outlineLevel="0" collapsed="false">
      <c r="A36" s="20" t="s">
        <v>54</v>
      </c>
      <c r="B36" s="25" t="s">
        <v>2901</v>
      </c>
      <c r="C36" s="569" t="n">
        <v>1</v>
      </c>
      <c r="D36" s="1105" t="n">
        <f aca="false">E36+F36+G36+H36</f>
        <v>90</v>
      </c>
      <c r="E36" s="547" t="n">
        <v>50</v>
      </c>
      <c r="F36" s="912" t="n">
        <v>30</v>
      </c>
      <c r="G36" s="912"/>
      <c r="H36" s="912" t="n">
        <v>10</v>
      </c>
      <c r="I36" s="569"/>
      <c r="J36" s="679"/>
      <c r="K36" s="679"/>
    </row>
    <row r="37" customFormat="false" ht="15" hidden="false" customHeight="false" outlineLevel="0" collapsed="false">
      <c r="A37" s="20" t="s">
        <v>56</v>
      </c>
      <c r="B37" s="25" t="s">
        <v>2902</v>
      </c>
      <c r="C37" s="569" t="n">
        <v>1</v>
      </c>
      <c r="D37" s="1105" t="n">
        <f aca="false">E37+F37+G37+H37</f>
        <v>60</v>
      </c>
      <c r="E37" s="547" t="n">
        <v>30</v>
      </c>
      <c r="F37" s="912" t="n">
        <v>20</v>
      </c>
      <c r="G37" s="912"/>
      <c r="H37" s="912" t="n">
        <v>10</v>
      </c>
      <c r="I37" s="569"/>
      <c r="J37" s="679"/>
      <c r="K37" s="679"/>
    </row>
    <row r="38" customFormat="false" ht="15" hidden="false" customHeight="false" outlineLevel="0" collapsed="false">
      <c r="A38" s="20" t="s">
        <v>58</v>
      </c>
      <c r="B38" s="25" t="s">
        <v>2903</v>
      </c>
      <c r="C38" s="569" t="n">
        <v>1</v>
      </c>
      <c r="D38" s="1105" t="n">
        <f aca="false">E38+F38+G38+H38</f>
        <v>60</v>
      </c>
      <c r="E38" s="547" t="n">
        <v>30</v>
      </c>
      <c r="F38" s="912" t="n">
        <v>20</v>
      </c>
      <c r="G38" s="912"/>
      <c r="H38" s="912" t="n">
        <v>10</v>
      </c>
      <c r="I38" s="569"/>
      <c r="J38" s="679"/>
      <c r="K38" s="679"/>
    </row>
    <row r="39" customFormat="false" ht="15" hidden="false" customHeight="false" outlineLevel="0" collapsed="false">
      <c r="A39" s="20" t="s">
        <v>60</v>
      </c>
      <c r="B39" s="25" t="s">
        <v>2904</v>
      </c>
      <c r="C39" s="569" t="n">
        <v>1</v>
      </c>
      <c r="D39" s="1105" t="n">
        <f aca="false">E39+F39+G39+H39</f>
        <v>80</v>
      </c>
      <c r="E39" s="547" t="n">
        <v>30</v>
      </c>
      <c r="F39" s="912" t="n">
        <v>30</v>
      </c>
      <c r="G39" s="912"/>
      <c r="H39" s="912" t="n">
        <v>20</v>
      </c>
      <c r="I39" s="569"/>
      <c r="J39" s="679"/>
      <c r="K39" s="679"/>
    </row>
    <row r="40" customFormat="false" ht="15" hidden="false" customHeight="false" outlineLevel="0" collapsed="false">
      <c r="A40" s="20" t="s">
        <v>62</v>
      </c>
      <c r="B40" s="25" t="s">
        <v>2905</v>
      </c>
      <c r="C40" s="569" t="n">
        <v>1</v>
      </c>
      <c r="D40" s="1105" t="n">
        <f aca="false">E40+F40+G40+H40</f>
        <v>60</v>
      </c>
      <c r="E40" s="547" t="n">
        <v>30</v>
      </c>
      <c r="F40" s="912" t="n">
        <v>20</v>
      </c>
      <c r="G40" s="912"/>
      <c r="H40" s="912" t="n">
        <v>10</v>
      </c>
      <c r="I40" s="569"/>
      <c r="J40" s="679"/>
      <c r="K40" s="679"/>
    </row>
    <row r="41" customFormat="false" ht="15" hidden="false" customHeight="false" outlineLevel="0" collapsed="false">
      <c r="A41" s="20" t="s">
        <v>64</v>
      </c>
      <c r="B41" s="25" t="s">
        <v>2906</v>
      </c>
      <c r="C41" s="569" t="n">
        <v>1</v>
      </c>
      <c r="D41" s="1105" t="n">
        <f aca="false">E41+F41+G41+H41</f>
        <v>40</v>
      </c>
      <c r="E41" s="547" t="n">
        <v>20</v>
      </c>
      <c r="F41" s="912" t="n">
        <v>20</v>
      </c>
      <c r="G41" s="912"/>
      <c r="H41" s="912"/>
      <c r="I41" s="912" t="n">
        <v>25</v>
      </c>
      <c r="J41" s="679"/>
      <c r="K41" s="679"/>
    </row>
    <row r="42" customFormat="false" ht="15" hidden="false" customHeight="false" outlineLevel="0" collapsed="false">
      <c r="A42" s="20" t="s">
        <v>66</v>
      </c>
      <c r="B42" s="25" t="s">
        <v>2907</v>
      </c>
      <c r="C42" s="569" t="n">
        <v>1</v>
      </c>
      <c r="D42" s="1105" t="n">
        <f aca="false">E42+F42+G42+H42</f>
        <v>80</v>
      </c>
      <c r="E42" s="547" t="n">
        <v>40</v>
      </c>
      <c r="F42" s="912" t="n">
        <v>20</v>
      </c>
      <c r="G42" s="912"/>
      <c r="H42" s="912" t="n">
        <v>20</v>
      </c>
      <c r="I42" s="912" t="n">
        <v>25</v>
      </c>
      <c r="J42" s="679"/>
      <c r="K42" s="679"/>
    </row>
    <row r="43" customFormat="false" ht="30" hidden="false" customHeight="false" outlineLevel="0" collapsed="false">
      <c r="A43" s="20" t="s">
        <v>68</v>
      </c>
      <c r="B43" s="25" t="s">
        <v>2908</v>
      </c>
      <c r="C43" s="569" t="n">
        <v>1</v>
      </c>
      <c r="D43" s="1105" t="n">
        <f aca="false">E43+F43+G43+H43</f>
        <v>70</v>
      </c>
      <c r="E43" s="547" t="n">
        <v>40</v>
      </c>
      <c r="F43" s="912" t="n">
        <v>20</v>
      </c>
      <c r="G43" s="912"/>
      <c r="H43" s="912" t="n">
        <v>10</v>
      </c>
      <c r="I43" s="569"/>
      <c r="J43" s="679"/>
      <c r="K43" s="679"/>
    </row>
    <row r="44" customFormat="false" ht="30" hidden="false" customHeight="false" outlineLevel="0" collapsed="false">
      <c r="A44" s="20" t="s">
        <v>70</v>
      </c>
      <c r="B44" s="25" t="s">
        <v>2909</v>
      </c>
      <c r="C44" s="569" t="n">
        <v>1</v>
      </c>
      <c r="D44" s="1105" t="n">
        <f aca="false">E44+F44+G44+H44</f>
        <v>90</v>
      </c>
      <c r="E44" s="547" t="n">
        <v>40</v>
      </c>
      <c r="F44" s="912" t="n">
        <v>25</v>
      </c>
      <c r="G44" s="912"/>
      <c r="H44" s="912" t="n">
        <v>25</v>
      </c>
      <c r="I44" s="569"/>
      <c r="J44" s="679"/>
      <c r="K44" s="679"/>
    </row>
    <row r="45" customFormat="false" ht="30" hidden="false" customHeight="false" outlineLevel="0" collapsed="false">
      <c r="A45" s="20" t="s">
        <v>72</v>
      </c>
      <c r="B45" s="25" t="s">
        <v>2910</v>
      </c>
      <c r="C45" s="569" t="n">
        <v>1</v>
      </c>
      <c r="D45" s="1105" t="n">
        <f aca="false">E45+F45+G45+H45</f>
        <v>90</v>
      </c>
      <c r="E45" s="547" t="n">
        <v>40</v>
      </c>
      <c r="F45" s="912" t="n">
        <v>25</v>
      </c>
      <c r="G45" s="912"/>
      <c r="H45" s="912" t="n">
        <v>25</v>
      </c>
      <c r="I45" s="569"/>
      <c r="J45" s="679"/>
      <c r="K45" s="679"/>
    </row>
    <row r="46" customFormat="false" ht="30" hidden="false" customHeight="false" outlineLevel="0" collapsed="false">
      <c r="A46" s="20" t="s">
        <v>74</v>
      </c>
      <c r="B46" s="25" t="s">
        <v>2911</v>
      </c>
      <c r="C46" s="569" t="n">
        <v>1</v>
      </c>
      <c r="D46" s="1105" t="n">
        <f aca="false">E46+F46+G46+H46</f>
        <v>185</v>
      </c>
      <c r="E46" s="547" t="n">
        <v>90</v>
      </c>
      <c r="F46" s="912" t="n">
        <v>75</v>
      </c>
      <c r="G46" s="912"/>
      <c r="H46" s="912" t="n">
        <v>20</v>
      </c>
      <c r="I46" s="912" t="n">
        <v>25</v>
      </c>
      <c r="J46" s="679"/>
      <c r="K46" s="679"/>
    </row>
    <row r="47" customFormat="false" ht="15" hidden="false" customHeight="false" outlineLevel="0" collapsed="false">
      <c r="A47" s="20" t="s">
        <v>76</v>
      </c>
      <c r="B47" s="25" t="s">
        <v>2912</v>
      </c>
      <c r="C47" s="569" t="n">
        <v>1</v>
      </c>
      <c r="D47" s="1105" t="n">
        <f aca="false">E47+F47+G47+H47</f>
        <v>130</v>
      </c>
      <c r="E47" s="547" t="n">
        <v>50</v>
      </c>
      <c r="F47" s="912" t="n">
        <v>55</v>
      </c>
      <c r="G47" s="912"/>
      <c r="H47" s="912" t="n">
        <v>25</v>
      </c>
      <c r="I47" s="912" t="n">
        <v>25</v>
      </c>
      <c r="J47" s="679"/>
      <c r="K47" s="679"/>
    </row>
    <row r="48" customFormat="false" ht="15" hidden="false" customHeight="false" outlineLevel="0" collapsed="false">
      <c r="A48" s="20" t="s">
        <v>78</v>
      </c>
      <c r="B48" s="25" t="s">
        <v>2913</v>
      </c>
      <c r="C48" s="569" t="n">
        <v>1</v>
      </c>
      <c r="D48" s="1105" t="n">
        <f aca="false">E48+F48+G48+H48</f>
        <v>170</v>
      </c>
      <c r="E48" s="547" t="n">
        <v>80</v>
      </c>
      <c r="F48" s="912" t="n">
        <v>60</v>
      </c>
      <c r="G48" s="912"/>
      <c r="H48" s="912" t="n">
        <v>30</v>
      </c>
      <c r="I48" s="912" t="n">
        <v>175</v>
      </c>
      <c r="J48" s="679"/>
      <c r="K48" s="679"/>
    </row>
    <row r="49" customFormat="false" ht="15" hidden="false" customHeight="false" outlineLevel="0" collapsed="false">
      <c r="A49" s="20" t="s">
        <v>80</v>
      </c>
      <c r="B49" s="25" t="s">
        <v>2914</v>
      </c>
      <c r="C49" s="569" t="n">
        <v>1</v>
      </c>
      <c r="D49" s="1105" t="n">
        <f aca="false">E49+F49+G49+H49</f>
        <v>210</v>
      </c>
      <c r="E49" s="547" t="n">
        <v>100</v>
      </c>
      <c r="F49" s="912" t="n">
        <v>60</v>
      </c>
      <c r="G49" s="912" t="n">
        <v>30</v>
      </c>
      <c r="H49" s="912" t="n">
        <v>20</v>
      </c>
      <c r="I49" s="912" t="n">
        <v>150</v>
      </c>
      <c r="J49" s="679"/>
      <c r="K49" s="679"/>
    </row>
    <row r="50" customFormat="false" ht="15" hidden="false" customHeight="false" outlineLevel="0" collapsed="false">
      <c r="A50" s="20" t="s">
        <v>82</v>
      </c>
      <c r="B50" s="25" t="s">
        <v>2915</v>
      </c>
      <c r="C50" s="569" t="n">
        <v>1</v>
      </c>
      <c r="D50" s="1105" t="n">
        <f aca="false">E50+F50+G50+H50</f>
        <v>40</v>
      </c>
      <c r="E50" s="547" t="n">
        <v>15</v>
      </c>
      <c r="F50" s="912" t="n">
        <v>15</v>
      </c>
      <c r="G50" s="912"/>
      <c r="H50" s="912" t="n">
        <v>10</v>
      </c>
      <c r="I50" s="569" t="n">
        <v>15</v>
      </c>
      <c r="J50" s="679"/>
      <c r="K50" s="679"/>
    </row>
    <row r="51" customFormat="false" ht="15" hidden="false" customHeight="false" outlineLevel="0" collapsed="false">
      <c r="A51" s="20" t="s">
        <v>84</v>
      </c>
      <c r="B51" s="25" t="s">
        <v>2916</v>
      </c>
      <c r="C51" s="569" t="n">
        <v>1</v>
      </c>
      <c r="D51" s="1105" t="n">
        <f aca="false">E51+F51+G51+H51</f>
        <v>70</v>
      </c>
      <c r="E51" s="547" t="n">
        <v>30</v>
      </c>
      <c r="F51" s="912" t="n">
        <v>30</v>
      </c>
      <c r="G51" s="912"/>
      <c r="H51" s="912" t="n">
        <v>10</v>
      </c>
      <c r="I51" s="912" t="n">
        <v>55</v>
      </c>
      <c r="J51" s="679"/>
      <c r="K51" s="679"/>
    </row>
    <row r="52" customFormat="false" ht="15" hidden="false" customHeight="false" outlineLevel="0" collapsed="false">
      <c r="A52" s="20" t="s">
        <v>86</v>
      </c>
      <c r="B52" s="25" t="s">
        <v>2917</v>
      </c>
      <c r="C52" s="569" t="n">
        <v>1</v>
      </c>
      <c r="D52" s="1105" t="n">
        <f aca="false">E52+F52+G52+H52</f>
        <v>230</v>
      </c>
      <c r="E52" s="547" t="n">
        <v>80</v>
      </c>
      <c r="F52" s="912" t="n">
        <v>100</v>
      </c>
      <c r="G52" s="912" t="n">
        <v>35</v>
      </c>
      <c r="H52" s="912" t="n">
        <v>15</v>
      </c>
      <c r="I52" s="912" t="n">
        <v>120</v>
      </c>
      <c r="J52" s="679"/>
      <c r="K52" s="679"/>
    </row>
    <row r="53" customFormat="false" ht="15" hidden="false" customHeight="false" outlineLevel="0" collapsed="false">
      <c r="A53" s="20" t="s">
        <v>88</v>
      </c>
      <c r="B53" s="25" t="s">
        <v>2918</v>
      </c>
      <c r="C53" s="569" t="n">
        <v>1</v>
      </c>
      <c r="D53" s="1105" t="n">
        <f aca="false">E53+F53+G53+H53</f>
        <v>170</v>
      </c>
      <c r="E53" s="547" t="n">
        <v>70</v>
      </c>
      <c r="F53" s="912" t="n">
        <v>50</v>
      </c>
      <c r="G53" s="912" t="n">
        <v>30</v>
      </c>
      <c r="H53" s="912" t="n">
        <v>20</v>
      </c>
      <c r="I53" s="912" t="n">
        <v>170</v>
      </c>
      <c r="J53" s="679"/>
      <c r="K53" s="679"/>
    </row>
    <row r="54" customFormat="false" ht="15" hidden="false" customHeight="false" outlineLevel="0" collapsed="false">
      <c r="A54" s="20" t="s">
        <v>90</v>
      </c>
      <c r="B54" s="25" t="s">
        <v>2919</v>
      </c>
      <c r="C54" s="569" t="n">
        <v>1</v>
      </c>
      <c r="D54" s="1105" t="n">
        <f aca="false">E54+F54+G54+H54</f>
        <v>205</v>
      </c>
      <c r="E54" s="547" t="n">
        <v>60</v>
      </c>
      <c r="F54" s="912" t="n">
        <v>100</v>
      </c>
      <c r="G54" s="912" t="n">
        <v>30</v>
      </c>
      <c r="H54" s="912" t="n">
        <v>15</v>
      </c>
      <c r="I54" s="912" t="n">
        <v>120</v>
      </c>
      <c r="J54" s="679"/>
      <c r="K54" s="679"/>
    </row>
    <row r="55" customFormat="false" ht="15" hidden="false" customHeight="false" outlineLevel="0" collapsed="false">
      <c r="A55" s="20" t="s">
        <v>92</v>
      </c>
      <c r="B55" s="25" t="s">
        <v>2920</v>
      </c>
      <c r="C55" s="569" t="n">
        <v>1</v>
      </c>
      <c r="D55" s="1105" t="n">
        <f aca="false">E55+F55+G55+H55</f>
        <v>170</v>
      </c>
      <c r="E55" s="547" t="n">
        <v>70</v>
      </c>
      <c r="F55" s="912" t="n">
        <v>50</v>
      </c>
      <c r="G55" s="912" t="n">
        <v>30</v>
      </c>
      <c r="H55" s="912" t="n">
        <v>20</v>
      </c>
      <c r="I55" s="912" t="n">
        <v>170</v>
      </c>
      <c r="J55" s="679"/>
      <c r="K55" s="679"/>
    </row>
    <row r="56" customFormat="false" ht="15" hidden="false" customHeight="false" outlineLevel="0" collapsed="false">
      <c r="A56" s="20" t="s">
        <v>94</v>
      </c>
      <c r="B56" s="25" t="s">
        <v>2921</v>
      </c>
      <c r="C56" s="569" t="n">
        <v>1</v>
      </c>
      <c r="D56" s="1105" t="n">
        <f aca="false">E56+F56+G56+H56</f>
        <v>205</v>
      </c>
      <c r="E56" s="547" t="n">
        <v>60</v>
      </c>
      <c r="F56" s="912" t="n">
        <v>100</v>
      </c>
      <c r="G56" s="912" t="n">
        <v>30</v>
      </c>
      <c r="H56" s="912" t="n">
        <v>15</v>
      </c>
      <c r="I56" s="912" t="n">
        <v>120</v>
      </c>
      <c r="J56" s="679"/>
      <c r="K56" s="679"/>
    </row>
    <row r="57" customFormat="false" ht="15" hidden="false" customHeight="false" outlineLevel="0" collapsed="false">
      <c r="A57" s="20" t="s">
        <v>96</v>
      </c>
      <c r="B57" s="25" t="s">
        <v>2922</v>
      </c>
      <c r="C57" s="569" t="n">
        <v>1</v>
      </c>
      <c r="D57" s="1105" t="n">
        <f aca="false">E57+F57+G57+H57</f>
        <v>170</v>
      </c>
      <c r="E57" s="547" t="n">
        <v>70</v>
      </c>
      <c r="F57" s="912" t="n">
        <v>50</v>
      </c>
      <c r="G57" s="912" t="n">
        <v>30</v>
      </c>
      <c r="H57" s="912" t="n">
        <v>20</v>
      </c>
      <c r="I57" s="912" t="n">
        <v>170</v>
      </c>
      <c r="J57" s="679"/>
      <c r="K57" s="679"/>
    </row>
    <row r="58" customFormat="false" ht="19.5" hidden="false" customHeight="true" outlineLevel="0" collapsed="false">
      <c r="A58" s="20" t="s">
        <v>98</v>
      </c>
      <c r="B58" s="25" t="s">
        <v>2923</v>
      </c>
      <c r="C58" s="569" t="n">
        <v>1</v>
      </c>
      <c r="D58" s="1105" t="n">
        <f aca="false">E58+F58+G58+H58</f>
        <v>205</v>
      </c>
      <c r="E58" s="547" t="n">
        <v>60</v>
      </c>
      <c r="F58" s="912" t="n">
        <v>100</v>
      </c>
      <c r="G58" s="912" t="n">
        <v>30</v>
      </c>
      <c r="H58" s="912" t="n">
        <v>15</v>
      </c>
      <c r="I58" s="912" t="n">
        <v>120</v>
      </c>
      <c r="J58" s="679"/>
      <c r="K58" s="679"/>
    </row>
    <row r="59" customFormat="false" ht="15" hidden="false" customHeight="false" outlineLevel="0" collapsed="false">
      <c r="A59" s="20" t="s">
        <v>100</v>
      </c>
      <c r="B59" s="25" t="s">
        <v>2924</v>
      </c>
      <c r="C59" s="569" t="n">
        <v>1</v>
      </c>
      <c r="D59" s="1105" t="n">
        <f aca="false">E59+F59+G59+H59</f>
        <v>100</v>
      </c>
      <c r="E59" s="547" t="n">
        <v>50</v>
      </c>
      <c r="F59" s="912" t="n">
        <v>40</v>
      </c>
      <c r="G59" s="912"/>
      <c r="H59" s="912" t="n">
        <v>10</v>
      </c>
      <c r="I59" s="912" t="n">
        <v>170</v>
      </c>
      <c r="J59" s="679"/>
      <c r="K59" s="679"/>
    </row>
    <row r="60" customFormat="false" ht="15" hidden="false" customHeight="false" outlineLevel="0" collapsed="false">
      <c r="A60" s="20" t="s">
        <v>102</v>
      </c>
      <c r="B60" s="25" t="s">
        <v>2925</v>
      </c>
      <c r="C60" s="569" t="n">
        <v>1</v>
      </c>
      <c r="D60" s="1105" t="n">
        <f aca="false">E60+F60+G60+H60</f>
        <v>205</v>
      </c>
      <c r="E60" s="547" t="n">
        <v>60</v>
      </c>
      <c r="F60" s="912" t="n">
        <v>100</v>
      </c>
      <c r="G60" s="912" t="n">
        <v>30</v>
      </c>
      <c r="H60" s="912" t="n">
        <v>15</v>
      </c>
      <c r="I60" s="912" t="n">
        <v>120</v>
      </c>
      <c r="J60" s="679"/>
      <c r="K60" s="679"/>
    </row>
    <row r="61" customFormat="false" ht="15" hidden="false" customHeight="false" outlineLevel="0" collapsed="false">
      <c r="A61" s="20" t="s">
        <v>104</v>
      </c>
      <c r="B61" s="25" t="s">
        <v>2926</v>
      </c>
      <c r="C61" s="569" t="n">
        <v>1</v>
      </c>
      <c r="D61" s="1105" t="n">
        <f aca="false">E61+F61+G61+H61</f>
        <v>170</v>
      </c>
      <c r="E61" s="547" t="n">
        <v>70</v>
      </c>
      <c r="F61" s="912" t="n">
        <v>50</v>
      </c>
      <c r="G61" s="912" t="n">
        <v>30</v>
      </c>
      <c r="H61" s="912" t="n">
        <v>20</v>
      </c>
      <c r="I61" s="912" t="n">
        <v>170</v>
      </c>
      <c r="J61" s="679"/>
      <c r="K61" s="679"/>
    </row>
    <row r="62" customFormat="false" ht="15" hidden="false" customHeight="false" outlineLevel="0" collapsed="false">
      <c r="A62" s="20" t="s">
        <v>106</v>
      </c>
      <c r="B62" s="25" t="s">
        <v>2927</v>
      </c>
      <c r="C62" s="569" t="n">
        <v>1</v>
      </c>
      <c r="D62" s="1105" t="n">
        <f aca="false">E62+F62+G62+H62</f>
        <v>205</v>
      </c>
      <c r="E62" s="547" t="n">
        <v>60</v>
      </c>
      <c r="F62" s="912" t="n">
        <v>100</v>
      </c>
      <c r="G62" s="912" t="n">
        <v>30</v>
      </c>
      <c r="H62" s="912" t="n">
        <v>15</v>
      </c>
      <c r="I62" s="912" t="n">
        <v>120</v>
      </c>
      <c r="J62" s="679"/>
      <c r="K62" s="679"/>
    </row>
    <row r="63" customFormat="false" ht="15" hidden="false" customHeight="false" outlineLevel="0" collapsed="false">
      <c r="A63" s="20" t="s">
        <v>108</v>
      </c>
      <c r="B63" s="25" t="s">
        <v>2928</v>
      </c>
      <c r="C63" s="569" t="n">
        <v>1</v>
      </c>
      <c r="D63" s="1105" t="n">
        <f aca="false">E63+F63+G63+H63</f>
        <v>170</v>
      </c>
      <c r="E63" s="547" t="n">
        <v>70</v>
      </c>
      <c r="F63" s="912" t="n">
        <v>50</v>
      </c>
      <c r="G63" s="912" t="n">
        <v>30</v>
      </c>
      <c r="H63" s="912" t="n">
        <v>20</v>
      </c>
      <c r="I63" s="912" t="n">
        <v>170</v>
      </c>
      <c r="J63" s="679"/>
      <c r="K63" s="679"/>
    </row>
    <row r="64" customFormat="false" ht="15" hidden="false" customHeight="false" outlineLevel="0" collapsed="false">
      <c r="A64" s="20" t="s">
        <v>110</v>
      </c>
      <c r="B64" s="21" t="s">
        <v>2929</v>
      </c>
      <c r="C64" s="569" t="n">
        <v>1</v>
      </c>
      <c r="D64" s="1105" t="n">
        <f aca="false">E64+F64+G64+H64</f>
        <v>65</v>
      </c>
      <c r="E64" s="547" t="n">
        <v>25</v>
      </c>
      <c r="F64" s="912" t="n">
        <v>20</v>
      </c>
      <c r="G64" s="912"/>
      <c r="H64" s="912" t="n">
        <v>20</v>
      </c>
      <c r="I64" s="912" t="n">
        <v>25</v>
      </c>
      <c r="J64" s="679"/>
      <c r="K64" s="679"/>
    </row>
    <row r="65" customFormat="false" ht="15" hidden="false" customHeight="false" outlineLevel="0" collapsed="false">
      <c r="A65" s="20" t="s">
        <v>112</v>
      </c>
      <c r="B65" s="21" t="s">
        <v>2930</v>
      </c>
      <c r="C65" s="569" t="n">
        <v>1</v>
      </c>
      <c r="D65" s="1105" t="n">
        <f aca="false">E65+F65+G65+H65</f>
        <v>170</v>
      </c>
      <c r="E65" s="547" t="n">
        <v>70</v>
      </c>
      <c r="F65" s="912" t="n">
        <v>50</v>
      </c>
      <c r="G65" s="912" t="n">
        <v>30</v>
      </c>
      <c r="H65" s="912" t="n">
        <v>20</v>
      </c>
      <c r="I65" s="912" t="n">
        <v>170</v>
      </c>
      <c r="J65" s="679"/>
      <c r="K65" s="679"/>
    </row>
    <row r="66" customFormat="false" ht="15" hidden="false" customHeight="false" outlineLevel="0" collapsed="false">
      <c r="A66" s="20" t="s">
        <v>114</v>
      </c>
      <c r="B66" s="21" t="s">
        <v>2931</v>
      </c>
      <c r="C66" s="569" t="n">
        <v>1</v>
      </c>
      <c r="D66" s="1105" t="n">
        <f aca="false">E66+F66+G66+H66</f>
        <v>100</v>
      </c>
      <c r="E66" s="547" t="n">
        <v>60</v>
      </c>
      <c r="F66" s="912" t="n">
        <v>20</v>
      </c>
      <c r="G66" s="912"/>
      <c r="H66" s="912" t="n">
        <v>20</v>
      </c>
      <c r="I66" s="912" t="n">
        <v>160</v>
      </c>
      <c r="J66" s="679"/>
      <c r="K66" s="679"/>
    </row>
    <row r="67" customFormat="false" ht="15" hidden="false" customHeight="false" outlineLevel="0" collapsed="false">
      <c r="A67" s="20" t="s">
        <v>116</v>
      </c>
      <c r="B67" s="25" t="s">
        <v>2932</v>
      </c>
      <c r="C67" s="569" t="n">
        <v>1</v>
      </c>
      <c r="D67" s="1105" t="n">
        <f aca="false">E67+F67+G67+H67</f>
        <v>150</v>
      </c>
      <c r="E67" s="547" t="n">
        <v>90</v>
      </c>
      <c r="F67" s="912" t="n">
        <v>40</v>
      </c>
      <c r="G67" s="912"/>
      <c r="H67" s="912" t="n">
        <v>20</v>
      </c>
      <c r="I67" s="912" t="n">
        <v>25</v>
      </c>
      <c r="J67" s="679"/>
      <c r="K67" s="679"/>
    </row>
    <row r="68" customFormat="false" ht="15" hidden="false" customHeight="false" outlineLevel="0" collapsed="false">
      <c r="A68" s="20" t="s">
        <v>118</v>
      </c>
      <c r="B68" s="21" t="s">
        <v>2933</v>
      </c>
      <c r="C68" s="569" t="n">
        <v>1</v>
      </c>
      <c r="D68" s="1105" t="n">
        <f aca="false">E68+F68+G68+H68</f>
        <v>180</v>
      </c>
      <c r="E68" s="547" t="n">
        <v>80</v>
      </c>
      <c r="F68" s="912" t="n">
        <v>50</v>
      </c>
      <c r="G68" s="912" t="n">
        <v>30</v>
      </c>
      <c r="H68" s="912" t="n">
        <v>20</v>
      </c>
      <c r="I68" s="912" t="n">
        <v>170</v>
      </c>
      <c r="J68" s="679"/>
      <c r="K68" s="679"/>
    </row>
    <row r="69" customFormat="false" ht="15" hidden="false" customHeight="false" outlineLevel="0" collapsed="false">
      <c r="A69" s="20" t="s">
        <v>120</v>
      </c>
      <c r="B69" s="21" t="s">
        <v>2934</v>
      </c>
      <c r="C69" s="569" t="n">
        <v>1</v>
      </c>
      <c r="D69" s="1105" t="n">
        <f aca="false">E69+F69+G69+H69</f>
        <v>200</v>
      </c>
      <c r="E69" s="547" t="n">
        <v>120</v>
      </c>
      <c r="F69" s="912" t="n">
        <v>60</v>
      </c>
      <c r="G69" s="912"/>
      <c r="H69" s="912" t="n">
        <v>20</v>
      </c>
      <c r="I69" s="912" t="n">
        <v>160</v>
      </c>
      <c r="J69" s="679"/>
      <c r="K69" s="679"/>
    </row>
    <row r="70" customFormat="false" ht="15" hidden="false" customHeight="false" outlineLevel="0" collapsed="false">
      <c r="A70" s="20" t="s">
        <v>122</v>
      </c>
      <c r="B70" s="21" t="s">
        <v>2935</v>
      </c>
      <c r="C70" s="569" t="n">
        <v>1</v>
      </c>
      <c r="D70" s="1105" t="n">
        <f aca="false">E70+F70+G70+H70</f>
        <v>170</v>
      </c>
      <c r="E70" s="547" t="n">
        <v>70</v>
      </c>
      <c r="F70" s="912" t="n">
        <v>50</v>
      </c>
      <c r="G70" s="912" t="n">
        <v>30</v>
      </c>
      <c r="H70" s="912" t="n">
        <v>20</v>
      </c>
      <c r="I70" s="912" t="n">
        <v>170</v>
      </c>
      <c r="J70" s="679"/>
      <c r="K70" s="679"/>
    </row>
    <row r="71" customFormat="false" ht="15" hidden="false" customHeight="false" outlineLevel="0" collapsed="false">
      <c r="A71" s="20" t="s">
        <v>124</v>
      </c>
      <c r="B71" s="25" t="s">
        <v>2936</v>
      </c>
      <c r="C71" s="569" t="n">
        <v>1</v>
      </c>
      <c r="D71" s="1105" t="n">
        <f aca="false">E71+F71+G71+H71</f>
        <v>50</v>
      </c>
      <c r="E71" s="547" t="n">
        <v>20</v>
      </c>
      <c r="F71" s="912" t="n">
        <v>20</v>
      </c>
      <c r="G71" s="912"/>
      <c r="H71" s="912" t="n">
        <v>10</v>
      </c>
      <c r="I71" s="912" t="n">
        <v>25</v>
      </c>
      <c r="J71" s="679"/>
      <c r="K71" s="679"/>
    </row>
    <row r="72" customFormat="false" ht="15" hidden="false" customHeight="false" outlineLevel="0" collapsed="false">
      <c r="A72" s="20" t="s">
        <v>126</v>
      </c>
      <c r="B72" s="25" t="s">
        <v>2937</v>
      </c>
      <c r="C72" s="569" t="n">
        <v>1</v>
      </c>
      <c r="D72" s="1105" t="n">
        <f aca="false">E72+F72+G72+H72</f>
        <v>120</v>
      </c>
      <c r="E72" s="547" t="n">
        <v>60</v>
      </c>
      <c r="F72" s="912" t="n">
        <v>40</v>
      </c>
      <c r="G72" s="912"/>
      <c r="H72" s="912" t="n">
        <v>20</v>
      </c>
      <c r="I72" s="912" t="n">
        <v>25</v>
      </c>
      <c r="J72" s="679"/>
      <c r="K72" s="679"/>
    </row>
    <row r="73" customFormat="false" ht="15" hidden="false" customHeight="false" outlineLevel="0" collapsed="false">
      <c r="A73" s="20" t="s">
        <v>128</v>
      </c>
      <c r="B73" s="25" t="s">
        <v>2938</v>
      </c>
      <c r="C73" s="569" t="n">
        <v>1</v>
      </c>
      <c r="D73" s="1105" t="n">
        <f aca="false">E73+F73+G73+H73</f>
        <v>55</v>
      </c>
      <c r="E73" s="547" t="n">
        <v>30</v>
      </c>
      <c r="F73" s="912" t="n">
        <v>25</v>
      </c>
      <c r="G73" s="912"/>
      <c r="H73" s="912"/>
      <c r="I73" s="912" t="n">
        <v>25</v>
      </c>
      <c r="J73" s="679"/>
      <c r="K73" s="679"/>
    </row>
    <row r="74" customFormat="false" ht="15" hidden="false" customHeight="false" outlineLevel="0" collapsed="false">
      <c r="A74" s="20" t="s">
        <v>130</v>
      </c>
      <c r="B74" s="25" t="s">
        <v>2939</v>
      </c>
      <c r="C74" s="569" t="n">
        <v>1</v>
      </c>
      <c r="D74" s="1105" t="n">
        <f aca="false">E74+F74+G74+H74</f>
        <v>105</v>
      </c>
      <c r="E74" s="547" t="n">
        <v>60</v>
      </c>
      <c r="F74" s="912" t="n">
        <v>30</v>
      </c>
      <c r="G74" s="912"/>
      <c r="H74" s="912" t="n">
        <v>15</v>
      </c>
      <c r="I74" s="912" t="n">
        <v>10</v>
      </c>
      <c r="J74" s="679"/>
      <c r="K74" s="679"/>
    </row>
    <row r="75" customFormat="false" ht="15" hidden="false" customHeight="false" outlineLevel="0" collapsed="false">
      <c r="A75" s="20" t="s">
        <v>132</v>
      </c>
      <c r="B75" s="21" t="s">
        <v>2940</v>
      </c>
      <c r="C75" s="569" t="n">
        <v>1</v>
      </c>
      <c r="D75" s="1105" t="n">
        <f aca="false">E75+F75+G75+H75</f>
        <v>170</v>
      </c>
      <c r="E75" s="547" t="n">
        <v>70</v>
      </c>
      <c r="F75" s="912" t="n">
        <v>50</v>
      </c>
      <c r="G75" s="912" t="n">
        <v>30</v>
      </c>
      <c r="H75" s="912" t="n">
        <v>20</v>
      </c>
      <c r="I75" s="912" t="n">
        <v>170</v>
      </c>
      <c r="J75" s="679"/>
      <c r="K75" s="679"/>
    </row>
    <row r="76" customFormat="false" ht="15" hidden="false" customHeight="false" outlineLevel="0" collapsed="false">
      <c r="A76" s="20" t="s">
        <v>134</v>
      </c>
      <c r="B76" s="21" t="s">
        <v>2941</v>
      </c>
      <c r="C76" s="569" t="n">
        <v>1</v>
      </c>
      <c r="D76" s="1105" t="n">
        <f aca="false">E76+F76+G76+H76</f>
        <v>215</v>
      </c>
      <c r="E76" s="547" t="n">
        <v>120</v>
      </c>
      <c r="F76" s="912" t="n">
        <v>60</v>
      </c>
      <c r="G76" s="912" t="n">
        <v>10</v>
      </c>
      <c r="H76" s="912" t="n">
        <v>25</v>
      </c>
      <c r="I76" s="912" t="n">
        <v>180</v>
      </c>
      <c r="J76" s="679"/>
      <c r="K76" s="679"/>
    </row>
    <row r="77" customFormat="false" ht="15" hidden="false" customHeight="false" outlineLevel="0" collapsed="false">
      <c r="A77" s="20" t="s">
        <v>136</v>
      </c>
      <c r="B77" s="21" t="s">
        <v>2942</v>
      </c>
      <c r="C77" s="569" t="n">
        <v>1</v>
      </c>
      <c r="D77" s="1105" t="n">
        <f aca="false">E77+F77+G77+H77</f>
        <v>215</v>
      </c>
      <c r="E77" s="547" t="n">
        <v>120</v>
      </c>
      <c r="F77" s="912" t="n">
        <v>60</v>
      </c>
      <c r="G77" s="912" t="n">
        <v>10</v>
      </c>
      <c r="H77" s="912" t="n">
        <v>25</v>
      </c>
      <c r="I77" s="912" t="n">
        <v>180</v>
      </c>
      <c r="J77" s="679"/>
      <c r="K77" s="679"/>
    </row>
    <row r="78" customFormat="false" ht="15" hidden="false" customHeight="false" outlineLevel="0" collapsed="false">
      <c r="A78" s="20" t="s">
        <v>138</v>
      </c>
      <c r="B78" s="21" t="s">
        <v>2943</v>
      </c>
      <c r="C78" s="569" t="n">
        <v>1</v>
      </c>
      <c r="D78" s="1105" t="n">
        <f aca="false">E78+F78+G78+H78</f>
        <v>30</v>
      </c>
      <c r="E78" s="547"/>
      <c r="F78" s="912" t="n">
        <v>30</v>
      </c>
      <c r="G78" s="912"/>
      <c r="H78" s="912"/>
      <c r="I78" s="569"/>
      <c r="J78" s="679"/>
      <c r="K78" s="679"/>
    </row>
    <row r="79" customFormat="false" ht="15" hidden="false" customHeight="false" outlineLevel="0" collapsed="false">
      <c r="A79" s="28" t="s">
        <v>140</v>
      </c>
      <c r="B79" s="29" t="s">
        <v>2944</v>
      </c>
      <c r="C79" s="569" t="n">
        <v>1</v>
      </c>
      <c r="D79" s="1105" t="n">
        <f aca="false">E79+F79+G79+H79</f>
        <v>20</v>
      </c>
      <c r="E79" s="1105" t="n">
        <v>10</v>
      </c>
      <c r="F79" s="569" t="n">
        <v>10</v>
      </c>
      <c r="G79" s="569"/>
      <c r="H79" s="569"/>
      <c r="I79" s="569" t="n">
        <v>10</v>
      </c>
      <c r="J79" s="679"/>
      <c r="K79" s="679"/>
    </row>
    <row r="80" customFormat="false" ht="15" hidden="false" customHeight="false" outlineLevel="0" collapsed="false">
      <c r="A80" s="327" t="s">
        <v>142</v>
      </c>
      <c r="B80" s="328" t="s">
        <v>2945</v>
      </c>
      <c r="C80" s="569" t="n">
        <v>1</v>
      </c>
      <c r="D80" s="1105" t="n">
        <f aca="false">E80+F80+G80+H80</f>
        <v>105</v>
      </c>
      <c r="E80" s="1105" t="n">
        <v>60</v>
      </c>
      <c r="F80" s="569" t="n">
        <v>20</v>
      </c>
      <c r="G80" s="569" t="n">
        <v>15</v>
      </c>
      <c r="H80" s="569" t="n">
        <v>10</v>
      </c>
      <c r="I80" s="569" t="n">
        <v>170</v>
      </c>
      <c r="J80" s="679"/>
      <c r="K80" s="679"/>
    </row>
    <row r="81" customFormat="false" ht="15" hidden="false" customHeight="false" outlineLevel="0" collapsed="false">
      <c r="A81" s="327" t="s">
        <v>144</v>
      </c>
      <c r="B81" s="328" t="s">
        <v>2946</v>
      </c>
      <c r="C81" s="569" t="n">
        <v>1</v>
      </c>
      <c r="D81" s="1105" t="n">
        <v>205</v>
      </c>
      <c r="E81" s="1105" t="n">
        <v>60</v>
      </c>
      <c r="F81" s="569" t="n">
        <v>100</v>
      </c>
      <c r="G81" s="569" t="n">
        <v>30</v>
      </c>
      <c r="H81" s="569" t="n">
        <v>15</v>
      </c>
      <c r="I81" s="569" t="n">
        <v>120</v>
      </c>
      <c r="J81" s="679"/>
      <c r="K81" s="679"/>
    </row>
    <row r="82" customFormat="false" ht="15" hidden="false" customHeight="false" outlineLevel="0" collapsed="false">
      <c r="A82" s="327" t="s">
        <v>146</v>
      </c>
      <c r="B82" s="328" t="s">
        <v>4353</v>
      </c>
      <c r="C82" s="569" t="n">
        <v>1</v>
      </c>
      <c r="D82" s="1105" t="n">
        <v>205</v>
      </c>
      <c r="E82" s="1105" t="n">
        <v>60</v>
      </c>
      <c r="F82" s="569" t="n">
        <v>100</v>
      </c>
      <c r="G82" s="569" t="n">
        <v>30</v>
      </c>
      <c r="H82" s="569" t="n">
        <v>15</v>
      </c>
      <c r="I82" s="569" t="n">
        <v>120</v>
      </c>
      <c r="J82" s="679"/>
      <c r="K82" s="679"/>
    </row>
    <row r="83" customFormat="false" ht="18.75" hidden="false" customHeight="false" outlineLevel="0" collapsed="false">
      <c r="A83" s="327" t="s">
        <v>148</v>
      </c>
      <c r="B83" s="328" t="s">
        <v>2948</v>
      </c>
      <c r="C83" s="569" t="n">
        <v>1</v>
      </c>
      <c r="D83" s="1662" t="n">
        <f aca="false">E83+F83+G83+H83</f>
        <v>65</v>
      </c>
      <c r="E83" s="1663" t="n">
        <v>30</v>
      </c>
      <c r="F83" s="1664" t="n">
        <v>20</v>
      </c>
      <c r="G83" s="1664"/>
      <c r="H83" s="1664" t="n">
        <v>15</v>
      </c>
      <c r="I83" s="1664" t="n">
        <v>25</v>
      </c>
      <c r="J83" s="679"/>
      <c r="K83" s="679"/>
    </row>
    <row r="84" customFormat="false" ht="15" hidden="false" customHeight="false" outlineLevel="0" collapsed="false">
      <c r="A84" s="327" t="s">
        <v>150</v>
      </c>
      <c r="B84" s="328" t="s">
        <v>2949</v>
      </c>
      <c r="C84" s="569" t="n">
        <v>1</v>
      </c>
      <c r="D84" s="1105" t="n">
        <v>205</v>
      </c>
      <c r="E84" s="1105" t="n">
        <v>60</v>
      </c>
      <c r="F84" s="569" t="n">
        <v>100</v>
      </c>
      <c r="G84" s="569" t="n">
        <v>30</v>
      </c>
      <c r="H84" s="569" t="n">
        <v>15</v>
      </c>
      <c r="I84" s="569" t="n">
        <v>120</v>
      </c>
      <c r="J84" s="679"/>
      <c r="K84" s="679"/>
    </row>
    <row r="85" customFormat="false" ht="42.75" hidden="false" customHeight="false" outlineLevel="0" collapsed="false">
      <c r="A85" s="15" t="s">
        <v>152</v>
      </c>
      <c r="B85" s="16" t="s">
        <v>2950</v>
      </c>
      <c r="C85" s="339"/>
      <c r="D85" s="712"/>
      <c r="E85" s="751"/>
      <c r="F85" s="339"/>
      <c r="G85" s="339"/>
      <c r="H85" s="339"/>
      <c r="I85" s="339"/>
      <c r="J85" s="339"/>
      <c r="K85" s="339"/>
    </row>
    <row r="86" customFormat="false" ht="15" hidden="false" customHeight="false" outlineLevel="0" collapsed="false">
      <c r="A86" s="28" t="s">
        <v>154</v>
      </c>
      <c r="B86" s="25" t="s">
        <v>2951</v>
      </c>
      <c r="C86" s="569" t="n">
        <v>1</v>
      </c>
      <c r="D86" s="1105" t="n">
        <f aca="false">E86+F86+G86+H86</f>
        <v>10</v>
      </c>
      <c r="E86" s="1105" t="n">
        <v>5</v>
      </c>
      <c r="F86" s="569" t="n">
        <v>5</v>
      </c>
      <c r="G86" s="569"/>
      <c r="H86" s="569"/>
      <c r="I86" s="569"/>
      <c r="J86" s="679"/>
      <c r="K86" s="679"/>
    </row>
    <row r="87" customFormat="false" ht="15" hidden="false" customHeight="false" outlineLevel="0" collapsed="false">
      <c r="A87" s="28" t="s">
        <v>155</v>
      </c>
      <c r="B87" s="25" t="s">
        <v>2952</v>
      </c>
      <c r="C87" s="569" t="n">
        <v>1</v>
      </c>
      <c r="D87" s="1105" t="n">
        <f aca="false">E87+F87+G87+H87</f>
        <v>10</v>
      </c>
      <c r="E87" s="1105" t="n">
        <v>5</v>
      </c>
      <c r="F87" s="569" t="n">
        <v>5</v>
      </c>
      <c r="G87" s="569"/>
      <c r="H87" s="569"/>
      <c r="I87" s="569"/>
      <c r="J87" s="679"/>
      <c r="K87" s="679"/>
    </row>
    <row r="88" customFormat="false" ht="15" hidden="false" customHeight="false" outlineLevel="0" collapsed="false">
      <c r="A88" s="28" t="s">
        <v>156</v>
      </c>
      <c r="B88" s="21" t="s">
        <v>2883</v>
      </c>
      <c r="C88" s="569" t="n">
        <v>1</v>
      </c>
      <c r="D88" s="1105" t="n">
        <f aca="false">E88+F88+G88+H88</f>
        <v>20</v>
      </c>
      <c r="E88" s="1105" t="n">
        <v>10</v>
      </c>
      <c r="F88" s="569" t="n">
        <v>10</v>
      </c>
      <c r="G88" s="569"/>
      <c r="H88" s="569"/>
      <c r="I88" s="569"/>
      <c r="J88" s="679"/>
      <c r="K88" s="679"/>
    </row>
    <row r="89" customFormat="false" ht="15" hidden="false" customHeight="false" outlineLevel="0" collapsed="false">
      <c r="A89" s="28" t="s">
        <v>157</v>
      </c>
      <c r="B89" s="21" t="s">
        <v>2884</v>
      </c>
      <c r="C89" s="569" t="n">
        <v>1</v>
      </c>
      <c r="D89" s="1105" t="n">
        <f aca="false">E89+F89+G89+H89</f>
        <v>30</v>
      </c>
      <c r="E89" s="1105" t="n">
        <v>15</v>
      </c>
      <c r="F89" s="569" t="n">
        <v>15</v>
      </c>
      <c r="G89" s="569"/>
      <c r="H89" s="569"/>
      <c r="I89" s="569"/>
      <c r="J89" s="679"/>
      <c r="K89" s="679"/>
    </row>
    <row r="90" customFormat="false" ht="15" hidden="false" customHeight="false" outlineLevel="0" collapsed="false">
      <c r="A90" s="28" t="s">
        <v>158</v>
      </c>
      <c r="B90" s="21" t="s">
        <v>2885</v>
      </c>
      <c r="C90" s="569" t="n">
        <v>1</v>
      </c>
      <c r="D90" s="1105" t="n">
        <f aca="false">E90+F90+G90+H90</f>
        <v>25</v>
      </c>
      <c r="E90" s="1105" t="n">
        <v>15</v>
      </c>
      <c r="F90" s="569" t="n">
        <v>10</v>
      </c>
      <c r="G90" s="569"/>
      <c r="H90" s="569"/>
      <c r="I90" s="569" t="n">
        <v>10</v>
      </c>
      <c r="J90" s="679"/>
      <c r="K90" s="679"/>
    </row>
    <row r="91" customFormat="false" ht="15" hidden="false" customHeight="false" outlineLevel="0" collapsed="false">
      <c r="A91" s="28" t="s">
        <v>159</v>
      </c>
      <c r="B91" s="21" t="s">
        <v>2886</v>
      </c>
      <c r="C91" s="569" t="n">
        <v>1</v>
      </c>
      <c r="D91" s="1105" t="n">
        <f aca="false">E91+F91+G91+H91</f>
        <v>45</v>
      </c>
      <c r="E91" s="1105" t="n">
        <v>25</v>
      </c>
      <c r="F91" s="569" t="n">
        <v>20</v>
      </c>
      <c r="G91" s="569"/>
      <c r="H91" s="569"/>
      <c r="I91" s="569" t="n">
        <v>10</v>
      </c>
      <c r="J91" s="679"/>
      <c r="K91" s="679"/>
    </row>
    <row r="92" customFormat="false" ht="15" hidden="false" customHeight="false" outlineLevel="0" collapsed="false">
      <c r="A92" s="28" t="s">
        <v>160</v>
      </c>
      <c r="B92" s="25" t="s">
        <v>2887</v>
      </c>
      <c r="C92" s="569" t="n">
        <v>1</v>
      </c>
      <c r="D92" s="1105" t="n">
        <f aca="false">E92+F92+G92+H92</f>
        <v>60</v>
      </c>
      <c r="E92" s="1105" t="n">
        <v>20</v>
      </c>
      <c r="F92" s="569" t="n">
        <v>20</v>
      </c>
      <c r="G92" s="569"/>
      <c r="H92" s="569" t="n">
        <v>20</v>
      </c>
      <c r="I92" s="569" t="n">
        <v>20</v>
      </c>
      <c r="J92" s="679"/>
      <c r="K92" s="679"/>
    </row>
    <row r="93" customFormat="false" ht="15" hidden="false" customHeight="false" outlineLevel="0" collapsed="false">
      <c r="A93" s="28" t="s">
        <v>161</v>
      </c>
      <c r="B93" s="21" t="s">
        <v>2953</v>
      </c>
      <c r="C93" s="569" t="n">
        <v>1</v>
      </c>
      <c r="D93" s="1105" t="n">
        <f aca="false">E93+F93+G93+H93</f>
        <v>40</v>
      </c>
      <c r="E93" s="1105" t="n">
        <v>15</v>
      </c>
      <c r="F93" s="569" t="n">
        <v>15</v>
      </c>
      <c r="G93" s="569"/>
      <c r="H93" s="569" t="n">
        <v>10</v>
      </c>
      <c r="I93" s="569"/>
      <c r="J93" s="679"/>
      <c r="K93" s="679"/>
    </row>
    <row r="94" customFormat="false" ht="15" hidden="false" customHeight="false" outlineLevel="0" collapsed="false">
      <c r="A94" s="28" t="s">
        <v>163</v>
      </c>
      <c r="B94" s="21" t="s">
        <v>2954</v>
      </c>
      <c r="C94" s="569" t="n">
        <v>1</v>
      </c>
      <c r="D94" s="1105" t="n">
        <f aca="false">E94+F94+G94+H94</f>
        <v>20</v>
      </c>
      <c r="E94" s="1105" t="n">
        <v>10</v>
      </c>
      <c r="F94" s="569" t="n">
        <v>5</v>
      </c>
      <c r="G94" s="569"/>
      <c r="H94" s="569" t="n">
        <v>5</v>
      </c>
      <c r="I94" s="569"/>
      <c r="J94" s="679"/>
      <c r="K94" s="679"/>
    </row>
    <row r="95" customFormat="false" ht="15" hidden="false" customHeight="false" outlineLevel="0" collapsed="false">
      <c r="A95" s="28" t="s">
        <v>165</v>
      </c>
      <c r="B95" s="25" t="s">
        <v>2892</v>
      </c>
      <c r="C95" s="569" t="n">
        <v>1</v>
      </c>
      <c r="D95" s="1105" t="n">
        <f aca="false">E95+F95+G95+H95</f>
        <v>20</v>
      </c>
      <c r="E95" s="1105" t="n">
        <v>10</v>
      </c>
      <c r="F95" s="569" t="n">
        <v>5</v>
      </c>
      <c r="G95" s="569"/>
      <c r="H95" s="569" t="n">
        <v>5</v>
      </c>
      <c r="I95" s="569"/>
      <c r="J95" s="679"/>
      <c r="K95" s="679"/>
    </row>
    <row r="96" customFormat="false" ht="15" hidden="false" customHeight="false" outlineLevel="0" collapsed="false">
      <c r="A96" s="28" t="s">
        <v>166</v>
      </c>
      <c r="B96" s="25" t="s">
        <v>2893</v>
      </c>
      <c r="C96" s="569" t="n">
        <v>1</v>
      </c>
      <c r="D96" s="1105" t="n">
        <f aca="false">E96+F96+G96+H96</f>
        <v>120</v>
      </c>
      <c r="E96" s="1105" t="n">
        <v>60</v>
      </c>
      <c r="F96" s="569" t="n">
        <v>40</v>
      </c>
      <c r="G96" s="569"/>
      <c r="H96" s="569" t="n">
        <v>20</v>
      </c>
      <c r="I96" s="569" t="n">
        <v>20</v>
      </c>
      <c r="J96" s="679"/>
      <c r="K96" s="679"/>
    </row>
    <row r="97" customFormat="false" ht="15" hidden="false" customHeight="false" outlineLevel="0" collapsed="false">
      <c r="A97" s="28" t="s">
        <v>167</v>
      </c>
      <c r="B97" s="25" t="s">
        <v>2894</v>
      </c>
      <c r="C97" s="569" t="n">
        <v>1</v>
      </c>
      <c r="D97" s="1105" t="n">
        <f aca="false">E97+F97+G97+H97</f>
        <v>120</v>
      </c>
      <c r="E97" s="1105" t="n">
        <v>60</v>
      </c>
      <c r="F97" s="569" t="n">
        <v>40</v>
      </c>
      <c r="G97" s="569"/>
      <c r="H97" s="569" t="n">
        <v>20</v>
      </c>
      <c r="I97" s="569" t="n">
        <v>20</v>
      </c>
      <c r="J97" s="679"/>
      <c r="K97" s="679"/>
    </row>
    <row r="98" customFormat="false" ht="15" hidden="false" customHeight="false" outlineLevel="0" collapsed="false">
      <c r="A98" s="28" t="s">
        <v>168</v>
      </c>
      <c r="B98" s="25" t="s">
        <v>2895</v>
      </c>
      <c r="C98" s="569" t="n">
        <v>1</v>
      </c>
      <c r="D98" s="1105" t="n">
        <f aca="false">E98+F98+G98+H98</f>
        <v>85</v>
      </c>
      <c r="E98" s="1105" t="n">
        <v>40</v>
      </c>
      <c r="F98" s="569" t="n">
        <v>25</v>
      </c>
      <c r="G98" s="569"/>
      <c r="H98" s="569" t="n">
        <v>20</v>
      </c>
      <c r="I98" s="569" t="n">
        <v>25</v>
      </c>
      <c r="J98" s="679"/>
      <c r="K98" s="679"/>
    </row>
    <row r="99" customFormat="false" ht="15" hidden="false" customHeight="false" outlineLevel="0" collapsed="false">
      <c r="A99" s="28" t="s">
        <v>169</v>
      </c>
      <c r="B99" s="25" t="s">
        <v>2955</v>
      </c>
      <c r="C99" s="569" t="n">
        <v>1</v>
      </c>
      <c r="D99" s="1105" t="n">
        <f aca="false">E99+F99+G99+H99</f>
        <v>85</v>
      </c>
      <c r="E99" s="1105" t="n">
        <v>30</v>
      </c>
      <c r="F99" s="569" t="n">
        <v>35</v>
      </c>
      <c r="G99" s="569"/>
      <c r="H99" s="569" t="n">
        <v>20</v>
      </c>
      <c r="I99" s="569" t="n">
        <v>25</v>
      </c>
      <c r="J99" s="679"/>
      <c r="K99" s="679"/>
    </row>
    <row r="100" customFormat="false" ht="15" hidden="false" customHeight="false" outlineLevel="0" collapsed="false">
      <c r="A100" s="28" t="s">
        <v>171</v>
      </c>
      <c r="B100" s="25" t="s">
        <v>2897</v>
      </c>
      <c r="C100" s="569" t="n">
        <v>1</v>
      </c>
      <c r="D100" s="1105" t="n">
        <f aca="false">E100+F100+G100+H100</f>
        <v>40</v>
      </c>
      <c r="E100" s="1105" t="n">
        <v>15</v>
      </c>
      <c r="F100" s="569" t="n">
        <v>15</v>
      </c>
      <c r="G100" s="569"/>
      <c r="H100" s="569" t="n">
        <v>10</v>
      </c>
      <c r="I100" s="912" t="n">
        <v>25</v>
      </c>
      <c r="J100" s="679"/>
      <c r="K100" s="679"/>
    </row>
    <row r="101" customFormat="false" ht="15" hidden="false" customHeight="false" outlineLevel="0" collapsed="false">
      <c r="A101" s="28" t="s">
        <v>173</v>
      </c>
      <c r="B101" s="25" t="s">
        <v>2898</v>
      </c>
      <c r="C101" s="569" t="n">
        <v>1</v>
      </c>
      <c r="D101" s="1105" t="n">
        <f aca="false">E101+F101+G101+H101</f>
        <v>70</v>
      </c>
      <c r="E101" s="547" t="n">
        <v>40</v>
      </c>
      <c r="F101" s="912" t="n">
        <v>20</v>
      </c>
      <c r="G101" s="912"/>
      <c r="H101" s="912" t="n">
        <v>10</v>
      </c>
      <c r="I101" s="569"/>
      <c r="J101" s="679"/>
      <c r="K101" s="679"/>
    </row>
    <row r="102" customFormat="false" ht="15" hidden="false" customHeight="false" outlineLevel="0" collapsed="false">
      <c r="A102" s="28" t="s">
        <v>174</v>
      </c>
      <c r="B102" s="25" t="s">
        <v>2899</v>
      </c>
      <c r="C102" s="569" t="n">
        <v>1</v>
      </c>
      <c r="D102" s="1105" t="n">
        <f aca="false">E102+F102+G102+H102</f>
        <v>70</v>
      </c>
      <c r="E102" s="547" t="n">
        <v>40</v>
      </c>
      <c r="F102" s="912" t="n">
        <v>20</v>
      </c>
      <c r="G102" s="912"/>
      <c r="H102" s="912" t="n">
        <v>10</v>
      </c>
      <c r="I102" s="569"/>
      <c r="J102" s="679"/>
      <c r="K102" s="679"/>
    </row>
    <row r="103" customFormat="false" ht="15" hidden="false" customHeight="false" outlineLevel="0" collapsed="false">
      <c r="A103" s="28" t="s">
        <v>175</v>
      </c>
      <c r="B103" s="25" t="s">
        <v>2900</v>
      </c>
      <c r="C103" s="569" t="n">
        <v>1</v>
      </c>
      <c r="D103" s="1105" t="n">
        <f aca="false">E103+F103+G103+H103</f>
        <v>40</v>
      </c>
      <c r="E103" s="547" t="n">
        <v>20</v>
      </c>
      <c r="F103" s="912" t="n">
        <v>10</v>
      </c>
      <c r="G103" s="912"/>
      <c r="H103" s="912" t="n">
        <v>10</v>
      </c>
      <c r="I103" s="569"/>
      <c r="J103" s="679"/>
      <c r="K103" s="679"/>
    </row>
    <row r="104" customFormat="false" ht="15" hidden="false" customHeight="false" outlineLevel="0" collapsed="false">
      <c r="A104" s="28" t="s">
        <v>176</v>
      </c>
      <c r="B104" s="25" t="s">
        <v>2901</v>
      </c>
      <c r="C104" s="569" t="n">
        <v>1</v>
      </c>
      <c r="D104" s="1105" t="n">
        <f aca="false">E104+F104+G104+H104</f>
        <v>70</v>
      </c>
      <c r="E104" s="547" t="n">
        <v>40</v>
      </c>
      <c r="F104" s="912" t="n">
        <v>20</v>
      </c>
      <c r="G104" s="912"/>
      <c r="H104" s="912" t="n">
        <v>10</v>
      </c>
      <c r="I104" s="569"/>
      <c r="J104" s="679"/>
      <c r="K104" s="679"/>
    </row>
    <row r="105" customFormat="false" ht="15" hidden="false" customHeight="false" outlineLevel="0" collapsed="false">
      <c r="A105" s="28" t="s">
        <v>178</v>
      </c>
      <c r="B105" s="25" t="s">
        <v>2904</v>
      </c>
      <c r="C105" s="569" t="n">
        <v>1</v>
      </c>
      <c r="D105" s="1105" t="n">
        <f aca="false">E105+F105+G105+H105</f>
        <v>80</v>
      </c>
      <c r="E105" s="547" t="n">
        <v>30</v>
      </c>
      <c r="F105" s="912" t="n">
        <v>30</v>
      </c>
      <c r="G105" s="912"/>
      <c r="H105" s="912" t="n">
        <v>20</v>
      </c>
      <c r="I105" s="569"/>
      <c r="J105" s="679"/>
      <c r="K105" s="679"/>
    </row>
    <row r="106" customFormat="false" ht="15" hidden="false" customHeight="false" outlineLevel="0" collapsed="false">
      <c r="A106" s="28" t="s">
        <v>179</v>
      </c>
      <c r="B106" s="25" t="s">
        <v>2956</v>
      </c>
      <c r="C106" s="569" t="n">
        <v>1</v>
      </c>
      <c r="D106" s="1105" t="n">
        <f aca="false">E106+F106+G106+H106</f>
        <v>55</v>
      </c>
      <c r="E106" s="547" t="n">
        <v>30</v>
      </c>
      <c r="F106" s="912" t="n">
        <v>15</v>
      </c>
      <c r="G106" s="912"/>
      <c r="H106" s="912" t="n">
        <v>10</v>
      </c>
      <c r="I106" s="569"/>
      <c r="J106" s="679"/>
      <c r="K106" s="679"/>
    </row>
    <row r="107" customFormat="false" ht="15" hidden="false" customHeight="false" outlineLevel="0" collapsed="false">
      <c r="A107" s="28" t="s">
        <v>180</v>
      </c>
      <c r="B107" s="25" t="s">
        <v>2906</v>
      </c>
      <c r="C107" s="569" t="n">
        <v>1</v>
      </c>
      <c r="D107" s="1105" t="n">
        <f aca="false">E107+F107+G107+H107</f>
        <v>30</v>
      </c>
      <c r="E107" s="547" t="n">
        <v>20</v>
      </c>
      <c r="F107" s="912" t="n">
        <v>10</v>
      </c>
      <c r="G107" s="912"/>
      <c r="H107" s="912"/>
      <c r="I107" s="912" t="n">
        <v>25</v>
      </c>
      <c r="J107" s="679"/>
      <c r="K107" s="679"/>
    </row>
    <row r="108" customFormat="false" ht="15" hidden="false" customHeight="false" outlineLevel="0" collapsed="false">
      <c r="A108" s="28" t="s">
        <v>181</v>
      </c>
      <c r="B108" s="21" t="s">
        <v>2957</v>
      </c>
      <c r="C108" s="569" t="n">
        <v>1</v>
      </c>
      <c r="D108" s="1105" t="n">
        <f aca="false">E108+F108+G108+H108</f>
        <v>140</v>
      </c>
      <c r="E108" s="547" t="n">
        <v>60</v>
      </c>
      <c r="F108" s="912" t="n">
        <v>60</v>
      </c>
      <c r="G108" s="912"/>
      <c r="H108" s="912" t="n">
        <v>20</v>
      </c>
      <c r="I108" s="912" t="n">
        <v>25</v>
      </c>
      <c r="J108" s="679"/>
      <c r="K108" s="679"/>
    </row>
    <row r="109" customFormat="false" ht="30" hidden="false" customHeight="false" outlineLevel="0" collapsed="false">
      <c r="A109" s="28" t="s">
        <v>183</v>
      </c>
      <c r="B109" s="25" t="s">
        <v>2911</v>
      </c>
      <c r="C109" s="569" t="n">
        <v>1</v>
      </c>
      <c r="D109" s="1105" t="n">
        <f aca="false">E109+F109+G109+H109</f>
        <v>155</v>
      </c>
      <c r="E109" s="547" t="n">
        <v>90</v>
      </c>
      <c r="F109" s="912" t="n">
        <v>55</v>
      </c>
      <c r="G109" s="912"/>
      <c r="H109" s="912" t="n">
        <v>10</v>
      </c>
      <c r="I109" s="912" t="n">
        <v>25</v>
      </c>
      <c r="J109" s="679"/>
      <c r="K109" s="679"/>
    </row>
    <row r="110" customFormat="false" ht="15" hidden="false" customHeight="false" outlineLevel="0" collapsed="false">
      <c r="A110" s="28" t="s">
        <v>185</v>
      </c>
      <c r="B110" s="25" t="s">
        <v>2912</v>
      </c>
      <c r="C110" s="569" t="n">
        <v>1</v>
      </c>
      <c r="D110" s="1105" t="n">
        <f aca="false">E110+F110+G110+H110</f>
        <v>130</v>
      </c>
      <c r="E110" s="547" t="n">
        <v>50</v>
      </c>
      <c r="F110" s="912" t="n">
        <v>55</v>
      </c>
      <c r="G110" s="912"/>
      <c r="H110" s="912" t="n">
        <v>25</v>
      </c>
      <c r="I110" s="912" t="n">
        <v>25</v>
      </c>
      <c r="J110" s="679"/>
      <c r="K110" s="679"/>
    </row>
    <row r="111" customFormat="false" ht="15" hidden="false" customHeight="false" outlineLevel="0" collapsed="false">
      <c r="A111" s="28" t="s">
        <v>186</v>
      </c>
      <c r="B111" s="25" t="s">
        <v>2913</v>
      </c>
      <c r="C111" s="569" t="n">
        <v>1</v>
      </c>
      <c r="D111" s="1105" t="n">
        <f aca="false">E111+F111+G111+H111</f>
        <v>170</v>
      </c>
      <c r="E111" s="547" t="n">
        <v>80</v>
      </c>
      <c r="F111" s="912" t="n">
        <v>60</v>
      </c>
      <c r="G111" s="912"/>
      <c r="H111" s="912" t="n">
        <v>30</v>
      </c>
      <c r="I111" s="912" t="n">
        <v>175</v>
      </c>
      <c r="J111" s="679"/>
      <c r="K111" s="679"/>
    </row>
    <row r="112" customFormat="false" ht="15" hidden="false" customHeight="false" outlineLevel="0" collapsed="false">
      <c r="A112" s="28" t="s">
        <v>188</v>
      </c>
      <c r="B112" s="25" t="s">
        <v>2914</v>
      </c>
      <c r="C112" s="569" t="n">
        <v>1</v>
      </c>
      <c r="D112" s="1105" t="n">
        <f aca="false">E112+F112+G112+H112</f>
        <v>210</v>
      </c>
      <c r="E112" s="547" t="n">
        <v>100</v>
      </c>
      <c r="F112" s="912" t="n">
        <v>60</v>
      </c>
      <c r="G112" s="912" t="n">
        <v>30</v>
      </c>
      <c r="H112" s="912" t="n">
        <v>20</v>
      </c>
      <c r="I112" s="912" t="n">
        <v>150</v>
      </c>
      <c r="J112" s="679"/>
      <c r="K112" s="679"/>
    </row>
    <row r="113" customFormat="false" ht="15" hidden="false" customHeight="false" outlineLevel="0" collapsed="false">
      <c r="A113" s="28" t="s">
        <v>189</v>
      </c>
      <c r="B113" s="25" t="s">
        <v>2915</v>
      </c>
      <c r="C113" s="569" t="n">
        <v>1</v>
      </c>
      <c r="D113" s="1105" t="n">
        <f aca="false">E113+F113+G113+H113</f>
        <v>70</v>
      </c>
      <c r="E113" s="547" t="n">
        <v>30</v>
      </c>
      <c r="F113" s="912" t="n">
        <v>30</v>
      </c>
      <c r="G113" s="912"/>
      <c r="H113" s="912" t="n">
        <v>10</v>
      </c>
      <c r="I113" s="569" t="n">
        <v>25</v>
      </c>
      <c r="J113" s="679"/>
      <c r="K113" s="679"/>
    </row>
    <row r="114" customFormat="false" ht="15" hidden="false" customHeight="false" outlineLevel="0" collapsed="false">
      <c r="A114" s="28" t="s">
        <v>190</v>
      </c>
      <c r="B114" s="25" t="s">
        <v>2958</v>
      </c>
      <c r="C114" s="569" t="n">
        <v>1</v>
      </c>
      <c r="D114" s="1105" t="n">
        <f aca="false">E114+F114+G114+H114</f>
        <v>70</v>
      </c>
      <c r="E114" s="547" t="n">
        <v>30</v>
      </c>
      <c r="F114" s="912" t="n">
        <v>30</v>
      </c>
      <c r="G114" s="912"/>
      <c r="H114" s="912" t="n">
        <v>10</v>
      </c>
      <c r="I114" s="912" t="n">
        <v>55</v>
      </c>
      <c r="J114" s="679"/>
      <c r="K114" s="679"/>
    </row>
    <row r="115" customFormat="false" ht="15" hidden="false" customHeight="false" outlineLevel="0" collapsed="false">
      <c r="A115" s="28" t="s">
        <v>192</v>
      </c>
      <c r="B115" s="25" t="s">
        <v>2917</v>
      </c>
      <c r="C115" s="569" t="n">
        <v>1</v>
      </c>
      <c r="D115" s="1105" t="n">
        <f aca="false">E115+F115+G115+H115</f>
        <v>215</v>
      </c>
      <c r="E115" s="547" t="n">
        <v>70</v>
      </c>
      <c r="F115" s="912" t="n">
        <v>100</v>
      </c>
      <c r="G115" s="912" t="n">
        <v>30</v>
      </c>
      <c r="H115" s="912" t="n">
        <v>15</v>
      </c>
      <c r="I115" s="912" t="n">
        <v>120</v>
      </c>
      <c r="J115" s="679"/>
      <c r="K115" s="679"/>
    </row>
    <row r="116" customFormat="false" ht="15" hidden="false" customHeight="false" outlineLevel="0" collapsed="false">
      <c r="A116" s="28" t="s">
        <v>193</v>
      </c>
      <c r="B116" s="25" t="s">
        <v>2918</v>
      </c>
      <c r="C116" s="569" t="n">
        <v>1</v>
      </c>
      <c r="D116" s="1105" t="n">
        <f aca="false">E116+F116+G116+H116</f>
        <v>170</v>
      </c>
      <c r="E116" s="547" t="n">
        <v>70</v>
      </c>
      <c r="F116" s="912" t="n">
        <v>50</v>
      </c>
      <c r="G116" s="912" t="n">
        <v>30</v>
      </c>
      <c r="H116" s="912" t="n">
        <v>20</v>
      </c>
      <c r="I116" s="912" t="n">
        <v>170</v>
      </c>
      <c r="J116" s="679"/>
      <c r="K116" s="679"/>
    </row>
    <row r="117" customFormat="false" ht="15" hidden="false" customHeight="false" outlineLevel="0" collapsed="false">
      <c r="A117" s="28" t="s">
        <v>194</v>
      </c>
      <c r="B117" s="25" t="s">
        <v>2919</v>
      </c>
      <c r="C117" s="569" t="n">
        <v>1</v>
      </c>
      <c r="D117" s="1105" t="n">
        <f aca="false">E117+F117+G117+H117</f>
        <v>205</v>
      </c>
      <c r="E117" s="547" t="n">
        <v>60</v>
      </c>
      <c r="F117" s="912" t="n">
        <v>100</v>
      </c>
      <c r="G117" s="912" t="n">
        <v>30</v>
      </c>
      <c r="H117" s="912" t="n">
        <v>15</v>
      </c>
      <c r="I117" s="912" t="n">
        <v>120</v>
      </c>
      <c r="J117" s="679"/>
      <c r="K117" s="679"/>
    </row>
    <row r="118" customFormat="false" ht="15" hidden="false" customHeight="false" outlineLevel="0" collapsed="false">
      <c r="A118" s="28" t="s">
        <v>196</v>
      </c>
      <c r="B118" s="25" t="s">
        <v>2920</v>
      </c>
      <c r="C118" s="569" t="n">
        <v>1</v>
      </c>
      <c r="D118" s="1105" t="n">
        <f aca="false">E118+F118+G118+H118</f>
        <v>170</v>
      </c>
      <c r="E118" s="547" t="n">
        <v>70</v>
      </c>
      <c r="F118" s="912" t="n">
        <v>50</v>
      </c>
      <c r="G118" s="912" t="n">
        <v>30</v>
      </c>
      <c r="H118" s="912" t="n">
        <v>20</v>
      </c>
      <c r="I118" s="912" t="n">
        <v>170</v>
      </c>
      <c r="J118" s="679"/>
      <c r="K118" s="679"/>
    </row>
    <row r="119" customFormat="false" ht="15" hidden="false" customHeight="false" outlineLevel="0" collapsed="false">
      <c r="A119" s="28" t="s">
        <v>198</v>
      </c>
      <c r="B119" s="25" t="s">
        <v>2921</v>
      </c>
      <c r="C119" s="569" t="n">
        <v>1</v>
      </c>
      <c r="D119" s="1105" t="n">
        <f aca="false">E119+F119+G119+H119</f>
        <v>205</v>
      </c>
      <c r="E119" s="547" t="n">
        <v>60</v>
      </c>
      <c r="F119" s="912" t="n">
        <v>100</v>
      </c>
      <c r="G119" s="912" t="n">
        <v>30</v>
      </c>
      <c r="H119" s="912" t="n">
        <v>15</v>
      </c>
      <c r="I119" s="912" t="n">
        <v>120</v>
      </c>
      <c r="J119" s="679"/>
      <c r="K119" s="679"/>
    </row>
    <row r="120" customFormat="false" ht="15" hidden="false" customHeight="false" outlineLevel="0" collapsed="false">
      <c r="A120" s="28" t="s">
        <v>200</v>
      </c>
      <c r="B120" s="25" t="s">
        <v>2922</v>
      </c>
      <c r="C120" s="569" t="n">
        <v>1</v>
      </c>
      <c r="D120" s="1105" t="n">
        <f aca="false">E120+F120+G120+H120</f>
        <v>170</v>
      </c>
      <c r="E120" s="547" t="n">
        <v>70</v>
      </c>
      <c r="F120" s="912" t="n">
        <v>50</v>
      </c>
      <c r="G120" s="912" t="n">
        <v>30</v>
      </c>
      <c r="H120" s="912" t="n">
        <v>20</v>
      </c>
      <c r="I120" s="912" t="n">
        <v>170</v>
      </c>
      <c r="J120" s="679"/>
      <c r="K120" s="679"/>
    </row>
    <row r="121" customFormat="false" ht="15" hidden="false" customHeight="false" outlineLevel="0" collapsed="false">
      <c r="A121" s="28" t="s">
        <v>202</v>
      </c>
      <c r="B121" s="25" t="s">
        <v>2923</v>
      </c>
      <c r="C121" s="569" t="n">
        <v>1</v>
      </c>
      <c r="D121" s="1105" t="n">
        <f aca="false">E121+F121+G121+H121</f>
        <v>205</v>
      </c>
      <c r="E121" s="547" t="n">
        <v>60</v>
      </c>
      <c r="F121" s="912" t="n">
        <v>100</v>
      </c>
      <c r="G121" s="912" t="n">
        <v>30</v>
      </c>
      <c r="H121" s="912" t="n">
        <v>15</v>
      </c>
      <c r="I121" s="912" t="n">
        <v>120</v>
      </c>
      <c r="J121" s="679"/>
      <c r="K121" s="679"/>
    </row>
    <row r="122" customFormat="false" ht="15" hidden="false" customHeight="false" outlineLevel="0" collapsed="false">
      <c r="A122" s="28" t="s">
        <v>203</v>
      </c>
      <c r="B122" s="25" t="s">
        <v>2924</v>
      </c>
      <c r="C122" s="569" t="n">
        <v>1</v>
      </c>
      <c r="D122" s="1105" t="n">
        <f aca="false">E122+F122+G122+H122</f>
        <v>80</v>
      </c>
      <c r="E122" s="547" t="n">
        <v>40</v>
      </c>
      <c r="F122" s="912" t="n">
        <v>30</v>
      </c>
      <c r="G122" s="912"/>
      <c r="H122" s="912" t="n">
        <v>10</v>
      </c>
      <c r="I122" s="912" t="n">
        <v>170</v>
      </c>
      <c r="J122" s="679"/>
      <c r="K122" s="679"/>
    </row>
    <row r="123" customFormat="false" ht="15" hidden="false" customHeight="false" outlineLevel="0" collapsed="false">
      <c r="A123" s="28" t="s">
        <v>204</v>
      </c>
      <c r="B123" s="25" t="s">
        <v>2925</v>
      </c>
      <c r="C123" s="569" t="n">
        <v>1</v>
      </c>
      <c r="D123" s="1105" t="n">
        <f aca="false">E123+F123+G123+H123</f>
        <v>205</v>
      </c>
      <c r="E123" s="547" t="n">
        <v>60</v>
      </c>
      <c r="F123" s="912" t="n">
        <v>100</v>
      </c>
      <c r="G123" s="912" t="n">
        <v>30</v>
      </c>
      <c r="H123" s="912" t="n">
        <v>15</v>
      </c>
      <c r="I123" s="912" t="n">
        <v>120</v>
      </c>
      <c r="J123" s="679"/>
      <c r="K123" s="679"/>
    </row>
    <row r="124" customFormat="false" ht="15" hidden="false" customHeight="false" outlineLevel="0" collapsed="false">
      <c r="A124" s="28" t="s">
        <v>205</v>
      </c>
      <c r="B124" s="25" t="s">
        <v>2926</v>
      </c>
      <c r="C124" s="569" t="n">
        <v>1</v>
      </c>
      <c r="D124" s="1105" t="n">
        <f aca="false">E124+F124+G124+H124</f>
        <v>170</v>
      </c>
      <c r="E124" s="547" t="n">
        <v>70</v>
      </c>
      <c r="F124" s="912" t="n">
        <v>50</v>
      </c>
      <c r="G124" s="912" t="n">
        <v>30</v>
      </c>
      <c r="H124" s="912" t="n">
        <v>20</v>
      </c>
      <c r="I124" s="912" t="n">
        <v>170</v>
      </c>
      <c r="J124" s="679"/>
      <c r="K124" s="679"/>
    </row>
    <row r="125" customFormat="false" ht="15" hidden="false" customHeight="false" outlineLevel="0" collapsed="false">
      <c r="A125" s="28" t="s">
        <v>206</v>
      </c>
      <c r="B125" s="25" t="s">
        <v>2927</v>
      </c>
      <c r="C125" s="569" t="n">
        <v>1</v>
      </c>
      <c r="D125" s="1105" t="n">
        <f aca="false">E125+F125+G125+H125</f>
        <v>205</v>
      </c>
      <c r="E125" s="547" t="n">
        <v>60</v>
      </c>
      <c r="F125" s="912" t="n">
        <v>100</v>
      </c>
      <c r="G125" s="912" t="n">
        <v>30</v>
      </c>
      <c r="H125" s="912" t="n">
        <v>15</v>
      </c>
      <c r="I125" s="912" t="n">
        <v>120</v>
      </c>
      <c r="J125" s="679"/>
      <c r="K125" s="679"/>
    </row>
    <row r="126" customFormat="false" ht="15" hidden="false" customHeight="false" outlineLevel="0" collapsed="false">
      <c r="A126" s="28" t="s">
        <v>207</v>
      </c>
      <c r="B126" s="25" t="s">
        <v>2928</v>
      </c>
      <c r="C126" s="569" t="n">
        <v>1</v>
      </c>
      <c r="D126" s="1105" t="n">
        <f aca="false">E126+F126+G126+H126</f>
        <v>170</v>
      </c>
      <c r="E126" s="547" t="n">
        <v>70</v>
      </c>
      <c r="F126" s="912" t="n">
        <v>50</v>
      </c>
      <c r="G126" s="912" t="n">
        <v>30</v>
      </c>
      <c r="H126" s="912" t="n">
        <v>20</v>
      </c>
      <c r="I126" s="912" t="n">
        <v>170</v>
      </c>
      <c r="J126" s="679"/>
      <c r="K126" s="679"/>
    </row>
    <row r="127" customFormat="false" ht="15" hidden="false" customHeight="false" outlineLevel="0" collapsed="false">
      <c r="A127" s="28" t="s">
        <v>208</v>
      </c>
      <c r="B127" s="21" t="s">
        <v>2929</v>
      </c>
      <c r="C127" s="569" t="n">
        <v>1</v>
      </c>
      <c r="D127" s="1105" t="n">
        <f aca="false">E127+F127+G127+H127</f>
        <v>90</v>
      </c>
      <c r="E127" s="547" t="n">
        <v>50</v>
      </c>
      <c r="F127" s="912" t="n">
        <v>20</v>
      </c>
      <c r="G127" s="912"/>
      <c r="H127" s="912" t="n">
        <v>20</v>
      </c>
      <c r="I127" s="912" t="n">
        <v>25</v>
      </c>
      <c r="J127" s="679"/>
      <c r="K127" s="679"/>
    </row>
    <row r="128" customFormat="false" ht="15" hidden="false" customHeight="false" outlineLevel="0" collapsed="false">
      <c r="A128" s="28" t="s">
        <v>209</v>
      </c>
      <c r="B128" s="21" t="s">
        <v>2930</v>
      </c>
      <c r="C128" s="569" t="n">
        <v>1</v>
      </c>
      <c r="D128" s="1105" t="n">
        <f aca="false">E128+F128+G128+H128</f>
        <v>170</v>
      </c>
      <c r="E128" s="547" t="n">
        <v>70</v>
      </c>
      <c r="F128" s="912" t="n">
        <v>50</v>
      </c>
      <c r="G128" s="912" t="n">
        <v>30</v>
      </c>
      <c r="H128" s="912" t="n">
        <v>20</v>
      </c>
      <c r="I128" s="912" t="n">
        <v>170</v>
      </c>
      <c r="J128" s="679"/>
      <c r="K128" s="679"/>
    </row>
    <row r="129" customFormat="false" ht="15" hidden="false" customHeight="false" outlineLevel="0" collapsed="false">
      <c r="A129" s="28" t="s">
        <v>210</v>
      </c>
      <c r="B129" s="21" t="s">
        <v>2931</v>
      </c>
      <c r="C129" s="569" t="n">
        <v>1</v>
      </c>
      <c r="D129" s="1105" t="n">
        <f aca="false">E129+F129+G129+H129</f>
        <v>100</v>
      </c>
      <c r="E129" s="547" t="n">
        <v>60</v>
      </c>
      <c r="F129" s="912" t="n">
        <v>20</v>
      </c>
      <c r="G129" s="912"/>
      <c r="H129" s="912" t="n">
        <v>20</v>
      </c>
      <c r="I129" s="912" t="n">
        <v>160</v>
      </c>
      <c r="J129" s="679"/>
      <c r="K129" s="679"/>
    </row>
    <row r="130" customFormat="false" ht="15" hidden="false" customHeight="false" outlineLevel="0" collapsed="false">
      <c r="A130" s="28" t="s">
        <v>211</v>
      </c>
      <c r="B130" s="25" t="s">
        <v>2932</v>
      </c>
      <c r="C130" s="569" t="n">
        <v>1</v>
      </c>
      <c r="D130" s="1105" t="n">
        <f aca="false">E130+F130+G130+H130</f>
        <v>150</v>
      </c>
      <c r="E130" s="547" t="n">
        <v>90</v>
      </c>
      <c r="F130" s="912" t="n">
        <v>40</v>
      </c>
      <c r="G130" s="912"/>
      <c r="H130" s="912" t="n">
        <v>20</v>
      </c>
      <c r="I130" s="912" t="n">
        <v>25</v>
      </c>
      <c r="J130" s="679"/>
      <c r="K130" s="679"/>
    </row>
    <row r="131" customFormat="false" ht="15.75" hidden="false" customHeight="true" outlineLevel="0" collapsed="false">
      <c r="A131" s="28" t="s">
        <v>212</v>
      </c>
      <c r="B131" s="21" t="s">
        <v>2933</v>
      </c>
      <c r="C131" s="569" t="n">
        <v>1</v>
      </c>
      <c r="D131" s="1105" t="n">
        <f aca="false">E131+F131+G131+H131</f>
        <v>180</v>
      </c>
      <c r="E131" s="547" t="n">
        <v>80</v>
      </c>
      <c r="F131" s="912" t="n">
        <v>50</v>
      </c>
      <c r="G131" s="912" t="n">
        <v>30</v>
      </c>
      <c r="H131" s="912" t="n">
        <v>20</v>
      </c>
      <c r="I131" s="912" t="n">
        <v>170</v>
      </c>
      <c r="J131" s="679"/>
      <c r="K131" s="679"/>
    </row>
    <row r="132" customFormat="false" ht="15.75" hidden="false" customHeight="true" outlineLevel="0" collapsed="false">
      <c r="A132" s="28" t="s">
        <v>213</v>
      </c>
      <c r="B132" s="21" t="s">
        <v>2934</v>
      </c>
      <c r="C132" s="569" t="n">
        <v>1</v>
      </c>
      <c r="D132" s="1105" t="n">
        <f aca="false">E132+F132+G132+H132</f>
        <v>200</v>
      </c>
      <c r="E132" s="547" t="n">
        <v>120</v>
      </c>
      <c r="F132" s="912" t="n">
        <v>60</v>
      </c>
      <c r="G132" s="912"/>
      <c r="H132" s="912" t="n">
        <v>20</v>
      </c>
      <c r="I132" s="912" t="n">
        <v>160</v>
      </c>
      <c r="J132" s="679"/>
      <c r="K132" s="679"/>
    </row>
    <row r="133" customFormat="false" ht="15.75" hidden="false" customHeight="true" outlineLevel="0" collapsed="false">
      <c r="A133" s="28" t="s">
        <v>214</v>
      </c>
      <c r="B133" s="21" t="s">
        <v>2935</v>
      </c>
      <c r="C133" s="569" t="n">
        <v>1</v>
      </c>
      <c r="D133" s="1105" t="n">
        <f aca="false">E133+F133+G133+H133</f>
        <v>220</v>
      </c>
      <c r="E133" s="547" t="n">
        <v>120</v>
      </c>
      <c r="F133" s="912" t="n">
        <v>50</v>
      </c>
      <c r="G133" s="912" t="n">
        <v>30</v>
      </c>
      <c r="H133" s="912" t="n">
        <v>20</v>
      </c>
      <c r="I133" s="912" t="n">
        <v>170</v>
      </c>
      <c r="J133" s="679"/>
      <c r="K133" s="679"/>
    </row>
    <row r="134" customFormat="false" ht="15" hidden="false" customHeight="false" outlineLevel="0" collapsed="false">
      <c r="A134" s="28" t="s">
        <v>215</v>
      </c>
      <c r="B134" s="25" t="s">
        <v>2936</v>
      </c>
      <c r="C134" s="569" t="n">
        <v>1</v>
      </c>
      <c r="D134" s="1105" t="n">
        <f aca="false">E134+F134+G134+H134</f>
        <v>80</v>
      </c>
      <c r="E134" s="547" t="n">
        <v>50</v>
      </c>
      <c r="F134" s="912" t="n">
        <v>20</v>
      </c>
      <c r="G134" s="912"/>
      <c r="H134" s="912" t="n">
        <v>10</v>
      </c>
      <c r="I134" s="912" t="n">
        <v>25</v>
      </c>
      <c r="J134" s="679"/>
      <c r="K134" s="679"/>
    </row>
    <row r="135" customFormat="false" ht="15" hidden="false" customHeight="false" outlineLevel="0" collapsed="false">
      <c r="A135" s="28" t="s">
        <v>216</v>
      </c>
      <c r="B135" s="25" t="s">
        <v>2937</v>
      </c>
      <c r="C135" s="569" t="n">
        <v>1</v>
      </c>
      <c r="D135" s="1105" t="n">
        <f aca="false">E135+F135+G135+H135</f>
        <v>90</v>
      </c>
      <c r="E135" s="547" t="n">
        <v>50</v>
      </c>
      <c r="F135" s="912" t="n">
        <v>20</v>
      </c>
      <c r="G135" s="912"/>
      <c r="H135" s="912" t="n">
        <v>20</v>
      </c>
      <c r="I135" s="912" t="n">
        <v>25</v>
      </c>
      <c r="J135" s="679"/>
      <c r="K135" s="679"/>
    </row>
    <row r="136" customFormat="false" ht="15" hidden="false" customHeight="false" outlineLevel="0" collapsed="false">
      <c r="A136" s="28" t="s">
        <v>217</v>
      </c>
      <c r="B136" s="25" t="s">
        <v>2938</v>
      </c>
      <c r="C136" s="569" t="n">
        <v>1</v>
      </c>
      <c r="D136" s="1105" t="n">
        <f aca="false">E136+F136+G136+H136</f>
        <v>50</v>
      </c>
      <c r="E136" s="547" t="n">
        <v>30</v>
      </c>
      <c r="F136" s="912" t="n">
        <v>20</v>
      </c>
      <c r="G136" s="912"/>
      <c r="H136" s="912"/>
      <c r="I136" s="912" t="n">
        <v>25</v>
      </c>
      <c r="J136" s="679"/>
      <c r="K136" s="679"/>
    </row>
    <row r="137" customFormat="false" ht="15" hidden="false" customHeight="false" outlineLevel="0" collapsed="false">
      <c r="A137" s="28" t="s">
        <v>218</v>
      </c>
      <c r="B137" s="25" t="s">
        <v>2959</v>
      </c>
      <c r="C137" s="569" t="n">
        <v>1</v>
      </c>
      <c r="D137" s="1105" t="n">
        <f aca="false">E137+F137+G137+H137</f>
        <v>75</v>
      </c>
      <c r="E137" s="547" t="n">
        <v>30</v>
      </c>
      <c r="F137" s="912" t="n">
        <v>30</v>
      </c>
      <c r="G137" s="912"/>
      <c r="H137" s="912" t="n">
        <v>15</v>
      </c>
      <c r="I137" s="912" t="n">
        <v>10</v>
      </c>
      <c r="J137" s="679"/>
      <c r="K137" s="679"/>
    </row>
    <row r="138" customFormat="false" ht="15" hidden="false" customHeight="false" outlineLevel="0" collapsed="false">
      <c r="A138" s="28" t="s">
        <v>219</v>
      </c>
      <c r="B138" s="25" t="s">
        <v>2940</v>
      </c>
      <c r="C138" s="569" t="n">
        <v>1</v>
      </c>
      <c r="D138" s="1105" t="n">
        <f aca="false">E138+F138+G138+H138</f>
        <v>170</v>
      </c>
      <c r="E138" s="547" t="n">
        <v>70</v>
      </c>
      <c r="F138" s="912" t="n">
        <v>50</v>
      </c>
      <c r="G138" s="912" t="n">
        <v>30</v>
      </c>
      <c r="H138" s="912" t="n">
        <v>20</v>
      </c>
      <c r="I138" s="912" t="n">
        <v>170</v>
      </c>
      <c r="J138" s="679"/>
      <c r="K138" s="679"/>
    </row>
    <row r="139" customFormat="false" ht="15" hidden="false" customHeight="false" outlineLevel="0" collapsed="false">
      <c r="A139" s="28" t="s">
        <v>220</v>
      </c>
      <c r="B139" s="25" t="s">
        <v>2960</v>
      </c>
      <c r="C139" s="569" t="n">
        <v>1</v>
      </c>
      <c r="D139" s="1105" t="n">
        <f aca="false">E139+F139+G139+H139</f>
        <v>190</v>
      </c>
      <c r="E139" s="547" t="n">
        <v>120</v>
      </c>
      <c r="F139" s="912" t="n">
        <v>50</v>
      </c>
      <c r="G139" s="912"/>
      <c r="H139" s="912" t="n">
        <v>20</v>
      </c>
      <c r="I139" s="912" t="n">
        <v>25</v>
      </c>
      <c r="J139" s="679"/>
      <c r="K139" s="679"/>
    </row>
    <row r="140" customFormat="false" ht="15" hidden="false" customHeight="false" outlineLevel="0" collapsed="false">
      <c r="A140" s="28" t="s">
        <v>222</v>
      </c>
      <c r="B140" s="25" t="s">
        <v>2941</v>
      </c>
      <c r="C140" s="569" t="n">
        <v>1</v>
      </c>
      <c r="D140" s="1105" t="n">
        <f aca="false">E140+F140+G140+H140</f>
        <v>215</v>
      </c>
      <c r="E140" s="547" t="n">
        <v>120</v>
      </c>
      <c r="F140" s="912" t="n">
        <v>60</v>
      </c>
      <c r="G140" s="912" t="n">
        <v>10</v>
      </c>
      <c r="H140" s="912" t="n">
        <v>25</v>
      </c>
      <c r="I140" s="912" t="n">
        <v>180</v>
      </c>
      <c r="J140" s="679"/>
      <c r="K140" s="679"/>
    </row>
    <row r="141" customFormat="false" ht="15" hidden="false" customHeight="false" outlineLevel="0" collapsed="false">
      <c r="A141" s="28" t="s">
        <v>223</v>
      </c>
      <c r="B141" s="25" t="s">
        <v>2942</v>
      </c>
      <c r="C141" s="569" t="n">
        <v>1</v>
      </c>
      <c r="D141" s="1105" t="n">
        <f aca="false">E141+F141+G141+H141</f>
        <v>215</v>
      </c>
      <c r="E141" s="547" t="n">
        <v>120</v>
      </c>
      <c r="F141" s="912" t="n">
        <v>60</v>
      </c>
      <c r="G141" s="912" t="n">
        <v>10</v>
      </c>
      <c r="H141" s="912" t="n">
        <v>25</v>
      </c>
      <c r="I141" s="912" t="n">
        <v>180</v>
      </c>
      <c r="J141" s="679"/>
      <c r="K141" s="679"/>
    </row>
    <row r="142" customFormat="false" ht="15" hidden="false" customHeight="false" outlineLevel="0" collapsed="false">
      <c r="A142" s="28" t="s">
        <v>224</v>
      </c>
      <c r="B142" s="21" t="s">
        <v>2961</v>
      </c>
      <c r="C142" s="569" t="n">
        <v>1</v>
      </c>
      <c r="D142" s="1105" t="n">
        <f aca="false">E142+F142+G142+H142</f>
        <v>140</v>
      </c>
      <c r="E142" s="547" t="n">
        <v>60</v>
      </c>
      <c r="F142" s="912" t="n">
        <v>60</v>
      </c>
      <c r="G142" s="912"/>
      <c r="H142" s="912" t="n">
        <v>20</v>
      </c>
      <c r="I142" s="912" t="n">
        <v>25</v>
      </c>
      <c r="J142" s="679"/>
      <c r="K142" s="679"/>
    </row>
    <row r="143" customFormat="false" ht="15" hidden="false" customHeight="false" outlineLevel="0" collapsed="false">
      <c r="A143" s="15" t="s">
        <v>226</v>
      </c>
      <c r="B143" s="16" t="s">
        <v>2962</v>
      </c>
      <c r="C143" s="541"/>
      <c r="D143" s="712"/>
      <c r="E143" s="712"/>
      <c r="F143" s="541"/>
      <c r="G143" s="541"/>
      <c r="H143" s="541"/>
      <c r="I143" s="541"/>
      <c r="J143" s="541"/>
      <c r="K143" s="541"/>
    </row>
    <row r="144" customFormat="false" ht="15" hidden="false" customHeight="false" outlineLevel="0" collapsed="false">
      <c r="A144" s="28" t="s">
        <v>228</v>
      </c>
      <c r="B144" s="25" t="s">
        <v>2963</v>
      </c>
      <c r="C144" s="569" t="n">
        <v>1</v>
      </c>
      <c r="D144" s="1105" t="n">
        <f aca="false">E144+F144+G144+H144</f>
        <v>155</v>
      </c>
      <c r="E144" s="1105" t="n">
        <v>60</v>
      </c>
      <c r="F144" s="569" t="n">
        <v>70</v>
      </c>
      <c r="G144" s="569"/>
      <c r="H144" s="569" t="n">
        <v>25</v>
      </c>
      <c r="I144" s="569" t="n">
        <v>25</v>
      </c>
      <c r="J144" s="679"/>
      <c r="K144" s="679"/>
    </row>
    <row r="145" customFormat="false" ht="15" hidden="false" customHeight="false" outlineLevel="0" collapsed="false">
      <c r="A145" s="28" t="s">
        <v>230</v>
      </c>
      <c r="B145" s="25" t="s">
        <v>2964</v>
      </c>
      <c r="C145" s="569" t="n">
        <v>1</v>
      </c>
      <c r="D145" s="1105" t="n">
        <f aca="false">E145+F145+G145+H145</f>
        <v>25</v>
      </c>
      <c r="E145" s="547" t="n">
        <v>10</v>
      </c>
      <c r="F145" s="912" t="n">
        <v>5</v>
      </c>
      <c r="G145" s="912"/>
      <c r="H145" s="912" t="n">
        <v>10</v>
      </c>
      <c r="I145" s="912" t="n">
        <v>20</v>
      </c>
      <c r="J145" s="679"/>
      <c r="K145" s="679"/>
    </row>
    <row r="146" customFormat="false" ht="15" hidden="false" customHeight="false" outlineLevel="0" collapsed="false">
      <c r="A146" s="28" t="s">
        <v>232</v>
      </c>
      <c r="B146" s="25" t="s">
        <v>2965</v>
      </c>
      <c r="C146" s="569" t="n">
        <v>1</v>
      </c>
      <c r="D146" s="1105" t="n">
        <f aca="false">E146+F146+G146+H146</f>
        <v>100</v>
      </c>
      <c r="E146" s="547" t="n">
        <v>40</v>
      </c>
      <c r="F146" s="912" t="n">
        <v>50</v>
      </c>
      <c r="G146" s="912"/>
      <c r="H146" s="912" t="n">
        <v>10</v>
      </c>
      <c r="I146" s="912" t="n">
        <v>15</v>
      </c>
      <c r="J146" s="679"/>
      <c r="K146" s="679"/>
    </row>
    <row r="147" customFormat="false" ht="15" hidden="false" customHeight="false" outlineLevel="0" collapsed="false">
      <c r="A147" s="28" t="s">
        <v>234</v>
      </c>
      <c r="B147" s="25" t="s">
        <v>2893</v>
      </c>
      <c r="C147" s="569" t="n">
        <v>1</v>
      </c>
      <c r="D147" s="1105" t="n">
        <f aca="false">E147+F147+G147+H147</f>
        <v>70</v>
      </c>
      <c r="E147" s="547" t="n">
        <v>30</v>
      </c>
      <c r="F147" s="912" t="n">
        <v>30</v>
      </c>
      <c r="G147" s="912"/>
      <c r="H147" s="912" t="n">
        <v>10</v>
      </c>
      <c r="I147" s="912" t="n">
        <v>15</v>
      </c>
      <c r="J147" s="679"/>
      <c r="K147" s="679"/>
    </row>
    <row r="148" customFormat="false" ht="15" hidden="false" customHeight="false" outlineLevel="0" collapsed="false">
      <c r="A148" s="28" t="s">
        <v>235</v>
      </c>
      <c r="B148" s="25" t="s">
        <v>2966</v>
      </c>
      <c r="C148" s="569" t="n">
        <v>1</v>
      </c>
      <c r="D148" s="1105" t="n">
        <f aca="false">E148+F148+G148+H148</f>
        <v>40</v>
      </c>
      <c r="E148" s="1105" t="n">
        <v>20</v>
      </c>
      <c r="F148" s="569" t="n">
        <v>10</v>
      </c>
      <c r="G148" s="569"/>
      <c r="H148" s="569" t="n">
        <v>10</v>
      </c>
      <c r="I148" s="569" t="n">
        <v>25</v>
      </c>
      <c r="J148" s="679"/>
      <c r="K148" s="679"/>
    </row>
    <row r="149" customFormat="false" ht="15" hidden="false" customHeight="false" outlineLevel="0" collapsed="false">
      <c r="A149" s="28" t="s">
        <v>237</v>
      </c>
      <c r="B149" s="25" t="s">
        <v>2967</v>
      </c>
      <c r="C149" s="569" t="n">
        <v>1</v>
      </c>
      <c r="D149" s="1105" t="n">
        <f aca="false">E149+F149+G149+H149</f>
        <v>30</v>
      </c>
      <c r="E149" s="547" t="n">
        <v>20</v>
      </c>
      <c r="F149" s="912" t="n">
        <v>10</v>
      </c>
      <c r="G149" s="912"/>
      <c r="H149" s="912"/>
      <c r="I149" s="912" t="n">
        <v>10</v>
      </c>
      <c r="J149" s="679"/>
      <c r="K149" s="679"/>
    </row>
    <row r="150" customFormat="false" ht="15" hidden="false" customHeight="false" outlineLevel="0" collapsed="false">
      <c r="A150" s="28" t="s">
        <v>239</v>
      </c>
      <c r="B150" s="25" t="s">
        <v>2968</v>
      </c>
      <c r="C150" s="569" t="n">
        <v>1</v>
      </c>
      <c r="D150" s="1105" t="n">
        <f aca="false">E150+F150+G150+H150</f>
        <v>80</v>
      </c>
      <c r="E150" s="1105" t="n">
        <v>40</v>
      </c>
      <c r="F150" s="569" t="n">
        <v>30</v>
      </c>
      <c r="G150" s="569"/>
      <c r="H150" s="569" t="n">
        <v>10</v>
      </c>
      <c r="I150" s="569" t="n">
        <v>25</v>
      </c>
      <c r="J150" s="679"/>
      <c r="K150" s="679"/>
    </row>
    <row r="151" customFormat="false" ht="15" hidden="false" customHeight="false" outlineLevel="0" collapsed="false">
      <c r="A151" s="28" t="s">
        <v>241</v>
      </c>
      <c r="B151" s="25" t="s">
        <v>2969</v>
      </c>
      <c r="C151" s="569" t="n">
        <v>1</v>
      </c>
      <c r="D151" s="1105" t="n">
        <f aca="false">E151+F151+G151+H151</f>
        <v>140</v>
      </c>
      <c r="E151" s="547" t="n">
        <v>60</v>
      </c>
      <c r="F151" s="912" t="n">
        <v>60</v>
      </c>
      <c r="G151" s="912"/>
      <c r="H151" s="912" t="n">
        <v>20</v>
      </c>
      <c r="I151" s="912" t="n">
        <v>25</v>
      </c>
      <c r="J151" s="679"/>
      <c r="K151" s="679"/>
    </row>
    <row r="152" customFormat="false" ht="15" hidden="false" customHeight="false" outlineLevel="0" collapsed="false">
      <c r="A152" s="28" t="s">
        <v>243</v>
      </c>
      <c r="B152" s="25" t="s">
        <v>2970</v>
      </c>
      <c r="C152" s="569" t="n">
        <v>1</v>
      </c>
      <c r="D152" s="1105" t="n">
        <f aca="false">E152+F152+G152+H152</f>
        <v>140</v>
      </c>
      <c r="E152" s="547" t="n">
        <v>70</v>
      </c>
      <c r="F152" s="912" t="n">
        <v>60</v>
      </c>
      <c r="G152" s="912"/>
      <c r="H152" s="912" t="n">
        <v>10</v>
      </c>
      <c r="I152" s="912" t="n">
        <v>25</v>
      </c>
      <c r="J152" s="679"/>
      <c r="K152" s="679"/>
    </row>
    <row r="153" customFormat="false" ht="15" hidden="false" customHeight="false" outlineLevel="0" collapsed="false">
      <c r="A153" s="28" t="s">
        <v>245</v>
      </c>
      <c r="B153" s="25" t="s">
        <v>2971</v>
      </c>
      <c r="C153" s="569" t="n">
        <v>1</v>
      </c>
      <c r="D153" s="1105" t="n">
        <f aca="false">E153+F153+G153+H153</f>
        <v>55</v>
      </c>
      <c r="E153" s="547" t="n">
        <v>30</v>
      </c>
      <c r="F153" s="912" t="n">
        <v>10</v>
      </c>
      <c r="G153" s="912"/>
      <c r="H153" s="912" t="n">
        <v>15</v>
      </c>
      <c r="I153" s="912" t="n">
        <v>25</v>
      </c>
      <c r="J153" s="679"/>
      <c r="K153" s="679"/>
    </row>
    <row r="154" customFormat="false" ht="15" hidden="false" customHeight="false" outlineLevel="0" collapsed="false">
      <c r="A154" s="28" t="s">
        <v>247</v>
      </c>
      <c r="B154" s="25" t="s">
        <v>2955</v>
      </c>
      <c r="C154" s="569" t="n">
        <v>1</v>
      </c>
      <c r="D154" s="1105" t="n">
        <f aca="false">E154+F154+G154+H154</f>
        <v>40</v>
      </c>
      <c r="E154" s="547" t="n">
        <v>30</v>
      </c>
      <c r="F154" s="912" t="n">
        <v>10</v>
      </c>
      <c r="G154" s="912"/>
      <c r="H154" s="912"/>
      <c r="I154" s="912" t="n">
        <v>25</v>
      </c>
      <c r="J154" s="679"/>
      <c r="K154" s="679"/>
    </row>
    <row r="155" customFormat="false" ht="15" hidden="false" customHeight="false" outlineLevel="0" collapsed="false">
      <c r="A155" s="28" t="s">
        <v>248</v>
      </c>
      <c r="B155" s="25" t="s">
        <v>2972</v>
      </c>
      <c r="C155" s="569" t="n">
        <v>1</v>
      </c>
      <c r="D155" s="1105" t="n">
        <f aca="false">E155+F155+G155+H155</f>
        <v>50</v>
      </c>
      <c r="E155" s="547" t="n">
        <v>30</v>
      </c>
      <c r="F155" s="912" t="n">
        <v>10</v>
      </c>
      <c r="G155" s="912"/>
      <c r="H155" s="912" t="n">
        <v>10</v>
      </c>
      <c r="I155" s="912" t="n">
        <v>25</v>
      </c>
      <c r="J155" s="679"/>
      <c r="K155" s="679"/>
    </row>
    <row r="156" customFormat="false" ht="15" hidden="false" customHeight="false" outlineLevel="0" collapsed="false">
      <c r="A156" s="28" t="s">
        <v>250</v>
      </c>
      <c r="B156" s="25" t="s">
        <v>2959</v>
      </c>
      <c r="C156" s="569" t="n">
        <v>1</v>
      </c>
      <c r="D156" s="1105" t="n">
        <f aca="false">E156+F156+G156+H156</f>
        <v>55</v>
      </c>
      <c r="E156" s="547" t="n">
        <v>20</v>
      </c>
      <c r="F156" s="912" t="n">
        <v>20</v>
      </c>
      <c r="G156" s="912"/>
      <c r="H156" s="912" t="n">
        <v>15</v>
      </c>
      <c r="I156" s="912" t="n">
        <v>10</v>
      </c>
      <c r="J156" s="679"/>
      <c r="K156" s="679"/>
    </row>
    <row r="157" customFormat="false" ht="30" hidden="false" customHeight="false" outlineLevel="0" collapsed="false">
      <c r="A157" s="28" t="s">
        <v>251</v>
      </c>
      <c r="B157" s="25" t="s">
        <v>2973</v>
      </c>
      <c r="C157" s="569" t="n">
        <v>1</v>
      </c>
      <c r="D157" s="1105" t="n">
        <f aca="false">E157+F157+G157+H157</f>
        <v>210</v>
      </c>
      <c r="E157" s="547" t="n">
        <v>80</v>
      </c>
      <c r="F157" s="912" t="n">
        <v>60</v>
      </c>
      <c r="G157" s="912" t="n">
        <v>50</v>
      </c>
      <c r="H157" s="912" t="n">
        <v>20</v>
      </c>
      <c r="I157" s="912" t="n">
        <v>170</v>
      </c>
      <c r="J157" s="679"/>
      <c r="K157" s="679"/>
    </row>
    <row r="158" customFormat="false" ht="30" hidden="false" customHeight="false" outlineLevel="0" collapsed="false">
      <c r="A158" s="28" t="s">
        <v>253</v>
      </c>
      <c r="B158" s="25" t="s">
        <v>2974</v>
      </c>
      <c r="C158" s="569" t="n">
        <v>1</v>
      </c>
      <c r="D158" s="1105" t="n">
        <f aca="false">E158+F158+G158+H158</f>
        <v>210</v>
      </c>
      <c r="E158" s="547" t="n">
        <v>80</v>
      </c>
      <c r="F158" s="912" t="n">
        <v>60</v>
      </c>
      <c r="G158" s="912" t="n">
        <v>50</v>
      </c>
      <c r="H158" s="912" t="n">
        <v>20</v>
      </c>
      <c r="I158" s="912" t="n">
        <v>170</v>
      </c>
      <c r="J158" s="679"/>
      <c r="K158" s="679"/>
    </row>
    <row r="159" customFormat="false" ht="30" hidden="false" customHeight="false" outlineLevel="0" collapsed="false">
      <c r="A159" s="28" t="s">
        <v>255</v>
      </c>
      <c r="B159" s="25" t="s">
        <v>2975</v>
      </c>
      <c r="C159" s="569" t="n">
        <v>1</v>
      </c>
      <c r="D159" s="1105" t="n">
        <f aca="false">E159+F159+G159+H159</f>
        <v>210</v>
      </c>
      <c r="E159" s="547" t="n">
        <v>80</v>
      </c>
      <c r="F159" s="912" t="n">
        <v>60</v>
      </c>
      <c r="G159" s="912" t="n">
        <v>50</v>
      </c>
      <c r="H159" s="912" t="n">
        <v>20</v>
      </c>
      <c r="I159" s="912" t="n">
        <v>170</v>
      </c>
      <c r="J159" s="679"/>
      <c r="K159" s="679"/>
    </row>
    <row r="160" customFormat="false" ht="60" hidden="false" customHeight="false" outlineLevel="0" collapsed="false">
      <c r="A160" s="28" t="s">
        <v>257</v>
      </c>
      <c r="B160" s="40" t="s">
        <v>2976</v>
      </c>
      <c r="C160" s="569" t="n">
        <v>1</v>
      </c>
      <c r="D160" s="1105" t="n">
        <f aca="false">E160+F160+G160+H160</f>
        <v>50</v>
      </c>
      <c r="E160" s="547" t="n">
        <v>20</v>
      </c>
      <c r="F160" s="912" t="n">
        <v>10</v>
      </c>
      <c r="G160" s="912"/>
      <c r="H160" s="912" t="n">
        <v>20</v>
      </c>
      <c r="I160" s="912" t="n">
        <v>30</v>
      </c>
      <c r="J160" s="679"/>
      <c r="K160" s="679"/>
    </row>
    <row r="161" customFormat="false" ht="15" hidden="false" customHeight="false" outlineLevel="0" collapsed="false">
      <c r="A161" s="28" t="s">
        <v>259</v>
      </c>
      <c r="B161" s="40" t="s">
        <v>2977</v>
      </c>
      <c r="C161" s="569" t="n">
        <v>1</v>
      </c>
      <c r="D161" s="1105" t="n">
        <f aca="false">E161+F161+G161+H161</f>
        <v>50</v>
      </c>
      <c r="E161" s="547" t="n">
        <v>20</v>
      </c>
      <c r="F161" s="912" t="n">
        <v>10</v>
      </c>
      <c r="G161" s="912"/>
      <c r="H161" s="912" t="n">
        <v>20</v>
      </c>
      <c r="I161" s="912" t="n">
        <v>25</v>
      </c>
      <c r="J161" s="679"/>
      <c r="K161" s="679"/>
    </row>
    <row r="162" customFormat="false" ht="15" hidden="false" customHeight="false" outlineLevel="0" collapsed="false">
      <c r="A162" s="28" t="s">
        <v>261</v>
      </c>
      <c r="B162" s="41" t="s">
        <v>2978</v>
      </c>
      <c r="C162" s="569" t="n">
        <v>1</v>
      </c>
      <c r="D162" s="1105" t="n">
        <f aca="false">E162+F162+G162+H162</f>
        <v>25</v>
      </c>
      <c r="E162" s="547"/>
      <c r="F162" s="912" t="n">
        <v>25</v>
      </c>
      <c r="G162" s="912"/>
      <c r="H162" s="912"/>
      <c r="I162" s="569"/>
      <c r="J162" s="679"/>
      <c r="K162" s="679"/>
    </row>
    <row r="163" s="311" customFormat="true" ht="97.5" hidden="false" customHeight="true" outlineLevel="0" collapsed="false">
      <c r="A163" s="1587" t="s">
        <v>263</v>
      </c>
      <c r="B163" s="1587" t="s">
        <v>2979</v>
      </c>
      <c r="C163" s="1587"/>
      <c r="D163" s="1665"/>
      <c r="E163" s="1665"/>
      <c r="F163" s="1587"/>
      <c r="G163" s="1587"/>
      <c r="H163" s="1587"/>
      <c r="I163" s="1587"/>
      <c r="J163" s="1587"/>
      <c r="K163" s="1587"/>
    </row>
    <row r="164" customFormat="false" ht="15" hidden="false" customHeight="false" outlineLevel="0" collapsed="false">
      <c r="A164" s="1666" t="s">
        <v>265</v>
      </c>
      <c r="B164" s="44" t="s">
        <v>2980</v>
      </c>
      <c r="C164" s="569" t="n">
        <v>1</v>
      </c>
      <c r="D164" s="1105" t="n">
        <f aca="false">E164+F164+G164+H164</f>
        <v>20</v>
      </c>
      <c r="E164" s="1105" t="n">
        <v>10</v>
      </c>
      <c r="F164" s="569" t="n">
        <v>10</v>
      </c>
      <c r="G164" s="569"/>
      <c r="H164" s="569"/>
      <c r="I164" s="569"/>
      <c r="J164" s="679"/>
      <c r="K164" s="679"/>
    </row>
    <row r="165" customFormat="false" ht="15" hidden="false" customHeight="false" outlineLevel="0" collapsed="false">
      <c r="A165" s="1666" t="s">
        <v>267</v>
      </c>
      <c r="B165" s="44" t="s">
        <v>2981</v>
      </c>
      <c r="C165" s="569" t="n">
        <v>1</v>
      </c>
      <c r="D165" s="1105" t="n">
        <f aca="false">E165+F165+G165+H165</f>
        <v>20</v>
      </c>
      <c r="E165" s="1105" t="n">
        <v>10</v>
      </c>
      <c r="F165" s="569" t="n">
        <v>10</v>
      </c>
      <c r="G165" s="569"/>
      <c r="H165" s="569"/>
      <c r="I165" s="569"/>
      <c r="J165" s="679"/>
      <c r="K165" s="679"/>
    </row>
    <row r="166" customFormat="false" ht="15" hidden="false" customHeight="false" outlineLevel="0" collapsed="false">
      <c r="A166" s="1666" t="s">
        <v>268</v>
      </c>
      <c r="B166" s="44" t="s">
        <v>2881</v>
      </c>
      <c r="C166" s="569" t="n">
        <v>1</v>
      </c>
      <c r="D166" s="1105" t="n">
        <f aca="false">E166+F166+G166+H166</f>
        <v>20</v>
      </c>
      <c r="E166" s="1105" t="n">
        <v>10</v>
      </c>
      <c r="F166" s="569" t="n">
        <v>10</v>
      </c>
      <c r="G166" s="569"/>
      <c r="H166" s="569"/>
      <c r="I166" s="569"/>
      <c r="J166" s="679"/>
      <c r="K166" s="679"/>
    </row>
    <row r="167" customFormat="false" ht="30" hidden="false" customHeight="false" outlineLevel="0" collapsed="false">
      <c r="A167" s="1666" t="s">
        <v>269</v>
      </c>
      <c r="B167" s="1667" t="s">
        <v>2982</v>
      </c>
      <c r="C167" s="569" t="n">
        <v>1</v>
      </c>
      <c r="D167" s="1105" t="n">
        <f aca="false">E167+F167+G167+H167</f>
        <v>55</v>
      </c>
      <c r="E167" s="1105" t="n">
        <v>20</v>
      </c>
      <c r="F167" s="569" t="n">
        <v>25</v>
      </c>
      <c r="G167" s="569"/>
      <c r="H167" s="569" t="n">
        <v>10</v>
      </c>
      <c r="I167" s="569" t="n">
        <v>15</v>
      </c>
      <c r="J167" s="679"/>
      <c r="K167" s="679"/>
      <c r="L167" s="311"/>
    </row>
    <row r="168" customFormat="false" ht="15" hidden="false" customHeight="false" outlineLevel="0" collapsed="false">
      <c r="A168" s="1666" t="s">
        <v>271</v>
      </c>
      <c r="B168" s="44" t="s">
        <v>2983</v>
      </c>
      <c r="C168" s="569" t="n">
        <v>1</v>
      </c>
      <c r="D168" s="1105" t="n">
        <f aca="false">E168+F168+G168+H168</f>
        <v>20</v>
      </c>
      <c r="E168" s="1105" t="n">
        <v>10</v>
      </c>
      <c r="F168" s="569" t="n">
        <v>10</v>
      </c>
      <c r="G168" s="569"/>
      <c r="H168" s="569"/>
      <c r="I168" s="569" t="n">
        <v>10</v>
      </c>
      <c r="J168" s="679"/>
      <c r="K168" s="679"/>
    </row>
    <row r="169" customFormat="false" ht="15" hidden="false" customHeight="false" outlineLevel="0" collapsed="false">
      <c r="A169" s="1666" t="s">
        <v>273</v>
      </c>
      <c r="B169" s="44" t="s">
        <v>2984</v>
      </c>
      <c r="C169" s="569" t="n">
        <v>1</v>
      </c>
      <c r="D169" s="1105" t="n">
        <v>30</v>
      </c>
      <c r="E169" s="1105" t="n">
        <v>10</v>
      </c>
      <c r="F169" s="569" t="n">
        <v>10</v>
      </c>
      <c r="G169" s="569"/>
      <c r="H169" s="569"/>
      <c r="I169" s="569" t="n">
        <v>10</v>
      </c>
      <c r="J169" s="679"/>
      <c r="K169" s="679"/>
    </row>
    <row r="170" customFormat="false" ht="15" hidden="false" customHeight="false" outlineLevel="0" collapsed="false">
      <c r="A170" s="1666" t="s">
        <v>275</v>
      </c>
      <c r="B170" s="44" t="s">
        <v>2985</v>
      </c>
      <c r="C170" s="569" t="n">
        <v>1</v>
      </c>
      <c r="D170" s="1105" t="n">
        <f aca="false">E170+F170+G170+H170</f>
        <v>25</v>
      </c>
      <c r="E170" s="1105" t="n">
        <v>10</v>
      </c>
      <c r="F170" s="569" t="n">
        <v>15</v>
      </c>
      <c r="G170" s="569"/>
      <c r="H170" s="569"/>
      <c r="I170" s="569"/>
      <c r="J170" s="679"/>
      <c r="K170" s="679"/>
    </row>
    <row r="171" customFormat="false" ht="15" hidden="false" customHeight="false" outlineLevel="0" collapsed="false">
      <c r="A171" s="1666" t="s">
        <v>277</v>
      </c>
      <c r="B171" s="44" t="s">
        <v>2986</v>
      </c>
      <c r="C171" s="569" t="n">
        <v>1</v>
      </c>
      <c r="D171" s="1105" t="n">
        <v>85</v>
      </c>
      <c r="E171" s="1105" t="n">
        <v>30</v>
      </c>
      <c r="F171" s="569" t="n">
        <v>35</v>
      </c>
      <c r="G171" s="569"/>
      <c r="H171" s="569"/>
      <c r="I171" s="569" t="n">
        <v>20</v>
      </c>
      <c r="J171" s="679"/>
      <c r="K171" s="679"/>
    </row>
    <row r="172" customFormat="false" ht="60.75" hidden="false" customHeight="true" outlineLevel="0" collapsed="false">
      <c r="A172" s="1666" t="s">
        <v>279</v>
      </c>
      <c r="B172" s="44" t="s">
        <v>2987</v>
      </c>
      <c r="C172" s="569" t="n">
        <v>1</v>
      </c>
      <c r="D172" s="1105" t="n">
        <v>120</v>
      </c>
      <c r="E172" s="1105" t="n">
        <v>40</v>
      </c>
      <c r="F172" s="569" t="n">
        <v>40</v>
      </c>
      <c r="G172" s="569"/>
      <c r="H172" s="569" t="n">
        <v>20</v>
      </c>
      <c r="I172" s="569" t="n">
        <v>10</v>
      </c>
      <c r="J172" s="679"/>
      <c r="K172" s="679"/>
    </row>
    <row r="173" customFormat="false" ht="45" hidden="false" customHeight="false" outlineLevel="0" collapsed="false">
      <c r="A173" s="1666" t="s">
        <v>281</v>
      </c>
      <c r="B173" s="44" t="s">
        <v>2988</v>
      </c>
      <c r="C173" s="569" t="n">
        <v>1</v>
      </c>
      <c r="D173" s="1105" t="n">
        <v>120</v>
      </c>
      <c r="E173" s="1105" t="n">
        <v>40</v>
      </c>
      <c r="F173" s="569" t="n">
        <v>40</v>
      </c>
      <c r="G173" s="569"/>
      <c r="H173" s="569" t="n">
        <v>20</v>
      </c>
      <c r="I173" s="569" t="n">
        <v>20</v>
      </c>
      <c r="J173" s="679"/>
      <c r="K173" s="679"/>
    </row>
    <row r="174" customFormat="false" ht="45" hidden="false" customHeight="false" outlineLevel="0" collapsed="false">
      <c r="A174" s="1666" t="s">
        <v>283</v>
      </c>
      <c r="B174" s="44" t="s">
        <v>4097</v>
      </c>
      <c r="C174" s="569" t="n">
        <v>1</v>
      </c>
      <c r="D174" s="1105" t="n">
        <f aca="false">E174+F174+G174+H174+I174</f>
        <v>120</v>
      </c>
      <c r="E174" s="1105" t="n">
        <v>40</v>
      </c>
      <c r="F174" s="569" t="n">
        <v>40</v>
      </c>
      <c r="G174" s="569"/>
      <c r="H174" s="569" t="n">
        <v>20</v>
      </c>
      <c r="I174" s="569" t="n">
        <v>20</v>
      </c>
      <c r="J174" s="679"/>
      <c r="K174" s="679"/>
    </row>
    <row r="175" customFormat="false" ht="15" hidden="false" customHeight="false" outlineLevel="0" collapsed="false">
      <c r="A175" s="1666" t="s">
        <v>285</v>
      </c>
      <c r="B175" s="44" t="s">
        <v>2990</v>
      </c>
      <c r="C175" s="569" t="n">
        <v>1</v>
      </c>
      <c r="D175" s="1105" t="n">
        <f aca="false">E175+F175+G175+H175</f>
        <v>95</v>
      </c>
      <c r="E175" s="1105" t="n">
        <v>40</v>
      </c>
      <c r="F175" s="569" t="n">
        <v>35</v>
      </c>
      <c r="G175" s="569"/>
      <c r="H175" s="569" t="n">
        <v>20</v>
      </c>
      <c r="I175" s="569" t="n">
        <v>20</v>
      </c>
      <c r="J175" s="679"/>
      <c r="K175" s="679"/>
    </row>
    <row r="176" customFormat="false" ht="15" hidden="false" customHeight="false" outlineLevel="0" collapsed="false">
      <c r="A176" s="1666" t="s">
        <v>287</v>
      </c>
      <c r="B176" s="44" t="s">
        <v>2991</v>
      </c>
      <c r="C176" s="569" t="n">
        <v>1</v>
      </c>
      <c r="D176" s="1105" t="n">
        <f aca="false">E176+F176+G176+H176</f>
        <v>95</v>
      </c>
      <c r="E176" s="1105" t="n">
        <v>40</v>
      </c>
      <c r="F176" s="569" t="n">
        <v>35</v>
      </c>
      <c r="G176" s="569"/>
      <c r="H176" s="569" t="n">
        <v>20</v>
      </c>
      <c r="I176" s="569" t="n">
        <v>20</v>
      </c>
      <c r="J176" s="679"/>
      <c r="K176" s="679"/>
    </row>
    <row r="177" customFormat="false" ht="15" hidden="false" customHeight="false" outlineLevel="0" collapsed="false">
      <c r="A177" s="1666" t="s">
        <v>289</v>
      </c>
      <c r="B177" s="44" t="s">
        <v>2992</v>
      </c>
      <c r="C177" s="569" t="n">
        <v>1</v>
      </c>
      <c r="D177" s="1105" t="n">
        <f aca="false">E177+F177+G177+H177</f>
        <v>95</v>
      </c>
      <c r="E177" s="1105" t="n">
        <v>40</v>
      </c>
      <c r="F177" s="569" t="n">
        <v>35</v>
      </c>
      <c r="G177" s="569"/>
      <c r="H177" s="569" t="n">
        <v>20</v>
      </c>
      <c r="I177" s="569" t="n">
        <v>20</v>
      </c>
      <c r="J177" s="679"/>
      <c r="K177" s="679"/>
    </row>
    <row r="178" customFormat="false" ht="15" hidden="false" customHeight="false" outlineLevel="0" collapsed="false">
      <c r="A178" s="1666" t="s">
        <v>291</v>
      </c>
      <c r="B178" s="44" t="s">
        <v>2993</v>
      </c>
      <c r="C178" s="569" t="n">
        <v>1</v>
      </c>
      <c r="D178" s="1105" t="n">
        <f aca="false">E178+F178+G178+H178</f>
        <v>95</v>
      </c>
      <c r="E178" s="1105" t="n">
        <v>40</v>
      </c>
      <c r="F178" s="569" t="n">
        <v>35</v>
      </c>
      <c r="G178" s="569"/>
      <c r="H178" s="569" t="n">
        <v>20</v>
      </c>
      <c r="I178" s="569" t="n">
        <v>20</v>
      </c>
      <c r="J178" s="679"/>
      <c r="K178" s="679"/>
    </row>
    <row r="179" customFormat="false" ht="30" hidden="false" customHeight="false" outlineLevel="0" collapsed="false">
      <c r="A179" s="1666" t="s">
        <v>293</v>
      </c>
      <c r="B179" s="44" t="s">
        <v>2994</v>
      </c>
      <c r="C179" s="569" t="n">
        <v>1</v>
      </c>
      <c r="D179" s="1105" t="n">
        <f aca="false">E179+F179+G179+H179</f>
        <v>95</v>
      </c>
      <c r="E179" s="1105" t="n">
        <v>40</v>
      </c>
      <c r="F179" s="569" t="n">
        <v>35</v>
      </c>
      <c r="G179" s="569"/>
      <c r="H179" s="569" t="n">
        <v>20</v>
      </c>
      <c r="I179" s="569" t="n">
        <v>20</v>
      </c>
      <c r="J179" s="679"/>
      <c r="K179" s="679"/>
    </row>
    <row r="180" customFormat="false" ht="30" hidden="false" customHeight="false" outlineLevel="0" collapsed="false">
      <c r="A180" s="1666" t="s">
        <v>295</v>
      </c>
      <c r="B180" s="44" t="s">
        <v>2995</v>
      </c>
      <c r="C180" s="569" t="n">
        <v>1</v>
      </c>
      <c r="D180" s="1105" t="n">
        <f aca="false">E180+F180+G180+H180</f>
        <v>95</v>
      </c>
      <c r="E180" s="1105" t="n">
        <v>40</v>
      </c>
      <c r="F180" s="569" t="n">
        <v>35</v>
      </c>
      <c r="G180" s="569"/>
      <c r="H180" s="569" t="n">
        <v>20</v>
      </c>
      <c r="I180" s="569" t="n">
        <v>20</v>
      </c>
      <c r="J180" s="679"/>
      <c r="K180" s="679"/>
    </row>
    <row r="181" customFormat="false" ht="32.25" hidden="false" customHeight="true" outlineLevel="0" collapsed="false">
      <c r="A181" s="1666" t="s">
        <v>297</v>
      </c>
      <c r="B181" s="44" t="s">
        <v>2996</v>
      </c>
      <c r="C181" s="569" t="n">
        <v>1</v>
      </c>
      <c r="D181" s="1105" t="n">
        <f aca="false">E181+F181+G181+H181</f>
        <v>95</v>
      </c>
      <c r="E181" s="1105" t="n">
        <v>40</v>
      </c>
      <c r="F181" s="569" t="n">
        <v>35</v>
      </c>
      <c r="G181" s="569"/>
      <c r="H181" s="569" t="n">
        <v>20</v>
      </c>
      <c r="I181" s="569" t="n">
        <v>20</v>
      </c>
      <c r="J181" s="679"/>
      <c r="K181" s="679"/>
    </row>
    <row r="182" customFormat="false" ht="30" hidden="false" customHeight="false" outlineLevel="0" collapsed="false">
      <c r="A182" s="1666" t="s">
        <v>299</v>
      </c>
      <c r="B182" s="44" t="s">
        <v>2997</v>
      </c>
      <c r="C182" s="569" t="n">
        <v>1</v>
      </c>
      <c r="D182" s="1105" t="n">
        <f aca="false">E182+F182+G182+H182</f>
        <v>95</v>
      </c>
      <c r="E182" s="1105" t="n">
        <v>40</v>
      </c>
      <c r="F182" s="569" t="n">
        <v>35</v>
      </c>
      <c r="G182" s="569"/>
      <c r="H182" s="569" t="n">
        <v>20</v>
      </c>
      <c r="I182" s="569" t="n">
        <v>20</v>
      </c>
      <c r="J182" s="679"/>
      <c r="K182" s="679"/>
    </row>
    <row r="183" customFormat="false" ht="33" hidden="false" customHeight="true" outlineLevel="0" collapsed="false">
      <c r="A183" s="1666" t="s">
        <v>301</v>
      </c>
      <c r="B183" s="44" t="s">
        <v>2998</v>
      </c>
      <c r="C183" s="569" t="n">
        <v>1</v>
      </c>
      <c r="D183" s="1105" t="n">
        <f aca="false">E183+F183+G183+H183</f>
        <v>105</v>
      </c>
      <c r="E183" s="1105" t="n">
        <v>45</v>
      </c>
      <c r="F183" s="569" t="n">
        <v>40</v>
      </c>
      <c r="G183" s="569"/>
      <c r="H183" s="569" t="n">
        <v>20</v>
      </c>
      <c r="I183" s="569" t="n">
        <v>20</v>
      </c>
      <c r="J183" s="679"/>
      <c r="K183" s="679"/>
    </row>
    <row r="184" customFormat="false" ht="35.25" hidden="false" customHeight="true" outlineLevel="0" collapsed="false">
      <c r="A184" s="1666" t="s">
        <v>303</v>
      </c>
      <c r="B184" s="44" t="s">
        <v>2999</v>
      </c>
      <c r="C184" s="569" t="n">
        <v>1</v>
      </c>
      <c r="D184" s="1105" t="n">
        <f aca="false">E184+F184+G184+H184</f>
        <v>105</v>
      </c>
      <c r="E184" s="1105" t="n">
        <v>45</v>
      </c>
      <c r="F184" s="569" t="n">
        <v>40</v>
      </c>
      <c r="G184" s="569"/>
      <c r="H184" s="569" t="n">
        <v>20</v>
      </c>
      <c r="I184" s="569" t="n">
        <v>20</v>
      </c>
      <c r="J184" s="679"/>
      <c r="K184" s="679"/>
    </row>
    <row r="185" customFormat="false" ht="33" hidden="false" customHeight="true" outlineLevel="0" collapsed="false">
      <c r="A185" s="1666" t="s">
        <v>305</v>
      </c>
      <c r="B185" s="44" t="s">
        <v>3000</v>
      </c>
      <c r="C185" s="569" t="n">
        <v>1</v>
      </c>
      <c r="D185" s="1105" t="n">
        <f aca="false">E185+F185+G185+H185</f>
        <v>180</v>
      </c>
      <c r="E185" s="547" t="n">
        <v>70</v>
      </c>
      <c r="F185" s="912"/>
      <c r="G185" s="912" t="n">
        <v>90</v>
      </c>
      <c r="H185" s="912" t="n">
        <v>20</v>
      </c>
      <c r="I185" s="912" t="n">
        <v>20</v>
      </c>
      <c r="J185" s="679"/>
      <c r="K185" s="679"/>
    </row>
    <row r="186" customFormat="false" ht="46.5" hidden="false" customHeight="true" outlineLevel="0" collapsed="false">
      <c r="A186" s="1666" t="s">
        <v>307</v>
      </c>
      <c r="B186" s="44" t="s">
        <v>3001</v>
      </c>
      <c r="C186" s="569" t="n">
        <v>1</v>
      </c>
      <c r="D186" s="1105" t="n">
        <f aca="false">E186+F186+G186+H186</f>
        <v>180</v>
      </c>
      <c r="E186" s="547" t="n">
        <v>70</v>
      </c>
      <c r="F186" s="912"/>
      <c r="G186" s="912" t="n">
        <v>90</v>
      </c>
      <c r="H186" s="912" t="n">
        <v>20</v>
      </c>
      <c r="I186" s="912" t="n">
        <v>180</v>
      </c>
      <c r="J186" s="679"/>
      <c r="K186" s="679"/>
    </row>
    <row r="187" customFormat="false" ht="40.5" hidden="false" customHeight="true" outlineLevel="0" collapsed="false">
      <c r="A187" s="1666" t="s">
        <v>309</v>
      </c>
      <c r="B187" s="44" t="s">
        <v>3002</v>
      </c>
      <c r="C187" s="569" t="n">
        <v>1</v>
      </c>
      <c r="D187" s="1105" t="n">
        <f aca="false">E187+F187+G187+H187</f>
        <v>180</v>
      </c>
      <c r="E187" s="547" t="n">
        <v>70</v>
      </c>
      <c r="F187" s="912"/>
      <c r="G187" s="912" t="n">
        <v>90</v>
      </c>
      <c r="H187" s="912" t="n">
        <v>20</v>
      </c>
      <c r="I187" s="912" t="n">
        <v>180</v>
      </c>
      <c r="J187" s="679"/>
      <c r="K187" s="679"/>
    </row>
    <row r="188" customFormat="false" ht="30" hidden="false" customHeight="false" outlineLevel="0" collapsed="false">
      <c r="A188" s="1666" t="s">
        <v>311</v>
      </c>
      <c r="B188" s="44" t="s">
        <v>3003</v>
      </c>
      <c r="C188" s="569" t="n">
        <v>1</v>
      </c>
      <c r="D188" s="1105" t="n">
        <f aca="false">E188+F188+G188+H188</f>
        <v>180</v>
      </c>
      <c r="E188" s="547" t="n">
        <v>70</v>
      </c>
      <c r="F188" s="912"/>
      <c r="G188" s="912" t="n">
        <v>90</v>
      </c>
      <c r="H188" s="912" t="n">
        <v>20</v>
      </c>
      <c r="I188" s="912" t="n">
        <v>180</v>
      </c>
      <c r="J188" s="679"/>
      <c r="K188" s="679"/>
    </row>
    <row r="189" customFormat="false" ht="30" hidden="false" customHeight="false" outlineLevel="0" collapsed="false">
      <c r="A189" s="1666" t="s">
        <v>313</v>
      </c>
      <c r="B189" s="44" t="s">
        <v>3004</v>
      </c>
      <c r="C189" s="569" t="n">
        <v>1</v>
      </c>
      <c r="D189" s="1105" t="n">
        <f aca="false">E189+F189+G189+H189</f>
        <v>180</v>
      </c>
      <c r="E189" s="547" t="n">
        <v>70</v>
      </c>
      <c r="F189" s="912"/>
      <c r="G189" s="912" t="n">
        <v>90</v>
      </c>
      <c r="H189" s="912" t="n">
        <v>20</v>
      </c>
      <c r="I189" s="912" t="n">
        <v>180</v>
      </c>
      <c r="J189" s="679"/>
      <c r="K189" s="679"/>
    </row>
    <row r="190" customFormat="false" ht="45" hidden="false" customHeight="false" outlineLevel="0" collapsed="false">
      <c r="A190" s="1666" t="s">
        <v>315</v>
      </c>
      <c r="B190" s="44" t="s">
        <v>3005</v>
      </c>
      <c r="C190" s="569" t="n">
        <v>1</v>
      </c>
      <c r="D190" s="1105" t="n">
        <f aca="false">E190+F190+G190+H190</f>
        <v>180</v>
      </c>
      <c r="E190" s="547" t="n">
        <v>90</v>
      </c>
      <c r="F190" s="912" t="n">
        <v>70</v>
      </c>
      <c r="G190" s="912"/>
      <c r="H190" s="912" t="n">
        <v>20</v>
      </c>
      <c r="I190" s="912" t="n">
        <v>180</v>
      </c>
      <c r="J190" s="679"/>
      <c r="K190" s="679"/>
    </row>
    <row r="191" customFormat="false" ht="67.5" hidden="false" customHeight="true" outlineLevel="0" collapsed="false">
      <c r="A191" s="1666" t="s">
        <v>317</v>
      </c>
      <c r="B191" s="1668" t="s">
        <v>3006</v>
      </c>
      <c r="C191" s="569" t="n">
        <v>1</v>
      </c>
      <c r="D191" s="1105" t="n">
        <f aca="false">E191+F191+G191+H191</f>
        <v>180</v>
      </c>
      <c r="E191" s="1105" t="n">
        <v>70</v>
      </c>
      <c r="F191" s="569" t="n">
        <v>40</v>
      </c>
      <c r="G191" s="569" t="n">
        <v>50</v>
      </c>
      <c r="H191" s="569" t="n">
        <v>20</v>
      </c>
      <c r="I191" s="569" t="n">
        <v>180</v>
      </c>
      <c r="J191" s="679"/>
      <c r="K191" s="679"/>
    </row>
    <row r="192" customFormat="false" ht="34.5" hidden="false" customHeight="true" outlineLevel="0" collapsed="false">
      <c r="A192" s="1666" t="s">
        <v>319</v>
      </c>
      <c r="B192" s="44" t="s">
        <v>3007</v>
      </c>
      <c r="C192" s="569" t="n">
        <v>1</v>
      </c>
      <c r="D192" s="1105" t="n">
        <f aca="false">E192+F192+G192+H192</f>
        <v>70</v>
      </c>
      <c r="E192" s="1105" t="n">
        <v>35</v>
      </c>
      <c r="F192" s="569" t="n">
        <v>35</v>
      </c>
      <c r="G192" s="569"/>
      <c r="H192" s="569"/>
      <c r="I192" s="569"/>
      <c r="J192" s="679"/>
      <c r="K192" s="679"/>
    </row>
    <row r="193" customFormat="false" ht="34.5" hidden="false" customHeight="true" outlineLevel="0" collapsed="false">
      <c r="A193" s="1666" t="s">
        <v>321</v>
      </c>
      <c r="B193" s="44" t="s">
        <v>3008</v>
      </c>
      <c r="C193" s="569" t="n">
        <v>1</v>
      </c>
      <c r="D193" s="1105" t="n">
        <f aca="false">E193+F193+G193+H193</f>
        <v>70</v>
      </c>
      <c r="E193" s="1105" t="n">
        <v>35</v>
      </c>
      <c r="F193" s="569" t="n">
        <v>35</v>
      </c>
      <c r="G193" s="569"/>
      <c r="H193" s="569"/>
      <c r="I193" s="569"/>
      <c r="J193" s="679"/>
      <c r="K193" s="679"/>
    </row>
    <row r="194" s="1587" customFormat="true" ht="36.75" hidden="false" customHeight="true" outlineLevel="0" collapsed="false">
      <c r="A194" s="1657" t="s">
        <v>324</v>
      </c>
      <c r="B194" s="1658" t="s">
        <v>3009</v>
      </c>
      <c r="C194" s="1659"/>
      <c r="D194" s="1669"/>
      <c r="E194" s="1660"/>
      <c r="F194" s="1659"/>
      <c r="G194" s="1659"/>
      <c r="H194" s="1659"/>
      <c r="I194" s="1659"/>
      <c r="J194" s="1661"/>
      <c r="K194" s="1661"/>
    </row>
    <row r="195" customFormat="false" ht="15" hidden="false" customHeight="false" outlineLevel="0" collapsed="false">
      <c r="A195" s="20" t="s">
        <v>326</v>
      </c>
      <c r="B195" s="47" t="s">
        <v>3010</v>
      </c>
      <c r="C195" s="569" t="n">
        <v>1</v>
      </c>
      <c r="D195" s="1105" t="n">
        <f aca="false">E195+F195+G195+H195</f>
        <v>50</v>
      </c>
      <c r="E195" s="1670" t="n">
        <v>20</v>
      </c>
      <c r="F195" s="820" t="n">
        <v>25</v>
      </c>
      <c r="G195" s="569" t="n">
        <v>5</v>
      </c>
      <c r="H195" s="569"/>
      <c r="I195" s="569"/>
      <c r="J195" s="679"/>
      <c r="K195" s="679"/>
    </row>
    <row r="196" customFormat="false" ht="15" hidden="false" customHeight="false" outlineLevel="0" collapsed="false">
      <c r="A196" s="20" t="s">
        <v>328</v>
      </c>
      <c r="B196" s="47" t="s">
        <v>3011</v>
      </c>
      <c r="C196" s="569" t="n">
        <v>1</v>
      </c>
      <c r="D196" s="1105" t="n">
        <f aca="false">E196+F196+G196+H196</f>
        <v>30</v>
      </c>
      <c r="E196" s="1105" t="n">
        <v>15</v>
      </c>
      <c r="F196" s="569" t="n">
        <v>15</v>
      </c>
      <c r="G196" s="569"/>
      <c r="H196" s="569"/>
      <c r="I196" s="569" t="n">
        <v>10</v>
      </c>
      <c r="J196" s="679"/>
      <c r="K196" s="679"/>
    </row>
    <row r="197" customFormat="false" ht="15" hidden="false" customHeight="false" outlineLevel="0" collapsed="false">
      <c r="A197" s="20" t="s">
        <v>330</v>
      </c>
      <c r="B197" s="47" t="s">
        <v>3012</v>
      </c>
      <c r="C197" s="569" t="n">
        <v>1</v>
      </c>
      <c r="D197" s="1105" t="n">
        <f aca="false">E197+F197+G197+H197</f>
        <v>60</v>
      </c>
      <c r="E197" s="1105" t="n">
        <v>40</v>
      </c>
      <c r="F197" s="569" t="n">
        <v>20</v>
      </c>
      <c r="G197" s="569"/>
      <c r="H197" s="569"/>
      <c r="I197" s="569" t="n">
        <v>25</v>
      </c>
      <c r="J197" s="679"/>
      <c r="K197" s="679"/>
    </row>
    <row r="198" customFormat="false" ht="15" hidden="false" customHeight="false" outlineLevel="0" collapsed="false">
      <c r="A198" s="20" t="s">
        <v>331</v>
      </c>
      <c r="B198" s="47" t="s">
        <v>3013</v>
      </c>
      <c r="C198" s="569" t="n">
        <v>1</v>
      </c>
      <c r="D198" s="1105" t="n">
        <f aca="false">E198+F198+G198+H198</f>
        <v>160</v>
      </c>
      <c r="E198" s="1105" t="n">
        <v>40</v>
      </c>
      <c r="F198" s="569" t="n">
        <v>120</v>
      </c>
      <c r="G198" s="569"/>
      <c r="H198" s="569"/>
      <c r="I198" s="569" t="n">
        <v>130</v>
      </c>
      <c r="J198" s="679"/>
      <c r="K198" s="679"/>
    </row>
    <row r="199" customFormat="false" ht="15" hidden="false" customHeight="false" outlineLevel="0" collapsed="false">
      <c r="A199" s="20" t="s">
        <v>333</v>
      </c>
      <c r="B199" s="47" t="s">
        <v>3014</v>
      </c>
      <c r="C199" s="569" t="n">
        <v>1</v>
      </c>
      <c r="D199" s="1105" t="n">
        <f aca="false">E199+F199+G199+H199</f>
        <v>40</v>
      </c>
      <c r="E199" s="1105" t="n">
        <v>20</v>
      </c>
      <c r="F199" s="569" t="n">
        <v>20</v>
      </c>
      <c r="G199" s="569"/>
      <c r="H199" s="569"/>
      <c r="I199" s="569"/>
      <c r="J199" s="679"/>
      <c r="K199" s="679"/>
    </row>
    <row r="200" customFormat="false" ht="15" hidden="false" customHeight="false" outlineLevel="0" collapsed="false">
      <c r="A200" s="20" t="s">
        <v>335</v>
      </c>
      <c r="B200" s="47" t="s">
        <v>3015</v>
      </c>
      <c r="C200" s="569" t="n">
        <v>1</v>
      </c>
      <c r="D200" s="1105" t="n">
        <f aca="false">E200+F200+G200+H200</f>
        <v>90</v>
      </c>
      <c r="E200" s="1105" t="n">
        <v>90</v>
      </c>
      <c r="F200" s="569"/>
      <c r="G200" s="569"/>
      <c r="H200" s="569"/>
      <c r="I200" s="569"/>
      <c r="J200" s="679"/>
      <c r="K200" s="679"/>
    </row>
    <row r="201" customFormat="false" ht="15" hidden="false" customHeight="false" outlineLevel="0" collapsed="false">
      <c r="A201" s="20" t="s">
        <v>337</v>
      </c>
      <c r="B201" s="47" t="s">
        <v>3016</v>
      </c>
      <c r="C201" s="569" t="n">
        <v>1</v>
      </c>
      <c r="D201" s="1105" t="n">
        <f aca="false">E201+F201+G201+H201</f>
        <v>80</v>
      </c>
      <c r="E201" s="1105" t="n">
        <v>80</v>
      </c>
      <c r="F201" s="569"/>
      <c r="G201" s="569"/>
      <c r="H201" s="569"/>
      <c r="I201" s="569"/>
      <c r="J201" s="679"/>
      <c r="K201" s="679"/>
    </row>
    <row r="202" customFormat="false" ht="15" hidden="false" customHeight="false" outlineLevel="0" collapsed="false">
      <c r="A202" s="20" t="s">
        <v>339</v>
      </c>
      <c r="B202" s="47" t="s">
        <v>3017</v>
      </c>
      <c r="C202" s="569" t="n">
        <v>1</v>
      </c>
      <c r="D202" s="1105" t="n">
        <f aca="false">E202+F202+G202+H202</f>
        <v>160</v>
      </c>
      <c r="E202" s="1105" t="n">
        <v>160</v>
      </c>
      <c r="F202" s="569"/>
      <c r="G202" s="569"/>
      <c r="H202" s="569"/>
      <c r="I202" s="569"/>
      <c r="J202" s="679"/>
      <c r="K202" s="679"/>
    </row>
    <row r="203" customFormat="false" ht="15" hidden="false" customHeight="false" outlineLevel="0" collapsed="false">
      <c r="A203" s="20" t="s">
        <v>341</v>
      </c>
      <c r="B203" s="47" t="s">
        <v>3018</v>
      </c>
      <c r="C203" s="569" t="n">
        <v>1</v>
      </c>
      <c r="D203" s="1105" t="n">
        <f aca="false">E203+F203+G203+H203</f>
        <v>75</v>
      </c>
      <c r="E203" s="1105" t="n">
        <v>30</v>
      </c>
      <c r="F203" s="569" t="n">
        <v>30</v>
      </c>
      <c r="G203" s="569" t="n">
        <v>15</v>
      </c>
      <c r="H203" s="569"/>
      <c r="I203" s="569" t="n">
        <v>110</v>
      </c>
      <c r="J203" s="679"/>
      <c r="K203" s="679"/>
    </row>
    <row r="204" customFormat="false" ht="15" hidden="false" customHeight="false" outlineLevel="0" collapsed="false">
      <c r="A204" s="20" t="s">
        <v>343</v>
      </c>
      <c r="B204" s="47" t="s">
        <v>3019</v>
      </c>
      <c r="C204" s="569" t="n">
        <v>1</v>
      </c>
      <c r="D204" s="1105" t="n">
        <f aca="false">E204+F204+G204+H204</f>
        <v>145</v>
      </c>
      <c r="E204" s="1105" t="n">
        <v>80</v>
      </c>
      <c r="F204" s="569" t="n">
        <v>50</v>
      </c>
      <c r="G204" s="569" t="n">
        <v>15</v>
      </c>
      <c r="H204" s="569"/>
      <c r="I204" s="569"/>
      <c r="J204" s="679"/>
      <c r="K204" s="679"/>
    </row>
    <row r="205" customFormat="false" ht="15" hidden="false" customHeight="false" outlineLevel="0" collapsed="false">
      <c r="A205" s="20" t="s">
        <v>345</v>
      </c>
      <c r="B205" s="47" t="s">
        <v>3020</v>
      </c>
      <c r="C205" s="569" t="n">
        <v>1</v>
      </c>
      <c r="D205" s="1105" t="n">
        <f aca="false">E205+F205+G205+H205</f>
        <v>30</v>
      </c>
      <c r="E205" s="1105" t="n">
        <v>30</v>
      </c>
      <c r="F205" s="569"/>
      <c r="G205" s="569"/>
      <c r="H205" s="569"/>
      <c r="I205" s="569"/>
      <c r="J205" s="679"/>
      <c r="K205" s="679"/>
    </row>
    <row r="206" customFormat="false" ht="15" hidden="false" customHeight="false" outlineLevel="0" collapsed="false">
      <c r="A206" s="20" t="s">
        <v>347</v>
      </c>
      <c r="B206" s="47" t="s">
        <v>3021</v>
      </c>
      <c r="C206" s="569" t="n">
        <v>1</v>
      </c>
      <c r="D206" s="1105" t="n">
        <f aca="false">E206+F206+G206+H206</f>
        <v>140</v>
      </c>
      <c r="E206" s="1105" t="n">
        <v>30</v>
      </c>
      <c r="F206" s="569" t="n">
        <v>80</v>
      </c>
      <c r="G206" s="569" t="n">
        <v>30</v>
      </c>
      <c r="H206" s="569"/>
      <c r="I206" s="569" t="n">
        <v>10</v>
      </c>
      <c r="J206" s="679"/>
      <c r="K206" s="679"/>
    </row>
    <row r="207" customFormat="false" ht="30" hidden="false" customHeight="true" outlineLevel="0" collapsed="false">
      <c r="A207" s="20" t="s">
        <v>349</v>
      </c>
      <c r="B207" s="47" t="s">
        <v>3022</v>
      </c>
      <c r="C207" s="569" t="n">
        <v>1</v>
      </c>
      <c r="D207" s="1105" t="n">
        <f aca="false">E207+F207+G207+H207</f>
        <v>75</v>
      </c>
      <c r="E207" s="1105" t="n">
        <v>30</v>
      </c>
      <c r="F207" s="569" t="n">
        <v>30</v>
      </c>
      <c r="G207" s="569" t="n">
        <v>15</v>
      </c>
      <c r="H207" s="569"/>
      <c r="I207" s="569" t="n">
        <v>50</v>
      </c>
      <c r="J207" s="679"/>
      <c r="K207" s="679"/>
    </row>
    <row r="208" customFormat="false" ht="15" hidden="false" customHeight="false" outlineLevel="0" collapsed="false">
      <c r="A208" s="20" t="s">
        <v>351</v>
      </c>
      <c r="B208" s="47" t="s">
        <v>3023</v>
      </c>
      <c r="C208" s="569" t="n">
        <v>1</v>
      </c>
      <c r="D208" s="1105" t="n">
        <f aca="false">E208+F208+G208+H208</f>
        <v>30</v>
      </c>
      <c r="E208" s="1105" t="n">
        <v>30</v>
      </c>
      <c r="F208" s="569"/>
      <c r="G208" s="569"/>
      <c r="H208" s="569"/>
      <c r="I208" s="569"/>
      <c r="J208" s="679"/>
      <c r="K208" s="679"/>
    </row>
    <row r="209" customFormat="false" ht="15" hidden="false" customHeight="false" outlineLevel="0" collapsed="false">
      <c r="A209" s="20" t="s">
        <v>353</v>
      </c>
      <c r="B209" s="47" t="s">
        <v>3024</v>
      </c>
      <c r="C209" s="569" t="n">
        <v>1</v>
      </c>
      <c r="D209" s="1105" t="n">
        <f aca="false">E209+F209+G209+H209</f>
        <v>30</v>
      </c>
      <c r="E209" s="1105"/>
      <c r="F209" s="569" t="n">
        <v>30</v>
      </c>
      <c r="G209" s="569"/>
      <c r="H209" s="569"/>
      <c r="I209" s="569"/>
      <c r="J209" s="679"/>
      <c r="K209" s="679"/>
    </row>
    <row r="210" customFormat="false" ht="15" hidden="false" customHeight="false" outlineLevel="0" collapsed="false">
      <c r="A210" s="20" t="s">
        <v>355</v>
      </c>
      <c r="B210" s="29" t="s">
        <v>3025</v>
      </c>
      <c r="C210" s="569" t="n">
        <v>1</v>
      </c>
      <c r="D210" s="547" t="n">
        <f aca="false">E210+F210+G210+H210</f>
        <v>70</v>
      </c>
      <c r="E210" s="547" t="n">
        <v>30</v>
      </c>
      <c r="F210" s="912" t="n">
        <v>30</v>
      </c>
      <c r="G210" s="912" t="n">
        <v>10</v>
      </c>
      <c r="H210" s="912"/>
      <c r="I210" s="912" t="n">
        <v>120</v>
      </c>
      <c r="J210" s="679"/>
      <c r="K210" s="679"/>
    </row>
    <row r="211" customFormat="false" ht="15" hidden="false" customHeight="false" outlineLevel="0" collapsed="false">
      <c r="A211" s="20" t="s">
        <v>357</v>
      </c>
      <c r="B211" s="29" t="s">
        <v>3026</v>
      </c>
      <c r="C211" s="569" t="n">
        <v>1</v>
      </c>
      <c r="D211" s="547" t="n">
        <f aca="false">E211+F211+G211+H211</f>
        <v>140</v>
      </c>
      <c r="E211" s="547" t="n">
        <v>120</v>
      </c>
      <c r="F211" s="912"/>
      <c r="G211" s="912" t="n">
        <v>20</v>
      </c>
      <c r="H211" s="912"/>
      <c r="I211" s="912" t="n">
        <v>120</v>
      </c>
      <c r="J211" s="679"/>
      <c r="K211" s="679"/>
    </row>
    <row r="212" customFormat="false" ht="15" hidden="false" customHeight="false" outlineLevel="0" collapsed="false">
      <c r="A212" s="20" t="s">
        <v>359</v>
      </c>
      <c r="B212" s="29" t="s">
        <v>3027</v>
      </c>
      <c r="C212" s="569" t="n">
        <v>1</v>
      </c>
      <c r="D212" s="547" t="n">
        <f aca="false">E212+F212+G212+H212</f>
        <v>180</v>
      </c>
      <c r="E212" s="547" t="n">
        <v>100</v>
      </c>
      <c r="F212" s="912" t="n">
        <v>80</v>
      </c>
      <c r="G212" s="912"/>
      <c r="H212" s="912"/>
      <c r="I212" s="912" t="n">
        <v>120</v>
      </c>
      <c r="J212" s="679"/>
      <c r="K212" s="679"/>
    </row>
    <row r="213" customFormat="false" ht="15" hidden="false" customHeight="false" outlineLevel="0" collapsed="false">
      <c r="A213" s="20" t="s">
        <v>361</v>
      </c>
      <c r="B213" s="29" t="s">
        <v>3028</v>
      </c>
      <c r="C213" s="569" t="n">
        <v>1</v>
      </c>
      <c r="D213" s="547" t="n">
        <f aca="false">E213+F213+G213+H213</f>
        <v>100</v>
      </c>
      <c r="E213" s="547" t="n">
        <v>100</v>
      </c>
      <c r="F213" s="912"/>
      <c r="G213" s="912"/>
      <c r="H213" s="912"/>
      <c r="I213" s="912" t="n">
        <v>120</v>
      </c>
      <c r="J213" s="679"/>
      <c r="K213" s="679"/>
    </row>
    <row r="214" customFormat="false" ht="15" hidden="false" customHeight="false" outlineLevel="0" collapsed="false">
      <c r="A214" s="20" t="s">
        <v>363</v>
      </c>
      <c r="B214" s="29" t="s">
        <v>3029</v>
      </c>
      <c r="C214" s="569" t="n">
        <v>1</v>
      </c>
      <c r="D214" s="547" t="n">
        <f aca="false">E214+F214+G214+H214</f>
        <v>65</v>
      </c>
      <c r="E214" s="547" t="n">
        <v>35</v>
      </c>
      <c r="F214" s="912" t="n">
        <v>30</v>
      </c>
      <c r="G214" s="912"/>
      <c r="H214" s="912"/>
      <c r="I214" s="912" t="n">
        <v>120</v>
      </c>
      <c r="J214" s="679"/>
      <c r="K214" s="679"/>
    </row>
    <row r="215" customFormat="false" ht="15" hidden="false" customHeight="false" outlineLevel="0" collapsed="false">
      <c r="A215" s="20" t="s">
        <v>365</v>
      </c>
      <c r="B215" s="29" t="s">
        <v>3030</v>
      </c>
      <c r="C215" s="569" t="n">
        <v>1</v>
      </c>
      <c r="D215" s="547" t="n">
        <f aca="false">E215+F215+G215+H215</f>
        <v>220</v>
      </c>
      <c r="E215" s="547" t="n">
        <v>120</v>
      </c>
      <c r="F215" s="912" t="n">
        <v>80</v>
      </c>
      <c r="G215" s="912" t="n">
        <v>20</v>
      </c>
      <c r="H215" s="912"/>
      <c r="I215" s="912" t="n">
        <v>120</v>
      </c>
      <c r="J215" s="679"/>
      <c r="K215" s="679"/>
    </row>
    <row r="216" customFormat="false" ht="15" hidden="false" customHeight="false" outlineLevel="0" collapsed="false">
      <c r="A216" s="20" t="s">
        <v>367</v>
      </c>
      <c r="B216" s="29" t="s">
        <v>3031</v>
      </c>
      <c r="C216" s="569" t="n">
        <v>1</v>
      </c>
      <c r="D216" s="547" t="n">
        <f aca="false">E216+F216+G216+H216</f>
        <v>70</v>
      </c>
      <c r="E216" s="547" t="n">
        <v>40</v>
      </c>
      <c r="F216" s="912" t="n">
        <v>30</v>
      </c>
      <c r="G216" s="912"/>
      <c r="H216" s="912"/>
      <c r="I216" s="912" t="n">
        <v>120</v>
      </c>
      <c r="J216" s="679"/>
      <c r="K216" s="679"/>
    </row>
    <row r="217" customFormat="false" ht="15" hidden="false" customHeight="false" outlineLevel="0" collapsed="false">
      <c r="A217" s="20" t="s">
        <v>369</v>
      </c>
      <c r="B217" s="29" t="s">
        <v>3032</v>
      </c>
      <c r="C217" s="569" t="n">
        <v>1</v>
      </c>
      <c r="D217" s="547" t="n">
        <f aca="false">E217+F217+G217+H217</f>
        <v>70</v>
      </c>
      <c r="E217" s="547" t="n">
        <v>40</v>
      </c>
      <c r="F217" s="912" t="n">
        <v>30</v>
      </c>
      <c r="G217" s="912"/>
      <c r="H217" s="912"/>
      <c r="I217" s="912" t="n">
        <v>120</v>
      </c>
      <c r="J217" s="679"/>
      <c r="K217" s="679"/>
    </row>
    <row r="218" customFormat="false" ht="15" hidden="false" customHeight="false" outlineLevel="0" collapsed="false">
      <c r="A218" s="20" t="s">
        <v>371</v>
      </c>
      <c r="B218" s="29" t="s">
        <v>3033</v>
      </c>
      <c r="C218" s="569" t="n">
        <v>1</v>
      </c>
      <c r="D218" s="547" t="n">
        <f aca="false">E218+F218+G218+H218</f>
        <v>170</v>
      </c>
      <c r="E218" s="547" t="n">
        <v>80</v>
      </c>
      <c r="F218" s="912" t="n">
        <v>60</v>
      </c>
      <c r="G218" s="912" t="n">
        <v>30</v>
      </c>
      <c r="H218" s="912"/>
      <c r="I218" s="912" t="n">
        <v>120</v>
      </c>
      <c r="J218" s="679"/>
      <c r="K218" s="679"/>
    </row>
    <row r="219" customFormat="false" ht="15" hidden="false" customHeight="false" outlineLevel="0" collapsed="false">
      <c r="A219" s="20" t="s">
        <v>373</v>
      </c>
      <c r="B219" s="29" t="s">
        <v>3034</v>
      </c>
      <c r="C219" s="569" t="n">
        <v>1</v>
      </c>
      <c r="D219" s="547" t="n">
        <f aca="false">E219+F219+G219+H219</f>
        <v>85</v>
      </c>
      <c r="E219" s="547" t="n">
        <v>45</v>
      </c>
      <c r="F219" s="912" t="n">
        <v>25</v>
      </c>
      <c r="G219" s="912" t="n">
        <v>15</v>
      </c>
      <c r="H219" s="912"/>
      <c r="I219" s="912" t="n">
        <v>120</v>
      </c>
      <c r="J219" s="679"/>
      <c r="K219" s="679"/>
    </row>
    <row r="220" customFormat="false" ht="15" hidden="false" customHeight="false" outlineLevel="0" collapsed="false">
      <c r="A220" s="20" t="s">
        <v>375</v>
      </c>
      <c r="B220" s="29" t="s">
        <v>3035</v>
      </c>
      <c r="C220" s="569" t="n">
        <v>1</v>
      </c>
      <c r="D220" s="547" t="n">
        <f aca="false">E220+F220+G220+H220</f>
        <v>380</v>
      </c>
      <c r="E220" s="547" t="n">
        <v>180</v>
      </c>
      <c r="F220" s="912" t="n">
        <v>180</v>
      </c>
      <c r="G220" s="912" t="n">
        <v>20</v>
      </c>
      <c r="H220" s="912"/>
      <c r="I220" s="912" t="n">
        <v>120</v>
      </c>
      <c r="J220" s="679"/>
      <c r="K220" s="679"/>
    </row>
    <row r="221" customFormat="false" ht="15" hidden="false" customHeight="false" outlineLevel="0" collapsed="false">
      <c r="A221" s="20" t="s">
        <v>377</v>
      </c>
      <c r="B221" s="29" t="s">
        <v>3036</v>
      </c>
      <c r="C221" s="569" t="n">
        <v>1</v>
      </c>
      <c r="D221" s="547" t="n">
        <f aca="false">E221+F221+G221+H221</f>
        <v>230</v>
      </c>
      <c r="E221" s="547" t="n">
        <v>120</v>
      </c>
      <c r="F221" s="912" t="n">
        <v>80</v>
      </c>
      <c r="G221" s="912" t="n">
        <v>30</v>
      </c>
      <c r="H221" s="912"/>
      <c r="I221" s="912" t="n">
        <v>120</v>
      </c>
      <c r="J221" s="679"/>
      <c r="K221" s="679"/>
    </row>
    <row r="222" customFormat="false" ht="30" hidden="false" customHeight="false" outlineLevel="0" collapsed="false">
      <c r="A222" s="20" t="s">
        <v>379</v>
      </c>
      <c r="B222" s="29" t="s">
        <v>3037</v>
      </c>
      <c r="C222" s="912" t="n">
        <v>1</v>
      </c>
      <c r="D222" s="547" t="n">
        <f aca="false">E222+F222+G222+H222</f>
        <v>160</v>
      </c>
      <c r="E222" s="547" t="n">
        <v>80</v>
      </c>
      <c r="F222" s="912" t="n">
        <v>60</v>
      </c>
      <c r="G222" s="912" t="n">
        <v>20</v>
      </c>
      <c r="H222" s="912"/>
      <c r="I222" s="912" t="n">
        <v>85</v>
      </c>
      <c r="J222" s="679"/>
      <c r="K222" s="679"/>
    </row>
    <row r="223" customFormat="false" ht="30" hidden="false" customHeight="false" outlineLevel="0" collapsed="false">
      <c r="A223" s="20" t="s">
        <v>381</v>
      </c>
      <c r="B223" s="29" t="s">
        <v>3038</v>
      </c>
      <c r="C223" s="912" t="n">
        <v>1</v>
      </c>
      <c r="D223" s="547" t="n">
        <f aca="false">E223+F223+G223+H223</f>
        <v>70</v>
      </c>
      <c r="E223" s="547" t="n">
        <v>40</v>
      </c>
      <c r="F223" s="912" t="n">
        <v>20</v>
      </c>
      <c r="G223" s="912" t="n">
        <v>10</v>
      </c>
      <c r="H223" s="912"/>
      <c r="I223" s="912" t="n">
        <v>25</v>
      </c>
      <c r="J223" s="679"/>
      <c r="K223" s="679"/>
    </row>
    <row r="224" customFormat="false" ht="30" hidden="false" customHeight="false" outlineLevel="0" collapsed="false">
      <c r="A224" s="20" t="s">
        <v>383</v>
      </c>
      <c r="B224" s="29" t="s">
        <v>3039</v>
      </c>
      <c r="C224" s="912" t="n">
        <v>1</v>
      </c>
      <c r="D224" s="547" t="n">
        <f aca="false">E224+F224+G224+H224</f>
        <v>60</v>
      </c>
      <c r="E224" s="547" t="n">
        <v>40</v>
      </c>
      <c r="F224" s="912" t="n">
        <v>20</v>
      </c>
      <c r="G224" s="912"/>
      <c r="H224" s="912"/>
      <c r="I224" s="912" t="n">
        <v>60</v>
      </c>
      <c r="J224" s="679"/>
      <c r="K224" s="679"/>
    </row>
    <row r="225" customFormat="false" ht="15" hidden="false" customHeight="false" outlineLevel="0" collapsed="false">
      <c r="A225" s="20" t="s">
        <v>385</v>
      </c>
      <c r="B225" s="29" t="s">
        <v>3040</v>
      </c>
      <c r="C225" s="912" t="n">
        <v>1</v>
      </c>
      <c r="D225" s="547" t="n">
        <f aca="false">E225+F225+G225+H225</f>
        <v>20</v>
      </c>
      <c r="E225" s="547"/>
      <c r="F225" s="912"/>
      <c r="G225" s="912" t="n">
        <v>20</v>
      </c>
      <c r="H225" s="912"/>
      <c r="I225" s="912" t="n">
        <v>25</v>
      </c>
      <c r="J225" s="679"/>
      <c r="K225" s="679"/>
    </row>
    <row r="226" customFormat="false" ht="15" hidden="false" customHeight="false" outlineLevel="0" collapsed="false">
      <c r="A226" s="20" t="s">
        <v>387</v>
      </c>
      <c r="B226" s="40" t="s">
        <v>3041</v>
      </c>
      <c r="C226" s="912" t="n">
        <v>1</v>
      </c>
      <c r="D226" s="547" t="n">
        <f aca="false">E226+F226+G226+H226</f>
        <v>115</v>
      </c>
      <c r="E226" s="547" t="n">
        <v>60</v>
      </c>
      <c r="F226" s="912" t="n">
        <v>40</v>
      </c>
      <c r="G226" s="912" t="n">
        <v>15</v>
      </c>
      <c r="H226" s="912"/>
      <c r="I226" s="912" t="n">
        <v>120</v>
      </c>
      <c r="J226" s="679"/>
      <c r="K226" s="679"/>
    </row>
    <row r="227" customFormat="false" ht="15" hidden="false" customHeight="false" outlineLevel="0" collapsed="false">
      <c r="A227" s="20" t="s">
        <v>389</v>
      </c>
      <c r="B227" s="40" t="s">
        <v>3042</v>
      </c>
      <c r="C227" s="912" t="n">
        <v>1</v>
      </c>
      <c r="D227" s="547" t="n">
        <f aca="false">E227+F227+G227+H227</f>
        <v>105</v>
      </c>
      <c r="E227" s="547" t="n">
        <v>50</v>
      </c>
      <c r="F227" s="912" t="n">
        <v>40</v>
      </c>
      <c r="G227" s="912" t="n">
        <v>15</v>
      </c>
      <c r="H227" s="912"/>
      <c r="I227" s="912" t="n">
        <v>120</v>
      </c>
      <c r="J227" s="679"/>
      <c r="K227" s="679"/>
    </row>
    <row r="228" customFormat="false" ht="15" hidden="false" customHeight="false" outlineLevel="0" collapsed="false">
      <c r="A228" s="20" t="s">
        <v>391</v>
      </c>
      <c r="B228" s="40" t="s">
        <v>3043</v>
      </c>
      <c r="C228" s="912" t="n">
        <v>1</v>
      </c>
      <c r="D228" s="547" t="n">
        <f aca="false">E228+F228+G228+H228</f>
        <v>140</v>
      </c>
      <c r="E228" s="547" t="n">
        <v>80</v>
      </c>
      <c r="F228" s="912" t="n">
        <v>60</v>
      </c>
      <c r="G228" s="912"/>
      <c r="H228" s="912"/>
      <c r="I228" s="912" t="n">
        <v>10</v>
      </c>
      <c r="J228" s="679"/>
      <c r="K228" s="679"/>
    </row>
    <row r="229" customFormat="false" ht="28.5" hidden="false" customHeight="false" outlineLevel="0" collapsed="false">
      <c r="A229" s="15" t="s">
        <v>393</v>
      </c>
      <c r="B229" s="16" t="s">
        <v>3044</v>
      </c>
      <c r="C229" s="339"/>
      <c r="D229" s="712"/>
      <c r="E229" s="751"/>
      <c r="F229" s="339"/>
      <c r="G229" s="339"/>
      <c r="H229" s="541"/>
      <c r="I229" s="339"/>
      <c r="J229" s="600"/>
      <c r="K229" s="600"/>
    </row>
    <row r="230" customFormat="false" ht="15" hidden="false" customHeight="false" outlineLevel="0" collapsed="false">
      <c r="A230" s="28" t="s">
        <v>395</v>
      </c>
      <c r="B230" s="29" t="s">
        <v>3010</v>
      </c>
      <c r="C230" s="912" t="n">
        <v>1</v>
      </c>
      <c r="D230" s="547" t="n">
        <f aca="false">E230+F230+G230+H230</f>
        <v>40</v>
      </c>
      <c r="E230" s="547" t="n">
        <v>20</v>
      </c>
      <c r="F230" s="912" t="n">
        <v>20</v>
      </c>
      <c r="G230" s="912"/>
      <c r="H230" s="391"/>
      <c r="I230" s="912" t="n">
        <v>15</v>
      </c>
      <c r="J230" s="679"/>
      <c r="K230" s="679"/>
    </row>
    <row r="231" customFormat="false" ht="15" hidden="false" customHeight="false" outlineLevel="0" collapsed="false">
      <c r="A231" s="28" t="s">
        <v>396</v>
      </c>
      <c r="B231" s="47" t="s">
        <v>3045</v>
      </c>
      <c r="C231" s="569" t="n">
        <v>1</v>
      </c>
      <c r="D231" s="1105" t="n">
        <f aca="false">E231+F231+G231+H231</f>
        <v>60</v>
      </c>
      <c r="E231" s="1105" t="n">
        <v>20</v>
      </c>
      <c r="F231" s="569" t="n">
        <v>30</v>
      </c>
      <c r="G231" s="569" t="n">
        <v>10</v>
      </c>
      <c r="H231" s="569"/>
      <c r="I231" s="569"/>
      <c r="J231" s="679"/>
      <c r="K231" s="679"/>
    </row>
    <row r="232" customFormat="false" ht="15" hidden="false" customHeight="false" outlineLevel="0" collapsed="false">
      <c r="A232" s="28" t="s">
        <v>398</v>
      </c>
      <c r="B232" s="47" t="s">
        <v>3046</v>
      </c>
      <c r="C232" s="569" t="n">
        <v>1</v>
      </c>
      <c r="D232" s="1105" t="n">
        <f aca="false">E232+F232+G232+H232</f>
        <v>40</v>
      </c>
      <c r="E232" s="1105" t="n">
        <v>40</v>
      </c>
      <c r="F232" s="569"/>
      <c r="G232" s="569"/>
      <c r="H232" s="569"/>
      <c r="I232" s="569"/>
      <c r="J232" s="679"/>
      <c r="K232" s="679"/>
    </row>
    <row r="233" customFormat="false" ht="15" hidden="false" customHeight="false" outlineLevel="0" collapsed="false">
      <c r="A233" s="28" t="s">
        <v>400</v>
      </c>
      <c r="B233" s="47" t="s">
        <v>3047</v>
      </c>
      <c r="C233" s="569" t="n">
        <v>1</v>
      </c>
      <c r="D233" s="1105" t="n">
        <f aca="false">E233+F233+G233+H233</f>
        <v>50</v>
      </c>
      <c r="E233" s="1105" t="n">
        <v>30</v>
      </c>
      <c r="F233" s="569" t="n">
        <v>10</v>
      </c>
      <c r="G233" s="569" t="n">
        <v>10</v>
      </c>
      <c r="H233" s="569"/>
      <c r="I233" s="569" t="n">
        <v>15</v>
      </c>
      <c r="J233" s="679"/>
      <c r="K233" s="679"/>
    </row>
    <row r="234" customFormat="false" ht="15" hidden="false" customHeight="false" outlineLevel="0" collapsed="false">
      <c r="A234" s="28" t="s">
        <v>402</v>
      </c>
      <c r="B234" s="47" t="s">
        <v>3048</v>
      </c>
      <c r="C234" s="569" t="n">
        <v>1</v>
      </c>
      <c r="D234" s="1105" t="n">
        <f aca="false">E234+F234+G234+H234</f>
        <v>60</v>
      </c>
      <c r="E234" s="1105" t="n">
        <v>30</v>
      </c>
      <c r="F234" s="569" t="n">
        <v>20</v>
      </c>
      <c r="G234" s="569" t="n">
        <v>10</v>
      </c>
      <c r="H234" s="569"/>
      <c r="I234" s="569" t="n">
        <v>10</v>
      </c>
      <c r="J234" s="679"/>
      <c r="K234" s="679"/>
    </row>
    <row r="235" customFormat="false" ht="15" hidden="false" customHeight="false" outlineLevel="0" collapsed="false">
      <c r="A235" s="28" t="s">
        <v>404</v>
      </c>
      <c r="B235" s="47" t="s">
        <v>3049</v>
      </c>
      <c r="C235" s="569" t="n">
        <v>1</v>
      </c>
      <c r="D235" s="1105" t="n">
        <f aca="false">E235+F235+G235+H235</f>
        <v>70</v>
      </c>
      <c r="E235" s="1105" t="n">
        <v>40</v>
      </c>
      <c r="F235" s="569" t="n">
        <v>20</v>
      </c>
      <c r="G235" s="569" t="n">
        <v>10</v>
      </c>
      <c r="H235" s="569"/>
      <c r="I235" s="569" t="n">
        <v>10</v>
      </c>
      <c r="J235" s="679"/>
      <c r="K235" s="679"/>
    </row>
    <row r="236" customFormat="false" ht="15" hidden="false" customHeight="false" outlineLevel="0" collapsed="false">
      <c r="A236" s="28" t="s">
        <v>406</v>
      </c>
      <c r="B236" s="47" t="s">
        <v>3050</v>
      </c>
      <c r="C236" s="569" t="n">
        <v>1</v>
      </c>
      <c r="D236" s="1105" t="n">
        <f aca="false">E236+F236+G236+H236</f>
        <v>105</v>
      </c>
      <c r="E236" s="1105" t="n">
        <v>40</v>
      </c>
      <c r="F236" s="569" t="n">
        <v>30</v>
      </c>
      <c r="G236" s="569" t="n">
        <v>35</v>
      </c>
      <c r="H236" s="569"/>
      <c r="I236" s="569" t="n">
        <v>10</v>
      </c>
      <c r="J236" s="679"/>
      <c r="K236" s="679"/>
    </row>
    <row r="237" customFormat="false" ht="15" hidden="false" customHeight="false" outlineLevel="0" collapsed="false">
      <c r="A237" s="28" t="s">
        <v>408</v>
      </c>
      <c r="B237" s="47" t="s">
        <v>3051</v>
      </c>
      <c r="C237" s="569" t="n">
        <v>1</v>
      </c>
      <c r="D237" s="1105" t="n">
        <f aca="false">E237+F237+G237+H237</f>
        <v>50</v>
      </c>
      <c r="E237" s="1105" t="n">
        <v>50</v>
      </c>
      <c r="F237" s="569"/>
      <c r="G237" s="569"/>
      <c r="H237" s="569"/>
      <c r="I237" s="569" t="n">
        <v>10</v>
      </c>
      <c r="J237" s="679"/>
      <c r="K237" s="679"/>
    </row>
    <row r="238" customFormat="false" ht="15" hidden="false" customHeight="false" outlineLevel="0" collapsed="false">
      <c r="A238" s="28" t="s">
        <v>410</v>
      </c>
      <c r="B238" s="47" t="s">
        <v>3052</v>
      </c>
      <c r="C238" s="569" t="n">
        <v>1</v>
      </c>
      <c r="D238" s="1105" t="n">
        <f aca="false">E238+F238+G238+H238</f>
        <v>100</v>
      </c>
      <c r="E238" s="1105" t="n">
        <v>50</v>
      </c>
      <c r="F238" s="569" t="n">
        <v>30</v>
      </c>
      <c r="G238" s="569" t="n">
        <v>20</v>
      </c>
      <c r="H238" s="569"/>
      <c r="I238" s="569" t="n">
        <v>25</v>
      </c>
      <c r="J238" s="679"/>
      <c r="K238" s="679"/>
    </row>
    <row r="239" customFormat="false" ht="15" hidden="false" customHeight="false" outlineLevel="0" collapsed="false">
      <c r="A239" s="28" t="s">
        <v>412</v>
      </c>
      <c r="B239" s="47" t="s">
        <v>3053</v>
      </c>
      <c r="C239" s="569" t="n">
        <v>1</v>
      </c>
      <c r="D239" s="1105" t="n">
        <f aca="false">E239+F239+G239+H239</f>
        <v>90</v>
      </c>
      <c r="E239" s="1105" t="n">
        <v>40</v>
      </c>
      <c r="F239" s="569" t="n">
        <v>40</v>
      </c>
      <c r="G239" s="569" t="n">
        <v>10</v>
      </c>
      <c r="H239" s="569"/>
      <c r="I239" s="569" t="n">
        <v>40</v>
      </c>
      <c r="J239" s="679"/>
      <c r="K239" s="679"/>
    </row>
    <row r="240" customFormat="false" ht="30" hidden="false" customHeight="false" outlineLevel="0" collapsed="false">
      <c r="A240" s="28" t="s">
        <v>414</v>
      </c>
      <c r="B240" s="47" t="s">
        <v>3054</v>
      </c>
      <c r="C240" s="569" t="n">
        <v>1</v>
      </c>
      <c r="D240" s="1105" t="n">
        <f aca="false">E240+F240+G240+H240</f>
        <v>110</v>
      </c>
      <c r="E240" s="1105" t="n">
        <v>50</v>
      </c>
      <c r="F240" s="569" t="n">
        <v>50</v>
      </c>
      <c r="G240" s="569" t="n">
        <v>10</v>
      </c>
      <c r="H240" s="569"/>
      <c r="I240" s="569" t="n">
        <v>40</v>
      </c>
      <c r="J240" s="679"/>
      <c r="K240" s="679"/>
    </row>
    <row r="241" customFormat="false" ht="15" hidden="false" customHeight="false" outlineLevel="0" collapsed="false">
      <c r="A241" s="28" t="s">
        <v>416</v>
      </c>
      <c r="B241" s="47" t="s">
        <v>3055</v>
      </c>
      <c r="C241" s="569" t="n">
        <v>1</v>
      </c>
      <c r="D241" s="1105" t="n">
        <f aca="false">E241+F241+G241+H241</f>
        <v>150</v>
      </c>
      <c r="E241" s="1105" t="n">
        <v>60</v>
      </c>
      <c r="F241" s="569" t="n">
        <v>60</v>
      </c>
      <c r="G241" s="569" t="n">
        <v>30</v>
      </c>
      <c r="H241" s="569"/>
      <c r="I241" s="569" t="n">
        <v>25</v>
      </c>
      <c r="J241" s="679"/>
      <c r="K241" s="679"/>
    </row>
    <row r="242" customFormat="false" ht="15" hidden="false" customHeight="false" outlineLevel="0" collapsed="false">
      <c r="A242" s="28" t="s">
        <v>418</v>
      </c>
      <c r="B242" s="47" t="s">
        <v>3056</v>
      </c>
      <c r="C242" s="569" t="n">
        <v>1</v>
      </c>
      <c r="D242" s="1105" t="n">
        <f aca="false">E242+F242+G242+H242</f>
        <v>80</v>
      </c>
      <c r="E242" s="1105" t="n">
        <v>40</v>
      </c>
      <c r="F242" s="569" t="n">
        <v>20</v>
      </c>
      <c r="G242" s="569" t="n">
        <v>20</v>
      </c>
      <c r="H242" s="569"/>
      <c r="I242" s="569" t="n">
        <v>10</v>
      </c>
      <c r="J242" s="679"/>
      <c r="K242" s="679"/>
    </row>
    <row r="243" customFormat="false" ht="15" hidden="false" customHeight="false" outlineLevel="0" collapsed="false">
      <c r="A243" s="28" t="s">
        <v>420</v>
      </c>
      <c r="B243" s="47" t="s">
        <v>3057</v>
      </c>
      <c r="C243" s="569" t="n">
        <v>1</v>
      </c>
      <c r="D243" s="1105" t="n">
        <f aca="false">E243+F243+G243+H243</f>
        <v>100</v>
      </c>
      <c r="E243" s="1105" t="n">
        <v>40</v>
      </c>
      <c r="F243" s="569" t="n">
        <v>40</v>
      </c>
      <c r="G243" s="569" t="n">
        <v>20</v>
      </c>
      <c r="H243" s="569"/>
      <c r="I243" s="569" t="n">
        <v>30</v>
      </c>
      <c r="J243" s="679"/>
      <c r="K243" s="679"/>
    </row>
    <row r="244" customFormat="false" ht="15" hidden="false" customHeight="false" outlineLevel="0" collapsed="false">
      <c r="A244" s="28" t="s">
        <v>422</v>
      </c>
      <c r="B244" s="47" t="s">
        <v>3058</v>
      </c>
      <c r="C244" s="569" t="n">
        <v>1</v>
      </c>
      <c r="D244" s="1105" t="n">
        <f aca="false">E244+F244+G244+H244</f>
        <v>50</v>
      </c>
      <c r="E244" s="1105" t="n">
        <v>20</v>
      </c>
      <c r="F244" s="569" t="n">
        <v>20</v>
      </c>
      <c r="G244" s="569" t="n">
        <v>10</v>
      </c>
      <c r="H244" s="569"/>
      <c r="I244" s="569" t="n">
        <v>10</v>
      </c>
      <c r="J244" s="679"/>
      <c r="K244" s="679"/>
    </row>
    <row r="245" customFormat="false" ht="15" hidden="false" customHeight="false" outlineLevel="0" collapsed="false">
      <c r="A245" s="28" t="s">
        <v>424</v>
      </c>
      <c r="B245" s="47" t="s">
        <v>3059</v>
      </c>
      <c r="C245" s="569" t="n">
        <v>1</v>
      </c>
      <c r="D245" s="1105" t="n">
        <f aca="false">E245+F245+G245+H245</f>
        <v>80</v>
      </c>
      <c r="E245" s="1105" t="n">
        <v>40</v>
      </c>
      <c r="F245" s="569" t="n">
        <v>40</v>
      </c>
      <c r="G245" s="569"/>
      <c r="H245" s="569"/>
      <c r="I245" s="569" t="n">
        <v>55</v>
      </c>
      <c r="J245" s="679"/>
      <c r="K245" s="679"/>
    </row>
    <row r="246" customFormat="false" ht="15" hidden="false" customHeight="false" outlineLevel="0" collapsed="false">
      <c r="A246" s="28" t="s">
        <v>426</v>
      </c>
      <c r="B246" s="47" t="s">
        <v>3060</v>
      </c>
      <c r="C246" s="569" t="n">
        <v>1</v>
      </c>
      <c r="D246" s="1105" t="n">
        <f aca="false">E246+F246+G246+H246</f>
        <v>40</v>
      </c>
      <c r="E246" s="1105" t="n">
        <v>40</v>
      </c>
      <c r="F246" s="569"/>
      <c r="G246" s="569"/>
      <c r="H246" s="569"/>
      <c r="I246" s="569" t="n">
        <v>10</v>
      </c>
      <c r="J246" s="679"/>
      <c r="K246" s="679"/>
    </row>
    <row r="247" customFormat="false" ht="15" hidden="false" customHeight="false" outlineLevel="0" collapsed="false">
      <c r="A247" s="28" t="s">
        <v>428</v>
      </c>
      <c r="B247" s="47" t="s">
        <v>3061</v>
      </c>
      <c r="C247" s="569" t="n">
        <v>1</v>
      </c>
      <c r="D247" s="1105" t="n">
        <f aca="false">E247+F247+G247+H247</f>
        <v>85</v>
      </c>
      <c r="E247" s="1105" t="n">
        <v>40</v>
      </c>
      <c r="F247" s="569" t="n">
        <v>30</v>
      </c>
      <c r="G247" s="569" t="n">
        <v>15</v>
      </c>
      <c r="H247" s="569"/>
      <c r="I247" s="569" t="n">
        <v>55</v>
      </c>
      <c r="J247" s="679"/>
      <c r="K247" s="679"/>
    </row>
    <row r="248" customFormat="false" ht="15" hidden="false" customHeight="false" outlineLevel="0" collapsed="false">
      <c r="A248" s="28" t="s">
        <v>430</v>
      </c>
      <c r="B248" s="47" t="s">
        <v>3062</v>
      </c>
      <c r="C248" s="569" t="n">
        <v>1</v>
      </c>
      <c r="D248" s="1105" t="n">
        <f aca="false">E248+F248+G248+H248</f>
        <v>80</v>
      </c>
      <c r="E248" s="1105" t="n">
        <v>40</v>
      </c>
      <c r="F248" s="569" t="n">
        <v>25</v>
      </c>
      <c r="G248" s="569" t="n">
        <v>15</v>
      </c>
      <c r="H248" s="569"/>
      <c r="I248" s="569" t="n">
        <v>55</v>
      </c>
      <c r="J248" s="679"/>
      <c r="K248" s="679"/>
    </row>
    <row r="249" customFormat="false" ht="15" hidden="false" customHeight="false" outlineLevel="0" collapsed="false">
      <c r="A249" s="28" t="s">
        <v>432</v>
      </c>
      <c r="B249" s="47" t="s">
        <v>3063</v>
      </c>
      <c r="C249" s="569" t="n">
        <v>1</v>
      </c>
      <c r="D249" s="1105" t="n">
        <f aca="false">E249+F249+G249+H249</f>
        <v>45</v>
      </c>
      <c r="E249" s="1105" t="n">
        <v>20</v>
      </c>
      <c r="F249" s="569" t="n">
        <v>15</v>
      </c>
      <c r="G249" s="569" t="n">
        <v>10</v>
      </c>
      <c r="H249" s="569"/>
      <c r="I249" s="569" t="n">
        <v>25</v>
      </c>
      <c r="J249" s="679"/>
      <c r="K249" s="679"/>
    </row>
    <row r="250" customFormat="false" ht="15" hidden="false" customHeight="false" outlineLevel="0" collapsed="false">
      <c r="A250" s="28" t="s">
        <v>434</v>
      </c>
      <c r="B250" s="29" t="s">
        <v>3064</v>
      </c>
      <c r="C250" s="569" t="n">
        <v>1</v>
      </c>
      <c r="D250" s="547" t="n">
        <f aca="false">E250+F250+G250+H250</f>
        <v>110</v>
      </c>
      <c r="E250" s="547" t="n">
        <v>50</v>
      </c>
      <c r="F250" s="912" t="n">
        <v>50</v>
      </c>
      <c r="G250" s="912" t="n">
        <v>10</v>
      </c>
      <c r="H250" s="912"/>
      <c r="I250" s="912" t="n">
        <v>160</v>
      </c>
      <c r="J250" s="679"/>
      <c r="K250" s="679"/>
    </row>
    <row r="251" customFormat="false" ht="15" hidden="false" customHeight="false" outlineLevel="0" collapsed="false">
      <c r="A251" s="28" t="s">
        <v>436</v>
      </c>
      <c r="B251" s="29" t="s">
        <v>3065</v>
      </c>
      <c r="C251" s="569" t="n">
        <v>1</v>
      </c>
      <c r="D251" s="547" t="n">
        <f aca="false">E251+F251+G251+H251</f>
        <v>80</v>
      </c>
      <c r="E251" s="547" t="n">
        <v>50</v>
      </c>
      <c r="F251" s="912" t="n">
        <v>30</v>
      </c>
      <c r="G251" s="912"/>
      <c r="H251" s="912"/>
      <c r="I251" s="912" t="n">
        <v>160</v>
      </c>
      <c r="J251" s="679"/>
      <c r="K251" s="679"/>
    </row>
    <row r="252" customFormat="false" ht="15" hidden="false" customHeight="false" outlineLevel="0" collapsed="false">
      <c r="A252" s="28" t="s">
        <v>438</v>
      </c>
      <c r="B252" s="29" t="s">
        <v>3066</v>
      </c>
      <c r="C252" s="569" t="n">
        <v>1</v>
      </c>
      <c r="D252" s="547" t="n">
        <f aca="false">E252+F252+G252+H252</f>
        <v>70</v>
      </c>
      <c r="E252" s="547" t="n">
        <v>30</v>
      </c>
      <c r="F252" s="912" t="n">
        <v>30</v>
      </c>
      <c r="G252" s="912" t="n">
        <v>10</v>
      </c>
      <c r="H252" s="912"/>
      <c r="I252" s="912" t="n">
        <v>160</v>
      </c>
      <c r="J252" s="679"/>
      <c r="K252" s="679"/>
    </row>
    <row r="253" customFormat="false" ht="15" hidden="false" customHeight="false" outlineLevel="0" collapsed="false">
      <c r="A253" s="28" t="s">
        <v>440</v>
      </c>
      <c r="B253" s="29" t="s">
        <v>3067</v>
      </c>
      <c r="C253" s="569" t="n">
        <v>1</v>
      </c>
      <c r="D253" s="547" t="n">
        <f aca="false">E253+F253+G253+H253</f>
        <v>140</v>
      </c>
      <c r="E253" s="547" t="n">
        <v>120</v>
      </c>
      <c r="F253" s="912"/>
      <c r="G253" s="912" t="n">
        <v>20</v>
      </c>
      <c r="H253" s="912"/>
      <c r="I253" s="912" t="n">
        <v>160</v>
      </c>
      <c r="J253" s="679"/>
      <c r="K253" s="679"/>
    </row>
    <row r="254" customFormat="false" ht="30" hidden="false" customHeight="false" outlineLevel="0" collapsed="false">
      <c r="A254" s="28" t="s">
        <v>442</v>
      </c>
      <c r="B254" s="29" t="s">
        <v>3068</v>
      </c>
      <c r="C254" s="569" t="n">
        <v>1</v>
      </c>
      <c r="D254" s="547" t="n">
        <f aca="false">E254+F254+G254+H254</f>
        <v>80</v>
      </c>
      <c r="E254" s="547" t="n">
        <v>50</v>
      </c>
      <c r="F254" s="912" t="n">
        <v>30</v>
      </c>
      <c r="G254" s="912"/>
      <c r="H254" s="912"/>
      <c r="I254" s="912" t="n">
        <v>85</v>
      </c>
      <c r="J254" s="679"/>
      <c r="K254" s="679"/>
    </row>
    <row r="255" customFormat="false" ht="30" hidden="false" customHeight="false" outlineLevel="0" collapsed="false">
      <c r="A255" s="28" t="s">
        <v>444</v>
      </c>
      <c r="B255" s="29" t="s">
        <v>3069</v>
      </c>
      <c r="C255" s="569" t="n">
        <v>1</v>
      </c>
      <c r="D255" s="547" t="n">
        <f aca="false">E255+F255+G255+H255</f>
        <v>80</v>
      </c>
      <c r="E255" s="547" t="n">
        <v>50</v>
      </c>
      <c r="F255" s="912" t="n">
        <v>30</v>
      </c>
      <c r="G255" s="912"/>
      <c r="H255" s="912"/>
      <c r="I255" s="912" t="n">
        <v>25</v>
      </c>
      <c r="J255" s="679"/>
      <c r="K255" s="679"/>
    </row>
    <row r="256" customFormat="false" ht="15" hidden="false" customHeight="false" outlineLevel="0" collapsed="false">
      <c r="A256" s="28" t="s">
        <v>446</v>
      </c>
      <c r="B256" s="29" t="s">
        <v>3070</v>
      </c>
      <c r="C256" s="569" t="n">
        <v>1</v>
      </c>
      <c r="D256" s="547" t="n">
        <f aca="false">E256+F256+G256+H256</f>
        <v>110</v>
      </c>
      <c r="E256" s="547" t="n">
        <v>60</v>
      </c>
      <c r="F256" s="912" t="n">
        <v>40</v>
      </c>
      <c r="G256" s="912" t="n">
        <v>10</v>
      </c>
      <c r="H256" s="912"/>
      <c r="I256" s="912" t="n">
        <v>215</v>
      </c>
      <c r="J256" s="679"/>
      <c r="K256" s="679"/>
    </row>
    <row r="257" customFormat="false" ht="15" hidden="false" customHeight="false" outlineLevel="0" collapsed="false">
      <c r="A257" s="28" t="s">
        <v>448</v>
      </c>
      <c r="B257" s="29" t="s">
        <v>3071</v>
      </c>
      <c r="C257" s="569" t="n">
        <v>1</v>
      </c>
      <c r="D257" s="547" t="n">
        <f aca="false">E257+F257+G257+H257</f>
        <v>50</v>
      </c>
      <c r="E257" s="547" t="n">
        <v>30</v>
      </c>
      <c r="F257" s="912" t="n">
        <v>20</v>
      </c>
      <c r="G257" s="912"/>
      <c r="H257" s="912"/>
      <c r="I257" s="912" t="n">
        <v>215</v>
      </c>
      <c r="J257" s="679"/>
      <c r="K257" s="679"/>
    </row>
    <row r="258" customFormat="false" ht="15" hidden="false" customHeight="false" outlineLevel="0" collapsed="false">
      <c r="A258" s="28" t="s">
        <v>450</v>
      </c>
      <c r="B258" s="29" t="s">
        <v>3072</v>
      </c>
      <c r="C258" s="569" t="n">
        <v>1</v>
      </c>
      <c r="D258" s="547" t="n">
        <f aca="false">E258+F258+G258+H258</f>
        <v>140</v>
      </c>
      <c r="E258" s="547" t="n">
        <v>80</v>
      </c>
      <c r="F258" s="912" t="n">
        <v>30</v>
      </c>
      <c r="G258" s="912" t="n">
        <v>10</v>
      </c>
      <c r="H258" s="912" t="n">
        <v>20</v>
      </c>
      <c r="I258" s="912" t="n">
        <v>175</v>
      </c>
      <c r="J258" s="679"/>
      <c r="K258" s="679"/>
    </row>
    <row r="259" customFormat="false" ht="15" hidden="false" customHeight="false" outlineLevel="0" collapsed="false">
      <c r="A259" s="28" t="s">
        <v>452</v>
      </c>
      <c r="B259" s="29" t="s">
        <v>3073</v>
      </c>
      <c r="C259" s="569" t="n">
        <v>1</v>
      </c>
      <c r="D259" s="547" t="n">
        <f aca="false">E259+F259+G259+H259</f>
        <v>60</v>
      </c>
      <c r="E259" s="547" t="n">
        <v>40</v>
      </c>
      <c r="F259" s="912" t="n">
        <v>20</v>
      </c>
      <c r="G259" s="912"/>
      <c r="H259" s="912"/>
      <c r="I259" s="912" t="n">
        <v>175</v>
      </c>
      <c r="J259" s="679"/>
      <c r="K259" s="679"/>
    </row>
    <row r="260" customFormat="false" ht="15" hidden="false" customHeight="false" outlineLevel="0" collapsed="false">
      <c r="A260" s="28" t="s">
        <v>454</v>
      </c>
      <c r="B260" s="29" t="s">
        <v>3074</v>
      </c>
      <c r="C260" s="912" t="n">
        <v>1</v>
      </c>
      <c r="D260" s="547" t="n">
        <f aca="false">E260+F260+G260+H260</f>
        <v>90</v>
      </c>
      <c r="E260" s="547" t="n">
        <v>30</v>
      </c>
      <c r="F260" s="912" t="n">
        <v>30</v>
      </c>
      <c r="G260" s="912" t="n">
        <v>10</v>
      </c>
      <c r="H260" s="912" t="n">
        <v>20</v>
      </c>
      <c r="I260" s="912" t="n">
        <v>205</v>
      </c>
      <c r="J260" s="679"/>
      <c r="K260" s="679"/>
    </row>
    <row r="261" customFormat="false" ht="30" hidden="false" customHeight="false" outlineLevel="0" collapsed="false">
      <c r="A261" s="28" t="s">
        <v>456</v>
      </c>
      <c r="B261" s="40" t="s">
        <v>3075</v>
      </c>
      <c r="C261" s="912" t="n">
        <v>1</v>
      </c>
      <c r="D261" s="547" t="n">
        <f aca="false">E261+F261+G261+H261</f>
        <v>80</v>
      </c>
      <c r="E261" s="547" t="n">
        <v>40</v>
      </c>
      <c r="F261" s="912" t="n">
        <v>30</v>
      </c>
      <c r="G261" s="912" t="n">
        <v>10</v>
      </c>
      <c r="H261" s="912"/>
      <c r="I261" s="912" t="n">
        <v>205</v>
      </c>
      <c r="J261" s="679"/>
      <c r="K261" s="679"/>
    </row>
    <row r="262" customFormat="false" ht="15" hidden="false" customHeight="false" outlineLevel="0" collapsed="false">
      <c r="A262" s="28" t="s">
        <v>458</v>
      </c>
      <c r="B262" s="40" t="s">
        <v>459</v>
      </c>
      <c r="C262" s="912" t="n">
        <v>1</v>
      </c>
      <c r="D262" s="547" t="n">
        <f aca="false">E262+F262+G262+H262</f>
        <v>130</v>
      </c>
      <c r="E262" s="547" t="n">
        <v>60</v>
      </c>
      <c r="F262" s="912" t="n">
        <v>50</v>
      </c>
      <c r="G262" s="912"/>
      <c r="H262" s="912" t="n">
        <v>20</v>
      </c>
      <c r="I262" s="912" t="n">
        <v>55</v>
      </c>
      <c r="J262" s="679"/>
      <c r="K262" s="679"/>
    </row>
    <row r="263" customFormat="false" ht="15" hidden="false" customHeight="false" outlineLevel="0" collapsed="false">
      <c r="A263" s="28" t="s">
        <v>460</v>
      </c>
      <c r="B263" s="40" t="s">
        <v>461</v>
      </c>
      <c r="C263" s="912" t="n">
        <v>1</v>
      </c>
      <c r="D263" s="547" t="n">
        <f aca="false">E263+F263+G263+H263</f>
        <v>130</v>
      </c>
      <c r="E263" s="547" t="n">
        <v>60</v>
      </c>
      <c r="F263" s="912" t="n">
        <v>50</v>
      </c>
      <c r="G263" s="912"/>
      <c r="H263" s="912" t="n">
        <v>20</v>
      </c>
      <c r="I263" s="912" t="n">
        <v>55</v>
      </c>
      <c r="J263" s="679"/>
      <c r="K263" s="679"/>
    </row>
    <row r="264" customFormat="false" ht="15" hidden="false" customHeight="false" outlineLevel="0" collapsed="false">
      <c r="A264" s="28" t="s">
        <v>462</v>
      </c>
      <c r="B264" s="40" t="s">
        <v>463</v>
      </c>
      <c r="C264" s="912" t="n">
        <v>1</v>
      </c>
      <c r="D264" s="547" t="n">
        <f aca="false">E264+F264+G264+H264</f>
        <v>130</v>
      </c>
      <c r="E264" s="547" t="n">
        <v>60</v>
      </c>
      <c r="F264" s="912" t="n">
        <v>50</v>
      </c>
      <c r="G264" s="912"/>
      <c r="H264" s="912" t="n">
        <v>20</v>
      </c>
      <c r="I264" s="912" t="n">
        <v>55</v>
      </c>
      <c r="J264" s="679"/>
      <c r="K264" s="679"/>
    </row>
    <row r="265" customFormat="false" ht="15" hidden="false" customHeight="false" outlineLevel="0" collapsed="false">
      <c r="A265" s="28" t="s">
        <v>464</v>
      </c>
      <c r="B265" s="40" t="s">
        <v>465</v>
      </c>
      <c r="C265" s="912" t="n">
        <v>1</v>
      </c>
      <c r="D265" s="547" t="n">
        <f aca="false">E265+F265+G265+H265</f>
        <v>60</v>
      </c>
      <c r="E265" s="547" t="n">
        <v>40</v>
      </c>
      <c r="F265" s="912" t="n">
        <v>20</v>
      </c>
      <c r="G265" s="912"/>
      <c r="H265" s="912"/>
      <c r="I265" s="912" t="n">
        <v>205</v>
      </c>
      <c r="J265" s="679"/>
      <c r="K265" s="679"/>
    </row>
    <row r="266" customFormat="false" ht="30" hidden="false" customHeight="false" outlineLevel="0" collapsed="false">
      <c r="A266" s="28" t="s">
        <v>466</v>
      </c>
      <c r="B266" s="40" t="s">
        <v>3076</v>
      </c>
      <c r="C266" s="912" t="n">
        <v>1</v>
      </c>
      <c r="D266" s="547" t="n">
        <f aca="false">E266+F266+G266+H266</f>
        <v>160</v>
      </c>
      <c r="E266" s="547" t="n">
        <v>50</v>
      </c>
      <c r="F266" s="912" t="n">
        <v>30</v>
      </c>
      <c r="G266" s="912" t="n">
        <v>60</v>
      </c>
      <c r="H266" s="912" t="n">
        <v>20</v>
      </c>
      <c r="I266" s="912" t="n">
        <v>205</v>
      </c>
      <c r="J266" s="679"/>
      <c r="K266" s="679"/>
    </row>
    <row r="267" customFormat="false" ht="30" hidden="false" customHeight="false" outlineLevel="0" collapsed="false">
      <c r="A267" s="28" t="s">
        <v>468</v>
      </c>
      <c r="B267" s="40" t="s">
        <v>3077</v>
      </c>
      <c r="C267" s="912" t="n">
        <v>1</v>
      </c>
      <c r="D267" s="547" t="n">
        <f aca="false">E267+F267+G267+H267</f>
        <v>70</v>
      </c>
      <c r="E267" s="547" t="n">
        <v>40</v>
      </c>
      <c r="F267" s="912" t="n">
        <v>30</v>
      </c>
      <c r="G267" s="912"/>
      <c r="H267" s="912"/>
      <c r="I267" s="912" t="n">
        <v>55</v>
      </c>
      <c r="J267" s="679"/>
      <c r="K267" s="679"/>
    </row>
    <row r="268" customFormat="false" ht="15" hidden="false" customHeight="false" outlineLevel="0" collapsed="false">
      <c r="A268" s="28" t="s">
        <v>470</v>
      </c>
      <c r="B268" s="40" t="s">
        <v>3078</v>
      </c>
      <c r="C268" s="912" t="n">
        <v>1</v>
      </c>
      <c r="D268" s="547" t="n">
        <f aca="false">E268+F268+G268+H268</f>
        <v>140</v>
      </c>
      <c r="E268" s="547" t="n">
        <v>30</v>
      </c>
      <c r="F268" s="912" t="n">
        <v>30</v>
      </c>
      <c r="G268" s="912" t="n">
        <v>60</v>
      </c>
      <c r="H268" s="912" t="n">
        <v>20</v>
      </c>
      <c r="I268" s="912" t="n">
        <v>205</v>
      </c>
      <c r="J268" s="679"/>
      <c r="K268" s="679"/>
    </row>
    <row r="269" customFormat="false" ht="15" hidden="false" customHeight="false" outlineLevel="0" collapsed="false">
      <c r="A269" s="28" t="s">
        <v>472</v>
      </c>
      <c r="B269" s="40" t="s">
        <v>3079</v>
      </c>
      <c r="C269" s="912" t="n">
        <v>1</v>
      </c>
      <c r="D269" s="547" t="n">
        <f aca="false">E269+F269+G269+H269</f>
        <v>70</v>
      </c>
      <c r="E269" s="547" t="n">
        <v>40</v>
      </c>
      <c r="F269" s="912" t="n">
        <v>30</v>
      </c>
      <c r="G269" s="912"/>
      <c r="H269" s="912"/>
      <c r="I269" s="912" t="n">
        <v>55</v>
      </c>
      <c r="J269" s="679"/>
      <c r="K269" s="679"/>
    </row>
    <row r="270" customFormat="false" ht="15" hidden="false" customHeight="false" outlineLevel="0" collapsed="false">
      <c r="A270" s="28" t="s">
        <v>474</v>
      </c>
      <c r="B270" s="40" t="s">
        <v>3080</v>
      </c>
      <c r="C270" s="912" t="n">
        <v>1</v>
      </c>
      <c r="D270" s="547" t="n">
        <f aca="false">E270+F270+G270+H270</f>
        <v>130</v>
      </c>
      <c r="E270" s="547" t="n">
        <v>40</v>
      </c>
      <c r="F270" s="912" t="n">
        <v>30</v>
      </c>
      <c r="G270" s="912" t="n">
        <v>60</v>
      </c>
      <c r="H270" s="391"/>
      <c r="I270" s="912" t="n">
        <v>205</v>
      </c>
      <c r="J270" s="679"/>
      <c r="K270" s="679"/>
    </row>
    <row r="271" customFormat="false" ht="15" hidden="false" customHeight="false" outlineLevel="0" collapsed="false">
      <c r="A271" s="28" t="s">
        <v>476</v>
      </c>
      <c r="B271" s="40" t="s">
        <v>3081</v>
      </c>
      <c r="C271" s="912" t="n">
        <v>1</v>
      </c>
      <c r="D271" s="547" t="n">
        <f aca="false">E271+F271+G271+H271</f>
        <v>110</v>
      </c>
      <c r="E271" s="547" t="n">
        <v>60</v>
      </c>
      <c r="F271" s="912" t="n">
        <v>50</v>
      </c>
      <c r="G271" s="912"/>
      <c r="H271" s="912"/>
      <c r="I271" s="912" t="n">
        <v>55</v>
      </c>
      <c r="J271" s="679"/>
      <c r="K271" s="679"/>
    </row>
    <row r="272" customFormat="false" ht="15" hidden="false" customHeight="false" outlineLevel="0" collapsed="false">
      <c r="A272" s="28" t="s">
        <v>478</v>
      </c>
      <c r="B272" s="40" t="s">
        <v>3082</v>
      </c>
      <c r="C272" s="912" t="n">
        <v>1</v>
      </c>
      <c r="D272" s="547" t="n">
        <f aca="false">E272+F272+G272+H272</f>
        <v>110</v>
      </c>
      <c r="E272" s="547" t="n">
        <v>60</v>
      </c>
      <c r="F272" s="912" t="n">
        <v>50</v>
      </c>
      <c r="G272" s="912"/>
      <c r="H272" s="912"/>
      <c r="I272" s="912" t="n">
        <v>55</v>
      </c>
      <c r="J272" s="679"/>
      <c r="K272" s="679"/>
    </row>
    <row r="273" customFormat="false" ht="42.75" hidden="false" customHeight="false" outlineLevel="0" collapsed="false">
      <c r="A273" s="15" t="s">
        <v>480</v>
      </c>
      <c r="B273" s="16" t="s">
        <v>3083</v>
      </c>
      <c r="C273" s="339"/>
      <c r="D273" s="712"/>
      <c r="E273" s="751"/>
      <c r="F273" s="339"/>
      <c r="G273" s="339"/>
      <c r="H273" s="541"/>
      <c r="I273" s="339"/>
      <c r="J273" s="600"/>
      <c r="K273" s="600"/>
    </row>
    <row r="274" customFormat="false" ht="15" hidden="false" customHeight="false" outlineLevel="0" collapsed="false">
      <c r="A274" s="28" t="s">
        <v>482</v>
      </c>
      <c r="B274" s="29" t="s">
        <v>3010</v>
      </c>
      <c r="C274" s="912" t="n">
        <v>1</v>
      </c>
      <c r="D274" s="547" t="n">
        <f aca="false">E274+F274+G274+H274</f>
        <v>45</v>
      </c>
      <c r="E274" s="547" t="n">
        <v>20</v>
      </c>
      <c r="F274" s="912" t="n">
        <v>25</v>
      </c>
      <c r="G274" s="912"/>
      <c r="H274" s="912"/>
      <c r="I274" s="912" t="n">
        <v>15</v>
      </c>
      <c r="J274" s="679"/>
      <c r="K274" s="679"/>
    </row>
    <row r="275" customFormat="false" ht="15" hidden="false" customHeight="false" outlineLevel="0" collapsed="false">
      <c r="A275" s="28" t="s">
        <v>483</v>
      </c>
      <c r="B275" s="29" t="s">
        <v>3014</v>
      </c>
      <c r="C275" s="912" t="n">
        <v>1</v>
      </c>
      <c r="D275" s="547" t="n">
        <f aca="false">E275+F275+G275+H275</f>
        <v>40</v>
      </c>
      <c r="E275" s="547" t="n">
        <v>20</v>
      </c>
      <c r="F275" s="912" t="n">
        <v>20</v>
      </c>
      <c r="G275" s="912"/>
      <c r="H275" s="912"/>
      <c r="I275" s="912" t="n">
        <v>0</v>
      </c>
      <c r="J275" s="679"/>
      <c r="K275" s="679"/>
    </row>
    <row r="276" customFormat="false" ht="15" hidden="false" customHeight="false" outlineLevel="0" collapsed="false">
      <c r="A276" s="28" t="s">
        <v>484</v>
      </c>
      <c r="B276" s="29" t="s">
        <v>3084</v>
      </c>
      <c r="C276" s="912" t="n">
        <v>1</v>
      </c>
      <c r="D276" s="547" t="n">
        <f aca="false">E276+F276+G276+H276</f>
        <v>90</v>
      </c>
      <c r="E276" s="547" t="n">
        <v>40</v>
      </c>
      <c r="F276" s="912" t="n">
        <v>40</v>
      </c>
      <c r="G276" s="912" t="n">
        <v>10</v>
      </c>
      <c r="H276" s="912"/>
      <c r="I276" s="912" t="n">
        <v>40</v>
      </c>
      <c r="J276" s="679"/>
      <c r="K276" s="679"/>
    </row>
    <row r="277" customFormat="false" ht="15" hidden="false" customHeight="false" outlineLevel="0" collapsed="false">
      <c r="A277" s="28" t="s">
        <v>486</v>
      </c>
      <c r="B277" s="29" t="s">
        <v>3085</v>
      </c>
      <c r="C277" s="912" t="n">
        <v>1</v>
      </c>
      <c r="D277" s="547" t="n">
        <f aca="false">E277+F277+G277+H277</f>
        <v>110</v>
      </c>
      <c r="E277" s="547" t="n">
        <v>50</v>
      </c>
      <c r="F277" s="912" t="n">
        <v>50</v>
      </c>
      <c r="G277" s="912" t="n">
        <v>10</v>
      </c>
      <c r="H277" s="912"/>
      <c r="I277" s="912" t="n">
        <v>40</v>
      </c>
      <c r="J277" s="679"/>
      <c r="K277" s="679"/>
    </row>
    <row r="278" customFormat="false" ht="15" hidden="false" customHeight="false" outlineLevel="0" collapsed="false">
      <c r="A278" s="28" t="s">
        <v>487</v>
      </c>
      <c r="B278" s="29" t="s">
        <v>3058</v>
      </c>
      <c r="C278" s="912" t="n">
        <v>1</v>
      </c>
      <c r="D278" s="547" t="n">
        <f aca="false">E278+F278+G278+H278</f>
        <v>110</v>
      </c>
      <c r="E278" s="547" t="n">
        <v>30</v>
      </c>
      <c r="F278" s="912" t="n">
        <v>60</v>
      </c>
      <c r="G278" s="912" t="n">
        <v>20</v>
      </c>
      <c r="H278" s="912"/>
      <c r="I278" s="912" t="n">
        <v>30</v>
      </c>
      <c r="J278" s="679"/>
      <c r="K278" s="679"/>
    </row>
    <row r="279" customFormat="false" ht="15" hidden="false" customHeight="false" outlineLevel="0" collapsed="false">
      <c r="A279" s="28" t="s">
        <v>488</v>
      </c>
      <c r="B279" s="29" t="s">
        <v>3059</v>
      </c>
      <c r="C279" s="912" t="n">
        <v>1</v>
      </c>
      <c r="D279" s="547" t="n">
        <f aca="false">E279+F279+G279+H279</f>
        <v>30</v>
      </c>
      <c r="E279" s="547" t="n">
        <v>30</v>
      </c>
      <c r="F279" s="912"/>
      <c r="G279" s="912"/>
      <c r="H279" s="912"/>
      <c r="I279" s="912" t="n">
        <v>10</v>
      </c>
      <c r="J279" s="679"/>
      <c r="K279" s="679"/>
    </row>
    <row r="280" customFormat="false" ht="30" hidden="false" customHeight="false" outlineLevel="0" collapsed="false">
      <c r="A280" s="28" t="s">
        <v>489</v>
      </c>
      <c r="B280" s="29" t="s">
        <v>3086</v>
      </c>
      <c r="C280" s="912" t="n">
        <v>1</v>
      </c>
      <c r="D280" s="547" t="n">
        <f aca="false">E280+F280+G280+H280</f>
        <v>100</v>
      </c>
      <c r="E280" s="547" t="n">
        <v>50</v>
      </c>
      <c r="F280" s="912" t="n">
        <v>40</v>
      </c>
      <c r="G280" s="912" t="n">
        <v>10</v>
      </c>
      <c r="H280" s="912"/>
      <c r="I280" s="912" t="n">
        <v>10</v>
      </c>
      <c r="J280" s="679"/>
      <c r="K280" s="679"/>
    </row>
    <row r="281" customFormat="false" ht="15" hidden="false" customHeight="false" outlineLevel="0" collapsed="false">
      <c r="A281" s="28" t="s">
        <v>491</v>
      </c>
      <c r="B281" s="29" t="s">
        <v>3066</v>
      </c>
      <c r="C281" s="912" t="n">
        <v>1</v>
      </c>
      <c r="D281" s="547" t="n">
        <f aca="false">E281+F281+G281+H281</f>
        <v>200</v>
      </c>
      <c r="E281" s="547" t="n">
        <v>120</v>
      </c>
      <c r="F281" s="912" t="n">
        <v>60</v>
      </c>
      <c r="G281" s="912" t="n">
        <v>20</v>
      </c>
      <c r="H281" s="912"/>
      <c r="I281" s="912" t="n">
        <v>160</v>
      </c>
      <c r="J281" s="679"/>
      <c r="K281" s="679"/>
    </row>
    <row r="282" customFormat="false" ht="15" hidden="false" customHeight="false" outlineLevel="0" collapsed="false">
      <c r="A282" s="28" t="s">
        <v>492</v>
      </c>
      <c r="B282" s="29" t="s">
        <v>3067</v>
      </c>
      <c r="C282" s="912" t="n">
        <v>1</v>
      </c>
      <c r="D282" s="547" t="n">
        <f aca="false">E282+F282+G282+H282</f>
        <v>60</v>
      </c>
      <c r="E282" s="547" t="n">
        <v>40</v>
      </c>
      <c r="F282" s="912" t="n">
        <v>20</v>
      </c>
      <c r="G282" s="912"/>
      <c r="H282" s="912"/>
      <c r="I282" s="912"/>
      <c r="J282" s="679"/>
      <c r="K282" s="679"/>
    </row>
    <row r="283" customFormat="false" ht="15" hidden="false" customHeight="false" outlineLevel="0" collapsed="false">
      <c r="A283" s="28" t="s">
        <v>494</v>
      </c>
      <c r="B283" s="29" t="s">
        <v>3065</v>
      </c>
      <c r="C283" s="912" t="n">
        <v>1</v>
      </c>
      <c r="D283" s="547" t="n">
        <f aca="false">E283+F283+G283+H283</f>
        <v>200</v>
      </c>
      <c r="E283" s="547" t="n">
        <v>120</v>
      </c>
      <c r="F283" s="912" t="n">
        <v>60</v>
      </c>
      <c r="G283" s="912" t="n">
        <v>20</v>
      </c>
      <c r="H283" s="912"/>
      <c r="I283" s="912" t="n">
        <v>160</v>
      </c>
      <c r="J283" s="679"/>
      <c r="K283" s="679"/>
    </row>
    <row r="284" customFormat="false" ht="15" hidden="false" customHeight="false" outlineLevel="0" collapsed="false">
      <c r="A284" s="28" t="s">
        <v>496</v>
      </c>
      <c r="B284" s="29" t="s">
        <v>3064</v>
      </c>
      <c r="C284" s="912" t="n">
        <v>1</v>
      </c>
      <c r="D284" s="547" t="n">
        <f aca="false">E284+F284+G284+H284</f>
        <v>80</v>
      </c>
      <c r="E284" s="547" t="n">
        <v>50</v>
      </c>
      <c r="F284" s="912" t="n">
        <v>30</v>
      </c>
      <c r="G284" s="912"/>
      <c r="H284" s="912"/>
      <c r="I284" s="912"/>
      <c r="J284" s="679"/>
      <c r="K284" s="679"/>
    </row>
    <row r="285" customFormat="false" ht="15" hidden="false" customHeight="false" outlineLevel="0" collapsed="false">
      <c r="A285" s="28" t="s">
        <v>498</v>
      </c>
      <c r="B285" s="29" t="s">
        <v>3063</v>
      </c>
      <c r="C285" s="912" t="n">
        <v>1</v>
      </c>
      <c r="D285" s="547" t="n">
        <f aca="false">E285+F285+G285+H285</f>
        <v>60</v>
      </c>
      <c r="E285" s="547" t="n">
        <v>30</v>
      </c>
      <c r="F285" s="912" t="n">
        <v>20</v>
      </c>
      <c r="G285" s="912" t="n">
        <v>10</v>
      </c>
      <c r="H285" s="912"/>
      <c r="I285" s="912" t="n">
        <v>25</v>
      </c>
      <c r="J285" s="679"/>
      <c r="K285" s="679"/>
    </row>
    <row r="286" customFormat="false" ht="30" hidden="false" customHeight="false" outlineLevel="0" collapsed="false">
      <c r="A286" s="28" t="s">
        <v>500</v>
      </c>
      <c r="B286" s="29" t="s">
        <v>3087</v>
      </c>
      <c r="C286" s="912" t="n">
        <v>1</v>
      </c>
      <c r="D286" s="547" t="n">
        <f aca="false">E286+F286+G286+H286</f>
        <v>170</v>
      </c>
      <c r="E286" s="547" t="n">
        <v>90</v>
      </c>
      <c r="F286" s="912" t="n">
        <v>60</v>
      </c>
      <c r="G286" s="912" t="n">
        <v>20</v>
      </c>
      <c r="H286" s="912"/>
      <c r="I286" s="912" t="n">
        <v>85</v>
      </c>
      <c r="J286" s="679"/>
      <c r="K286" s="679"/>
    </row>
    <row r="287" customFormat="false" ht="30" hidden="false" customHeight="false" outlineLevel="0" collapsed="false">
      <c r="A287" s="28" t="s">
        <v>501</v>
      </c>
      <c r="B287" s="29" t="s">
        <v>3069</v>
      </c>
      <c r="C287" s="912" t="n">
        <v>1</v>
      </c>
      <c r="D287" s="547" t="n">
        <f aca="false">E287+F287+G287+H287</f>
        <v>150</v>
      </c>
      <c r="E287" s="547" t="n">
        <v>60</v>
      </c>
      <c r="F287" s="912" t="n">
        <v>60</v>
      </c>
      <c r="G287" s="912" t="n">
        <v>30</v>
      </c>
      <c r="H287" s="912"/>
      <c r="I287" s="912" t="n">
        <v>25</v>
      </c>
      <c r="J287" s="679"/>
      <c r="K287" s="679"/>
    </row>
    <row r="288" customFormat="false" ht="15" hidden="false" customHeight="false" outlineLevel="0" collapsed="false">
      <c r="A288" s="28" t="s">
        <v>502</v>
      </c>
      <c r="B288" s="29" t="s">
        <v>3070</v>
      </c>
      <c r="C288" s="912" t="n">
        <v>1</v>
      </c>
      <c r="D288" s="547" t="n">
        <f aca="false">E288+F288+G288+H288</f>
        <v>170</v>
      </c>
      <c r="E288" s="547" t="n">
        <v>90</v>
      </c>
      <c r="F288" s="912" t="n">
        <v>60</v>
      </c>
      <c r="G288" s="912" t="n">
        <v>20</v>
      </c>
      <c r="H288" s="912"/>
      <c r="I288" s="912" t="n">
        <v>215</v>
      </c>
      <c r="J288" s="679"/>
      <c r="K288" s="679"/>
    </row>
    <row r="289" customFormat="false" ht="15" hidden="false" customHeight="false" outlineLevel="0" collapsed="false">
      <c r="A289" s="28" t="s">
        <v>503</v>
      </c>
      <c r="B289" s="29" t="s">
        <v>3071</v>
      </c>
      <c r="C289" s="912" t="n">
        <v>1</v>
      </c>
      <c r="D289" s="547" t="n">
        <f aca="false">E289+F289+G289+H289</f>
        <v>60</v>
      </c>
      <c r="E289" s="547" t="n">
        <v>30</v>
      </c>
      <c r="F289" s="912" t="n">
        <v>20</v>
      </c>
      <c r="G289" s="912"/>
      <c r="H289" s="912" t="n">
        <v>10</v>
      </c>
      <c r="I289" s="912"/>
      <c r="J289" s="679"/>
      <c r="K289" s="679"/>
    </row>
    <row r="290" customFormat="false" ht="15" hidden="false" customHeight="false" outlineLevel="0" collapsed="false">
      <c r="A290" s="28" t="s">
        <v>505</v>
      </c>
      <c r="B290" s="29" t="s">
        <v>3072</v>
      </c>
      <c r="C290" s="912" t="n">
        <v>1</v>
      </c>
      <c r="D290" s="547" t="n">
        <f aca="false">E290+F290+G290+H290</f>
        <v>140</v>
      </c>
      <c r="E290" s="547" t="n">
        <v>90</v>
      </c>
      <c r="F290" s="912" t="n">
        <v>40</v>
      </c>
      <c r="G290" s="912" t="n">
        <v>10</v>
      </c>
      <c r="H290" s="912"/>
      <c r="I290" s="912" t="n">
        <v>175</v>
      </c>
      <c r="J290" s="679"/>
      <c r="K290" s="679"/>
    </row>
    <row r="291" customFormat="false" ht="15" hidden="false" customHeight="false" outlineLevel="0" collapsed="false">
      <c r="A291" s="28" t="s">
        <v>507</v>
      </c>
      <c r="B291" s="29" t="s">
        <v>3073</v>
      </c>
      <c r="C291" s="912" t="n">
        <v>1</v>
      </c>
      <c r="D291" s="547" t="n">
        <f aca="false">E291+F291+G291+H291</f>
        <v>70</v>
      </c>
      <c r="E291" s="547" t="n">
        <v>40</v>
      </c>
      <c r="F291" s="912" t="n">
        <v>30</v>
      </c>
      <c r="G291" s="912"/>
      <c r="H291" s="912"/>
      <c r="I291" s="912"/>
      <c r="J291" s="679"/>
      <c r="K291" s="679"/>
    </row>
    <row r="292" customFormat="false" ht="30" hidden="false" customHeight="false" outlineLevel="0" collapsed="false">
      <c r="A292" s="28" t="s">
        <v>509</v>
      </c>
      <c r="B292" s="29" t="s">
        <v>3088</v>
      </c>
      <c r="C292" s="912" t="n">
        <v>1</v>
      </c>
      <c r="D292" s="547" t="n">
        <f aca="false">E292+F292+G292+H292</f>
        <v>175</v>
      </c>
      <c r="E292" s="547" t="n">
        <v>80</v>
      </c>
      <c r="F292" s="912" t="n">
        <v>65</v>
      </c>
      <c r="G292" s="912" t="n">
        <v>30</v>
      </c>
      <c r="H292" s="912"/>
      <c r="I292" s="912" t="n">
        <v>145</v>
      </c>
      <c r="J292" s="679"/>
      <c r="K292" s="679"/>
    </row>
    <row r="293" customFormat="false" ht="15" hidden="false" customHeight="false" outlineLevel="0" collapsed="false">
      <c r="A293" s="28" t="s">
        <v>511</v>
      </c>
      <c r="B293" s="29" t="s">
        <v>3089</v>
      </c>
      <c r="C293" s="912" t="n">
        <v>1</v>
      </c>
      <c r="D293" s="547" t="n">
        <f aca="false">E293+F293+G293+H293</f>
        <v>60</v>
      </c>
      <c r="E293" s="547" t="n">
        <v>30</v>
      </c>
      <c r="F293" s="912" t="n">
        <v>30</v>
      </c>
      <c r="G293" s="912"/>
      <c r="H293" s="912"/>
      <c r="I293" s="912" t="n">
        <v>60</v>
      </c>
      <c r="J293" s="679"/>
      <c r="K293" s="679"/>
    </row>
    <row r="294" customFormat="false" ht="30" hidden="false" customHeight="false" outlineLevel="0" collapsed="false">
      <c r="A294" s="28" t="s">
        <v>513</v>
      </c>
      <c r="B294" s="29" t="s">
        <v>3090</v>
      </c>
      <c r="C294" s="912" t="n">
        <v>1</v>
      </c>
      <c r="D294" s="547" t="n">
        <f aca="false">E294+F294+G294+H294</f>
        <v>20</v>
      </c>
      <c r="E294" s="547"/>
      <c r="F294" s="912"/>
      <c r="G294" s="912" t="n">
        <v>20</v>
      </c>
      <c r="H294" s="391"/>
      <c r="I294" s="912" t="n">
        <v>25</v>
      </c>
      <c r="J294" s="679"/>
      <c r="K294" s="679"/>
    </row>
    <row r="295" customFormat="false" ht="15" hidden="false" customHeight="false" outlineLevel="0" collapsed="false">
      <c r="A295" s="28" t="s">
        <v>514</v>
      </c>
      <c r="B295" s="29" t="s">
        <v>3091</v>
      </c>
      <c r="C295" s="912" t="n">
        <v>1</v>
      </c>
      <c r="D295" s="547" t="n">
        <f aca="false">E295+F295+G295+H295</f>
        <v>85</v>
      </c>
      <c r="E295" s="547" t="n">
        <v>50</v>
      </c>
      <c r="F295" s="912" t="n">
        <v>35</v>
      </c>
      <c r="G295" s="912"/>
      <c r="H295" s="912"/>
      <c r="I295" s="912"/>
      <c r="J295" s="679"/>
      <c r="K295" s="679"/>
    </row>
    <row r="296" customFormat="false" ht="15" hidden="false" customHeight="false" outlineLevel="0" collapsed="false">
      <c r="A296" s="28" t="s">
        <v>516</v>
      </c>
      <c r="B296" s="40" t="s">
        <v>3092</v>
      </c>
      <c r="C296" s="912" t="n">
        <v>1</v>
      </c>
      <c r="D296" s="547" t="n">
        <f aca="false">E296+F296+G296+H296</f>
        <v>180</v>
      </c>
      <c r="E296" s="547" t="n">
        <v>120</v>
      </c>
      <c r="F296" s="912" t="n">
        <v>60</v>
      </c>
      <c r="G296" s="912"/>
      <c r="H296" s="912"/>
      <c r="I296" s="912" t="n">
        <v>160</v>
      </c>
      <c r="J296" s="679"/>
      <c r="K296" s="679"/>
    </row>
    <row r="297" customFormat="false" ht="15" hidden="false" customHeight="false" outlineLevel="0" collapsed="false">
      <c r="A297" s="28" t="s">
        <v>518</v>
      </c>
      <c r="B297" s="40" t="s">
        <v>3011</v>
      </c>
      <c r="C297" s="912" t="n">
        <v>1</v>
      </c>
      <c r="D297" s="547" t="n">
        <f aca="false">E297+F297+G297+H297</f>
        <v>45</v>
      </c>
      <c r="E297" s="547" t="n">
        <v>20</v>
      </c>
      <c r="F297" s="912" t="n">
        <v>25</v>
      </c>
      <c r="G297" s="912"/>
      <c r="H297" s="912"/>
      <c r="I297" s="912" t="n">
        <v>15</v>
      </c>
      <c r="J297" s="679"/>
      <c r="K297" s="679"/>
    </row>
    <row r="298" customFormat="false" ht="15" hidden="false" customHeight="false" outlineLevel="0" collapsed="false">
      <c r="A298" s="28" t="s">
        <v>519</v>
      </c>
      <c r="B298" s="40" t="s">
        <v>3093</v>
      </c>
      <c r="C298" s="912" t="n">
        <v>1</v>
      </c>
      <c r="D298" s="547" t="n">
        <f aca="false">E298+F298+G298+H298</f>
        <v>45</v>
      </c>
      <c r="E298" s="547" t="n">
        <v>20</v>
      </c>
      <c r="F298" s="912" t="n">
        <v>25</v>
      </c>
      <c r="G298" s="912"/>
      <c r="H298" s="912"/>
      <c r="I298" s="912" t="n">
        <v>15</v>
      </c>
      <c r="J298" s="679"/>
      <c r="K298" s="679"/>
    </row>
    <row r="299" customFormat="false" ht="15" hidden="false" customHeight="false" outlineLevel="0" collapsed="false">
      <c r="A299" s="28" t="s">
        <v>521</v>
      </c>
      <c r="B299" s="40" t="s">
        <v>3094</v>
      </c>
      <c r="C299" s="912" t="n">
        <v>1</v>
      </c>
      <c r="D299" s="547" t="n">
        <f aca="false">E299+F299+G299+H299</f>
        <v>45</v>
      </c>
      <c r="E299" s="547" t="n">
        <v>20</v>
      </c>
      <c r="F299" s="912" t="n">
        <v>25</v>
      </c>
      <c r="G299" s="912"/>
      <c r="H299" s="912"/>
      <c r="I299" s="912" t="n">
        <v>15</v>
      </c>
      <c r="J299" s="679"/>
      <c r="K299" s="679"/>
    </row>
    <row r="300" customFormat="false" ht="15" hidden="false" customHeight="false" outlineLevel="0" collapsed="false">
      <c r="A300" s="28" t="s">
        <v>523</v>
      </c>
      <c r="B300" s="40" t="s">
        <v>3095</v>
      </c>
      <c r="C300" s="912" t="n">
        <v>1</v>
      </c>
      <c r="D300" s="547" t="n">
        <f aca="false">E300+F300+G300+H300</f>
        <v>70</v>
      </c>
      <c r="E300" s="547" t="n">
        <v>40</v>
      </c>
      <c r="F300" s="912" t="n">
        <v>30</v>
      </c>
      <c r="G300" s="912"/>
      <c r="H300" s="912"/>
      <c r="I300" s="912" t="n">
        <v>15</v>
      </c>
      <c r="J300" s="679"/>
      <c r="K300" s="679"/>
    </row>
    <row r="301" customFormat="false" ht="28.5" hidden="false" customHeight="false" outlineLevel="0" collapsed="false">
      <c r="A301" s="15" t="s">
        <v>525</v>
      </c>
      <c r="B301" s="16" t="s">
        <v>3096</v>
      </c>
      <c r="C301" s="339"/>
      <c r="D301" s="712"/>
      <c r="E301" s="751"/>
      <c r="F301" s="339"/>
      <c r="G301" s="339"/>
      <c r="H301" s="541"/>
      <c r="I301" s="339"/>
      <c r="J301" s="600"/>
      <c r="K301" s="600"/>
    </row>
    <row r="302" customFormat="false" ht="15" hidden="false" customHeight="false" outlineLevel="0" collapsed="false">
      <c r="A302" s="28" t="s">
        <v>527</v>
      </c>
      <c r="B302" s="29" t="s">
        <v>3010</v>
      </c>
      <c r="C302" s="912" t="n">
        <v>1</v>
      </c>
      <c r="D302" s="547" t="n">
        <f aca="false">E302+F302+G302+H302</f>
        <v>45</v>
      </c>
      <c r="E302" s="547" t="n">
        <v>20</v>
      </c>
      <c r="F302" s="912" t="n">
        <v>25</v>
      </c>
      <c r="G302" s="912"/>
      <c r="H302" s="912"/>
      <c r="I302" s="912" t="n">
        <v>10</v>
      </c>
      <c r="J302" s="679"/>
      <c r="K302" s="679"/>
    </row>
    <row r="303" customFormat="false" ht="30" hidden="false" customHeight="false" outlineLevel="0" collapsed="false">
      <c r="A303" s="28" t="s">
        <v>528</v>
      </c>
      <c r="B303" s="29" t="s">
        <v>3097</v>
      </c>
      <c r="C303" s="912" t="n">
        <v>1</v>
      </c>
      <c r="D303" s="547" t="n">
        <f aca="false">E303+F303+G303+H303</f>
        <v>45</v>
      </c>
      <c r="E303" s="547" t="n">
        <v>20</v>
      </c>
      <c r="F303" s="912" t="n">
        <v>15</v>
      </c>
      <c r="G303" s="912" t="n">
        <v>10</v>
      </c>
      <c r="H303" s="912"/>
      <c r="I303" s="912" t="n">
        <v>10</v>
      </c>
      <c r="J303" s="679"/>
      <c r="K303" s="679"/>
    </row>
    <row r="304" customFormat="false" ht="15" hidden="false" customHeight="false" outlineLevel="0" collapsed="false">
      <c r="A304" s="28" t="s">
        <v>530</v>
      </c>
      <c r="B304" s="29" t="s">
        <v>3084</v>
      </c>
      <c r="C304" s="912" t="n">
        <v>1</v>
      </c>
      <c r="D304" s="547" t="n">
        <f aca="false">E304+F304+G304+H304</f>
        <v>90</v>
      </c>
      <c r="E304" s="547" t="n">
        <v>40</v>
      </c>
      <c r="F304" s="912" t="n">
        <v>40</v>
      </c>
      <c r="G304" s="912" t="n">
        <v>10</v>
      </c>
      <c r="H304" s="912"/>
      <c r="I304" s="912" t="n">
        <v>40</v>
      </c>
      <c r="J304" s="679"/>
      <c r="K304" s="679"/>
    </row>
    <row r="305" customFormat="false" ht="15" hidden="false" customHeight="false" outlineLevel="0" collapsed="false">
      <c r="A305" s="28" t="s">
        <v>531</v>
      </c>
      <c r="B305" s="29" t="s">
        <v>3085</v>
      </c>
      <c r="C305" s="912" t="n">
        <v>1</v>
      </c>
      <c r="D305" s="547" t="n">
        <f aca="false">E305+F305+G305+H305</f>
        <v>110</v>
      </c>
      <c r="E305" s="547" t="n">
        <v>50</v>
      </c>
      <c r="F305" s="912" t="n">
        <v>50</v>
      </c>
      <c r="G305" s="912" t="n">
        <v>10</v>
      </c>
      <c r="H305" s="912"/>
      <c r="I305" s="912" t="n">
        <v>40</v>
      </c>
      <c r="J305" s="679"/>
      <c r="K305" s="679"/>
    </row>
    <row r="306" customFormat="false" ht="15" hidden="false" customHeight="false" outlineLevel="0" collapsed="false">
      <c r="A306" s="28" t="s">
        <v>532</v>
      </c>
      <c r="B306" s="29" t="s">
        <v>3098</v>
      </c>
      <c r="C306" s="912" t="n">
        <v>1</v>
      </c>
      <c r="D306" s="547" t="n">
        <f aca="false">E306+F306+G306+H306</f>
        <v>40</v>
      </c>
      <c r="E306" s="547" t="n">
        <v>40</v>
      </c>
      <c r="F306" s="912"/>
      <c r="G306" s="912"/>
      <c r="H306" s="912"/>
      <c r="I306" s="912" t="n">
        <v>10</v>
      </c>
      <c r="J306" s="679"/>
      <c r="K306" s="679"/>
    </row>
    <row r="307" customFormat="false" ht="15" hidden="false" customHeight="false" outlineLevel="0" collapsed="false">
      <c r="A307" s="28" t="s">
        <v>533</v>
      </c>
      <c r="B307" s="29" t="s">
        <v>3099</v>
      </c>
      <c r="C307" s="912" t="n">
        <v>1</v>
      </c>
      <c r="D307" s="547" t="n">
        <f aca="false">E307+F307+G307+H307</f>
        <v>50</v>
      </c>
      <c r="E307" s="547" t="n">
        <v>20</v>
      </c>
      <c r="F307" s="912" t="n">
        <v>20</v>
      </c>
      <c r="G307" s="912" t="n">
        <v>10</v>
      </c>
      <c r="H307" s="912"/>
      <c r="I307" s="912" t="n">
        <v>10</v>
      </c>
      <c r="J307" s="679"/>
      <c r="K307" s="679"/>
    </row>
    <row r="308" customFormat="false" ht="15" hidden="false" customHeight="false" outlineLevel="0" collapsed="false">
      <c r="A308" s="28" t="s">
        <v>535</v>
      </c>
      <c r="B308" s="29" t="s">
        <v>3058</v>
      </c>
      <c r="C308" s="912" t="n">
        <v>1</v>
      </c>
      <c r="D308" s="547" t="n">
        <f aca="false">E308+F308+G308+H308</f>
        <v>110</v>
      </c>
      <c r="E308" s="547" t="n">
        <v>30</v>
      </c>
      <c r="F308" s="912" t="n">
        <v>60</v>
      </c>
      <c r="G308" s="912" t="n">
        <v>20</v>
      </c>
      <c r="H308" s="912"/>
      <c r="I308" s="912" t="n">
        <v>30</v>
      </c>
      <c r="J308" s="679"/>
      <c r="K308" s="679"/>
    </row>
    <row r="309" customFormat="false" ht="15" hidden="false" customHeight="false" outlineLevel="0" collapsed="false">
      <c r="A309" s="28" t="s">
        <v>536</v>
      </c>
      <c r="B309" s="29" t="s">
        <v>3059</v>
      </c>
      <c r="C309" s="912" t="n">
        <v>1</v>
      </c>
      <c r="D309" s="547" t="n">
        <f aca="false">E309+F309+G309+H309</f>
        <v>40</v>
      </c>
      <c r="E309" s="547" t="n">
        <v>40</v>
      </c>
      <c r="F309" s="912"/>
      <c r="G309" s="912"/>
      <c r="H309" s="912"/>
      <c r="I309" s="912" t="n">
        <v>40</v>
      </c>
      <c r="J309" s="679"/>
      <c r="K309" s="679"/>
    </row>
    <row r="310" customFormat="false" ht="30" hidden="false" customHeight="false" outlineLevel="0" collapsed="false">
      <c r="A310" s="28" t="s">
        <v>537</v>
      </c>
      <c r="B310" s="29" t="s">
        <v>3100</v>
      </c>
      <c r="C310" s="912" t="n">
        <v>1</v>
      </c>
      <c r="D310" s="547" t="n">
        <f aca="false">E310+F310+G310+H310</f>
        <v>65</v>
      </c>
      <c r="E310" s="547" t="n">
        <v>30</v>
      </c>
      <c r="F310" s="912" t="n">
        <v>25</v>
      </c>
      <c r="G310" s="912" t="n">
        <v>10</v>
      </c>
      <c r="H310" s="912"/>
      <c r="I310" s="912" t="n">
        <v>25</v>
      </c>
      <c r="J310" s="679"/>
      <c r="K310" s="679"/>
    </row>
    <row r="311" customFormat="false" ht="30" hidden="false" customHeight="false" outlineLevel="0" collapsed="false">
      <c r="A311" s="28" t="s">
        <v>539</v>
      </c>
      <c r="B311" s="29" t="s">
        <v>3101</v>
      </c>
      <c r="C311" s="912" t="n">
        <v>1</v>
      </c>
      <c r="D311" s="547" t="n">
        <f aca="false">E311+F311+G311+H311</f>
        <v>40</v>
      </c>
      <c r="E311" s="547" t="n">
        <v>20</v>
      </c>
      <c r="F311" s="912" t="n">
        <v>20</v>
      </c>
      <c r="G311" s="912"/>
      <c r="H311" s="912"/>
      <c r="I311" s="912" t="n">
        <v>10</v>
      </c>
      <c r="J311" s="679"/>
      <c r="K311" s="679"/>
    </row>
    <row r="312" customFormat="false" ht="15" hidden="false" customHeight="false" outlineLevel="0" collapsed="false">
      <c r="A312" s="28" t="s">
        <v>541</v>
      </c>
      <c r="B312" s="29" t="s">
        <v>3014</v>
      </c>
      <c r="C312" s="912" t="n">
        <v>1</v>
      </c>
      <c r="D312" s="547" t="n">
        <f aca="false">E312+F312+G312+H312</f>
        <v>40</v>
      </c>
      <c r="E312" s="547" t="n">
        <v>20</v>
      </c>
      <c r="F312" s="912" t="n">
        <v>20</v>
      </c>
      <c r="G312" s="912"/>
      <c r="H312" s="912"/>
      <c r="I312" s="912" t="n">
        <v>0</v>
      </c>
      <c r="J312" s="679"/>
      <c r="K312" s="679"/>
    </row>
    <row r="313" customFormat="false" ht="15" hidden="false" customHeight="false" outlineLevel="0" collapsed="false">
      <c r="A313" s="28" t="s">
        <v>542</v>
      </c>
      <c r="B313" s="29" t="s">
        <v>3102</v>
      </c>
      <c r="C313" s="912" t="n">
        <v>1</v>
      </c>
      <c r="D313" s="547" t="n">
        <f aca="false">E313+F313+G313+H313</f>
        <v>210</v>
      </c>
      <c r="E313" s="547" t="n">
        <v>120</v>
      </c>
      <c r="F313" s="912" t="n">
        <v>60</v>
      </c>
      <c r="G313" s="912" t="n">
        <v>30</v>
      </c>
      <c r="H313" s="912"/>
      <c r="I313" s="912" t="n">
        <v>160</v>
      </c>
      <c r="J313" s="679"/>
      <c r="K313" s="679"/>
    </row>
    <row r="314" customFormat="false" ht="15" hidden="false" customHeight="false" outlineLevel="0" collapsed="false">
      <c r="A314" s="28" t="s">
        <v>544</v>
      </c>
      <c r="B314" s="29" t="s">
        <v>3103</v>
      </c>
      <c r="C314" s="912" t="n">
        <v>1</v>
      </c>
      <c r="D314" s="547" t="n">
        <f aca="false">E314+F314+G314+H314</f>
        <v>150</v>
      </c>
      <c r="E314" s="547" t="n">
        <v>80</v>
      </c>
      <c r="F314" s="912" t="n">
        <v>50</v>
      </c>
      <c r="G314" s="912" t="n">
        <v>20</v>
      </c>
      <c r="H314" s="912"/>
      <c r="I314" s="912" t="n">
        <v>160</v>
      </c>
      <c r="J314" s="679"/>
      <c r="K314" s="679"/>
    </row>
    <row r="315" customFormat="false" ht="15" hidden="false" customHeight="false" outlineLevel="0" collapsed="false">
      <c r="A315" s="28" t="s">
        <v>546</v>
      </c>
      <c r="B315" s="29" t="s">
        <v>3104</v>
      </c>
      <c r="C315" s="912" t="n">
        <v>1</v>
      </c>
      <c r="D315" s="547" t="n">
        <f aca="false">E315+F315+G315+H315</f>
        <v>140</v>
      </c>
      <c r="E315" s="547" t="n">
        <v>60</v>
      </c>
      <c r="F315" s="912" t="n">
        <v>60</v>
      </c>
      <c r="G315" s="912" t="n">
        <v>20</v>
      </c>
      <c r="H315" s="912"/>
      <c r="I315" s="912" t="n">
        <v>215</v>
      </c>
      <c r="J315" s="679"/>
      <c r="K315" s="679"/>
    </row>
    <row r="316" customFormat="false" ht="15" hidden="false" customHeight="false" outlineLevel="0" collapsed="false">
      <c r="A316" s="28" t="s">
        <v>548</v>
      </c>
      <c r="B316" s="29" t="s">
        <v>3105</v>
      </c>
      <c r="C316" s="912" t="n">
        <v>1</v>
      </c>
      <c r="D316" s="547" t="n">
        <f aca="false">E316+F316+G316+H316</f>
        <v>140</v>
      </c>
      <c r="E316" s="547" t="n">
        <v>60</v>
      </c>
      <c r="F316" s="912" t="n">
        <v>60</v>
      </c>
      <c r="G316" s="912" t="n">
        <v>20</v>
      </c>
      <c r="H316" s="912"/>
      <c r="I316" s="912" t="n">
        <v>140</v>
      </c>
      <c r="J316" s="679"/>
      <c r="K316" s="679"/>
    </row>
    <row r="317" customFormat="false" ht="15" hidden="false" customHeight="false" outlineLevel="0" collapsed="false">
      <c r="A317" s="28" t="s">
        <v>550</v>
      </c>
      <c r="B317" s="29" t="s">
        <v>3106</v>
      </c>
      <c r="C317" s="912" t="n">
        <v>1</v>
      </c>
      <c r="D317" s="547" t="n">
        <f aca="false">E317+F317+G317+H317</f>
        <v>130</v>
      </c>
      <c r="E317" s="547" t="n">
        <v>50</v>
      </c>
      <c r="F317" s="912" t="n">
        <v>50</v>
      </c>
      <c r="G317" s="912" t="n">
        <v>30</v>
      </c>
      <c r="H317" s="912"/>
      <c r="I317" s="912" t="n">
        <v>190</v>
      </c>
      <c r="J317" s="679"/>
      <c r="K317" s="679"/>
    </row>
    <row r="318" customFormat="false" ht="15" hidden="false" customHeight="false" outlineLevel="0" collapsed="false">
      <c r="A318" s="28" t="s">
        <v>552</v>
      </c>
      <c r="B318" s="29" t="s">
        <v>3107</v>
      </c>
      <c r="C318" s="912" t="n">
        <v>1</v>
      </c>
      <c r="D318" s="547" t="n">
        <f aca="false">E318+F318+G318+H318</f>
        <v>140</v>
      </c>
      <c r="E318" s="547" t="n">
        <v>60</v>
      </c>
      <c r="F318" s="912" t="n">
        <v>60</v>
      </c>
      <c r="G318" s="912" t="n">
        <v>20</v>
      </c>
      <c r="H318" s="912"/>
      <c r="I318" s="912" t="n">
        <v>25</v>
      </c>
      <c r="J318" s="679"/>
      <c r="K318" s="679"/>
    </row>
    <row r="319" customFormat="false" ht="15" hidden="false" customHeight="false" outlineLevel="0" collapsed="false">
      <c r="A319" s="28" t="s">
        <v>554</v>
      </c>
      <c r="B319" s="29" t="s">
        <v>3108</v>
      </c>
      <c r="C319" s="912" t="n">
        <v>1</v>
      </c>
      <c r="D319" s="547" t="n">
        <f aca="false">E319+F319+G319+H319</f>
        <v>210</v>
      </c>
      <c r="E319" s="547" t="n">
        <v>130</v>
      </c>
      <c r="F319" s="912" t="n">
        <v>60</v>
      </c>
      <c r="G319" s="912" t="n">
        <v>20</v>
      </c>
      <c r="H319" s="912"/>
      <c r="I319" s="912" t="n">
        <v>80</v>
      </c>
      <c r="J319" s="679"/>
      <c r="K319" s="679"/>
    </row>
    <row r="320" customFormat="false" ht="15" hidden="false" customHeight="false" outlineLevel="0" collapsed="false">
      <c r="A320" s="28" t="s">
        <v>556</v>
      </c>
      <c r="B320" s="29" t="s">
        <v>3109</v>
      </c>
      <c r="C320" s="912" t="n">
        <v>1</v>
      </c>
      <c r="D320" s="547" t="n">
        <f aca="false">E320+F320+G320+H320</f>
        <v>110</v>
      </c>
      <c r="E320" s="547" t="n">
        <v>50</v>
      </c>
      <c r="F320" s="912" t="n">
        <v>40</v>
      </c>
      <c r="G320" s="912" t="n">
        <v>20</v>
      </c>
      <c r="H320" s="912"/>
      <c r="I320" s="912" t="n">
        <v>130</v>
      </c>
      <c r="J320" s="679"/>
      <c r="K320" s="679"/>
    </row>
    <row r="321" customFormat="false" ht="15" hidden="false" customHeight="false" outlineLevel="0" collapsed="false">
      <c r="A321" s="28" t="s">
        <v>558</v>
      </c>
      <c r="B321" s="29" t="s">
        <v>3110</v>
      </c>
      <c r="C321" s="912" t="n">
        <v>1</v>
      </c>
      <c r="D321" s="547" t="n">
        <f aca="false">E321+F321+G321+H321</f>
        <v>135</v>
      </c>
      <c r="E321" s="547" t="n">
        <v>100</v>
      </c>
      <c r="F321" s="912" t="n">
        <v>20</v>
      </c>
      <c r="G321" s="912" t="n">
        <v>15</v>
      </c>
      <c r="H321" s="912"/>
      <c r="I321" s="912" t="n">
        <v>60</v>
      </c>
      <c r="J321" s="679"/>
      <c r="K321" s="679"/>
    </row>
    <row r="322" customFormat="false" ht="15" hidden="false" customHeight="false" outlineLevel="0" collapsed="false">
      <c r="A322" s="28" t="s">
        <v>560</v>
      </c>
      <c r="B322" s="40" t="s">
        <v>3111</v>
      </c>
      <c r="C322" s="912" t="n">
        <v>1</v>
      </c>
      <c r="D322" s="547" t="n">
        <f aca="false">E322+F322+G322+H322</f>
        <v>80</v>
      </c>
      <c r="E322" s="476" t="n">
        <v>35</v>
      </c>
      <c r="F322" s="820" t="n">
        <v>45</v>
      </c>
      <c r="G322" s="912"/>
      <c r="H322" s="912"/>
      <c r="I322" s="912"/>
      <c r="J322" s="679"/>
      <c r="K322" s="679"/>
    </row>
    <row r="323" customFormat="false" ht="15" hidden="false" customHeight="false" outlineLevel="0" collapsed="false">
      <c r="A323" s="28" t="s">
        <v>562</v>
      </c>
      <c r="B323" s="40" t="s">
        <v>3112</v>
      </c>
      <c r="C323" s="912" t="n">
        <v>1</v>
      </c>
      <c r="D323" s="547" t="n">
        <f aca="false">E323+F323+G323+H323</f>
        <v>80</v>
      </c>
      <c r="E323" s="476" t="n">
        <v>35</v>
      </c>
      <c r="F323" s="820" t="n">
        <v>45</v>
      </c>
      <c r="G323" s="912"/>
      <c r="H323" s="912"/>
      <c r="I323" s="912"/>
      <c r="J323" s="679"/>
      <c r="K323" s="679"/>
    </row>
    <row r="324" customFormat="false" ht="15" hidden="false" customHeight="false" outlineLevel="0" collapsed="false">
      <c r="A324" s="28" t="s">
        <v>564</v>
      </c>
      <c r="B324" s="40" t="s">
        <v>3113</v>
      </c>
      <c r="C324" s="912" t="n">
        <v>1</v>
      </c>
      <c r="D324" s="547" t="n">
        <f aca="false">E324+F324+G324+H324</f>
        <v>140</v>
      </c>
      <c r="E324" s="547" t="n">
        <v>100</v>
      </c>
      <c r="F324" s="912" t="n">
        <v>20</v>
      </c>
      <c r="G324" s="912" t="n">
        <v>20</v>
      </c>
      <c r="H324" s="912"/>
      <c r="I324" s="912" t="n">
        <v>130</v>
      </c>
      <c r="J324" s="679"/>
      <c r="K324" s="679"/>
    </row>
    <row r="325" customFormat="false" ht="15" hidden="false" customHeight="false" outlineLevel="0" collapsed="false">
      <c r="A325" s="28" t="s">
        <v>566</v>
      </c>
      <c r="B325" s="40" t="s">
        <v>567</v>
      </c>
      <c r="C325" s="912" t="n">
        <v>1</v>
      </c>
      <c r="D325" s="547" t="n">
        <f aca="false">E325+F325+G325+H325</f>
        <v>85</v>
      </c>
      <c r="E325" s="547" t="n">
        <v>40</v>
      </c>
      <c r="F325" s="912" t="n">
        <v>35</v>
      </c>
      <c r="G325" s="912" t="n">
        <v>10</v>
      </c>
      <c r="H325" s="391"/>
      <c r="I325" s="912" t="n">
        <v>130</v>
      </c>
      <c r="J325" s="679"/>
      <c r="K325" s="679"/>
    </row>
    <row r="326" customFormat="false" ht="15" hidden="false" customHeight="false" outlineLevel="0" collapsed="false">
      <c r="A326" s="28" t="s">
        <v>568</v>
      </c>
      <c r="B326" s="40" t="s">
        <v>3114</v>
      </c>
      <c r="C326" s="912" t="n">
        <v>1</v>
      </c>
      <c r="D326" s="547" t="n">
        <f aca="false">E326+F326+G326+H326</f>
        <v>90</v>
      </c>
      <c r="E326" s="547" t="n">
        <v>40</v>
      </c>
      <c r="F326" s="912" t="n">
        <v>40</v>
      </c>
      <c r="G326" s="912" t="n">
        <v>10</v>
      </c>
      <c r="H326" s="912"/>
      <c r="I326" s="912" t="n">
        <v>40</v>
      </c>
      <c r="J326" s="679"/>
      <c r="K326" s="679"/>
    </row>
    <row r="327" customFormat="false" ht="15" hidden="false" customHeight="false" outlineLevel="0" collapsed="false">
      <c r="A327" s="28" t="s">
        <v>570</v>
      </c>
      <c r="B327" s="40" t="s">
        <v>3115</v>
      </c>
      <c r="C327" s="912" t="n">
        <v>1</v>
      </c>
      <c r="D327" s="547" t="n">
        <f aca="false">E327+F327+G327+H327</f>
        <v>50</v>
      </c>
      <c r="E327" s="476" t="n">
        <v>30</v>
      </c>
      <c r="F327" s="820" t="n">
        <v>20</v>
      </c>
      <c r="G327" s="912"/>
      <c r="H327" s="912"/>
      <c r="I327" s="912"/>
      <c r="J327" s="679"/>
      <c r="K327" s="679"/>
    </row>
    <row r="328" customFormat="false" ht="15" hidden="false" customHeight="false" outlineLevel="0" collapsed="false">
      <c r="A328" s="28" t="s">
        <v>572</v>
      </c>
      <c r="B328" s="40" t="s">
        <v>3116</v>
      </c>
      <c r="C328" s="912" t="n">
        <v>1</v>
      </c>
      <c r="D328" s="547" t="n">
        <f aca="false">E328+F328+G328+H328</f>
        <v>60</v>
      </c>
      <c r="E328" s="476" t="n">
        <v>30</v>
      </c>
      <c r="F328" s="820" t="n">
        <v>30</v>
      </c>
      <c r="G328" s="912"/>
      <c r="H328" s="912"/>
      <c r="I328" s="912"/>
      <c r="J328" s="679"/>
      <c r="K328" s="679"/>
    </row>
    <row r="329" customFormat="false" ht="15" hidden="false" customHeight="false" outlineLevel="0" collapsed="false">
      <c r="A329" s="28" t="s">
        <v>574</v>
      </c>
      <c r="B329" s="40" t="s">
        <v>3117</v>
      </c>
      <c r="C329" s="912" t="n">
        <v>1</v>
      </c>
      <c r="D329" s="547" t="n">
        <f aca="false">E329+F329+G329+H329</f>
        <v>85</v>
      </c>
      <c r="E329" s="547" t="n">
        <v>45</v>
      </c>
      <c r="F329" s="912" t="n">
        <v>40</v>
      </c>
      <c r="G329" s="912"/>
      <c r="H329" s="912"/>
      <c r="I329" s="912" t="n">
        <v>130</v>
      </c>
      <c r="J329" s="679"/>
      <c r="K329" s="679"/>
    </row>
    <row r="330" customFormat="false" ht="15" hidden="false" customHeight="false" outlineLevel="0" collapsed="false">
      <c r="A330" s="28" t="s">
        <v>576</v>
      </c>
      <c r="B330" s="40" t="s">
        <v>3118</v>
      </c>
      <c r="C330" s="912" t="n">
        <v>1</v>
      </c>
      <c r="D330" s="547" t="n">
        <f aca="false">E330+F330+G330+H330</f>
        <v>85</v>
      </c>
      <c r="E330" s="547" t="n">
        <v>45</v>
      </c>
      <c r="F330" s="912" t="n">
        <v>40</v>
      </c>
      <c r="G330" s="912"/>
      <c r="H330" s="912"/>
      <c r="I330" s="912" t="n">
        <v>130</v>
      </c>
      <c r="J330" s="679"/>
      <c r="K330" s="679"/>
    </row>
    <row r="331" customFormat="false" ht="15" hidden="false" customHeight="false" outlineLevel="0" collapsed="false">
      <c r="A331" s="28" t="s">
        <v>578</v>
      </c>
      <c r="B331" s="40" t="s">
        <v>3119</v>
      </c>
      <c r="C331" s="912" t="n">
        <v>1</v>
      </c>
      <c r="D331" s="547" t="n">
        <f aca="false">E331+F331+G331+H331</f>
        <v>80</v>
      </c>
      <c r="E331" s="476" t="n">
        <v>35</v>
      </c>
      <c r="F331" s="820" t="n">
        <v>45</v>
      </c>
      <c r="G331" s="912"/>
      <c r="H331" s="912"/>
      <c r="I331" s="912"/>
      <c r="J331" s="679"/>
      <c r="K331" s="679"/>
    </row>
    <row r="332" customFormat="false" ht="15" hidden="false" customHeight="false" outlineLevel="0" collapsed="false">
      <c r="A332" s="15" t="s">
        <v>580</v>
      </c>
      <c r="B332" s="16" t="s">
        <v>3120</v>
      </c>
      <c r="C332" s="339"/>
      <c r="D332" s="712"/>
      <c r="E332" s="751"/>
      <c r="F332" s="339"/>
      <c r="G332" s="339"/>
      <c r="H332" s="541"/>
      <c r="I332" s="339"/>
      <c r="J332" s="600"/>
      <c r="K332" s="600"/>
    </row>
    <row r="333" customFormat="false" ht="15" hidden="false" customHeight="false" outlineLevel="0" collapsed="false">
      <c r="A333" s="28" t="s">
        <v>582</v>
      </c>
      <c r="B333" s="29" t="s">
        <v>3010</v>
      </c>
      <c r="C333" s="912" t="n">
        <v>1</v>
      </c>
      <c r="D333" s="547" t="n">
        <f aca="false">E333+F333+G333+H333</f>
        <v>60</v>
      </c>
      <c r="E333" s="547" t="n">
        <v>30</v>
      </c>
      <c r="F333" s="912" t="n">
        <v>30</v>
      </c>
      <c r="G333" s="912"/>
      <c r="H333" s="912"/>
      <c r="I333" s="912" t="n">
        <v>10</v>
      </c>
      <c r="J333" s="679"/>
      <c r="K333" s="679"/>
    </row>
    <row r="334" customFormat="false" ht="15" hidden="false" customHeight="false" outlineLevel="0" collapsed="false">
      <c r="A334" s="28" t="s">
        <v>583</v>
      </c>
      <c r="B334" s="29" t="s">
        <v>3084</v>
      </c>
      <c r="C334" s="912" t="n">
        <v>1</v>
      </c>
      <c r="D334" s="547" t="n">
        <f aca="false">E334+F334+G334+H334</f>
        <v>100</v>
      </c>
      <c r="E334" s="547" t="n">
        <v>40</v>
      </c>
      <c r="F334" s="912" t="n">
        <v>50</v>
      </c>
      <c r="G334" s="912" t="n">
        <v>10</v>
      </c>
      <c r="H334" s="912"/>
      <c r="I334" s="912" t="n">
        <v>40</v>
      </c>
      <c r="J334" s="679"/>
      <c r="K334" s="679"/>
    </row>
    <row r="335" customFormat="false" ht="15" hidden="false" customHeight="false" outlineLevel="0" collapsed="false">
      <c r="A335" s="28" t="s">
        <v>584</v>
      </c>
      <c r="B335" s="29" t="s">
        <v>3085</v>
      </c>
      <c r="C335" s="912" t="n">
        <v>1</v>
      </c>
      <c r="D335" s="547" t="n">
        <f aca="false">E335+F335+G335+H335</f>
        <v>110</v>
      </c>
      <c r="E335" s="547" t="n">
        <v>50</v>
      </c>
      <c r="F335" s="912" t="n">
        <v>50</v>
      </c>
      <c r="G335" s="912" t="n">
        <v>10</v>
      </c>
      <c r="H335" s="912"/>
      <c r="I335" s="912" t="n">
        <v>40</v>
      </c>
      <c r="J335" s="679"/>
      <c r="K335" s="679"/>
    </row>
    <row r="336" customFormat="false" ht="30" hidden="false" customHeight="false" outlineLevel="0" collapsed="false">
      <c r="A336" s="28" t="s">
        <v>585</v>
      </c>
      <c r="B336" s="29" t="s">
        <v>3121</v>
      </c>
      <c r="C336" s="912" t="n">
        <v>1</v>
      </c>
      <c r="D336" s="547" t="n">
        <f aca="false">E336+F336+G336+H336</f>
        <v>77</v>
      </c>
      <c r="E336" s="547" t="n">
        <v>28.5</v>
      </c>
      <c r="F336" s="912" t="n">
        <v>28.5</v>
      </c>
      <c r="G336" s="912" t="n">
        <v>20</v>
      </c>
      <c r="H336" s="912"/>
      <c r="I336" s="912" t="n">
        <v>10</v>
      </c>
      <c r="J336" s="679"/>
      <c r="K336" s="679"/>
    </row>
    <row r="337" customFormat="false" ht="15" hidden="false" customHeight="false" outlineLevel="0" collapsed="false">
      <c r="A337" s="28" t="s">
        <v>587</v>
      </c>
      <c r="B337" s="29" t="s">
        <v>3058</v>
      </c>
      <c r="C337" s="912" t="n">
        <v>1</v>
      </c>
      <c r="D337" s="547" t="n">
        <f aca="false">E337+F337+G337+H337</f>
        <v>110</v>
      </c>
      <c r="E337" s="547" t="n">
        <v>30</v>
      </c>
      <c r="F337" s="912" t="n">
        <v>60</v>
      </c>
      <c r="G337" s="912" t="n">
        <v>20</v>
      </c>
      <c r="H337" s="912"/>
      <c r="I337" s="912" t="n">
        <v>30</v>
      </c>
      <c r="J337" s="679"/>
      <c r="K337" s="679"/>
    </row>
    <row r="338" customFormat="false" ht="15" hidden="false" customHeight="false" outlineLevel="0" collapsed="false">
      <c r="A338" s="28" t="s">
        <v>588</v>
      </c>
      <c r="B338" s="29" t="s">
        <v>3059</v>
      </c>
      <c r="C338" s="912" t="n">
        <v>1</v>
      </c>
      <c r="D338" s="547" t="n">
        <f aca="false">E338+F338+G338+H338</f>
        <v>110</v>
      </c>
      <c r="E338" s="547" t="n">
        <v>50</v>
      </c>
      <c r="F338" s="912" t="n">
        <v>40</v>
      </c>
      <c r="G338" s="912" t="n">
        <v>20</v>
      </c>
      <c r="H338" s="912"/>
      <c r="I338" s="912" t="n">
        <v>40</v>
      </c>
      <c r="J338" s="679"/>
      <c r="K338" s="679"/>
    </row>
    <row r="339" customFormat="false" ht="15" hidden="false" customHeight="false" outlineLevel="0" collapsed="false">
      <c r="A339" s="28" t="s">
        <v>589</v>
      </c>
      <c r="B339" s="29" t="s">
        <v>3122</v>
      </c>
      <c r="C339" s="912" t="n">
        <v>1</v>
      </c>
      <c r="D339" s="547" t="n">
        <f aca="false">E339+F339+G339+H339</f>
        <v>62</v>
      </c>
      <c r="E339" s="547" t="n">
        <v>30</v>
      </c>
      <c r="F339" s="912" t="n">
        <v>20</v>
      </c>
      <c r="G339" s="912" t="n">
        <v>12</v>
      </c>
      <c r="H339" s="912"/>
      <c r="I339" s="912" t="n">
        <v>30</v>
      </c>
      <c r="J339" s="679"/>
      <c r="K339" s="679"/>
    </row>
    <row r="340" customFormat="false" ht="15" hidden="false" customHeight="false" outlineLevel="0" collapsed="false">
      <c r="A340" s="28" t="s">
        <v>590</v>
      </c>
      <c r="B340" s="29" t="s">
        <v>2883</v>
      </c>
      <c r="C340" s="912" t="n">
        <v>1</v>
      </c>
      <c r="D340" s="547" t="n">
        <f aca="false">E340+F340+G340+H340</f>
        <v>50</v>
      </c>
      <c r="E340" s="547" t="n">
        <v>20</v>
      </c>
      <c r="F340" s="912" t="n">
        <v>15</v>
      </c>
      <c r="G340" s="912" t="n">
        <v>15</v>
      </c>
      <c r="H340" s="912"/>
      <c r="I340" s="912" t="n">
        <v>10</v>
      </c>
      <c r="J340" s="679"/>
      <c r="K340" s="679"/>
    </row>
    <row r="341" customFormat="false" ht="15" hidden="false" customHeight="false" outlineLevel="0" collapsed="false">
      <c r="A341" s="28" t="s">
        <v>591</v>
      </c>
      <c r="B341" s="29" t="s">
        <v>3123</v>
      </c>
      <c r="C341" s="912" t="n">
        <v>1</v>
      </c>
      <c r="D341" s="547" t="n">
        <f aca="false">E341+F341+G341+H341</f>
        <v>190</v>
      </c>
      <c r="E341" s="547" t="n">
        <v>80</v>
      </c>
      <c r="F341" s="912" t="n">
        <v>80</v>
      </c>
      <c r="G341" s="912" t="n">
        <v>30</v>
      </c>
      <c r="H341" s="912"/>
      <c r="I341" s="912" t="n">
        <v>35</v>
      </c>
      <c r="J341" s="679"/>
      <c r="K341" s="679"/>
    </row>
    <row r="342" customFormat="false" ht="30" hidden="false" customHeight="false" outlineLevel="0" collapsed="false">
      <c r="A342" s="28" t="s">
        <v>593</v>
      </c>
      <c r="B342" s="29" t="s">
        <v>3124</v>
      </c>
      <c r="C342" s="912" t="n">
        <v>1</v>
      </c>
      <c r="D342" s="547" t="n">
        <f aca="false">E342+F342+G342+H342</f>
        <v>150</v>
      </c>
      <c r="E342" s="547" t="n">
        <v>60</v>
      </c>
      <c r="F342" s="912" t="n">
        <v>60</v>
      </c>
      <c r="G342" s="912" t="n">
        <v>30</v>
      </c>
      <c r="H342" s="912"/>
      <c r="I342" s="912" t="n">
        <v>25</v>
      </c>
      <c r="J342" s="679"/>
      <c r="K342" s="679"/>
    </row>
    <row r="343" customFormat="false" ht="30" hidden="false" customHeight="false" outlineLevel="0" collapsed="false">
      <c r="A343" s="28" t="s">
        <v>594</v>
      </c>
      <c r="B343" s="29" t="s">
        <v>3125</v>
      </c>
      <c r="C343" s="912" t="n">
        <v>1</v>
      </c>
      <c r="D343" s="547" t="n">
        <f aca="false">E343+F343+G343+H343</f>
        <v>70</v>
      </c>
      <c r="E343" s="547" t="n">
        <v>30</v>
      </c>
      <c r="F343" s="912" t="n">
        <v>20</v>
      </c>
      <c r="G343" s="912" t="n">
        <v>20</v>
      </c>
      <c r="H343" s="912"/>
      <c r="I343" s="912" t="n">
        <v>10</v>
      </c>
      <c r="J343" s="679"/>
      <c r="K343" s="679"/>
    </row>
    <row r="344" customFormat="false" ht="15" hidden="false" customHeight="false" outlineLevel="0" collapsed="false">
      <c r="A344" s="28" t="s">
        <v>595</v>
      </c>
      <c r="B344" s="29" t="s">
        <v>3126</v>
      </c>
      <c r="C344" s="912" t="n">
        <v>1</v>
      </c>
      <c r="D344" s="547" t="n">
        <f aca="false">E344+F344+G344+H344</f>
        <v>75</v>
      </c>
      <c r="E344" s="547" t="n">
        <v>30</v>
      </c>
      <c r="F344" s="912" t="n">
        <v>30</v>
      </c>
      <c r="G344" s="912" t="n">
        <v>15</v>
      </c>
      <c r="H344" s="912"/>
      <c r="I344" s="912" t="n">
        <v>10</v>
      </c>
      <c r="J344" s="679"/>
      <c r="K344" s="679"/>
    </row>
    <row r="345" customFormat="false" ht="15" hidden="false" customHeight="false" outlineLevel="0" collapsed="false">
      <c r="A345" s="28" t="s">
        <v>597</v>
      </c>
      <c r="B345" s="29" t="s">
        <v>3127</v>
      </c>
      <c r="C345" s="912" t="n">
        <v>1</v>
      </c>
      <c r="D345" s="547" t="n">
        <f aca="false">E345+F345+G345+H345</f>
        <v>55</v>
      </c>
      <c r="E345" s="547" t="n">
        <v>30</v>
      </c>
      <c r="F345" s="912" t="n">
        <v>25</v>
      </c>
      <c r="G345" s="912"/>
      <c r="H345" s="912"/>
      <c r="I345" s="912" t="n">
        <v>10</v>
      </c>
      <c r="J345" s="679"/>
      <c r="K345" s="679"/>
    </row>
    <row r="346" customFormat="false" ht="15" hidden="false" customHeight="false" outlineLevel="0" collapsed="false">
      <c r="A346" s="28" t="s">
        <v>599</v>
      </c>
      <c r="B346" s="29" t="s">
        <v>3128</v>
      </c>
      <c r="C346" s="912" t="n">
        <v>1</v>
      </c>
      <c r="D346" s="547" t="n">
        <f aca="false">E346+F346+G346+H346</f>
        <v>40</v>
      </c>
      <c r="E346" s="547" t="n">
        <v>20</v>
      </c>
      <c r="F346" s="912" t="n">
        <v>10</v>
      </c>
      <c r="G346" s="912" t="n">
        <v>10</v>
      </c>
      <c r="H346" s="912"/>
      <c r="I346" s="912" t="n">
        <v>25</v>
      </c>
      <c r="J346" s="679"/>
      <c r="K346" s="679"/>
    </row>
    <row r="347" customFormat="false" ht="15" hidden="false" customHeight="false" outlineLevel="0" collapsed="false">
      <c r="A347" s="28" t="s">
        <v>601</v>
      </c>
      <c r="B347" s="29" t="s">
        <v>3103</v>
      </c>
      <c r="C347" s="912" t="n">
        <v>1</v>
      </c>
      <c r="D347" s="547" t="n">
        <f aca="false">E347+F347+G347+H347</f>
        <v>200</v>
      </c>
      <c r="E347" s="547" t="n">
        <v>120</v>
      </c>
      <c r="F347" s="912" t="n">
        <v>60</v>
      </c>
      <c r="G347" s="912" t="n">
        <v>20</v>
      </c>
      <c r="H347" s="912"/>
      <c r="I347" s="912" t="n">
        <v>160</v>
      </c>
      <c r="J347" s="679"/>
      <c r="K347" s="679"/>
    </row>
    <row r="348" customFormat="false" ht="15" hidden="false" customHeight="false" outlineLevel="0" collapsed="false">
      <c r="A348" s="28" t="s">
        <v>602</v>
      </c>
      <c r="B348" s="29" t="s">
        <v>3102</v>
      </c>
      <c r="C348" s="912" t="n">
        <v>1</v>
      </c>
      <c r="D348" s="547" t="n">
        <f aca="false">E348+F348+G348+H348</f>
        <v>200</v>
      </c>
      <c r="E348" s="547" t="n">
        <v>120</v>
      </c>
      <c r="F348" s="912" t="n">
        <v>60</v>
      </c>
      <c r="G348" s="912" t="n">
        <v>20</v>
      </c>
      <c r="H348" s="391"/>
      <c r="I348" s="912" t="n">
        <v>160</v>
      </c>
      <c r="J348" s="679"/>
      <c r="K348" s="679"/>
    </row>
    <row r="349" customFormat="false" ht="15" hidden="false" customHeight="false" outlineLevel="0" collapsed="false">
      <c r="A349" s="28" t="s">
        <v>603</v>
      </c>
      <c r="B349" s="29" t="s">
        <v>3129</v>
      </c>
      <c r="C349" s="912" t="n">
        <v>1</v>
      </c>
      <c r="D349" s="547" t="n">
        <f aca="false">E349+F349+G349+H349</f>
        <v>140</v>
      </c>
      <c r="E349" s="547" t="n">
        <v>60</v>
      </c>
      <c r="F349" s="912" t="n">
        <v>60</v>
      </c>
      <c r="G349" s="912" t="n">
        <v>20</v>
      </c>
      <c r="H349" s="912"/>
      <c r="I349" s="912" t="n">
        <v>215</v>
      </c>
      <c r="J349" s="679"/>
      <c r="K349" s="679"/>
    </row>
    <row r="350" customFormat="false" ht="15" hidden="false" customHeight="false" outlineLevel="0" collapsed="false">
      <c r="A350" s="28" t="s">
        <v>604</v>
      </c>
      <c r="B350" s="29" t="s">
        <v>3105</v>
      </c>
      <c r="C350" s="912" t="n">
        <v>1</v>
      </c>
      <c r="D350" s="547" t="n">
        <f aca="false">E350+F350+G350+H350</f>
        <v>170</v>
      </c>
      <c r="E350" s="547" t="n">
        <v>90</v>
      </c>
      <c r="F350" s="912" t="n">
        <v>60</v>
      </c>
      <c r="G350" s="912" t="n">
        <v>20</v>
      </c>
      <c r="H350" s="912"/>
      <c r="I350" s="912" t="n">
        <v>205</v>
      </c>
      <c r="J350" s="679"/>
      <c r="K350" s="679"/>
    </row>
    <row r="351" customFormat="false" ht="30" hidden="false" customHeight="false" outlineLevel="0" collapsed="false">
      <c r="A351" s="28" t="s">
        <v>605</v>
      </c>
      <c r="B351" s="29" t="s">
        <v>3130</v>
      </c>
      <c r="C351" s="912" t="n">
        <v>1</v>
      </c>
      <c r="D351" s="547" t="n">
        <f aca="false">E351+F351+G351+H351</f>
        <v>145</v>
      </c>
      <c r="E351" s="547" t="n">
        <v>70</v>
      </c>
      <c r="F351" s="912" t="n">
        <v>55</v>
      </c>
      <c r="G351" s="912" t="n">
        <v>20</v>
      </c>
      <c r="H351" s="912"/>
      <c r="I351" s="912" t="n">
        <v>205</v>
      </c>
      <c r="J351" s="679"/>
      <c r="K351" s="679"/>
    </row>
    <row r="352" customFormat="false" ht="15" hidden="false" customHeight="false" outlineLevel="0" collapsed="false">
      <c r="A352" s="28" t="s">
        <v>607</v>
      </c>
      <c r="B352" s="29" t="s">
        <v>3107</v>
      </c>
      <c r="C352" s="912" t="n">
        <v>1</v>
      </c>
      <c r="D352" s="547" t="n">
        <f aca="false">E352+F352+G352+H352</f>
        <v>110</v>
      </c>
      <c r="E352" s="547" t="n">
        <v>50</v>
      </c>
      <c r="F352" s="912" t="n">
        <v>40</v>
      </c>
      <c r="G352" s="912" t="n">
        <v>20</v>
      </c>
      <c r="H352" s="912"/>
      <c r="I352" s="912" t="n">
        <v>25</v>
      </c>
      <c r="J352" s="679"/>
      <c r="K352" s="679"/>
    </row>
    <row r="353" customFormat="false" ht="15" hidden="false" customHeight="false" outlineLevel="0" collapsed="false">
      <c r="A353" s="28" t="s">
        <v>608</v>
      </c>
      <c r="B353" s="40" t="s">
        <v>3131</v>
      </c>
      <c r="C353" s="912" t="n">
        <v>1</v>
      </c>
      <c r="D353" s="547" t="n">
        <f aca="false">E353+F353+G353+H353</f>
        <v>190</v>
      </c>
      <c r="E353" s="476" t="n">
        <v>70</v>
      </c>
      <c r="F353" s="820" t="n">
        <v>80</v>
      </c>
      <c r="G353" s="912" t="n">
        <v>40</v>
      </c>
      <c r="H353" s="912"/>
      <c r="I353" s="912"/>
      <c r="J353" s="679"/>
      <c r="K353" s="679"/>
    </row>
    <row r="354" customFormat="false" ht="15" hidden="false" customHeight="false" outlineLevel="0" collapsed="false">
      <c r="A354" s="28" t="s">
        <v>610</v>
      </c>
      <c r="B354" s="40" t="s">
        <v>3132</v>
      </c>
      <c r="C354" s="912" t="n">
        <v>1</v>
      </c>
      <c r="D354" s="547" t="n">
        <f aca="false">E354+F354+G354+H354</f>
        <v>60</v>
      </c>
      <c r="E354" s="476" t="n">
        <v>30</v>
      </c>
      <c r="F354" s="820" t="n">
        <v>30</v>
      </c>
      <c r="G354" s="912"/>
      <c r="H354" s="912"/>
      <c r="I354" s="912"/>
      <c r="J354" s="679"/>
      <c r="K354" s="679"/>
    </row>
    <row r="355" customFormat="false" ht="15" hidden="false" customHeight="false" outlineLevel="0" collapsed="false">
      <c r="A355" s="15" t="s">
        <v>612</v>
      </c>
      <c r="B355" s="16" t="s">
        <v>3133</v>
      </c>
      <c r="C355" s="339"/>
      <c r="D355" s="712"/>
      <c r="E355" s="751"/>
      <c r="F355" s="339"/>
      <c r="G355" s="339"/>
      <c r="H355" s="541"/>
      <c r="I355" s="541"/>
      <c r="J355" s="600"/>
      <c r="K355" s="600"/>
    </row>
    <row r="356" customFormat="false" ht="15" hidden="false" customHeight="false" outlineLevel="0" collapsed="false">
      <c r="A356" s="28" t="s">
        <v>614</v>
      </c>
      <c r="B356" s="49" t="s">
        <v>3084</v>
      </c>
      <c r="C356" s="912" t="n">
        <v>1</v>
      </c>
      <c r="D356" s="547" t="n">
        <f aca="false">E356+F356+G356+H356</f>
        <v>90</v>
      </c>
      <c r="E356" s="547" t="n">
        <v>40</v>
      </c>
      <c r="F356" s="912" t="n">
        <v>40</v>
      </c>
      <c r="G356" s="912" t="n">
        <v>10</v>
      </c>
      <c r="H356" s="912"/>
      <c r="I356" s="912" t="n">
        <v>40</v>
      </c>
      <c r="J356" s="679"/>
      <c r="K356" s="679"/>
    </row>
    <row r="357" customFormat="false" ht="15" hidden="false" customHeight="false" outlineLevel="0" collapsed="false">
      <c r="A357" s="28" t="s">
        <v>615</v>
      </c>
      <c r="B357" s="49" t="s">
        <v>3085</v>
      </c>
      <c r="C357" s="912" t="n">
        <v>1</v>
      </c>
      <c r="D357" s="547" t="n">
        <f aca="false">E357+F357+G357+H357</f>
        <v>110</v>
      </c>
      <c r="E357" s="547" t="n">
        <v>50</v>
      </c>
      <c r="F357" s="912" t="n">
        <v>50</v>
      </c>
      <c r="G357" s="912" t="n">
        <v>10</v>
      </c>
      <c r="H357" s="912"/>
      <c r="I357" s="912" t="n">
        <v>40</v>
      </c>
      <c r="J357" s="679"/>
      <c r="K357" s="679"/>
    </row>
    <row r="358" customFormat="false" ht="30" hidden="false" customHeight="false" outlineLevel="0" collapsed="false">
      <c r="A358" s="28" t="s">
        <v>616</v>
      </c>
      <c r="B358" s="49" t="s">
        <v>3134</v>
      </c>
      <c r="C358" s="912" t="n">
        <v>1</v>
      </c>
      <c r="D358" s="547" t="n">
        <f aca="false">E358+F358+G358+H358</f>
        <v>50</v>
      </c>
      <c r="E358" s="547" t="n">
        <v>25</v>
      </c>
      <c r="F358" s="912" t="n">
        <v>20</v>
      </c>
      <c r="G358" s="912" t="n">
        <v>5</v>
      </c>
      <c r="H358" s="912"/>
      <c r="I358" s="912" t="n">
        <v>10</v>
      </c>
      <c r="J358" s="679"/>
      <c r="K358" s="679"/>
    </row>
    <row r="359" customFormat="false" ht="15" hidden="false" customHeight="false" outlineLevel="0" collapsed="false">
      <c r="A359" s="28" t="s">
        <v>618</v>
      </c>
      <c r="B359" s="49" t="s">
        <v>3135</v>
      </c>
      <c r="C359" s="912" t="n">
        <v>1</v>
      </c>
      <c r="D359" s="547" t="n">
        <f aca="false">E359+F359+G359+H359</f>
        <v>50</v>
      </c>
      <c r="E359" s="547" t="n">
        <v>25</v>
      </c>
      <c r="F359" s="912" t="n">
        <v>20</v>
      </c>
      <c r="G359" s="912" t="n">
        <v>5</v>
      </c>
      <c r="H359" s="912"/>
      <c r="I359" s="912" t="n">
        <v>10</v>
      </c>
      <c r="J359" s="679"/>
      <c r="K359" s="679"/>
    </row>
    <row r="360" customFormat="false" ht="15" hidden="false" customHeight="false" outlineLevel="0" collapsed="false">
      <c r="A360" s="28" t="s">
        <v>620</v>
      </c>
      <c r="B360" s="49" t="s">
        <v>3136</v>
      </c>
      <c r="C360" s="912" t="n">
        <v>1</v>
      </c>
      <c r="D360" s="547" t="n">
        <f aca="false">E360+F360+G360+H360</f>
        <v>40</v>
      </c>
      <c r="E360" s="547" t="n">
        <v>15</v>
      </c>
      <c r="F360" s="912" t="n">
        <v>15</v>
      </c>
      <c r="G360" s="912" t="n">
        <v>10</v>
      </c>
      <c r="H360" s="912"/>
      <c r="I360" s="912" t="n">
        <v>10</v>
      </c>
      <c r="J360" s="679"/>
      <c r="K360" s="679"/>
    </row>
    <row r="361" customFormat="false" ht="15" hidden="false" customHeight="false" outlineLevel="0" collapsed="false">
      <c r="A361" s="28" t="s">
        <v>622</v>
      </c>
      <c r="B361" s="49" t="s">
        <v>3137</v>
      </c>
      <c r="C361" s="912" t="n">
        <v>1</v>
      </c>
      <c r="D361" s="547" t="n">
        <f aca="false">E361+F361+G361+H361</f>
        <v>50</v>
      </c>
      <c r="E361" s="547" t="n">
        <v>50</v>
      </c>
      <c r="F361" s="912"/>
      <c r="G361" s="912"/>
      <c r="H361" s="912"/>
      <c r="I361" s="912"/>
      <c r="J361" s="679"/>
      <c r="K361" s="679"/>
    </row>
    <row r="362" customFormat="false" ht="15" hidden="false" customHeight="false" outlineLevel="0" collapsed="false">
      <c r="A362" s="28" t="s">
        <v>624</v>
      </c>
      <c r="B362" s="49" t="s">
        <v>3138</v>
      </c>
      <c r="C362" s="912" t="n">
        <v>1</v>
      </c>
      <c r="D362" s="547" t="n">
        <f aca="false">E362+F362+G362+H362</f>
        <v>85</v>
      </c>
      <c r="E362" s="547" t="n">
        <v>45</v>
      </c>
      <c r="F362" s="912" t="n">
        <v>30</v>
      </c>
      <c r="G362" s="912" t="n">
        <v>10</v>
      </c>
      <c r="H362" s="912"/>
      <c r="I362" s="912" t="n">
        <v>10</v>
      </c>
      <c r="J362" s="679"/>
      <c r="K362" s="679"/>
    </row>
    <row r="363" customFormat="false" ht="15" hidden="false" customHeight="false" outlineLevel="0" collapsed="false">
      <c r="A363" s="28" t="s">
        <v>626</v>
      </c>
      <c r="B363" s="49" t="s">
        <v>3103</v>
      </c>
      <c r="C363" s="912" t="n">
        <v>1</v>
      </c>
      <c r="D363" s="547" t="n">
        <f aca="false">E363+F363+G363+H363</f>
        <v>200</v>
      </c>
      <c r="E363" s="547" t="n">
        <v>120</v>
      </c>
      <c r="F363" s="912" t="n">
        <v>60</v>
      </c>
      <c r="G363" s="912" t="n">
        <v>20</v>
      </c>
      <c r="H363" s="912"/>
      <c r="I363" s="912" t="n">
        <v>160</v>
      </c>
      <c r="J363" s="679"/>
      <c r="K363" s="679"/>
    </row>
    <row r="364" customFormat="false" ht="15" hidden="false" customHeight="false" outlineLevel="0" collapsed="false">
      <c r="A364" s="28" t="s">
        <v>627</v>
      </c>
      <c r="B364" s="49" t="s">
        <v>3102</v>
      </c>
      <c r="C364" s="912" t="n">
        <v>1</v>
      </c>
      <c r="D364" s="547" t="n">
        <f aca="false">E364+F364+G364+H364</f>
        <v>200</v>
      </c>
      <c r="E364" s="547" t="n">
        <v>120</v>
      </c>
      <c r="F364" s="912" t="n">
        <v>60</v>
      </c>
      <c r="G364" s="912" t="n">
        <v>20</v>
      </c>
      <c r="H364" s="391"/>
      <c r="I364" s="912" t="n">
        <v>160</v>
      </c>
      <c r="J364" s="679"/>
      <c r="K364" s="679"/>
    </row>
    <row r="365" customFormat="false" ht="15" hidden="false" customHeight="false" outlineLevel="0" collapsed="false">
      <c r="A365" s="28" t="s">
        <v>628</v>
      </c>
      <c r="B365" s="49" t="s">
        <v>3129</v>
      </c>
      <c r="C365" s="912" t="n">
        <v>1</v>
      </c>
      <c r="D365" s="547" t="n">
        <f aca="false">E365+F365+G365+H365</f>
        <v>120</v>
      </c>
      <c r="E365" s="547" t="n">
        <v>50</v>
      </c>
      <c r="F365" s="912" t="n">
        <v>50</v>
      </c>
      <c r="G365" s="912" t="n">
        <v>20</v>
      </c>
      <c r="H365" s="912"/>
      <c r="I365" s="912" t="n">
        <v>215</v>
      </c>
      <c r="J365" s="679"/>
      <c r="K365" s="679"/>
    </row>
    <row r="366" customFormat="false" ht="15" hidden="false" customHeight="false" outlineLevel="0" collapsed="false">
      <c r="A366" s="28" t="s">
        <v>629</v>
      </c>
      <c r="B366" s="49" t="s">
        <v>3139</v>
      </c>
      <c r="C366" s="912" t="n">
        <v>1</v>
      </c>
      <c r="D366" s="547" t="n">
        <f aca="false">E366+F366+G366+H366</f>
        <v>55</v>
      </c>
      <c r="E366" s="547" t="n">
        <v>25</v>
      </c>
      <c r="F366" s="912" t="n">
        <v>30</v>
      </c>
      <c r="G366" s="912"/>
      <c r="H366" s="912"/>
      <c r="I366" s="912"/>
      <c r="J366" s="679"/>
      <c r="K366" s="679"/>
    </row>
    <row r="367" customFormat="false" ht="15" hidden="false" customHeight="false" outlineLevel="0" collapsed="false">
      <c r="A367" s="28" t="s">
        <v>631</v>
      </c>
      <c r="B367" s="49" t="s">
        <v>3140</v>
      </c>
      <c r="C367" s="912" t="n">
        <v>1</v>
      </c>
      <c r="D367" s="547" t="n">
        <f aca="false">E367+F367+G367+H367</f>
        <v>55</v>
      </c>
      <c r="E367" s="547" t="n">
        <v>25</v>
      </c>
      <c r="F367" s="912" t="n">
        <v>30</v>
      </c>
      <c r="G367" s="912"/>
      <c r="H367" s="912"/>
      <c r="I367" s="912"/>
      <c r="J367" s="679"/>
      <c r="K367" s="679"/>
    </row>
    <row r="368" customFormat="false" ht="15" hidden="false" customHeight="false" outlineLevel="0" collapsed="false">
      <c r="A368" s="28" t="s">
        <v>633</v>
      </c>
      <c r="B368" s="49" t="s">
        <v>3141</v>
      </c>
      <c r="C368" s="912" t="n">
        <v>1</v>
      </c>
      <c r="D368" s="547" t="n">
        <f aca="false">E368+F368+G368+H368</f>
        <v>55</v>
      </c>
      <c r="E368" s="547" t="n">
        <v>25</v>
      </c>
      <c r="F368" s="912" t="n">
        <v>30</v>
      </c>
      <c r="G368" s="912"/>
      <c r="H368" s="912"/>
      <c r="I368" s="912"/>
      <c r="J368" s="679"/>
      <c r="K368" s="679"/>
    </row>
    <row r="369" customFormat="false" ht="15" hidden="false" customHeight="false" outlineLevel="0" collapsed="false">
      <c r="A369" s="28" t="s">
        <v>635</v>
      </c>
      <c r="B369" s="49" t="s">
        <v>3142</v>
      </c>
      <c r="C369" s="912" t="n">
        <v>1</v>
      </c>
      <c r="D369" s="547" t="n">
        <f aca="false">E369+F369+G369+H369</f>
        <v>55</v>
      </c>
      <c r="E369" s="547" t="n">
        <v>25</v>
      </c>
      <c r="F369" s="912" t="n">
        <v>30</v>
      </c>
      <c r="G369" s="912"/>
      <c r="H369" s="912"/>
      <c r="I369" s="912"/>
      <c r="J369" s="679"/>
      <c r="K369" s="679"/>
    </row>
    <row r="370" customFormat="false" ht="28.5" hidden="false" customHeight="false" outlineLevel="0" collapsed="false">
      <c r="A370" s="15" t="s">
        <v>637</v>
      </c>
      <c r="B370" s="16" t="s">
        <v>3143</v>
      </c>
      <c r="C370" s="339"/>
      <c r="D370" s="712"/>
      <c r="E370" s="751"/>
      <c r="F370" s="339"/>
      <c r="G370" s="339"/>
      <c r="H370" s="541"/>
      <c r="I370" s="541"/>
      <c r="J370" s="600"/>
      <c r="K370" s="600"/>
    </row>
    <row r="371" customFormat="false" ht="15" hidden="false" customHeight="false" outlineLevel="0" collapsed="false">
      <c r="A371" s="28" t="s">
        <v>639</v>
      </c>
      <c r="B371" s="29" t="s">
        <v>3010</v>
      </c>
      <c r="C371" s="912" t="n">
        <v>1</v>
      </c>
      <c r="D371" s="547" t="n">
        <f aca="false">E371+F371+G371+H371</f>
        <v>45</v>
      </c>
      <c r="E371" s="547" t="n">
        <v>20</v>
      </c>
      <c r="F371" s="912" t="n">
        <v>25</v>
      </c>
      <c r="G371" s="912"/>
      <c r="H371" s="912"/>
      <c r="I371" s="912" t="n">
        <v>10</v>
      </c>
      <c r="J371" s="679"/>
      <c r="K371" s="679"/>
    </row>
    <row r="372" customFormat="false" ht="15" hidden="false" customHeight="false" outlineLevel="0" collapsed="false">
      <c r="A372" s="28" t="s">
        <v>640</v>
      </c>
      <c r="B372" s="29" t="s">
        <v>3084</v>
      </c>
      <c r="C372" s="912" t="n">
        <v>1</v>
      </c>
      <c r="D372" s="547" t="n">
        <f aca="false">E372+F372+G372+H372</f>
        <v>90</v>
      </c>
      <c r="E372" s="547" t="n">
        <v>40</v>
      </c>
      <c r="F372" s="912" t="n">
        <v>40</v>
      </c>
      <c r="G372" s="912" t="n">
        <v>10</v>
      </c>
      <c r="H372" s="912"/>
      <c r="I372" s="912" t="n">
        <v>40</v>
      </c>
      <c r="J372" s="679"/>
      <c r="K372" s="679"/>
    </row>
    <row r="373" customFormat="false" ht="15" hidden="false" customHeight="false" outlineLevel="0" collapsed="false">
      <c r="A373" s="28" t="s">
        <v>641</v>
      </c>
      <c r="B373" s="29" t="s">
        <v>3085</v>
      </c>
      <c r="C373" s="912" t="n">
        <v>1</v>
      </c>
      <c r="D373" s="547" t="n">
        <f aca="false">E373+F373+G373+H373</f>
        <v>110</v>
      </c>
      <c r="E373" s="547" t="n">
        <v>50</v>
      </c>
      <c r="F373" s="912" t="n">
        <v>50</v>
      </c>
      <c r="G373" s="912" t="n">
        <v>10</v>
      </c>
      <c r="H373" s="912"/>
      <c r="I373" s="912" t="n">
        <v>40</v>
      </c>
      <c r="J373" s="679"/>
      <c r="K373" s="679"/>
    </row>
    <row r="374" customFormat="false" ht="15" hidden="false" customHeight="false" outlineLevel="0" collapsed="false">
      <c r="A374" s="28" t="s">
        <v>642</v>
      </c>
      <c r="B374" s="29" t="s">
        <v>3144</v>
      </c>
      <c r="C374" s="912" t="n">
        <v>1</v>
      </c>
      <c r="D374" s="547" t="n">
        <f aca="false">E374+F374+G374+H374</f>
        <v>50</v>
      </c>
      <c r="E374" s="547" t="n">
        <v>50</v>
      </c>
      <c r="F374" s="912"/>
      <c r="G374" s="912"/>
      <c r="H374" s="912"/>
      <c r="I374" s="912"/>
      <c r="J374" s="679"/>
      <c r="K374" s="679"/>
    </row>
    <row r="375" customFormat="false" ht="15" hidden="false" customHeight="false" outlineLevel="0" collapsed="false">
      <c r="A375" s="28" t="s">
        <v>644</v>
      </c>
      <c r="B375" s="29" t="s">
        <v>3058</v>
      </c>
      <c r="C375" s="912" t="n">
        <v>1</v>
      </c>
      <c r="D375" s="547" t="n">
        <f aca="false">E375+F375+G375+H375</f>
        <v>110</v>
      </c>
      <c r="E375" s="547" t="n">
        <v>40</v>
      </c>
      <c r="F375" s="912" t="n">
        <v>50</v>
      </c>
      <c r="G375" s="912" t="n">
        <v>20</v>
      </c>
      <c r="H375" s="912"/>
      <c r="I375" s="912" t="n">
        <v>30</v>
      </c>
      <c r="J375" s="679"/>
      <c r="K375" s="679"/>
    </row>
    <row r="376" customFormat="false" ht="15" hidden="false" customHeight="false" outlineLevel="0" collapsed="false">
      <c r="A376" s="28" t="s">
        <v>645</v>
      </c>
      <c r="B376" s="29" t="s">
        <v>3059</v>
      </c>
      <c r="C376" s="912" t="n">
        <v>1</v>
      </c>
      <c r="D376" s="547" t="n">
        <f aca="false">E376+F376+G376+H376</f>
        <v>100</v>
      </c>
      <c r="E376" s="547" t="n">
        <v>40</v>
      </c>
      <c r="F376" s="912" t="n">
        <v>40</v>
      </c>
      <c r="G376" s="912" t="n">
        <v>20</v>
      </c>
      <c r="H376" s="912"/>
      <c r="I376" s="912" t="n">
        <v>40</v>
      </c>
      <c r="J376" s="679"/>
      <c r="K376" s="679"/>
    </row>
    <row r="377" customFormat="false" ht="24.75" hidden="false" customHeight="true" outlineLevel="0" collapsed="false">
      <c r="A377" s="28" t="s">
        <v>646</v>
      </c>
      <c r="B377" s="29" t="s">
        <v>3122</v>
      </c>
      <c r="C377" s="912" t="n">
        <v>1</v>
      </c>
      <c r="D377" s="547" t="n">
        <f aca="false">E377+F377+G377+H377</f>
        <v>60</v>
      </c>
      <c r="E377" s="547" t="n">
        <v>30</v>
      </c>
      <c r="F377" s="912" t="n">
        <v>20</v>
      </c>
      <c r="G377" s="912" t="n">
        <v>10</v>
      </c>
      <c r="H377" s="912"/>
      <c r="I377" s="912" t="n">
        <v>40</v>
      </c>
      <c r="J377" s="679"/>
      <c r="K377" s="679"/>
    </row>
    <row r="378" customFormat="false" ht="15" hidden="false" customHeight="false" outlineLevel="0" collapsed="false">
      <c r="A378" s="28" t="s">
        <v>647</v>
      </c>
      <c r="B378" s="29" t="s">
        <v>3145</v>
      </c>
      <c r="C378" s="912" t="n">
        <v>1</v>
      </c>
      <c r="D378" s="547" t="n">
        <f aca="false">E378+F378+G378+H378</f>
        <v>160</v>
      </c>
      <c r="E378" s="547" t="n">
        <v>70</v>
      </c>
      <c r="F378" s="912" t="n">
        <v>70</v>
      </c>
      <c r="G378" s="912" t="n">
        <v>20</v>
      </c>
      <c r="H378" s="912"/>
      <c r="I378" s="912" t="n">
        <v>20</v>
      </c>
      <c r="J378" s="679"/>
      <c r="K378" s="679"/>
    </row>
    <row r="379" customFormat="false" ht="30" hidden="false" customHeight="false" outlineLevel="0" collapsed="false">
      <c r="A379" s="28" t="s">
        <v>649</v>
      </c>
      <c r="B379" s="29" t="s">
        <v>3100</v>
      </c>
      <c r="C379" s="912" t="n">
        <v>1</v>
      </c>
      <c r="D379" s="547" t="n">
        <f aca="false">E379+F379+G379+H379</f>
        <v>180</v>
      </c>
      <c r="E379" s="547" t="n">
        <v>90</v>
      </c>
      <c r="F379" s="912" t="n">
        <v>60</v>
      </c>
      <c r="G379" s="912" t="n">
        <v>30</v>
      </c>
      <c r="H379" s="912"/>
      <c r="I379" s="912" t="n">
        <v>25</v>
      </c>
      <c r="J379" s="679"/>
      <c r="K379" s="679"/>
    </row>
    <row r="380" customFormat="false" ht="30" hidden="false" customHeight="false" outlineLevel="0" collapsed="false">
      <c r="A380" s="28" t="s">
        <v>650</v>
      </c>
      <c r="B380" s="29" t="s">
        <v>3146</v>
      </c>
      <c r="C380" s="912" t="n">
        <v>1</v>
      </c>
      <c r="D380" s="547" t="n">
        <f aca="false">E380+F380+G380+H380</f>
        <v>65</v>
      </c>
      <c r="E380" s="547" t="n">
        <v>25</v>
      </c>
      <c r="F380" s="912" t="n">
        <v>20</v>
      </c>
      <c r="G380" s="912" t="n">
        <v>20</v>
      </c>
      <c r="H380" s="912"/>
      <c r="I380" s="912" t="n">
        <v>10</v>
      </c>
      <c r="J380" s="679"/>
      <c r="K380" s="679"/>
    </row>
    <row r="381" customFormat="false" ht="15" hidden="false" customHeight="false" outlineLevel="0" collapsed="false">
      <c r="A381" s="28" t="s">
        <v>651</v>
      </c>
      <c r="B381" s="29" t="s">
        <v>3147</v>
      </c>
      <c r="C381" s="912" t="n">
        <v>1</v>
      </c>
      <c r="D381" s="547" t="n">
        <f aca="false">E381+F381+G381+H381</f>
        <v>200</v>
      </c>
      <c r="E381" s="547" t="n">
        <v>120</v>
      </c>
      <c r="F381" s="912" t="n">
        <v>60</v>
      </c>
      <c r="G381" s="912" t="n">
        <v>20</v>
      </c>
      <c r="H381" s="912"/>
      <c r="I381" s="912" t="n">
        <v>160</v>
      </c>
      <c r="J381" s="679"/>
      <c r="K381" s="679"/>
    </row>
    <row r="382" customFormat="false" ht="21" hidden="false" customHeight="true" outlineLevel="0" collapsed="false">
      <c r="A382" s="28" t="s">
        <v>652</v>
      </c>
      <c r="B382" s="29" t="s">
        <v>3102</v>
      </c>
      <c r="C382" s="912" t="n">
        <v>1</v>
      </c>
      <c r="D382" s="547" t="n">
        <f aca="false">E382+F382+G382+H382</f>
        <v>200</v>
      </c>
      <c r="E382" s="547" t="n">
        <v>120</v>
      </c>
      <c r="F382" s="912" t="n">
        <v>60</v>
      </c>
      <c r="G382" s="912" t="n">
        <v>20</v>
      </c>
      <c r="H382" s="912"/>
      <c r="I382" s="912" t="n">
        <v>160</v>
      </c>
      <c r="J382" s="679"/>
      <c r="K382" s="679"/>
    </row>
    <row r="383" customFormat="false" ht="15" hidden="false" customHeight="false" outlineLevel="0" collapsed="false">
      <c r="A383" s="28" t="s">
        <v>653</v>
      </c>
      <c r="B383" s="29" t="s">
        <v>3148</v>
      </c>
      <c r="C383" s="912" t="n">
        <v>1</v>
      </c>
      <c r="D383" s="547" t="n">
        <f aca="false">E383+F383+G383+H383</f>
        <v>170</v>
      </c>
      <c r="E383" s="547" t="n">
        <v>90</v>
      </c>
      <c r="F383" s="912" t="n">
        <v>60</v>
      </c>
      <c r="G383" s="912" t="n">
        <v>20</v>
      </c>
      <c r="H383" s="391"/>
      <c r="I383" s="912" t="n">
        <v>215</v>
      </c>
      <c r="J383" s="679"/>
      <c r="K383" s="679"/>
    </row>
    <row r="384" customFormat="false" ht="15" hidden="false" customHeight="false" outlineLevel="0" collapsed="false">
      <c r="A384" s="28" t="s">
        <v>654</v>
      </c>
      <c r="B384" s="29" t="s">
        <v>3149</v>
      </c>
      <c r="C384" s="912" t="n">
        <v>1</v>
      </c>
      <c r="D384" s="547" t="n">
        <f aca="false">E384+F384+G384+H384</f>
        <v>170</v>
      </c>
      <c r="E384" s="547" t="n">
        <v>90</v>
      </c>
      <c r="F384" s="912" t="n">
        <v>60</v>
      </c>
      <c r="G384" s="912" t="n">
        <v>20</v>
      </c>
      <c r="H384" s="912"/>
      <c r="I384" s="912" t="n">
        <v>205</v>
      </c>
      <c r="J384" s="679"/>
      <c r="K384" s="679"/>
    </row>
    <row r="385" customFormat="false" ht="15" hidden="false" customHeight="false" outlineLevel="0" collapsed="false">
      <c r="A385" s="28" t="s">
        <v>655</v>
      </c>
      <c r="B385" s="29" t="s">
        <v>3150</v>
      </c>
      <c r="C385" s="912" t="n">
        <v>1</v>
      </c>
      <c r="D385" s="547" t="n">
        <f aca="false">E385+F385+G385+H385</f>
        <v>140</v>
      </c>
      <c r="E385" s="547" t="n">
        <v>90</v>
      </c>
      <c r="F385" s="912" t="n">
        <v>30</v>
      </c>
      <c r="G385" s="912" t="n">
        <v>20</v>
      </c>
      <c r="H385" s="912"/>
      <c r="I385" s="912" t="n">
        <v>25</v>
      </c>
      <c r="J385" s="679"/>
      <c r="K385" s="679"/>
    </row>
    <row r="386" customFormat="false" ht="30" hidden="false" customHeight="false" outlineLevel="0" collapsed="false">
      <c r="A386" s="28" t="s">
        <v>657</v>
      </c>
      <c r="B386" s="29" t="s">
        <v>3151</v>
      </c>
      <c r="C386" s="912" t="n">
        <v>1</v>
      </c>
      <c r="D386" s="547" t="n">
        <f aca="false">E386+F386+G386+H386</f>
        <v>170</v>
      </c>
      <c r="E386" s="547" t="n">
        <v>90</v>
      </c>
      <c r="F386" s="912" t="n">
        <v>60</v>
      </c>
      <c r="G386" s="912" t="n">
        <v>20</v>
      </c>
      <c r="H386" s="912"/>
      <c r="I386" s="912" t="n">
        <v>85</v>
      </c>
      <c r="J386" s="679"/>
      <c r="K386" s="679"/>
    </row>
    <row r="387" customFormat="false" ht="30" hidden="false" customHeight="false" outlineLevel="0" collapsed="false">
      <c r="A387" s="28" t="s">
        <v>658</v>
      </c>
      <c r="B387" s="29" t="s">
        <v>3152</v>
      </c>
      <c r="C387" s="912" t="n">
        <v>1</v>
      </c>
      <c r="D387" s="547" t="n">
        <f aca="false">E387+F387+G387+H387</f>
        <v>80</v>
      </c>
      <c r="E387" s="547" t="n">
        <v>30</v>
      </c>
      <c r="F387" s="912" t="n">
        <v>30</v>
      </c>
      <c r="G387" s="912" t="n">
        <v>20</v>
      </c>
      <c r="H387" s="912"/>
      <c r="I387" s="912" t="n">
        <v>25</v>
      </c>
      <c r="J387" s="679"/>
      <c r="K387" s="679"/>
    </row>
    <row r="388" customFormat="false" ht="15" hidden="false" customHeight="false" outlineLevel="0" collapsed="false">
      <c r="A388" s="28" t="s">
        <v>659</v>
      </c>
      <c r="B388" s="40" t="s">
        <v>3153</v>
      </c>
      <c r="C388" s="912" t="n">
        <v>1</v>
      </c>
      <c r="D388" s="547" t="n">
        <f aca="false">E388+F388+G388+H388</f>
        <v>110</v>
      </c>
      <c r="E388" s="547" t="n">
        <v>40</v>
      </c>
      <c r="F388" s="912" t="n">
        <v>40</v>
      </c>
      <c r="G388" s="912" t="n">
        <v>30</v>
      </c>
      <c r="H388" s="912"/>
      <c r="I388" s="912" t="n">
        <v>160</v>
      </c>
      <c r="J388" s="679"/>
      <c r="K388" s="679"/>
    </row>
    <row r="389" customFormat="false" ht="15" hidden="false" customHeight="false" outlineLevel="0" collapsed="false">
      <c r="A389" s="28" t="s">
        <v>661</v>
      </c>
      <c r="B389" s="40" t="s">
        <v>3154</v>
      </c>
      <c r="C389" s="912" t="n">
        <v>1</v>
      </c>
      <c r="D389" s="547" t="n">
        <f aca="false">E389+F389+G389+H389</f>
        <v>170</v>
      </c>
      <c r="E389" s="547" t="n">
        <v>70</v>
      </c>
      <c r="F389" s="912" t="n">
        <v>70</v>
      </c>
      <c r="G389" s="912" t="n">
        <v>30</v>
      </c>
      <c r="H389" s="912"/>
      <c r="I389" s="912" t="n">
        <v>20</v>
      </c>
      <c r="J389" s="679"/>
      <c r="K389" s="679"/>
    </row>
    <row r="390" customFormat="false" ht="28.5" hidden="false" customHeight="false" outlineLevel="0" collapsed="false">
      <c r="A390" s="15" t="s">
        <v>663</v>
      </c>
      <c r="B390" s="16" t="s">
        <v>3155</v>
      </c>
      <c r="C390" s="339"/>
      <c r="D390" s="712"/>
      <c r="E390" s="751"/>
      <c r="F390" s="339"/>
      <c r="G390" s="339"/>
      <c r="H390" s="541"/>
      <c r="I390" s="541"/>
      <c r="J390" s="600"/>
      <c r="K390" s="600"/>
    </row>
    <row r="391" customFormat="false" ht="15" hidden="false" customHeight="false" outlineLevel="0" collapsed="false">
      <c r="A391" s="28" t="s">
        <v>665</v>
      </c>
      <c r="B391" s="29" t="s">
        <v>3010</v>
      </c>
      <c r="C391" s="912" t="n">
        <v>1</v>
      </c>
      <c r="D391" s="547" t="n">
        <f aca="false">E391+F391+G391+H391</f>
        <v>24</v>
      </c>
      <c r="E391" s="547" t="n">
        <v>12</v>
      </c>
      <c r="F391" s="912" t="n">
        <v>12</v>
      </c>
      <c r="G391" s="912"/>
      <c r="H391" s="912"/>
      <c r="I391" s="912" t="n">
        <v>10</v>
      </c>
      <c r="J391" s="679"/>
      <c r="K391" s="679"/>
    </row>
    <row r="392" customFormat="false" ht="30" hidden="false" customHeight="false" outlineLevel="0" collapsed="false">
      <c r="A392" s="28" t="s">
        <v>666</v>
      </c>
      <c r="B392" s="29" t="s">
        <v>3156</v>
      </c>
      <c r="C392" s="912" t="n">
        <v>1</v>
      </c>
      <c r="D392" s="547" t="n">
        <f aca="false">E392+F392+G392+H392</f>
        <v>90</v>
      </c>
      <c r="E392" s="547" t="n">
        <v>30</v>
      </c>
      <c r="F392" s="912" t="n">
        <v>40</v>
      </c>
      <c r="G392" s="912" t="n">
        <v>20</v>
      </c>
      <c r="H392" s="912"/>
      <c r="I392" s="912" t="n">
        <v>40</v>
      </c>
      <c r="J392" s="679"/>
      <c r="K392" s="679"/>
    </row>
    <row r="393" customFormat="false" ht="15" hidden="false" customHeight="false" outlineLevel="0" collapsed="false">
      <c r="A393" s="28" t="s">
        <v>668</v>
      </c>
      <c r="B393" s="29" t="s">
        <v>3157</v>
      </c>
      <c r="C393" s="912" t="n">
        <v>1</v>
      </c>
      <c r="D393" s="547" t="n">
        <f aca="false">E393+F393+G393+H393</f>
        <v>60</v>
      </c>
      <c r="E393" s="547" t="n">
        <v>60</v>
      </c>
      <c r="F393" s="912"/>
      <c r="G393" s="912"/>
      <c r="H393" s="912"/>
      <c r="I393" s="912"/>
      <c r="J393" s="679"/>
      <c r="K393" s="679"/>
    </row>
    <row r="394" customFormat="false" ht="15" hidden="false" customHeight="false" outlineLevel="0" collapsed="false">
      <c r="A394" s="28" t="s">
        <v>669</v>
      </c>
      <c r="B394" s="29" t="s">
        <v>3158</v>
      </c>
      <c r="C394" s="912" t="n">
        <v>1</v>
      </c>
      <c r="D394" s="547" t="n">
        <f aca="false">E394+F394+G394+H394</f>
        <v>60</v>
      </c>
      <c r="E394" s="547" t="n">
        <v>60</v>
      </c>
      <c r="F394" s="912"/>
      <c r="G394" s="912"/>
      <c r="H394" s="912"/>
      <c r="I394" s="912"/>
      <c r="J394" s="679"/>
      <c r="K394" s="679"/>
    </row>
    <row r="395" customFormat="false" ht="15" hidden="false" customHeight="false" outlineLevel="0" collapsed="false">
      <c r="A395" s="28" t="s">
        <v>671</v>
      </c>
      <c r="B395" s="29" t="s">
        <v>3159</v>
      </c>
      <c r="C395" s="912" t="n">
        <v>1</v>
      </c>
      <c r="D395" s="547" t="n">
        <f aca="false">E395+F395+G395+H395</f>
        <v>80</v>
      </c>
      <c r="E395" s="547" t="n">
        <v>40</v>
      </c>
      <c r="F395" s="912" t="n">
        <v>30</v>
      </c>
      <c r="G395" s="912" t="n">
        <v>10</v>
      </c>
      <c r="H395" s="912"/>
      <c r="I395" s="912" t="n">
        <v>10</v>
      </c>
      <c r="J395" s="679"/>
      <c r="K395" s="679"/>
    </row>
    <row r="396" customFormat="false" ht="15" hidden="false" customHeight="false" outlineLevel="0" collapsed="false">
      <c r="A396" s="28" t="s">
        <v>673</v>
      </c>
      <c r="B396" s="29" t="s">
        <v>3084</v>
      </c>
      <c r="C396" s="912" t="n">
        <v>1</v>
      </c>
      <c r="D396" s="547" t="n">
        <f aca="false">E396+F396+G396+H396</f>
        <v>90</v>
      </c>
      <c r="E396" s="547" t="n">
        <v>40</v>
      </c>
      <c r="F396" s="912" t="n">
        <v>40</v>
      </c>
      <c r="G396" s="912" t="n">
        <v>10</v>
      </c>
      <c r="H396" s="912"/>
      <c r="I396" s="912" t="n">
        <v>40</v>
      </c>
      <c r="J396" s="679"/>
      <c r="K396" s="679"/>
    </row>
    <row r="397" customFormat="false" ht="15" hidden="false" customHeight="false" outlineLevel="0" collapsed="false">
      <c r="A397" s="28" t="s">
        <v>674</v>
      </c>
      <c r="B397" s="29" t="s">
        <v>3085</v>
      </c>
      <c r="C397" s="912" t="n">
        <v>1</v>
      </c>
      <c r="D397" s="547" t="n">
        <f aca="false">E397+F397+G397+H397</f>
        <v>110</v>
      </c>
      <c r="E397" s="547" t="n">
        <v>50</v>
      </c>
      <c r="F397" s="912" t="n">
        <v>50</v>
      </c>
      <c r="G397" s="912" t="n">
        <v>10</v>
      </c>
      <c r="H397" s="912"/>
      <c r="I397" s="912" t="n">
        <v>40</v>
      </c>
      <c r="J397" s="679"/>
      <c r="K397" s="679"/>
    </row>
    <row r="398" customFormat="false" ht="15" hidden="false" customHeight="false" outlineLevel="0" collapsed="false">
      <c r="A398" s="28" t="s">
        <v>675</v>
      </c>
      <c r="B398" s="29" t="s">
        <v>7358</v>
      </c>
      <c r="C398" s="912" t="n">
        <v>1</v>
      </c>
      <c r="D398" s="547" t="n">
        <f aca="false">E398+F398+G398+H398</f>
        <v>65</v>
      </c>
      <c r="E398" s="547" t="n">
        <v>30</v>
      </c>
      <c r="F398" s="912" t="n">
        <v>25</v>
      </c>
      <c r="G398" s="912" t="n">
        <v>10</v>
      </c>
      <c r="H398" s="912"/>
      <c r="I398" s="912" t="n">
        <v>10</v>
      </c>
      <c r="J398" s="679"/>
      <c r="K398" s="679"/>
    </row>
    <row r="399" customFormat="false" ht="15" hidden="false" customHeight="false" outlineLevel="0" collapsed="false">
      <c r="A399" s="28" t="s">
        <v>677</v>
      </c>
      <c r="B399" s="29" t="s">
        <v>3161</v>
      </c>
      <c r="C399" s="912" t="n">
        <v>1</v>
      </c>
      <c r="D399" s="547" t="n">
        <f aca="false">E399+F399+G399+H399</f>
        <v>110</v>
      </c>
      <c r="E399" s="547" t="n">
        <v>30</v>
      </c>
      <c r="F399" s="912" t="n">
        <v>60</v>
      </c>
      <c r="G399" s="912" t="n">
        <v>20</v>
      </c>
      <c r="H399" s="912"/>
      <c r="I399" s="912" t="n">
        <v>30</v>
      </c>
      <c r="J399" s="679"/>
      <c r="K399" s="679"/>
    </row>
    <row r="400" customFormat="false" ht="15" hidden="false" customHeight="false" outlineLevel="0" collapsed="false">
      <c r="A400" s="28" t="s">
        <v>678</v>
      </c>
      <c r="B400" s="29" t="s">
        <v>3059</v>
      </c>
      <c r="C400" s="912" t="n">
        <v>1</v>
      </c>
      <c r="D400" s="547" t="n">
        <f aca="false">E400+F400+G400+H400</f>
        <v>160</v>
      </c>
      <c r="E400" s="547" t="n">
        <v>40</v>
      </c>
      <c r="F400" s="912" t="n">
        <v>90</v>
      </c>
      <c r="G400" s="912" t="n">
        <v>30</v>
      </c>
      <c r="H400" s="912"/>
      <c r="I400" s="912" t="n">
        <v>40</v>
      </c>
      <c r="J400" s="679"/>
      <c r="K400" s="679"/>
    </row>
    <row r="401" customFormat="false" ht="15" hidden="false" customHeight="false" outlineLevel="0" collapsed="false">
      <c r="A401" s="28" t="s">
        <v>679</v>
      </c>
      <c r="B401" s="29" t="s">
        <v>3162</v>
      </c>
      <c r="C401" s="912" t="n">
        <v>1</v>
      </c>
      <c r="D401" s="547" t="n">
        <f aca="false">E401+F401+G401+H401</f>
        <v>150</v>
      </c>
      <c r="E401" s="547" t="n">
        <v>70</v>
      </c>
      <c r="F401" s="912" t="n">
        <v>60</v>
      </c>
      <c r="G401" s="912" t="n">
        <v>20</v>
      </c>
      <c r="H401" s="912"/>
      <c r="I401" s="912" t="n">
        <v>10</v>
      </c>
      <c r="J401" s="679"/>
      <c r="K401" s="679"/>
    </row>
    <row r="402" customFormat="false" ht="15" hidden="false" customHeight="false" outlineLevel="0" collapsed="false">
      <c r="A402" s="28" t="s">
        <v>681</v>
      </c>
      <c r="B402" s="29" t="s">
        <v>3163</v>
      </c>
      <c r="C402" s="912" t="n">
        <v>1</v>
      </c>
      <c r="D402" s="547" t="n">
        <f aca="false">E402+F402+G402+H402</f>
        <v>85</v>
      </c>
      <c r="E402" s="547" t="n">
        <v>40</v>
      </c>
      <c r="F402" s="912" t="n">
        <v>30</v>
      </c>
      <c r="G402" s="912" t="n">
        <v>15</v>
      </c>
      <c r="H402" s="912"/>
      <c r="I402" s="912" t="n">
        <v>10</v>
      </c>
      <c r="J402" s="679"/>
      <c r="K402" s="679"/>
    </row>
    <row r="403" customFormat="false" ht="15" hidden="false" customHeight="false" outlineLevel="0" collapsed="false">
      <c r="A403" s="28" t="s">
        <v>683</v>
      </c>
      <c r="B403" s="29" t="s">
        <v>3147</v>
      </c>
      <c r="C403" s="912" t="n">
        <v>1</v>
      </c>
      <c r="D403" s="547" t="n">
        <f aca="false">E403+F403+G403+H403</f>
        <v>200</v>
      </c>
      <c r="E403" s="547" t="n">
        <v>120</v>
      </c>
      <c r="F403" s="912" t="n">
        <v>60</v>
      </c>
      <c r="G403" s="912" t="n">
        <v>20</v>
      </c>
      <c r="H403" s="912"/>
      <c r="I403" s="912" t="n">
        <v>250</v>
      </c>
      <c r="J403" s="679"/>
      <c r="K403" s="679"/>
    </row>
    <row r="404" customFormat="false" ht="15" hidden="false" customHeight="false" outlineLevel="0" collapsed="false">
      <c r="A404" s="28" t="s">
        <v>684</v>
      </c>
      <c r="B404" s="29" t="s">
        <v>3102</v>
      </c>
      <c r="C404" s="912" t="n">
        <v>1</v>
      </c>
      <c r="D404" s="547" t="n">
        <f aca="false">E404+F404+G404+H404</f>
        <v>200</v>
      </c>
      <c r="E404" s="547" t="n">
        <v>120</v>
      </c>
      <c r="F404" s="912" t="n">
        <v>60</v>
      </c>
      <c r="G404" s="912" t="n">
        <v>20</v>
      </c>
      <c r="H404" s="912"/>
      <c r="I404" s="912" t="n">
        <v>160</v>
      </c>
      <c r="J404" s="679"/>
      <c r="K404" s="679"/>
    </row>
    <row r="405" customFormat="false" ht="15" hidden="false" customHeight="false" outlineLevel="0" collapsed="false">
      <c r="A405" s="28" t="s">
        <v>685</v>
      </c>
      <c r="B405" s="29" t="s">
        <v>3148</v>
      </c>
      <c r="C405" s="912" t="n">
        <v>1</v>
      </c>
      <c r="D405" s="547" t="n">
        <f aca="false">E405+F405+G405+H405</f>
        <v>170</v>
      </c>
      <c r="E405" s="547" t="n">
        <v>90</v>
      </c>
      <c r="F405" s="912" t="n">
        <v>60</v>
      </c>
      <c r="G405" s="912" t="n">
        <v>20</v>
      </c>
      <c r="H405" s="912"/>
      <c r="I405" s="912" t="n">
        <v>215</v>
      </c>
      <c r="J405" s="679"/>
      <c r="K405" s="679"/>
    </row>
    <row r="406" customFormat="false" ht="15" hidden="false" customHeight="false" outlineLevel="0" collapsed="false">
      <c r="A406" s="28" t="s">
        <v>686</v>
      </c>
      <c r="B406" s="29" t="s">
        <v>3149</v>
      </c>
      <c r="C406" s="912" t="n">
        <v>1</v>
      </c>
      <c r="D406" s="547" t="n">
        <f aca="false">E406+F406+G406+H406</f>
        <v>170</v>
      </c>
      <c r="E406" s="547" t="n">
        <v>90</v>
      </c>
      <c r="F406" s="912" t="n">
        <v>60</v>
      </c>
      <c r="G406" s="912" t="n">
        <v>20</v>
      </c>
      <c r="H406" s="391"/>
      <c r="I406" s="912" t="n">
        <v>175</v>
      </c>
      <c r="J406" s="679"/>
      <c r="K406" s="679"/>
    </row>
    <row r="407" customFormat="false" ht="21" hidden="false" customHeight="true" outlineLevel="0" collapsed="false">
      <c r="A407" s="28" t="s">
        <v>687</v>
      </c>
      <c r="B407" s="29" t="s">
        <v>3164</v>
      </c>
      <c r="C407" s="912" t="n">
        <v>1</v>
      </c>
      <c r="D407" s="547" t="n">
        <f aca="false">E407+F407+G407+H407</f>
        <v>200</v>
      </c>
      <c r="E407" s="547" t="n">
        <v>120</v>
      </c>
      <c r="F407" s="912" t="n">
        <v>60</v>
      </c>
      <c r="G407" s="912" t="n">
        <v>20</v>
      </c>
      <c r="H407" s="912"/>
      <c r="I407" s="912" t="n">
        <v>160</v>
      </c>
      <c r="J407" s="679"/>
      <c r="K407" s="679"/>
    </row>
    <row r="408" customFormat="false" ht="15" hidden="false" customHeight="false" outlineLevel="0" collapsed="false">
      <c r="A408" s="28" t="s">
        <v>689</v>
      </c>
      <c r="B408" s="29" t="s">
        <v>3165</v>
      </c>
      <c r="C408" s="912" t="n">
        <v>1</v>
      </c>
      <c r="D408" s="547" t="n">
        <f aca="false">E408+F408+G408+H408</f>
        <v>110</v>
      </c>
      <c r="E408" s="547" t="n">
        <v>40</v>
      </c>
      <c r="F408" s="912" t="n">
        <v>40</v>
      </c>
      <c r="G408" s="912" t="n">
        <v>30</v>
      </c>
      <c r="H408" s="912"/>
      <c r="I408" s="912" t="n">
        <v>145</v>
      </c>
      <c r="J408" s="679"/>
      <c r="K408" s="679"/>
    </row>
    <row r="409" customFormat="false" ht="15" hidden="false" customHeight="false" outlineLevel="0" collapsed="false">
      <c r="A409" s="28" t="s">
        <v>691</v>
      </c>
      <c r="B409" s="40" t="s">
        <v>3166</v>
      </c>
      <c r="C409" s="912" t="n">
        <v>1</v>
      </c>
      <c r="D409" s="547" t="n">
        <f aca="false">E409+F409+G409+H409</f>
        <v>60</v>
      </c>
      <c r="E409" s="547" t="n">
        <v>30</v>
      </c>
      <c r="F409" s="912" t="n">
        <v>30</v>
      </c>
      <c r="G409" s="912"/>
      <c r="H409" s="912"/>
      <c r="I409" s="912"/>
      <c r="J409" s="679"/>
      <c r="K409" s="679"/>
    </row>
    <row r="410" customFormat="false" ht="15" hidden="false" customHeight="false" outlineLevel="0" collapsed="false">
      <c r="A410" s="28" t="s">
        <v>693</v>
      </c>
      <c r="B410" s="40" t="s">
        <v>3167</v>
      </c>
      <c r="C410" s="912" t="n">
        <v>1</v>
      </c>
      <c r="D410" s="547" t="n">
        <f aca="false">E410+F410+G410+H410</f>
        <v>60</v>
      </c>
      <c r="E410" s="547" t="n">
        <v>30</v>
      </c>
      <c r="F410" s="912" t="n">
        <v>30</v>
      </c>
      <c r="G410" s="912"/>
      <c r="H410" s="912"/>
      <c r="I410" s="912"/>
      <c r="J410" s="679"/>
      <c r="K410" s="679"/>
    </row>
    <row r="411" customFormat="false" ht="15" hidden="false" customHeight="false" outlineLevel="0" collapsed="false">
      <c r="A411" s="28" t="s">
        <v>695</v>
      </c>
      <c r="B411" s="40" t="s">
        <v>3168</v>
      </c>
      <c r="C411" s="912" t="n">
        <v>1</v>
      </c>
      <c r="D411" s="547" t="n">
        <f aca="false">E411+F411+G411+H411</f>
        <v>150</v>
      </c>
      <c r="E411" s="547" t="n">
        <v>100</v>
      </c>
      <c r="F411" s="912" t="n">
        <v>50</v>
      </c>
      <c r="G411" s="912"/>
      <c r="H411" s="912"/>
      <c r="I411" s="912"/>
      <c r="J411" s="679"/>
      <c r="K411" s="679"/>
    </row>
    <row r="412" customFormat="false" ht="15" hidden="false" customHeight="false" outlineLevel="0" collapsed="false">
      <c r="A412" s="28" t="s">
        <v>697</v>
      </c>
      <c r="B412" s="40" t="s">
        <v>3169</v>
      </c>
      <c r="C412" s="912" t="n">
        <v>1</v>
      </c>
      <c r="D412" s="547" t="n">
        <f aca="false">E412+F412+G412+H412</f>
        <v>60</v>
      </c>
      <c r="E412" s="547" t="n">
        <v>30</v>
      </c>
      <c r="F412" s="912" t="n">
        <v>30</v>
      </c>
      <c r="G412" s="912"/>
      <c r="H412" s="912"/>
      <c r="I412" s="912"/>
      <c r="J412" s="679"/>
      <c r="K412" s="679"/>
    </row>
    <row r="413" customFormat="false" ht="28.5" hidden="false" customHeight="false" outlineLevel="0" collapsed="false">
      <c r="A413" s="15" t="s">
        <v>699</v>
      </c>
      <c r="B413" s="16" t="s">
        <v>3170</v>
      </c>
      <c r="C413" s="339"/>
      <c r="D413" s="712"/>
      <c r="E413" s="751"/>
      <c r="F413" s="339"/>
      <c r="G413" s="339"/>
      <c r="H413" s="541"/>
      <c r="I413" s="541"/>
      <c r="J413" s="600"/>
      <c r="K413" s="600"/>
    </row>
    <row r="414" customFormat="false" ht="15" hidden="false" customHeight="false" outlineLevel="0" collapsed="false">
      <c r="A414" s="28" t="s">
        <v>701</v>
      </c>
      <c r="B414" s="29" t="s">
        <v>3010</v>
      </c>
      <c r="C414" s="912" t="n">
        <v>1</v>
      </c>
      <c r="D414" s="547" t="n">
        <f aca="false">E414+F414+G414+H414</f>
        <v>45</v>
      </c>
      <c r="E414" s="547" t="n">
        <v>20</v>
      </c>
      <c r="F414" s="912" t="n">
        <v>25</v>
      </c>
      <c r="G414" s="912"/>
      <c r="H414" s="912"/>
      <c r="I414" s="912"/>
      <c r="J414" s="679"/>
      <c r="K414" s="679"/>
    </row>
    <row r="415" customFormat="false" ht="15" hidden="false" customHeight="false" outlineLevel="0" collapsed="false">
      <c r="A415" s="28" t="s">
        <v>702</v>
      </c>
      <c r="B415" s="29" t="s">
        <v>3171</v>
      </c>
      <c r="C415" s="912" t="n">
        <v>1</v>
      </c>
      <c r="D415" s="547" t="n">
        <f aca="false">E415+F415+G415+H415</f>
        <v>45</v>
      </c>
      <c r="E415" s="547" t="n">
        <v>45</v>
      </c>
      <c r="F415" s="912"/>
      <c r="G415" s="912"/>
      <c r="H415" s="912"/>
      <c r="I415" s="912"/>
      <c r="J415" s="679"/>
      <c r="K415" s="679"/>
    </row>
    <row r="416" customFormat="false" ht="15" hidden="false" customHeight="false" outlineLevel="0" collapsed="false">
      <c r="A416" s="28" t="s">
        <v>703</v>
      </c>
      <c r="B416" s="29" t="s">
        <v>3172</v>
      </c>
      <c r="C416" s="912" t="n">
        <v>1</v>
      </c>
      <c r="D416" s="547" t="n">
        <f aca="false">E416+F416+G416+H416</f>
        <v>180</v>
      </c>
      <c r="E416" s="547" t="n">
        <v>90</v>
      </c>
      <c r="F416" s="912" t="n">
        <v>60</v>
      </c>
      <c r="G416" s="912" t="n">
        <v>30</v>
      </c>
      <c r="H416" s="912"/>
      <c r="I416" s="912" t="n">
        <v>10</v>
      </c>
      <c r="J416" s="679"/>
      <c r="K416" s="679"/>
    </row>
    <row r="417" customFormat="false" ht="15" hidden="false" customHeight="false" outlineLevel="0" collapsed="false">
      <c r="A417" s="28" t="s">
        <v>705</v>
      </c>
      <c r="B417" s="29" t="s">
        <v>3173</v>
      </c>
      <c r="C417" s="912" t="n">
        <v>1</v>
      </c>
      <c r="D417" s="547" t="n">
        <f aca="false">E417+F417+G417+H417</f>
        <v>120</v>
      </c>
      <c r="E417" s="547" t="n">
        <v>60</v>
      </c>
      <c r="F417" s="912" t="n">
        <v>40</v>
      </c>
      <c r="G417" s="912" t="n">
        <v>20</v>
      </c>
      <c r="H417" s="912"/>
      <c r="I417" s="912" t="n">
        <v>25</v>
      </c>
      <c r="J417" s="679"/>
      <c r="K417" s="679"/>
    </row>
    <row r="418" customFormat="false" ht="15" hidden="false" customHeight="false" outlineLevel="0" collapsed="false">
      <c r="A418" s="28" t="s">
        <v>707</v>
      </c>
      <c r="B418" s="29" t="s">
        <v>3174</v>
      </c>
      <c r="C418" s="912" t="n">
        <v>1</v>
      </c>
      <c r="D418" s="547" t="n">
        <f aca="false">E418+F418+G418+H418</f>
        <v>150</v>
      </c>
      <c r="E418" s="547" t="n">
        <v>90</v>
      </c>
      <c r="F418" s="912" t="n">
        <v>40</v>
      </c>
      <c r="G418" s="912" t="n">
        <v>20</v>
      </c>
      <c r="H418" s="912"/>
      <c r="I418" s="912" t="n">
        <v>10</v>
      </c>
      <c r="J418" s="679"/>
      <c r="K418" s="679"/>
    </row>
    <row r="419" customFormat="false" ht="15" hidden="false" customHeight="false" outlineLevel="0" collapsed="false">
      <c r="A419" s="28" t="s">
        <v>709</v>
      </c>
      <c r="B419" s="29" t="s">
        <v>3175</v>
      </c>
      <c r="C419" s="912" t="n">
        <v>1</v>
      </c>
      <c r="D419" s="547" t="n">
        <f aca="false">E419+F419+G419+H419</f>
        <v>110</v>
      </c>
      <c r="E419" s="547" t="n">
        <v>60</v>
      </c>
      <c r="F419" s="912" t="n">
        <v>40</v>
      </c>
      <c r="G419" s="912" t="n">
        <v>10</v>
      </c>
      <c r="H419" s="912"/>
      <c r="I419" s="912" t="n">
        <v>25</v>
      </c>
      <c r="J419" s="679"/>
      <c r="K419" s="679"/>
    </row>
    <row r="420" customFormat="false" ht="15" hidden="false" customHeight="false" outlineLevel="0" collapsed="false">
      <c r="A420" s="28" t="s">
        <v>711</v>
      </c>
      <c r="B420" s="29" t="s">
        <v>3176</v>
      </c>
      <c r="C420" s="912" t="n">
        <v>1</v>
      </c>
      <c r="D420" s="547" t="n">
        <f aca="false">E420+F420+G420+H420</f>
        <v>55</v>
      </c>
      <c r="E420" s="547" t="n">
        <v>30</v>
      </c>
      <c r="F420" s="912" t="n">
        <v>20</v>
      </c>
      <c r="G420" s="912" t="n">
        <v>5</v>
      </c>
      <c r="H420" s="912"/>
      <c r="I420" s="912" t="n">
        <v>10</v>
      </c>
      <c r="J420" s="679"/>
      <c r="K420" s="679"/>
    </row>
    <row r="421" customFormat="false" ht="15" hidden="false" customHeight="false" outlineLevel="0" collapsed="false">
      <c r="A421" s="28" t="s">
        <v>713</v>
      </c>
      <c r="B421" s="29" t="s">
        <v>3177</v>
      </c>
      <c r="C421" s="912" t="n">
        <v>1</v>
      </c>
      <c r="D421" s="547" t="n">
        <f aca="false">E421+F421+G421+H421</f>
        <v>100</v>
      </c>
      <c r="E421" s="547" t="n">
        <v>60</v>
      </c>
      <c r="F421" s="912" t="n">
        <v>30</v>
      </c>
      <c r="G421" s="912" t="n">
        <v>10</v>
      </c>
      <c r="H421" s="912"/>
      <c r="I421" s="912" t="n">
        <v>20</v>
      </c>
      <c r="J421" s="679"/>
      <c r="K421" s="679"/>
    </row>
    <row r="422" customFormat="false" ht="15" hidden="false" customHeight="false" outlineLevel="0" collapsed="false">
      <c r="A422" s="28" t="s">
        <v>715</v>
      </c>
      <c r="B422" s="29" t="s">
        <v>3178</v>
      </c>
      <c r="C422" s="912" t="n">
        <v>1</v>
      </c>
      <c r="D422" s="547" t="n">
        <f aca="false">E422+F422+G422+H422</f>
        <v>130</v>
      </c>
      <c r="E422" s="547" t="n">
        <v>60</v>
      </c>
      <c r="F422" s="912" t="n">
        <v>60</v>
      </c>
      <c r="G422" s="912" t="n">
        <v>10</v>
      </c>
      <c r="H422" s="912"/>
      <c r="I422" s="912" t="n">
        <v>30</v>
      </c>
      <c r="J422" s="679"/>
      <c r="K422" s="679"/>
    </row>
    <row r="423" customFormat="false" ht="15" hidden="false" customHeight="false" outlineLevel="0" collapsed="false">
      <c r="A423" s="28" t="s">
        <v>716</v>
      </c>
      <c r="B423" s="29" t="s">
        <v>3179</v>
      </c>
      <c r="C423" s="912" t="n">
        <v>1</v>
      </c>
      <c r="D423" s="547" t="n">
        <f aca="false">E423+F423+G423+H423</f>
        <v>130</v>
      </c>
      <c r="E423" s="547" t="n">
        <v>60</v>
      </c>
      <c r="F423" s="912" t="n">
        <v>60</v>
      </c>
      <c r="G423" s="912" t="n">
        <v>10</v>
      </c>
      <c r="H423" s="912"/>
      <c r="I423" s="912" t="n">
        <v>10</v>
      </c>
      <c r="J423" s="679"/>
      <c r="K423" s="679"/>
    </row>
    <row r="424" customFormat="false" ht="15" hidden="false" customHeight="false" outlineLevel="0" collapsed="false">
      <c r="A424" s="28" t="s">
        <v>718</v>
      </c>
      <c r="B424" s="29" t="s">
        <v>3180</v>
      </c>
      <c r="C424" s="912" t="n">
        <v>1</v>
      </c>
      <c r="D424" s="547" t="n">
        <f aca="false">E424+F424+G424+H424</f>
        <v>120</v>
      </c>
      <c r="E424" s="547" t="n">
        <v>50</v>
      </c>
      <c r="F424" s="912" t="n">
        <v>50</v>
      </c>
      <c r="G424" s="912" t="n">
        <v>20</v>
      </c>
      <c r="H424" s="912"/>
      <c r="I424" s="912" t="n">
        <v>10</v>
      </c>
      <c r="J424" s="679"/>
      <c r="K424" s="679"/>
    </row>
    <row r="425" customFormat="false" ht="15" hidden="false" customHeight="false" outlineLevel="0" collapsed="false">
      <c r="A425" s="28" t="s">
        <v>720</v>
      </c>
      <c r="B425" s="29" t="s">
        <v>3181</v>
      </c>
      <c r="C425" s="912" t="n">
        <v>1</v>
      </c>
      <c r="D425" s="547" t="n">
        <f aca="false">E425+F425+G425+H425</f>
        <v>120</v>
      </c>
      <c r="E425" s="547" t="n">
        <v>50</v>
      </c>
      <c r="F425" s="912" t="n">
        <v>50</v>
      </c>
      <c r="G425" s="912" t="n">
        <v>20</v>
      </c>
      <c r="H425" s="912"/>
      <c r="I425" s="912" t="n">
        <v>10</v>
      </c>
      <c r="J425" s="679"/>
      <c r="K425" s="679"/>
    </row>
    <row r="426" customFormat="false" ht="15" hidden="false" customHeight="false" outlineLevel="0" collapsed="false">
      <c r="A426" s="28" t="s">
        <v>722</v>
      </c>
      <c r="B426" s="29" t="s">
        <v>3182</v>
      </c>
      <c r="C426" s="912" t="n">
        <v>1</v>
      </c>
      <c r="D426" s="547" t="n">
        <f aca="false">E426+F426+G426+H426</f>
        <v>170</v>
      </c>
      <c r="E426" s="547" t="n">
        <v>90</v>
      </c>
      <c r="F426" s="912" t="n">
        <v>60</v>
      </c>
      <c r="G426" s="912" t="n">
        <v>20</v>
      </c>
      <c r="H426" s="912"/>
      <c r="I426" s="912" t="n">
        <v>130</v>
      </c>
      <c r="J426" s="679"/>
      <c r="K426" s="679"/>
    </row>
    <row r="427" customFormat="false" ht="30" hidden="false" customHeight="false" outlineLevel="0" collapsed="false">
      <c r="A427" s="28" t="s">
        <v>724</v>
      </c>
      <c r="B427" s="29" t="s">
        <v>3183</v>
      </c>
      <c r="C427" s="912" t="n">
        <v>1</v>
      </c>
      <c r="D427" s="547" t="n">
        <f aca="false">E427+F427+G427+H427</f>
        <v>200</v>
      </c>
      <c r="E427" s="547" t="n">
        <v>90</v>
      </c>
      <c r="F427" s="912" t="n">
        <v>90</v>
      </c>
      <c r="G427" s="912" t="n">
        <v>20</v>
      </c>
      <c r="H427" s="912"/>
      <c r="I427" s="912" t="n">
        <v>35</v>
      </c>
      <c r="J427" s="679"/>
      <c r="K427" s="679"/>
    </row>
    <row r="428" customFormat="false" ht="15" hidden="false" customHeight="false" outlineLevel="0" collapsed="false">
      <c r="A428" s="28" t="s">
        <v>726</v>
      </c>
      <c r="B428" s="29" t="s">
        <v>3184</v>
      </c>
      <c r="C428" s="912" t="n">
        <v>1</v>
      </c>
      <c r="D428" s="547" t="n">
        <f aca="false">E428+F428+G428+H428</f>
        <v>190</v>
      </c>
      <c r="E428" s="547" t="n">
        <v>90</v>
      </c>
      <c r="F428" s="912" t="n">
        <v>80</v>
      </c>
      <c r="G428" s="912" t="n">
        <v>20</v>
      </c>
      <c r="H428" s="912"/>
      <c r="I428" s="912" t="n">
        <v>25</v>
      </c>
      <c r="J428" s="679"/>
      <c r="K428" s="679"/>
    </row>
    <row r="429" customFormat="false" ht="15" hidden="false" customHeight="false" outlineLevel="0" collapsed="false">
      <c r="A429" s="28" t="s">
        <v>728</v>
      </c>
      <c r="B429" s="29" t="s">
        <v>3185</v>
      </c>
      <c r="C429" s="912" t="n">
        <v>1</v>
      </c>
      <c r="D429" s="547" t="n">
        <f aca="false">E429+F429+G429+H429</f>
        <v>140</v>
      </c>
      <c r="E429" s="547" t="n">
        <v>60</v>
      </c>
      <c r="F429" s="912" t="n">
        <v>60</v>
      </c>
      <c r="G429" s="912" t="n">
        <v>20</v>
      </c>
      <c r="H429" s="912"/>
      <c r="I429" s="912" t="n">
        <v>25</v>
      </c>
      <c r="J429" s="679"/>
      <c r="K429" s="679"/>
    </row>
    <row r="430" customFormat="false" ht="15" hidden="false" customHeight="false" outlineLevel="0" collapsed="false">
      <c r="A430" s="28" t="s">
        <v>730</v>
      </c>
      <c r="B430" s="29" t="s">
        <v>3186</v>
      </c>
      <c r="C430" s="912" t="n">
        <v>1</v>
      </c>
      <c r="D430" s="547" t="n">
        <f aca="false">E430+F430+G430+H430</f>
        <v>50</v>
      </c>
      <c r="E430" s="547" t="n">
        <v>20</v>
      </c>
      <c r="F430" s="912" t="n">
        <v>20</v>
      </c>
      <c r="G430" s="912" t="n">
        <v>10</v>
      </c>
      <c r="H430" s="912"/>
      <c r="I430" s="912" t="n">
        <v>0</v>
      </c>
      <c r="J430" s="679"/>
      <c r="K430" s="679"/>
    </row>
    <row r="431" customFormat="false" ht="15" hidden="false" customHeight="false" outlineLevel="0" collapsed="false">
      <c r="A431" s="28" t="s">
        <v>731</v>
      </c>
      <c r="B431" s="29" t="s">
        <v>3187</v>
      </c>
      <c r="C431" s="912" t="n">
        <v>1</v>
      </c>
      <c r="D431" s="547" t="n">
        <f aca="false">E431+F431+G431+H431</f>
        <v>60</v>
      </c>
      <c r="E431" s="547" t="n">
        <v>30</v>
      </c>
      <c r="F431" s="912" t="n">
        <v>20</v>
      </c>
      <c r="G431" s="912" t="n">
        <v>10</v>
      </c>
      <c r="H431" s="912"/>
      <c r="I431" s="912" t="n">
        <v>65</v>
      </c>
      <c r="J431" s="679"/>
      <c r="K431" s="679"/>
    </row>
    <row r="432" customFormat="false" ht="15" hidden="false" customHeight="false" outlineLevel="0" collapsed="false">
      <c r="A432" s="28" t="s">
        <v>732</v>
      </c>
      <c r="B432" s="29" t="s">
        <v>3147</v>
      </c>
      <c r="C432" s="912" t="n">
        <v>1</v>
      </c>
      <c r="D432" s="547" t="n">
        <f aca="false">E432+F432+G432+H432</f>
        <v>330</v>
      </c>
      <c r="E432" s="547" t="n">
        <v>180</v>
      </c>
      <c r="F432" s="912" t="n">
        <v>100</v>
      </c>
      <c r="G432" s="912" t="n">
        <v>50</v>
      </c>
      <c r="H432" s="912"/>
      <c r="I432" s="912" t="n">
        <v>210</v>
      </c>
      <c r="J432" s="679"/>
      <c r="K432" s="679"/>
    </row>
    <row r="433" customFormat="false" ht="15" hidden="false" customHeight="false" outlineLevel="0" collapsed="false">
      <c r="A433" s="28" t="s">
        <v>733</v>
      </c>
      <c r="B433" s="29" t="s">
        <v>3102</v>
      </c>
      <c r="C433" s="912" t="n">
        <v>1</v>
      </c>
      <c r="D433" s="547" t="n">
        <f aca="false">E433+F433+G433+H433</f>
        <v>200</v>
      </c>
      <c r="E433" s="547" t="n">
        <v>120</v>
      </c>
      <c r="F433" s="912" t="n">
        <v>60</v>
      </c>
      <c r="G433" s="912" t="n">
        <v>20</v>
      </c>
      <c r="H433" s="912"/>
      <c r="I433" s="912" t="n">
        <v>160</v>
      </c>
      <c r="J433" s="679"/>
      <c r="K433" s="679"/>
    </row>
    <row r="434" customFormat="false" ht="15" hidden="false" customHeight="false" outlineLevel="0" collapsed="false">
      <c r="A434" s="28" t="s">
        <v>734</v>
      </c>
      <c r="B434" s="29" t="s">
        <v>3188</v>
      </c>
      <c r="C434" s="912" t="n">
        <v>1</v>
      </c>
      <c r="D434" s="547" t="n">
        <f aca="false">E434+F434+G434+H434</f>
        <v>200</v>
      </c>
      <c r="E434" s="547" t="n">
        <v>120</v>
      </c>
      <c r="F434" s="912" t="n">
        <v>60</v>
      </c>
      <c r="G434" s="912" t="n">
        <v>20</v>
      </c>
      <c r="H434" s="912"/>
      <c r="I434" s="912" t="n">
        <v>160</v>
      </c>
      <c r="J434" s="679"/>
      <c r="K434" s="679"/>
    </row>
    <row r="435" customFormat="false" ht="15" hidden="false" customHeight="false" outlineLevel="0" collapsed="false">
      <c r="A435" s="28" t="s">
        <v>736</v>
      </c>
      <c r="B435" s="29" t="s">
        <v>3189</v>
      </c>
      <c r="C435" s="912" t="n">
        <v>1</v>
      </c>
      <c r="D435" s="547" t="n">
        <f aca="false">E435+F435+G435+H435</f>
        <v>400</v>
      </c>
      <c r="E435" s="547" t="n">
        <v>180</v>
      </c>
      <c r="F435" s="912" t="n">
        <v>160</v>
      </c>
      <c r="G435" s="912" t="n">
        <v>60</v>
      </c>
      <c r="H435" s="912"/>
      <c r="I435" s="912" t="n">
        <v>85</v>
      </c>
      <c r="J435" s="679"/>
      <c r="K435" s="679"/>
    </row>
    <row r="436" customFormat="false" ht="15" hidden="false" customHeight="false" outlineLevel="0" collapsed="false">
      <c r="A436" s="28" t="s">
        <v>737</v>
      </c>
      <c r="B436" s="29" t="s">
        <v>3148</v>
      </c>
      <c r="C436" s="912" t="n">
        <v>1</v>
      </c>
      <c r="D436" s="547" t="n">
        <f aca="false">E436+F436+G436+H436</f>
        <v>170</v>
      </c>
      <c r="E436" s="547" t="n">
        <v>90</v>
      </c>
      <c r="F436" s="912" t="n">
        <v>60</v>
      </c>
      <c r="G436" s="912" t="n">
        <v>20</v>
      </c>
      <c r="H436" s="912"/>
      <c r="I436" s="912" t="n">
        <v>215</v>
      </c>
      <c r="J436" s="679"/>
      <c r="K436" s="679"/>
    </row>
    <row r="437" customFormat="false" ht="15" hidden="false" customHeight="false" outlineLevel="0" collapsed="false">
      <c r="A437" s="28" t="s">
        <v>738</v>
      </c>
      <c r="B437" s="29" t="s">
        <v>3149</v>
      </c>
      <c r="C437" s="912" t="n">
        <v>1</v>
      </c>
      <c r="D437" s="547" t="n">
        <f aca="false">E437+F437+G437+H437</f>
        <v>160</v>
      </c>
      <c r="E437" s="547" t="n">
        <v>80</v>
      </c>
      <c r="F437" s="912" t="n">
        <v>60</v>
      </c>
      <c r="G437" s="912" t="n">
        <v>20</v>
      </c>
      <c r="H437" s="912"/>
      <c r="I437" s="912" t="n">
        <v>205</v>
      </c>
      <c r="J437" s="679"/>
      <c r="K437" s="679"/>
    </row>
    <row r="438" customFormat="false" ht="15" hidden="false" customHeight="false" outlineLevel="0" collapsed="false">
      <c r="A438" s="28" t="s">
        <v>739</v>
      </c>
      <c r="B438" s="29" t="s">
        <v>3150</v>
      </c>
      <c r="C438" s="912" t="n">
        <v>1</v>
      </c>
      <c r="D438" s="547" t="n">
        <f aca="false">E438+F438+G438+H438</f>
        <v>100</v>
      </c>
      <c r="E438" s="547" t="n">
        <v>35</v>
      </c>
      <c r="F438" s="912" t="n">
        <v>35</v>
      </c>
      <c r="G438" s="912" t="n">
        <v>30</v>
      </c>
      <c r="H438" s="912"/>
      <c r="I438" s="912" t="n">
        <v>40</v>
      </c>
      <c r="J438" s="679"/>
      <c r="K438" s="679"/>
    </row>
    <row r="439" customFormat="false" ht="15" hidden="false" customHeight="false" outlineLevel="0" collapsed="false">
      <c r="A439" s="28" t="s">
        <v>740</v>
      </c>
      <c r="B439" s="29" t="s">
        <v>3190</v>
      </c>
      <c r="C439" s="912" t="n">
        <v>1</v>
      </c>
      <c r="D439" s="547" t="n">
        <f aca="false">E439+F439+G439+H439</f>
        <v>90</v>
      </c>
      <c r="E439" s="547" t="n">
        <v>40</v>
      </c>
      <c r="F439" s="912" t="n">
        <v>35</v>
      </c>
      <c r="G439" s="912" t="n">
        <v>15</v>
      </c>
      <c r="H439" s="912"/>
      <c r="I439" s="912" t="n">
        <v>60</v>
      </c>
      <c r="J439" s="679"/>
      <c r="K439" s="679"/>
    </row>
    <row r="440" customFormat="false" ht="15" hidden="false" customHeight="false" outlineLevel="0" collapsed="false">
      <c r="A440" s="28" t="s">
        <v>742</v>
      </c>
      <c r="B440" s="29" t="s">
        <v>3191</v>
      </c>
      <c r="C440" s="912" t="n">
        <v>1</v>
      </c>
      <c r="D440" s="547" t="n">
        <f aca="false">E440+F440+G440+H440</f>
        <v>390</v>
      </c>
      <c r="E440" s="547" t="n">
        <v>180</v>
      </c>
      <c r="F440" s="912" t="n">
        <v>90</v>
      </c>
      <c r="G440" s="912" t="n">
        <v>120</v>
      </c>
      <c r="H440" s="912"/>
      <c r="I440" s="912" t="n">
        <v>25</v>
      </c>
      <c r="J440" s="679"/>
      <c r="K440" s="679"/>
    </row>
    <row r="441" customFormat="false" ht="15" hidden="false" customHeight="false" outlineLevel="0" collapsed="false">
      <c r="A441" s="28" t="s">
        <v>744</v>
      </c>
      <c r="B441" s="50" t="s">
        <v>3192</v>
      </c>
      <c r="C441" s="912" t="n">
        <v>1</v>
      </c>
      <c r="D441" s="547" t="n">
        <f aca="false">E441+F441+G441+H441</f>
        <v>65</v>
      </c>
      <c r="E441" s="547" t="n">
        <v>20</v>
      </c>
      <c r="F441" s="912" t="n">
        <v>25</v>
      </c>
      <c r="G441" s="912"/>
      <c r="H441" s="1671" t="n">
        <v>20</v>
      </c>
      <c r="I441" s="912"/>
      <c r="J441" s="679"/>
      <c r="K441" s="679"/>
    </row>
    <row r="442" customFormat="false" ht="15" hidden="false" customHeight="false" outlineLevel="0" collapsed="false">
      <c r="A442" s="28" t="s">
        <v>746</v>
      </c>
      <c r="B442" s="40" t="s">
        <v>3193</v>
      </c>
      <c r="C442" s="912" t="n">
        <v>1</v>
      </c>
      <c r="D442" s="547" t="n">
        <f aca="false">E442+F442+G442+H442</f>
        <v>85</v>
      </c>
      <c r="E442" s="547" t="n">
        <v>30</v>
      </c>
      <c r="F442" s="912" t="n">
        <v>35</v>
      </c>
      <c r="G442" s="912"/>
      <c r="H442" s="912" t="n">
        <v>20</v>
      </c>
      <c r="I442" s="912"/>
      <c r="J442" s="679"/>
      <c r="K442" s="679"/>
    </row>
    <row r="443" customFormat="false" ht="15" hidden="false" customHeight="false" outlineLevel="0" collapsed="false">
      <c r="A443" s="28" t="s">
        <v>748</v>
      </c>
      <c r="B443" s="51" t="s">
        <v>3194</v>
      </c>
      <c r="C443" s="912" t="n">
        <v>1</v>
      </c>
      <c r="D443" s="547" t="n">
        <f aca="false">E443+F443+G443+H443</f>
        <v>85</v>
      </c>
      <c r="E443" s="547" t="n">
        <v>30</v>
      </c>
      <c r="F443" s="912" t="n">
        <v>35</v>
      </c>
      <c r="G443" s="912"/>
      <c r="H443" s="912" t="n">
        <v>20</v>
      </c>
      <c r="I443" s="912"/>
      <c r="J443" s="679"/>
      <c r="K443" s="679"/>
    </row>
    <row r="444" customFormat="false" ht="15" hidden="false" customHeight="false" outlineLevel="0" collapsed="false">
      <c r="A444" s="28" t="s">
        <v>750</v>
      </c>
      <c r="B444" s="51" t="s">
        <v>3195</v>
      </c>
      <c r="C444" s="912" t="n">
        <v>1</v>
      </c>
      <c r="D444" s="547" t="n">
        <f aca="false">E444+F444+G444+H444</f>
        <v>65</v>
      </c>
      <c r="E444" s="547" t="n">
        <v>20</v>
      </c>
      <c r="F444" s="912" t="n">
        <v>25</v>
      </c>
      <c r="G444" s="912"/>
      <c r="H444" s="912" t="n">
        <v>20</v>
      </c>
      <c r="I444" s="912" t="n">
        <v>15</v>
      </c>
      <c r="J444" s="679"/>
      <c r="K444" s="679"/>
    </row>
    <row r="445" customFormat="false" ht="15" hidden="false" customHeight="false" outlineLevel="0" collapsed="false">
      <c r="A445" s="28" t="s">
        <v>752</v>
      </c>
      <c r="B445" s="40" t="s">
        <v>3196</v>
      </c>
      <c r="C445" s="912" t="n">
        <v>1</v>
      </c>
      <c r="D445" s="547" t="n">
        <f aca="false">E445+F445+G445+H445</f>
        <v>80</v>
      </c>
      <c r="E445" s="547" t="n">
        <v>30</v>
      </c>
      <c r="F445" s="912" t="n">
        <v>30</v>
      </c>
      <c r="G445" s="912"/>
      <c r="H445" s="1671" t="n">
        <v>20</v>
      </c>
      <c r="I445" s="912"/>
      <c r="J445" s="679"/>
      <c r="K445" s="679"/>
    </row>
    <row r="446" customFormat="false" ht="15" hidden="false" customHeight="false" outlineLevel="0" collapsed="false">
      <c r="A446" s="28" t="s">
        <v>754</v>
      </c>
      <c r="B446" s="51" t="s">
        <v>3197</v>
      </c>
      <c r="C446" s="912" t="n">
        <v>1</v>
      </c>
      <c r="D446" s="547" t="n">
        <f aca="false">E446+F446+G446+H446</f>
        <v>65</v>
      </c>
      <c r="E446" s="547" t="n">
        <v>20</v>
      </c>
      <c r="F446" s="912" t="n">
        <v>25</v>
      </c>
      <c r="G446" s="912"/>
      <c r="H446" s="912" t="n">
        <v>20</v>
      </c>
      <c r="I446" s="912"/>
      <c r="J446" s="679"/>
      <c r="K446" s="679"/>
    </row>
    <row r="447" customFormat="false" ht="15" hidden="false" customHeight="false" outlineLevel="0" collapsed="false">
      <c r="A447" s="28" t="s">
        <v>756</v>
      </c>
      <c r="B447" s="50" t="s">
        <v>3198</v>
      </c>
      <c r="C447" s="912" t="n">
        <v>1</v>
      </c>
      <c r="D447" s="547" t="n">
        <f aca="false">E447+F447+G447+H447</f>
        <v>85</v>
      </c>
      <c r="E447" s="547" t="n">
        <v>45</v>
      </c>
      <c r="F447" s="912" t="n">
        <v>40</v>
      </c>
      <c r="G447" s="912"/>
      <c r="H447" s="912"/>
      <c r="I447" s="912" t="n">
        <v>10</v>
      </c>
      <c r="J447" s="679"/>
      <c r="K447" s="679"/>
    </row>
    <row r="448" customFormat="false" ht="15" hidden="false" customHeight="false" outlineLevel="0" collapsed="false">
      <c r="A448" s="28" t="s">
        <v>758</v>
      </c>
      <c r="B448" s="51" t="s">
        <v>3199</v>
      </c>
      <c r="C448" s="912" t="n">
        <v>1</v>
      </c>
      <c r="D448" s="547" t="n">
        <f aca="false">E448+F448+G448+H448</f>
        <v>135</v>
      </c>
      <c r="E448" s="547" t="n">
        <v>90</v>
      </c>
      <c r="F448" s="912" t="n">
        <v>45</v>
      </c>
      <c r="G448" s="912"/>
      <c r="H448" s="912"/>
      <c r="I448" s="912" t="n">
        <v>10</v>
      </c>
      <c r="J448" s="679"/>
      <c r="K448" s="679"/>
    </row>
    <row r="449" customFormat="false" ht="15" hidden="false" customHeight="false" outlineLevel="0" collapsed="false">
      <c r="A449" s="28" t="s">
        <v>759</v>
      </c>
      <c r="B449" s="52" t="s">
        <v>3200</v>
      </c>
      <c r="C449" s="912" t="n">
        <v>1</v>
      </c>
      <c r="D449" s="547" t="n">
        <f aca="false">E449+F449+G449+H449</f>
        <v>100</v>
      </c>
      <c r="E449" s="547" t="n">
        <v>60</v>
      </c>
      <c r="F449" s="912" t="n">
        <v>40</v>
      </c>
      <c r="G449" s="912"/>
      <c r="H449" s="912"/>
      <c r="I449" s="912" t="n">
        <v>10</v>
      </c>
      <c r="J449" s="679"/>
      <c r="K449" s="679"/>
    </row>
    <row r="450" customFormat="false" ht="15" hidden="false" customHeight="false" outlineLevel="0" collapsed="false">
      <c r="A450" s="28" t="s">
        <v>761</v>
      </c>
      <c r="B450" s="50" t="s">
        <v>3201</v>
      </c>
      <c r="C450" s="912" t="n">
        <v>1</v>
      </c>
      <c r="D450" s="547" t="n">
        <f aca="false">E450+F450+G450+H450</f>
        <v>70</v>
      </c>
      <c r="E450" s="547" t="n">
        <v>40</v>
      </c>
      <c r="F450" s="912" t="n">
        <v>30</v>
      </c>
      <c r="G450" s="912"/>
      <c r="H450" s="912"/>
      <c r="I450" s="912" t="n">
        <v>10</v>
      </c>
      <c r="J450" s="679"/>
      <c r="K450" s="679"/>
    </row>
    <row r="451" customFormat="false" ht="15" hidden="false" customHeight="false" outlineLevel="0" collapsed="false">
      <c r="A451" s="28" t="s">
        <v>763</v>
      </c>
      <c r="B451" s="50" t="s">
        <v>3202</v>
      </c>
      <c r="C451" s="912" t="n">
        <v>1</v>
      </c>
      <c r="D451" s="547" t="n">
        <f aca="false">E451+F451+G451+H451</f>
        <v>65</v>
      </c>
      <c r="E451" s="476" t="n">
        <v>30</v>
      </c>
      <c r="F451" s="820" t="n">
        <v>30</v>
      </c>
      <c r="G451" s="820" t="n">
        <v>5</v>
      </c>
      <c r="H451" s="912"/>
      <c r="I451" s="820" t="n">
        <v>2</v>
      </c>
      <c r="J451" s="679"/>
      <c r="K451" s="679"/>
    </row>
    <row r="452" customFormat="false" ht="15" hidden="false" customHeight="false" outlineLevel="0" collapsed="false">
      <c r="A452" s="28" t="s">
        <v>765</v>
      </c>
      <c r="B452" s="50" t="s">
        <v>2938</v>
      </c>
      <c r="C452" s="912" t="n">
        <v>1</v>
      </c>
      <c r="D452" s="547" t="n">
        <f aca="false">E452+F452+G452+H452</f>
        <v>60</v>
      </c>
      <c r="E452" s="476" t="n">
        <v>30</v>
      </c>
      <c r="F452" s="820" t="n">
        <v>30</v>
      </c>
      <c r="G452" s="820"/>
      <c r="H452" s="912"/>
      <c r="I452" s="912" t="n">
        <v>10</v>
      </c>
      <c r="J452" s="679"/>
      <c r="K452" s="679"/>
    </row>
    <row r="453" customFormat="false" ht="15" hidden="false" customHeight="false" outlineLevel="0" collapsed="false">
      <c r="A453" s="15" t="s">
        <v>766</v>
      </c>
      <c r="B453" s="16" t="s">
        <v>3203</v>
      </c>
      <c r="C453" s="339"/>
      <c r="D453" s="712"/>
      <c r="E453" s="751"/>
      <c r="F453" s="339"/>
      <c r="G453" s="339"/>
      <c r="H453" s="541"/>
      <c r="I453" s="541"/>
      <c r="J453" s="600"/>
      <c r="K453" s="600"/>
    </row>
    <row r="454" customFormat="false" ht="32.25" hidden="false" customHeight="true" outlineLevel="0" collapsed="false">
      <c r="A454" s="28" t="s">
        <v>768</v>
      </c>
      <c r="B454" s="29" t="s">
        <v>3204</v>
      </c>
      <c r="C454" s="912" t="n">
        <v>1</v>
      </c>
      <c r="D454" s="547" t="n">
        <f aca="false">E454+F454+G454+H454</f>
        <v>45</v>
      </c>
      <c r="E454" s="547" t="n">
        <v>20</v>
      </c>
      <c r="F454" s="912" t="n">
        <v>25</v>
      </c>
      <c r="G454" s="912"/>
      <c r="H454" s="912"/>
      <c r="I454" s="912" t="n">
        <v>10</v>
      </c>
      <c r="J454" s="679"/>
      <c r="K454" s="679"/>
    </row>
    <row r="455" customFormat="false" ht="15" hidden="false" customHeight="false" outlineLevel="0" collapsed="false">
      <c r="A455" s="28" t="s">
        <v>770</v>
      </c>
      <c r="B455" s="29" t="s">
        <v>3084</v>
      </c>
      <c r="C455" s="912" t="n">
        <v>1</v>
      </c>
      <c r="D455" s="547" t="n">
        <f aca="false">E455+F455+G455+H455</f>
        <v>90</v>
      </c>
      <c r="E455" s="547" t="n">
        <v>40</v>
      </c>
      <c r="F455" s="912" t="n">
        <v>40</v>
      </c>
      <c r="G455" s="912" t="n">
        <v>10</v>
      </c>
      <c r="H455" s="912"/>
      <c r="I455" s="912" t="n">
        <v>40</v>
      </c>
      <c r="J455" s="679"/>
      <c r="K455" s="679"/>
    </row>
    <row r="456" customFormat="false" ht="15" hidden="false" customHeight="false" outlineLevel="0" collapsed="false">
      <c r="A456" s="28" t="s">
        <v>771</v>
      </c>
      <c r="B456" s="29" t="s">
        <v>3085</v>
      </c>
      <c r="C456" s="912" t="n">
        <v>1</v>
      </c>
      <c r="D456" s="547" t="n">
        <f aca="false">E456+F456+G456+H456</f>
        <v>110</v>
      </c>
      <c r="E456" s="547" t="n">
        <v>50</v>
      </c>
      <c r="F456" s="912" t="n">
        <v>50</v>
      </c>
      <c r="G456" s="912" t="n">
        <v>10</v>
      </c>
      <c r="H456" s="912"/>
      <c r="I456" s="912" t="n">
        <v>40</v>
      </c>
      <c r="J456" s="679"/>
      <c r="K456" s="679"/>
    </row>
    <row r="457" customFormat="false" ht="15" hidden="false" customHeight="false" outlineLevel="0" collapsed="false">
      <c r="A457" s="28" t="s">
        <v>772</v>
      </c>
      <c r="B457" s="29" t="s">
        <v>3205</v>
      </c>
      <c r="C457" s="912" t="n">
        <v>1</v>
      </c>
      <c r="D457" s="547" t="n">
        <f aca="false">E457+F457+G457+H457</f>
        <v>60</v>
      </c>
      <c r="E457" s="547" t="n">
        <v>30</v>
      </c>
      <c r="F457" s="912" t="n">
        <v>20</v>
      </c>
      <c r="G457" s="912" t="n">
        <v>10</v>
      </c>
      <c r="H457" s="912"/>
      <c r="I457" s="912" t="n">
        <v>10</v>
      </c>
      <c r="J457" s="679"/>
      <c r="K457" s="679"/>
    </row>
    <row r="458" customFormat="false" ht="15" hidden="false" customHeight="false" outlineLevel="0" collapsed="false">
      <c r="A458" s="28" t="s">
        <v>774</v>
      </c>
      <c r="B458" s="29" t="s">
        <v>3206</v>
      </c>
      <c r="C458" s="912" t="n">
        <v>1</v>
      </c>
      <c r="D458" s="547" t="n">
        <f aca="false">E458+F458+G458+H458</f>
        <v>60</v>
      </c>
      <c r="E458" s="547" t="n">
        <v>30</v>
      </c>
      <c r="F458" s="912" t="n">
        <v>20</v>
      </c>
      <c r="G458" s="912" t="n">
        <v>10</v>
      </c>
      <c r="H458" s="912"/>
      <c r="I458" s="912" t="n">
        <v>10</v>
      </c>
      <c r="J458" s="679"/>
      <c r="K458" s="679"/>
    </row>
    <row r="459" customFormat="false" ht="15" hidden="false" customHeight="false" outlineLevel="0" collapsed="false">
      <c r="A459" s="28" t="s">
        <v>776</v>
      </c>
      <c r="B459" s="29" t="s">
        <v>3207</v>
      </c>
      <c r="C459" s="912" t="n">
        <v>1</v>
      </c>
      <c r="D459" s="547" t="n">
        <f aca="false">E459+F459+G459+H459</f>
        <v>60</v>
      </c>
      <c r="E459" s="547" t="n">
        <v>30</v>
      </c>
      <c r="F459" s="912" t="n">
        <v>20</v>
      </c>
      <c r="G459" s="912" t="n">
        <v>10</v>
      </c>
      <c r="H459" s="912"/>
      <c r="I459" s="912" t="n">
        <v>10</v>
      </c>
      <c r="J459" s="679"/>
      <c r="K459" s="679"/>
    </row>
    <row r="460" customFormat="false" ht="15" hidden="false" customHeight="false" outlineLevel="0" collapsed="false">
      <c r="A460" s="28" t="s">
        <v>778</v>
      </c>
      <c r="B460" s="29" t="s">
        <v>3208</v>
      </c>
      <c r="C460" s="912" t="n">
        <v>1</v>
      </c>
      <c r="D460" s="547" t="n">
        <f aca="false">E460+F460+G460+H460</f>
        <v>85</v>
      </c>
      <c r="E460" s="547" t="n">
        <v>40</v>
      </c>
      <c r="F460" s="912" t="n">
        <v>25</v>
      </c>
      <c r="G460" s="912" t="n">
        <v>20</v>
      </c>
      <c r="H460" s="912"/>
      <c r="I460" s="912" t="n">
        <v>25</v>
      </c>
      <c r="J460" s="679"/>
      <c r="K460" s="679"/>
    </row>
    <row r="461" customFormat="false" ht="15" hidden="false" customHeight="false" outlineLevel="0" collapsed="false">
      <c r="A461" s="28" t="s">
        <v>780</v>
      </c>
      <c r="B461" s="29" t="s">
        <v>3209</v>
      </c>
      <c r="C461" s="912" t="n">
        <v>1</v>
      </c>
      <c r="D461" s="547" t="n">
        <f aca="false">E461+F461+G461+H461</f>
        <v>140</v>
      </c>
      <c r="E461" s="547" t="n">
        <v>60</v>
      </c>
      <c r="F461" s="912" t="n">
        <v>60</v>
      </c>
      <c r="G461" s="912" t="n">
        <v>20</v>
      </c>
      <c r="H461" s="912"/>
      <c r="I461" s="912" t="n">
        <v>25</v>
      </c>
      <c r="J461" s="679"/>
      <c r="K461" s="679"/>
    </row>
    <row r="462" customFormat="false" ht="15" hidden="false" customHeight="false" outlineLevel="0" collapsed="false">
      <c r="A462" s="28" t="s">
        <v>782</v>
      </c>
      <c r="B462" s="29" t="s">
        <v>3210</v>
      </c>
      <c r="C462" s="912" t="n">
        <v>1</v>
      </c>
      <c r="D462" s="547" t="n">
        <f aca="false">E462+F462+G462+H462</f>
        <v>105</v>
      </c>
      <c r="E462" s="547" t="n">
        <v>60</v>
      </c>
      <c r="F462" s="912" t="n">
        <v>25</v>
      </c>
      <c r="G462" s="912" t="n">
        <v>20</v>
      </c>
      <c r="H462" s="912"/>
      <c r="I462" s="912" t="n">
        <v>25</v>
      </c>
      <c r="J462" s="679"/>
      <c r="K462" s="679"/>
    </row>
    <row r="463" customFormat="false" ht="15" hidden="false" customHeight="false" outlineLevel="0" collapsed="false">
      <c r="A463" s="28" t="s">
        <v>784</v>
      </c>
      <c r="B463" s="29" t="s">
        <v>3211</v>
      </c>
      <c r="C463" s="912" t="n">
        <v>1</v>
      </c>
      <c r="D463" s="547" t="n">
        <f aca="false">E463+F463+G463+H463</f>
        <v>60</v>
      </c>
      <c r="E463" s="547" t="n">
        <v>30</v>
      </c>
      <c r="F463" s="912" t="n">
        <v>20</v>
      </c>
      <c r="G463" s="912" t="n">
        <v>10</v>
      </c>
      <c r="H463" s="391"/>
      <c r="I463" s="912" t="n">
        <v>10</v>
      </c>
      <c r="J463" s="679"/>
      <c r="K463" s="679"/>
    </row>
    <row r="464" customFormat="false" ht="15" hidden="false" customHeight="false" outlineLevel="0" collapsed="false">
      <c r="A464" s="28" t="s">
        <v>786</v>
      </c>
      <c r="B464" s="29" t="s">
        <v>3103</v>
      </c>
      <c r="C464" s="912" t="n">
        <v>1</v>
      </c>
      <c r="D464" s="547" t="n">
        <f aca="false">E464+F464+G464+H464</f>
        <v>200</v>
      </c>
      <c r="E464" s="547" t="n">
        <v>120</v>
      </c>
      <c r="F464" s="912" t="n">
        <v>60</v>
      </c>
      <c r="G464" s="912" t="n">
        <v>20</v>
      </c>
      <c r="H464" s="912"/>
      <c r="I464" s="912" t="n">
        <v>220</v>
      </c>
      <c r="J464" s="679"/>
      <c r="K464" s="679"/>
    </row>
    <row r="465" customFormat="false" ht="15" hidden="false" customHeight="false" outlineLevel="0" collapsed="false">
      <c r="A465" s="28" t="s">
        <v>787</v>
      </c>
      <c r="B465" s="29" t="s">
        <v>3148</v>
      </c>
      <c r="C465" s="912" t="n">
        <v>1</v>
      </c>
      <c r="D465" s="547" t="n">
        <f aca="false">E465+F465+G465+H465</f>
        <v>170</v>
      </c>
      <c r="E465" s="547" t="n">
        <v>90</v>
      </c>
      <c r="F465" s="912" t="n">
        <v>60</v>
      </c>
      <c r="G465" s="912" t="n">
        <v>20</v>
      </c>
      <c r="H465" s="912"/>
      <c r="I465" s="912" t="n">
        <v>215</v>
      </c>
      <c r="J465" s="679"/>
      <c r="K465" s="679"/>
    </row>
    <row r="466" customFormat="false" ht="15" hidden="false" customHeight="false" outlineLevel="0" collapsed="false">
      <c r="A466" s="28" t="s">
        <v>788</v>
      </c>
      <c r="B466" s="29" t="s">
        <v>3102</v>
      </c>
      <c r="C466" s="912" t="n">
        <v>1</v>
      </c>
      <c r="D466" s="547" t="n">
        <f aca="false">E466+F466+G466+H466</f>
        <v>200</v>
      </c>
      <c r="E466" s="547" t="n">
        <v>120</v>
      </c>
      <c r="F466" s="912" t="n">
        <v>60</v>
      </c>
      <c r="G466" s="912" t="n">
        <v>20</v>
      </c>
      <c r="H466" s="912"/>
      <c r="I466" s="912" t="n">
        <v>160</v>
      </c>
      <c r="J466" s="679"/>
      <c r="K466" s="679"/>
    </row>
    <row r="467" customFormat="false" ht="15" hidden="false" customHeight="false" outlineLevel="0" collapsed="false">
      <c r="A467" s="28" t="s">
        <v>789</v>
      </c>
      <c r="B467" s="29" t="s">
        <v>3149</v>
      </c>
      <c r="C467" s="912" t="n">
        <v>1</v>
      </c>
      <c r="D467" s="547" t="n">
        <f aca="false">E467+F467+G467+H467</f>
        <v>170</v>
      </c>
      <c r="E467" s="547" t="n">
        <v>90</v>
      </c>
      <c r="F467" s="912" t="n">
        <v>60</v>
      </c>
      <c r="G467" s="912" t="n">
        <v>20</v>
      </c>
      <c r="H467" s="912"/>
      <c r="I467" s="912" t="n">
        <v>205</v>
      </c>
      <c r="J467" s="679"/>
      <c r="K467" s="679"/>
    </row>
    <row r="468" customFormat="false" ht="15" hidden="false" customHeight="false" outlineLevel="0" collapsed="false">
      <c r="A468" s="28" t="s">
        <v>790</v>
      </c>
      <c r="B468" s="40" t="s">
        <v>791</v>
      </c>
      <c r="C468" s="912" t="n">
        <v>1</v>
      </c>
      <c r="D468" s="547" t="n">
        <f aca="false">E468+F468+G468+H468</f>
        <v>30</v>
      </c>
      <c r="E468" s="547" t="n">
        <v>15</v>
      </c>
      <c r="F468" s="912" t="n">
        <v>15</v>
      </c>
      <c r="G468" s="912"/>
      <c r="H468" s="912"/>
      <c r="I468" s="912" t="n">
        <v>25</v>
      </c>
      <c r="J468" s="679"/>
      <c r="K468" s="679"/>
    </row>
    <row r="469" customFormat="false" ht="16.5" hidden="false" customHeight="true" outlineLevel="0" collapsed="false">
      <c r="A469" s="28" t="s">
        <v>792</v>
      </c>
      <c r="B469" s="40" t="s">
        <v>3212</v>
      </c>
      <c r="C469" s="912" t="n">
        <v>1</v>
      </c>
      <c r="D469" s="547" t="n">
        <f aca="false">E469+F469+G469+H469</f>
        <v>220</v>
      </c>
      <c r="E469" s="547" t="n">
        <v>110</v>
      </c>
      <c r="F469" s="912" t="n">
        <v>110</v>
      </c>
      <c r="G469" s="912"/>
      <c r="H469" s="912"/>
      <c r="I469" s="912"/>
      <c r="J469" s="679"/>
      <c r="K469" s="679"/>
    </row>
    <row r="470" customFormat="false" ht="15" hidden="false" customHeight="false" outlineLevel="0" collapsed="false">
      <c r="A470" s="15" t="s">
        <v>794</v>
      </c>
      <c r="B470" s="16" t="s">
        <v>3213</v>
      </c>
      <c r="C470" s="339"/>
      <c r="D470" s="712"/>
      <c r="E470" s="751"/>
      <c r="F470" s="339"/>
      <c r="G470" s="339"/>
      <c r="H470" s="541"/>
      <c r="I470" s="541"/>
      <c r="J470" s="600"/>
      <c r="K470" s="600"/>
    </row>
    <row r="471" customFormat="false" ht="15" hidden="false" customHeight="false" outlineLevel="0" collapsed="false">
      <c r="A471" s="28" t="s">
        <v>796</v>
      </c>
      <c r="B471" s="29" t="s">
        <v>3010</v>
      </c>
      <c r="C471" s="912" t="n">
        <v>1</v>
      </c>
      <c r="D471" s="547" t="n">
        <f aca="false">E471+F471+G471+H471</f>
        <v>45</v>
      </c>
      <c r="E471" s="547" t="n">
        <v>20</v>
      </c>
      <c r="F471" s="912" t="n">
        <v>25</v>
      </c>
      <c r="G471" s="912"/>
      <c r="H471" s="912"/>
      <c r="I471" s="912" t="n">
        <v>10</v>
      </c>
      <c r="J471" s="679"/>
      <c r="K471" s="679"/>
    </row>
    <row r="472" customFormat="false" ht="15" hidden="false" customHeight="false" outlineLevel="0" collapsed="false">
      <c r="A472" s="28" t="s">
        <v>797</v>
      </c>
      <c r="B472" s="29" t="s">
        <v>3084</v>
      </c>
      <c r="C472" s="912" t="n">
        <v>1</v>
      </c>
      <c r="D472" s="547" t="n">
        <f aca="false">E472+F472+G472+H472</f>
        <v>90</v>
      </c>
      <c r="E472" s="547" t="n">
        <v>40</v>
      </c>
      <c r="F472" s="912" t="n">
        <v>40</v>
      </c>
      <c r="G472" s="912" t="n">
        <v>10</v>
      </c>
      <c r="H472" s="912"/>
      <c r="I472" s="912" t="n">
        <v>40</v>
      </c>
      <c r="J472" s="679"/>
      <c r="K472" s="679"/>
    </row>
    <row r="473" customFormat="false" ht="15" hidden="false" customHeight="false" outlineLevel="0" collapsed="false">
      <c r="A473" s="28" t="s">
        <v>798</v>
      </c>
      <c r="B473" s="29" t="s">
        <v>3085</v>
      </c>
      <c r="C473" s="912" t="n">
        <v>1</v>
      </c>
      <c r="D473" s="547" t="n">
        <f aca="false">E473+F473+G473+H473</f>
        <v>110</v>
      </c>
      <c r="E473" s="547" t="n">
        <v>50</v>
      </c>
      <c r="F473" s="912" t="n">
        <v>50</v>
      </c>
      <c r="G473" s="912" t="n">
        <v>10</v>
      </c>
      <c r="H473" s="912"/>
      <c r="I473" s="912" t="n">
        <v>40</v>
      </c>
      <c r="J473" s="679"/>
      <c r="K473" s="679"/>
    </row>
    <row r="474" customFormat="false" ht="15" hidden="false" customHeight="false" outlineLevel="0" collapsed="false">
      <c r="A474" s="28" t="s">
        <v>799</v>
      </c>
      <c r="B474" s="29" t="s">
        <v>3126</v>
      </c>
      <c r="C474" s="912" t="n">
        <v>1</v>
      </c>
      <c r="D474" s="547" t="n">
        <f aca="false">E474+F474+G474+H474</f>
        <v>75</v>
      </c>
      <c r="E474" s="547" t="n">
        <v>30</v>
      </c>
      <c r="F474" s="912" t="n">
        <v>30</v>
      </c>
      <c r="G474" s="912" t="n">
        <v>15</v>
      </c>
      <c r="H474" s="912"/>
      <c r="I474" s="912" t="n">
        <v>40</v>
      </c>
      <c r="J474" s="679"/>
      <c r="K474" s="679"/>
    </row>
    <row r="475" customFormat="false" ht="15" hidden="false" customHeight="false" outlineLevel="0" collapsed="false">
      <c r="A475" s="28" t="s">
        <v>800</v>
      </c>
      <c r="B475" s="29" t="s">
        <v>3214</v>
      </c>
      <c r="C475" s="912" t="n">
        <v>1</v>
      </c>
      <c r="D475" s="547" t="n">
        <f aca="false">E475+F475+G475+H475</f>
        <v>75</v>
      </c>
      <c r="E475" s="547" t="n">
        <v>30</v>
      </c>
      <c r="F475" s="912" t="n">
        <v>30</v>
      </c>
      <c r="G475" s="912" t="n">
        <v>15</v>
      </c>
      <c r="H475" s="912"/>
      <c r="I475" s="912" t="n">
        <v>10</v>
      </c>
      <c r="J475" s="679"/>
      <c r="K475" s="679"/>
    </row>
    <row r="476" customFormat="false" ht="15" hidden="false" customHeight="false" outlineLevel="0" collapsed="false">
      <c r="A476" s="28" t="s">
        <v>802</v>
      </c>
      <c r="B476" s="29" t="s">
        <v>3215</v>
      </c>
      <c r="C476" s="912" t="n">
        <v>1</v>
      </c>
      <c r="D476" s="547" t="n">
        <f aca="false">E476+F476+G476+H476</f>
        <v>140</v>
      </c>
      <c r="E476" s="547" t="n">
        <v>60</v>
      </c>
      <c r="F476" s="912" t="n">
        <v>50</v>
      </c>
      <c r="G476" s="912" t="n">
        <v>30</v>
      </c>
      <c r="H476" s="912"/>
      <c r="I476" s="912" t="n">
        <v>25</v>
      </c>
      <c r="J476" s="679"/>
      <c r="K476" s="679"/>
    </row>
    <row r="477" customFormat="false" ht="30" hidden="false" customHeight="false" outlineLevel="0" collapsed="false">
      <c r="A477" s="28" t="s">
        <v>804</v>
      </c>
      <c r="B477" s="29" t="s">
        <v>3216</v>
      </c>
      <c r="C477" s="912" t="n">
        <v>1</v>
      </c>
      <c r="D477" s="547" t="n">
        <f aca="false">E477+F477+G477+H477</f>
        <v>40</v>
      </c>
      <c r="E477" s="547" t="n">
        <v>15</v>
      </c>
      <c r="F477" s="912" t="n">
        <v>15</v>
      </c>
      <c r="G477" s="912" t="n">
        <v>10</v>
      </c>
      <c r="H477" s="912"/>
      <c r="I477" s="912"/>
      <c r="J477" s="679"/>
      <c r="K477" s="679"/>
    </row>
    <row r="478" customFormat="false" ht="30" hidden="false" customHeight="false" outlineLevel="0" collapsed="false">
      <c r="A478" s="28" t="s">
        <v>806</v>
      </c>
      <c r="B478" s="29" t="s">
        <v>3217</v>
      </c>
      <c r="C478" s="912" t="n">
        <v>1</v>
      </c>
      <c r="D478" s="547" t="n">
        <f aca="false">E478+F478+G478+H478</f>
        <v>45</v>
      </c>
      <c r="E478" s="547" t="n">
        <v>20</v>
      </c>
      <c r="F478" s="912" t="n">
        <v>15</v>
      </c>
      <c r="G478" s="912" t="n">
        <v>10</v>
      </c>
      <c r="H478" s="912"/>
      <c r="I478" s="912" t="n">
        <v>50</v>
      </c>
      <c r="J478" s="679"/>
      <c r="K478" s="679"/>
    </row>
    <row r="479" customFormat="false" ht="15" hidden="false" customHeight="false" outlineLevel="0" collapsed="false">
      <c r="A479" s="28" t="s">
        <v>808</v>
      </c>
      <c r="B479" s="29" t="s">
        <v>3218</v>
      </c>
      <c r="C479" s="912" t="n">
        <v>1</v>
      </c>
      <c r="D479" s="547" t="n">
        <f aca="false">E479+F479+G479+H479</f>
        <v>140</v>
      </c>
      <c r="E479" s="547" t="n">
        <v>60</v>
      </c>
      <c r="F479" s="912" t="n">
        <v>50</v>
      </c>
      <c r="G479" s="912" t="n">
        <v>30</v>
      </c>
      <c r="H479" s="912"/>
      <c r="I479" s="912" t="n">
        <v>40</v>
      </c>
      <c r="J479" s="679"/>
      <c r="K479" s="679"/>
    </row>
    <row r="480" customFormat="false" ht="15" hidden="false" customHeight="false" outlineLevel="0" collapsed="false">
      <c r="A480" s="28" t="s">
        <v>810</v>
      </c>
      <c r="B480" s="29" t="s">
        <v>3219</v>
      </c>
      <c r="C480" s="912" t="n">
        <v>1</v>
      </c>
      <c r="D480" s="547" t="n">
        <f aca="false">E480+F480+G480+H480</f>
        <v>65</v>
      </c>
      <c r="E480" s="547" t="n">
        <v>30</v>
      </c>
      <c r="F480" s="912" t="n">
        <v>25</v>
      </c>
      <c r="G480" s="912" t="n">
        <v>10</v>
      </c>
      <c r="H480" s="912"/>
      <c r="I480" s="912" t="n">
        <v>50</v>
      </c>
      <c r="J480" s="679"/>
      <c r="K480" s="679"/>
    </row>
    <row r="481" customFormat="false" ht="15" hidden="false" customHeight="false" outlineLevel="0" collapsed="false">
      <c r="A481" s="28" t="s">
        <v>812</v>
      </c>
      <c r="B481" s="29" t="s">
        <v>3103</v>
      </c>
      <c r="C481" s="912" t="n">
        <v>1</v>
      </c>
      <c r="D481" s="547" t="n">
        <f aca="false">E481+F481+G481+H481</f>
        <v>230</v>
      </c>
      <c r="E481" s="547" t="n">
        <v>120</v>
      </c>
      <c r="F481" s="912" t="n">
        <v>60</v>
      </c>
      <c r="G481" s="912" t="n">
        <v>20</v>
      </c>
      <c r="H481" s="912" t="n">
        <v>30</v>
      </c>
      <c r="I481" s="912" t="n">
        <v>160</v>
      </c>
      <c r="J481" s="679"/>
      <c r="K481" s="679"/>
    </row>
    <row r="482" customFormat="false" ht="15" hidden="false" customHeight="false" outlineLevel="0" collapsed="false">
      <c r="A482" s="28" t="s">
        <v>813</v>
      </c>
      <c r="B482" s="29" t="s">
        <v>3148</v>
      </c>
      <c r="C482" s="912" t="n">
        <v>1</v>
      </c>
      <c r="D482" s="547" t="n">
        <f aca="false">E482+F482+G482+H482</f>
        <v>105</v>
      </c>
      <c r="E482" s="547" t="n">
        <v>55</v>
      </c>
      <c r="F482" s="912" t="n">
        <v>30</v>
      </c>
      <c r="G482" s="912" t="n">
        <v>20</v>
      </c>
      <c r="H482" s="912"/>
      <c r="I482" s="912" t="n">
        <v>215</v>
      </c>
      <c r="J482" s="679"/>
      <c r="K482" s="679"/>
    </row>
    <row r="483" customFormat="false" ht="15" hidden="false" customHeight="false" outlineLevel="0" collapsed="false">
      <c r="A483" s="28" t="s">
        <v>815</v>
      </c>
      <c r="B483" s="29" t="s">
        <v>3102</v>
      </c>
      <c r="C483" s="912" t="n">
        <v>1</v>
      </c>
      <c r="D483" s="547" t="n">
        <f aca="false">E483+F483+G483+H483</f>
        <v>200</v>
      </c>
      <c r="E483" s="547" t="n">
        <v>120</v>
      </c>
      <c r="F483" s="912" t="n">
        <v>60</v>
      </c>
      <c r="G483" s="912" t="n">
        <v>20</v>
      </c>
      <c r="H483" s="912"/>
      <c r="I483" s="912" t="n">
        <v>160</v>
      </c>
      <c r="J483" s="679"/>
      <c r="K483" s="679"/>
    </row>
    <row r="484" customFormat="false" ht="15" hidden="false" customHeight="false" outlineLevel="0" collapsed="false">
      <c r="A484" s="28" t="s">
        <v>816</v>
      </c>
      <c r="B484" s="29" t="s">
        <v>3149</v>
      </c>
      <c r="C484" s="912" t="n">
        <v>1</v>
      </c>
      <c r="D484" s="547" t="n">
        <f aca="false">E484+F484+G484+H484</f>
        <v>80</v>
      </c>
      <c r="E484" s="547" t="n">
        <v>30</v>
      </c>
      <c r="F484" s="912" t="n">
        <v>30</v>
      </c>
      <c r="G484" s="912" t="n">
        <v>20</v>
      </c>
      <c r="H484" s="912"/>
      <c r="I484" s="912" t="n">
        <v>205</v>
      </c>
      <c r="J484" s="679"/>
      <c r="K484" s="679"/>
    </row>
    <row r="485" customFormat="false" ht="15" hidden="false" customHeight="false" outlineLevel="0" collapsed="false">
      <c r="A485" s="28" t="s">
        <v>817</v>
      </c>
      <c r="B485" s="29" t="s">
        <v>3220</v>
      </c>
      <c r="C485" s="912" t="n">
        <v>1</v>
      </c>
      <c r="D485" s="547" t="n">
        <f aca="false">E485+F485+G485+H485</f>
        <v>20</v>
      </c>
      <c r="E485" s="547"/>
      <c r="F485" s="912"/>
      <c r="G485" s="912" t="n">
        <v>20</v>
      </c>
      <c r="H485" s="912"/>
      <c r="I485" s="912" t="n">
        <v>205</v>
      </c>
      <c r="J485" s="679"/>
      <c r="K485" s="679"/>
    </row>
    <row r="486" customFormat="false" ht="15" hidden="false" customHeight="false" outlineLevel="0" collapsed="false">
      <c r="A486" s="28" t="s">
        <v>819</v>
      </c>
      <c r="B486" s="40" t="s">
        <v>3221</v>
      </c>
      <c r="C486" s="912" t="n">
        <v>1</v>
      </c>
      <c r="D486" s="547" t="n">
        <f aca="false">E486+F486+G486+H486</f>
        <v>40</v>
      </c>
      <c r="E486" s="547" t="n">
        <v>20</v>
      </c>
      <c r="F486" s="912" t="n">
        <v>20</v>
      </c>
      <c r="G486" s="912"/>
      <c r="H486" s="912"/>
      <c r="I486" s="912"/>
      <c r="J486" s="679"/>
      <c r="K486" s="679"/>
    </row>
    <row r="487" customFormat="false" ht="15" hidden="false" customHeight="false" outlineLevel="0" collapsed="false">
      <c r="A487" s="28" t="s">
        <v>821</v>
      </c>
      <c r="B487" s="40" t="s">
        <v>3222</v>
      </c>
      <c r="C487" s="912" t="n">
        <v>1</v>
      </c>
      <c r="D487" s="547" t="n">
        <f aca="false">E487+F487+G487+H487</f>
        <v>40</v>
      </c>
      <c r="E487" s="547" t="n">
        <v>15</v>
      </c>
      <c r="F487" s="912" t="n">
        <v>25</v>
      </c>
      <c r="G487" s="912"/>
      <c r="H487" s="912"/>
      <c r="I487" s="912"/>
      <c r="J487" s="679"/>
      <c r="K487" s="679"/>
    </row>
    <row r="488" customFormat="false" ht="15" hidden="false" customHeight="false" outlineLevel="0" collapsed="false">
      <c r="A488" s="28" t="s">
        <v>823</v>
      </c>
      <c r="B488" s="40" t="s">
        <v>3223</v>
      </c>
      <c r="C488" s="912" t="n">
        <v>1</v>
      </c>
      <c r="D488" s="547" t="n">
        <f aca="false">E488+F488+G488+H488</f>
        <v>180</v>
      </c>
      <c r="E488" s="547" t="n">
        <v>120</v>
      </c>
      <c r="F488" s="912" t="n">
        <v>60</v>
      </c>
      <c r="G488" s="912"/>
      <c r="H488" s="912"/>
      <c r="I488" s="912" t="n">
        <v>40</v>
      </c>
      <c r="J488" s="679"/>
      <c r="K488" s="679"/>
    </row>
    <row r="489" customFormat="false" ht="15" hidden="false" customHeight="false" outlineLevel="0" collapsed="false">
      <c r="A489" s="15" t="s">
        <v>825</v>
      </c>
      <c r="B489" s="16" t="s">
        <v>826</v>
      </c>
      <c r="C489" s="339"/>
      <c r="D489" s="712"/>
      <c r="E489" s="751"/>
      <c r="F489" s="339"/>
      <c r="G489" s="541"/>
      <c r="H489" s="541"/>
      <c r="I489" s="541"/>
      <c r="J489" s="600"/>
      <c r="K489" s="600"/>
    </row>
    <row r="490" customFormat="false" ht="15" hidden="false" customHeight="false" outlineLevel="0" collapsed="false">
      <c r="A490" s="28" t="s">
        <v>827</v>
      </c>
      <c r="B490" s="29" t="s">
        <v>3010</v>
      </c>
      <c r="C490" s="912" t="n">
        <v>1</v>
      </c>
      <c r="D490" s="547" t="n">
        <f aca="false">E490+F490+G490+H490</f>
        <v>45</v>
      </c>
      <c r="E490" s="547" t="n">
        <v>20</v>
      </c>
      <c r="F490" s="912" t="n">
        <v>25</v>
      </c>
      <c r="G490" s="912"/>
      <c r="H490" s="912"/>
      <c r="I490" s="912" t="n">
        <v>10</v>
      </c>
      <c r="J490" s="679"/>
      <c r="K490" s="679"/>
    </row>
    <row r="491" customFormat="false" ht="15" hidden="false" customHeight="false" outlineLevel="0" collapsed="false">
      <c r="A491" s="28" t="s">
        <v>828</v>
      </c>
      <c r="B491" s="29" t="s">
        <v>3084</v>
      </c>
      <c r="C491" s="912" t="n">
        <v>1</v>
      </c>
      <c r="D491" s="547" t="n">
        <f aca="false">E491+F491+G491+H491</f>
        <v>90</v>
      </c>
      <c r="E491" s="547" t="n">
        <v>40</v>
      </c>
      <c r="F491" s="912" t="n">
        <v>40</v>
      </c>
      <c r="G491" s="912" t="n">
        <v>10</v>
      </c>
      <c r="H491" s="912"/>
      <c r="I491" s="912" t="n">
        <v>40</v>
      </c>
      <c r="J491" s="679"/>
      <c r="K491" s="679"/>
    </row>
    <row r="492" customFormat="false" ht="15" hidden="false" customHeight="false" outlineLevel="0" collapsed="false">
      <c r="A492" s="28" t="s">
        <v>829</v>
      </c>
      <c r="B492" s="29" t="s">
        <v>3085</v>
      </c>
      <c r="C492" s="912" t="n">
        <v>1</v>
      </c>
      <c r="D492" s="547" t="n">
        <f aca="false">E492+F492+G492+H492</f>
        <v>110</v>
      </c>
      <c r="E492" s="547" t="n">
        <v>50</v>
      </c>
      <c r="F492" s="912" t="n">
        <v>50</v>
      </c>
      <c r="G492" s="912" t="n">
        <v>10</v>
      </c>
      <c r="H492" s="912"/>
      <c r="I492" s="912" t="n">
        <v>40</v>
      </c>
      <c r="J492" s="679"/>
      <c r="K492" s="679"/>
    </row>
    <row r="493" customFormat="false" ht="15" hidden="false" customHeight="false" outlineLevel="0" collapsed="false">
      <c r="A493" s="28" t="s">
        <v>830</v>
      </c>
      <c r="B493" s="29" t="s">
        <v>3126</v>
      </c>
      <c r="C493" s="912" t="n">
        <v>1</v>
      </c>
      <c r="D493" s="547" t="n">
        <f aca="false">E493+F493+G493+H493</f>
        <v>75</v>
      </c>
      <c r="E493" s="547" t="n">
        <v>30</v>
      </c>
      <c r="F493" s="912" t="n">
        <v>30</v>
      </c>
      <c r="G493" s="912" t="n">
        <v>15</v>
      </c>
      <c r="H493" s="912"/>
      <c r="I493" s="912" t="n">
        <v>40</v>
      </c>
      <c r="J493" s="679"/>
      <c r="K493" s="679"/>
    </row>
    <row r="494" customFormat="false" ht="15" hidden="false" customHeight="false" outlineLevel="0" collapsed="false">
      <c r="A494" s="28" t="s">
        <v>831</v>
      </c>
      <c r="B494" s="29" t="s">
        <v>2964</v>
      </c>
      <c r="C494" s="912" t="n">
        <v>1</v>
      </c>
      <c r="D494" s="547" t="n">
        <f aca="false">E494+F494+G494+H494</f>
        <v>40</v>
      </c>
      <c r="E494" s="547" t="n">
        <v>15</v>
      </c>
      <c r="F494" s="912" t="n">
        <v>15</v>
      </c>
      <c r="G494" s="912" t="n">
        <v>10</v>
      </c>
      <c r="H494" s="912"/>
      <c r="I494" s="912" t="n">
        <v>35</v>
      </c>
      <c r="J494" s="679"/>
      <c r="K494" s="679"/>
    </row>
    <row r="495" customFormat="false" ht="15" hidden="false" customHeight="false" outlineLevel="0" collapsed="false">
      <c r="A495" s="28" t="s">
        <v>832</v>
      </c>
      <c r="B495" s="29" t="s">
        <v>3215</v>
      </c>
      <c r="C495" s="912" t="n">
        <v>1</v>
      </c>
      <c r="D495" s="547" t="n">
        <f aca="false">E495+F495+G495+H495</f>
        <v>300</v>
      </c>
      <c r="E495" s="547" t="n">
        <v>120</v>
      </c>
      <c r="F495" s="912" t="n">
        <v>90</v>
      </c>
      <c r="G495" s="912" t="n">
        <v>90</v>
      </c>
      <c r="H495" s="912"/>
      <c r="I495" s="912" t="n">
        <v>25</v>
      </c>
      <c r="J495" s="679"/>
      <c r="K495" s="679"/>
    </row>
    <row r="496" customFormat="false" ht="30" hidden="false" customHeight="false" outlineLevel="0" collapsed="false">
      <c r="A496" s="28" t="s">
        <v>833</v>
      </c>
      <c r="B496" s="29" t="s">
        <v>3224</v>
      </c>
      <c r="C496" s="912" t="n">
        <v>1</v>
      </c>
      <c r="D496" s="547" t="n">
        <f aca="false">E496+F496+G496+H496</f>
        <v>20</v>
      </c>
      <c r="E496" s="547" t="n">
        <v>10</v>
      </c>
      <c r="F496" s="912" t="n">
        <v>10</v>
      </c>
      <c r="G496" s="912"/>
      <c r="H496" s="912"/>
      <c r="I496" s="912" t="n">
        <v>10</v>
      </c>
      <c r="J496" s="679"/>
      <c r="K496" s="679"/>
    </row>
    <row r="497" customFormat="false" ht="15" hidden="false" customHeight="false" outlineLevel="0" collapsed="false">
      <c r="A497" s="28" t="s">
        <v>835</v>
      </c>
      <c r="B497" s="29" t="s">
        <v>3225</v>
      </c>
      <c r="C497" s="912" t="n">
        <v>1</v>
      </c>
      <c r="D497" s="547" t="n">
        <f aca="false">E497+F497+G497+H497</f>
        <v>40</v>
      </c>
      <c r="E497" s="547" t="n">
        <v>15</v>
      </c>
      <c r="F497" s="912" t="n">
        <v>15</v>
      </c>
      <c r="G497" s="912" t="n">
        <v>10</v>
      </c>
      <c r="H497" s="912"/>
      <c r="I497" s="912" t="n">
        <v>10</v>
      </c>
      <c r="J497" s="679"/>
      <c r="K497" s="679"/>
    </row>
    <row r="498" customFormat="false" ht="15" hidden="false" customHeight="false" outlineLevel="0" collapsed="false">
      <c r="A498" s="28" t="s">
        <v>837</v>
      </c>
      <c r="B498" s="29" t="s">
        <v>3226</v>
      </c>
      <c r="C498" s="912" t="n">
        <v>1</v>
      </c>
      <c r="D498" s="547" t="n">
        <f aca="false">E498+F498+G498+H498</f>
        <v>70</v>
      </c>
      <c r="E498" s="547" t="n">
        <v>30</v>
      </c>
      <c r="F498" s="912" t="n">
        <v>30</v>
      </c>
      <c r="G498" s="912" t="n">
        <v>10</v>
      </c>
      <c r="H498" s="912"/>
      <c r="I498" s="912" t="n">
        <v>50</v>
      </c>
      <c r="J498" s="679"/>
      <c r="K498" s="679"/>
    </row>
    <row r="499" customFormat="false" ht="15" hidden="false" customHeight="false" outlineLevel="0" collapsed="false">
      <c r="A499" s="28" t="s">
        <v>838</v>
      </c>
      <c r="B499" s="29" t="s">
        <v>3103</v>
      </c>
      <c r="C499" s="912" t="n">
        <v>1</v>
      </c>
      <c r="D499" s="547" t="n">
        <f aca="false">E499+F499+G499+H499</f>
        <v>120</v>
      </c>
      <c r="E499" s="547" t="n">
        <v>60</v>
      </c>
      <c r="F499" s="912" t="n">
        <v>40</v>
      </c>
      <c r="G499" s="912" t="n">
        <v>20</v>
      </c>
      <c r="H499" s="391"/>
      <c r="I499" s="912" t="n">
        <v>160</v>
      </c>
      <c r="J499" s="679"/>
      <c r="K499" s="679"/>
    </row>
    <row r="500" customFormat="false" ht="15" hidden="false" customHeight="false" outlineLevel="0" collapsed="false">
      <c r="A500" s="28" t="s">
        <v>839</v>
      </c>
      <c r="B500" s="29" t="s">
        <v>3148</v>
      </c>
      <c r="C500" s="912" t="n">
        <v>1</v>
      </c>
      <c r="D500" s="547" t="n">
        <f aca="false">E500+F500+G500+H500</f>
        <v>140</v>
      </c>
      <c r="E500" s="547" t="n">
        <v>60</v>
      </c>
      <c r="F500" s="912" t="n">
        <v>60</v>
      </c>
      <c r="G500" s="912" t="n">
        <v>20</v>
      </c>
      <c r="H500" s="912"/>
      <c r="I500" s="912" t="n">
        <v>215</v>
      </c>
      <c r="J500" s="679"/>
      <c r="K500" s="679"/>
    </row>
    <row r="501" customFormat="false" ht="15" hidden="false" customHeight="false" outlineLevel="0" collapsed="false">
      <c r="A501" s="28" t="s">
        <v>840</v>
      </c>
      <c r="B501" s="29" t="s">
        <v>3102</v>
      </c>
      <c r="C501" s="912" t="n">
        <v>1</v>
      </c>
      <c r="D501" s="547" t="n">
        <f aca="false">E501+F501+G501+H501</f>
        <v>200</v>
      </c>
      <c r="E501" s="547" t="n">
        <v>120</v>
      </c>
      <c r="F501" s="912" t="n">
        <v>60</v>
      </c>
      <c r="G501" s="912" t="n">
        <v>20</v>
      </c>
      <c r="H501" s="912"/>
      <c r="I501" s="912" t="n">
        <v>160</v>
      </c>
      <c r="J501" s="679"/>
      <c r="K501" s="679"/>
    </row>
    <row r="502" customFormat="false" ht="15" hidden="false" customHeight="false" outlineLevel="0" collapsed="false">
      <c r="A502" s="28" t="s">
        <v>841</v>
      </c>
      <c r="B502" s="29" t="s">
        <v>3149</v>
      </c>
      <c r="C502" s="912" t="n">
        <v>1</v>
      </c>
      <c r="D502" s="547" t="n">
        <f aca="false">E502+F502+G502+H502</f>
        <v>260</v>
      </c>
      <c r="E502" s="547" t="n">
        <v>180</v>
      </c>
      <c r="F502" s="912" t="n">
        <v>60</v>
      </c>
      <c r="G502" s="912" t="n">
        <v>20</v>
      </c>
      <c r="H502" s="912"/>
      <c r="I502" s="912" t="n">
        <v>175</v>
      </c>
      <c r="J502" s="679"/>
      <c r="K502" s="679"/>
    </row>
    <row r="503" customFormat="false" ht="15" hidden="false" customHeight="false" outlineLevel="0" collapsed="false">
      <c r="A503" s="28" t="s">
        <v>842</v>
      </c>
      <c r="B503" s="40" t="s">
        <v>3227</v>
      </c>
      <c r="C503" s="912" t="n">
        <v>1</v>
      </c>
      <c r="D503" s="547" t="n">
        <f aca="false">E503+F503+G503+H503</f>
        <v>90</v>
      </c>
      <c r="E503" s="547" t="n">
        <v>50</v>
      </c>
      <c r="F503" s="912" t="n">
        <v>40</v>
      </c>
      <c r="G503" s="912"/>
      <c r="H503" s="912"/>
      <c r="I503" s="912" t="n">
        <v>160</v>
      </c>
      <c r="J503" s="679"/>
      <c r="K503" s="679"/>
    </row>
    <row r="504" customFormat="false" ht="15" hidden="false" customHeight="false" outlineLevel="0" collapsed="false">
      <c r="A504" s="15" t="s">
        <v>844</v>
      </c>
      <c r="B504" s="16" t="s">
        <v>3228</v>
      </c>
      <c r="C504" s="339"/>
      <c r="D504" s="712"/>
      <c r="E504" s="751"/>
      <c r="F504" s="339"/>
      <c r="G504" s="339"/>
      <c r="H504" s="541"/>
      <c r="I504" s="541"/>
      <c r="J504" s="600"/>
      <c r="K504" s="600"/>
    </row>
    <row r="505" customFormat="false" ht="15" hidden="false" customHeight="false" outlineLevel="0" collapsed="false">
      <c r="A505" s="28" t="s">
        <v>846</v>
      </c>
      <c r="B505" s="29" t="s">
        <v>3010</v>
      </c>
      <c r="C505" s="912" t="n">
        <v>1</v>
      </c>
      <c r="D505" s="547" t="n">
        <f aca="false">E505+F505+G505+H505</f>
        <v>45</v>
      </c>
      <c r="E505" s="547" t="n">
        <v>20</v>
      </c>
      <c r="F505" s="912" t="n">
        <v>25</v>
      </c>
      <c r="G505" s="912"/>
      <c r="H505" s="912"/>
      <c r="I505" s="912"/>
      <c r="J505" s="679"/>
      <c r="K505" s="679"/>
    </row>
    <row r="506" customFormat="false" ht="15" hidden="false" customHeight="false" outlineLevel="0" collapsed="false">
      <c r="A506" s="28" t="s">
        <v>847</v>
      </c>
      <c r="B506" s="29" t="s">
        <v>3084</v>
      </c>
      <c r="C506" s="912" t="n">
        <v>1</v>
      </c>
      <c r="D506" s="547" t="n">
        <f aca="false">E506+F506+G506+H506</f>
        <v>90</v>
      </c>
      <c r="E506" s="547" t="n">
        <v>40</v>
      </c>
      <c r="F506" s="912" t="n">
        <v>40</v>
      </c>
      <c r="G506" s="912" t="n">
        <v>10</v>
      </c>
      <c r="H506" s="912"/>
      <c r="I506" s="912" t="n">
        <v>10</v>
      </c>
      <c r="J506" s="679"/>
      <c r="K506" s="679"/>
    </row>
    <row r="507" customFormat="false" ht="15" hidden="false" customHeight="false" outlineLevel="0" collapsed="false">
      <c r="A507" s="28" t="s">
        <v>848</v>
      </c>
      <c r="B507" s="29" t="s">
        <v>3085</v>
      </c>
      <c r="C507" s="912" t="n">
        <v>1</v>
      </c>
      <c r="D507" s="547" t="n">
        <f aca="false">E507+F507+G507+H507</f>
        <v>110</v>
      </c>
      <c r="E507" s="547" t="n">
        <v>50</v>
      </c>
      <c r="F507" s="912" t="n">
        <v>50</v>
      </c>
      <c r="G507" s="912" t="n">
        <v>10</v>
      </c>
      <c r="H507" s="912"/>
      <c r="I507" s="912" t="n">
        <v>40</v>
      </c>
      <c r="J507" s="679"/>
      <c r="K507" s="679"/>
    </row>
    <row r="508" customFormat="false" ht="15" hidden="false" customHeight="false" outlineLevel="0" collapsed="false">
      <c r="A508" s="28" t="s">
        <v>849</v>
      </c>
      <c r="B508" s="29" t="s">
        <v>3161</v>
      </c>
      <c r="C508" s="912" t="n">
        <v>1</v>
      </c>
      <c r="D508" s="547" t="n">
        <f aca="false">E508+F508+G508+H508</f>
        <v>110</v>
      </c>
      <c r="E508" s="547" t="n">
        <v>30</v>
      </c>
      <c r="F508" s="912" t="n">
        <v>60</v>
      </c>
      <c r="G508" s="912" t="n">
        <v>20</v>
      </c>
      <c r="H508" s="912"/>
      <c r="I508" s="912" t="n">
        <v>40</v>
      </c>
      <c r="J508" s="679"/>
      <c r="K508" s="679"/>
    </row>
    <row r="509" customFormat="false" ht="15" hidden="false" customHeight="false" outlineLevel="0" collapsed="false">
      <c r="A509" s="28" t="s">
        <v>850</v>
      </c>
      <c r="B509" s="29" t="s">
        <v>3059</v>
      </c>
      <c r="C509" s="912" t="n">
        <v>1</v>
      </c>
      <c r="D509" s="547" t="n">
        <f aca="false">E509+F509+G509+H509</f>
        <v>30</v>
      </c>
      <c r="E509" s="547" t="n">
        <v>30</v>
      </c>
      <c r="F509" s="912"/>
      <c r="G509" s="912"/>
      <c r="H509" s="912"/>
      <c r="I509" s="912" t="n">
        <v>30</v>
      </c>
      <c r="J509" s="679"/>
      <c r="K509" s="679"/>
    </row>
    <row r="510" customFormat="false" ht="15" hidden="false" customHeight="false" outlineLevel="0" collapsed="false">
      <c r="A510" s="28" t="s">
        <v>851</v>
      </c>
      <c r="B510" s="29" t="s">
        <v>2964</v>
      </c>
      <c r="C510" s="912" t="n">
        <v>1</v>
      </c>
      <c r="D510" s="547" t="n">
        <f aca="false">E510+F510+G510+H510</f>
        <v>35</v>
      </c>
      <c r="E510" s="547" t="n">
        <v>20</v>
      </c>
      <c r="F510" s="912" t="n">
        <v>15</v>
      </c>
      <c r="G510" s="912"/>
      <c r="H510" s="912"/>
      <c r="I510" s="912" t="n">
        <v>35</v>
      </c>
      <c r="J510" s="679"/>
      <c r="K510" s="679"/>
    </row>
    <row r="511" customFormat="false" ht="15" hidden="false" customHeight="false" outlineLevel="0" collapsed="false">
      <c r="A511" s="28" t="s">
        <v>852</v>
      </c>
      <c r="B511" s="29" t="s">
        <v>3126</v>
      </c>
      <c r="C511" s="912" t="n">
        <v>1</v>
      </c>
      <c r="D511" s="547" t="n">
        <f aca="false">E511+F511+G511+H511</f>
        <v>75</v>
      </c>
      <c r="E511" s="547" t="n">
        <v>30</v>
      </c>
      <c r="F511" s="912" t="n">
        <v>30</v>
      </c>
      <c r="G511" s="912" t="n">
        <v>15</v>
      </c>
      <c r="H511" s="912"/>
      <c r="I511" s="912" t="n">
        <v>30</v>
      </c>
      <c r="J511" s="679"/>
      <c r="K511" s="679"/>
    </row>
    <row r="512" customFormat="false" ht="30" hidden="false" customHeight="false" outlineLevel="0" collapsed="false">
      <c r="A512" s="28" t="s">
        <v>853</v>
      </c>
      <c r="B512" s="29" t="s">
        <v>3224</v>
      </c>
      <c r="C512" s="912" t="n">
        <v>1</v>
      </c>
      <c r="D512" s="547" t="n">
        <f aca="false">E512+F512+G512+H512</f>
        <v>15</v>
      </c>
      <c r="E512" s="547" t="n">
        <v>5</v>
      </c>
      <c r="F512" s="912" t="n">
        <v>5</v>
      </c>
      <c r="G512" s="912" t="n">
        <v>5</v>
      </c>
      <c r="H512" s="391"/>
      <c r="I512" s="912" t="n">
        <v>10</v>
      </c>
      <c r="J512" s="679"/>
      <c r="K512" s="679"/>
    </row>
    <row r="513" customFormat="false" ht="15" hidden="false" customHeight="false" outlineLevel="0" collapsed="false">
      <c r="A513" s="28" t="s">
        <v>854</v>
      </c>
      <c r="B513" s="29" t="s">
        <v>3103</v>
      </c>
      <c r="C513" s="912" t="n">
        <v>1</v>
      </c>
      <c r="D513" s="547" t="n">
        <f aca="false">E513+F513+G513+H513</f>
        <v>200</v>
      </c>
      <c r="E513" s="547" t="n">
        <v>120</v>
      </c>
      <c r="F513" s="912" t="n">
        <v>60</v>
      </c>
      <c r="G513" s="912" t="n">
        <v>20</v>
      </c>
      <c r="H513" s="912"/>
      <c r="I513" s="912" t="n">
        <v>160</v>
      </c>
      <c r="J513" s="679"/>
      <c r="K513" s="679"/>
    </row>
    <row r="514" customFormat="false" ht="15" hidden="false" customHeight="false" outlineLevel="0" collapsed="false">
      <c r="A514" s="28" t="s">
        <v>855</v>
      </c>
      <c r="B514" s="29" t="s">
        <v>3148</v>
      </c>
      <c r="C514" s="912" t="n">
        <v>1</v>
      </c>
      <c r="D514" s="547" t="n">
        <f aca="false">E514+F514+G514+H514</f>
        <v>170</v>
      </c>
      <c r="E514" s="547" t="n">
        <v>90</v>
      </c>
      <c r="F514" s="912" t="n">
        <v>60</v>
      </c>
      <c r="G514" s="912" t="n">
        <v>20</v>
      </c>
      <c r="H514" s="912"/>
      <c r="I514" s="912" t="n">
        <v>215</v>
      </c>
      <c r="J514" s="679"/>
      <c r="K514" s="679"/>
    </row>
    <row r="515" customFormat="false" ht="15" hidden="false" customHeight="false" outlineLevel="0" collapsed="false">
      <c r="A515" s="28" t="s">
        <v>856</v>
      </c>
      <c r="B515" s="29" t="s">
        <v>3102</v>
      </c>
      <c r="C515" s="912" t="n">
        <v>1</v>
      </c>
      <c r="D515" s="547" t="n">
        <f aca="false">E515+F515+G515+H515</f>
        <v>200</v>
      </c>
      <c r="E515" s="547" t="n">
        <v>120</v>
      </c>
      <c r="F515" s="912" t="n">
        <v>60</v>
      </c>
      <c r="G515" s="912" t="n">
        <v>20</v>
      </c>
      <c r="H515" s="912"/>
      <c r="I515" s="912" t="n">
        <v>160</v>
      </c>
      <c r="J515" s="679"/>
      <c r="K515" s="679"/>
    </row>
    <row r="516" customFormat="false" ht="15" hidden="false" customHeight="false" outlineLevel="0" collapsed="false">
      <c r="A516" s="28" t="s">
        <v>857</v>
      </c>
      <c r="B516" s="29" t="s">
        <v>3149</v>
      </c>
      <c r="C516" s="912" t="n">
        <v>1</v>
      </c>
      <c r="D516" s="547" t="n">
        <f aca="false">E516+F516+G516+H516</f>
        <v>260</v>
      </c>
      <c r="E516" s="547" t="n">
        <v>180</v>
      </c>
      <c r="F516" s="912" t="n">
        <v>60</v>
      </c>
      <c r="G516" s="912" t="n">
        <v>20</v>
      </c>
      <c r="H516" s="912"/>
      <c r="I516" s="912" t="n">
        <v>175</v>
      </c>
      <c r="J516" s="679"/>
      <c r="K516" s="679"/>
    </row>
    <row r="517" customFormat="false" ht="15" hidden="false" customHeight="false" outlineLevel="0" collapsed="false">
      <c r="A517" s="15" t="s">
        <v>858</v>
      </c>
      <c r="B517" s="16" t="s">
        <v>3229</v>
      </c>
      <c r="C517" s="339"/>
      <c r="D517" s="712"/>
      <c r="E517" s="751"/>
      <c r="F517" s="339"/>
      <c r="G517" s="339"/>
      <c r="H517" s="541"/>
      <c r="I517" s="541"/>
      <c r="J517" s="600"/>
      <c r="K517" s="600"/>
    </row>
    <row r="518" customFormat="false" ht="15" hidden="false" customHeight="false" outlineLevel="0" collapsed="false">
      <c r="A518" s="28" t="s">
        <v>860</v>
      </c>
      <c r="B518" s="29" t="s">
        <v>3010</v>
      </c>
      <c r="C518" s="912" t="n">
        <v>1</v>
      </c>
      <c r="D518" s="547" t="n">
        <f aca="false">E518+F518+G518+H518</f>
        <v>45</v>
      </c>
      <c r="E518" s="547" t="n">
        <v>20</v>
      </c>
      <c r="F518" s="912" t="n">
        <v>25</v>
      </c>
      <c r="G518" s="912"/>
      <c r="H518" s="912"/>
      <c r="I518" s="912" t="n">
        <v>10</v>
      </c>
      <c r="J518" s="679"/>
      <c r="K518" s="679"/>
    </row>
    <row r="519" customFormat="false" ht="15" hidden="false" customHeight="false" outlineLevel="0" collapsed="false">
      <c r="A519" s="28" t="s">
        <v>861</v>
      </c>
      <c r="B519" s="29" t="s">
        <v>3084</v>
      </c>
      <c r="C519" s="912" t="n">
        <v>1</v>
      </c>
      <c r="D519" s="547" t="n">
        <f aca="false">E519+F519+G519+H519</f>
        <v>90</v>
      </c>
      <c r="E519" s="547" t="n">
        <v>40</v>
      </c>
      <c r="F519" s="912" t="n">
        <v>40</v>
      </c>
      <c r="G519" s="912" t="n">
        <v>10</v>
      </c>
      <c r="H519" s="912"/>
      <c r="I519" s="912" t="n">
        <v>40</v>
      </c>
      <c r="J519" s="679"/>
      <c r="K519" s="679"/>
    </row>
    <row r="520" customFormat="false" ht="15" hidden="false" customHeight="false" outlineLevel="0" collapsed="false">
      <c r="A520" s="28" t="s">
        <v>862</v>
      </c>
      <c r="B520" s="29" t="s">
        <v>3085</v>
      </c>
      <c r="C520" s="912" t="n">
        <v>1</v>
      </c>
      <c r="D520" s="547" t="n">
        <f aca="false">E520+F520+G520+H520</f>
        <v>110</v>
      </c>
      <c r="E520" s="547" t="n">
        <v>50</v>
      </c>
      <c r="F520" s="912" t="n">
        <v>50</v>
      </c>
      <c r="G520" s="912" t="n">
        <v>10</v>
      </c>
      <c r="H520" s="912"/>
      <c r="I520" s="912" t="n">
        <v>40</v>
      </c>
      <c r="J520" s="679"/>
      <c r="K520" s="679"/>
    </row>
    <row r="521" customFormat="false" ht="15" hidden="false" customHeight="false" outlineLevel="0" collapsed="false">
      <c r="A521" s="28" t="s">
        <v>863</v>
      </c>
      <c r="B521" s="29" t="s">
        <v>3126</v>
      </c>
      <c r="C521" s="912" t="n">
        <v>1</v>
      </c>
      <c r="D521" s="547" t="n">
        <f aca="false">E521+F521+G521+H521</f>
        <v>75</v>
      </c>
      <c r="E521" s="547" t="n">
        <v>30</v>
      </c>
      <c r="F521" s="912" t="n">
        <v>30</v>
      </c>
      <c r="G521" s="912" t="n">
        <v>15</v>
      </c>
      <c r="H521" s="391"/>
      <c r="I521" s="912" t="n">
        <v>40</v>
      </c>
      <c r="J521" s="679"/>
      <c r="K521" s="679"/>
    </row>
    <row r="522" customFormat="false" ht="15" hidden="false" customHeight="false" outlineLevel="0" collapsed="false">
      <c r="A522" s="28" t="s">
        <v>864</v>
      </c>
      <c r="B522" s="29" t="s">
        <v>3103</v>
      </c>
      <c r="C522" s="912" t="n">
        <v>1</v>
      </c>
      <c r="D522" s="547" t="n">
        <f aca="false">E522+F522+G522+H522</f>
        <v>200</v>
      </c>
      <c r="E522" s="547" t="n">
        <v>120</v>
      </c>
      <c r="F522" s="912" t="n">
        <v>60</v>
      </c>
      <c r="G522" s="912" t="n">
        <v>20</v>
      </c>
      <c r="H522" s="912"/>
      <c r="I522" s="912" t="n">
        <v>160</v>
      </c>
      <c r="J522" s="679"/>
      <c r="K522" s="679"/>
    </row>
    <row r="523" customFormat="false" ht="15" hidden="false" customHeight="false" outlineLevel="0" collapsed="false">
      <c r="A523" s="28" t="s">
        <v>865</v>
      </c>
      <c r="B523" s="29" t="s">
        <v>3148</v>
      </c>
      <c r="C523" s="912" t="n">
        <v>1</v>
      </c>
      <c r="D523" s="547" t="n">
        <f aca="false">E523+F523+G523+H523</f>
        <v>170</v>
      </c>
      <c r="E523" s="547" t="n">
        <v>90</v>
      </c>
      <c r="F523" s="912" t="n">
        <v>60</v>
      </c>
      <c r="G523" s="912" t="n">
        <v>20</v>
      </c>
      <c r="H523" s="912"/>
      <c r="I523" s="912" t="n">
        <v>245</v>
      </c>
      <c r="J523" s="679"/>
      <c r="K523" s="679"/>
    </row>
    <row r="524" customFormat="false" ht="15" hidden="false" customHeight="false" outlineLevel="0" collapsed="false">
      <c r="A524" s="28" t="s">
        <v>866</v>
      </c>
      <c r="B524" s="29" t="s">
        <v>3102</v>
      </c>
      <c r="C524" s="912" t="n">
        <v>1</v>
      </c>
      <c r="D524" s="547" t="n">
        <f aca="false">E524+F524+G524+H524</f>
        <v>200</v>
      </c>
      <c r="E524" s="547" t="n">
        <v>120</v>
      </c>
      <c r="F524" s="912" t="n">
        <v>60</v>
      </c>
      <c r="G524" s="912" t="n">
        <v>20</v>
      </c>
      <c r="H524" s="912"/>
      <c r="I524" s="912" t="n">
        <v>160</v>
      </c>
      <c r="J524" s="679"/>
      <c r="K524" s="679"/>
    </row>
    <row r="525" customFormat="false" ht="15" hidden="false" customHeight="false" outlineLevel="0" collapsed="false">
      <c r="A525" s="28" t="s">
        <v>867</v>
      </c>
      <c r="B525" s="29" t="s">
        <v>3149</v>
      </c>
      <c r="C525" s="912" t="n">
        <v>1</v>
      </c>
      <c r="D525" s="547" t="n">
        <f aca="false">E525+F525+G525+H525</f>
        <v>170</v>
      </c>
      <c r="E525" s="547" t="n">
        <v>90</v>
      </c>
      <c r="F525" s="912" t="n">
        <v>60</v>
      </c>
      <c r="G525" s="912" t="n">
        <v>20</v>
      </c>
      <c r="H525" s="912"/>
      <c r="I525" s="912" t="n">
        <v>205</v>
      </c>
      <c r="J525" s="679"/>
      <c r="K525" s="679"/>
    </row>
    <row r="526" customFormat="false" ht="57" hidden="false" customHeight="false" outlineLevel="0" collapsed="false">
      <c r="A526" s="15" t="s">
        <v>868</v>
      </c>
      <c r="B526" s="16" t="s">
        <v>3230</v>
      </c>
      <c r="C526" s="339"/>
      <c r="D526" s="712"/>
      <c r="E526" s="751"/>
      <c r="F526" s="339"/>
      <c r="G526" s="339"/>
      <c r="H526" s="339"/>
      <c r="I526" s="541"/>
      <c r="J526" s="600"/>
      <c r="K526" s="600"/>
    </row>
    <row r="527" customFormat="false" ht="30" hidden="false" customHeight="false" outlineLevel="0" collapsed="false">
      <c r="A527" s="28" t="s">
        <v>870</v>
      </c>
      <c r="B527" s="53" t="s">
        <v>3231</v>
      </c>
      <c r="C527" s="912" t="n">
        <v>1</v>
      </c>
      <c r="D527" s="547" t="n">
        <f aca="false">E527+F527+G527+H527</f>
        <v>220</v>
      </c>
      <c r="E527" s="547" t="n">
        <v>120</v>
      </c>
      <c r="F527" s="912" t="n">
        <v>80</v>
      </c>
      <c r="G527" s="912" t="n">
        <v>20</v>
      </c>
      <c r="H527" s="912"/>
      <c r="I527" s="912" t="n">
        <v>10</v>
      </c>
      <c r="J527" s="679"/>
      <c r="K527" s="679"/>
    </row>
    <row r="528" customFormat="false" ht="15" hidden="false" customHeight="false" outlineLevel="0" collapsed="false">
      <c r="A528" s="28" t="s">
        <v>872</v>
      </c>
      <c r="B528" s="53" t="s">
        <v>3232</v>
      </c>
      <c r="C528" s="912" t="n">
        <v>1</v>
      </c>
      <c r="D528" s="547" t="n">
        <f aca="false">E528+F528+G528+H528</f>
        <v>160</v>
      </c>
      <c r="E528" s="547" t="n">
        <v>90</v>
      </c>
      <c r="F528" s="912" t="n">
        <v>50</v>
      </c>
      <c r="G528" s="912" t="n">
        <v>20</v>
      </c>
      <c r="H528" s="912"/>
      <c r="I528" s="912" t="n">
        <v>10</v>
      </c>
      <c r="J528" s="679"/>
      <c r="K528" s="679"/>
    </row>
    <row r="529" customFormat="false" ht="15" hidden="false" customHeight="false" outlineLevel="0" collapsed="false">
      <c r="A529" s="28" t="s">
        <v>874</v>
      </c>
      <c r="B529" s="53" t="s">
        <v>3233</v>
      </c>
      <c r="C529" s="912" t="n">
        <v>1</v>
      </c>
      <c r="D529" s="547" t="n">
        <f aca="false">E529+F529+G529+H529</f>
        <v>200</v>
      </c>
      <c r="E529" s="547" t="n">
        <v>80</v>
      </c>
      <c r="F529" s="912" t="n">
        <v>60</v>
      </c>
      <c r="G529" s="912" t="n">
        <v>60</v>
      </c>
      <c r="H529" s="912"/>
      <c r="I529" s="912"/>
      <c r="J529" s="679"/>
      <c r="K529" s="679"/>
    </row>
    <row r="530" customFormat="false" ht="15" hidden="false" customHeight="false" outlineLevel="0" collapsed="false">
      <c r="A530" s="28" t="s">
        <v>876</v>
      </c>
      <c r="B530" s="53" t="s">
        <v>3234</v>
      </c>
      <c r="C530" s="912" t="n">
        <v>1</v>
      </c>
      <c r="D530" s="547" t="n">
        <f aca="false">E530+F530+G530+H530</f>
        <v>170</v>
      </c>
      <c r="E530" s="547" t="n">
        <v>80</v>
      </c>
      <c r="F530" s="912" t="n">
        <v>70</v>
      </c>
      <c r="G530" s="912" t="n">
        <v>20</v>
      </c>
      <c r="H530" s="912"/>
      <c r="I530" s="912" t="n">
        <v>40</v>
      </c>
      <c r="J530" s="679"/>
      <c r="K530" s="679"/>
    </row>
    <row r="531" customFormat="false" ht="28.5" hidden="false" customHeight="false" outlineLevel="0" collapsed="false">
      <c r="A531" s="15" t="s">
        <v>878</v>
      </c>
      <c r="B531" s="16" t="s">
        <v>3235</v>
      </c>
      <c r="C531" s="339"/>
      <c r="D531" s="712"/>
      <c r="E531" s="751"/>
      <c r="F531" s="339"/>
      <c r="G531" s="339"/>
      <c r="H531" s="541"/>
      <c r="I531" s="541"/>
      <c r="J531" s="600"/>
      <c r="K531" s="600"/>
    </row>
    <row r="532" customFormat="false" ht="15" hidden="false" customHeight="false" outlineLevel="0" collapsed="false">
      <c r="A532" s="28" t="s">
        <v>880</v>
      </c>
      <c r="B532" s="29" t="s">
        <v>3010</v>
      </c>
      <c r="C532" s="912" t="n">
        <v>1</v>
      </c>
      <c r="D532" s="547" t="n">
        <f aca="false">E532+F532+G532+H532</f>
        <v>45</v>
      </c>
      <c r="E532" s="547" t="n">
        <v>20</v>
      </c>
      <c r="F532" s="912" t="n">
        <v>25</v>
      </c>
      <c r="G532" s="912"/>
      <c r="H532" s="912"/>
      <c r="I532" s="912" t="n">
        <v>40</v>
      </c>
      <c r="J532" s="679"/>
      <c r="K532" s="679"/>
    </row>
    <row r="533" customFormat="false" ht="15" hidden="false" customHeight="false" outlineLevel="0" collapsed="false">
      <c r="A533" s="28" t="s">
        <v>881</v>
      </c>
      <c r="B533" s="29" t="s">
        <v>3236</v>
      </c>
      <c r="C533" s="912" t="n">
        <v>1</v>
      </c>
      <c r="D533" s="547" t="n">
        <f aca="false">E533+F533+G533+H533</f>
        <v>150</v>
      </c>
      <c r="E533" s="547" t="n">
        <v>60</v>
      </c>
      <c r="F533" s="912" t="n">
        <v>60</v>
      </c>
      <c r="G533" s="912" t="n">
        <v>10</v>
      </c>
      <c r="H533" s="912" t="n">
        <v>20</v>
      </c>
      <c r="I533" s="912" t="n">
        <v>40</v>
      </c>
      <c r="J533" s="679"/>
      <c r="K533" s="679"/>
    </row>
    <row r="534" customFormat="false" ht="15" hidden="false" customHeight="false" outlineLevel="0" collapsed="false">
      <c r="A534" s="28" t="s">
        <v>882</v>
      </c>
      <c r="B534" s="29" t="s">
        <v>3237</v>
      </c>
      <c r="C534" s="912" t="n">
        <v>1</v>
      </c>
      <c r="D534" s="547" t="n">
        <f aca="false">E534+F534+G534+H534</f>
        <v>145</v>
      </c>
      <c r="E534" s="547" t="n">
        <v>60</v>
      </c>
      <c r="F534" s="912" t="n">
        <v>35</v>
      </c>
      <c r="G534" s="912" t="n">
        <v>30</v>
      </c>
      <c r="H534" s="912" t="n">
        <v>20</v>
      </c>
      <c r="I534" s="912" t="n">
        <v>40</v>
      </c>
      <c r="J534" s="679"/>
      <c r="K534" s="679"/>
    </row>
    <row r="535" customFormat="false" ht="15" hidden="false" customHeight="false" outlineLevel="0" collapsed="false">
      <c r="A535" s="28" t="s">
        <v>884</v>
      </c>
      <c r="B535" s="29" t="s">
        <v>3238</v>
      </c>
      <c r="C535" s="912" t="n">
        <v>1</v>
      </c>
      <c r="D535" s="547" t="n">
        <f aca="false">E535+F535+G535+H535</f>
        <v>105</v>
      </c>
      <c r="E535" s="547" t="n">
        <v>30</v>
      </c>
      <c r="F535" s="912" t="n">
        <v>20</v>
      </c>
      <c r="G535" s="912" t="n">
        <v>5</v>
      </c>
      <c r="H535" s="912" t="n">
        <v>50</v>
      </c>
      <c r="I535" s="912" t="n">
        <v>10</v>
      </c>
      <c r="J535" s="679"/>
      <c r="K535" s="679"/>
    </row>
    <row r="536" customFormat="false" ht="15" hidden="false" customHeight="false" outlineLevel="0" collapsed="false">
      <c r="A536" s="28" t="s">
        <v>886</v>
      </c>
      <c r="B536" s="29" t="s">
        <v>3239</v>
      </c>
      <c r="C536" s="912" t="n">
        <v>1</v>
      </c>
      <c r="D536" s="547" t="n">
        <f aca="false">E536+F536+G536+H536</f>
        <v>330</v>
      </c>
      <c r="E536" s="547" t="n">
        <v>160</v>
      </c>
      <c r="F536" s="912" t="n">
        <v>140</v>
      </c>
      <c r="G536" s="912" t="n">
        <v>30</v>
      </c>
      <c r="H536" s="912"/>
      <c r="I536" s="912" t="n">
        <v>70</v>
      </c>
      <c r="J536" s="679"/>
      <c r="K536" s="679"/>
    </row>
    <row r="537" customFormat="false" ht="15" hidden="false" customHeight="false" outlineLevel="0" collapsed="false">
      <c r="A537" s="15" t="s">
        <v>888</v>
      </c>
      <c r="B537" s="54" t="s">
        <v>3240</v>
      </c>
      <c r="C537" s="541"/>
      <c r="D537" s="712"/>
      <c r="E537" s="712"/>
      <c r="F537" s="541"/>
      <c r="G537" s="541"/>
      <c r="H537" s="541"/>
      <c r="I537" s="541"/>
      <c r="J537" s="600"/>
      <c r="K537" s="600"/>
    </row>
    <row r="538" customFormat="false" ht="15" hidden="false" customHeight="false" outlineLevel="0" collapsed="false">
      <c r="A538" s="28" t="s">
        <v>890</v>
      </c>
      <c r="B538" s="40" t="s">
        <v>3241</v>
      </c>
      <c r="C538" s="912" t="n">
        <v>1</v>
      </c>
      <c r="D538" s="547" t="n">
        <f aca="false">E538+F538+G538+H538</f>
        <v>190</v>
      </c>
      <c r="E538" s="547" t="n">
        <v>80</v>
      </c>
      <c r="F538" s="912" t="n">
        <v>80</v>
      </c>
      <c r="G538" s="912"/>
      <c r="H538" s="912" t="n">
        <v>30</v>
      </c>
      <c r="I538" s="912" t="n">
        <v>120</v>
      </c>
      <c r="J538" s="679"/>
      <c r="K538" s="679"/>
    </row>
    <row r="539" customFormat="false" ht="15" hidden="false" customHeight="false" outlineLevel="0" collapsed="false">
      <c r="A539" s="28" t="s">
        <v>892</v>
      </c>
      <c r="B539" s="40" t="s">
        <v>3242</v>
      </c>
      <c r="C539" s="912" t="n">
        <v>1</v>
      </c>
      <c r="D539" s="547" t="n">
        <f aca="false">E539+F539+G539+H539</f>
        <v>90</v>
      </c>
      <c r="E539" s="547" t="n">
        <v>40</v>
      </c>
      <c r="F539" s="912" t="n">
        <v>40</v>
      </c>
      <c r="G539" s="912"/>
      <c r="H539" s="912" t="n">
        <v>10</v>
      </c>
      <c r="I539" s="912" t="n">
        <v>180</v>
      </c>
      <c r="J539" s="679"/>
      <c r="K539" s="679"/>
    </row>
    <row r="540" customFormat="false" ht="30" hidden="false" customHeight="false" outlineLevel="0" collapsed="false">
      <c r="A540" s="28" t="s">
        <v>894</v>
      </c>
      <c r="B540" s="40" t="s">
        <v>3076</v>
      </c>
      <c r="C540" s="912" t="n">
        <v>1</v>
      </c>
      <c r="D540" s="547" t="n">
        <f aca="false">E540+F540+G540+H540</f>
        <v>115</v>
      </c>
      <c r="E540" s="547" t="n">
        <v>55</v>
      </c>
      <c r="F540" s="912" t="n">
        <v>50</v>
      </c>
      <c r="G540" s="912" t="n">
        <v>10</v>
      </c>
      <c r="H540" s="912"/>
      <c r="I540" s="912" t="n">
        <v>25</v>
      </c>
      <c r="J540" s="679"/>
      <c r="K540" s="679"/>
    </row>
    <row r="541" customFormat="false" ht="35.25" hidden="false" customHeight="true" outlineLevel="0" collapsed="false">
      <c r="A541" s="28" t="s">
        <v>896</v>
      </c>
      <c r="B541" s="40" t="s">
        <v>3077</v>
      </c>
      <c r="C541" s="912" t="n">
        <v>1</v>
      </c>
      <c r="D541" s="547" t="n">
        <f aca="false">E541+F541+G541+H541</f>
        <v>130</v>
      </c>
      <c r="E541" s="547" t="n">
        <v>60</v>
      </c>
      <c r="F541" s="912" t="n">
        <v>50</v>
      </c>
      <c r="G541" s="912" t="n">
        <v>20</v>
      </c>
      <c r="H541" s="912"/>
      <c r="I541" s="912"/>
      <c r="J541" s="679"/>
      <c r="K541" s="679"/>
    </row>
    <row r="542" customFormat="false" ht="15" hidden="false" customHeight="false" outlineLevel="0" collapsed="false">
      <c r="A542" s="28" t="s">
        <v>897</v>
      </c>
      <c r="B542" s="40" t="s">
        <v>3243</v>
      </c>
      <c r="C542" s="912" t="n">
        <v>1</v>
      </c>
      <c r="D542" s="547" t="n">
        <f aca="false">E542+F542+G542+H542</f>
        <v>570</v>
      </c>
      <c r="E542" s="476" t="n">
        <v>200</v>
      </c>
      <c r="F542" s="820" t="n">
        <v>280</v>
      </c>
      <c r="G542" s="912"/>
      <c r="H542" s="912" t="n">
        <v>90</v>
      </c>
      <c r="I542" s="912"/>
      <c r="J542" s="679"/>
      <c r="K542" s="679"/>
    </row>
    <row r="543" customFormat="false" ht="15" hidden="false" customHeight="false" outlineLevel="0" collapsed="false">
      <c r="A543" s="28" t="s">
        <v>899</v>
      </c>
      <c r="B543" s="40" t="s">
        <v>3244</v>
      </c>
      <c r="C543" s="912" t="n">
        <v>1</v>
      </c>
      <c r="D543" s="547" t="n">
        <f aca="false">E543+F543+G543+H543</f>
        <v>240</v>
      </c>
      <c r="E543" s="547" t="n">
        <v>30</v>
      </c>
      <c r="F543" s="912" t="n">
        <v>120</v>
      </c>
      <c r="G543" s="912"/>
      <c r="H543" s="912" t="n">
        <v>90</v>
      </c>
      <c r="I543" s="912" t="n">
        <v>30</v>
      </c>
      <c r="J543" s="679"/>
      <c r="K543" s="679"/>
    </row>
    <row r="544" customFormat="false" ht="15" hidden="false" customHeight="false" outlineLevel="0" collapsed="false">
      <c r="A544" s="28" t="s">
        <v>901</v>
      </c>
      <c r="B544" s="40" t="s">
        <v>3245</v>
      </c>
      <c r="C544" s="912" t="n">
        <v>1</v>
      </c>
      <c r="D544" s="547" t="n">
        <f aca="false">E544+F544+G544+H544</f>
        <v>60</v>
      </c>
      <c r="E544" s="547" t="n">
        <v>20</v>
      </c>
      <c r="F544" s="912" t="n">
        <v>20</v>
      </c>
      <c r="G544" s="912"/>
      <c r="H544" s="912" t="n">
        <v>20</v>
      </c>
      <c r="I544" s="912" t="n">
        <v>20</v>
      </c>
      <c r="J544" s="679"/>
      <c r="K544" s="679"/>
    </row>
    <row r="545" customFormat="false" ht="15" hidden="false" customHeight="false" outlineLevel="0" collapsed="false">
      <c r="A545" s="28" t="s">
        <v>902</v>
      </c>
      <c r="B545" s="40" t="s">
        <v>903</v>
      </c>
      <c r="C545" s="912" t="n">
        <v>1</v>
      </c>
      <c r="D545" s="547" t="n">
        <f aca="false">E545+F545+G545+H545</f>
        <v>140</v>
      </c>
      <c r="E545" s="547" t="n">
        <v>50</v>
      </c>
      <c r="F545" s="912" t="n">
        <v>40</v>
      </c>
      <c r="G545" s="912" t="n">
        <v>30</v>
      </c>
      <c r="H545" s="912" t="n">
        <v>20</v>
      </c>
      <c r="I545" s="912" t="n">
        <v>25</v>
      </c>
      <c r="J545" s="679"/>
      <c r="K545" s="679"/>
    </row>
    <row r="546" customFormat="false" ht="15" hidden="false" customHeight="false" outlineLevel="0" collapsed="false">
      <c r="A546" s="28" t="s">
        <v>904</v>
      </c>
      <c r="B546" s="40" t="s">
        <v>905</v>
      </c>
      <c r="C546" s="912" t="n">
        <v>1</v>
      </c>
      <c r="D546" s="547" t="n">
        <f aca="false">E546+F546+G546+H546</f>
        <v>90</v>
      </c>
      <c r="E546" s="547" t="n">
        <v>40</v>
      </c>
      <c r="F546" s="912" t="n">
        <v>40</v>
      </c>
      <c r="G546" s="912" t="n">
        <v>10</v>
      </c>
      <c r="H546" s="912"/>
      <c r="I546" s="912" t="n">
        <v>40</v>
      </c>
      <c r="J546" s="679"/>
      <c r="K546" s="679"/>
    </row>
    <row r="547" customFormat="false" ht="15" hidden="false" customHeight="false" outlineLevel="0" collapsed="false">
      <c r="A547" s="28" t="s">
        <v>906</v>
      </c>
      <c r="B547" s="40" t="s">
        <v>3246</v>
      </c>
      <c r="C547" s="912" t="n">
        <v>1</v>
      </c>
      <c r="D547" s="547" t="n">
        <f aca="false">E547+F547+G547+H547</f>
        <v>105</v>
      </c>
      <c r="E547" s="547" t="n">
        <v>40</v>
      </c>
      <c r="F547" s="912" t="n">
        <v>40</v>
      </c>
      <c r="G547" s="912" t="n">
        <v>25</v>
      </c>
      <c r="H547" s="912"/>
      <c r="I547" s="912" t="n">
        <v>25</v>
      </c>
      <c r="J547" s="679"/>
      <c r="K547" s="679"/>
    </row>
    <row r="548" customFormat="false" ht="15" hidden="false" customHeight="false" outlineLevel="0" collapsed="false">
      <c r="A548" s="28" t="s">
        <v>908</v>
      </c>
      <c r="B548" s="40" t="s">
        <v>909</v>
      </c>
      <c r="C548" s="912" t="n">
        <v>1</v>
      </c>
      <c r="D548" s="547" t="n">
        <f aca="false">E548+F548+G548+H548</f>
        <v>85</v>
      </c>
      <c r="E548" s="547" t="n">
        <v>40</v>
      </c>
      <c r="F548" s="912" t="n">
        <v>35</v>
      </c>
      <c r="G548" s="912" t="n">
        <v>10</v>
      </c>
      <c r="H548" s="912"/>
      <c r="I548" s="912" t="n">
        <v>25</v>
      </c>
      <c r="J548" s="679"/>
      <c r="K548" s="679"/>
    </row>
    <row r="549" customFormat="false" ht="15" hidden="false" customHeight="false" outlineLevel="0" collapsed="false">
      <c r="A549" s="28" t="s">
        <v>910</v>
      </c>
      <c r="B549" s="40" t="s">
        <v>911</v>
      </c>
      <c r="C549" s="912" t="n">
        <v>1</v>
      </c>
      <c r="D549" s="547" t="n">
        <f aca="false">E549+F549+G549+H549</f>
        <v>70</v>
      </c>
      <c r="E549" s="547" t="n">
        <v>30</v>
      </c>
      <c r="F549" s="912" t="n">
        <v>30</v>
      </c>
      <c r="G549" s="912" t="n">
        <v>10</v>
      </c>
      <c r="H549" s="912"/>
      <c r="I549" s="912" t="n">
        <v>25</v>
      </c>
      <c r="J549" s="679"/>
      <c r="K549" s="679"/>
    </row>
    <row r="550" customFormat="false" ht="15" hidden="false" customHeight="false" outlineLevel="0" collapsed="false">
      <c r="A550" s="28" t="s">
        <v>912</v>
      </c>
      <c r="B550" s="40" t="s">
        <v>3247</v>
      </c>
      <c r="C550" s="912" t="n">
        <v>1</v>
      </c>
      <c r="D550" s="547" t="n">
        <f aca="false">E550+F550+G550+H550</f>
        <v>100</v>
      </c>
      <c r="E550" s="547" t="n">
        <v>35</v>
      </c>
      <c r="F550" s="912" t="n">
        <v>35</v>
      </c>
      <c r="G550" s="912" t="n">
        <v>30</v>
      </c>
      <c r="H550" s="912"/>
      <c r="I550" s="912" t="n">
        <v>25</v>
      </c>
      <c r="J550" s="679"/>
      <c r="K550" s="679"/>
    </row>
    <row r="551" customFormat="false" ht="15" hidden="false" customHeight="false" outlineLevel="0" collapsed="false">
      <c r="A551" s="1657" t="s">
        <v>914</v>
      </c>
      <c r="B551" s="1658" t="s">
        <v>3248</v>
      </c>
      <c r="C551" s="1659"/>
      <c r="D551" s="1669"/>
      <c r="E551" s="1660"/>
      <c r="F551" s="1659"/>
      <c r="G551" s="1659"/>
      <c r="H551" s="1672"/>
      <c r="I551" s="1672"/>
      <c r="J551" s="1661"/>
      <c r="K551" s="1661"/>
    </row>
    <row r="552" customFormat="false" ht="45" hidden="false" customHeight="false" outlineLevel="0" collapsed="false">
      <c r="A552" s="28" t="s">
        <v>916</v>
      </c>
      <c r="B552" s="40" t="s">
        <v>3249</v>
      </c>
      <c r="C552" s="912" t="n">
        <v>1</v>
      </c>
      <c r="D552" s="547" t="n">
        <f aca="false">E552+F552+G552+H552</f>
        <v>40</v>
      </c>
      <c r="E552" s="547" t="n">
        <v>20</v>
      </c>
      <c r="F552" s="912" t="n">
        <v>20</v>
      </c>
      <c r="G552" s="912"/>
      <c r="H552" s="912" t="n">
        <v>0</v>
      </c>
      <c r="I552" s="912" t="n">
        <v>10</v>
      </c>
      <c r="J552" s="679"/>
      <c r="K552" s="679"/>
    </row>
    <row r="553" customFormat="false" ht="15" hidden="false" customHeight="false" outlineLevel="0" collapsed="false">
      <c r="A553" s="28" t="s">
        <v>918</v>
      </c>
      <c r="B553" s="59" t="s">
        <v>3250</v>
      </c>
      <c r="C553" s="912" t="n">
        <v>1</v>
      </c>
      <c r="D553" s="547" t="n">
        <f aca="false">E553+F553+G553+H553</f>
        <v>40</v>
      </c>
      <c r="E553" s="547" t="n">
        <v>20</v>
      </c>
      <c r="F553" s="912" t="n">
        <v>20</v>
      </c>
      <c r="G553" s="912"/>
      <c r="H553" s="912" t="n">
        <v>0</v>
      </c>
      <c r="I553" s="912" t="n">
        <v>10</v>
      </c>
      <c r="J553" s="679"/>
      <c r="K553" s="679"/>
    </row>
    <row r="554" customFormat="false" ht="15" hidden="false" customHeight="false" outlineLevel="0" collapsed="false">
      <c r="A554" s="28" t="s">
        <v>920</v>
      </c>
      <c r="B554" s="40" t="s">
        <v>3238</v>
      </c>
      <c r="C554" s="912" t="n">
        <v>1</v>
      </c>
      <c r="D554" s="547" t="n">
        <f aca="false">E554+F554+G554+H554</f>
        <v>55</v>
      </c>
      <c r="E554" s="547" t="n">
        <v>25</v>
      </c>
      <c r="F554" s="912" t="n">
        <v>25</v>
      </c>
      <c r="G554" s="912"/>
      <c r="H554" s="912" t="n">
        <v>5</v>
      </c>
      <c r="I554" s="912" t="n">
        <v>10</v>
      </c>
      <c r="J554" s="679"/>
      <c r="K554" s="679"/>
    </row>
    <row r="555" customFormat="false" ht="30" hidden="false" customHeight="false" outlineLevel="0" collapsed="false">
      <c r="A555" s="28" t="s">
        <v>921</v>
      </c>
      <c r="B555" s="49" t="s">
        <v>3251</v>
      </c>
      <c r="C555" s="912" t="n">
        <v>1</v>
      </c>
      <c r="D555" s="547" t="n">
        <f aca="false">E555+F555+G555+H555</f>
        <v>40</v>
      </c>
      <c r="E555" s="547" t="n">
        <v>20</v>
      </c>
      <c r="F555" s="912" t="n">
        <v>20</v>
      </c>
      <c r="G555" s="912"/>
      <c r="H555" s="912" t="n">
        <v>0</v>
      </c>
      <c r="I555" s="912" t="n">
        <v>20</v>
      </c>
      <c r="J555" s="679"/>
      <c r="K555" s="679"/>
    </row>
    <row r="556" customFormat="false" ht="15" hidden="false" customHeight="false" outlineLevel="0" collapsed="false">
      <c r="A556" s="28" t="s">
        <v>923</v>
      </c>
      <c r="B556" s="40" t="s">
        <v>3252</v>
      </c>
      <c r="C556" s="912" t="n">
        <v>1</v>
      </c>
      <c r="D556" s="547" t="n">
        <f aca="false">E556+F556+G556+H556</f>
        <v>50</v>
      </c>
      <c r="E556" s="547" t="n">
        <v>25</v>
      </c>
      <c r="F556" s="912" t="n">
        <v>25</v>
      </c>
      <c r="G556" s="912"/>
      <c r="H556" s="912"/>
      <c r="I556" s="912" t="n">
        <v>20</v>
      </c>
      <c r="J556" s="679"/>
      <c r="K556" s="679"/>
    </row>
    <row r="557" customFormat="false" ht="15" hidden="false" customHeight="false" outlineLevel="0" collapsed="false">
      <c r="A557" s="28" t="s">
        <v>925</v>
      </c>
      <c r="B557" s="40" t="s">
        <v>3253</v>
      </c>
      <c r="C557" s="912" t="n">
        <v>1</v>
      </c>
      <c r="D557" s="547" t="n">
        <f aca="false">E557+F557+G557+H557</f>
        <v>30</v>
      </c>
      <c r="E557" s="547" t="n">
        <v>30</v>
      </c>
      <c r="F557" s="912"/>
      <c r="G557" s="912"/>
      <c r="H557" s="912"/>
      <c r="I557" s="912"/>
      <c r="J557" s="679"/>
      <c r="K557" s="679"/>
    </row>
    <row r="558" customFormat="false" ht="15" hidden="false" customHeight="false" outlineLevel="0" collapsed="false">
      <c r="A558" s="28" t="s">
        <v>927</v>
      </c>
      <c r="B558" s="40" t="s">
        <v>3254</v>
      </c>
      <c r="C558" s="912" t="n">
        <v>1</v>
      </c>
      <c r="D558" s="547" t="n">
        <f aca="false">E558+F558+G558+H558</f>
        <v>75</v>
      </c>
      <c r="E558" s="547" t="n">
        <v>40</v>
      </c>
      <c r="F558" s="912" t="n">
        <v>30</v>
      </c>
      <c r="G558" s="912"/>
      <c r="H558" s="912" t="n">
        <v>5</v>
      </c>
      <c r="I558" s="912" t="n">
        <v>10</v>
      </c>
      <c r="J558" s="679"/>
      <c r="K558" s="679"/>
    </row>
    <row r="559" customFormat="false" ht="30" hidden="false" customHeight="false" outlineLevel="0" collapsed="false">
      <c r="A559" s="28" t="s">
        <v>928</v>
      </c>
      <c r="B559" s="40" t="s">
        <v>3255</v>
      </c>
      <c r="C559" s="912" t="n">
        <v>1</v>
      </c>
      <c r="D559" s="547" t="n">
        <f aca="false">E559+F559+G559+H559</f>
        <v>60</v>
      </c>
      <c r="E559" s="547" t="n">
        <v>30</v>
      </c>
      <c r="F559" s="912" t="n">
        <v>25</v>
      </c>
      <c r="G559" s="912"/>
      <c r="H559" s="912" t="n">
        <v>5</v>
      </c>
      <c r="I559" s="912" t="n">
        <v>10</v>
      </c>
      <c r="J559" s="679"/>
      <c r="K559" s="679"/>
    </row>
    <row r="560" customFormat="false" ht="15" hidden="false" customHeight="false" outlineLevel="0" collapsed="false">
      <c r="A560" s="28" t="s">
        <v>930</v>
      </c>
      <c r="B560" s="40" t="s">
        <v>3256</v>
      </c>
      <c r="C560" s="912" t="n">
        <v>1</v>
      </c>
      <c r="D560" s="547" t="n">
        <f aca="false">E560+F560+G560+H560</f>
        <v>70</v>
      </c>
      <c r="E560" s="547" t="n">
        <v>35</v>
      </c>
      <c r="F560" s="912" t="n">
        <v>30</v>
      </c>
      <c r="G560" s="912"/>
      <c r="H560" s="912" t="n">
        <v>5</v>
      </c>
      <c r="I560" s="912" t="n">
        <v>10</v>
      </c>
      <c r="J560" s="679"/>
      <c r="K560" s="679"/>
    </row>
    <row r="561" customFormat="false" ht="15" hidden="false" customHeight="false" outlineLevel="0" collapsed="false">
      <c r="A561" s="28" t="s">
        <v>931</v>
      </c>
      <c r="B561" s="40" t="s">
        <v>3257</v>
      </c>
      <c r="C561" s="912" t="n">
        <v>1</v>
      </c>
      <c r="D561" s="547" t="n">
        <f aca="false">E561+F561+G561+H561</f>
        <v>65</v>
      </c>
      <c r="E561" s="547" t="n">
        <v>30</v>
      </c>
      <c r="F561" s="912" t="n">
        <v>30</v>
      </c>
      <c r="G561" s="912"/>
      <c r="H561" s="912" t="n">
        <v>5</v>
      </c>
      <c r="I561" s="912" t="n">
        <v>10</v>
      </c>
      <c r="J561" s="679"/>
      <c r="K561" s="679"/>
    </row>
    <row r="562" customFormat="false" ht="15" hidden="false" customHeight="false" outlineLevel="0" collapsed="false">
      <c r="A562" s="28" t="s">
        <v>933</v>
      </c>
      <c r="B562" s="40" t="s">
        <v>3258</v>
      </c>
      <c r="C562" s="912" t="n">
        <v>1</v>
      </c>
      <c r="D562" s="547" t="n">
        <f aca="false">E562+F562+G562+H562</f>
        <v>60</v>
      </c>
      <c r="E562" s="547" t="n">
        <v>30</v>
      </c>
      <c r="F562" s="912" t="n">
        <v>25</v>
      </c>
      <c r="G562" s="912"/>
      <c r="H562" s="912" t="n">
        <v>5</v>
      </c>
      <c r="I562" s="912" t="n">
        <v>10</v>
      </c>
      <c r="J562" s="679"/>
      <c r="K562" s="679"/>
    </row>
    <row r="563" customFormat="false" ht="15" hidden="false" customHeight="false" outlineLevel="0" collapsed="false">
      <c r="A563" s="28" t="s">
        <v>935</v>
      </c>
      <c r="B563" s="40" t="s">
        <v>3259</v>
      </c>
      <c r="C563" s="912" t="n">
        <v>1</v>
      </c>
      <c r="D563" s="547" t="n">
        <f aca="false">E563+F563+G563+H563</f>
        <v>55</v>
      </c>
      <c r="E563" s="547" t="n">
        <v>30</v>
      </c>
      <c r="F563" s="912" t="n">
        <v>20</v>
      </c>
      <c r="G563" s="912"/>
      <c r="H563" s="912" t="n">
        <v>5</v>
      </c>
      <c r="I563" s="912" t="n">
        <v>20</v>
      </c>
      <c r="J563" s="679"/>
      <c r="K563" s="679"/>
    </row>
    <row r="564" customFormat="false" ht="15" hidden="false" customHeight="false" outlineLevel="0" collapsed="false">
      <c r="A564" s="28" t="s">
        <v>937</v>
      </c>
      <c r="B564" s="40" t="s">
        <v>3260</v>
      </c>
      <c r="C564" s="912" t="n">
        <v>1</v>
      </c>
      <c r="D564" s="547" t="n">
        <f aca="false">E564+F564+G564+H564</f>
        <v>80</v>
      </c>
      <c r="E564" s="547" t="n">
        <v>40</v>
      </c>
      <c r="F564" s="912" t="n">
        <v>35</v>
      </c>
      <c r="G564" s="912"/>
      <c r="H564" s="912" t="n">
        <v>5</v>
      </c>
      <c r="I564" s="912" t="n">
        <v>10</v>
      </c>
      <c r="J564" s="679"/>
      <c r="K564" s="679"/>
    </row>
    <row r="565" customFormat="false" ht="15" hidden="false" customHeight="false" outlineLevel="0" collapsed="false">
      <c r="A565" s="28" t="s">
        <v>939</v>
      </c>
      <c r="B565" s="40" t="s">
        <v>3261</v>
      </c>
      <c r="C565" s="912" t="n">
        <v>1</v>
      </c>
      <c r="D565" s="547" t="n">
        <f aca="false">E565+F565+G565+H565</f>
        <v>75</v>
      </c>
      <c r="E565" s="547" t="n">
        <v>40</v>
      </c>
      <c r="F565" s="912" t="n">
        <v>30</v>
      </c>
      <c r="G565" s="912"/>
      <c r="H565" s="912" t="n">
        <v>5</v>
      </c>
      <c r="I565" s="912" t="n">
        <v>10</v>
      </c>
      <c r="J565" s="679"/>
      <c r="K565" s="679"/>
    </row>
    <row r="566" customFormat="false" ht="15" hidden="false" customHeight="false" outlineLevel="0" collapsed="false">
      <c r="A566" s="28" t="s">
        <v>940</v>
      </c>
      <c r="B566" s="40" t="s">
        <v>3262</v>
      </c>
      <c r="C566" s="912" t="n">
        <v>1</v>
      </c>
      <c r="D566" s="547" t="n">
        <f aca="false">E566+F566+G566+H566</f>
        <v>30</v>
      </c>
      <c r="E566" s="547" t="n">
        <v>30</v>
      </c>
      <c r="F566" s="912"/>
      <c r="G566" s="912"/>
      <c r="H566" s="912"/>
      <c r="I566" s="912"/>
      <c r="J566" s="679"/>
      <c r="K566" s="679"/>
    </row>
    <row r="567" customFormat="false" ht="15" hidden="false" customHeight="false" outlineLevel="0" collapsed="false">
      <c r="A567" s="28" t="s">
        <v>942</v>
      </c>
      <c r="B567" s="40" t="s">
        <v>3263</v>
      </c>
      <c r="C567" s="912" t="n">
        <v>1</v>
      </c>
      <c r="D567" s="547" t="n">
        <f aca="false">E567+F567+G567+H567</f>
        <v>80</v>
      </c>
      <c r="E567" s="547" t="n">
        <v>40</v>
      </c>
      <c r="F567" s="912" t="n">
        <v>35</v>
      </c>
      <c r="G567" s="912"/>
      <c r="H567" s="912" t="n">
        <v>5</v>
      </c>
      <c r="I567" s="912" t="n">
        <v>10</v>
      </c>
      <c r="J567" s="679"/>
      <c r="K567" s="679"/>
    </row>
    <row r="568" customFormat="false" ht="24.75" hidden="false" customHeight="true" outlineLevel="0" collapsed="false">
      <c r="A568" s="28" t="s">
        <v>944</v>
      </c>
      <c r="B568" s="40" t="s">
        <v>3264</v>
      </c>
      <c r="C568" s="912" t="n">
        <v>1</v>
      </c>
      <c r="D568" s="547" t="n">
        <f aca="false">E568+F568+G568+H568</f>
        <v>65</v>
      </c>
      <c r="E568" s="547" t="n">
        <v>30</v>
      </c>
      <c r="F568" s="912" t="n">
        <v>30</v>
      </c>
      <c r="G568" s="912"/>
      <c r="H568" s="912" t="n">
        <v>5</v>
      </c>
      <c r="I568" s="912" t="n">
        <v>10</v>
      </c>
      <c r="J568" s="679"/>
      <c r="K568" s="679"/>
    </row>
    <row r="569" customFormat="false" ht="30" hidden="false" customHeight="false" outlineLevel="0" collapsed="false">
      <c r="A569" s="28" t="s">
        <v>946</v>
      </c>
      <c r="B569" s="40" t="s">
        <v>3265</v>
      </c>
      <c r="C569" s="912" t="n">
        <v>1</v>
      </c>
      <c r="D569" s="547" t="n">
        <f aca="false">E569+F569+G569+H569</f>
        <v>55</v>
      </c>
      <c r="E569" s="547" t="n">
        <v>30</v>
      </c>
      <c r="F569" s="912" t="n">
        <v>20</v>
      </c>
      <c r="G569" s="912"/>
      <c r="H569" s="912" t="n">
        <v>5</v>
      </c>
      <c r="I569" s="912" t="n">
        <v>20</v>
      </c>
      <c r="J569" s="679"/>
      <c r="K569" s="679"/>
    </row>
    <row r="570" customFormat="false" ht="15" hidden="false" customHeight="false" outlineLevel="0" collapsed="false">
      <c r="A570" s="28" t="s">
        <v>948</v>
      </c>
      <c r="B570" s="40" t="s">
        <v>3266</v>
      </c>
      <c r="C570" s="912" t="n">
        <v>1</v>
      </c>
      <c r="D570" s="547" t="n">
        <f aca="false">E570+F570+G570+H570</f>
        <v>65</v>
      </c>
      <c r="E570" s="547" t="n">
        <v>30</v>
      </c>
      <c r="F570" s="912" t="n">
        <v>30</v>
      </c>
      <c r="G570" s="912"/>
      <c r="H570" s="912" t="n">
        <v>5</v>
      </c>
      <c r="I570" s="912" t="n">
        <v>20</v>
      </c>
      <c r="J570" s="679"/>
      <c r="K570" s="679"/>
    </row>
    <row r="571" customFormat="false" ht="15" hidden="false" customHeight="false" outlineLevel="0" collapsed="false">
      <c r="A571" s="28" t="s">
        <v>950</v>
      </c>
      <c r="B571" s="40" t="s">
        <v>3267</v>
      </c>
      <c r="C571" s="912" t="n">
        <v>1</v>
      </c>
      <c r="D571" s="547" t="n">
        <f aca="false">E571+F571+G571+H571</f>
        <v>60</v>
      </c>
      <c r="E571" s="547" t="n">
        <v>30</v>
      </c>
      <c r="F571" s="912" t="n">
        <v>25</v>
      </c>
      <c r="G571" s="912"/>
      <c r="H571" s="912" t="n">
        <v>5</v>
      </c>
      <c r="I571" s="912" t="n">
        <v>20</v>
      </c>
      <c r="J571" s="679"/>
      <c r="K571" s="679"/>
    </row>
    <row r="572" customFormat="false" ht="15" hidden="false" customHeight="false" outlineLevel="0" collapsed="false">
      <c r="A572" s="28" t="s">
        <v>952</v>
      </c>
      <c r="B572" s="40" t="s">
        <v>3268</v>
      </c>
      <c r="C572" s="912" t="n">
        <v>1</v>
      </c>
      <c r="D572" s="547" t="n">
        <f aca="false">E572+F572+G572+H572</f>
        <v>60</v>
      </c>
      <c r="E572" s="547" t="n">
        <v>30</v>
      </c>
      <c r="F572" s="912" t="n">
        <v>25</v>
      </c>
      <c r="G572" s="912"/>
      <c r="H572" s="912" t="n">
        <v>5</v>
      </c>
      <c r="I572" s="912" t="n">
        <v>20</v>
      </c>
      <c r="J572" s="679"/>
      <c r="K572" s="679"/>
    </row>
    <row r="573" customFormat="false" ht="15" hidden="false" customHeight="false" outlineLevel="0" collapsed="false">
      <c r="A573" s="28" t="s">
        <v>954</v>
      </c>
      <c r="B573" s="40" t="s">
        <v>3269</v>
      </c>
      <c r="C573" s="912" t="n">
        <v>1</v>
      </c>
      <c r="D573" s="547" t="n">
        <f aca="false">E573+F573+G573+H573</f>
        <v>30</v>
      </c>
      <c r="E573" s="547" t="n">
        <v>30</v>
      </c>
      <c r="F573" s="912"/>
      <c r="G573" s="912"/>
      <c r="H573" s="912"/>
      <c r="I573" s="912"/>
      <c r="J573" s="679"/>
      <c r="K573" s="679"/>
    </row>
    <row r="574" customFormat="false" ht="15" hidden="false" customHeight="false" outlineLevel="0" collapsed="false">
      <c r="A574" s="28" t="s">
        <v>955</v>
      </c>
      <c r="B574" s="40" t="s">
        <v>3270</v>
      </c>
      <c r="C574" s="912" t="n">
        <v>1</v>
      </c>
      <c r="D574" s="547" t="n">
        <f aca="false">E574+F574+G574+H574</f>
        <v>65</v>
      </c>
      <c r="E574" s="547" t="n">
        <v>30</v>
      </c>
      <c r="F574" s="912" t="n">
        <v>30</v>
      </c>
      <c r="G574" s="912"/>
      <c r="H574" s="912" t="n">
        <v>5</v>
      </c>
      <c r="I574" s="912" t="n">
        <v>20</v>
      </c>
      <c r="J574" s="679"/>
      <c r="K574" s="679"/>
    </row>
    <row r="575" customFormat="false" ht="15" hidden="false" customHeight="false" outlineLevel="0" collapsed="false">
      <c r="A575" s="28" t="s">
        <v>957</v>
      </c>
      <c r="B575" s="40" t="s">
        <v>3271</v>
      </c>
      <c r="C575" s="912" t="n">
        <v>1</v>
      </c>
      <c r="D575" s="547" t="n">
        <f aca="false">E575+F575+G575+H575</f>
        <v>55</v>
      </c>
      <c r="E575" s="547" t="n">
        <v>25</v>
      </c>
      <c r="F575" s="912" t="n">
        <v>25</v>
      </c>
      <c r="G575" s="912"/>
      <c r="H575" s="912" t="n">
        <v>5</v>
      </c>
      <c r="I575" s="912" t="n">
        <v>20</v>
      </c>
      <c r="J575" s="679"/>
      <c r="K575" s="679"/>
    </row>
    <row r="576" customFormat="false" ht="15" hidden="false" customHeight="false" outlineLevel="0" collapsed="false">
      <c r="A576" s="28" t="s">
        <v>959</v>
      </c>
      <c r="B576" s="40" t="s">
        <v>3272</v>
      </c>
      <c r="C576" s="912" t="n">
        <v>1</v>
      </c>
      <c r="D576" s="1673" t="n">
        <f aca="false">E576+F576+G576+H576</f>
        <v>75</v>
      </c>
      <c r="E576" s="1673" t="n">
        <v>40</v>
      </c>
      <c r="F576" s="1674" t="n">
        <v>30</v>
      </c>
      <c r="G576" s="1674"/>
      <c r="H576" s="1674" t="n">
        <v>5</v>
      </c>
      <c r="I576" s="1674" t="n">
        <v>20</v>
      </c>
      <c r="J576" s="772"/>
      <c r="K576" s="772"/>
    </row>
    <row r="577" customFormat="false" ht="30" hidden="false" customHeight="false" outlineLevel="0" collapsed="false">
      <c r="A577" s="28" t="s">
        <v>961</v>
      </c>
      <c r="B577" s="60" t="s">
        <v>3273</v>
      </c>
      <c r="C577" s="912" t="n">
        <v>1</v>
      </c>
      <c r="D577" s="547" t="n">
        <f aca="false">E577+F577+G577+H577</f>
        <v>65</v>
      </c>
      <c r="E577" s="547" t="n">
        <v>30</v>
      </c>
      <c r="F577" s="912" t="n">
        <v>30</v>
      </c>
      <c r="G577" s="912"/>
      <c r="H577" s="912" t="n">
        <v>5</v>
      </c>
      <c r="I577" s="912" t="n">
        <v>10</v>
      </c>
      <c r="J577" s="702"/>
      <c r="K577" s="772"/>
    </row>
    <row r="578" customFormat="false" ht="15" hidden="false" customHeight="false" outlineLevel="0" collapsed="false">
      <c r="A578" s="28" t="s">
        <v>963</v>
      </c>
      <c r="B578" s="60" t="s">
        <v>3274</v>
      </c>
      <c r="C578" s="912" t="n">
        <v>1</v>
      </c>
      <c r="D578" s="547" t="n">
        <f aca="false">E578+F578+G578+H578</f>
        <v>30</v>
      </c>
      <c r="E578" s="547" t="n">
        <v>30</v>
      </c>
      <c r="F578" s="912"/>
      <c r="G578" s="912"/>
      <c r="H578" s="912"/>
      <c r="I578" s="912"/>
      <c r="J578" s="702"/>
      <c r="K578" s="772"/>
    </row>
    <row r="579" customFormat="false" ht="15" hidden="false" customHeight="false" outlineLevel="0" collapsed="false">
      <c r="A579" s="28" t="s">
        <v>965</v>
      </c>
      <c r="B579" s="60" t="s">
        <v>3275</v>
      </c>
      <c r="C579" s="912" t="n">
        <v>1</v>
      </c>
      <c r="D579" s="547" t="n">
        <f aca="false">E579+F579+G579+H579</f>
        <v>75</v>
      </c>
      <c r="E579" s="547" t="n">
        <v>40</v>
      </c>
      <c r="F579" s="912" t="n">
        <v>30</v>
      </c>
      <c r="G579" s="912"/>
      <c r="H579" s="912" t="n">
        <v>5</v>
      </c>
      <c r="I579" s="912" t="n">
        <v>10</v>
      </c>
      <c r="J579" s="702"/>
      <c r="K579" s="772"/>
    </row>
    <row r="580" customFormat="false" ht="15" hidden="false" customHeight="false" outlineLevel="0" collapsed="false">
      <c r="A580" s="28" t="s">
        <v>967</v>
      </c>
      <c r="B580" s="60" t="s">
        <v>3276</v>
      </c>
      <c r="C580" s="912" t="n">
        <v>1</v>
      </c>
      <c r="D580" s="547" t="n">
        <f aca="false">E580+F580+G580+H580</f>
        <v>65</v>
      </c>
      <c r="E580" s="547" t="n">
        <v>30</v>
      </c>
      <c r="F580" s="912" t="n">
        <v>30</v>
      </c>
      <c r="G580" s="912"/>
      <c r="H580" s="912" t="n">
        <v>5</v>
      </c>
      <c r="I580" s="912" t="n">
        <v>10</v>
      </c>
      <c r="J580" s="702"/>
      <c r="K580" s="772"/>
    </row>
    <row r="581" customFormat="false" ht="15" hidden="false" customHeight="false" outlineLevel="0" collapsed="false">
      <c r="A581" s="28" t="s">
        <v>969</v>
      </c>
      <c r="B581" s="60" t="s">
        <v>3277</v>
      </c>
      <c r="C581" s="912" t="n">
        <v>1</v>
      </c>
      <c r="D581" s="547" t="n">
        <f aca="false">E581+F581+G581+H581</f>
        <v>55</v>
      </c>
      <c r="E581" s="547" t="n">
        <v>30</v>
      </c>
      <c r="F581" s="912" t="n">
        <v>20</v>
      </c>
      <c r="G581" s="912"/>
      <c r="H581" s="912" t="n">
        <v>5</v>
      </c>
      <c r="I581" s="912" t="n">
        <v>20</v>
      </c>
      <c r="J581" s="702"/>
      <c r="K581" s="772"/>
    </row>
    <row r="582" customFormat="false" ht="15" hidden="false" customHeight="false" outlineLevel="0" collapsed="false">
      <c r="A582" s="28" t="s">
        <v>971</v>
      </c>
      <c r="B582" s="60" t="s">
        <v>3278</v>
      </c>
      <c r="C582" s="912" t="n">
        <v>1</v>
      </c>
      <c r="D582" s="547" t="n">
        <f aca="false">E582+F582+G582+H582</f>
        <v>55</v>
      </c>
      <c r="E582" s="547" t="n">
        <v>30</v>
      </c>
      <c r="F582" s="912" t="n">
        <v>20</v>
      </c>
      <c r="G582" s="912"/>
      <c r="H582" s="912" t="n">
        <v>5</v>
      </c>
      <c r="I582" s="912" t="n">
        <v>20</v>
      </c>
      <c r="J582" s="702"/>
      <c r="K582" s="772"/>
    </row>
    <row r="583" customFormat="false" ht="15" hidden="false" customHeight="false" outlineLevel="0" collapsed="false">
      <c r="A583" s="28" t="s">
        <v>973</v>
      </c>
      <c r="B583" s="60" t="s">
        <v>3279</v>
      </c>
      <c r="C583" s="912" t="n">
        <v>1</v>
      </c>
      <c r="D583" s="547" t="n">
        <f aca="false">E583+F583+G583+H583</f>
        <v>55</v>
      </c>
      <c r="E583" s="547" t="n">
        <v>30</v>
      </c>
      <c r="F583" s="912" t="n">
        <v>20</v>
      </c>
      <c r="G583" s="912"/>
      <c r="H583" s="912" t="n">
        <v>5</v>
      </c>
      <c r="I583" s="912" t="n">
        <v>20</v>
      </c>
      <c r="J583" s="702"/>
      <c r="K583" s="772"/>
    </row>
    <row r="584" customFormat="false" ht="15" hidden="false" customHeight="false" outlineLevel="0" collapsed="false">
      <c r="A584" s="28" t="s">
        <v>975</v>
      </c>
      <c r="B584" s="60" t="s">
        <v>3280</v>
      </c>
      <c r="C584" s="912" t="n">
        <v>1</v>
      </c>
      <c r="D584" s="547" t="n">
        <f aca="false">E584+F584+G584+H584</f>
        <v>65</v>
      </c>
      <c r="E584" s="547" t="n">
        <v>30</v>
      </c>
      <c r="F584" s="912" t="n">
        <v>30</v>
      </c>
      <c r="G584" s="912"/>
      <c r="H584" s="912" t="n">
        <v>5</v>
      </c>
      <c r="I584" s="912" t="n">
        <v>20</v>
      </c>
      <c r="J584" s="702"/>
      <c r="K584" s="772"/>
    </row>
    <row r="585" customFormat="false" ht="30" hidden="false" customHeight="false" outlineLevel="0" collapsed="false">
      <c r="A585" s="28" t="s">
        <v>977</v>
      </c>
      <c r="B585" s="60" t="s">
        <v>3281</v>
      </c>
      <c r="C585" s="912" t="n">
        <v>1</v>
      </c>
      <c r="D585" s="1673" t="n">
        <f aca="false">E585+F585+G585+H585</f>
        <v>75</v>
      </c>
      <c r="E585" s="1673" t="n">
        <v>40</v>
      </c>
      <c r="F585" s="1674" t="n">
        <v>30</v>
      </c>
      <c r="G585" s="1674"/>
      <c r="H585" s="1674" t="n">
        <v>5</v>
      </c>
      <c r="I585" s="1674" t="n">
        <v>20</v>
      </c>
      <c r="J585" s="702"/>
      <c r="K585" s="772"/>
    </row>
    <row r="586" customFormat="false" ht="42.75" hidden="false" customHeight="false" outlineLevel="0" collapsed="false">
      <c r="A586" s="15" t="s">
        <v>979</v>
      </c>
      <c r="B586" s="16" t="s">
        <v>3282</v>
      </c>
      <c r="C586" s="541"/>
      <c r="D586" s="712"/>
      <c r="E586" s="712"/>
      <c r="F586" s="541"/>
      <c r="G586" s="541"/>
      <c r="H586" s="541"/>
      <c r="I586" s="541"/>
      <c r="J586" s="600"/>
      <c r="K586" s="600"/>
    </row>
    <row r="587" customFormat="false" ht="45" hidden="false" customHeight="false" outlineLevel="0" collapsed="false">
      <c r="A587" s="28" t="s">
        <v>981</v>
      </c>
      <c r="B587" s="40" t="s">
        <v>3249</v>
      </c>
      <c r="C587" s="912" t="n">
        <v>1</v>
      </c>
      <c r="D587" s="1427" t="n">
        <f aca="false">E587+F587+G587+H587</f>
        <v>40</v>
      </c>
      <c r="E587" s="547" t="n">
        <v>20</v>
      </c>
      <c r="F587" s="912" t="n">
        <v>20</v>
      </c>
      <c r="G587" s="1675"/>
      <c r="H587" s="1675" t="n">
        <v>0</v>
      </c>
      <c r="I587" s="1675" t="n">
        <v>10</v>
      </c>
      <c r="J587" s="1676"/>
      <c r="K587" s="1676"/>
    </row>
    <row r="588" customFormat="false" ht="15" hidden="false" customHeight="false" outlineLevel="0" collapsed="false">
      <c r="A588" s="28" t="s">
        <v>982</v>
      </c>
      <c r="B588" s="59" t="s">
        <v>3283</v>
      </c>
      <c r="C588" s="912" t="n">
        <v>1</v>
      </c>
      <c r="D588" s="547" t="n">
        <f aca="false">E588+F588+G588+H588</f>
        <v>40</v>
      </c>
      <c r="E588" s="547" t="n">
        <v>20</v>
      </c>
      <c r="F588" s="912" t="n">
        <v>20</v>
      </c>
      <c r="G588" s="912"/>
      <c r="H588" s="912" t="n">
        <v>0</v>
      </c>
      <c r="I588" s="912" t="n">
        <v>10</v>
      </c>
      <c r="J588" s="679"/>
      <c r="K588" s="679"/>
    </row>
    <row r="589" customFormat="false" ht="15" hidden="false" customHeight="false" outlineLevel="0" collapsed="false">
      <c r="A589" s="28" t="s">
        <v>983</v>
      </c>
      <c r="B589" s="40" t="s">
        <v>3238</v>
      </c>
      <c r="C589" s="912" t="n">
        <v>1</v>
      </c>
      <c r="D589" s="547" t="n">
        <f aca="false">E589+F589+G589+H589</f>
        <v>55</v>
      </c>
      <c r="E589" s="547" t="n">
        <v>25</v>
      </c>
      <c r="F589" s="912" t="n">
        <v>25</v>
      </c>
      <c r="G589" s="912"/>
      <c r="H589" s="912" t="n">
        <v>5</v>
      </c>
      <c r="I589" s="912" t="n">
        <v>10</v>
      </c>
      <c r="J589" s="679"/>
      <c r="K589" s="679"/>
    </row>
    <row r="590" customFormat="false" ht="45" hidden="false" customHeight="false" outlineLevel="0" collapsed="false">
      <c r="A590" s="28" t="s">
        <v>984</v>
      </c>
      <c r="B590" s="40" t="s">
        <v>3284</v>
      </c>
      <c r="C590" s="912" t="n">
        <v>1</v>
      </c>
      <c r="D590" s="547" t="n">
        <f aca="false">E590+F590+G590+H590</f>
        <v>40</v>
      </c>
      <c r="E590" s="547" t="n">
        <v>20</v>
      </c>
      <c r="F590" s="912" t="n">
        <v>20</v>
      </c>
      <c r="G590" s="912"/>
      <c r="H590" s="912" t="n">
        <v>0</v>
      </c>
      <c r="I590" s="912" t="n">
        <v>20</v>
      </c>
      <c r="J590" s="679"/>
      <c r="K590" s="679"/>
    </row>
    <row r="591" customFormat="false" ht="15" hidden="false" customHeight="false" outlineLevel="0" collapsed="false">
      <c r="A591" s="28" t="s">
        <v>986</v>
      </c>
      <c r="B591" s="29" t="s">
        <v>3285</v>
      </c>
      <c r="C591" s="912" t="n">
        <v>1</v>
      </c>
      <c r="D591" s="547" t="n">
        <f aca="false">E591+F591+G591+H591</f>
        <v>60</v>
      </c>
      <c r="E591" s="547" t="n">
        <v>30</v>
      </c>
      <c r="F591" s="912" t="n">
        <v>25</v>
      </c>
      <c r="G591" s="912"/>
      <c r="H591" s="912" t="n">
        <v>5</v>
      </c>
      <c r="I591" s="912" t="n">
        <v>20</v>
      </c>
      <c r="J591" s="679"/>
      <c r="K591" s="679"/>
    </row>
    <row r="592" customFormat="false" ht="30" hidden="false" customHeight="false" outlineLevel="0" collapsed="false">
      <c r="A592" s="28" t="s">
        <v>987</v>
      </c>
      <c r="B592" s="29" t="s">
        <v>3286</v>
      </c>
      <c r="C592" s="912" t="n">
        <v>1</v>
      </c>
      <c r="D592" s="547" t="n">
        <f aca="false">E592+F592+G592+H592</f>
        <v>55</v>
      </c>
      <c r="E592" s="547" t="n">
        <v>25</v>
      </c>
      <c r="F592" s="912" t="n">
        <v>25</v>
      </c>
      <c r="G592" s="912"/>
      <c r="H592" s="912" t="n">
        <v>5</v>
      </c>
      <c r="I592" s="912" t="n">
        <v>20</v>
      </c>
      <c r="J592" s="679"/>
      <c r="K592" s="679"/>
    </row>
    <row r="593" customFormat="false" ht="15" hidden="false" customHeight="false" outlineLevel="0" collapsed="false">
      <c r="A593" s="28" t="s">
        <v>989</v>
      </c>
      <c r="B593" s="40" t="s">
        <v>3287</v>
      </c>
      <c r="C593" s="912" t="n">
        <v>1</v>
      </c>
      <c r="D593" s="1673" t="n">
        <f aca="false">E593+F593+G593+H593</f>
        <v>60</v>
      </c>
      <c r="E593" s="1673" t="n">
        <v>30</v>
      </c>
      <c r="F593" s="1674" t="n">
        <v>25</v>
      </c>
      <c r="G593" s="1674"/>
      <c r="H593" s="1674" t="n">
        <v>5</v>
      </c>
      <c r="I593" s="1674" t="n">
        <v>20</v>
      </c>
      <c r="J593" s="772"/>
      <c r="K593" s="772"/>
    </row>
    <row r="594" customFormat="false" ht="15" hidden="false" customHeight="false" outlineLevel="0" collapsed="false">
      <c r="A594" s="28" t="s">
        <v>990</v>
      </c>
      <c r="B594" s="40" t="s">
        <v>3288</v>
      </c>
      <c r="C594" s="912" t="n">
        <v>1</v>
      </c>
      <c r="D594" s="1673" t="n">
        <f aca="false">E594+F594+G594+H594</f>
        <v>60</v>
      </c>
      <c r="E594" s="1673" t="n">
        <v>30</v>
      </c>
      <c r="F594" s="1674" t="n">
        <v>25</v>
      </c>
      <c r="G594" s="1674"/>
      <c r="H594" s="1674" t="n">
        <v>5</v>
      </c>
      <c r="I594" s="1674" t="n">
        <v>20</v>
      </c>
      <c r="J594" s="772"/>
      <c r="K594" s="772"/>
    </row>
    <row r="595" customFormat="false" ht="15" hidden="false" customHeight="false" outlineLevel="0" collapsed="false">
      <c r="A595" s="15" t="s">
        <v>992</v>
      </c>
      <c r="B595" s="16" t="s">
        <v>3289</v>
      </c>
      <c r="C595" s="541"/>
      <c r="D595" s="712"/>
      <c r="E595" s="712"/>
      <c r="F595" s="541"/>
      <c r="G595" s="541"/>
      <c r="H595" s="541"/>
      <c r="I595" s="541"/>
      <c r="J595" s="600"/>
      <c r="K595" s="600"/>
    </row>
    <row r="596" customFormat="false" ht="45" hidden="false" customHeight="false" outlineLevel="0" collapsed="false">
      <c r="A596" s="28" t="s">
        <v>994</v>
      </c>
      <c r="B596" s="49" t="s">
        <v>3249</v>
      </c>
      <c r="C596" s="912" t="n">
        <v>1</v>
      </c>
      <c r="D596" s="1427" t="n">
        <f aca="false">E596+F596+G596+H596</f>
        <v>40</v>
      </c>
      <c r="E596" s="547" t="n">
        <v>20</v>
      </c>
      <c r="F596" s="912" t="n">
        <v>20</v>
      </c>
      <c r="G596" s="1675"/>
      <c r="H596" s="1675" t="n">
        <v>0</v>
      </c>
      <c r="I596" s="1675" t="n">
        <v>10</v>
      </c>
      <c r="J596" s="1676"/>
      <c r="K596" s="1676"/>
    </row>
    <row r="597" customFormat="false" ht="45" hidden="false" customHeight="false" outlineLevel="0" collapsed="false">
      <c r="A597" s="28" t="s">
        <v>995</v>
      </c>
      <c r="B597" s="49" t="s">
        <v>3290</v>
      </c>
      <c r="C597" s="912" t="n">
        <v>1</v>
      </c>
      <c r="D597" s="547" t="n">
        <f aca="false">E597+F597+G597+H597</f>
        <v>40</v>
      </c>
      <c r="E597" s="547" t="n">
        <v>20</v>
      </c>
      <c r="F597" s="912" t="n">
        <v>20</v>
      </c>
      <c r="G597" s="912"/>
      <c r="H597" s="912" t="n">
        <v>0</v>
      </c>
      <c r="I597" s="912" t="n">
        <v>20</v>
      </c>
      <c r="J597" s="679"/>
      <c r="K597" s="679"/>
    </row>
    <row r="598" customFormat="false" ht="15" hidden="false" customHeight="false" outlineLevel="0" collapsed="false">
      <c r="A598" s="28" t="s">
        <v>997</v>
      </c>
      <c r="B598" s="49" t="s">
        <v>3291</v>
      </c>
      <c r="C598" s="912" t="n">
        <v>1</v>
      </c>
      <c r="D598" s="547" t="n">
        <f aca="false">E598+F598+G598+H598</f>
        <v>70</v>
      </c>
      <c r="E598" s="547" t="n">
        <v>30</v>
      </c>
      <c r="F598" s="912" t="n">
        <v>30</v>
      </c>
      <c r="G598" s="912"/>
      <c r="H598" s="912" t="n">
        <v>10</v>
      </c>
      <c r="I598" s="912" t="n">
        <v>20</v>
      </c>
      <c r="J598" s="679"/>
      <c r="K598" s="679"/>
    </row>
    <row r="599" customFormat="false" ht="15" hidden="false" customHeight="false" outlineLevel="0" collapsed="false">
      <c r="A599" s="28" t="s">
        <v>998</v>
      </c>
      <c r="B599" s="49" t="s">
        <v>2889</v>
      </c>
      <c r="C599" s="912" t="n">
        <v>1</v>
      </c>
      <c r="D599" s="547" t="n">
        <f aca="false">E599+F599+G599+H599</f>
        <v>65</v>
      </c>
      <c r="E599" s="547" t="n">
        <v>30</v>
      </c>
      <c r="F599" s="912" t="n">
        <v>30</v>
      </c>
      <c r="G599" s="912"/>
      <c r="H599" s="912" t="n">
        <v>5</v>
      </c>
      <c r="I599" s="912" t="n">
        <v>10</v>
      </c>
      <c r="J599" s="679"/>
      <c r="K599" s="679"/>
    </row>
    <row r="600" customFormat="false" ht="15" hidden="false" customHeight="false" outlineLevel="0" collapsed="false">
      <c r="A600" s="28" t="s">
        <v>999</v>
      </c>
      <c r="B600" s="49" t="s">
        <v>3292</v>
      </c>
      <c r="C600" s="912" t="n">
        <v>1</v>
      </c>
      <c r="D600" s="547" t="n">
        <f aca="false">E600+F600+G600+H600</f>
        <v>80</v>
      </c>
      <c r="E600" s="547" t="n">
        <v>40</v>
      </c>
      <c r="F600" s="912" t="n">
        <v>35</v>
      </c>
      <c r="G600" s="912"/>
      <c r="H600" s="912" t="n">
        <v>5</v>
      </c>
      <c r="I600" s="912" t="n">
        <v>20</v>
      </c>
      <c r="J600" s="679"/>
      <c r="K600" s="679"/>
    </row>
    <row r="601" customFormat="false" ht="30" hidden="false" customHeight="false" outlineLevel="0" collapsed="false">
      <c r="A601" s="28" t="s">
        <v>1001</v>
      </c>
      <c r="B601" s="49" t="s">
        <v>3293</v>
      </c>
      <c r="C601" s="912" t="n">
        <v>1</v>
      </c>
      <c r="D601" s="547" t="n">
        <f aca="false">E601+F601+G601+H601</f>
        <v>65</v>
      </c>
      <c r="E601" s="547" t="n">
        <v>30</v>
      </c>
      <c r="F601" s="912" t="n">
        <v>30</v>
      </c>
      <c r="G601" s="912"/>
      <c r="H601" s="912" t="n">
        <v>5</v>
      </c>
      <c r="I601" s="912" t="n">
        <v>20</v>
      </c>
      <c r="J601" s="679"/>
      <c r="K601" s="679"/>
    </row>
    <row r="602" customFormat="false" ht="30" hidden="false" customHeight="false" outlineLevel="0" collapsed="false">
      <c r="A602" s="28" t="s">
        <v>1003</v>
      </c>
      <c r="B602" s="49" t="s">
        <v>3294</v>
      </c>
      <c r="C602" s="912" t="n">
        <v>1</v>
      </c>
      <c r="D602" s="547" t="n">
        <f aca="false">E602+F602+G602+H602</f>
        <v>50</v>
      </c>
      <c r="E602" s="547" t="n">
        <v>25</v>
      </c>
      <c r="F602" s="912" t="n">
        <v>20</v>
      </c>
      <c r="G602" s="912"/>
      <c r="H602" s="912" t="n">
        <v>5</v>
      </c>
      <c r="I602" s="912" t="n">
        <v>20</v>
      </c>
      <c r="J602" s="679"/>
      <c r="K602" s="679"/>
    </row>
    <row r="603" customFormat="false" ht="30" hidden="false" customHeight="false" outlineLevel="0" collapsed="false">
      <c r="A603" s="28" t="s">
        <v>1005</v>
      </c>
      <c r="B603" s="49" t="s">
        <v>3295</v>
      </c>
      <c r="C603" s="912" t="n">
        <v>1</v>
      </c>
      <c r="D603" s="547" t="n">
        <f aca="false">E603+F603+G603+H603</f>
        <v>65</v>
      </c>
      <c r="E603" s="547" t="n">
        <v>30</v>
      </c>
      <c r="F603" s="912" t="n">
        <v>30</v>
      </c>
      <c r="G603" s="912"/>
      <c r="H603" s="912" t="n">
        <v>5</v>
      </c>
      <c r="I603" s="912" t="n">
        <v>20</v>
      </c>
      <c r="J603" s="679"/>
      <c r="K603" s="679"/>
    </row>
    <row r="604" customFormat="false" ht="30" hidden="false" customHeight="false" outlineLevel="0" collapsed="false">
      <c r="A604" s="28" t="s">
        <v>1007</v>
      </c>
      <c r="B604" s="49" t="s">
        <v>3296</v>
      </c>
      <c r="C604" s="912" t="n">
        <v>1</v>
      </c>
      <c r="D604" s="547" t="n">
        <f aca="false">E604+F604+G604+H604</f>
        <v>95</v>
      </c>
      <c r="E604" s="547" t="n">
        <v>50</v>
      </c>
      <c r="F604" s="912" t="n">
        <v>40</v>
      </c>
      <c r="G604" s="912"/>
      <c r="H604" s="912" t="n">
        <v>5</v>
      </c>
      <c r="I604" s="912" t="n">
        <v>20</v>
      </c>
      <c r="J604" s="679"/>
      <c r="K604" s="679"/>
    </row>
    <row r="605" customFormat="false" ht="30" hidden="false" customHeight="false" outlineLevel="0" collapsed="false">
      <c r="A605" s="28" t="s">
        <v>1009</v>
      </c>
      <c r="B605" s="49" t="s">
        <v>3297</v>
      </c>
      <c r="C605" s="912" t="n">
        <v>1</v>
      </c>
      <c r="D605" s="547" t="n">
        <f aca="false">E605+F605+G605+H605</f>
        <v>55</v>
      </c>
      <c r="E605" s="547" t="n">
        <v>25</v>
      </c>
      <c r="F605" s="912" t="n">
        <v>25</v>
      </c>
      <c r="G605" s="912"/>
      <c r="H605" s="912" t="n">
        <v>5</v>
      </c>
      <c r="I605" s="912" t="n">
        <v>20</v>
      </c>
      <c r="J605" s="679"/>
      <c r="K605" s="679"/>
    </row>
    <row r="606" customFormat="false" ht="30" hidden="false" customHeight="false" outlineLevel="0" collapsed="false">
      <c r="A606" s="28" t="s">
        <v>1011</v>
      </c>
      <c r="B606" s="49" t="s">
        <v>3298</v>
      </c>
      <c r="C606" s="912" t="n">
        <v>1</v>
      </c>
      <c r="D606" s="547" t="n">
        <f aca="false">E606+F606+G606+H606</f>
        <v>45</v>
      </c>
      <c r="E606" s="547" t="n">
        <v>20</v>
      </c>
      <c r="F606" s="912" t="n">
        <v>20</v>
      </c>
      <c r="G606" s="912"/>
      <c r="H606" s="912" t="n">
        <v>5</v>
      </c>
      <c r="I606" s="912" t="n">
        <v>20</v>
      </c>
      <c r="J606" s="679"/>
      <c r="K606" s="679"/>
    </row>
    <row r="607" customFormat="false" ht="21" hidden="false" customHeight="true" outlineLevel="0" collapsed="false">
      <c r="A607" s="28" t="s">
        <v>1013</v>
      </c>
      <c r="B607" s="49" t="s">
        <v>3299</v>
      </c>
      <c r="C607" s="912" t="n">
        <v>1</v>
      </c>
      <c r="D607" s="547" t="n">
        <f aca="false">E607+F607+G607+H607</f>
        <v>70</v>
      </c>
      <c r="E607" s="547" t="n">
        <v>35</v>
      </c>
      <c r="F607" s="912" t="n">
        <v>30</v>
      </c>
      <c r="G607" s="912"/>
      <c r="H607" s="912" t="n">
        <v>5</v>
      </c>
      <c r="I607" s="912" t="n">
        <v>20</v>
      </c>
      <c r="J607" s="679"/>
      <c r="K607" s="679"/>
    </row>
    <row r="608" customFormat="false" ht="15" hidden="false" customHeight="false" outlineLevel="0" collapsed="false">
      <c r="A608" s="28" t="s">
        <v>1015</v>
      </c>
      <c r="B608" s="49" t="s">
        <v>3300</v>
      </c>
      <c r="C608" s="912" t="n">
        <v>1</v>
      </c>
      <c r="D608" s="547" t="n">
        <f aca="false">E608+F608+G608+H608</f>
        <v>70</v>
      </c>
      <c r="E608" s="547" t="n">
        <v>35</v>
      </c>
      <c r="F608" s="912" t="n">
        <v>30</v>
      </c>
      <c r="G608" s="912"/>
      <c r="H608" s="912" t="n">
        <v>5</v>
      </c>
      <c r="I608" s="912" t="n">
        <v>20</v>
      </c>
      <c r="J608" s="679"/>
      <c r="K608" s="679"/>
    </row>
    <row r="609" customFormat="false" ht="15" hidden="false" customHeight="false" outlineLevel="0" collapsed="false">
      <c r="A609" s="28" t="s">
        <v>1017</v>
      </c>
      <c r="B609" s="49" t="s">
        <v>3301</v>
      </c>
      <c r="C609" s="912" t="n">
        <v>1</v>
      </c>
      <c r="D609" s="547" t="n">
        <f aca="false">E609+F609+G609+H609</f>
        <v>55</v>
      </c>
      <c r="E609" s="547" t="n">
        <v>25</v>
      </c>
      <c r="F609" s="912" t="n">
        <v>25</v>
      </c>
      <c r="G609" s="912"/>
      <c r="H609" s="912" t="n">
        <v>5</v>
      </c>
      <c r="I609" s="912" t="n">
        <v>20</v>
      </c>
      <c r="J609" s="679"/>
      <c r="K609" s="679"/>
    </row>
    <row r="610" customFormat="false" ht="42.75" hidden="false" customHeight="true" outlineLevel="0" collapsed="false">
      <c r="A610" s="28" t="s">
        <v>1019</v>
      </c>
      <c r="B610" s="49" t="s">
        <v>3302</v>
      </c>
      <c r="C610" s="912" t="n">
        <v>1</v>
      </c>
      <c r="D610" s="547" t="n">
        <f aca="false">E610+F610+G610+H610</f>
        <v>55</v>
      </c>
      <c r="E610" s="547" t="n">
        <v>25</v>
      </c>
      <c r="F610" s="912" t="n">
        <v>25</v>
      </c>
      <c r="G610" s="912"/>
      <c r="H610" s="912" t="n">
        <v>5</v>
      </c>
      <c r="I610" s="912" t="n">
        <v>20</v>
      </c>
      <c r="J610" s="679"/>
      <c r="K610" s="679"/>
    </row>
    <row r="611" customFormat="false" ht="30" hidden="false" customHeight="false" outlineLevel="0" collapsed="false">
      <c r="A611" s="28" t="s">
        <v>1021</v>
      </c>
      <c r="B611" s="49" t="s">
        <v>3303</v>
      </c>
      <c r="C611" s="912" t="n">
        <v>1</v>
      </c>
      <c r="D611" s="547" t="n">
        <f aca="false">E611+F611+G611+H611</f>
        <v>50</v>
      </c>
      <c r="E611" s="547" t="n">
        <v>25</v>
      </c>
      <c r="F611" s="912" t="n">
        <v>20</v>
      </c>
      <c r="G611" s="912"/>
      <c r="H611" s="912" t="n">
        <v>5</v>
      </c>
      <c r="I611" s="912" t="n">
        <v>20</v>
      </c>
      <c r="J611" s="679"/>
      <c r="K611" s="679"/>
    </row>
    <row r="612" customFormat="false" ht="15" hidden="false" customHeight="false" outlineLevel="0" collapsed="false">
      <c r="A612" s="28" t="s">
        <v>1023</v>
      </c>
      <c r="B612" s="49" t="s">
        <v>3304</v>
      </c>
      <c r="C612" s="912" t="n">
        <v>1</v>
      </c>
      <c r="D612" s="547" t="n">
        <f aca="false">E612+F612+G612+H612</f>
        <v>50</v>
      </c>
      <c r="E612" s="547" t="n">
        <v>25</v>
      </c>
      <c r="F612" s="912" t="n">
        <v>20</v>
      </c>
      <c r="G612" s="912"/>
      <c r="H612" s="912" t="n">
        <v>5</v>
      </c>
      <c r="I612" s="912" t="n">
        <v>20</v>
      </c>
      <c r="J612" s="679"/>
      <c r="K612" s="679"/>
    </row>
    <row r="613" customFormat="false" ht="32.25" hidden="false" customHeight="true" outlineLevel="0" collapsed="false">
      <c r="A613" s="28" t="s">
        <v>1025</v>
      </c>
      <c r="B613" s="49" t="s">
        <v>3305</v>
      </c>
      <c r="C613" s="912" t="n">
        <v>1</v>
      </c>
      <c r="D613" s="1673" t="n">
        <f aca="false">E613+F613+G613+H613</f>
        <v>30</v>
      </c>
      <c r="E613" s="1673" t="n">
        <v>15</v>
      </c>
      <c r="F613" s="1674" t="n">
        <v>15</v>
      </c>
      <c r="G613" s="1674"/>
      <c r="H613" s="1674"/>
      <c r="I613" s="1674" t="n">
        <v>20</v>
      </c>
      <c r="J613" s="772"/>
      <c r="K613" s="772"/>
    </row>
    <row r="614" customFormat="false" ht="74.25" hidden="false" customHeight="true" outlineLevel="0" collapsed="false">
      <c r="A614" s="1657" t="s">
        <v>1027</v>
      </c>
      <c r="B614" s="1677" t="s">
        <v>3306</v>
      </c>
      <c r="C614" s="1678"/>
      <c r="D614" s="1669"/>
      <c r="E614" s="1660"/>
      <c r="F614" s="1659"/>
      <c r="G614" s="1659"/>
      <c r="H614" s="1659"/>
      <c r="I614" s="1659"/>
      <c r="J614" s="1661"/>
      <c r="K614" s="1661"/>
    </row>
    <row r="615" customFormat="false" ht="15" hidden="false" customHeight="false" outlineLevel="0" collapsed="false">
      <c r="A615" s="28" t="s">
        <v>1029</v>
      </c>
      <c r="B615" s="40" t="s">
        <v>3307</v>
      </c>
      <c r="C615" s="606" t="s">
        <v>7359</v>
      </c>
      <c r="D615" s="1679" t="n">
        <f aca="false">E615+F615+G615+H615+I615</f>
        <v>260</v>
      </c>
      <c r="E615" s="1679" t="n">
        <v>70</v>
      </c>
      <c r="F615" s="1680" t="n">
        <v>60</v>
      </c>
      <c r="G615" s="569"/>
      <c r="H615" s="569"/>
      <c r="I615" s="569" t="n">
        <v>130</v>
      </c>
      <c r="J615" s="679"/>
      <c r="K615" s="679"/>
    </row>
    <row r="616" customFormat="false" ht="15" hidden="false" customHeight="false" outlineLevel="0" collapsed="false">
      <c r="A616" s="28" t="s">
        <v>1031</v>
      </c>
      <c r="B616" s="40" t="s">
        <v>3308</v>
      </c>
      <c r="C616" s="606" t="s">
        <v>7359</v>
      </c>
      <c r="D616" s="1105" t="n">
        <f aca="false">E616+F616+G616+H616+I616</f>
        <v>310</v>
      </c>
      <c r="E616" s="1679" t="n">
        <v>100</v>
      </c>
      <c r="F616" s="1680" t="n">
        <v>90</v>
      </c>
      <c r="G616" s="569"/>
      <c r="H616" s="569"/>
      <c r="I616" s="569" t="n">
        <v>120</v>
      </c>
      <c r="J616" s="679"/>
      <c r="K616" s="679"/>
    </row>
    <row r="617" customFormat="false" ht="15" hidden="false" customHeight="false" outlineLevel="0" collapsed="false">
      <c r="A617" s="28" t="s">
        <v>1033</v>
      </c>
      <c r="B617" s="40" t="s">
        <v>3309</v>
      </c>
      <c r="C617" s="606" t="s">
        <v>7359</v>
      </c>
      <c r="D617" s="1105" t="n">
        <f aca="false">E617+F617+G617+H617+I617</f>
        <v>260</v>
      </c>
      <c r="E617" s="1105" t="n">
        <v>70</v>
      </c>
      <c r="F617" s="569" t="n">
        <v>70</v>
      </c>
      <c r="G617" s="569"/>
      <c r="H617" s="569"/>
      <c r="I617" s="569" t="n">
        <v>120</v>
      </c>
      <c r="J617" s="679"/>
      <c r="K617" s="679"/>
    </row>
    <row r="618" customFormat="false" ht="15" hidden="false" customHeight="false" outlineLevel="0" collapsed="false">
      <c r="A618" s="28" t="s">
        <v>1035</v>
      </c>
      <c r="B618" s="40" t="s">
        <v>3310</v>
      </c>
      <c r="C618" s="606" t="s">
        <v>7359</v>
      </c>
      <c r="D618" s="1105" t="n">
        <f aca="false">E618+F618+G618+H618+I618</f>
        <v>260</v>
      </c>
      <c r="E618" s="1105" t="n">
        <v>80</v>
      </c>
      <c r="F618" s="569" t="n">
        <v>60</v>
      </c>
      <c r="G618" s="569"/>
      <c r="H618" s="569"/>
      <c r="I618" s="569" t="n">
        <v>120</v>
      </c>
      <c r="J618" s="679"/>
      <c r="K618" s="679"/>
    </row>
    <row r="619" customFormat="false" ht="30" hidden="false" customHeight="false" outlineLevel="0" collapsed="false">
      <c r="A619" s="28" t="s">
        <v>1037</v>
      </c>
      <c r="B619" s="49" t="s">
        <v>3311</v>
      </c>
      <c r="C619" s="606" t="s">
        <v>7359</v>
      </c>
      <c r="D619" s="1105" t="n">
        <f aca="false">E619+F619+G619+H619+I619</f>
        <v>260</v>
      </c>
      <c r="E619" s="1105" t="n">
        <v>80</v>
      </c>
      <c r="F619" s="569" t="n">
        <v>60</v>
      </c>
      <c r="G619" s="569"/>
      <c r="H619" s="569"/>
      <c r="I619" s="569" t="n">
        <v>120</v>
      </c>
      <c r="J619" s="679"/>
      <c r="K619" s="679"/>
    </row>
    <row r="620" customFormat="false" ht="15" hidden="false" customHeight="false" outlineLevel="0" collapsed="false">
      <c r="A620" s="28" t="s">
        <v>1039</v>
      </c>
      <c r="B620" s="40" t="s">
        <v>3312</v>
      </c>
      <c r="C620" s="606" t="s">
        <v>7359</v>
      </c>
      <c r="D620" s="1105" t="n">
        <f aca="false">E620+F620+G620+H620+I620</f>
        <v>260</v>
      </c>
      <c r="E620" s="1105" t="n">
        <v>70</v>
      </c>
      <c r="F620" s="569" t="n">
        <v>70</v>
      </c>
      <c r="G620" s="569"/>
      <c r="H620" s="569"/>
      <c r="I620" s="569" t="n">
        <v>120</v>
      </c>
      <c r="J620" s="679"/>
      <c r="K620" s="679"/>
    </row>
    <row r="621" customFormat="false" ht="30" hidden="false" customHeight="false" outlineLevel="0" collapsed="false">
      <c r="A621" s="28" t="s">
        <v>1041</v>
      </c>
      <c r="B621" s="49" t="s">
        <v>3313</v>
      </c>
      <c r="C621" s="606" t="s">
        <v>7359</v>
      </c>
      <c r="D621" s="1105" t="n">
        <f aca="false">E621+F621+G621+H621+I621</f>
        <v>260</v>
      </c>
      <c r="E621" s="1105" t="n">
        <v>70</v>
      </c>
      <c r="F621" s="569" t="n">
        <v>70</v>
      </c>
      <c r="G621" s="569"/>
      <c r="H621" s="569"/>
      <c r="I621" s="569" t="n">
        <v>120</v>
      </c>
      <c r="J621" s="679"/>
      <c r="K621" s="679"/>
    </row>
    <row r="622" customFormat="false" ht="45" hidden="false" customHeight="false" outlineLevel="0" collapsed="false">
      <c r="A622" s="28" t="s">
        <v>1043</v>
      </c>
      <c r="B622" s="49" t="s">
        <v>3314</v>
      </c>
      <c r="C622" s="606" t="s">
        <v>7359</v>
      </c>
      <c r="D622" s="1105" t="n">
        <f aca="false">E622+F622+G622+H622+I622</f>
        <v>260</v>
      </c>
      <c r="E622" s="1105" t="n">
        <v>70</v>
      </c>
      <c r="F622" s="569" t="n">
        <v>70</v>
      </c>
      <c r="G622" s="569"/>
      <c r="H622" s="569"/>
      <c r="I622" s="569" t="n">
        <v>120</v>
      </c>
      <c r="J622" s="679"/>
      <c r="K622" s="679"/>
    </row>
    <row r="623" customFormat="false" ht="18.75" hidden="false" customHeight="true" outlineLevel="0" collapsed="false">
      <c r="A623" s="28" t="s">
        <v>1045</v>
      </c>
      <c r="B623" s="49" t="s">
        <v>3315</v>
      </c>
      <c r="C623" s="606" t="s">
        <v>7359</v>
      </c>
      <c r="D623" s="1681" t="n">
        <f aca="false">E623+F623+G623+H623+I623</f>
        <v>260</v>
      </c>
      <c r="E623" s="1105" t="n">
        <v>70</v>
      </c>
      <c r="F623" s="1682" t="n">
        <v>70</v>
      </c>
      <c r="G623" s="569"/>
      <c r="H623" s="569"/>
      <c r="I623" s="569" t="n">
        <v>120</v>
      </c>
      <c r="J623" s="679"/>
      <c r="K623" s="679"/>
    </row>
    <row r="624" customFormat="false" ht="42.75" hidden="false" customHeight="false" outlineLevel="0" collapsed="false">
      <c r="A624" s="15" t="s">
        <v>1047</v>
      </c>
      <c r="B624" s="54" t="s">
        <v>3316</v>
      </c>
      <c r="C624" s="600"/>
      <c r="D624" s="712"/>
      <c r="E624" s="712"/>
      <c r="F624" s="541"/>
      <c r="G624" s="541"/>
      <c r="H624" s="541"/>
      <c r="I624" s="541"/>
      <c r="J624" s="600"/>
      <c r="K624" s="600"/>
    </row>
    <row r="625" customFormat="false" ht="15" hidden="false" customHeight="false" outlineLevel="0" collapsed="false">
      <c r="A625" s="28" t="s">
        <v>1049</v>
      </c>
      <c r="B625" s="40" t="s">
        <v>3307</v>
      </c>
      <c r="C625" s="606" t="s">
        <v>7359</v>
      </c>
      <c r="D625" s="1679" t="n">
        <f aca="false">E625+F625+G625+H625+I625</f>
        <v>260</v>
      </c>
      <c r="E625" s="1679" t="n">
        <v>70</v>
      </c>
      <c r="F625" s="1680" t="n">
        <v>60</v>
      </c>
      <c r="G625" s="569"/>
      <c r="H625" s="569"/>
      <c r="I625" s="569" t="n">
        <v>130</v>
      </c>
      <c r="J625" s="679"/>
      <c r="K625" s="679"/>
    </row>
    <row r="626" customFormat="false" ht="15" hidden="false" customHeight="false" outlineLevel="0" collapsed="false">
      <c r="A626" s="28" t="s">
        <v>1050</v>
      </c>
      <c r="B626" s="40" t="s">
        <v>3310</v>
      </c>
      <c r="C626" s="1683" t="s">
        <v>7359</v>
      </c>
      <c r="D626" s="1105" t="n">
        <f aca="false">E626+F626+G626+H626+I626</f>
        <v>260</v>
      </c>
      <c r="E626" s="1105" t="n">
        <v>80</v>
      </c>
      <c r="F626" s="569" t="n">
        <v>60</v>
      </c>
      <c r="G626" s="569"/>
      <c r="H626" s="569"/>
      <c r="I626" s="569" t="n">
        <v>120</v>
      </c>
      <c r="J626" s="679"/>
      <c r="K626" s="679"/>
    </row>
    <row r="627" customFormat="false" ht="15" hidden="false" customHeight="false" outlineLevel="0" collapsed="false">
      <c r="A627" s="28" t="s">
        <v>1052</v>
      </c>
      <c r="B627" s="40" t="s">
        <v>3317</v>
      </c>
      <c r="C627" s="1683" t="s">
        <v>7359</v>
      </c>
      <c r="D627" s="1681" t="n">
        <f aca="false">E627+F627+G627+H627+I627</f>
        <v>260</v>
      </c>
      <c r="E627" s="1681" t="n">
        <v>70</v>
      </c>
      <c r="F627" s="1682" t="n">
        <v>70</v>
      </c>
      <c r="G627" s="569"/>
      <c r="H627" s="569"/>
      <c r="I627" s="569" t="n">
        <v>120</v>
      </c>
      <c r="J627" s="679"/>
      <c r="K627" s="679"/>
    </row>
    <row r="628" customFormat="false" ht="42.75" hidden="false" customHeight="false" outlineLevel="0" collapsed="false">
      <c r="A628" s="15" t="s">
        <v>1054</v>
      </c>
      <c r="B628" s="16" t="s">
        <v>3318</v>
      </c>
      <c r="C628" s="600"/>
      <c r="D628" s="712"/>
      <c r="E628" s="712"/>
      <c r="F628" s="541"/>
      <c r="G628" s="541"/>
      <c r="H628" s="541"/>
      <c r="I628" s="541"/>
      <c r="J628" s="600"/>
      <c r="K628" s="600"/>
    </row>
    <row r="629" customFormat="false" ht="15" hidden="false" customHeight="false" outlineLevel="0" collapsed="false">
      <c r="A629" s="28" t="s">
        <v>1056</v>
      </c>
      <c r="B629" s="40" t="s">
        <v>3307</v>
      </c>
      <c r="C629" s="606" t="s">
        <v>7359</v>
      </c>
      <c r="D629" s="1679" t="n">
        <f aca="false">E629+F629+G629+H629+I629</f>
        <v>260</v>
      </c>
      <c r="E629" s="1679" t="n">
        <v>70</v>
      </c>
      <c r="F629" s="1680" t="n">
        <v>60</v>
      </c>
      <c r="G629" s="569"/>
      <c r="H629" s="569"/>
      <c r="I629" s="569" t="n">
        <v>130</v>
      </c>
      <c r="J629" s="679"/>
      <c r="K629" s="679"/>
    </row>
    <row r="630" customFormat="false" ht="15" hidden="false" customHeight="false" outlineLevel="0" collapsed="false">
      <c r="A630" s="28" t="s">
        <v>1057</v>
      </c>
      <c r="B630" s="40" t="s">
        <v>3309</v>
      </c>
      <c r="C630" s="606" t="s">
        <v>7359</v>
      </c>
      <c r="D630" s="1105" t="n">
        <f aca="false">E630+F630+G630+H630+I630</f>
        <v>260</v>
      </c>
      <c r="E630" s="1105" t="n">
        <v>70</v>
      </c>
      <c r="F630" s="569" t="n">
        <v>60</v>
      </c>
      <c r="G630" s="569"/>
      <c r="H630" s="569"/>
      <c r="I630" s="569" t="n">
        <v>130</v>
      </c>
      <c r="J630" s="679"/>
      <c r="K630" s="679"/>
    </row>
    <row r="631" customFormat="false" ht="30" hidden="false" customHeight="false" outlineLevel="0" collapsed="false">
      <c r="A631" s="28" t="s">
        <v>1058</v>
      </c>
      <c r="B631" s="40" t="s">
        <v>3319</v>
      </c>
      <c r="C631" s="606" t="s">
        <v>7359</v>
      </c>
      <c r="D631" s="1681" t="n">
        <f aca="false">E631+F631+G631+H631+I631</f>
        <v>340</v>
      </c>
      <c r="E631" s="1681" t="n">
        <v>140</v>
      </c>
      <c r="F631" s="1682" t="n">
        <v>80</v>
      </c>
      <c r="G631" s="569"/>
      <c r="H631" s="569"/>
      <c r="I631" s="569" t="n">
        <v>120</v>
      </c>
      <c r="J631" s="679"/>
      <c r="K631" s="679"/>
    </row>
    <row r="632" customFormat="false" ht="28.5" hidden="false" customHeight="false" outlineLevel="0" collapsed="false">
      <c r="A632" s="15" t="s">
        <v>1060</v>
      </c>
      <c r="B632" s="16" t="s">
        <v>3320</v>
      </c>
      <c r="C632" s="600"/>
      <c r="D632" s="712"/>
      <c r="E632" s="712"/>
      <c r="F632" s="541"/>
      <c r="G632" s="541"/>
      <c r="H632" s="541"/>
      <c r="I632" s="541"/>
      <c r="J632" s="600"/>
      <c r="K632" s="600"/>
    </row>
    <row r="633" customFormat="false" ht="15" hidden="false" customHeight="false" outlineLevel="0" collapsed="false">
      <c r="A633" s="28" t="s">
        <v>1062</v>
      </c>
      <c r="B633" s="40" t="s">
        <v>3307</v>
      </c>
      <c r="C633" s="606" t="s">
        <v>7359</v>
      </c>
      <c r="D633" s="1679" t="n">
        <f aca="false">E633+F633+G633+H633+I633</f>
        <v>260</v>
      </c>
      <c r="E633" s="1679" t="n">
        <v>70</v>
      </c>
      <c r="F633" s="1680" t="n">
        <v>60</v>
      </c>
      <c r="G633" s="569"/>
      <c r="H633" s="569"/>
      <c r="I633" s="569" t="n">
        <v>130</v>
      </c>
      <c r="J633" s="679"/>
      <c r="K633" s="679"/>
    </row>
    <row r="634" customFormat="false" ht="15" hidden="false" customHeight="false" outlineLevel="0" collapsed="false">
      <c r="A634" s="28" t="s">
        <v>1064</v>
      </c>
      <c r="B634" s="40" t="s">
        <v>3308</v>
      </c>
      <c r="C634" s="606" t="s">
        <v>7359</v>
      </c>
      <c r="D634" s="1681" t="n">
        <f aca="false">E634+F634+G634+H634+I634</f>
        <v>480</v>
      </c>
      <c r="E634" s="1681" t="n">
        <v>190</v>
      </c>
      <c r="F634" s="1682" t="n">
        <v>50</v>
      </c>
      <c r="G634" s="569"/>
      <c r="H634" s="569"/>
      <c r="I634" s="569" t="n">
        <v>240</v>
      </c>
      <c r="J634" s="679"/>
      <c r="K634" s="679"/>
    </row>
    <row r="635" customFormat="false" ht="42.75" hidden="false" customHeight="false" outlineLevel="0" collapsed="false">
      <c r="A635" s="15" t="s">
        <v>1066</v>
      </c>
      <c r="B635" s="16" t="s">
        <v>3083</v>
      </c>
      <c r="C635" s="600"/>
      <c r="D635" s="712"/>
      <c r="E635" s="712"/>
      <c r="F635" s="541"/>
      <c r="G635" s="541"/>
      <c r="H635" s="541"/>
      <c r="I635" s="541"/>
      <c r="J635" s="600"/>
      <c r="K635" s="600"/>
    </row>
    <row r="636" customFormat="false" ht="15" hidden="false" customHeight="false" outlineLevel="0" collapsed="false">
      <c r="A636" s="28" t="s">
        <v>1068</v>
      </c>
      <c r="B636" s="40" t="s">
        <v>3307</v>
      </c>
      <c r="C636" s="606" t="s">
        <v>7359</v>
      </c>
      <c r="D636" s="1679" t="n">
        <f aca="false">E636+F636+G636+H636+I636</f>
        <v>340</v>
      </c>
      <c r="E636" s="1679" t="n">
        <v>140</v>
      </c>
      <c r="F636" s="1680" t="n">
        <v>80</v>
      </c>
      <c r="G636" s="569"/>
      <c r="H636" s="569"/>
      <c r="I636" s="569" t="n">
        <v>120</v>
      </c>
      <c r="J636" s="679"/>
      <c r="K636" s="679"/>
    </row>
    <row r="637" customFormat="false" ht="15" hidden="false" customHeight="false" outlineLevel="0" collapsed="false">
      <c r="A637" s="28" t="s">
        <v>1069</v>
      </c>
      <c r="B637" s="40" t="s">
        <v>3321</v>
      </c>
      <c r="C637" s="606" t="s">
        <v>7359</v>
      </c>
      <c r="D637" s="1105" t="n">
        <f aca="false">E637+F637+G637+H637+I637</f>
        <v>340</v>
      </c>
      <c r="E637" s="1681" t="n">
        <v>140</v>
      </c>
      <c r="F637" s="1682" t="n">
        <v>80</v>
      </c>
      <c r="G637" s="569"/>
      <c r="H637" s="569"/>
      <c r="I637" s="569" t="n">
        <v>120</v>
      </c>
      <c r="J637" s="679"/>
      <c r="K637" s="679"/>
    </row>
    <row r="638" customFormat="false" ht="15" hidden="false" customHeight="false" outlineLevel="0" collapsed="false">
      <c r="A638" s="28" t="s">
        <v>1070</v>
      </c>
      <c r="B638" s="40" t="s">
        <v>3310</v>
      </c>
      <c r="C638" s="606" t="s">
        <v>7359</v>
      </c>
      <c r="D638" s="1681" t="n">
        <f aca="false">E638+F638+G638+H638+I638</f>
        <v>260</v>
      </c>
      <c r="E638" s="1105" t="n">
        <v>80</v>
      </c>
      <c r="F638" s="569" t="n">
        <v>60</v>
      </c>
      <c r="G638" s="569"/>
      <c r="H638" s="569"/>
      <c r="I638" s="569" t="n">
        <v>120</v>
      </c>
      <c r="J638" s="679"/>
      <c r="K638" s="679"/>
    </row>
    <row r="639" customFormat="false" ht="28.5" hidden="false" customHeight="false" outlineLevel="0" collapsed="false">
      <c r="A639" s="15" t="s">
        <v>1071</v>
      </c>
      <c r="B639" s="16" t="s">
        <v>3322</v>
      </c>
      <c r="C639" s="600"/>
      <c r="D639" s="712"/>
      <c r="E639" s="712"/>
      <c r="F639" s="541"/>
      <c r="G639" s="541"/>
      <c r="H639" s="541"/>
      <c r="I639" s="541"/>
      <c r="J639" s="600"/>
      <c r="K639" s="600"/>
    </row>
    <row r="640" customFormat="false" ht="15" hidden="false" customHeight="false" outlineLevel="0" collapsed="false">
      <c r="A640" s="28" t="s">
        <v>1073</v>
      </c>
      <c r="B640" s="49" t="s">
        <v>3323</v>
      </c>
      <c r="C640" s="606" t="s">
        <v>7359</v>
      </c>
      <c r="D640" s="1679" t="n">
        <f aca="false">E640+F640+G640+H640+I640</f>
        <v>340</v>
      </c>
      <c r="E640" s="1679" t="n">
        <v>140</v>
      </c>
      <c r="F640" s="1680" t="n">
        <v>80</v>
      </c>
      <c r="G640" s="569"/>
      <c r="H640" s="569"/>
      <c r="I640" s="569" t="n">
        <v>120</v>
      </c>
      <c r="J640" s="679"/>
      <c r="K640" s="679"/>
    </row>
    <row r="641" customFormat="false" ht="15" hidden="false" customHeight="false" outlineLevel="0" collapsed="false">
      <c r="A641" s="28" t="s">
        <v>1074</v>
      </c>
      <c r="B641" s="49" t="s">
        <v>3324</v>
      </c>
      <c r="C641" s="606" t="s">
        <v>7359</v>
      </c>
      <c r="D641" s="1105" t="n">
        <f aca="false">E641+F641+G641+H641+I641</f>
        <v>310</v>
      </c>
      <c r="E641" s="1105" t="n">
        <v>120</v>
      </c>
      <c r="F641" s="569" t="n">
        <v>90</v>
      </c>
      <c r="G641" s="569"/>
      <c r="H641" s="569"/>
      <c r="I641" s="569" t="n">
        <v>100</v>
      </c>
      <c r="J641" s="679"/>
      <c r="K641" s="679"/>
    </row>
    <row r="642" customFormat="false" ht="15" hidden="false" customHeight="false" outlineLevel="0" collapsed="false">
      <c r="A642" s="28" t="s">
        <v>1076</v>
      </c>
      <c r="B642" s="49" t="s">
        <v>3310</v>
      </c>
      <c r="C642" s="606" t="s">
        <v>7359</v>
      </c>
      <c r="D642" s="1105" t="n">
        <f aca="false">E642+F642+G642+H642+I642</f>
        <v>260</v>
      </c>
      <c r="E642" s="1105" t="n">
        <v>80</v>
      </c>
      <c r="F642" s="569" t="n">
        <v>60</v>
      </c>
      <c r="G642" s="569"/>
      <c r="H642" s="569"/>
      <c r="I642" s="569" t="n">
        <v>120</v>
      </c>
      <c r="J642" s="679"/>
      <c r="K642" s="679"/>
    </row>
    <row r="643" customFormat="false" ht="45" hidden="false" customHeight="false" outlineLevel="0" collapsed="false">
      <c r="A643" s="28" t="s">
        <v>1077</v>
      </c>
      <c r="B643" s="49" t="s">
        <v>3325</v>
      </c>
      <c r="C643" s="606" t="s">
        <v>7359</v>
      </c>
      <c r="D643" s="1105" t="n">
        <f aca="false">E643+F643+G643+H643+I643</f>
        <v>340</v>
      </c>
      <c r="E643" s="1105" t="n">
        <v>140</v>
      </c>
      <c r="F643" s="569" t="n">
        <v>80</v>
      </c>
      <c r="G643" s="569"/>
      <c r="H643" s="569"/>
      <c r="I643" s="569" t="n">
        <v>120</v>
      </c>
      <c r="J643" s="679"/>
      <c r="K643" s="679"/>
    </row>
    <row r="644" customFormat="false" ht="45" hidden="false" customHeight="false" outlineLevel="0" collapsed="false">
      <c r="A644" s="28" t="s">
        <v>1079</v>
      </c>
      <c r="B644" s="49" t="s">
        <v>3314</v>
      </c>
      <c r="C644" s="606" t="s">
        <v>7359</v>
      </c>
      <c r="D644" s="1105" t="n">
        <f aca="false">E644+F644+G644+H644+I644</f>
        <v>260</v>
      </c>
      <c r="E644" s="1105" t="n">
        <v>80</v>
      </c>
      <c r="F644" s="569" t="n">
        <v>60</v>
      </c>
      <c r="G644" s="569"/>
      <c r="H644" s="569"/>
      <c r="I644" s="569" t="n">
        <v>120</v>
      </c>
      <c r="J644" s="679"/>
      <c r="K644" s="679"/>
    </row>
    <row r="645" customFormat="false" ht="15" hidden="false" customHeight="false" outlineLevel="0" collapsed="false">
      <c r="A645" s="28" t="s">
        <v>1080</v>
      </c>
      <c r="B645" s="49" t="s">
        <v>3312</v>
      </c>
      <c r="C645" s="606" t="s">
        <v>7359</v>
      </c>
      <c r="D645" s="1105" t="n">
        <f aca="false">E645+F645+G645+H645+I645</f>
        <v>260</v>
      </c>
      <c r="E645" s="1105" t="n">
        <v>100</v>
      </c>
      <c r="F645" s="569" t="n">
        <v>40</v>
      </c>
      <c r="G645" s="569"/>
      <c r="H645" s="569"/>
      <c r="I645" s="569" t="n">
        <v>120</v>
      </c>
      <c r="J645" s="679"/>
      <c r="K645" s="679"/>
    </row>
    <row r="646" customFormat="false" ht="15" hidden="false" customHeight="false" outlineLevel="0" collapsed="false">
      <c r="A646" s="28" t="s">
        <v>1081</v>
      </c>
      <c r="B646" s="49" t="s">
        <v>3309</v>
      </c>
      <c r="C646" s="606" t="s">
        <v>7359</v>
      </c>
      <c r="D646" s="1105" t="n">
        <f aca="false">E646+F646+G646+H646+I646</f>
        <v>260</v>
      </c>
      <c r="E646" s="1105" t="n">
        <v>70</v>
      </c>
      <c r="F646" s="569" t="n">
        <v>60</v>
      </c>
      <c r="G646" s="569"/>
      <c r="H646" s="569"/>
      <c r="I646" s="569" t="n">
        <v>130</v>
      </c>
      <c r="J646" s="679"/>
      <c r="K646" s="679"/>
    </row>
    <row r="647" customFormat="false" ht="15" hidden="false" customHeight="false" outlineLevel="0" collapsed="false">
      <c r="A647" s="28" t="s">
        <v>1082</v>
      </c>
      <c r="B647" s="49" t="s">
        <v>3315</v>
      </c>
      <c r="C647" s="606" t="s">
        <v>7359</v>
      </c>
      <c r="D647" s="1105" t="n">
        <f aca="false">E647+F647+G647+H647+I647</f>
        <v>270</v>
      </c>
      <c r="E647" s="1105" t="n">
        <v>80</v>
      </c>
      <c r="F647" s="569" t="n">
        <v>70</v>
      </c>
      <c r="G647" s="569"/>
      <c r="H647" s="569"/>
      <c r="I647" s="569" t="n">
        <v>120</v>
      </c>
      <c r="J647" s="679"/>
      <c r="K647" s="679"/>
    </row>
    <row r="648" customFormat="false" ht="30" hidden="false" customHeight="false" outlineLevel="0" collapsed="false">
      <c r="A648" s="28" t="s">
        <v>1084</v>
      </c>
      <c r="B648" s="49" t="s">
        <v>3311</v>
      </c>
      <c r="C648" s="606" t="s">
        <v>7359</v>
      </c>
      <c r="D648" s="1105" t="n">
        <f aca="false">E648+F648+G648+H648+I648</f>
        <v>340</v>
      </c>
      <c r="E648" s="1105" t="n">
        <v>140</v>
      </c>
      <c r="F648" s="569" t="n">
        <v>80</v>
      </c>
      <c r="G648" s="569"/>
      <c r="H648" s="569"/>
      <c r="I648" s="569" t="n">
        <v>120</v>
      </c>
      <c r="J648" s="679"/>
      <c r="K648" s="679"/>
    </row>
    <row r="649" customFormat="false" ht="30" hidden="false" customHeight="false" outlineLevel="0" collapsed="false">
      <c r="A649" s="28" t="s">
        <v>1085</v>
      </c>
      <c r="B649" s="49" t="s">
        <v>3313</v>
      </c>
      <c r="C649" s="606" t="s">
        <v>7359</v>
      </c>
      <c r="D649" s="1105" t="n">
        <f aca="false">E649+F649+G649+H649+I649</f>
        <v>330</v>
      </c>
      <c r="E649" s="1105" t="n">
        <v>120</v>
      </c>
      <c r="F649" s="569" t="n">
        <v>90</v>
      </c>
      <c r="G649" s="569"/>
      <c r="H649" s="569"/>
      <c r="I649" s="569" t="n">
        <v>120</v>
      </c>
      <c r="J649" s="679"/>
      <c r="K649" s="679"/>
    </row>
    <row r="650" customFormat="false" ht="15" hidden="false" customHeight="false" outlineLevel="0" collapsed="false">
      <c r="A650" s="28" t="s">
        <v>1087</v>
      </c>
      <c r="B650" s="49" t="s">
        <v>3308</v>
      </c>
      <c r="C650" s="606" t="s">
        <v>7359</v>
      </c>
      <c r="D650" s="1681" t="n">
        <f aca="false">E650+F650+G650+H650+I650</f>
        <v>340</v>
      </c>
      <c r="E650" s="1681" t="n">
        <v>140</v>
      </c>
      <c r="F650" s="1682" t="n">
        <v>80</v>
      </c>
      <c r="G650" s="569"/>
      <c r="H650" s="569"/>
      <c r="I650" s="569" t="n">
        <v>120</v>
      </c>
      <c r="J650" s="679"/>
      <c r="K650" s="679"/>
    </row>
    <row r="651" customFormat="false" ht="15" hidden="false" customHeight="false" outlineLevel="0" collapsed="false">
      <c r="A651" s="15" t="s">
        <v>1088</v>
      </c>
      <c r="B651" s="16" t="s">
        <v>3326</v>
      </c>
      <c r="C651" s="600"/>
      <c r="D651" s="712"/>
      <c r="E651" s="712"/>
      <c r="F651" s="541"/>
      <c r="G651" s="541"/>
      <c r="H651" s="541"/>
      <c r="I651" s="541"/>
      <c r="J651" s="600"/>
      <c r="K651" s="600"/>
    </row>
    <row r="652" customFormat="false" ht="15" hidden="false" customHeight="false" outlineLevel="0" collapsed="false">
      <c r="A652" s="28" t="s">
        <v>1090</v>
      </c>
      <c r="B652" s="40" t="s">
        <v>3307</v>
      </c>
      <c r="C652" s="606" t="s">
        <v>7359</v>
      </c>
      <c r="D652" s="1684" t="n">
        <f aca="false">E652+F652+G652+H652+I652</f>
        <v>270</v>
      </c>
      <c r="E652" s="1684" t="n">
        <v>80</v>
      </c>
      <c r="F652" s="1685" t="n">
        <v>70</v>
      </c>
      <c r="G652" s="569"/>
      <c r="H652" s="569"/>
      <c r="I652" s="569" t="n">
        <v>120</v>
      </c>
      <c r="J652" s="679"/>
      <c r="K652" s="679"/>
    </row>
    <row r="653" customFormat="false" ht="15" hidden="false" customHeight="false" outlineLevel="0" collapsed="false">
      <c r="A653" s="15" t="s">
        <v>1091</v>
      </c>
      <c r="B653" s="54" t="s">
        <v>3327</v>
      </c>
      <c r="C653" s="600"/>
      <c r="D653" s="712"/>
      <c r="E653" s="712"/>
      <c r="F653" s="541"/>
      <c r="G653" s="541"/>
      <c r="H653" s="541"/>
      <c r="I653" s="541"/>
      <c r="J653" s="600"/>
      <c r="K653" s="600"/>
    </row>
    <row r="654" customFormat="false" ht="15" hidden="false" customHeight="false" outlineLevel="0" collapsed="false">
      <c r="A654" s="28" t="s">
        <v>1093</v>
      </c>
      <c r="B654" s="40" t="s">
        <v>3307</v>
      </c>
      <c r="C654" s="606" t="s">
        <v>7359</v>
      </c>
      <c r="D654" s="1684" t="n">
        <f aca="false">E654+F654+G654+H654+I654</f>
        <v>270</v>
      </c>
      <c r="E654" s="1684" t="n">
        <v>80</v>
      </c>
      <c r="F654" s="1685" t="n">
        <v>70</v>
      </c>
      <c r="G654" s="569"/>
      <c r="H654" s="569"/>
      <c r="I654" s="569" t="n">
        <v>120</v>
      </c>
      <c r="J654" s="679"/>
      <c r="K654" s="679"/>
    </row>
    <row r="655" customFormat="false" ht="28.5" hidden="false" customHeight="false" outlineLevel="0" collapsed="false">
      <c r="A655" s="15" t="s">
        <v>1094</v>
      </c>
      <c r="B655" s="16" t="s">
        <v>3328</v>
      </c>
      <c r="C655" s="600"/>
      <c r="D655" s="712"/>
      <c r="E655" s="712"/>
      <c r="F655" s="541"/>
      <c r="G655" s="541"/>
      <c r="H655" s="541"/>
      <c r="I655" s="541"/>
      <c r="J655" s="600"/>
      <c r="K655" s="600"/>
    </row>
    <row r="656" customFormat="false" ht="15" hidden="false" customHeight="false" outlineLevel="0" collapsed="false">
      <c r="A656" s="28" t="s">
        <v>1096</v>
      </c>
      <c r="B656" s="49" t="s">
        <v>3329</v>
      </c>
      <c r="C656" s="606" t="s">
        <v>7359</v>
      </c>
      <c r="D656" s="1679" t="n">
        <f aca="false">E656+F656+G656+H656+I656</f>
        <v>90</v>
      </c>
      <c r="E656" s="1679" t="n">
        <v>20</v>
      </c>
      <c r="F656" s="1680" t="n">
        <v>30</v>
      </c>
      <c r="G656" s="569"/>
      <c r="H656" s="569"/>
      <c r="I656" s="569" t="n">
        <v>40</v>
      </c>
      <c r="J656" s="679"/>
      <c r="K656" s="679"/>
    </row>
    <row r="657" customFormat="false" ht="15" hidden="false" customHeight="false" outlineLevel="0" collapsed="false">
      <c r="A657" s="28" t="s">
        <v>1098</v>
      </c>
      <c r="B657" s="49" t="s">
        <v>3307</v>
      </c>
      <c r="C657" s="606" t="s">
        <v>7359</v>
      </c>
      <c r="D657" s="1105" t="n">
        <f aca="false">E657+F657+G657+H657+I657</f>
        <v>340</v>
      </c>
      <c r="E657" s="1105" t="n">
        <v>140</v>
      </c>
      <c r="F657" s="569" t="n">
        <v>80</v>
      </c>
      <c r="G657" s="569"/>
      <c r="H657" s="569"/>
      <c r="I657" s="569" t="n">
        <v>120</v>
      </c>
      <c r="J657" s="679"/>
      <c r="K657" s="679"/>
    </row>
    <row r="658" customFormat="false" ht="15" hidden="false" customHeight="false" outlineLevel="0" collapsed="false">
      <c r="A658" s="28" t="s">
        <v>1099</v>
      </c>
      <c r="B658" s="49" t="s">
        <v>3324</v>
      </c>
      <c r="C658" s="606" t="s">
        <v>7359</v>
      </c>
      <c r="D658" s="1105" t="n">
        <f aca="false">E658+F658+G658+H658+I658</f>
        <v>310</v>
      </c>
      <c r="E658" s="1105" t="n">
        <v>120</v>
      </c>
      <c r="F658" s="569" t="n">
        <v>90</v>
      </c>
      <c r="G658" s="569"/>
      <c r="H658" s="569"/>
      <c r="I658" s="569" t="n">
        <v>100</v>
      </c>
      <c r="J658" s="679"/>
      <c r="K658" s="679"/>
    </row>
    <row r="659" customFormat="false" ht="15" hidden="false" customHeight="false" outlineLevel="0" collapsed="false">
      <c r="A659" s="28" t="s">
        <v>1100</v>
      </c>
      <c r="B659" s="49" t="s">
        <v>3310</v>
      </c>
      <c r="C659" s="606" t="s">
        <v>7359</v>
      </c>
      <c r="D659" s="1105" t="n">
        <f aca="false">E659+F659+G659+H659+I659</f>
        <v>260</v>
      </c>
      <c r="E659" s="1105" t="n">
        <v>80</v>
      </c>
      <c r="F659" s="569" t="n">
        <v>60</v>
      </c>
      <c r="G659" s="569"/>
      <c r="H659" s="569"/>
      <c r="I659" s="569" t="n">
        <v>120</v>
      </c>
      <c r="J659" s="679"/>
      <c r="K659" s="679"/>
    </row>
    <row r="660" customFormat="false" ht="45" hidden="false" customHeight="false" outlineLevel="0" collapsed="false">
      <c r="A660" s="28" t="s">
        <v>1101</v>
      </c>
      <c r="B660" s="49" t="s">
        <v>3330</v>
      </c>
      <c r="C660" s="606" t="s">
        <v>7359</v>
      </c>
      <c r="D660" s="1105" t="n">
        <f aca="false">E660+F660+G660+H660+I660</f>
        <v>320</v>
      </c>
      <c r="E660" s="1105" t="n">
        <v>120</v>
      </c>
      <c r="F660" s="569" t="n">
        <v>80</v>
      </c>
      <c r="G660" s="569"/>
      <c r="H660" s="569"/>
      <c r="I660" s="569" t="n">
        <v>120</v>
      </c>
      <c r="J660" s="679"/>
      <c r="K660" s="679"/>
    </row>
    <row r="661" customFormat="false" ht="30" hidden="false" customHeight="false" outlineLevel="0" collapsed="false">
      <c r="A661" s="28" t="s">
        <v>1102</v>
      </c>
      <c r="B661" s="49" t="s">
        <v>3311</v>
      </c>
      <c r="C661" s="606" t="s">
        <v>7359</v>
      </c>
      <c r="D661" s="1105" t="n">
        <f aca="false">E661+F661+G661+H661+I661</f>
        <v>280</v>
      </c>
      <c r="E661" s="1679" t="n">
        <v>90</v>
      </c>
      <c r="F661" s="1680" t="n">
        <v>70</v>
      </c>
      <c r="G661" s="569"/>
      <c r="H661" s="569"/>
      <c r="I661" s="569" t="n">
        <v>120</v>
      </c>
      <c r="J661" s="679"/>
      <c r="K661" s="679"/>
    </row>
    <row r="662" customFormat="false" ht="15" hidden="false" customHeight="false" outlineLevel="0" collapsed="false">
      <c r="A662" s="28" t="s">
        <v>1103</v>
      </c>
      <c r="B662" s="1686" t="s">
        <v>3331</v>
      </c>
      <c r="C662" s="606" t="s">
        <v>7359</v>
      </c>
      <c r="D662" s="1105" t="n">
        <f aca="false">E662+F662+G662+H662+I662</f>
        <v>260</v>
      </c>
      <c r="E662" s="1105" t="n">
        <v>100</v>
      </c>
      <c r="F662" s="569" t="n">
        <v>40</v>
      </c>
      <c r="G662" s="569"/>
      <c r="H662" s="569"/>
      <c r="I662" s="569" t="n">
        <v>120</v>
      </c>
      <c r="J662" s="679"/>
      <c r="K662" s="679"/>
    </row>
    <row r="663" customFormat="false" ht="15" hidden="false" customHeight="false" outlineLevel="0" collapsed="false">
      <c r="A663" s="28" t="s">
        <v>1105</v>
      </c>
      <c r="B663" s="49" t="s">
        <v>3309</v>
      </c>
      <c r="C663" s="606" t="s">
        <v>7359</v>
      </c>
      <c r="D663" s="1105" t="n">
        <f aca="false">E663+F663+G663+H663+I663</f>
        <v>260</v>
      </c>
      <c r="E663" s="1105" t="n">
        <v>70</v>
      </c>
      <c r="F663" s="569" t="n">
        <v>60</v>
      </c>
      <c r="G663" s="569"/>
      <c r="H663" s="569"/>
      <c r="I663" s="569" t="n">
        <v>130</v>
      </c>
      <c r="J663" s="679"/>
      <c r="K663" s="679"/>
    </row>
    <row r="664" customFormat="false" ht="45" hidden="false" customHeight="false" outlineLevel="0" collapsed="false">
      <c r="A664" s="28" t="s">
        <v>1106</v>
      </c>
      <c r="B664" s="49" t="s">
        <v>3332</v>
      </c>
      <c r="C664" s="606" t="s">
        <v>7359</v>
      </c>
      <c r="D664" s="1105" t="n">
        <f aca="false">E664+F664+G664+H664+I664</f>
        <v>280</v>
      </c>
      <c r="E664" s="1679" t="n">
        <v>90</v>
      </c>
      <c r="F664" s="1680" t="n">
        <v>70</v>
      </c>
      <c r="G664" s="569"/>
      <c r="H664" s="569"/>
      <c r="I664" s="569" t="n">
        <v>120</v>
      </c>
      <c r="J664" s="679"/>
      <c r="K664" s="679"/>
    </row>
    <row r="665" customFormat="false" ht="15" hidden="false" customHeight="false" outlineLevel="0" collapsed="false">
      <c r="A665" s="28" t="s">
        <v>1107</v>
      </c>
      <c r="B665" s="49" t="s">
        <v>3315</v>
      </c>
      <c r="C665" s="606" t="s">
        <v>7359</v>
      </c>
      <c r="D665" s="1681" t="n">
        <f aca="false">E665+F665+G665+H665+I665</f>
        <v>270</v>
      </c>
      <c r="E665" s="1105" t="n">
        <v>80</v>
      </c>
      <c r="F665" s="569" t="n">
        <v>70</v>
      </c>
      <c r="G665" s="569"/>
      <c r="H665" s="569"/>
      <c r="I665" s="569" t="n">
        <v>120</v>
      </c>
      <c r="J665" s="679"/>
      <c r="K665" s="679"/>
    </row>
    <row r="666" customFormat="false" ht="28.5" hidden="false" customHeight="false" outlineLevel="0" collapsed="false">
      <c r="A666" s="15" t="s">
        <v>1108</v>
      </c>
      <c r="B666" s="54" t="s">
        <v>3333</v>
      </c>
      <c r="C666" s="600"/>
      <c r="D666" s="712"/>
      <c r="E666" s="712"/>
      <c r="F666" s="541"/>
      <c r="G666" s="541"/>
      <c r="H666" s="541"/>
      <c r="I666" s="541"/>
      <c r="J666" s="600"/>
      <c r="K666" s="600"/>
    </row>
    <row r="667" customFormat="false" ht="15" hidden="false" customHeight="false" outlineLevel="0" collapsed="false">
      <c r="A667" s="28" t="s">
        <v>1110</v>
      </c>
      <c r="B667" s="49" t="s">
        <v>3307</v>
      </c>
      <c r="C667" s="606" t="s">
        <v>7359</v>
      </c>
      <c r="D667" s="1679" t="n">
        <f aca="false">E667+F667+G667+H667+I667</f>
        <v>340</v>
      </c>
      <c r="E667" s="1679" t="n">
        <v>140</v>
      </c>
      <c r="F667" s="1680" t="n">
        <v>80</v>
      </c>
      <c r="G667" s="569"/>
      <c r="H667" s="569"/>
      <c r="I667" s="569" t="n">
        <v>120</v>
      </c>
      <c r="J667" s="679"/>
      <c r="K667" s="679"/>
    </row>
    <row r="668" customFormat="false" ht="15" hidden="false" customHeight="false" outlineLevel="0" collapsed="false">
      <c r="A668" s="28" t="s">
        <v>1111</v>
      </c>
      <c r="B668" s="49" t="s">
        <v>3324</v>
      </c>
      <c r="C668" s="606" t="s">
        <v>7359</v>
      </c>
      <c r="D668" s="1105" t="n">
        <f aca="false">E668+F668+G668+H668+I668</f>
        <v>310</v>
      </c>
      <c r="E668" s="1105" t="n">
        <v>120</v>
      </c>
      <c r="F668" s="569" t="n">
        <v>90</v>
      </c>
      <c r="G668" s="569"/>
      <c r="H668" s="569"/>
      <c r="I668" s="569" t="n">
        <v>100</v>
      </c>
      <c r="J668" s="679"/>
      <c r="K668" s="679"/>
    </row>
    <row r="669" customFormat="false" ht="15" hidden="false" customHeight="false" outlineLevel="0" collapsed="false">
      <c r="A669" s="28" t="s">
        <v>1112</v>
      </c>
      <c r="B669" s="49" t="s">
        <v>3310</v>
      </c>
      <c r="C669" s="606" t="s">
        <v>7359</v>
      </c>
      <c r="D669" s="1105" t="n">
        <f aca="false">E669+F669+G669+H669+I669</f>
        <v>260</v>
      </c>
      <c r="E669" s="1105" t="n">
        <v>80</v>
      </c>
      <c r="F669" s="569" t="n">
        <v>60</v>
      </c>
      <c r="G669" s="569"/>
      <c r="H669" s="569"/>
      <c r="I669" s="569" t="n">
        <v>120</v>
      </c>
      <c r="J669" s="679"/>
      <c r="K669" s="679"/>
    </row>
    <row r="670" customFormat="false" ht="45" hidden="false" customHeight="false" outlineLevel="0" collapsed="false">
      <c r="A670" s="28" t="s">
        <v>1113</v>
      </c>
      <c r="B670" s="49" t="s">
        <v>3332</v>
      </c>
      <c r="C670" s="606" t="s">
        <v>7359</v>
      </c>
      <c r="D670" s="1105" t="n">
        <f aca="false">E670+F670+G670+H670+I670</f>
        <v>280</v>
      </c>
      <c r="E670" s="1679" t="n">
        <v>90</v>
      </c>
      <c r="F670" s="1680" t="n">
        <v>70</v>
      </c>
      <c r="G670" s="569"/>
      <c r="H670" s="569"/>
      <c r="I670" s="569" t="n">
        <v>120</v>
      </c>
      <c r="J670" s="679"/>
      <c r="K670" s="679"/>
    </row>
    <row r="671" customFormat="false" ht="15" hidden="false" customHeight="false" outlineLevel="0" collapsed="false">
      <c r="A671" s="28" t="s">
        <v>1114</v>
      </c>
      <c r="B671" s="49" t="s">
        <v>3309</v>
      </c>
      <c r="C671" s="606" t="s">
        <v>7359</v>
      </c>
      <c r="D671" s="1105" t="n">
        <f aca="false">E671+F671+G671+H671+I671</f>
        <v>260</v>
      </c>
      <c r="E671" s="1105" t="n">
        <v>70</v>
      </c>
      <c r="F671" s="569" t="n">
        <v>60</v>
      </c>
      <c r="G671" s="569"/>
      <c r="H671" s="569"/>
      <c r="I671" s="569" t="n">
        <v>130</v>
      </c>
      <c r="J671" s="679"/>
      <c r="K671" s="679"/>
    </row>
    <row r="672" customFormat="false" ht="15" hidden="false" customHeight="false" outlineLevel="0" collapsed="false">
      <c r="A672" s="28" t="s">
        <v>1115</v>
      </c>
      <c r="B672" s="49" t="s">
        <v>3334</v>
      </c>
      <c r="C672" s="606" t="s">
        <v>7359</v>
      </c>
      <c r="D672" s="1105" t="n">
        <f aca="false">E672+F672+G672+H672+I672</f>
        <v>280</v>
      </c>
      <c r="E672" s="1679" t="n">
        <v>90</v>
      </c>
      <c r="F672" s="1680" t="n">
        <v>70</v>
      </c>
      <c r="G672" s="569"/>
      <c r="H672" s="569"/>
      <c r="I672" s="569" t="n">
        <v>120</v>
      </c>
      <c r="J672" s="679"/>
      <c r="K672" s="679"/>
    </row>
    <row r="673" customFormat="false" ht="30" hidden="false" customHeight="false" outlineLevel="0" collapsed="false">
      <c r="A673" s="28" t="s">
        <v>1117</v>
      </c>
      <c r="B673" s="49" t="s">
        <v>3313</v>
      </c>
      <c r="C673" s="606" t="s">
        <v>7359</v>
      </c>
      <c r="D673" s="1105" t="n">
        <f aca="false">E673+F673+G673+H673+I673</f>
        <v>280</v>
      </c>
      <c r="E673" s="1679" t="n">
        <v>90</v>
      </c>
      <c r="F673" s="1680" t="n">
        <v>70</v>
      </c>
      <c r="G673" s="569"/>
      <c r="H673" s="569"/>
      <c r="I673" s="569" t="n">
        <v>120</v>
      </c>
      <c r="J673" s="679"/>
      <c r="K673" s="679"/>
    </row>
    <row r="674" customFormat="false" ht="15" hidden="false" customHeight="false" outlineLevel="0" collapsed="false">
      <c r="A674" s="28" t="s">
        <v>1118</v>
      </c>
      <c r="B674" s="49" t="s">
        <v>3308</v>
      </c>
      <c r="C674" s="606" t="s">
        <v>7359</v>
      </c>
      <c r="D674" s="1681" t="n">
        <f aca="false">E674+F674+G674+H674+I674</f>
        <v>340</v>
      </c>
      <c r="E674" s="1681" t="n">
        <v>140</v>
      </c>
      <c r="F674" s="1682" t="n">
        <v>80</v>
      </c>
      <c r="G674" s="569"/>
      <c r="H674" s="569"/>
      <c r="I674" s="569" t="n">
        <v>120</v>
      </c>
      <c r="J674" s="679"/>
      <c r="K674" s="679"/>
    </row>
    <row r="675" customFormat="false" ht="28.5" hidden="false" customHeight="false" outlineLevel="0" collapsed="false">
      <c r="A675" s="15" t="s">
        <v>1119</v>
      </c>
      <c r="B675" s="16" t="s">
        <v>3170</v>
      </c>
      <c r="C675" s="600"/>
      <c r="D675" s="712"/>
      <c r="E675" s="712"/>
      <c r="F675" s="541"/>
      <c r="G675" s="541"/>
      <c r="H675" s="541"/>
      <c r="I675" s="541"/>
      <c r="J675" s="600"/>
      <c r="K675" s="600"/>
    </row>
    <row r="676" customFormat="false" ht="15" hidden="false" customHeight="false" outlineLevel="0" collapsed="false">
      <c r="A676" s="28" t="s">
        <v>1120</v>
      </c>
      <c r="B676" s="40" t="s">
        <v>3307</v>
      </c>
      <c r="C676" s="606" t="s">
        <v>7359</v>
      </c>
      <c r="D676" s="1684" t="n">
        <f aca="false">E676+F676+G676+H676+I676</f>
        <v>260</v>
      </c>
      <c r="E676" s="1684" t="n">
        <v>70</v>
      </c>
      <c r="F676" s="1685" t="n">
        <v>70</v>
      </c>
      <c r="G676" s="569"/>
      <c r="H676" s="569"/>
      <c r="I676" s="569" t="n">
        <v>120</v>
      </c>
      <c r="J676" s="679"/>
      <c r="K676" s="679"/>
    </row>
    <row r="677" customFormat="false" ht="15" hidden="false" customHeight="false" outlineLevel="0" collapsed="false">
      <c r="A677" s="15" t="s">
        <v>1121</v>
      </c>
      <c r="B677" s="16" t="s">
        <v>3213</v>
      </c>
      <c r="C677" s="600"/>
      <c r="D677" s="712"/>
      <c r="E677" s="712"/>
      <c r="F677" s="541"/>
      <c r="G677" s="541"/>
      <c r="H677" s="541"/>
      <c r="I677" s="541"/>
      <c r="J677" s="600"/>
      <c r="K677" s="600"/>
    </row>
    <row r="678" customFormat="false" ht="15" hidden="false" customHeight="false" outlineLevel="0" collapsed="false">
      <c r="A678" s="28" t="s">
        <v>1123</v>
      </c>
      <c r="B678" s="40" t="s">
        <v>3307</v>
      </c>
      <c r="C678" s="606" t="s">
        <v>7359</v>
      </c>
      <c r="D678" s="1679" t="n">
        <f aca="false">E678+F678+G678+H678+I678</f>
        <v>260</v>
      </c>
      <c r="E678" s="1684" t="n">
        <v>70</v>
      </c>
      <c r="F678" s="1685" t="n">
        <v>70</v>
      </c>
      <c r="G678" s="569"/>
      <c r="H678" s="569"/>
      <c r="I678" s="569" t="n">
        <v>120</v>
      </c>
      <c r="J678" s="679"/>
      <c r="K678" s="679"/>
    </row>
    <row r="679" customFormat="false" ht="15" hidden="false" customHeight="false" outlineLevel="0" collapsed="false">
      <c r="A679" s="28" t="s">
        <v>1124</v>
      </c>
      <c r="B679" s="40" t="s">
        <v>3309</v>
      </c>
      <c r="C679" s="606" t="s">
        <v>7359</v>
      </c>
      <c r="D679" s="1105" t="n">
        <f aca="false">E679+F679+G679+H679+I679</f>
        <v>260</v>
      </c>
      <c r="E679" s="1105" t="n">
        <v>70</v>
      </c>
      <c r="F679" s="569" t="n">
        <v>60</v>
      </c>
      <c r="G679" s="569"/>
      <c r="H679" s="569"/>
      <c r="I679" s="569" t="n">
        <v>130</v>
      </c>
      <c r="J679" s="679"/>
      <c r="K679" s="679"/>
    </row>
    <row r="680" customFormat="false" ht="15" hidden="false" customHeight="false" outlineLevel="0" collapsed="false">
      <c r="A680" s="28" t="s">
        <v>1125</v>
      </c>
      <c r="B680" s="40" t="s">
        <v>3335</v>
      </c>
      <c r="C680" s="606" t="s">
        <v>7359</v>
      </c>
      <c r="D680" s="1105" t="n">
        <f aca="false">E680+F680+G680+H680+I680</f>
        <v>320</v>
      </c>
      <c r="E680" s="1105" t="n">
        <v>120</v>
      </c>
      <c r="F680" s="569" t="n">
        <v>80</v>
      </c>
      <c r="G680" s="569"/>
      <c r="H680" s="569"/>
      <c r="I680" s="569" t="n">
        <v>120</v>
      </c>
      <c r="J680" s="679"/>
      <c r="K680" s="679"/>
    </row>
    <row r="681" customFormat="false" ht="15" hidden="false" customHeight="false" outlineLevel="0" collapsed="false">
      <c r="A681" s="28" t="s">
        <v>1127</v>
      </c>
      <c r="B681" s="40" t="s">
        <v>3331</v>
      </c>
      <c r="C681" s="606" t="s">
        <v>7359</v>
      </c>
      <c r="D681" s="1681" t="n">
        <f aca="false">E681+F681+G681+H681+I681</f>
        <v>330</v>
      </c>
      <c r="E681" s="1681" t="n">
        <v>120</v>
      </c>
      <c r="F681" s="1682" t="n">
        <v>90</v>
      </c>
      <c r="G681" s="569"/>
      <c r="H681" s="569"/>
      <c r="I681" s="569" t="n">
        <v>120</v>
      </c>
      <c r="J681" s="679"/>
      <c r="K681" s="679"/>
    </row>
    <row r="682" customFormat="false" ht="15" hidden="false" customHeight="false" outlineLevel="0" collapsed="false">
      <c r="A682" s="15" t="s">
        <v>1128</v>
      </c>
      <c r="B682" s="16" t="s">
        <v>1129</v>
      </c>
      <c r="C682" s="600"/>
      <c r="D682" s="712"/>
      <c r="E682" s="712"/>
      <c r="F682" s="541"/>
      <c r="G682" s="541"/>
      <c r="H682" s="541"/>
      <c r="I682" s="541"/>
      <c r="J682" s="600"/>
      <c r="K682" s="600"/>
    </row>
    <row r="683" customFormat="false" ht="15" hidden="false" customHeight="false" outlineLevel="0" collapsed="false">
      <c r="A683" s="28" t="s">
        <v>1130</v>
      </c>
      <c r="B683" s="40" t="s">
        <v>3307</v>
      </c>
      <c r="C683" s="606" t="s">
        <v>7359</v>
      </c>
      <c r="D683" s="1679" t="n">
        <f aca="false">E683+F683+G683+H683+I683</f>
        <v>260</v>
      </c>
      <c r="E683" s="1684" t="n">
        <v>70</v>
      </c>
      <c r="F683" s="1685" t="n">
        <v>70</v>
      </c>
      <c r="G683" s="569"/>
      <c r="H683" s="569"/>
      <c r="I683" s="569" t="n">
        <v>120</v>
      </c>
      <c r="J683" s="679"/>
      <c r="K683" s="679"/>
    </row>
    <row r="684" customFormat="false" ht="15" hidden="false" customHeight="false" outlineLevel="0" collapsed="false">
      <c r="A684" s="28" t="s">
        <v>1131</v>
      </c>
      <c r="B684" s="40" t="s">
        <v>3331</v>
      </c>
      <c r="C684" s="606" t="s">
        <v>7359</v>
      </c>
      <c r="D684" s="1105" t="n">
        <f aca="false">E684+F684+G684+H684+I684</f>
        <v>260</v>
      </c>
      <c r="E684" s="1105" t="n">
        <v>100</v>
      </c>
      <c r="F684" s="569" t="n">
        <v>40</v>
      </c>
      <c r="G684" s="569"/>
      <c r="H684" s="569"/>
      <c r="I684" s="569" t="n">
        <v>120</v>
      </c>
      <c r="J684" s="679"/>
      <c r="K684" s="679"/>
    </row>
    <row r="685" customFormat="false" ht="15" hidden="false" customHeight="false" outlineLevel="0" collapsed="false">
      <c r="A685" s="28" t="s">
        <v>1132</v>
      </c>
      <c r="B685" s="40" t="s">
        <v>3336</v>
      </c>
      <c r="C685" s="606" t="s">
        <v>7359</v>
      </c>
      <c r="D685" s="1681" t="n">
        <f aca="false">E685+F685+G685+H685+I685</f>
        <v>260</v>
      </c>
      <c r="E685" s="1105" t="n">
        <v>70</v>
      </c>
      <c r="F685" s="569" t="n">
        <v>60</v>
      </c>
      <c r="G685" s="569"/>
      <c r="H685" s="569"/>
      <c r="I685" s="569" t="n">
        <v>130</v>
      </c>
      <c r="J685" s="679"/>
      <c r="K685" s="679"/>
    </row>
    <row r="686" customFormat="false" ht="15" hidden="false" customHeight="false" outlineLevel="0" collapsed="false">
      <c r="A686" s="15" t="s">
        <v>1133</v>
      </c>
      <c r="B686" s="16" t="s">
        <v>3337</v>
      </c>
      <c r="C686" s="790"/>
      <c r="D686" s="712"/>
      <c r="E686" s="712"/>
      <c r="F686" s="541"/>
      <c r="G686" s="541"/>
      <c r="H686" s="541"/>
      <c r="I686" s="541"/>
      <c r="J686" s="600"/>
      <c r="K686" s="600"/>
    </row>
    <row r="687" customFormat="false" ht="15" hidden="false" customHeight="false" outlineLevel="0" collapsed="false">
      <c r="A687" s="28" t="s">
        <v>1135</v>
      </c>
      <c r="B687" s="40" t="s">
        <v>3307</v>
      </c>
      <c r="C687" s="606" t="s">
        <v>7359</v>
      </c>
      <c r="D687" s="1684" t="n">
        <f aca="false">E687+F687+G687+H687+I687</f>
        <v>260</v>
      </c>
      <c r="E687" s="1684" t="n">
        <v>70</v>
      </c>
      <c r="F687" s="1685" t="n">
        <v>70</v>
      </c>
      <c r="G687" s="569"/>
      <c r="H687" s="569"/>
      <c r="I687" s="569" t="n">
        <v>120</v>
      </c>
      <c r="J687" s="679"/>
      <c r="K687" s="679"/>
    </row>
    <row r="688" customFormat="false" ht="15" hidden="false" customHeight="false" outlineLevel="0" collapsed="false">
      <c r="A688" s="15" t="s">
        <v>1136</v>
      </c>
      <c r="B688" s="16" t="s">
        <v>3338</v>
      </c>
      <c r="C688" s="600"/>
      <c r="D688" s="712"/>
      <c r="E688" s="712"/>
      <c r="F688" s="541"/>
      <c r="G688" s="541"/>
      <c r="H688" s="541"/>
      <c r="I688" s="541"/>
      <c r="J688" s="600"/>
      <c r="K688" s="600"/>
    </row>
    <row r="689" customFormat="false" ht="15" hidden="false" customHeight="false" outlineLevel="0" collapsed="false">
      <c r="A689" s="28" t="s">
        <v>1138</v>
      </c>
      <c r="B689" s="40" t="s">
        <v>3307</v>
      </c>
      <c r="C689" s="606" t="s">
        <v>7359</v>
      </c>
      <c r="D689" s="1679" t="n">
        <f aca="false">E689+F689+G689+H689+I689</f>
        <v>260</v>
      </c>
      <c r="E689" s="1684" t="n">
        <v>70</v>
      </c>
      <c r="F689" s="1685" t="n">
        <v>60</v>
      </c>
      <c r="G689" s="569"/>
      <c r="H689" s="569"/>
      <c r="I689" s="569" t="n">
        <v>130</v>
      </c>
      <c r="J689" s="679"/>
      <c r="K689" s="679"/>
    </row>
    <row r="690" customFormat="false" ht="30" hidden="false" customHeight="false" outlineLevel="0" collapsed="false">
      <c r="A690" s="28" t="s">
        <v>1139</v>
      </c>
      <c r="B690" s="49" t="s">
        <v>3313</v>
      </c>
      <c r="C690" s="606" t="s">
        <v>7359</v>
      </c>
      <c r="D690" s="1105" t="n">
        <f aca="false">E690+F690+G690+H690+I690</f>
        <v>260</v>
      </c>
      <c r="E690" s="1105" t="n">
        <v>70</v>
      </c>
      <c r="F690" s="569" t="n">
        <v>60</v>
      </c>
      <c r="G690" s="569"/>
      <c r="H690" s="569"/>
      <c r="I690" s="569" t="n">
        <v>130</v>
      </c>
      <c r="J690" s="679"/>
      <c r="K690" s="679"/>
    </row>
    <row r="691" customFormat="false" ht="15" hidden="false" customHeight="false" outlineLevel="0" collapsed="false">
      <c r="A691" s="28" t="s">
        <v>1140</v>
      </c>
      <c r="B691" s="40" t="s">
        <v>3309</v>
      </c>
      <c r="C691" s="606" t="s">
        <v>7359</v>
      </c>
      <c r="D691" s="1681" t="n">
        <f aca="false">E691+F691+G691+H691+I691</f>
        <v>260</v>
      </c>
      <c r="E691" s="1105" t="n">
        <v>70</v>
      </c>
      <c r="F691" s="569" t="n">
        <v>60</v>
      </c>
      <c r="G691" s="569"/>
      <c r="H691" s="569"/>
      <c r="I691" s="569" t="n">
        <v>130</v>
      </c>
      <c r="J691" s="679"/>
      <c r="K691" s="679"/>
    </row>
    <row r="692" customFormat="false" ht="15" hidden="false" customHeight="false" outlineLevel="0" collapsed="false">
      <c r="A692" s="15" t="s">
        <v>1141</v>
      </c>
      <c r="B692" s="16" t="s">
        <v>3339</v>
      </c>
      <c r="C692" s="600"/>
      <c r="D692" s="712"/>
      <c r="E692" s="712"/>
      <c r="F692" s="541"/>
      <c r="G692" s="541"/>
      <c r="H692" s="541"/>
      <c r="I692" s="541"/>
      <c r="J692" s="600"/>
      <c r="K692" s="600"/>
    </row>
    <row r="693" customFormat="false" ht="15" hidden="false" customHeight="false" outlineLevel="0" collapsed="false">
      <c r="A693" s="28" t="s">
        <v>1143</v>
      </c>
      <c r="B693" s="40" t="s">
        <v>3309</v>
      </c>
      <c r="C693" s="606" t="s">
        <v>7359</v>
      </c>
      <c r="D693" s="1679" t="n">
        <f aca="false">E693+F693+G693+H693+I693</f>
        <v>260</v>
      </c>
      <c r="E693" s="1679" t="n">
        <v>70</v>
      </c>
      <c r="F693" s="1680" t="n">
        <v>60</v>
      </c>
      <c r="G693" s="569"/>
      <c r="H693" s="569"/>
      <c r="I693" s="569" t="n">
        <v>130</v>
      </c>
      <c r="J693" s="679"/>
      <c r="K693" s="679"/>
    </row>
    <row r="694" customFormat="false" ht="15" hidden="false" customHeight="false" outlineLevel="0" collapsed="false">
      <c r="A694" s="28" t="s">
        <v>1144</v>
      </c>
      <c r="B694" s="40" t="s">
        <v>3310</v>
      </c>
      <c r="C694" s="606" t="s">
        <v>7359</v>
      </c>
      <c r="D694" s="1105" t="n">
        <f aca="false">E694+F694+G694+H694+I694</f>
        <v>280</v>
      </c>
      <c r="E694" s="1105" t="n">
        <v>90</v>
      </c>
      <c r="F694" s="569" t="n">
        <v>70</v>
      </c>
      <c r="G694" s="569"/>
      <c r="H694" s="569"/>
      <c r="I694" s="569" t="n">
        <v>120</v>
      </c>
      <c r="J694" s="679"/>
      <c r="K694" s="679"/>
    </row>
    <row r="695" customFormat="false" ht="45" hidden="false" customHeight="false" outlineLevel="0" collapsed="false">
      <c r="A695" s="28" t="s">
        <v>1145</v>
      </c>
      <c r="B695" s="49" t="s">
        <v>3330</v>
      </c>
      <c r="C695" s="606" t="s">
        <v>7359</v>
      </c>
      <c r="D695" s="1105" t="n">
        <f aca="false">E695+F695+G695+H695+I695</f>
        <v>290</v>
      </c>
      <c r="E695" s="1105" t="n">
        <v>100</v>
      </c>
      <c r="F695" s="569" t="n">
        <v>70</v>
      </c>
      <c r="G695" s="569"/>
      <c r="H695" s="569"/>
      <c r="I695" s="569" t="n">
        <v>120</v>
      </c>
      <c r="J695" s="679"/>
      <c r="K695" s="679"/>
    </row>
    <row r="696" customFormat="false" ht="30" hidden="false" customHeight="false" outlineLevel="0" collapsed="false">
      <c r="A696" s="28" t="s">
        <v>1146</v>
      </c>
      <c r="B696" s="49" t="s">
        <v>3311</v>
      </c>
      <c r="C696" s="606" t="s">
        <v>7359</v>
      </c>
      <c r="D696" s="1105" t="n">
        <f aca="false">E696+F696+G696+H696+I696</f>
        <v>260</v>
      </c>
      <c r="E696" s="1105" t="n">
        <v>70</v>
      </c>
      <c r="F696" s="569" t="n">
        <v>60</v>
      </c>
      <c r="G696" s="569"/>
      <c r="H696" s="569"/>
      <c r="I696" s="569" t="n">
        <v>130</v>
      </c>
      <c r="J696" s="679"/>
      <c r="K696" s="679"/>
    </row>
    <row r="697" customFormat="false" ht="15" hidden="false" customHeight="false" outlineLevel="0" collapsed="false">
      <c r="A697" s="28" t="s">
        <v>1147</v>
      </c>
      <c r="B697" s="49" t="s">
        <v>3340</v>
      </c>
      <c r="C697" s="606" t="s">
        <v>7359</v>
      </c>
      <c r="D697" s="1105" t="n">
        <f aca="false">E697+F697+G697+H697+I697</f>
        <v>320</v>
      </c>
      <c r="E697" s="1105" t="n">
        <v>120</v>
      </c>
      <c r="F697" s="569" t="n">
        <v>80</v>
      </c>
      <c r="G697" s="569"/>
      <c r="H697" s="569"/>
      <c r="I697" s="569" t="n">
        <v>120</v>
      </c>
      <c r="J697" s="679"/>
      <c r="K697" s="679"/>
    </row>
    <row r="698" customFormat="false" ht="30" hidden="false" customHeight="false" outlineLevel="0" collapsed="false">
      <c r="A698" s="28" t="s">
        <v>1148</v>
      </c>
      <c r="B698" s="49" t="s">
        <v>3313</v>
      </c>
      <c r="C698" s="606" t="s">
        <v>7359</v>
      </c>
      <c r="D698" s="1105" t="n">
        <f aca="false">E698+F698+G698+H698+I698</f>
        <v>280</v>
      </c>
      <c r="E698" s="1105" t="n">
        <v>90</v>
      </c>
      <c r="F698" s="569" t="n">
        <v>70</v>
      </c>
      <c r="G698" s="569"/>
      <c r="H698" s="569"/>
      <c r="I698" s="569" t="n">
        <v>120</v>
      </c>
      <c r="J698" s="679"/>
      <c r="K698" s="679"/>
    </row>
    <row r="699" customFormat="false" ht="15" hidden="false" customHeight="false" outlineLevel="0" collapsed="false">
      <c r="A699" s="28" t="s">
        <v>1149</v>
      </c>
      <c r="B699" s="40" t="s">
        <v>3307</v>
      </c>
      <c r="C699" s="606" t="s">
        <v>7359</v>
      </c>
      <c r="D699" s="1105" t="n">
        <f aca="false">E699+F699+G699+H699+I699</f>
        <v>310</v>
      </c>
      <c r="E699" s="1105" t="n">
        <v>120</v>
      </c>
      <c r="F699" s="569" t="n">
        <v>70</v>
      </c>
      <c r="G699" s="569"/>
      <c r="H699" s="569"/>
      <c r="I699" s="569" t="n">
        <v>120</v>
      </c>
      <c r="J699" s="679"/>
      <c r="K699" s="679"/>
    </row>
    <row r="700" customFormat="false" ht="15" hidden="false" customHeight="false" outlineLevel="0" collapsed="false">
      <c r="A700" s="28" t="s">
        <v>1150</v>
      </c>
      <c r="B700" s="40" t="s">
        <v>3315</v>
      </c>
      <c r="C700" s="606" t="s">
        <v>7359</v>
      </c>
      <c r="D700" s="1105" t="n">
        <f aca="false">E700+F700+G700+H700+I700</f>
        <v>260</v>
      </c>
      <c r="E700" s="1105" t="n">
        <v>70</v>
      </c>
      <c r="F700" s="569" t="n">
        <v>60</v>
      </c>
      <c r="G700" s="569"/>
      <c r="H700" s="569"/>
      <c r="I700" s="569" t="n">
        <v>130</v>
      </c>
      <c r="J700" s="679"/>
      <c r="K700" s="679"/>
    </row>
    <row r="701" customFormat="false" ht="45" hidden="false" customHeight="false" outlineLevel="0" collapsed="false">
      <c r="A701" s="28" t="s">
        <v>1151</v>
      </c>
      <c r="B701" s="49" t="s">
        <v>3314</v>
      </c>
      <c r="C701" s="606" t="s">
        <v>7359</v>
      </c>
      <c r="D701" s="1105" t="n">
        <f aca="false">E701+F701+G701+H701+I701</f>
        <v>290</v>
      </c>
      <c r="E701" s="1105" t="n">
        <v>100</v>
      </c>
      <c r="F701" s="569" t="n">
        <v>70</v>
      </c>
      <c r="G701" s="569"/>
      <c r="H701" s="569"/>
      <c r="I701" s="569" t="n">
        <v>120</v>
      </c>
      <c r="J701" s="679"/>
      <c r="K701" s="679"/>
    </row>
    <row r="702" customFormat="false" ht="15" hidden="false" customHeight="false" outlineLevel="0" collapsed="false">
      <c r="A702" s="28" t="s">
        <v>1152</v>
      </c>
      <c r="B702" s="49" t="s">
        <v>3324</v>
      </c>
      <c r="C702" s="606" t="s">
        <v>7359</v>
      </c>
      <c r="D702" s="1105" t="n">
        <f aca="false">E702+F702+G702+H702+I702</f>
        <v>280</v>
      </c>
      <c r="E702" s="1105" t="n">
        <v>90</v>
      </c>
      <c r="F702" s="569" t="n">
        <v>70</v>
      </c>
      <c r="G702" s="569"/>
      <c r="H702" s="569"/>
      <c r="I702" s="569" t="n">
        <v>120</v>
      </c>
      <c r="J702" s="679"/>
      <c r="K702" s="679"/>
    </row>
    <row r="703" customFormat="false" ht="15" hidden="false" customHeight="false" outlineLevel="0" collapsed="false">
      <c r="A703" s="28" t="s">
        <v>1153</v>
      </c>
      <c r="B703" s="40" t="s">
        <v>3308</v>
      </c>
      <c r="C703" s="606" t="s">
        <v>7359</v>
      </c>
      <c r="D703" s="1681" t="n">
        <f aca="false">E703+F703+G703+H703+I703</f>
        <v>340</v>
      </c>
      <c r="E703" s="1681" t="n">
        <v>140</v>
      </c>
      <c r="F703" s="1682" t="n">
        <v>80</v>
      </c>
      <c r="G703" s="569"/>
      <c r="H703" s="569"/>
      <c r="I703" s="569" t="n">
        <v>120</v>
      </c>
      <c r="J703" s="679"/>
      <c r="K703" s="679"/>
    </row>
    <row r="704" customFormat="false" ht="42.75" hidden="false" customHeight="false" outlineLevel="0" collapsed="false">
      <c r="A704" s="15" t="s">
        <v>1155</v>
      </c>
      <c r="B704" s="16" t="s">
        <v>3341</v>
      </c>
      <c r="C704" s="600"/>
      <c r="D704" s="712"/>
      <c r="E704" s="712"/>
      <c r="F704" s="541"/>
      <c r="G704" s="541"/>
      <c r="H704" s="541"/>
      <c r="I704" s="541"/>
      <c r="J704" s="600"/>
      <c r="K704" s="600"/>
    </row>
    <row r="705" customFormat="false" ht="30" hidden="false" customHeight="false" outlineLevel="0" collapsed="false">
      <c r="A705" s="28" t="s">
        <v>1157</v>
      </c>
      <c r="B705" s="59" t="s">
        <v>3342</v>
      </c>
      <c r="C705" s="606" t="s">
        <v>7359</v>
      </c>
      <c r="D705" s="1679" t="n">
        <f aca="false">E705+F705+G705+H705+I705</f>
        <v>25</v>
      </c>
      <c r="E705" s="1679" t="n">
        <v>15</v>
      </c>
      <c r="F705" s="1680" t="n">
        <v>10</v>
      </c>
      <c r="G705" s="569"/>
      <c r="H705" s="569"/>
      <c r="I705" s="569"/>
      <c r="J705" s="679"/>
      <c r="K705" s="679"/>
    </row>
    <row r="706" customFormat="false" ht="30" hidden="false" customHeight="false" outlineLevel="0" collapsed="false">
      <c r="A706" s="28" t="s">
        <v>1158</v>
      </c>
      <c r="B706" s="59" t="s">
        <v>3343</v>
      </c>
      <c r="C706" s="606" t="s">
        <v>7359</v>
      </c>
      <c r="D706" s="1105" t="n">
        <f aca="false">E706+F706+G706+H706+I706</f>
        <v>30</v>
      </c>
      <c r="E706" s="1105" t="n">
        <v>10</v>
      </c>
      <c r="F706" s="569" t="n">
        <v>20</v>
      </c>
      <c r="G706" s="569"/>
      <c r="H706" s="569"/>
      <c r="I706" s="569"/>
      <c r="J706" s="679"/>
      <c r="K706" s="679"/>
    </row>
    <row r="707" customFormat="false" ht="35.25" hidden="false" customHeight="true" outlineLevel="0" collapsed="false">
      <c r="A707" s="28" t="s">
        <v>1160</v>
      </c>
      <c r="B707" s="59" t="s">
        <v>3344</v>
      </c>
      <c r="C707" s="606" t="s">
        <v>7359</v>
      </c>
      <c r="D707" s="1105" t="n">
        <f aca="false">E707+F707+G707+H707+I707</f>
        <v>260</v>
      </c>
      <c r="E707" s="1105" t="n">
        <v>110</v>
      </c>
      <c r="F707" s="569" t="n">
        <v>50</v>
      </c>
      <c r="G707" s="569"/>
      <c r="H707" s="569"/>
      <c r="I707" s="569" t="n">
        <v>100</v>
      </c>
      <c r="J707" s="679"/>
      <c r="K707" s="679"/>
    </row>
    <row r="708" customFormat="false" ht="30" hidden="false" customHeight="false" outlineLevel="0" collapsed="false">
      <c r="A708" s="28" t="s">
        <v>1162</v>
      </c>
      <c r="B708" s="59" t="s">
        <v>3345</v>
      </c>
      <c r="C708" s="606" t="s">
        <v>7359</v>
      </c>
      <c r="D708" s="1681" t="n">
        <f aca="false">E708+F708+G708+H708+I708</f>
        <v>30</v>
      </c>
      <c r="E708" s="1681" t="n">
        <v>10</v>
      </c>
      <c r="F708" s="1682" t="n">
        <v>20</v>
      </c>
      <c r="G708" s="569"/>
      <c r="H708" s="569"/>
      <c r="I708" s="569"/>
      <c r="J708" s="679"/>
      <c r="K708" s="679"/>
    </row>
    <row r="709" customFormat="false" ht="15" hidden="false" customHeight="false" outlineLevel="0" collapsed="false">
      <c r="A709" s="15" t="s">
        <v>1164</v>
      </c>
      <c r="B709" s="54" t="s">
        <v>3346</v>
      </c>
      <c r="C709" s="600"/>
      <c r="D709" s="712"/>
      <c r="E709" s="712"/>
      <c r="F709" s="541"/>
      <c r="G709" s="541"/>
      <c r="H709" s="541"/>
      <c r="I709" s="541"/>
      <c r="J709" s="600"/>
      <c r="K709" s="600"/>
    </row>
    <row r="710" customFormat="false" ht="15" hidden="false" customHeight="false" outlineLevel="0" collapsed="false">
      <c r="A710" s="28" t="s">
        <v>1166</v>
      </c>
      <c r="B710" s="40" t="s">
        <v>3317</v>
      </c>
      <c r="C710" s="606" t="s">
        <v>7359</v>
      </c>
      <c r="D710" s="1679" t="n">
        <f aca="false">E710+F710+G710+H710+I710</f>
        <v>280</v>
      </c>
      <c r="E710" s="1679" t="n">
        <v>90</v>
      </c>
      <c r="F710" s="1680" t="n">
        <v>70</v>
      </c>
      <c r="G710" s="569"/>
      <c r="H710" s="569"/>
      <c r="I710" s="569" t="n">
        <v>120</v>
      </c>
      <c r="J710" s="679"/>
      <c r="K710" s="679"/>
    </row>
    <row r="711" customFormat="false" ht="15" hidden="false" customHeight="false" outlineLevel="0" collapsed="false">
      <c r="A711" s="28" t="s">
        <v>1168</v>
      </c>
      <c r="B711" s="40" t="s">
        <v>3307</v>
      </c>
      <c r="C711" s="606" t="s">
        <v>7359</v>
      </c>
      <c r="D711" s="1105" t="n">
        <f aca="false">E711+F711+G711+H711+I711</f>
        <v>260</v>
      </c>
      <c r="E711" s="1679" t="n">
        <v>70</v>
      </c>
      <c r="F711" s="1680" t="n">
        <v>60</v>
      </c>
      <c r="G711" s="569"/>
      <c r="H711" s="569"/>
      <c r="I711" s="569" t="n">
        <v>130</v>
      </c>
      <c r="J711" s="679"/>
      <c r="K711" s="679"/>
    </row>
    <row r="712" customFormat="false" ht="15" hidden="false" customHeight="false" outlineLevel="0" collapsed="false">
      <c r="A712" s="28" t="s">
        <v>1169</v>
      </c>
      <c r="B712" s="40" t="s">
        <v>3347</v>
      </c>
      <c r="C712" s="606" t="s">
        <v>7359</v>
      </c>
      <c r="D712" s="1105" t="n">
        <f aca="false">E712+F712+G712+H712+I712</f>
        <v>260</v>
      </c>
      <c r="E712" s="1105" t="n">
        <v>100</v>
      </c>
      <c r="F712" s="569" t="n">
        <v>40</v>
      </c>
      <c r="G712" s="569"/>
      <c r="H712" s="569"/>
      <c r="I712" s="569" t="n">
        <v>120</v>
      </c>
      <c r="J712" s="679"/>
      <c r="K712" s="679"/>
    </row>
    <row r="713" customFormat="false" ht="15" hidden="false" customHeight="false" outlineLevel="0" collapsed="false">
      <c r="A713" s="28" t="s">
        <v>1171</v>
      </c>
      <c r="B713" s="40" t="s">
        <v>3309</v>
      </c>
      <c r="C713" s="606" t="s">
        <v>7359</v>
      </c>
      <c r="D713" s="1681" t="n">
        <f aca="false">E713+F713+G713+H713+I713</f>
        <v>260</v>
      </c>
      <c r="E713" s="1105" t="n">
        <v>70</v>
      </c>
      <c r="F713" s="569" t="n">
        <v>60</v>
      </c>
      <c r="G713" s="569"/>
      <c r="H713" s="569"/>
      <c r="I713" s="569" t="n">
        <v>130</v>
      </c>
      <c r="J713" s="679"/>
      <c r="K713" s="679"/>
    </row>
    <row r="714" customFormat="false" ht="28.5" hidden="false" customHeight="false" outlineLevel="0" collapsed="false">
      <c r="A714" s="15" t="s">
        <v>1172</v>
      </c>
      <c r="B714" s="54" t="s">
        <v>3348</v>
      </c>
      <c r="C714" s="600"/>
      <c r="D714" s="712"/>
      <c r="E714" s="712"/>
      <c r="F714" s="541"/>
      <c r="G714" s="541"/>
      <c r="H714" s="541"/>
      <c r="I714" s="541"/>
      <c r="J714" s="600"/>
      <c r="K714" s="600"/>
    </row>
    <row r="715" customFormat="false" ht="15" hidden="false" customHeight="false" outlineLevel="0" collapsed="false">
      <c r="A715" s="28" t="s">
        <v>1174</v>
      </c>
      <c r="B715" s="40" t="s">
        <v>3323</v>
      </c>
      <c r="C715" s="606" t="s">
        <v>7359</v>
      </c>
      <c r="D715" s="1679" t="n">
        <f aca="false">E715+F715+G715+H715+I715</f>
        <v>280</v>
      </c>
      <c r="E715" s="1684" t="n">
        <v>90</v>
      </c>
      <c r="F715" s="1685" t="n">
        <v>70</v>
      </c>
      <c r="G715" s="569"/>
      <c r="H715" s="569"/>
      <c r="I715" s="569" t="n">
        <v>120</v>
      </c>
      <c r="J715" s="679"/>
      <c r="K715" s="679"/>
    </row>
    <row r="716" customFormat="false" ht="15" hidden="false" customHeight="false" outlineLevel="0" collapsed="false">
      <c r="A716" s="28" t="s">
        <v>1175</v>
      </c>
      <c r="B716" s="40" t="s">
        <v>3308</v>
      </c>
      <c r="C716" s="606" t="s">
        <v>7359</v>
      </c>
      <c r="D716" s="1681" t="n">
        <f aca="false">E716+F716+G716+H716+I716</f>
        <v>340</v>
      </c>
      <c r="E716" s="1681" t="n">
        <v>140</v>
      </c>
      <c r="F716" s="1682" t="n">
        <v>80</v>
      </c>
      <c r="G716" s="569"/>
      <c r="H716" s="569"/>
      <c r="I716" s="569" t="n">
        <v>120</v>
      </c>
      <c r="J716" s="679"/>
      <c r="K716" s="679"/>
    </row>
    <row r="717" customFormat="false" ht="42.75" hidden="false" customHeight="false" outlineLevel="0" collapsed="false">
      <c r="A717" s="15" t="s">
        <v>1176</v>
      </c>
      <c r="B717" s="54" t="s">
        <v>3349</v>
      </c>
      <c r="C717" s="600"/>
      <c r="D717" s="712"/>
      <c r="E717" s="712"/>
      <c r="F717" s="541"/>
      <c r="G717" s="541"/>
      <c r="H717" s="541"/>
      <c r="I717" s="541"/>
      <c r="J717" s="600"/>
      <c r="K717" s="600"/>
    </row>
    <row r="718" customFormat="false" ht="30" hidden="false" customHeight="false" outlineLevel="0" collapsed="false">
      <c r="A718" s="28" t="s">
        <v>1178</v>
      </c>
      <c r="B718" s="40" t="s">
        <v>3350</v>
      </c>
      <c r="C718" s="606" t="s">
        <v>7359</v>
      </c>
      <c r="D718" s="1684" t="n">
        <f aca="false">E718+F718+G718+H718+I718</f>
        <v>310</v>
      </c>
      <c r="E718" s="1684" t="n">
        <v>100</v>
      </c>
      <c r="F718" s="1685" t="n">
        <v>90</v>
      </c>
      <c r="G718" s="569"/>
      <c r="H718" s="569"/>
      <c r="I718" s="569" t="n">
        <v>120</v>
      </c>
      <c r="J718" s="679"/>
      <c r="K718" s="679"/>
    </row>
    <row r="719" customFormat="false" ht="15" hidden="false" customHeight="false" outlineLevel="0" collapsed="false">
      <c r="A719" s="15" t="s">
        <v>1180</v>
      </c>
      <c r="B719" s="54" t="s">
        <v>3351</v>
      </c>
      <c r="C719" s="600"/>
      <c r="D719" s="712"/>
      <c r="E719" s="712"/>
      <c r="F719" s="541"/>
      <c r="G719" s="541"/>
      <c r="H719" s="541"/>
      <c r="I719" s="541"/>
      <c r="J719" s="600"/>
      <c r="K719" s="600"/>
    </row>
    <row r="720" customFormat="false" ht="15" hidden="false" customHeight="false" outlineLevel="0" collapsed="false">
      <c r="A720" s="28" t="s">
        <v>1182</v>
      </c>
      <c r="B720" s="40" t="s">
        <v>3323</v>
      </c>
      <c r="C720" s="606" t="s">
        <v>7359</v>
      </c>
      <c r="D720" s="1684" t="n">
        <f aca="false">E720+F720+G720+H720+I720</f>
        <v>340</v>
      </c>
      <c r="E720" s="1684" t="n">
        <v>140</v>
      </c>
      <c r="F720" s="1685" t="n">
        <v>80</v>
      </c>
      <c r="G720" s="569"/>
      <c r="H720" s="569"/>
      <c r="I720" s="569" t="n">
        <v>120</v>
      </c>
      <c r="J720" s="679"/>
      <c r="K720" s="679"/>
    </row>
    <row r="721" customFormat="false" ht="28.5" hidden="false" customHeight="false" outlineLevel="0" collapsed="false">
      <c r="A721" s="15" t="s">
        <v>1183</v>
      </c>
      <c r="B721" s="54" t="s">
        <v>3352</v>
      </c>
      <c r="C721" s="600"/>
      <c r="D721" s="712"/>
      <c r="E721" s="712"/>
      <c r="F721" s="541"/>
      <c r="G721" s="541"/>
      <c r="H721" s="541"/>
      <c r="I721" s="541"/>
      <c r="J721" s="600"/>
      <c r="K721" s="600"/>
    </row>
    <row r="722" customFormat="false" ht="15" hidden="false" customHeight="false" outlineLevel="0" collapsed="false">
      <c r="A722" s="28" t="s">
        <v>1185</v>
      </c>
      <c r="B722" s="40" t="s">
        <v>3307</v>
      </c>
      <c r="C722" s="606" t="s">
        <v>7359</v>
      </c>
      <c r="D722" s="1679" t="n">
        <f aca="false">E722+F722+G722+H722+I722</f>
        <v>340</v>
      </c>
      <c r="E722" s="1679" t="n">
        <v>140</v>
      </c>
      <c r="F722" s="1680" t="n">
        <v>80</v>
      </c>
      <c r="G722" s="569"/>
      <c r="H722" s="569"/>
      <c r="I722" s="569" t="n">
        <v>120</v>
      </c>
      <c r="J722" s="679"/>
      <c r="K722" s="679"/>
    </row>
    <row r="723" customFormat="false" ht="15" hidden="false" customHeight="false" outlineLevel="0" collapsed="false">
      <c r="A723" s="28" t="s">
        <v>1186</v>
      </c>
      <c r="B723" s="40" t="s">
        <v>3309</v>
      </c>
      <c r="C723" s="606" t="s">
        <v>7359</v>
      </c>
      <c r="D723" s="1105" t="n">
        <f aca="false">E723+F723+G723+H723+I723</f>
        <v>260</v>
      </c>
      <c r="E723" s="1105" t="n">
        <v>70</v>
      </c>
      <c r="F723" s="569" t="n">
        <v>60</v>
      </c>
      <c r="G723" s="569"/>
      <c r="H723" s="569"/>
      <c r="I723" s="569" t="n">
        <v>130</v>
      </c>
      <c r="J723" s="679"/>
      <c r="K723" s="679"/>
    </row>
    <row r="724" customFormat="false" ht="15" hidden="false" customHeight="false" outlineLevel="0" collapsed="false">
      <c r="A724" s="28" t="s">
        <v>1187</v>
      </c>
      <c r="B724" s="40" t="s">
        <v>3310</v>
      </c>
      <c r="C724" s="606" t="s">
        <v>7359</v>
      </c>
      <c r="D724" s="1105" t="n">
        <f aca="false">E724+F724+G724+H724+I724</f>
        <v>260</v>
      </c>
      <c r="E724" s="1105" t="n">
        <v>80</v>
      </c>
      <c r="F724" s="569" t="n">
        <v>60</v>
      </c>
      <c r="G724" s="569"/>
      <c r="H724" s="569"/>
      <c r="I724" s="569" t="n">
        <v>120</v>
      </c>
      <c r="J724" s="679"/>
      <c r="K724" s="679"/>
    </row>
    <row r="725" customFormat="false" ht="15" hidden="false" customHeight="false" outlineLevel="0" collapsed="false">
      <c r="A725" s="28" t="s">
        <v>1188</v>
      </c>
      <c r="B725" s="40" t="s">
        <v>3308</v>
      </c>
      <c r="C725" s="606" t="s">
        <v>7359</v>
      </c>
      <c r="D725" s="1105" t="n">
        <f aca="false">E725+F725+G725+H725+I725</f>
        <v>340</v>
      </c>
      <c r="E725" s="1105" t="n">
        <v>140</v>
      </c>
      <c r="F725" s="569" t="n">
        <v>80</v>
      </c>
      <c r="G725" s="569"/>
      <c r="H725" s="569"/>
      <c r="I725" s="569" t="n">
        <v>120</v>
      </c>
      <c r="J725" s="679"/>
      <c r="K725" s="679"/>
    </row>
    <row r="726" customFormat="false" ht="15" hidden="false" customHeight="false" outlineLevel="0" collapsed="false">
      <c r="A726" s="28" t="s">
        <v>1189</v>
      </c>
      <c r="B726" s="40" t="s">
        <v>3324</v>
      </c>
      <c r="C726" s="606" t="s">
        <v>7359</v>
      </c>
      <c r="D726" s="1681" t="n">
        <f aca="false">E726+F726+G726+H726+I726</f>
        <v>310</v>
      </c>
      <c r="E726" s="1105" t="n">
        <v>120</v>
      </c>
      <c r="F726" s="569" t="n">
        <v>90</v>
      </c>
      <c r="G726" s="569"/>
      <c r="H726" s="569"/>
      <c r="I726" s="569" t="n">
        <v>100</v>
      </c>
      <c r="J726" s="679"/>
      <c r="K726" s="679"/>
    </row>
    <row r="727" customFormat="false" ht="28.5" hidden="false" customHeight="false" outlineLevel="0" collapsed="false">
      <c r="A727" s="15" t="s">
        <v>1190</v>
      </c>
      <c r="B727" s="54" t="s">
        <v>3353</v>
      </c>
      <c r="C727" s="600"/>
      <c r="D727" s="712"/>
      <c r="E727" s="712"/>
      <c r="F727" s="541"/>
      <c r="G727" s="541"/>
      <c r="H727" s="541"/>
      <c r="I727" s="541"/>
      <c r="J727" s="600"/>
      <c r="K727" s="600"/>
    </row>
    <row r="728" customFormat="false" ht="15" hidden="false" customHeight="false" outlineLevel="0" collapsed="false">
      <c r="A728" s="28" t="s">
        <v>1192</v>
      </c>
      <c r="B728" s="40" t="s">
        <v>3307</v>
      </c>
      <c r="C728" s="606" t="s">
        <v>7359</v>
      </c>
      <c r="D728" s="1684" t="n">
        <f aca="false">E728+F728+G728+H728+I728</f>
        <v>340</v>
      </c>
      <c r="E728" s="1684" t="n">
        <v>140</v>
      </c>
      <c r="F728" s="1685" t="n">
        <v>80</v>
      </c>
      <c r="G728" s="569"/>
      <c r="H728" s="569"/>
      <c r="I728" s="569" t="n">
        <v>120</v>
      </c>
      <c r="J728" s="679"/>
      <c r="K728" s="679"/>
    </row>
    <row r="729" customFormat="false" ht="42.75" hidden="false" customHeight="false" outlineLevel="0" collapsed="false">
      <c r="A729" s="15" t="s">
        <v>1193</v>
      </c>
      <c r="B729" s="67" t="s">
        <v>3354</v>
      </c>
      <c r="C729" s="600"/>
      <c r="D729" s="712"/>
      <c r="E729" s="712"/>
      <c r="F729" s="541"/>
      <c r="G729" s="541"/>
      <c r="H729" s="541"/>
      <c r="I729" s="541"/>
      <c r="J729" s="600"/>
      <c r="K729" s="600"/>
    </row>
    <row r="730" customFormat="false" ht="15" hidden="false" customHeight="false" outlineLevel="0" collapsed="false">
      <c r="A730" s="28" t="s">
        <v>1195</v>
      </c>
      <c r="B730" s="40" t="s">
        <v>3307</v>
      </c>
      <c r="C730" s="606" t="s">
        <v>7359</v>
      </c>
      <c r="D730" s="1684" t="n">
        <f aca="false">E730+F730+G730+H730+I730</f>
        <v>280</v>
      </c>
      <c r="E730" s="1684" t="n">
        <v>90</v>
      </c>
      <c r="F730" s="1685" t="n">
        <v>70</v>
      </c>
      <c r="G730" s="569"/>
      <c r="H730" s="569"/>
      <c r="I730" s="569" t="n">
        <v>120</v>
      </c>
      <c r="J730" s="679"/>
      <c r="K730" s="679"/>
    </row>
    <row r="731" s="1587" customFormat="true" ht="15" hidden="false" customHeight="false" outlineLevel="0" collapsed="false">
      <c r="A731" s="1657" t="s">
        <v>1196</v>
      </c>
      <c r="B731" s="1658" t="s">
        <v>3355</v>
      </c>
      <c r="C731" s="1661"/>
      <c r="D731" s="1687"/>
      <c r="E731" s="1687"/>
      <c r="F731" s="1688"/>
      <c r="G731" s="1672"/>
      <c r="H731" s="1672"/>
      <c r="I731" s="1672"/>
      <c r="J731" s="1672"/>
      <c r="K731" s="1672"/>
    </row>
    <row r="732" customFormat="false" ht="15" hidden="false" customHeight="false" outlineLevel="0" collapsed="false">
      <c r="A732" s="28" t="s">
        <v>1198</v>
      </c>
      <c r="B732" s="40" t="s">
        <v>3010</v>
      </c>
      <c r="C732" s="912" t="n">
        <v>1</v>
      </c>
      <c r="D732" s="547" t="n">
        <f aca="false">E732+F732+G732+H732</f>
        <v>70</v>
      </c>
      <c r="E732" s="547" t="n">
        <v>30</v>
      </c>
      <c r="F732" s="912"/>
      <c r="G732" s="912" t="n">
        <v>20</v>
      </c>
      <c r="H732" s="912" t="n">
        <v>20</v>
      </c>
      <c r="I732" s="912"/>
      <c r="J732" s="679"/>
      <c r="K732" s="679"/>
    </row>
    <row r="733" customFormat="false" ht="15" hidden="false" customHeight="false" outlineLevel="0" collapsed="false">
      <c r="A733" s="28" t="s">
        <v>1199</v>
      </c>
      <c r="B733" s="40" t="s">
        <v>3356</v>
      </c>
      <c r="C733" s="912" t="n">
        <v>1</v>
      </c>
      <c r="D733" s="547" t="n">
        <f aca="false">E733+F733+G733+H733</f>
        <v>170</v>
      </c>
      <c r="E733" s="547" t="n">
        <v>100</v>
      </c>
      <c r="F733" s="912"/>
      <c r="G733" s="912" t="n">
        <v>50</v>
      </c>
      <c r="H733" s="912" t="n">
        <v>20</v>
      </c>
      <c r="I733" s="912"/>
      <c r="J733" s="679"/>
      <c r="K733" s="679"/>
    </row>
    <row r="734" customFormat="false" ht="15" hidden="false" customHeight="false" outlineLevel="0" collapsed="false">
      <c r="A734" s="28" t="s">
        <v>1201</v>
      </c>
      <c r="B734" s="40" t="s">
        <v>3357</v>
      </c>
      <c r="C734" s="912" t="n">
        <v>1</v>
      </c>
      <c r="D734" s="547" t="n">
        <f aca="false">E734+F734+G734+H734</f>
        <v>100</v>
      </c>
      <c r="E734" s="547" t="n">
        <v>50</v>
      </c>
      <c r="F734" s="912"/>
      <c r="G734" s="912" t="n">
        <v>30</v>
      </c>
      <c r="H734" s="912" t="n">
        <v>20</v>
      </c>
      <c r="I734" s="912"/>
      <c r="J734" s="679"/>
      <c r="K734" s="679"/>
    </row>
    <row r="735" customFormat="false" ht="30" hidden="false" customHeight="false" outlineLevel="0" collapsed="false">
      <c r="A735" s="28" t="s">
        <v>1203</v>
      </c>
      <c r="B735" s="40" t="s">
        <v>3358</v>
      </c>
      <c r="C735" s="912" t="n">
        <v>1</v>
      </c>
      <c r="D735" s="547" t="n">
        <f aca="false">E735+F735+G735+H735</f>
        <v>370</v>
      </c>
      <c r="E735" s="547" t="n">
        <v>300</v>
      </c>
      <c r="F735" s="912"/>
      <c r="G735" s="912" t="n">
        <v>50</v>
      </c>
      <c r="H735" s="912" t="n">
        <v>20</v>
      </c>
      <c r="I735" s="912"/>
      <c r="J735" s="679"/>
      <c r="K735" s="679"/>
    </row>
    <row r="736" customFormat="false" ht="15" hidden="false" customHeight="false" outlineLevel="0" collapsed="false">
      <c r="A736" s="28" t="s">
        <v>1205</v>
      </c>
      <c r="B736" s="40" t="s">
        <v>3359</v>
      </c>
      <c r="C736" s="912" t="n">
        <v>1</v>
      </c>
      <c r="D736" s="547" t="n">
        <f aca="false">E736+F736+G736+H736</f>
        <v>370</v>
      </c>
      <c r="E736" s="547" t="n">
        <v>300</v>
      </c>
      <c r="F736" s="912"/>
      <c r="G736" s="912" t="n">
        <v>50</v>
      </c>
      <c r="H736" s="912" t="n">
        <v>20</v>
      </c>
      <c r="I736" s="912"/>
      <c r="J736" s="679"/>
      <c r="K736" s="679"/>
    </row>
    <row r="737" customFormat="false" ht="15" hidden="false" customHeight="false" outlineLevel="0" collapsed="false">
      <c r="A737" s="28" t="s">
        <v>1207</v>
      </c>
      <c r="B737" s="40" t="s">
        <v>3360</v>
      </c>
      <c r="C737" s="912" t="n">
        <v>1</v>
      </c>
      <c r="D737" s="547" t="n">
        <f aca="false">E737+F737+G737+H737</f>
        <v>110</v>
      </c>
      <c r="E737" s="547" t="n">
        <v>60</v>
      </c>
      <c r="F737" s="912"/>
      <c r="G737" s="912" t="n">
        <v>30</v>
      </c>
      <c r="H737" s="912" t="n">
        <v>20</v>
      </c>
      <c r="I737" s="912"/>
      <c r="J737" s="679"/>
      <c r="K737" s="679"/>
    </row>
    <row r="738" customFormat="false" ht="30" hidden="false" customHeight="false" outlineLevel="0" collapsed="false">
      <c r="A738" s="28" t="s">
        <v>1209</v>
      </c>
      <c r="B738" s="40" t="s">
        <v>3361</v>
      </c>
      <c r="C738" s="912" t="n">
        <v>1</v>
      </c>
      <c r="D738" s="547" t="n">
        <f aca="false">E738+F738+G738+H738</f>
        <v>180</v>
      </c>
      <c r="E738" s="547" t="n">
        <v>110</v>
      </c>
      <c r="F738" s="912"/>
      <c r="G738" s="912" t="n">
        <v>50</v>
      </c>
      <c r="H738" s="912" t="n">
        <v>20</v>
      </c>
      <c r="I738" s="912"/>
      <c r="J738" s="679"/>
      <c r="K738" s="679"/>
    </row>
    <row r="739" customFormat="false" ht="45" hidden="false" customHeight="false" outlineLevel="0" collapsed="false">
      <c r="A739" s="28" t="s">
        <v>1211</v>
      </c>
      <c r="B739" s="40" t="s">
        <v>3362</v>
      </c>
      <c r="C739" s="912" t="n">
        <v>1</v>
      </c>
      <c r="D739" s="547" t="n">
        <f aca="false">E739+F739+G739+H739</f>
        <v>140</v>
      </c>
      <c r="E739" s="547" t="n">
        <v>70</v>
      </c>
      <c r="F739" s="912"/>
      <c r="G739" s="912" t="n">
        <v>50</v>
      </c>
      <c r="H739" s="912" t="n">
        <v>20</v>
      </c>
      <c r="I739" s="912"/>
      <c r="J739" s="679"/>
      <c r="K739" s="679"/>
    </row>
    <row r="740" customFormat="false" ht="15" hidden="false" customHeight="false" outlineLevel="0" collapsed="false">
      <c r="A740" s="28" t="s">
        <v>1213</v>
      </c>
      <c r="B740" s="40" t="s">
        <v>3363</v>
      </c>
      <c r="C740" s="912" t="n">
        <v>1</v>
      </c>
      <c r="D740" s="547" t="n">
        <f aca="false">E740+F740+G740+H740</f>
        <v>370</v>
      </c>
      <c r="E740" s="547" t="n">
        <v>300</v>
      </c>
      <c r="F740" s="912"/>
      <c r="G740" s="912" t="n">
        <v>50</v>
      </c>
      <c r="H740" s="912" t="n">
        <v>20</v>
      </c>
      <c r="I740" s="912"/>
      <c r="J740" s="679"/>
      <c r="K740" s="679"/>
    </row>
    <row r="741" customFormat="false" ht="15" hidden="false" customHeight="false" outlineLevel="0" collapsed="false">
      <c r="A741" s="28" t="s">
        <v>1215</v>
      </c>
      <c r="B741" s="40" t="s">
        <v>3364</v>
      </c>
      <c r="C741" s="912" t="n">
        <v>1</v>
      </c>
      <c r="D741" s="547" t="n">
        <f aca="false">E741+F741+G741+H741</f>
        <v>370</v>
      </c>
      <c r="E741" s="547" t="n">
        <v>300</v>
      </c>
      <c r="F741" s="912"/>
      <c r="G741" s="912" t="n">
        <v>50</v>
      </c>
      <c r="H741" s="912" t="n">
        <v>20</v>
      </c>
      <c r="I741" s="912"/>
      <c r="J741" s="679"/>
      <c r="K741" s="679"/>
    </row>
    <row r="742" customFormat="false" ht="15" hidden="false" customHeight="false" outlineLevel="0" collapsed="false">
      <c r="A742" s="28" t="s">
        <v>1217</v>
      </c>
      <c r="B742" s="40" t="s">
        <v>3365</v>
      </c>
      <c r="C742" s="912" t="n">
        <v>1</v>
      </c>
      <c r="D742" s="547" t="n">
        <f aca="false">E742+F742+G742+H742</f>
        <v>370</v>
      </c>
      <c r="E742" s="547" t="n">
        <v>300</v>
      </c>
      <c r="F742" s="912"/>
      <c r="G742" s="912" t="n">
        <v>50</v>
      </c>
      <c r="H742" s="912" t="n">
        <v>20</v>
      </c>
      <c r="I742" s="912"/>
      <c r="J742" s="679"/>
      <c r="K742" s="679"/>
    </row>
    <row r="743" customFormat="false" ht="15" hidden="false" customHeight="false" outlineLevel="0" collapsed="false">
      <c r="A743" s="28" t="s">
        <v>1219</v>
      </c>
      <c r="B743" s="40" t="s">
        <v>3366</v>
      </c>
      <c r="C743" s="912" t="n">
        <v>1</v>
      </c>
      <c r="D743" s="547" t="n">
        <f aca="false">E743+F743+G743+H743</f>
        <v>370</v>
      </c>
      <c r="E743" s="547" t="n">
        <v>300</v>
      </c>
      <c r="F743" s="912"/>
      <c r="G743" s="912" t="n">
        <v>50</v>
      </c>
      <c r="H743" s="912" t="n">
        <v>20</v>
      </c>
      <c r="I743" s="912"/>
      <c r="J743" s="679"/>
      <c r="K743" s="679"/>
    </row>
    <row r="744" customFormat="false" ht="15" hidden="false" customHeight="false" outlineLevel="0" collapsed="false">
      <c r="A744" s="28" t="s">
        <v>1221</v>
      </c>
      <c r="B744" s="40" t="s">
        <v>3367</v>
      </c>
      <c r="C744" s="912" t="n">
        <v>1</v>
      </c>
      <c r="D744" s="547" t="n">
        <f aca="false">E744+F744+G744+H744</f>
        <v>370</v>
      </c>
      <c r="E744" s="547" t="n">
        <v>300</v>
      </c>
      <c r="F744" s="912"/>
      <c r="G744" s="912" t="n">
        <v>50</v>
      </c>
      <c r="H744" s="912" t="n">
        <v>20</v>
      </c>
      <c r="I744" s="912"/>
      <c r="J744" s="679"/>
      <c r="K744" s="679"/>
    </row>
    <row r="745" customFormat="false" ht="15" hidden="false" customHeight="false" outlineLevel="0" collapsed="false">
      <c r="A745" s="28" t="s">
        <v>1223</v>
      </c>
      <c r="B745" s="40" t="s">
        <v>3368</v>
      </c>
      <c r="C745" s="912" t="n">
        <v>1</v>
      </c>
      <c r="D745" s="547" t="n">
        <f aca="false">E745+F745+G745+H745</f>
        <v>370</v>
      </c>
      <c r="E745" s="547" t="n">
        <v>300</v>
      </c>
      <c r="F745" s="912"/>
      <c r="G745" s="912" t="n">
        <v>50</v>
      </c>
      <c r="H745" s="912" t="n">
        <v>20</v>
      </c>
      <c r="I745" s="912"/>
      <c r="J745" s="679"/>
      <c r="K745" s="679"/>
    </row>
    <row r="746" customFormat="false" ht="15" hidden="false" customHeight="false" outlineLevel="0" collapsed="false">
      <c r="A746" s="28" t="s">
        <v>1225</v>
      </c>
      <c r="B746" s="40" t="s">
        <v>3369</v>
      </c>
      <c r="C746" s="912" t="n">
        <v>1</v>
      </c>
      <c r="D746" s="547" t="n">
        <f aca="false">E746+F746+G746+H746</f>
        <v>370</v>
      </c>
      <c r="E746" s="547" t="n">
        <v>300</v>
      </c>
      <c r="F746" s="912"/>
      <c r="G746" s="912" t="n">
        <v>50</v>
      </c>
      <c r="H746" s="912" t="n">
        <v>20</v>
      </c>
      <c r="I746" s="912"/>
      <c r="J746" s="679"/>
      <c r="K746" s="679"/>
    </row>
    <row r="747" customFormat="false" ht="15" hidden="false" customHeight="false" outlineLevel="0" collapsed="false">
      <c r="A747" s="28" t="s">
        <v>1227</v>
      </c>
      <c r="B747" s="40" t="s">
        <v>3370</v>
      </c>
      <c r="C747" s="912" t="n">
        <v>1</v>
      </c>
      <c r="D747" s="547" t="n">
        <f aca="false">E747+F747+G747+H747</f>
        <v>370</v>
      </c>
      <c r="E747" s="547" t="n">
        <v>300</v>
      </c>
      <c r="F747" s="912"/>
      <c r="G747" s="912" t="n">
        <v>50</v>
      </c>
      <c r="H747" s="912" t="n">
        <v>20</v>
      </c>
      <c r="I747" s="912"/>
      <c r="J747" s="679"/>
      <c r="K747" s="679"/>
    </row>
    <row r="748" customFormat="false" ht="15" hidden="false" customHeight="false" outlineLevel="0" collapsed="false">
      <c r="A748" s="28" t="s">
        <v>1229</v>
      </c>
      <c r="B748" s="40" t="s">
        <v>3371</v>
      </c>
      <c r="C748" s="912" t="n">
        <v>1</v>
      </c>
      <c r="D748" s="547" t="n">
        <f aca="false">E748+F748+G748+H748</f>
        <v>370</v>
      </c>
      <c r="E748" s="547" t="n">
        <v>300</v>
      </c>
      <c r="F748" s="912"/>
      <c r="G748" s="912" t="n">
        <v>50</v>
      </c>
      <c r="H748" s="912" t="n">
        <v>20</v>
      </c>
      <c r="I748" s="912"/>
      <c r="J748" s="679"/>
      <c r="K748" s="679"/>
    </row>
    <row r="749" customFormat="false" ht="15" hidden="false" customHeight="false" outlineLevel="0" collapsed="false">
      <c r="A749" s="28" t="s">
        <v>1231</v>
      </c>
      <c r="B749" s="40" t="s">
        <v>3372</v>
      </c>
      <c r="C749" s="912" t="n">
        <v>1</v>
      </c>
      <c r="D749" s="547" t="n">
        <f aca="false">E749+F749+G749+H749</f>
        <v>370</v>
      </c>
      <c r="E749" s="547" t="n">
        <v>300</v>
      </c>
      <c r="F749" s="912"/>
      <c r="G749" s="912" t="n">
        <v>50</v>
      </c>
      <c r="H749" s="912" t="n">
        <v>20</v>
      </c>
      <c r="I749" s="912"/>
      <c r="J749" s="679"/>
      <c r="K749" s="679"/>
    </row>
    <row r="750" customFormat="false" ht="15" hidden="false" customHeight="false" outlineLevel="0" collapsed="false">
      <c r="A750" s="28" t="s">
        <v>1233</v>
      </c>
      <c r="B750" s="40" t="s">
        <v>3373</v>
      </c>
      <c r="C750" s="912" t="n">
        <v>1</v>
      </c>
      <c r="D750" s="547" t="n">
        <f aca="false">E750+F750+G750+H750</f>
        <v>110</v>
      </c>
      <c r="E750" s="547" t="n">
        <v>60</v>
      </c>
      <c r="F750" s="912"/>
      <c r="G750" s="912" t="n">
        <v>30</v>
      </c>
      <c r="H750" s="912" t="n">
        <v>20</v>
      </c>
      <c r="I750" s="912"/>
      <c r="J750" s="679"/>
      <c r="K750" s="679"/>
    </row>
    <row r="751" customFormat="false" ht="15" hidden="false" customHeight="false" outlineLevel="0" collapsed="false">
      <c r="A751" s="28" t="s">
        <v>1235</v>
      </c>
      <c r="B751" s="40" t="s">
        <v>3374</v>
      </c>
      <c r="C751" s="912" t="n">
        <v>1</v>
      </c>
      <c r="D751" s="547" t="n">
        <f aca="false">E751+F751+G751+H751</f>
        <v>120</v>
      </c>
      <c r="E751" s="547" t="n">
        <v>70</v>
      </c>
      <c r="F751" s="912"/>
      <c r="G751" s="912" t="n">
        <v>30</v>
      </c>
      <c r="H751" s="912" t="n">
        <v>20</v>
      </c>
      <c r="I751" s="912"/>
      <c r="J751" s="679"/>
      <c r="K751" s="679"/>
    </row>
    <row r="752" customFormat="false" ht="30" hidden="false" customHeight="false" outlineLevel="0" collapsed="false">
      <c r="A752" s="28" t="s">
        <v>1237</v>
      </c>
      <c r="B752" s="40" t="s">
        <v>3375</v>
      </c>
      <c r="C752" s="912" t="n">
        <v>1</v>
      </c>
      <c r="D752" s="547" t="n">
        <f aca="false">E752+F752+G752+H752</f>
        <v>370</v>
      </c>
      <c r="E752" s="547" t="n">
        <v>300</v>
      </c>
      <c r="F752" s="912"/>
      <c r="G752" s="912" t="n">
        <v>50</v>
      </c>
      <c r="H752" s="912" t="n">
        <v>20</v>
      </c>
      <c r="I752" s="912"/>
      <c r="J752" s="679"/>
      <c r="K752" s="679"/>
    </row>
    <row r="753" customFormat="false" ht="30" hidden="false" customHeight="false" outlineLevel="0" collapsed="false">
      <c r="A753" s="28" t="s">
        <v>1238</v>
      </c>
      <c r="B753" s="40" t="s">
        <v>3376</v>
      </c>
      <c r="C753" s="912" t="n">
        <v>1</v>
      </c>
      <c r="D753" s="547" t="n">
        <f aca="false">E753+F753+G753+H753</f>
        <v>370</v>
      </c>
      <c r="E753" s="547" t="n">
        <v>300</v>
      </c>
      <c r="F753" s="912"/>
      <c r="G753" s="912" t="n">
        <v>50</v>
      </c>
      <c r="H753" s="912" t="n">
        <v>20</v>
      </c>
      <c r="I753" s="912"/>
      <c r="J753" s="679"/>
      <c r="K753" s="679"/>
    </row>
    <row r="754" customFormat="false" ht="15" hidden="false" customHeight="false" outlineLevel="0" collapsed="false">
      <c r="A754" s="28" t="s">
        <v>1240</v>
      </c>
      <c r="B754" s="40" t="s">
        <v>3377</v>
      </c>
      <c r="C754" s="912" t="n">
        <v>1</v>
      </c>
      <c r="D754" s="547" t="n">
        <f aca="false">E754+F754+G754+H754</f>
        <v>370</v>
      </c>
      <c r="E754" s="547" t="n">
        <v>300</v>
      </c>
      <c r="F754" s="912"/>
      <c r="G754" s="912" t="n">
        <v>50</v>
      </c>
      <c r="H754" s="912" t="n">
        <v>20</v>
      </c>
      <c r="I754" s="912"/>
      <c r="J754" s="679"/>
      <c r="K754" s="679"/>
    </row>
    <row r="755" customFormat="false" ht="15" hidden="false" customHeight="false" outlineLevel="0" collapsed="false">
      <c r="A755" s="28" t="s">
        <v>1242</v>
      </c>
      <c r="B755" s="40" t="s">
        <v>3378</v>
      </c>
      <c r="C755" s="912" t="n">
        <v>1</v>
      </c>
      <c r="D755" s="547" t="n">
        <f aca="false">E755+F755+G755+H755</f>
        <v>370</v>
      </c>
      <c r="E755" s="547" t="n">
        <v>300</v>
      </c>
      <c r="F755" s="912"/>
      <c r="G755" s="912" t="n">
        <v>50</v>
      </c>
      <c r="H755" s="912" t="n">
        <v>20</v>
      </c>
      <c r="I755" s="912"/>
      <c r="J755" s="679"/>
      <c r="K755" s="679"/>
    </row>
    <row r="756" customFormat="false" ht="15" hidden="false" customHeight="false" outlineLevel="0" collapsed="false">
      <c r="A756" s="28" t="s">
        <v>1244</v>
      </c>
      <c r="B756" s="40" t="s">
        <v>3379</v>
      </c>
      <c r="C756" s="912" t="n">
        <v>1</v>
      </c>
      <c r="D756" s="547" t="n">
        <f aca="false">E756+F756+G756+H756</f>
        <v>370</v>
      </c>
      <c r="E756" s="547" t="n">
        <v>300</v>
      </c>
      <c r="F756" s="912"/>
      <c r="G756" s="912" t="n">
        <v>50</v>
      </c>
      <c r="H756" s="912" t="n">
        <v>20</v>
      </c>
      <c r="I756" s="912"/>
      <c r="J756" s="679"/>
      <c r="K756" s="679"/>
    </row>
    <row r="757" customFormat="false" ht="15" hidden="false" customHeight="false" outlineLevel="0" collapsed="false">
      <c r="A757" s="28" t="s">
        <v>1246</v>
      </c>
      <c r="B757" s="40" t="s">
        <v>3380</v>
      </c>
      <c r="C757" s="912" t="n">
        <v>1</v>
      </c>
      <c r="D757" s="547" t="n">
        <f aca="false">E757+F757+G757+H757</f>
        <v>370</v>
      </c>
      <c r="E757" s="547" t="n">
        <v>300</v>
      </c>
      <c r="F757" s="912"/>
      <c r="G757" s="912" t="n">
        <v>50</v>
      </c>
      <c r="H757" s="912" t="n">
        <v>20</v>
      </c>
      <c r="I757" s="912"/>
      <c r="J757" s="679"/>
      <c r="K757" s="679"/>
    </row>
    <row r="758" customFormat="false" ht="15" hidden="false" customHeight="false" outlineLevel="0" collapsed="false">
      <c r="A758" s="28" t="s">
        <v>1248</v>
      </c>
      <c r="B758" s="40" t="s">
        <v>3381</v>
      </c>
      <c r="C758" s="912" t="n">
        <v>1</v>
      </c>
      <c r="D758" s="547" t="n">
        <f aca="false">E758+F758+G758+H758</f>
        <v>370</v>
      </c>
      <c r="E758" s="547" t="n">
        <v>300</v>
      </c>
      <c r="F758" s="912"/>
      <c r="G758" s="912" t="n">
        <v>50</v>
      </c>
      <c r="H758" s="912" t="n">
        <v>20</v>
      </c>
      <c r="I758" s="912"/>
      <c r="J758" s="679"/>
      <c r="K758" s="679"/>
    </row>
    <row r="759" customFormat="false" ht="15" hidden="false" customHeight="false" outlineLevel="0" collapsed="false">
      <c r="A759" s="28" t="s">
        <v>1250</v>
      </c>
      <c r="B759" s="40" t="s">
        <v>3382</v>
      </c>
      <c r="C759" s="912" t="n">
        <v>1</v>
      </c>
      <c r="D759" s="547" t="n">
        <f aca="false">E759+F759+G759+H759</f>
        <v>370</v>
      </c>
      <c r="E759" s="547" t="n">
        <v>300</v>
      </c>
      <c r="F759" s="912"/>
      <c r="G759" s="912" t="n">
        <v>50</v>
      </c>
      <c r="H759" s="912" t="n">
        <v>20</v>
      </c>
      <c r="I759" s="912"/>
      <c r="J759" s="679"/>
      <c r="K759" s="679"/>
    </row>
    <row r="760" customFormat="false" ht="15" hidden="false" customHeight="false" outlineLevel="0" collapsed="false">
      <c r="A760" s="28" t="s">
        <v>1252</v>
      </c>
      <c r="B760" s="40" t="s">
        <v>3383</v>
      </c>
      <c r="C760" s="912" t="n">
        <v>1</v>
      </c>
      <c r="D760" s="547" t="n">
        <f aca="false">E760+F760+G760+H760</f>
        <v>370</v>
      </c>
      <c r="E760" s="547" t="n">
        <v>300</v>
      </c>
      <c r="F760" s="912"/>
      <c r="G760" s="912" t="n">
        <v>50</v>
      </c>
      <c r="H760" s="912" t="n">
        <v>20</v>
      </c>
      <c r="I760" s="912"/>
      <c r="J760" s="679"/>
      <c r="K760" s="679"/>
    </row>
    <row r="761" customFormat="false" ht="15" hidden="false" customHeight="false" outlineLevel="0" collapsed="false">
      <c r="A761" s="28" t="s">
        <v>1254</v>
      </c>
      <c r="B761" s="40" t="s">
        <v>3384</v>
      </c>
      <c r="C761" s="912" t="n">
        <v>1</v>
      </c>
      <c r="D761" s="547" t="n">
        <f aca="false">E761+F761+G761+H761</f>
        <v>370</v>
      </c>
      <c r="E761" s="547" t="n">
        <v>300</v>
      </c>
      <c r="F761" s="912"/>
      <c r="G761" s="912" t="n">
        <v>50</v>
      </c>
      <c r="H761" s="912" t="n">
        <v>20</v>
      </c>
      <c r="I761" s="912"/>
      <c r="J761" s="679"/>
      <c r="K761" s="679"/>
    </row>
    <row r="762" customFormat="false" ht="15" hidden="false" customHeight="false" outlineLevel="0" collapsed="false">
      <c r="A762" s="28" t="s">
        <v>1256</v>
      </c>
      <c r="B762" s="40" t="s">
        <v>3385</v>
      </c>
      <c r="C762" s="912" t="n">
        <v>1</v>
      </c>
      <c r="D762" s="547" t="n">
        <f aca="false">E762+F762+G762+H762</f>
        <v>370</v>
      </c>
      <c r="E762" s="547" t="n">
        <v>300</v>
      </c>
      <c r="F762" s="912"/>
      <c r="G762" s="912" t="n">
        <v>50</v>
      </c>
      <c r="H762" s="912" t="n">
        <v>20</v>
      </c>
      <c r="I762" s="912"/>
      <c r="J762" s="679"/>
      <c r="K762" s="679"/>
    </row>
    <row r="763" customFormat="false" ht="15" hidden="false" customHeight="false" outlineLevel="0" collapsed="false">
      <c r="A763" s="28" t="s">
        <v>1258</v>
      </c>
      <c r="B763" s="40" t="s">
        <v>3386</v>
      </c>
      <c r="C763" s="912" t="n">
        <v>1</v>
      </c>
      <c r="D763" s="547" t="n">
        <f aca="false">E763+F763+G763+H763</f>
        <v>170</v>
      </c>
      <c r="E763" s="547" t="n">
        <v>100</v>
      </c>
      <c r="F763" s="912"/>
      <c r="G763" s="912" t="n">
        <v>50</v>
      </c>
      <c r="H763" s="912" t="n">
        <v>20</v>
      </c>
      <c r="I763" s="912"/>
      <c r="J763" s="679"/>
      <c r="K763" s="679"/>
    </row>
    <row r="764" customFormat="false" ht="15" hidden="false" customHeight="false" outlineLevel="0" collapsed="false">
      <c r="A764" s="28" t="s">
        <v>1260</v>
      </c>
      <c r="B764" s="40" t="s">
        <v>3387</v>
      </c>
      <c r="C764" s="912" t="n">
        <v>1</v>
      </c>
      <c r="D764" s="547" t="n">
        <f aca="false">E764+F764+G764+H764</f>
        <v>150</v>
      </c>
      <c r="E764" s="547" t="n">
        <v>80</v>
      </c>
      <c r="F764" s="912"/>
      <c r="G764" s="912" t="n">
        <v>50</v>
      </c>
      <c r="H764" s="912" t="n">
        <v>20</v>
      </c>
      <c r="I764" s="912"/>
      <c r="J764" s="679"/>
      <c r="K764" s="679"/>
    </row>
    <row r="765" customFormat="false" ht="15" hidden="false" customHeight="false" outlineLevel="0" collapsed="false">
      <c r="A765" s="28" t="s">
        <v>1262</v>
      </c>
      <c r="B765" s="40" t="s">
        <v>3388</v>
      </c>
      <c r="C765" s="912" t="n">
        <v>1</v>
      </c>
      <c r="D765" s="547" t="n">
        <f aca="false">E765+F765+G765+H765</f>
        <v>370</v>
      </c>
      <c r="E765" s="547" t="n">
        <v>300</v>
      </c>
      <c r="F765" s="912"/>
      <c r="G765" s="912" t="n">
        <v>50</v>
      </c>
      <c r="H765" s="912" t="n">
        <v>20</v>
      </c>
      <c r="I765" s="912"/>
      <c r="J765" s="679"/>
      <c r="K765" s="679"/>
    </row>
    <row r="766" customFormat="false" ht="15" hidden="false" customHeight="false" outlineLevel="0" collapsed="false">
      <c r="A766" s="28" t="s">
        <v>1264</v>
      </c>
      <c r="B766" s="40" t="s">
        <v>3389</v>
      </c>
      <c r="C766" s="912" t="n">
        <v>1</v>
      </c>
      <c r="D766" s="547" t="n">
        <f aca="false">E766+F766+G766+H766</f>
        <v>170</v>
      </c>
      <c r="E766" s="547" t="n">
        <v>100</v>
      </c>
      <c r="F766" s="912"/>
      <c r="G766" s="912" t="n">
        <v>50</v>
      </c>
      <c r="H766" s="912" t="n">
        <v>20</v>
      </c>
      <c r="I766" s="912"/>
      <c r="J766" s="679"/>
      <c r="K766" s="679"/>
    </row>
    <row r="767" customFormat="false" ht="30" hidden="false" customHeight="false" outlineLevel="0" collapsed="false">
      <c r="A767" s="28" t="s">
        <v>1266</v>
      </c>
      <c r="B767" s="40" t="s">
        <v>3390</v>
      </c>
      <c r="C767" s="912" t="n">
        <v>1</v>
      </c>
      <c r="D767" s="547" t="n">
        <f aca="false">E767+F767+G767+H767</f>
        <v>170</v>
      </c>
      <c r="E767" s="547" t="n">
        <v>100</v>
      </c>
      <c r="F767" s="912"/>
      <c r="G767" s="912" t="n">
        <v>50</v>
      </c>
      <c r="H767" s="912" t="n">
        <v>20</v>
      </c>
      <c r="I767" s="912"/>
      <c r="J767" s="679"/>
      <c r="K767" s="679"/>
    </row>
    <row r="768" customFormat="false" ht="30" hidden="false" customHeight="false" outlineLevel="0" collapsed="false">
      <c r="A768" s="28" t="s">
        <v>1268</v>
      </c>
      <c r="B768" s="40" t="s">
        <v>3391</v>
      </c>
      <c r="C768" s="912" t="n">
        <v>1</v>
      </c>
      <c r="D768" s="547" t="n">
        <f aca="false">E768+F768+G768+H768</f>
        <v>370</v>
      </c>
      <c r="E768" s="547" t="n">
        <v>300</v>
      </c>
      <c r="F768" s="912"/>
      <c r="G768" s="912" t="n">
        <v>50</v>
      </c>
      <c r="H768" s="912" t="n">
        <v>20</v>
      </c>
      <c r="I768" s="912"/>
      <c r="J768" s="679"/>
      <c r="K768" s="679"/>
    </row>
    <row r="769" customFormat="false" ht="30" hidden="false" customHeight="false" outlineLevel="0" collapsed="false">
      <c r="A769" s="28" t="s">
        <v>1270</v>
      </c>
      <c r="B769" s="40" t="s">
        <v>3392</v>
      </c>
      <c r="C769" s="912" t="n">
        <v>1</v>
      </c>
      <c r="D769" s="547" t="n">
        <f aca="false">E769+F769+G769+H769</f>
        <v>370</v>
      </c>
      <c r="E769" s="547" t="n">
        <v>300</v>
      </c>
      <c r="F769" s="912"/>
      <c r="G769" s="912" t="n">
        <v>50</v>
      </c>
      <c r="H769" s="912" t="n">
        <v>20</v>
      </c>
      <c r="I769" s="912"/>
      <c r="J769" s="679"/>
      <c r="K769" s="679"/>
    </row>
    <row r="770" customFormat="false" ht="30" hidden="false" customHeight="false" outlineLevel="0" collapsed="false">
      <c r="A770" s="28" t="s">
        <v>1272</v>
      </c>
      <c r="B770" s="40" t="s">
        <v>3393</v>
      </c>
      <c r="C770" s="912" t="n">
        <v>1</v>
      </c>
      <c r="D770" s="547" t="n">
        <f aca="false">E770+F770+G770+H770</f>
        <v>370</v>
      </c>
      <c r="E770" s="547" t="n">
        <v>300</v>
      </c>
      <c r="F770" s="912"/>
      <c r="G770" s="912" t="n">
        <v>50</v>
      </c>
      <c r="H770" s="912" t="n">
        <v>20</v>
      </c>
      <c r="I770" s="912"/>
      <c r="J770" s="679"/>
      <c r="K770" s="679"/>
    </row>
    <row r="771" customFormat="false" ht="15" hidden="false" customHeight="false" outlineLevel="0" collapsed="false">
      <c r="A771" s="28" t="s">
        <v>1274</v>
      </c>
      <c r="B771" s="40" t="s">
        <v>3394</v>
      </c>
      <c r="C771" s="912" t="n">
        <v>1</v>
      </c>
      <c r="D771" s="547" t="n">
        <f aca="false">E771+F771+G771+H771</f>
        <v>170</v>
      </c>
      <c r="E771" s="547" t="n">
        <v>100</v>
      </c>
      <c r="F771" s="912"/>
      <c r="G771" s="912" t="n">
        <v>50</v>
      </c>
      <c r="H771" s="912" t="n">
        <v>20</v>
      </c>
      <c r="I771" s="912"/>
      <c r="J771" s="679"/>
      <c r="K771" s="679"/>
    </row>
    <row r="772" customFormat="false" ht="33.75" hidden="false" customHeight="true" outlineLevel="0" collapsed="false">
      <c r="A772" s="28" t="s">
        <v>1276</v>
      </c>
      <c r="B772" s="40" t="s">
        <v>3395</v>
      </c>
      <c r="C772" s="912" t="n">
        <v>1</v>
      </c>
      <c r="D772" s="547" t="n">
        <f aca="false">E772+F772+G772+H772</f>
        <v>370</v>
      </c>
      <c r="E772" s="547" t="n">
        <v>300</v>
      </c>
      <c r="F772" s="912"/>
      <c r="G772" s="912" t="n">
        <v>50</v>
      </c>
      <c r="H772" s="912" t="n">
        <v>20</v>
      </c>
      <c r="I772" s="912"/>
      <c r="J772" s="679"/>
      <c r="K772" s="679"/>
    </row>
    <row r="773" customFormat="false" ht="15" hidden="false" customHeight="false" outlineLevel="0" collapsed="false">
      <c r="A773" s="28" t="s">
        <v>1278</v>
      </c>
      <c r="B773" s="40" t="s">
        <v>3396</v>
      </c>
      <c r="C773" s="912" t="n">
        <v>1</v>
      </c>
      <c r="D773" s="547" t="n">
        <f aca="false">E773+F773+G773+H773</f>
        <v>370</v>
      </c>
      <c r="E773" s="547" t="n">
        <v>300</v>
      </c>
      <c r="F773" s="912"/>
      <c r="G773" s="912" t="n">
        <v>50</v>
      </c>
      <c r="H773" s="912" t="n">
        <v>20</v>
      </c>
      <c r="I773" s="912"/>
      <c r="J773" s="679"/>
      <c r="K773" s="679"/>
    </row>
    <row r="774" customFormat="false" ht="29.25" hidden="false" customHeight="true" outlineLevel="0" collapsed="false">
      <c r="A774" s="327" t="s">
        <v>1280</v>
      </c>
      <c r="B774" s="1689" t="s">
        <v>3397</v>
      </c>
      <c r="C774" s="606" t="n">
        <v>1</v>
      </c>
      <c r="D774" s="1105" t="n">
        <f aca="false">E774+F774+G774+H774+I774</f>
        <v>340</v>
      </c>
      <c r="E774" s="1105" t="n">
        <v>140</v>
      </c>
      <c r="F774" s="569" t="n">
        <v>80</v>
      </c>
      <c r="G774" s="569"/>
      <c r="H774" s="569"/>
      <c r="I774" s="569" t="n">
        <v>120</v>
      </c>
      <c r="J774" s="679"/>
      <c r="K774" s="679"/>
    </row>
    <row r="775" customFormat="false" ht="19.5" hidden="false" customHeight="true" outlineLevel="0" collapsed="false">
      <c r="A775" s="343" t="s">
        <v>1282</v>
      </c>
      <c r="B775" s="318" t="s">
        <v>3399</v>
      </c>
      <c r="C775" s="1690"/>
      <c r="D775" s="1622"/>
      <c r="E775" s="1691"/>
      <c r="F775" s="1690"/>
      <c r="G775" s="537"/>
      <c r="H775" s="537"/>
      <c r="I775" s="537"/>
      <c r="J775" s="1208"/>
      <c r="K775" s="1208"/>
    </row>
    <row r="776" customFormat="false" ht="45" hidden="false" customHeight="false" outlineLevel="0" collapsed="false">
      <c r="A776" s="28" t="s">
        <v>1284</v>
      </c>
      <c r="B776" s="59" t="s">
        <v>3400</v>
      </c>
      <c r="C776" s="912" t="n">
        <v>1</v>
      </c>
      <c r="D776" s="547" t="n">
        <f aca="false">E776+F776+G776+H776</f>
        <v>45</v>
      </c>
      <c r="E776" s="547" t="n">
        <v>15</v>
      </c>
      <c r="F776" s="912" t="n">
        <v>20</v>
      </c>
      <c r="G776" s="912" t="n">
        <v>10</v>
      </c>
      <c r="H776" s="912"/>
      <c r="I776" s="912" t="n">
        <v>15</v>
      </c>
      <c r="J776" s="679"/>
      <c r="K776" s="679"/>
    </row>
    <row r="777" customFormat="false" ht="30" hidden="false" customHeight="false" outlineLevel="0" collapsed="false">
      <c r="A777" s="28" t="s">
        <v>1286</v>
      </c>
      <c r="B777" s="59" t="s">
        <v>3401</v>
      </c>
      <c r="C777" s="912" t="n">
        <v>1</v>
      </c>
      <c r="D777" s="547" t="n">
        <f aca="false">E777+F777+G777+H777</f>
        <v>33</v>
      </c>
      <c r="E777" s="476" t="n">
        <v>8</v>
      </c>
      <c r="F777" s="820" t="n">
        <v>15</v>
      </c>
      <c r="G777" s="820" t="n">
        <v>10</v>
      </c>
      <c r="H777" s="820"/>
      <c r="I777" s="820" t="n">
        <v>10</v>
      </c>
      <c r="J777" s="679"/>
      <c r="K777" s="679"/>
    </row>
    <row r="778" customFormat="false" ht="30" hidden="false" customHeight="false" outlineLevel="0" collapsed="false">
      <c r="A778" s="28" t="s">
        <v>1288</v>
      </c>
      <c r="B778" s="59" t="s">
        <v>3402</v>
      </c>
      <c r="C778" s="912" t="n">
        <v>1</v>
      </c>
      <c r="D778" s="547" t="n">
        <f aca="false">E778+F778+G778+H778</f>
        <v>33</v>
      </c>
      <c r="E778" s="476" t="n">
        <v>8</v>
      </c>
      <c r="F778" s="820" t="n">
        <v>15</v>
      </c>
      <c r="G778" s="820" t="n">
        <v>10</v>
      </c>
      <c r="H778" s="820"/>
      <c r="I778" s="820" t="n">
        <v>10</v>
      </c>
      <c r="J778" s="679"/>
      <c r="K778" s="679"/>
    </row>
    <row r="779" customFormat="false" ht="30" hidden="false" customHeight="false" outlineLevel="0" collapsed="false">
      <c r="A779" s="28" t="s">
        <v>1290</v>
      </c>
      <c r="B779" s="59" t="s">
        <v>3403</v>
      </c>
      <c r="C779" s="912" t="n">
        <v>1</v>
      </c>
      <c r="D779" s="547" t="n">
        <f aca="false">E779+F779+G779+H779</f>
        <v>33</v>
      </c>
      <c r="E779" s="476" t="n">
        <v>8</v>
      </c>
      <c r="F779" s="820" t="n">
        <v>15</v>
      </c>
      <c r="G779" s="820" t="n">
        <v>10</v>
      </c>
      <c r="H779" s="820"/>
      <c r="I779" s="820" t="n">
        <v>10</v>
      </c>
      <c r="J779" s="679"/>
      <c r="K779" s="679"/>
    </row>
    <row r="780" customFormat="false" ht="15" hidden="false" customHeight="false" outlineLevel="0" collapsed="false">
      <c r="A780" s="28" t="s">
        <v>1292</v>
      </c>
      <c r="B780" s="59" t="s">
        <v>3404</v>
      </c>
      <c r="C780" s="912" t="n">
        <v>1</v>
      </c>
      <c r="D780" s="547" t="n">
        <f aca="false">E780+F780+G780+H780</f>
        <v>15</v>
      </c>
      <c r="E780" s="476" t="n">
        <v>5</v>
      </c>
      <c r="F780" s="820" t="n">
        <v>5</v>
      </c>
      <c r="G780" s="820" t="n">
        <v>5</v>
      </c>
      <c r="H780" s="820"/>
      <c r="I780" s="820" t="n">
        <v>10</v>
      </c>
      <c r="J780" s="679"/>
      <c r="K780" s="679"/>
    </row>
    <row r="781" customFormat="false" ht="15" hidden="false" customHeight="false" outlineLevel="0" collapsed="false">
      <c r="A781" s="28" t="s">
        <v>1294</v>
      </c>
      <c r="B781" s="59" t="s">
        <v>3405</v>
      </c>
      <c r="C781" s="912" t="n">
        <v>1</v>
      </c>
      <c r="D781" s="547" t="n">
        <f aca="false">E781+F781+G781+H781</f>
        <v>50</v>
      </c>
      <c r="E781" s="476" t="n">
        <v>15</v>
      </c>
      <c r="F781" s="820" t="n">
        <v>20</v>
      </c>
      <c r="G781" s="820" t="n">
        <v>15</v>
      </c>
      <c r="H781" s="820"/>
      <c r="I781" s="820" t="n">
        <v>15</v>
      </c>
      <c r="J781" s="679"/>
      <c r="K781" s="679"/>
    </row>
    <row r="782" customFormat="false" ht="15" hidden="false" customHeight="false" outlineLevel="0" collapsed="false">
      <c r="A782" s="28" t="s">
        <v>1296</v>
      </c>
      <c r="B782" s="59" t="s">
        <v>3406</v>
      </c>
      <c r="C782" s="912" t="n">
        <v>1</v>
      </c>
      <c r="D782" s="547" t="n">
        <f aca="false">E782+F782+G782+H782</f>
        <v>50</v>
      </c>
      <c r="E782" s="476" t="n">
        <v>15</v>
      </c>
      <c r="F782" s="820" t="n">
        <v>20</v>
      </c>
      <c r="G782" s="820" t="n">
        <v>15</v>
      </c>
      <c r="H782" s="820"/>
      <c r="I782" s="820" t="n">
        <v>15</v>
      </c>
      <c r="J782" s="679"/>
      <c r="K782" s="679"/>
    </row>
    <row r="783" customFormat="false" ht="15" hidden="false" customHeight="false" outlineLevel="0" collapsed="false">
      <c r="A783" s="28" t="s">
        <v>1298</v>
      </c>
      <c r="B783" s="59" t="s">
        <v>3407</v>
      </c>
      <c r="C783" s="912" t="n">
        <v>1</v>
      </c>
      <c r="D783" s="547" t="n">
        <f aca="false">E783+F783+G783+H783</f>
        <v>50</v>
      </c>
      <c r="E783" s="476" t="n">
        <v>15</v>
      </c>
      <c r="F783" s="820" t="n">
        <v>20</v>
      </c>
      <c r="G783" s="820" t="n">
        <v>15</v>
      </c>
      <c r="H783" s="820"/>
      <c r="I783" s="820" t="n">
        <v>15</v>
      </c>
      <c r="J783" s="679"/>
      <c r="K783" s="679"/>
    </row>
    <row r="784" customFormat="false" ht="30" hidden="false" customHeight="false" outlineLevel="0" collapsed="false">
      <c r="A784" s="28" t="s">
        <v>1300</v>
      </c>
      <c r="B784" s="59" t="s">
        <v>3408</v>
      </c>
      <c r="C784" s="912" t="n">
        <v>1</v>
      </c>
      <c r="D784" s="547" t="n">
        <f aca="false">E784+F784+G784+H784</f>
        <v>35</v>
      </c>
      <c r="E784" s="476" t="n">
        <v>10</v>
      </c>
      <c r="F784" s="820" t="n">
        <v>15</v>
      </c>
      <c r="G784" s="820" t="n">
        <v>10</v>
      </c>
      <c r="H784" s="820"/>
      <c r="I784" s="820" t="n">
        <v>10</v>
      </c>
      <c r="J784" s="679"/>
      <c r="K784" s="679"/>
    </row>
    <row r="785" customFormat="false" ht="30" hidden="false" customHeight="false" outlineLevel="0" collapsed="false">
      <c r="A785" s="28" t="s">
        <v>1302</v>
      </c>
      <c r="B785" s="59" t="s">
        <v>3409</v>
      </c>
      <c r="C785" s="912" t="n">
        <v>1</v>
      </c>
      <c r="D785" s="547" t="n">
        <f aca="false">E785+F785+G785+H785</f>
        <v>35</v>
      </c>
      <c r="E785" s="476" t="n">
        <v>10</v>
      </c>
      <c r="F785" s="820" t="n">
        <v>15</v>
      </c>
      <c r="G785" s="820" t="n">
        <v>10</v>
      </c>
      <c r="H785" s="820"/>
      <c r="I785" s="820" t="n">
        <v>10</v>
      </c>
      <c r="J785" s="679"/>
      <c r="K785" s="679"/>
    </row>
    <row r="786" customFormat="false" ht="15" hidden="false" customHeight="false" outlineLevel="0" collapsed="false">
      <c r="A786" s="28" t="s">
        <v>1304</v>
      </c>
      <c r="B786" s="59" t="s">
        <v>3410</v>
      </c>
      <c r="C786" s="912" t="n">
        <v>1</v>
      </c>
      <c r="D786" s="547" t="n">
        <f aca="false">E786+F786+G786+H786</f>
        <v>35</v>
      </c>
      <c r="E786" s="476" t="n">
        <v>10</v>
      </c>
      <c r="F786" s="820" t="n">
        <v>15</v>
      </c>
      <c r="G786" s="820" t="n">
        <v>10</v>
      </c>
      <c r="H786" s="820"/>
      <c r="I786" s="820" t="n">
        <v>10</v>
      </c>
      <c r="J786" s="679"/>
      <c r="K786" s="679"/>
    </row>
    <row r="787" customFormat="false" ht="15" hidden="false" customHeight="false" outlineLevel="0" collapsed="false">
      <c r="A787" s="28" t="s">
        <v>1306</v>
      </c>
      <c r="B787" s="59" t="s">
        <v>3411</v>
      </c>
      <c r="C787" s="912" t="n">
        <v>1</v>
      </c>
      <c r="D787" s="547" t="n">
        <f aca="false">E787+F787+G787+H787</f>
        <v>35</v>
      </c>
      <c r="E787" s="476" t="n">
        <v>10</v>
      </c>
      <c r="F787" s="820" t="n">
        <v>15</v>
      </c>
      <c r="G787" s="820" t="n">
        <v>10</v>
      </c>
      <c r="H787" s="820"/>
      <c r="I787" s="820" t="n">
        <v>60</v>
      </c>
      <c r="J787" s="679"/>
      <c r="K787" s="679"/>
    </row>
    <row r="788" customFormat="false" ht="15" hidden="false" customHeight="false" outlineLevel="0" collapsed="false">
      <c r="A788" s="28" t="s">
        <v>1308</v>
      </c>
      <c r="B788" s="59" t="s">
        <v>3412</v>
      </c>
      <c r="C788" s="912" t="n">
        <v>1</v>
      </c>
      <c r="D788" s="547" t="n">
        <f aca="false">E788+F788+G788+H788</f>
        <v>50</v>
      </c>
      <c r="E788" s="476" t="n">
        <v>15</v>
      </c>
      <c r="F788" s="820" t="n">
        <v>20</v>
      </c>
      <c r="G788" s="820" t="n">
        <v>15</v>
      </c>
      <c r="H788" s="820"/>
      <c r="I788" s="820" t="n">
        <v>25</v>
      </c>
      <c r="J788" s="679"/>
      <c r="K788" s="679"/>
    </row>
    <row r="789" customFormat="false" ht="15" hidden="false" customHeight="false" outlineLevel="0" collapsed="false">
      <c r="A789" s="28" t="s">
        <v>1310</v>
      </c>
      <c r="B789" s="72" t="s">
        <v>3413</v>
      </c>
      <c r="C789" s="912" t="n">
        <v>1</v>
      </c>
      <c r="D789" s="547" t="n">
        <f aca="false">E789+F789+G789+H789</f>
        <v>30</v>
      </c>
      <c r="E789" s="476" t="n">
        <v>10</v>
      </c>
      <c r="F789" s="820" t="n">
        <v>10</v>
      </c>
      <c r="G789" s="820" t="n">
        <v>10</v>
      </c>
      <c r="H789" s="820"/>
      <c r="I789" s="820" t="n">
        <v>15</v>
      </c>
      <c r="J789" s="679"/>
      <c r="K789" s="679"/>
    </row>
    <row r="790" customFormat="false" ht="15" hidden="false" customHeight="false" outlineLevel="0" collapsed="false">
      <c r="A790" s="28" t="s">
        <v>1312</v>
      </c>
      <c r="B790" s="59" t="s">
        <v>3414</v>
      </c>
      <c r="C790" s="912" t="n">
        <v>1</v>
      </c>
      <c r="D790" s="547" t="n">
        <f aca="false">E790+F790+G790+H790</f>
        <v>55</v>
      </c>
      <c r="E790" s="476" t="n">
        <v>20</v>
      </c>
      <c r="F790" s="820" t="n">
        <v>20</v>
      </c>
      <c r="G790" s="820" t="n">
        <v>15</v>
      </c>
      <c r="H790" s="820"/>
      <c r="I790" s="820" t="n">
        <v>20</v>
      </c>
      <c r="J790" s="679"/>
      <c r="K790" s="679"/>
    </row>
    <row r="791" customFormat="false" ht="15" hidden="false" customHeight="false" outlineLevel="0" collapsed="false">
      <c r="A791" s="28" t="s">
        <v>1314</v>
      </c>
      <c r="B791" s="59" t="s">
        <v>3415</v>
      </c>
      <c r="C791" s="912" t="n">
        <v>1</v>
      </c>
      <c r="D791" s="547" t="n">
        <f aca="false">E791+F791+G791+H791</f>
        <v>50</v>
      </c>
      <c r="E791" s="476" t="n">
        <v>15</v>
      </c>
      <c r="F791" s="820" t="n">
        <v>20</v>
      </c>
      <c r="G791" s="820" t="n">
        <v>15</v>
      </c>
      <c r="H791" s="820"/>
      <c r="I791" s="820" t="n">
        <v>60</v>
      </c>
      <c r="J791" s="679"/>
      <c r="K791" s="679"/>
    </row>
    <row r="792" customFormat="false" ht="15" hidden="false" customHeight="false" outlineLevel="0" collapsed="false">
      <c r="A792" s="28" t="s">
        <v>1316</v>
      </c>
      <c r="B792" s="41" t="s">
        <v>3416</v>
      </c>
      <c r="C792" s="912" t="n">
        <v>1</v>
      </c>
      <c r="D792" s="547" t="n">
        <f aca="false">E792+F792+G792+H792</f>
        <v>25</v>
      </c>
      <c r="E792" s="476" t="n">
        <v>10</v>
      </c>
      <c r="F792" s="820" t="n">
        <v>10</v>
      </c>
      <c r="G792" s="820" t="n">
        <v>5</v>
      </c>
      <c r="H792" s="820"/>
      <c r="I792" s="820" t="n">
        <v>15</v>
      </c>
      <c r="J792" s="679"/>
      <c r="K792" s="679"/>
    </row>
    <row r="793" customFormat="false" ht="30" hidden="false" customHeight="false" outlineLevel="0" collapsed="false">
      <c r="A793" s="28" t="s">
        <v>1318</v>
      </c>
      <c r="B793" s="53" t="s">
        <v>3417</v>
      </c>
      <c r="C793" s="912" t="n">
        <v>1</v>
      </c>
      <c r="D793" s="547" t="n">
        <f aca="false">E793+F793+G793+H793</f>
        <v>60</v>
      </c>
      <c r="E793" s="476" t="n">
        <v>20</v>
      </c>
      <c r="F793" s="820" t="n">
        <v>20</v>
      </c>
      <c r="G793" s="820" t="n">
        <v>20</v>
      </c>
      <c r="H793" s="820"/>
      <c r="I793" s="820" t="n">
        <v>0</v>
      </c>
      <c r="J793" s="679"/>
      <c r="K793" s="679"/>
    </row>
    <row r="794" customFormat="false" ht="36" hidden="false" customHeight="true" outlineLevel="0" collapsed="false">
      <c r="A794" s="68" t="s">
        <v>1320</v>
      </c>
      <c r="B794" s="76" t="s">
        <v>6907</v>
      </c>
      <c r="C794" s="1692"/>
      <c r="D794" s="1693"/>
      <c r="E794" s="1694"/>
      <c r="F794" s="1695"/>
      <c r="G794" s="1695"/>
      <c r="H794" s="1695"/>
      <c r="I794" s="1695"/>
      <c r="J794" s="1696"/>
      <c r="K794" s="1696"/>
    </row>
    <row r="795" customFormat="false" ht="48" hidden="false" customHeight="true" outlineLevel="0" collapsed="false">
      <c r="A795" s="15" t="s">
        <v>1322</v>
      </c>
      <c r="B795" s="54" t="s">
        <v>3419</v>
      </c>
      <c r="C795" s="339"/>
      <c r="D795" s="712"/>
      <c r="E795" s="751"/>
      <c r="F795" s="339"/>
      <c r="G795" s="339"/>
      <c r="H795" s="339"/>
      <c r="I795" s="339"/>
      <c r="J795" s="600"/>
      <c r="K795" s="600"/>
    </row>
    <row r="796" customFormat="false" ht="15" hidden="false" customHeight="false" outlineLevel="0" collapsed="false">
      <c r="A796" s="28" t="s">
        <v>1324</v>
      </c>
      <c r="B796" s="29" t="s">
        <v>3420</v>
      </c>
      <c r="C796" s="912" t="n">
        <v>1</v>
      </c>
      <c r="D796" s="1427" t="n">
        <f aca="false">E796+F796+G796+H796</f>
        <v>45</v>
      </c>
      <c r="E796" s="1427" t="n">
        <v>25</v>
      </c>
      <c r="F796" s="1675" t="n">
        <v>20</v>
      </c>
      <c r="G796" s="1675"/>
      <c r="H796" s="1675"/>
      <c r="I796" s="1675" t="n">
        <v>30</v>
      </c>
      <c r="J796" s="1676"/>
      <c r="K796" s="1676"/>
    </row>
    <row r="797" customFormat="false" ht="15" hidden="false" customHeight="false" outlineLevel="0" collapsed="false">
      <c r="A797" s="28" t="s">
        <v>1325</v>
      </c>
      <c r="B797" s="29" t="s">
        <v>3421</v>
      </c>
      <c r="C797" s="912" t="n">
        <v>1</v>
      </c>
      <c r="D797" s="547" t="n">
        <f aca="false">E797+F797+G797+H797</f>
        <v>45</v>
      </c>
      <c r="E797" s="547" t="n">
        <v>20</v>
      </c>
      <c r="F797" s="912" t="n">
        <v>25</v>
      </c>
      <c r="G797" s="912"/>
      <c r="H797" s="912"/>
      <c r="I797" s="912" t="n">
        <v>30</v>
      </c>
      <c r="J797" s="679"/>
      <c r="K797" s="679"/>
    </row>
    <row r="798" customFormat="false" ht="15" hidden="false" customHeight="false" outlineLevel="0" collapsed="false">
      <c r="A798" s="28" t="s">
        <v>1327</v>
      </c>
      <c r="B798" s="29" t="s">
        <v>3422</v>
      </c>
      <c r="C798" s="912" t="n">
        <v>1</v>
      </c>
      <c r="D798" s="547" t="n">
        <f aca="false">E798+F798+G798+H798</f>
        <v>45</v>
      </c>
      <c r="E798" s="547" t="n">
        <v>20</v>
      </c>
      <c r="F798" s="912" t="n">
        <v>25</v>
      </c>
      <c r="G798" s="912"/>
      <c r="H798" s="912"/>
      <c r="I798" s="912" t="n">
        <v>30</v>
      </c>
      <c r="J798" s="679"/>
      <c r="K798" s="679"/>
    </row>
    <row r="799" customFormat="false" ht="15" hidden="false" customHeight="false" outlineLevel="0" collapsed="false">
      <c r="A799" s="28" t="s">
        <v>1329</v>
      </c>
      <c r="B799" s="78" t="s">
        <v>3423</v>
      </c>
      <c r="C799" s="912" t="n">
        <v>1</v>
      </c>
      <c r="D799" s="547" t="n">
        <f aca="false">E799+F799+G799+H799</f>
        <v>45</v>
      </c>
      <c r="E799" s="547" t="n">
        <v>20</v>
      </c>
      <c r="F799" s="912" t="n">
        <v>25</v>
      </c>
      <c r="G799" s="912"/>
      <c r="H799" s="912"/>
      <c r="I799" s="912" t="n">
        <v>30</v>
      </c>
      <c r="J799" s="679"/>
      <c r="K799" s="679"/>
    </row>
    <row r="800" customFormat="false" ht="15" hidden="false" customHeight="false" outlineLevel="0" collapsed="false">
      <c r="A800" s="28" t="s">
        <v>1331</v>
      </c>
      <c r="B800" s="78" t="s">
        <v>3424</v>
      </c>
      <c r="C800" s="912" t="n">
        <v>1</v>
      </c>
      <c r="D800" s="547" t="n">
        <f aca="false">E800+F800+G800+H800</f>
        <v>45</v>
      </c>
      <c r="E800" s="547" t="n">
        <v>20</v>
      </c>
      <c r="F800" s="912" t="n">
        <v>25</v>
      </c>
      <c r="G800" s="912"/>
      <c r="H800" s="912"/>
      <c r="I800" s="912" t="n">
        <v>30</v>
      </c>
      <c r="J800" s="679"/>
      <c r="K800" s="679"/>
    </row>
    <row r="801" customFormat="false" ht="15" hidden="false" customHeight="false" outlineLevel="0" collapsed="false">
      <c r="A801" s="28" t="s">
        <v>1333</v>
      </c>
      <c r="B801" s="29" t="s">
        <v>3425</v>
      </c>
      <c r="C801" s="912" t="n">
        <v>1</v>
      </c>
      <c r="D801" s="547" t="n">
        <f aca="false">E801+F801+G801+H801</f>
        <v>45</v>
      </c>
      <c r="E801" s="547" t="n">
        <v>20</v>
      </c>
      <c r="F801" s="912" t="n">
        <v>25</v>
      </c>
      <c r="G801" s="912"/>
      <c r="H801" s="912"/>
      <c r="I801" s="912" t="n">
        <v>30</v>
      </c>
      <c r="J801" s="679"/>
      <c r="K801" s="679"/>
    </row>
    <row r="802" customFormat="false" ht="15" hidden="false" customHeight="false" outlineLevel="0" collapsed="false">
      <c r="A802" s="28" t="s">
        <v>1335</v>
      </c>
      <c r="B802" s="29" t="s">
        <v>3426</v>
      </c>
      <c r="C802" s="912" t="n">
        <v>1</v>
      </c>
      <c r="D802" s="547" t="n">
        <f aca="false">E802+F802+G802+H802</f>
        <v>60</v>
      </c>
      <c r="E802" s="547" t="n">
        <v>35</v>
      </c>
      <c r="F802" s="912" t="n">
        <v>25</v>
      </c>
      <c r="G802" s="912"/>
      <c r="H802" s="912"/>
      <c r="I802" s="912" t="n">
        <v>30</v>
      </c>
      <c r="J802" s="679"/>
      <c r="K802" s="679"/>
    </row>
    <row r="803" customFormat="false" ht="15" hidden="false" customHeight="false" outlineLevel="0" collapsed="false">
      <c r="A803" s="28" t="s">
        <v>1337</v>
      </c>
      <c r="B803" s="29" t="s">
        <v>3427</v>
      </c>
      <c r="C803" s="912" t="n">
        <v>1</v>
      </c>
      <c r="D803" s="547" t="n">
        <f aca="false">E803+F803+G803+H803</f>
        <v>120</v>
      </c>
      <c r="E803" s="547" t="n">
        <v>40</v>
      </c>
      <c r="F803" s="912" t="n">
        <v>80</v>
      </c>
      <c r="G803" s="912"/>
      <c r="H803" s="912"/>
      <c r="I803" s="912" t="n">
        <v>30</v>
      </c>
      <c r="J803" s="679"/>
      <c r="K803" s="679"/>
    </row>
    <row r="804" customFormat="false" ht="15" hidden="false" customHeight="false" outlineLevel="0" collapsed="false">
      <c r="A804" s="28" t="s">
        <v>1339</v>
      </c>
      <c r="B804" s="29" t="s">
        <v>3428</v>
      </c>
      <c r="C804" s="912" t="n">
        <v>1</v>
      </c>
      <c r="D804" s="547" t="n">
        <f aca="false">E804+F804+G804+H804</f>
        <v>80</v>
      </c>
      <c r="E804" s="547" t="n">
        <v>40</v>
      </c>
      <c r="F804" s="912" t="n">
        <v>40</v>
      </c>
      <c r="G804" s="912"/>
      <c r="H804" s="912"/>
      <c r="I804" s="912" t="n">
        <v>30</v>
      </c>
      <c r="J804" s="679"/>
      <c r="K804" s="679"/>
    </row>
    <row r="805" customFormat="false" ht="15" hidden="false" customHeight="false" outlineLevel="0" collapsed="false">
      <c r="A805" s="28" t="s">
        <v>1341</v>
      </c>
      <c r="B805" s="29" t="s">
        <v>3429</v>
      </c>
      <c r="C805" s="912" t="n">
        <v>1</v>
      </c>
      <c r="D805" s="547" t="n">
        <f aca="false">E805+F805+G805+H805</f>
        <v>80</v>
      </c>
      <c r="E805" s="547" t="n">
        <v>40</v>
      </c>
      <c r="F805" s="912" t="n">
        <v>40</v>
      </c>
      <c r="G805" s="912"/>
      <c r="H805" s="912"/>
      <c r="I805" s="912" t="n">
        <v>30</v>
      </c>
      <c r="J805" s="679"/>
      <c r="K805" s="679"/>
    </row>
    <row r="806" customFormat="false" ht="15" hidden="false" customHeight="false" outlineLevel="0" collapsed="false">
      <c r="A806" s="28" t="s">
        <v>1343</v>
      </c>
      <c r="B806" s="29" t="s">
        <v>3430</v>
      </c>
      <c r="C806" s="912" t="n">
        <v>1</v>
      </c>
      <c r="D806" s="547" t="n">
        <f aca="false">E806+F806+G806+H806</f>
        <v>80</v>
      </c>
      <c r="E806" s="547" t="n">
        <v>40</v>
      </c>
      <c r="F806" s="912" t="n">
        <v>40</v>
      </c>
      <c r="G806" s="912"/>
      <c r="H806" s="912"/>
      <c r="I806" s="912" t="n">
        <v>30</v>
      </c>
      <c r="J806" s="679"/>
      <c r="K806" s="679"/>
    </row>
    <row r="807" customFormat="false" ht="15" hidden="false" customHeight="false" outlineLevel="0" collapsed="false">
      <c r="A807" s="28" t="s">
        <v>1345</v>
      </c>
      <c r="B807" s="29" t="s">
        <v>3431</v>
      </c>
      <c r="C807" s="912" t="n">
        <v>1</v>
      </c>
      <c r="D807" s="547" t="n">
        <f aca="false">E807+F807+G807+H807</f>
        <v>15</v>
      </c>
      <c r="E807" s="547" t="n">
        <v>10</v>
      </c>
      <c r="F807" s="912" t="n">
        <v>5</v>
      </c>
      <c r="G807" s="912"/>
      <c r="H807" s="912"/>
      <c r="I807" s="912" t="n">
        <v>30</v>
      </c>
      <c r="J807" s="679"/>
      <c r="K807" s="679"/>
    </row>
    <row r="808" customFormat="false" ht="15" hidden="false" customHeight="false" outlineLevel="0" collapsed="false">
      <c r="A808" s="28" t="s">
        <v>1346</v>
      </c>
      <c r="B808" s="29" t="s">
        <v>3199</v>
      </c>
      <c r="C808" s="912" t="n">
        <v>1</v>
      </c>
      <c r="D808" s="547" t="n">
        <f aca="false">E808+F808+G808+H808</f>
        <v>80</v>
      </c>
      <c r="E808" s="547" t="n">
        <v>40</v>
      </c>
      <c r="F808" s="912" t="n">
        <v>40</v>
      </c>
      <c r="G808" s="912"/>
      <c r="H808" s="912"/>
      <c r="I808" s="912" t="n">
        <v>30</v>
      </c>
      <c r="J808" s="679"/>
      <c r="K808" s="679"/>
    </row>
    <row r="809" customFormat="false" ht="15" hidden="false" customHeight="false" outlineLevel="0" collapsed="false">
      <c r="A809" s="28" t="s">
        <v>1347</v>
      </c>
      <c r="B809" s="29" t="s">
        <v>3432</v>
      </c>
      <c r="C809" s="912" t="n">
        <v>1</v>
      </c>
      <c r="D809" s="547" t="n">
        <f aca="false">E809+F809+G809+H809</f>
        <v>20</v>
      </c>
      <c r="E809" s="547" t="n">
        <v>10</v>
      </c>
      <c r="F809" s="912" t="n">
        <v>10</v>
      </c>
      <c r="G809" s="912"/>
      <c r="H809" s="912"/>
      <c r="I809" s="912" t="n">
        <v>30</v>
      </c>
      <c r="J809" s="679"/>
      <c r="K809" s="679"/>
    </row>
    <row r="810" customFormat="false" ht="15" hidden="false" customHeight="false" outlineLevel="0" collapsed="false">
      <c r="A810" s="28" t="s">
        <v>1349</v>
      </c>
      <c r="B810" s="29" t="s">
        <v>3433</v>
      </c>
      <c r="C810" s="912" t="n">
        <v>1</v>
      </c>
      <c r="D810" s="547" t="n">
        <f aca="false">E810+F810+G810+H810</f>
        <v>60</v>
      </c>
      <c r="E810" s="547" t="n">
        <v>30</v>
      </c>
      <c r="F810" s="912" t="n">
        <v>30</v>
      </c>
      <c r="G810" s="912"/>
      <c r="H810" s="912"/>
      <c r="I810" s="912" t="n">
        <v>30</v>
      </c>
      <c r="J810" s="679"/>
      <c r="K810" s="679"/>
    </row>
    <row r="811" customFormat="false" ht="15" hidden="false" customHeight="false" outlineLevel="0" collapsed="false">
      <c r="A811" s="28" t="s">
        <v>1350</v>
      </c>
      <c r="B811" s="29" t="s">
        <v>3434</v>
      </c>
      <c r="C811" s="912" t="n">
        <v>1</v>
      </c>
      <c r="D811" s="547" t="n">
        <f aca="false">E811+F811+G811+H811</f>
        <v>70</v>
      </c>
      <c r="E811" s="547" t="n">
        <v>40</v>
      </c>
      <c r="F811" s="912" t="n">
        <v>30</v>
      </c>
      <c r="G811" s="912"/>
      <c r="H811" s="912"/>
      <c r="I811" s="912" t="n">
        <v>30</v>
      </c>
      <c r="J811" s="679"/>
      <c r="K811" s="679"/>
    </row>
    <row r="812" customFormat="false" ht="15" hidden="false" customHeight="false" outlineLevel="0" collapsed="false">
      <c r="A812" s="28" t="s">
        <v>1351</v>
      </c>
      <c r="B812" s="29" t="s">
        <v>3435</v>
      </c>
      <c r="C812" s="912" t="n">
        <v>1</v>
      </c>
      <c r="D812" s="547" t="n">
        <f aca="false">E812+F812+G812+H812</f>
        <v>40</v>
      </c>
      <c r="E812" s="547" t="n">
        <v>20</v>
      </c>
      <c r="F812" s="912" t="n">
        <v>20</v>
      </c>
      <c r="G812" s="912"/>
      <c r="H812" s="912"/>
      <c r="I812" s="912" t="n">
        <v>30</v>
      </c>
      <c r="J812" s="679"/>
      <c r="K812" s="679"/>
    </row>
    <row r="813" customFormat="false" ht="15" hidden="false" customHeight="false" outlineLevel="0" collapsed="false">
      <c r="A813" s="28" t="s">
        <v>1353</v>
      </c>
      <c r="B813" s="29" t="s">
        <v>2913</v>
      </c>
      <c r="C813" s="912" t="n">
        <v>1</v>
      </c>
      <c r="D813" s="547" t="n">
        <f aca="false">E813+F813+G813+H813</f>
        <v>20</v>
      </c>
      <c r="E813" s="547" t="n">
        <v>10</v>
      </c>
      <c r="F813" s="912" t="n">
        <v>10</v>
      </c>
      <c r="G813" s="912"/>
      <c r="H813" s="912"/>
      <c r="I813" s="912" t="n">
        <v>30</v>
      </c>
      <c r="J813" s="679"/>
      <c r="K813" s="679"/>
    </row>
    <row r="814" customFormat="false" ht="15" hidden="false" customHeight="false" outlineLevel="0" collapsed="false">
      <c r="A814" s="28" t="s">
        <v>1354</v>
      </c>
      <c r="B814" s="78" t="s">
        <v>3104</v>
      </c>
      <c r="C814" s="912" t="n">
        <v>1</v>
      </c>
      <c r="D814" s="547" t="n">
        <f aca="false">E814+F814+G814+H814</f>
        <v>80</v>
      </c>
      <c r="E814" s="547" t="n">
        <v>40</v>
      </c>
      <c r="F814" s="912" t="n">
        <v>40</v>
      </c>
      <c r="G814" s="912"/>
      <c r="H814" s="912"/>
      <c r="I814" s="912" t="n">
        <v>30</v>
      </c>
      <c r="J814" s="679"/>
      <c r="K814" s="679"/>
    </row>
    <row r="815" customFormat="false" ht="15" hidden="false" customHeight="false" outlineLevel="0" collapsed="false">
      <c r="A815" s="28" t="s">
        <v>1355</v>
      </c>
      <c r="B815" s="29" t="s">
        <v>3436</v>
      </c>
      <c r="C815" s="912" t="n">
        <v>1</v>
      </c>
      <c r="D815" s="547" t="n">
        <f aca="false">E815+F815+G815+H815</f>
        <v>80</v>
      </c>
      <c r="E815" s="547" t="n">
        <v>40</v>
      </c>
      <c r="F815" s="912" t="n">
        <v>40</v>
      </c>
      <c r="G815" s="912"/>
      <c r="H815" s="912"/>
      <c r="I815" s="912" t="n">
        <v>30</v>
      </c>
      <c r="J815" s="679"/>
      <c r="K815" s="679"/>
    </row>
    <row r="816" customFormat="false" ht="15" hidden="false" customHeight="false" outlineLevel="0" collapsed="false">
      <c r="A816" s="28" t="s">
        <v>1356</v>
      </c>
      <c r="B816" s="29" t="s">
        <v>3437</v>
      </c>
      <c r="C816" s="912" t="n">
        <v>1</v>
      </c>
      <c r="D816" s="547" t="n">
        <f aca="false">E816+F816+G816+H816</f>
        <v>80</v>
      </c>
      <c r="E816" s="547" t="n">
        <v>40</v>
      </c>
      <c r="F816" s="912" t="n">
        <v>40</v>
      </c>
      <c r="G816" s="912"/>
      <c r="H816" s="912"/>
      <c r="I816" s="912" t="n">
        <v>30</v>
      </c>
      <c r="J816" s="679"/>
      <c r="K816" s="679"/>
    </row>
    <row r="817" customFormat="false" ht="15" hidden="false" customHeight="false" outlineLevel="0" collapsed="false">
      <c r="A817" s="28" t="s">
        <v>1357</v>
      </c>
      <c r="B817" s="29" t="s">
        <v>3438</v>
      </c>
      <c r="C817" s="912" t="n">
        <v>1</v>
      </c>
      <c r="D817" s="547" t="n">
        <f aca="false">E817+F817+G817+H817</f>
        <v>60</v>
      </c>
      <c r="E817" s="547" t="n">
        <v>30</v>
      </c>
      <c r="F817" s="912" t="n">
        <v>30</v>
      </c>
      <c r="G817" s="912"/>
      <c r="H817" s="912"/>
      <c r="I817" s="912" t="n">
        <v>30</v>
      </c>
      <c r="J817" s="679"/>
      <c r="K817" s="679"/>
    </row>
    <row r="818" customFormat="false" ht="15" hidden="false" customHeight="false" outlineLevel="0" collapsed="false">
      <c r="A818" s="28" t="s">
        <v>1359</v>
      </c>
      <c r="B818" s="29" t="s">
        <v>3439</v>
      </c>
      <c r="C818" s="912" t="n">
        <v>1</v>
      </c>
      <c r="D818" s="547" t="n">
        <f aca="false">E818+F818+G818+H818</f>
        <v>80</v>
      </c>
      <c r="E818" s="547" t="n">
        <v>40</v>
      </c>
      <c r="F818" s="912" t="n">
        <v>40</v>
      </c>
      <c r="G818" s="912"/>
      <c r="H818" s="912"/>
      <c r="I818" s="912" t="n">
        <v>30</v>
      </c>
      <c r="J818" s="679"/>
      <c r="K818" s="679"/>
    </row>
    <row r="819" customFormat="false" ht="15" hidden="false" customHeight="false" outlineLevel="0" collapsed="false">
      <c r="A819" s="28" t="s">
        <v>1361</v>
      </c>
      <c r="B819" s="29" t="s">
        <v>3440</v>
      </c>
      <c r="C819" s="912" t="n">
        <v>1</v>
      </c>
      <c r="D819" s="547" t="n">
        <f aca="false">E819+F819+G819+H819</f>
        <v>80</v>
      </c>
      <c r="E819" s="547" t="n">
        <v>40</v>
      </c>
      <c r="F819" s="912" t="n">
        <v>40</v>
      </c>
      <c r="G819" s="912"/>
      <c r="H819" s="912"/>
      <c r="I819" s="912" t="n">
        <v>30</v>
      </c>
      <c r="J819" s="679"/>
      <c r="K819" s="679"/>
    </row>
    <row r="820" customFormat="false" ht="15" hidden="false" customHeight="false" outlineLevel="0" collapsed="false">
      <c r="A820" s="28" t="s">
        <v>1363</v>
      </c>
      <c r="B820" s="29" t="s">
        <v>3441</v>
      </c>
      <c r="C820" s="912" t="n">
        <v>1</v>
      </c>
      <c r="D820" s="547" t="n">
        <f aca="false">E820+F820+G820+H820</f>
        <v>80</v>
      </c>
      <c r="E820" s="547" t="n">
        <v>40</v>
      </c>
      <c r="F820" s="912" t="n">
        <v>40</v>
      </c>
      <c r="G820" s="912"/>
      <c r="H820" s="912"/>
      <c r="I820" s="912" t="n">
        <v>30</v>
      </c>
      <c r="J820" s="679"/>
      <c r="K820" s="679"/>
    </row>
    <row r="821" customFormat="false" ht="15" hidden="false" customHeight="false" outlineLevel="0" collapsed="false">
      <c r="A821" s="28" t="s">
        <v>1365</v>
      </c>
      <c r="B821" s="29" t="s">
        <v>3442</v>
      </c>
      <c r="C821" s="912" t="n">
        <v>1</v>
      </c>
      <c r="D821" s="547" t="n">
        <f aca="false">E821+F821+G821+H821</f>
        <v>60</v>
      </c>
      <c r="E821" s="547" t="n">
        <v>30</v>
      </c>
      <c r="F821" s="912" t="n">
        <v>30</v>
      </c>
      <c r="G821" s="912"/>
      <c r="H821" s="912"/>
      <c r="I821" s="912" t="n">
        <v>30</v>
      </c>
      <c r="J821" s="679"/>
      <c r="K821" s="679"/>
    </row>
    <row r="822" customFormat="false" ht="15" hidden="false" customHeight="false" outlineLevel="0" collapsed="false">
      <c r="A822" s="28" t="s">
        <v>1367</v>
      </c>
      <c r="B822" s="29" t="s">
        <v>3443</v>
      </c>
      <c r="C822" s="912" t="n">
        <v>1</v>
      </c>
      <c r="D822" s="547" t="n">
        <f aca="false">E822+F822+G822+H822</f>
        <v>80</v>
      </c>
      <c r="E822" s="547" t="n">
        <v>40</v>
      </c>
      <c r="F822" s="912" t="n">
        <v>40</v>
      </c>
      <c r="G822" s="912"/>
      <c r="H822" s="912"/>
      <c r="I822" s="912" t="n">
        <v>30</v>
      </c>
      <c r="J822" s="679"/>
      <c r="K822" s="679"/>
    </row>
    <row r="823" customFormat="false" ht="15" hidden="false" customHeight="false" outlineLevel="0" collapsed="false">
      <c r="A823" s="28" t="s">
        <v>1369</v>
      </c>
      <c r="B823" s="29" t="s">
        <v>3444</v>
      </c>
      <c r="C823" s="912" t="n">
        <v>1</v>
      </c>
      <c r="D823" s="547" t="n">
        <f aca="false">E823+F823+G823+H823</f>
        <v>80</v>
      </c>
      <c r="E823" s="547" t="n">
        <v>40</v>
      </c>
      <c r="F823" s="912" t="n">
        <v>40</v>
      </c>
      <c r="G823" s="912"/>
      <c r="H823" s="912"/>
      <c r="I823" s="912" t="n">
        <v>30</v>
      </c>
      <c r="J823" s="679"/>
      <c r="K823" s="679"/>
    </row>
    <row r="824" customFormat="false" ht="15" hidden="false" customHeight="false" outlineLevel="0" collapsed="false">
      <c r="A824" s="28" t="s">
        <v>1371</v>
      </c>
      <c r="B824" s="29" t="s">
        <v>3445</v>
      </c>
      <c r="C824" s="912" t="n">
        <v>1</v>
      </c>
      <c r="D824" s="547" t="n">
        <f aca="false">E824+F824+G824+H824</f>
        <v>80</v>
      </c>
      <c r="E824" s="547" t="n">
        <v>40</v>
      </c>
      <c r="F824" s="912" t="n">
        <v>40</v>
      </c>
      <c r="G824" s="912"/>
      <c r="H824" s="912"/>
      <c r="I824" s="912" t="n">
        <v>30</v>
      </c>
      <c r="J824" s="679"/>
      <c r="K824" s="679"/>
    </row>
    <row r="825" customFormat="false" ht="15" hidden="false" customHeight="false" outlineLevel="0" collapsed="false">
      <c r="A825" s="28" t="s">
        <v>1373</v>
      </c>
      <c r="B825" s="29" t="s">
        <v>3446</v>
      </c>
      <c r="C825" s="912" t="n">
        <v>1</v>
      </c>
      <c r="D825" s="547" t="n">
        <f aca="false">E825+F825+G825+H825</f>
        <v>80</v>
      </c>
      <c r="E825" s="547" t="n">
        <v>40</v>
      </c>
      <c r="F825" s="912" t="n">
        <v>40</v>
      </c>
      <c r="G825" s="912"/>
      <c r="H825" s="912"/>
      <c r="I825" s="912" t="n">
        <v>30</v>
      </c>
      <c r="J825" s="679"/>
      <c r="K825" s="679"/>
    </row>
    <row r="826" customFormat="false" ht="15" hidden="false" customHeight="false" outlineLevel="0" collapsed="false">
      <c r="A826" s="28" t="s">
        <v>1375</v>
      </c>
      <c r="B826" s="29" t="s">
        <v>3447</v>
      </c>
      <c r="C826" s="912" t="n">
        <v>1</v>
      </c>
      <c r="D826" s="547" t="n">
        <f aca="false">E826+F826+G826+H826</f>
        <v>80</v>
      </c>
      <c r="E826" s="547" t="n">
        <v>40</v>
      </c>
      <c r="F826" s="912" t="n">
        <v>40</v>
      </c>
      <c r="G826" s="912"/>
      <c r="H826" s="912"/>
      <c r="I826" s="912" t="n">
        <v>30</v>
      </c>
      <c r="J826" s="679"/>
      <c r="K826" s="679"/>
    </row>
    <row r="827" customFormat="false" ht="15" hidden="false" customHeight="false" outlineLevel="0" collapsed="false">
      <c r="A827" s="28" t="s">
        <v>1377</v>
      </c>
      <c r="B827" s="78" t="s">
        <v>3448</v>
      </c>
      <c r="C827" s="912" t="n">
        <v>1</v>
      </c>
      <c r="D827" s="547" t="n">
        <f aca="false">E827+F827+G827+H827</f>
        <v>80</v>
      </c>
      <c r="E827" s="547" t="n">
        <v>40</v>
      </c>
      <c r="F827" s="912" t="n">
        <v>40</v>
      </c>
      <c r="G827" s="912"/>
      <c r="H827" s="912"/>
      <c r="I827" s="912" t="n">
        <v>30</v>
      </c>
      <c r="J827" s="679"/>
      <c r="K827" s="679"/>
    </row>
    <row r="828" customFormat="false" ht="15" hidden="false" customHeight="false" outlineLevel="0" collapsed="false">
      <c r="A828" s="28" t="s">
        <v>1379</v>
      </c>
      <c r="B828" s="78" t="s">
        <v>3449</v>
      </c>
      <c r="C828" s="912" t="n">
        <v>1</v>
      </c>
      <c r="D828" s="547" t="n">
        <f aca="false">E828+F828+G828+H828</f>
        <v>80</v>
      </c>
      <c r="E828" s="547" t="n">
        <v>40</v>
      </c>
      <c r="F828" s="912" t="n">
        <v>40</v>
      </c>
      <c r="G828" s="912"/>
      <c r="H828" s="912"/>
      <c r="I828" s="912" t="n">
        <v>30</v>
      </c>
      <c r="J828" s="679"/>
      <c r="K828" s="679"/>
    </row>
    <row r="829" customFormat="false" ht="15" hidden="false" customHeight="false" outlineLevel="0" collapsed="false">
      <c r="A829" s="28" t="s">
        <v>1381</v>
      </c>
      <c r="B829" s="78" t="s">
        <v>3450</v>
      </c>
      <c r="C829" s="912" t="n">
        <v>1</v>
      </c>
      <c r="D829" s="547" t="n">
        <f aca="false">E829+F829+G829+H829</f>
        <v>80</v>
      </c>
      <c r="E829" s="547" t="n">
        <v>40</v>
      </c>
      <c r="F829" s="912" t="n">
        <v>40</v>
      </c>
      <c r="G829" s="912"/>
      <c r="H829" s="912"/>
      <c r="I829" s="912" t="n">
        <v>30</v>
      </c>
      <c r="J829" s="679"/>
      <c r="K829" s="679"/>
    </row>
    <row r="830" customFormat="false" ht="15" hidden="false" customHeight="false" outlineLevel="0" collapsed="false">
      <c r="A830" s="28" t="s">
        <v>1383</v>
      </c>
      <c r="B830" s="78" t="s">
        <v>3451</v>
      </c>
      <c r="C830" s="912" t="n">
        <v>1</v>
      </c>
      <c r="D830" s="547" t="n">
        <f aca="false">E830+F830+G830+H830</f>
        <v>80</v>
      </c>
      <c r="E830" s="547" t="n">
        <v>40</v>
      </c>
      <c r="F830" s="912" t="n">
        <v>40</v>
      </c>
      <c r="G830" s="912"/>
      <c r="H830" s="912"/>
      <c r="I830" s="912" t="n">
        <v>30</v>
      </c>
      <c r="J830" s="679"/>
      <c r="K830" s="679"/>
    </row>
    <row r="831" customFormat="false" ht="15" hidden="false" customHeight="false" outlineLevel="0" collapsed="false">
      <c r="A831" s="28" t="s">
        <v>1385</v>
      </c>
      <c r="B831" s="29" t="s">
        <v>3452</v>
      </c>
      <c r="C831" s="912" t="n">
        <v>1</v>
      </c>
      <c r="D831" s="547" t="n">
        <f aca="false">E831+F831+G831+H831</f>
        <v>80</v>
      </c>
      <c r="E831" s="547" t="n">
        <v>40</v>
      </c>
      <c r="F831" s="912" t="n">
        <v>40</v>
      </c>
      <c r="G831" s="912"/>
      <c r="H831" s="912"/>
      <c r="I831" s="912" t="n">
        <v>30</v>
      </c>
      <c r="J831" s="679"/>
      <c r="K831" s="679"/>
    </row>
    <row r="832" customFormat="false" ht="15" hidden="false" customHeight="false" outlineLevel="0" collapsed="false">
      <c r="A832" s="28" t="s">
        <v>1387</v>
      </c>
      <c r="B832" s="29" t="s">
        <v>3453</v>
      </c>
      <c r="C832" s="912" t="n">
        <v>1</v>
      </c>
      <c r="D832" s="547" t="n">
        <f aca="false">E832+F832+G832+H832</f>
        <v>80</v>
      </c>
      <c r="E832" s="547" t="n">
        <v>40</v>
      </c>
      <c r="F832" s="912" t="n">
        <v>40</v>
      </c>
      <c r="G832" s="912"/>
      <c r="H832" s="912"/>
      <c r="I832" s="912" t="n">
        <v>30</v>
      </c>
      <c r="J832" s="679"/>
      <c r="K832" s="679"/>
    </row>
    <row r="833" customFormat="false" ht="15" hidden="false" customHeight="false" outlineLevel="0" collapsed="false">
      <c r="A833" s="28" t="s">
        <v>1389</v>
      </c>
      <c r="B833" s="29" t="s">
        <v>3454</v>
      </c>
      <c r="C833" s="912" t="n">
        <v>1</v>
      </c>
      <c r="D833" s="547" t="n">
        <f aca="false">E833+F833+G833+H833</f>
        <v>80</v>
      </c>
      <c r="E833" s="547" t="n">
        <v>40</v>
      </c>
      <c r="F833" s="912" t="n">
        <v>40</v>
      </c>
      <c r="G833" s="912"/>
      <c r="H833" s="912"/>
      <c r="I833" s="912" t="n">
        <v>30</v>
      </c>
      <c r="J833" s="679"/>
      <c r="K833" s="679"/>
    </row>
    <row r="834" customFormat="false" ht="15" hidden="false" customHeight="false" outlineLevel="0" collapsed="false">
      <c r="A834" s="28" t="s">
        <v>1391</v>
      </c>
      <c r="B834" s="29" t="s">
        <v>3455</v>
      </c>
      <c r="C834" s="912" t="n">
        <v>1</v>
      </c>
      <c r="D834" s="547" t="n">
        <f aca="false">E834+F834+G834+H834</f>
        <v>80</v>
      </c>
      <c r="E834" s="547" t="n">
        <v>40</v>
      </c>
      <c r="F834" s="912" t="n">
        <v>40</v>
      </c>
      <c r="G834" s="912"/>
      <c r="H834" s="912"/>
      <c r="I834" s="912" t="n">
        <v>30</v>
      </c>
      <c r="J834" s="679"/>
      <c r="K834" s="679"/>
    </row>
    <row r="835" customFormat="false" ht="15" hidden="false" customHeight="false" outlineLevel="0" collapsed="false">
      <c r="A835" s="28" t="s">
        <v>1393</v>
      </c>
      <c r="B835" s="29" t="s">
        <v>3456</v>
      </c>
      <c r="C835" s="912" t="n">
        <v>1</v>
      </c>
      <c r="D835" s="547" t="n">
        <f aca="false">E835+F835+G835+H835</f>
        <v>60</v>
      </c>
      <c r="E835" s="547" t="n">
        <v>30</v>
      </c>
      <c r="F835" s="912" t="n">
        <v>30</v>
      </c>
      <c r="G835" s="912"/>
      <c r="H835" s="912"/>
      <c r="I835" s="912" t="n">
        <v>30</v>
      </c>
      <c r="J835" s="679"/>
      <c r="K835" s="679"/>
    </row>
    <row r="836" customFormat="false" ht="15" hidden="false" customHeight="false" outlineLevel="0" collapsed="false">
      <c r="A836" s="28" t="s">
        <v>1395</v>
      </c>
      <c r="B836" s="29" t="s">
        <v>3457</v>
      </c>
      <c r="C836" s="912" t="n">
        <v>1</v>
      </c>
      <c r="D836" s="547" t="n">
        <f aca="false">E836+F836+G836+H836</f>
        <v>80</v>
      </c>
      <c r="E836" s="547" t="n">
        <v>40</v>
      </c>
      <c r="F836" s="912" t="n">
        <v>40</v>
      </c>
      <c r="G836" s="912"/>
      <c r="H836" s="912"/>
      <c r="I836" s="912" t="n">
        <v>30</v>
      </c>
      <c r="J836" s="679"/>
      <c r="K836" s="679"/>
    </row>
    <row r="837" customFormat="false" ht="15" hidden="false" customHeight="false" outlineLevel="0" collapsed="false">
      <c r="A837" s="28" t="s">
        <v>1397</v>
      </c>
      <c r="B837" s="29" t="s">
        <v>3458</v>
      </c>
      <c r="C837" s="912" t="n">
        <v>1</v>
      </c>
      <c r="D837" s="547" t="n">
        <f aca="false">E837+F837+G837+H837</f>
        <v>60</v>
      </c>
      <c r="E837" s="547" t="n">
        <v>30</v>
      </c>
      <c r="F837" s="912" t="n">
        <v>30</v>
      </c>
      <c r="G837" s="912"/>
      <c r="H837" s="912"/>
      <c r="I837" s="912" t="n">
        <v>30</v>
      </c>
      <c r="J837" s="679"/>
      <c r="K837" s="679"/>
    </row>
    <row r="838" customFormat="false" ht="15" hidden="false" customHeight="false" outlineLevel="0" collapsed="false">
      <c r="A838" s="28" t="s">
        <v>1399</v>
      </c>
      <c r="B838" s="29" t="s">
        <v>3459</v>
      </c>
      <c r="C838" s="912" t="n">
        <v>1</v>
      </c>
      <c r="D838" s="547" t="n">
        <f aca="false">E838+F838+G838+H838</f>
        <v>60</v>
      </c>
      <c r="E838" s="547" t="n">
        <v>30</v>
      </c>
      <c r="F838" s="912" t="n">
        <v>30</v>
      </c>
      <c r="G838" s="912"/>
      <c r="H838" s="912"/>
      <c r="I838" s="912" t="n">
        <v>30</v>
      </c>
      <c r="J838" s="679"/>
      <c r="K838" s="679"/>
    </row>
    <row r="839" customFormat="false" ht="15" hidden="false" customHeight="false" outlineLevel="0" collapsed="false">
      <c r="A839" s="28" t="s">
        <v>1401</v>
      </c>
      <c r="B839" s="29" t="s">
        <v>3460</v>
      </c>
      <c r="C839" s="912" t="n">
        <v>1</v>
      </c>
      <c r="D839" s="547" t="n">
        <f aca="false">E839+F839+G839+H839</f>
        <v>80</v>
      </c>
      <c r="E839" s="547" t="n">
        <v>40</v>
      </c>
      <c r="F839" s="912" t="n">
        <v>40</v>
      </c>
      <c r="G839" s="912"/>
      <c r="H839" s="912"/>
      <c r="I839" s="912" t="n">
        <v>30</v>
      </c>
      <c r="J839" s="679"/>
      <c r="K839" s="679"/>
    </row>
    <row r="840" customFormat="false" ht="15" hidden="false" customHeight="false" outlineLevel="0" collapsed="false">
      <c r="A840" s="28" t="s">
        <v>1403</v>
      </c>
      <c r="B840" s="29" t="s">
        <v>3461</v>
      </c>
      <c r="C840" s="912" t="n">
        <v>1</v>
      </c>
      <c r="D840" s="547" t="n">
        <f aca="false">E840+F840+G840+H840</f>
        <v>80</v>
      </c>
      <c r="E840" s="547" t="n">
        <v>40</v>
      </c>
      <c r="F840" s="912" t="n">
        <v>40</v>
      </c>
      <c r="G840" s="912"/>
      <c r="H840" s="912"/>
      <c r="I840" s="912" t="n">
        <v>30</v>
      </c>
      <c r="J840" s="679"/>
      <c r="K840" s="679"/>
    </row>
    <row r="841" customFormat="false" ht="15" hidden="false" customHeight="false" outlineLevel="0" collapsed="false">
      <c r="A841" s="28" t="s">
        <v>1405</v>
      </c>
      <c r="B841" s="29" t="s">
        <v>3462</v>
      </c>
      <c r="C841" s="912" t="n">
        <v>1</v>
      </c>
      <c r="D841" s="547" t="n">
        <f aca="false">E841+F841+G841+H841</f>
        <v>80</v>
      </c>
      <c r="E841" s="547" t="n">
        <v>40</v>
      </c>
      <c r="F841" s="912" t="n">
        <v>40</v>
      </c>
      <c r="G841" s="912"/>
      <c r="H841" s="912"/>
      <c r="I841" s="912" t="n">
        <v>30</v>
      </c>
      <c r="J841" s="679"/>
      <c r="K841" s="679"/>
    </row>
    <row r="842" customFormat="false" ht="15" hidden="false" customHeight="false" outlineLevel="0" collapsed="false">
      <c r="A842" s="28" t="s">
        <v>1407</v>
      </c>
      <c r="B842" s="29" t="s">
        <v>3463</v>
      </c>
      <c r="C842" s="912" t="n">
        <v>1</v>
      </c>
      <c r="D842" s="547" t="n">
        <f aca="false">E842+F842+G842+H842</f>
        <v>60</v>
      </c>
      <c r="E842" s="547" t="n">
        <v>30</v>
      </c>
      <c r="F842" s="912" t="n">
        <v>30</v>
      </c>
      <c r="G842" s="912"/>
      <c r="H842" s="912"/>
      <c r="I842" s="912" t="n">
        <v>30</v>
      </c>
      <c r="J842" s="679"/>
      <c r="K842" s="679"/>
    </row>
    <row r="843" customFormat="false" ht="15" hidden="false" customHeight="false" outlineLevel="0" collapsed="false">
      <c r="A843" s="28" t="s">
        <v>1408</v>
      </c>
      <c r="B843" s="29" t="s">
        <v>3464</v>
      </c>
      <c r="C843" s="912" t="n">
        <v>1</v>
      </c>
      <c r="D843" s="547" t="n">
        <f aca="false">E843+F843+G843+H843</f>
        <v>100</v>
      </c>
      <c r="E843" s="547" t="n">
        <v>70</v>
      </c>
      <c r="F843" s="912" t="n">
        <v>30</v>
      </c>
      <c r="G843" s="912"/>
      <c r="H843" s="912"/>
      <c r="I843" s="912" t="n">
        <v>30</v>
      </c>
      <c r="J843" s="679"/>
      <c r="K843" s="679"/>
    </row>
    <row r="844" customFormat="false" ht="15" hidden="false" customHeight="false" outlineLevel="0" collapsed="false">
      <c r="A844" s="28" t="s">
        <v>1409</v>
      </c>
      <c r="B844" s="29" t="s">
        <v>3465</v>
      </c>
      <c r="C844" s="912" t="n">
        <v>1</v>
      </c>
      <c r="D844" s="547" t="n">
        <f aca="false">E844+F844+G844+H844</f>
        <v>60</v>
      </c>
      <c r="E844" s="547" t="n">
        <v>30</v>
      </c>
      <c r="F844" s="912" t="n">
        <v>30</v>
      </c>
      <c r="G844" s="912"/>
      <c r="H844" s="912"/>
      <c r="I844" s="912" t="n">
        <v>30</v>
      </c>
      <c r="J844" s="679"/>
      <c r="K844" s="679"/>
    </row>
    <row r="845" customFormat="false" ht="30" hidden="false" customHeight="false" outlineLevel="0" collapsed="false">
      <c r="A845" s="28" t="s">
        <v>1411</v>
      </c>
      <c r="B845" s="29" t="s">
        <v>3466</v>
      </c>
      <c r="C845" s="912" t="n">
        <v>1</v>
      </c>
      <c r="D845" s="547" t="n">
        <f aca="false">E845+F845+G845+H845</f>
        <v>80</v>
      </c>
      <c r="E845" s="547" t="n">
        <v>40</v>
      </c>
      <c r="F845" s="912" t="n">
        <v>40</v>
      </c>
      <c r="G845" s="912"/>
      <c r="H845" s="912"/>
      <c r="I845" s="912" t="n">
        <v>30</v>
      </c>
      <c r="J845" s="679"/>
      <c r="K845" s="679"/>
    </row>
    <row r="846" customFormat="false" ht="15" hidden="false" customHeight="false" outlineLevel="0" collapsed="false">
      <c r="A846" s="28" t="s">
        <v>1413</v>
      </c>
      <c r="B846" s="78" t="s">
        <v>3467</v>
      </c>
      <c r="C846" s="912" t="n">
        <v>1</v>
      </c>
      <c r="D846" s="547" t="n">
        <f aca="false">E846+F846+G846+H846</f>
        <v>80</v>
      </c>
      <c r="E846" s="547" t="n">
        <v>40</v>
      </c>
      <c r="F846" s="912" t="n">
        <v>40</v>
      </c>
      <c r="G846" s="912"/>
      <c r="H846" s="912"/>
      <c r="I846" s="912" t="n">
        <v>30</v>
      </c>
      <c r="J846" s="679"/>
      <c r="K846" s="679"/>
    </row>
    <row r="847" customFormat="false" ht="15" hidden="false" customHeight="false" outlineLevel="0" collapsed="false">
      <c r="A847" s="28" t="s">
        <v>1415</v>
      </c>
      <c r="B847" s="78" t="s">
        <v>3468</v>
      </c>
      <c r="C847" s="912" t="n">
        <v>1</v>
      </c>
      <c r="D847" s="547" t="n">
        <f aca="false">E847+F847+G847+H847</f>
        <v>260</v>
      </c>
      <c r="E847" s="547" t="n">
        <v>130</v>
      </c>
      <c r="F847" s="912" t="n">
        <v>130</v>
      </c>
      <c r="G847" s="912"/>
      <c r="H847" s="912"/>
      <c r="I847" s="912" t="n">
        <v>160</v>
      </c>
      <c r="J847" s="679"/>
      <c r="K847" s="679"/>
    </row>
    <row r="848" customFormat="false" ht="15" hidden="false" customHeight="false" outlineLevel="0" collapsed="false">
      <c r="A848" s="28" t="s">
        <v>1417</v>
      </c>
      <c r="B848" s="78" t="s">
        <v>3469</v>
      </c>
      <c r="C848" s="912" t="n">
        <v>1</v>
      </c>
      <c r="D848" s="1673" t="n">
        <f aca="false">E848+F848+G848+H848</f>
        <v>60</v>
      </c>
      <c r="E848" s="547" t="n">
        <v>35</v>
      </c>
      <c r="F848" s="912" t="n">
        <v>25</v>
      </c>
      <c r="G848" s="912"/>
      <c r="H848" s="912"/>
      <c r="I848" s="912" t="n">
        <v>30</v>
      </c>
      <c r="J848" s="772"/>
      <c r="K848" s="772"/>
    </row>
    <row r="849" customFormat="false" ht="15" hidden="false" customHeight="false" outlineLevel="0" collapsed="false">
      <c r="A849" s="15" t="s">
        <v>1419</v>
      </c>
      <c r="B849" s="1697" t="s">
        <v>3470</v>
      </c>
      <c r="C849" s="339"/>
      <c r="D849" s="712"/>
      <c r="E849" s="751"/>
      <c r="F849" s="339"/>
      <c r="G849" s="339"/>
      <c r="H849" s="339"/>
      <c r="I849" s="339"/>
      <c r="J849" s="600"/>
      <c r="K849" s="600"/>
    </row>
    <row r="850" customFormat="false" ht="30" hidden="false" customHeight="false" outlineLevel="0" collapsed="false">
      <c r="A850" s="28" t="s">
        <v>1421</v>
      </c>
      <c r="B850" s="80" t="s">
        <v>3471</v>
      </c>
      <c r="C850" s="912" t="n">
        <v>1</v>
      </c>
      <c r="D850" s="1427" t="n">
        <f aca="false">E850+F850+G850+H850</f>
        <v>40</v>
      </c>
      <c r="E850" s="1427" t="n">
        <v>25</v>
      </c>
      <c r="F850" s="1675" t="n">
        <v>15</v>
      </c>
      <c r="G850" s="1675"/>
      <c r="H850" s="1675"/>
      <c r="I850" s="1675" t="n">
        <v>30</v>
      </c>
      <c r="J850" s="1676"/>
      <c r="K850" s="1676"/>
    </row>
    <row r="851" customFormat="false" ht="45" hidden="false" customHeight="false" outlineLevel="0" collapsed="false">
      <c r="A851" s="28" t="s">
        <v>1423</v>
      </c>
      <c r="B851" s="80" t="s">
        <v>3472</v>
      </c>
      <c r="C851" s="912" t="n">
        <v>1</v>
      </c>
      <c r="D851" s="547" t="n">
        <f aca="false">E851+F851+G851+H851</f>
        <v>45</v>
      </c>
      <c r="E851" s="547" t="n">
        <v>20</v>
      </c>
      <c r="F851" s="912" t="n">
        <v>25</v>
      </c>
      <c r="G851" s="912"/>
      <c r="H851" s="912"/>
      <c r="I851" s="912" t="n">
        <v>30</v>
      </c>
      <c r="J851" s="679"/>
      <c r="K851" s="679"/>
    </row>
    <row r="852" customFormat="false" ht="15" hidden="false" customHeight="false" outlineLevel="0" collapsed="false">
      <c r="A852" s="28" t="s">
        <v>1425</v>
      </c>
      <c r="B852" s="80" t="s">
        <v>3473</v>
      </c>
      <c r="C852" s="912" t="n">
        <v>1</v>
      </c>
      <c r="D852" s="547" t="n">
        <f aca="false">E852+F852+G852+H852</f>
        <v>80</v>
      </c>
      <c r="E852" s="547" t="n">
        <v>40</v>
      </c>
      <c r="F852" s="912" t="n">
        <v>40</v>
      </c>
      <c r="G852" s="912"/>
      <c r="H852" s="912"/>
      <c r="I852" s="912" t="n">
        <v>30</v>
      </c>
      <c r="J852" s="679"/>
      <c r="K852" s="679"/>
    </row>
    <row r="853" customFormat="false" ht="15" hidden="false" customHeight="false" outlineLevel="0" collapsed="false">
      <c r="A853" s="28" t="s">
        <v>1427</v>
      </c>
      <c r="B853" s="80" t="s">
        <v>3436</v>
      </c>
      <c r="C853" s="912" t="n">
        <v>1</v>
      </c>
      <c r="D853" s="547" t="n">
        <f aca="false">E853+F853+G853+H853</f>
        <v>80</v>
      </c>
      <c r="E853" s="547" t="n">
        <v>40</v>
      </c>
      <c r="F853" s="912" t="n">
        <v>40</v>
      </c>
      <c r="G853" s="912"/>
      <c r="H853" s="912"/>
      <c r="I853" s="912" t="n">
        <v>30</v>
      </c>
      <c r="J853" s="679"/>
      <c r="K853" s="679"/>
    </row>
    <row r="854" customFormat="false" ht="15" hidden="false" customHeight="false" outlineLevel="0" collapsed="false">
      <c r="A854" s="28" t="s">
        <v>1428</v>
      </c>
      <c r="B854" s="80" t="s">
        <v>3437</v>
      </c>
      <c r="C854" s="912" t="n">
        <v>1</v>
      </c>
      <c r="D854" s="547" t="n">
        <f aca="false">E854+F854+G854+H854</f>
        <v>80</v>
      </c>
      <c r="E854" s="547" t="n">
        <v>40</v>
      </c>
      <c r="F854" s="912" t="n">
        <v>40</v>
      </c>
      <c r="G854" s="912"/>
      <c r="H854" s="912"/>
      <c r="I854" s="912" t="n">
        <v>30</v>
      </c>
      <c r="J854" s="679"/>
      <c r="K854" s="679"/>
    </row>
    <row r="855" customFormat="false" ht="15" hidden="false" customHeight="false" outlineLevel="0" collapsed="false">
      <c r="A855" s="28" t="s">
        <v>1429</v>
      </c>
      <c r="B855" s="80" t="s">
        <v>3474</v>
      </c>
      <c r="C855" s="912" t="n">
        <v>1</v>
      </c>
      <c r="D855" s="547" t="n">
        <f aca="false">E855+F855+G855+H855</f>
        <v>80</v>
      </c>
      <c r="E855" s="547" t="n">
        <v>40</v>
      </c>
      <c r="F855" s="912" t="n">
        <v>40</v>
      </c>
      <c r="G855" s="912"/>
      <c r="H855" s="912"/>
      <c r="I855" s="912" t="n">
        <v>30</v>
      </c>
      <c r="J855" s="679"/>
      <c r="K855" s="679"/>
    </row>
    <row r="856" customFormat="false" ht="15" hidden="false" customHeight="false" outlineLevel="0" collapsed="false">
      <c r="A856" s="28" t="s">
        <v>1430</v>
      </c>
      <c r="B856" s="80" t="s">
        <v>3475</v>
      </c>
      <c r="C856" s="912" t="n">
        <v>1</v>
      </c>
      <c r="D856" s="547" t="n">
        <f aca="false">E856+F856+G856+H856</f>
        <v>80</v>
      </c>
      <c r="E856" s="547" t="n">
        <v>40</v>
      </c>
      <c r="F856" s="912" t="n">
        <v>40</v>
      </c>
      <c r="G856" s="912"/>
      <c r="H856" s="912"/>
      <c r="I856" s="912" t="n">
        <v>30</v>
      </c>
      <c r="J856" s="679"/>
      <c r="K856" s="679"/>
    </row>
    <row r="857" customFormat="false" ht="15" hidden="false" customHeight="false" outlineLevel="0" collapsed="false">
      <c r="A857" s="28" t="s">
        <v>1432</v>
      </c>
      <c r="B857" s="80" t="s">
        <v>3476</v>
      </c>
      <c r="C857" s="912" t="n">
        <v>1</v>
      </c>
      <c r="D857" s="547" t="n">
        <f aca="false">E857+F857+G857+H857</f>
        <v>80</v>
      </c>
      <c r="E857" s="547" t="n">
        <v>40</v>
      </c>
      <c r="F857" s="912" t="n">
        <v>40</v>
      </c>
      <c r="G857" s="912"/>
      <c r="H857" s="912"/>
      <c r="I857" s="912" t="n">
        <v>30</v>
      </c>
      <c r="J857" s="679"/>
      <c r="K857" s="679"/>
    </row>
    <row r="858" customFormat="false" ht="15" hidden="false" customHeight="false" outlineLevel="0" collapsed="false">
      <c r="A858" s="28" t="s">
        <v>1433</v>
      </c>
      <c r="B858" s="80" t="s">
        <v>3445</v>
      </c>
      <c r="C858" s="912" t="n">
        <v>1</v>
      </c>
      <c r="D858" s="547" t="n">
        <f aca="false">E858+F858+G858+H858</f>
        <v>80</v>
      </c>
      <c r="E858" s="547" t="n">
        <v>40</v>
      </c>
      <c r="F858" s="912" t="n">
        <v>40</v>
      </c>
      <c r="G858" s="912"/>
      <c r="H858" s="912"/>
      <c r="I858" s="912" t="n">
        <v>30</v>
      </c>
      <c r="J858" s="679"/>
      <c r="K858" s="679"/>
    </row>
    <row r="859" customFormat="false" ht="15" hidden="false" customHeight="false" outlineLevel="0" collapsed="false">
      <c r="A859" s="28" t="s">
        <v>1434</v>
      </c>
      <c r="B859" s="80" t="s">
        <v>3440</v>
      </c>
      <c r="C859" s="912" t="n">
        <v>1</v>
      </c>
      <c r="D859" s="547" t="n">
        <f aca="false">E859+F859+G859+H859</f>
        <v>80</v>
      </c>
      <c r="E859" s="547" t="n">
        <v>40</v>
      </c>
      <c r="F859" s="912" t="n">
        <v>40</v>
      </c>
      <c r="G859" s="912"/>
      <c r="H859" s="912"/>
      <c r="I859" s="912" t="n">
        <v>30</v>
      </c>
      <c r="J859" s="679"/>
      <c r="K859" s="679"/>
    </row>
    <row r="860" customFormat="false" ht="15" hidden="false" customHeight="false" outlineLevel="0" collapsed="false">
      <c r="A860" s="28" t="s">
        <v>1435</v>
      </c>
      <c r="B860" s="80" t="s">
        <v>3444</v>
      </c>
      <c r="C860" s="912" t="n">
        <v>1</v>
      </c>
      <c r="D860" s="547" t="n">
        <f aca="false">E860+F860+G860+H860</f>
        <v>80</v>
      </c>
      <c r="E860" s="547" t="n">
        <v>40</v>
      </c>
      <c r="F860" s="912" t="n">
        <v>40</v>
      </c>
      <c r="G860" s="912"/>
      <c r="H860" s="912"/>
      <c r="I860" s="912" t="n">
        <v>30</v>
      </c>
      <c r="J860" s="679"/>
      <c r="K860" s="679"/>
    </row>
    <row r="861" customFormat="false" ht="15" hidden="false" customHeight="false" outlineLevel="0" collapsed="false">
      <c r="A861" s="28" t="s">
        <v>1436</v>
      </c>
      <c r="B861" s="80" t="s">
        <v>3441</v>
      </c>
      <c r="C861" s="912" t="n">
        <v>1</v>
      </c>
      <c r="D861" s="547" t="n">
        <f aca="false">E861+F861+G861+H861</f>
        <v>80</v>
      </c>
      <c r="E861" s="547" t="n">
        <v>40</v>
      </c>
      <c r="F861" s="912" t="n">
        <v>40</v>
      </c>
      <c r="G861" s="912"/>
      <c r="H861" s="912"/>
      <c r="I861" s="912" t="n">
        <v>30</v>
      </c>
      <c r="J861" s="679"/>
      <c r="K861" s="679"/>
    </row>
    <row r="862" customFormat="false" ht="15" hidden="false" customHeight="false" outlineLevel="0" collapsed="false">
      <c r="A862" s="28" t="s">
        <v>1437</v>
      </c>
      <c r="B862" s="80" t="s">
        <v>3446</v>
      </c>
      <c r="C862" s="912" t="n">
        <v>1</v>
      </c>
      <c r="D862" s="547" t="n">
        <f aca="false">E862+F862+G862+H862</f>
        <v>80</v>
      </c>
      <c r="E862" s="547" t="n">
        <v>40</v>
      </c>
      <c r="F862" s="912" t="n">
        <v>40</v>
      </c>
      <c r="G862" s="912"/>
      <c r="H862" s="912"/>
      <c r="I862" s="912" t="n">
        <v>30</v>
      </c>
      <c r="J862" s="679"/>
      <c r="K862" s="679"/>
    </row>
    <row r="863" customFormat="false" ht="15" hidden="false" customHeight="false" outlineLevel="0" collapsed="false">
      <c r="A863" s="28" t="s">
        <v>1438</v>
      </c>
      <c r="B863" s="80" t="s">
        <v>3447</v>
      </c>
      <c r="C863" s="912" t="n">
        <v>1</v>
      </c>
      <c r="D863" s="547" t="n">
        <f aca="false">E863+F863+G863+H863</f>
        <v>80</v>
      </c>
      <c r="E863" s="547" t="n">
        <v>40</v>
      </c>
      <c r="F863" s="912" t="n">
        <v>40</v>
      </c>
      <c r="G863" s="912"/>
      <c r="H863" s="912"/>
      <c r="I863" s="912" t="n">
        <v>30</v>
      </c>
      <c r="J863" s="679"/>
      <c r="K863" s="679"/>
    </row>
    <row r="864" customFormat="false" ht="15" hidden="false" customHeight="false" outlineLevel="0" collapsed="false">
      <c r="A864" s="28" t="s">
        <v>1439</v>
      </c>
      <c r="B864" s="80" t="s">
        <v>3452</v>
      </c>
      <c r="C864" s="912" t="n">
        <v>1</v>
      </c>
      <c r="D864" s="547" t="n">
        <f aca="false">E864+F864+G864+H864</f>
        <v>80</v>
      </c>
      <c r="E864" s="547" t="n">
        <v>40</v>
      </c>
      <c r="F864" s="912" t="n">
        <v>40</v>
      </c>
      <c r="G864" s="912"/>
      <c r="H864" s="912"/>
      <c r="I864" s="912" t="n">
        <v>30</v>
      </c>
      <c r="J864" s="679"/>
      <c r="K864" s="679"/>
    </row>
    <row r="865" customFormat="false" ht="15" hidden="false" customHeight="false" outlineLevel="0" collapsed="false">
      <c r="A865" s="28" t="s">
        <v>1440</v>
      </c>
      <c r="B865" s="80" t="s">
        <v>3453</v>
      </c>
      <c r="C865" s="912" t="n">
        <v>1</v>
      </c>
      <c r="D865" s="547" t="n">
        <f aca="false">E865+F865+G865+H865</f>
        <v>80</v>
      </c>
      <c r="E865" s="547" t="n">
        <v>40</v>
      </c>
      <c r="F865" s="912" t="n">
        <v>40</v>
      </c>
      <c r="G865" s="912"/>
      <c r="H865" s="912"/>
      <c r="I865" s="912" t="n">
        <v>30</v>
      </c>
      <c r="J865" s="679"/>
      <c r="K865" s="679"/>
    </row>
    <row r="866" customFormat="false" ht="15" hidden="false" customHeight="false" outlineLevel="0" collapsed="false">
      <c r="A866" s="28" t="s">
        <v>1441</v>
      </c>
      <c r="B866" s="80" t="s">
        <v>3477</v>
      </c>
      <c r="C866" s="912" t="n">
        <v>1</v>
      </c>
      <c r="D866" s="547" t="n">
        <f aca="false">E866+F866+G866+H866</f>
        <v>80</v>
      </c>
      <c r="E866" s="547" t="n">
        <v>40</v>
      </c>
      <c r="F866" s="912" t="n">
        <v>40</v>
      </c>
      <c r="G866" s="912"/>
      <c r="H866" s="912"/>
      <c r="I866" s="912" t="n">
        <v>30</v>
      </c>
      <c r="J866" s="679"/>
      <c r="K866" s="679"/>
    </row>
    <row r="867" customFormat="false" ht="15" hidden="false" customHeight="false" outlineLevel="0" collapsed="false">
      <c r="A867" s="28" t="s">
        <v>1443</v>
      </c>
      <c r="B867" s="80" t="s">
        <v>3478</v>
      </c>
      <c r="C867" s="912" t="n">
        <v>1</v>
      </c>
      <c r="D867" s="547" t="n">
        <f aca="false">E867+F867+G867+H867</f>
        <v>80</v>
      </c>
      <c r="E867" s="547" t="n">
        <v>40</v>
      </c>
      <c r="F867" s="912" t="n">
        <v>40</v>
      </c>
      <c r="G867" s="912"/>
      <c r="H867" s="912"/>
      <c r="I867" s="912" t="n">
        <v>30</v>
      </c>
      <c r="J867" s="679"/>
      <c r="K867" s="679"/>
    </row>
    <row r="868" customFormat="false" ht="15" hidden="false" customHeight="false" outlineLevel="0" collapsed="false">
      <c r="A868" s="28" t="s">
        <v>1444</v>
      </c>
      <c r="B868" s="80" t="s">
        <v>3479</v>
      </c>
      <c r="C868" s="912" t="n">
        <v>1</v>
      </c>
      <c r="D868" s="547" t="n">
        <f aca="false">E868+F868+G868+H868</f>
        <v>80</v>
      </c>
      <c r="E868" s="547" t="n">
        <v>40</v>
      </c>
      <c r="F868" s="912" t="n">
        <v>40</v>
      </c>
      <c r="G868" s="912"/>
      <c r="H868" s="912"/>
      <c r="I868" s="912" t="n">
        <v>30</v>
      </c>
      <c r="J868" s="679"/>
      <c r="K868" s="679"/>
    </row>
    <row r="869" customFormat="false" ht="15" hidden="false" customHeight="false" outlineLevel="0" collapsed="false">
      <c r="A869" s="28" t="s">
        <v>1445</v>
      </c>
      <c r="B869" s="80" t="s">
        <v>3480</v>
      </c>
      <c r="C869" s="912" t="n">
        <v>1</v>
      </c>
      <c r="D869" s="547" t="n">
        <f aca="false">E869+F869+G869+H869</f>
        <v>80</v>
      </c>
      <c r="E869" s="547" t="n">
        <v>40</v>
      </c>
      <c r="F869" s="912" t="n">
        <v>40</v>
      </c>
      <c r="G869" s="912"/>
      <c r="H869" s="912"/>
      <c r="I869" s="912" t="n">
        <v>30</v>
      </c>
      <c r="J869" s="679"/>
      <c r="K869" s="679"/>
    </row>
    <row r="870" customFormat="false" ht="15" hidden="false" customHeight="false" outlineLevel="0" collapsed="false">
      <c r="A870" s="28" t="s">
        <v>1446</v>
      </c>
      <c r="B870" s="80" t="s">
        <v>3432</v>
      </c>
      <c r="C870" s="912" t="n">
        <v>1</v>
      </c>
      <c r="D870" s="547" t="n">
        <f aca="false">E870+F870+G870+H870</f>
        <v>60</v>
      </c>
      <c r="E870" s="547" t="n">
        <v>30</v>
      </c>
      <c r="F870" s="912" t="n">
        <v>30</v>
      </c>
      <c r="G870" s="912"/>
      <c r="H870" s="912"/>
      <c r="I870" s="912" t="n">
        <v>30</v>
      </c>
      <c r="J870" s="679"/>
      <c r="K870" s="679"/>
    </row>
    <row r="871" customFormat="false" ht="15" hidden="false" customHeight="false" outlineLevel="0" collapsed="false">
      <c r="A871" s="28" t="s">
        <v>1447</v>
      </c>
      <c r="B871" s="80" t="s">
        <v>3149</v>
      </c>
      <c r="C871" s="912" t="n">
        <v>1</v>
      </c>
      <c r="D871" s="547" t="n">
        <f aca="false">E871+F871+G871+H871</f>
        <v>80</v>
      </c>
      <c r="E871" s="547" t="n">
        <v>40</v>
      </c>
      <c r="F871" s="912" t="n">
        <v>40</v>
      </c>
      <c r="G871" s="912"/>
      <c r="H871" s="912"/>
      <c r="I871" s="912" t="n">
        <v>30</v>
      </c>
      <c r="J871" s="679"/>
      <c r="K871" s="679"/>
    </row>
    <row r="872" customFormat="false" ht="15" hidden="false" customHeight="false" outlineLevel="0" collapsed="false">
      <c r="A872" s="28" t="s">
        <v>1448</v>
      </c>
      <c r="B872" s="80" t="s">
        <v>3461</v>
      </c>
      <c r="C872" s="912" t="n">
        <v>1</v>
      </c>
      <c r="D872" s="547" t="n">
        <f aca="false">E872+F872+G872+H872</f>
        <v>60</v>
      </c>
      <c r="E872" s="547" t="n">
        <v>30</v>
      </c>
      <c r="F872" s="912" t="n">
        <v>30</v>
      </c>
      <c r="G872" s="912"/>
      <c r="H872" s="912"/>
      <c r="I872" s="912" t="n">
        <v>30</v>
      </c>
      <c r="J872" s="679"/>
      <c r="K872" s="679"/>
    </row>
    <row r="873" customFormat="false" ht="15" hidden="false" customHeight="false" outlineLevel="0" collapsed="false">
      <c r="A873" s="28" t="s">
        <v>1449</v>
      </c>
      <c r="B873" s="80" t="s">
        <v>3462</v>
      </c>
      <c r="C873" s="912" t="n">
        <v>1</v>
      </c>
      <c r="D873" s="547" t="n">
        <f aca="false">E873+F873+G873+H873</f>
        <v>80</v>
      </c>
      <c r="E873" s="547" t="n">
        <v>40</v>
      </c>
      <c r="F873" s="912" t="n">
        <v>40</v>
      </c>
      <c r="G873" s="912"/>
      <c r="H873" s="912"/>
      <c r="I873" s="912" t="n">
        <v>30</v>
      </c>
      <c r="J873" s="679"/>
      <c r="K873" s="679"/>
    </row>
    <row r="874" customFormat="false" ht="15" hidden="false" customHeight="false" outlineLevel="0" collapsed="false">
      <c r="A874" s="28" t="s">
        <v>1450</v>
      </c>
      <c r="B874" s="80" t="s">
        <v>3463</v>
      </c>
      <c r="C874" s="912" t="n">
        <v>1</v>
      </c>
      <c r="D874" s="547" t="n">
        <f aca="false">E874+F874+G874+H874</f>
        <v>60</v>
      </c>
      <c r="E874" s="547" t="n">
        <v>30</v>
      </c>
      <c r="F874" s="912" t="n">
        <v>30</v>
      </c>
      <c r="G874" s="912"/>
      <c r="H874" s="912"/>
      <c r="I874" s="912" t="n">
        <v>30</v>
      </c>
      <c r="J874" s="679"/>
      <c r="K874" s="679"/>
    </row>
    <row r="875" customFormat="false" ht="30" hidden="false" customHeight="false" outlineLevel="0" collapsed="false">
      <c r="A875" s="28" t="s">
        <v>1451</v>
      </c>
      <c r="B875" s="80" t="s">
        <v>3466</v>
      </c>
      <c r="C875" s="912" t="n">
        <v>1</v>
      </c>
      <c r="D875" s="547" t="n">
        <f aca="false">E875+F875+G875+H875</f>
        <v>80</v>
      </c>
      <c r="E875" s="547" t="n">
        <v>40</v>
      </c>
      <c r="F875" s="912" t="n">
        <v>40</v>
      </c>
      <c r="G875" s="912"/>
      <c r="H875" s="912"/>
      <c r="I875" s="912" t="n">
        <v>30</v>
      </c>
      <c r="J875" s="679"/>
      <c r="K875" s="679"/>
    </row>
    <row r="876" customFormat="false" ht="15" hidden="false" customHeight="false" outlineLevel="0" collapsed="false">
      <c r="A876" s="28" t="s">
        <v>1452</v>
      </c>
      <c r="B876" s="81" t="s">
        <v>3481</v>
      </c>
      <c r="C876" s="912" t="n">
        <v>1</v>
      </c>
      <c r="D876" s="547" t="n">
        <f aca="false">E876+F876+G876+H876</f>
        <v>110</v>
      </c>
      <c r="E876" s="547" t="n">
        <v>50</v>
      </c>
      <c r="F876" s="912" t="n">
        <v>60</v>
      </c>
      <c r="G876" s="912"/>
      <c r="H876" s="912"/>
      <c r="I876" s="912" t="n">
        <v>30</v>
      </c>
      <c r="J876" s="679"/>
      <c r="K876" s="679"/>
    </row>
    <row r="877" customFormat="false" ht="15" hidden="false" customHeight="false" outlineLevel="0" collapsed="false">
      <c r="A877" s="28" t="s">
        <v>1454</v>
      </c>
      <c r="B877" s="81" t="s">
        <v>3482</v>
      </c>
      <c r="C877" s="912" t="n">
        <v>1</v>
      </c>
      <c r="D877" s="547" t="n">
        <f aca="false">E877+F877+G877+H877</f>
        <v>80</v>
      </c>
      <c r="E877" s="547" t="n">
        <v>40</v>
      </c>
      <c r="F877" s="912" t="n">
        <v>40</v>
      </c>
      <c r="G877" s="912"/>
      <c r="H877" s="912"/>
      <c r="I877" s="912" t="n">
        <v>30</v>
      </c>
      <c r="J877" s="679"/>
      <c r="K877" s="679"/>
    </row>
    <row r="878" customFormat="false" ht="15" hidden="false" customHeight="false" outlineLevel="0" collapsed="false">
      <c r="A878" s="28" t="s">
        <v>1455</v>
      </c>
      <c r="B878" s="81" t="s">
        <v>3483</v>
      </c>
      <c r="C878" s="912" t="n">
        <v>1</v>
      </c>
      <c r="D878" s="547" t="n">
        <f aca="false">E878+F878+G878+H878</f>
        <v>80</v>
      </c>
      <c r="E878" s="547" t="n">
        <v>40</v>
      </c>
      <c r="F878" s="912" t="n">
        <v>40</v>
      </c>
      <c r="G878" s="912"/>
      <c r="H878" s="912"/>
      <c r="I878" s="912" t="n">
        <v>30</v>
      </c>
      <c r="J878" s="679"/>
      <c r="K878" s="679"/>
    </row>
    <row r="879" customFormat="false" ht="15" hidden="false" customHeight="false" outlineLevel="0" collapsed="false">
      <c r="A879" s="28" t="s">
        <v>1456</v>
      </c>
      <c r="B879" s="81" t="s">
        <v>3484</v>
      </c>
      <c r="C879" s="912" t="n">
        <v>1</v>
      </c>
      <c r="D879" s="547" t="n">
        <f aca="false">E879+F879+G879+H879</f>
        <v>80</v>
      </c>
      <c r="E879" s="547" t="n">
        <v>40</v>
      </c>
      <c r="F879" s="912" t="n">
        <v>40</v>
      </c>
      <c r="G879" s="912"/>
      <c r="H879" s="912"/>
      <c r="I879" s="912" t="n">
        <v>30</v>
      </c>
      <c r="J879" s="679"/>
      <c r="K879" s="679"/>
    </row>
    <row r="880" customFormat="false" ht="15" hidden="false" customHeight="false" outlineLevel="0" collapsed="false">
      <c r="A880" s="28" t="s">
        <v>1458</v>
      </c>
      <c r="B880" s="81" t="s">
        <v>3485</v>
      </c>
      <c r="C880" s="912" t="n">
        <v>1</v>
      </c>
      <c r="D880" s="547" t="n">
        <f aca="false">E880+F880+G880+H880</f>
        <v>80</v>
      </c>
      <c r="E880" s="547" t="n">
        <v>40</v>
      </c>
      <c r="F880" s="912" t="n">
        <v>40</v>
      </c>
      <c r="G880" s="912"/>
      <c r="H880" s="912"/>
      <c r="I880" s="912" t="n">
        <v>30</v>
      </c>
      <c r="J880" s="679"/>
      <c r="K880" s="679"/>
    </row>
    <row r="881" customFormat="false" ht="15" hidden="false" customHeight="false" outlineLevel="0" collapsed="false">
      <c r="A881" s="28" t="s">
        <v>1459</v>
      </c>
      <c r="B881" s="81" t="s">
        <v>3486</v>
      </c>
      <c r="C881" s="912" t="n">
        <v>1</v>
      </c>
      <c r="D881" s="547" t="n">
        <f aca="false">E881+F881+G881+H881</f>
        <v>100</v>
      </c>
      <c r="E881" s="547" t="n">
        <v>50</v>
      </c>
      <c r="F881" s="912" t="n">
        <v>50</v>
      </c>
      <c r="G881" s="912"/>
      <c r="H881" s="912"/>
      <c r="I881" s="912" t="n">
        <v>30</v>
      </c>
      <c r="J881" s="679"/>
      <c r="K881" s="679"/>
    </row>
    <row r="882" customFormat="false" ht="15" hidden="false" customHeight="false" outlineLevel="0" collapsed="false">
      <c r="A882" s="28" t="s">
        <v>1461</v>
      </c>
      <c r="B882" s="81" t="s">
        <v>3487</v>
      </c>
      <c r="C882" s="912" t="n">
        <v>1</v>
      </c>
      <c r="D882" s="547" t="n">
        <f aca="false">E882+F882+G882+H882</f>
        <v>140</v>
      </c>
      <c r="E882" s="547" t="n">
        <v>120</v>
      </c>
      <c r="F882" s="912" t="n">
        <v>20</v>
      </c>
      <c r="G882" s="912"/>
      <c r="H882" s="912"/>
      <c r="I882" s="912" t="n">
        <v>30</v>
      </c>
      <c r="J882" s="679"/>
      <c r="K882" s="679"/>
    </row>
    <row r="883" customFormat="false" ht="15" hidden="false" customHeight="false" outlineLevel="0" collapsed="false">
      <c r="A883" s="28" t="s">
        <v>1463</v>
      </c>
      <c r="B883" s="81" t="s">
        <v>3488</v>
      </c>
      <c r="C883" s="912" t="n">
        <v>1</v>
      </c>
      <c r="D883" s="547" t="n">
        <f aca="false">E883+F883+G883+H883</f>
        <v>60</v>
      </c>
      <c r="E883" s="547" t="n">
        <v>35</v>
      </c>
      <c r="F883" s="912" t="n">
        <v>25</v>
      </c>
      <c r="G883" s="912"/>
      <c r="H883" s="912"/>
      <c r="I883" s="912" t="n">
        <v>30</v>
      </c>
      <c r="J883" s="679"/>
      <c r="K883" s="679"/>
    </row>
    <row r="884" customFormat="false" ht="15" hidden="false" customHeight="false" outlineLevel="0" collapsed="false">
      <c r="A884" s="28" t="s">
        <v>1465</v>
      </c>
      <c r="B884" s="82" t="s">
        <v>3489</v>
      </c>
      <c r="C884" s="912" t="n">
        <v>1</v>
      </c>
      <c r="D884" s="547" t="n">
        <f aca="false">E884+F884+G884+H884</f>
        <v>740</v>
      </c>
      <c r="E884" s="547" t="n">
        <v>535</v>
      </c>
      <c r="F884" s="912" t="n">
        <v>205</v>
      </c>
      <c r="G884" s="912"/>
      <c r="H884" s="912"/>
      <c r="I884" s="912" t="n">
        <v>30</v>
      </c>
      <c r="J884" s="679"/>
      <c r="K884" s="679"/>
    </row>
    <row r="885" customFormat="false" ht="15" hidden="false" customHeight="false" outlineLevel="0" collapsed="false">
      <c r="A885" s="28" t="s">
        <v>1467</v>
      </c>
      <c r="B885" s="82" t="s">
        <v>3490</v>
      </c>
      <c r="C885" s="912" t="n">
        <v>1</v>
      </c>
      <c r="D885" s="547" t="n">
        <f aca="false">E885+F885+G885+H885</f>
        <v>740</v>
      </c>
      <c r="E885" s="547" t="n">
        <v>535</v>
      </c>
      <c r="F885" s="912" t="n">
        <v>205</v>
      </c>
      <c r="G885" s="912"/>
      <c r="H885" s="912"/>
      <c r="I885" s="912" t="n">
        <v>120</v>
      </c>
      <c r="J885" s="679"/>
      <c r="K885" s="679"/>
    </row>
    <row r="886" customFormat="false" ht="15" hidden="false" customHeight="false" outlineLevel="0" collapsed="false">
      <c r="A886" s="28" t="s">
        <v>1469</v>
      </c>
      <c r="B886" s="81" t="s">
        <v>3491</v>
      </c>
      <c r="C886" s="912" t="n">
        <v>1</v>
      </c>
      <c r="D886" s="1673" t="n">
        <f aca="false">E886+F886+G886+H886</f>
        <v>740</v>
      </c>
      <c r="E886" s="1673" t="n">
        <v>535</v>
      </c>
      <c r="F886" s="1674" t="n">
        <v>205</v>
      </c>
      <c r="G886" s="1674"/>
      <c r="H886" s="1674"/>
      <c r="I886" s="1674" t="n">
        <v>30</v>
      </c>
      <c r="J886" s="772"/>
      <c r="K886" s="772"/>
    </row>
    <row r="887" customFormat="false" ht="36.75" hidden="false" customHeight="true" outlineLevel="0" collapsed="false">
      <c r="A887" s="15" t="s">
        <v>1471</v>
      </c>
      <c r="B887" s="54" t="s">
        <v>3492</v>
      </c>
      <c r="C887" s="339"/>
      <c r="D887" s="712"/>
      <c r="E887" s="751"/>
      <c r="F887" s="339"/>
      <c r="G887" s="339"/>
      <c r="H887" s="339"/>
      <c r="I887" s="339"/>
      <c r="J887" s="600"/>
      <c r="K887" s="600"/>
    </row>
    <row r="888" customFormat="false" ht="30" hidden="false" customHeight="false" outlineLevel="0" collapsed="false">
      <c r="A888" s="28" t="s">
        <v>1473</v>
      </c>
      <c r="B888" s="80" t="s">
        <v>3493</v>
      </c>
      <c r="C888" s="912" t="n">
        <v>1</v>
      </c>
      <c r="D888" s="1427" t="n">
        <f aca="false">E888+F888+G888+H888</f>
        <v>40</v>
      </c>
      <c r="E888" s="1427" t="n">
        <v>25</v>
      </c>
      <c r="F888" s="1675" t="n">
        <v>15</v>
      </c>
      <c r="G888" s="1675"/>
      <c r="H888" s="1675"/>
      <c r="I888" s="1675" t="n">
        <v>30</v>
      </c>
      <c r="J888" s="1676"/>
      <c r="K888" s="1676"/>
    </row>
    <row r="889" customFormat="false" ht="15" hidden="false" customHeight="false" outlineLevel="0" collapsed="false">
      <c r="A889" s="28" t="s">
        <v>1475</v>
      </c>
      <c r="B889" s="80" t="s">
        <v>3494</v>
      </c>
      <c r="C889" s="912" t="n">
        <v>1</v>
      </c>
      <c r="D889" s="547" t="n">
        <f aca="false">E889+F889+G889+H889</f>
        <v>45</v>
      </c>
      <c r="E889" s="547" t="n">
        <v>20</v>
      </c>
      <c r="F889" s="912" t="n">
        <v>25</v>
      </c>
      <c r="G889" s="912"/>
      <c r="H889" s="912"/>
      <c r="I889" s="912" t="n">
        <v>30</v>
      </c>
      <c r="J889" s="679"/>
      <c r="K889" s="679"/>
    </row>
    <row r="890" customFormat="false" ht="15" hidden="false" customHeight="false" outlineLevel="0" collapsed="false">
      <c r="A890" s="28" t="s">
        <v>1476</v>
      </c>
      <c r="B890" s="80" t="s">
        <v>3495</v>
      </c>
      <c r="C890" s="912" t="n">
        <v>1</v>
      </c>
      <c r="D890" s="547" t="n">
        <f aca="false">E890+F890+G890+H890</f>
        <v>45</v>
      </c>
      <c r="E890" s="547" t="n">
        <v>20</v>
      </c>
      <c r="F890" s="912" t="n">
        <v>25</v>
      </c>
      <c r="G890" s="912"/>
      <c r="H890" s="912"/>
      <c r="I890" s="912" t="n">
        <v>30</v>
      </c>
      <c r="J890" s="679"/>
      <c r="K890" s="679"/>
    </row>
    <row r="891" customFormat="false" ht="15" hidden="false" customHeight="false" outlineLevel="0" collapsed="false">
      <c r="A891" s="28" t="s">
        <v>1477</v>
      </c>
      <c r="B891" s="80" t="s">
        <v>3496</v>
      </c>
      <c r="C891" s="912" t="n">
        <v>1</v>
      </c>
      <c r="D891" s="547" t="n">
        <f aca="false">E891+F891+G891+H891</f>
        <v>45</v>
      </c>
      <c r="E891" s="547" t="n">
        <v>20</v>
      </c>
      <c r="F891" s="912" t="n">
        <v>25</v>
      </c>
      <c r="G891" s="912"/>
      <c r="H891" s="912"/>
      <c r="I891" s="912" t="n">
        <v>30</v>
      </c>
      <c r="J891" s="679"/>
      <c r="K891" s="679"/>
    </row>
    <row r="892" customFormat="false" ht="15" hidden="false" customHeight="false" outlineLevel="0" collapsed="false">
      <c r="A892" s="28" t="s">
        <v>1478</v>
      </c>
      <c r="B892" s="80" t="s">
        <v>3497</v>
      </c>
      <c r="C892" s="912" t="n">
        <v>1</v>
      </c>
      <c r="D892" s="547" t="n">
        <f aca="false">E892+F892+G892+H892</f>
        <v>60</v>
      </c>
      <c r="E892" s="547" t="n">
        <v>35</v>
      </c>
      <c r="F892" s="912" t="n">
        <v>25</v>
      </c>
      <c r="G892" s="912"/>
      <c r="H892" s="912"/>
      <c r="I892" s="912" t="n">
        <v>30</v>
      </c>
      <c r="J892" s="679"/>
      <c r="K892" s="679"/>
    </row>
    <row r="893" customFormat="false" ht="15" hidden="false" customHeight="false" outlineLevel="0" collapsed="false">
      <c r="A893" s="28" t="s">
        <v>1479</v>
      </c>
      <c r="B893" s="80" t="s">
        <v>3498</v>
      </c>
      <c r="C893" s="912" t="n">
        <v>1</v>
      </c>
      <c r="D893" s="547" t="n">
        <f aca="false">E893+F893+G893+H893</f>
        <v>80</v>
      </c>
      <c r="E893" s="547" t="n">
        <v>40</v>
      </c>
      <c r="F893" s="912" t="n">
        <v>40</v>
      </c>
      <c r="G893" s="912"/>
      <c r="H893" s="912"/>
      <c r="I893" s="912" t="n">
        <v>30</v>
      </c>
      <c r="J893" s="679"/>
      <c r="K893" s="679"/>
    </row>
    <row r="894" customFormat="false" ht="15" hidden="false" customHeight="false" outlineLevel="0" collapsed="false">
      <c r="A894" s="28" t="s">
        <v>1480</v>
      </c>
      <c r="B894" s="80" t="s">
        <v>3499</v>
      </c>
      <c r="C894" s="912" t="n">
        <v>1</v>
      </c>
      <c r="D894" s="547" t="n">
        <f aca="false">E894+F894+G894+H894</f>
        <v>80</v>
      </c>
      <c r="E894" s="547" t="n">
        <v>40</v>
      </c>
      <c r="F894" s="912" t="n">
        <v>40</v>
      </c>
      <c r="G894" s="912"/>
      <c r="H894" s="912"/>
      <c r="I894" s="912" t="n">
        <v>30</v>
      </c>
      <c r="J894" s="679"/>
      <c r="K894" s="679"/>
    </row>
    <row r="895" customFormat="false" ht="15" hidden="false" customHeight="false" outlineLevel="0" collapsed="false">
      <c r="A895" s="28" t="s">
        <v>1481</v>
      </c>
      <c r="B895" s="80" t="s">
        <v>3500</v>
      </c>
      <c r="C895" s="912" t="n">
        <v>1</v>
      </c>
      <c r="D895" s="547" t="n">
        <f aca="false">E895+F895+G895+H895</f>
        <v>80</v>
      </c>
      <c r="E895" s="547" t="n">
        <v>40</v>
      </c>
      <c r="F895" s="912" t="n">
        <v>40</v>
      </c>
      <c r="G895" s="912"/>
      <c r="H895" s="912"/>
      <c r="I895" s="912" t="n">
        <v>30</v>
      </c>
      <c r="J895" s="679"/>
      <c r="K895" s="679"/>
    </row>
    <row r="896" customFormat="false" ht="15" hidden="false" customHeight="false" outlineLevel="0" collapsed="false">
      <c r="A896" s="28" t="s">
        <v>1482</v>
      </c>
      <c r="B896" s="80" t="s">
        <v>3501</v>
      </c>
      <c r="C896" s="912" t="n">
        <v>1</v>
      </c>
      <c r="D896" s="547" t="n">
        <f aca="false">E896+F896+G896+H896</f>
        <v>80</v>
      </c>
      <c r="E896" s="547" t="n">
        <v>40</v>
      </c>
      <c r="F896" s="912" t="n">
        <v>40</v>
      </c>
      <c r="G896" s="912"/>
      <c r="H896" s="912"/>
      <c r="I896" s="912" t="n">
        <v>30</v>
      </c>
      <c r="J896" s="679"/>
      <c r="K896" s="679"/>
    </row>
    <row r="897" customFormat="false" ht="15" hidden="false" customHeight="false" outlineLevel="0" collapsed="false">
      <c r="A897" s="28" t="s">
        <v>1483</v>
      </c>
      <c r="B897" s="80" t="s">
        <v>3431</v>
      </c>
      <c r="C897" s="912" t="n">
        <v>1</v>
      </c>
      <c r="D897" s="547" t="n">
        <f aca="false">E897+F897+G897+H897</f>
        <v>80</v>
      </c>
      <c r="E897" s="547" t="n">
        <v>40</v>
      </c>
      <c r="F897" s="912" t="n">
        <v>40</v>
      </c>
      <c r="G897" s="912"/>
      <c r="H897" s="912"/>
      <c r="I897" s="912" t="n">
        <v>30</v>
      </c>
      <c r="J897" s="679"/>
      <c r="K897" s="679"/>
    </row>
    <row r="898" customFormat="false" ht="15" hidden="false" customHeight="false" outlineLevel="0" collapsed="false">
      <c r="A898" s="28" t="s">
        <v>1484</v>
      </c>
      <c r="B898" s="80" t="s">
        <v>3199</v>
      </c>
      <c r="C898" s="912" t="n">
        <v>1</v>
      </c>
      <c r="D898" s="547" t="n">
        <f aca="false">E898+F898+G898+H898</f>
        <v>80</v>
      </c>
      <c r="E898" s="547" t="n">
        <v>40</v>
      </c>
      <c r="F898" s="912" t="n">
        <v>40</v>
      </c>
      <c r="G898" s="912"/>
      <c r="H898" s="912"/>
      <c r="I898" s="912" t="n">
        <v>30</v>
      </c>
      <c r="J898" s="679"/>
      <c r="K898" s="679"/>
    </row>
    <row r="899" customFormat="false" ht="15" hidden="false" customHeight="false" outlineLevel="0" collapsed="false">
      <c r="A899" s="28" t="s">
        <v>1485</v>
      </c>
      <c r="B899" s="80" t="s">
        <v>3502</v>
      </c>
      <c r="C899" s="912" t="n">
        <v>1</v>
      </c>
      <c r="D899" s="547" t="n">
        <f aca="false">E899+F899+G899+H899</f>
        <v>80</v>
      </c>
      <c r="E899" s="547" t="n">
        <v>40</v>
      </c>
      <c r="F899" s="912" t="n">
        <v>40</v>
      </c>
      <c r="G899" s="912"/>
      <c r="H899" s="912"/>
      <c r="I899" s="912" t="n">
        <v>30</v>
      </c>
      <c r="J899" s="679"/>
      <c r="K899" s="679"/>
    </row>
    <row r="900" customFormat="false" ht="15" hidden="false" customHeight="false" outlineLevel="0" collapsed="false">
      <c r="A900" s="28" t="s">
        <v>1486</v>
      </c>
      <c r="B900" s="80" t="s">
        <v>3433</v>
      </c>
      <c r="C900" s="912" t="n">
        <v>1</v>
      </c>
      <c r="D900" s="547" t="n">
        <f aca="false">E900+F900+G900+H900</f>
        <v>60</v>
      </c>
      <c r="E900" s="547" t="n">
        <v>30</v>
      </c>
      <c r="F900" s="912" t="n">
        <v>30</v>
      </c>
      <c r="G900" s="912"/>
      <c r="H900" s="912"/>
      <c r="I900" s="912" t="n">
        <v>30</v>
      </c>
      <c r="J900" s="679"/>
      <c r="K900" s="679"/>
    </row>
    <row r="901" customFormat="false" ht="15" hidden="false" customHeight="false" outlineLevel="0" collapsed="false">
      <c r="A901" s="28" t="s">
        <v>1487</v>
      </c>
      <c r="B901" s="80" t="s">
        <v>3434</v>
      </c>
      <c r="C901" s="912" t="n">
        <v>1</v>
      </c>
      <c r="D901" s="547" t="n">
        <f aca="false">E901+F901+G901+H901</f>
        <v>80</v>
      </c>
      <c r="E901" s="547" t="n">
        <v>40</v>
      </c>
      <c r="F901" s="912" t="n">
        <v>40</v>
      </c>
      <c r="G901" s="912"/>
      <c r="H901" s="912"/>
      <c r="I901" s="912" t="n">
        <v>30</v>
      </c>
      <c r="J901" s="679"/>
      <c r="K901" s="679"/>
    </row>
    <row r="902" customFormat="false" ht="15" hidden="false" customHeight="false" outlineLevel="0" collapsed="false">
      <c r="A902" s="28" t="s">
        <v>1488</v>
      </c>
      <c r="B902" s="80" t="s">
        <v>3435</v>
      </c>
      <c r="C902" s="912" t="n">
        <v>1</v>
      </c>
      <c r="D902" s="547" t="n">
        <f aca="false">E902+F902+G902+H902</f>
        <v>80</v>
      </c>
      <c r="E902" s="547" t="n">
        <v>40</v>
      </c>
      <c r="F902" s="912" t="n">
        <v>40</v>
      </c>
      <c r="G902" s="912"/>
      <c r="H902" s="912"/>
      <c r="I902" s="912" t="n">
        <v>30</v>
      </c>
      <c r="J902" s="679"/>
      <c r="K902" s="679"/>
    </row>
    <row r="903" customFormat="false" ht="15" hidden="false" customHeight="false" outlineLevel="0" collapsed="false">
      <c r="A903" s="28" t="s">
        <v>1489</v>
      </c>
      <c r="B903" s="80" t="s">
        <v>3436</v>
      </c>
      <c r="C903" s="912" t="n">
        <v>1</v>
      </c>
      <c r="D903" s="547" t="n">
        <f aca="false">E903+F903+G903+H903</f>
        <v>80</v>
      </c>
      <c r="E903" s="547" t="n">
        <v>40</v>
      </c>
      <c r="F903" s="912" t="n">
        <v>40</v>
      </c>
      <c r="G903" s="912"/>
      <c r="H903" s="912"/>
      <c r="I903" s="912" t="n">
        <v>30</v>
      </c>
      <c r="J903" s="679"/>
      <c r="K903" s="679"/>
    </row>
    <row r="904" customFormat="false" ht="15" hidden="false" customHeight="false" outlineLevel="0" collapsed="false">
      <c r="A904" s="28" t="s">
        <v>1490</v>
      </c>
      <c r="B904" s="80" t="s">
        <v>3437</v>
      </c>
      <c r="C904" s="912" t="n">
        <v>1</v>
      </c>
      <c r="D904" s="547" t="n">
        <f aca="false">E904+F904+G904+H904</f>
        <v>80</v>
      </c>
      <c r="E904" s="547" t="n">
        <v>40</v>
      </c>
      <c r="F904" s="912" t="n">
        <v>40</v>
      </c>
      <c r="G904" s="912"/>
      <c r="H904" s="912"/>
      <c r="I904" s="912" t="n">
        <v>30</v>
      </c>
      <c r="J904" s="679"/>
      <c r="K904" s="679"/>
    </row>
    <row r="905" customFormat="false" ht="15" hidden="false" customHeight="false" outlineLevel="0" collapsed="false">
      <c r="A905" s="28" t="s">
        <v>1491</v>
      </c>
      <c r="B905" s="80" t="s">
        <v>3438</v>
      </c>
      <c r="C905" s="912" t="n">
        <v>1</v>
      </c>
      <c r="D905" s="547" t="n">
        <f aca="false">E905+F905+G905+H905</f>
        <v>60</v>
      </c>
      <c r="E905" s="547" t="n">
        <v>30</v>
      </c>
      <c r="F905" s="912" t="n">
        <v>30</v>
      </c>
      <c r="G905" s="912"/>
      <c r="H905" s="912"/>
      <c r="I905" s="912" t="n">
        <v>30</v>
      </c>
      <c r="J905" s="679"/>
      <c r="K905" s="679"/>
    </row>
    <row r="906" customFormat="false" ht="15" hidden="false" customHeight="false" outlineLevel="0" collapsed="false">
      <c r="A906" s="28" t="s">
        <v>1492</v>
      </c>
      <c r="B906" s="80" t="s">
        <v>3503</v>
      </c>
      <c r="C906" s="912" t="n">
        <v>1</v>
      </c>
      <c r="D906" s="547" t="n">
        <f aca="false">E906+F906+G906+H906</f>
        <v>80</v>
      </c>
      <c r="E906" s="547" t="n">
        <v>40</v>
      </c>
      <c r="F906" s="912" t="n">
        <v>40</v>
      </c>
      <c r="G906" s="912"/>
      <c r="H906" s="912"/>
      <c r="I906" s="912" t="n">
        <v>30</v>
      </c>
      <c r="J906" s="679"/>
      <c r="K906" s="679"/>
    </row>
    <row r="907" customFormat="false" ht="15" hidden="false" customHeight="false" outlineLevel="0" collapsed="false">
      <c r="A907" s="28" t="s">
        <v>1493</v>
      </c>
      <c r="B907" s="80" t="s">
        <v>3504</v>
      </c>
      <c r="C907" s="912" t="n">
        <v>1</v>
      </c>
      <c r="D907" s="547" t="n">
        <f aca="false">E907+F907+G907+H907</f>
        <v>60</v>
      </c>
      <c r="E907" s="547" t="n">
        <v>30</v>
      </c>
      <c r="F907" s="912" t="n">
        <v>30</v>
      </c>
      <c r="G907" s="912"/>
      <c r="H907" s="912"/>
      <c r="I907" s="912" t="n">
        <v>30</v>
      </c>
      <c r="J907" s="679"/>
      <c r="K907" s="679"/>
    </row>
    <row r="908" customFormat="false" ht="15" hidden="false" customHeight="false" outlineLevel="0" collapsed="false">
      <c r="A908" s="28" t="s">
        <v>1494</v>
      </c>
      <c r="B908" s="80" t="s">
        <v>3440</v>
      </c>
      <c r="C908" s="912" t="n">
        <v>1</v>
      </c>
      <c r="D908" s="547" t="n">
        <f aca="false">E908+F908+G908+H908</f>
        <v>80</v>
      </c>
      <c r="E908" s="547" t="n">
        <v>40</v>
      </c>
      <c r="F908" s="912" t="n">
        <v>40</v>
      </c>
      <c r="G908" s="912"/>
      <c r="H908" s="912"/>
      <c r="I908" s="912" t="n">
        <v>30</v>
      </c>
      <c r="J908" s="679"/>
      <c r="K908" s="679"/>
    </row>
    <row r="909" customFormat="false" ht="15" hidden="false" customHeight="false" outlineLevel="0" collapsed="false">
      <c r="A909" s="28" t="s">
        <v>1495</v>
      </c>
      <c r="B909" s="80" t="s">
        <v>3505</v>
      </c>
      <c r="C909" s="912" t="n">
        <v>1</v>
      </c>
      <c r="D909" s="547" t="n">
        <f aca="false">E909+F909+G909+H909</f>
        <v>80</v>
      </c>
      <c r="E909" s="547" t="n">
        <v>40</v>
      </c>
      <c r="F909" s="912" t="n">
        <v>40</v>
      </c>
      <c r="G909" s="912"/>
      <c r="H909" s="912"/>
      <c r="I909" s="912" t="n">
        <v>30</v>
      </c>
      <c r="J909" s="679"/>
      <c r="K909" s="679"/>
    </row>
    <row r="910" customFormat="false" ht="30" hidden="false" customHeight="false" outlineLevel="0" collapsed="false">
      <c r="A910" s="28" t="s">
        <v>1496</v>
      </c>
      <c r="B910" s="80" t="s">
        <v>3466</v>
      </c>
      <c r="C910" s="912" t="n">
        <v>1</v>
      </c>
      <c r="D910" s="547" t="n">
        <f aca="false">E910+F910+G910+H910</f>
        <v>80</v>
      </c>
      <c r="E910" s="547" t="n">
        <v>40</v>
      </c>
      <c r="F910" s="912" t="n">
        <v>40</v>
      </c>
      <c r="G910" s="912"/>
      <c r="H910" s="912"/>
      <c r="I910" s="912" t="n">
        <v>30</v>
      </c>
      <c r="J910" s="679"/>
      <c r="K910" s="679"/>
    </row>
    <row r="911" customFormat="false" ht="15" hidden="false" customHeight="false" outlineLevel="0" collapsed="false">
      <c r="A911" s="28" t="s">
        <v>1497</v>
      </c>
      <c r="B911" s="80" t="s">
        <v>3506</v>
      </c>
      <c r="C911" s="912" t="n">
        <v>1</v>
      </c>
      <c r="D911" s="547" t="n">
        <f aca="false">E911+F911+G911+H911</f>
        <v>60</v>
      </c>
      <c r="E911" s="547" t="n">
        <v>30</v>
      </c>
      <c r="F911" s="912" t="n">
        <v>30</v>
      </c>
      <c r="G911" s="912"/>
      <c r="H911" s="912"/>
      <c r="I911" s="912" t="n">
        <v>30</v>
      </c>
      <c r="J911" s="679"/>
      <c r="K911" s="679"/>
    </row>
    <row r="912" customFormat="false" ht="15" hidden="false" customHeight="false" outlineLevel="0" collapsed="false">
      <c r="A912" s="28" t="s">
        <v>1498</v>
      </c>
      <c r="B912" s="80" t="s">
        <v>3457</v>
      </c>
      <c r="C912" s="912" t="n">
        <v>1</v>
      </c>
      <c r="D912" s="547" t="n">
        <f aca="false">E912+F912+G912+H912</f>
        <v>80</v>
      </c>
      <c r="E912" s="547" t="n">
        <v>40</v>
      </c>
      <c r="F912" s="912" t="n">
        <v>40</v>
      </c>
      <c r="G912" s="912"/>
      <c r="H912" s="912"/>
      <c r="I912" s="912" t="n">
        <v>30</v>
      </c>
      <c r="J912" s="679"/>
      <c r="K912" s="679"/>
    </row>
    <row r="913" customFormat="false" ht="15" hidden="false" customHeight="false" outlineLevel="0" collapsed="false">
      <c r="A913" s="28" t="s">
        <v>1499</v>
      </c>
      <c r="B913" s="80" t="s">
        <v>3507</v>
      </c>
      <c r="C913" s="912" t="n">
        <v>1</v>
      </c>
      <c r="D913" s="547" t="n">
        <f aca="false">E913+F913+G913+H913</f>
        <v>60</v>
      </c>
      <c r="E913" s="547" t="n">
        <v>30</v>
      </c>
      <c r="F913" s="912" t="n">
        <v>30</v>
      </c>
      <c r="G913" s="912"/>
      <c r="H913" s="912"/>
      <c r="I913" s="912" t="n">
        <v>30</v>
      </c>
      <c r="J913" s="679"/>
      <c r="K913" s="679"/>
    </row>
    <row r="914" customFormat="false" ht="15" hidden="false" customHeight="false" outlineLevel="0" collapsed="false">
      <c r="A914" s="28" t="s">
        <v>1500</v>
      </c>
      <c r="B914" s="80" t="s">
        <v>3508</v>
      </c>
      <c r="C914" s="912" t="n">
        <v>1</v>
      </c>
      <c r="D914" s="547" t="n">
        <f aca="false">E914+F914+G914+H914</f>
        <v>80</v>
      </c>
      <c r="E914" s="547" t="n">
        <v>40</v>
      </c>
      <c r="F914" s="912" t="n">
        <v>40</v>
      </c>
      <c r="G914" s="912"/>
      <c r="H914" s="912"/>
      <c r="I914" s="912" t="n">
        <v>30</v>
      </c>
      <c r="J914" s="679"/>
      <c r="K914" s="679"/>
    </row>
    <row r="915" customFormat="false" ht="15" hidden="false" customHeight="false" outlineLevel="0" collapsed="false">
      <c r="A915" s="28" t="s">
        <v>1501</v>
      </c>
      <c r="B915" s="80" t="s">
        <v>3509</v>
      </c>
      <c r="C915" s="912" t="n">
        <v>1</v>
      </c>
      <c r="D915" s="547" t="n">
        <f aca="false">E915+F915+G915+H915</f>
        <v>80</v>
      </c>
      <c r="E915" s="547" t="n">
        <v>40</v>
      </c>
      <c r="F915" s="912" t="n">
        <v>40</v>
      </c>
      <c r="G915" s="912"/>
      <c r="H915" s="912"/>
      <c r="I915" s="912" t="n">
        <v>30</v>
      </c>
      <c r="J915" s="679"/>
      <c r="K915" s="679"/>
    </row>
    <row r="916" customFormat="false" ht="15" hidden="false" customHeight="false" outlineLevel="0" collapsed="false">
      <c r="A916" s="28" t="s">
        <v>1502</v>
      </c>
      <c r="B916" s="80" t="s">
        <v>3460</v>
      </c>
      <c r="C916" s="912" t="n">
        <v>1</v>
      </c>
      <c r="D916" s="547" t="n">
        <f aca="false">E916+F916+G916+H916</f>
        <v>80</v>
      </c>
      <c r="E916" s="547" t="n">
        <v>40</v>
      </c>
      <c r="F916" s="912" t="n">
        <v>40</v>
      </c>
      <c r="G916" s="912"/>
      <c r="H916" s="912"/>
      <c r="I916" s="912" t="n">
        <v>30</v>
      </c>
      <c r="J916" s="679"/>
      <c r="K916" s="679"/>
    </row>
    <row r="917" customFormat="false" ht="15" hidden="false" customHeight="false" outlineLevel="0" collapsed="false">
      <c r="A917" s="28" t="s">
        <v>1503</v>
      </c>
      <c r="B917" s="80" t="s">
        <v>3445</v>
      </c>
      <c r="C917" s="912" t="n">
        <v>1</v>
      </c>
      <c r="D917" s="547" t="n">
        <f aca="false">E917+F917+G917+H917</f>
        <v>80</v>
      </c>
      <c r="E917" s="547" t="n">
        <v>40</v>
      </c>
      <c r="F917" s="912" t="n">
        <v>40</v>
      </c>
      <c r="G917" s="912"/>
      <c r="H917" s="912"/>
      <c r="I917" s="912" t="n">
        <v>30</v>
      </c>
      <c r="J917" s="679"/>
      <c r="K917" s="679"/>
    </row>
    <row r="918" customFormat="false" ht="15" hidden="false" customHeight="false" outlineLevel="0" collapsed="false">
      <c r="A918" s="28" t="s">
        <v>1504</v>
      </c>
      <c r="B918" s="80" t="s">
        <v>3510</v>
      </c>
      <c r="C918" s="912" t="n">
        <v>1</v>
      </c>
      <c r="D918" s="547" t="n">
        <f aca="false">E918+F918+G918+H918</f>
        <v>80</v>
      </c>
      <c r="E918" s="547" t="n">
        <v>40</v>
      </c>
      <c r="F918" s="912" t="n">
        <v>40</v>
      </c>
      <c r="G918" s="912"/>
      <c r="H918" s="912"/>
      <c r="I918" s="912" t="n">
        <v>30</v>
      </c>
      <c r="J918" s="679"/>
      <c r="K918" s="679"/>
    </row>
    <row r="919" customFormat="false" ht="15" hidden="false" customHeight="false" outlineLevel="0" collapsed="false">
      <c r="A919" s="28" t="s">
        <v>1505</v>
      </c>
      <c r="B919" s="80" t="s">
        <v>3511</v>
      </c>
      <c r="C919" s="912" t="n">
        <v>1</v>
      </c>
      <c r="D919" s="547" t="n">
        <f aca="false">E919+F919+G919+H919</f>
        <v>80</v>
      </c>
      <c r="E919" s="547" t="n">
        <v>40</v>
      </c>
      <c r="F919" s="912" t="n">
        <v>40</v>
      </c>
      <c r="G919" s="912"/>
      <c r="H919" s="912"/>
      <c r="I919" s="912" t="n">
        <v>30</v>
      </c>
      <c r="J919" s="679"/>
      <c r="K919" s="679"/>
    </row>
    <row r="920" customFormat="false" ht="15" hidden="false" customHeight="false" outlineLevel="0" collapsed="false">
      <c r="A920" s="28" t="s">
        <v>1507</v>
      </c>
      <c r="B920" s="80" t="s">
        <v>3512</v>
      </c>
      <c r="C920" s="912" t="n">
        <v>1</v>
      </c>
      <c r="D920" s="547" t="n">
        <f aca="false">E920+F920+G920+H920</f>
        <v>80</v>
      </c>
      <c r="E920" s="547" t="n">
        <v>40</v>
      </c>
      <c r="F920" s="912" t="n">
        <v>40</v>
      </c>
      <c r="G920" s="912"/>
      <c r="H920" s="912"/>
      <c r="I920" s="912" t="n">
        <v>30</v>
      </c>
      <c r="J920" s="679"/>
      <c r="K920" s="679"/>
    </row>
    <row r="921" customFormat="false" ht="15" hidden="false" customHeight="false" outlineLevel="0" collapsed="false">
      <c r="A921" s="28" t="s">
        <v>1509</v>
      </c>
      <c r="B921" s="80" t="s">
        <v>3513</v>
      </c>
      <c r="C921" s="912" t="n">
        <v>1</v>
      </c>
      <c r="D921" s="547" t="n">
        <f aca="false">E921+F921+G921+H921</f>
        <v>80</v>
      </c>
      <c r="E921" s="547" t="n">
        <v>40</v>
      </c>
      <c r="F921" s="912" t="n">
        <v>40</v>
      </c>
      <c r="G921" s="912"/>
      <c r="H921" s="912"/>
      <c r="I921" s="912" t="n">
        <v>30</v>
      </c>
      <c r="J921" s="679"/>
      <c r="K921" s="679"/>
    </row>
    <row r="922" customFormat="false" ht="15" hidden="false" customHeight="false" outlineLevel="0" collapsed="false">
      <c r="A922" s="28" t="s">
        <v>1510</v>
      </c>
      <c r="B922" s="80" t="s">
        <v>3514</v>
      </c>
      <c r="C922" s="912" t="n">
        <v>1</v>
      </c>
      <c r="D922" s="547" t="n">
        <f aca="false">E922+F922+G922+H922</f>
        <v>80</v>
      </c>
      <c r="E922" s="547" t="n">
        <v>40</v>
      </c>
      <c r="F922" s="912" t="n">
        <v>40</v>
      </c>
      <c r="G922" s="912"/>
      <c r="H922" s="912"/>
      <c r="I922" s="912" t="n">
        <v>30</v>
      </c>
      <c r="J922" s="679"/>
      <c r="K922" s="679"/>
    </row>
    <row r="923" customFormat="false" ht="15" hidden="false" customHeight="false" outlineLevel="0" collapsed="false">
      <c r="A923" s="28" t="s">
        <v>1511</v>
      </c>
      <c r="B923" s="80" t="s">
        <v>3453</v>
      </c>
      <c r="C923" s="912" t="n">
        <v>1</v>
      </c>
      <c r="D923" s="547" t="n">
        <f aca="false">E923+F923+G923+H923</f>
        <v>80</v>
      </c>
      <c r="E923" s="547" t="n">
        <v>40</v>
      </c>
      <c r="F923" s="912" t="n">
        <v>40</v>
      </c>
      <c r="G923" s="912"/>
      <c r="H923" s="912"/>
      <c r="I923" s="912" t="n">
        <v>30</v>
      </c>
      <c r="J923" s="679"/>
      <c r="K923" s="679"/>
    </row>
    <row r="924" customFormat="false" ht="15" hidden="false" customHeight="false" outlineLevel="0" collapsed="false">
      <c r="A924" s="28" t="s">
        <v>1512</v>
      </c>
      <c r="B924" s="80" t="s">
        <v>3462</v>
      </c>
      <c r="C924" s="912" t="n">
        <v>1</v>
      </c>
      <c r="D924" s="547" t="n">
        <f aca="false">E924+F924+G924+H924</f>
        <v>80</v>
      </c>
      <c r="E924" s="547" t="n">
        <v>40</v>
      </c>
      <c r="F924" s="912" t="n">
        <v>40</v>
      </c>
      <c r="G924" s="912"/>
      <c r="H924" s="912"/>
      <c r="I924" s="912" t="n">
        <v>30</v>
      </c>
      <c r="J924" s="679"/>
      <c r="K924" s="679"/>
    </row>
    <row r="925" customFormat="false" ht="15" hidden="false" customHeight="false" outlineLevel="0" collapsed="false">
      <c r="A925" s="28" t="s">
        <v>1513</v>
      </c>
      <c r="B925" s="80" t="s">
        <v>3463</v>
      </c>
      <c r="C925" s="912" t="n">
        <v>1</v>
      </c>
      <c r="D925" s="547" t="n">
        <f aca="false">E925+F925+G925+H925</f>
        <v>80</v>
      </c>
      <c r="E925" s="547" t="n">
        <v>40</v>
      </c>
      <c r="F925" s="912" t="n">
        <v>40</v>
      </c>
      <c r="G925" s="912"/>
      <c r="H925" s="912"/>
      <c r="I925" s="912" t="n">
        <v>30</v>
      </c>
      <c r="J925" s="679"/>
      <c r="K925" s="679"/>
    </row>
    <row r="926" customFormat="false" ht="15" hidden="false" customHeight="false" outlineLevel="0" collapsed="false">
      <c r="A926" s="28" t="s">
        <v>1514</v>
      </c>
      <c r="B926" s="80" t="s">
        <v>3455</v>
      </c>
      <c r="C926" s="912" t="n">
        <v>1</v>
      </c>
      <c r="D926" s="547" t="n">
        <f aca="false">E926+F926+G926+H926</f>
        <v>80</v>
      </c>
      <c r="E926" s="547" t="n">
        <v>40</v>
      </c>
      <c r="F926" s="912" t="n">
        <v>40</v>
      </c>
      <c r="G926" s="912"/>
      <c r="H926" s="912"/>
      <c r="I926" s="912" t="n">
        <v>30</v>
      </c>
      <c r="J926" s="679"/>
      <c r="K926" s="679"/>
    </row>
    <row r="927" customFormat="false" ht="15" hidden="false" customHeight="false" outlineLevel="0" collapsed="false">
      <c r="A927" s="28" t="s">
        <v>1515</v>
      </c>
      <c r="B927" s="80" t="s">
        <v>3454</v>
      </c>
      <c r="C927" s="912" t="n">
        <v>1</v>
      </c>
      <c r="D927" s="547" t="n">
        <f aca="false">E927+F927+G927+H927</f>
        <v>80</v>
      </c>
      <c r="E927" s="547" t="n">
        <v>40</v>
      </c>
      <c r="F927" s="912" t="n">
        <v>40</v>
      </c>
      <c r="G927" s="912"/>
      <c r="H927" s="912"/>
      <c r="I927" s="912" t="n">
        <v>30</v>
      </c>
      <c r="J927" s="679"/>
      <c r="K927" s="679"/>
    </row>
    <row r="928" customFormat="false" ht="15" hidden="false" customHeight="false" outlineLevel="0" collapsed="false">
      <c r="A928" s="28" t="s">
        <v>1516</v>
      </c>
      <c r="B928" s="80" t="s">
        <v>3465</v>
      </c>
      <c r="C928" s="912" t="n">
        <v>1</v>
      </c>
      <c r="D928" s="547" t="n">
        <f aca="false">E928+F928+G928+H928</f>
        <v>60</v>
      </c>
      <c r="E928" s="547" t="n">
        <v>30</v>
      </c>
      <c r="F928" s="912" t="n">
        <v>30</v>
      </c>
      <c r="G928" s="912"/>
      <c r="H928" s="912"/>
      <c r="I928" s="912" t="n">
        <v>30</v>
      </c>
      <c r="J928" s="679"/>
      <c r="K928" s="679"/>
    </row>
    <row r="929" customFormat="false" ht="60" hidden="false" customHeight="false" outlineLevel="0" collapsed="false">
      <c r="A929" s="28" t="s">
        <v>1517</v>
      </c>
      <c r="B929" s="80" t="s">
        <v>3515</v>
      </c>
      <c r="C929" s="912" t="n">
        <v>1</v>
      </c>
      <c r="D929" s="547" t="n">
        <f aca="false">E929+F929+G929+H929</f>
        <v>60</v>
      </c>
      <c r="E929" s="547" t="n">
        <v>35</v>
      </c>
      <c r="F929" s="912" t="n">
        <v>25</v>
      </c>
      <c r="G929" s="912"/>
      <c r="H929" s="912"/>
      <c r="I929" s="912"/>
      <c r="J929" s="679"/>
      <c r="K929" s="679"/>
    </row>
    <row r="930" customFormat="false" ht="15" hidden="false" customHeight="false" outlineLevel="0" collapsed="false">
      <c r="A930" s="28" t="s">
        <v>1519</v>
      </c>
      <c r="B930" s="81" t="s">
        <v>3486</v>
      </c>
      <c r="C930" s="912" t="n">
        <v>1</v>
      </c>
      <c r="D930" s="547" t="n">
        <f aca="false">E930+F930+G930+H930</f>
        <v>80</v>
      </c>
      <c r="E930" s="547" t="n">
        <v>40</v>
      </c>
      <c r="F930" s="912" t="n">
        <v>40</v>
      </c>
      <c r="G930" s="912"/>
      <c r="H930" s="912"/>
      <c r="I930" s="912"/>
      <c r="J930" s="679"/>
      <c r="K930" s="679"/>
    </row>
    <row r="931" customFormat="false" ht="15" hidden="false" customHeight="false" outlineLevel="0" collapsed="false">
      <c r="A931" s="28" t="s">
        <v>1521</v>
      </c>
      <c r="B931" s="81" t="s">
        <v>3516</v>
      </c>
      <c r="C931" s="912" t="n">
        <v>1</v>
      </c>
      <c r="D931" s="1673" t="n">
        <f aca="false">E931+F931+G931+H931</f>
        <v>260</v>
      </c>
      <c r="E931" s="1673" t="n">
        <v>130</v>
      </c>
      <c r="F931" s="1674" t="n">
        <v>130</v>
      </c>
      <c r="G931" s="1674"/>
      <c r="H931" s="1674"/>
      <c r="I931" s="1674" t="n">
        <v>160</v>
      </c>
      <c r="J931" s="772"/>
      <c r="K931" s="772"/>
    </row>
    <row r="932" customFormat="false" ht="39" hidden="false" customHeight="true" outlineLevel="0" collapsed="false">
      <c r="A932" s="15" t="s">
        <v>1523</v>
      </c>
      <c r="B932" s="16" t="s">
        <v>3517</v>
      </c>
      <c r="C932" s="339"/>
      <c r="D932" s="712"/>
      <c r="E932" s="751"/>
      <c r="F932" s="339"/>
      <c r="G932" s="339"/>
      <c r="H932" s="339"/>
      <c r="I932" s="339"/>
      <c r="J932" s="600"/>
      <c r="K932" s="600"/>
    </row>
    <row r="933" customFormat="false" ht="30" hidden="false" customHeight="false" outlineLevel="0" collapsed="false">
      <c r="A933" s="28" t="s">
        <v>1525</v>
      </c>
      <c r="B933" s="80" t="s">
        <v>3518</v>
      </c>
      <c r="C933" s="912" t="n">
        <v>1</v>
      </c>
      <c r="D933" s="1427" t="n">
        <f aca="false">E933+F933+G933+H933</f>
        <v>45</v>
      </c>
      <c r="E933" s="1427" t="n">
        <v>20</v>
      </c>
      <c r="F933" s="1675" t="n">
        <v>25</v>
      </c>
      <c r="G933" s="1675"/>
      <c r="H933" s="1675"/>
      <c r="I933" s="1675" t="n">
        <v>30</v>
      </c>
      <c r="J933" s="1676"/>
      <c r="K933" s="1676"/>
    </row>
    <row r="934" customFormat="false" ht="15" hidden="false" customHeight="false" outlineLevel="0" collapsed="false">
      <c r="A934" s="28" t="s">
        <v>1527</v>
      </c>
      <c r="B934" s="80" t="s">
        <v>3139</v>
      </c>
      <c r="C934" s="912" t="n">
        <v>1</v>
      </c>
      <c r="D934" s="547" t="n">
        <f aca="false">E934+F934+G934+H934</f>
        <v>40</v>
      </c>
      <c r="E934" s="547" t="n">
        <v>25</v>
      </c>
      <c r="F934" s="912" t="n">
        <v>15</v>
      </c>
      <c r="G934" s="912"/>
      <c r="H934" s="912"/>
      <c r="I934" s="912" t="n">
        <v>30</v>
      </c>
      <c r="J934" s="679"/>
      <c r="K934" s="679"/>
    </row>
    <row r="935" customFormat="false" ht="15" hidden="false" customHeight="false" outlineLevel="0" collapsed="false">
      <c r="A935" s="28" t="s">
        <v>1528</v>
      </c>
      <c r="B935" s="80" t="s">
        <v>2964</v>
      </c>
      <c r="C935" s="912" t="n">
        <v>1</v>
      </c>
      <c r="D935" s="547" t="n">
        <f aca="false">E935+F935+G935+H935</f>
        <v>55</v>
      </c>
      <c r="E935" s="547" t="n">
        <v>20</v>
      </c>
      <c r="F935" s="912" t="n">
        <v>35</v>
      </c>
      <c r="G935" s="912"/>
      <c r="H935" s="912"/>
      <c r="I935" s="912" t="n">
        <v>30</v>
      </c>
      <c r="J935" s="679"/>
      <c r="K935" s="679"/>
    </row>
    <row r="936" customFormat="false" ht="30" hidden="false" customHeight="false" outlineLevel="0" collapsed="false">
      <c r="A936" s="28" t="s">
        <v>1529</v>
      </c>
      <c r="B936" s="80" t="s">
        <v>3519</v>
      </c>
      <c r="C936" s="912" t="n">
        <v>1</v>
      </c>
      <c r="D936" s="547" t="n">
        <f aca="false">E936+F936+G936+H936</f>
        <v>80</v>
      </c>
      <c r="E936" s="547" t="n">
        <v>40</v>
      </c>
      <c r="F936" s="912" t="n">
        <v>40</v>
      </c>
      <c r="G936" s="912"/>
      <c r="H936" s="912"/>
      <c r="I936" s="912" t="n">
        <v>30</v>
      </c>
      <c r="J936" s="679"/>
      <c r="K936" s="679"/>
    </row>
    <row r="937" customFormat="false" ht="30" hidden="false" customHeight="false" outlineLevel="0" collapsed="false">
      <c r="A937" s="28" t="s">
        <v>1531</v>
      </c>
      <c r="B937" s="80" t="s">
        <v>3520</v>
      </c>
      <c r="C937" s="912" t="n">
        <v>1</v>
      </c>
      <c r="D937" s="547" t="n">
        <f aca="false">E937+F937+G937+H937</f>
        <v>80</v>
      </c>
      <c r="E937" s="547" t="n">
        <v>40</v>
      </c>
      <c r="F937" s="912" t="n">
        <v>40</v>
      </c>
      <c r="G937" s="912"/>
      <c r="H937" s="912"/>
      <c r="I937" s="912" t="n">
        <v>30</v>
      </c>
      <c r="J937" s="679"/>
      <c r="K937" s="679"/>
    </row>
    <row r="938" customFormat="false" ht="15" hidden="false" customHeight="false" outlineLevel="0" collapsed="false">
      <c r="A938" s="28" t="s">
        <v>1533</v>
      </c>
      <c r="B938" s="81" t="s">
        <v>3129</v>
      </c>
      <c r="C938" s="912" t="n">
        <v>1</v>
      </c>
      <c r="D938" s="547" t="n">
        <f aca="false">E938+F938+G938+H938</f>
        <v>120</v>
      </c>
      <c r="E938" s="547" t="n">
        <v>50</v>
      </c>
      <c r="F938" s="912" t="n">
        <v>70</v>
      </c>
      <c r="G938" s="912"/>
      <c r="H938" s="912"/>
      <c r="I938" s="912" t="n">
        <v>30</v>
      </c>
      <c r="J938" s="679"/>
      <c r="K938" s="679"/>
    </row>
    <row r="939" customFormat="false" ht="15" hidden="false" customHeight="false" outlineLevel="0" collapsed="false">
      <c r="A939" s="28" t="s">
        <v>1534</v>
      </c>
      <c r="B939" s="81" t="s">
        <v>3521</v>
      </c>
      <c r="C939" s="912" t="n">
        <v>1</v>
      </c>
      <c r="D939" s="547" t="n">
        <f aca="false">E939+F939+G939+H939</f>
        <v>120</v>
      </c>
      <c r="E939" s="547" t="n">
        <v>50</v>
      </c>
      <c r="F939" s="912" t="n">
        <v>70</v>
      </c>
      <c r="G939" s="912"/>
      <c r="H939" s="912"/>
      <c r="I939" s="912" t="n">
        <v>30</v>
      </c>
      <c r="J939" s="679"/>
      <c r="K939" s="679"/>
    </row>
    <row r="940" customFormat="false" ht="15" hidden="false" customHeight="false" outlineLevel="0" collapsed="false">
      <c r="A940" s="28" t="s">
        <v>1535</v>
      </c>
      <c r="B940" s="81" t="s">
        <v>3269</v>
      </c>
      <c r="C940" s="912" t="n">
        <v>1</v>
      </c>
      <c r="D940" s="547" t="n">
        <f aca="false">E940+F940+G940+H940</f>
        <v>120</v>
      </c>
      <c r="E940" s="547" t="n">
        <v>50</v>
      </c>
      <c r="F940" s="912" t="n">
        <v>70</v>
      </c>
      <c r="G940" s="912"/>
      <c r="H940" s="912"/>
      <c r="I940" s="912" t="n">
        <v>30</v>
      </c>
      <c r="J940" s="679"/>
      <c r="K940" s="679"/>
    </row>
    <row r="941" customFormat="false" ht="15" hidden="false" customHeight="false" outlineLevel="0" collapsed="false">
      <c r="A941" s="28" t="s">
        <v>1536</v>
      </c>
      <c r="B941" s="82" t="s">
        <v>3522</v>
      </c>
      <c r="C941" s="912" t="n">
        <v>1</v>
      </c>
      <c r="D941" s="547" t="n">
        <f aca="false">E941+F941+G941+H941</f>
        <v>80</v>
      </c>
      <c r="E941" s="547" t="n">
        <v>40</v>
      </c>
      <c r="F941" s="912" t="n">
        <v>40</v>
      </c>
      <c r="G941" s="912"/>
      <c r="H941" s="912"/>
      <c r="I941" s="912" t="n">
        <v>30</v>
      </c>
      <c r="J941" s="679"/>
      <c r="K941" s="679"/>
    </row>
    <row r="942" customFormat="false" ht="45" hidden="false" customHeight="false" outlineLevel="0" collapsed="false">
      <c r="A942" s="28" t="s">
        <v>1538</v>
      </c>
      <c r="B942" s="80" t="s">
        <v>3523</v>
      </c>
      <c r="C942" s="912" t="n">
        <v>1</v>
      </c>
      <c r="D942" s="547" t="n">
        <f aca="false">E942+F942+G942+H942</f>
        <v>740</v>
      </c>
      <c r="E942" s="547" t="n">
        <v>535</v>
      </c>
      <c r="F942" s="912" t="n">
        <v>205</v>
      </c>
      <c r="G942" s="912"/>
      <c r="H942" s="912"/>
      <c r="I942" s="912" t="n">
        <v>30</v>
      </c>
      <c r="J942" s="679"/>
      <c r="K942" s="679"/>
    </row>
    <row r="943" customFormat="false" ht="15" hidden="false" customHeight="false" outlineLevel="0" collapsed="false">
      <c r="A943" s="28" t="s">
        <v>1540</v>
      </c>
      <c r="B943" s="80" t="s">
        <v>3524</v>
      </c>
      <c r="C943" s="912" t="n">
        <v>1</v>
      </c>
      <c r="D943" s="547" t="n">
        <f aca="false">E943+F943+G943+H943</f>
        <v>60</v>
      </c>
      <c r="E943" s="547" t="n">
        <v>30</v>
      </c>
      <c r="F943" s="912" t="n">
        <v>30</v>
      </c>
      <c r="G943" s="912"/>
      <c r="H943" s="912"/>
      <c r="I943" s="912" t="n">
        <v>30</v>
      </c>
      <c r="J943" s="679"/>
      <c r="K943" s="679"/>
    </row>
    <row r="944" customFormat="false" ht="15" hidden="false" customHeight="false" outlineLevel="0" collapsed="false">
      <c r="A944" s="28" t="s">
        <v>1542</v>
      </c>
      <c r="B944" s="80" t="s">
        <v>3525</v>
      </c>
      <c r="C944" s="912" t="n">
        <v>1</v>
      </c>
      <c r="D944" s="547" t="n">
        <f aca="false">E944+F944+G944+H944</f>
        <v>420</v>
      </c>
      <c r="E944" s="547" t="n">
        <v>190</v>
      </c>
      <c r="F944" s="912" t="n">
        <v>230</v>
      </c>
      <c r="G944" s="912"/>
      <c r="H944" s="912"/>
      <c r="I944" s="912" t="n">
        <v>30</v>
      </c>
      <c r="J944" s="679"/>
      <c r="K944" s="679"/>
    </row>
    <row r="945" customFormat="false" ht="30" hidden="false" customHeight="false" outlineLevel="0" collapsed="false">
      <c r="A945" s="28" t="s">
        <v>1544</v>
      </c>
      <c r="B945" s="80" t="s">
        <v>3526</v>
      </c>
      <c r="C945" s="912" t="n">
        <v>1</v>
      </c>
      <c r="D945" s="547" t="n">
        <f aca="false">E945+F945+G945+H945</f>
        <v>160</v>
      </c>
      <c r="E945" s="547" t="n">
        <v>100</v>
      </c>
      <c r="F945" s="912" t="n">
        <v>60</v>
      </c>
      <c r="G945" s="912"/>
      <c r="H945" s="912"/>
      <c r="I945" s="912" t="n">
        <v>30</v>
      </c>
      <c r="J945" s="679"/>
      <c r="K945" s="679"/>
    </row>
    <row r="946" customFormat="false" ht="30" hidden="false" customHeight="false" outlineLevel="0" collapsed="false">
      <c r="A946" s="28" t="s">
        <v>1546</v>
      </c>
      <c r="B946" s="80" t="s">
        <v>3527</v>
      </c>
      <c r="C946" s="912" t="n">
        <v>1</v>
      </c>
      <c r="D946" s="547" t="n">
        <f aca="false">E946+F946+G946+H946</f>
        <v>140</v>
      </c>
      <c r="E946" s="547" t="n">
        <v>60</v>
      </c>
      <c r="F946" s="912" t="n">
        <v>80</v>
      </c>
      <c r="G946" s="912"/>
      <c r="H946" s="912"/>
      <c r="I946" s="912" t="n">
        <v>30</v>
      </c>
      <c r="J946" s="679"/>
      <c r="K946" s="679"/>
    </row>
    <row r="947" customFormat="false" ht="30" hidden="false" customHeight="false" outlineLevel="0" collapsed="false">
      <c r="A947" s="28" t="s">
        <v>1548</v>
      </c>
      <c r="B947" s="80" t="s">
        <v>3528</v>
      </c>
      <c r="C947" s="912" t="n">
        <v>1</v>
      </c>
      <c r="D947" s="547" t="n">
        <f aca="false">E947+F947+G947+H947</f>
        <v>150</v>
      </c>
      <c r="E947" s="547" t="n">
        <v>60</v>
      </c>
      <c r="F947" s="912" t="n">
        <v>90</v>
      </c>
      <c r="G947" s="912"/>
      <c r="H947" s="912"/>
      <c r="I947" s="912" t="n">
        <v>30</v>
      </c>
      <c r="J947" s="679"/>
      <c r="K947" s="679"/>
    </row>
    <row r="948" customFormat="false" ht="15" hidden="false" customHeight="false" outlineLevel="0" collapsed="false">
      <c r="A948" s="28" t="s">
        <v>1550</v>
      </c>
      <c r="B948" s="80" t="s">
        <v>3529</v>
      </c>
      <c r="C948" s="912" t="n">
        <v>1</v>
      </c>
      <c r="D948" s="547" t="n">
        <f aca="false">E948+F948+G948+H948</f>
        <v>120</v>
      </c>
      <c r="E948" s="547" t="n">
        <v>60</v>
      </c>
      <c r="F948" s="912" t="n">
        <v>60</v>
      </c>
      <c r="G948" s="912"/>
      <c r="H948" s="912"/>
      <c r="I948" s="912" t="n">
        <v>30</v>
      </c>
      <c r="J948" s="679"/>
      <c r="K948" s="679"/>
    </row>
    <row r="949" customFormat="false" ht="45" hidden="false" customHeight="false" outlineLevel="0" collapsed="false">
      <c r="A949" s="28" t="s">
        <v>1552</v>
      </c>
      <c r="B949" s="80" t="s">
        <v>3530</v>
      </c>
      <c r="C949" s="912" t="n">
        <v>1</v>
      </c>
      <c r="D949" s="547" t="n">
        <f aca="false">E949+F949+G949+H949</f>
        <v>1804</v>
      </c>
      <c r="E949" s="547" t="n">
        <v>1500</v>
      </c>
      <c r="F949" s="912" t="n">
        <v>304</v>
      </c>
      <c r="G949" s="912"/>
      <c r="H949" s="912"/>
      <c r="I949" s="912" t="n">
        <v>30</v>
      </c>
      <c r="J949" s="679"/>
      <c r="K949" s="679"/>
    </row>
    <row r="950" customFormat="false" ht="15" hidden="false" customHeight="false" outlineLevel="0" collapsed="false">
      <c r="A950" s="28" t="s">
        <v>1554</v>
      </c>
      <c r="B950" s="81" t="s">
        <v>3488</v>
      </c>
      <c r="C950" s="912" t="n">
        <v>1</v>
      </c>
      <c r="D950" s="547" t="n">
        <f aca="false">E950+F950+G950+H950</f>
        <v>60</v>
      </c>
      <c r="E950" s="547" t="n">
        <v>35</v>
      </c>
      <c r="F950" s="912" t="n">
        <v>25</v>
      </c>
      <c r="G950" s="912"/>
      <c r="H950" s="912"/>
      <c r="I950" s="912" t="n">
        <v>30</v>
      </c>
      <c r="J950" s="679"/>
      <c r="K950" s="679"/>
    </row>
    <row r="951" customFormat="false" ht="30" hidden="false" customHeight="false" outlineLevel="0" collapsed="false">
      <c r="A951" s="28" t="s">
        <v>1556</v>
      </c>
      <c r="B951" s="81" t="s">
        <v>3531</v>
      </c>
      <c r="C951" s="912" t="n">
        <v>1</v>
      </c>
      <c r="D951" s="547" t="n">
        <f aca="false">E951+F951+G951+H951</f>
        <v>2424</v>
      </c>
      <c r="E951" s="547" t="n">
        <v>2120</v>
      </c>
      <c r="F951" s="912" t="n">
        <v>304</v>
      </c>
      <c r="G951" s="912"/>
      <c r="H951" s="912"/>
      <c r="I951" s="912" t="n">
        <v>12</v>
      </c>
      <c r="J951" s="679"/>
      <c r="K951" s="679"/>
    </row>
    <row r="952" customFormat="false" ht="15" hidden="false" customHeight="false" outlineLevel="0" collapsed="false">
      <c r="A952" s="28" t="s">
        <v>1558</v>
      </c>
      <c r="B952" s="81" t="s">
        <v>3532</v>
      </c>
      <c r="C952" s="912" t="n">
        <v>1</v>
      </c>
      <c r="D952" s="547" t="n">
        <f aca="false">E952+F952+G952+H952</f>
        <v>740</v>
      </c>
      <c r="E952" s="547" t="n">
        <v>535</v>
      </c>
      <c r="F952" s="912" t="n">
        <v>205</v>
      </c>
      <c r="G952" s="912"/>
      <c r="H952" s="912"/>
      <c r="I952" s="912" t="n">
        <v>30</v>
      </c>
      <c r="J952" s="679"/>
      <c r="K952" s="679"/>
    </row>
    <row r="953" customFormat="false" ht="45" hidden="false" customHeight="false" outlineLevel="0" collapsed="false">
      <c r="A953" s="28" t="s">
        <v>1560</v>
      </c>
      <c r="B953" s="80" t="s">
        <v>3533</v>
      </c>
      <c r="C953" s="912" t="n">
        <v>1</v>
      </c>
      <c r="D953" s="547" t="n">
        <f aca="false">E953+F953+G953+H953</f>
        <v>6780</v>
      </c>
      <c r="E953" s="547" t="n">
        <v>3270</v>
      </c>
      <c r="F953" s="912" t="n">
        <v>3510</v>
      </c>
      <c r="G953" s="912"/>
      <c r="H953" s="912"/>
      <c r="I953" s="912" t="n">
        <v>30</v>
      </c>
      <c r="J953" s="679"/>
      <c r="K953" s="679"/>
    </row>
    <row r="954" customFormat="false" ht="15" hidden="false" customHeight="false" outlineLevel="0" collapsed="false">
      <c r="A954" s="28" t="s">
        <v>1562</v>
      </c>
      <c r="B954" s="81" t="s">
        <v>3491</v>
      </c>
      <c r="C954" s="912" t="n">
        <v>1</v>
      </c>
      <c r="D954" s="547" t="n">
        <f aca="false">E954+F954+G954+H954</f>
        <v>740</v>
      </c>
      <c r="E954" s="547" t="n">
        <v>535</v>
      </c>
      <c r="F954" s="912" t="n">
        <v>205</v>
      </c>
      <c r="G954" s="912"/>
      <c r="H954" s="912"/>
      <c r="I954" s="912" t="n">
        <v>120</v>
      </c>
      <c r="J954" s="679"/>
      <c r="K954" s="679"/>
    </row>
    <row r="955" customFormat="false" ht="30" hidden="false" customHeight="false" outlineLevel="0" collapsed="false">
      <c r="A955" s="28" t="s">
        <v>1563</v>
      </c>
      <c r="B955" s="85" t="s">
        <v>3534</v>
      </c>
      <c r="C955" s="912" t="n">
        <v>1</v>
      </c>
      <c r="D955" s="1673" t="n">
        <f aca="false">E955+F955+G955+H955</f>
        <v>2755</v>
      </c>
      <c r="E955" s="1673" t="n">
        <v>2395</v>
      </c>
      <c r="F955" s="1674" t="n">
        <v>360</v>
      </c>
      <c r="G955" s="1674"/>
      <c r="H955" s="1674"/>
      <c r="I955" s="1674" t="n">
        <v>30</v>
      </c>
      <c r="J955" s="772"/>
      <c r="K955" s="772"/>
    </row>
    <row r="956" customFormat="false" ht="42.75" hidden="false" customHeight="false" outlineLevel="0" collapsed="false">
      <c r="A956" s="15" t="s">
        <v>1565</v>
      </c>
      <c r="B956" s="86" t="s">
        <v>3535</v>
      </c>
      <c r="C956" s="339"/>
      <c r="D956" s="712"/>
      <c r="E956" s="751"/>
      <c r="F956" s="339"/>
      <c r="G956" s="339"/>
      <c r="H956" s="541"/>
      <c r="I956" s="541"/>
      <c r="J956" s="600"/>
      <c r="K956" s="600"/>
    </row>
    <row r="957" customFormat="false" ht="15" hidden="false" customHeight="false" outlineLevel="0" collapsed="false">
      <c r="A957" s="28" t="s">
        <v>1567</v>
      </c>
      <c r="B957" s="87" t="s">
        <v>3139</v>
      </c>
      <c r="C957" s="912" t="n">
        <v>1</v>
      </c>
      <c r="D957" s="1427" t="n">
        <f aca="false">E957+F957+G957+H957</f>
        <v>60</v>
      </c>
      <c r="E957" s="1427" t="n">
        <v>35</v>
      </c>
      <c r="F957" s="1675" t="n">
        <v>25</v>
      </c>
      <c r="G957" s="1675"/>
      <c r="H957" s="1675"/>
      <c r="I957" s="1675"/>
      <c r="J957" s="1676"/>
      <c r="K957" s="1676"/>
    </row>
    <row r="958" customFormat="false" ht="15" hidden="false" customHeight="false" outlineLevel="0" collapsed="false">
      <c r="A958" s="28" t="s">
        <v>1568</v>
      </c>
      <c r="B958" s="80" t="s">
        <v>3536</v>
      </c>
      <c r="C958" s="912" t="n">
        <v>1</v>
      </c>
      <c r="D958" s="547" t="n">
        <f aca="false">E958+F958+G958+H958</f>
        <v>80</v>
      </c>
      <c r="E958" s="547" t="n">
        <v>30</v>
      </c>
      <c r="F958" s="912" t="n">
        <v>50</v>
      </c>
      <c r="G958" s="912"/>
      <c r="H958" s="912"/>
      <c r="I958" s="912" t="n">
        <v>30</v>
      </c>
      <c r="J958" s="679"/>
      <c r="K958" s="679"/>
    </row>
    <row r="959" customFormat="false" ht="15" hidden="false" customHeight="false" outlineLevel="0" collapsed="false">
      <c r="A959" s="28" t="s">
        <v>1569</v>
      </c>
      <c r="B959" s="80" t="s">
        <v>3537</v>
      </c>
      <c r="C959" s="912" t="n">
        <v>1</v>
      </c>
      <c r="D959" s="547" t="n">
        <f aca="false">E959+F959+G959+H959</f>
        <v>110</v>
      </c>
      <c r="E959" s="547" t="n">
        <v>50</v>
      </c>
      <c r="F959" s="912" t="n">
        <v>60</v>
      </c>
      <c r="G959" s="912"/>
      <c r="H959" s="912"/>
      <c r="I959" s="912" t="n">
        <v>30</v>
      </c>
      <c r="J959" s="679"/>
      <c r="K959" s="679"/>
    </row>
    <row r="960" customFormat="false" ht="15" hidden="false" customHeight="false" outlineLevel="0" collapsed="false">
      <c r="A960" s="28" t="s">
        <v>1570</v>
      </c>
      <c r="B960" s="80" t="s">
        <v>3436</v>
      </c>
      <c r="C960" s="912" t="n">
        <v>1</v>
      </c>
      <c r="D960" s="547" t="n">
        <f aca="false">E960+F960+G960+H960</f>
        <v>110</v>
      </c>
      <c r="E960" s="547" t="n">
        <v>50</v>
      </c>
      <c r="F960" s="912" t="n">
        <v>60</v>
      </c>
      <c r="G960" s="912"/>
      <c r="H960" s="912"/>
      <c r="I960" s="912" t="n">
        <v>30</v>
      </c>
      <c r="J960" s="679"/>
      <c r="K960" s="679"/>
    </row>
    <row r="961" customFormat="false" ht="15" hidden="false" customHeight="false" outlineLevel="0" collapsed="false">
      <c r="A961" s="28" t="s">
        <v>1571</v>
      </c>
      <c r="B961" s="80" t="s">
        <v>3438</v>
      </c>
      <c r="C961" s="912" t="n">
        <v>1</v>
      </c>
      <c r="D961" s="547" t="n">
        <f aca="false">E961+F961+G961+H961</f>
        <v>110</v>
      </c>
      <c r="E961" s="547" t="n">
        <v>50</v>
      </c>
      <c r="F961" s="912" t="n">
        <v>60</v>
      </c>
      <c r="G961" s="912"/>
      <c r="H961" s="912"/>
      <c r="I961" s="912" t="n">
        <v>30</v>
      </c>
      <c r="J961" s="679"/>
      <c r="K961" s="679"/>
    </row>
    <row r="962" customFormat="false" ht="15" hidden="false" customHeight="false" outlineLevel="0" collapsed="false">
      <c r="A962" s="28" t="s">
        <v>1572</v>
      </c>
      <c r="B962" s="80" t="s">
        <v>3474</v>
      </c>
      <c r="C962" s="912" t="n">
        <v>1</v>
      </c>
      <c r="D962" s="547" t="n">
        <f aca="false">E962+F962+G962+H962</f>
        <v>110</v>
      </c>
      <c r="E962" s="547" t="n">
        <v>50</v>
      </c>
      <c r="F962" s="912" t="n">
        <v>60</v>
      </c>
      <c r="G962" s="912"/>
      <c r="H962" s="912"/>
      <c r="I962" s="912" t="n">
        <v>30</v>
      </c>
      <c r="J962" s="679"/>
      <c r="K962" s="679"/>
    </row>
    <row r="963" customFormat="false" ht="15" hidden="false" customHeight="false" outlineLevel="0" collapsed="false">
      <c r="A963" s="28" t="s">
        <v>1573</v>
      </c>
      <c r="B963" s="80" t="s">
        <v>3538</v>
      </c>
      <c r="C963" s="912" t="n">
        <v>1</v>
      </c>
      <c r="D963" s="547" t="n">
        <f aca="false">E963+F963+G963+H963</f>
        <v>110</v>
      </c>
      <c r="E963" s="547" t="n">
        <v>50</v>
      </c>
      <c r="F963" s="912" t="n">
        <v>60</v>
      </c>
      <c r="G963" s="912"/>
      <c r="H963" s="912"/>
      <c r="I963" s="912" t="n">
        <v>30</v>
      </c>
      <c r="J963" s="679"/>
      <c r="K963" s="679"/>
    </row>
    <row r="964" customFormat="false" ht="26.25" hidden="false" customHeight="true" outlineLevel="0" collapsed="false">
      <c r="A964" s="28" t="s">
        <v>1575</v>
      </c>
      <c r="B964" s="80" t="s">
        <v>3539</v>
      </c>
      <c r="C964" s="912" t="n">
        <v>1</v>
      </c>
      <c r="D964" s="547" t="n">
        <f aca="false">E964+F964+G964+H964</f>
        <v>110</v>
      </c>
      <c r="E964" s="547" t="n">
        <v>50</v>
      </c>
      <c r="F964" s="912" t="n">
        <v>60</v>
      </c>
      <c r="G964" s="912"/>
      <c r="H964" s="912"/>
      <c r="I964" s="912" t="n">
        <v>30</v>
      </c>
      <c r="J964" s="679"/>
      <c r="K964" s="679"/>
    </row>
    <row r="965" customFormat="false" ht="18.75" hidden="false" customHeight="true" outlineLevel="0" collapsed="false">
      <c r="A965" s="28" t="s">
        <v>1576</v>
      </c>
      <c r="B965" s="80" t="s">
        <v>3441</v>
      </c>
      <c r="C965" s="912" t="n">
        <v>1</v>
      </c>
      <c r="D965" s="547" t="n">
        <f aca="false">E965+F965+G965+H965</f>
        <v>110</v>
      </c>
      <c r="E965" s="547" t="n">
        <v>50</v>
      </c>
      <c r="F965" s="912" t="n">
        <v>60</v>
      </c>
      <c r="G965" s="912"/>
      <c r="H965" s="912"/>
      <c r="I965" s="912" t="n">
        <v>30</v>
      </c>
      <c r="J965" s="679"/>
      <c r="K965" s="679"/>
    </row>
    <row r="966" customFormat="false" ht="15" hidden="false" customHeight="false" outlineLevel="0" collapsed="false">
      <c r="A966" s="28" t="s">
        <v>1577</v>
      </c>
      <c r="B966" s="80" t="s">
        <v>3442</v>
      </c>
      <c r="C966" s="912" t="n">
        <v>1</v>
      </c>
      <c r="D966" s="547" t="n">
        <f aca="false">E966+F966+G966+H966</f>
        <v>110</v>
      </c>
      <c r="E966" s="547" t="n">
        <v>50</v>
      </c>
      <c r="F966" s="912" t="n">
        <v>60</v>
      </c>
      <c r="G966" s="912"/>
      <c r="H966" s="912"/>
      <c r="I966" s="912" t="n">
        <v>30</v>
      </c>
      <c r="J966" s="679"/>
      <c r="K966" s="679"/>
    </row>
    <row r="967" customFormat="false" ht="30" hidden="false" customHeight="false" outlineLevel="0" collapsed="false">
      <c r="A967" s="28" t="s">
        <v>1578</v>
      </c>
      <c r="B967" s="80" t="s">
        <v>3540</v>
      </c>
      <c r="C967" s="912" t="n">
        <v>1</v>
      </c>
      <c r="D967" s="547" t="n">
        <f aca="false">E967+F967+G967+H967</f>
        <v>110</v>
      </c>
      <c r="E967" s="547" t="n">
        <v>50</v>
      </c>
      <c r="F967" s="912" t="n">
        <v>60</v>
      </c>
      <c r="G967" s="912"/>
      <c r="H967" s="912"/>
      <c r="I967" s="912" t="n">
        <v>30</v>
      </c>
      <c r="J967" s="679"/>
      <c r="K967" s="679"/>
    </row>
    <row r="968" customFormat="false" ht="15" hidden="false" customHeight="false" outlineLevel="0" collapsed="false">
      <c r="A968" s="28" t="s">
        <v>1579</v>
      </c>
      <c r="B968" s="80" t="s">
        <v>3541</v>
      </c>
      <c r="C968" s="912" t="n">
        <v>1</v>
      </c>
      <c r="D968" s="547" t="n">
        <f aca="false">E968+F968+G968+H968</f>
        <v>110</v>
      </c>
      <c r="E968" s="547" t="n">
        <v>50</v>
      </c>
      <c r="F968" s="912" t="n">
        <v>60</v>
      </c>
      <c r="G968" s="912"/>
      <c r="H968" s="912"/>
      <c r="I968" s="912" t="n">
        <v>30</v>
      </c>
      <c r="J968" s="679"/>
      <c r="K968" s="679"/>
    </row>
    <row r="969" customFormat="false" ht="21" hidden="false" customHeight="true" outlineLevel="0" collapsed="false">
      <c r="A969" s="28" t="s">
        <v>1580</v>
      </c>
      <c r="B969" s="80" t="s">
        <v>3447</v>
      </c>
      <c r="C969" s="912" t="n">
        <v>1</v>
      </c>
      <c r="D969" s="547" t="n">
        <f aca="false">E969+F969+G969+H969</f>
        <v>110</v>
      </c>
      <c r="E969" s="547" t="n">
        <v>50</v>
      </c>
      <c r="F969" s="912" t="n">
        <v>60</v>
      </c>
      <c r="G969" s="912"/>
      <c r="H969" s="912"/>
      <c r="I969" s="912" t="n">
        <v>30</v>
      </c>
      <c r="J969" s="679"/>
      <c r="K969" s="679"/>
    </row>
    <row r="970" customFormat="false" ht="15" hidden="false" customHeight="false" outlineLevel="0" collapsed="false">
      <c r="A970" s="28" t="s">
        <v>1581</v>
      </c>
      <c r="B970" s="80" t="s">
        <v>3514</v>
      </c>
      <c r="C970" s="912" t="n">
        <v>1</v>
      </c>
      <c r="D970" s="547" t="n">
        <f aca="false">E970+F970+G970+H970</f>
        <v>110</v>
      </c>
      <c r="E970" s="547" t="n">
        <v>50</v>
      </c>
      <c r="F970" s="912" t="n">
        <v>60</v>
      </c>
      <c r="G970" s="912"/>
      <c r="H970" s="912"/>
      <c r="I970" s="912" t="n">
        <v>30</v>
      </c>
      <c r="J970" s="679"/>
      <c r="K970" s="679"/>
    </row>
    <row r="971" customFormat="false" ht="15" hidden="false" customHeight="false" outlineLevel="0" collapsed="false">
      <c r="A971" s="28" t="s">
        <v>1582</v>
      </c>
      <c r="B971" s="80" t="s">
        <v>3513</v>
      </c>
      <c r="C971" s="912" t="n">
        <v>1</v>
      </c>
      <c r="D971" s="547" t="n">
        <f aca="false">E971+F971+G971+H971</f>
        <v>110</v>
      </c>
      <c r="E971" s="547" t="n">
        <v>50</v>
      </c>
      <c r="F971" s="912" t="n">
        <v>60</v>
      </c>
      <c r="G971" s="912"/>
      <c r="H971" s="912"/>
      <c r="I971" s="912" t="n">
        <v>30</v>
      </c>
      <c r="J971" s="679"/>
      <c r="K971" s="679"/>
    </row>
    <row r="972" customFormat="false" ht="15" hidden="false" customHeight="false" outlineLevel="0" collapsed="false">
      <c r="A972" s="28" t="s">
        <v>1583</v>
      </c>
      <c r="B972" s="80" t="s">
        <v>3542</v>
      </c>
      <c r="C972" s="912" t="n">
        <v>1</v>
      </c>
      <c r="D972" s="547" t="n">
        <f aca="false">E972+F972+G972+H972</f>
        <v>110</v>
      </c>
      <c r="E972" s="547" t="n">
        <v>50</v>
      </c>
      <c r="F972" s="912" t="n">
        <v>60</v>
      </c>
      <c r="G972" s="912"/>
      <c r="H972" s="912"/>
      <c r="I972" s="912" t="n">
        <v>30</v>
      </c>
      <c r="J972" s="679"/>
      <c r="K972" s="679"/>
    </row>
    <row r="973" customFormat="false" ht="15" hidden="false" customHeight="false" outlineLevel="0" collapsed="false">
      <c r="A973" s="28" t="s">
        <v>1584</v>
      </c>
      <c r="B973" s="80" t="s">
        <v>3543</v>
      </c>
      <c r="C973" s="912" t="n">
        <v>1</v>
      </c>
      <c r="D973" s="547" t="n">
        <f aca="false">E973+F973+G973+H973</f>
        <v>110</v>
      </c>
      <c r="E973" s="547" t="n">
        <v>50</v>
      </c>
      <c r="F973" s="912" t="n">
        <v>60</v>
      </c>
      <c r="G973" s="912"/>
      <c r="H973" s="912"/>
      <c r="I973" s="912" t="n">
        <v>30</v>
      </c>
      <c r="J973" s="679"/>
      <c r="K973" s="679"/>
    </row>
    <row r="974" customFormat="false" ht="15" hidden="false" customHeight="false" outlineLevel="0" collapsed="false">
      <c r="A974" s="28" t="s">
        <v>1585</v>
      </c>
      <c r="B974" s="80" t="s">
        <v>3544</v>
      </c>
      <c r="C974" s="912" t="n">
        <v>1</v>
      </c>
      <c r="D974" s="547" t="n">
        <f aca="false">E974+F974+G974+H974</f>
        <v>110</v>
      </c>
      <c r="E974" s="547" t="n">
        <v>50</v>
      </c>
      <c r="F974" s="912" t="n">
        <v>60</v>
      </c>
      <c r="G974" s="912"/>
      <c r="H974" s="912"/>
      <c r="I974" s="912" t="n">
        <v>30</v>
      </c>
      <c r="J974" s="679"/>
      <c r="K974" s="679"/>
    </row>
    <row r="975" customFormat="false" ht="15" hidden="false" customHeight="false" outlineLevel="0" collapsed="false">
      <c r="A975" s="28" t="s">
        <v>1587</v>
      </c>
      <c r="B975" s="80" t="s">
        <v>3458</v>
      </c>
      <c r="C975" s="912" t="n">
        <v>1</v>
      </c>
      <c r="D975" s="547" t="n">
        <f aca="false">E975+F975+G975+H975</f>
        <v>110</v>
      </c>
      <c r="E975" s="547" t="n">
        <v>50</v>
      </c>
      <c r="F975" s="912" t="n">
        <v>60</v>
      </c>
      <c r="G975" s="912"/>
      <c r="H975" s="912"/>
      <c r="I975" s="912" t="n">
        <v>30</v>
      </c>
      <c r="J975" s="679"/>
      <c r="K975" s="679"/>
    </row>
    <row r="976" customFormat="false" ht="15" hidden="false" customHeight="false" outlineLevel="0" collapsed="false">
      <c r="A976" s="28" t="s">
        <v>1588</v>
      </c>
      <c r="B976" s="80" t="s">
        <v>3443</v>
      </c>
      <c r="C976" s="912" t="n">
        <v>1</v>
      </c>
      <c r="D976" s="547" t="n">
        <f aca="false">E976+F976+G976+H976</f>
        <v>110</v>
      </c>
      <c r="E976" s="547" t="n">
        <v>50</v>
      </c>
      <c r="F976" s="912" t="n">
        <v>60</v>
      </c>
      <c r="G976" s="912"/>
      <c r="H976" s="912"/>
      <c r="I976" s="912" t="n">
        <v>30</v>
      </c>
      <c r="J976" s="679"/>
      <c r="K976" s="679"/>
    </row>
    <row r="977" customFormat="false" ht="15" hidden="false" customHeight="false" outlineLevel="0" collapsed="false">
      <c r="A977" s="28" t="s">
        <v>1589</v>
      </c>
      <c r="B977" s="80" t="s">
        <v>3545</v>
      </c>
      <c r="C977" s="912" t="n">
        <v>1</v>
      </c>
      <c r="D977" s="547" t="n">
        <f aca="false">E977+F977+G977+H977</f>
        <v>110</v>
      </c>
      <c r="E977" s="547" t="n">
        <v>50</v>
      </c>
      <c r="F977" s="912" t="n">
        <v>60</v>
      </c>
      <c r="G977" s="912"/>
      <c r="H977" s="912"/>
      <c r="I977" s="912" t="n">
        <v>30</v>
      </c>
      <c r="J977" s="679"/>
      <c r="K977" s="679"/>
    </row>
    <row r="978" customFormat="false" ht="15" hidden="false" customHeight="false" outlineLevel="0" collapsed="false">
      <c r="A978" s="28" t="s">
        <v>1591</v>
      </c>
      <c r="B978" s="80" t="s">
        <v>3444</v>
      </c>
      <c r="C978" s="912" t="n">
        <v>1</v>
      </c>
      <c r="D978" s="547" t="n">
        <f aca="false">E978+F978+G978+H978</f>
        <v>110</v>
      </c>
      <c r="E978" s="547" t="n">
        <v>50</v>
      </c>
      <c r="F978" s="912" t="n">
        <v>60</v>
      </c>
      <c r="G978" s="912"/>
      <c r="H978" s="912"/>
      <c r="I978" s="912" t="n">
        <v>30</v>
      </c>
      <c r="J978" s="679"/>
      <c r="K978" s="679"/>
    </row>
    <row r="979" customFormat="false" ht="15" hidden="false" customHeight="false" outlineLevel="0" collapsed="false">
      <c r="A979" s="28" t="s">
        <v>1592</v>
      </c>
      <c r="B979" s="80" t="s">
        <v>3546</v>
      </c>
      <c r="C979" s="912" t="n">
        <v>1</v>
      </c>
      <c r="D979" s="547" t="n">
        <f aca="false">E979+F979+G979+H979</f>
        <v>110</v>
      </c>
      <c r="E979" s="547" t="n">
        <v>50</v>
      </c>
      <c r="F979" s="912" t="n">
        <v>60</v>
      </c>
      <c r="G979" s="912"/>
      <c r="H979" s="912"/>
      <c r="I979" s="912" t="n">
        <v>30</v>
      </c>
      <c r="J979" s="679"/>
      <c r="K979" s="679"/>
    </row>
    <row r="980" customFormat="false" ht="15" hidden="false" customHeight="false" outlineLevel="0" collapsed="false">
      <c r="A980" s="28" t="s">
        <v>1593</v>
      </c>
      <c r="B980" s="80" t="s">
        <v>3547</v>
      </c>
      <c r="C980" s="912" t="n">
        <v>1</v>
      </c>
      <c r="D980" s="547" t="n">
        <f aca="false">E980+F980+G980+H980</f>
        <v>110</v>
      </c>
      <c r="E980" s="547" t="n">
        <v>50</v>
      </c>
      <c r="F980" s="912" t="n">
        <v>60</v>
      </c>
      <c r="G980" s="912"/>
      <c r="H980" s="912"/>
      <c r="I980" s="912" t="n">
        <v>30</v>
      </c>
      <c r="J980" s="679"/>
      <c r="K980" s="679"/>
    </row>
    <row r="981" customFormat="false" ht="15" hidden="false" customHeight="false" outlineLevel="0" collapsed="false">
      <c r="A981" s="28" t="s">
        <v>1595</v>
      </c>
      <c r="B981" s="80" t="s">
        <v>3548</v>
      </c>
      <c r="C981" s="912" t="n">
        <v>1</v>
      </c>
      <c r="D981" s="547" t="n">
        <f aca="false">E981+F981+G981+H981</f>
        <v>100</v>
      </c>
      <c r="E981" s="547" t="n">
        <v>30</v>
      </c>
      <c r="F981" s="912" t="n">
        <v>70</v>
      </c>
      <c r="G981" s="912"/>
      <c r="H981" s="912"/>
      <c r="I981" s="912" t="n">
        <v>30</v>
      </c>
      <c r="J981" s="679"/>
      <c r="K981" s="679"/>
    </row>
    <row r="982" customFormat="false" ht="15" hidden="false" customHeight="false" outlineLevel="0" collapsed="false">
      <c r="A982" s="28" t="s">
        <v>1596</v>
      </c>
      <c r="B982" s="80" t="s">
        <v>3549</v>
      </c>
      <c r="C982" s="912" t="n">
        <v>1</v>
      </c>
      <c r="D982" s="547" t="n">
        <f aca="false">E982+F982+G982+H982</f>
        <v>90</v>
      </c>
      <c r="E982" s="547" t="n">
        <v>30</v>
      </c>
      <c r="F982" s="912" t="n">
        <v>60</v>
      </c>
      <c r="G982" s="912"/>
      <c r="H982" s="912"/>
      <c r="I982" s="912" t="n">
        <v>30</v>
      </c>
      <c r="J982" s="679"/>
      <c r="K982" s="679"/>
    </row>
    <row r="983" customFormat="false" ht="15" hidden="false" customHeight="false" outlineLevel="0" collapsed="false">
      <c r="A983" s="28" t="s">
        <v>1597</v>
      </c>
      <c r="B983" s="80" t="s">
        <v>3550</v>
      </c>
      <c r="C983" s="912" t="n">
        <v>1</v>
      </c>
      <c r="D983" s="547" t="n">
        <f aca="false">E983+F983+G983+H983</f>
        <v>110</v>
      </c>
      <c r="E983" s="547" t="n">
        <v>50</v>
      </c>
      <c r="F983" s="912" t="n">
        <v>60</v>
      </c>
      <c r="G983" s="912"/>
      <c r="H983" s="912"/>
      <c r="I983" s="912" t="n">
        <v>30</v>
      </c>
      <c r="J983" s="679"/>
      <c r="K983" s="679"/>
    </row>
    <row r="984" customFormat="false" ht="15" hidden="false" customHeight="false" outlineLevel="0" collapsed="false">
      <c r="A984" s="28" t="s">
        <v>1598</v>
      </c>
      <c r="B984" s="80" t="s">
        <v>3551</v>
      </c>
      <c r="C984" s="912" t="n">
        <v>1</v>
      </c>
      <c r="D984" s="547" t="n">
        <f aca="false">E984+F984+G984+H984</f>
        <v>110</v>
      </c>
      <c r="E984" s="547" t="n">
        <v>50</v>
      </c>
      <c r="F984" s="912" t="n">
        <v>60</v>
      </c>
      <c r="G984" s="912"/>
      <c r="H984" s="912"/>
      <c r="I984" s="912" t="n">
        <v>30</v>
      </c>
      <c r="J984" s="679"/>
      <c r="K984" s="679"/>
    </row>
    <row r="985" customFormat="false" ht="15" hidden="false" customHeight="false" outlineLevel="0" collapsed="false">
      <c r="A985" s="28" t="s">
        <v>1600</v>
      </c>
      <c r="B985" s="80" t="s">
        <v>3465</v>
      </c>
      <c r="C985" s="912" t="n">
        <v>1</v>
      </c>
      <c r="D985" s="547" t="n">
        <f aca="false">E985+F985+G985+H985</f>
        <v>110</v>
      </c>
      <c r="E985" s="547" t="n">
        <v>50</v>
      </c>
      <c r="F985" s="912" t="n">
        <v>60</v>
      </c>
      <c r="G985" s="912"/>
      <c r="H985" s="912"/>
      <c r="I985" s="912" t="n">
        <v>30</v>
      </c>
      <c r="J985" s="679"/>
      <c r="K985" s="679"/>
    </row>
    <row r="986" customFormat="false" ht="15" hidden="false" customHeight="false" outlineLevel="0" collapsed="false">
      <c r="A986" s="28" t="s">
        <v>1601</v>
      </c>
      <c r="B986" s="80" t="s">
        <v>3552</v>
      </c>
      <c r="C986" s="912" t="n">
        <v>1</v>
      </c>
      <c r="D986" s="547" t="n">
        <f aca="false">E986+F986+G986+H986</f>
        <v>110</v>
      </c>
      <c r="E986" s="547" t="n">
        <v>50</v>
      </c>
      <c r="F986" s="912" t="n">
        <v>60</v>
      </c>
      <c r="G986" s="912"/>
      <c r="H986" s="912"/>
      <c r="I986" s="912" t="n">
        <v>30</v>
      </c>
      <c r="J986" s="679"/>
      <c r="K986" s="679"/>
    </row>
    <row r="987" customFormat="false" ht="15" hidden="false" customHeight="false" outlineLevel="0" collapsed="false">
      <c r="A987" s="28" t="s">
        <v>1603</v>
      </c>
      <c r="B987" s="80" t="s">
        <v>3553</v>
      </c>
      <c r="C987" s="912" t="n">
        <v>1</v>
      </c>
      <c r="D987" s="547" t="n">
        <f aca="false">E987+F987+G987+H987</f>
        <v>480</v>
      </c>
      <c r="E987" s="547" t="n">
        <v>240</v>
      </c>
      <c r="F987" s="912" t="n">
        <v>240</v>
      </c>
      <c r="G987" s="912"/>
      <c r="H987" s="912"/>
      <c r="I987" s="912" t="n">
        <v>120</v>
      </c>
      <c r="J987" s="679"/>
      <c r="K987" s="679"/>
    </row>
    <row r="988" customFormat="false" ht="15" hidden="false" customHeight="false" outlineLevel="0" collapsed="false">
      <c r="A988" s="28" t="s">
        <v>1605</v>
      </c>
      <c r="B988" s="81" t="s">
        <v>3481</v>
      </c>
      <c r="C988" s="912" t="n">
        <v>1</v>
      </c>
      <c r="D988" s="547" t="n">
        <f aca="false">E988+F988+G988+H988</f>
        <v>280</v>
      </c>
      <c r="E988" s="547" t="n">
        <v>240</v>
      </c>
      <c r="F988" s="912" t="n">
        <v>40</v>
      </c>
      <c r="G988" s="912"/>
      <c r="H988" s="912"/>
      <c r="I988" s="912" t="n">
        <v>30</v>
      </c>
      <c r="J988" s="679"/>
      <c r="K988" s="679"/>
    </row>
    <row r="989" customFormat="false" ht="30" hidden="false" customHeight="false" outlineLevel="0" collapsed="false">
      <c r="A989" s="28" t="s">
        <v>1606</v>
      </c>
      <c r="B989" s="81" t="s">
        <v>3554</v>
      </c>
      <c r="C989" s="912" t="n">
        <v>1</v>
      </c>
      <c r="D989" s="547" t="n">
        <f aca="false">E989+F989+G989+H989</f>
        <v>110</v>
      </c>
      <c r="E989" s="547" t="n">
        <v>50</v>
      </c>
      <c r="F989" s="912" t="n">
        <v>60</v>
      </c>
      <c r="G989" s="912"/>
      <c r="H989" s="912"/>
      <c r="I989" s="912" t="n">
        <v>30</v>
      </c>
      <c r="J989" s="679"/>
      <c r="K989" s="679"/>
    </row>
    <row r="990" customFormat="false" ht="15" hidden="false" customHeight="false" outlineLevel="0" collapsed="false">
      <c r="A990" s="28" t="s">
        <v>1608</v>
      </c>
      <c r="B990" s="81" t="s">
        <v>3486</v>
      </c>
      <c r="C990" s="912" t="n">
        <v>1</v>
      </c>
      <c r="D990" s="547" t="n">
        <f aca="false">E990+F990+G990+H990</f>
        <v>80</v>
      </c>
      <c r="E990" s="547" t="n">
        <v>40</v>
      </c>
      <c r="F990" s="912" t="n">
        <v>40</v>
      </c>
      <c r="G990" s="912"/>
      <c r="H990" s="912"/>
      <c r="I990" s="912" t="n">
        <v>30</v>
      </c>
      <c r="J990" s="679"/>
      <c r="K990" s="679"/>
    </row>
    <row r="991" customFormat="false" ht="15" hidden="false" customHeight="false" outlineLevel="0" collapsed="false">
      <c r="A991" s="28" t="s">
        <v>1610</v>
      </c>
      <c r="B991" s="81" t="s">
        <v>3532</v>
      </c>
      <c r="C991" s="912" t="n">
        <v>1</v>
      </c>
      <c r="D991" s="547" t="n">
        <f aca="false">E991+F991+G991+H991</f>
        <v>280</v>
      </c>
      <c r="E991" s="547" t="n">
        <v>240</v>
      </c>
      <c r="F991" s="912" t="n">
        <v>40</v>
      </c>
      <c r="G991" s="912"/>
      <c r="H991" s="912"/>
      <c r="I991" s="912" t="n">
        <v>30</v>
      </c>
      <c r="J991" s="679"/>
      <c r="K991" s="679"/>
    </row>
    <row r="992" customFormat="false" ht="15" hidden="false" customHeight="false" outlineLevel="0" collapsed="false">
      <c r="A992" s="28" t="s">
        <v>1611</v>
      </c>
      <c r="B992" s="85" t="s">
        <v>3555</v>
      </c>
      <c r="C992" s="912" t="n">
        <v>1</v>
      </c>
      <c r="D992" s="1673" t="n">
        <f aca="false">E992+F992+G992+H992</f>
        <v>740</v>
      </c>
      <c r="E992" s="1673" t="n">
        <v>535</v>
      </c>
      <c r="F992" s="1674" t="n">
        <v>205</v>
      </c>
      <c r="G992" s="1674"/>
      <c r="H992" s="1674"/>
      <c r="I992" s="1674" t="n">
        <v>120</v>
      </c>
      <c r="J992" s="772"/>
      <c r="K992" s="772"/>
    </row>
    <row r="993" customFormat="false" ht="42.75" hidden="false" customHeight="false" outlineLevel="0" collapsed="false">
      <c r="A993" s="15" t="s">
        <v>1613</v>
      </c>
      <c r="B993" s="86" t="s">
        <v>3556</v>
      </c>
      <c r="C993" s="339"/>
      <c r="D993" s="712"/>
      <c r="E993" s="751"/>
      <c r="F993" s="339"/>
      <c r="G993" s="339"/>
      <c r="H993" s="339"/>
      <c r="I993" s="339"/>
      <c r="J993" s="600"/>
      <c r="K993" s="600"/>
    </row>
    <row r="994" customFormat="false" ht="15" hidden="false" customHeight="false" outlineLevel="0" collapsed="false">
      <c r="A994" s="28" t="s">
        <v>1615</v>
      </c>
      <c r="B994" s="87" t="s">
        <v>3139</v>
      </c>
      <c r="C994" s="912" t="n">
        <v>1</v>
      </c>
      <c r="D994" s="1427" t="n">
        <f aca="false">E994+F994+G994+H994</f>
        <v>45</v>
      </c>
      <c r="E994" s="1427" t="n">
        <v>25</v>
      </c>
      <c r="F994" s="1675" t="n">
        <v>20</v>
      </c>
      <c r="G994" s="1675"/>
      <c r="H994" s="1675"/>
      <c r="I994" s="1675" t="n">
        <v>30</v>
      </c>
      <c r="J994" s="1676"/>
      <c r="K994" s="1676"/>
    </row>
    <row r="995" customFormat="false" ht="15" hidden="false" customHeight="false" outlineLevel="0" collapsed="false">
      <c r="A995" s="28" t="s">
        <v>1616</v>
      </c>
      <c r="B995" s="80" t="s">
        <v>3549</v>
      </c>
      <c r="C995" s="912" t="n">
        <v>1</v>
      </c>
      <c r="D995" s="547" t="n">
        <f aca="false">E995+F995+G995+H995</f>
        <v>90</v>
      </c>
      <c r="E995" s="547" t="n">
        <v>30</v>
      </c>
      <c r="F995" s="912" t="n">
        <v>60</v>
      </c>
      <c r="G995" s="912"/>
      <c r="H995" s="912"/>
      <c r="I995" s="912" t="n">
        <v>30</v>
      </c>
      <c r="J995" s="679"/>
      <c r="K995" s="679"/>
    </row>
    <row r="996" customFormat="false" ht="15" hidden="false" customHeight="false" outlineLevel="0" collapsed="false">
      <c r="A996" s="28" t="s">
        <v>1617</v>
      </c>
      <c r="B996" s="80" t="s">
        <v>3548</v>
      </c>
      <c r="C996" s="912" t="n">
        <v>1</v>
      </c>
      <c r="D996" s="547" t="n">
        <f aca="false">E996+F996+G996+H996</f>
        <v>100</v>
      </c>
      <c r="E996" s="547" t="n">
        <v>30</v>
      </c>
      <c r="F996" s="912" t="n">
        <v>70</v>
      </c>
      <c r="G996" s="912"/>
      <c r="H996" s="912"/>
      <c r="I996" s="912" t="n">
        <v>30</v>
      </c>
      <c r="J996" s="679"/>
      <c r="K996" s="679"/>
    </row>
    <row r="997" customFormat="false" ht="15" hidden="false" customHeight="false" outlineLevel="0" collapsed="false">
      <c r="A997" s="28" t="s">
        <v>1618</v>
      </c>
      <c r="B997" s="80" t="s">
        <v>3557</v>
      </c>
      <c r="C997" s="912" t="n">
        <v>1</v>
      </c>
      <c r="D997" s="547" t="n">
        <f aca="false">E997+F997+G997+H997</f>
        <v>80</v>
      </c>
      <c r="E997" s="547" t="n">
        <v>40</v>
      </c>
      <c r="F997" s="912" t="n">
        <v>40</v>
      </c>
      <c r="G997" s="912"/>
      <c r="H997" s="912"/>
      <c r="I997" s="912" t="n">
        <v>30</v>
      </c>
      <c r="J997" s="679"/>
      <c r="K997" s="679"/>
    </row>
    <row r="998" customFormat="false" ht="15" hidden="false" customHeight="false" outlineLevel="0" collapsed="false">
      <c r="A998" s="28" t="s">
        <v>1620</v>
      </c>
      <c r="B998" s="80" t="s">
        <v>3546</v>
      </c>
      <c r="C998" s="912" t="n">
        <v>1</v>
      </c>
      <c r="D998" s="547" t="n">
        <f aca="false">E998+F998+G998+H998</f>
        <v>80</v>
      </c>
      <c r="E998" s="547" t="n">
        <v>40</v>
      </c>
      <c r="F998" s="912" t="n">
        <v>40</v>
      </c>
      <c r="G998" s="912"/>
      <c r="H998" s="912"/>
      <c r="I998" s="912" t="n">
        <v>30</v>
      </c>
      <c r="J998" s="679"/>
      <c r="K998" s="679"/>
    </row>
    <row r="999" customFormat="false" ht="15" hidden="false" customHeight="false" outlineLevel="0" collapsed="false">
      <c r="A999" s="28" t="s">
        <v>1621</v>
      </c>
      <c r="B999" s="80" t="s">
        <v>3558</v>
      </c>
      <c r="C999" s="912" t="n">
        <v>1</v>
      </c>
      <c r="D999" s="547" t="n">
        <f aca="false">E999+F999+G999+H999</f>
        <v>80</v>
      </c>
      <c r="E999" s="547" t="n">
        <v>40</v>
      </c>
      <c r="F999" s="912" t="n">
        <v>40</v>
      </c>
      <c r="G999" s="912"/>
      <c r="H999" s="912"/>
      <c r="I999" s="912" t="n">
        <v>30</v>
      </c>
      <c r="J999" s="679"/>
      <c r="K999" s="679"/>
    </row>
    <row r="1000" customFormat="false" ht="15" hidden="false" customHeight="false" outlineLevel="0" collapsed="false">
      <c r="A1000" s="28" t="s">
        <v>1623</v>
      </c>
      <c r="B1000" s="80" t="s">
        <v>3543</v>
      </c>
      <c r="C1000" s="912" t="n">
        <v>1</v>
      </c>
      <c r="D1000" s="547" t="n">
        <f aca="false">E1000+F1000+G1000+H1000</f>
        <v>80</v>
      </c>
      <c r="E1000" s="547" t="n">
        <v>40</v>
      </c>
      <c r="F1000" s="912" t="n">
        <v>40</v>
      </c>
      <c r="G1000" s="912"/>
      <c r="H1000" s="912"/>
      <c r="I1000" s="912" t="n">
        <v>30</v>
      </c>
      <c r="J1000" s="679"/>
      <c r="K1000" s="679"/>
    </row>
    <row r="1001" customFormat="false" ht="15" hidden="false" customHeight="false" outlineLevel="0" collapsed="false">
      <c r="A1001" s="28" t="s">
        <v>1624</v>
      </c>
      <c r="B1001" s="80" t="s">
        <v>3514</v>
      </c>
      <c r="C1001" s="912" t="n">
        <v>1</v>
      </c>
      <c r="D1001" s="547" t="n">
        <f aca="false">E1001+F1001+G1001+H1001</f>
        <v>80</v>
      </c>
      <c r="E1001" s="547" t="n">
        <v>40</v>
      </c>
      <c r="F1001" s="912" t="n">
        <v>40</v>
      </c>
      <c r="G1001" s="912"/>
      <c r="H1001" s="912"/>
      <c r="I1001" s="912" t="n">
        <v>30</v>
      </c>
      <c r="J1001" s="679"/>
      <c r="K1001" s="679"/>
    </row>
    <row r="1002" customFormat="false" ht="15" hidden="false" customHeight="false" outlineLevel="0" collapsed="false">
      <c r="A1002" s="28" t="s">
        <v>1625</v>
      </c>
      <c r="B1002" s="80" t="s">
        <v>3441</v>
      </c>
      <c r="C1002" s="912" t="n">
        <v>1</v>
      </c>
      <c r="D1002" s="547" t="n">
        <f aca="false">E1002+F1002+G1002+H1002</f>
        <v>80</v>
      </c>
      <c r="E1002" s="547" t="n">
        <v>40</v>
      </c>
      <c r="F1002" s="912" t="n">
        <v>40</v>
      </c>
      <c r="G1002" s="912"/>
      <c r="H1002" s="912"/>
      <c r="I1002" s="912" t="n">
        <v>30</v>
      </c>
      <c r="J1002" s="679"/>
      <c r="K1002" s="679"/>
    </row>
    <row r="1003" customFormat="false" ht="15" hidden="false" customHeight="false" outlineLevel="0" collapsed="false">
      <c r="A1003" s="28" t="s">
        <v>1626</v>
      </c>
      <c r="B1003" s="80" t="s">
        <v>3438</v>
      </c>
      <c r="C1003" s="912" t="n">
        <v>1</v>
      </c>
      <c r="D1003" s="547" t="n">
        <f aca="false">E1003+F1003+G1003+H1003</f>
        <v>80</v>
      </c>
      <c r="E1003" s="547" t="n">
        <v>40</v>
      </c>
      <c r="F1003" s="912" t="n">
        <v>40</v>
      </c>
      <c r="G1003" s="912"/>
      <c r="H1003" s="912"/>
      <c r="I1003" s="912" t="n">
        <v>30</v>
      </c>
      <c r="J1003" s="679"/>
      <c r="K1003" s="679"/>
    </row>
    <row r="1004" customFormat="false" ht="15" hidden="false" customHeight="false" outlineLevel="0" collapsed="false">
      <c r="A1004" s="28" t="s">
        <v>1627</v>
      </c>
      <c r="B1004" s="80" t="s">
        <v>3465</v>
      </c>
      <c r="C1004" s="912" t="n">
        <v>1</v>
      </c>
      <c r="D1004" s="547" t="n">
        <f aca="false">E1004+F1004+G1004+H1004</f>
        <v>80</v>
      </c>
      <c r="E1004" s="547" t="n">
        <v>40</v>
      </c>
      <c r="F1004" s="912" t="n">
        <v>40</v>
      </c>
      <c r="G1004" s="912"/>
      <c r="H1004" s="912"/>
      <c r="I1004" s="912" t="n">
        <v>30</v>
      </c>
      <c r="J1004" s="679"/>
      <c r="K1004" s="679"/>
    </row>
    <row r="1005" customFormat="false" ht="15" hidden="false" customHeight="false" outlineLevel="0" collapsed="false">
      <c r="A1005" s="28" t="s">
        <v>1628</v>
      </c>
      <c r="B1005" s="80" t="s">
        <v>3544</v>
      </c>
      <c r="C1005" s="912" t="n">
        <v>1</v>
      </c>
      <c r="D1005" s="547" t="n">
        <f aca="false">E1005+F1005+G1005+H1005</f>
        <v>80</v>
      </c>
      <c r="E1005" s="547" t="n">
        <v>40</v>
      </c>
      <c r="F1005" s="912" t="n">
        <v>40</v>
      </c>
      <c r="G1005" s="912"/>
      <c r="H1005" s="912"/>
      <c r="I1005" s="912" t="n">
        <v>30</v>
      </c>
      <c r="J1005" s="679"/>
      <c r="K1005" s="679"/>
    </row>
    <row r="1006" customFormat="false" ht="15" hidden="false" customHeight="false" outlineLevel="0" collapsed="false">
      <c r="A1006" s="28" t="s">
        <v>1629</v>
      </c>
      <c r="B1006" s="82" t="s">
        <v>3559</v>
      </c>
      <c r="C1006" s="912" t="n">
        <v>1</v>
      </c>
      <c r="D1006" s="547" t="n">
        <f aca="false">E1006+F1006+G1006+H1006</f>
        <v>80</v>
      </c>
      <c r="E1006" s="547" t="n">
        <v>40</v>
      </c>
      <c r="F1006" s="912" t="n">
        <v>40</v>
      </c>
      <c r="G1006" s="912"/>
      <c r="H1006" s="912"/>
      <c r="I1006" s="912" t="n">
        <v>30</v>
      </c>
      <c r="J1006" s="679"/>
      <c r="K1006" s="679"/>
    </row>
    <row r="1007" customFormat="false" ht="15" hidden="false" customHeight="false" outlineLevel="0" collapsed="false">
      <c r="A1007" s="28" t="s">
        <v>1630</v>
      </c>
      <c r="B1007" s="80" t="s">
        <v>3536</v>
      </c>
      <c r="C1007" s="912" t="n">
        <v>1</v>
      </c>
      <c r="D1007" s="547" t="n">
        <f aca="false">E1007+F1007+G1007+H1007</f>
        <v>80</v>
      </c>
      <c r="E1007" s="547" t="n">
        <v>40</v>
      </c>
      <c r="F1007" s="912" t="n">
        <v>40</v>
      </c>
      <c r="G1007" s="912"/>
      <c r="H1007" s="912"/>
      <c r="I1007" s="912" t="n">
        <v>30</v>
      </c>
      <c r="J1007" s="679"/>
      <c r="K1007" s="679"/>
    </row>
    <row r="1008" customFormat="false" ht="15" hidden="false" customHeight="false" outlineLevel="0" collapsed="false">
      <c r="A1008" s="28" t="s">
        <v>1631</v>
      </c>
      <c r="B1008" s="80" t="s">
        <v>3552</v>
      </c>
      <c r="C1008" s="912" t="n">
        <v>1</v>
      </c>
      <c r="D1008" s="547" t="n">
        <f aca="false">E1008+F1008+G1008+H1008</f>
        <v>80</v>
      </c>
      <c r="E1008" s="547" t="n">
        <v>40</v>
      </c>
      <c r="F1008" s="912" t="n">
        <v>40</v>
      </c>
      <c r="G1008" s="912"/>
      <c r="H1008" s="912"/>
      <c r="I1008" s="912" t="n">
        <v>30</v>
      </c>
      <c r="J1008" s="679"/>
      <c r="K1008" s="679"/>
    </row>
    <row r="1009" customFormat="false" ht="15" hidden="false" customHeight="false" outlineLevel="0" collapsed="false">
      <c r="A1009" s="28" t="s">
        <v>1632</v>
      </c>
      <c r="B1009" s="82" t="s">
        <v>3129</v>
      </c>
      <c r="C1009" s="912" t="n">
        <v>1</v>
      </c>
      <c r="D1009" s="547" t="n">
        <f aca="false">E1009+F1009+G1009+H1009</f>
        <v>120</v>
      </c>
      <c r="E1009" s="547" t="n">
        <v>50</v>
      </c>
      <c r="F1009" s="912" t="n">
        <v>70</v>
      </c>
      <c r="G1009" s="912"/>
      <c r="H1009" s="912"/>
      <c r="I1009" s="912" t="n">
        <v>30</v>
      </c>
      <c r="J1009" s="679"/>
      <c r="K1009" s="679"/>
    </row>
    <row r="1010" customFormat="false" ht="15" hidden="false" customHeight="false" outlineLevel="0" collapsed="false">
      <c r="A1010" s="28" t="s">
        <v>1633</v>
      </c>
      <c r="B1010" s="82" t="s">
        <v>3269</v>
      </c>
      <c r="C1010" s="912" t="n">
        <v>1</v>
      </c>
      <c r="D1010" s="547" t="n">
        <f aca="false">E1010+F1010+G1010+H1010</f>
        <v>120</v>
      </c>
      <c r="E1010" s="547" t="n">
        <v>50</v>
      </c>
      <c r="F1010" s="912" t="n">
        <v>70</v>
      </c>
      <c r="G1010" s="912"/>
      <c r="H1010" s="912"/>
      <c r="I1010" s="912" t="n">
        <v>30</v>
      </c>
      <c r="J1010" s="679"/>
      <c r="K1010" s="679"/>
    </row>
    <row r="1011" customFormat="false" ht="15" hidden="false" customHeight="false" outlineLevel="0" collapsed="false">
      <c r="A1011" s="28" t="s">
        <v>1634</v>
      </c>
      <c r="B1011" s="82" t="s">
        <v>3254</v>
      </c>
      <c r="C1011" s="912" t="n">
        <v>1</v>
      </c>
      <c r="D1011" s="547" t="n">
        <f aca="false">E1011+F1011+G1011+H1011</f>
        <v>120</v>
      </c>
      <c r="E1011" s="547" t="n">
        <v>50</v>
      </c>
      <c r="F1011" s="912" t="n">
        <v>70</v>
      </c>
      <c r="G1011" s="912"/>
      <c r="H1011" s="912"/>
      <c r="I1011" s="912" t="n">
        <v>30</v>
      </c>
      <c r="J1011" s="679"/>
      <c r="K1011" s="679"/>
    </row>
    <row r="1012" customFormat="false" ht="15" hidden="false" customHeight="false" outlineLevel="0" collapsed="false">
      <c r="A1012" s="28" t="s">
        <v>1635</v>
      </c>
      <c r="B1012" s="82" t="s">
        <v>3486</v>
      </c>
      <c r="C1012" s="912" t="n">
        <v>1</v>
      </c>
      <c r="D1012" s="547" t="n">
        <f aca="false">E1012+F1012+G1012+H1012</f>
        <v>80</v>
      </c>
      <c r="E1012" s="547" t="n">
        <v>40</v>
      </c>
      <c r="F1012" s="912" t="n">
        <v>40</v>
      </c>
      <c r="G1012" s="912"/>
      <c r="H1012" s="912"/>
      <c r="I1012" s="912" t="n">
        <v>30</v>
      </c>
      <c r="J1012" s="679"/>
      <c r="K1012" s="679"/>
    </row>
    <row r="1013" customFormat="false" ht="15" hidden="false" customHeight="false" outlineLevel="0" collapsed="false">
      <c r="A1013" s="28" t="s">
        <v>1636</v>
      </c>
      <c r="B1013" s="82" t="s">
        <v>3560</v>
      </c>
      <c r="C1013" s="912" t="n">
        <v>1</v>
      </c>
      <c r="D1013" s="547" t="n">
        <f aca="false">E1013+F1013+G1013+H1013</f>
        <v>260</v>
      </c>
      <c r="E1013" s="547" t="n">
        <v>130</v>
      </c>
      <c r="F1013" s="912" t="n">
        <v>130</v>
      </c>
      <c r="G1013" s="912"/>
      <c r="H1013" s="912"/>
      <c r="I1013" s="912" t="n">
        <v>160</v>
      </c>
      <c r="J1013" s="679"/>
      <c r="K1013" s="679"/>
    </row>
    <row r="1014" customFormat="false" ht="15" hidden="false" customHeight="false" outlineLevel="0" collapsed="false">
      <c r="A1014" s="28" t="s">
        <v>1637</v>
      </c>
      <c r="B1014" s="82" t="s">
        <v>3488</v>
      </c>
      <c r="C1014" s="912" t="n">
        <v>1</v>
      </c>
      <c r="D1014" s="547" t="n">
        <f aca="false">E1014+F1014+G1014+H1014</f>
        <v>60</v>
      </c>
      <c r="E1014" s="547" t="n">
        <v>35</v>
      </c>
      <c r="F1014" s="912" t="n">
        <v>25</v>
      </c>
      <c r="G1014" s="912"/>
      <c r="H1014" s="912"/>
      <c r="I1014" s="912" t="n">
        <v>30</v>
      </c>
      <c r="J1014" s="679"/>
      <c r="K1014" s="679"/>
    </row>
    <row r="1015" customFormat="false" ht="30" hidden="false" customHeight="false" outlineLevel="0" collapsed="false">
      <c r="A1015" s="28" t="s">
        <v>1638</v>
      </c>
      <c r="B1015" s="82" t="s">
        <v>3561</v>
      </c>
      <c r="C1015" s="912" t="n">
        <v>1</v>
      </c>
      <c r="D1015" s="547" t="n">
        <f aca="false">E1015+F1015+G1015+H1015</f>
        <v>1804</v>
      </c>
      <c r="E1015" s="547" t="n">
        <v>1500</v>
      </c>
      <c r="F1015" s="912" t="n">
        <v>304</v>
      </c>
      <c r="G1015" s="912"/>
      <c r="H1015" s="912"/>
      <c r="I1015" s="912" t="n">
        <v>30</v>
      </c>
      <c r="J1015" s="679"/>
      <c r="K1015" s="679"/>
    </row>
    <row r="1016" customFormat="false" ht="15" hidden="false" customHeight="false" outlineLevel="0" collapsed="false">
      <c r="A1016" s="28" t="s">
        <v>1640</v>
      </c>
      <c r="B1016" s="82" t="s">
        <v>3562</v>
      </c>
      <c r="C1016" s="912" t="n">
        <v>1</v>
      </c>
      <c r="D1016" s="547" t="n">
        <f aca="false">E1016+F1016+G1016+H1016</f>
        <v>740</v>
      </c>
      <c r="E1016" s="547" t="n">
        <v>535</v>
      </c>
      <c r="F1016" s="912" t="n">
        <v>205</v>
      </c>
      <c r="G1016" s="912"/>
      <c r="H1016" s="912"/>
      <c r="I1016" s="912" t="n">
        <v>30</v>
      </c>
      <c r="J1016" s="679"/>
      <c r="K1016" s="679"/>
    </row>
    <row r="1017" customFormat="false" ht="30" hidden="false" customHeight="false" outlineLevel="0" collapsed="false">
      <c r="A1017" s="28" t="s">
        <v>1642</v>
      </c>
      <c r="B1017" s="82" t="s">
        <v>3563</v>
      </c>
      <c r="C1017" s="912" t="n">
        <v>1</v>
      </c>
      <c r="D1017" s="547" t="n">
        <f aca="false">E1017+F1017+G1017+H1017</f>
        <v>740</v>
      </c>
      <c r="E1017" s="547" t="n">
        <v>535</v>
      </c>
      <c r="F1017" s="912" t="n">
        <v>205</v>
      </c>
      <c r="G1017" s="912"/>
      <c r="H1017" s="912"/>
      <c r="I1017" s="912" t="n">
        <v>120</v>
      </c>
      <c r="J1017" s="679"/>
      <c r="K1017" s="679"/>
    </row>
    <row r="1018" customFormat="false" ht="15" hidden="false" customHeight="false" outlineLevel="0" collapsed="false">
      <c r="A1018" s="28" t="s">
        <v>1644</v>
      </c>
      <c r="B1018" s="82" t="s">
        <v>3564</v>
      </c>
      <c r="C1018" s="912" t="n">
        <v>1</v>
      </c>
      <c r="D1018" s="547" t="n">
        <f aca="false">E1018+F1018+G1018+H1018</f>
        <v>740</v>
      </c>
      <c r="E1018" s="547" t="n">
        <v>535</v>
      </c>
      <c r="F1018" s="912" t="n">
        <v>205</v>
      </c>
      <c r="G1018" s="912"/>
      <c r="H1018" s="912"/>
      <c r="I1018" s="912" t="n">
        <v>120</v>
      </c>
      <c r="J1018" s="679"/>
      <c r="K1018" s="679"/>
    </row>
    <row r="1019" customFormat="false" ht="45" hidden="false" customHeight="false" outlineLevel="0" collapsed="false">
      <c r="A1019" s="28" t="s">
        <v>1646</v>
      </c>
      <c r="B1019" s="80" t="s">
        <v>3533</v>
      </c>
      <c r="C1019" s="912" t="n">
        <v>1</v>
      </c>
      <c r="D1019" s="547" t="n">
        <f aca="false">E1019+F1019+G1019+H1019</f>
        <v>5800</v>
      </c>
      <c r="E1019" s="547" t="n">
        <v>3000</v>
      </c>
      <c r="F1019" s="912" t="n">
        <v>2800</v>
      </c>
      <c r="G1019" s="912"/>
      <c r="H1019" s="912"/>
      <c r="I1019" s="912" t="n">
        <v>30</v>
      </c>
      <c r="J1019" s="679"/>
      <c r="K1019" s="679"/>
    </row>
    <row r="1020" customFormat="false" ht="30" hidden="false" customHeight="false" outlineLevel="0" collapsed="false">
      <c r="A1020" s="28" t="s">
        <v>1647</v>
      </c>
      <c r="B1020" s="82" t="s">
        <v>3534</v>
      </c>
      <c r="C1020" s="912" t="n">
        <v>1</v>
      </c>
      <c r="D1020" s="547" t="n">
        <f aca="false">E1020+F1020+G1020+H1020</f>
        <v>1960</v>
      </c>
      <c r="E1020" s="547" t="n">
        <v>1600</v>
      </c>
      <c r="F1020" s="912" t="n">
        <v>360</v>
      </c>
      <c r="G1020" s="912"/>
      <c r="H1020" s="912"/>
      <c r="I1020" s="912" t="n">
        <v>30</v>
      </c>
      <c r="J1020" s="679"/>
      <c r="K1020" s="679"/>
    </row>
    <row r="1021" customFormat="false" ht="30" hidden="false" customHeight="false" outlineLevel="0" collapsed="false">
      <c r="A1021" s="28" t="s">
        <v>1648</v>
      </c>
      <c r="B1021" s="82" t="s">
        <v>3565</v>
      </c>
      <c r="C1021" s="912" t="n">
        <v>1</v>
      </c>
      <c r="D1021" s="1673" t="n">
        <f aca="false">E1021+F1021+G1021+H1021</f>
        <v>80</v>
      </c>
      <c r="E1021" s="1673" t="n">
        <v>40</v>
      </c>
      <c r="F1021" s="1674" t="n">
        <v>40</v>
      </c>
      <c r="G1021" s="1674"/>
      <c r="H1021" s="1674"/>
      <c r="I1021" s="1674" t="n">
        <v>30</v>
      </c>
      <c r="J1021" s="772"/>
      <c r="K1021" s="772"/>
    </row>
    <row r="1022" customFormat="false" ht="42.75" hidden="false" customHeight="false" outlineLevel="0" collapsed="false">
      <c r="A1022" s="15" t="s">
        <v>1650</v>
      </c>
      <c r="B1022" s="54" t="s">
        <v>3566</v>
      </c>
      <c r="C1022" s="339"/>
      <c r="D1022" s="712"/>
      <c r="E1022" s="751"/>
      <c r="F1022" s="339"/>
      <c r="G1022" s="339"/>
      <c r="H1022" s="339"/>
      <c r="I1022" s="339"/>
      <c r="J1022" s="600"/>
      <c r="K1022" s="600"/>
    </row>
    <row r="1023" customFormat="false" ht="15" hidden="false" customHeight="false" outlineLevel="0" collapsed="false">
      <c r="A1023" s="28" t="s">
        <v>1652</v>
      </c>
      <c r="B1023" s="80" t="s">
        <v>3139</v>
      </c>
      <c r="C1023" s="912" t="n">
        <v>1</v>
      </c>
      <c r="D1023" s="1427" t="n">
        <f aca="false">E1023+F1023+G1023+H1023</f>
        <v>45</v>
      </c>
      <c r="E1023" s="1427" t="n">
        <v>25</v>
      </c>
      <c r="F1023" s="1675" t="n">
        <v>20</v>
      </c>
      <c r="G1023" s="1675"/>
      <c r="H1023" s="1675"/>
      <c r="I1023" s="1675" t="n">
        <v>30</v>
      </c>
      <c r="J1023" s="1676"/>
      <c r="K1023" s="1676"/>
    </row>
    <row r="1024" customFormat="false" ht="15" hidden="false" customHeight="false" outlineLevel="0" collapsed="false">
      <c r="A1024" s="28" t="s">
        <v>1653</v>
      </c>
      <c r="B1024" s="80" t="s">
        <v>3567</v>
      </c>
      <c r="C1024" s="912" t="n">
        <v>1</v>
      </c>
      <c r="D1024" s="547" t="n">
        <f aca="false">E1024+F1024+G1024+H1024</f>
        <v>60</v>
      </c>
      <c r="E1024" s="547" t="n">
        <v>35</v>
      </c>
      <c r="F1024" s="912" t="n">
        <v>25</v>
      </c>
      <c r="G1024" s="912"/>
      <c r="H1024" s="912"/>
      <c r="I1024" s="912" t="n">
        <v>30</v>
      </c>
      <c r="J1024" s="679"/>
      <c r="K1024" s="679"/>
    </row>
    <row r="1025" customFormat="false" ht="15" hidden="false" customHeight="false" outlineLevel="0" collapsed="false">
      <c r="A1025" s="28" t="s">
        <v>1654</v>
      </c>
      <c r="B1025" s="80" t="s">
        <v>3497</v>
      </c>
      <c r="C1025" s="912" t="n">
        <v>1</v>
      </c>
      <c r="D1025" s="547" t="n">
        <f aca="false">E1025+F1025+G1025+H1025</f>
        <v>60</v>
      </c>
      <c r="E1025" s="547" t="n">
        <v>35</v>
      </c>
      <c r="F1025" s="912" t="n">
        <v>25</v>
      </c>
      <c r="G1025" s="912"/>
      <c r="H1025" s="912"/>
      <c r="I1025" s="912" t="n">
        <v>30</v>
      </c>
      <c r="J1025" s="679"/>
      <c r="K1025" s="679"/>
    </row>
    <row r="1026" customFormat="false" ht="15" hidden="false" customHeight="false" outlineLevel="0" collapsed="false">
      <c r="A1026" s="28" t="s">
        <v>1655</v>
      </c>
      <c r="B1026" s="80" t="s">
        <v>3568</v>
      </c>
      <c r="C1026" s="912" t="n">
        <v>1</v>
      </c>
      <c r="D1026" s="547" t="n">
        <f aca="false">E1026+F1026+G1026+H1026</f>
        <v>80</v>
      </c>
      <c r="E1026" s="547" t="n">
        <v>40</v>
      </c>
      <c r="F1026" s="912" t="n">
        <v>40</v>
      </c>
      <c r="G1026" s="912"/>
      <c r="H1026" s="912"/>
      <c r="I1026" s="912" t="n">
        <v>30</v>
      </c>
      <c r="J1026" s="679"/>
      <c r="K1026" s="679"/>
    </row>
    <row r="1027" customFormat="false" ht="15" hidden="false" customHeight="false" outlineLevel="0" collapsed="false">
      <c r="A1027" s="28" t="s">
        <v>1656</v>
      </c>
      <c r="B1027" s="80" t="s">
        <v>3463</v>
      </c>
      <c r="C1027" s="912" t="n">
        <v>1</v>
      </c>
      <c r="D1027" s="547" t="n">
        <f aca="false">E1027+F1027+G1027+H1027</f>
        <v>80</v>
      </c>
      <c r="E1027" s="547" t="n">
        <v>40</v>
      </c>
      <c r="F1027" s="912" t="n">
        <v>40</v>
      </c>
      <c r="G1027" s="912"/>
      <c r="H1027" s="912"/>
      <c r="I1027" s="912" t="n">
        <v>30</v>
      </c>
      <c r="J1027" s="679"/>
      <c r="K1027" s="679"/>
    </row>
    <row r="1028" customFormat="false" ht="30" hidden="false" customHeight="false" outlineLevel="0" collapsed="false">
      <c r="A1028" s="28" t="s">
        <v>1657</v>
      </c>
      <c r="B1028" s="80" t="s">
        <v>3466</v>
      </c>
      <c r="C1028" s="912" t="n">
        <v>1</v>
      </c>
      <c r="D1028" s="547" t="n">
        <f aca="false">E1028+F1028+G1028+H1028</f>
        <v>80</v>
      </c>
      <c r="E1028" s="547" t="n">
        <v>40</v>
      </c>
      <c r="F1028" s="912" t="n">
        <v>40</v>
      </c>
      <c r="G1028" s="912"/>
      <c r="H1028" s="912"/>
      <c r="I1028" s="912" t="n">
        <v>30</v>
      </c>
      <c r="J1028" s="679"/>
      <c r="K1028" s="679"/>
    </row>
    <row r="1029" customFormat="false" ht="15" hidden="false" customHeight="false" outlineLevel="0" collapsed="false">
      <c r="A1029" s="28" t="s">
        <v>1658</v>
      </c>
      <c r="B1029" s="81" t="s">
        <v>3486</v>
      </c>
      <c r="C1029" s="912" t="n">
        <v>1</v>
      </c>
      <c r="D1029" s="547" t="n">
        <f aca="false">E1029+F1029+G1029+H1029</f>
        <v>80</v>
      </c>
      <c r="E1029" s="547" t="n">
        <v>40</v>
      </c>
      <c r="F1029" s="912" t="n">
        <v>40</v>
      </c>
      <c r="G1029" s="912"/>
      <c r="H1029" s="912"/>
      <c r="I1029" s="912" t="n">
        <v>30</v>
      </c>
      <c r="J1029" s="679"/>
      <c r="K1029" s="679"/>
    </row>
    <row r="1030" customFormat="false" ht="15" hidden="false" customHeight="false" outlineLevel="0" collapsed="false">
      <c r="A1030" s="28" t="s">
        <v>1659</v>
      </c>
      <c r="B1030" s="81" t="s">
        <v>3560</v>
      </c>
      <c r="C1030" s="912" t="n">
        <v>1</v>
      </c>
      <c r="D1030" s="547" t="n">
        <f aca="false">E1030+F1030+G1030+H1030</f>
        <v>260</v>
      </c>
      <c r="E1030" s="547" t="n">
        <v>130</v>
      </c>
      <c r="F1030" s="912" t="n">
        <v>130</v>
      </c>
      <c r="G1030" s="912"/>
      <c r="H1030" s="912"/>
      <c r="I1030" s="912" t="n">
        <v>160</v>
      </c>
      <c r="J1030" s="679"/>
      <c r="K1030" s="679"/>
    </row>
    <row r="1031" customFormat="false" ht="15" hidden="false" customHeight="false" outlineLevel="0" collapsed="false">
      <c r="A1031" s="28" t="s">
        <v>1660</v>
      </c>
      <c r="B1031" s="80" t="s">
        <v>3569</v>
      </c>
      <c r="C1031" s="912" t="n">
        <v>1</v>
      </c>
      <c r="D1031" s="547" t="n">
        <f aca="false">E1031+F1031+G1031+H1031</f>
        <v>80</v>
      </c>
      <c r="E1031" s="547" t="n">
        <v>40</v>
      </c>
      <c r="F1031" s="912" t="n">
        <v>40</v>
      </c>
      <c r="G1031" s="912"/>
      <c r="H1031" s="912"/>
      <c r="I1031" s="912" t="n">
        <v>30</v>
      </c>
      <c r="J1031" s="679"/>
      <c r="K1031" s="679"/>
    </row>
    <row r="1032" customFormat="false" ht="36" hidden="false" customHeight="true" outlineLevel="0" collapsed="false">
      <c r="A1032" s="28" t="s">
        <v>1662</v>
      </c>
      <c r="B1032" s="80" t="s">
        <v>3523</v>
      </c>
      <c r="C1032" s="912" t="n">
        <v>1</v>
      </c>
      <c r="D1032" s="1673" t="n">
        <f aca="false">E1032+F1032+G1032+H1032</f>
        <v>740</v>
      </c>
      <c r="E1032" s="1673" t="n">
        <v>535</v>
      </c>
      <c r="F1032" s="1674" t="n">
        <v>205</v>
      </c>
      <c r="G1032" s="1674"/>
      <c r="H1032" s="1674"/>
      <c r="I1032" s="1674" t="n">
        <v>30</v>
      </c>
      <c r="J1032" s="772"/>
      <c r="K1032" s="772"/>
    </row>
    <row r="1033" customFormat="false" ht="50.25" hidden="false" customHeight="true" outlineLevel="0" collapsed="false">
      <c r="A1033" s="15" t="s">
        <v>1663</v>
      </c>
      <c r="B1033" s="54" t="s">
        <v>3570</v>
      </c>
      <c r="C1033" s="339"/>
      <c r="D1033" s="712"/>
      <c r="E1033" s="751"/>
      <c r="F1033" s="339"/>
      <c r="G1033" s="339"/>
      <c r="H1033" s="339"/>
      <c r="I1033" s="339"/>
      <c r="J1033" s="600"/>
      <c r="K1033" s="600"/>
    </row>
    <row r="1034" customFormat="false" ht="30" hidden="false" customHeight="false" outlineLevel="0" collapsed="false">
      <c r="A1034" s="28" t="s">
        <v>1665</v>
      </c>
      <c r="B1034" s="80" t="s">
        <v>3571</v>
      </c>
      <c r="C1034" s="912" t="n">
        <v>1</v>
      </c>
      <c r="D1034" s="1427" t="n">
        <f aca="false">E1034+F1034+G1034+H1034</f>
        <v>2424</v>
      </c>
      <c r="E1034" s="1427" t="n">
        <v>2120</v>
      </c>
      <c r="F1034" s="1675" t="n">
        <v>304</v>
      </c>
      <c r="G1034" s="1675"/>
      <c r="H1034" s="1675"/>
      <c r="I1034" s="1675" t="n">
        <v>30</v>
      </c>
      <c r="J1034" s="1676"/>
      <c r="K1034" s="1676"/>
    </row>
    <row r="1035" customFormat="false" ht="45" hidden="false" customHeight="false" outlineLevel="0" collapsed="false">
      <c r="A1035" s="28" t="s">
        <v>1666</v>
      </c>
      <c r="B1035" s="80" t="s">
        <v>3572</v>
      </c>
      <c r="C1035" s="912" t="n">
        <v>1</v>
      </c>
      <c r="D1035" s="547" t="n">
        <f aca="false">E1035+F1035+G1035+H1035</f>
        <v>740</v>
      </c>
      <c r="E1035" s="547" t="n">
        <v>535</v>
      </c>
      <c r="F1035" s="912" t="n">
        <v>205</v>
      </c>
      <c r="G1035" s="912"/>
      <c r="H1035" s="912"/>
      <c r="I1035" s="912" t="n">
        <v>30</v>
      </c>
      <c r="J1035" s="679"/>
      <c r="K1035" s="679"/>
    </row>
    <row r="1036" customFormat="false" ht="30" hidden="false" customHeight="false" outlineLevel="0" collapsed="false">
      <c r="A1036" s="28" t="s">
        <v>1667</v>
      </c>
      <c r="B1036" s="80" t="s">
        <v>3573</v>
      </c>
      <c r="C1036" s="912" t="n">
        <v>1</v>
      </c>
      <c r="D1036" s="547" t="n">
        <f aca="false">E1036+F1036+G1036+H1036</f>
        <v>1505</v>
      </c>
      <c r="E1036" s="547" t="n">
        <v>700</v>
      </c>
      <c r="F1036" s="912" t="n">
        <v>805</v>
      </c>
      <c r="G1036" s="912"/>
      <c r="H1036" s="912"/>
      <c r="I1036" s="912" t="n">
        <v>30</v>
      </c>
      <c r="J1036" s="679"/>
      <c r="K1036" s="679"/>
    </row>
    <row r="1037" customFormat="false" ht="30" hidden="false" customHeight="false" outlineLevel="0" collapsed="false">
      <c r="A1037" s="28" t="s">
        <v>1669</v>
      </c>
      <c r="B1037" s="80" t="s">
        <v>3574</v>
      </c>
      <c r="C1037" s="912" t="n">
        <v>1</v>
      </c>
      <c r="D1037" s="547" t="n">
        <f aca="false">E1037+F1037+G1037+H1037</f>
        <v>740</v>
      </c>
      <c r="E1037" s="547" t="n">
        <v>535</v>
      </c>
      <c r="F1037" s="912" t="n">
        <v>205</v>
      </c>
      <c r="G1037" s="912"/>
      <c r="H1037" s="912"/>
      <c r="I1037" s="912" t="n">
        <v>30</v>
      </c>
      <c r="J1037" s="679"/>
      <c r="K1037" s="679"/>
    </row>
    <row r="1038" customFormat="false" ht="30" hidden="false" customHeight="false" outlineLevel="0" collapsed="false">
      <c r="A1038" s="28" t="s">
        <v>1671</v>
      </c>
      <c r="B1038" s="80" t="s">
        <v>3575</v>
      </c>
      <c r="C1038" s="912" t="n">
        <v>1</v>
      </c>
      <c r="D1038" s="547" t="n">
        <f aca="false">E1038+F1038+G1038+H1038</f>
        <v>1505</v>
      </c>
      <c r="E1038" s="547" t="n">
        <v>700</v>
      </c>
      <c r="F1038" s="912" t="n">
        <v>805</v>
      </c>
      <c r="G1038" s="912"/>
      <c r="H1038" s="912"/>
      <c r="I1038" s="912" t="n">
        <v>30</v>
      </c>
      <c r="J1038" s="679"/>
      <c r="K1038" s="679"/>
    </row>
    <row r="1039" customFormat="false" ht="45" hidden="false" customHeight="false" outlineLevel="0" collapsed="false">
      <c r="A1039" s="28" t="s">
        <v>1673</v>
      </c>
      <c r="B1039" s="80" t="s">
        <v>3576</v>
      </c>
      <c r="C1039" s="912" t="n">
        <v>1</v>
      </c>
      <c r="D1039" s="547" t="n">
        <f aca="false">E1039+F1039+G1039+H1039</f>
        <v>740</v>
      </c>
      <c r="E1039" s="547" t="n">
        <v>535</v>
      </c>
      <c r="F1039" s="912" t="n">
        <v>205</v>
      </c>
      <c r="G1039" s="912"/>
      <c r="H1039" s="912"/>
      <c r="I1039" s="912" t="n">
        <v>120</v>
      </c>
      <c r="J1039" s="679"/>
      <c r="K1039" s="679"/>
    </row>
    <row r="1040" customFormat="false" ht="45" hidden="false" customHeight="false" outlineLevel="0" collapsed="false">
      <c r="A1040" s="28" t="s">
        <v>1675</v>
      </c>
      <c r="B1040" s="80" t="s">
        <v>3577</v>
      </c>
      <c r="C1040" s="912" t="n">
        <v>1</v>
      </c>
      <c r="D1040" s="547" t="n">
        <f aca="false">E1040+F1040+G1040+H1040</f>
        <v>2100</v>
      </c>
      <c r="E1040" s="547" t="n">
        <v>1100</v>
      </c>
      <c r="F1040" s="912" t="n">
        <v>1000</v>
      </c>
      <c r="G1040" s="912"/>
      <c r="H1040" s="912"/>
      <c r="I1040" s="912" t="n">
        <v>120</v>
      </c>
      <c r="J1040" s="679"/>
      <c r="K1040" s="679"/>
    </row>
    <row r="1041" customFormat="false" ht="30" hidden="false" customHeight="false" outlineLevel="0" collapsed="false">
      <c r="A1041" s="28" t="s">
        <v>1677</v>
      </c>
      <c r="B1041" s="80" t="s">
        <v>3578</v>
      </c>
      <c r="C1041" s="912" t="n">
        <v>1</v>
      </c>
      <c r="D1041" s="547" t="n">
        <f aca="false">E1041+F1041+G1041+H1041</f>
        <v>2755</v>
      </c>
      <c r="E1041" s="547" t="n">
        <v>2395</v>
      </c>
      <c r="F1041" s="912" t="n">
        <v>360</v>
      </c>
      <c r="G1041" s="912"/>
      <c r="H1041" s="912"/>
      <c r="I1041" s="912" t="n">
        <v>30</v>
      </c>
      <c r="J1041" s="679"/>
      <c r="K1041" s="679"/>
    </row>
    <row r="1042" customFormat="false" ht="37.5" hidden="false" customHeight="true" outlineLevel="0" collapsed="false">
      <c r="A1042" s="28" t="s">
        <v>1678</v>
      </c>
      <c r="B1042" s="80" t="s">
        <v>3533</v>
      </c>
      <c r="C1042" s="912" t="n">
        <v>1</v>
      </c>
      <c r="D1042" s="547" t="n">
        <f aca="false">E1042+F1042+G1042+H1042</f>
        <v>6070</v>
      </c>
      <c r="E1042" s="547" t="n">
        <v>3270</v>
      </c>
      <c r="F1042" s="912" t="n">
        <v>2800</v>
      </c>
      <c r="G1042" s="912"/>
      <c r="H1042" s="912"/>
      <c r="I1042" s="912" t="n">
        <v>30</v>
      </c>
      <c r="J1042" s="679"/>
      <c r="K1042" s="679"/>
    </row>
    <row r="1043" customFormat="false" ht="30" hidden="false" customHeight="false" outlineLevel="0" collapsed="false">
      <c r="A1043" s="28" t="s">
        <v>1679</v>
      </c>
      <c r="B1043" s="80" t="s">
        <v>3579</v>
      </c>
      <c r="C1043" s="912" t="n">
        <v>1</v>
      </c>
      <c r="D1043" s="547" t="n">
        <f aca="false">E1043+F1043+G1043+H1043</f>
        <v>2755</v>
      </c>
      <c r="E1043" s="547" t="n">
        <v>2395</v>
      </c>
      <c r="F1043" s="912" t="n">
        <v>360</v>
      </c>
      <c r="G1043" s="912"/>
      <c r="H1043" s="912"/>
      <c r="I1043" s="912" t="n">
        <v>30</v>
      </c>
      <c r="J1043" s="679"/>
      <c r="K1043" s="679"/>
    </row>
    <row r="1044" customFormat="false" ht="21" hidden="false" customHeight="true" outlineLevel="0" collapsed="false">
      <c r="A1044" s="28" t="s">
        <v>1681</v>
      </c>
      <c r="B1044" s="81" t="s">
        <v>3488</v>
      </c>
      <c r="C1044" s="912" t="n">
        <v>1</v>
      </c>
      <c r="D1044" s="1673" t="n">
        <f aca="false">E1044+F1044+G1044+H1044</f>
        <v>60</v>
      </c>
      <c r="E1044" s="547" t="n">
        <v>35</v>
      </c>
      <c r="F1044" s="912" t="n">
        <v>25</v>
      </c>
      <c r="G1044" s="912"/>
      <c r="H1044" s="912"/>
      <c r="I1044" s="912" t="n">
        <v>30</v>
      </c>
      <c r="J1044" s="772"/>
      <c r="K1044" s="772"/>
    </row>
    <row r="1045" customFormat="false" ht="19.5" hidden="false" customHeight="true" outlineLevel="0" collapsed="false">
      <c r="A1045" s="15" t="s">
        <v>1682</v>
      </c>
      <c r="B1045" s="16" t="s">
        <v>3580</v>
      </c>
      <c r="C1045" s="339"/>
      <c r="D1045" s="712"/>
      <c r="E1045" s="751"/>
      <c r="F1045" s="339"/>
      <c r="G1045" s="339"/>
      <c r="H1045" s="339"/>
      <c r="I1045" s="339"/>
      <c r="J1045" s="600"/>
      <c r="K1045" s="600"/>
    </row>
    <row r="1046" customFormat="false" ht="45" hidden="false" customHeight="false" outlineLevel="0" collapsed="false">
      <c r="A1046" s="28" t="s">
        <v>1684</v>
      </c>
      <c r="B1046" s="80" t="s">
        <v>3581</v>
      </c>
      <c r="C1046" s="912" t="n">
        <v>1</v>
      </c>
      <c r="D1046" s="1427" t="n">
        <f aca="false">E1046+F1046+G1046+H1046</f>
        <v>225</v>
      </c>
      <c r="E1046" s="1427" t="n">
        <v>135</v>
      </c>
      <c r="F1046" s="1675" t="n">
        <v>90</v>
      </c>
      <c r="G1046" s="1675"/>
      <c r="H1046" s="1675"/>
      <c r="I1046" s="1675" t="n">
        <v>30</v>
      </c>
      <c r="J1046" s="1676"/>
      <c r="K1046" s="1676"/>
    </row>
    <row r="1047" customFormat="false" ht="45" hidden="false" customHeight="false" outlineLevel="0" collapsed="false">
      <c r="A1047" s="28" t="s">
        <v>1686</v>
      </c>
      <c r="B1047" s="80" t="s">
        <v>3582</v>
      </c>
      <c r="C1047" s="912" t="n">
        <v>1</v>
      </c>
      <c r="D1047" s="547" t="n">
        <f aca="false">E1047+F1047+G1047+H1047</f>
        <v>225</v>
      </c>
      <c r="E1047" s="547" t="n">
        <v>135</v>
      </c>
      <c r="F1047" s="912" t="n">
        <v>90</v>
      </c>
      <c r="G1047" s="912"/>
      <c r="H1047" s="912"/>
      <c r="I1047" s="912" t="n">
        <v>30</v>
      </c>
      <c r="J1047" s="679"/>
      <c r="K1047" s="679"/>
    </row>
    <row r="1048" customFormat="false" ht="24.75" hidden="false" customHeight="true" outlineLevel="0" collapsed="false">
      <c r="A1048" s="343" t="s">
        <v>1688</v>
      </c>
      <c r="B1048" s="318" t="s">
        <v>3583</v>
      </c>
      <c r="C1048" s="1547"/>
      <c r="D1048" s="1693"/>
      <c r="E1048" s="1694"/>
      <c r="F1048" s="1695"/>
      <c r="G1048" s="1695"/>
      <c r="H1048" s="1695"/>
      <c r="I1048" s="1695"/>
      <c r="J1048" s="1696"/>
      <c r="K1048" s="1696"/>
    </row>
    <row r="1049" customFormat="false" ht="42.75" hidden="false" customHeight="false" outlineLevel="0" collapsed="false">
      <c r="A1049" s="350" t="s">
        <v>1690</v>
      </c>
      <c r="B1049" s="54" t="s">
        <v>3584</v>
      </c>
      <c r="C1049" s="339"/>
      <c r="D1049" s="712"/>
      <c r="E1049" s="751"/>
      <c r="F1049" s="339"/>
      <c r="G1049" s="339"/>
      <c r="H1049" s="339"/>
      <c r="I1049" s="339"/>
      <c r="J1049" s="600"/>
      <c r="K1049" s="600"/>
    </row>
    <row r="1050" customFormat="false" ht="30" hidden="false" customHeight="false" outlineLevel="0" collapsed="false">
      <c r="A1050" s="327" t="s">
        <v>1692</v>
      </c>
      <c r="B1050" s="40" t="s">
        <v>3585</v>
      </c>
      <c r="C1050" s="912" t="n">
        <v>1</v>
      </c>
      <c r="D1050" s="1427" t="n">
        <f aca="false">SUM(E1050:G1050)</f>
        <v>16</v>
      </c>
      <c r="E1050" s="1427" t="n">
        <v>8</v>
      </c>
      <c r="F1050" s="1675" t="n">
        <v>4</v>
      </c>
      <c r="G1050" s="1675" t="n">
        <v>4</v>
      </c>
      <c r="H1050" s="1675"/>
      <c r="I1050" s="1675" t="n">
        <v>45</v>
      </c>
      <c r="J1050" s="1676" t="s">
        <v>7360</v>
      </c>
      <c r="K1050" s="1676"/>
    </row>
    <row r="1051" customFormat="false" ht="30" hidden="false" customHeight="false" outlineLevel="0" collapsed="false">
      <c r="A1051" s="327" t="s">
        <v>1694</v>
      </c>
      <c r="B1051" s="40" t="s">
        <v>3586</v>
      </c>
      <c r="C1051" s="912" t="n">
        <v>1</v>
      </c>
      <c r="D1051" s="1673" t="n">
        <f aca="false">SUM(E1051:G1051)</f>
        <v>90</v>
      </c>
      <c r="E1051" s="1673" t="n">
        <v>50</v>
      </c>
      <c r="F1051" s="1674" t="n">
        <v>25</v>
      </c>
      <c r="G1051" s="1674" t="n">
        <v>15</v>
      </c>
      <c r="H1051" s="1674"/>
      <c r="I1051" s="1674" t="n">
        <v>110</v>
      </c>
      <c r="J1051" s="772" t="s">
        <v>7361</v>
      </c>
      <c r="K1051" s="772"/>
    </row>
    <row r="1052" customFormat="false" ht="42.75" hidden="false" customHeight="false" outlineLevel="0" collapsed="false">
      <c r="A1052" s="350" t="s">
        <v>1696</v>
      </c>
      <c r="B1052" s="88" t="s">
        <v>3587</v>
      </c>
      <c r="C1052" s="339"/>
      <c r="D1052" s="712"/>
      <c r="E1052" s="751"/>
      <c r="F1052" s="339"/>
      <c r="G1052" s="339"/>
      <c r="H1052" s="339"/>
      <c r="I1052" s="339"/>
      <c r="J1052" s="600"/>
      <c r="K1052" s="600"/>
    </row>
    <row r="1053" customFormat="false" ht="30" hidden="false" customHeight="false" outlineLevel="0" collapsed="false">
      <c r="A1053" s="327" t="s">
        <v>1698</v>
      </c>
      <c r="B1053" s="40" t="s">
        <v>3588</v>
      </c>
      <c r="C1053" s="912" t="n">
        <v>1</v>
      </c>
      <c r="D1053" s="1427" t="n">
        <f aca="false">SUM(E1053:G1053)</f>
        <v>51</v>
      </c>
      <c r="E1053" s="1427" t="n">
        <v>20</v>
      </c>
      <c r="F1053" s="1675" t="n">
        <v>11</v>
      </c>
      <c r="G1053" s="1675" t="n">
        <v>20</v>
      </c>
      <c r="H1053" s="1675"/>
      <c r="I1053" s="1675" t="n">
        <v>60</v>
      </c>
      <c r="J1053" s="1676" t="s">
        <v>7362</v>
      </c>
      <c r="K1053" s="1676"/>
    </row>
    <row r="1054" customFormat="false" ht="60" hidden="false" customHeight="false" outlineLevel="0" collapsed="false">
      <c r="A1054" s="327" t="s">
        <v>1700</v>
      </c>
      <c r="B1054" s="40" t="s">
        <v>3589</v>
      </c>
      <c r="C1054" s="912" t="n">
        <v>1</v>
      </c>
      <c r="D1054" s="547" t="n">
        <f aca="false">SUM(E1054:G1054)</f>
        <v>120</v>
      </c>
      <c r="E1054" s="547" t="n">
        <v>70</v>
      </c>
      <c r="F1054" s="912" t="n">
        <v>40</v>
      </c>
      <c r="G1054" s="912" t="n">
        <v>10</v>
      </c>
      <c r="H1054" s="912"/>
      <c r="I1054" s="912" t="n">
        <v>70</v>
      </c>
      <c r="J1054" s="679"/>
      <c r="K1054" s="679"/>
    </row>
    <row r="1055" customFormat="false" ht="28.5" hidden="false" customHeight="false" outlineLevel="0" collapsed="false">
      <c r="A1055" s="351" t="s">
        <v>1702</v>
      </c>
      <c r="B1055" s="90" t="s">
        <v>3590</v>
      </c>
      <c r="C1055" s="339"/>
      <c r="D1055" s="712"/>
      <c r="E1055" s="751"/>
      <c r="F1055" s="339"/>
      <c r="G1055" s="339"/>
      <c r="H1055" s="339"/>
      <c r="I1055" s="339"/>
      <c r="J1055" s="600"/>
      <c r="K1055" s="600"/>
    </row>
    <row r="1056" customFormat="false" ht="30" hidden="false" customHeight="false" outlineLevel="0" collapsed="false">
      <c r="A1056" s="327" t="s">
        <v>1704</v>
      </c>
      <c r="B1056" s="40" t="s">
        <v>3591</v>
      </c>
      <c r="C1056" s="912" t="n">
        <v>1</v>
      </c>
      <c r="D1056" s="1427" t="n">
        <f aca="false">SUM(E1056:G1056)</f>
        <v>25</v>
      </c>
      <c r="E1056" s="1427" t="n">
        <v>15</v>
      </c>
      <c r="F1056" s="1675" t="n">
        <v>5</v>
      </c>
      <c r="G1056" s="1675" t="n">
        <v>5</v>
      </c>
      <c r="H1056" s="1675"/>
      <c r="I1056" s="1675" t="n">
        <v>60</v>
      </c>
      <c r="J1056" s="1676" t="s">
        <v>7363</v>
      </c>
      <c r="K1056" s="1676"/>
    </row>
    <row r="1057" customFormat="false" ht="15" hidden="false" customHeight="false" outlineLevel="0" collapsed="false">
      <c r="A1057" s="327" t="s">
        <v>1706</v>
      </c>
      <c r="B1057" s="40" t="s">
        <v>3592</v>
      </c>
      <c r="C1057" s="912" t="n">
        <v>1</v>
      </c>
      <c r="D1057" s="1673" t="n">
        <f aca="false">SUM(E1057:G1057)</f>
        <v>180</v>
      </c>
      <c r="E1057" s="1673" t="n">
        <v>100</v>
      </c>
      <c r="F1057" s="1674" t="n">
        <v>60</v>
      </c>
      <c r="G1057" s="1674" t="n">
        <v>20</v>
      </c>
      <c r="H1057" s="1674"/>
      <c r="I1057" s="1674" t="n">
        <v>222</v>
      </c>
      <c r="J1057" s="772"/>
      <c r="K1057" s="772"/>
    </row>
    <row r="1058" customFormat="false" ht="28.5" hidden="false" customHeight="false" outlineLevel="0" collapsed="false">
      <c r="A1058" s="350" t="s">
        <v>1708</v>
      </c>
      <c r="B1058" s="88" t="s">
        <v>3593</v>
      </c>
      <c r="C1058" s="339"/>
      <c r="D1058" s="712"/>
      <c r="E1058" s="751"/>
      <c r="F1058" s="339"/>
      <c r="G1058" s="339"/>
      <c r="H1058" s="339"/>
      <c r="I1058" s="339"/>
      <c r="J1058" s="600"/>
      <c r="K1058" s="600"/>
    </row>
    <row r="1059" customFormat="false" ht="15" hidden="false" customHeight="false" outlineLevel="0" collapsed="false">
      <c r="A1059" s="327" t="s">
        <v>1710</v>
      </c>
      <c r="B1059" s="40" t="s">
        <v>3592</v>
      </c>
      <c r="C1059" s="912" t="n">
        <v>1</v>
      </c>
      <c r="D1059" s="1427" t="n">
        <f aca="false">SUM(E1059:G1059)</f>
        <v>190</v>
      </c>
      <c r="E1059" s="1427" t="n">
        <v>120</v>
      </c>
      <c r="F1059" s="1675" t="n">
        <v>60</v>
      </c>
      <c r="G1059" s="1675" t="n">
        <v>10</v>
      </c>
      <c r="H1059" s="1675"/>
      <c r="I1059" s="1675" t="n">
        <v>222</v>
      </c>
      <c r="J1059" s="1676"/>
      <c r="K1059" s="1676"/>
    </row>
    <row r="1060" customFormat="false" ht="45" hidden="false" customHeight="false" outlineLevel="0" collapsed="false">
      <c r="A1060" s="327" t="s">
        <v>1711</v>
      </c>
      <c r="B1060" s="40" t="s">
        <v>3594</v>
      </c>
      <c r="C1060" s="912" t="n">
        <v>1</v>
      </c>
      <c r="D1060" s="547" t="n">
        <f aca="false">SUM(E1060:G1060)</f>
        <v>570</v>
      </c>
      <c r="E1060" s="547" t="n">
        <v>420</v>
      </c>
      <c r="F1060" s="912" t="n">
        <v>140</v>
      </c>
      <c r="G1060" s="912" t="n">
        <v>10</v>
      </c>
      <c r="H1060" s="912"/>
      <c r="I1060" s="912" t="n">
        <v>438</v>
      </c>
      <c r="J1060" s="679" t="s">
        <v>7364</v>
      </c>
      <c r="K1060" s="679"/>
    </row>
    <row r="1061" customFormat="false" ht="45" hidden="false" customHeight="false" outlineLevel="0" collapsed="false">
      <c r="A1061" s="327" t="s">
        <v>1713</v>
      </c>
      <c r="B1061" s="40" t="s">
        <v>3595</v>
      </c>
      <c r="C1061" s="912" t="n">
        <v>1</v>
      </c>
      <c r="D1061" s="547" t="n">
        <f aca="false">SUM(E1061:G1061)</f>
        <v>750</v>
      </c>
      <c r="E1061" s="547" t="n">
        <v>420</v>
      </c>
      <c r="F1061" s="912" t="n">
        <v>320</v>
      </c>
      <c r="G1061" s="912" t="n">
        <v>10</v>
      </c>
      <c r="H1061" s="912"/>
      <c r="I1061" s="912" t="n">
        <v>203</v>
      </c>
      <c r="J1061" s="679" t="s">
        <v>7365</v>
      </c>
      <c r="K1061" s="679"/>
    </row>
    <row r="1062" customFormat="false" ht="45" hidden="false" customHeight="false" outlineLevel="0" collapsed="false">
      <c r="A1062" s="327" t="s">
        <v>1715</v>
      </c>
      <c r="B1062" s="40" t="s">
        <v>3596</v>
      </c>
      <c r="C1062" s="912" t="n">
        <v>1</v>
      </c>
      <c r="D1062" s="547" t="n">
        <f aca="false">SUM(E1062:G1062)</f>
        <v>540</v>
      </c>
      <c r="E1062" s="547" t="n">
        <v>410</v>
      </c>
      <c r="F1062" s="912" t="n">
        <v>120</v>
      </c>
      <c r="G1062" s="912" t="n">
        <v>10</v>
      </c>
      <c r="H1062" s="912"/>
      <c r="I1062" s="912" t="n">
        <v>418</v>
      </c>
      <c r="J1062" s="679" t="s">
        <v>7366</v>
      </c>
      <c r="K1062" s="679"/>
    </row>
    <row r="1063" customFormat="false" ht="45" hidden="false" customHeight="false" outlineLevel="0" collapsed="false">
      <c r="A1063" s="327" t="s">
        <v>1717</v>
      </c>
      <c r="B1063" s="40" t="s">
        <v>3597</v>
      </c>
      <c r="C1063" s="912" t="n">
        <v>1</v>
      </c>
      <c r="D1063" s="1673" t="n">
        <f aca="false">SUM(E1063:G1063)</f>
        <v>550</v>
      </c>
      <c r="E1063" s="1673" t="n">
        <v>300</v>
      </c>
      <c r="F1063" s="1674" t="n">
        <v>240</v>
      </c>
      <c r="G1063" s="1674" t="n">
        <v>10</v>
      </c>
      <c r="H1063" s="1674"/>
      <c r="I1063" s="1674" t="n">
        <v>243</v>
      </c>
      <c r="J1063" s="772" t="s">
        <v>7367</v>
      </c>
      <c r="K1063" s="772"/>
    </row>
    <row r="1064" customFormat="false" ht="28.5" hidden="false" customHeight="false" outlineLevel="0" collapsed="false">
      <c r="A1064" s="350" t="s">
        <v>1719</v>
      </c>
      <c r="B1064" s="88" t="s">
        <v>3598</v>
      </c>
      <c r="C1064" s="339"/>
      <c r="D1064" s="712"/>
      <c r="E1064" s="751"/>
      <c r="F1064" s="339"/>
      <c r="G1064" s="339"/>
      <c r="H1064" s="339"/>
      <c r="I1064" s="339"/>
      <c r="J1064" s="600"/>
      <c r="K1064" s="600"/>
    </row>
    <row r="1065" customFormat="false" ht="45" hidden="false" customHeight="false" outlineLevel="0" collapsed="false">
      <c r="A1065" s="327" t="s">
        <v>1721</v>
      </c>
      <c r="B1065" s="40" t="s">
        <v>3599</v>
      </c>
      <c r="C1065" s="912" t="n">
        <v>1</v>
      </c>
      <c r="D1065" s="1427" t="n">
        <f aca="false">SUM(E1065:G1065)</f>
        <v>90</v>
      </c>
      <c r="E1065" s="1427" t="n">
        <v>50</v>
      </c>
      <c r="F1065" s="1675" t="n">
        <v>25</v>
      </c>
      <c r="G1065" s="1675" t="n">
        <v>15</v>
      </c>
      <c r="H1065" s="1675"/>
      <c r="I1065" s="1675" t="n">
        <v>92</v>
      </c>
      <c r="J1065" s="1676" t="s">
        <v>7368</v>
      </c>
      <c r="K1065" s="1676"/>
    </row>
    <row r="1066" customFormat="false" ht="45" hidden="false" customHeight="false" outlineLevel="0" collapsed="false">
      <c r="A1066" s="327" t="s">
        <v>1723</v>
      </c>
      <c r="B1066" s="40" t="s">
        <v>3600</v>
      </c>
      <c r="C1066" s="912" t="n">
        <v>1</v>
      </c>
      <c r="D1066" s="547" t="n">
        <f aca="false">SUM(E1066:G1066)</f>
        <v>20</v>
      </c>
      <c r="E1066" s="547" t="n">
        <v>10</v>
      </c>
      <c r="F1066" s="912" t="n">
        <v>5</v>
      </c>
      <c r="G1066" s="912" t="n">
        <v>5</v>
      </c>
      <c r="H1066" s="912"/>
      <c r="I1066" s="912" t="n">
        <v>50</v>
      </c>
      <c r="J1066" s="679" t="s">
        <v>7369</v>
      </c>
      <c r="K1066" s="679"/>
    </row>
    <row r="1067" customFormat="false" ht="30" hidden="false" customHeight="false" outlineLevel="0" collapsed="false">
      <c r="A1067" s="327" t="s">
        <v>1725</v>
      </c>
      <c r="B1067" s="40" t="s">
        <v>3601</v>
      </c>
      <c r="C1067" s="912" t="n">
        <v>1</v>
      </c>
      <c r="D1067" s="547" t="n">
        <f aca="false">SUM(E1067:G1067)</f>
        <v>16</v>
      </c>
      <c r="E1067" s="1427" t="n">
        <v>8</v>
      </c>
      <c r="F1067" s="1675" t="n">
        <v>4</v>
      </c>
      <c r="G1067" s="1675" t="n">
        <v>4</v>
      </c>
      <c r="H1067" s="1675"/>
      <c r="I1067" s="1675" t="n">
        <v>45</v>
      </c>
      <c r="J1067" s="1676" t="s">
        <v>7360</v>
      </c>
      <c r="K1067" s="679"/>
    </row>
    <row r="1068" customFormat="false" ht="45" hidden="false" customHeight="false" outlineLevel="0" collapsed="false">
      <c r="A1068" s="327" t="s">
        <v>1727</v>
      </c>
      <c r="B1068" s="40" t="s">
        <v>3602</v>
      </c>
      <c r="C1068" s="912" t="n">
        <v>1</v>
      </c>
      <c r="D1068" s="547" t="n">
        <f aca="false">SUM(E1068:G1068)</f>
        <v>20</v>
      </c>
      <c r="E1068" s="547" t="n">
        <v>10</v>
      </c>
      <c r="F1068" s="912" t="n">
        <v>5</v>
      </c>
      <c r="G1068" s="912" t="n">
        <v>5</v>
      </c>
      <c r="H1068" s="912"/>
      <c r="I1068" s="912" t="n">
        <v>30</v>
      </c>
      <c r="J1068" s="679" t="s">
        <v>7370</v>
      </c>
      <c r="K1068" s="679"/>
    </row>
    <row r="1069" customFormat="false" ht="45" hidden="false" customHeight="false" outlineLevel="0" collapsed="false">
      <c r="A1069" s="327" t="s">
        <v>1729</v>
      </c>
      <c r="B1069" s="40" t="s">
        <v>3603</v>
      </c>
      <c r="C1069" s="912" t="n">
        <v>1</v>
      </c>
      <c r="D1069" s="547" t="n">
        <f aca="false">SUM(E1069:G1069)</f>
        <v>16</v>
      </c>
      <c r="E1069" s="547" t="n">
        <v>8</v>
      </c>
      <c r="F1069" s="912" t="n">
        <v>4</v>
      </c>
      <c r="G1069" s="912" t="n">
        <v>4</v>
      </c>
      <c r="H1069" s="912"/>
      <c r="I1069" s="912" t="n">
        <v>30</v>
      </c>
      <c r="J1069" s="679" t="s">
        <v>7371</v>
      </c>
      <c r="K1069" s="679"/>
    </row>
    <row r="1070" customFormat="false" ht="45" hidden="false" customHeight="false" outlineLevel="0" collapsed="false">
      <c r="A1070" s="327" t="s">
        <v>1731</v>
      </c>
      <c r="B1070" s="40" t="s">
        <v>3604</v>
      </c>
      <c r="C1070" s="912" t="n">
        <v>1</v>
      </c>
      <c r="D1070" s="547" t="n">
        <f aca="false">SUM(E1070:G1070)</f>
        <v>25</v>
      </c>
      <c r="E1070" s="547" t="n">
        <v>15</v>
      </c>
      <c r="F1070" s="912" t="n">
        <v>5</v>
      </c>
      <c r="G1070" s="912" t="n">
        <v>5</v>
      </c>
      <c r="H1070" s="912"/>
      <c r="I1070" s="912" t="n">
        <v>20</v>
      </c>
      <c r="J1070" s="679" t="s">
        <v>7372</v>
      </c>
      <c r="K1070" s="679"/>
    </row>
    <row r="1071" customFormat="false" ht="45" hidden="false" customHeight="false" outlineLevel="0" collapsed="false">
      <c r="A1071" s="327" t="s">
        <v>1733</v>
      </c>
      <c r="B1071" s="40" t="s">
        <v>3605</v>
      </c>
      <c r="C1071" s="912" t="n">
        <v>1</v>
      </c>
      <c r="D1071" s="547" t="n">
        <f aca="false">SUM(E1071:G1071)</f>
        <v>180</v>
      </c>
      <c r="E1071" s="547" t="n">
        <v>100</v>
      </c>
      <c r="F1071" s="912" t="n">
        <v>60</v>
      </c>
      <c r="G1071" s="912" t="n">
        <v>20</v>
      </c>
      <c r="H1071" s="912"/>
      <c r="I1071" s="912" t="n">
        <v>222</v>
      </c>
      <c r="J1071" s="679" t="s">
        <v>7373</v>
      </c>
      <c r="K1071" s="679"/>
    </row>
    <row r="1072" customFormat="false" ht="45" hidden="false" customHeight="false" outlineLevel="0" collapsed="false">
      <c r="A1072" s="327" t="s">
        <v>1735</v>
      </c>
      <c r="B1072" s="40" t="s">
        <v>3606</v>
      </c>
      <c r="C1072" s="912" t="n">
        <v>1</v>
      </c>
      <c r="D1072" s="547" t="n">
        <f aca="false">SUM(E1072:G1072)</f>
        <v>180</v>
      </c>
      <c r="E1072" s="547" t="n">
        <v>80</v>
      </c>
      <c r="F1072" s="912" t="n">
        <v>60</v>
      </c>
      <c r="G1072" s="912" t="n">
        <v>40</v>
      </c>
      <c r="H1072" s="912"/>
      <c r="I1072" s="912" t="n">
        <v>192</v>
      </c>
      <c r="J1072" s="679" t="s">
        <v>7374</v>
      </c>
      <c r="K1072" s="679"/>
    </row>
    <row r="1073" customFormat="false" ht="45" hidden="false" customHeight="false" outlineLevel="0" collapsed="false">
      <c r="A1073" s="327" t="s">
        <v>1737</v>
      </c>
      <c r="B1073" s="40" t="s">
        <v>3607</v>
      </c>
      <c r="C1073" s="912" t="n">
        <v>1</v>
      </c>
      <c r="D1073" s="1673" t="n">
        <f aca="false">SUM(E1073:G1073)</f>
        <v>180</v>
      </c>
      <c r="E1073" s="1673" t="n">
        <v>80</v>
      </c>
      <c r="F1073" s="1674" t="n">
        <v>60</v>
      </c>
      <c r="G1073" s="1674" t="n">
        <v>40</v>
      </c>
      <c r="H1073" s="1674"/>
      <c r="I1073" s="1674" t="n">
        <v>192</v>
      </c>
      <c r="J1073" s="772" t="s">
        <v>7374</v>
      </c>
      <c r="K1073" s="772"/>
    </row>
    <row r="1074" customFormat="false" ht="71.25" hidden="false" customHeight="false" outlineLevel="0" collapsed="false">
      <c r="A1074" s="350" t="s">
        <v>1739</v>
      </c>
      <c r="B1074" s="88" t="s">
        <v>3608</v>
      </c>
      <c r="C1074" s="541"/>
      <c r="D1074" s="712"/>
      <c r="E1074" s="712"/>
      <c r="F1074" s="541"/>
      <c r="G1074" s="541"/>
      <c r="H1074" s="541"/>
      <c r="I1074" s="541"/>
      <c r="J1074" s="600"/>
      <c r="K1074" s="600"/>
    </row>
    <row r="1075" customFormat="false" ht="45" hidden="false" customHeight="false" outlineLevel="0" collapsed="false">
      <c r="A1075" s="327" t="s">
        <v>1741</v>
      </c>
      <c r="B1075" s="40" t="s">
        <v>3609</v>
      </c>
      <c r="C1075" s="912" t="n">
        <v>1</v>
      </c>
      <c r="D1075" s="1698" t="n">
        <f aca="false">SUM(E1075:G1075)</f>
        <v>50</v>
      </c>
      <c r="E1075" s="1427" t="n">
        <v>25</v>
      </c>
      <c r="F1075" s="1675" t="n">
        <v>15</v>
      </c>
      <c r="G1075" s="1675" t="n">
        <v>10</v>
      </c>
      <c r="H1075" s="1675"/>
      <c r="I1075" s="1675" t="n">
        <v>192</v>
      </c>
      <c r="J1075" s="1676" t="s">
        <v>7375</v>
      </c>
      <c r="K1075" s="1676"/>
    </row>
    <row r="1076" customFormat="false" ht="57" hidden="false" customHeight="false" outlineLevel="0" collapsed="false">
      <c r="A1076" s="351" t="s">
        <v>1743</v>
      </c>
      <c r="B1076" s="54" t="s">
        <v>3610</v>
      </c>
      <c r="C1076" s="541"/>
      <c r="D1076" s="712"/>
      <c r="E1076" s="712"/>
      <c r="F1076" s="541"/>
      <c r="G1076" s="541"/>
      <c r="H1076" s="541"/>
      <c r="I1076" s="541"/>
      <c r="J1076" s="600"/>
      <c r="K1076" s="600"/>
    </row>
    <row r="1077" customFormat="false" ht="45" hidden="false" customHeight="false" outlineLevel="0" collapsed="false">
      <c r="A1077" s="327" t="s">
        <v>1745</v>
      </c>
      <c r="B1077" s="40" t="s">
        <v>3611</v>
      </c>
      <c r="C1077" s="912" t="n">
        <v>1</v>
      </c>
      <c r="D1077" s="1427" t="n">
        <f aca="false">SUM(E1077:G1077)</f>
        <v>50</v>
      </c>
      <c r="E1077" s="1427" t="n">
        <v>25</v>
      </c>
      <c r="F1077" s="1675" t="n">
        <v>15</v>
      </c>
      <c r="G1077" s="1675" t="n">
        <v>10</v>
      </c>
      <c r="H1077" s="1675"/>
      <c r="I1077" s="1675" t="n">
        <v>192</v>
      </c>
      <c r="J1077" s="1676" t="s">
        <v>7376</v>
      </c>
      <c r="K1077" s="1676"/>
    </row>
    <row r="1078" customFormat="false" ht="45" hidden="false" customHeight="false" outlineLevel="0" collapsed="false">
      <c r="A1078" s="327" t="s">
        <v>1747</v>
      </c>
      <c r="B1078" s="40" t="s">
        <v>3612</v>
      </c>
      <c r="C1078" s="912" t="n">
        <v>1</v>
      </c>
      <c r="D1078" s="1673" t="n">
        <f aca="false">SUM(E1078:G1078)</f>
        <v>50</v>
      </c>
      <c r="E1078" s="1673" t="n">
        <v>25</v>
      </c>
      <c r="F1078" s="1674" t="n">
        <v>15</v>
      </c>
      <c r="G1078" s="1674" t="n">
        <v>10</v>
      </c>
      <c r="H1078" s="1674"/>
      <c r="I1078" s="1674" t="n">
        <v>192</v>
      </c>
      <c r="J1078" s="772" t="s">
        <v>7377</v>
      </c>
      <c r="K1078" s="772"/>
    </row>
    <row r="1079" customFormat="false" ht="15" hidden="false" customHeight="false" outlineLevel="0" collapsed="false">
      <c r="A1079" s="351" t="s">
        <v>1749</v>
      </c>
      <c r="B1079" s="54" t="s">
        <v>3613</v>
      </c>
      <c r="C1079" s="541"/>
      <c r="D1079" s="712"/>
      <c r="E1079" s="712"/>
      <c r="F1079" s="541"/>
      <c r="G1079" s="541"/>
      <c r="H1079" s="541"/>
      <c r="I1079" s="541"/>
      <c r="J1079" s="600"/>
      <c r="K1079" s="600"/>
    </row>
    <row r="1080" customFormat="false" ht="45" hidden="false" customHeight="false" outlineLevel="0" collapsed="false">
      <c r="A1080" s="327" t="s">
        <v>1751</v>
      </c>
      <c r="B1080" s="40" t="s">
        <v>3614</v>
      </c>
      <c r="C1080" s="912" t="n">
        <v>1</v>
      </c>
      <c r="D1080" s="1427" t="n">
        <f aca="false">SUM(E1080:G1080)</f>
        <v>50</v>
      </c>
      <c r="E1080" s="1427" t="n">
        <v>25</v>
      </c>
      <c r="F1080" s="1675" t="n">
        <v>15</v>
      </c>
      <c r="G1080" s="1675" t="n">
        <v>10</v>
      </c>
      <c r="H1080" s="1675"/>
      <c r="I1080" s="1675" t="n">
        <v>192</v>
      </c>
      <c r="J1080" s="1676" t="s">
        <v>7375</v>
      </c>
      <c r="K1080" s="1676"/>
    </row>
    <row r="1081" customFormat="false" ht="15" hidden="false" customHeight="false" outlineLevel="0" collapsed="false">
      <c r="A1081" s="327" t="s">
        <v>1753</v>
      </c>
      <c r="B1081" s="40" t="s">
        <v>3592</v>
      </c>
      <c r="C1081" s="912" t="n">
        <v>1</v>
      </c>
      <c r="D1081" s="1673" t="n">
        <f aca="false">SUM(E1081:G1081)</f>
        <v>190</v>
      </c>
      <c r="E1081" s="1673" t="n">
        <v>120</v>
      </c>
      <c r="F1081" s="1674" t="n">
        <v>60</v>
      </c>
      <c r="G1081" s="1674" t="n">
        <v>10</v>
      </c>
      <c r="H1081" s="1674"/>
      <c r="I1081" s="1674" t="n">
        <v>222</v>
      </c>
      <c r="J1081" s="772"/>
      <c r="K1081" s="772"/>
    </row>
    <row r="1082" customFormat="false" ht="42.75" hidden="false" customHeight="false" outlineLevel="0" collapsed="false">
      <c r="A1082" s="351" t="s">
        <v>1754</v>
      </c>
      <c r="B1082" s="54" t="s">
        <v>3615</v>
      </c>
      <c r="C1082" s="541"/>
      <c r="D1082" s="712"/>
      <c r="E1082" s="712"/>
      <c r="F1082" s="541"/>
      <c r="G1082" s="541"/>
      <c r="H1082" s="541"/>
      <c r="I1082" s="541"/>
      <c r="J1082" s="600"/>
      <c r="K1082" s="600"/>
    </row>
    <row r="1083" customFormat="false" ht="45" hidden="false" customHeight="false" outlineLevel="0" collapsed="false">
      <c r="A1083" s="327" t="s">
        <v>1756</v>
      </c>
      <c r="B1083" s="40" t="s">
        <v>3616</v>
      </c>
      <c r="C1083" s="912" t="n">
        <v>1</v>
      </c>
      <c r="D1083" s="1427" t="n">
        <f aca="false">SUM(E1083:G1083)</f>
        <v>180</v>
      </c>
      <c r="E1083" s="1427" t="n">
        <v>100</v>
      </c>
      <c r="F1083" s="1675" t="n">
        <v>60</v>
      </c>
      <c r="G1083" s="1675" t="n">
        <v>20</v>
      </c>
      <c r="H1083" s="1675"/>
      <c r="I1083" s="1675" t="n">
        <v>222</v>
      </c>
      <c r="J1083" s="1676" t="s">
        <v>7378</v>
      </c>
      <c r="K1083" s="1676"/>
    </row>
    <row r="1084" customFormat="false" ht="45" hidden="false" customHeight="false" outlineLevel="0" collapsed="false">
      <c r="A1084" s="327" t="s">
        <v>1758</v>
      </c>
      <c r="B1084" s="40" t="s">
        <v>3594</v>
      </c>
      <c r="C1084" s="912" t="n">
        <v>1</v>
      </c>
      <c r="D1084" s="547" t="n">
        <f aca="false">SUM(E1084:G1084)</f>
        <v>570</v>
      </c>
      <c r="E1084" s="547" t="n">
        <v>420</v>
      </c>
      <c r="F1084" s="912" t="n">
        <v>140</v>
      </c>
      <c r="G1084" s="912" t="n">
        <v>10</v>
      </c>
      <c r="H1084" s="912"/>
      <c r="I1084" s="912" t="n">
        <v>438</v>
      </c>
      <c r="J1084" s="679" t="s">
        <v>7364</v>
      </c>
      <c r="K1084" s="679"/>
    </row>
    <row r="1085" customFormat="false" ht="45" hidden="false" customHeight="false" outlineLevel="0" collapsed="false">
      <c r="A1085" s="327" t="s">
        <v>1759</v>
      </c>
      <c r="B1085" s="40" t="s">
        <v>3595</v>
      </c>
      <c r="C1085" s="912" t="n">
        <v>1</v>
      </c>
      <c r="D1085" s="547" t="n">
        <f aca="false">SUM(E1085:G1085)</f>
        <v>750</v>
      </c>
      <c r="E1085" s="547" t="n">
        <v>420</v>
      </c>
      <c r="F1085" s="912" t="n">
        <v>320</v>
      </c>
      <c r="G1085" s="912" t="n">
        <v>10</v>
      </c>
      <c r="H1085" s="912"/>
      <c r="I1085" s="912" t="n">
        <v>203</v>
      </c>
      <c r="J1085" s="679" t="s">
        <v>7365</v>
      </c>
      <c r="K1085" s="679"/>
    </row>
    <row r="1086" customFormat="false" ht="45" hidden="false" customHeight="false" outlineLevel="0" collapsed="false">
      <c r="A1086" s="327" t="s">
        <v>1760</v>
      </c>
      <c r="B1086" s="40" t="s">
        <v>3617</v>
      </c>
      <c r="C1086" s="912" t="n">
        <v>1</v>
      </c>
      <c r="D1086" s="547" t="n">
        <f aca="false">SUM(E1086:G1086)</f>
        <v>180</v>
      </c>
      <c r="E1086" s="547" t="n">
        <v>100</v>
      </c>
      <c r="F1086" s="912" t="n">
        <v>60</v>
      </c>
      <c r="G1086" s="912" t="n">
        <v>20</v>
      </c>
      <c r="H1086" s="912"/>
      <c r="I1086" s="912" t="n">
        <v>60</v>
      </c>
      <c r="J1086" s="679" t="s">
        <v>7379</v>
      </c>
      <c r="K1086" s="679"/>
    </row>
    <row r="1087" customFormat="false" ht="45" hidden="false" customHeight="false" outlineLevel="0" collapsed="false">
      <c r="A1087" s="327" t="s">
        <v>1762</v>
      </c>
      <c r="B1087" s="40" t="s">
        <v>3618</v>
      </c>
      <c r="C1087" s="912" t="n">
        <v>1</v>
      </c>
      <c r="D1087" s="547" t="n">
        <f aca="false">SUM(E1087:G1087)</f>
        <v>550</v>
      </c>
      <c r="E1087" s="1673" t="n">
        <v>300</v>
      </c>
      <c r="F1087" s="1674" t="n">
        <v>240</v>
      </c>
      <c r="G1087" s="1674" t="n">
        <v>10</v>
      </c>
      <c r="H1087" s="1674"/>
      <c r="I1087" s="1674" t="n">
        <v>243</v>
      </c>
      <c r="J1087" s="772" t="s">
        <v>7367</v>
      </c>
      <c r="K1087" s="772"/>
    </row>
    <row r="1088" customFormat="false" ht="45" hidden="false" customHeight="false" outlineLevel="0" collapsed="false">
      <c r="A1088" s="327" t="s">
        <v>1764</v>
      </c>
      <c r="B1088" s="40" t="s">
        <v>3619</v>
      </c>
      <c r="C1088" s="912" t="n">
        <v>1</v>
      </c>
      <c r="D1088" s="547" t="n">
        <f aca="false">SUM(E1088:G1088)</f>
        <v>550</v>
      </c>
      <c r="E1088" s="1673" t="n">
        <v>300</v>
      </c>
      <c r="F1088" s="1674" t="n">
        <v>240</v>
      </c>
      <c r="G1088" s="1674" t="n">
        <v>10</v>
      </c>
      <c r="H1088" s="1674"/>
      <c r="I1088" s="1674" t="n">
        <v>243</v>
      </c>
      <c r="J1088" s="772" t="s">
        <v>7367</v>
      </c>
      <c r="K1088" s="772"/>
    </row>
    <row r="1089" customFormat="false" ht="45" hidden="false" customHeight="false" outlineLevel="0" collapsed="false">
      <c r="A1089" s="327" t="s">
        <v>1766</v>
      </c>
      <c r="B1089" s="29" t="s">
        <v>3620</v>
      </c>
      <c r="C1089" s="912" t="n">
        <v>1</v>
      </c>
      <c r="D1089" s="547" t="n">
        <f aca="false">SUM(E1089:G1089)</f>
        <v>150</v>
      </c>
      <c r="E1089" s="547" t="n">
        <v>80</v>
      </c>
      <c r="F1089" s="912" t="n">
        <v>50</v>
      </c>
      <c r="G1089" s="912" t="n">
        <v>20</v>
      </c>
      <c r="H1089" s="912"/>
      <c r="I1089" s="912" t="n">
        <v>60</v>
      </c>
      <c r="J1089" s="679" t="s">
        <v>7380</v>
      </c>
      <c r="K1089" s="679"/>
    </row>
    <row r="1090" customFormat="false" ht="45" hidden="false" customHeight="false" outlineLevel="0" collapsed="false">
      <c r="A1090" s="327" t="s">
        <v>1768</v>
      </c>
      <c r="B1090" s="40" t="s">
        <v>3621</v>
      </c>
      <c r="C1090" s="912" t="n">
        <v>1</v>
      </c>
      <c r="D1090" s="547" t="n">
        <f aca="false">SUM(E1090:G1090)</f>
        <v>650</v>
      </c>
      <c r="E1090" s="547" t="n">
        <v>300</v>
      </c>
      <c r="F1090" s="912" t="n">
        <v>200</v>
      </c>
      <c r="G1090" s="912" t="n">
        <v>150</v>
      </c>
      <c r="H1090" s="912"/>
      <c r="I1090" s="912" t="n">
        <v>419</v>
      </c>
      <c r="J1090" s="679" t="s">
        <v>7381</v>
      </c>
      <c r="K1090" s="679"/>
    </row>
    <row r="1091" customFormat="false" ht="45" hidden="false" customHeight="false" outlineLevel="0" collapsed="false">
      <c r="A1091" s="327" t="s">
        <v>1770</v>
      </c>
      <c r="B1091" s="40" t="s">
        <v>3622</v>
      </c>
      <c r="C1091" s="912" t="n">
        <v>1</v>
      </c>
      <c r="D1091" s="547" t="n">
        <f aca="false">SUM(E1091:G1091)</f>
        <v>540</v>
      </c>
      <c r="E1091" s="547" t="n">
        <v>410</v>
      </c>
      <c r="F1091" s="912" t="n">
        <v>120</v>
      </c>
      <c r="G1091" s="912" t="n">
        <v>10</v>
      </c>
      <c r="H1091" s="912"/>
      <c r="I1091" s="912" t="n">
        <v>418</v>
      </c>
      <c r="J1091" s="679" t="s">
        <v>7366</v>
      </c>
      <c r="K1091" s="679"/>
    </row>
    <row r="1092" customFormat="false" ht="45" hidden="false" customHeight="false" outlineLevel="0" collapsed="false">
      <c r="A1092" s="327" t="s">
        <v>1772</v>
      </c>
      <c r="B1092" s="40" t="s">
        <v>3623</v>
      </c>
      <c r="C1092" s="912" t="n">
        <v>1</v>
      </c>
      <c r="D1092" s="547" t="n">
        <f aca="false">SUM(E1092:G1092)</f>
        <v>55</v>
      </c>
      <c r="E1092" s="547" t="n">
        <v>30</v>
      </c>
      <c r="F1092" s="912" t="n">
        <v>15</v>
      </c>
      <c r="G1092" s="912" t="n">
        <v>10</v>
      </c>
      <c r="H1092" s="912"/>
      <c r="I1092" s="912" t="n">
        <v>1256</v>
      </c>
      <c r="J1092" s="679" t="s">
        <v>7382</v>
      </c>
      <c r="K1092" s="679"/>
    </row>
    <row r="1093" customFormat="false" ht="15" hidden="false" customHeight="false" outlineLevel="0" collapsed="false">
      <c r="A1093" s="350" t="s">
        <v>1774</v>
      </c>
      <c r="B1093" s="16" t="s">
        <v>3624</v>
      </c>
      <c r="C1093" s="541"/>
      <c r="D1093" s="712"/>
      <c r="E1093" s="712"/>
      <c r="F1093" s="541"/>
      <c r="G1093" s="541"/>
      <c r="H1093" s="1699"/>
      <c r="I1093" s="1699"/>
      <c r="J1093" s="600"/>
      <c r="K1093" s="600"/>
    </row>
    <row r="1094" customFormat="false" ht="45" hidden="false" customHeight="false" outlineLevel="0" collapsed="false">
      <c r="A1094" s="352" t="s">
        <v>1776</v>
      </c>
      <c r="B1094" s="40" t="s">
        <v>3625</v>
      </c>
      <c r="C1094" s="912" t="n">
        <v>1</v>
      </c>
      <c r="D1094" s="547" t="n">
        <f aca="false">SUM(E1094:G1094)</f>
        <v>125</v>
      </c>
      <c r="E1094" s="547" t="n">
        <v>65</v>
      </c>
      <c r="F1094" s="912" t="n">
        <v>40</v>
      </c>
      <c r="G1094" s="912" t="n">
        <v>20</v>
      </c>
      <c r="H1094" s="912"/>
      <c r="I1094" s="912" t="n">
        <v>42</v>
      </c>
      <c r="J1094" s="679" t="s">
        <v>7383</v>
      </c>
      <c r="K1094" s="679"/>
    </row>
    <row r="1095" customFormat="false" ht="23.25" hidden="false" customHeight="true" outlineLevel="0" collapsed="false">
      <c r="A1095" s="350" t="s">
        <v>1778</v>
      </c>
      <c r="B1095" s="54" t="s">
        <v>3626</v>
      </c>
      <c r="C1095" s="541"/>
      <c r="D1095" s="712"/>
      <c r="E1095" s="712"/>
      <c r="F1095" s="541"/>
      <c r="G1095" s="541"/>
      <c r="H1095" s="1699"/>
      <c r="I1095" s="1699"/>
      <c r="J1095" s="600"/>
      <c r="K1095" s="600"/>
    </row>
    <row r="1096" customFormat="false" ht="29.25" hidden="false" customHeight="true" outlineLevel="0" collapsed="false">
      <c r="A1096" s="327" t="s">
        <v>1780</v>
      </c>
      <c r="B1096" s="40" t="s">
        <v>3627</v>
      </c>
      <c r="C1096" s="912" t="n">
        <v>1</v>
      </c>
      <c r="D1096" s="547" t="n">
        <f aca="false">SUM(E1096:G1096)</f>
        <v>80</v>
      </c>
      <c r="E1096" s="547" t="n">
        <v>60</v>
      </c>
      <c r="F1096" s="912" t="n">
        <v>10</v>
      </c>
      <c r="G1096" s="912" t="n">
        <v>10</v>
      </c>
      <c r="H1096" s="912"/>
      <c r="I1096" s="912" t="n">
        <v>60</v>
      </c>
      <c r="J1096" s="679"/>
      <c r="K1096" s="679"/>
    </row>
    <row r="1097" customFormat="false" ht="27.75" hidden="false" customHeight="true" outlineLevel="0" collapsed="false">
      <c r="A1097" s="356" t="s">
        <v>1782</v>
      </c>
      <c r="B1097" s="357" t="s">
        <v>3628</v>
      </c>
      <c r="C1097" s="537"/>
      <c r="D1097" s="1622"/>
      <c r="E1097" s="1622"/>
      <c r="F1097" s="537"/>
      <c r="G1097" s="537"/>
      <c r="H1097" s="537"/>
      <c r="I1097" s="537"/>
      <c r="J1097" s="1208"/>
      <c r="K1097" s="1208"/>
    </row>
    <row r="1098" customFormat="false" ht="15" hidden="false" customHeight="false" outlineLevel="0" collapsed="false">
      <c r="A1098" s="350" t="s">
        <v>1784</v>
      </c>
      <c r="B1098" s="88" t="s">
        <v>3629</v>
      </c>
      <c r="C1098" s="541"/>
      <c r="D1098" s="712"/>
      <c r="E1098" s="712"/>
      <c r="F1098" s="541"/>
      <c r="G1098" s="541"/>
      <c r="H1098" s="541"/>
      <c r="I1098" s="541"/>
      <c r="J1098" s="541"/>
      <c r="K1098" s="541"/>
    </row>
    <row r="1099" customFormat="false" ht="30" hidden="false" customHeight="false" outlineLevel="0" collapsed="false">
      <c r="A1099" s="327" t="s">
        <v>1786</v>
      </c>
      <c r="B1099" s="78" t="s">
        <v>3630</v>
      </c>
      <c r="C1099" s="912" t="n">
        <v>1</v>
      </c>
      <c r="D1099" s="547" t="n">
        <v>30</v>
      </c>
      <c r="E1099" s="547" t="n">
        <v>5</v>
      </c>
      <c r="F1099" s="912" t="n">
        <v>25</v>
      </c>
      <c r="G1099" s="912"/>
      <c r="H1099" s="912" t="n">
        <v>15</v>
      </c>
      <c r="I1099" s="1700" t="n">
        <v>96</v>
      </c>
      <c r="J1099" s="679" t="s">
        <v>7384</v>
      </c>
      <c r="K1099" s="679" t="s">
        <v>2635</v>
      </c>
    </row>
    <row r="1100" customFormat="false" ht="30" hidden="false" customHeight="false" outlineLevel="0" collapsed="false">
      <c r="A1100" s="327" t="s">
        <v>1788</v>
      </c>
      <c r="B1100" s="78" t="s">
        <v>3631</v>
      </c>
      <c r="C1100" s="912" t="n">
        <v>1</v>
      </c>
      <c r="D1100" s="547" t="n">
        <v>40</v>
      </c>
      <c r="E1100" s="547" t="n">
        <v>10</v>
      </c>
      <c r="F1100" s="912" t="n">
        <v>30</v>
      </c>
      <c r="G1100" s="912"/>
      <c r="H1100" s="912" t="n">
        <v>12</v>
      </c>
      <c r="I1100" s="1700" t="n">
        <v>119.2</v>
      </c>
      <c r="J1100" s="679" t="s">
        <v>7384</v>
      </c>
      <c r="K1100" s="679" t="s">
        <v>2635</v>
      </c>
    </row>
    <row r="1101" customFormat="false" ht="30" hidden="false" customHeight="false" outlineLevel="0" collapsed="false">
      <c r="A1101" s="327" t="s">
        <v>1790</v>
      </c>
      <c r="B1101" s="99" t="s">
        <v>3632</v>
      </c>
      <c r="C1101" s="569" t="n">
        <v>1</v>
      </c>
      <c r="D1101" s="1105" t="n">
        <v>36</v>
      </c>
      <c r="E1101" s="1105" t="n">
        <v>9</v>
      </c>
      <c r="F1101" s="569" t="n">
        <v>27</v>
      </c>
      <c r="G1101" s="569"/>
      <c r="H1101" s="569" t="n">
        <v>15</v>
      </c>
      <c r="I1101" s="1701" t="n">
        <v>108.4</v>
      </c>
      <c r="J1101" s="679" t="s">
        <v>7385</v>
      </c>
      <c r="K1101" s="679" t="s">
        <v>2635</v>
      </c>
    </row>
    <row r="1102" customFormat="false" ht="30" hidden="false" customHeight="false" outlineLevel="0" collapsed="false">
      <c r="A1102" s="327" t="s">
        <v>1792</v>
      </c>
      <c r="B1102" s="99" t="s">
        <v>3633</v>
      </c>
      <c r="C1102" s="569" t="n">
        <v>1</v>
      </c>
      <c r="D1102" s="1105" t="n">
        <v>30</v>
      </c>
      <c r="E1102" s="1105" t="n">
        <v>8</v>
      </c>
      <c r="F1102" s="569" t="n">
        <v>22</v>
      </c>
      <c r="G1102" s="569"/>
      <c r="H1102" s="569" t="n">
        <v>12</v>
      </c>
      <c r="I1102" s="1701" t="n">
        <v>119.2</v>
      </c>
      <c r="J1102" s="679" t="s">
        <v>7385</v>
      </c>
      <c r="K1102" s="679" t="s">
        <v>2635</v>
      </c>
    </row>
    <row r="1103" customFormat="false" ht="30" hidden="false" customHeight="false" outlineLevel="0" collapsed="false">
      <c r="A1103" s="327" t="s">
        <v>1794</v>
      </c>
      <c r="B1103" s="49" t="s">
        <v>3634</v>
      </c>
      <c r="C1103" s="569" t="n">
        <v>1</v>
      </c>
      <c r="D1103" s="1105" t="n">
        <v>34</v>
      </c>
      <c r="E1103" s="1105" t="n">
        <v>24</v>
      </c>
      <c r="F1103" s="569" t="n">
        <v>10</v>
      </c>
      <c r="G1103" s="569"/>
      <c r="H1103" s="569" t="n">
        <v>20</v>
      </c>
      <c r="I1103" s="1701" t="n">
        <v>175.2</v>
      </c>
      <c r="J1103" s="679" t="s">
        <v>7386</v>
      </c>
      <c r="K1103" s="679" t="s">
        <v>2635</v>
      </c>
    </row>
    <row r="1104" customFormat="false" ht="30" hidden="false" customHeight="false" outlineLevel="0" collapsed="false">
      <c r="A1104" s="327" t="s">
        <v>1796</v>
      </c>
      <c r="B1104" s="99" t="s">
        <v>3635</v>
      </c>
      <c r="C1104" s="569" t="n">
        <v>1</v>
      </c>
      <c r="D1104" s="1105" t="n">
        <f aca="false">E1104+F1104+G1104+H1104</f>
        <v>51</v>
      </c>
      <c r="E1104" s="1105" t="n">
        <v>9</v>
      </c>
      <c r="F1104" s="569" t="n">
        <v>27</v>
      </c>
      <c r="G1104" s="569"/>
      <c r="H1104" s="569" t="n">
        <v>15</v>
      </c>
      <c r="I1104" s="1701" t="n">
        <v>108.4</v>
      </c>
      <c r="J1104" s="679" t="s">
        <v>7387</v>
      </c>
      <c r="K1104" s="679" t="s">
        <v>2635</v>
      </c>
    </row>
    <row r="1105" customFormat="false" ht="30" hidden="false" customHeight="false" outlineLevel="0" collapsed="false">
      <c r="A1105" s="327" t="s">
        <v>1798</v>
      </c>
      <c r="B1105" s="99" t="s">
        <v>3636</v>
      </c>
      <c r="C1105" s="569" t="n">
        <v>1</v>
      </c>
      <c r="D1105" s="1105" t="n">
        <v>30</v>
      </c>
      <c r="E1105" s="1105" t="n">
        <v>8</v>
      </c>
      <c r="F1105" s="569" t="n">
        <v>22</v>
      </c>
      <c r="G1105" s="569"/>
      <c r="H1105" s="569" t="n">
        <v>12</v>
      </c>
      <c r="I1105" s="1701" t="n">
        <v>119.2</v>
      </c>
      <c r="J1105" s="679" t="s">
        <v>7387</v>
      </c>
      <c r="K1105" s="679" t="s">
        <v>2635</v>
      </c>
    </row>
    <row r="1106" customFormat="false" ht="30" hidden="false" customHeight="false" outlineLevel="0" collapsed="false">
      <c r="A1106" s="327" t="s">
        <v>1800</v>
      </c>
      <c r="B1106" s="99" t="s">
        <v>3637</v>
      </c>
      <c r="C1106" s="569" t="n">
        <v>1</v>
      </c>
      <c r="D1106" s="1105" t="n">
        <v>30</v>
      </c>
      <c r="E1106" s="1105" t="n">
        <v>10</v>
      </c>
      <c r="F1106" s="569" t="n">
        <v>20</v>
      </c>
      <c r="G1106" s="569"/>
      <c r="H1106" s="569" t="n">
        <v>34</v>
      </c>
      <c r="I1106" s="1701" t="n">
        <v>141.8</v>
      </c>
      <c r="J1106" s="679" t="s">
        <v>7388</v>
      </c>
      <c r="K1106" s="679" t="s">
        <v>2635</v>
      </c>
    </row>
    <row r="1107" customFormat="false" ht="30" hidden="false" customHeight="false" outlineLevel="0" collapsed="false">
      <c r="A1107" s="327" t="s">
        <v>1802</v>
      </c>
      <c r="B1107" s="99" t="s">
        <v>3638</v>
      </c>
      <c r="C1107" s="569" t="n">
        <v>1</v>
      </c>
      <c r="D1107" s="1105" t="n">
        <v>40</v>
      </c>
      <c r="E1107" s="1105" t="n">
        <v>10</v>
      </c>
      <c r="F1107" s="569" t="n">
        <v>30</v>
      </c>
      <c r="G1107" s="569"/>
      <c r="H1107" s="569" t="n">
        <v>34</v>
      </c>
      <c r="I1107" s="1701" t="n">
        <v>119.2</v>
      </c>
      <c r="J1107" s="679" t="s">
        <v>7388</v>
      </c>
      <c r="K1107" s="679" t="s">
        <v>2635</v>
      </c>
    </row>
    <row r="1108" customFormat="false" ht="30" hidden="false" customHeight="false" outlineLevel="0" collapsed="false">
      <c r="A1108" s="327" t="s">
        <v>1804</v>
      </c>
      <c r="B1108" s="99" t="s">
        <v>3639</v>
      </c>
      <c r="C1108" s="569" t="n">
        <v>1</v>
      </c>
      <c r="D1108" s="1105" t="n">
        <v>78</v>
      </c>
      <c r="E1108" s="1105" t="n">
        <v>27</v>
      </c>
      <c r="F1108" s="569" t="n">
        <v>51</v>
      </c>
      <c r="G1108" s="569"/>
      <c r="H1108" s="569" t="n">
        <v>19.5</v>
      </c>
      <c r="I1108" s="1701" t="n">
        <v>108</v>
      </c>
      <c r="J1108" s="679" t="s">
        <v>7389</v>
      </c>
      <c r="K1108" s="679" t="s">
        <v>2635</v>
      </c>
    </row>
    <row r="1109" customFormat="false" ht="30" hidden="false" customHeight="false" outlineLevel="0" collapsed="false">
      <c r="A1109" s="327" t="s">
        <v>1806</v>
      </c>
      <c r="B1109" s="99" t="s">
        <v>3640</v>
      </c>
      <c r="C1109" s="569" t="n">
        <v>1</v>
      </c>
      <c r="D1109" s="1105" t="n">
        <v>50</v>
      </c>
      <c r="E1109" s="1105" t="n">
        <v>15</v>
      </c>
      <c r="F1109" s="569" t="n">
        <v>35</v>
      </c>
      <c r="G1109" s="569"/>
      <c r="H1109" s="569" t="n">
        <v>20</v>
      </c>
      <c r="I1109" s="1701" t="n">
        <v>119.2</v>
      </c>
      <c r="J1109" s="679" t="s">
        <v>7389</v>
      </c>
      <c r="K1109" s="679" t="s">
        <v>2635</v>
      </c>
    </row>
    <row r="1110" customFormat="false" ht="30" hidden="false" customHeight="false" outlineLevel="0" collapsed="false">
      <c r="A1110" s="327" t="s">
        <v>1808</v>
      </c>
      <c r="B1110" s="99" t="s">
        <v>3641</v>
      </c>
      <c r="C1110" s="569" t="n">
        <v>1</v>
      </c>
      <c r="D1110" s="1105" t="n">
        <v>34</v>
      </c>
      <c r="E1110" s="1105" t="n">
        <v>24</v>
      </c>
      <c r="F1110" s="569" t="n">
        <v>10</v>
      </c>
      <c r="G1110" s="569"/>
      <c r="H1110" s="569" t="n">
        <v>11</v>
      </c>
      <c r="I1110" s="1701" t="n">
        <v>163.8</v>
      </c>
      <c r="J1110" s="679" t="s">
        <v>7386</v>
      </c>
      <c r="K1110" s="679" t="s">
        <v>2635</v>
      </c>
    </row>
    <row r="1111" customFormat="false" ht="30" hidden="false" customHeight="false" outlineLevel="0" collapsed="false">
      <c r="A1111" s="327" t="s">
        <v>1810</v>
      </c>
      <c r="B1111" s="99" t="s">
        <v>3642</v>
      </c>
      <c r="C1111" s="569" t="n">
        <v>1</v>
      </c>
      <c r="D1111" s="1105" t="n">
        <v>40</v>
      </c>
      <c r="E1111" s="1105" t="n">
        <v>14</v>
      </c>
      <c r="F1111" s="569" t="n">
        <v>26</v>
      </c>
      <c r="G1111" s="569"/>
      <c r="H1111" s="569" t="n">
        <v>15</v>
      </c>
      <c r="I1111" s="1701" t="n">
        <v>612.8</v>
      </c>
      <c r="J1111" s="679" t="s">
        <v>7390</v>
      </c>
      <c r="K1111" s="679" t="s">
        <v>2635</v>
      </c>
    </row>
    <row r="1112" customFormat="false" ht="30" hidden="false" customHeight="false" outlineLevel="0" collapsed="false">
      <c r="A1112" s="327" t="s">
        <v>1812</v>
      </c>
      <c r="B1112" s="99" t="s">
        <v>3643</v>
      </c>
      <c r="C1112" s="569" t="n">
        <v>1</v>
      </c>
      <c r="D1112" s="1105" t="n">
        <v>50</v>
      </c>
      <c r="E1112" s="1105" t="n">
        <v>15</v>
      </c>
      <c r="F1112" s="569" t="n">
        <v>35</v>
      </c>
      <c r="G1112" s="569"/>
      <c r="H1112" s="569" t="n">
        <v>34</v>
      </c>
      <c r="I1112" s="1701" t="n">
        <v>119.2</v>
      </c>
      <c r="J1112" s="679" t="s">
        <v>7390</v>
      </c>
      <c r="K1112" s="679" t="s">
        <v>2635</v>
      </c>
    </row>
    <row r="1113" customFormat="false" ht="30" hidden="false" customHeight="false" outlineLevel="0" collapsed="false">
      <c r="A1113" s="327" t="s">
        <v>1814</v>
      </c>
      <c r="B1113" s="99" t="s">
        <v>3644</v>
      </c>
      <c r="C1113" s="569" t="n">
        <v>1</v>
      </c>
      <c r="D1113" s="1105" t="n">
        <v>40</v>
      </c>
      <c r="E1113" s="1105" t="n">
        <v>14</v>
      </c>
      <c r="F1113" s="569" t="n">
        <v>26</v>
      </c>
      <c r="G1113" s="569"/>
      <c r="H1113" s="569" t="n">
        <v>15</v>
      </c>
      <c r="I1113" s="1701" t="n">
        <v>136.8</v>
      </c>
      <c r="J1113" s="679" t="s">
        <v>7391</v>
      </c>
      <c r="K1113" s="679" t="s">
        <v>2635</v>
      </c>
    </row>
    <row r="1114" customFormat="false" ht="30" hidden="false" customHeight="false" outlineLevel="0" collapsed="false">
      <c r="A1114" s="327" t="s">
        <v>1816</v>
      </c>
      <c r="B1114" s="99" t="s">
        <v>3645</v>
      </c>
      <c r="C1114" s="569" t="n">
        <v>1</v>
      </c>
      <c r="D1114" s="1105" t="n">
        <v>50</v>
      </c>
      <c r="E1114" s="1105" t="n">
        <v>15</v>
      </c>
      <c r="F1114" s="569" t="n">
        <v>35</v>
      </c>
      <c r="G1114" s="569"/>
      <c r="H1114" s="569" t="n">
        <v>34</v>
      </c>
      <c r="I1114" s="1701" t="n">
        <v>119.2</v>
      </c>
      <c r="J1114" s="679" t="s">
        <v>7391</v>
      </c>
      <c r="K1114" s="679" t="s">
        <v>2635</v>
      </c>
    </row>
    <row r="1115" customFormat="false" ht="15" hidden="false" customHeight="false" outlineLevel="0" collapsed="false">
      <c r="A1115" s="327" t="s">
        <v>1818</v>
      </c>
      <c r="B1115" s="99" t="s">
        <v>3646</v>
      </c>
      <c r="C1115" s="569" t="n">
        <v>1</v>
      </c>
      <c r="D1115" s="1105" t="n">
        <v>50</v>
      </c>
      <c r="E1115" s="1105" t="n">
        <v>20</v>
      </c>
      <c r="F1115" s="569" t="n">
        <v>30</v>
      </c>
      <c r="G1115" s="569"/>
      <c r="H1115" s="569" t="n">
        <v>10</v>
      </c>
      <c r="I1115" s="1701" t="n">
        <v>108</v>
      </c>
      <c r="J1115" s="679" t="s">
        <v>7392</v>
      </c>
      <c r="K1115" s="679" t="s">
        <v>2635</v>
      </c>
    </row>
    <row r="1116" customFormat="false" ht="30" hidden="false" customHeight="false" outlineLevel="0" collapsed="false">
      <c r="A1116" s="327" t="s">
        <v>1820</v>
      </c>
      <c r="B1116" s="99" t="s">
        <v>3647</v>
      </c>
      <c r="C1116" s="569" t="n">
        <v>1</v>
      </c>
      <c r="D1116" s="1105" t="n">
        <v>70</v>
      </c>
      <c r="E1116" s="1105" t="n">
        <v>30</v>
      </c>
      <c r="F1116" s="569" t="n">
        <v>40</v>
      </c>
      <c r="G1116" s="569"/>
      <c r="H1116" s="569" t="n">
        <v>15</v>
      </c>
      <c r="I1116" s="1701" t="n">
        <v>119.2</v>
      </c>
      <c r="J1116" s="679" t="s">
        <v>7392</v>
      </c>
      <c r="K1116" s="679" t="s">
        <v>2635</v>
      </c>
    </row>
    <row r="1117" customFormat="false" ht="30" hidden="false" customHeight="false" outlineLevel="0" collapsed="false">
      <c r="A1117" s="327" t="s">
        <v>1822</v>
      </c>
      <c r="B1117" s="99" t="s">
        <v>3648</v>
      </c>
      <c r="C1117" s="569" t="n">
        <v>1</v>
      </c>
      <c r="D1117" s="1105" t="n">
        <v>44</v>
      </c>
      <c r="E1117" s="1105" t="n">
        <v>14</v>
      </c>
      <c r="F1117" s="569" t="n">
        <v>30</v>
      </c>
      <c r="G1117" s="569"/>
      <c r="H1117" s="569" t="n">
        <v>17</v>
      </c>
      <c r="I1117" s="1701" t="n">
        <v>124.2</v>
      </c>
      <c r="J1117" s="679" t="s">
        <v>7393</v>
      </c>
      <c r="K1117" s="679" t="s">
        <v>2635</v>
      </c>
    </row>
    <row r="1118" customFormat="false" ht="30" hidden="false" customHeight="false" outlineLevel="0" collapsed="false">
      <c r="A1118" s="327" t="s">
        <v>1824</v>
      </c>
      <c r="B1118" s="78" t="s">
        <v>3649</v>
      </c>
      <c r="C1118" s="912" t="n">
        <v>1</v>
      </c>
      <c r="D1118" s="547" t="n">
        <f aca="false">E1118+F1118+G1118+H1118</f>
        <v>87</v>
      </c>
      <c r="E1118" s="547" t="n">
        <v>30</v>
      </c>
      <c r="F1118" s="912" t="n">
        <v>40</v>
      </c>
      <c r="G1118" s="912"/>
      <c r="H1118" s="912" t="n">
        <v>17</v>
      </c>
      <c r="I1118" s="1700" t="n">
        <v>117.2</v>
      </c>
      <c r="J1118" s="679" t="s">
        <v>7393</v>
      </c>
      <c r="K1118" s="679" t="s">
        <v>2635</v>
      </c>
    </row>
    <row r="1119" customFormat="false" ht="15" hidden="false" customHeight="false" outlineLevel="0" collapsed="false">
      <c r="A1119" s="350" t="s">
        <v>1826</v>
      </c>
      <c r="B1119" s="88" t="s">
        <v>3626</v>
      </c>
      <c r="C1119" s="541"/>
      <c r="D1119" s="712"/>
      <c r="E1119" s="712"/>
      <c r="F1119" s="541"/>
      <c r="G1119" s="541"/>
      <c r="H1119" s="541"/>
      <c r="I1119" s="541"/>
      <c r="J1119" s="600"/>
      <c r="K1119" s="600"/>
    </row>
    <row r="1120" customFormat="false" ht="45" hidden="false" customHeight="false" outlineLevel="0" collapsed="false">
      <c r="A1120" s="327" t="s">
        <v>1827</v>
      </c>
      <c r="B1120" s="78" t="s">
        <v>3650</v>
      </c>
      <c r="C1120" s="912" t="n">
        <v>1</v>
      </c>
      <c r="D1120" s="547" t="n">
        <v>30</v>
      </c>
      <c r="E1120" s="547" t="n">
        <v>5</v>
      </c>
      <c r="F1120" s="912" t="n">
        <v>25</v>
      </c>
      <c r="G1120" s="912"/>
      <c r="H1120" s="912" t="n">
        <v>6</v>
      </c>
      <c r="I1120" s="1700" t="n">
        <v>124.2</v>
      </c>
      <c r="J1120" s="679" t="s">
        <v>7394</v>
      </c>
      <c r="K1120" s="679" t="s">
        <v>7395</v>
      </c>
    </row>
    <row r="1121" customFormat="false" ht="45" hidden="false" customHeight="false" outlineLevel="0" collapsed="false">
      <c r="A1121" s="327" t="s">
        <v>1829</v>
      </c>
      <c r="B1121" s="78" t="s">
        <v>3651</v>
      </c>
      <c r="C1121" s="912" t="n">
        <v>1</v>
      </c>
      <c r="D1121" s="547" t="n">
        <v>60</v>
      </c>
      <c r="E1121" s="547" t="n">
        <v>20</v>
      </c>
      <c r="F1121" s="912" t="n">
        <v>40</v>
      </c>
      <c r="G1121" s="912"/>
      <c r="H1121" s="912" t="n">
        <v>12</v>
      </c>
      <c r="I1121" s="1700" t="n">
        <v>114.2</v>
      </c>
      <c r="J1121" s="679" t="s">
        <v>7394</v>
      </c>
      <c r="K1121" s="679" t="s">
        <v>7395</v>
      </c>
    </row>
    <row r="1122" customFormat="false" ht="30" hidden="false" customHeight="false" outlineLevel="0" collapsed="false">
      <c r="A1122" s="327" t="s">
        <v>1831</v>
      </c>
      <c r="B1122" s="99" t="s">
        <v>3652</v>
      </c>
      <c r="C1122" s="569" t="n">
        <v>1</v>
      </c>
      <c r="D1122" s="1105" t="n">
        <v>45</v>
      </c>
      <c r="E1122" s="1105" t="n">
        <v>5</v>
      </c>
      <c r="F1122" s="569" t="n">
        <v>40</v>
      </c>
      <c r="G1122" s="569"/>
      <c r="H1122" s="569" t="n">
        <v>6</v>
      </c>
      <c r="I1122" s="1701" t="n">
        <v>113</v>
      </c>
      <c r="J1122" s="679" t="s">
        <v>7396</v>
      </c>
      <c r="K1122" s="679" t="s">
        <v>7395</v>
      </c>
    </row>
    <row r="1123" customFormat="false" ht="30" hidden="false" customHeight="false" outlineLevel="0" collapsed="false">
      <c r="A1123" s="327" t="s">
        <v>1833</v>
      </c>
      <c r="B1123" s="99" t="s">
        <v>3653</v>
      </c>
      <c r="C1123" s="569" t="n">
        <v>1</v>
      </c>
      <c r="D1123" s="1105" t="n">
        <v>60</v>
      </c>
      <c r="E1123" s="1105" t="n">
        <v>15</v>
      </c>
      <c r="F1123" s="569" t="n">
        <v>45</v>
      </c>
      <c r="G1123" s="569"/>
      <c r="H1123" s="569" t="n">
        <v>12</v>
      </c>
      <c r="I1123" s="1701" t="n">
        <v>134.2</v>
      </c>
      <c r="J1123" s="679" t="s">
        <v>7396</v>
      </c>
      <c r="K1123" s="679" t="s">
        <v>7395</v>
      </c>
    </row>
    <row r="1124" customFormat="false" ht="30" hidden="false" customHeight="false" outlineLevel="0" collapsed="false">
      <c r="A1124" s="327" t="s">
        <v>1835</v>
      </c>
      <c r="B1124" s="99" t="s">
        <v>3654</v>
      </c>
      <c r="C1124" s="569" t="n">
        <v>1</v>
      </c>
      <c r="D1124" s="1105" t="n">
        <v>45</v>
      </c>
      <c r="E1124" s="1105" t="n">
        <v>5</v>
      </c>
      <c r="F1124" s="569" t="n">
        <v>40</v>
      </c>
      <c r="G1124" s="569"/>
      <c r="H1124" s="569" t="n">
        <v>6</v>
      </c>
      <c r="I1124" s="1701" t="n">
        <v>161.8</v>
      </c>
      <c r="J1124" s="679" t="s">
        <v>7397</v>
      </c>
      <c r="K1124" s="679" t="s">
        <v>7395</v>
      </c>
    </row>
    <row r="1125" customFormat="false" ht="30" hidden="false" customHeight="false" outlineLevel="0" collapsed="false">
      <c r="A1125" s="327" t="s">
        <v>1837</v>
      </c>
      <c r="B1125" s="99" t="s">
        <v>3655</v>
      </c>
      <c r="C1125" s="569" t="n">
        <v>1</v>
      </c>
      <c r="D1125" s="1105" t="n">
        <v>60</v>
      </c>
      <c r="E1125" s="1105" t="n">
        <v>15</v>
      </c>
      <c r="F1125" s="569" t="n">
        <v>45</v>
      </c>
      <c r="G1125" s="569"/>
      <c r="H1125" s="569" t="n">
        <v>12</v>
      </c>
      <c r="I1125" s="1701" t="n">
        <v>122.2</v>
      </c>
      <c r="J1125" s="679" t="s">
        <v>7397</v>
      </c>
      <c r="K1125" s="679" t="s">
        <v>7395</v>
      </c>
    </row>
    <row r="1126" customFormat="false" ht="30" hidden="false" customHeight="false" outlineLevel="0" collapsed="false">
      <c r="A1126" s="327" t="s">
        <v>1839</v>
      </c>
      <c r="B1126" s="99" t="s">
        <v>3642</v>
      </c>
      <c r="C1126" s="569" t="n">
        <v>1</v>
      </c>
      <c r="D1126" s="1105" t="n">
        <v>40</v>
      </c>
      <c r="E1126" s="1105" t="n">
        <v>5</v>
      </c>
      <c r="F1126" s="569" t="n">
        <v>35</v>
      </c>
      <c r="G1126" s="569"/>
      <c r="H1126" s="569" t="n">
        <v>34</v>
      </c>
      <c r="I1126" s="1701" t="n">
        <v>161.8</v>
      </c>
      <c r="J1126" s="679" t="s">
        <v>7398</v>
      </c>
      <c r="K1126" s="679" t="s">
        <v>7395</v>
      </c>
    </row>
    <row r="1127" customFormat="false" ht="30" hidden="false" customHeight="false" outlineLevel="0" collapsed="false">
      <c r="A1127" s="327" t="s">
        <v>1840</v>
      </c>
      <c r="B1127" s="99" t="s">
        <v>3643</v>
      </c>
      <c r="C1127" s="569" t="n">
        <v>1</v>
      </c>
      <c r="D1127" s="1105" t="n">
        <v>60</v>
      </c>
      <c r="E1127" s="1105" t="n">
        <v>15</v>
      </c>
      <c r="F1127" s="569" t="n">
        <v>45</v>
      </c>
      <c r="G1127" s="569"/>
      <c r="H1127" s="569" t="n">
        <v>12</v>
      </c>
      <c r="I1127" s="1701" t="n">
        <v>124.2</v>
      </c>
      <c r="J1127" s="679" t="s">
        <v>7398</v>
      </c>
      <c r="K1127" s="679" t="s">
        <v>7395</v>
      </c>
    </row>
    <row r="1128" customFormat="false" ht="30" hidden="false" customHeight="false" outlineLevel="0" collapsed="false">
      <c r="A1128" s="327" t="s">
        <v>1841</v>
      </c>
      <c r="B1128" s="99" t="s">
        <v>3656</v>
      </c>
      <c r="C1128" s="569" t="n">
        <v>1</v>
      </c>
      <c r="D1128" s="1105" t="n">
        <v>40</v>
      </c>
      <c r="E1128" s="1105" t="n">
        <v>5</v>
      </c>
      <c r="F1128" s="569" t="n">
        <v>35</v>
      </c>
      <c r="G1128" s="569"/>
      <c r="H1128" s="569" t="n">
        <v>10</v>
      </c>
      <c r="I1128" s="1701" t="n">
        <v>124.3</v>
      </c>
      <c r="J1128" s="679" t="s">
        <v>7399</v>
      </c>
      <c r="K1128" s="679" t="s">
        <v>7395</v>
      </c>
    </row>
    <row r="1129" customFormat="false" ht="30" hidden="false" customHeight="false" outlineLevel="0" collapsed="false">
      <c r="A1129" s="327" t="s">
        <v>1843</v>
      </c>
      <c r="B1129" s="99" t="s">
        <v>3657</v>
      </c>
      <c r="C1129" s="569" t="n">
        <v>1</v>
      </c>
      <c r="D1129" s="1105" t="n">
        <v>60</v>
      </c>
      <c r="E1129" s="1105" t="n">
        <v>15</v>
      </c>
      <c r="F1129" s="569" t="n">
        <v>45</v>
      </c>
      <c r="G1129" s="569"/>
      <c r="H1129" s="569" t="n">
        <v>12</v>
      </c>
      <c r="I1129" s="1701" t="n">
        <v>153</v>
      </c>
      <c r="J1129" s="679" t="s">
        <v>7399</v>
      </c>
      <c r="K1129" s="679" t="s">
        <v>7395</v>
      </c>
    </row>
    <row r="1130" customFormat="false" ht="30" hidden="false" customHeight="false" outlineLevel="0" collapsed="false">
      <c r="A1130" s="327" t="s">
        <v>1845</v>
      </c>
      <c r="B1130" s="99" t="s">
        <v>3658</v>
      </c>
      <c r="C1130" s="569" t="n">
        <v>1</v>
      </c>
      <c r="D1130" s="1105" t="n">
        <v>45</v>
      </c>
      <c r="E1130" s="1105" t="n">
        <v>5</v>
      </c>
      <c r="F1130" s="569" t="n">
        <v>40</v>
      </c>
      <c r="G1130" s="569"/>
      <c r="H1130" s="569" t="n">
        <v>20</v>
      </c>
      <c r="I1130" s="1701" t="n">
        <v>84.87</v>
      </c>
      <c r="J1130" s="679" t="s">
        <v>7400</v>
      </c>
      <c r="K1130" s="679" t="s">
        <v>7395</v>
      </c>
    </row>
    <row r="1131" customFormat="false" ht="30" hidden="false" customHeight="false" outlineLevel="0" collapsed="false">
      <c r="A1131" s="327" t="s">
        <v>1847</v>
      </c>
      <c r="B1131" s="99" t="s">
        <v>3659</v>
      </c>
      <c r="C1131" s="569" t="n">
        <v>1</v>
      </c>
      <c r="D1131" s="1105" t="n">
        <v>60</v>
      </c>
      <c r="E1131" s="1105" t="n">
        <v>15</v>
      </c>
      <c r="F1131" s="569" t="n">
        <v>45</v>
      </c>
      <c r="G1131" s="569"/>
      <c r="H1131" s="569" t="n">
        <v>12</v>
      </c>
      <c r="I1131" s="1701" t="n">
        <v>139.2</v>
      </c>
      <c r="J1131" s="679" t="s">
        <v>7400</v>
      </c>
      <c r="K1131" s="679" t="s">
        <v>7395</v>
      </c>
    </row>
    <row r="1132" customFormat="false" ht="30" hidden="false" customHeight="false" outlineLevel="0" collapsed="false">
      <c r="A1132" s="327" t="s">
        <v>1848</v>
      </c>
      <c r="B1132" s="99" t="s">
        <v>3660</v>
      </c>
      <c r="C1132" s="569" t="n">
        <v>1</v>
      </c>
      <c r="D1132" s="1105" t="n">
        <v>50</v>
      </c>
      <c r="E1132" s="1105" t="n">
        <v>10</v>
      </c>
      <c r="F1132" s="569" t="n">
        <v>40</v>
      </c>
      <c r="G1132" s="569"/>
      <c r="H1132" s="569" t="n">
        <v>10</v>
      </c>
      <c r="I1132" s="1701" t="n">
        <v>124.2</v>
      </c>
      <c r="J1132" s="679" t="s">
        <v>7401</v>
      </c>
      <c r="K1132" s="679" t="s">
        <v>7395</v>
      </c>
    </row>
    <row r="1133" customFormat="false" ht="30" hidden="false" customHeight="false" outlineLevel="0" collapsed="false">
      <c r="A1133" s="327" t="s">
        <v>1850</v>
      </c>
      <c r="B1133" s="99" t="s">
        <v>3661</v>
      </c>
      <c r="C1133" s="569" t="n">
        <v>1</v>
      </c>
      <c r="D1133" s="1105" t="n">
        <v>60</v>
      </c>
      <c r="E1133" s="1105" t="n">
        <v>20</v>
      </c>
      <c r="F1133" s="569" t="n">
        <v>40</v>
      </c>
      <c r="G1133" s="569"/>
      <c r="H1133" s="569" t="n">
        <v>10</v>
      </c>
      <c r="I1133" s="1701" t="n">
        <v>124.2</v>
      </c>
      <c r="J1133" s="679" t="s">
        <v>7401</v>
      </c>
      <c r="K1133" s="679" t="s">
        <v>7395</v>
      </c>
    </row>
    <row r="1134" customFormat="false" ht="30" hidden="false" customHeight="false" outlineLevel="0" collapsed="false">
      <c r="A1134" s="327" t="s">
        <v>1852</v>
      </c>
      <c r="B1134" s="99" t="s">
        <v>3662</v>
      </c>
      <c r="C1134" s="569" t="n">
        <v>1</v>
      </c>
      <c r="D1134" s="1105" t="n">
        <v>35</v>
      </c>
      <c r="E1134" s="1105" t="n">
        <v>5</v>
      </c>
      <c r="F1134" s="569" t="n">
        <v>30</v>
      </c>
      <c r="G1134" s="569"/>
      <c r="H1134" s="569" t="n">
        <v>10</v>
      </c>
      <c r="I1134" s="1701" t="n">
        <v>146.8</v>
      </c>
      <c r="J1134" s="679" t="s">
        <v>7402</v>
      </c>
      <c r="K1134" s="679" t="s">
        <v>7395</v>
      </c>
    </row>
    <row r="1135" customFormat="false" ht="30" hidden="false" customHeight="false" outlineLevel="0" collapsed="false">
      <c r="A1135" s="327" t="s">
        <v>1854</v>
      </c>
      <c r="B1135" s="99" t="s">
        <v>3663</v>
      </c>
      <c r="C1135" s="569" t="n">
        <v>1</v>
      </c>
      <c r="D1135" s="1105" t="n">
        <v>60</v>
      </c>
      <c r="E1135" s="1105" t="n">
        <v>20</v>
      </c>
      <c r="F1135" s="569" t="n">
        <v>40</v>
      </c>
      <c r="G1135" s="569"/>
      <c r="H1135" s="569" t="n">
        <v>17</v>
      </c>
      <c r="I1135" s="1701" t="n">
        <v>146.8</v>
      </c>
      <c r="J1135" s="679" t="s">
        <v>7403</v>
      </c>
      <c r="K1135" s="679" t="s">
        <v>7395</v>
      </c>
    </row>
    <row r="1136" customFormat="false" ht="30" hidden="false" customHeight="false" outlineLevel="0" collapsed="false">
      <c r="A1136" s="327" t="s">
        <v>1856</v>
      </c>
      <c r="B1136" s="99" t="s">
        <v>3664</v>
      </c>
      <c r="C1136" s="569" t="n">
        <v>1</v>
      </c>
      <c r="D1136" s="1105" t="n">
        <v>40</v>
      </c>
      <c r="E1136" s="1105" t="n">
        <v>5</v>
      </c>
      <c r="F1136" s="569" t="n">
        <v>35</v>
      </c>
      <c r="G1136" s="569"/>
      <c r="H1136" s="569" t="n">
        <v>10</v>
      </c>
      <c r="I1136" s="1701" t="n">
        <v>124.2</v>
      </c>
      <c r="J1136" s="679" t="s">
        <v>7404</v>
      </c>
      <c r="K1136" s="679" t="s">
        <v>7395</v>
      </c>
    </row>
    <row r="1137" customFormat="false" ht="30" hidden="false" customHeight="false" outlineLevel="0" collapsed="false">
      <c r="A1137" s="327" t="s">
        <v>1858</v>
      </c>
      <c r="B1137" s="99" t="s">
        <v>3665</v>
      </c>
      <c r="C1137" s="569" t="n">
        <v>1</v>
      </c>
      <c r="D1137" s="1105" t="n">
        <v>40</v>
      </c>
      <c r="E1137" s="1105" t="n">
        <v>5</v>
      </c>
      <c r="F1137" s="569" t="n">
        <v>35</v>
      </c>
      <c r="G1137" s="569"/>
      <c r="H1137" s="569" t="n">
        <v>10</v>
      </c>
      <c r="I1137" s="1701" t="n">
        <v>118</v>
      </c>
      <c r="J1137" s="679" t="s">
        <v>7405</v>
      </c>
      <c r="K1137" s="679" t="s">
        <v>7395</v>
      </c>
    </row>
    <row r="1138" customFormat="false" ht="30" hidden="false" customHeight="false" outlineLevel="0" collapsed="false">
      <c r="A1138" s="327" t="s">
        <v>1860</v>
      </c>
      <c r="B1138" s="99" t="s">
        <v>3666</v>
      </c>
      <c r="C1138" s="569" t="n">
        <v>1</v>
      </c>
      <c r="D1138" s="1105" t="n">
        <v>60</v>
      </c>
      <c r="E1138" s="1105" t="n">
        <v>15</v>
      </c>
      <c r="F1138" s="569" t="n">
        <v>45</v>
      </c>
      <c r="G1138" s="569"/>
      <c r="H1138" s="569" t="n">
        <v>10</v>
      </c>
      <c r="I1138" s="1701" t="n">
        <v>124.2</v>
      </c>
      <c r="J1138" s="679" t="s">
        <v>7405</v>
      </c>
      <c r="K1138" s="679" t="s">
        <v>7395</v>
      </c>
    </row>
    <row r="1139" customFormat="false" ht="30" hidden="false" customHeight="false" outlineLevel="0" collapsed="false">
      <c r="A1139" s="327" t="s">
        <v>1862</v>
      </c>
      <c r="B1139" s="99" t="s">
        <v>3667</v>
      </c>
      <c r="C1139" s="569" t="n">
        <v>1</v>
      </c>
      <c r="D1139" s="1105" t="n">
        <v>40</v>
      </c>
      <c r="E1139" s="1105" t="n">
        <v>5</v>
      </c>
      <c r="F1139" s="569" t="n">
        <v>35</v>
      </c>
      <c r="G1139" s="569"/>
      <c r="H1139" s="569" t="n">
        <v>10</v>
      </c>
      <c r="I1139" s="1701" t="n">
        <v>113</v>
      </c>
      <c r="J1139" s="679" t="s">
        <v>7406</v>
      </c>
      <c r="K1139" s="679" t="s">
        <v>7395</v>
      </c>
    </row>
    <row r="1140" customFormat="false" ht="30" hidden="false" customHeight="false" outlineLevel="0" collapsed="false">
      <c r="A1140" s="327" t="s">
        <v>1864</v>
      </c>
      <c r="B1140" s="99" t="s">
        <v>3668</v>
      </c>
      <c r="C1140" s="569" t="n">
        <v>1</v>
      </c>
      <c r="D1140" s="1105" t="n">
        <v>40</v>
      </c>
      <c r="E1140" s="1105" t="n">
        <v>5</v>
      </c>
      <c r="F1140" s="569" t="n">
        <v>35</v>
      </c>
      <c r="G1140" s="569"/>
      <c r="H1140" s="569" t="n">
        <v>16</v>
      </c>
      <c r="I1140" s="1701" t="n">
        <v>124.2</v>
      </c>
      <c r="J1140" s="679" t="s">
        <v>7407</v>
      </c>
      <c r="K1140" s="679" t="s">
        <v>7395</v>
      </c>
    </row>
    <row r="1141" customFormat="false" ht="30" hidden="false" customHeight="false" outlineLevel="0" collapsed="false">
      <c r="A1141" s="327" t="s">
        <v>1866</v>
      </c>
      <c r="B1141" s="99" t="s">
        <v>3669</v>
      </c>
      <c r="C1141" s="569" t="n">
        <v>1</v>
      </c>
      <c r="D1141" s="1105" t="n">
        <v>55</v>
      </c>
      <c r="E1141" s="1105" t="n">
        <v>10</v>
      </c>
      <c r="F1141" s="569" t="n">
        <v>45</v>
      </c>
      <c r="G1141" s="569"/>
      <c r="H1141" s="569" t="n">
        <v>35</v>
      </c>
      <c r="I1141" s="1701" t="n">
        <v>124.2</v>
      </c>
      <c r="J1141" s="679" t="s">
        <v>7408</v>
      </c>
      <c r="K1141" s="679" t="s">
        <v>7395</v>
      </c>
    </row>
    <row r="1142" customFormat="false" ht="45" hidden="false" customHeight="false" outlineLevel="0" collapsed="false">
      <c r="A1142" s="327" t="s">
        <v>1868</v>
      </c>
      <c r="B1142" s="99" t="s">
        <v>3670</v>
      </c>
      <c r="C1142" s="569" t="n">
        <v>1</v>
      </c>
      <c r="D1142" s="1105" t="n">
        <v>20</v>
      </c>
      <c r="E1142" s="1105" t="n">
        <v>5</v>
      </c>
      <c r="F1142" s="569" t="n">
        <v>15</v>
      </c>
      <c r="G1142" s="569"/>
      <c r="H1142" s="569" t="n">
        <v>20</v>
      </c>
      <c r="I1142" s="1701" t="n">
        <v>225.6</v>
      </c>
      <c r="J1142" s="679" t="s">
        <v>7409</v>
      </c>
      <c r="K1142" s="679" t="s">
        <v>7395</v>
      </c>
    </row>
    <row r="1143" customFormat="false" ht="30" hidden="false" customHeight="false" outlineLevel="0" collapsed="false">
      <c r="A1143" s="327" t="s">
        <v>1870</v>
      </c>
      <c r="B1143" s="99" t="s">
        <v>3671</v>
      </c>
      <c r="C1143" s="569" t="n">
        <v>1</v>
      </c>
      <c r="D1143" s="1105" t="n">
        <f aca="false">E1143+F1143+G1143+H1143</f>
        <v>36</v>
      </c>
      <c r="E1143" s="1105" t="n">
        <v>10</v>
      </c>
      <c r="F1143" s="569" t="n">
        <v>16</v>
      </c>
      <c r="G1143" s="569"/>
      <c r="H1143" s="569" t="n">
        <v>10</v>
      </c>
      <c r="I1143" s="1701" t="n">
        <v>105.5</v>
      </c>
      <c r="J1143" s="679"/>
      <c r="K1143" s="679"/>
    </row>
    <row r="1144" customFormat="false" ht="30" hidden="false" customHeight="false" outlineLevel="0" collapsed="false">
      <c r="A1144" s="327" t="s">
        <v>1872</v>
      </c>
      <c r="B1144" s="99" t="s">
        <v>3672</v>
      </c>
      <c r="C1144" s="569" t="n">
        <v>1</v>
      </c>
      <c r="D1144" s="1105" t="n">
        <v>40</v>
      </c>
      <c r="E1144" s="1105" t="n">
        <v>5</v>
      </c>
      <c r="F1144" s="569" t="n">
        <v>35</v>
      </c>
      <c r="G1144" s="569"/>
      <c r="H1144" s="569" t="n">
        <v>16</v>
      </c>
      <c r="I1144" s="1701" t="n">
        <v>119.2</v>
      </c>
      <c r="J1144" s="679" t="s">
        <v>7410</v>
      </c>
      <c r="K1144" s="679" t="s">
        <v>7395</v>
      </c>
    </row>
    <row r="1145" customFormat="false" ht="30" hidden="false" customHeight="false" outlineLevel="0" collapsed="false">
      <c r="A1145" s="327" t="s">
        <v>1874</v>
      </c>
      <c r="B1145" s="99" t="s">
        <v>3673</v>
      </c>
      <c r="C1145" s="569" t="n">
        <v>1</v>
      </c>
      <c r="D1145" s="1105" t="n">
        <v>45</v>
      </c>
      <c r="E1145" s="1105" t="n">
        <v>5</v>
      </c>
      <c r="F1145" s="569" t="n">
        <v>40</v>
      </c>
      <c r="G1145" s="569"/>
      <c r="H1145" s="569" t="n">
        <v>15</v>
      </c>
      <c r="I1145" s="1701" t="n">
        <v>119.2</v>
      </c>
      <c r="J1145" s="679" t="s">
        <v>7411</v>
      </c>
      <c r="K1145" s="679" t="s">
        <v>7395</v>
      </c>
    </row>
    <row r="1146" customFormat="false" ht="30" hidden="false" customHeight="false" outlineLevel="0" collapsed="false">
      <c r="A1146" s="327" t="s">
        <v>1876</v>
      </c>
      <c r="B1146" s="99" t="s">
        <v>3674</v>
      </c>
      <c r="C1146" s="569" t="n">
        <v>1</v>
      </c>
      <c r="D1146" s="1105" t="n">
        <v>50</v>
      </c>
      <c r="E1146" s="1105" t="n">
        <v>10</v>
      </c>
      <c r="F1146" s="569" t="n">
        <v>40</v>
      </c>
      <c r="G1146" s="569"/>
      <c r="H1146" s="569" t="n">
        <v>23</v>
      </c>
      <c r="I1146" s="1701" t="n">
        <v>85.4</v>
      </c>
      <c r="J1146" s="679" t="s">
        <v>7412</v>
      </c>
      <c r="K1146" s="679" t="s">
        <v>7395</v>
      </c>
    </row>
    <row r="1147" customFormat="false" ht="45" hidden="false" customHeight="false" outlineLevel="0" collapsed="false">
      <c r="A1147" s="327" t="s">
        <v>1878</v>
      </c>
      <c r="B1147" s="99" t="s">
        <v>3675</v>
      </c>
      <c r="C1147" s="569" t="n">
        <v>1</v>
      </c>
      <c r="D1147" s="1105" t="n">
        <v>90</v>
      </c>
      <c r="E1147" s="1105" t="n">
        <v>50</v>
      </c>
      <c r="F1147" s="569" t="n">
        <v>40</v>
      </c>
      <c r="G1147" s="569"/>
      <c r="H1147" s="569" t="n">
        <v>15</v>
      </c>
      <c r="I1147" s="1701" t="n">
        <v>417.2</v>
      </c>
      <c r="J1147" s="679" t="s">
        <v>7413</v>
      </c>
      <c r="K1147" s="679" t="s">
        <v>7395</v>
      </c>
    </row>
    <row r="1148" customFormat="false" ht="45" hidden="false" customHeight="false" outlineLevel="0" collapsed="false">
      <c r="A1148" s="327" t="s">
        <v>1880</v>
      </c>
      <c r="B1148" s="99" t="s">
        <v>3676</v>
      </c>
      <c r="C1148" s="569" t="n">
        <v>1</v>
      </c>
      <c r="D1148" s="1105" t="n">
        <v>280</v>
      </c>
      <c r="E1148" s="1105" t="n">
        <v>245</v>
      </c>
      <c r="F1148" s="569" t="n">
        <v>35</v>
      </c>
      <c r="G1148" s="569"/>
      <c r="H1148" s="569" t="n">
        <v>30</v>
      </c>
      <c r="I1148" s="1701" t="n">
        <v>144.2</v>
      </c>
      <c r="J1148" s="679" t="s">
        <v>7414</v>
      </c>
      <c r="K1148" s="679" t="s">
        <v>7415</v>
      </c>
    </row>
    <row r="1149" customFormat="false" ht="30" hidden="false" customHeight="false" outlineLevel="0" collapsed="false">
      <c r="A1149" s="327" t="s">
        <v>1882</v>
      </c>
      <c r="B1149" s="78" t="s">
        <v>3677</v>
      </c>
      <c r="C1149" s="912" t="n">
        <v>1</v>
      </c>
      <c r="D1149" s="547" t="n">
        <v>280</v>
      </c>
      <c r="E1149" s="547" t="n">
        <v>245</v>
      </c>
      <c r="F1149" s="912" t="n">
        <v>35</v>
      </c>
      <c r="G1149" s="912"/>
      <c r="H1149" s="912" t="n">
        <v>30</v>
      </c>
      <c r="I1149" s="1700" t="n">
        <v>1330</v>
      </c>
      <c r="J1149" s="679" t="s">
        <v>7414</v>
      </c>
      <c r="K1149" s="679" t="s">
        <v>7415</v>
      </c>
    </row>
    <row r="1150" customFormat="false" ht="30" hidden="false" customHeight="false" outlineLevel="0" collapsed="false">
      <c r="A1150" s="28" t="s">
        <v>1884</v>
      </c>
      <c r="B1150" s="99" t="s">
        <v>3660</v>
      </c>
      <c r="C1150" s="1405" t="n">
        <v>1</v>
      </c>
      <c r="D1150" s="1105" t="n">
        <f aca="false">E1150+F1150</f>
        <v>40</v>
      </c>
      <c r="E1150" s="1105" t="n">
        <v>5</v>
      </c>
      <c r="F1150" s="1405" t="n">
        <v>35</v>
      </c>
      <c r="G1150" s="1405"/>
      <c r="H1150" s="1405" t="n">
        <v>10</v>
      </c>
      <c r="I1150" s="1702" t="n">
        <v>133</v>
      </c>
      <c r="J1150" s="877" t="s">
        <v>7416</v>
      </c>
      <c r="K1150" s="877" t="s">
        <v>7395</v>
      </c>
    </row>
    <row r="1151" customFormat="false" ht="15" hidden="false" customHeight="false" outlineLevel="0" collapsed="false">
      <c r="A1151" s="350" t="s">
        <v>1886</v>
      </c>
      <c r="B1151" s="88" t="s">
        <v>3580</v>
      </c>
      <c r="C1151" s="541"/>
      <c r="D1151" s="712"/>
      <c r="E1151" s="712"/>
      <c r="F1151" s="541"/>
      <c r="G1151" s="541"/>
      <c r="H1151" s="541"/>
      <c r="I1151" s="541"/>
      <c r="J1151" s="600"/>
      <c r="K1151" s="600"/>
    </row>
    <row r="1152" customFormat="false" ht="45" hidden="false" customHeight="false" outlineLevel="0" collapsed="false">
      <c r="A1152" s="327" t="s">
        <v>1887</v>
      </c>
      <c r="B1152" s="78" t="s">
        <v>3679</v>
      </c>
      <c r="C1152" s="912" t="n">
        <v>1</v>
      </c>
      <c r="D1152" s="547" t="n">
        <v>47</v>
      </c>
      <c r="E1152" s="547" t="n">
        <v>30</v>
      </c>
      <c r="F1152" s="912" t="n">
        <v>17</v>
      </c>
      <c r="G1152" s="912"/>
      <c r="H1152" s="912" t="n">
        <v>15</v>
      </c>
      <c r="I1152" s="1700" t="n">
        <v>374.6</v>
      </c>
      <c r="J1152" s="679" t="s">
        <v>7417</v>
      </c>
      <c r="K1152" s="679" t="s">
        <v>7418</v>
      </c>
    </row>
    <row r="1153" customFormat="false" ht="30" hidden="false" customHeight="false" outlineLevel="0" collapsed="false">
      <c r="A1153" s="327" t="s">
        <v>1889</v>
      </c>
      <c r="B1153" s="78" t="s">
        <v>3680</v>
      </c>
      <c r="C1153" s="912" t="n">
        <v>1</v>
      </c>
      <c r="D1153" s="547" t="n">
        <v>60</v>
      </c>
      <c r="E1153" s="547" t="n">
        <v>20</v>
      </c>
      <c r="F1153" s="912" t="n">
        <v>40</v>
      </c>
      <c r="G1153" s="912"/>
      <c r="H1153" s="912" t="n">
        <v>15</v>
      </c>
      <c r="I1153" s="1700" t="n">
        <v>551.2</v>
      </c>
      <c r="J1153" s="679" t="s">
        <v>7419</v>
      </c>
      <c r="K1153" s="679" t="s">
        <v>7418</v>
      </c>
    </row>
    <row r="1154" customFormat="false" ht="30" hidden="false" customHeight="false" outlineLevel="0" collapsed="false">
      <c r="A1154" s="327" t="s">
        <v>1891</v>
      </c>
      <c r="B1154" s="78" t="s">
        <v>3681</v>
      </c>
      <c r="C1154" s="912" t="n">
        <v>1</v>
      </c>
      <c r="D1154" s="547" t="n">
        <v>47</v>
      </c>
      <c r="E1154" s="547" t="n">
        <v>30</v>
      </c>
      <c r="F1154" s="912" t="n">
        <v>17</v>
      </c>
      <c r="G1154" s="912"/>
      <c r="H1154" s="912" t="n">
        <v>21.5</v>
      </c>
      <c r="I1154" s="1700" t="n">
        <v>489.6</v>
      </c>
      <c r="J1154" s="679" t="s">
        <v>7420</v>
      </c>
      <c r="K1154" s="679" t="s">
        <v>7395</v>
      </c>
    </row>
    <row r="1155" customFormat="false" ht="30" hidden="false" customHeight="false" outlineLevel="0" collapsed="false">
      <c r="A1155" s="327" t="s">
        <v>1893</v>
      </c>
      <c r="B1155" s="78" t="s">
        <v>3682</v>
      </c>
      <c r="C1155" s="912" t="n">
        <v>1</v>
      </c>
      <c r="D1155" s="547" t="n">
        <v>60</v>
      </c>
      <c r="E1155" s="547" t="n">
        <v>20</v>
      </c>
      <c r="F1155" s="912" t="n">
        <v>40</v>
      </c>
      <c r="G1155" s="912"/>
      <c r="H1155" s="912" t="n">
        <v>21.5</v>
      </c>
      <c r="I1155" s="1700" t="n">
        <v>488.6</v>
      </c>
      <c r="J1155" s="679" t="s">
        <v>7420</v>
      </c>
      <c r="K1155" s="679" t="s">
        <v>7395</v>
      </c>
    </row>
    <row r="1156" customFormat="false" ht="45" hidden="false" customHeight="false" outlineLevel="0" collapsed="false">
      <c r="A1156" s="327" t="s">
        <v>1895</v>
      </c>
      <c r="B1156" s="78" t="s">
        <v>3683</v>
      </c>
      <c r="C1156" s="912" t="n">
        <v>1</v>
      </c>
      <c r="D1156" s="547" t="n">
        <v>40</v>
      </c>
      <c r="E1156" s="547" t="n">
        <v>30</v>
      </c>
      <c r="F1156" s="912" t="n">
        <v>10</v>
      </c>
      <c r="G1156" s="912"/>
      <c r="H1156" s="912" t="n">
        <v>12</v>
      </c>
      <c r="I1156" s="1700" t="n">
        <v>114.2</v>
      </c>
      <c r="J1156" s="679" t="s">
        <v>7421</v>
      </c>
      <c r="K1156" s="679" t="s">
        <v>7395</v>
      </c>
    </row>
    <row r="1157" customFormat="false" ht="45" hidden="false" customHeight="false" outlineLevel="0" collapsed="false">
      <c r="A1157" s="327" t="s">
        <v>1897</v>
      </c>
      <c r="B1157" s="78" t="s">
        <v>3684</v>
      </c>
      <c r="C1157" s="912" t="n">
        <v>1</v>
      </c>
      <c r="D1157" s="547" t="n">
        <v>60</v>
      </c>
      <c r="E1157" s="547" t="n">
        <v>20</v>
      </c>
      <c r="F1157" s="912" t="n">
        <v>40</v>
      </c>
      <c r="G1157" s="912"/>
      <c r="H1157" s="912" t="n">
        <v>10</v>
      </c>
      <c r="I1157" s="1700" t="n">
        <v>114.2</v>
      </c>
      <c r="J1157" s="679" t="s">
        <v>7421</v>
      </c>
      <c r="K1157" s="679" t="s">
        <v>7395</v>
      </c>
    </row>
    <row r="1158" customFormat="false" ht="30" hidden="false" customHeight="false" outlineLevel="0" collapsed="false">
      <c r="A1158" s="327" t="s">
        <v>1899</v>
      </c>
      <c r="B1158" s="78" t="s">
        <v>3685</v>
      </c>
      <c r="C1158" s="912" t="n">
        <v>1</v>
      </c>
      <c r="D1158" s="547" t="n">
        <v>40</v>
      </c>
      <c r="E1158" s="547" t="n">
        <v>30</v>
      </c>
      <c r="F1158" s="912" t="n">
        <v>10</v>
      </c>
      <c r="G1158" s="912"/>
      <c r="H1158" s="912" t="n">
        <v>5</v>
      </c>
      <c r="I1158" s="1700" t="n">
        <v>114.2</v>
      </c>
      <c r="J1158" s="679" t="s">
        <v>7422</v>
      </c>
      <c r="K1158" s="679" t="s">
        <v>7395</v>
      </c>
    </row>
    <row r="1159" customFormat="false" ht="30" hidden="false" customHeight="false" outlineLevel="0" collapsed="false">
      <c r="A1159" s="327" t="s">
        <v>1901</v>
      </c>
      <c r="B1159" s="78" t="s">
        <v>3686</v>
      </c>
      <c r="C1159" s="912" t="n">
        <v>1</v>
      </c>
      <c r="D1159" s="547" t="n">
        <v>60</v>
      </c>
      <c r="E1159" s="547" t="n">
        <v>20</v>
      </c>
      <c r="F1159" s="912" t="n">
        <v>40</v>
      </c>
      <c r="G1159" s="912"/>
      <c r="H1159" s="912" t="n">
        <v>10</v>
      </c>
      <c r="I1159" s="1700" t="n">
        <v>124.2</v>
      </c>
      <c r="J1159" s="679" t="s">
        <v>7422</v>
      </c>
      <c r="K1159" s="679" t="s">
        <v>7395</v>
      </c>
    </row>
    <row r="1160" customFormat="false" ht="30" hidden="false" customHeight="false" outlineLevel="0" collapsed="false">
      <c r="A1160" s="327" t="s">
        <v>1903</v>
      </c>
      <c r="B1160" s="78" t="s">
        <v>3687</v>
      </c>
      <c r="C1160" s="912" t="n">
        <v>1</v>
      </c>
      <c r="D1160" s="547" t="n">
        <v>40</v>
      </c>
      <c r="E1160" s="547" t="n">
        <v>30</v>
      </c>
      <c r="F1160" s="912" t="n">
        <v>10</v>
      </c>
      <c r="G1160" s="912"/>
      <c r="H1160" s="912" t="n">
        <v>19.5</v>
      </c>
      <c r="I1160" s="1700" t="n">
        <v>124.2</v>
      </c>
      <c r="J1160" s="679" t="s">
        <v>7423</v>
      </c>
      <c r="K1160" s="679" t="s">
        <v>7395</v>
      </c>
    </row>
    <row r="1161" customFormat="false" ht="30" hidden="false" customHeight="false" outlineLevel="0" collapsed="false">
      <c r="A1161" s="327" t="s">
        <v>1905</v>
      </c>
      <c r="B1161" s="78" t="s">
        <v>3688</v>
      </c>
      <c r="C1161" s="912" t="n">
        <v>1</v>
      </c>
      <c r="D1161" s="547" t="n">
        <v>70</v>
      </c>
      <c r="E1161" s="547" t="n">
        <v>30</v>
      </c>
      <c r="F1161" s="912" t="n">
        <v>40</v>
      </c>
      <c r="G1161" s="912"/>
      <c r="H1161" s="912" t="n">
        <v>10</v>
      </c>
      <c r="I1161" s="1700" t="n">
        <v>124.2</v>
      </c>
      <c r="J1161" s="679" t="s">
        <v>7423</v>
      </c>
      <c r="K1161" s="679" t="s">
        <v>7395</v>
      </c>
    </row>
    <row r="1162" customFormat="false" ht="30" hidden="false" customHeight="false" outlineLevel="0" collapsed="false">
      <c r="A1162" s="327" t="s">
        <v>1907</v>
      </c>
      <c r="B1162" s="78" t="s">
        <v>3689</v>
      </c>
      <c r="C1162" s="912" t="n">
        <v>1</v>
      </c>
      <c r="D1162" s="547" t="n">
        <f aca="false">E1162+F1162+G1162+H1162</f>
        <v>55</v>
      </c>
      <c r="E1162" s="547" t="n">
        <v>30</v>
      </c>
      <c r="F1162" s="912" t="n">
        <v>10</v>
      </c>
      <c r="G1162" s="912"/>
      <c r="H1162" s="912" t="n">
        <v>15</v>
      </c>
      <c r="I1162" s="1700" t="n">
        <v>129.2</v>
      </c>
      <c r="J1162" s="679" t="s">
        <v>7424</v>
      </c>
      <c r="K1162" s="679" t="s">
        <v>7395</v>
      </c>
    </row>
    <row r="1163" customFormat="false" ht="30" hidden="false" customHeight="false" outlineLevel="0" collapsed="false">
      <c r="A1163" s="327" t="s">
        <v>1909</v>
      </c>
      <c r="B1163" s="78" t="s">
        <v>3690</v>
      </c>
      <c r="C1163" s="912" t="n">
        <v>1</v>
      </c>
      <c r="D1163" s="547" t="n">
        <v>60</v>
      </c>
      <c r="E1163" s="547" t="n">
        <v>20</v>
      </c>
      <c r="F1163" s="912" t="n">
        <v>40</v>
      </c>
      <c r="G1163" s="912"/>
      <c r="H1163" s="912" t="n">
        <v>15</v>
      </c>
      <c r="I1163" s="1700" t="n">
        <v>119.2</v>
      </c>
      <c r="J1163" s="679" t="s">
        <v>7424</v>
      </c>
      <c r="K1163" s="679" t="s">
        <v>7395</v>
      </c>
    </row>
    <row r="1164" customFormat="false" ht="30" hidden="false" customHeight="false" outlineLevel="0" collapsed="false">
      <c r="A1164" s="327" t="s">
        <v>1911</v>
      </c>
      <c r="B1164" s="78" t="s">
        <v>3691</v>
      </c>
      <c r="C1164" s="912" t="n">
        <v>1</v>
      </c>
      <c r="D1164" s="547" t="n">
        <v>40</v>
      </c>
      <c r="E1164" s="547" t="n">
        <v>30</v>
      </c>
      <c r="F1164" s="912" t="n">
        <v>10</v>
      </c>
      <c r="G1164" s="912"/>
      <c r="H1164" s="912" t="n">
        <v>5</v>
      </c>
      <c r="I1164" s="1700" t="n">
        <v>124.2</v>
      </c>
      <c r="J1164" s="679" t="s">
        <v>7425</v>
      </c>
      <c r="K1164" s="679" t="s">
        <v>7395</v>
      </c>
    </row>
    <row r="1165" customFormat="false" ht="30" hidden="false" customHeight="false" outlineLevel="0" collapsed="false">
      <c r="A1165" s="327" t="s">
        <v>1913</v>
      </c>
      <c r="B1165" s="78" t="s">
        <v>3692</v>
      </c>
      <c r="C1165" s="912" t="n">
        <v>1</v>
      </c>
      <c r="D1165" s="547" t="n">
        <v>60</v>
      </c>
      <c r="E1165" s="547" t="n">
        <v>20</v>
      </c>
      <c r="F1165" s="912" t="n">
        <v>40</v>
      </c>
      <c r="G1165" s="912"/>
      <c r="H1165" s="912" t="n">
        <v>10</v>
      </c>
      <c r="I1165" s="1700" t="n">
        <v>153</v>
      </c>
      <c r="J1165" s="679" t="s">
        <v>7425</v>
      </c>
      <c r="K1165" s="679" t="s">
        <v>7395</v>
      </c>
    </row>
    <row r="1166" customFormat="false" ht="30" hidden="false" customHeight="false" outlineLevel="0" collapsed="false">
      <c r="A1166" s="327" t="s">
        <v>1915</v>
      </c>
      <c r="B1166" s="78" t="s">
        <v>3693</v>
      </c>
      <c r="C1166" s="912" t="n">
        <v>1</v>
      </c>
      <c r="D1166" s="547" t="n">
        <v>40</v>
      </c>
      <c r="E1166" s="547" t="n">
        <v>30</v>
      </c>
      <c r="F1166" s="912" t="n">
        <v>10</v>
      </c>
      <c r="G1166" s="912"/>
      <c r="H1166" s="912" t="n">
        <v>10</v>
      </c>
      <c r="I1166" s="1700" t="n">
        <v>158</v>
      </c>
      <c r="J1166" s="679" t="s">
        <v>7426</v>
      </c>
      <c r="K1166" s="679" t="s">
        <v>7395</v>
      </c>
    </row>
    <row r="1167" customFormat="false" ht="30" hidden="false" customHeight="false" outlineLevel="0" collapsed="false">
      <c r="A1167" s="327" t="s">
        <v>1917</v>
      </c>
      <c r="B1167" s="78" t="s">
        <v>3694</v>
      </c>
      <c r="C1167" s="912" t="n">
        <v>1</v>
      </c>
      <c r="D1167" s="547" t="n">
        <v>60</v>
      </c>
      <c r="E1167" s="547" t="n">
        <v>20</v>
      </c>
      <c r="F1167" s="912" t="n">
        <v>40</v>
      </c>
      <c r="G1167" s="912"/>
      <c r="H1167" s="912" t="n">
        <v>10</v>
      </c>
      <c r="I1167" s="1700" t="n">
        <v>119.2</v>
      </c>
      <c r="J1167" s="679" t="s">
        <v>7426</v>
      </c>
      <c r="K1167" s="679" t="s">
        <v>7395</v>
      </c>
    </row>
    <row r="1168" customFormat="false" ht="30" hidden="false" customHeight="false" outlineLevel="0" collapsed="false">
      <c r="A1168" s="327" t="s">
        <v>1919</v>
      </c>
      <c r="B1168" s="78" t="s">
        <v>3695</v>
      </c>
      <c r="C1168" s="912" t="n">
        <v>1</v>
      </c>
      <c r="D1168" s="547" t="n">
        <v>40</v>
      </c>
      <c r="E1168" s="547" t="n">
        <v>30</v>
      </c>
      <c r="F1168" s="912" t="n">
        <v>10</v>
      </c>
      <c r="G1168" s="912"/>
      <c r="H1168" s="912" t="n">
        <v>15</v>
      </c>
      <c r="I1168" s="1700" t="n">
        <v>124.2</v>
      </c>
      <c r="J1168" s="679" t="s">
        <v>7427</v>
      </c>
      <c r="K1168" s="679" t="s">
        <v>7395</v>
      </c>
    </row>
    <row r="1169" customFormat="false" ht="30" hidden="false" customHeight="false" outlineLevel="0" collapsed="false">
      <c r="A1169" s="327" t="s">
        <v>1921</v>
      </c>
      <c r="B1169" s="78" t="s">
        <v>3696</v>
      </c>
      <c r="C1169" s="912" t="n">
        <v>1</v>
      </c>
      <c r="D1169" s="547" t="n">
        <v>60</v>
      </c>
      <c r="E1169" s="547" t="n">
        <v>20</v>
      </c>
      <c r="F1169" s="912" t="n">
        <v>40</v>
      </c>
      <c r="G1169" s="912"/>
      <c r="H1169" s="912" t="n">
        <v>10</v>
      </c>
      <c r="I1169" s="1700" t="n">
        <v>114.2</v>
      </c>
      <c r="J1169" s="679" t="s">
        <v>7427</v>
      </c>
      <c r="K1169" s="679" t="s">
        <v>7395</v>
      </c>
    </row>
    <row r="1170" customFormat="false" ht="15" hidden="false" customHeight="false" outlineLevel="0" collapsed="false">
      <c r="A1170" s="350" t="s">
        <v>1922</v>
      </c>
      <c r="B1170" s="88" t="s">
        <v>3697</v>
      </c>
      <c r="C1170" s="339"/>
      <c r="D1170" s="712"/>
      <c r="E1170" s="751"/>
      <c r="F1170" s="339"/>
      <c r="G1170" s="339"/>
      <c r="H1170" s="339"/>
      <c r="I1170" s="339"/>
      <c r="J1170" s="339"/>
      <c r="K1170" s="339"/>
    </row>
    <row r="1171" customFormat="false" ht="30" hidden="false" customHeight="false" outlineLevel="0" collapsed="false">
      <c r="A1171" s="327" t="s">
        <v>1924</v>
      </c>
      <c r="B1171" s="78" t="s">
        <v>3698</v>
      </c>
      <c r="C1171" s="912" t="n">
        <v>1</v>
      </c>
      <c r="D1171" s="547" t="n">
        <v>10</v>
      </c>
      <c r="E1171" s="547" t="n">
        <v>3</v>
      </c>
      <c r="F1171" s="912" t="n">
        <v>7</v>
      </c>
      <c r="G1171" s="912"/>
      <c r="H1171" s="912" t="n">
        <v>5</v>
      </c>
      <c r="I1171" s="1700" t="n">
        <v>119.2</v>
      </c>
      <c r="J1171" s="679" t="s">
        <v>7428</v>
      </c>
      <c r="K1171" s="679" t="s">
        <v>2635</v>
      </c>
    </row>
    <row r="1172" customFormat="false" ht="30" hidden="false" customHeight="false" outlineLevel="0" collapsed="false">
      <c r="A1172" s="327" t="s">
        <v>1926</v>
      </c>
      <c r="B1172" s="78" t="s">
        <v>3699</v>
      </c>
      <c r="C1172" s="912" t="n">
        <v>1</v>
      </c>
      <c r="D1172" s="547" t="n">
        <v>20</v>
      </c>
      <c r="E1172" s="547" t="n">
        <v>4</v>
      </c>
      <c r="F1172" s="912" t="n">
        <v>16</v>
      </c>
      <c r="G1172" s="912"/>
      <c r="H1172" s="912" t="n">
        <v>5</v>
      </c>
      <c r="I1172" s="1700" t="n">
        <v>119.2</v>
      </c>
      <c r="J1172" s="679" t="s">
        <v>7429</v>
      </c>
      <c r="K1172" s="679" t="s">
        <v>2635</v>
      </c>
    </row>
    <row r="1173" customFormat="false" ht="30" hidden="false" customHeight="false" outlineLevel="0" collapsed="false">
      <c r="A1173" s="327" t="s">
        <v>1927</v>
      </c>
      <c r="B1173" s="78" t="s">
        <v>3700</v>
      </c>
      <c r="C1173" s="912" t="n">
        <v>1</v>
      </c>
      <c r="D1173" s="547" t="n">
        <v>20</v>
      </c>
      <c r="E1173" s="547" t="n">
        <v>4</v>
      </c>
      <c r="F1173" s="912" t="n">
        <v>16</v>
      </c>
      <c r="G1173" s="912"/>
      <c r="H1173" s="912" t="n">
        <v>9</v>
      </c>
      <c r="I1173" s="1700" t="n">
        <v>119.2</v>
      </c>
      <c r="J1173" s="679" t="s">
        <v>7430</v>
      </c>
      <c r="K1173" s="679" t="s">
        <v>2635</v>
      </c>
    </row>
    <row r="1174" customFormat="false" ht="30" hidden="false" customHeight="false" outlineLevel="0" collapsed="false">
      <c r="A1174" s="327" t="s">
        <v>1929</v>
      </c>
      <c r="B1174" s="78" t="s">
        <v>3701</v>
      </c>
      <c r="C1174" s="912" t="n">
        <v>1</v>
      </c>
      <c r="D1174" s="547" t="n">
        <v>20</v>
      </c>
      <c r="E1174" s="547" t="n">
        <v>4</v>
      </c>
      <c r="F1174" s="912" t="n">
        <v>16</v>
      </c>
      <c r="G1174" s="912"/>
      <c r="H1174" s="912" t="n">
        <v>10</v>
      </c>
      <c r="I1174" s="1700" t="n">
        <v>119.2</v>
      </c>
      <c r="J1174" s="679" t="s">
        <v>7431</v>
      </c>
      <c r="K1174" s="679" t="s">
        <v>2635</v>
      </c>
    </row>
    <row r="1175" customFormat="false" ht="15" hidden="false" customHeight="false" outlineLevel="0" collapsed="false">
      <c r="A1175" s="350" t="s">
        <v>1931</v>
      </c>
      <c r="B1175" s="88" t="s">
        <v>3702</v>
      </c>
      <c r="C1175" s="339"/>
      <c r="D1175" s="712"/>
      <c r="E1175" s="751"/>
      <c r="F1175" s="339"/>
      <c r="G1175" s="339"/>
      <c r="H1175" s="339"/>
      <c r="I1175" s="339"/>
      <c r="J1175" s="339"/>
      <c r="K1175" s="339"/>
    </row>
    <row r="1176" customFormat="false" ht="30" hidden="false" customHeight="false" outlineLevel="0" collapsed="false">
      <c r="A1176" s="327" t="s">
        <v>1933</v>
      </c>
      <c r="B1176" s="78" t="s">
        <v>3703</v>
      </c>
      <c r="C1176" s="912" t="n">
        <v>1</v>
      </c>
      <c r="D1176" s="547" t="n">
        <v>30</v>
      </c>
      <c r="E1176" s="547" t="n">
        <v>10</v>
      </c>
      <c r="F1176" s="912" t="n">
        <v>20</v>
      </c>
      <c r="G1176" s="912"/>
      <c r="H1176" s="912" t="n">
        <v>10</v>
      </c>
      <c r="I1176" s="1700" t="n">
        <v>119.2</v>
      </c>
      <c r="J1176" s="679" t="s">
        <v>7432</v>
      </c>
      <c r="K1176" s="679" t="s">
        <v>7415</v>
      </c>
    </row>
    <row r="1177" customFormat="false" ht="30" hidden="false" customHeight="false" outlineLevel="0" collapsed="false">
      <c r="A1177" s="327" t="s">
        <v>1935</v>
      </c>
      <c r="B1177" s="78" t="s">
        <v>3704</v>
      </c>
      <c r="C1177" s="912" t="n">
        <v>1</v>
      </c>
      <c r="D1177" s="547" t="n">
        <v>45</v>
      </c>
      <c r="E1177" s="547" t="n">
        <v>10</v>
      </c>
      <c r="F1177" s="912" t="n">
        <v>35</v>
      </c>
      <c r="G1177" s="912"/>
      <c r="H1177" s="912" t="n">
        <v>20</v>
      </c>
      <c r="I1177" s="1700" t="n">
        <v>114.2</v>
      </c>
      <c r="J1177" s="679" t="s">
        <v>7432</v>
      </c>
      <c r="K1177" s="679" t="s">
        <v>7415</v>
      </c>
    </row>
    <row r="1178" customFormat="false" ht="30" hidden="false" customHeight="false" outlineLevel="0" collapsed="false">
      <c r="A1178" s="327" t="s">
        <v>1937</v>
      </c>
      <c r="B1178" s="78" t="s">
        <v>3705</v>
      </c>
      <c r="C1178" s="912" t="n">
        <v>1</v>
      </c>
      <c r="D1178" s="547" t="n">
        <v>40</v>
      </c>
      <c r="E1178" s="547" t="n">
        <v>10</v>
      </c>
      <c r="F1178" s="912" t="n">
        <v>30</v>
      </c>
      <c r="G1178" s="912"/>
      <c r="H1178" s="912" t="n">
        <v>10</v>
      </c>
      <c r="I1178" s="1700" t="n">
        <v>124.2</v>
      </c>
      <c r="J1178" s="679" t="s">
        <v>7433</v>
      </c>
      <c r="K1178" s="679" t="s">
        <v>7415</v>
      </c>
    </row>
    <row r="1179" customFormat="false" ht="30" hidden="false" customHeight="false" outlineLevel="0" collapsed="false">
      <c r="A1179" s="327" t="s">
        <v>1939</v>
      </c>
      <c r="B1179" s="78" t="s">
        <v>3706</v>
      </c>
      <c r="C1179" s="912" t="n">
        <v>1</v>
      </c>
      <c r="D1179" s="547" t="n">
        <v>45</v>
      </c>
      <c r="E1179" s="547" t="n">
        <v>10</v>
      </c>
      <c r="F1179" s="912" t="n">
        <v>35</v>
      </c>
      <c r="G1179" s="912"/>
      <c r="H1179" s="912" t="n">
        <v>20</v>
      </c>
      <c r="I1179" s="1700" t="n">
        <v>114.2</v>
      </c>
      <c r="J1179" s="679" t="s">
        <v>7433</v>
      </c>
      <c r="K1179" s="679" t="s">
        <v>7415</v>
      </c>
    </row>
    <row r="1180" customFormat="false" ht="30" hidden="false" customHeight="false" outlineLevel="0" collapsed="false">
      <c r="A1180" s="327" t="s">
        <v>1941</v>
      </c>
      <c r="B1180" s="78" t="s">
        <v>3707</v>
      </c>
      <c r="C1180" s="912" t="n">
        <v>1</v>
      </c>
      <c r="D1180" s="547" t="n">
        <v>40</v>
      </c>
      <c r="E1180" s="547" t="n">
        <v>10</v>
      </c>
      <c r="F1180" s="912" t="n">
        <v>30</v>
      </c>
      <c r="G1180" s="912"/>
      <c r="H1180" s="912" t="n">
        <v>10</v>
      </c>
      <c r="I1180" s="1700" t="n">
        <v>124.2</v>
      </c>
      <c r="J1180" s="679" t="s">
        <v>7434</v>
      </c>
      <c r="K1180" s="679" t="s">
        <v>7395</v>
      </c>
    </row>
    <row r="1181" customFormat="false" ht="30" hidden="false" customHeight="false" outlineLevel="0" collapsed="false">
      <c r="A1181" s="327" t="s">
        <v>1943</v>
      </c>
      <c r="B1181" s="78" t="s">
        <v>3708</v>
      </c>
      <c r="C1181" s="912" t="n">
        <v>1</v>
      </c>
      <c r="D1181" s="547" t="n">
        <v>45</v>
      </c>
      <c r="E1181" s="547" t="n">
        <v>10</v>
      </c>
      <c r="F1181" s="912" t="n">
        <v>35</v>
      </c>
      <c r="G1181" s="912"/>
      <c r="H1181" s="912" t="n">
        <v>10</v>
      </c>
      <c r="I1181" s="1700" t="n">
        <v>115.2</v>
      </c>
      <c r="J1181" s="679" t="s">
        <v>7434</v>
      </c>
      <c r="K1181" s="679" t="s">
        <v>7395</v>
      </c>
    </row>
    <row r="1182" customFormat="false" ht="15" hidden="false" customHeight="false" outlineLevel="0" collapsed="false">
      <c r="A1182" s="350" t="s">
        <v>1945</v>
      </c>
      <c r="B1182" s="88" t="s">
        <v>3709</v>
      </c>
      <c r="C1182" s="339"/>
      <c r="D1182" s="712"/>
      <c r="E1182" s="751"/>
      <c r="F1182" s="339"/>
      <c r="G1182" s="339"/>
      <c r="H1182" s="339"/>
      <c r="I1182" s="339"/>
      <c r="J1182" s="339"/>
      <c r="K1182" s="339"/>
    </row>
    <row r="1183" customFormat="false" ht="45" hidden="false" customHeight="false" outlineLevel="0" collapsed="false">
      <c r="A1183" s="327" t="s">
        <v>1947</v>
      </c>
      <c r="B1183" s="78" t="s">
        <v>3710</v>
      </c>
      <c r="C1183" s="912" t="n">
        <v>1</v>
      </c>
      <c r="D1183" s="547" t="n">
        <v>30</v>
      </c>
      <c r="E1183" s="547" t="n">
        <v>5</v>
      </c>
      <c r="F1183" s="912" t="n">
        <v>25</v>
      </c>
      <c r="G1183" s="912"/>
      <c r="H1183" s="912" t="n">
        <v>6</v>
      </c>
      <c r="I1183" s="1700" t="n">
        <v>124.2</v>
      </c>
      <c r="J1183" s="679" t="s">
        <v>7435</v>
      </c>
      <c r="K1183" s="679" t="s">
        <v>7415</v>
      </c>
    </row>
    <row r="1184" customFormat="false" ht="30" hidden="false" customHeight="false" outlineLevel="0" collapsed="false">
      <c r="A1184" s="327" t="s">
        <v>1949</v>
      </c>
      <c r="B1184" s="99" t="s">
        <v>3711</v>
      </c>
      <c r="C1184" s="569" t="n">
        <v>1</v>
      </c>
      <c r="D1184" s="1105" t="n">
        <v>50</v>
      </c>
      <c r="E1184" s="1105" t="n">
        <v>10</v>
      </c>
      <c r="F1184" s="569" t="n">
        <v>40</v>
      </c>
      <c r="G1184" s="569"/>
      <c r="H1184" s="569" t="n">
        <v>15</v>
      </c>
      <c r="I1184" s="1701" t="n">
        <v>89.87</v>
      </c>
      <c r="J1184" s="679" t="s">
        <v>7436</v>
      </c>
      <c r="K1184" s="679" t="s">
        <v>2635</v>
      </c>
    </row>
    <row r="1185" customFormat="false" ht="30" hidden="false" customHeight="false" outlineLevel="0" collapsed="false">
      <c r="A1185" s="327" t="s">
        <v>1950</v>
      </c>
      <c r="B1185" s="99" t="s">
        <v>3693</v>
      </c>
      <c r="C1185" s="569" t="n">
        <v>1</v>
      </c>
      <c r="D1185" s="1105" t="n">
        <v>40</v>
      </c>
      <c r="E1185" s="1105" t="n">
        <v>5</v>
      </c>
      <c r="F1185" s="569" t="n">
        <v>35</v>
      </c>
      <c r="G1185" s="569"/>
      <c r="H1185" s="569" t="n">
        <v>15</v>
      </c>
      <c r="I1185" s="1701" t="n">
        <v>123.6</v>
      </c>
      <c r="J1185" s="679" t="s">
        <v>7437</v>
      </c>
      <c r="K1185" s="679" t="s">
        <v>2635</v>
      </c>
    </row>
    <row r="1186" customFormat="false" ht="30" hidden="false" customHeight="false" outlineLevel="0" collapsed="false">
      <c r="A1186" s="327" t="s">
        <v>1951</v>
      </c>
      <c r="B1186" s="99" t="s">
        <v>3691</v>
      </c>
      <c r="C1186" s="569" t="n">
        <v>1</v>
      </c>
      <c r="D1186" s="1105" t="n">
        <v>40</v>
      </c>
      <c r="E1186" s="1105" t="n">
        <v>5</v>
      </c>
      <c r="F1186" s="569" t="n">
        <v>35</v>
      </c>
      <c r="G1186" s="569"/>
      <c r="H1186" s="569" t="n">
        <v>15</v>
      </c>
      <c r="I1186" s="1701" t="n">
        <v>129</v>
      </c>
      <c r="J1186" s="679" t="s">
        <v>7438</v>
      </c>
      <c r="K1186" s="679" t="s">
        <v>7439</v>
      </c>
    </row>
    <row r="1187" customFormat="false" ht="45" hidden="false" customHeight="false" outlineLevel="0" collapsed="false">
      <c r="A1187" s="327" t="s">
        <v>1952</v>
      </c>
      <c r="B1187" s="99" t="s">
        <v>3712</v>
      </c>
      <c r="C1187" s="569" t="n">
        <v>1</v>
      </c>
      <c r="D1187" s="1105" t="n">
        <v>40</v>
      </c>
      <c r="E1187" s="1105" t="n">
        <v>5</v>
      </c>
      <c r="F1187" s="569" t="n">
        <v>35</v>
      </c>
      <c r="G1187" s="569"/>
      <c r="H1187" s="569" t="n">
        <v>15</v>
      </c>
      <c r="I1187" s="1701" t="n">
        <v>94.87</v>
      </c>
      <c r="J1187" s="679" t="s">
        <v>7440</v>
      </c>
      <c r="K1187" s="679" t="s">
        <v>7395</v>
      </c>
    </row>
    <row r="1188" customFormat="false" ht="15" hidden="false" customHeight="false" outlineLevel="0" collapsed="false">
      <c r="A1188" s="350" t="s">
        <v>1954</v>
      </c>
      <c r="B1188" s="88" t="s">
        <v>3713</v>
      </c>
      <c r="C1188" s="541"/>
      <c r="D1188" s="712"/>
      <c r="E1188" s="712"/>
      <c r="F1188" s="541"/>
      <c r="G1188" s="541"/>
      <c r="H1188" s="541"/>
      <c r="I1188" s="541"/>
      <c r="J1188" s="541"/>
      <c r="K1188" s="541"/>
    </row>
    <row r="1189" customFormat="false" ht="30" hidden="false" customHeight="false" outlineLevel="0" collapsed="false">
      <c r="A1189" s="327" t="s">
        <v>1956</v>
      </c>
      <c r="B1189" s="78" t="s">
        <v>3714</v>
      </c>
      <c r="C1189" s="912" t="n">
        <v>1</v>
      </c>
      <c r="D1189" s="547" t="n">
        <v>40</v>
      </c>
      <c r="E1189" s="547" t="n">
        <v>10</v>
      </c>
      <c r="F1189" s="912" t="n">
        <v>30</v>
      </c>
      <c r="G1189" s="912"/>
      <c r="H1189" s="912" t="n">
        <v>6</v>
      </c>
      <c r="I1189" s="1700" t="n">
        <v>94.87</v>
      </c>
      <c r="J1189" s="679" t="s">
        <v>7441</v>
      </c>
      <c r="K1189" s="679" t="s">
        <v>2635</v>
      </c>
    </row>
    <row r="1190" customFormat="false" ht="30" hidden="false" customHeight="false" outlineLevel="0" collapsed="false">
      <c r="A1190" s="327" t="s">
        <v>1958</v>
      </c>
      <c r="B1190" s="78" t="s">
        <v>3715</v>
      </c>
      <c r="C1190" s="912" t="n">
        <v>1</v>
      </c>
      <c r="D1190" s="547" t="n">
        <v>40</v>
      </c>
      <c r="E1190" s="547" t="n">
        <v>10</v>
      </c>
      <c r="F1190" s="912" t="n">
        <v>30</v>
      </c>
      <c r="G1190" s="912"/>
      <c r="H1190" s="912" t="n">
        <v>20</v>
      </c>
      <c r="I1190" s="1700" t="n">
        <v>119.2</v>
      </c>
      <c r="J1190" s="679" t="s">
        <v>7442</v>
      </c>
      <c r="K1190" s="679" t="s">
        <v>2635</v>
      </c>
    </row>
    <row r="1191" customFormat="false" ht="30" hidden="false" customHeight="false" outlineLevel="0" collapsed="false">
      <c r="A1191" s="327" t="s">
        <v>1960</v>
      </c>
      <c r="B1191" s="78" t="s">
        <v>3716</v>
      </c>
      <c r="C1191" s="912" t="n">
        <v>1</v>
      </c>
      <c r="D1191" s="547" t="n">
        <v>40</v>
      </c>
      <c r="E1191" s="547" t="n">
        <v>10</v>
      </c>
      <c r="F1191" s="912" t="n">
        <v>30</v>
      </c>
      <c r="G1191" s="912"/>
      <c r="H1191" s="912" t="n">
        <v>10</v>
      </c>
      <c r="I1191" s="1700" t="n">
        <v>124.2</v>
      </c>
      <c r="J1191" s="679" t="s">
        <v>7443</v>
      </c>
      <c r="K1191" s="679" t="s">
        <v>2635</v>
      </c>
    </row>
    <row r="1192" customFormat="false" ht="30" hidden="false" customHeight="false" outlineLevel="0" collapsed="false">
      <c r="A1192" s="327" t="s">
        <v>1962</v>
      </c>
      <c r="B1192" s="78" t="s">
        <v>3717</v>
      </c>
      <c r="C1192" s="912" t="n">
        <v>1</v>
      </c>
      <c r="D1192" s="547" t="n">
        <v>40</v>
      </c>
      <c r="E1192" s="547" t="n">
        <v>10</v>
      </c>
      <c r="F1192" s="912" t="n">
        <v>30</v>
      </c>
      <c r="G1192" s="912"/>
      <c r="H1192" s="912" t="n">
        <v>10</v>
      </c>
      <c r="I1192" s="1700" t="n">
        <v>153</v>
      </c>
      <c r="J1192" s="679" t="s">
        <v>7444</v>
      </c>
      <c r="K1192" s="679" t="s">
        <v>2635</v>
      </c>
    </row>
    <row r="1193" customFormat="false" ht="30" hidden="false" customHeight="false" outlineLevel="0" collapsed="false">
      <c r="A1193" s="327" t="s">
        <v>1964</v>
      </c>
      <c r="B1193" s="78" t="s">
        <v>3693</v>
      </c>
      <c r="C1193" s="912" t="n">
        <v>1</v>
      </c>
      <c r="D1193" s="547" t="n">
        <v>40</v>
      </c>
      <c r="E1193" s="547" t="n">
        <v>10</v>
      </c>
      <c r="F1193" s="912" t="n">
        <v>30</v>
      </c>
      <c r="G1193" s="912"/>
      <c r="H1193" s="912" t="n">
        <v>15</v>
      </c>
      <c r="I1193" s="1700" t="n">
        <v>119.2</v>
      </c>
      <c r="J1193" s="679" t="s">
        <v>7445</v>
      </c>
      <c r="K1193" s="679" t="s">
        <v>2635</v>
      </c>
    </row>
    <row r="1194" customFormat="false" ht="30" hidden="false" customHeight="false" outlineLevel="0" collapsed="false">
      <c r="A1194" s="327" t="s">
        <v>1965</v>
      </c>
      <c r="B1194" s="78" t="s">
        <v>3691</v>
      </c>
      <c r="C1194" s="912" t="n">
        <v>1</v>
      </c>
      <c r="D1194" s="547" t="n">
        <v>40</v>
      </c>
      <c r="E1194" s="547" t="n">
        <v>10</v>
      </c>
      <c r="F1194" s="912" t="n">
        <v>30</v>
      </c>
      <c r="G1194" s="912"/>
      <c r="H1194" s="912" t="n">
        <v>15</v>
      </c>
      <c r="I1194" s="1700" t="n">
        <v>124.2</v>
      </c>
      <c r="J1194" s="679" t="s">
        <v>7446</v>
      </c>
      <c r="K1194" s="679" t="s">
        <v>2635</v>
      </c>
    </row>
    <row r="1195" customFormat="false" ht="30" hidden="false" customHeight="false" outlineLevel="0" collapsed="false">
      <c r="A1195" s="327" t="s">
        <v>1966</v>
      </c>
      <c r="B1195" s="78" t="s">
        <v>3718</v>
      </c>
      <c r="C1195" s="912" t="n">
        <v>1</v>
      </c>
      <c r="D1195" s="547" t="n">
        <v>46</v>
      </c>
      <c r="E1195" s="547" t="n">
        <v>10</v>
      </c>
      <c r="F1195" s="912" t="n">
        <v>36</v>
      </c>
      <c r="G1195" s="912"/>
      <c r="H1195" s="912" t="n">
        <v>20</v>
      </c>
      <c r="I1195" s="1700" t="n">
        <v>124.2</v>
      </c>
      <c r="J1195" s="679" t="s">
        <v>7447</v>
      </c>
      <c r="K1195" s="679" t="s">
        <v>2635</v>
      </c>
    </row>
    <row r="1196" customFormat="false" ht="30" hidden="false" customHeight="false" outlineLevel="0" collapsed="false">
      <c r="A1196" s="327" t="s">
        <v>1968</v>
      </c>
      <c r="B1196" s="78" t="s">
        <v>3719</v>
      </c>
      <c r="C1196" s="912" t="n">
        <v>1</v>
      </c>
      <c r="D1196" s="547" t="n">
        <v>40</v>
      </c>
      <c r="E1196" s="547" t="n">
        <v>10</v>
      </c>
      <c r="F1196" s="912" t="n">
        <v>30</v>
      </c>
      <c r="G1196" s="912"/>
      <c r="H1196" s="912" t="n">
        <v>15</v>
      </c>
      <c r="I1196" s="1700" t="n">
        <v>134.2</v>
      </c>
      <c r="J1196" s="679" t="s">
        <v>7448</v>
      </c>
      <c r="K1196" s="679" t="s">
        <v>2635</v>
      </c>
    </row>
    <row r="1197" customFormat="false" ht="15" hidden="false" customHeight="false" outlineLevel="0" collapsed="false">
      <c r="A1197" s="350" t="s">
        <v>1969</v>
      </c>
      <c r="B1197" s="88" t="s">
        <v>3720</v>
      </c>
      <c r="C1197" s="339"/>
      <c r="D1197" s="712"/>
      <c r="E1197" s="751"/>
      <c r="F1197" s="339"/>
      <c r="G1197" s="339"/>
      <c r="H1197" s="339"/>
      <c r="I1197" s="339"/>
      <c r="J1197" s="339"/>
      <c r="K1197" s="339"/>
    </row>
    <row r="1198" customFormat="false" ht="30" hidden="false" customHeight="false" outlineLevel="0" collapsed="false">
      <c r="A1198" s="327" t="s">
        <v>1971</v>
      </c>
      <c r="B1198" s="78" t="s">
        <v>3721</v>
      </c>
      <c r="C1198" s="912" t="n">
        <v>1</v>
      </c>
      <c r="D1198" s="547" t="n">
        <v>100</v>
      </c>
      <c r="E1198" s="547" t="n">
        <v>60</v>
      </c>
      <c r="F1198" s="912" t="n">
        <v>40</v>
      </c>
      <c r="G1198" s="912"/>
      <c r="H1198" s="912" t="n">
        <v>120</v>
      </c>
      <c r="I1198" s="1700" t="n">
        <v>124.2</v>
      </c>
      <c r="J1198" s="679" t="s">
        <v>7449</v>
      </c>
      <c r="K1198" s="679" t="s">
        <v>7450</v>
      </c>
    </row>
    <row r="1199" customFormat="false" ht="30" hidden="false" customHeight="false" outlineLevel="0" collapsed="false">
      <c r="A1199" s="327" t="s">
        <v>1973</v>
      </c>
      <c r="B1199" s="78" t="s">
        <v>3722</v>
      </c>
      <c r="C1199" s="912" t="n">
        <v>1</v>
      </c>
      <c r="D1199" s="547" t="n">
        <v>100</v>
      </c>
      <c r="E1199" s="547" t="n">
        <v>60</v>
      </c>
      <c r="F1199" s="912" t="n">
        <v>40</v>
      </c>
      <c r="G1199" s="912"/>
      <c r="H1199" s="912" t="n">
        <v>10</v>
      </c>
      <c r="I1199" s="1700" t="n">
        <v>124.2</v>
      </c>
      <c r="J1199" s="679" t="s">
        <v>7449</v>
      </c>
      <c r="K1199" s="679" t="s">
        <v>7450</v>
      </c>
    </row>
    <row r="1200" customFormat="false" ht="30" hidden="false" customHeight="false" outlineLevel="0" collapsed="false">
      <c r="A1200" s="327" t="s">
        <v>1974</v>
      </c>
      <c r="B1200" s="78" t="s">
        <v>3693</v>
      </c>
      <c r="C1200" s="912" t="n">
        <v>1</v>
      </c>
      <c r="D1200" s="547" t="n">
        <v>100</v>
      </c>
      <c r="E1200" s="547" t="n">
        <v>60</v>
      </c>
      <c r="F1200" s="912" t="n">
        <v>40</v>
      </c>
      <c r="G1200" s="912"/>
      <c r="H1200" s="912" t="n">
        <v>15</v>
      </c>
      <c r="I1200" s="1700" t="n">
        <v>119.2</v>
      </c>
      <c r="J1200" s="679" t="s">
        <v>7449</v>
      </c>
      <c r="K1200" s="679" t="s">
        <v>7450</v>
      </c>
    </row>
    <row r="1201" customFormat="false" ht="30" hidden="false" customHeight="false" outlineLevel="0" collapsed="false">
      <c r="A1201" s="327" t="s">
        <v>1975</v>
      </c>
      <c r="B1201" s="78" t="s">
        <v>3723</v>
      </c>
      <c r="C1201" s="912" t="n">
        <v>1</v>
      </c>
      <c r="D1201" s="547" t="n">
        <v>100</v>
      </c>
      <c r="E1201" s="547" t="n">
        <v>60</v>
      </c>
      <c r="F1201" s="912" t="n">
        <v>40</v>
      </c>
      <c r="G1201" s="912"/>
      <c r="H1201" s="912" t="n">
        <v>10</v>
      </c>
      <c r="I1201" s="1700" t="n">
        <v>153</v>
      </c>
      <c r="J1201" s="679" t="s">
        <v>7449</v>
      </c>
      <c r="K1201" s="679" t="s">
        <v>7450</v>
      </c>
    </row>
    <row r="1202" customFormat="false" ht="30" hidden="false" customHeight="false" outlineLevel="0" collapsed="false">
      <c r="A1202" s="327" t="s">
        <v>1976</v>
      </c>
      <c r="B1202" s="78" t="s">
        <v>3724</v>
      </c>
      <c r="C1202" s="912" t="n">
        <v>1</v>
      </c>
      <c r="D1202" s="547" t="n">
        <v>100</v>
      </c>
      <c r="E1202" s="547" t="n">
        <v>60</v>
      </c>
      <c r="F1202" s="912" t="n">
        <v>40</v>
      </c>
      <c r="G1202" s="912"/>
      <c r="H1202" s="912" t="n">
        <v>10</v>
      </c>
      <c r="I1202" s="1700" t="n">
        <v>115.2</v>
      </c>
      <c r="J1202" s="679" t="s">
        <v>7449</v>
      </c>
      <c r="K1202" s="679" t="s">
        <v>7450</v>
      </c>
    </row>
    <row r="1203" customFormat="false" ht="30" hidden="false" customHeight="false" outlineLevel="0" collapsed="false">
      <c r="A1203" s="327" t="s">
        <v>1978</v>
      </c>
      <c r="B1203" s="78" t="s">
        <v>3725</v>
      </c>
      <c r="C1203" s="912" t="n">
        <v>1</v>
      </c>
      <c r="D1203" s="547" t="n">
        <v>100</v>
      </c>
      <c r="E1203" s="547" t="n">
        <v>60</v>
      </c>
      <c r="F1203" s="912" t="n">
        <v>40</v>
      </c>
      <c r="G1203" s="912"/>
      <c r="H1203" s="912" t="n">
        <v>120</v>
      </c>
      <c r="I1203" s="1700" t="n">
        <v>378.8</v>
      </c>
      <c r="J1203" s="679" t="s">
        <v>7451</v>
      </c>
      <c r="K1203" s="679" t="s">
        <v>7450</v>
      </c>
    </row>
    <row r="1204" customFormat="false" ht="30" hidden="false" customHeight="false" outlineLevel="0" collapsed="false">
      <c r="A1204" s="327" t="s">
        <v>1980</v>
      </c>
      <c r="B1204" s="78" t="s">
        <v>3667</v>
      </c>
      <c r="C1204" s="912" t="n">
        <v>1</v>
      </c>
      <c r="D1204" s="547" t="n">
        <v>100</v>
      </c>
      <c r="E1204" s="547" t="n">
        <v>60</v>
      </c>
      <c r="F1204" s="912" t="n">
        <v>40</v>
      </c>
      <c r="G1204" s="912"/>
      <c r="H1204" s="912" t="n">
        <v>10</v>
      </c>
      <c r="I1204" s="1700" t="n">
        <v>113</v>
      </c>
      <c r="J1204" s="679" t="s">
        <v>7451</v>
      </c>
      <c r="K1204" s="679" t="s">
        <v>7450</v>
      </c>
    </row>
    <row r="1205" customFormat="false" ht="30" hidden="false" customHeight="false" outlineLevel="0" collapsed="false">
      <c r="A1205" s="327" t="s">
        <v>1982</v>
      </c>
      <c r="B1205" s="78" t="s">
        <v>3668</v>
      </c>
      <c r="C1205" s="912" t="n">
        <v>1</v>
      </c>
      <c r="D1205" s="547" t="n">
        <v>100</v>
      </c>
      <c r="E1205" s="547" t="n">
        <v>60</v>
      </c>
      <c r="F1205" s="912" t="n">
        <v>40</v>
      </c>
      <c r="G1205" s="912"/>
      <c r="H1205" s="912" t="n">
        <v>16</v>
      </c>
      <c r="I1205" s="1700" t="n">
        <v>124.2</v>
      </c>
      <c r="J1205" s="679" t="s">
        <v>7451</v>
      </c>
      <c r="K1205" s="679" t="s">
        <v>7450</v>
      </c>
    </row>
    <row r="1206" customFormat="false" ht="30" hidden="false" customHeight="false" outlineLevel="0" collapsed="false">
      <c r="A1206" s="327" t="s">
        <v>1984</v>
      </c>
      <c r="B1206" s="78" t="s">
        <v>3726</v>
      </c>
      <c r="C1206" s="912" t="n">
        <v>1</v>
      </c>
      <c r="D1206" s="547" t="n">
        <v>100</v>
      </c>
      <c r="E1206" s="547" t="n">
        <v>60</v>
      </c>
      <c r="F1206" s="912" t="n">
        <v>40</v>
      </c>
      <c r="G1206" s="912"/>
      <c r="H1206" s="912" t="n">
        <v>16</v>
      </c>
      <c r="I1206" s="1700"/>
      <c r="J1206" s="679" t="s">
        <v>7451</v>
      </c>
      <c r="K1206" s="679" t="s">
        <v>7450</v>
      </c>
    </row>
    <row r="1207" customFormat="false" ht="99.75" hidden="false" customHeight="false" outlineLevel="0" collapsed="false">
      <c r="A1207" s="350" t="s">
        <v>1986</v>
      </c>
      <c r="B1207" s="54" t="s">
        <v>3727</v>
      </c>
      <c r="C1207" s="541"/>
      <c r="D1207" s="712"/>
      <c r="E1207" s="712"/>
      <c r="F1207" s="541"/>
      <c r="G1207" s="541"/>
      <c r="H1207" s="541"/>
      <c r="I1207" s="541"/>
      <c r="J1207" s="541"/>
      <c r="K1207" s="541"/>
    </row>
    <row r="1208" customFormat="false" ht="30" hidden="false" customHeight="false" outlineLevel="0" collapsed="false">
      <c r="A1208" s="327" t="s">
        <v>1988</v>
      </c>
      <c r="B1208" s="78" t="s">
        <v>3728</v>
      </c>
      <c r="C1208" s="912" t="n">
        <v>1</v>
      </c>
      <c r="D1208" s="547" t="n">
        <v>32</v>
      </c>
      <c r="E1208" s="547" t="n">
        <v>14</v>
      </c>
      <c r="F1208" s="912" t="n">
        <v>18</v>
      </c>
      <c r="G1208" s="912"/>
      <c r="H1208" s="912" t="n">
        <v>10</v>
      </c>
      <c r="I1208" s="1700" t="n">
        <v>234.8</v>
      </c>
      <c r="J1208" s="679" t="s">
        <v>7452</v>
      </c>
      <c r="K1208" s="679" t="s">
        <v>2635</v>
      </c>
    </row>
    <row r="1209" customFormat="false" ht="45" hidden="false" customHeight="false" outlineLevel="0" collapsed="false">
      <c r="A1209" s="327" t="s">
        <v>1989</v>
      </c>
      <c r="B1209" s="78" t="s">
        <v>3729</v>
      </c>
      <c r="C1209" s="912" t="n">
        <v>1</v>
      </c>
      <c r="D1209" s="547" t="n">
        <v>120</v>
      </c>
      <c r="E1209" s="547" t="n">
        <v>40</v>
      </c>
      <c r="F1209" s="912" t="n">
        <v>80</v>
      </c>
      <c r="G1209" s="912"/>
      <c r="H1209" s="912" t="n">
        <v>20</v>
      </c>
      <c r="I1209" s="1700" t="n">
        <v>287</v>
      </c>
      <c r="J1209" s="679" t="s">
        <v>7453</v>
      </c>
      <c r="K1209" s="679" t="s">
        <v>2635</v>
      </c>
    </row>
    <row r="1210" customFormat="false" ht="45" hidden="false" customHeight="false" outlineLevel="0" collapsed="false">
      <c r="A1210" s="327" t="s">
        <v>1991</v>
      </c>
      <c r="B1210" s="78" t="s">
        <v>3730</v>
      </c>
      <c r="C1210" s="912" t="n">
        <v>1</v>
      </c>
      <c r="D1210" s="547" t="n">
        <f aca="false">E1210+F1210+G1210+H1210</f>
        <v>101</v>
      </c>
      <c r="E1210" s="547" t="n">
        <v>46</v>
      </c>
      <c r="F1210" s="912" t="n">
        <v>25</v>
      </c>
      <c r="G1210" s="912"/>
      <c r="H1210" s="912" t="n">
        <v>30</v>
      </c>
      <c r="I1210" s="1700" t="n">
        <v>211.4</v>
      </c>
      <c r="J1210" s="679" t="s">
        <v>7454</v>
      </c>
      <c r="K1210" s="679" t="s">
        <v>7395</v>
      </c>
    </row>
    <row r="1211" customFormat="false" ht="60" hidden="false" customHeight="false" outlineLevel="0" collapsed="false">
      <c r="A1211" s="327" t="s">
        <v>1993</v>
      </c>
      <c r="B1211" s="78" t="s">
        <v>3731</v>
      </c>
      <c r="C1211" s="912" t="n">
        <v>1</v>
      </c>
      <c r="D1211" s="547" t="n">
        <v>30</v>
      </c>
      <c r="E1211" s="547" t="n">
        <v>9</v>
      </c>
      <c r="F1211" s="912" t="n">
        <v>21</v>
      </c>
      <c r="G1211" s="912"/>
      <c r="H1211" s="912" t="n">
        <v>16</v>
      </c>
      <c r="I1211" s="1700" t="n">
        <v>114.2</v>
      </c>
      <c r="J1211" s="679" t="s">
        <v>7455</v>
      </c>
      <c r="K1211" s="679" t="s">
        <v>2635</v>
      </c>
    </row>
    <row r="1212" customFormat="false" ht="45" hidden="false" customHeight="false" outlineLevel="0" collapsed="false">
      <c r="A1212" s="327" t="s">
        <v>1995</v>
      </c>
      <c r="B1212" s="78" t="s">
        <v>3732</v>
      </c>
      <c r="C1212" s="912" t="n">
        <v>1</v>
      </c>
      <c r="D1212" s="547" t="n">
        <v>30</v>
      </c>
      <c r="E1212" s="547" t="n">
        <v>9</v>
      </c>
      <c r="F1212" s="912" t="n">
        <v>21</v>
      </c>
      <c r="G1212" s="912"/>
      <c r="H1212" s="912" t="n">
        <v>21</v>
      </c>
      <c r="I1212" s="1700" t="n">
        <v>243.8</v>
      </c>
      <c r="J1212" s="679" t="s">
        <v>7455</v>
      </c>
      <c r="K1212" s="679" t="s">
        <v>7395</v>
      </c>
    </row>
    <row r="1213" customFormat="false" ht="45" hidden="false" customHeight="false" outlineLevel="0" collapsed="false">
      <c r="A1213" s="327" t="s">
        <v>1997</v>
      </c>
      <c r="B1213" s="78" t="s">
        <v>3733</v>
      </c>
      <c r="C1213" s="912" t="n">
        <v>1</v>
      </c>
      <c r="D1213" s="547" t="n">
        <v>30</v>
      </c>
      <c r="E1213" s="547" t="n">
        <v>9</v>
      </c>
      <c r="F1213" s="912" t="n">
        <v>21</v>
      </c>
      <c r="G1213" s="912"/>
      <c r="H1213" s="912" t="n">
        <v>14.5</v>
      </c>
      <c r="I1213" s="1700" t="n">
        <v>169.8</v>
      </c>
      <c r="J1213" s="679" t="s">
        <v>7455</v>
      </c>
      <c r="K1213" s="679" t="s">
        <v>7395</v>
      </c>
    </row>
    <row r="1214" customFormat="false" ht="45" hidden="false" customHeight="false" outlineLevel="0" collapsed="false">
      <c r="A1214" s="327" t="s">
        <v>1999</v>
      </c>
      <c r="B1214" s="78" t="s">
        <v>3734</v>
      </c>
      <c r="C1214" s="912" t="n">
        <v>1</v>
      </c>
      <c r="D1214" s="547" t="n">
        <v>30</v>
      </c>
      <c r="E1214" s="547" t="n">
        <v>9</v>
      </c>
      <c r="F1214" s="912" t="n">
        <v>21</v>
      </c>
      <c r="G1214" s="912"/>
      <c r="H1214" s="912" t="n">
        <v>13</v>
      </c>
      <c r="I1214" s="1700" t="n">
        <v>299.4</v>
      </c>
      <c r="J1214" s="679" t="s">
        <v>7455</v>
      </c>
      <c r="K1214" s="679" t="s">
        <v>7395</v>
      </c>
    </row>
    <row r="1215" customFormat="false" ht="45" hidden="false" customHeight="false" outlineLevel="0" collapsed="false">
      <c r="A1215" s="327" t="s">
        <v>2001</v>
      </c>
      <c r="B1215" s="78" t="s">
        <v>3735</v>
      </c>
      <c r="C1215" s="912" t="n">
        <v>1</v>
      </c>
      <c r="D1215" s="547" t="n">
        <f aca="false">E1215+F1215+G1215+H1215</f>
        <v>35</v>
      </c>
      <c r="E1215" s="547" t="n">
        <v>7</v>
      </c>
      <c r="F1215" s="912" t="n">
        <v>15</v>
      </c>
      <c r="G1215" s="912"/>
      <c r="H1215" s="912" t="n">
        <v>13</v>
      </c>
      <c r="I1215" s="1700" t="n">
        <v>171.8</v>
      </c>
      <c r="J1215" s="679" t="s">
        <v>7456</v>
      </c>
      <c r="K1215" s="679" t="s">
        <v>2635</v>
      </c>
    </row>
    <row r="1216" customFormat="false" ht="45" hidden="false" customHeight="false" outlineLevel="0" collapsed="false">
      <c r="A1216" s="327" t="s">
        <v>2003</v>
      </c>
      <c r="B1216" s="78" t="s">
        <v>3736</v>
      </c>
      <c r="C1216" s="912" t="n">
        <v>1</v>
      </c>
      <c r="D1216" s="547" t="n">
        <v>24</v>
      </c>
      <c r="E1216" s="547" t="n">
        <v>8</v>
      </c>
      <c r="F1216" s="912" t="n">
        <v>16</v>
      </c>
      <c r="G1216" s="912"/>
      <c r="H1216" s="912" t="n">
        <v>12.5</v>
      </c>
      <c r="I1216" s="1700" t="n">
        <v>169.8</v>
      </c>
      <c r="J1216" s="679" t="s">
        <v>7456</v>
      </c>
      <c r="K1216" s="679" t="s">
        <v>2635</v>
      </c>
    </row>
    <row r="1217" customFormat="false" ht="30" hidden="false" customHeight="false" outlineLevel="0" collapsed="false">
      <c r="A1217" s="327" t="s">
        <v>2005</v>
      </c>
      <c r="B1217" s="78" t="s">
        <v>3737</v>
      </c>
      <c r="C1217" s="912" t="n">
        <v>1</v>
      </c>
      <c r="D1217" s="547" t="n">
        <v>40</v>
      </c>
      <c r="E1217" s="547" t="n">
        <v>9</v>
      </c>
      <c r="F1217" s="912" t="n">
        <v>31</v>
      </c>
      <c r="G1217" s="912"/>
      <c r="H1217" s="912" t="n">
        <v>17.5</v>
      </c>
      <c r="I1217" s="1700" t="n">
        <v>169.8</v>
      </c>
      <c r="J1217" s="679" t="s">
        <v>7457</v>
      </c>
      <c r="K1217" s="679" t="s">
        <v>7395</v>
      </c>
    </row>
    <row r="1218" customFormat="false" ht="30" hidden="false" customHeight="false" outlineLevel="0" collapsed="false">
      <c r="A1218" s="327" t="s">
        <v>2007</v>
      </c>
      <c r="B1218" s="78" t="s">
        <v>3738</v>
      </c>
      <c r="C1218" s="912" t="n">
        <v>1</v>
      </c>
      <c r="D1218" s="547" t="n">
        <v>17</v>
      </c>
      <c r="E1218" s="547" t="n">
        <v>5</v>
      </c>
      <c r="F1218" s="912" t="n">
        <v>12</v>
      </c>
      <c r="G1218" s="912"/>
      <c r="H1218" s="912" t="n">
        <v>7</v>
      </c>
      <c r="I1218" s="1700" t="n">
        <v>641.4</v>
      </c>
      <c r="J1218" s="679" t="s">
        <v>7458</v>
      </c>
      <c r="K1218" s="679" t="s">
        <v>7459</v>
      </c>
    </row>
    <row r="1219" customFormat="false" ht="30" hidden="false" customHeight="false" outlineLevel="0" collapsed="false">
      <c r="A1219" s="327" t="s">
        <v>2009</v>
      </c>
      <c r="B1219" s="78" t="s">
        <v>3739</v>
      </c>
      <c r="C1219" s="912" t="n">
        <v>1</v>
      </c>
      <c r="D1219" s="547" t="n">
        <v>246</v>
      </c>
      <c r="E1219" s="547" t="n">
        <v>176</v>
      </c>
      <c r="F1219" s="912" t="n">
        <v>70</v>
      </c>
      <c r="G1219" s="912"/>
      <c r="H1219" s="912" t="n">
        <v>30</v>
      </c>
      <c r="I1219" s="1700" t="n">
        <v>342.6</v>
      </c>
      <c r="J1219" s="679" t="s">
        <v>7460</v>
      </c>
      <c r="K1219" s="679" t="s">
        <v>7459</v>
      </c>
    </row>
    <row r="1220" customFormat="false" ht="60" hidden="false" customHeight="false" outlineLevel="0" collapsed="false">
      <c r="A1220" s="327" t="s">
        <v>2011</v>
      </c>
      <c r="B1220" s="78" t="s">
        <v>3740</v>
      </c>
      <c r="C1220" s="912" t="n">
        <v>1</v>
      </c>
      <c r="D1220" s="547" t="n">
        <v>22</v>
      </c>
      <c r="E1220" s="547" t="n">
        <v>10</v>
      </c>
      <c r="F1220" s="912" t="n">
        <v>12</v>
      </c>
      <c r="G1220" s="912"/>
      <c r="H1220" s="912" t="n">
        <v>7</v>
      </c>
      <c r="I1220" s="1700" t="n">
        <v>355.4</v>
      </c>
      <c r="J1220" s="679" t="s">
        <v>7461</v>
      </c>
      <c r="K1220" s="679" t="s">
        <v>7459</v>
      </c>
    </row>
    <row r="1221" customFormat="false" ht="45" hidden="false" customHeight="false" outlineLevel="0" collapsed="false">
      <c r="A1221" s="327" t="s">
        <v>2013</v>
      </c>
      <c r="B1221" s="78" t="s">
        <v>3741</v>
      </c>
      <c r="C1221" s="912" t="n">
        <v>1</v>
      </c>
      <c r="D1221" s="547" t="n">
        <v>65</v>
      </c>
      <c r="E1221" s="547" t="n">
        <v>25</v>
      </c>
      <c r="F1221" s="912" t="n">
        <v>40</v>
      </c>
      <c r="G1221" s="912"/>
      <c r="H1221" s="912" t="n">
        <v>10</v>
      </c>
      <c r="I1221" s="1700" t="n">
        <v>119.2</v>
      </c>
      <c r="J1221" s="679" t="s">
        <v>7461</v>
      </c>
      <c r="K1221" s="679" t="s">
        <v>7459</v>
      </c>
    </row>
    <row r="1222" customFormat="false" ht="60" hidden="false" customHeight="false" outlineLevel="0" collapsed="false">
      <c r="A1222" s="327" t="s">
        <v>2015</v>
      </c>
      <c r="B1222" s="78" t="s">
        <v>3742</v>
      </c>
      <c r="C1222" s="912" t="n">
        <v>1</v>
      </c>
      <c r="D1222" s="547" t="n">
        <v>115</v>
      </c>
      <c r="E1222" s="547" t="n">
        <v>20</v>
      </c>
      <c r="F1222" s="912" t="n">
        <v>95</v>
      </c>
      <c r="G1222" s="912"/>
      <c r="H1222" s="912" t="n">
        <v>30</v>
      </c>
      <c r="I1222" s="1700" t="n">
        <v>259.2</v>
      </c>
      <c r="J1222" s="679" t="s">
        <v>7462</v>
      </c>
      <c r="K1222" s="679" t="s">
        <v>7459</v>
      </c>
    </row>
    <row r="1223" customFormat="false" ht="28.5" hidden="false" customHeight="false" outlineLevel="0" collapsed="false">
      <c r="A1223" s="350" t="s">
        <v>2017</v>
      </c>
      <c r="B1223" s="88" t="s">
        <v>3743</v>
      </c>
      <c r="C1223" s="339"/>
      <c r="D1223" s="712"/>
      <c r="E1223" s="751"/>
      <c r="F1223" s="339"/>
      <c r="G1223" s="339"/>
      <c r="H1223" s="339"/>
      <c r="I1223" s="339"/>
      <c r="J1223" s="339"/>
      <c r="K1223" s="339"/>
    </row>
    <row r="1224" customFormat="false" ht="30" hidden="false" customHeight="false" outlineLevel="0" collapsed="false">
      <c r="A1224" s="327" t="s">
        <v>2019</v>
      </c>
      <c r="B1224" s="78" t="s">
        <v>3744</v>
      </c>
      <c r="C1224" s="912" t="n">
        <v>1</v>
      </c>
      <c r="D1224" s="547" t="n">
        <f aca="false">E1224+F1224+G1224+H1224</f>
        <v>55</v>
      </c>
      <c r="E1224" s="547" t="n">
        <v>32</v>
      </c>
      <c r="F1224" s="912" t="n">
        <v>18</v>
      </c>
      <c r="G1224" s="912"/>
      <c r="H1224" s="912" t="n">
        <v>5</v>
      </c>
      <c r="I1224" s="912" t="n">
        <v>374.7</v>
      </c>
      <c r="J1224" s="679" t="s">
        <v>7463</v>
      </c>
      <c r="K1224" s="679" t="s">
        <v>7439</v>
      </c>
    </row>
    <row r="1225" customFormat="false" ht="30" hidden="false" customHeight="false" outlineLevel="0" collapsed="false">
      <c r="A1225" s="327" t="s">
        <v>2021</v>
      </c>
      <c r="B1225" s="78" t="s">
        <v>3745</v>
      </c>
      <c r="C1225" s="912" t="n">
        <v>1</v>
      </c>
      <c r="D1225" s="547" t="n">
        <v>32</v>
      </c>
      <c r="E1225" s="547" t="n">
        <v>11</v>
      </c>
      <c r="F1225" s="912" t="n">
        <v>21</v>
      </c>
      <c r="G1225" s="912"/>
      <c r="H1225" s="912" t="n">
        <v>4.5</v>
      </c>
      <c r="I1225" s="912" t="n">
        <v>48.75</v>
      </c>
      <c r="J1225" s="679" t="s">
        <v>7463</v>
      </c>
      <c r="K1225" s="679" t="s">
        <v>7439</v>
      </c>
    </row>
    <row r="1226" customFormat="false" ht="30" hidden="false" customHeight="false" outlineLevel="0" collapsed="false">
      <c r="A1226" s="327" t="s">
        <v>2023</v>
      </c>
      <c r="B1226" s="78" t="s">
        <v>3746</v>
      </c>
      <c r="C1226" s="912" t="n">
        <v>1</v>
      </c>
      <c r="D1226" s="547" t="n">
        <v>30</v>
      </c>
      <c r="E1226" s="547" t="n">
        <v>10</v>
      </c>
      <c r="F1226" s="912" t="n">
        <v>20</v>
      </c>
      <c r="G1226" s="912"/>
      <c r="H1226" s="912" t="n">
        <v>24</v>
      </c>
      <c r="I1226" s="912" t="n">
        <v>48.75</v>
      </c>
      <c r="J1226" s="679" t="s">
        <v>7464</v>
      </c>
      <c r="K1226" s="679" t="s">
        <v>7439</v>
      </c>
    </row>
    <row r="1227" customFormat="false" ht="30" hidden="false" customHeight="false" outlineLevel="0" collapsed="false">
      <c r="A1227" s="327" t="s">
        <v>2025</v>
      </c>
      <c r="B1227" s="78" t="s">
        <v>3747</v>
      </c>
      <c r="C1227" s="912" t="n">
        <v>1</v>
      </c>
      <c r="D1227" s="547" t="n">
        <v>139</v>
      </c>
      <c r="E1227" s="547" t="n">
        <v>119</v>
      </c>
      <c r="F1227" s="912" t="n">
        <v>20</v>
      </c>
      <c r="G1227" s="912"/>
      <c r="H1227" s="912" t="n">
        <v>67</v>
      </c>
      <c r="I1227" s="912" t="n">
        <v>48.75</v>
      </c>
      <c r="J1227" s="679" t="s">
        <v>7465</v>
      </c>
      <c r="K1227" s="679" t="s">
        <v>7439</v>
      </c>
    </row>
    <row r="1228" customFormat="false" ht="15" hidden="false" customHeight="false" outlineLevel="0" collapsed="false">
      <c r="A1228" s="350" t="s">
        <v>2027</v>
      </c>
      <c r="B1228" s="88" t="s">
        <v>3748</v>
      </c>
      <c r="C1228" s="339"/>
      <c r="D1228" s="712"/>
      <c r="E1228" s="751"/>
      <c r="F1228" s="339"/>
      <c r="G1228" s="339"/>
      <c r="H1228" s="339"/>
      <c r="I1228" s="339"/>
      <c r="J1228" s="339"/>
      <c r="K1228" s="339"/>
    </row>
    <row r="1229" customFormat="false" ht="60" hidden="false" customHeight="false" outlineLevel="0" collapsed="false">
      <c r="A1229" s="327" t="s">
        <v>2029</v>
      </c>
      <c r="B1229" s="78" t="s">
        <v>3749</v>
      </c>
      <c r="C1229" s="912" t="n">
        <v>1</v>
      </c>
      <c r="D1229" s="547" t="n">
        <f aca="false">E1229+F1229+G1229+H1229</f>
        <v>63</v>
      </c>
      <c r="E1229" s="547" t="n">
        <v>32</v>
      </c>
      <c r="F1229" s="912" t="n">
        <v>18</v>
      </c>
      <c r="G1229" s="912"/>
      <c r="H1229" s="912" t="n">
        <v>13</v>
      </c>
      <c r="I1229" s="1700" t="n">
        <v>48.75</v>
      </c>
      <c r="J1229" s="679" t="s">
        <v>7463</v>
      </c>
      <c r="K1229" s="679" t="s">
        <v>7439</v>
      </c>
    </row>
    <row r="1230" customFormat="false" ht="30" hidden="false" customHeight="false" outlineLevel="0" collapsed="false">
      <c r="A1230" s="327" t="s">
        <v>2031</v>
      </c>
      <c r="B1230" s="78" t="s">
        <v>3750</v>
      </c>
      <c r="C1230" s="912" t="n">
        <v>1</v>
      </c>
      <c r="D1230" s="547" t="n">
        <v>325</v>
      </c>
      <c r="E1230" s="547" t="n">
        <v>300</v>
      </c>
      <c r="F1230" s="912" t="n">
        <v>25</v>
      </c>
      <c r="G1230" s="912"/>
      <c r="H1230" s="912" t="n">
        <v>30</v>
      </c>
      <c r="I1230" s="1700" t="n">
        <v>90</v>
      </c>
      <c r="J1230" s="679" t="s">
        <v>7466</v>
      </c>
      <c r="K1230" s="679" t="s">
        <v>7439</v>
      </c>
    </row>
    <row r="1231" customFormat="false" ht="15" hidden="false" customHeight="false" outlineLevel="0" collapsed="false">
      <c r="A1231" s="350" t="s">
        <v>2033</v>
      </c>
      <c r="B1231" s="88" t="s">
        <v>3751</v>
      </c>
      <c r="C1231" s="339"/>
      <c r="D1231" s="712"/>
      <c r="E1231" s="751"/>
      <c r="F1231" s="339"/>
      <c r="G1231" s="339"/>
      <c r="H1231" s="339"/>
      <c r="I1231" s="339"/>
      <c r="J1231" s="339"/>
      <c r="K1231" s="339"/>
    </row>
    <row r="1232" customFormat="false" ht="45" hidden="false" customHeight="false" outlineLevel="0" collapsed="false">
      <c r="A1232" s="327" t="s">
        <v>2035</v>
      </c>
      <c r="B1232" s="78" t="s">
        <v>3752</v>
      </c>
      <c r="C1232" s="912" t="n">
        <v>1</v>
      </c>
      <c r="D1232" s="547" t="n">
        <v>120</v>
      </c>
      <c r="E1232" s="547" t="n">
        <v>100</v>
      </c>
      <c r="F1232" s="912" t="n">
        <v>20</v>
      </c>
      <c r="G1232" s="912"/>
      <c r="H1232" s="912" t="n">
        <v>15</v>
      </c>
      <c r="I1232" s="1700" t="n">
        <v>255.2</v>
      </c>
      <c r="J1232" s="679" t="s">
        <v>7467</v>
      </c>
      <c r="K1232" s="679" t="s">
        <v>7439</v>
      </c>
    </row>
    <row r="1233" customFormat="false" ht="15" hidden="false" customHeight="false" outlineLevel="0" collapsed="false">
      <c r="A1233" s="350" t="s">
        <v>2037</v>
      </c>
      <c r="B1233" s="103" t="s">
        <v>3753</v>
      </c>
      <c r="C1233" s="339"/>
      <c r="D1233" s="751"/>
      <c r="E1233" s="751"/>
      <c r="F1233" s="339"/>
      <c r="G1233" s="339"/>
      <c r="H1233" s="339"/>
      <c r="I1233" s="339"/>
      <c r="J1233" s="790"/>
      <c r="K1233" s="790"/>
    </row>
    <row r="1234" customFormat="false" ht="30" hidden="false" customHeight="false" outlineLevel="0" collapsed="false">
      <c r="A1234" s="327" t="s">
        <v>2039</v>
      </c>
      <c r="B1234" s="104" t="s">
        <v>3754</v>
      </c>
      <c r="C1234" s="912" t="n">
        <v>1</v>
      </c>
      <c r="D1234" s="547" t="n">
        <v>22</v>
      </c>
      <c r="E1234" s="547" t="n">
        <v>10</v>
      </c>
      <c r="F1234" s="912" t="n">
        <v>12</v>
      </c>
      <c r="G1234" s="912"/>
      <c r="H1234" s="912"/>
      <c r="I1234" s="912"/>
      <c r="J1234" s="679" t="s">
        <v>7461</v>
      </c>
      <c r="K1234" s="679" t="s">
        <v>7439</v>
      </c>
    </row>
    <row r="1235" customFormat="false" ht="45" hidden="false" customHeight="false" outlineLevel="0" collapsed="false">
      <c r="A1235" s="327" t="s">
        <v>2041</v>
      </c>
      <c r="B1235" s="104" t="s">
        <v>3755</v>
      </c>
      <c r="C1235" s="912" t="n">
        <v>1</v>
      </c>
      <c r="D1235" s="547" t="n">
        <v>22</v>
      </c>
      <c r="E1235" s="547" t="n">
        <v>10</v>
      </c>
      <c r="F1235" s="912" t="n">
        <v>12</v>
      </c>
      <c r="G1235" s="912"/>
      <c r="H1235" s="912"/>
      <c r="I1235" s="912"/>
      <c r="J1235" s="679" t="s">
        <v>7461</v>
      </c>
      <c r="K1235" s="679" t="s">
        <v>7439</v>
      </c>
    </row>
    <row r="1236" customFormat="false" ht="30" hidden="false" customHeight="false" outlineLevel="0" collapsed="false">
      <c r="A1236" s="327" t="s">
        <v>2043</v>
      </c>
      <c r="B1236" s="105" t="s">
        <v>3756</v>
      </c>
      <c r="C1236" s="912" t="n">
        <v>1</v>
      </c>
      <c r="D1236" s="547" t="n">
        <v>139</v>
      </c>
      <c r="E1236" s="547" t="n">
        <v>119</v>
      </c>
      <c r="F1236" s="912" t="n">
        <v>20</v>
      </c>
      <c r="G1236" s="912"/>
      <c r="H1236" s="912"/>
      <c r="I1236" s="912"/>
      <c r="J1236" s="679" t="s">
        <v>7468</v>
      </c>
      <c r="K1236" s="679" t="s">
        <v>7439</v>
      </c>
    </row>
    <row r="1237" customFormat="false" ht="45" hidden="false" customHeight="false" outlineLevel="0" collapsed="false">
      <c r="A1237" s="327" t="s">
        <v>2045</v>
      </c>
      <c r="B1237" s="106" t="s">
        <v>3757</v>
      </c>
      <c r="C1237" s="912" t="n">
        <v>1</v>
      </c>
      <c r="D1237" s="547" t="n">
        <v>139</v>
      </c>
      <c r="E1237" s="547" t="n">
        <v>119</v>
      </c>
      <c r="F1237" s="912" t="n">
        <v>20</v>
      </c>
      <c r="G1237" s="912"/>
      <c r="H1237" s="912"/>
      <c r="I1237" s="912"/>
      <c r="J1237" s="679" t="s">
        <v>7468</v>
      </c>
      <c r="K1237" s="679" t="s">
        <v>7439</v>
      </c>
    </row>
    <row r="1238" customFormat="false" ht="30" hidden="false" customHeight="false" outlineLevel="0" collapsed="false">
      <c r="A1238" s="327" t="s">
        <v>2047</v>
      </c>
      <c r="B1238" s="106" t="s">
        <v>3758</v>
      </c>
      <c r="C1238" s="912" t="n">
        <v>1</v>
      </c>
      <c r="D1238" s="547" t="n">
        <v>139</v>
      </c>
      <c r="E1238" s="547" t="n">
        <v>119</v>
      </c>
      <c r="F1238" s="912" t="n">
        <v>20</v>
      </c>
      <c r="G1238" s="912"/>
      <c r="H1238" s="912"/>
      <c r="I1238" s="912"/>
      <c r="J1238" s="679" t="s">
        <v>7468</v>
      </c>
      <c r="K1238" s="679" t="s">
        <v>7439</v>
      </c>
    </row>
    <row r="1239" customFormat="false" ht="75" hidden="false" customHeight="false" outlineLevel="0" collapsed="false">
      <c r="A1239" s="327" t="s">
        <v>2049</v>
      </c>
      <c r="B1239" s="107" t="s">
        <v>3759</v>
      </c>
      <c r="C1239" s="912" t="n">
        <v>1</v>
      </c>
      <c r="D1239" s="547" t="n">
        <v>280</v>
      </c>
      <c r="E1239" s="547" t="n">
        <v>245</v>
      </c>
      <c r="F1239" s="912" t="n">
        <v>35</v>
      </c>
      <c r="G1239" s="912"/>
      <c r="H1239" s="912"/>
      <c r="I1239" s="912"/>
      <c r="J1239" s="679" t="s">
        <v>7414</v>
      </c>
      <c r="K1239" s="679" t="s">
        <v>7439</v>
      </c>
    </row>
    <row r="1240" customFormat="false" ht="60" hidden="false" customHeight="false" outlineLevel="0" collapsed="false">
      <c r="A1240" s="327" t="s">
        <v>2051</v>
      </c>
      <c r="B1240" s="107" t="s">
        <v>3760</v>
      </c>
      <c r="C1240" s="912" t="n">
        <v>1</v>
      </c>
      <c r="D1240" s="547" t="n">
        <v>280</v>
      </c>
      <c r="E1240" s="547" t="n">
        <v>245</v>
      </c>
      <c r="F1240" s="912" t="n">
        <v>35</v>
      </c>
      <c r="G1240" s="912"/>
      <c r="H1240" s="912"/>
      <c r="I1240" s="912"/>
      <c r="J1240" s="679" t="s">
        <v>7414</v>
      </c>
      <c r="K1240" s="679" t="s">
        <v>7439</v>
      </c>
    </row>
    <row r="1241" customFormat="false" ht="30" hidden="false" customHeight="false" outlineLevel="0" collapsed="false">
      <c r="A1241" s="327" t="s">
        <v>2053</v>
      </c>
      <c r="B1241" s="108" t="s">
        <v>3761</v>
      </c>
      <c r="C1241" s="912" t="n">
        <v>1</v>
      </c>
      <c r="D1241" s="1105" t="n">
        <f aca="false">E1241+F1241+G1241</f>
        <v>50</v>
      </c>
      <c r="E1241" s="1105" t="n">
        <v>30</v>
      </c>
      <c r="F1241" s="569" t="n">
        <v>20</v>
      </c>
      <c r="G1241" s="912"/>
      <c r="H1241" s="912"/>
      <c r="I1241" s="912"/>
      <c r="J1241" s="679"/>
      <c r="K1241" s="679"/>
    </row>
    <row r="1242" customFormat="false" ht="15" hidden="false" customHeight="false" outlineLevel="0" collapsed="false">
      <c r="A1242" s="327" t="s">
        <v>2055</v>
      </c>
      <c r="B1242" s="78" t="s">
        <v>3762</v>
      </c>
      <c r="C1242" s="912" t="n">
        <v>1</v>
      </c>
      <c r="D1242" s="1105" t="n">
        <f aca="false">E1242+F1242+G1242</f>
        <v>50</v>
      </c>
      <c r="E1242" s="1105" t="n">
        <v>30</v>
      </c>
      <c r="F1242" s="569" t="n">
        <v>20</v>
      </c>
      <c r="G1242" s="912"/>
      <c r="H1242" s="912"/>
      <c r="I1242" s="912"/>
      <c r="J1242" s="679"/>
      <c r="K1242" s="679"/>
    </row>
    <row r="1243" customFormat="false" ht="30" hidden="false" customHeight="false" outlineLevel="0" collapsed="false">
      <c r="A1243" s="327" t="s">
        <v>2057</v>
      </c>
      <c r="B1243" s="108" t="s">
        <v>3763</v>
      </c>
      <c r="C1243" s="912" t="n">
        <v>1</v>
      </c>
      <c r="D1243" s="547" t="n">
        <v>100</v>
      </c>
      <c r="E1243" s="547" t="n">
        <v>60</v>
      </c>
      <c r="F1243" s="912" t="n">
        <v>40</v>
      </c>
      <c r="G1243" s="912"/>
      <c r="H1243" s="912"/>
      <c r="I1243" s="912"/>
      <c r="J1243" s="679" t="s">
        <v>7451</v>
      </c>
      <c r="K1243" s="679" t="s">
        <v>7439</v>
      </c>
    </row>
    <row r="1244" customFormat="false" ht="30" hidden="false" customHeight="false" outlineLevel="0" collapsed="false">
      <c r="A1244" s="327" t="s">
        <v>2059</v>
      </c>
      <c r="B1244" s="107" t="s">
        <v>3764</v>
      </c>
      <c r="C1244" s="912" t="n">
        <v>1</v>
      </c>
      <c r="D1244" s="547" t="n">
        <v>280</v>
      </c>
      <c r="E1244" s="547" t="n">
        <v>245</v>
      </c>
      <c r="F1244" s="912" t="n">
        <v>35</v>
      </c>
      <c r="G1244" s="912"/>
      <c r="H1244" s="912"/>
      <c r="I1244" s="912"/>
      <c r="J1244" s="679" t="s">
        <v>7414</v>
      </c>
      <c r="K1244" s="679" t="s">
        <v>7439</v>
      </c>
    </row>
    <row r="1245" customFormat="false" ht="28.5" hidden="false" customHeight="false" outlineLevel="0" collapsed="false">
      <c r="A1245" s="375" t="s">
        <v>2061</v>
      </c>
      <c r="B1245" s="318" t="s">
        <v>3765</v>
      </c>
      <c r="C1245" s="1547"/>
      <c r="D1245" s="1622" t="n">
        <f aca="false">E1245+F1245+G1245+H1245</f>
        <v>0</v>
      </c>
      <c r="E1245" s="1703"/>
      <c r="F1245" s="1547"/>
      <c r="G1245" s="1547"/>
      <c r="H1245" s="1547"/>
      <c r="I1245" s="1692"/>
      <c r="J1245" s="1208"/>
      <c r="K1245" s="1208"/>
    </row>
    <row r="1246" s="311" customFormat="true" ht="30" hidden="false" customHeight="false" outlineLevel="0" collapsed="false">
      <c r="A1246" s="327" t="s">
        <v>2063</v>
      </c>
      <c r="B1246" s="78" t="s">
        <v>3766</v>
      </c>
      <c r="C1246" s="912" t="n">
        <v>1</v>
      </c>
      <c r="D1246" s="547" t="n">
        <f aca="false">E1246+F1246+G1246+H1246</f>
        <v>20</v>
      </c>
      <c r="E1246" s="547" t="n">
        <v>3</v>
      </c>
      <c r="F1246" s="912" t="n">
        <v>7</v>
      </c>
      <c r="G1246" s="912"/>
      <c r="H1246" s="1700" t="n">
        <v>10</v>
      </c>
      <c r="I1246" s="1700"/>
      <c r="J1246" s="1213"/>
      <c r="K1246" s="1213"/>
    </row>
    <row r="1247" s="311" customFormat="true" ht="15" hidden="false" customHeight="false" outlineLevel="0" collapsed="false">
      <c r="A1247" s="327" t="s">
        <v>2065</v>
      </c>
      <c r="B1247" s="78" t="s">
        <v>3767</v>
      </c>
      <c r="C1247" s="912" t="n">
        <v>1</v>
      </c>
      <c r="D1247" s="547" t="n">
        <f aca="false">E1247+F1247+G1247+H1247</f>
        <v>20</v>
      </c>
      <c r="E1247" s="547" t="n">
        <v>3</v>
      </c>
      <c r="F1247" s="912" t="n">
        <v>7</v>
      </c>
      <c r="G1247" s="912"/>
      <c r="H1247" s="1700" t="n">
        <v>10</v>
      </c>
      <c r="I1247" s="1700"/>
      <c r="J1247" s="606"/>
      <c r="K1247" s="606"/>
    </row>
    <row r="1248" s="311" customFormat="true" ht="15" hidden="false" customHeight="false" outlineLevel="0" collapsed="false">
      <c r="A1248" s="327" t="s">
        <v>2067</v>
      </c>
      <c r="B1248" s="78" t="s">
        <v>3768</v>
      </c>
      <c r="C1248" s="912" t="n">
        <v>1</v>
      </c>
      <c r="D1248" s="547" t="n">
        <f aca="false">E1248+F1248+G1248+H1248</f>
        <v>23</v>
      </c>
      <c r="E1248" s="547" t="n">
        <v>3</v>
      </c>
      <c r="F1248" s="912" t="n">
        <v>15</v>
      </c>
      <c r="G1248" s="912"/>
      <c r="H1248" s="1700" t="n">
        <v>5</v>
      </c>
      <c r="I1248" s="1700"/>
      <c r="J1248" s="606"/>
      <c r="K1248" s="606"/>
    </row>
    <row r="1249" s="311" customFormat="true" ht="15" hidden="false" customHeight="false" outlineLevel="0" collapsed="false">
      <c r="A1249" s="327" t="s">
        <v>2069</v>
      </c>
      <c r="B1249" s="40" t="s">
        <v>3769</v>
      </c>
      <c r="C1249" s="912" t="n">
        <v>1</v>
      </c>
      <c r="D1249" s="547" t="n">
        <f aca="false">E1249+F1249+G1249+H1249</f>
        <v>23</v>
      </c>
      <c r="E1249" s="547" t="n">
        <v>3</v>
      </c>
      <c r="F1249" s="912" t="n">
        <v>15</v>
      </c>
      <c r="G1249" s="912"/>
      <c r="H1249" s="1700" t="n">
        <v>5</v>
      </c>
      <c r="I1249" s="1700"/>
      <c r="J1249" s="606"/>
      <c r="K1249" s="606"/>
    </row>
    <row r="1250" s="311" customFormat="true" ht="30" hidden="false" customHeight="false" outlineLevel="0" collapsed="false">
      <c r="A1250" s="327" t="s">
        <v>2071</v>
      </c>
      <c r="B1250" s="78" t="s">
        <v>3770</v>
      </c>
      <c r="C1250" s="912" t="n">
        <v>1</v>
      </c>
      <c r="D1250" s="547" t="n">
        <f aca="false">E1250+F1250+G1250+H1250</f>
        <v>33</v>
      </c>
      <c r="E1250" s="547" t="n">
        <v>3</v>
      </c>
      <c r="F1250" s="912" t="n">
        <v>15</v>
      </c>
      <c r="G1250" s="912"/>
      <c r="H1250" s="1700" t="n">
        <v>15</v>
      </c>
      <c r="I1250" s="1700"/>
      <c r="J1250" s="606"/>
      <c r="K1250" s="606"/>
    </row>
    <row r="1251" s="311" customFormat="true" ht="15" hidden="false" customHeight="false" outlineLevel="0" collapsed="false">
      <c r="A1251" s="327" t="s">
        <v>2073</v>
      </c>
      <c r="B1251" s="78" t="s">
        <v>3771</v>
      </c>
      <c r="C1251" s="912" t="n">
        <v>1</v>
      </c>
      <c r="D1251" s="547" t="n">
        <f aca="false">E1251+F1251+G1251+H1251</f>
        <v>38</v>
      </c>
      <c r="E1251" s="547" t="n">
        <v>3</v>
      </c>
      <c r="F1251" s="912" t="n">
        <v>20</v>
      </c>
      <c r="G1251" s="912"/>
      <c r="H1251" s="1700" t="n">
        <v>15</v>
      </c>
      <c r="I1251" s="1700"/>
      <c r="J1251" s="606"/>
      <c r="K1251" s="606"/>
    </row>
    <row r="1252" s="311" customFormat="true" ht="15" hidden="false" customHeight="false" outlineLevel="0" collapsed="false">
      <c r="A1252" s="327" t="s">
        <v>2075</v>
      </c>
      <c r="B1252" s="78" t="s">
        <v>3772</v>
      </c>
      <c r="C1252" s="912" t="n">
        <v>1</v>
      </c>
      <c r="D1252" s="547" t="n">
        <f aca="false">E1252+F1252+G1252+H1252</f>
        <v>33</v>
      </c>
      <c r="E1252" s="547" t="n">
        <v>3</v>
      </c>
      <c r="F1252" s="912" t="n">
        <v>20</v>
      </c>
      <c r="G1252" s="912"/>
      <c r="H1252" s="1700" t="n">
        <v>10</v>
      </c>
      <c r="I1252" s="1700"/>
      <c r="J1252" s="606"/>
      <c r="K1252" s="606"/>
    </row>
    <row r="1253" s="311" customFormat="true" ht="45" hidden="false" customHeight="false" outlineLevel="0" collapsed="false">
      <c r="A1253" s="327" t="s">
        <v>2077</v>
      </c>
      <c r="B1253" s="114" t="s">
        <v>3773</v>
      </c>
      <c r="C1253" s="912" t="n">
        <v>1</v>
      </c>
      <c r="D1253" s="1622" t="n">
        <f aca="false">E1253+F1253+G1253+H1253</f>
        <v>40</v>
      </c>
      <c r="E1253" s="1622" t="n">
        <v>10</v>
      </c>
      <c r="F1253" s="537" t="n">
        <v>20</v>
      </c>
      <c r="G1253" s="912"/>
      <c r="H1253" s="1700" t="n">
        <v>10</v>
      </c>
      <c r="I1253" s="1700"/>
      <c r="J1253" s="606"/>
      <c r="K1253" s="606"/>
    </row>
    <row r="1254" s="311" customFormat="true" ht="30" hidden="false" customHeight="false" outlineLevel="0" collapsed="false">
      <c r="A1254" s="327" t="s">
        <v>2079</v>
      </c>
      <c r="B1254" s="114" t="s">
        <v>3774</v>
      </c>
      <c r="C1254" s="912" t="n">
        <v>1</v>
      </c>
      <c r="D1254" s="547" t="n">
        <f aca="false">E1254+F1254+G1254+H1254</f>
        <v>40</v>
      </c>
      <c r="E1254" s="547" t="n">
        <v>10</v>
      </c>
      <c r="F1254" s="912" t="n">
        <v>20</v>
      </c>
      <c r="G1254" s="912"/>
      <c r="H1254" s="1700" t="n">
        <v>10</v>
      </c>
      <c r="I1254" s="1700"/>
      <c r="J1254" s="606"/>
      <c r="K1254" s="606"/>
    </row>
    <row r="1255" s="311" customFormat="true" ht="30" hidden="false" customHeight="false" outlineLevel="0" collapsed="false">
      <c r="A1255" s="327" t="s">
        <v>2081</v>
      </c>
      <c r="B1255" s="78" t="s">
        <v>3775</v>
      </c>
      <c r="C1255" s="912" t="n">
        <v>1</v>
      </c>
      <c r="D1255" s="547" t="n">
        <f aca="false">E1255+F1255+G1255+H1255</f>
        <v>40</v>
      </c>
      <c r="E1255" s="547" t="n">
        <v>10</v>
      </c>
      <c r="F1255" s="912" t="n">
        <v>20</v>
      </c>
      <c r="G1255" s="912"/>
      <c r="H1255" s="1700" t="n">
        <v>10</v>
      </c>
      <c r="I1255" s="1700"/>
      <c r="J1255" s="606"/>
      <c r="K1255" s="606"/>
    </row>
    <row r="1256" s="311" customFormat="true" ht="15" hidden="false" customHeight="false" outlineLevel="0" collapsed="false">
      <c r="A1256" s="327" t="s">
        <v>2083</v>
      </c>
      <c r="B1256" s="78" t="s">
        <v>3776</v>
      </c>
      <c r="C1256" s="912" t="n">
        <v>1</v>
      </c>
      <c r="D1256" s="547" t="n">
        <v>15</v>
      </c>
      <c r="E1256" s="547" t="n">
        <v>3</v>
      </c>
      <c r="F1256" s="912" t="n">
        <v>2</v>
      </c>
      <c r="G1256" s="912"/>
      <c r="H1256" s="1700" t="n">
        <v>10</v>
      </c>
      <c r="I1256" s="1700"/>
      <c r="J1256" s="606"/>
      <c r="K1256" s="606"/>
    </row>
    <row r="1257" s="311" customFormat="true" ht="15" hidden="false" customHeight="false" outlineLevel="0" collapsed="false">
      <c r="A1257" s="327" t="s">
        <v>2085</v>
      </c>
      <c r="B1257" s="78" t="s">
        <v>3777</v>
      </c>
      <c r="C1257" s="912" t="n">
        <v>1</v>
      </c>
      <c r="D1257" s="547" t="n">
        <f aca="false">E1257+F1257+G1257+H1257</f>
        <v>65</v>
      </c>
      <c r="E1257" s="547" t="n">
        <v>25</v>
      </c>
      <c r="F1257" s="912" t="n">
        <v>30</v>
      </c>
      <c r="G1257" s="912"/>
      <c r="H1257" s="1700" t="n">
        <v>10</v>
      </c>
      <c r="I1257" s="1700"/>
      <c r="J1257" s="606"/>
      <c r="K1257" s="606"/>
    </row>
    <row r="1258" s="311" customFormat="true" ht="15" hidden="false" customHeight="false" outlineLevel="0" collapsed="false">
      <c r="A1258" s="327" t="s">
        <v>2087</v>
      </c>
      <c r="B1258" s="78" t="s">
        <v>3778</v>
      </c>
      <c r="C1258" s="912" t="n">
        <v>1</v>
      </c>
      <c r="D1258" s="547" t="n">
        <f aca="false">E1258+F1258+G1258+H1258</f>
        <v>65</v>
      </c>
      <c r="E1258" s="547" t="n">
        <v>25</v>
      </c>
      <c r="F1258" s="912" t="n">
        <v>30</v>
      </c>
      <c r="G1258" s="912"/>
      <c r="H1258" s="1700" t="n">
        <v>10</v>
      </c>
      <c r="I1258" s="1700"/>
      <c r="J1258" s="606"/>
      <c r="K1258" s="606"/>
    </row>
    <row r="1259" s="311" customFormat="true" ht="15" hidden="false" customHeight="false" outlineLevel="0" collapsed="false">
      <c r="A1259" s="327" t="s">
        <v>2089</v>
      </c>
      <c r="B1259" s="78" t="s">
        <v>3779</v>
      </c>
      <c r="C1259" s="912" t="n">
        <v>1</v>
      </c>
      <c r="D1259" s="547" t="n">
        <f aca="false">E1259+F1259+G1259+H1259</f>
        <v>65</v>
      </c>
      <c r="E1259" s="547" t="n">
        <v>25</v>
      </c>
      <c r="F1259" s="912" t="n">
        <v>30</v>
      </c>
      <c r="G1259" s="912"/>
      <c r="H1259" s="1700" t="n">
        <v>10</v>
      </c>
      <c r="I1259" s="1700"/>
      <c r="J1259" s="606"/>
      <c r="K1259" s="606"/>
    </row>
    <row r="1260" s="311" customFormat="true" ht="15" hidden="false" customHeight="false" outlineLevel="0" collapsed="false">
      <c r="A1260" s="327" t="s">
        <v>2091</v>
      </c>
      <c r="B1260" s="78" t="s">
        <v>3780</v>
      </c>
      <c r="C1260" s="912" t="n">
        <v>1</v>
      </c>
      <c r="D1260" s="547" t="n">
        <f aca="false">E1260+F1260+G1260+H1260</f>
        <v>65</v>
      </c>
      <c r="E1260" s="547" t="n">
        <v>25</v>
      </c>
      <c r="F1260" s="912" t="n">
        <v>30</v>
      </c>
      <c r="G1260" s="912"/>
      <c r="H1260" s="1700" t="n">
        <v>10</v>
      </c>
      <c r="I1260" s="1700"/>
      <c r="J1260" s="606"/>
      <c r="K1260" s="606"/>
    </row>
    <row r="1261" s="311" customFormat="true" ht="30" hidden="false" customHeight="false" outlineLevel="0" collapsed="false">
      <c r="A1261" s="327" t="s">
        <v>2093</v>
      </c>
      <c r="B1261" s="78" t="s">
        <v>3781</v>
      </c>
      <c r="C1261" s="912" t="n">
        <v>1</v>
      </c>
      <c r="D1261" s="547" t="n">
        <f aca="false">E1261+F1261+G1261+H1261</f>
        <v>65</v>
      </c>
      <c r="E1261" s="547" t="n">
        <v>25</v>
      </c>
      <c r="F1261" s="912" t="n">
        <v>30</v>
      </c>
      <c r="G1261" s="912"/>
      <c r="H1261" s="1700" t="n">
        <v>10</v>
      </c>
      <c r="I1261" s="1700"/>
      <c r="J1261" s="606"/>
      <c r="K1261" s="606"/>
    </row>
    <row r="1262" s="311" customFormat="true" ht="15" hidden="false" customHeight="false" outlineLevel="0" collapsed="false">
      <c r="A1262" s="327" t="s">
        <v>2095</v>
      </c>
      <c r="B1262" s="78" t="s">
        <v>3782</v>
      </c>
      <c r="C1262" s="912" t="n">
        <v>1</v>
      </c>
      <c r="D1262" s="547" t="n">
        <f aca="false">E1262+F1262+G1262+H1262</f>
        <v>65</v>
      </c>
      <c r="E1262" s="547" t="n">
        <v>25</v>
      </c>
      <c r="F1262" s="912" t="n">
        <v>30</v>
      </c>
      <c r="G1262" s="912"/>
      <c r="H1262" s="1700" t="n">
        <v>10</v>
      </c>
      <c r="I1262" s="1700"/>
      <c r="J1262" s="606"/>
      <c r="K1262" s="606"/>
    </row>
    <row r="1263" s="311" customFormat="true" ht="15" hidden="false" customHeight="false" outlineLevel="0" collapsed="false">
      <c r="A1263" s="327" t="s">
        <v>2097</v>
      </c>
      <c r="B1263" s="78" t="s">
        <v>3783</v>
      </c>
      <c r="C1263" s="912" t="n">
        <v>1</v>
      </c>
      <c r="D1263" s="547" t="n">
        <f aca="false">E1263+F1263+G1263+H1263</f>
        <v>65</v>
      </c>
      <c r="E1263" s="547" t="n">
        <v>25</v>
      </c>
      <c r="F1263" s="912" t="n">
        <v>30</v>
      </c>
      <c r="G1263" s="912"/>
      <c r="H1263" s="1700" t="n">
        <v>10</v>
      </c>
      <c r="I1263" s="1700"/>
      <c r="J1263" s="606"/>
      <c r="K1263" s="606"/>
    </row>
    <row r="1264" s="311" customFormat="true" ht="15" hidden="false" customHeight="false" outlineLevel="0" collapsed="false">
      <c r="A1264" s="327" t="s">
        <v>2099</v>
      </c>
      <c r="B1264" s="78" t="s">
        <v>3784</v>
      </c>
      <c r="C1264" s="912" t="n">
        <v>1</v>
      </c>
      <c r="D1264" s="547" t="n">
        <f aca="false">E1264+F1264+G1264+H1264</f>
        <v>65</v>
      </c>
      <c r="E1264" s="547" t="n">
        <v>25</v>
      </c>
      <c r="F1264" s="912" t="n">
        <v>30</v>
      </c>
      <c r="G1264" s="912"/>
      <c r="H1264" s="1700" t="n">
        <v>10</v>
      </c>
      <c r="I1264" s="1700"/>
      <c r="J1264" s="606"/>
      <c r="K1264" s="606"/>
    </row>
    <row r="1265" s="311" customFormat="true" ht="15" hidden="false" customHeight="false" outlineLevel="0" collapsed="false">
      <c r="A1265" s="327" t="s">
        <v>2101</v>
      </c>
      <c r="B1265" s="78" t="s">
        <v>3785</v>
      </c>
      <c r="C1265" s="912" t="n">
        <v>1</v>
      </c>
      <c r="D1265" s="547" t="n">
        <f aca="false">E1265+F1265+G1265+H1265</f>
        <v>65</v>
      </c>
      <c r="E1265" s="547" t="n">
        <v>25</v>
      </c>
      <c r="F1265" s="912" t="n">
        <v>30</v>
      </c>
      <c r="G1265" s="912"/>
      <c r="H1265" s="1700" t="n">
        <v>10</v>
      </c>
      <c r="I1265" s="1700"/>
      <c r="J1265" s="606"/>
      <c r="K1265" s="606"/>
    </row>
    <row r="1266" s="311" customFormat="true" ht="15" hidden="false" customHeight="false" outlineLevel="0" collapsed="false">
      <c r="A1266" s="327" t="s">
        <v>2103</v>
      </c>
      <c r="B1266" s="78" t="s">
        <v>3786</v>
      </c>
      <c r="C1266" s="912" t="n">
        <v>1</v>
      </c>
      <c r="D1266" s="547" t="n">
        <f aca="false">E1266+F1266+G1266+H1266</f>
        <v>65</v>
      </c>
      <c r="E1266" s="547" t="n">
        <v>25</v>
      </c>
      <c r="F1266" s="912" t="n">
        <v>30</v>
      </c>
      <c r="G1266" s="912"/>
      <c r="H1266" s="1700" t="n">
        <v>10</v>
      </c>
      <c r="I1266" s="1700"/>
      <c r="J1266" s="606"/>
      <c r="K1266" s="606"/>
    </row>
    <row r="1267" s="311" customFormat="true" ht="15" hidden="false" customHeight="false" outlineLevel="0" collapsed="false">
      <c r="A1267" s="327" t="s">
        <v>2105</v>
      </c>
      <c r="B1267" s="78" t="s">
        <v>3787</v>
      </c>
      <c r="C1267" s="912" t="n">
        <v>1</v>
      </c>
      <c r="D1267" s="547" t="n">
        <f aca="false">E1267+F1267+G1267+H1267</f>
        <v>65</v>
      </c>
      <c r="E1267" s="547" t="n">
        <v>25</v>
      </c>
      <c r="F1267" s="912" t="n">
        <v>30</v>
      </c>
      <c r="G1267" s="912"/>
      <c r="H1267" s="1700" t="n">
        <v>10</v>
      </c>
      <c r="I1267" s="1700"/>
      <c r="J1267" s="606"/>
      <c r="K1267" s="606"/>
    </row>
    <row r="1268" s="311" customFormat="true" ht="15" hidden="false" customHeight="false" outlineLevel="0" collapsed="false">
      <c r="A1268" s="327" t="s">
        <v>2107</v>
      </c>
      <c r="B1268" s="78" t="s">
        <v>3788</v>
      </c>
      <c r="C1268" s="912" t="n">
        <v>1</v>
      </c>
      <c r="D1268" s="547" t="n">
        <f aca="false">E1268+F1268+G1268+H1268</f>
        <v>65</v>
      </c>
      <c r="E1268" s="547" t="n">
        <v>25</v>
      </c>
      <c r="F1268" s="912" t="n">
        <v>30</v>
      </c>
      <c r="G1268" s="912"/>
      <c r="H1268" s="1700" t="n">
        <v>10</v>
      </c>
      <c r="I1268" s="1700"/>
      <c r="J1268" s="606"/>
      <c r="K1268" s="606"/>
    </row>
    <row r="1269" s="311" customFormat="true" ht="30" hidden="false" customHeight="false" outlineLevel="0" collapsed="false">
      <c r="A1269" s="327" t="s">
        <v>2109</v>
      </c>
      <c r="B1269" s="78" t="s">
        <v>3789</v>
      </c>
      <c r="C1269" s="912" t="n">
        <v>1</v>
      </c>
      <c r="D1269" s="547" t="n">
        <f aca="false">E1269+F1269+G1269+H1269</f>
        <v>23</v>
      </c>
      <c r="E1269" s="547" t="n">
        <v>3</v>
      </c>
      <c r="F1269" s="912" t="n">
        <v>15</v>
      </c>
      <c r="G1269" s="912"/>
      <c r="H1269" s="1700" t="n">
        <v>5</v>
      </c>
      <c r="I1269" s="1700"/>
      <c r="J1269" s="606"/>
      <c r="K1269" s="606"/>
    </row>
    <row r="1270" s="311" customFormat="true" ht="15" hidden="false" customHeight="false" outlineLevel="0" collapsed="false">
      <c r="A1270" s="327" t="s">
        <v>2111</v>
      </c>
      <c r="B1270" s="78" t="s">
        <v>3790</v>
      </c>
      <c r="C1270" s="912" t="n">
        <v>1</v>
      </c>
      <c r="D1270" s="547" t="n">
        <f aca="false">E1270+F1270+G1270+H1270</f>
        <v>18</v>
      </c>
      <c r="E1270" s="547" t="n">
        <v>3</v>
      </c>
      <c r="F1270" s="912" t="n">
        <v>10</v>
      </c>
      <c r="G1270" s="912"/>
      <c r="H1270" s="1700" t="n">
        <v>5</v>
      </c>
      <c r="I1270" s="1700"/>
      <c r="J1270" s="606"/>
      <c r="K1270" s="606"/>
    </row>
    <row r="1271" s="311" customFormat="true" ht="30" hidden="false" customHeight="false" outlineLevel="0" collapsed="false">
      <c r="A1271" s="327" t="s">
        <v>2113</v>
      </c>
      <c r="B1271" s="78" t="s">
        <v>3791</v>
      </c>
      <c r="C1271" s="912" t="n">
        <v>1</v>
      </c>
      <c r="D1271" s="547" t="n">
        <f aca="false">E1271+F1271+G1271+H1271</f>
        <v>28</v>
      </c>
      <c r="E1271" s="547" t="n">
        <v>3</v>
      </c>
      <c r="F1271" s="912" t="n">
        <v>15</v>
      </c>
      <c r="G1271" s="912"/>
      <c r="H1271" s="1700" t="n">
        <v>10</v>
      </c>
      <c r="I1271" s="1700"/>
      <c r="J1271" s="606"/>
      <c r="K1271" s="606"/>
    </row>
    <row r="1272" s="311" customFormat="true" ht="30" hidden="false" customHeight="false" outlineLevel="0" collapsed="false">
      <c r="A1272" s="327" t="s">
        <v>2115</v>
      </c>
      <c r="B1272" s="78" t="s">
        <v>3792</v>
      </c>
      <c r="C1272" s="912" t="n">
        <v>1</v>
      </c>
      <c r="D1272" s="547" t="n">
        <f aca="false">E1272+F1272+G1272+H1272</f>
        <v>28</v>
      </c>
      <c r="E1272" s="547" t="n">
        <v>3</v>
      </c>
      <c r="F1272" s="912" t="n">
        <v>15</v>
      </c>
      <c r="G1272" s="912"/>
      <c r="H1272" s="1700" t="n">
        <v>10</v>
      </c>
      <c r="I1272" s="1700"/>
      <c r="J1272" s="606"/>
      <c r="K1272" s="606"/>
    </row>
    <row r="1273" s="311" customFormat="true" ht="15" hidden="false" customHeight="false" outlineLevel="0" collapsed="false">
      <c r="A1273" s="327" t="s">
        <v>2117</v>
      </c>
      <c r="B1273" s="78" t="s">
        <v>3793</v>
      </c>
      <c r="C1273" s="912" t="n">
        <v>1</v>
      </c>
      <c r="D1273" s="547" t="n">
        <f aca="false">E1273+F1273+G1273+H1273</f>
        <v>28</v>
      </c>
      <c r="E1273" s="547" t="n">
        <v>3</v>
      </c>
      <c r="F1273" s="912" t="n">
        <v>15</v>
      </c>
      <c r="G1273" s="912"/>
      <c r="H1273" s="1700" t="n">
        <v>10</v>
      </c>
      <c r="I1273" s="1700"/>
      <c r="J1273" s="606"/>
      <c r="K1273" s="606"/>
    </row>
    <row r="1274" s="311" customFormat="true" ht="30" hidden="false" customHeight="false" outlineLevel="0" collapsed="false">
      <c r="A1274" s="327" t="s">
        <v>2119</v>
      </c>
      <c r="B1274" s="78" t="s">
        <v>3794</v>
      </c>
      <c r="C1274" s="912" t="n">
        <v>1</v>
      </c>
      <c r="D1274" s="547" t="n">
        <f aca="false">E1274+F1274+G1274+H1274</f>
        <v>28</v>
      </c>
      <c r="E1274" s="547" t="n">
        <v>3</v>
      </c>
      <c r="F1274" s="912" t="n">
        <v>15</v>
      </c>
      <c r="G1274" s="912"/>
      <c r="H1274" s="1700" t="n">
        <v>10</v>
      </c>
      <c r="I1274" s="1700"/>
      <c r="J1274" s="606"/>
      <c r="K1274" s="606"/>
    </row>
    <row r="1275" s="311" customFormat="true" ht="15" hidden="false" customHeight="false" outlineLevel="0" collapsed="false">
      <c r="A1275" s="327" t="s">
        <v>2121</v>
      </c>
      <c r="B1275" s="78" t="s">
        <v>3795</v>
      </c>
      <c r="C1275" s="912" t="n">
        <v>1</v>
      </c>
      <c r="D1275" s="547" t="n">
        <f aca="false">E1275+F1275+G1275+H1275</f>
        <v>130</v>
      </c>
      <c r="E1275" s="547" t="n">
        <v>20</v>
      </c>
      <c r="F1275" s="912" t="n">
        <v>90</v>
      </c>
      <c r="G1275" s="912"/>
      <c r="H1275" s="1700" t="n">
        <v>20</v>
      </c>
      <c r="I1275" s="1700"/>
      <c r="J1275" s="606"/>
      <c r="K1275" s="606"/>
    </row>
    <row r="1276" s="311" customFormat="true" ht="15" hidden="false" customHeight="false" outlineLevel="0" collapsed="false">
      <c r="A1276" s="327" t="s">
        <v>2123</v>
      </c>
      <c r="B1276" s="78" t="s">
        <v>3796</v>
      </c>
      <c r="C1276" s="912" t="n">
        <v>1</v>
      </c>
      <c r="D1276" s="547" t="n">
        <f aca="false">E1276+F1276+G1276+H1276</f>
        <v>100</v>
      </c>
      <c r="E1276" s="547" t="n">
        <v>20</v>
      </c>
      <c r="F1276" s="912" t="n">
        <v>65</v>
      </c>
      <c r="G1276" s="912"/>
      <c r="H1276" s="1700" t="n">
        <v>15</v>
      </c>
      <c r="I1276" s="1700"/>
      <c r="J1276" s="606"/>
      <c r="K1276" s="606"/>
    </row>
    <row r="1277" s="311" customFormat="true" ht="30" hidden="false" customHeight="false" outlineLevel="0" collapsed="false">
      <c r="A1277" s="327" t="s">
        <v>2125</v>
      </c>
      <c r="B1277" s="78" t="s">
        <v>3797</v>
      </c>
      <c r="C1277" s="912" t="n">
        <v>1</v>
      </c>
      <c r="D1277" s="547" t="n">
        <f aca="false">E1277+F1277+G1277+H1277</f>
        <v>100</v>
      </c>
      <c r="E1277" s="547" t="n">
        <v>20</v>
      </c>
      <c r="F1277" s="912" t="n">
        <v>65</v>
      </c>
      <c r="G1277" s="912"/>
      <c r="H1277" s="1700" t="n">
        <v>15</v>
      </c>
      <c r="I1277" s="1700"/>
      <c r="J1277" s="606"/>
      <c r="K1277" s="606"/>
    </row>
    <row r="1278" s="311" customFormat="true" ht="30" hidden="false" customHeight="false" outlineLevel="0" collapsed="false">
      <c r="A1278" s="327" t="s">
        <v>2127</v>
      </c>
      <c r="B1278" s="78" t="s">
        <v>3798</v>
      </c>
      <c r="C1278" s="912" t="n">
        <v>1</v>
      </c>
      <c r="D1278" s="547" t="n">
        <f aca="false">E1278+F1278+G1278+H1278</f>
        <v>105</v>
      </c>
      <c r="E1278" s="547" t="n">
        <v>20</v>
      </c>
      <c r="F1278" s="912" t="n">
        <v>65</v>
      </c>
      <c r="G1278" s="912"/>
      <c r="H1278" s="1700" t="n">
        <v>20</v>
      </c>
      <c r="I1278" s="1700"/>
      <c r="J1278" s="606"/>
      <c r="K1278" s="606"/>
    </row>
    <row r="1279" s="311" customFormat="true" ht="30" hidden="false" customHeight="false" outlineLevel="0" collapsed="false">
      <c r="A1279" s="327" t="s">
        <v>2129</v>
      </c>
      <c r="B1279" s="78" t="s">
        <v>3799</v>
      </c>
      <c r="C1279" s="912" t="n">
        <v>1</v>
      </c>
      <c r="D1279" s="547" t="n">
        <f aca="false">E1279+F1279+G1279+H1279</f>
        <v>105</v>
      </c>
      <c r="E1279" s="547" t="n">
        <v>20</v>
      </c>
      <c r="F1279" s="912" t="n">
        <v>65</v>
      </c>
      <c r="G1279" s="912"/>
      <c r="H1279" s="1700" t="n">
        <v>20</v>
      </c>
      <c r="I1279" s="1700"/>
      <c r="J1279" s="606"/>
      <c r="K1279" s="606"/>
    </row>
    <row r="1280" s="311" customFormat="true" ht="30" hidden="false" customHeight="false" outlineLevel="0" collapsed="false">
      <c r="A1280" s="327" t="s">
        <v>2131</v>
      </c>
      <c r="B1280" s="78" t="s">
        <v>3800</v>
      </c>
      <c r="C1280" s="912" t="n">
        <v>1</v>
      </c>
      <c r="D1280" s="547" t="n">
        <f aca="false">E1280+F1280+G1280+H1280</f>
        <v>130</v>
      </c>
      <c r="E1280" s="547" t="n">
        <v>20</v>
      </c>
      <c r="F1280" s="912" t="n">
        <v>90</v>
      </c>
      <c r="G1280" s="912"/>
      <c r="H1280" s="1700" t="n">
        <v>20</v>
      </c>
      <c r="I1280" s="1700"/>
      <c r="J1280" s="606"/>
      <c r="K1280" s="606"/>
    </row>
    <row r="1281" s="311" customFormat="true" ht="15" hidden="false" customHeight="false" outlineLevel="0" collapsed="false">
      <c r="A1281" s="327" t="s">
        <v>2133</v>
      </c>
      <c r="B1281" s="78" t="s">
        <v>3801</v>
      </c>
      <c r="C1281" s="912" t="n">
        <v>1</v>
      </c>
      <c r="D1281" s="547" t="n">
        <f aca="false">E1281+F1281+G1281+H1281</f>
        <v>28</v>
      </c>
      <c r="E1281" s="547" t="n">
        <v>3</v>
      </c>
      <c r="F1281" s="912" t="n">
        <v>20</v>
      </c>
      <c r="G1281" s="912"/>
      <c r="H1281" s="1700" t="n">
        <v>5</v>
      </c>
      <c r="I1281" s="1700"/>
      <c r="J1281" s="606"/>
      <c r="K1281" s="606"/>
    </row>
    <row r="1282" s="311" customFormat="true" ht="15" hidden="false" customHeight="false" outlineLevel="0" collapsed="false">
      <c r="A1282" s="327" t="s">
        <v>2135</v>
      </c>
      <c r="B1282" s="78" t="s">
        <v>3802</v>
      </c>
      <c r="C1282" s="912" t="n">
        <v>1</v>
      </c>
      <c r="D1282" s="547" t="n">
        <f aca="false">E1282+F1282+G1282+H1282</f>
        <v>130</v>
      </c>
      <c r="E1282" s="547" t="n">
        <v>20</v>
      </c>
      <c r="F1282" s="912" t="n">
        <v>90</v>
      </c>
      <c r="G1282" s="912"/>
      <c r="H1282" s="1700" t="n">
        <v>20</v>
      </c>
      <c r="I1282" s="1700"/>
      <c r="J1282" s="606"/>
      <c r="K1282" s="606"/>
    </row>
    <row r="1283" s="311" customFormat="true" ht="15" hidden="false" customHeight="false" outlineLevel="0" collapsed="false">
      <c r="A1283" s="327" t="s">
        <v>2137</v>
      </c>
      <c r="B1283" s="78" t="s">
        <v>3803</v>
      </c>
      <c r="C1283" s="912" t="n">
        <v>1</v>
      </c>
      <c r="D1283" s="547" t="n">
        <f aca="false">E1283+F1283+G1283+H1283</f>
        <v>100</v>
      </c>
      <c r="E1283" s="547" t="n">
        <v>20</v>
      </c>
      <c r="F1283" s="912" t="n">
        <v>65</v>
      </c>
      <c r="G1283" s="912"/>
      <c r="H1283" s="1700" t="n">
        <v>15</v>
      </c>
      <c r="I1283" s="1700"/>
      <c r="J1283" s="606"/>
      <c r="K1283" s="606"/>
    </row>
    <row r="1284" s="311" customFormat="true" ht="15" hidden="false" customHeight="false" outlineLevel="0" collapsed="false">
      <c r="A1284" s="327" t="s">
        <v>2139</v>
      </c>
      <c r="B1284" s="78" t="s">
        <v>3804</v>
      </c>
      <c r="C1284" s="912" t="n">
        <v>1</v>
      </c>
      <c r="D1284" s="547" t="n">
        <f aca="false">E1284+F1284+G1284+H1284</f>
        <v>40</v>
      </c>
      <c r="E1284" s="547" t="n">
        <v>10</v>
      </c>
      <c r="F1284" s="912" t="n">
        <v>20</v>
      </c>
      <c r="G1284" s="912"/>
      <c r="H1284" s="1700" t="n">
        <v>10</v>
      </c>
      <c r="I1284" s="1700"/>
      <c r="J1284" s="606"/>
      <c r="K1284" s="606"/>
    </row>
    <row r="1285" s="311" customFormat="true" ht="15" hidden="false" customHeight="false" outlineLevel="0" collapsed="false">
      <c r="A1285" s="327" t="s">
        <v>2141</v>
      </c>
      <c r="B1285" s="78" t="s">
        <v>3805</v>
      </c>
      <c r="C1285" s="912" t="n">
        <v>1</v>
      </c>
      <c r="D1285" s="547" t="n">
        <f aca="false">E1285+F1285+G1285+H1285</f>
        <v>60</v>
      </c>
      <c r="E1285" s="547" t="n">
        <v>10</v>
      </c>
      <c r="F1285" s="912" t="n">
        <v>40</v>
      </c>
      <c r="G1285" s="912"/>
      <c r="H1285" s="1700" t="n">
        <v>10</v>
      </c>
      <c r="I1285" s="1700"/>
      <c r="J1285" s="606"/>
      <c r="K1285" s="606"/>
    </row>
    <row r="1286" s="311" customFormat="true" ht="15" hidden="false" customHeight="false" outlineLevel="0" collapsed="false">
      <c r="A1286" s="327" t="s">
        <v>2143</v>
      </c>
      <c r="B1286" s="78" t="s">
        <v>3806</v>
      </c>
      <c r="C1286" s="912" t="n">
        <v>1</v>
      </c>
      <c r="D1286" s="547" t="n">
        <f aca="false">E1286+F1286+G1286+H1286</f>
        <v>40</v>
      </c>
      <c r="E1286" s="547" t="n">
        <v>10</v>
      </c>
      <c r="F1286" s="912" t="n">
        <v>20</v>
      </c>
      <c r="G1286" s="912"/>
      <c r="H1286" s="1700" t="n">
        <v>10</v>
      </c>
      <c r="I1286" s="1700"/>
      <c r="J1286" s="606"/>
      <c r="K1286" s="606"/>
    </row>
    <row r="1287" s="311" customFormat="true" ht="15" hidden="false" customHeight="false" outlineLevel="0" collapsed="false">
      <c r="A1287" s="327" t="s">
        <v>2145</v>
      </c>
      <c r="B1287" s="78" t="s">
        <v>3807</v>
      </c>
      <c r="C1287" s="912" t="n">
        <v>1</v>
      </c>
      <c r="D1287" s="1622" t="n">
        <f aca="false">E1287+F1287+G1287+H1287</f>
        <v>115</v>
      </c>
      <c r="E1287" s="1622" t="n">
        <v>20</v>
      </c>
      <c r="F1287" s="537" t="n">
        <v>90</v>
      </c>
      <c r="G1287" s="912"/>
      <c r="H1287" s="1700" t="n">
        <v>5</v>
      </c>
      <c r="I1287" s="1700"/>
      <c r="J1287" s="606"/>
      <c r="K1287" s="606"/>
    </row>
    <row r="1288" s="311" customFormat="true" ht="30" hidden="false" customHeight="false" outlineLevel="0" collapsed="false">
      <c r="A1288" s="327" t="s">
        <v>2147</v>
      </c>
      <c r="B1288" s="78" t="s">
        <v>3808</v>
      </c>
      <c r="C1288" s="912" t="n">
        <v>1</v>
      </c>
      <c r="D1288" s="547" t="n">
        <f aca="false">E1288+F1288+G1288+H1288</f>
        <v>35</v>
      </c>
      <c r="E1288" s="547" t="n">
        <v>5</v>
      </c>
      <c r="F1288" s="912" t="n">
        <v>20</v>
      </c>
      <c r="G1288" s="912"/>
      <c r="H1288" s="1700" t="n">
        <v>10</v>
      </c>
      <c r="I1288" s="1700"/>
      <c r="J1288" s="606"/>
      <c r="K1288" s="606"/>
    </row>
    <row r="1289" s="311" customFormat="true" ht="30" hidden="false" customHeight="false" outlineLevel="0" collapsed="false">
      <c r="A1289" s="327" t="s">
        <v>2149</v>
      </c>
      <c r="B1289" s="78" t="s">
        <v>3809</v>
      </c>
      <c r="C1289" s="912" t="n">
        <v>1</v>
      </c>
      <c r="D1289" s="547" t="n">
        <f aca="false">E1289+F1289+G1289+H1289</f>
        <v>25</v>
      </c>
      <c r="E1289" s="547" t="n">
        <v>5</v>
      </c>
      <c r="F1289" s="912" t="n">
        <v>20</v>
      </c>
      <c r="G1289" s="912"/>
      <c r="H1289" s="1700"/>
      <c r="I1289" s="1700"/>
      <c r="J1289" s="606"/>
      <c r="K1289" s="606"/>
    </row>
    <row r="1290" s="311" customFormat="true" ht="30" hidden="false" customHeight="false" outlineLevel="0" collapsed="false">
      <c r="A1290" s="327" t="s">
        <v>2151</v>
      </c>
      <c r="B1290" s="78" t="s">
        <v>3810</v>
      </c>
      <c r="C1290" s="912" t="n">
        <v>1</v>
      </c>
      <c r="D1290" s="547" t="n">
        <f aca="false">E1290+F1290+G1290+H1290</f>
        <v>25</v>
      </c>
      <c r="E1290" s="547" t="n">
        <v>15</v>
      </c>
      <c r="F1290" s="912" t="n">
        <v>10</v>
      </c>
      <c r="G1290" s="912"/>
      <c r="H1290" s="1700" t="n">
        <v>0</v>
      </c>
      <c r="I1290" s="1700"/>
      <c r="J1290" s="606"/>
      <c r="K1290" s="606"/>
    </row>
    <row r="1291" s="311" customFormat="true" ht="30" hidden="false" customHeight="false" outlineLevel="0" collapsed="false">
      <c r="A1291" s="327" t="s">
        <v>2153</v>
      </c>
      <c r="B1291" s="78" t="s">
        <v>3811</v>
      </c>
      <c r="C1291" s="912" t="n">
        <v>1</v>
      </c>
      <c r="D1291" s="547" t="n">
        <f aca="false">E1291+F1291+G1291+H1291</f>
        <v>25</v>
      </c>
      <c r="E1291" s="547" t="n">
        <v>15</v>
      </c>
      <c r="F1291" s="912" t="n">
        <v>10</v>
      </c>
      <c r="G1291" s="912"/>
      <c r="H1291" s="1700" t="n">
        <v>0</v>
      </c>
      <c r="I1291" s="1700"/>
      <c r="J1291" s="606"/>
      <c r="K1291" s="606"/>
    </row>
    <row r="1292" s="311" customFormat="true" ht="30" hidden="false" customHeight="false" outlineLevel="0" collapsed="false">
      <c r="A1292" s="327" t="s">
        <v>2155</v>
      </c>
      <c r="B1292" s="78" t="s">
        <v>3812</v>
      </c>
      <c r="C1292" s="912" t="n">
        <v>1</v>
      </c>
      <c r="D1292" s="547" t="n">
        <f aca="false">E1292+F1292+G1292+H1292</f>
        <v>40</v>
      </c>
      <c r="E1292" s="547" t="n">
        <v>20</v>
      </c>
      <c r="F1292" s="912" t="n">
        <v>20</v>
      </c>
      <c r="G1292" s="912"/>
      <c r="H1292" s="1700" t="n">
        <v>0</v>
      </c>
      <c r="I1292" s="1700"/>
      <c r="J1292" s="606"/>
      <c r="K1292" s="606"/>
    </row>
    <row r="1293" s="311" customFormat="true" ht="30" hidden="false" customHeight="false" outlineLevel="0" collapsed="false">
      <c r="A1293" s="327" t="s">
        <v>2157</v>
      </c>
      <c r="B1293" s="78" t="s">
        <v>3813</v>
      </c>
      <c r="C1293" s="912" t="n">
        <v>1</v>
      </c>
      <c r="D1293" s="547" t="n">
        <f aca="false">E1293+F1293+G1293+H1293</f>
        <v>25</v>
      </c>
      <c r="E1293" s="547" t="n">
        <v>15</v>
      </c>
      <c r="F1293" s="912" t="n">
        <v>10</v>
      </c>
      <c r="G1293" s="912"/>
      <c r="H1293" s="1700" t="n">
        <v>0</v>
      </c>
      <c r="I1293" s="1700"/>
      <c r="J1293" s="606"/>
      <c r="K1293" s="606"/>
    </row>
    <row r="1294" customFormat="false" ht="39.75" hidden="false" customHeight="true" outlineLevel="0" collapsed="false">
      <c r="A1294" s="68" t="s">
        <v>2159</v>
      </c>
      <c r="B1294" s="318" t="s">
        <v>3814</v>
      </c>
      <c r="C1294" s="1547"/>
      <c r="D1294" s="1703"/>
      <c r="E1294" s="1703"/>
      <c r="F1294" s="1547"/>
      <c r="G1294" s="1547"/>
      <c r="H1294" s="1547"/>
      <c r="I1294" s="1704"/>
      <c r="J1294" s="537"/>
      <c r="K1294" s="537"/>
    </row>
    <row r="1295" customFormat="false" ht="15" hidden="false" customHeight="false" outlineLevel="0" collapsed="false">
      <c r="A1295" s="20" t="s">
        <v>2161</v>
      </c>
      <c r="B1295" s="47" t="s">
        <v>3815</v>
      </c>
      <c r="C1295" s="569" t="n">
        <v>1</v>
      </c>
      <c r="D1295" s="1105" t="n">
        <f aca="false">E1295+F1295+G1295</f>
        <v>482.5</v>
      </c>
      <c r="E1295" s="1105" t="n">
        <v>200</v>
      </c>
      <c r="F1295" s="569" t="n">
        <v>224</v>
      </c>
      <c r="G1295" s="569" t="n">
        <v>58.5</v>
      </c>
      <c r="H1295" s="569" t="n">
        <v>204</v>
      </c>
      <c r="I1295" s="569"/>
      <c r="J1295" s="1676"/>
      <c r="K1295" s="1676"/>
    </row>
    <row r="1296" customFormat="false" ht="30" hidden="false" customHeight="false" outlineLevel="0" collapsed="false">
      <c r="A1296" s="20" t="s">
        <v>2163</v>
      </c>
      <c r="B1296" s="47" t="s">
        <v>3816</v>
      </c>
      <c r="C1296" s="569" t="n">
        <v>1</v>
      </c>
      <c r="D1296" s="1105" t="n">
        <f aca="false">E1296+F1296+G1296</f>
        <v>110</v>
      </c>
      <c r="E1296" s="1105" t="n">
        <v>50</v>
      </c>
      <c r="F1296" s="569" t="n">
        <v>40</v>
      </c>
      <c r="G1296" s="569" t="n">
        <v>20</v>
      </c>
      <c r="H1296" s="569" t="n">
        <v>5298</v>
      </c>
      <c r="I1296" s="569"/>
      <c r="J1296" s="679"/>
      <c r="K1296" s="679"/>
    </row>
    <row r="1297" customFormat="false" ht="30" hidden="false" customHeight="false" outlineLevel="0" collapsed="false">
      <c r="A1297" s="20" t="s">
        <v>2165</v>
      </c>
      <c r="B1297" s="118" t="s">
        <v>3817</v>
      </c>
      <c r="C1297" s="569" t="n">
        <v>1</v>
      </c>
      <c r="D1297" s="1105" t="n">
        <f aca="false">E1297+F1297+G1297</f>
        <v>433</v>
      </c>
      <c r="E1297" s="1105" t="n">
        <v>200</v>
      </c>
      <c r="F1297" s="569" t="n">
        <v>185</v>
      </c>
      <c r="G1297" s="569" t="n">
        <v>48</v>
      </c>
      <c r="H1297" s="569" t="n">
        <v>5298</v>
      </c>
      <c r="I1297" s="569"/>
      <c r="J1297" s="679"/>
      <c r="K1297" s="679"/>
    </row>
    <row r="1298" customFormat="false" ht="30" hidden="false" customHeight="false" outlineLevel="0" collapsed="false">
      <c r="A1298" s="20" t="s">
        <v>2167</v>
      </c>
      <c r="B1298" s="47" t="s">
        <v>3818</v>
      </c>
      <c r="C1298" s="569" t="n">
        <v>1</v>
      </c>
      <c r="D1298" s="1105" t="n">
        <f aca="false">E1298+F1298+G1298</f>
        <v>482.5</v>
      </c>
      <c r="E1298" s="1105" t="n">
        <v>224</v>
      </c>
      <c r="F1298" s="569" t="n">
        <v>200</v>
      </c>
      <c r="G1298" s="569" t="n">
        <v>58.5</v>
      </c>
      <c r="H1298" s="569" t="n">
        <v>204</v>
      </c>
      <c r="I1298" s="569"/>
      <c r="J1298" s="679"/>
      <c r="K1298" s="679"/>
    </row>
    <row r="1299" customFormat="false" ht="45" hidden="false" customHeight="false" outlineLevel="0" collapsed="false">
      <c r="A1299" s="20" t="s">
        <v>2169</v>
      </c>
      <c r="B1299" s="47" t="s">
        <v>3819</v>
      </c>
      <c r="C1299" s="569" t="n">
        <v>1</v>
      </c>
      <c r="D1299" s="1105" t="n">
        <f aca="false">E1299+F1299+G1299</f>
        <v>617</v>
      </c>
      <c r="E1299" s="1105" t="n">
        <v>400</v>
      </c>
      <c r="F1299" s="569" t="n">
        <v>217</v>
      </c>
      <c r="G1299" s="569"/>
      <c r="H1299" s="569" t="n">
        <v>755</v>
      </c>
      <c r="I1299" s="569"/>
      <c r="J1299" s="679"/>
      <c r="K1299" s="679"/>
    </row>
    <row r="1300" customFormat="false" ht="15" hidden="false" customHeight="false" outlineLevel="0" collapsed="false">
      <c r="A1300" s="20" t="s">
        <v>2171</v>
      </c>
      <c r="B1300" s="47" t="s">
        <v>3820</v>
      </c>
      <c r="C1300" s="569" t="n">
        <v>1</v>
      </c>
      <c r="D1300" s="1105" t="n">
        <f aca="false">E1300+F1300+G1300</f>
        <v>446</v>
      </c>
      <c r="E1300" s="1105" t="n">
        <v>224</v>
      </c>
      <c r="F1300" s="569" t="n">
        <v>200</v>
      </c>
      <c r="G1300" s="569" t="n">
        <v>22</v>
      </c>
      <c r="H1300" s="569" t="n">
        <v>288</v>
      </c>
      <c r="I1300" s="569"/>
      <c r="J1300" s="679"/>
      <c r="K1300" s="679"/>
    </row>
    <row r="1301" customFormat="false" ht="34.5" hidden="false" customHeight="true" outlineLevel="0" collapsed="false">
      <c r="A1301" s="20" t="s">
        <v>2173</v>
      </c>
      <c r="B1301" s="123" t="s">
        <v>3821</v>
      </c>
      <c r="C1301" s="569" t="n">
        <v>1</v>
      </c>
      <c r="D1301" s="1105" t="n">
        <f aca="false">E1301+F1301+G1301</f>
        <v>617</v>
      </c>
      <c r="E1301" s="1105" t="n">
        <v>400</v>
      </c>
      <c r="F1301" s="569" t="n">
        <v>217</v>
      </c>
      <c r="G1301" s="569"/>
      <c r="H1301" s="569" t="n">
        <v>755</v>
      </c>
      <c r="I1301" s="569"/>
      <c r="J1301" s="679"/>
      <c r="K1301" s="679"/>
    </row>
    <row r="1302" customFormat="false" ht="30" hidden="false" customHeight="false" outlineLevel="0" collapsed="false">
      <c r="A1302" s="20" t="s">
        <v>2175</v>
      </c>
      <c r="B1302" s="118" t="s">
        <v>3822</v>
      </c>
      <c r="C1302" s="569" t="n">
        <v>1</v>
      </c>
      <c r="D1302" s="1105" t="n">
        <f aca="false">E1302+F1302+G1302</f>
        <v>617</v>
      </c>
      <c r="E1302" s="1105" t="n">
        <v>400</v>
      </c>
      <c r="F1302" s="569" t="n">
        <v>217</v>
      </c>
      <c r="G1302" s="569"/>
      <c r="H1302" s="569" t="n">
        <v>755</v>
      </c>
      <c r="I1302" s="569"/>
      <c r="J1302" s="679"/>
      <c r="K1302" s="679"/>
    </row>
    <row r="1303" customFormat="false" ht="30" hidden="false" customHeight="false" outlineLevel="0" collapsed="false">
      <c r="A1303" s="20" t="s">
        <v>2177</v>
      </c>
      <c r="B1303" s="47" t="s">
        <v>3823</v>
      </c>
      <c r="C1303" s="569" t="n">
        <v>1</v>
      </c>
      <c r="D1303" s="1105" t="n">
        <f aca="false">E1303+F1303+G1303</f>
        <v>107</v>
      </c>
      <c r="E1303" s="1105" t="n">
        <v>38</v>
      </c>
      <c r="F1303" s="569" t="n">
        <v>60</v>
      </c>
      <c r="G1303" s="569" t="n">
        <v>9</v>
      </c>
      <c r="H1303" s="569" t="n">
        <v>395</v>
      </c>
      <c r="I1303" s="569"/>
      <c r="J1303" s="679"/>
      <c r="K1303" s="679"/>
    </row>
    <row r="1304" customFormat="false" ht="45" hidden="false" customHeight="false" outlineLevel="0" collapsed="false">
      <c r="A1304" s="20" t="s">
        <v>2179</v>
      </c>
      <c r="B1304" s="47" t="s">
        <v>3824</v>
      </c>
      <c r="C1304" s="569" t="n">
        <v>1</v>
      </c>
      <c r="D1304" s="1105" t="n">
        <f aca="false">E1304+F1304+G1304</f>
        <v>107</v>
      </c>
      <c r="E1304" s="1105" t="n">
        <v>38</v>
      </c>
      <c r="F1304" s="569" t="n">
        <v>60</v>
      </c>
      <c r="G1304" s="569" t="n">
        <v>9</v>
      </c>
      <c r="H1304" s="569" t="n">
        <v>395</v>
      </c>
      <c r="I1304" s="569"/>
      <c r="J1304" s="679"/>
      <c r="K1304" s="679"/>
    </row>
    <row r="1305" customFormat="false" ht="30" hidden="false" customHeight="false" outlineLevel="0" collapsed="false">
      <c r="A1305" s="20" t="s">
        <v>2181</v>
      </c>
      <c r="B1305" s="47" t="s">
        <v>3825</v>
      </c>
      <c r="C1305" s="569" t="n">
        <v>1</v>
      </c>
      <c r="D1305" s="1105" t="n">
        <f aca="false">E1305+F1305+G1305</f>
        <v>148</v>
      </c>
      <c r="E1305" s="1105" t="n">
        <v>38</v>
      </c>
      <c r="F1305" s="569" t="n">
        <v>60</v>
      </c>
      <c r="G1305" s="569" t="n">
        <v>50</v>
      </c>
      <c r="H1305" s="569" t="n">
        <v>892</v>
      </c>
      <c r="I1305" s="569"/>
      <c r="J1305" s="679"/>
      <c r="K1305" s="679"/>
    </row>
    <row r="1306" customFormat="false" ht="15" hidden="false" customHeight="false" outlineLevel="0" collapsed="false">
      <c r="A1306" s="20" t="s">
        <v>2183</v>
      </c>
      <c r="B1306" s="118" t="s">
        <v>3826</v>
      </c>
      <c r="C1306" s="569" t="n">
        <v>1</v>
      </c>
      <c r="D1306" s="1105" t="n">
        <f aca="false">E1306+F1306+G1306</f>
        <v>103</v>
      </c>
      <c r="E1306" s="1105" t="n">
        <v>38</v>
      </c>
      <c r="F1306" s="569" t="n">
        <v>60</v>
      </c>
      <c r="G1306" s="569" t="n">
        <v>5</v>
      </c>
      <c r="H1306" s="569"/>
      <c r="I1306" s="569"/>
      <c r="J1306" s="679"/>
      <c r="K1306" s="679"/>
    </row>
    <row r="1307" customFormat="false" ht="15" hidden="false" customHeight="false" outlineLevel="0" collapsed="false">
      <c r="A1307" s="20" t="s">
        <v>2185</v>
      </c>
      <c r="B1307" s="118" t="s">
        <v>3827</v>
      </c>
      <c r="C1307" s="569" t="n">
        <v>1</v>
      </c>
      <c r="D1307" s="1105" t="n">
        <f aca="false">E1307+F1307+G1307</f>
        <v>103</v>
      </c>
      <c r="E1307" s="1105" t="n">
        <v>38</v>
      </c>
      <c r="F1307" s="569" t="n">
        <v>60</v>
      </c>
      <c r="G1307" s="569" t="n">
        <v>5</v>
      </c>
      <c r="H1307" s="569"/>
      <c r="I1307" s="569"/>
      <c r="J1307" s="679"/>
      <c r="K1307" s="679"/>
    </row>
    <row r="1308" customFormat="false" ht="15" hidden="false" customHeight="false" outlineLevel="0" collapsed="false">
      <c r="A1308" s="20" t="s">
        <v>2187</v>
      </c>
      <c r="B1308" s="118" t="s">
        <v>3828</v>
      </c>
      <c r="C1308" s="569" t="n">
        <v>1</v>
      </c>
      <c r="D1308" s="1105" t="n">
        <f aca="false">E1308+F1308+G1308</f>
        <v>103</v>
      </c>
      <c r="E1308" s="1105" t="n">
        <v>38</v>
      </c>
      <c r="F1308" s="569" t="n">
        <v>60</v>
      </c>
      <c r="G1308" s="569" t="n">
        <v>5</v>
      </c>
      <c r="H1308" s="569"/>
      <c r="I1308" s="569"/>
      <c r="J1308" s="679"/>
      <c r="K1308" s="679"/>
    </row>
    <row r="1309" customFormat="false" ht="15" hidden="false" customHeight="false" outlineLevel="0" collapsed="false">
      <c r="A1309" s="20" t="s">
        <v>2189</v>
      </c>
      <c r="B1309" s="118" t="s">
        <v>3829</v>
      </c>
      <c r="C1309" s="569" t="n">
        <v>1</v>
      </c>
      <c r="D1309" s="1105" t="n">
        <f aca="false">E1309+F1309+G1309</f>
        <v>103</v>
      </c>
      <c r="E1309" s="1105" t="n">
        <v>38</v>
      </c>
      <c r="F1309" s="569" t="n">
        <v>60</v>
      </c>
      <c r="G1309" s="569" t="n">
        <v>5</v>
      </c>
      <c r="H1309" s="569"/>
      <c r="I1309" s="569"/>
      <c r="J1309" s="679"/>
      <c r="K1309" s="679"/>
    </row>
    <row r="1310" customFormat="false" ht="15" hidden="false" customHeight="false" outlineLevel="0" collapsed="false">
      <c r="A1310" s="20" t="s">
        <v>2191</v>
      </c>
      <c r="B1310" s="118" t="s">
        <v>3830</v>
      </c>
      <c r="C1310" s="569" t="n">
        <v>1</v>
      </c>
      <c r="D1310" s="1105" t="n">
        <f aca="false">E1310+F1310+G1310</f>
        <v>103</v>
      </c>
      <c r="E1310" s="1105" t="n">
        <v>38</v>
      </c>
      <c r="F1310" s="569" t="n">
        <v>60</v>
      </c>
      <c r="G1310" s="569" t="n">
        <v>5</v>
      </c>
      <c r="H1310" s="569"/>
      <c r="I1310" s="569"/>
      <c r="J1310" s="679"/>
      <c r="K1310" s="679"/>
    </row>
    <row r="1311" customFormat="false" ht="15" hidden="false" customHeight="false" outlineLevel="0" collapsed="false">
      <c r="A1311" s="20" t="s">
        <v>2193</v>
      </c>
      <c r="B1311" s="118" t="s">
        <v>3831</v>
      </c>
      <c r="C1311" s="569" t="n">
        <v>1</v>
      </c>
      <c r="D1311" s="1105" t="n">
        <f aca="false">E1311+F1311+G1311</f>
        <v>103</v>
      </c>
      <c r="E1311" s="1105" t="n">
        <v>38</v>
      </c>
      <c r="F1311" s="569" t="n">
        <v>60</v>
      </c>
      <c r="G1311" s="569" t="n">
        <v>5</v>
      </c>
      <c r="H1311" s="569"/>
      <c r="I1311" s="569"/>
      <c r="J1311" s="679"/>
      <c r="K1311" s="679"/>
    </row>
    <row r="1312" customFormat="false" ht="15" hidden="false" customHeight="false" outlineLevel="0" collapsed="false">
      <c r="A1312" s="20" t="s">
        <v>2195</v>
      </c>
      <c r="B1312" s="118" t="s">
        <v>3832</v>
      </c>
      <c r="C1312" s="569" t="n">
        <v>1</v>
      </c>
      <c r="D1312" s="1105" t="n">
        <f aca="false">E1312+F1312+G1312</f>
        <v>103</v>
      </c>
      <c r="E1312" s="1105" t="n">
        <v>38</v>
      </c>
      <c r="F1312" s="569" t="n">
        <v>60</v>
      </c>
      <c r="G1312" s="569" t="n">
        <v>5</v>
      </c>
      <c r="H1312" s="569"/>
      <c r="I1312" s="569"/>
      <c r="J1312" s="679"/>
      <c r="K1312" s="679"/>
    </row>
    <row r="1313" customFormat="false" ht="45" hidden="false" customHeight="false" outlineLevel="0" collapsed="false">
      <c r="A1313" s="20" t="s">
        <v>2197</v>
      </c>
      <c r="B1313" s="47" t="s">
        <v>3833</v>
      </c>
      <c r="C1313" s="569" t="n">
        <v>1</v>
      </c>
      <c r="D1313" s="1105" t="n">
        <f aca="false">E1313+F1313+G1313</f>
        <v>433</v>
      </c>
      <c r="E1313" s="1105" t="n">
        <v>224</v>
      </c>
      <c r="F1313" s="569" t="n">
        <v>200</v>
      </c>
      <c r="G1313" s="569" t="n">
        <v>9</v>
      </c>
      <c r="H1313" s="569" t="n">
        <v>1810</v>
      </c>
      <c r="I1313" s="569"/>
      <c r="J1313" s="679"/>
      <c r="K1313" s="679"/>
    </row>
    <row r="1314" customFormat="false" ht="45" hidden="false" customHeight="false" outlineLevel="0" collapsed="false">
      <c r="A1314" s="20" t="s">
        <v>2199</v>
      </c>
      <c r="B1314" s="47" t="s">
        <v>3834</v>
      </c>
      <c r="C1314" s="569" t="n">
        <v>1</v>
      </c>
      <c r="D1314" s="1105" t="n">
        <f aca="false">E1314+F1314+G1314</f>
        <v>461</v>
      </c>
      <c r="E1314" s="1105" t="n">
        <v>224</v>
      </c>
      <c r="F1314" s="569" t="n">
        <v>200</v>
      </c>
      <c r="G1314" s="569" t="n">
        <v>37</v>
      </c>
      <c r="H1314" s="569" t="n">
        <v>1682</v>
      </c>
      <c r="I1314" s="569"/>
      <c r="J1314" s="679"/>
      <c r="K1314" s="679"/>
    </row>
    <row r="1315" customFormat="false" ht="30" hidden="false" customHeight="false" outlineLevel="0" collapsed="false">
      <c r="A1315" s="20" t="s">
        <v>2201</v>
      </c>
      <c r="B1315" s="118" t="s">
        <v>3835</v>
      </c>
      <c r="C1315" s="569" t="n">
        <v>1</v>
      </c>
      <c r="D1315" s="1105" t="n">
        <f aca="false">E1315+F1315+G1315</f>
        <v>436</v>
      </c>
      <c r="E1315" s="1105" t="n">
        <v>224</v>
      </c>
      <c r="F1315" s="569" t="n">
        <v>200</v>
      </c>
      <c r="G1315" s="569" t="n">
        <v>12</v>
      </c>
      <c r="H1315" s="569" t="n">
        <v>1685</v>
      </c>
      <c r="I1315" s="569"/>
      <c r="J1315" s="679"/>
      <c r="K1315" s="679"/>
    </row>
    <row r="1316" customFormat="false" ht="30" hidden="false" customHeight="false" outlineLevel="0" collapsed="false">
      <c r="A1316" s="20" t="s">
        <v>2203</v>
      </c>
      <c r="B1316" s="123" t="s">
        <v>3836</v>
      </c>
      <c r="C1316" s="569" t="n">
        <v>1</v>
      </c>
      <c r="D1316" s="1105" t="n">
        <v>342</v>
      </c>
      <c r="E1316" s="1105" t="n">
        <v>30</v>
      </c>
      <c r="F1316" s="569" t="n">
        <v>300</v>
      </c>
      <c r="G1316" s="569" t="n">
        <v>12</v>
      </c>
      <c r="H1316" s="569" t="n">
        <v>1685</v>
      </c>
      <c r="I1316" s="569"/>
      <c r="J1316" s="679"/>
      <c r="K1316" s="679"/>
    </row>
    <row r="1317" customFormat="false" ht="15" hidden="false" customHeight="false" outlineLevel="0" collapsed="false">
      <c r="A1317" s="20" t="s">
        <v>2205</v>
      </c>
      <c r="B1317" s="47" t="s">
        <v>3837</v>
      </c>
      <c r="C1317" s="569" t="n">
        <v>1</v>
      </c>
      <c r="D1317" s="1105" t="n">
        <f aca="false">E1317+F1317+G1317</f>
        <v>109</v>
      </c>
      <c r="E1317" s="1105" t="n">
        <v>38</v>
      </c>
      <c r="F1317" s="569" t="n">
        <v>60</v>
      </c>
      <c r="G1317" s="569" t="n">
        <v>11</v>
      </c>
      <c r="H1317" s="569" t="n">
        <v>1522</v>
      </c>
      <c r="I1317" s="569"/>
      <c r="J1317" s="679"/>
      <c r="K1317" s="679"/>
    </row>
    <row r="1318" customFormat="false" ht="30" hidden="false" customHeight="false" outlineLevel="0" collapsed="false">
      <c r="A1318" s="20" t="s">
        <v>2207</v>
      </c>
      <c r="B1318" s="118" t="s">
        <v>3838</v>
      </c>
      <c r="C1318" s="569" t="n">
        <v>2</v>
      </c>
      <c r="D1318" s="1105" t="n">
        <f aca="false">E1318+F1318+G1318</f>
        <v>468</v>
      </c>
      <c r="E1318" s="1105" t="n">
        <v>224</v>
      </c>
      <c r="F1318" s="569" t="n">
        <v>200</v>
      </c>
      <c r="G1318" s="569" t="n">
        <v>44</v>
      </c>
      <c r="H1318" s="569" t="n">
        <v>1848</v>
      </c>
      <c r="I1318" s="569"/>
      <c r="J1318" s="679"/>
      <c r="K1318" s="679"/>
    </row>
    <row r="1319" customFormat="false" ht="30" hidden="false" customHeight="false" outlineLevel="0" collapsed="false">
      <c r="A1319" s="20" t="s">
        <v>2209</v>
      </c>
      <c r="B1319" s="118" t="s">
        <v>3839</v>
      </c>
      <c r="C1319" s="569" t="n">
        <v>3</v>
      </c>
      <c r="D1319" s="1105" t="n">
        <f aca="false">E1319+F1319+G1319</f>
        <v>468</v>
      </c>
      <c r="E1319" s="1105" t="n">
        <v>224</v>
      </c>
      <c r="F1319" s="569" t="n">
        <v>200</v>
      </c>
      <c r="G1319" s="569" t="n">
        <v>44</v>
      </c>
      <c r="H1319" s="569" t="n">
        <v>1848</v>
      </c>
      <c r="I1319" s="569"/>
      <c r="J1319" s="679"/>
      <c r="K1319" s="679"/>
    </row>
    <row r="1320" customFormat="false" ht="30" hidden="false" customHeight="false" outlineLevel="0" collapsed="false">
      <c r="A1320" s="20" t="s">
        <v>2211</v>
      </c>
      <c r="B1320" s="47" t="s">
        <v>3840</v>
      </c>
      <c r="C1320" s="569" t="n">
        <v>1</v>
      </c>
      <c r="D1320" s="1105" t="n">
        <f aca="false">E1320+F1320+G1320</f>
        <v>153</v>
      </c>
      <c r="E1320" s="1105" t="n">
        <v>38</v>
      </c>
      <c r="F1320" s="569" t="n">
        <v>60</v>
      </c>
      <c r="G1320" s="569" t="n">
        <v>55</v>
      </c>
      <c r="H1320" s="569" t="n">
        <v>427</v>
      </c>
      <c r="I1320" s="569"/>
      <c r="J1320" s="679"/>
      <c r="K1320" s="679"/>
    </row>
    <row r="1321" customFormat="false" ht="15" hidden="false" customHeight="false" outlineLevel="0" collapsed="false">
      <c r="A1321" s="20" t="s">
        <v>2213</v>
      </c>
      <c r="B1321" s="47" t="s">
        <v>3841</v>
      </c>
      <c r="C1321" s="569" t="n">
        <v>1</v>
      </c>
      <c r="D1321" s="1105" t="n">
        <f aca="false">E1321+F1321+G1321</f>
        <v>131</v>
      </c>
      <c r="E1321" s="1105" t="n">
        <v>38</v>
      </c>
      <c r="F1321" s="569" t="n">
        <v>60</v>
      </c>
      <c r="G1321" s="569" t="n">
        <v>33</v>
      </c>
      <c r="H1321" s="569" t="n">
        <v>150</v>
      </c>
      <c r="I1321" s="569"/>
      <c r="J1321" s="679"/>
      <c r="K1321" s="679"/>
    </row>
    <row r="1322" customFormat="false" ht="45" hidden="false" customHeight="false" outlineLevel="0" collapsed="false">
      <c r="A1322" s="20" t="s">
        <v>2215</v>
      </c>
      <c r="B1322" s="47" t="s">
        <v>3842</v>
      </c>
      <c r="C1322" s="569" t="n">
        <v>1</v>
      </c>
      <c r="D1322" s="1105" t="n">
        <f aca="false">E1322+F1322+G1322</f>
        <v>432</v>
      </c>
      <c r="E1322" s="1105" t="n">
        <v>224</v>
      </c>
      <c r="F1322" s="569" t="n">
        <v>200</v>
      </c>
      <c r="G1322" s="569" t="n">
        <v>8</v>
      </c>
      <c r="H1322" s="569" t="n">
        <v>1622</v>
      </c>
      <c r="I1322" s="569"/>
      <c r="J1322" s="679"/>
      <c r="K1322" s="679"/>
    </row>
    <row r="1323" customFormat="false" ht="45" hidden="false" customHeight="false" outlineLevel="0" collapsed="false">
      <c r="A1323" s="20" t="s">
        <v>2217</v>
      </c>
      <c r="B1323" s="47" t="s">
        <v>3843</v>
      </c>
      <c r="C1323" s="569" t="n">
        <v>1</v>
      </c>
      <c r="D1323" s="1105" t="n">
        <f aca="false">E1323+F1323+G1323</f>
        <v>468</v>
      </c>
      <c r="E1323" s="1105" t="n">
        <v>224</v>
      </c>
      <c r="F1323" s="569" t="n">
        <v>200</v>
      </c>
      <c r="G1323" s="569" t="n">
        <v>44</v>
      </c>
      <c r="H1323" s="569" t="n">
        <v>1848</v>
      </c>
      <c r="I1323" s="569"/>
      <c r="J1323" s="679"/>
      <c r="K1323" s="679"/>
    </row>
    <row r="1324" customFormat="false" ht="30" hidden="false" customHeight="false" outlineLevel="0" collapsed="false">
      <c r="A1324" s="20" t="s">
        <v>2219</v>
      </c>
      <c r="B1324" s="118" t="s">
        <v>3844</v>
      </c>
      <c r="C1324" s="569" t="n">
        <v>1</v>
      </c>
      <c r="D1324" s="1105" t="n">
        <f aca="false">E1324+F1324+G1324</f>
        <v>468</v>
      </c>
      <c r="E1324" s="1105" t="n">
        <v>224</v>
      </c>
      <c r="F1324" s="569" t="n">
        <v>200</v>
      </c>
      <c r="G1324" s="569" t="n">
        <v>44</v>
      </c>
      <c r="H1324" s="569" t="n">
        <v>1848</v>
      </c>
      <c r="I1324" s="569"/>
      <c r="J1324" s="679"/>
      <c r="K1324" s="679"/>
    </row>
    <row r="1325" customFormat="false" ht="15" hidden="false" customHeight="false" outlineLevel="0" collapsed="false">
      <c r="A1325" s="20" t="s">
        <v>2221</v>
      </c>
      <c r="B1325" s="47" t="s">
        <v>3845</v>
      </c>
      <c r="C1325" s="569" t="n">
        <v>1</v>
      </c>
      <c r="D1325" s="1105" t="n">
        <f aca="false">E1325+F1325+G1325</f>
        <v>117</v>
      </c>
      <c r="E1325" s="1105" t="n">
        <v>38</v>
      </c>
      <c r="F1325" s="569" t="n">
        <v>60</v>
      </c>
      <c r="G1325" s="569" t="n">
        <v>19</v>
      </c>
      <c r="H1325" s="569" t="n">
        <v>67</v>
      </c>
      <c r="I1325" s="569"/>
      <c r="J1325" s="679"/>
      <c r="K1325" s="679"/>
    </row>
    <row r="1326" customFormat="false" ht="30" hidden="false" customHeight="false" outlineLevel="0" collapsed="false">
      <c r="A1326" s="20" t="s">
        <v>2223</v>
      </c>
      <c r="B1326" s="118" t="s">
        <v>3846</v>
      </c>
      <c r="C1326" s="569" t="n">
        <v>1</v>
      </c>
      <c r="D1326" s="1105" t="n">
        <f aca="false">E1326+F1326+G1326</f>
        <v>432</v>
      </c>
      <c r="E1326" s="1105" t="n">
        <v>224</v>
      </c>
      <c r="F1326" s="569" t="n">
        <v>200</v>
      </c>
      <c r="G1326" s="569" t="n">
        <v>8</v>
      </c>
      <c r="H1326" s="569" t="n">
        <v>1695</v>
      </c>
      <c r="I1326" s="569"/>
      <c r="J1326" s="679"/>
      <c r="K1326" s="679"/>
    </row>
    <row r="1327" customFormat="false" ht="30" hidden="false" customHeight="false" outlineLevel="0" collapsed="false">
      <c r="A1327" s="20" t="s">
        <v>2225</v>
      </c>
      <c r="B1327" s="47" t="s">
        <v>3847</v>
      </c>
      <c r="C1327" s="569" t="n">
        <v>1</v>
      </c>
      <c r="D1327" s="1105" t="n">
        <f aca="false">E1327+F1327+G1327</f>
        <v>158</v>
      </c>
      <c r="E1327" s="1105" t="n">
        <v>38</v>
      </c>
      <c r="F1327" s="569" t="n">
        <v>60</v>
      </c>
      <c r="G1327" s="569" t="n">
        <v>60</v>
      </c>
      <c r="H1327" s="569" t="n">
        <v>67</v>
      </c>
      <c r="I1327" s="569"/>
      <c r="J1327" s="679"/>
      <c r="K1327" s="679"/>
    </row>
    <row r="1328" customFormat="false" ht="30" hidden="false" customHeight="false" outlineLevel="0" collapsed="false">
      <c r="A1328" s="20" t="s">
        <v>2227</v>
      </c>
      <c r="B1328" s="47" t="s">
        <v>3848</v>
      </c>
      <c r="C1328" s="569" t="n">
        <v>1</v>
      </c>
      <c r="D1328" s="1105" t="n">
        <f aca="false">E1328+F1328+G1328</f>
        <v>130</v>
      </c>
      <c r="E1328" s="1105" t="n">
        <v>38</v>
      </c>
      <c r="F1328" s="569" t="n">
        <v>60</v>
      </c>
      <c r="G1328" s="569" t="n">
        <v>32</v>
      </c>
      <c r="H1328" s="569" t="n">
        <v>1007</v>
      </c>
      <c r="I1328" s="569"/>
      <c r="J1328" s="679"/>
      <c r="K1328" s="679"/>
    </row>
    <row r="1329" customFormat="false" ht="30" hidden="false" customHeight="false" outlineLevel="0" collapsed="false">
      <c r="A1329" s="20" t="s">
        <v>2229</v>
      </c>
      <c r="B1329" s="47" t="s">
        <v>3849</v>
      </c>
      <c r="C1329" s="569" t="n">
        <v>1</v>
      </c>
      <c r="D1329" s="1105" t="n">
        <f aca="false">E1329+F1329+G1329</f>
        <v>118</v>
      </c>
      <c r="E1329" s="1105" t="n">
        <v>38</v>
      </c>
      <c r="F1329" s="569" t="n">
        <v>60</v>
      </c>
      <c r="G1329" s="569" t="n">
        <v>20</v>
      </c>
      <c r="H1329" s="569" t="n">
        <v>247</v>
      </c>
      <c r="I1329" s="569"/>
      <c r="J1329" s="679"/>
      <c r="K1329" s="679"/>
    </row>
    <row r="1330" customFormat="false" ht="30" hidden="false" customHeight="false" outlineLevel="0" collapsed="false">
      <c r="A1330" s="20" t="s">
        <v>2231</v>
      </c>
      <c r="B1330" s="47" t="s">
        <v>3850</v>
      </c>
      <c r="C1330" s="569" t="n">
        <v>1</v>
      </c>
      <c r="D1330" s="1105" t="n">
        <f aca="false">E1330+F1330+G1330</f>
        <v>117</v>
      </c>
      <c r="E1330" s="1105" t="n">
        <v>38</v>
      </c>
      <c r="F1330" s="569" t="n">
        <v>60</v>
      </c>
      <c r="G1330" s="569" t="n">
        <v>19</v>
      </c>
      <c r="H1330" s="569" t="n">
        <v>247</v>
      </c>
      <c r="I1330" s="569"/>
      <c r="J1330" s="679"/>
      <c r="K1330" s="679"/>
    </row>
    <row r="1331" customFormat="false" ht="30" hidden="false" customHeight="false" outlineLevel="0" collapsed="false">
      <c r="A1331" s="20" t="s">
        <v>2233</v>
      </c>
      <c r="B1331" s="47" t="s">
        <v>3851</v>
      </c>
      <c r="C1331" s="569" t="n">
        <v>1</v>
      </c>
      <c r="D1331" s="1105" t="n">
        <f aca="false">E1331+F1331+G1331</f>
        <v>118</v>
      </c>
      <c r="E1331" s="1105" t="n">
        <v>38</v>
      </c>
      <c r="F1331" s="569" t="n">
        <v>60</v>
      </c>
      <c r="G1331" s="569" t="n">
        <v>20</v>
      </c>
      <c r="H1331" s="569" t="n">
        <v>247</v>
      </c>
      <c r="I1331" s="569"/>
      <c r="J1331" s="679"/>
      <c r="K1331" s="679"/>
    </row>
    <row r="1332" customFormat="false" ht="30" hidden="false" customHeight="false" outlineLevel="0" collapsed="false">
      <c r="A1332" s="20" t="s">
        <v>2235</v>
      </c>
      <c r="B1332" s="47" t="s">
        <v>3852</v>
      </c>
      <c r="C1332" s="569" t="n">
        <v>1</v>
      </c>
      <c r="D1332" s="1105" t="n">
        <f aca="false">E1332+F1332+G1332</f>
        <v>432</v>
      </c>
      <c r="E1332" s="1105" t="n">
        <v>224</v>
      </c>
      <c r="F1332" s="569" t="n">
        <v>200</v>
      </c>
      <c r="G1332" s="569" t="n">
        <v>8</v>
      </c>
      <c r="H1332" s="569" t="n">
        <v>1622</v>
      </c>
      <c r="I1332" s="569"/>
      <c r="J1332" s="679"/>
      <c r="K1332" s="679"/>
    </row>
    <row r="1333" customFormat="false" ht="30" hidden="false" customHeight="false" outlineLevel="0" collapsed="false">
      <c r="A1333" s="20" t="s">
        <v>2237</v>
      </c>
      <c r="B1333" s="47" t="s">
        <v>3853</v>
      </c>
      <c r="C1333" s="569" t="n">
        <v>1</v>
      </c>
      <c r="D1333" s="1105" t="n">
        <f aca="false">E1333+F1333+G1333</f>
        <v>344</v>
      </c>
      <c r="E1333" s="1105" t="n">
        <v>150</v>
      </c>
      <c r="F1333" s="569" t="n">
        <v>150</v>
      </c>
      <c r="G1333" s="569" t="n">
        <v>44</v>
      </c>
      <c r="H1333" s="569" t="n">
        <v>933</v>
      </c>
      <c r="I1333" s="569"/>
      <c r="J1333" s="679"/>
      <c r="K1333" s="679"/>
    </row>
    <row r="1334" customFormat="false" ht="45" hidden="false" customHeight="false" outlineLevel="0" collapsed="false">
      <c r="A1334" s="20" t="s">
        <v>2239</v>
      </c>
      <c r="B1334" s="118" t="s">
        <v>3854</v>
      </c>
      <c r="C1334" s="569" t="n">
        <v>1</v>
      </c>
      <c r="D1334" s="1105" t="n">
        <f aca="false">E1334+F1334+G1334</f>
        <v>632</v>
      </c>
      <c r="E1334" s="1105" t="n">
        <v>400</v>
      </c>
      <c r="F1334" s="569" t="n">
        <v>217</v>
      </c>
      <c r="G1334" s="569" t="n">
        <v>15</v>
      </c>
      <c r="H1334" s="569" t="n">
        <v>2420</v>
      </c>
      <c r="I1334" s="569"/>
      <c r="J1334" s="679"/>
      <c r="K1334" s="679"/>
    </row>
    <row r="1335" customFormat="false" ht="43.5" hidden="false" customHeight="true" outlineLevel="0" collapsed="false">
      <c r="A1335" s="20" t="s">
        <v>2241</v>
      </c>
      <c r="B1335" s="118" t="s">
        <v>3855</v>
      </c>
      <c r="C1335" s="569" t="n">
        <v>1</v>
      </c>
      <c r="D1335" s="1105" t="n">
        <f aca="false">E1335+F1335+G1335</f>
        <v>632</v>
      </c>
      <c r="E1335" s="1105" t="n">
        <v>400</v>
      </c>
      <c r="F1335" s="569" t="n">
        <v>217</v>
      </c>
      <c r="G1335" s="569" t="n">
        <v>15</v>
      </c>
      <c r="H1335" s="569" t="n">
        <v>2420</v>
      </c>
      <c r="I1335" s="569"/>
      <c r="J1335" s="679"/>
      <c r="K1335" s="679"/>
    </row>
    <row r="1336" customFormat="false" ht="30" hidden="false" customHeight="false" outlineLevel="0" collapsed="false">
      <c r="A1336" s="20" t="s">
        <v>2243</v>
      </c>
      <c r="B1336" s="118" t="s">
        <v>3856</v>
      </c>
      <c r="C1336" s="679" t="n">
        <v>1</v>
      </c>
      <c r="D1336" s="709" t="n">
        <f aca="false">E1336+F1336+G1336</f>
        <v>482.5</v>
      </c>
      <c r="E1336" s="709" t="n">
        <v>200</v>
      </c>
      <c r="F1336" s="679" t="n">
        <v>224</v>
      </c>
      <c r="G1336" s="679" t="n">
        <v>58.5</v>
      </c>
      <c r="H1336" s="679" t="n">
        <v>204</v>
      </c>
      <c r="I1336" s="912"/>
      <c r="J1336" s="679"/>
      <c r="K1336" s="679"/>
    </row>
    <row r="1337" customFormat="false" ht="45" hidden="false" customHeight="false" outlineLevel="0" collapsed="false">
      <c r="A1337" s="20" t="s">
        <v>2245</v>
      </c>
      <c r="B1337" s="118" t="s">
        <v>3857</v>
      </c>
      <c r="C1337" s="679" t="n">
        <v>1</v>
      </c>
      <c r="D1337" s="709" t="n">
        <f aca="false">E1337+F1337+G1337</f>
        <v>144</v>
      </c>
      <c r="E1337" s="709" t="n">
        <v>38</v>
      </c>
      <c r="F1337" s="679" t="n">
        <v>60</v>
      </c>
      <c r="G1337" s="679" t="n">
        <v>46</v>
      </c>
      <c r="H1337" s="679" t="n">
        <v>382</v>
      </c>
      <c r="I1337" s="912"/>
      <c r="J1337" s="679"/>
      <c r="K1337" s="679"/>
    </row>
    <row r="1338" customFormat="false" ht="45" hidden="false" customHeight="false" outlineLevel="0" collapsed="false">
      <c r="A1338" s="20" t="s">
        <v>2247</v>
      </c>
      <c r="B1338" s="118" t="s">
        <v>3858</v>
      </c>
      <c r="C1338" s="679" t="n">
        <v>1</v>
      </c>
      <c r="D1338" s="709" t="n">
        <f aca="false">E1338+F1338+G1338</f>
        <v>144</v>
      </c>
      <c r="E1338" s="709" t="n">
        <v>38</v>
      </c>
      <c r="F1338" s="679" t="n">
        <v>60</v>
      </c>
      <c r="G1338" s="679" t="n">
        <v>46</v>
      </c>
      <c r="H1338" s="679" t="n">
        <v>382</v>
      </c>
      <c r="I1338" s="912"/>
      <c r="J1338" s="679"/>
      <c r="K1338" s="679"/>
    </row>
    <row r="1339" customFormat="false" ht="15" hidden="false" customHeight="false" outlineLevel="0" collapsed="false">
      <c r="A1339" s="20" t="s">
        <v>2249</v>
      </c>
      <c r="B1339" s="118" t="s">
        <v>3859</v>
      </c>
      <c r="C1339" s="679" t="n">
        <v>1</v>
      </c>
      <c r="D1339" s="709" t="n">
        <f aca="false">E1339+F1339+G1339</f>
        <v>617</v>
      </c>
      <c r="E1339" s="709" t="n">
        <v>400</v>
      </c>
      <c r="F1339" s="679" t="n">
        <v>217</v>
      </c>
      <c r="G1339" s="679"/>
      <c r="H1339" s="679" t="n">
        <v>755</v>
      </c>
      <c r="I1339" s="912"/>
      <c r="J1339" s="679"/>
      <c r="K1339" s="679"/>
    </row>
    <row r="1340" s="1708" customFormat="true" ht="15.75" hidden="false" customHeight="true" outlineLevel="0" collapsed="false">
      <c r="A1340" s="20" t="s">
        <v>2251</v>
      </c>
      <c r="B1340" s="532" t="s">
        <v>3860</v>
      </c>
      <c r="C1340" s="342" t="s">
        <v>7359</v>
      </c>
      <c r="D1340" s="615" t="n">
        <f aca="false">(D1306+D1307+D1308+D1309+D1310+D1311+D1312+D1317+D1320+D1321+D1325+D1327+D1328+D1329+D1331)/15*10</f>
        <v>1170</v>
      </c>
      <c r="E1340" s="1705"/>
      <c r="F1340" s="1706"/>
      <c r="G1340" s="1706"/>
      <c r="H1340" s="361"/>
      <c r="I1340" s="361"/>
      <c r="J1340" s="361"/>
      <c r="K1340" s="361"/>
      <c r="L1340" s="1707"/>
      <c r="M1340" s="1707"/>
      <c r="N1340" s="1707"/>
      <c r="O1340" s="1707"/>
      <c r="P1340" s="1707"/>
      <c r="Q1340" s="1707"/>
      <c r="R1340" s="1707"/>
      <c r="S1340" s="1707"/>
    </row>
    <row r="1341" s="1708" customFormat="true" ht="15" hidden="false" customHeight="false" outlineLevel="0" collapsed="false">
      <c r="A1341" s="20" t="s">
        <v>2253</v>
      </c>
      <c r="B1341" s="532" t="s">
        <v>3861</v>
      </c>
      <c r="C1341" s="342" t="s">
        <v>7359</v>
      </c>
      <c r="D1341" s="615" t="n">
        <f aca="false">(D1295+D1298+D1300+D1313+D1314+D1318+D1319+D1322+D1323+D1326)/10*10</f>
        <v>4573</v>
      </c>
      <c r="E1341" s="1705"/>
      <c r="F1341" s="1706"/>
      <c r="G1341" s="1706"/>
      <c r="H1341" s="361"/>
      <c r="I1341" s="361"/>
      <c r="J1341" s="361"/>
      <c r="K1341" s="361"/>
      <c r="L1341" s="1707"/>
      <c r="M1341" s="1707"/>
      <c r="N1341" s="1707"/>
      <c r="O1341" s="1707"/>
      <c r="P1341" s="1707"/>
      <c r="Q1341" s="1707"/>
      <c r="R1341" s="1707"/>
      <c r="S1341" s="1707"/>
    </row>
    <row r="1342" s="1708" customFormat="true" ht="15" hidden="false" customHeight="false" outlineLevel="0" collapsed="false">
      <c r="A1342" s="20" t="s">
        <v>2255</v>
      </c>
      <c r="B1342" s="532" t="s">
        <v>3862</v>
      </c>
      <c r="C1342" s="342" t="s">
        <v>7359</v>
      </c>
      <c r="D1342" s="615" t="n">
        <f aca="false">(D1306+D1307+D1308+D1309+D1310+D1311+D1312+D1317+D1320+D1321+D1325+D1327+D1328+D1329+D1331)/15*2</f>
        <v>234</v>
      </c>
      <c r="E1342" s="1705"/>
      <c r="F1342" s="1706"/>
      <c r="G1342" s="1706"/>
      <c r="H1342" s="361"/>
      <c r="I1342" s="361"/>
      <c r="J1342" s="361"/>
      <c r="K1342" s="361"/>
      <c r="L1342" s="1707"/>
      <c r="M1342" s="1707"/>
      <c r="N1342" s="1707"/>
      <c r="O1342" s="1707"/>
      <c r="P1342" s="1707"/>
      <c r="Q1342" s="1707"/>
      <c r="R1342" s="1707"/>
      <c r="S1342" s="1707"/>
    </row>
    <row r="1343" s="1708" customFormat="true" ht="15" hidden="false" customHeight="false" outlineLevel="0" collapsed="false">
      <c r="A1343" s="20" t="s">
        <v>2257</v>
      </c>
      <c r="B1343" s="532" t="s">
        <v>3863</v>
      </c>
      <c r="C1343" s="342" t="s">
        <v>7359</v>
      </c>
      <c r="D1343" s="615" t="n">
        <f aca="false">(D1295+D1298+D1300+D1313+D1314+D1318+D1319+D1322+D1323+D1326)/10</f>
        <v>457.3</v>
      </c>
      <c r="E1343" s="1705"/>
      <c r="F1343" s="1706"/>
      <c r="G1343" s="1706"/>
      <c r="H1343" s="361"/>
      <c r="I1343" s="361"/>
      <c r="J1343" s="361"/>
      <c r="K1343" s="361"/>
      <c r="L1343" s="1707"/>
      <c r="M1343" s="1707"/>
      <c r="N1343" s="1707"/>
      <c r="O1343" s="1707"/>
      <c r="P1343" s="1707"/>
      <c r="Q1343" s="1707"/>
      <c r="R1343" s="1707"/>
      <c r="S1343" s="1707"/>
    </row>
    <row r="1344" customFormat="false" ht="28.5" hidden="false" customHeight="false" outlineLevel="0" collapsed="false">
      <c r="A1344" s="375" t="s">
        <v>2259</v>
      </c>
      <c r="B1344" s="385" t="s">
        <v>4098</v>
      </c>
      <c r="C1344" s="1547"/>
      <c r="D1344" s="1622"/>
      <c r="E1344" s="1703"/>
      <c r="F1344" s="1547"/>
      <c r="G1344" s="1547"/>
      <c r="H1344" s="1547"/>
      <c r="I1344" s="1547"/>
      <c r="J1344" s="1208"/>
      <c r="K1344" s="1208"/>
    </row>
    <row r="1345" customFormat="false" ht="15" hidden="false" customHeight="false" outlineLevel="0" collapsed="false">
      <c r="A1345" s="350" t="s">
        <v>2261</v>
      </c>
      <c r="B1345" s="16" t="s">
        <v>3865</v>
      </c>
      <c r="C1345" s="339"/>
      <c r="D1345" s="712"/>
      <c r="E1345" s="751"/>
      <c r="F1345" s="339"/>
      <c r="G1345" s="339"/>
      <c r="H1345" s="339"/>
      <c r="I1345" s="339"/>
      <c r="J1345" s="600"/>
      <c r="K1345" s="600"/>
    </row>
    <row r="1346" customFormat="false" ht="30" hidden="false" customHeight="false" outlineLevel="0" collapsed="false">
      <c r="A1346" s="327" t="s">
        <v>2263</v>
      </c>
      <c r="B1346" s="40" t="s">
        <v>3866</v>
      </c>
      <c r="C1346" s="912" t="n">
        <v>1</v>
      </c>
      <c r="D1346" s="547" t="n">
        <f aca="false">E1346+F1346+G1346</f>
        <v>74</v>
      </c>
      <c r="E1346" s="547" t="n">
        <v>19</v>
      </c>
      <c r="F1346" s="912" t="n">
        <v>55</v>
      </c>
      <c r="G1346" s="912"/>
      <c r="H1346" s="1700" t="n">
        <v>19</v>
      </c>
      <c r="I1346" s="912"/>
      <c r="J1346" s="679"/>
      <c r="K1346" s="679"/>
    </row>
    <row r="1347" s="311" customFormat="true" ht="15" hidden="false" customHeight="false" outlineLevel="0" collapsed="false">
      <c r="A1347" s="327" t="s">
        <v>2265</v>
      </c>
      <c r="B1347" s="40" t="s">
        <v>3867</v>
      </c>
      <c r="C1347" s="912" t="n">
        <v>1</v>
      </c>
      <c r="D1347" s="547" t="n">
        <f aca="false">E1347+F1347+G1347</f>
        <v>344</v>
      </c>
      <c r="E1347" s="547" t="n">
        <v>219</v>
      </c>
      <c r="F1347" s="912" t="n">
        <v>125</v>
      </c>
      <c r="G1347" s="912"/>
      <c r="H1347" s="1700" t="n">
        <v>19</v>
      </c>
      <c r="I1347" s="912"/>
      <c r="J1347" s="606"/>
      <c r="K1347" s="606"/>
    </row>
    <row r="1348" customFormat="false" ht="15" hidden="false" customHeight="false" outlineLevel="0" collapsed="false">
      <c r="A1348" s="327" t="s">
        <v>2267</v>
      </c>
      <c r="B1348" s="40" t="s">
        <v>3868</v>
      </c>
      <c r="C1348" s="912" t="n">
        <v>1</v>
      </c>
      <c r="D1348" s="547" t="n">
        <f aca="false">E1348+F1348+G1348</f>
        <v>74</v>
      </c>
      <c r="E1348" s="547" t="n">
        <v>19</v>
      </c>
      <c r="F1348" s="912" t="n">
        <v>55</v>
      </c>
      <c r="G1348" s="912"/>
      <c r="H1348" s="1700" t="n">
        <v>19</v>
      </c>
      <c r="I1348" s="912"/>
      <c r="J1348" s="679"/>
      <c r="K1348" s="679"/>
    </row>
    <row r="1349" customFormat="false" ht="30" hidden="false" customHeight="false" outlineLevel="0" collapsed="false">
      <c r="A1349" s="327" t="s">
        <v>2269</v>
      </c>
      <c r="B1349" s="40" t="s">
        <v>3869</v>
      </c>
      <c r="C1349" s="912" t="n">
        <v>1</v>
      </c>
      <c r="D1349" s="547" t="n">
        <f aca="false">E1349+F1349+G1349</f>
        <v>61</v>
      </c>
      <c r="E1349" s="547" t="n">
        <v>6</v>
      </c>
      <c r="F1349" s="912" t="n">
        <v>55</v>
      </c>
      <c r="G1349" s="912"/>
      <c r="H1349" s="1700" t="n">
        <v>19</v>
      </c>
      <c r="I1349" s="912"/>
      <c r="J1349" s="679"/>
      <c r="K1349" s="679"/>
    </row>
    <row r="1350" customFormat="false" ht="30" hidden="false" customHeight="false" outlineLevel="0" collapsed="false">
      <c r="A1350" s="327" t="s">
        <v>2271</v>
      </c>
      <c r="B1350" s="40" t="s">
        <v>3870</v>
      </c>
      <c r="C1350" s="912" t="n">
        <v>1</v>
      </c>
      <c r="D1350" s="547" t="n">
        <f aca="false">E1350+F1350+G1350+H1350</f>
        <v>149</v>
      </c>
      <c r="E1350" s="547" t="n">
        <v>110</v>
      </c>
      <c r="F1350" s="912" t="n">
        <v>20</v>
      </c>
      <c r="G1350" s="912"/>
      <c r="H1350" s="1700" t="n">
        <v>19</v>
      </c>
      <c r="I1350" s="912"/>
      <c r="J1350" s="679"/>
      <c r="K1350" s="679"/>
    </row>
    <row r="1351" customFormat="false" ht="15" hidden="false" customHeight="false" outlineLevel="0" collapsed="false">
      <c r="A1351" s="388" t="s">
        <v>2273</v>
      </c>
      <c r="B1351" s="128" t="s">
        <v>3871</v>
      </c>
      <c r="C1351" s="1709"/>
      <c r="D1351" s="544"/>
      <c r="E1351" s="544"/>
      <c r="F1351" s="1709"/>
      <c r="G1351" s="1709"/>
      <c r="H1351" s="1709"/>
      <c r="I1351" s="339"/>
      <c r="J1351" s="600"/>
      <c r="K1351" s="600"/>
    </row>
    <row r="1352" customFormat="false" ht="30" hidden="false" customHeight="false" outlineLevel="0" collapsed="false">
      <c r="A1352" s="327" t="s">
        <v>2275</v>
      </c>
      <c r="B1352" s="40" t="s">
        <v>3872</v>
      </c>
      <c r="C1352" s="912" t="n">
        <v>1</v>
      </c>
      <c r="D1352" s="547" t="n">
        <f aca="false">E1352+F1352+G1352+H1352</f>
        <v>87</v>
      </c>
      <c r="E1352" s="547" t="n">
        <v>15</v>
      </c>
      <c r="F1352" s="912" t="n">
        <v>57</v>
      </c>
      <c r="G1352" s="912"/>
      <c r="H1352" s="1700" t="n">
        <v>15</v>
      </c>
      <c r="I1352" s="912"/>
      <c r="J1352" s="679"/>
      <c r="K1352" s="679"/>
    </row>
    <row r="1353" customFormat="false" ht="30" hidden="false" customHeight="false" outlineLevel="0" collapsed="false">
      <c r="A1353" s="327" t="s">
        <v>2277</v>
      </c>
      <c r="B1353" s="40" t="s">
        <v>3873</v>
      </c>
      <c r="C1353" s="912" t="n">
        <v>1</v>
      </c>
      <c r="D1353" s="547" t="n">
        <f aca="false">E1353+F1353+G1353+H1353</f>
        <v>81</v>
      </c>
      <c r="E1353" s="547" t="n">
        <v>6</v>
      </c>
      <c r="F1353" s="912" t="n">
        <v>55</v>
      </c>
      <c r="G1353" s="912"/>
      <c r="H1353" s="1700" t="n">
        <v>20</v>
      </c>
      <c r="I1353" s="912"/>
      <c r="J1353" s="679"/>
      <c r="K1353" s="679"/>
    </row>
    <row r="1354" customFormat="false" ht="30" hidden="false" customHeight="false" outlineLevel="0" collapsed="false">
      <c r="A1354" s="327" t="s">
        <v>2279</v>
      </c>
      <c r="B1354" s="40" t="s">
        <v>3874</v>
      </c>
      <c r="C1354" s="912" t="n">
        <v>1</v>
      </c>
      <c r="D1354" s="547" t="n">
        <f aca="false">E1354+F1354+G1354+H1354</f>
        <v>245</v>
      </c>
      <c r="E1354" s="547" t="n">
        <v>115</v>
      </c>
      <c r="F1354" s="912" t="n">
        <v>110</v>
      </c>
      <c r="G1354" s="912"/>
      <c r="H1354" s="1700" t="n">
        <v>20</v>
      </c>
      <c r="I1354" s="912"/>
      <c r="J1354" s="679"/>
      <c r="K1354" s="679"/>
    </row>
    <row r="1355" customFormat="false" ht="30" hidden="false" customHeight="false" outlineLevel="0" collapsed="false">
      <c r="A1355" s="327" t="s">
        <v>2281</v>
      </c>
      <c r="B1355" s="40" t="s">
        <v>3875</v>
      </c>
      <c r="C1355" s="912" t="n">
        <v>1</v>
      </c>
      <c r="D1355" s="547" t="n">
        <f aca="false">E1355+F1355+G1355+H1355</f>
        <v>150</v>
      </c>
      <c r="E1355" s="547" t="n">
        <v>110</v>
      </c>
      <c r="F1355" s="912" t="n">
        <v>20</v>
      </c>
      <c r="G1355" s="912"/>
      <c r="H1355" s="1700" t="n">
        <v>20</v>
      </c>
      <c r="I1355" s="912"/>
      <c r="J1355" s="679"/>
      <c r="K1355" s="679"/>
    </row>
    <row r="1356" customFormat="false" ht="15" hidden="false" customHeight="false" outlineLevel="0" collapsed="false">
      <c r="A1356" s="388" t="s">
        <v>2283</v>
      </c>
      <c r="B1356" s="128" t="s">
        <v>2284</v>
      </c>
      <c r="C1356" s="1709"/>
      <c r="D1356" s="544"/>
      <c r="E1356" s="544"/>
      <c r="F1356" s="1709"/>
      <c r="G1356" s="1709"/>
      <c r="H1356" s="1709"/>
      <c r="I1356" s="339"/>
      <c r="J1356" s="600"/>
      <c r="K1356" s="600"/>
    </row>
    <row r="1357" customFormat="false" ht="30" hidden="false" customHeight="false" outlineLevel="0" collapsed="false">
      <c r="A1357" s="327" t="s">
        <v>2285</v>
      </c>
      <c r="B1357" s="40" t="s">
        <v>3876</v>
      </c>
      <c r="C1357" s="912" t="n">
        <v>1</v>
      </c>
      <c r="D1357" s="547" t="n">
        <f aca="false">E1357+F1357+G1357+H1357</f>
        <v>192</v>
      </c>
      <c r="E1357" s="547" t="n">
        <v>45</v>
      </c>
      <c r="F1357" s="912" t="n">
        <v>132</v>
      </c>
      <c r="G1357" s="912"/>
      <c r="H1357" s="1700" t="n">
        <v>15</v>
      </c>
      <c r="I1357" s="912"/>
      <c r="J1357" s="679"/>
      <c r="K1357" s="679"/>
    </row>
    <row r="1358" customFormat="false" ht="16.5" hidden="false" customHeight="true" outlineLevel="0" collapsed="false">
      <c r="A1358" s="327" t="s">
        <v>2287</v>
      </c>
      <c r="B1358" s="40" t="s">
        <v>3877</v>
      </c>
      <c r="C1358" s="912" t="n">
        <v>1</v>
      </c>
      <c r="D1358" s="547" t="n">
        <f aca="false">E1358+F1358+G1358+H1358</f>
        <v>100</v>
      </c>
      <c r="E1358" s="547" t="n">
        <v>15</v>
      </c>
      <c r="F1358" s="912" t="n">
        <v>66</v>
      </c>
      <c r="G1358" s="912"/>
      <c r="H1358" s="1700" t="n">
        <v>19</v>
      </c>
      <c r="I1358" s="912"/>
      <c r="J1358" s="679"/>
      <c r="K1358" s="679"/>
    </row>
    <row r="1359" s="311" customFormat="true" ht="16.5" hidden="false" customHeight="true" outlineLevel="0" collapsed="false">
      <c r="A1359" s="327" t="s">
        <v>2289</v>
      </c>
      <c r="B1359" s="78" t="s">
        <v>3878</v>
      </c>
      <c r="C1359" s="912" t="n">
        <v>1</v>
      </c>
      <c r="D1359" s="547" t="n">
        <f aca="false">E1359+F1359+G1359+H1359</f>
        <v>136</v>
      </c>
      <c r="E1359" s="547" t="n">
        <v>30</v>
      </c>
      <c r="F1359" s="912" t="n">
        <v>96</v>
      </c>
      <c r="G1359" s="912"/>
      <c r="H1359" s="1700" t="n">
        <v>10</v>
      </c>
      <c r="I1359" s="912"/>
      <c r="J1359" s="606"/>
      <c r="K1359" s="606"/>
    </row>
    <row r="1360" s="311" customFormat="true" ht="16.5" hidden="false" customHeight="true" outlineLevel="0" collapsed="false">
      <c r="A1360" s="327" t="s">
        <v>2291</v>
      </c>
      <c r="B1360" s="78" t="s">
        <v>3879</v>
      </c>
      <c r="C1360" s="912" t="n">
        <v>1</v>
      </c>
      <c r="D1360" s="547" t="n">
        <f aca="false">E1360+F1360+G1360+H1360</f>
        <v>74</v>
      </c>
      <c r="E1360" s="547" t="n">
        <v>6</v>
      </c>
      <c r="F1360" s="912" t="n">
        <v>58</v>
      </c>
      <c r="G1360" s="912"/>
      <c r="H1360" s="1700" t="n">
        <v>10</v>
      </c>
      <c r="I1360" s="912"/>
      <c r="J1360" s="606"/>
      <c r="K1360" s="606"/>
    </row>
    <row r="1361" customFormat="false" ht="30" hidden="false" customHeight="false" outlineLevel="0" collapsed="false">
      <c r="A1361" s="327" t="s">
        <v>2293</v>
      </c>
      <c r="B1361" s="40" t="s">
        <v>3880</v>
      </c>
      <c r="C1361" s="912" t="n">
        <v>1</v>
      </c>
      <c r="D1361" s="547" t="n">
        <f aca="false">E1361+F1361+G1361+H1361</f>
        <v>140</v>
      </c>
      <c r="E1361" s="547" t="n">
        <v>110</v>
      </c>
      <c r="F1361" s="912" t="n">
        <v>20</v>
      </c>
      <c r="G1361" s="912"/>
      <c r="H1361" s="1700" t="n">
        <v>10</v>
      </c>
      <c r="I1361" s="912"/>
      <c r="J1361" s="679"/>
      <c r="K1361" s="679"/>
    </row>
    <row r="1362" customFormat="false" ht="30" hidden="false" customHeight="false" outlineLevel="0" collapsed="false">
      <c r="A1362" s="327" t="s">
        <v>2295</v>
      </c>
      <c r="B1362" s="40" t="s">
        <v>3881</v>
      </c>
      <c r="C1362" s="912" t="n">
        <v>1</v>
      </c>
      <c r="D1362" s="547" t="n">
        <f aca="false">E1362+F1362+G1362+H1362</f>
        <v>74</v>
      </c>
      <c r="E1362" s="547" t="n">
        <v>6</v>
      </c>
      <c r="F1362" s="912" t="n">
        <v>58</v>
      </c>
      <c r="G1362" s="912"/>
      <c r="H1362" s="1700" t="n">
        <v>10</v>
      </c>
      <c r="I1362" s="912"/>
      <c r="J1362" s="679"/>
      <c r="K1362" s="679"/>
    </row>
    <row r="1363" customFormat="false" ht="30" hidden="false" customHeight="false" outlineLevel="0" collapsed="false">
      <c r="A1363" s="327" t="s">
        <v>2297</v>
      </c>
      <c r="B1363" s="40" t="s">
        <v>3882</v>
      </c>
      <c r="C1363" s="912" t="n">
        <v>1</v>
      </c>
      <c r="D1363" s="547" t="n">
        <f aca="false">E1363+F1363+G1363+H1363</f>
        <v>136</v>
      </c>
      <c r="E1363" s="547" t="n">
        <v>30</v>
      </c>
      <c r="F1363" s="912" t="n">
        <v>96</v>
      </c>
      <c r="G1363" s="912"/>
      <c r="H1363" s="1700" t="n">
        <v>10</v>
      </c>
      <c r="I1363" s="912"/>
      <c r="J1363" s="679"/>
      <c r="K1363" s="679"/>
    </row>
    <row r="1364" customFormat="false" ht="15" hidden="false" customHeight="false" outlineLevel="0" collapsed="false">
      <c r="A1364" s="327" t="s">
        <v>2299</v>
      </c>
      <c r="B1364" s="40" t="s">
        <v>3883</v>
      </c>
      <c r="C1364" s="912" t="n">
        <v>1</v>
      </c>
      <c r="D1364" s="547" t="n">
        <f aca="false">E1364+F1364+G1364+H1364</f>
        <v>27</v>
      </c>
      <c r="E1364" s="547" t="n">
        <v>9</v>
      </c>
      <c r="F1364" s="912" t="n">
        <v>8</v>
      </c>
      <c r="G1364" s="912"/>
      <c r="H1364" s="1700" t="n">
        <v>10</v>
      </c>
      <c r="I1364" s="912"/>
      <c r="J1364" s="679"/>
      <c r="K1364" s="679"/>
    </row>
    <row r="1365" customFormat="false" ht="30" hidden="false" customHeight="false" outlineLevel="0" collapsed="false">
      <c r="A1365" s="327" t="s">
        <v>2301</v>
      </c>
      <c r="B1365" s="29" t="s">
        <v>3884</v>
      </c>
      <c r="C1365" s="912" t="n">
        <v>1</v>
      </c>
      <c r="D1365" s="547" t="n">
        <f aca="false">E1365+F1365+G1365+H1365</f>
        <v>75</v>
      </c>
      <c r="E1365" s="547" t="n">
        <v>15</v>
      </c>
      <c r="F1365" s="912" t="n">
        <v>50</v>
      </c>
      <c r="G1365" s="912"/>
      <c r="H1365" s="1700" t="n">
        <v>10</v>
      </c>
      <c r="I1365" s="912"/>
      <c r="J1365" s="679"/>
      <c r="K1365" s="679"/>
    </row>
    <row r="1366" s="311" customFormat="true" ht="30" hidden="false" customHeight="false" outlineLevel="0" collapsed="false">
      <c r="A1366" s="327" t="s">
        <v>2303</v>
      </c>
      <c r="B1366" s="29" t="s">
        <v>3885</v>
      </c>
      <c r="C1366" s="912" t="n">
        <v>1</v>
      </c>
      <c r="D1366" s="547" t="n">
        <f aca="false">E1366+F1366+G1366+H1366</f>
        <v>146</v>
      </c>
      <c r="E1366" s="547" t="n">
        <v>30</v>
      </c>
      <c r="F1366" s="912" t="n">
        <v>106</v>
      </c>
      <c r="G1366" s="912"/>
      <c r="H1366" s="1700" t="n">
        <v>10</v>
      </c>
      <c r="I1366" s="912"/>
      <c r="J1366" s="606"/>
      <c r="K1366" s="606"/>
    </row>
    <row r="1367" s="311" customFormat="true" ht="45" hidden="false" customHeight="false" outlineLevel="0" collapsed="false">
      <c r="A1367" s="327" t="s">
        <v>2305</v>
      </c>
      <c r="B1367" s="29" t="s">
        <v>3886</v>
      </c>
      <c r="C1367" s="912" t="n">
        <v>1</v>
      </c>
      <c r="D1367" s="547" t="n">
        <f aca="false">E1367+F1367+G1367+H1367</f>
        <v>140</v>
      </c>
      <c r="E1367" s="547" t="n">
        <v>110</v>
      </c>
      <c r="F1367" s="912" t="n">
        <v>20</v>
      </c>
      <c r="G1367" s="912"/>
      <c r="H1367" s="1700" t="n">
        <v>10</v>
      </c>
      <c r="I1367" s="912"/>
      <c r="J1367" s="606"/>
      <c r="K1367" s="606"/>
    </row>
    <row r="1368" customFormat="false" ht="15" hidden="false" customHeight="false" outlineLevel="0" collapsed="false">
      <c r="A1368" s="389" t="s">
        <v>2307</v>
      </c>
      <c r="B1368" s="130" t="s">
        <v>2308</v>
      </c>
      <c r="C1368" s="1710"/>
      <c r="D1368" s="1711"/>
      <c r="E1368" s="1711"/>
      <c r="F1368" s="1710"/>
      <c r="G1368" s="1710"/>
      <c r="H1368" s="1710"/>
      <c r="I1368" s="541"/>
      <c r="J1368" s="600"/>
      <c r="K1368" s="600"/>
    </row>
    <row r="1369" customFormat="false" ht="30" hidden="false" customHeight="false" outlineLevel="0" collapsed="false">
      <c r="A1369" s="327" t="s">
        <v>2309</v>
      </c>
      <c r="B1369" s="40" t="s">
        <v>3887</v>
      </c>
      <c r="C1369" s="912" t="n">
        <v>1</v>
      </c>
      <c r="D1369" s="547" t="n">
        <f aca="false">E1369+F1369+G1369+H1369</f>
        <v>164</v>
      </c>
      <c r="E1369" s="547" t="n">
        <v>32</v>
      </c>
      <c r="F1369" s="912" t="n">
        <v>117</v>
      </c>
      <c r="G1369" s="912"/>
      <c r="H1369" s="1700" t="n">
        <v>15</v>
      </c>
      <c r="I1369" s="912"/>
      <c r="J1369" s="679"/>
      <c r="K1369" s="679"/>
    </row>
    <row r="1370" customFormat="false" ht="30" hidden="false" customHeight="false" outlineLevel="0" collapsed="false">
      <c r="A1370" s="327" t="s">
        <v>2311</v>
      </c>
      <c r="B1370" s="40" t="s">
        <v>3888</v>
      </c>
      <c r="C1370" s="912" t="n">
        <v>1</v>
      </c>
      <c r="D1370" s="547" t="n">
        <f aca="false">E1370+F1370+G1370+H1370</f>
        <v>106</v>
      </c>
      <c r="E1370" s="547" t="n">
        <v>12</v>
      </c>
      <c r="F1370" s="912" t="n">
        <v>74</v>
      </c>
      <c r="G1370" s="912"/>
      <c r="H1370" s="1700" t="n">
        <v>20</v>
      </c>
      <c r="I1370" s="912"/>
      <c r="J1370" s="679"/>
      <c r="K1370" s="679"/>
    </row>
    <row r="1371" customFormat="false" ht="30" hidden="false" customHeight="false" outlineLevel="0" collapsed="false">
      <c r="A1371" s="327" t="s">
        <v>2313</v>
      </c>
      <c r="B1371" s="40" t="s">
        <v>3889</v>
      </c>
      <c r="C1371" s="912" t="n">
        <v>1</v>
      </c>
      <c r="D1371" s="547" t="n">
        <f aca="false">E1371+F1371+G1371+H1371</f>
        <v>50</v>
      </c>
      <c r="E1371" s="547" t="n">
        <v>5</v>
      </c>
      <c r="F1371" s="912" t="n">
        <v>35</v>
      </c>
      <c r="G1371" s="912"/>
      <c r="H1371" s="1700" t="n">
        <v>10</v>
      </c>
      <c r="I1371" s="912"/>
      <c r="J1371" s="679"/>
      <c r="K1371" s="679"/>
    </row>
    <row r="1372" customFormat="false" ht="15" hidden="false" customHeight="false" outlineLevel="0" collapsed="false">
      <c r="A1372" s="388" t="s">
        <v>2315</v>
      </c>
      <c r="B1372" s="128" t="s">
        <v>2316</v>
      </c>
      <c r="C1372" s="1709"/>
      <c r="D1372" s="544"/>
      <c r="E1372" s="544"/>
      <c r="F1372" s="1709"/>
      <c r="G1372" s="1709"/>
      <c r="H1372" s="1709"/>
      <c r="I1372" s="541"/>
      <c r="J1372" s="600"/>
      <c r="K1372" s="600"/>
    </row>
    <row r="1373" customFormat="false" ht="30" hidden="false" customHeight="false" outlineLevel="0" collapsed="false">
      <c r="A1373" s="327" t="s">
        <v>2317</v>
      </c>
      <c r="B1373" s="40" t="s">
        <v>3890</v>
      </c>
      <c r="C1373" s="912" t="n">
        <v>1</v>
      </c>
      <c r="D1373" s="547" t="n">
        <f aca="false">E1373+F1373+G1373+H1373</f>
        <v>135</v>
      </c>
      <c r="E1373" s="547" t="n">
        <v>45</v>
      </c>
      <c r="F1373" s="912" t="n">
        <v>75</v>
      </c>
      <c r="G1373" s="912"/>
      <c r="H1373" s="1700" t="n">
        <v>15</v>
      </c>
      <c r="I1373" s="391"/>
      <c r="J1373" s="679"/>
      <c r="K1373" s="679"/>
    </row>
    <row r="1374" customFormat="false" ht="30" hidden="false" customHeight="false" outlineLevel="0" collapsed="false">
      <c r="A1374" s="327" t="s">
        <v>2319</v>
      </c>
      <c r="B1374" s="40" t="s">
        <v>3891</v>
      </c>
      <c r="C1374" s="912" t="n">
        <v>1</v>
      </c>
      <c r="D1374" s="547" t="n">
        <f aca="false">E1374+F1374+G1374+H1374</f>
        <v>140</v>
      </c>
      <c r="E1374" s="547" t="n">
        <v>45</v>
      </c>
      <c r="F1374" s="912" t="n">
        <v>75</v>
      </c>
      <c r="G1374" s="912"/>
      <c r="H1374" s="1700" t="n">
        <v>20</v>
      </c>
      <c r="I1374" s="912"/>
      <c r="J1374" s="679"/>
      <c r="K1374" s="679"/>
    </row>
    <row r="1375" customFormat="false" ht="30" hidden="false" customHeight="false" outlineLevel="0" collapsed="false">
      <c r="A1375" s="327" t="s">
        <v>2321</v>
      </c>
      <c r="B1375" s="40" t="s">
        <v>3892</v>
      </c>
      <c r="C1375" s="912" t="n">
        <v>1</v>
      </c>
      <c r="D1375" s="547" t="n">
        <f aca="false">E1375+F1375+G1375+H1375</f>
        <v>81</v>
      </c>
      <c r="E1375" s="547" t="n">
        <v>6</v>
      </c>
      <c r="F1375" s="912" t="n">
        <v>55</v>
      </c>
      <c r="G1375" s="912"/>
      <c r="H1375" s="1700" t="n">
        <v>20</v>
      </c>
      <c r="I1375" s="912"/>
      <c r="J1375" s="679"/>
      <c r="K1375" s="679"/>
    </row>
    <row r="1376" customFormat="false" ht="30" hidden="false" customHeight="false" outlineLevel="0" collapsed="false">
      <c r="A1376" s="327" t="s">
        <v>2323</v>
      </c>
      <c r="B1376" s="40" t="s">
        <v>3893</v>
      </c>
      <c r="C1376" s="912" t="n">
        <v>1</v>
      </c>
      <c r="D1376" s="547" t="n">
        <f aca="false">E1376+F1376+G1376+H1376</f>
        <v>81</v>
      </c>
      <c r="E1376" s="547" t="n">
        <v>6</v>
      </c>
      <c r="F1376" s="912" t="n">
        <v>55</v>
      </c>
      <c r="G1376" s="912"/>
      <c r="H1376" s="1700" t="n">
        <v>20</v>
      </c>
      <c r="I1376" s="912"/>
      <c r="J1376" s="679"/>
      <c r="K1376" s="679"/>
    </row>
    <row r="1377" customFormat="false" ht="30" hidden="false" customHeight="false" outlineLevel="0" collapsed="false">
      <c r="A1377" s="327" t="s">
        <v>2325</v>
      </c>
      <c r="B1377" s="40" t="s">
        <v>3894</v>
      </c>
      <c r="C1377" s="912" t="n">
        <v>1</v>
      </c>
      <c r="D1377" s="547" t="n">
        <f aca="false">E1377+F1377+G1377+H1377</f>
        <v>90</v>
      </c>
      <c r="E1377" s="547" t="n">
        <v>20</v>
      </c>
      <c r="F1377" s="912" t="n">
        <v>50</v>
      </c>
      <c r="G1377" s="912"/>
      <c r="H1377" s="1700" t="n">
        <v>20</v>
      </c>
      <c r="I1377" s="912"/>
      <c r="J1377" s="679"/>
      <c r="K1377" s="679"/>
    </row>
    <row r="1378" customFormat="false" ht="30" hidden="false" customHeight="false" outlineLevel="0" collapsed="false">
      <c r="A1378" s="327" t="s">
        <v>2327</v>
      </c>
      <c r="B1378" s="40" t="s">
        <v>3895</v>
      </c>
      <c r="C1378" s="912" t="n">
        <v>1</v>
      </c>
      <c r="D1378" s="547" t="n">
        <f aca="false">E1378+F1378+G1378+H1378</f>
        <v>150</v>
      </c>
      <c r="E1378" s="547" t="n">
        <v>110</v>
      </c>
      <c r="F1378" s="912" t="n">
        <v>20</v>
      </c>
      <c r="G1378" s="912"/>
      <c r="H1378" s="1700" t="n">
        <v>20</v>
      </c>
      <c r="I1378" s="912"/>
      <c r="J1378" s="679"/>
      <c r="K1378" s="679"/>
    </row>
    <row r="1379" customFormat="false" ht="30" hidden="false" customHeight="false" outlineLevel="0" collapsed="false">
      <c r="A1379" s="327" t="s">
        <v>2329</v>
      </c>
      <c r="B1379" s="40" t="s">
        <v>3896</v>
      </c>
      <c r="C1379" s="912" t="n">
        <v>1</v>
      </c>
      <c r="D1379" s="547" t="n">
        <f aca="false">E1379+F1379+G1379+H1379</f>
        <v>99</v>
      </c>
      <c r="E1379" s="547" t="n">
        <v>18</v>
      </c>
      <c r="F1379" s="912" t="n">
        <v>61</v>
      </c>
      <c r="G1379" s="912"/>
      <c r="H1379" s="1700" t="n">
        <v>20</v>
      </c>
      <c r="I1379" s="912"/>
      <c r="J1379" s="679"/>
      <c r="K1379" s="679"/>
    </row>
    <row r="1380" s="311" customFormat="true" ht="45" hidden="false" customHeight="false" outlineLevel="0" collapsed="false">
      <c r="A1380" s="327" t="s">
        <v>2331</v>
      </c>
      <c r="B1380" s="29" t="s">
        <v>3897</v>
      </c>
      <c r="C1380" s="912" t="n">
        <v>1</v>
      </c>
      <c r="D1380" s="547" t="n">
        <f aca="false">E1380+F1380+G1380+H1380</f>
        <v>180</v>
      </c>
      <c r="E1380" s="547" t="n">
        <v>110</v>
      </c>
      <c r="F1380" s="912" t="n">
        <v>50</v>
      </c>
      <c r="G1380" s="912"/>
      <c r="H1380" s="1700" t="n">
        <v>20</v>
      </c>
      <c r="I1380" s="912"/>
      <c r="J1380" s="606"/>
      <c r="K1380" s="606"/>
    </row>
    <row r="1381" customFormat="false" ht="15" hidden="false" customHeight="false" outlineLevel="0" collapsed="false">
      <c r="A1381" s="388" t="s">
        <v>2333</v>
      </c>
      <c r="B1381" s="128" t="s">
        <v>2334</v>
      </c>
      <c r="C1381" s="1709"/>
      <c r="D1381" s="544"/>
      <c r="E1381" s="544"/>
      <c r="F1381" s="1709"/>
      <c r="G1381" s="1709"/>
      <c r="H1381" s="1709"/>
      <c r="I1381" s="541"/>
      <c r="J1381" s="600"/>
      <c r="K1381" s="600"/>
    </row>
    <row r="1382" customFormat="false" ht="30" hidden="false" customHeight="false" outlineLevel="0" collapsed="false">
      <c r="A1382" s="327" t="s">
        <v>2335</v>
      </c>
      <c r="B1382" s="40" t="s">
        <v>3898</v>
      </c>
      <c r="C1382" s="912" t="n">
        <v>1</v>
      </c>
      <c r="D1382" s="547" t="n">
        <f aca="false">E1382+F1382+G1382+H1382</f>
        <v>162</v>
      </c>
      <c r="E1382" s="547" t="n">
        <v>32</v>
      </c>
      <c r="F1382" s="912" t="n">
        <v>110</v>
      </c>
      <c r="G1382" s="912"/>
      <c r="H1382" s="1700" t="n">
        <v>20</v>
      </c>
      <c r="I1382" s="391"/>
      <c r="J1382" s="679"/>
      <c r="K1382" s="679"/>
    </row>
    <row r="1383" customFormat="false" ht="21.75" hidden="false" customHeight="true" outlineLevel="0" collapsed="false">
      <c r="A1383" s="327" t="s">
        <v>2337</v>
      </c>
      <c r="B1383" s="47" t="s">
        <v>3899</v>
      </c>
      <c r="C1383" s="912" t="n">
        <v>1</v>
      </c>
      <c r="D1383" s="547" t="n">
        <f aca="false">E1383+F1383+G1383+H1383</f>
        <v>63</v>
      </c>
      <c r="E1383" s="547" t="n">
        <v>3</v>
      </c>
      <c r="F1383" s="912" t="n">
        <v>40</v>
      </c>
      <c r="G1383" s="912"/>
      <c r="H1383" s="1700" t="n">
        <v>20</v>
      </c>
      <c r="I1383" s="912"/>
      <c r="J1383" s="679"/>
      <c r="K1383" s="679"/>
    </row>
    <row r="1384" customFormat="false" ht="45" hidden="false" customHeight="false" outlineLevel="0" collapsed="false">
      <c r="A1384" s="327" t="s">
        <v>2339</v>
      </c>
      <c r="B1384" s="47" t="s">
        <v>3900</v>
      </c>
      <c r="C1384" s="912" t="n">
        <v>1</v>
      </c>
      <c r="D1384" s="547" t="n">
        <f aca="false">E1384+F1384+G1384+H1384</f>
        <v>150</v>
      </c>
      <c r="E1384" s="547" t="n">
        <v>110</v>
      </c>
      <c r="F1384" s="912" t="n">
        <v>20</v>
      </c>
      <c r="G1384" s="912"/>
      <c r="H1384" s="1700" t="n">
        <v>20</v>
      </c>
      <c r="I1384" s="912"/>
      <c r="J1384" s="679"/>
      <c r="K1384" s="679"/>
    </row>
    <row r="1385" customFormat="false" ht="15" hidden="false" customHeight="false" outlineLevel="0" collapsed="false">
      <c r="A1385" s="327" t="s">
        <v>2341</v>
      </c>
      <c r="B1385" s="40" t="s">
        <v>3901</v>
      </c>
      <c r="C1385" s="912" t="n">
        <v>1</v>
      </c>
      <c r="D1385" s="547" t="n">
        <f aca="false">E1385+F1385+G1385+H1385</f>
        <v>88</v>
      </c>
      <c r="E1385" s="547" t="n">
        <v>15</v>
      </c>
      <c r="F1385" s="912" t="n">
        <v>53</v>
      </c>
      <c r="G1385" s="912"/>
      <c r="H1385" s="1700" t="n">
        <v>20</v>
      </c>
      <c r="I1385" s="912"/>
      <c r="J1385" s="679"/>
      <c r="K1385" s="679"/>
    </row>
    <row r="1386" customFormat="false" ht="15" hidden="false" customHeight="false" outlineLevel="0" collapsed="false">
      <c r="A1386" s="388" t="s">
        <v>2343</v>
      </c>
      <c r="B1386" s="128" t="s">
        <v>2344</v>
      </c>
      <c r="C1386" s="1710"/>
      <c r="D1386" s="1711"/>
      <c r="E1386" s="1711"/>
      <c r="F1386" s="1710"/>
      <c r="G1386" s="1710"/>
      <c r="H1386" s="1710"/>
      <c r="I1386" s="541"/>
      <c r="J1386" s="600"/>
      <c r="K1386" s="600"/>
    </row>
    <row r="1387" customFormat="false" ht="30" hidden="false" customHeight="false" outlineLevel="0" collapsed="false">
      <c r="A1387" s="327" t="s">
        <v>2345</v>
      </c>
      <c r="B1387" s="40" t="s">
        <v>3902</v>
      </c>
      <c r="C1387" s="912" t="n">
        <v>1</v>
      </c>
      <c r="D1387" s="547" t="n">
        <f aca="false">E1387+F1387+G1387+H1387</f>
        <v>164</v>
      </c>
      <c r="E1387" s="547" t="n">
        <v>32</v>
      </c>
      <c r="F1387" s="912" t="n">
        <v>117</v>
      </c>
      <c r="G1387" s="912"/>
      <c r="H1387" s="1700" t="n">
        <v>15</v>
      </c>
      <c r="I1387" s="912"/>
      <c r="J1387" s="679"/>
      <c r="K1387" s="679"/>
    </row>
    <row r="1388" customFormat="false" ht="30" hidden="false" customHeight="false" outlineLevel="0" collapsed="false">
      <c r="A1388" s="327" t="s">
        <v>2347</v>
      </c>
      <c r="B1388" s="40" t="s">
        <v>3903</v>
      </c>
      <c r="C1388" s="912" t="n">
        <v>1</v>
      </c>
      <c r="D1388" s="547" t="n">
        <f aca="false">E1388+F1388+G1388+H1388</f>
        <v>55</v>
      </c>
      <c r="E1388" s="547" t="n">
        <v>5</v>
      </c>
      <c r="F1388" s="912" t="n">
        <v>35</v>
      </c>
      <c r="G1388" s="912"/>
      <c r="H1388" s="1700" t="n">
        <v>15</v>
      </c>
      <c r="I1388" s="912"/>
      <c r="J1388" s="679"/>
      <c r="K1388" s="679"/>
    </row>
    <row r="1389" customFormat="false" ht="30" hidden="false" customHeight="false" outlineLevel="0" collapsed="false">
      <c r="A1389" s="327" t="s">
        <v>2349</v>
      </c>
      <c r="B1389" s="40" t="s">
        <v>3904</v>
      </c>
      <c r="C1389" s="912" t="n">
        <v>1</v>
      </c>
      <c r="D1389" s="547" t="n">
        <f aca="false">E1389+F1389+G1389+H1389</f>
        <v>145</v>
      </c>
      <c r="E1389" s="547" t="n">
        <v>110</v>
      </c>
      <c r="F1389" s="912" t="n">
        <v>20</v>
      </c>
      <c r="G1389" s="912"/>
      <c r="H1389" s="1700" t="n">
        <v>15</v>
      </c>
      <c r="I1389" s="912"/>
      <c r="J1389" s="679"/>
      <c r="K1389" s="679"/>
    </row>
    <row r="1390" customFormat="false" ht="15" hidden="false" customHeight="false" outlineLevel="0" collapsed="false">
      <c r="A1390" s="327" t="s">
        <v>2351</v>
      </c>
      <c r="B1390" s="40" t="s">
        <v>3905</v>
      </c>
      <c r="C1390" s="912" t="n">
        <v>1</v>
      </c>
      <c r="D1390" s="547" t="n">
        <f aca="false">E1390+F1390+G1390+H1390</f>
        <v>83</v>
      </c>
      <c r="E1390" s="547" t="n">
        <v>15</v>
      </c>
      <c r="F1390" s="912" t="n">
        <v>53</v>
      </c>
      <c r="G1390" s="912"/>
      <c r="H1390" s="1700" t="n">
        <v>15</v>
      </c>
      <c r="I1390" s="912"/>
      <c r="J1390" s="679"/>
      <c r="K1390" s="679"/>
    </row>
    <row r="1391" customFormat="false" ht="15" hidden="false" customHeight="false" outlineLevel="0" collapsed="false">
      <c r="A1391" s="389" t="s">
        <v>2353</v>
      </c>
      <c r="B1391" s="131" t="s">
        <v>2354</v>
      </c>
      <c r="C1391" s="1712"/>
      <c r="D1391" s="1713"/>
      <c r="E1391" s="1713"/>
      <c r="F1391" s="1712"/>
      <c r="G1391" s="1712"/>
      <c r="H1391" s="1712"/>
      <c r="I1391" s="541"/>
      <c r="J1391" s="600"/>
      <c r="K1391" s="600"/>
    </row>
    <row r="1392" customFormat="false" ht="30" hidden="false" customHeight="false" outlineLevel="0" collapsed="false">
      <c r="A1392" s="327" t="s">
        <v>2355</v>
      </c>
      <c r="B1392" s="40" t="s">
        <v>3906</v>
      </c>
      <c r="C1392" s="1714" t="n">
        <v>1</v>
      </c>
      <c r="D1392" s="547" t="n">
        <f aca="false">E1392+F1392+G1392+H1392</f>
        <v>165</v>
      </c>
      <c r="E1392" s="547" t="n">
        <v>50</v>
      </c>
      <c r="F1392" s="912" t="n">
        <v>100</v>
      </c>
      <c r="G1392" s="1715"/>
      <c r="H1392" s="1716" t="n">
        <v>15</v>
      </c>
      <c r="I1392" s="1717"/>
      <c r="J1392" s="679"/>
      <c r="K1392" s="679"/>
    </row>
    <row r="1393" customFormat="false" ht="30" hidden="false" customHeight="false" outlineLevel="0" collapsed="false">
      <c r="A1393" s="327" t="s">
        <v>2357</v>
      </c>
      <c r="B1393" s="40" t="s">
        <v>3907</v>
      </c>
      <c r="C1393" s="1714" t="n">
        <v>1</v>
      </c>
      <c r="D1393" s="547" t="n">
        <f aca="false">E1393+F1393+G1393+H1393</f>
        <v>55</v>
      </c>
      <c r="E1393" s="547" t="n">
        <v>5</v>
      </c>
      <c r="F1393" s="912" t="n">
        <v>35</v>
      </c>
      <c r="G1393" s="912"/>
      <c r="H1393" s="1716" t="n">
        <v>15</v>
      </c>
      <c r="I1393" s="1715"/>
      <c r="J1393" s="679"/>
      <c r="K1393" s="679"/>
    </row>
    <row r="1394" customFormat="false" ht="30" hidden="false" customHeight="false" outlineLevel="0" collapsed="false">
      <c r="A1394" s="327" t="s">
        <v>2359</v>
      </c>
      <c r="B1394" s="40" t="s">
        <v>3908</v>
      </c>
      <c r="C1394" s="1714" t="n">
        <v>1</v>
      </c>
      <c r="D1394" s="547" t="n">
        <f aca="false">E1394+F1394+G1394+H1394</f>
        <v>83</v>
      </c>
      <c r="E1394" s="547" t="n">
        <v>15</v>
      </c>
      <c r="F1394" s="912" t="n">
        <v>53</v>
      </c>
      <c r="G1394" s="912"/>
      <c r="H1394" s="1716" t="n">
        <v>15</v>
      </c>
      <c r="I1394" s="912"/>
      <c r="J1394" s="679"/>
      <c r="K1394" s="679"/>
    </row>
    <row r="1395" customFormat="false" ht="30" hidden="false" customHeight="false" outlineLevel="0" collapsed="false">
      <c r="A1395" s="327" t="s">
        <v>2361</v>
      </c>
      <c r="B1395" s="40" t="s">
        <v>3909</v>
      </c>
      <c r="C1395" s="1714" t="n">
        <v>1</v>
      </c>
      <c r="D1395" s="547" t="n">
        <f aca="false">E1395+F1395+G1395+H1395</f>
        <v>152</v>
      </c>
      <c r="E1395" s="547" t="n">
        <v>110</v>
      </c>
      <c r="F1395" s="912" t="n">
        <v>27</v>
      </c>
      <c r="G1395" s="912"/>
      <c r="H1395" s="1716" t="n">
        <v>15</v>
      </c>
      <c r="I1395" s="912"/>
      <c r="J1395" s="679"/>
      <c r="K1395" s="679"/>
    </row>
    <row r="1396" customFormat="false" ht="15" hidden="false" customHeight="false" outlineLevel="0" collapsed="false">
      <c r="A1396" s="389" t="s">
        <v>2363</v>
      </c>
      <c r="B1396" s="130" t="s">
        <v>3910</v>
      </c>
      <c r="C1396" s="1710"/>
      <c r="D1396" s="1711"/>
      <c r="E1396" s="1711"/>
      <c r="F1396" s="1710"/>
      <c r="G1396" s="1710"/>
      <c r="H1396" s="1710"/>
      <c r="I1396" s="541"/>
      <c r="J1396" s="600"/>
      <c r="K1396" s="600"/>
    </row>
    <row r="1397" customFormat="false" ht="15" hidden="false" customHeight="true" outlineLevel="0" collapsed="false">
      <c r="A1397" s="327" t="s">
        <v>2365</v>
      </c>
      <c r="B1397" s="40" t="s">
        <v>3911</v>
      </c>
      <c r="C1397" s="912" t="n">
        <v>1</v>
      </c>
      <c r="D1397" s="547" t="n">
        <f aca="false">E1397+F1397+G1397+H1397</f>
        <v>81</v>
      </c>
      <c r="E1397" s="547" t="n">
        <v>6</v>
      </c>
      <c r="F1397" s="912" t="n">
        <v>55</v>
      </c>
      <c r="G1397" s="912"/>
      <c r="H1397" s="1700" t="n">
        <v>20</v>
      </c>
      <c r="I1397" s="912"/>
      <c r="J1397" s="679"/>
      <c r="K1397" s="679"/>
    </row>
    <row r="1398" customFormat="false" ht="15" hidden="false" customHeight="true" outlineLevel="0" collapsed="false">
      <c r="A1398" s="327" t="s">
        <v>2367</v>
      </c>
      <c r="B1398" s="40" t="s">
        <v>3912</v>
      </c>
      <c r="C1398" s="912" t="n">
        <v>1</v>
      </c>
      <c r="D1398" s="547" t="n">
        <f aca="false">E1398+F1398+G1398+H1398</f>
        <v>88</v>
      </c>
      <c r="E1398" s="547" t="n">
        <v>15</v>
      </c>
      <c r="F1398" s="912" t="n">
        <v>53</v>
      </c>
      <c r="G1398" s="912"/>
      <c r="H1398" s="1700" t="n">
        <v>20</v>
      </c>
      <c r="I1398" s="912"/>
      <c r="J1398" s="679"/>
      <c r="K1398" s="679"/>
    </row>
    <row r="1399" customFormat="false" ht="15" hidden="false" customHeight="true" outlineLevel="0" collapsed="false">
      <c r="A1399" s="327" t="s">
        <v>2369</v>
      </c>
      <c r="B1399" s="40" t="s">
        <v>3913</v>
      </c>
      <c r="C1399" s="912" t="n">
        <v>1</v>
      </c>
      <c r="D1399" s="547" t="n">
        <f aca="false">E1399+F1399+G1399+H1399</f>
        <v>150</v>
      </c>
      <c r="E1399" s="547" t="n">
        <v>110</v>
      </c>
      <c r="F1399" s="912" t="n">
        <v>20</v>
      </c>
      <c r="G1399" s="912"/>
      <c r="H1399" s="1700" t="n">
        <v>20</v>
      </c>
      <c r="I1399" s="912"/>
      <c r="J1399" s="679"/>
      <c r="K1399" s="679"/>
    </row>
    <row r="1400" customFormat="false" ht="15" hidden="false" customHeight="false" outlineLevel="0" collapsed="false">
      <c r="A1400" s="388" t="s">
        <v>2371</v>
      </c>
      <c r="B1400" s="128" t="s">
        <v>3914</v>
      </c>
      <c r="C1400" s="1709"/>
      <c r="D1400" s="544"/>
      <c r="E1400" s="544"/>
      <c r="F1400" s="1709"/>
      <c r="G1400" s="1709"/>
      <c r="H1400" s="1709"/>
      <c r="I1400" s="541"/>
      <c r="J1400" s="600"/>
      <c r="K1400" s="600"/>
    </row>
    <row r="1401" customFormat="false" ht="16.5" hidden="false" customHeight="true" outlineLevel="0" collapsed="false">
      <c r="A1401" s="327" t="s">
        <v>2373</v>
      </c>
      <c r="B1401" s="40" t="s">
        <v>3915</v>
      </c>
      <c r="C1401" s="912" t="n">
        <v>1</v>
      </c>
      <c r="D1401" s="547" t="n">
        <f aca="false">E1401+F1401+G1401+H1401</f>
        <v>76</v>
      </c>
      <c r="E1401" s="547" t="n">
        <v>6</v>
      </c>
      <c r="F1401" s="912" t="n">
        <v>55</v>
      </c>
      <c r="G1401" s="912"/>
      <c r="H1401" s="1700" t="n">
        <v>15</v>
      </c>
      <c r="I1401" s="391"/>
      <c r="J1401" s="679"/>
      <c r="K1401" s="679"/>
    </row>
    <row r="1402" customFormat="false" ht="16.5" hidden="false" customHeight="true" outlineLevel="0" collapsed="false">
      <c r="A1402" s="327" t="s">
        <v>2375</v>
      </c>
      <c r="B1402" s="40" t="s">
        <v>3916</v>
      </c>
      <c r="C1402" s="912" t="n">
        <v>1</v>
      </c>
      <c r="D1402" s="547" t="n">
        <f aca="false">E1402+F1402+G1402+H1402</f>
        <v>83</v>
      </c>
      <c r="E1402" s="547" t="n">
        <v>15</v>
      </c>
      <c r="F1402" s="912" t="n">
        <v>53</v>
      </c>
      <c r="G1402" s="912"/>
      <c r="H1402" s="1700" t="n">
        <v>15</v>
      </c>
      <c r="I1402" s="912"/>
      <c r="J1402" s="679"/>
      <c r="K1402" s="679"/>
    </row>
    <row r="1403" customFormat="false" ht="16.5" hidden="false" customHeight="true" outlineLevel="0" collapsed="false">
      <c r="A1403" s="327" t="s">
        <v>2377</v>
      </c>
      <c r="B1403" s="40" t="s">
        <v>3917</v>
      </c>
      <c r="C1403" s="912" t="n">
        <v>1</v>
      </c>
      <c r="D1403" s="547" t="n">
        <f aca="false">E1403+F1403+G1403+H1403</f>
        <v>145</v>
      </c>
      <c r="E1403" s="547" t="n">
        <v>110</v>
      </c>
      <c r="F1403" s="912" t="n">
        <v>20</v>
      </c>
      <c r="G1403" s="912"/>
      <c r="H1403" s="1700" t="n">
        <v>15</v>
      </c>
      <c r="I1403" s="912"/>
      <c r="J1403" s="679"/>
      <c r="K1403" s="679"/>
    </row>
    <row r="1404" customFormat="false" ht="15" hidden="false" customHeight="false" outlineLevel="0" collapsed="false">
      <c r="A1404" s="388" t="s">
        <v>2379</v>
      </c>
      <c r="B1404" s="128" t="s">
        <v>3918</v>
      </c>
      <c r="C1404" s="1709"/>
      <c r="D1404" s="544"/>
      <c r="E1404" s="544"/>
      <c r="F1404" s="1709"/>
      <c r="G1404" s="1709"/>
      <c r="H1404" s="1709"/>
      <c r="I1404" s="541"/>
      <c r="J1404" s="600"/>
      <c r="K1404" s="600"/>
    </row>
    <row r="1405" customFormat="false" ht="14.25" hidden="false" customHeight="true" outlineLevel="0" collapsed="false">
      <c r="A1405" s="327" t="s">
        <v>2381</v>
      </c>
      <c r="B1405" s="40" t="s">
        <v>3919</v>
      </c>
      <c r="C1405" s="912" t="n">
        <v>1</v>
      </c>
      <c r="D1405" s="547" t="n">
        <f aca="false">E1405+F1405+G1405+H1405</f>
        <v>76</v>
      </c>
      <c r="E1405" s="547" t="n">
        <v>6</v>
      </c>
      <c r="F1405" s="912" t="n">
        <v>55</v>
      </c>
      <c r="G1405" s="912"/>
      <c r="H1405" s="1700" t="n">
        <v>15</v>
      </c>
      <c r="I1405" s="391"/>
      <c r="J1405" s="679"/>
      <c r="K1405" s="679"/>
    </row>
    <row r="1406" customFormat="false" ht="30" hidden="false" customHeight="false" outlineLevel="0" collapsed="false">
      <c r="A1406" s="327" t="s">
        <v>2383</v>
      </c>
      <c r="B1406" s="40" t="s">
        <v>3920</v>
      </c>
      <c r="C1406" s="912" t="n">
        <v>1</v>
      </c>
      <c r="D1406" s="547" t="n">
        <f aca="false">E1406+F1406+G1406+H1406</f>
        <v>83</v>
      </c>
      <c r="E1406" s="547" t="n">
        <v>15</v>
      </c>
      <c r="F1406" s="912" t="n">
        <v>53</v>
      </c>
      <c r="G1406" s="912"/>
      <c r="H1406" s="1700" t="n">
        <v>15</v>
      </c>
      <c r="I1406" s="912"/>
      <c r="J1406" s="679"/>
      <c r="K1406" s="679"/>
    </row>
    <row r="1407" customFormat="false" ht="20.25" hidden="false" customHeight="true" outlineLevel="0" collapsed="false">
      <c r="A1407" s="327" t="s">
        <v>2385</v>
      </c>
      <c r="B1407" s="40" t="s">
        <v>3921</v>
      </c>
      <c r="C1407" s="912" t="n">
        <v>1</v>
      </c>
      <c r="D1407" s="547" t="n">
        <f aca="false">E1407+F1407+G1407+H1407</f>
        <v>145</v>
      </c>
      <c r="E1407" s="547" t="n">
        <v>110</v>
      </c>
      <c r="F1407" s="912" t="n">
        <v>20</v>
      </c>
      <c r="G1407" s="912"/>
      <c r="H1407" s="1700" t="n">
        <v>15</v>
      </c>
      <c r="I1407" s="912"/>
      <c r="J1407" s="679"/>
      <c r="K1407" s="679"/>
    </row>
    <row r="1408" customFormat="false" ht="15" hidden="false" customHeight="false" outlineLevel="0" collapsed="false">
      <c r="A1408" s="388" t="s">
        <v>2387</v>
      </c>
      <c r="B1408" s="128" t="s">
        <v>3922</v>
      </c>
      <c r="C1408" s="1709"/>
      <c r="D1408" s="544"/>
      <c r="E1408" s="544"/>
      <c r="F1408" s="1709"/>
      <c r="G1408" s="1709"/>
      <c r="H1408" s="1709"/>
      <c r="I1408" s="541"/>
      <c r="J1408" s="600"/>
      <c r="K1408" s="600"/>
    </row>
    <row r="1409" customFormat="false" ht="30" hidden="false" customHeight="false" outlineLevel="0" collapsed="false">
      <c r="A1409" s="327" t="s">
        <v>2389</v>
      </c>
      <c r="B1409" s="40" t="s">
        <v>3923</v>
      </c>
      <c r="C1409" s="912" t="n">
        <v>1</v>
      </c>
      <c r="D1409" s="547" t="n">
        <f aca="false">E1409+F1409+G1409+H1409</f>
        <v>76</v>
      </c>
      <c r="E1409" s="547" t="n">
        <v>6</v>
      </c>
      <c r="F1409" s="912" t="n">
        <v>55</v>
      </c>
      <c r="G1409" s="912"/>
      <c r="H1409" s="1700" t="n">
        <v>15</v>
      </c>
      <c r="I1409" s="391"/>
      <c r="J1409" s="679"/>
      <c r="K1409" s="679"/>
    </row>
    <row r="1410" customFormat="false" ht="30" hidden="false" customHeight="false" outlineLevel="0" collapsed="false">
      <c r="A1410" s="327" t="s">
        <v>2391</v>
      </c>
      <c r="B1410" s="40" t="s">
        <v>3924</v>
      </c>
      <c r="C1410" s="912" t="n">
        <v>1</v>
      </c>
      <c r="D1410" s="547" t="n">
        <f aca="false">E1410+F1410+G1410+H1410</f>
        <v>145</v>
      </c>
      <c r="E1410" s="547" t="n">
        <v>110</v>
      </c>
      <c r="F1410" s="912" t="n">
        <v>20</v>
      </c>
      <c r="G1410" s="912"/>
      <c r="H1410" s="1700" t="n">
        <v>15</v>
      </c>
      <c r="I1410" s="912"/>
      <c r="J1410" s="679"/>
      <c r="K1410" s="679"/>
    </row>
    <row r="1411" customFormat="false" ht="15" hidden="false" customHeight="false" outlineLevel="0" collapsed="false">
      <c r="A1411" s="388" t="s">
        <v>2393</v>
      </c>
      <c r="B1411" s="128" t="s">
        <v>2394</v>
      </c>
      <c r="C1411" s="1718"/>
      <c r="D1411" s="1719"/>
      <c r="E1411" s="1719"/>
      <c r="F1411" s="1718"/>
      <c r="G1411" s="1718"/>
      <c r="H1411" s="1718"/>
      <c r="I1411" s="541"/>
      <c r="J1411" s="600"/>
      <c r="K1411" s="600"/>
    </row>
    <row r="1412" customFormat="false" ht="30" hidden="false" customHeight="false" outlineLevel="0" collapsed="false">
      <c r="A1412" s="327" t="s">
        <v>2395</v>
      </c>
      <c r="B1412" s="40" t="s">
        <v>3925</v>
      </c>
      <c r="C1412" s="912" t="n">
        <v>1</v>
      </c>
      <c r="D1412" s="547" t="n">
        <f aca="false">E1412+F1412+G1412+H1412</f>
        <v>145</v>
      </c>
      <c r="E1412" s="547" t="n">
        <v>110</v>
      </c>
      <c r="F1412" s="912" t="n">
        <v>20</v>
      </c>
      <c r="G1412" s="912"/>
      <c r="H1412" s="1700" t="n">
        <v>15</v>
      </c>
      <c r="I1412" s="912"/>
      <c r="J1412" s="679"/>
      <c r="K1412" s="679"/>
    </row>
    <row r="1413" customFormat="false" ht="15" hidden="false" customHeight="false" outlineLevel="0" collapsed="false">
      <c r="A1413" s="327" t="s">
        <v>2397</v>
      </c>
      <c r="B1413" s="40" t="s">
        <v>3926</v>
      </c>
      <c r="C1413" s="912" t="n">
        <v>1</v>
      </c>
      <c r="D1413" s="547" t="n">
        <f aca="false">E1413+F1413+G1413+H1413</f>
        <v>83</v>
      </c>
      <c r="E1413" s="547" t="n">
        <v>15</v>
      </c>
      <c r="F1413" s="912" t="n">
        <v>53</v>
      </c>
      <c r="G1413" s="912"/>
      <c r="H1413" s="1700" t="n">
        <v>15</v>
      </c>
      <c r="I1413" s="912"/>
      <c r="J1413" s="679"/>
      <c r="K1413" s="679"/>
    </row>
    <row r="1414" customFormat="false" ht="15" hidden="false" customHeight="false" outlineLevel="0" collapsed="false">
      <c r="A1414" s="388" t="s">
        <v>2399</v>
      </c>
      <c r="B1414" s="132" t="s">
        <v>3927</v>
      </c>
      <c r="C1414" s="1710"/>
      <c r="D1414" s="1711"/>
      <c r="E1414" s="1711"/>
      <c r="F1414" s="1710"/>
      <c r="G1414" s="1710"/>
      <c r="H1414" s="1710"/>
      <c r="I1414" s="541"/>
      <c r="J1414" s="600"/>
      <c r="K1414" s="600"/>
    </row>
    <row r="1415" customFormat="false" ht="30" hidden="false" customHeight="false" outlineLevel="0" collapsed="false">
      <c r="A1415" s="390" t="s">
        <v>2401</v>
      </c>
      <c r="B1415" s="29" t="s">
        <v>3928</v>
      </c>
      <c r="C1415" s="912" t="n">
        <v>1</v>
      </c>
      <c r="D1415" s="547" t="n">
        <f aca="false">E1415+F1415+G1415+H1415</f>
        <v>76</v>
      </c>
      <c r="E1415" s="547" t="n">
        <v>6</v>
      </c>
      <c r="F1415" s="912" t="n">
        <v>55</v>
      </c>
      <c r="G1415" s="912"/>
      <c r="H1415" s="1700" t="n">
        <v>15</v>
      </c>
      <c r="I1415" s="391"/>
      <c r="J1415" s="679"/>
      <c r="K1415" s="679"/>
    </row>
    <row r="1416" s="311" customFormat="true" ht="15.75" hidden="false" customHeight="true" outlineLevel="0" collapsed="false">
      <c r="A1416" s="390" t="s">
        <v>2403</v>
      </c>
      <c r="B1416" s="29" t="s">
        <v>3929</v>
      </c>
      <c r="C1416" s="912" t="n">
        <v>1</v>
      </c>
      <c r="D1416" s="547" t="n">
        <f aca="false">E1416+F1416+G1416+H1416</f>
        <v>145</v>
      </c>
      <c r="E1416" s="547" t="n">
        <v>110</v>
      </c>
      <c r="F1416" s="912" t="n">
        <v>20</v>
      </c>
      <c r="G1416" s="912"/>
      <c r="H1416" s="1700" t="n">
        <v>15</v>
      </c>
      <c r="I1416" s="912"/>
      <c r="J1416" s="679"/>
      <c r="K1416" s="679"/>
    </row>
    <row r="1417" s="311" customFormat="true" ht="15.75" hidden="false" customHeight="true" outlineLevel="0" collapsed="false">
      <c r="A1417" s="390" t="s">
        <v>2405</v>
      </c>
      <c r="B1417" s="29" t="s">
        <v>3930</v>
      </c>
      <c r="C1417" s="912" t="n">
        <v>1</v>
      </c>
      <c r="D1417" s="547" t="n">
        <f aca="false">E1417+F1417+G1417+H1417</f>
        <v>83</v>
      </c>
      <c r="E1417" s="547" t="n">
        <v>15</v>
      </c>
      <c r="F1417" s="912" t="n">
        <v>53</v>
      </c>
      <c r="G1417" s="912"/>
      <c r="H1417" s="1700" t="n">
        <v>15</v>
      </c>
      <c r="I1417" s="912"/>
      <c r="J1417" s="679"/>
      <c r="K1417" s="679"/>
    </row>
    <row r="1418" s="311" customFormat="true" ht="15.75" hidden="false" customHeight="true" outlineLevel="0" collapsed="false">
      <c r="A1418" s="388" t="s">
        <v>2407</v>
      </c>
      <c r="B1418" s="128" t="s">
        <v>2408</v>
      </c>
      <c r="C1418" s="1709"/>
      <c r="D1418" s="544"/>
      <c r="E1418" s="544"/>
      <c r="F1418" s="1709"/>
      <c r="G1418" s="1709"/>
      <c r="H1418" s="1709"/>
      <c r="I1418" s="339"/>
      <c r="J1418" s="600"/>
      <c r="K1418" s="600"/>
    </row>
    <row r="1419" customFormat="false" ht="30" hidden="false" customHeight="false" outlineLevel="0" collapsed="false">
      <c r="A1419" s="327" t="s">
        <v>2409</v>
      </c>
      <c r="B1419" s="40" t="s">
        <v>3931</v>
      </c>
      <c r="C1419" s="912" t="n">
        <v>1</v>
      </c>
      <c r="D1419" s="547" t="n">
        <f aca="false">E1419+F1419+G1419+H1419</f>
        <v>128</v>
      </c>
      <c r="E1419" s="547" t="n">
        <v>60</v>
      </c>
      <c r="F1419" s="912" t="n">
        <v>53</v>
      </c>
      <c r="G1419" s="912"/>
      <c r="H1419" s="1700" t="n">
        <v>15</v>
      </c>
      <c r="I1419" s="391"/>
      <c r="J1419" s="679"/>
      <c r="K1419" s="679"/>
    </row>
    <row r="1420" customFormat="false" ht="14.25" hidden="false" customHeight="true" outlineLevel="0" collapsed="false">
      <c r="A1420" s="327" t="s">
        <v>2411</v>
      </c>
      <c r="B1420" s="40" t="s">
        <v>3932</v>
      </c>
      <c r="C1420" s="912" t="n">
        <v>1</v>
      </c>
      <c r="D1420" s="547" t="n">
        <f aca="false">E1420+F1420+G1420+H1420</f>
        <v>128</v>
      </c>
      <c r="E1420" s="547" t="n">
        <v>60</v>
      </c>
      <c r="F1420" s="912" t="n">
        <v>53</v>
      </c>
      <c r="G1420" s="391"/>
      <c r="H1420" s="1700" t="n">
        <v>15</v>
      </c>
      <c r="I1420" s="912"/>
      <c r="J1420" s="679"/>
      <c r="K1420" s="679"/>
    </row>
    <row r="1421" customFormat="false" ht="28.5" hidden="false" customHeight="false" outlineLevel="0" collapsed="false">
      <c r="A1421" s="388" t="s">
        <v>2413</v>
      </c>
      <c r="B1421" s="128" t="s">
        <v>3933</v>
      </c>
      <c r="C1421" s="1709"/>
      <c r="D1421" s="544"/>
      <c r="E1421" s="544"/>
      <c r="F1421" s="1709"/>
      <c r="G1421" s="1709"/>
      <c r="H1421" s="1709"/>
      <c r="I1421" s="339"/>
      <c r="J1421" s="600"/>
      <c r="K1421" s="600"/>
    </row>
    <row r="1422" customFormat="false" ht="30" hidden="false" customHeight="false" outlineLevel="0" collapsed="false">
      <c r="A1422" s="327" t="s">
        <v>2415</v>
      </c>
      <c r="B1422" s="40" t="s">
        <v>3934</v>
      </c>
      <c r="C1422" s="912" t="n">
        <v>1</v>
      </c>
      <c r="D1422" s="547" t="n">
        <f aca="false">E1422+F1422+G1422+H1422</f>
        <v>145</v>
      </c>
      <c r="E1422" s="547" t="n">
        <v>110</v>
      </c>
      <c r="F1422" s="912" t="n">
        <v>20</v>
      </c>
      <c r="G1422" s="912"/>
      <c r="H1422" s="1700" t="n">
        <v>15</v>
      </c>
      <c r="I1422" s="391"/>
      <c r="J1422" s="679"/>
      <c r="K1422" s="679"/>
    </row>
    <row r="1423" customFormat="false" ht="14.25" hidden="false" customHeight="true" outlineLevel="0" collapsed="false">
      <c r="A1423" s="327" t="s">
        <v>2417</v>
      </c>
      <c r="B1423" s="134" t="s">
        <v>3935</v>
      </c>
      <c r="C1423" s="912" t="n">
        <v>1</v>
      </c>
      <c r="D1423" s="547" t="n">
        <f aca="false">E1423+F1423+G1423+H1423</f>
        <v>151</v>
      </c>
      <c r="E1423" s="547" t="n">
        <v>30</v>
      </c>
      <c r="F1423" s="912" t="n">
        <v>106</v>
      </c>
      <c r="G1423" s="912"/>
      <c r="H1423" s="1700" t="n">
        <v>15</v>
      </c>
      <c r="I1423" s="391"/>
      <c r="J1423" s="679"/>
      <c r="K1423" s="679"/>
    </row>
    <row r="1424" customFormat="false" ht="28.5" hidden="false" customHeight="false" outlineLevel="0" collapsed="false">
      <c r="A1424" s="388" t="s">
        <v>2419</v>
      </c>
      <c r="B1424" s="128" t="s">
        <v>3936</v>
      </c>
      <c r="C1424" s="1709"/>
      <c r="D1424" s="544"/>
      <c r="E1424" s="544"/>
      <c r="F1424" s="1709"/>
      <c r="G1424" s="1709"/>
      <c r="H1424" s="1709"/>
      <c r="I1424" s="541"/>
      <c r="J1424" s="600"/>
      <c r="K1424" s="600"/>
    </row>
    <row r="1425" customFormat="false" ht="30" hidden="false" customHeight="false" outlineLevel="0" collapsed="false">
      <c r="A1425" s="327" t="s">
        <v>2421</v>
      </c>
      <c r="B1425" s="40" t="s">
        <v>3937</v>
      </c>
      <c r="C1425" s="912" t="n">
        <v>1</v>
      </c>
      <c r="D1425" s="547" t="n">
        <f aca="false">E1425+F1425+G1425+H1425</f>
        <v>145</v>
      </c>
      <c r="E1425" s="547" t="n">
        <v>110</v>
      </c>
      <c r="F1425" s="912" t="n">
        <v>20</v>
      </c>
      <c r="G1425" s="391"/>
      <c r="H1425" s="1700" t="n">
        <v>15</v>
      </c>
      <c r="I1425" s="391"/>
      <c r="J1425" s="679"/>
      <c r="K1425" s="679"/>
    </row>
    <row r="1426" customFormat="false" ht="15" hidden="false" customHeight="false" outlineLevel="0" collapsed="false">
      <c r="A1426" s="327" t="s">
        <v>2423</v>
      </c>
      <c r="B1426" s="40" t="s">
        <v>3938</v>
      </c>
      <c r="C1426" s="912" t="n">
        <v>1</v>
      </c>
      <c r="D1426" s="547" t="n">
        <f aca="false">E1426+F1426+G1426+H1426</f>
        <v>83</v>
      </c>
      <c r="E1426" s="547" t="n">
        <v>15</v>
      </c>
      <c r="F1426" s="912" t="n">
        <v>53</v>
      </c>
      <c r="G1426" s="391"/>
      <c r="H1426" s="1700" t="n">
        <v>15</v>
      </c>
      <c r="I1426" s="391"/>
      <c r="J1426" s="679"/>
      <c r="K1426" s="679"/>
    </row>
    <row r="1427" customFormat="false" ht="15" hidden="false" customHeight="false" outlineLevel="0" collapsed="false">
      <c r="A1427" s="327" t="s">
        <v>2425</v>
      </c>
      <c r="B1427" s="40" t="s">
        <v>3939</v>
      </c>
      <c r="C1427" s="912" t="n">
        <v>1</v>
      </c>
      <c r="D1427" s="547" t="n">
        <f aca="false">E1427+F1427+G1427+H1427</f>
        <v>93</v>
      </c>
      <c r="E1427" s="547" t="n">
        <v>15</v>
      </c>
      <c r="F1427" s="912" t="n">
        <v>63</v>
      </c>
      <c r="G1427" s="912"/>
      <c r="H1427" s="1700" t="n">
        <v>15</v>
      </c>
      <c r="I1427" s="391"/>
      <c r="J1427" s="679"/>
      <c r="K1427" s="679"/>
    </row>
    <row r="1428" customFormat="false" ht="15" hidden="false" customHeight="false" outlineLevel="0" collapsed="false">
      <c r="A1428" s="388" t="s">
        <v>2427</v>
      </c>
      <c r="B1428" s="128" t="s">
        <v>3940</v>
      </c>
      <c r="C1428" s="1709"/>
      <c r="D1428" s="544"/>
      <c r="E1428" s="544"/>
      <c r="F1428" s="1709"/>
      <c r="G1428" s="1709"/>
      <c r="H1428" s="1709"/>
      <c r="I1428" s="339"/>
      <c r="J1428" s="600"/>
      <c r="K1428" s="600"/>
    </row>
    <row r="1429" customFormat="false" ht="30" hidden="false" customHeight="false" outlineLevel="0" collapsed="false">
      <c r="A1429" s="327" t="s">
        <v>2429</v>
      </c>
      <c r="B1429" s="40" t="s">
        <v>3941</v>
      </c>
      <c r="C1429" s="912" t="n">
        <v>1</v>
      </c>
      <c r="D1429" s="547" t="n">
        <f aca="false">E1429+F1429+G1429+H1429</f>
        <v>140</v>
      </c>
      <c r="E1429" s="547" t="n">
        <v>110</v>
      </c>
      <c r="F1429" s="912" t="n">
        <v>20</v>
      </c>
      <c r="G1429" s="391"/>
      <c r="H1429" s="1700" t="n">
        <v>10</v>
      </c>
      <c r="I1429" s="391"/>
      <c r="J1429" s="679"/>
      <c r="K1429" s="679"/>
    </row>
    <row r="1430" customFormat="false" ht="15" hidden="false" customHeight="false" outlineLevel="0" collapsed="false">
      <c r="A1430" s="327" t="s">
        <v>2431</v>
      </c>
      <c r="B1430" s="40" t="s">
        <v>3942</v>
      </c>
      <c r="C1430" s="912" t="n">
        <v>1</v>
      </c>
      <c r="D1430" s="547" t="n">
        <f aca="false">E1430+F1430+G1430+H1430</f>
        <v>78</v>
      </c>
      <c r="E1430" s="547" t="n">
        <v>15</v>
      </c>
      <c r="F1430" s="912" t="n">
        <v>53</v>
      </c>
      <c r="G1430" s="391"/>
      <c r="H1430" s="1700" t="n">
        <v>10</v>
      </c>
      <c r="I1430" s="912"/>
      <c r="J1430" s="679"/>
      <c r="K1430" s="679"/>
    </row>
    <row r="1431" customFormat="false" ht="15" hidden="false" customHeight="false" outlineLevel="0" collapsed="false">
      <c r="A1431" s="350" t="s">
        <v>2433</v>
      </c>
      <c r="B1431" s="16" t="s">
        <v>3943</v>
      </c>
      <c r="C1431" s="541"/>
      <c r="D1431" s="712"/>
      <c r="E1431" s="712"/>
      <c r="F1431" s="541"/>
      <c r="G1431" s="339"/>
      <c r="H1431" s="1720"/>
      <c r="I1431" s="541"/>
      <c r="J1431" s="600"/>
      <c r="K1431" s="600"/>
    </row>
    <row r="1432" customFormat="false" ht="30" hidden="false" customHeight="false" outlineLevel="0" collapsed="false">
      <c r="A1432" s="327" t="s">
        <v>2435</v>
      </c>
      <c r="B1432" s="29" t="s">
        <v>3944</v>
      </c>
      <c r="C1432" s="912" t="n">
        <v>1</v>
      </c>
      <c r="D1432" s="547" t="n">
        <f aca="false">E1432+F1432+G1432+H1432</f>
        <v>140</v>
      </c>
      <c r="E1432" s="547" t="n">
        <v>110</v>
      </c>
      <c r="F1432" s="912" t="n">
        <v>20</v>
      </c>
      <c r="G1432" s="391"/>
      <c r="H1432" s="1700" t="n">
        <v>10</v>
      </c>
      <c r="I1432" s="912"/>
      <c r="J1432" s="679"/>
      <c r="K1432" s="679"/>
    </row>
    <row r="1433" s="311" customFormat="true" ht="15" hidden="false" customHeight="false" outlineLevel="0" collapsed="false">
      <c r="A1433" s="327" t="s">
        <v>2437</v>
      </c>
      <c r="B1433" s="29" t="s">
        <v>3945</v>
      </c>
      <c r="C1433" s="912" t="n">
        <v>1</v>
      </c>
      <c r="D1433" s="547" t="n">
        <f aca="false">E1433+F1433+G1433+H1433</f>
        <v>78</v>
      </c>
      <c r="E1433" s="547" t="n">
        <v>15</v>
      </c>
      <c r="F1433" s="912" t="n">
        <v>53</v>
      </c>
      <c r="G1433" s="391"/>
      <c r="H1433" s="1700" t="n">
        <v>10</v>
      </c>
      <c r="I1433" s="912"/>
      <c r="J1433" s="679"/>
      <c r="K1433" s="679"/>
    </row>
    <row r="1434" s="311" customFormat="true" ht="15" hidden="false" customHeight="false" outlineLevel="0" collapsed="false">
      <c r="A1434" s="350" t="s">
        <v>2439</v>
      </c>
      <c r="B1434" s="16" t="s">
        <v>3946</v>
      </c>
      <c r="C1434" s="541"/>
      <c r="D1434" s="712"/>
      <c r="E1434" s="712"/>
      <c r="F1434" s="541"/>
      <c r="G1434" s="339"/>
      <c r="H1434" s="1720"/>
      <c r="I1434" s="541"/>
      <c r="J1434" s="600"/>
      <c r="K1434" s="600"/>
    </row>
    <row r="1435" s="311" customFormat="true" ht="30" hidden="false" customHeight="false" outlineLevel="0" collapsed="false">
      <c r="A1435" s="327" t="s">
        <v>2441</v>
      </c>
      <c r="B1435" s="29" t="s">
        <v>3947</v>
      </c>
      <c r="C1435" s="912" t="n">
        <v>1</v>
      </c>
      <c r="D1435" s="547" t="n">
        <f aca="false">E1435+F1435+G1435+H1435</f>
        <v>140</v>
      </c>
      <c r="E1435" s="547" t="n">
        <v>110</v>
      </c>
      <c r="F1435" s="912" t="n">
        <v>20</v>
      </c>
      <c r="G1435" s="391"/>
      <c r="H1435" s="1700" t="n">
        <v>10</v>
      </c>
      <c r="I1435" s="912"/>
      <c r="J1435" s="679"/>
      <c r="K1435" s="679"/>
    </row>
    <row r="1436" s="311" customFormat="true" ht="15" hidden="false" customHeight="false" outlineLevel="0" collapsed="false">
      <c r="A1436" s="327" t="s">
        <v>2443</v>
      </c>
      <c r="B1436" s="29" t="s">
        <v>3948</v>
      </c>
      <c r="C1436" s="912" t="n">
        <v>1</v>
      </c>
      <c r="D1436" s="547" t="n">
        <f aca="false">E1436+F1436+G1436+H1436</f>
        <v>78</v>
      </c>
      <c r="E1436" s="547" t="n">
        <v>15</v>
      </c>
      <c r="F1436" s="912" t="n">
        <v>53</v>
      </c>
      <c r="G1436" s="391"/>
      <c r="H1436" s="1700" t="n">
        <v>10</v>
      </c>
      <c r="I1436" s="912"/>
      <c r="J1436" s="679"/>
      <c r="K1436" s="679"/>
    </row>
    <row r="1437" s="311" customFormat="true" ht="15" hidden="false" customHeight="false" outlineLevel="0" collapsed="false">
      <c r="A1437" s="350" t="s">
        <v>2445</v>
      </c>
      <c r="B1437" s="16" t="s">
        <v>3949</v>
      </c>
      <c r="C1437" s="541"/>
      <c r="D1437" s="712"/>
      <c r="E1437" s="712"/>
      <c r="F1437" s="541"/>
      <c r="G1437" s="339"/>
      <c r="H1437" s="1720"/>
      <c r="I1437" s="541"/>
      <c r="J1437" s="600"/>
      <c r="K1437" s="600"/>
    </row>
    <row r="1438" s="311" customFormat="true" ht="30" hidden="false" customHeight="false" outlineLevel="0" collapsed="false">
      <c r="A1438" s="327" t="s">
        <v>2447</v>
      </c>
      <c r="B1438" s="29" t="s">
        <v>3950</v>
      </c>
      <c r="C1438" s="912" t="n">
        <v>1</v>
      </c>
      <c r="D1438" s="547" t="n">
        <f aca="false">E1438+F1438+G1438+H1438</f>
        <v>140</v>
      </c>
      <c r="E1438" s="547" t="n">
        <v>110</v>
      </c>
      <c r="F1438" s="912" t="n">
        <v>20</v>
      </c>
      <c r="G1438" s="391"/>
      <c r="H1438" s="1700" t="n">
        <v>10</v>
      </c>
      <c r="I1438" s="912"/>
      <c r="J1438" s="679"/>
      <c r="K1438" s="679"/>
    </row>
    <row r="1439" s="311" customFormat="true" ht="15" hidden="false" customHeight="false" outlineLevel="0" collapsed="false">
      <c r="A1439" s="327" t="s">
        <v>2449</v>
      </c>
      <c r="B1439" s="29" t="s">
        <v>3951</v>
      </c>
      <c r="C1439" s="912" t="n">
        <v>1</v>
      </c>
      <c r="D1439" s="547" t="n">
        <f aca="false">E1439+F1439+G1439+H1439</f>
        <v>78</v>
      </c>
      <c r="E1439" s="547" t="n">
        <v>15</v>
      </c>
      <c r="F1439" s="912" t="n">
        <v>53</v>
      </c>
      <c r="G1439" s="391"/>
      <c r="H1439" s="1700" t="n">
        <v>10</v>
      </c>
      <c r="I1439" s="912"/>
      <c r="J1439" s="679"/>
      <c r="K1439" s="679"/>
    </row>
    <row r="1440" s="311" customFormat="true" ht="15" hidden="false" customHeight="false" outlineLevel="0" collapsed="false">
      <c r="A1440" s="350" t="s">
        <v>2451</v>
      </c>
      <c r="B1440" s="16" t="s">
        <v>3952</v>
      </c>
      <c r="C1440" s="541"/>
      <c r="D1440" s="712"/>
      <c r="E1440" s="712"/>
      <c r="F1440" s="541"/>
      <c r="G1440" s="339"/>
      <c r="H1440" s="1720"/>
      <c r="I1440" s="541"/>
      <c r="J1440" s="600"/>
      <c r="K1440" s="600"/>
    </row>
    <row r="1441" s="311" customFormat="true" ht="30" hidden="false" customHeight="false" outlineLevel="0" collapsed="false">
      <c r="A1441" s="327" t="s">
        <v>2453</v>
      </c>
      <c r="B1441" s="29" t="s">
        <v>3953</v>
      </c>
      <c r="C1441" s="912" t="n">
        <v>1</v>
      </c>
      <c r="D1441" s="547" t="n">
        <f aca="false">E1441+F1441+G1441+H1441</f>
        <v>140</v>
      </c>
      <c r="E1441" s="547" t="n">
        <v>110</v>
      </c>
      <c r="F1441" s="912" t="n">
        <v>20</v>
      </c>
      <c r="G1441" s="391"/>
      <c r="H1441" s="1700" t="n">
        <v>10</v>
      </c>
      <c r="I1441" s="912"/>
      <c r="J1441" s="679"/>
      <c r="K1441" s="679"/>
    </row>
    <row r="1442" s="311" customFormat="true" ht="15" hidden="false" customHeight="false" outlineLevel="0" collapsed="false">
      <c r="A1442" s="327" t="s">
        <v>2455</v>
      </c>
      <c r="B1442" s="29" t="s">
        <v>3954</v>
      </c>
      <c r="C1442" s="912" t="n">
        <v>1</v>
      </c>
      <c r="D1442" s="547" t="n">
        <f aca="false">E1442+F1442+G1442+H1442</f>
        <v>68</v>
      </c>
      <c r="E1442" s="547" t="n">
        <v>5</v>
      </c>
      <c r="F1442" s="912" t="n">
        <v>53</v>
      </c>
      <c r="G1442" s="391"/>
      <c r="H1442" s="1700" t="n">
        <v>10</v>
      </c>
      <c r="I1442" s="912"/>
      <c r="J1442" s="679"/>
      <c r="K1442" s="679"/>
    </row>
    <row r="1443" s="311" customFormat="true" ht="15" hidden="false" customHeight="false" outlineLevel="0" collapsed="false">
      <c r="A1443" s="388" t="s">
        <v>2457</v>
      </c>
      <c r="B1443" s="128" t="s">
        <v>2458</v>
      </c>
      <c r="C1443" s="1709"/>
      <c r="D1443" s="544"/>
      <c r="E1443" s="544"/>
      <c r="F1443" s="1709"/>
      <c r="G1443" s="1709"/>
      <c r="H1443" s="1709"/>
      <c r="I1443" s="339"/>
      <c r="J1443" s="600"/>
      <c r="K1443" s="600"/>
    </row>
    <row r="1444" s="311" customFormat="true" ht="30" hidden="false" customHeight="false" outlineLevel="0" collapsed="false">
      <c r="A1444" s="327" t="s">
        <v>2459</v>
      </c>
      <c r="B1444" s="40" t="s">
        <v>3955</v>
      </c>
      <c r="C1444" s="912" t="n">
        <v>1</v>
      </c>
      <c r="D1444" s="547" t="n">
        <f aca="false">E1444+F1444+G1444+H1444</f>
        <v>140</v>
      </c>
      <c r="E1444" s="547" t="n">
        <v>110</v>
      </c>
      <c r="F1444" s="912" t="n">
        <v>20</v>
      </c>
      <c r="G1444" s="391"/>
      <c r="H1444" s="1700" t="n">
        <v>10</v>
      </c>
      <c r="I1444" s="912"/>
      <c r="J1444" s="679"/>
      <c r="K1444" s="679"/>
    </row>
    <row r="1445" customFormat="false" ht="35.25" hidden="false" customHeight="true" outlineLevel="0" collapsed="false">
      <c r="A1445" s="327" t="s">
        <v>2461</v>
      </c>
      <c r="B1445" s="40" t="s">
        <v>3956</v>
      </c>
      <c r="C1445" s="912" t="n">
        <v>1</v>
      </c>
      <c r="D1445" s="547" t="n">
        <f aca="false">E1445+F1445+G1445+H1445</f>
        <v>134</v>
      </c>
      <c r="E1445" s="547" t="n">
        <v>61</v>
      </c>
      <c r="F1445" s="912" t="n">
        <v>63</v>
      </c>
      <c r="G1445" s="912"/>
      <c r="H1445" s="1700" t="n">
        <v>10</v>
      </c>
      <c r="I1445" s="912"/>
      <c r="J1445" s="679"/>
      <c r="K1445" s="679"/>
    </row>
    <row r="1446" customFormat="false" ht="15" hidden="false" customHeight="false" outlineLevel="0" collapsed="false">
      <c r="A1446" s="388" t="s">
        <v>2463</v>
      </c>
      <c r="B1446" s="128" t="s">
        <v>3957</v>
      </c>
      <c r="C1446" s="1709"/>
      <c r="D1446" s="544"/>
      <c r="E1446" s="544"/>
      <c r="F1446" s="1709"/>
      <c r="G1446" s="1709"/>
      <c r="H1446" s="1709"/>
      <c r="I1446" s="339"/>
      <c r="J1446" s="600"/>
      <c r="K1446" s="600"/>
    </row>
    <row r="1447" customFormat="false" ht="30" hidden="false" customHeight="false" outlineLevel="0" collapsed="false">
      <c r="A1447" s="327" t="s">
        <v>2465</v>
      </c>
      <c r="B1447" s="40" t="s">
        <v>3958</v>
      </c>
      <c r="C1447" s="912" t="n">
        <v>1</v>
      </c>
      <c r="D1447" s="547" t="n">
        <f aca="false">E1447+F1447+G1447+H1447</f>
        <v>140</v>
      </c>
      <c r="E1447" s="547" t="n">
        <v>110</v>
      </c>
      <c r="F1447" s="912" t="n">
        <v>20</v>
      </c>
      <c r="G1447" s="912"/>
      <c r="H1447" s="1700" t="n">
        <v>10</v>
      </c>
      <c r="I1447" s="912"/>
      <c r="J1447" s="679"/>
      <c r="K1447" s="679"/>
    </row>
    <row r="1448" customFormat="false" ht="23.25" hidden="false" customHeight="true" outlineLevel="0" collapsed="false">
      <c r="A1448" s="327" t="s">
        <v>2467</v>
      </c>
      <c r="B1448" s="40" t="s">
        <v>3959</v>
      </c>
      <c r="C1448" s="912" t="n">
        <v>1</v>
      </c>
      <c r="D1448" s="547" t="n">
        <f aca="false">E1448+F1448+G1448+H1448</f>
        <v>134</v>
      </c>
      <c r="E1448" s="547" t="n">
        <v>61</v>
      </c>
      <c r="F1448" s="912" t="n">
        <v>63</v>
      </c>
      <c r="G1448" s="912"/>
      <c r="H1448" s="1700" t="n">
        <v>10</v>
      </c>
      <c r="I1448" s="912"/>
      <c r="J1448" s="679"/>
      <c r="K1448" s="679"/>
    </row>
    <row r="1449" customFormat="false" ht="15" hidden="false" customHeight="false" outlineLevel="0" collapsed="false">
      <c r="A1449" s="388" t="s">
        <v>2469</v>
      </c>
      <c r="B1449" s="16" t="s">
        <v>3960</v>
      </c>
      <c r="C1449" s="541"/>
      <c r="D1449" s="712"/>
      <c r="E1449" s="712"/>
      <c r="F1449" s="541"/>
      <c r="G1449" s="541"/>
      <c r="H1449" s="1720"/>
      <c r="I1449" s="541"/>
      <c r="J1449" s="600"/>
      <c r="K1449" s="600"/>
    </row>
    <row r="1450" customFormat="false" ht="24.75" hidden="false" customHeight="true" outlineLevel="0" collapsed="false">
      <c r="A1450" s="390" t="s">
        <v>2471</v>
      </c>
      <c r="B1450" s="29" t="s">
        <v>3961</v>
      </c>
      <c r="C1450" s="912" t="n">
        <v>1</v>
      </c>
      <c r="D1450" s="547" t="n">
        <f aca="false">E1450+F1450+G1450+H1450</f>
        <v>140</v>
      </c>
      <c r="E1450" s="547" t="n">
        <v>110</v>
      </c>
      <c r="F1450" s="912" t="n">
        <v>20</v>
      </c>
      <c r="G1450" s="912"/>
      <c r="H1450" s="1700" t="n">
        <v>10</v>
      </c>
      <c r="I1450" s="912"/>
      <c r="J1450" s="679"/>
      <c r="K1450" s="679"/>
    </row>
    <row r="1451" s="311" customFormat="true" ht="30" hidden="false" customHeight="false" outlineLevel="0" collapsed="false">
      <c r="A1451" s="390" t="s">
        <v>2473</v>
      </c>
      <c r="B1451" s="29" t="s">
        <v>3962</v>
      </c>
      <c r="C1451" s="912" t="n">
        <v>1</v>
      </c>
      <c r="D1451" s="547" t="n">
        <f aca="false">E1451+F1451+G1451+H1451</f>
        <v>134</v>
      </c>
      <c r="E1451" s="547" t="n">
        <v>61</v>
      </c>
      <c r="F1451" s="912" t="n">
        <v>63</v>
      </c>
      <c r="G1451" s="912"/>
      <c r="H1451" s="1700" t="n">
        <v>10</v>
      </c>
      <c r="I1451" s="912"/>
      <c r="J1451" s="679"/>
      <c r="K1451" s="679"/>
    </row>
    <row r="1452" s="311" customFormat="true" ht="15" hidden="false" customHeight="false" outlineLevel="0" collapsed="false">
      <c r="A1452" s="388" t="s">
        <v>2475</v>
      </c>
      <c r="B1452" s="128" t="s">
        <v>3963</v>
      </c>
      <c r="C1452" s="1709"/>
      <c r="D1452" s="544"/>
      <c r="E1452" s="544"/>
      <c r="F1452" s="1709"/>
      <c r="G1452" s="1709"/>
      <c r="H1452" s="1709"/>
      <c r="I1452" s="541"/>
      <c r="J1452" s="600"/>
      <c r="K1452" s="600"/>
    </row>
    <row r="1453" s="311" customFormat="true" ht="30" hidden="false" customHeight="false" outlineLevel="0" collapsed="false">
      <c r="A1453" s="391" t="s">
        <v>2477</v>
      </c>
      <c r="B1453" s="29" t="s">
        <v>3964</v>
      </c>
      <c r="C1453" s="912" t="n">
        <v>1</v>
      </c>
      <c r="D1453" s="547" t="n">
        <f aca="false">E1453+F1453+G1453+H1453</f>
        <v>360</v>
      </c>
      <c r="E1453" s="547" t="n">
        <v>240</v>
      </c>
      <c r="F1453" s="912" t="n">
        <v>60</v>
      </c>
      <c r="G1453" s="912"/>
      <c r="H1453" s="1700" t="n">
        <v>60</v>
      </c>
      <c r="I1453" s="912"/>
      <c r="J1453" s="679"/>
      <c r="K1453" s="679"/>
    </row>
    <row r="1454" s="311" customFormat="true" ht="30" hidden="false" customHeight="false" outlineLevel="0" collapsed="false">
      <c r="A1454" s="391" t="s">
        <v>2479</v>
      </c>
      <c r="B1454" s="29" t="s">
        <v>3965</v>
      </c>
      <c r="C1454" s="912" t="n">
        <v>1</v>
      </c>
      <c r="D1454" s="547" t="n">
        <f aca="false">E1454+F1454+G1454+H1454</f>
        <v>360</v>
      </c>
      <c r="E1454" s="547" t="n">
        <v>240</v>
      </c>
      <c r="F1454" s="912" t="n">
        <v>60</v>
      </c>
      <c r="G1454" s="912"/>
      <c r="H1454" s="1700" t="n">
        <v>60</v>
      </c>
      <c r="I1454" s="912"/>
      <c r="J1454" s="679"/>
      <c r="K1454" s="679"/>
    </row>
    <row r="1455" s="311" customFormat="true" ht="45" hidden="false" customHeight="false" outlineLevel="0" collapsed="false">
      <c r="A1455" s="391" t="s">
        <v>2481</v>
      </c>
      <c r="B1455" s="29" t="s">
        <v>3966</v>
      </c>
      <c r="C1455" s="912" t="n">
        <v>1</v>
      </c>
      <c r="D1455" s="547" t="n">
        <f aca="false">E1455+F1455+G1455+H1455</f>
        <v>360</v>
      </c>
      <c r="E1455" s="547" t="n">
        <v>240</v>
      </c>
      <c r="F1455" s="912" t="n">
        <v>60</v>
      </c>
      <c r="G1455" s="912"/>
      <c r="H1455" s="1700" t="n">
        <v>60</v>
      </c>
      <c r="I1455" s="391"/>
      <c r="J1455" s="679"/>
      <c r="K1455" s="679"/>
    </row>
    <row r="1456" s="311" customFormat="true" ht="30" hidden="false" customHeight="false" outlineLevel="0" collapsed="false">
      <c r="A1456" s="392" t="s">
        <v>2483</v>
      </c>
      <c r="B1456" s="47" t="s">
        <v>3967</v>
      </c>
      <c r="C1456" s="569" t="n">
        <v>1</v>
      </c>
      <c r="D1456" s="1105" t="n">
        <f aca="false">E1456+F1456+G1456+H1456</f>
        <v>360</v>
      </c>
      <c r="E1456" s="1105" t="n">
        <v>240</v>
      </c>
      <c r="F1456" s="569" t="n">
        <v>60</v>
      </c>
      <c r="G1456" s="569"/>
      <c r="H1456" s="1701" t="n">
        <v>60</v>
      </c>
      <c r="I1456" s="569"/>
      <c r="J1456" s="679"/>
      <c r="K1456" s="679"/>
    </row>
    <row r="1457" customFormat="false" ht="30" hidden="false" customHeight="false" outlineLevel="0" collapsed="false">
      <c r="A1457" s="392" t="s">
        <v>2485</v>
      </c>
      <c r="B1457" s="47" t="s">
        <v>3968</v>
      </c>
      <c r="C1457" s="569" t="n">
        <v>1</v>
      </c>
      <c r="D1457" s="1105" t="n">
        <f aca="false">E1457+F1457+G1457+H1457</f>
        <v>360</v>
      </c>
      <c r="E1457" s="1105" t="n">
        <v>240</v>
      </c>
      <c r="F1457" s="569" t="n">
        <v>60</v>
      </c>
      <c r="G1457" s="569"/>
      <c r="H1457" s="1701" t="n">
        <v>60</v>
      </c>
      <c r="I1457" s="392"/>
      <c r="J1457" s="679"/>
      <c r="K1457" s="679"/>
    </row>
    <row r="1458" customFormat="false" ht="45" hidden="false" customHeight="false" outlineLevel="0" collapsed="false">
      <c r="A1458" s="392" t="s">
        <v>2487</v>
      </c>
      <c r="B1458" s="47" t="s">
        <v>3969</v>
      </c>
      <c r="C1458" s="569" t="n">
        <v>1</v>
      </c>
      <c r="D1458" s="1105" t="n">
        <f aca="false">E1458+F1458+G1458+H1458</f>
        <v>360</v>
      </c>
      <c r="E1458" s="1105" t="n">
        <v>240</v>
      </c>
      <c r="F1458" s="569" t="n">
        <v>60</v>
      </c>
      <c r="G1458" s="569"/>
      <c r="H1458" s="1701" t="n">
        <v>60</v>
      </c>
      <c r="I1458" s="392"/>
      <c r="J1458" s="679"/>
      <c r="K1458" s="679"/>
    </row>
    <row r="1459" customFormat="false" ht="30" hidden="false" customHeight="false" outlineLevel="0" collapsed="false">
      <c r="A1459" s="392" t="s">
        <v>2489</v>
      </c>
      <c r="B1459" s="47" t="s">
        <v>3970</v>
      </c>
      <c r="C1459" s="569" t="n">
        <v>1</v>
      </c>
      <c r="D1459" s="1105" t="n">
        <f aca="false">E1459+F1459+G1459+H1459</f>
        <v>360</v>
      </c>
      <c r="E1459" s="1105" t="n">
        <v>240</v>
      </c>
      <c r="F1459" s="569" t="n">
        <v>60</v>
      </c>
      <c r="G1459" s="569"/>
      <c r="H1459" s="1701" t="n">
        <v>60</v>
      </c>
      <c r="I1459" s="392"/>
      <c r="J1459" s="679"/>
      <c r="K1459" s="679"/>
    </row>
    <row r="1460" customFormat="false" ht="30" hidden="false" customHeight="false" outlineLevel="0" collapsed="false">
      <c r="A1460" s="392" t="s">
        <v>2491</v>
      </c>
      <c r="B1460" s="47" t="s">
        <v>3971</v>
      </c>
      <c r="C1460" s="569" t="n">
        <v>1</v>
      </c>
      <c r="D1460" s="1105" t="n">
        <f aca="false">E1460+F1460+G1460+H1460</f>
        <v>360</v>
      </c>
      <c r="E1460" s="1105" t="n">
        <v>240</v>
      </c>
      <c r="F1460" s="569" t="n">
        <v>60</v>
      </c>
      <c r="G1460" s="569"/>
      <c r="H1460" s="1701" t="n">
        <v>60</v>
      </c>
      <c r="I1460" s="392"/>
      <c r="J1460" s="679"/>
      <c r="K1460" s="679"/>
    </row>
    <row r="1461" customFormat="false" ht="45" hidden="false" customHeight="false" outlineLevel="0" collapsed="false">
      <c r="A1461" s="392" t="s">
        <v>2493</v>
      </c>
      <c r="B1461" s="47" t="s">
        <v>3972</v>
      </c>
      <c r="C1461" s="569" t="n">
        <v>1</v>
      </c>
      <c r="D1461" s="1105" t="n">
        <f aca="false">E1461+F1461+G1461+H1461</f>
        <v>360</v>
      </c>
      <c r="E1461" s="1105" t="n">
        <v>240</v>
      </c>
      <c r="F1461" s="569" t="n">
        <v>60</v>
      </c>
      <c r="G1461" s="569"/>
      <c r="H1461" s="1701" t="n">
        <v>60</v>
      </c>
      <c r="I1461" s="392"/>
      <c r="J1461" s="679"/>
      <c r="K1461" s="679"/>
    </row>
    <row r="1462" customFormat="false" ht="30" hidden="false" customHeight="false" outlineLevel="0" collapsed="false">
      <c r="A1462" s="392" t="s">
        <v>2495</v>
      </c>
      <c r="B1462" s="47" t="s">
        <v>3973</v>
      </c>
      <c r="C1462" s="569" t="n">
        <v>1</v>
      </c>
      <c r="D1462" s="1105" t="n">
        <f aca="false">E1462+F1462+G1462+H1462</f>
        <v>360</v>
      </c>
      <c r="E1462" s="1105" t="n">
        <v>240</v>
      </c>
      <c r="F1462" s="569" t="n">
        <v>60</v>
      </c>
      <c r="G1462" s="569"/>
      <c r="H1462" s="1701" t="n">
        <v>60</v>
      </c>
      <c r="I1462" s="392"/>
      <c r="J1462" s="679"/>
      <c r="K1462" s="679"/>
    </row>
    <row r="1463" customFormat="false" ht="45" hidden="false" customHeight="false" outlineLevel="0" collapsed="false">
      <c r="A1463" s="392" t="s">
        <v>2497</v>
      </c>
      <c r="B1463" s="47" t="s">
        <v>3974</v>
      </c>
      <c r="C1463" s="569" t="n">
        <v>1</v>
      </c>
      <c r="D1463" s="1105" t="n">
        <f aca="false">E1463+F1463+G1463+H1463</f>
        <v>360</v>
      </c>
      <c r="E1463" s="1105" t="n">
        <v>240</v>
      </c>
      <c r="F1463" s="569" t="n">
        <v>60</v>
      </c>
      <c r="G1463" s="569"/>
      <c r="H1463" s="1701" t="n">
        <v>60</v>
      </c>
      <c r="I1463" s="392"/>
      <c r="J1463" s="679"/>
      <c r="K1463" s="679"/>
    </row>
    <row r="1464" customFormat="false" ht="30" hidden="false" customHeight="false" outlineLevel="0" collapsed="false">
      <c r="A1464" s="392" t="s">
        <v>2499</v>
      </c>
      <c r="B1464" s="47" t="s">
        <v>3975</v>
      </c>
      <c r="C1464" s="569" t="n">
        <v>1</v>
      </c>
      <c r="D1464" s="1105" t="n">
        <f aca="false">E1464+F1464+G1464+H1464</f>
        <v>360</v>
      </c>
      <c r="E1464" s="1105" t="n">
        <v>240</v>
      </c>
      <c r="F1464" s="569" t="n">
        <v>60</v>
      </c>
      <c r="G1464" s="569"/>
      <c r="H1464" s="1701" t="n">
        <v>60</v>
      </c>
      <c r="I1464" s="392"/>
      <c r="J1464" s="679"/>
      <c r="K1464" s="679"/>
    </row>
    <row r="1465" customFormat="false" ht="30" hidden="false" customHeight="false" outlineLevel="0" collapsed="false">
      <c r="A1465" s="392" t="s">
        <v>2501</v>
      </c>
      <c r="B1465" s="47" t="s">
        <v>3976</v>
      </c>
      <c r="C1465" s="569" t="n">
        <v>1</v>
      </c>
      <c r="D1465" s="1105" t="n">
        <f aca="false">E1465+F1465+G1465+H1465</f>
        <v>360</v>
      </c>
      <c r="E1465" s="1105" t="n">
        <v>240</v>
      </c>
      <c r="F1465" s="569" t="n">
        <v>60</v>
      </c>
      <c r="G1465" s="569"/>
      <c r="H1465" s="1701" t="n">
        <v>60</v>
      </c>
      <c r="I1465" s="392"/>
      <c r="J1465" s="679"/>
      <c r="K1465" s="679"/>
    </row>
    <row r="1466" customFormat="false" ht="45" hidden="false" customHeight="false" outlineLevel="0" collapsed="false">
      <c r="A1466" s="392" t="s">
        <v>2503</v>
      </c>
      <c r="B1466" s="47" t="s">
        <v>3977</v>
      </c>
      <c r="C1466" s="569" t="n">
        <v>1</v>
      </c>
      <c r="D1466" s="1105" t="n">
        <f aca="false">E1466+F1466+G1466+H1466</f>
        <v>360</v>
      </c>
      <c r="E1466" s="1105" t="n">
        <v>240</v>
      </c>
      <c r="F1466" s="569" t="n">
        <v>60</v>
      </c>
      <c r="G1466" s="569"/>
      <c r="H1466" s="1701" t="n">
        <v>60</v>
      </c>
      <c r="I1466" s="392"/>
      <c r="J1466" s="679"/>
      <c r="K1466" s="679"/>
    </row>
    <row r="1467" customFormat="false" ht="30" hidden="false" customHeight="false" outlineLevel="0" collapsed="false">
      <c r="A1467" s="392" t="s">
        <v>2505</v>
      </c>
      <c r="B1467" s="47" t="s">
        <v>3978</v>
      </c>
      <c r="C1467" s="569" t="n">
        <v>1</v>
      </c>
      <c r="D1467" s="1105" t="n">
        <f aca="false">E1467+F1467+G1467+H1467</f>
        <v>360</v>
      </c>
      <c r="E1467" s="1105" t="n">
        <v>240</v>
      </c>
      <c r="F1467" s="569" t="n">
        <v>60</v>
      </c>
      <c r="G1467" s="569"/>
      <c r="H1467" s="1701" t="n">
        <v>60</v>
      </c>
      <c r="I1467" s="392"/>
      <c r="J1467" s="679"/>
      <c r="K1467" s="679"/>
    </row>
    <row r="1468" customFormat="false" ht="30" hidden="false" customHeight="false" outlineLevel="0" collapsed="false">
      <c r="A1468" s="392" t="s">
        <v>2507</v>
      </c>
      <c r="B1468" s="47" t="s">
        <v>3979</v>
      </c>
      <c r="C1468" s="569" t="n">
        <v>1</v>
      </c>
      <c r="D1468" s="1105" t="n">
        <f aca="false">E1468+F1468+G1468+H1468</f>
        <v>360</v>
      </c>
      <c r="E1468" s="1105" t="n">
        <v>240</v>
      </c>
      <c r="F1468" s="569" t="n">
        <v>60</v>
      </c>
      <c r="G1468" s="569"/>
      <c r="H1468" s="1701" t="n">
        <v>60</v>
      </c>
      <c r="I1468" s="392"/>
      <c r="J1468" s="679"/>
      <c r="K1468" s="679"/>
    </row>
    <row r="1469" customFormat="false" ht="45" hidden="false" customHeight="false" outlineLevel="0" collapsed="false">
      <c r="A1469" s="392" t="s">
        <v>2509</v>
      </c>
      <c r="B1469" s="47" t="s">
        <v>3980</v>
      </c>
      <c r="C1469" s="569" t="n">
        <v>1</v>
      </c>
      <c r="D1469" s="1105" t="n">
        <f aca="false">E1469+F1469+G1469+H1469</f>
        <v>360</v>
      </c>
      <c r="E1469" s="1105" t="n">
        <v>240</v>
      </c>
      <c r="F1469" s="569" t="n">
        <v>60</v>
      </c>
      <c r="G1469" s="569"/>
      <c r="H1469" s="1701" t="n">
        <v>60</v>
      </c>
      <c r="I1469" s="392"/>
      <c r="J1469" s="679"/>
      <c r="K1469" s="679"/>
    </row>
    <row r="1470" customFormat="false" ht="45" hidden="false" customHeight="false" outlineLevel="0" collapsed="false">
      <c r="A1470" s="392" t="s">
        <v>2511</v>
      </c>
      <c r="B1470" s="47" t="s">
        <v>3981</v>
      </c>
      <c r="C1470" s="569" t="n">
        <v>1</v>
      </c>
      <c r="D1470" s="1105" t="n">
        <f aca="false">E1470+F1470+G1470+H1470</f>
        <v>360</v>
      </c>
      <c r="E1470" s="1105" t="n">
        <v>240</v>
      </c>
      <c r="F1470" s="569" t="n">
        <v>60</v>
      </c>
      <c r="G1470" s="569"/>
      <c r="H1470" s="1701" t="n">
        <v>60</v>
      </c>
      <c r="I1470" s="392"/>
      <c r="J1470" s="679"/>
      <c r="K1470" s="679"/>
    </row>
    <row r="1471" customFormat="false" ht="45" hidden="false" customHeight="false" outlineLevel="0" collapsed="false">
      <c r="A1471" s="391" t="s">
        <v>2513</v>
      </c>
      <c r="B1471" s="29" t="s">
        <v>3982</v>
      </c>
      <c r="C1471" s="912" t="n">
        <v>1</v>
      </c>
      <c r="D1471" s="547" t="n">
        <f aca="false">E1471+F1471+G1471+H1471</f>
        <v>360</v>
      </c>
      <c r="E1471" s="547" t="n">
        <v>240</v>
      </c>
      <c r="F1471" s="912" t="n">
        <v>60</v>
      </c>
      <c r="G1471" s="912"/>
      <c r="H1471" s="1700" t="n">
        <v>60</v>
      </c>
      <c r="I1471" s="391"/>
      <c r="J1471" s="679"/>
      <c r="K1471" s="679"/>
    </row>
    <row r="1472" s="311" customFormat="true" ht="45" hidden="false" customHeight="false" outlineLevel="0" collapsed="false">
      <c r="A1472" s="391" t="s">
        <v>2515</v>
      </c>
      <c r="B1472" s="29" t="s">
        <v>3983</v>
      </c>
      <c r="C1472" s="912" t="n">
        <v>1</v>
      </c>
      <c r="D1472" s="547" t="n">
        <f aca="false">E1472+F1472+G1472+H1472</f>
        <v>360</v>
      </c>
      <c r="E1472" s="547" t="n">
        <v>240</v>
      </c>
      <c r="F1472" s="912" t="n">
        <v>60</v>
      </c>
      <c r="G1472" s="912"/>
      <c r="H1472" s="1700" t="n">
        <v>60</v>
      </c>
      <c r="I1472" s="391"/>
      <c r="J1472" s="679"/>
      <c r="K1472" s="679"/>
    </row>
    <row r="1473" s="311" customFormat="true" ht="30" hidden="false" customHeight="false" outlineLevel="0" collapsed="false">
      <c r="A1473" s="391" t="s">
        <v>2517</v>
      </c>
      <c r="B1473" s="29" t="s">
        <v>3984</v>
      </c>
      <c r="C1473" s="912" t="n">
        <v>1</v>
      </c>
      <c r="D1473" s="547" t="n">
        <f aca="false">E1473+F1473+G1473+H1473</f>
        <v>360</v>
      </c>
      <c r="E1473" s="547" t="n">
        <v>240</v>
      </c>
      <c r="F1473" s="912" t="n">
        <v>60</v>
      </c>
      <c r="G1473" s="912"/>
      <c r="H1473" s="1700" t="n">
        <v>60</v>
      </c>
      <c r="I1473" s="391"/>
      <c r="J1473" s="679"/>
      <c r="K1473" s="679"/>
    </row>
    <row r="1474" s="311" customFormat="true" ht="45" hidden="false" customHeight="false" outlineLevel="0" collapsed="false">
      <c r="A1474" s="391" t="s">
        <v>2519</v>
      </c>
      <c r="B1474" s="29" t="s">
        <v>3985</v>
      </c>
      <c r="C1474" s="912" t="n">
        <v>1</v>
      </c>
      <c r="D1474" s="547" t="n">
        <f aca="false">E1474+F1474+G1474+H1474</f>
        <v>360</v>
      </c>
      <c r="E1474" s="547" t="n">
        <v>240</v>
      </c>
      <c r="F1474" s="912" t="n">
        <v>60</v>
      </c>
      <c r="G1474" s="912"/>
      <c r="H1474" s="1700" t="n">
        <v>60</v>
      </c>
      <c r="I1474" s="391"/>
      <c r="J1474" s="679"/>
      <c r="K1474" s="679"/>
    </row>
    <row r="1475" s="311" customFormat="true" ht="15" hidden="false" customHeight="false" outlineLevel="0" collapsed="false">
      <c r="A1475" s="388" t="s">
        <v>2521</v>
      </c>
      <c r="B1475" s="128" t="s">
        <v>3751</v>
      </c>
      <c r="C1475" s="1709"/>
      <c r="D1475" s="544"/>
      <c r="E1475" s="544"/>
      <c r="F1475" s="1709"/>
      <c r="G1475" s="1709"/>
      <c r="H1475" s="1709"/>
      <c r="I1475" s="541"/>
      <c r="J1475" s="600"/>
      <c r="K1475" s="600"/>
    </row>
    <row r="1476" s="311" customFormat="true" ht="30" hidden="false" customHeight="false" outlineLevel="0" collapsed="false">
      <c r="A1476" s="327" t="s">
        <v>2522</v>
      </c>
      <c r="B1476" s="137" t="s">
        <v>3986</v>
      </c>
      <c r="C1476" s="912" t="n">
        <v>1</v>
      </c>
      <c r="D1476" s="547" t="n">
        <f aca="false">E1476+F1476+G1476+H1476</f>
        <v>135</v>
      </c>
      <c r="E1476" s="547" t="n">
        <v>100</v>
      </c>
      <c r="F1476" s="912" t="n">
        <v>20</v>
      </c>
      <c r="G1476" s="912"/>
      <c r="H1476" s="1700" t="n">
        <v>15</v>
      </c>
      <c r="I1476" s="912"/>
      <c r="J1476" s="606"/>
      <c r="K1476" s="606"/>
    </row>
    <row r="1477" s="311" customFormat="true" ht="30" hidden="false" customHeight="false" outlineLevel="0" collapsed="false">
      <c r="A1477" s="350" t="s">
        <v>2524</v>
      </c>
      <c r="B1477" s="393" t="s">
        <v>3987</v>
      </c>
      <c r="C1477" s="912" t="n">
        <v>1</v>
      </c>
      <c r="D1477" s="547" t="n">
        <f aca="false">E1477+F1477+G1477+H1477</f>
        <v>37</v>
      </c>
      <c r="E1477" s="547" t="n">
        <v>10</v>
      </c>
      <c r="F1477" s="912" t="n">
        <v>12</v>
      </c>
      <c r="G1477" s="912"/>
      <c r="H1477" s="1700" t="n">
        <v>15</v>
      </c>
      <c r="I1477" s="912"/>
      <c r="J1477" s="606"/>
      <c r="K1477" s="606"/>
    </row>
    <row r="1478" s="311" customFormat="true" ht="15" hidden="false" customHeight="false" outlineLevel="0" collapsed="false">
      <c r="A1478" s="350" t="s">
        <v>2526</v>
      </c>
      <c r="B1478" s="16" t="s">
        <v>3988</v>
      </c>
      <c r="C1478" s="541" t="n">
        <v>1</v>
      </c>
      <c r="D1478" s="712" t="n">
        <f aca="false">E1478+F1478+G1478+H1478</f>
        <v>45</v>
      </c>
      <c r="E1478" s="712" t="n">
        <v>5</v>
      </c>
      <c r="F1478" s="541" t="n">
        <v>30</v>
      </c>
      <c r="G1478" s="541"/>
      <c r="H1478" s="1720" t="n">
        <v>10</v>
      </c>
      <c r="I1478" s="541"/>
      <c r="J1478" s="600"/>
      <c r="K1478" s="600"/>
    </row>
    <row r="1479" customFormat="false" ht="42.75" hidden="false" customHeight="false" outlineLevel="0" collapsed="false">
      <c r="A1479" s="350" t="s">
        <v>2528</v>
      </c>
      <c r="B1479" s="16" t="s">
        <v>3989</v>
      </c>
      <c r="C1479" s="541" t="n">
        <v>1</v>
      </c>
      <c r="D1479" s="712" t="n">
        <f aca="false">E1479+F1479+G1479+H1479</f>
        <v>1450</v>
      </c>
      <c r="E1479" s="712" t="n">
        <v>720</v>
      </c>
      <c r="F1479" s="541" t="n">
        <v>720</v>
      </c>
      <c r="G1479" s="541"/>
      <c r="H1479" s="1720" t="n">
        <v>10</v>
      </c>
      <c r="I1479" s="541"/>
      <c r="J1479" s="600"/>
      <c r="K1479" s="600"/>
    </row>
    <row r="1480" customFormat="false" ht="42.75" hidden="false" customHeight="false" outlineLevel="0" collapsed="false">
      <c r="A1480" s="350" t="s">
        <v>2530</v>
      </c>
      <c r="B1480" s="16" t="s">
        <v>3990</v>
      </c>
      <c r="C1480" s="541" t="n">
        <v>1</v>
      </c>
      <c r="D1480" s="712" t="n">
        <f aca="false">E1480+F1480+G1480+H1480</f>
        <v>3730</v>
      </c>
      <c r="E1480" s="712" t="n">
        <v>2040</v>
      </c>
      <c r="F1480" s="541" t="n">
        <v>1680</v>
      </c>
      <c r="G1480" s="541"/>
      <c r="H1480" s="1720" t="n">
        <v>10</v>
      </c>
      <c r="I1480" s="541"/>
      <c r="J1480" s="600"/>
      <c r="K1480" s="600"/>
    </row>
    <row r="1481" customFormat="false" ht="36" hidden="false" customHeight="true" outlineLevel="0" collapsed="false">
      <c r="A1481" s="350" t="s">
        <v>2532</v>
      </c>
      <c r="B1481" s="16" t="s">
        <v>3991</v>
      </c>
      <c r="C1481" s="541" t="n">
        <v>1</v>
      </c>
      <c r="D1481" s="712" t="n">
        <f aca="false">E1481+F1481+G1481+H1481</f>
        <v>45</v>
      </c>
      <c r="E1481" s="712" t="n">
        <v>5</v>
      </c>
      <c r="F1481" s="541" t="n">
        <v>30</v>
      </c>
      <c r="G1481" s="541"/>
      <c r="H1481" s="1720" t="n">
        <v>10</v>
      </c>
      <c r="I1481" s="541"/>
      <c r="J1481" s="600"/>
      <c r="K1481" s="600"/>
    </row>
    <row r="1482" customFormat="false" ht="57" hidden="false" customHeight="false" outlineLevel="0" collapsed="false">
      <c r="A1482" s="350" t="s">
        <v>2534</v>
      </c>
      <c r="B1482" s="16" t="s">
        <v>3992</v>
      </c>
      <c r="C1482" s="541" t="n">
        <v>1</v>
      </c>
      <c r="D1482" s="712" t="n">
        <f aca="false">E1482+F1482+G1482+H1482</f>
        <v>45</v>
      </c>
      <c r="E1482" s="712" t="n">
        <v>5</v>
      </c>
      <c r="F1482" s="541" t="n">
        <v>30</v>
      </c>
      <c r="G1482" s="541"/>
      <c r="H1482" s="1720" t="n">
        <v>10</v>
      </c>
      <c r="I1482" s="541"/>
      <c r="J1482" s="600"/>
      <c r="K1482" s="600"/>
    </row>
    <row r="1483" customFormat="false" ht="57" hidden="false" customHeight="false" outlineLevel="0" collapsed="false">
      <c r="A1483" s="350" t="s">
        <v>2536</v>
      </c>
      <c r="B1483" s="16" t="s">
        <v>3993</v>
      </c>
      <c r="C1483" s="541" t="n">
        <v>1</v>
      </c>
      <c r="D1483" s="712" t="n">
        <f aca="false">E1483+F1483+G1483+H1483</f>
        <v>1250</v>
      </c>
      <c r="E1483" s="712" t="n">
        <v>620</v>
      </c>
      <c r="F1483" s="541" t="n">
        <v>620</v>
      </c>
      <c r="G1483" s="541"/>
      <c r="H1483" s="1720" t="n">
        <v>10</v>
      </c>
      <c r="I1483" s="541"/>
      <c r="J1483" s="600"/>
      <c r="K1483" s="600"/>
    </row>
    <row r="1484" s="311" customFormat="true" ht="57" hidden="false" customHeight="false" outlineLevel="0" collapsed="false">
      <c r="A1484" s="350" t="s">
        <v>2538</v>
      </c>
      <c r="B1484" s="16" t="s">
        <v>3994</v>
      </c>
      <c r="C1484" s="541" t="n">
        <v>1</v>
      </c>
      <c r="D1484" s="712" t="n">
        <f aca="false">E1484+F1484+G1484+H1484</f>
        <v>970</v>
      </c>
      <c r="E1484" s="712" t="n">
        <v>480</v>
      </c>
      <c r="F1484" s="541" t="n">
        <v>480</v>
      </c>
      <c r="G1484" s="541"/>
      <c r="H1484" s="1720" t="n">
        <v>10</v>
      </c>
      <c r="I1484" s="541"/>
      <c r="J1484" s="600"/>
      <c r="K1484" s="600"/>
    </row>
    <row r="1485" s="311" customFormat="true" ht="19.5" hidden="false" customHeight="true" outlineLevel="0" collapsed="false">
      <c r="A1485" s="138" t="s">
        <v>2540</v>
      </c>
      <c r="B1485" s="92" t="s">
        <v>3995</v>
      </c>
      <c r="C1485" s="551"/>
      <c r="D1485" s="357"/>
      <c r="E1485" s="357"/>
      <c r="F1485" s="551"/>
      <c r="G1485" s="551"/>
      <c r="H1485" s="551"/>
      <c r="I1485" s="551"/>
      <c r="J1485" s="551"/>
      <c r="K1485" s="551"/>
    </row>
    <row r="1486" s="311" customFormat="true" ht="30" hidden="false" customHeight="true" outlineLevel="0" collapsed="false">
      <c r="A1486" s="142" t="s">
        <v>2542</v>
      </c>
      <c r="B1486" s="49" t="s">
        <v>3996</v>
      </c>
      <c r="C1486" s="912" t="n">
        <v>1</v>
      </c>
      <c r="D1486" s="547" t="n">
        <f aca="false">E1486+F1486+G1486+H1486</f>
        <v>960</v>
      </c>
      <c r="E1486" s="547" t="n">
        <v>960</v>
      </c>
      <c r="F1486" s="912"/>
      <c r="G1486" s="912"/>
      <c r="H1486" s="1700"/>
      <c r="I1486" s="912"/>
      <c r="J1486" s="606"/>
      <c r="K1486" s="606"/>
    </row>
    <row r="1487" s="311" customFormat="true" ht="30" hidden="false" customHeight="false" outlineLevel="0" collapsed="false">
      <c r="A1487" s="142" t="s">
        <v>2545</v>
      </c>
      <c r="B1487" s="49" t="s">
        <v>3997</v>
      </c>
      <c r="C1487" s="912" t="n">
        <v>1</v>
      </c>
      <c r="D1487" s="547" t="n">
        <f aca="false">E1487+F1487+G1487+H1487</f>
        <v>2400</v>
      </c>
      <c r="E1487" s="547" t="n">
        <v>2400</v>
      </c>
      <c r="F1487" s="912"/>
      <c r="G1487" s="912"/>
      <c r="H1487" s="1700"/>
      <c r="I1487" s="912"/>
      <c r="J1487" s="606"/>
      <c r="K1487" s="606"/>
    </row>
    <row r="1488" s="311" customFormat="true" ht="28.5" hidden="false" customHeight="false" outlineLevel="0" collapsed="false">
      <c r="A1488" s="138" t="s">
        <v>2548</v>
      </c>
      <c r="B1488" s="92" t="s">
        <v>3998</v>
      </c>
      <c r="C1488" s="551"/>
      <c r="D1488" s="357"/>
      <c r="E1488" s="357"/>
      <c r="F1488" s="551"/>
      <c r="G1488" s="551"/>
      <c r="H1488" s="551"/>
      <c r="I1488" s="551"/>
      <c r="J1488" s="551"/>
      <c r="K1488" s="551"/>
    </row>
    <row r="1489" s="311" customFormat="true" ht="45" hidden="false" customHeight="false" outlineLevel="0" collapsed="false">
      <c r="A1489" s="142" t="s">
        <v>2550</v>
      </c>
      <c r="B1489" s="49" t="s">
        <v>3999</v>
      </c>
      <c r="C1489" s="912" t="n">
        <v>1</v>
      </c>
      <c r="D1489" s="547" t="n">
        <f aca="false">E1489+F1489+G1489+H1489</f>
        <v>480</v>
      </c>
      <c r="E1489" s="547" t="n">
        <v>480</v>
      </c>
      <c r="F1489" s="912"/>
      <c r="G1489" s="912"/>
      <c r="H1489" s="1700"/>
      <c r="I1489" s="912"/>
      <c r="J1489" s="606"/>
      <c r="K1489" s="606"/>
    </row>
    <row r="1490" s="311" customFormat="true" ht="30" hidden="false" customHeight="false" outlineLevel="0" collapsed="false">
      <c r="A1490" s="142" t="s">
        <v>2553</v>
      </c>
      <c r="B1490" s="49" t="s">
        <v>4000</v>
      </c>
      <c r="C1490" s="912" t="n">
        <v>1</v>
      </c>
      <c r="D1490" s="547" t="n">
        <f aca="false">E1490+F1490+G1490+H1490</f>
        <v>480</v>
      </c>
      <c r="E1490" s="547" t="n">
        <v>480</v>
      </c>
      <c r="F1490" s="912"/>
      <c r="G1490" s="912"/>
      <c r="H1490" s="1700"/>
      <c r="I1490" s="912"/>
      <c r="J1490" s="606"/>
      <c r="K1490" s="606"/>
    </row>
    <row r="1491" s="311" customFormat="true" ht="28.5" hidden="false" customHeight="false" outlineLevel="0" collapsed="false">
      <c r="A1491" s="138" t="s">
        <v>2555</v>
      </c>
      <c r="B1491" s="92" t="s">
        <v>4001</v>
      </c>
      <c r="C1491" s="551"/>
      <c r="D1491" s="357"/>
      <c r="E1491" s="357"/>
      <c r="F1491" s="551"/>
      <c r="G1491" s="551"/>
      <c r="H1491" s="551"/>
      <c r="I1491" s="551"/>
      <c r="J1491" s="551"/>
      <c r="K1491" s="551"/>
    </row>
    <row r="1492" s="311" customFormat="true" ht="18.75" hidden="false" customHeight="false" outlineLevel="0" collapsed="false">
      <c r="A1492" s="142" t="s">
        <v>2557</v>
      </c>
      <c r="B1492" s="49" t="s">
        <v>4002</v>
      </c>
      <c r="C1492" s="1721" t="s">
        <v>7469</v>
      </c>
      <c r="D1492" s="547" t="n">
        <f aca="false">E1492+F1492+G1492+H1492</f>
        <v>20</v>
      </c>
      <c r="E1492" s="547" t="n">
        <v>10</v>
      </c>
      <c r="F1492" s="912" t="n">
        <v>10</v>
      </c>
      <c r="G1492" s="912"/>
      <c r="H1492" s="1700"/>
      <c r="I1492" s="912"/>
      <c r="J1492" s="606"/>
      <c r="K1492" s="606"/>
    </row>
    <row r="1493" s="311" customFormat="true" ht="18.75" hidden="false" customHeight="false" outlineLevel="0" collapsed="false">
      <c r="A1493" s="142" t="s">
        <v>2560</v>
      </c>
      <c r="B1493" s="49" t="s">
        <v>4003</v>
      </c>
      <c r="C1493" s="1721" t="s">
        <v>7469</v>
      </c>
      <c r="D1493" s="547" t="n">
        <f aca="false">E1493+F1493+G1493+H1493</f>
        <v>20</v>
      </c>
      <c r="E1493" s="547" t="n">
        <v>10</v>
      </c>
      <c r="F1493" s="912" t="n">
        <v>10</v>
      </c>
      <c r="G1493" s="912"/>
      <c r="H1493" s="1700"/>
      <c r="I1493" s="912"/>
      <c r="J1493" s="606"/>
      <c r="K1493" s="606"/>
    </row>
    <row r="1494" s="311" customFormat="true" ht="18.75" hidden="false" customHeight="false" outlineLevel="0" collapsed="false">
      <c r="A1494" s="142" t="s">
        <v>2562</v>
      </c>
      <c r="B1494" s="49" t="s">
        <v>4004</v>
      </c>
      <c r="C1494" s="1721" t="s">
        <v>7469</v>
      </c>
      <c r="D1494" s="547" t="n">
        <f aca="false">E1494+F1494+G1494+H1494</f>
        <v>20</v>
      </c>
      <c r="E1494" s="547" t="n">
        <v>10</v>
      </c>
      <c r="F1494" s="912" t="n">
        <v>10</v>
      </c>
      <c r="G1494" s="912"/>
      <c r="H1494" s="1700"/>
      <c r="I1494" s="912"/>
      <c r="J1494" s="606"/>
      <c r="K1494" s="606"/>
    </row>
    <row r="1495" s="311" customFormat="true" ht="18.75" hidden="false" customHeight="false" outlineLevel="0" collapsed="false">
      <c r="A1495" s="142" t="s">
        <v>2564</v>
      </c>
      <c r="B1495" s="49" t="s">
        <v>4005</v>
      </c>
      <c r="C1495" s="1721" t="s">
        <v>7469</v>
      </c>
      <c r="D1495" s="547" t="n">
        <f aca="false">E1495+F1495+G1495+H1495</f>
        <v>20</v>
      </c>
      <c r="E1495" s="547" t="n">
        <v>10</v>
      </c>
      <c r="F1495" s="912" t="n">
        <v>10</v>
      </c>
      <c r="G1495" s="912"/>
      <c r="H1495" s="1700"/>
      <c r="I1495" s="912"/>
      <c r="J1495" s="606"/>
      <c r="K1495" s="606"/>
    </row>
    <row r="1496" s="311" customFormat="true" ht="62.25" hidden="false" customHeight="true" outlineLevel="0" collapsed="false">
      <c r="A1496" s="148" t="n">
        <v>11</v>
      </c>
      <c r="B1496" s="149" t="s">
        <v>4006</v>
      </c>
      <c r="C1496" s="912" t="n">
        <v>1</v>
      </c>
      <c r="D1496" s="547" t="n">
        <f aca="false">E1496</f>
        <v>300</v>
      </c>
      <c r="E1496" s="547" t="n">
        <f aca="false">5*60</f>
        <v>300</v>
      </c>
      <c r="F1496" s="912"/>
      <c r="G1496" s="912"/>
      <c r="H1496" s="1700"/>
      <c r="I1496" s="912"/>
      <c r="J1496" s="606"/>
      <c r="K1496" s="606"/>
    </row>
    <row r="1497" s="311" customFormat="true" ht="33.75" hidden="false" customHeight="true" outlineLevel="0" collapsed="false">
      <c r="A1497" s="148" t="n">
        <v>12</v>
      </c>
      <c r="B1497" s="149" t="s">
        <v>4007</v>
      </c>
      <c r="C1497" s="912" t="n">
        <v>1</v>
      </c>
      <c r="D1497" s="547" t="n">
        <f aca="false">E1497+F1497</f>
        <v>130</v>
      </c>
      <c r="E1497" s="547" t="n">
        <v>60</v>
      </c>
      <c r="F1497" s="912" t="n">
        <v>70</v>
      </c>
      <c r="G1497" s="912"/>
      <c r="H1497" s="1700"/>
      <c r="I1497" s="912"/>
      <c r="J1497" s="606"/>
      <c r="K1497" s="606"/>
    </row>
    <row r="1498" customFormat="false" ht="15" hidden="false" customHeight="false" outlineLevel="0" collapsed="false">
      <c r="A1498" s="148" t="n">
        <v>13</v>
      </c>
      <c r="B1498" s="99" t="s">
        <v>4008</v>
      </c>
      <c r="C1498" s="912" t="n">
        <v>1</v>
      </c>
      <c r="D1498" s="547" t="n">
        <f aca="false">E1498</f>
        <v>120</v>
      </c>
      <c r="E1498" s="1105" t="n">
        <v>120</v>
      </c>
      <c r="F1498" s="912"/>
      <c r="G1498" s="912"/>
      <c r="H1498" s="912"/>
      <c r="I1498" s="912"/>
      <c r="J1498" s="679"/>
      <c r="K1498" s="679"/>
    </row>
    <row r="1499" customFormat="false" ht="15" hidden="false" customHeight="false" outlineLevel="0" collapsed="false">
      <c r="A1499" s="148" t="n">
        <v>14</v>
      </c>
      <c r="B1499" s="99" t="s">
        <v>7470</v>
      </c>
      <c r="C1499" s="912" t="n">
        <v>1</v>
      </c>
      <c r="D1499" s="547" t="n">
        <f aca="false">E1499</f>
        <v>30</v>
      </c>
      <c r="E1499" s="1105" t="n">
        <v>30</v>
      </c>
      <c r="F1499" s="912"/>
      <c r="G1499" s="912"/>
      <c r="H1499" s="912"/>
      <c r="I1499" s="912"/>
      <c r="J1499" s="679"/>
      <c r="K1499" s="679"/>
    </row>
    <row r="1500" customFormat="false" ht="31.5" hidden="false" customHeight="false" outlineLevel="0" collapsed="false">
      <c r="A1500" s="1722" t="s">
        <v>2573</v>
      </c>
      <c r="B1500" s="1723" t="s">
        <v>4010</v>
      </c>
      <c r="C1500" s="1724"/>
      <c r="D1500" s="1725"/>
      <c r="E1500" s="1726"/>
      <c r="F1500" s="1722"/>
      <c r="G1500" s="1722"/>
      <c r="H1500" s="1722"/>
      <c r="I1500" s="1722"/>
      <c r="J1500" s="1722"/>
      <c r="K1500" s="1722"/>
    </row>
    <row r="1501" customFormat="false" ht="48" hidden="false" customHeight="true" outlineLevel="0" collapsed="false">
      <c r="A1501" s="396" t="s">
        <v>2577</v>
      </c>
      <c r="B1501" s="398" t="s">
        <v>4011</v>
      </c>
      <c r="C1501" s="912" t="n">
        <v>1</v>
      </c>
      <c r="D1501" s="547" t="n">
        <f aca="false">E1501+F1501</f>
        <v>9940</v>
      </c>
      <c r="E1501" s="547" t="n">
        <v>5000</v>
      </c>
      <c r="F1501" s="912" t="n">
        <v>4940</v>
      </c>
      <c r="G1501" s="912"/>
      <c r="H1501" s="1700"/>
      <c r="I1501" s="912"/>
      <c r="J1501" s="679"/>
      <c r="K1501" s="679"/>
    </row>
    <row r="1502" s="311" customFormat="true" ht="47.25" hidden="false" customHeight="false" outlineLevel="0" collapsed="false">
      <c r="A1502" s="396" t="s">
        <v>2579</v>
      </c>
      <c r="B1502" s="398" t="s">
        <v>4012</v>
      </c>
      <c r="C1502" s="912" t="n">
        <v>1</v>
      </c>
      <c r="D1502" s="547" t="n">
        <f aca="false">E1502</f>
        <v>3000</v>
      </c>
      <c r="E1502" s="547" t="n">
        <f aca="false">5*10*60</f>
        <v>3000</v>
      </c>
      <c r="F1502" s="912"/>
      <c r="G1502" s="912"/>
      <c r="H1502" s="1700"/>
      <c r="I1502" s="912"/>
      <c r="J1502" s="606"/>
      <c r="K1502" s="606"/>
    </row>
    <row r="1503" s="311" customFormat="true" ht="31.5" hidden="false" customHeight="false" outlineLevel="0" collapsed="false">
      <c r="A1503" s="396" t="s">
        <v>2581</v>
      </c>
      <c r="B1503" s="398" t="s">
        <v>4013</v>
      </c>
      <c r="C1503" s="912" t="n">
        <v>1</v>
      </c>
      <c r="D1503" s="547" t="n">
        <f aca="false">E1503</f>
        <v>1500</v>
      </c>
      <c r="E1503" s="547" t="n">
        <f aca="false">5*5*60</f>
        <v>1500</v>
      </c>
      <c r="F1503" s="912"/>
      <c r="G1503" s="912"/>
      <c r="H1503" s="1700"/>
      <c r="I1503" s="912"/>
      <c r="J1503" s="606"/>
      <c r="K1503" s="606"/>
    </row>
    <row r="1504" s="311" customFormat="true" ht="94.5" hidden="false" customHeight="false" outlineLevel="0" collapsed="false">
      <c r="A1504" s="396" t="s">
        <v>2583</v>
      </c>
      <c r="B1504" s="398" t="s">
        <v>4014</v>
      </c>
      <c r="C1504" s="912" t="n">
        <v>1</v>
      </c>
      <c r="D1504" s="547" t="n">
        <f aca="false">E1504</f>
        <v>60</v>
      </c>
      <c r="E1504" s="547" t="n">
        <f aca="false">1*60</f>
        <v>60</v>
      </c>
      <c r="F1504" s="912"/>
      <c r="G1504" s="912"/>
      <c r="H1504" s="1700"/>
      <c r="I1504" s="912"/>
      <c r="J1504" s="606"/>
      <c r="K1504" s="606"/>
    </row>
    <row r="1505" s="97" customFormat="true" ht="51" hidden="false" customHeight="true" outlineLevel="0" collapsed="false">
      <c r="A1505" s="399" t="s">
        <v>2586</v>
      </c>
      <c r="B1505" s="400" t="s">
        <v>4015</v>
      </c>
      <c r="C1505" s="1727"/>
      <c r="D1505" s="1728"/>
      <c r="E1505" s="1728"/>
      <c r="F1505" s="1729"/>
      <c r="G1505" s="1729"/>
      <c r="H1505" s="1729"/>
      <c r="I1505" s="1729"/>
      <c r="J1505" s="1729"/>
      <c r="K1505" s="1729"/>
    </row>
    <row r="1506" s="311" customFormat="true" ht="18.75" hidden="false" customHeight="false" outlineLevel="0" collapsed="false">
      <c r="A1506" s="1730" t="s">
        <v>2629</v>
      </c>
      <c r="B1506" s="1731" t="s">
        <v>4099</v>
      </c>
      <c r="C1506" s="1732" t="s">
        <v>7471</v>
      </c>
      <c r="D1506" s="1663" t="n">
        <f aca="false">E1506+F1506</f>
        <v>2160</v>
      </c>
      <c r="E1506" s="1663" t="n">
        <v>1080</v>
      </c>
      <c r="F1506" s="1664" t="n">
        <v>1080</v>
      </c>
      <c r="G1506" s="1732"/>
      <c r="H1506" s="1732"/>
      <c r="I1506" s="1732"/>
      <c r="J1506" s="565"/>
      <c r="K1506" s="565"/>
    </row>
    <row r="1507" s="311" customFormat="true" ht="15.75" hidden="false" customHeight="true" outlineLevel="0" collapsed="false">
      <c r="A1507" s="192" t="n">
        <v>17</v>
      </c>
      <c r="B1507" s="193" t="s">
        <v>4040</v>
      </c>
      <c r="C1507" s="193"/>
      <c r="D1507" s="357"/>
      <c r="E1507" s="357"/>
      <c r="F1507" s="551"/>
      <c r="G1507" s="551"/>
      <c r="H1507" s="551"/>
      <c r="I1507" s="551"/>
      <c r="J1507" s="1733"/>
      <c r="K1507" s="1733"/>
    </row>
    <row r="1508" s="311" customFormat="true" ht="30" hidden="false" customHeight="false" outlineLevel="0" collapsed="false">
      <c r="A1508" s="1734"/>
      <c r="B1508" s="1735" t="s">
        <v>4041</v>
      </c>
      <c r="C1508" s="158" t="s">
        <v>7471</v>
      </c>
      <c r="D1508" s="1736" t="n">
        <f aca="false">E1508</f>
        <v>480</v>
      </c>
      <c r="E1508" s="1736" t="n">
        <f aca="false">8*60</f>
        <v>480</v>
      </c>
      <c r="F1508" s="565"/>
      <c r="G1508" s="565"/>
      <c r="H1508" s="565"/>
      <c r="I1508" s="565"/>
      <c r="J1508" s="1737"/>
      <c r="K1508" s="1737"/>
    </row>
    <row r="1509" s="311" customFormat="true" ht="15.75" hidden="false" customHeight="false" outlineLevel="0" collapsed="false">
      <c r="A1509" s="1734"/>
      <c r="B1509" s="1738"/>
      <c r="C1509" s="158"/>
      <c r="D1509" s="1736"/>
      <c r="E1509" s="1736"/>
      <c r="F1509" s="565"/>
      <c r="G1509" s="565"/>
      <c r="H1509" s="565"/>
      <c r="I1509" s="565"/>
      <c r="J1509" s="1737"/>
      <c r="K1509" s="1737"/>
    </row>
    <row r="1510" s="311" customFormat="true" ht="15.75" hidden="false" customHeight="false" outlineLevel="0" collapsed="false">
      <c r="A1510" s="1734"/>
      <c r="B1510" s="1738"/>
      <c r="C1510" s="158"/>
      <c r="D1510" s="1736"/>
      <c r="E1510" s="1736"/>
      <c r="F1510" s="565"/>
      <c r="G1510" s="565"/>
      <c r="H1510" s="565"/>
      <c r="I1510" s="565"/>
      <c r="J1510" s="1737"/>
      <c r="K1510" s="1737"/>
    </row>
    <row r="1511" s="311" customFormat="true" ht="15.75" hidden="false" customHeight="false" outlineLevel="0" collapsed="false">
      <c r="A1511" s="1734"/>
      <c r="B1511" s="1738"/>
      <c r="C1511" s="158"/>
      <c r="D1511" s="1736"/>
      <c r="E1511" s="1736"/>
      <c r="F1511" s="565"/>
      <c r="G1511" s="565"/>
      <c r="H1511" s="565"/>
      <c r="I1511" s="565"/>
      <c r="J1511" s="1737"/>
      <c r="K1511" s="1737"/>
    </row>
    <row r="1512" s="311" customFormat="true" ht="15.75" hidden="false" customHeight="true" outlineLevel="0" collapsed="false">
      <c r="A1512" s="1739" t="s">
        <v>2638</v>
      </c>
      <c r="B1512" s="1740" t="s">
        <v>6719</v>
      </c>
      <c r="C1512" s="1741" t="s">
        <v>7471</v>
      </c>
      <c r="D1512" s="1742" t="n">
        <f aca="false">SUM(D1513:D1513)</f>
        <v>3240</v>
      </c>
      <c r="E1512" s="1742" t="n">
        <f aca="false">54*60</f>
        <v>3240</v>
      </c>
      <c r="F1512" s="1743"/>
      <c r="G1512" s="1743"/>
      <c r="H1512" s="1743"/>
      <c r="I1512" s="1743"/>
      <c r="J1512" s="1743"/>
      <c r="K1512" s="1743"/>
    </row>
    <row r="1513" s="311" customFormat="true" ht="31.5" hidden="false" customHeight="false" outlineLevel="0" collapsed="false">
      <c r="A1513" s="1739"/>
      <c r="B1513" s="1744" t="s">
        <v>3810</v>
      </c>
      <c r="C1513" s="1745" t="s">
        <v>7471</v>
      </c>
      <c r="D1513" s="1746" t="n">
        <v>3240</v>
      </c>
      <c r="E1513" s="1746" t="n">
        <f aca="false">54*60</f>
        <v>3240</v>
      </c>
      <c r="F1513" s="1747"/>
      <c r="G1513" s="1747"/>
      <c r="H1513" s="1747"/>
      <c r="I1513" s="1747"/>
      <c r="J1513" s="1747"/>
      <c r="K1513" s="1747"/>
    </row>
    <row r="1514" s="311" customFormat="true" ht="20.25" hidden="false" customHeight="true" outlineLevel="0" collapsed="false">
      <c r="A1514" s="1739" t="s">
        <v>6723</v>
      </c>
      <c r="B1514" s="1748" t="s">
        <v>6724</v>
      </c>
      <c r="C1514" s="1741" t="s">
        <v>7471</v>
      </c>
      <c r="D1514" s="1742" t="n">
        <f aca="false">SUM(D1515:D1515)</f>
        <v>3240</v>
      </c>
      <c r="E1514" s="1742" t="n">
        <f aca="false">54*60</f>
        <v>3240</v>
      </c>
      <c r="F1514" s="1743"/>
      <c r="G1514" s="1743"/>
      <c r="H1514" s="1743"/>
      <c r="I1514" s="1743"/>
      <c r="J1514" s="1743"/>
      <c r="K1514" s="1743"/>
    </row>
    <row r="1515" s="311" customFormat="true" ht="15.75" hidden="false" customHeight="false" outlineLevel="0" collapsed="false">
      <c r="A1515" s="1749"/>
      <c r="B1515" s="1744" t="s">
        <v>6725</v>
      </c>
      <c r="C1515" s="1745" t="s">
        <v>7471</v>
      </c>
      <c r="D1515" s="1746" t="n">
        <f aca="false">E1515</f>
        <v>3240</v>
      </c>
      <c r="E1515" s="1746" t="n">
        <f aca="false">54*60</f>
        <v>3240</v>
      </c>
      <c r="F1515" s="1747"/>
      <c r="G1515" s="1747"/>
      <c r="H1515" s="1747"/>
      <c r="I1515" s="1747"/>
      <c r="J1515" s="606"/>
      <c r="K1515" s="606"/>
    </row>
    <row r="1516" s="311" customFormat="true" ht="31.5" hidden="false" customHeight="false" outlineLevel="0" collapsed="false">
      <c r="A1516" s="1739" t="s">
        <v>6733</v>
      </c>
      <c r="B1516" s="1748" t="s">
        <v>6734</v>
      </c>
      <c r="C1516" s="1741" t="s">
        <v>7471</v>
      </c>
      <c r="D1516" s="1742" t="n">
        <f aca="false">E1516</f>
        <v>3240</v>
      </c>
      <c r="E1516" s="1742" t="n">
        <f aca="false">54*60</f>
        <v>3240</v>
      </c>
      <c r="F1516" s="1743"/>
      <c r="G1516" s="1743"/>
      <c r="H1516" s="1743"/>
      <c r="I1516" s="1743"/>
      <c r="J1516" s="1743"/>
      <c r="K1516" s="1743"/>
    </row>
    <row r="1517" s="311" customFormat="true" ht="31.5" hidden="false" customHeight="false" outlineLevel="0" collapsed="false">
      <c r="A1517" s="1750"/>
      <c r="B1517" s="1744" t="s">
        <v>6735</v>
      </c>
      <c r="C1517" s="1751" t="s">
        <v>7471</v>
      </c>
      <c r="D1517" s="1746" t="n">
        <f aca="false">E1517</f>
        <v>810</v>
      </c>
      <c r="E1517" s="1746" t="n">
        <v>810</v>
      </c>
      <c r="F1517" s="912"/>
      <c r="G1517" s="912"/>
      <c r="H1517" s="1700"/>
      <c r="I1517" s="912"/>
      <c r="J1517" s="606"/>
      <c r="K1517" s="606"/>
    </row>
    <row r="1518" s="311" customFormat="true" ht="18" hidden="false" customHeight="true" outlineLevel="0" collapsed="false">
      <c r="A1518" s="1750"/>
      <c r="B1518" s="1744" t="s">
        <v>6742</v>
      </c>
      <c r="C1518" s="1751" t="s">
        <v>7471</v>
      </c>
      <c r="D1518" s="1746" t="n">
        <f aca="false">E1518</f>
        <v>810</v>
      </c>
      <c r="E1518" s="1746" t="n">
        <v>810</v>
      </c>
      <c r="F1518" s="912"/>
      <c r="G1518" s="912"/>
      <c r="H1518" s="1700"/>
      <c r="I1518" s="912"/>
      <c r="J1518" s="606"/>
      <c r="K1518" s="606"/>
    </row>
    <row r="1519" s="311" customFormat="true" ht="31.5" hidden="false" customHeight="false" outlineLevel="0" collapsed="false">
      <c r="A1519" s="1750"/>
      <c r="B1519" s="1744" t="s">
        <v>6520</v>
      </c>
      <c r="C1519" s="1751" t="s">
        <v>7471</v>
      </c>
      <c r="D1519" s="1746" t="n">
        <f aca="false">E1519</f>
        <v>810</v>
      </c>
      <c r="E1519" s="1746" t="n">
        <v>810</v>
      </c>
      <c r="F1519" s="912"/>
      <c r="G1519" s="912"/>
      <c r="H1519" s="1700"/>
      <c r="I1519" s="912"/>
      <c r="J1519" s="606"/>
      <c r="K1519" s="606"/>
    </row>
    <row r="1520" s="311" customFormat="true" ht="15.75" hidden="false" customHeight="false" outlineLevel="0" collapsed="false">
      <c r="A1520" s="1750"/>
      <c r="B1520" s="1744" t="s">
        <v>3935</v>
      </c>
      <c r="C1520" s="1751" t="s">
        <v>7471</v>
      </c>
      <c r="D1520" s="1746" t="n">
        <f aca="false">E1520</f>
        <v>810</v>
      </c>
      <c r="E1520" s="1746" t="n">
        <v>810</v>
      </c>
      <c r="F1520" s="912"/>
      <c r="G1520" s="912"/>
      <c r="H1520" s="1700"/>
      <c r="I1520" s="912"/>
      <c r="J1520" s="606"/>
      <c r="K1520" s="606"/>
    </row>
    <row r="1521" s="311" customFormat="true" ht="31.5" hidden="false" customHeight="false" outlineLevel="0" collapsed="false">
      <c r="A1521" s="1750" t="s">
        <v>6749</v>
      </c>
      <c r="B1521" s="1748" t="s">
        <v>6750</v>
      </c>
      <c r="C1521" s="1741" t="s">
        <v>7471</v>
      </c>
      <c r="D1521" s="1742" t="n">
        <f aca="false">E1521</f>
        <v>3240</v>
      </c>
      <c r="E1521" s="1752" t="n">
        <f aca="false">E1522</f>
        <v>3240</v>
      </c>
      <c r="F1521" s="1741"/>
      <c r="G1521" s="1753"/>
      <c r="H1521" s="1741"/>
      <c r="I1521" s="1753"/>
      <c r="J1521" s="1741"/>
      <c r="K1521" s="1753"/>
    </row>
    <row r="1522" s="311" customFormat="true" ht="63" hidden="false" customHeight="false" outlineLevel="0" collapsed="false">
      <c r="A1522" s="1750"/>
      <c r="B1522" s="1744" t="s">
        <v>6751</v>
      </c>
      <c r="C1522" s="1754" t="s">
        <v>7471</v>
      </c>
      <c r="D1522" s="1755" t="n">
        <f aca="false">E1522</f>
        <v>3240</v>
      </c>
      <c r="E1522" s="1756" t="n">
        <v>3240</v>
      </c>
      <c r="F1522" s="912"/>
      <c r="G1522" s="912"/>
      <c r="H1522" s="1700"/>
      <c r="I1522" s="912"/>
      <c r="J1522" s="606"/>
      <c r="K1522" s="606"/>
    </row>
    <row r="1523" s="311" customFormat="true" ht="31.5" hidden="false" customHeight="false" outlineLevel="0" collapsed="false">
      <c r="A1523" s="1739" t="s">
        <v>6753</v>
      </c>
      <c r="B1523" s="1748" t="s">
        <v>6754</v>
      </c>
      <c r="C1523" s="1757"/>
      <c r="D1523" s="1758" t="n">
        <f aca="false">E1523</f>
        <v>3240</v>
      </c>
      <c r="E1523" s="1758" t="n">
        <f aca="false">E1524</f>
        <v>3240</v>
      </c>
      <c r="F1523" s="1757"/>
      <c r="G1523" s="1757"/>
      <c r="H1523" s="1757"/>
      <c r="I1523" s="1757"/>
      <c r="J1523" s="1757"/>
      <c r="K1523" s="1757"/>
    </row>
    <row r="1524" s="311" customFormat="true" ht="22.5" hidden="false" customHeight="true" outlineLevel="0" collapsed="false">
      <c r="A1524" s="1750"/>
      <c r="B1524" s="1744" t="s">
        <v>6755</v>
      </c>
      <c r="C1524" s="1754" t="s">
        <v>7471</v>
      </c>
      <c r="D1524" s="1755" t="n">
        <f aca="false">E1524</f>
        <v>3240</v>
      </c>
      <c r="E1524" s="1756" t="n">
        <v>3240</v>
      </c>
      <c r="F1524" s="912"/>
      <c r="G1524" s="912"/>
      <c r="H1524" s="1700"/>
      <c r="I1524" s="912"/>
      <c r="J1524" s="606"/>
      <c r="K1524" s="606"/>
    </row>
    <row r="1525" s="311" customFormat="true" ht="48.75" hidden="false" customHeight="true" outlineLevel="0" collapsed="false">
      <c r="A1525" s="1739" t="s">
        <v>6756</v>
      </c>
      <c r="B1525" s="1748" t="s">
        <v>6757</v>
      </c>
      <c r="C1525" s="1757"/>
      <c r="D1525" s="1758" t="n">
        <f aca="false">E1525</f>
        <v>3240</v>
      </c>
      <c r="E1525" s="1758" t="n">
        <f aca="false">E1527+E1528+E1530+E1531</f>
        <v>3240</v>
      </c>
      <c r="F1525" s="1757"/>
      <c r="G1525" s="1757"/>
      <c r="H1525" s="1757"/>
      <c r="I1525" s="1757"/>
      <c r="J1525" s="1757"/>
      <c r="K1525" s="1757"/>
    </row>
    <row r="1526" s="311" customFormat="true" ht="18" hidden="false" customHeight="true" outlineLevel="0" collapsed="false">
      <c r="A1526" s="1759" t="s">
        <v>6758</v>
      </c>
      <c r="B1526" s="1760" t="s">
        <v>6759</v>
      </c>
      <c r="C1526" s="1751"/>
      <c r="D1526" s="1746"/>
      <c r="E1526" s="1746"/>
      <c r="F1526" s="912"/>
      <c r="G1526" s="912"/>
      <c r="H1526" s="1700"/>
      <c r="I1526" s="912"/>
      <c r="J1526" s="606"/>
      <c r="K1526" s="606"/>
    </row>
    <row r="1527" s="311" customFormat="true" ht="17.25" hidden="false" customHeight="true" outlineLevel="0" collapsed="false">
      <c r="A1527" s="1759"/>
      <c r="B1527" s="1744" t="s">
        <v>3585</v>
      </c>
      <c r="C1527" s="1745" t="s">
        <v>7471</v>
      </c>
      <c r="D1527" s="1756" t="n">
        <v>810</v>
      </c>
      <c r="E1527" s="1756" t="n">
        <v>810</v>
      </c>
      <c r="F1527" s="912"/>
      <c r="G1527" s="912"/>
      <c r="H1527" s="1700"/>
      <c r="I1527" s="912"/>
      <c r="J1527" s="606"/>
      <c r="K1527" s="606"/>
    </row>
    <row r="1528" s="311" customFormat="true" ht="53.25" hidden="false" customHeight="true" outlineLevel="0" collapsed="false">
      <c r="A1528" s="1759"/>
      <c r="B1528" s="1744" t="s">
        <v>3586</v>
      </c>
      <c r="C1528" s="1745" t="s">
        <v>7471</v>
      </c>
      <c r="D1528" s="1756" t="n">
        <v>810</v>
      </c>
      <c r="E1528" s="1756" t="n">
        <v>810</v>
      </c>
      <c r="F1528" s="912"/>
      <c r="G1528" s="912"/>
      <c r="H1528" s="1700"/>
      <c r="I1528" s="912"/>
      <c r="J1528" s="606"/>
      <c r="K1528" s="606"/>
    </row>
    <row r="1529" s="311" customFormat="true" ht="47.25" hidden="false" customHeight="false" outlineLevel="0" collapsed="false">
      <c r="A1529" s="1759" t="s">
        <v>6762</v>
      </c>
      <c r="B1529" s="1760" t="s">
        <v>3587</v>
      </c>
      <c r="C1529" s="1751"/>
      <c r="D1529" s="1746"/>
      <c r="E1529" s="1746"/>
      <c r="F1529" s="912"/>
      <c r="G1529" s="912"/>
      <c r="H1529" s="1700"/>
      <c r="I1529" s="912"/>
      <c r="J1529" s="606"/>
      <c r="K1529" s="606"/>
    </row>
    <row r="1530" s="311" customFormat="true" ht="31.5" hidden="false" customHeight="false" outlineLevel="0" collapsed="false">
      <c r="A1530" s="1750"/>
      <c r="B1530" s="1744" t="s">
        <v>6763</v>
      </c>
      <c r="C1530" s="1745" t="s">
        <v>7471</v>
      </c>
      <c r="D1530" s="1756" t="n">
        <v>810</v>
      </c>
      <c r="E1530" s="1756" t="n">
        <v>810</v>
      </c>
      <c r="F1530" s="912"/>
      <c r="G1530" s="912"/>
      <c r="H1530" s="1700"/>
      <c r="I1530" s="912"/>
      <c r="J1530" s="606"/>
      <c r="K1530" s="606"/>
    </row>
    <row r="1531" s="311" customFormat="true" ht="63" hidden="false" customHeight="false" outlineLevel="0" collapsed="false">
      <c r="A1531" s="1750"/>
      <c r="B1531" s="1744" t="s">
        <v>3589</v>
      </c>
      <c r="C1531" s="1745" t="s">
        <v>7471</v>
      </c>
      <c r="D1531" s="1756" t="n">
        <v>810</v>
      </c>
      <c r="E1531" s="1756" t="n">
        <v>810</v>
      </c>
      <c r="F1531" s="912"/>
      <c r="G1531" s="912"/>
      <c r="H1531" s="1700"/>
      <c r="I1531" s="912"/>
      <c r="J1531" s="606"/>
      <c r="K1531" s="606"/>
    </row>
    <row r="1532" s="311" customFormat="true" ht="15.75" hidden="false" customHeight="false" outlineLevel="0" collapsed="false">
      <c r="A1532" s="1761" t="s">
        <v>6764</v>
      </c>
      <c r="B1532" s="1762" t="s">
        <v>6765</v>
      </c>
      <c r="C1532" s="1763"/>
      <c r="D1532" s="1764" t="n">
        <f aca="false">D1534+D1535+D1536+D1538</f>
        <v>3240</v>
      </c>
      <c r="E1532" s="1764" t="n">
        <f aca="false">E1534+E1535+E1536+E1538</f>
        <v>3240</v>
      </c>
      <c r="F1532" s="1763"/>
      <c r="G1532" s="1763"/>
      <c r="H1532" s="1763"/>
      <c r="I1532" s="1763"/>
      <c r="J1532" s="1763"/>
      <c r="K1532" s="1763"/>
    </row>
    <row r="1533" s="311" customFormat="true" ht="31.5" hidden="false" customHeight="false" outlineLevel="0" collapsed="false">
      <c r="A1533" s="1759" t="s">
        <v>6766</v>
      </c>
      <c r="B1533" s="1765" t="s">
        <v>6767</v>
      </c>
      <c r="C1533" s="1745"/>
      <c r="D1533" s="1756"/>
      <c r="E1533" s="1756"/>
      <c r="F1533" s="912"/>
      <c r="G1533" s="912"/>
      <c r="H1533" s="1700"/>
      <c r="I1533" s="912"/>
      <c r="J1533" s="606"/>
      <c r="K1533" s="606"/>
    </row>
    <row r="1534" s="311" customFormat="true" ht="15.75" hidden="false" customHeight="false" outlineLevel="0" collapsed="false">
      <c r="A1534" s="1759"/>
      <c r="B1534" s="1744" t="s">
        <v>6768</v>
      </c>
      <c r="C1534" s="1745" t="s">
        <v>7471</v>
      </c>
      <c r="D1534" s="1756" t="n">
        <v>810</v>
      </c>
      <c r="E1534" s="1756" t="n">
        <v>810</v>
      </c>
      <c r="F1534" s="912"/>
      <c r="G1534" s="912"/>
      <c r="H1534" s="1700"/>
      <c r="I1534" s="912"/>
      <c r="J1534" s="606"/>
      <c r="K1534" s="606"/>
    </row>
    <row r="1535" s="311" customFormat="true" ht="15.75" hidden="false" customHeight="false" outlineLevel="0" collapsed="false">
      <c r="A1535" s="1759"/>
      <c r="B1535" s="1744" t="s">
        <v>6769</v>
      </c>
      <c r="C1535" s="1745" t="s">
        <v>7471</v>
      </c>
      <c r="D1535" s="1756" t="n">
        <v>810</v>
      </c>
      <c r="E1535" s="1756" t="n">
        <v>810</v>
      </c>
      <c r="F1535" s="912"/>
      <c r="G1535" s="912"/>
      <c r="H1535" s="1700"/>
      <c r="I1535" s="912"/>
      <c r="J1535" s="606"/>
      <c r="K1535" s="606"/>
    </row>
    <row r="1536" s="311" customFormat="true" ht="15.75" hidden="false" customHeight="false" outlineLevel="0" collapsed="false">
      <c r="A1536" s="1759"/>
      <c r="B1536" s="1744" t="s">
        <v>6770</v>
      </c>
      <c r="C1536" s="1745" t="s">
        <v>7471</v>
      </c>
      <c r="D1536" s="1756" t="n">
        <v>810</v>
      </c>
      <c r="E1536" s="1756" t="n">
        <v>810</v>
      </c>
      <c r="F1536" s="912"/>
      <c r="G1536" s="912"/>
      <c r="H1536" s="1700"/>
      <c r="I1536" s="912"/>
      <c r="J1536" s="606"/>
      <c r="K1536" s="606"/>
    </row>
    <row r="1537" s="311" customFormat="true" ht="15.75" hidden="false" customHeight="false" outlineLevel="0" collapsed="false">
      <c r="A1537" s="1766" t="s">
        <v>6771</v>
      </c>
      <c r="B1537" s="1767" t="s">
        <v>3624</v>
      </c>
      <c r="C1537" s="1745"/>
      <c r="D1537" s="1756"/>
      <c r="E1537" s="1756"/>
      <c r="F1537" s="912"/>
      <c r="G1537" s="912"/>
      <c r="H1537" s="1700"/>
      <c r="I1537" s="912"/>
      <c r="J1537" s="606"/>
      <c r="K1537" s="606"/>
    </row>
    <row r="1538" s="311" customFormat="true" ht="31.5" hidden="false" customHeight="false" outlineLevel="0" collapsed="false">
      <c r="A1538" s="1750"/>
      <c r="B1538" s="1744" t="s">
        <v>3625</v>
      </c>
      <c r="C1538" s="1745" t="s">
        <v>7471</v>
      </c>
      <c r="D1538" s="1756" t="n">
        <v>810</v>
      </c>
      <c r="E1538" s="1756" t="n">
        <v>810</v>
      </c>
      <c r="F1538" s="912"/>
      <c r="G1538" s="912"/>
      <c r="H1538" s="1700"/>
      <c r="I1538" s="912"/>
      <c r="J1538" s="606"/>
      <c r="K1538" s="606"/>
    </row>
    <row r="1539" s="311" customFormat="true" ht="47.25" hidden="false" customHeight="false" outlineLevel="0" collapsed="false">
      <c r="A1539" s="1768" t="s">
        <v>6772</v>
      </c>
      <c r="B1539" s="1762" t="s">
        <v>6773</v>
      </c>
      <c r="C1539" s="1769"/>
      <c r="D1539" s="1764" t="n">
        <f aca="false">E1539</f>
        <v>3240</v>
      </c>
      <c r="E1539" s="1764" t="n">
        <f aca="false">E1541+E1542</f>
        <v>3240</v>
      </c>
      <c r="F1539" s="1769"/>
      <c r="G1539" s="1769"/>
      <c r="H1539" s="1769"/>
      <c r="I1539" s="1769"/>
      <c r="J1539" s="1769"/>
      <c r="K1539" s="1769"/>
    </row>
    <row r="1540" s="311" customFormat="true" ht="47.25" hidden="false" customHeight="false" outlineLevel="0" collapsed="false">
      <c r="A1540" s="1766" t="s">
        <v>7472</v>
      </c>
      <c r="B1540" s="1767" t="s">
        <v>6774</v>
      </c>
      <c r="C1540" s="1770"/>
      <c r="D1540" s="1771"/>
      <c r="E1540" s="1771"/>
      <c r="F1540" s="1770"/>
      <c r="G1540" s="1770"/>
      <c r="H1540" s="1770"/>
      <c r="I1540" s="1770"/>
      <c r="J1540" s="1770"/>
      <c r="K1540" s="1770"/>
    </row>
    <row r="1541" s="311" customFormat="true" ht="15.75" hidden="false" customHeight="false" outlineLevel="0" collapsed="false">
      <c r="A1541" s="1750"/>
      <c r="B1541" s="1744" t="s">
        <v>3611</v>
      </c>
      <c r="C1541" s="1751" t="s">
        <v>7471</v>
      </c>
      <c r="D1541" s="1746" t="n">
        <v>1620</v>
      </c>
      <c r="E1541" s="1746" t="n">
        <v>1620</v>
      </c>
      <c r="F1541" s="1751"/>
      <c r="G1541" s="1751"/>
      <c r="H1541" s="1751"/>
      <c r="I1541" s="1751"/>
      <c r="J1541" s="1751"/>
      <c r="K1541" s="1751"/>
    </row>
    <row r="1542" s="311" customFormat="true" ht="15.75" hidden="false" customHeight="false" outlineLevel="0" collapsed="false">
      <c r="A1542" s="1750"/>
      <c r="B1542" s="1744" t="s">
        <v>3612</v>
      </c>
      <c r="C1542" s="1751" t="s">
        <v>7471</v>
      </c>
      <c r="D1542" s="1746" t="n">
        <v>1620</v>
      </c>
      <c r="E1542" s="1746" t="n">
        <v>1620</v>
      </c>
      <c r="F1542" s="1751"/>
      <c r="G1542" s="1751"/>
      <c r="H1542" s="1751"/>
      <c r="I1542" s="1751"/>
      <c r="J1542" s="1751"/>
      <c r="K1542" s="1751"/>
    </row>
    <row r="1543" s="311" customFormat="true" ht="51.75" hidden="false" customHeight="true" outlineLevel="0" collapsed="false">
      <c r="A1543" s="1768" t="s">
        <v>6775</v>
      </c>
      <c r="B1543" s="1762" t="s">
        <v>6776</v>
      </c>
      <c r="C1543" s="1769"/>
      <c r="D1543" s="1764" t="n">
        <f aca="false">SUM(D1545:D1556)</f>
        <v>3240</v>
      </c>
      <c r="E1543" s="1764" t="n">
        <f aca="false">SUM(E1545:E1556)</f>
        <v>3240</v>
      </c>
      <c r="F1543" s="1769"/>
      <c r="G1543" s="1769"/>
      <c r="H1543" s="1769"/>
      <c r="I1543" s="1769"/>
      <c r="J1543" s="1769"/>
      <c r="K1543" s="1769"/>
    </row>
    <row r="1544" s="311" customFormat="true" ht="47.25" hidden="false" customHeight="false" outlineLevel="0" collapsed="false">
      <c r="A1544" s="1759" t="s">
        <v>6777</v>
      </c>
      <c r="B1544" s="1772" t="s">
        <v>6778</v>
      </c>
      <c r="C1544" s="1745"/>
      <c r="D1544" s="1189"/>
      <c r="E1544" s="1189"/>
      <c r="F1544" s="912"/>
      <c r="G1544" s="912"/>
      <c r="H1544" s="1700"/>
      <c r="I1544" s="912"/>
      <c r="J1544" s="606"/>
      <c r="K1544" s="606"/>
    </row>
    <row r="1545" s="311" customFormat="true" ht="31.5" hidden="false" customHeight="false" outlineLevel="0" collapsed="false">
      <c r="A1545" s="1750"/>
      <c r="B1545" s="1744" t="s">
        <v>3616</v>
      </c>
      <c r="C1545" s="1745" t="s">
        <v>7471</v>
      </c>
      <c r="D1545" s="1756" t="n">
        <v>290</v>
      </c>
      <c r="E1545" s="1756" t="n">
        <v>290</v>
      </c>
      <c r="F1545" s="912"/>
      <c r="G1545" s="912"/>
      <c r="H1545" s="1700"/>
      <c r="I1545" s="912"/>
      <c r="J1545" s="606"/>
      <c r="K1545" s="606"/>
    </row>
    <row r="1546" s="311" customFormat="true" ht="15.75" hidden="false" customHeight="false" outlineLevel="0" collapsed="false">
      <c r="A1546" s="1750"/>
      <c r="B1546" s="1744" t="s">
        <v>3594</v>
      </c>
      <c r="C1546" s="1745" t="s">
        <v>7471</v>
      </c>
      <c r="D1546" s="1756" t="n">
        <v>290</v>
      </c>
      <c r="E1546" s="1756" t="n">
        <v>290</v>
      </c>
      <c r="F1546" s="912"/>
      <c r="G1546" s="912"/>
      <c r="H1546" s="1700"/>
      <c r="I1546" s="912"/>
      <c r="J1546" s="606"/>
      <c r="K1546" s="606"/>
    </row>
    <row r="1547" s="311" customFormat="true" ht="15.75" hidden="false" customHeight="false" outlineLevel="0" collapsed="false">
      <c r="A1547" s="1750"/>
      <c r="B1547" s="1744" t="s">
        <v>3595</v>
      </c>
      <c r="C1547" s="1745" t="s">
        <v>7471</v>
      </c>
      <c r="D1547" s="1756" t="n">
        <v>290</v>
      </c>
      <c r="E1547" s="1756" t="n">
        <v>290</v>
      </c>
      <c r="F1547" s="912"/>
      <c r="G1547" s="912"/>
      <c r="H1547" s="1700"/>
      <c r="I1547" s="912"/>
      <c r="J1547" s="606"/>
      <c r="K1547" s="606"/>
    </row>
    <row r="1548" s="311" customFormat="true" ht="31.5" hidden="false" customHeight="false" outlineLevel="0" collapsed="false">
      <c r="A1548" s="1750"/>
      <c r="B1548" s="1744" t="s">
        <v>3617</v>
      </c>
      <c r="C1548" s="1745" t="s">
        <v>7471</v>
      </c>
      <c r="D1548" s="1756" t="n">
        <v>290</v>
      </c>
      <c r="E1548" s="1756" t="n">
        <v>290</v>
      </c>
      <c r="F1548" s="912"/>
      <c r="G1548" s="912"/>
      <c r="H1548" s="1700"/>
      <c r="I1548" s="912"/>
      <c r="J1548" s="606"/>
      <c r="K1548" s="606"/>
    </row>
    <row r="1549" s="311" customFormat="true" ht="15.75" hidden="false" customHeight="false" outlineLevel="0" collapsed="false">
      <c r="A1549" s="1750"/>
      <c r="B1549" s="1744" t="s">
        <v>3618</v>
      </c>
      <c r="C1549" s="1745" t="s">
        <v>7471</v>
      </c>
      <c r="D1549" s="1756" t="n">
        <v>290</v>
      </c>
      <c r="E1549" s="1756" t="n">
        <v>290</v>
      </c>
      <c r="F1549" s="912"/>
      <c r="G1549" s="912"/>
      <c r="H1549" s="1700"/>
      <c r="I1549" s="912"/>
      <c r="J1549" s="606"/>
      <c r="K1549" s="606"/>
    </row>
    <row r="1550" s="311" customFormat="true" ht="15.75" hidden="false" customHeight="false" outlineLevel="0" collapsed="false">
      <c r="A1550" s="1750"/>
      <c r="B1550" s="1744" t="s">
        <v>3619</v>
      </c>
      <c r="C1550" s="1745" t="s">
        <v>7471</v>
      </c>
      <c r="D1550" s="1756" t="n">
        <v>290</v>
      </c>
      <c r="E1550" s="1756" t="n">
        <v>290</v>
      </c>
      <c r="F1550" s="912"/>
      <c r="G1550" s="912"/>
      <c r="H1550" s="1700"/>
      <c r="I1550" s="912"/>
      <c r="J1550" s="606"/>
      <c r="K1550" s="606"/>
    </row>
    <row r="1551" s="311" customFormat="true" ht="31.5" hidden="false" customHeight="false" outlineLevel="0" collapsed="false">
      <c r="A1551" s="1750"/>
      <c r="B1551" s="1744" t="s">
        <v>3620</v>
      </c>
      <c r="C1551" s="1745" t="s">
        <v>7471</v>
      </c>
      <c r="D1551" s="1756" t="n">
        <v>290</v>
      </c>
      <c r="E1551" s="1756" t="n">
        <v>290</v>
      </c>
      <c r="F1551" s="912"/>
      <c r="G1551" s="912"/>
      <c r="H1551" s="1700"/>
      <c r="I1551" s="912"/>
      <c r="J1551" s="606"/>
      <c r="K1551" s="606"/>
    </row>
    <row r="1552" s="311" customFormat="true" ht="15.75" hidden="false" customHeight="false" outlineLevel="0" collapsed="false">
      <c r="A1552" s="1750"/>
      <c r="B1552" s="1744" t="s">
        <v>3621</v>
      </c>
      <c r="C1552" s="1745" t="s">
        <v>7471</v>
      </c>
      <c r="D1552" s="1756" t="n">
        <v>290</v>
      </c>
      <c r="E1552" s="1756" t="n">
        <v>290</v>
      </c>
      <c r="F1552" s="912"/>
      <c r="G1552" s="912"/>
      <c r="H1552" s="1700"/>
      <c r="I1552" s="912"/>
      <c r="J1552" s="606"/>
      <c r="K1552" s="606"/>
    </row>
    <row r="1553" s="311" customFormat="true" ht="15.75" hidden="false" customHeight="false" outlineLevel="0" collapsed="false">
      <c r="A1553" s="1750"/>
      <c r="B1553" s="1744" t="s">
        <v>3622</v>
      </c>
      <c r="C1553" s="1745" t="s">
        <v>7471</v>
      </c>
      <c r="D1553" s="1756" t="n">
        <v>290</v>
      </c>
      <c r="E1553" s="1756" t="n">
        <v>290</v>
      </c>
      <c r="F1553" s="912"/>
      <c r="G1553" s="912"/>
      <c r="H1553" s="1700"/>
      <c r="I1553" s="912"/>
      <c r="J1553" s="606"/>
      <c r="K1553" s="606"/>
    </row>
    <row r="1554" s="311" customFormat="true" ht="15.75" hidden="false" customHeight="false" outlineLevel="0" collapsed="false">
      <c r="A1554" s="1750"/>
      <c r="B1554" s="1744" t="s">
        <v>6804</v>
      </c>
      <c r="C1554" s="1745" t="s">
        <v>7471</v>
      </c>
      <c r="D1554" s="1756" t="n">
        <v>290</v>
      </c>
      <c r="E1554" s="1756" t="n">
        <v>290</v>
      </c>
      <c r="F1554" s="912"/>
      <c r="G1554" s="912"/>
      <c r="H1554" s="1700"/>
      <c r="I1554" s="912"/>
      <c r="J1554" s="606"/>
      <c r="K1554" s="606"/>
    </row>
    <row r="1555" s="311" customFormat="true" ht="15.75" hidden="false" customHeight="false" outlineLevel="0" collapsed="false">
      <c r="A1555" s="1766" t="s">
        <v>6807</v>
      </c>
      <c r="B1555" s="1767" t="s">
        <v>3626</v>
      </c>
      <c r="C1555" s="1770"/>
      <c r="D1555" s="1773"/>
      <c r="E1555" s="1167"/>
      <c r="F1555" s="912"/>
      <c r="G1555" s="912"/>
      <c r="H1555" s="1700"/>
      <c r="I1555" s="912"/>
      <c r="J1555" s="606"/>
      <c r="K1555" s="606"/>
    </row>
    <row r="1556" s="311" customFormat="true" ht="31.5" hidden="false" customHeight="false" outlineLevel="0" collapsed="false">
      <c r="A1556" s="1750"/>
      <c r="B1556" s="1765" t="s">
        <v>6808</v>
      </c>
      <c r="C1556" s="1745" t="s">
        <v>7471</v>
      </c>
      <c r="D1556" s="1167" t="n">
        <v>340</v>
      </c>
      <c r="E1556" s="1167" t="n">
        <v>340</v>
      </c>
      <c r="F1556" s="912"/>
      <c r="G1556" s="912"/>
      <c r="H1556" s="1700"/>
      <c r="I1556" s="912"/>
      <c r="J1556" s="606"/>
      <c r="K1556" s="606"/>
    </row>
    <row r="1557" s="311" customFormat="true" ht="31.5" hidden="false" customHeight="false" outlineLevel="0" collapsed="false">
      <c r="A1557" s="1768" t="s">
        <v>6809</v>
      </c>
      <c r="B1557" s="1762" t="s">
        <v>6810</v>
      </c>
      <c r="C1557" s="1741" t="s">
        <v>7471</v>
      </c>
      <c r="D1557" s="1752" t="n">
        <v>3240</v>
      </c>
      <c r="E1557" s="1752" t="n">
        <v>3240</v>
      </c>
      <c r="F1557" s="1768"/>
      <c r="G1557" s="1762"/>
      <c r="H1557" s="1741"/>
      <c r="I1557" s="1753"/>
      <c r="J1557" s="1753"/>
      <c r="K1557" s="1768"/>
    </row>
    <row r="1558" s="311" customFormat="true" ht="31.5" hidden="false" customHeight="false" outlineLevel="0" collapsed="false">
      <c r="A1558" s="1768" t="s">
        <v>6813</v>
      </c>
      <c r="B1558" s="1762" t="s">
        <v>6814</v>
      </c>
      <c r="C1558" s="1741" t="s">
        <v>7471</v>
      </c>
      <c r="D1558" s="1752" t="n">
        <v>3240</v>
      </c>
      <c r="E1558" s="1752" t="n">
        <v>3240</v>
      </c>
      <c r="F1558" s="1768"/>
      <c r="G1558" s="1762"/>
      <c r="H1558" s="1741"/>
      <c r="I1558" s="1753"/>
      <c r="J1558" s="1753"/>
      <c r="K1558" s="1768"/>
    </row>
    <row r="1559" s="311" customFormat="true" ht="31.5" hidden="false" customHeight="false" outlineLevel="0" collapsed="false">
      <c r="A1559" s="1768" t="s">
        <v>6828</v>
      </c>
      <c r="B1559" s="1762" t="s">
        <v>6829</v>
      </c>
      <c r="C1559" s="1741" t="s">
        <v>7471</v>
      </c>
      <c r="D1559" s="1752" t="n">
        <v>3240</v>
      </c>
      <c r="E1559" s="1752" t="n">
        <v>3240</v>
      </c>
      <c r="F1559" s="1768"/>
      <c r="G1559" s="1762"/>
      <c r="H1559" s="1741"/>
      <c r="I1559" s="1753"/>
      <c r="J1559" s="1753"/>
      <c r="K1559" s="1768"/>
    </row>
    <row r="1560" s="311" customFormat="true" ht="15.75" hidden="false" customHeight="false" outlineLevel="0" collapsed="false">
      <c r="A1560" s="1768" t="s">
        <v>6841</v>
      </c>
      <c r="B1560" s="1762" t="s">
        <v>6842</v>
      </c>
      <c r="C1560" s="1741" t="s">
        <v>7471</v>
      </c>
      <c r="D1560" s="1752" t="n">
        <v>3240</v>
      </c>
      <c r="E1560" s="1752" t="n">
        <v>3240</v>
      </c>
      <c r="F1560" s="1768"/>
      <c r="G1560" s="1762"/>
      <c r="H1560" s="1741"/>
      <c r="I1560" s="1753"/>
      <c r="J1560" s="1753"/>
      <c r="K1560" s="1768"/>
    </row>
    <row r="1561" s="311" customFormat="true" ht="31.5" hidden="false" customHeight="false" outlineLevel="0" collapsed="false">
      <c r="A1561" s="1768" t="s">
        <v>6850</v>
      </c>
      <c r="B1561" s="1762" t="s">
        <v>6851</v>
      </c>
      <c r="C1561" s="1745"/>
      <c r="D1561" s="1167"/>
      <c r="E1561" s="1167"/>
      <c r="F1561" s="912"/>
      <c r="G1561" s="912"/>
      <c r="H1561" s="1700"/>
      <c r="I1561" s="912"/>
      <c r="J1561" s="606"/>
      <c r="K1561" s="606"/>
    </row>
    <row r="1562" s="311" customFormat="true" ht="47.25" hidden="false" customHeight="false" outlineLevel="0" collapsed="false">
      <c r="A1562" s="1745"/>
      <c r="B1562" s="1774" t="s">
        <v>7473</v>
      </c>
      <c r="C1562" s="1775" t="s">
        <v>7471</v>
      </c>
      <c r="D1562" s="1755" t="n">
        <v>3240</v>
      </c>
      <c r="E1562" s="1756" t="n">
        <v>3240</v>
      </c>
      <c r="F1562" s="912"/>
      <c r="G1562" s="912"/>
      <c r="H1562" s="1700"/>
      <c r="I1562" s="912"/>
      <c r="J1562" s="606"/>
      <c r="K1562" s="606"/>
    </row>
    <row r="1563" s="311" customFormat="true" ht="47.25" hidden="false" customHeight="false" outlineLevel="0" collapsed="false">
      <c r="A1563" s="1768" t="s">
        <v>6852</v>
      </c>
      <c r="B1563" s="1762" t="s">
        <v>6853</v>
      </c>
      <c r="C1563" s="1762"/>
      <c r="D1563" s="1776"/>
      <c r="E1563" s="1776"/>
      <c r="F1563" s="1762"/>
      <c r="G1563" s="1762"/>
      <c r="H1563" s="1762"/>
      <c r="I1563" s="1762"/>
      <c r="J1563" s="1762"/>
      <c r="K1563" s="1762"/>
    </row>
    <row r="1564" s="311" customFormat="true" ht="47.25" hidden="false" customHeight="false" outlineLevel="0" collapsed="false">
      <c r="A1564" s="1777"/>
      <c r="B1564" s="1744" t="s">
        <v>7474</v>
      </c>
      <c r="C1564" s="1745" t="s">
        <v>7471</v>
      </c>
      <c r="D1564" s="1189" t="n">
        <v>3240</v>
      </c>
      <c r="E1564" s="1189" t="n">
        <v>3240</v>
      </c>
      <c r="F1564" s="1777"/>
      <c r="G1564" s="1777"/>
      <c r="H1564" s="1777"/>
      <c r="I1564" s="1777"/>
      <c r="J1564" s="1777"/>
      <c r="K1564" s="1777"/>
    </row>
    <row r="1565" s="1778" customFormat="true" ht="31.5" hidden="false" customHeight="false" outlineLevel="0" collapsed="false">
      <c r="A1565" s="1768" t="s">
        <v>6854</v>
      </c>
      <c r="B1565" s="1762" t="s">
        <v>6855</v>
      </c>
      <c r="C1565" s="1762"/>
      <c r="D1565" s="1776"/>
      <c r="E1565" s="1776"/>
      <c r="F1565" s="1762"/>
      <c r="G1565" s="1762"/>
      <c r="H1565" s="1762"/>
      <c r="I1565" s="1762"/>
      <c r="J1565" s="1762"/>
      <c r="K1565" s="1762"/>
    </row>
    <row r="1566" s="311" customFormat="true" ht="15.75" hidden="false" customHeight="false" outlineLevel="0" collapsed="false">
      <c r="A1566" s="1779"/>
      <c r="B1566" s="1780" t="s">
        <v>6856</v>
      </c>
      <c r="C1566" s="1754" t="s">
        <v>7471</v>
      </c>
      <c r="D1566" s="1781" t="n">
        <v>3240</v>
      </c>
      <c r="E1566" s="1781" t="n">
        <v>3240</v>
      </c>
      <c r="F1566" s="1779"/>
      <c r="G1566" s="1782"/>
      <c r="H1566" s="1754"/>
      <c r="I1566" s="1783"/>
      <c r="J1566" s="1783"/>
      <c r="K1566" s="1779"/>
    </row>
    <row r="1567" s="311" customFormat="true" ht="148.5" hidden="false" customHeight="true" outlineLevel="0" collapsed="false">
      <c r="A1567" s="1768" t="s">
        <v>6859</v>
      </c>
      <c r="B1567" s="1762" t="s">
        <v>6860</v>
      </c>
      <c r="C1567" s="1741"/>
      <c r="D1567" s="1752"/>
      <c r="E1567" s="1752"/>
      <c r="F1567" s="1768"/>
      <c r="G1567" s="1762"/>
      <c r="H1567" s="1741"/>
      <c r="I1567" s="1753"/>
      <c r="J1567" s="1753"/>
      <c r="K1567" s="1768"/>
    </row>
    <row r="1568" s="311" customFormat="true" ht="165" hidden="false" customHeight="false" outlineLevel="0" collapsed="false">
      <c r="A1568" s="1768"/>
      <c r="B1568" s="1784" t="s">
        <v>7475</v>
      </c>
      <c r="C1568" s="1741" t="s">
        <v>7471</v>
      </c>
      <c r="D1568" s="1752" t="n">
        <v>3240</v>
      </c>
      <c r="E1568" s="1752" t="n">
        <v>3240</v>
      </c>
      <c r="F1568" s="1768"/>
      <c r="G1568" s="1762"/>
      <c r="H1568" s="1741"/>
      <c r="I1568" s="1753"/>
      <c r="J1568" s="1753"/>
      <c r="K1568" s="1768"/>
    </row>
    <row r="1569" s="311" customFormat="true" ht="47.25" hidden="false" customHeight="false" outlineLevel="0" collapsed="false">
      <c r="A1569" s="1768" t="s">
        <v>6861</v>
      </c>
      <c r="B1569" s="1762" t="s">
        <v>6862</v>
      </c>
      <c r="C1569" s="1768"/>
      <c r="D1569" s="1785" t="n">
        <f aca="false">SUM(D1570:D1573)</f>
        <v>3240</v>
      </c>
      <c r="E1569" s="1785" t="n">
        <f aca="false">SUM(E1570:E1573)</f>
        <v>3240</v>
      </c>
      <c r="F1569" s="1768"/>
      <c r="G1569" s="1762"/>
      <c r="H1569" s="1741"/>
      <c r="I1569" s="1753"/>
      <c r="J1569" s="1753"/>
      <c r="K1569" s="1768"/>
    </row>
    <row r="1570" s="311" customFormat="true" ht="31.5" hidden="false" customHeight="false" outlineLevel="0" collapsed="false">
      <c r="A1570" s="1750"/>
      <c r="B1570" s="1744" t="s">
        <v>6863</v>
      </c>
      <c r="C1570" s="1745" t="s">
        <v>7471</v>
      </c>
      <c r="D1570" s="1756" t="n">
        <v>810</v>
      </c>
      <c r="E1570" s="1756" t="n">
        <v>810</v>
      </c>
      <c r="F1570" s="912"/>
      <c r="G1570" s="912"/>
      <c r="H1570" s="1700"/>
      <c r="I1570" s="912"/>
      <c r="J1570" s="606"/>
      <c r="K1570" s="606"/>
    </row>
    <row r="1571" s="311" customFormat="true" ht="47.25" hidden="false" customHeight="false" outlineLevel="0" collapsed="false">
      <c r="A1571" s="1750"/>
      <c r="B1571" s="1744" t="s">
        <v>6871</v>
      </c>
      <c r="C1571" s="1745" t="s">
        <v>7471</v>
      </c>
      <c r="D1571" s="1756" t="n">
        <v>810</v>
      </c>
      <c r="E1571" s="1756" t="n">
        <v>810</v>
      </c>
      <c r="F1571" s="912"/>
      <c r="G1571" s="912"/>
      <c r="H1571" s="531"/>
      <c r="I1571" s="912"/>
      <c r="J1571" s="606"/>
      <c r="K1571" s="606"/>
    </row>
    <row r="1572" s="311" customFormat="true" ht="31.5" hidden="false" customHeight="false" outlineLevel="0" collapsed="false">
      <c r="A1572" s="1750"/>
      <c r="B1572" s="1744" t="s">
        <v>6877</v>
      </c>
      <c r="C1572" s="1745" t="s">
        <v>7471</v>
      </c>
      <c r="D1572" s="1756" t="n">
        <v>810</v>
      </c>
      <c r="E1572" s="1756" t="n">
        <v>810</v>
      </c>
      <c r="F1572" s="912"/>
      <c r="G1572" s="912"/>
      <c r="H1572" s="1700"/>
      <c r="I1572" s="912"/>
      <c r="J1572" s="606"/>
      <c r="K1572" s="606"/>
    </row>
    <row r="1573" s="311" customFormat="true" ht="31.5" hidden="false" customHeight="false" outlineLevel="0" collapsed="false">
      <c r="A1573" s="1750"/>
      <c r="B1573" s="1744" t="s">
        <v>6880</v>
      </c>
      <c r="C1573" s="1745" t="s">
        <v>7471</v>
      </c>
      <c r="D1573" s="1756" t="n">
        <v>810</v>
      </c>
      <c r="E1573" s="1756" t="n">
        <v>810</v>
      </c>
      <c r="F1573" s="912"/>
      <c r="G1573" s="912"/>
      <c r="H1573" s="1700"/>
      <c r="I1573" s="912"/>
      <c r="J1573" s="606"/>
      <c r="K1573" s="606"/>
    </row>
    <row r="1574" s="1778" customFormat="true" ht="42" hidden="false" customHeight="true" outlineLevel="0" collapsed="false">
      <c r="A1574" s="1786" t="s">
        <v>6881</v>
      </c>
      <c r="B1574" s="1786" t="s">
        <v>6882</v>
      </c>
      <c r="C1574" s="1786" t="s">
        <v>7471</v>
      </c>
      <c r="D1574" s="1764" t="n">
        <v>3240</v>
      </c>
      <c r="E1574" s="1764" t="n">
        <v>3240</v>
      </c>
      <c r="F1574" s="1786"/>
      <c r="G1574" s="1786"/>
      <c r="H1574" s="1786"/>
      <c r="I1574" s="1786"/>
      <c r="J1574" s="1786"/>
      <c r="K1574" s="1786"/>
    </row>
    <row r="1575" s="311" customFormat="true" ht="23.25" hidden="false" customHeight="true" outlineLevel="0" collapsed="false">
      <c r="A1575" s="93" t="n">
        <v>18</v>
      </c>
      <c r="B1575" s="92" t="s">
        <v>4042</v>
      </c>
      <c r="C1575" s="1787"/>
      <c r="D1575" s="1728"/>
      <c r="E1575" s="1728"/>
      <c r="F1575" s="1788"/>
      <c r="G1575" s="551"/>
      <c r="H1575" s="1787"/>
      <c r="I1575" s="1729"/>
      <c r="J1575" s="1729"/>
      <c r="K1575" s="559"/>
    </row>
    <row r="1576" s="311" customFormat="true" ht="18" hidden="false" customHeight="true" outlineLevel="0" collapsed="false">
      <c r="A1576" s="1789" t="s">
        <v>2644</v>
      </c>
      <c r="B1576" s="203" t="s">
        <v>4043</v>
      </c>
      <c r="C1576" s="1754" t="s">
        <v>7471</v>
      </c>
      <c r="D1576" s="1790" t="n">
        <f aca="false">E1576</f>
        <v>480</v>
      </c>
      <c r="E1576" s="1790" t="n">
        <f aca="false">8*60</f>
        <v>480</v>
      </c>
      <c r="F1576" s="1791"/>
      <c r="G1576" s="565"/>
      <c r="H1576" s="1792"/>
      <c r="I1576" s="1793"/>
      <c r="J1576" s="1793"/>
      <c r="K1576" s="1791"/>
    </row>
    <row r="1577" s="311" customFormat="true" ht="18" hidden="false" customHeight="true" outlineLevel="0" collapsed="false">
      <c r="A1577" s="1789" t="s">
        <v>2646</v>
      </c>
      <c r="B1577" s="203" t="s">
        <v>4044</v>
      </c>
      <c r="C1577" s="1754" t="s">
        <v>7471</v>
      </c>
      <c r="D1577" s="1790" t="n">
        <f aca="false">E1577</f>
        <v>480</v>
      </c>
      <c r="E1577" s="1790" t="n">
        <f aca="false">8*60</f>
        <v>480</v>
      </c>
      <c r="F1577" s="1791"/>
      <c r="G1577" s="565"/>
      <c r="H1577" s="1792"/>
      <c r="I1577" s="1793"/>
      <c r="J1577" s="1793"/>
      <c r="K1577" s="1791"/>
    </row>
    <row r="1578" s="1778" customFormat="true" ht="47.25" hidden="false" customHeight="true" outlineLevel="0" collapsed="false">
      <c r="A1578" s="1794" t="s">
        <v>2648</v>
      </c>
      <c r="B1578" s="1795" t="s">
        <v>4045</v>
      </c>
      <c r="C1578" s="1754" t="s">
        <v>7471</v>
      </c>
      <c r="D1578" s="1790" t="n">
        <f aca="false">E1578</f>
        <v>480</v>
      </c>
      <c r="E1578" s="1790" t="n">
        <f aca="false">8*60</f>
        <v>480</v>
      </c>
      <c r="F1578" s="1796"/>
      <c r="G1578" s="1796"/>
      <c r="H1578" s="1797"/>
      <c r="I1578" s="1796"/>
      <c r="J1578" s="1798"/>
      <c r="K1578" s="1798"/>
    </row>
    <row r="1579" s="311" customFormat="true" ht="41.25" hidden="false" customHeight="true" outlineLevel="0" collapsed="false">
      <c r="A1579" s="1794" t="s">
        <v>2650</v>
      </c>
      <c r="B1579" s="1795" t="s">
        <v>4046</v>
      </c>
      <c r="C1579" s="1754" t="s">
        <v>7471</v>
      </c>
      <c r="D1579" s="1790" t="n">
        <f aca="false">E1579</f>
        <v>480</v>
      </c>
      <c r="E1579" s="1790" t="n">
        <f aca="false">8*60</f>
        <v>480</v>
      </c>
      <c r="F1579" s="1796"/>
      <c r="G1579" s="1796"/>
      <c r="H1579" s="1797"/>
      <c r="I1579" s="1796"/>
      <c r="J1579" s="1798"/>
      <c r="K1579" s="1798"/>
    </row>
    <row r="1580" s="311" customFormat="true" ht="30.75" hidden="false" customHeight="true" outlineLevel="0" collapsed="false">
      <c r="A1580" s="207" t="n">
        <v>19</v>
      </c>
      <c r="B1580" s="92" t="s">
        <v>4047</v>
      </c>
      <c r="C1580" s="551"/>
      <c r="D1580" s="357"/>
      <c r="E1580" s="357"/>
      <c r="F1580" s="551"/>
      <c r="G1580" s="551"/>
      <c r="H1580" s="551"/>
      <c r="I1580" s="551"/>
      <c r="J1580" s="551"/>
      <c r="K1580" s="551"/>
    </row>
    <row r="1581" s="2" customFormat="true" ht="30" hidden="false" customHeight="false" outlineLevel="0" collapsed="false">
      <c r="A1581" s="142" t="s">
        <v>2656</v>
      </c>
      <c r="B1581" s="49" t="s">
        <v>4048</v>
      </c>
      <c r="C1581" s="1745" t="s">
        <v>7471</v>
      </c>
      <c r="D1581" s="1167" t="n">
        <f aca="false">E1581</f>
        <v>120</v>
      </c>
      <c r="E1581" s="1167" t="n">
        <v>120</v>
      </c>
      <c r="F1581" s="912"/>
      <c r="G1581" s="912"/>
      <c r="H1581" s="1700"/>
      <c r="I1581" s="912"/>
      <c r="J1581" s="606"/>
      <c r="K1581" s="606"/>
    </row>
    <row r="1582" s="1799" customFormat="true" ht="42.75" hidden="false" customHeight="true" outlineLevel="0" collapsed="false">
      <c r="A1582" s="152" t="s">
        <v>2658</v>
      </c>
      <c r="B1582" s="211" t="s">
        <v>4049</v>
      </c>
      <c r="C1582" s="211"/>
      <c r="D1582" s="211"/>
      <c r="E1582" s="211"/>
      <c r="F1582" s="551"/>
      <c r="G1582" s="551"/>
      <c r="H1582" s="551"/>
      <c r="I1582" s="551"/>
      <c r="J1582" s="551"/>
      <c r="K1582" s="551"/>
    </row>
    <row r="1583" s="1800" customFormat="true" ht="30" hidden="false" customHeight="true" outlineLevel="0" collapsed="false">
      <c r="A1583" s="426"/>
      <c r="B1583" s="213" t="s">
        <v>4050</v>
      </c>
      <c r="C1583" s="423"/>
      <c r="D1583" s="1736"/>
      <c r="E1583" s="1736"/>
      <c r="F1583" s="565"/>
      <c r="G1583" s="565"/>
      <c r="H1583" s="565"/>
      <c r="I1583" s="565"/>
      <c r="J1583" s="565"/>
      <c r="K1583" s="565"/>
    </row>
    <row r="1584" s="1799" customFormat="true" ht="31.5" hidden="false" customHeight="false" outlineLevel="0" collapsed="false">
      <c r="A1584" s="427" t="s">
        <v>2662</v>
      </c>
      <c r="B1584" s="430" t="s">
        <v>4101</v>
      </c>
      <c r="C1584" s="1745"/>
      <c r="D1584" s="1773"/>
      <c r="E1584" s="1773"/>
      <c r="F1584" s="1801"/>
      <c r="G1584" s="1801"/>
      <c r="H1584" s="1801"/>
      <c r="I1584" s="1801"/>
      <c r="J1584" s="1801"/>
      <c r="K1584" s="1801"/>
    </row>
    <row r="1585" s="1799" customFormat="true" ht="18.75" hidden="false" customHeight="false" outlineLevel="0" collapsed="false">
      <c r="A1585" s="428"/>
      <c r="B1585" s="1802" t="s">
        <v>4051</v>
      </c>
      <c r="C1585" s="1745"/>
      <c r="D1585" s="1773"/>
      <c r="E1585" s="1773"/>
      <c r="F1585" s="1801"/>
      <c r="G1585" s="1801"/>
      <c r="H1585" s="1801"/>
      <c r="I1585" s="1801"/>
      <c r="J1585" s="1745"/>
      <c r="K1585" s="1801"/>
    </row>
    <row r="1586" s="1799" customFormat="true" ht="31.5" hidden="false" customHeight="true" outlineLevel="0" collapsed="false">
      <c r="A1586" s="428"/>
      <c r="B1586" s="1802" t="s">
        <v>7476</v>
      </c>
      <c r="C1586" s="1745" t="s">
        <v>7471</v>
      </c>
      <c r="D1586" s="1773" t="n">
        <f aca="false">E1586</f>
        <v>60</v>
      </c>
      <c r="E1586" s="1773" t="n">
        <v>60</v>
      </c>
      <c r="F1586" s="1801"/>
      <c r="G1586" s="1801"/>
      <c r="H1586" s="1801"/>
      <c r="I1586" s="1801"/>
      <c r="J1586" s="1745" t="s">
        <v>7477</v>
      </c>
      <c r="K1586" s="1801"/>
    </row>
    <row r="1587" s="1799" customFormat="true" ht="31.5" hidden="false" customHeight="true" outlineLevel="0" collapsed="false">
      <c r="A1587" s="428"/>
      <c r="B1587" s="1802" t="s">
        <v>7478</v>
      </c>
      <c r="C1587" s="1745" t="s">
        <v>7471</v>
      </c>
      <c r="D1587" s="1773" t="n">
        <f aca="false">E1587</f>
        <v>60</v>
      </c>
      <c r="E1587" s="1773" t="n">
        <v>60</v>
      </c>
      <c r="F1587" s="1801"/>
      <c r="G1587" s="1801"/>
      <c r="H1587" s="1801"/>
      <c r="I1587" s="1801"/>
      <c r="J1587" s="1745"/>
      <c r="K1587" s="1801"/>
    </row>
    <row r="1588" s="1799" customFormat="true" ht="31.5" hidden="false" customHeight="true" outlineLevel="0" collapsed="false">
      <c r="A1588" s="428"/>
      <c r="B1588" s="1802" t="s">
        <v>7479</v>
      </c>
      <c r="C1588" s="1745" t="s">
        <v>7471</v>
      </c>
      <c r="D1588" s="1773" t="n">
        <v>60</v>
      </c>
      <c r="E1588" s="1773" t="n">
        <v>60</v>
      </c>
      <c r="F1588" s="1801"/>
      <c r="G1588" s="1801"/>
      <c r="H1588" s="1801"/>
      <c r="I1588" s="1801"/>
      <c r="J1588" s="1745"/>
      <c r="K1588" s="1801"/>
    </row>
    <row r="1589" s="1799" customFormat="true" ht="18.75" hidden="false" customHeight="false" outlineLevel="0" collapsed="false">
      <c r="A1589" s="428"/>
      <c r="B1589" s="1802" t="s">
        <v>7480</v>
      </c>
      <c r="C1589" s="1745" t="s">
        <v>7471</v>
      </c>
      <c r="D1589" s="1773" t="n">
        <v>60</v>
      </c>
      <c r="E1589" s="1773" t="n">
        <v>60</v>
      </c>
      <c r="F1589" s="1801"/>
      <c r="G1589" s="1801"/>
      <c r="H1589" s="1801"/>
      <c r="I1589" s="1801"/>
      <c r="J1589" s="1745"/>
      <c r="K1589" s="1801"/>
    </row>
    <row r="1590" s="1799" customFormat="true" ht="45" hidden="false" customHeight="false" outlineLevel="0" collapsed="false">
      <c r="A1590" s="427" t="s">
        <v>2672</v>
      </c>
      <c r="B1590" s="217" t="s">
        <v>4056</v>
      </c>
      <c r="C1590" s="1745"/>
      <c r="D1590" s="1773"/>
      <c r="E1590" s="1773"/>
      <c r="F1590" s="1801"/>
      <c r="G1590" s="1801"/>
      <c r="H1590" s="1801"/>
      <c r="I1590" s="1801"/>
      <c r="J1590" s="1801"/>
      <c r="K1590" s="1801"/>
    </row>
    <row r="1591" s="1799" customFormat="true" ht="18.75" hidden="false" customHeight="false" outlineLevel="0" collapsed="false">
      <c r="A1591" s="427"/>
      <c r="B1591" s="1802" t="s">
        <v>7476</v>
      </c>
      <c r="C1591" s="1745" t="s">
        <v>7471</v>
      </c>
      <c r="D1591" s="1773" t="n">
        <f aca="false">E1591</f>
        <v>60</v>
      </c>
      <c r="E1591" s="1773" t="n">
        <v>60</v>
      </c>
      <c r="F1591" s="1801"/>
      <c r="G1591" s="1801"/>
      <c r="H1591" s="1801"/>
      <c r="I1591" s="1801"/>
      <c r="J1591" s="1803"/>
      <c r="K1591" s="1801"/>
    </row>
    <row r="1592" s="1799" customFormat="true" ht="35.25" hidden="false" customHeight="true" outlineLevel="0" collapsed="false">
      <c r="A1592" s="429"/>
      <c r="B1592" s="1802" t="s">
        <v>7478</v>
      </c>
      <c r="C1592" s="1745" t="s">
        <v>7471</v>
      </c>
      <c r="D1592" s="1773" t="n">
        <f aca="false">E1592</f>
        <v>60</v>
      </c>
      <c r="E1592" s="1773" t="n">
        <v>60</v>
      </c>
      <c r="F1592" s="1801"/>
      <c r="G1592" s="1801"/>
      <c r="H1592" s="1801"/>
      <c r="I1592" s="1801"/>
      <c r="J1592" s="1804"/>
      <c r="K1592" s="1801"/>
    </row>
    <row r="1593" s="1799" customFormat="true" ht="28.5" hidden="false" customHeight="true" outlineLevel="0" collapsed="false">
      <c r="A1593" s="429"/>
      <c r="B1593" s="1802" t="s">
        <v>7479</v>
      </c>
      <c r="C1593" s="1745" t="s">
        <v>7471</v>
      </c>
      <c r="D1593" s="1773" t="n">
        <v>60</v>
      </c>
      <c r="E1593" s="1773" t="n">
        <v>60</v>
      </c>
      <c r="F1593" s="1801"/>
      <c r="G1593" s="1801"/>
      <c r="H1593" s="1801"/>
      <c r="I1593" s="1801"/>
      <c r="J1593" s="1804"/>
      <c r="K1593" s="1801"/>
    </row>
    <row r="1594" customFormat="false" ht="18.75" hidden="false" customHeight="false" outlineLevel="0" collapsed="false">
      <c r="A1594" s="429"/>
      <c r="B1594" s="1802" t="s">
        <v>7480</v>
      </c>
      <c r="C1594" s="1745" t="s">
        <v>7471</v>
      </c>
      <c r="D1594" s="1773" t="n">
        <v>60</v>
      </c>
      <c r="E1594" s="1773" t="n">
        <v>60</v>
      </c>
      <c r="F1594" s="1801"/>
      <c r="G1594" s="1801"/>
      <c r="H1594" s="1801"/>
      <c r="I1594" s="1801"/>
      <c r="J1594" s="679"/>
      <c r="K1594" s="679"/>
    </row>
    <row r="1595" customFormat="false" ht="47.25" hidden="false" customHeight="true" outlineLevel="0" collapsed="false">
      <c r="A1595" s="142" t="s">
        <v>2674</v>
      </c>
      <c r="B1595" s="430" t="s">
        <v>4057</v>
      </c>
      <c r="C1595" s="1745"/>
      <c r="D1595" s="1773"/>
      <c r="E1595" s="1773"/>
      <c r="F1595" s="1801"/>
      <c r="G1595" s="1801"/>
      <c r="H1595" s="1801"/>
      <c r="I1595" s="1801"/>
      <c r="J1595" s="679" t="s">
        <v>7481</v>
      </c>
      <c r="K1595" s="679"/>
    </row>
    <row r="1596" customFormat="false" ht="18.75" hidden="false" customHeight="false" outlineLevel="0" collapsed="false">
      <c r="A1596" s="142"/>
      <c r="B1596" s="1802" t="s">
        <v>7476</v>
      </c>
      <c r="C1596" s="1745" t="s">
        <v>7471</v>
      </c>
      <c r="D1596" s="1773" t="n">
        <f aca="false">E1596</f>
        <v>60</v>
      </c>
      <c r="E1596" s="1773" t="n">
        <v>60</v>
      </c>
      <c r="F1596" s="1801"/>
      <c r="G1596" s="1801"/>
      <c r="H1596" s="1801"/>
      <c r="I1596" s="1801"/>
      <c r="J1596" s="679"/>
      <c r="K1596" s="679"/>
    </row>
    <row r="1597" customFormat="false" ht="18.75" hidden="false" customHeight="false" outlineLevel="0" collapsed="false">
      <c r="A1597" s="142"/>
      <c r="B1597" s="1802" t="s">
        <v>7478</v>
      </c>
      <c r="C1597" s="1745" t="s">
        <v>7471</v>
      </c>
      <c r="D1597" s="1773" t="n">
        <v>60</v>
      </c>
      <c r="E1597" s="1773" t="n">
        <v>60</v>
      </c>
      <c r="F1597" s="1801"/>
      <c r="G1597" s="1801"/>
      <c r="H1597" s="1801"/>
      <c r="I1597" s="1801"/>
      <c r="J1597" s="679"/>
      <c r="K1597" s="679"/>
    </row>
    <row r="1598" customFormat="false" ht="18.75" hidden="false" customHeight="false" outlineLevel="0" collapsed="false">
      <c r="A1598" s="142"/>
      <c r="B1598" s="1802" t="s">
        <v>7479</v>
      </c>
      <c r="C1598" s="1745" t="s">
        <v>7471</v>
      </c>
      <c r="D1598" s="1773" t="n">
        <v>60</v>
      </c>
      <c r="E1598" s="1773" t="n">
        <v>60</v>
      </c>
      <c r="F1598" s="1801"/>
      <c r="G1598" s="1801"/>
      <c r="H1598" s="1801"/>
      <c r="I1598" s="1801"/>
      <c r="J1598" s="679"/>
      <c r="K1598" s="679"/>
    </row>
    <row r="1599" customFormat="false" ht="18.75" hidden="false" customHeight="false" outlineLevel="0" collapsed="false">
      <c r="A1599" s="142"/>
      <c r="B1599" s="1802" t="s">
        <v>7480</v>
      </c>
      <c r="C1599" s="1745" t="s">
        <v>7471</v>
      </c>
      <c r="D1599" s="1773" t="n">
        <v>60</v>
      </c>
      <c r="E1599" s="1773" t="n">
        <v>60</v>
      </c>
      <c r="F1599" s="1801"/>
      <c r="G1599" s="1801"/>
      <c r="H1599" s="1801"/>
      <c r="I1599" s="1801"/>
      <c r="J1599" s="679"/>
      <c r="K1599" s="679"/>
    </row>
    <row r="1600" customFormat="false" ht="28.5" hidden="false" customHeight="false" outlineLevel="0" collapsed="false">
      <c r="A1600" s="142"/>
      <c r="B1600" s="213" t="s">
        <v>4058</v>
      </c>
      <c r="C1600" s="1745"/>
      <c r="D1600" s="1773"/>
      <c r="E1600" s="1773"/>
      <c r="F1600" s="1801"/>
      <c r="G1600" s="1801"/>
      <c r="H1600" s="1801"/>
      <c r="I1600" s="1801"/>
      <c r="J1600" s="1676"/>
      <c r="K1600" s="679"/>
    </row>
    <row r="1601" customFormat="false" ht="31.5" hidden="false" customHeight="false" outlineLevel="0" collapsed="false">
      <c r="A1601" s="431" t="s">
        <v>2677</v>
      </c>
      <c r="B1601" s="430" t="s">
        <v>4059</v>
      </c>
      <c r="C1601" s="1745"/>
      <c r="D1601" s="1773"/>
      <c r="E1601" s="1773"/>
      <c r="F1601" s="1801"/>
      <c r="G1601" s="1801"/>
      <c r="H1601" s="1801"/>
      <c r="I1601" s="1801"/>
      <c r="J1601" s="1676"/>
      <c r="K1601" s="679"/>
    </row>
    <row r="1602" customFormat="false" ht="15.75" hidden="false" customHeight="false" outlineLevel="0" collapsed="false">
      <c r="A1602" s="431"/>
      <c r="B1602" s="432" t="s">
        <v>4052</v>
      </c>
      <c r="C1602" s="1745" t="s">
        <v>7471</v>
      </c>
      <c r="D1602" s="1773" t="n">
        <f aca="false">E1602</f>
        <v>60</v>
      </c>
      <c r="E1602" s="1773" t="n">
        <v>60</v>
      </c>
      <c r="F1602" s="1801"/>
      <c r="G1602" s="1801"/>
      <c r="H1602" s="1801"/>
      <c r="I1602" s="1801"/>
      <c r="J1602" s="1676"/>
      <c r="K1602" s="679"/>
    </row>
    <row r="1603" customFormat="false" ht="15.75" hidden="false" customHeight="false" outlineLevel="0" collapsed="false">
      <c r="A1603" s="431"/>
      <c r="B1603" s="432" t="s">
        <v>4053</v>
      </c>
      <c r="C1603" s="1745" t="s">
        <v>7471</v>
      </c>
      <c r="D1603" s="1773" t="n">
        <v>60</v>
      </c>
      <c r="E1603" s="1773" t="n">
        <v>60</v>
      </c>
      <c r="F1603" s="1801"/>
      <c r="G1603" s="1801"/>
      <c r="H1603" s="1801"/>
      <c r="I1603" s="1801"/>
      <c r="J1603" s="1676"/>
      <c r="K1603" s="679"/>
    </row>
    <row r="1604" customFormat="false" ht="15.75" hidden="false" customHeight="false" outlineLevel="0" collapsed="false">
      <c r="A1604" s="431"/>
      <c r="B1604" s="432" t="s">
        <v>4054</v>
      </c>
      <c r="C1604" s="1745" t="s">
        <v>7471</v>
      </c>
      <c r="D1604" s="1773" t="n">
        <v>60</v>
      </c>
      <c r="E1604" s="1773" t="n">
        <v>60</v>
      </c>
      <c r="F1604" s="1801"/>
      <c r="G1604" s="1801"/>
      <c r="H1604" s="1801"/>
      <c r="I1604" s="1801"/>
      <c r="J1604" s="1676"/>
      <c r="K1604" s="679"/>
    </row>
    <row r="1605" customFormat="false" ht="30" hidden="false" customHeight="false" outlineLevel="0" collapsed="false">
      <c r="A1605" s="431" t="s">
        <v>2678</v>
      </c>
      <c r="B1605" s="217" t="s">
        <v>4060</v>
      </c>
      <c r="C1605" s="1745"/>
      <c r="D1605" s="1773"/>
      <c r="E1605" s="1773"/>
      <c r="F1605" s="1801"/>
      <c r="G1605" s="1801"/>
      <c r="H1605" s="1801"/>
      <c r="I1605" s="1801"/>
      <c r="J1605" s="1676"/>
      <c r="K1605" s="679"/>
    </row>
    <row r="1606" customFormat="false" ht="15.75" hidden="false" customHeight="false" outlineLevel="0" collapsed="false">
      <c r="A1606" s="431"/>
      <c r="B1606" s="217" t="s">
        <v>4052</v>
      </c>
      <c r="C1606" s="1745" t="s">
        <v>7471</v>
      </c>
      <c r="D1606" s="1773" t="n">
        <v>60</v>
      </c>
      <c r="E1606" s="1773" t="n">
        <v>60</v>
      </c>
      <c r="F1606" s="1801"/>
      <c r="G1606" s="1801"/>
      <c r="H1606" s="1801"/>
      <c r="I1606" s="1801"/>
      <c r="J1606" s="1676"/>
      <c r="K1606" s="679"/>
    </row>
    <row r="1607" customFormat="false" ht="15.75" hidden="false" customHeight="false" outlineLevel="0" collapsed="false">
      <c r="A1607" s="431"/>
      <c r="B1607" s="217" t="s">
        <v>4053</v>
      </c>
      <c r="C1607" s="1745" t="s">
        <v>7471</v>
      </c>
      <c r="D1607" s="1773" t="n">
        <f aca="false">E1607</f>
        <v>60</v>
      </c>
      <c r="E1607" s="1773" t="n">
        <v>60</v>
      </c>
      <c r="F1607" s="1801"/>
      <c r="G1607" s="1801"/>
      <c r="H1607" s="1801"/>
      <c r="I1607" s="1801"/>
      <c r="J1607" s="1676"/>
      <c r="K1607" s="679"/>
    </row>
    <row r="1608" customFormat="false" ht="15.75" hidden="false" customHeight="false" outlineLevel="0" collapsed="false">
      <c r="A1608" s="431"/>
      <c r="B1608" s="217" t="s">
        <v>4054</v>
      </c>
      <c r="C1608" s="1745" t="s">
        <v>7471</v>
      </c>
      <c r="D1608" s="1773" t="n">
        <v>60</v>
      </c>
      <c r="E1608" s="1773" t="n">
        <v>60</v>
      </c>
      <c r="F1608" s="1801"/>
      <c r="G1608" s="1801"/>
      <c r="H1608" s="1801"/>
      <c r="I1608" s="1801"/>
      <c r="J1608" s="1676"/>
      <c r="K1608" s="679"/>
    </row>
    <row r="1609" customFormat="false" ht="31.5" hidden="false" customHeight="false" outlineLevel="0" collapsed="false">
      <c r="A1609" s="431" t="s">
        <v>2679</v>
      </c>
      <c r="B1609" s="430" t="s">
        <v>4061</v>
      </c>
      <c r="C1609" s="1745"/>
      <c r="D1609" s="1773"/>
      <c r="E1609" s="1773"/>
      <c r="F1609" s="1801"/>
      <c r="G1609" s="1801"/>
      <c r="H1609" s="1801"/>
      <c r="I1609" s="1801"/>
      <c r="J1609" s="1676"/>
      <c r="K1609" s="679"/>
    </row>
    <row r="1610" customFormat="false" ht="15.75" hidden="false" customHeight="false" outlineLevel="0" collapsed="false">
      <c r="A1610" s="431"/>
      <c r="B1610" s="217" t="s">
        <v>4052</v>
      </c>
      <c r="C1610" s="1745" t="s">
        <v>7471</v>
      </c>
      <c r="D1610" s="1773" t="n">
        <v>60</v>
      </c>
      <c r="E1610" s="1773" t="n">
        <v>60</v>
      </c>
      <c r="F1610" s="1801"/>
      <c r="G1610" s="1801"/>
      <c r="H1610" s="1801"/>
      <c r="I1610" s="1801"/>
      <c r="J1610" s="1676"/>
      <c r="K1610" s="679"/>
    </row>
    <row r="1611" customFormat="false" ht="15.75" hidden="false" customHeight="false" outlineLevel="0" collapsed="false">
      <c r="A1611" s="431"/>
      <c r="B1611" s="217" t="s">
        <v>4053</v>
      </c>
      <c r="C1611" s="1745" t="s">
        <v>7471</v>
      </c>
      <c r="D1611" s="1773" t="n">
        <v>60</v>
      </c>
      <c r="E1611" s="1773" t="n">
        <v>60</v>
      </c>
      <c r="F1611" s="1801"/>
      <c r="G1611" s="1801"/>
      <c r="H1611" s="1801"/>
      <c r="I1611" s="1801"/>
      <c r="J1611" s="1676"/>
      <c r="K1611" s="679"/>
    </row>
    <row r="1612" customFormat="false" ht="15.75" hidden="false" customHeight="false" outlineLevel="0" collapsed="false">
      <c r="A1612" s="431"/>
      <c r="B1612" s="217" t="s">
        <v>4054</v>
      </c>
      <c r="C1612" s="1745" t="s">
        <v>7471</v>
      </c>
      <c r="D1612" s="1773" t="n">
        <v>60</v>
      </c>
      <c r="E1612" s="1773" t="n">
        <v>60</v>
      </c>
      <c r="F1612" s="1801"/>
      <c r="G1612" s="1801"/>
      <c r="H1612" s="1801"/>
      <c r="I1612" s="1801"/>
      <c r="J1612" s="1676"/>
      <c r="K1612" s="679"/>
    </row>
    <row r="1613" customFormat="false" ht="30" hidden="false" customHeight="false" outlineLevel="0" collapsed="false">
      <c r="A1613" s="431" t="s">
        <v>2680</v>
      </c>
      <c r="B1613" s="217" t="s">
        <v>4062</v>
      </c>
      <c r="C1613" s="1745" t="s">
        <v>7471</v>
      </c>
      <c r="D1613" s="1773" t="n">
        <v>60</v>
      </c>
      <c r="E1613" s="1773" t="n">
        <v>60</v>
      </c>
      <c r="F1613" s="1801"/>
      <c r="G1613" s="1801"/>
      <c r="H1613" s="1801"/>
      <c r="I1613" s="1801"/>
      <c r="J1613" s="1676"/>
      <c r="K1613" s="679"/>
    </row>
    <row r="1614" customFormat="false" ht="30" hidden="false" customHeight="false" outlineLevel="0" collapsed="false">
      <c r="A1614" s="431" t="s">
        <v>2682</v>
      </c>
      <c r="B1614" s="217" t="s">
        <v>4063</v>
      </c>
      <c r="C1614" s="1745" t="s">
        <v>7471</v>
      </c>
      <c r="D1614" s="1773" t="n">
        <v>60</v>
      </c>
      <c r="E1614" s="1773" t="n">
        <v>60</v>
      </c>
      <c r="F1614" s="1801"/>
      <c r="G1614" s="1801"/>
      <c r="H1614" s="1801"/>
      <c r="I1614" s="1801"/>
      <c r="J1614" s="1676"/>
      <c r="K1614" s="679"/>
    </row>
    <row r="1615" customFormat="false" ht="34.5" hidden="false" customHeight="true" outlineLevel="0" collapsed="false">
      <c r="A1615" s="142" t="s">
        <v>2684</v>
      </c>
      <c r="B1615" s="433" t="s">
        <v>4064</v>
      </c>
      <c r="C1615" s="1745" t="s">
        <v>7471</v>
      </c>
      <c r="D1615" s="547" t="n">
        <f aca="false">SUM(E1615:H1615)</f>
        <v>1800</v>
      </c>
      <c r="E1615" s="547" t="n">
        <f aca="false">30*60</f>
        <v>1800</v>
      </c>
      <c r="F1615" s="912"/>
      <c r="G1615" s="912"/>
      <c r="H1615" s="912"/>
      <c r="I1615" s="912"/>
      <c r="J1615" s="606"/>
      <c r="K1615" s="606"/>
    </row>
    <row r="1616" customFormat="false" ht="42.75" hidden="false" customHeight="false" outlineLevel="0" collapsed="false">
      <c r="A1616" s="68" t="s">
        <v>4065</v>
      </c>
      <c r="B1616" s="11" t="s">
        <v>4066</v>
      </c>
      <c r="C1616" s="537"/>
      <c r="D1616" s="1622"/>
      <c r="E1616" s="1703" t="s">
        <v>7482</v>
      </c>
      <c r="F1616" s="1547" t="s">
        <v>7483</v>
      </c>
      <c r="G1616" s="1547"/>
      <c r="H1616" s="1547" t="s">
        <v>7484</v>
      </c>
      <c r="I1616" s="537"/>
      <c r="J1616" s="537"/>
      <c r="K1616" s="537"/>
    </row>
    <row r="1617" customFormat="false" ht="15.75" hidden="false" customHeight="false" outlineLevel="0" collapsed="false">
      <c r="A1617" s="216" t="s">
        <v>2689</v>
      </c>
      <c r="B1617" s="40" t="s">
        <v>4067</v>
      </c>
      <c r="C1617" s="1745" t="s">
        <v>7471</v>
      </c>
      <c r="D1617" s="547" t="n">
        <f aca="false">SUM(E1617:H1617)</f>
        <v>70</v>
      </c>
      <c r="E1617" s="547" t="n">
        <v>40</v>
      </c>
      <c r="F1617" s="912" t="n">
        <v>10</v>
      </c>
      <c r="G1617" s="912"/>
      <c r="H1617" s="912" t="n">
        <v>20</v>
      </c>
      <c r="I1617" s="912"/>
      <c r="J1617" s="679"/>
      <c r="K1617" s="679"/>
    </row>
    <row r="1618" customFormat="false" ht="15.75" hidden="false" customHeight="false" outlineLevel="0" collapsed="false">
      <c r="A1618" s="216" t="s">
        <v>2692</v>
      </c>
      <c r="B1618" s="40" t="s">
        <v>4068</v>
      </c>
      <c r="C1618" s="1745" t="s">
        <v>7471</v>
      </c>
      <c r="D1618" s="547" t="n">
        <f aca="false">SUM(E1618:H1618)</f>
        <v>70</v>
      </c>
      <c r="E1618" s="547" t="n">
        <v>40</v>
      </c>
      <c r="F1618" s="912" t="n">
        <v>10</v>
      </c>
      <c r="G1618" s="912"/>
      <c r="H1618" s="912" t="n">
        <v>20</v>
      </c>
      <c r="I1618" s="912"/>
      <c r="J1618" s="679"/>
      <c r="K1618" s="679"/>
    </row>
    <row r="1619" customFormat="false" ht="15.75" hidden="false" customHeight="false" outlineLevel="0" collapsed="false">
      <c r="A1619" s="216" t="s">
        <v>2694</v>
      </c>
      <c r="B1619" s="40" t="s">
        <v>4069</v>
      </c>
      <c r="C1619" s="1745" t="s">
        <v>7471</v>
      </c>
      <c r="D1619" s="547" t="n">
        <f aca="false">SUM(E1619:H1619)</f>
        <v>141.2</v>
      </c>
      <c r="E1619" s="547" t="n">
        <v>60</v>
      </c>
      <c r="F1619" s="912" t="n">
        <v>50</v>
      </c>
      <c r="G1619" s="912"/>
      <c r="H1619" s="912" t="n">
        <v>31.2</v>
      </c>
      <c r="I1619" s="912"/>
      <c r="J1619" s="679"/>
      <c r="K1619" s="679"/>
    </row>
    <row r="1620" customFormat="false" ht="15.75" hidden="false" customHeight="false" outlineLevel="0" collapsed="false">
      <c r="A1620" s="216" t="s">
        <v>2696</v>
      </c>
      <c r="B1620" s="40" t="s">
        <v>4070</v>
      </c>
      <c r="C1620" s="1745" t="s">
        <v>7471</v>
      </c>
      <c r="D1620" s="547" t="n">
        <f aca="false">SUM(E1620:H1620)</f>
        <v>70</v>
      </c>
      <c r="E1620" s="547" t="n">
        <v>40</v>
      </c>
      <c r="F1620" s="912" t="n">
        <v>10</v>
      </c>
      <c r="G1620" s="912"/>
      <c r="H1620" s="912" t="n">
        <v>20</v>
      </c>
      <c r="I1620" s="912"/>
      <c r="J1620" s="679"/>
      <c r="K1620" s="679"/>
    </row>
    <row r="1621" s="311" customFormat="true" ht="15.75" hidden="false" customHeight="false" outlineLevel="0" collapsed="false">
      <c r="A1621" s="399" t="s">
        <v>2698</v>
      </c>
      <c r="B1621" s="401" t="s">
        <v>4071</v>
      </c>
      <c r="C1621" s="225"/>
      <c r="D1621" s="1805"/>
      <c r="E1621" s="1805"/>
      <c r="F1621" s="225"/>
      <c r="G1621" s="225"/>
      <c r="H1621" s="168"/>
      <c r="I1621" s="225"/>
      <c r="J1621" s="537"/>
      <c r="K1621" s="537"/>
    </row>
    <row r="1622" s="311" customFormat="true" ht="45" hidden="false" customHeight="false" outlineLevel="0" collapsed="false">
      <c r="A1622" s="435" t="s">
        <v>2700</v>
      </c>
      <c r="B1622" s="40" t="s">
        <v>4072</v>
      </c>
      <c r="C1622" s="1745" t="s">
        <v>7471</v>
      </c>
      <c r="D1622" s="547" t="n">
        <f aca="false">SUM(E1622:I1622)</f>
        <v>21600</v>
      </c>
      <c r="E1622" s="1662" t="n">
        <f aca="false">4*60*30*2</f>
        <v>14400</v>
      </c>
      <c r="F1622" s="1806"/>
      <c r="G1622" s="1806"/>
      <c r="H1622" s="560" t="n">
        <f aca="false">4*60*30</f>
        <v>7200</v>
      </c>
      <c r="I1622" s="1807"/>
      <c r="J1622" s="172"/>
      <c r="K1622" s="178"/>
    </row>
    <row r="1623" s="311" customFormat="true" ht="30" hidden="false" customHeight="false" outlineLevel="0" collapsed="false">
      <c r="A1623" s="435" t="s">
        <v>2702</v>
      </c>
      <c r="B1623" s="40" t="s">
        <v>4073</v>
      </c>
      <c r="C1623" s="1745" t="s">
        <v>7471</v>
      </c>
      <c r="D1623" s="547" t="n">
        <f aca="false">SUM(E1623:I1623)</f>
        <v>23040</v>
      </c>
      <c r="E1623" s="1662" t="n">
        <f aca="false">4*60*30*2</f>
        <v>14400</v>
      </c>
      <c r="F1623" s="1806"/>
      <c r="G1623" s="560" t="n">
        <f aca="false">4*60*6</f>
        <v>1440</v>
      </c>
      <c r="H1623" s="560" t="n">
        <f aca="false">4*60*30</f>
        <v>7200</v>
      </c>
      <c r="I1623" s="1807"/>
      <c r="J1623" s="172"/>
      <c r="K1623" s="178"/>
    </row>
    <row r="1624" s="97" customFormat="true" ht="100.5" hidden="false" customHeight="true" outlineLevel="0" collapsed="false">
      <c r="A1624" s="435" t="s">
        <v>2704</v>
      </c>
      <c r="B1624" s="40" t="s">
        <v>4074</v>
      </c>
      <c r="C1624" s="1745" t="s">
        <v>7471</v>
      </c>
      <c r="D1624" s="547" t="n">
        <f aca="false">SUM(E1624:I1624)</f>
        <v>21600</v>
      </c>
      <c r="E1624" s="1662" t="n">
        <f aca="false">4*60*30*2</f>
        <v>14400</v>
      </c>
      <c r="F1624" s="1806"/>
      <c r="G1624" s="1806"/>
      <c r="H1624" s="560" t="n">
        <f aca="false">4*60*30</f>
        <v>7200</v>
      </c>
      <c r="I1624" s="1807"/>
      <c r="J1624" s="560"/>
      <c r="K1624" s="560"/>
    </row>
    <row r="1625" s="97" customFormat="true" ht="33.75" hidden="false" customHeight="true" outlineLevel="0" collapsed="false">
      <c r="A1625" s="439" t="s">
        <v>2706</v>
      </c>
      <c r="B1625" s="440" t="s">
        <v>4075</v>
      </c>
      <c r="C1625" s="574" t="s">
        <v>7471</v>
      </c>
      <c r="D1625" s="547" t="n">
        <f aca="false">SUM(E1625:H1625)</f>
        <v>60</v>
      </c>
      <c r="E1625" s="1662" t="n">
        <v>30</v>
      </c>
      <c r="F1625" s="1806" t="n">
        <v>20</v>
      </c>
      <c r="G1625" s="1806" t="n">
        <v>10</v>
      </c>
      <c r="H1625" s="560"/>
      <c r="I1625" s="560"/>
      <c r="J1625" s="560"/>
      <c r="K1625" s="560"/>
      <c r="L1625" s="122"/>
      <c r="M1625" s="122"/>
    </row>
    <row r="1626" s="97" customFormat="true" ht="15.75" hidden="false" customHeight="false" outlineLevel="0" collapsed="false">
      <c r="A1626" s="442" t="s">
        <v>2708</v>
      </c>
      <c r="B1626" s="401" t="s">
        <v>4076</v>
      </c>
      <c r="C1626" s="169"/>
      <c r="D1626" s="1728"/>
      <c r="E1626" s="1728"/>
      <c r="F1626" s="227"/>
      <c r="G1626" s="227"/>
      <c r="H1626" s="443"/>
      <c r="I1626" s="1324"/>
      <c r="J1626" s="1787"/>
      <c r="K1626" s="1787"/>
    </row>
    <row r="1627" customFormat="false" ht="31.5" hidden="false" customHeight="false" outlineLevel="0" collapsed="false">
      <c r="A1627" s="399"/>
      <c r="B1627" s="401" t="s">
        <v>4077</v>
      </c>
      <c r="C1627" s="1727"/>
      <c r="D1627" s="1622" t="n">
        <f aca="false">SUM(E1627:H1627)</f>
        <v>60</v>
      </c>
      <c r="E1627" s="1808" t="n">
        <v>30</v>
      </c>
      <c r="F1627" s="1809" t="n">
        <v>20</v>
      </c>
      <c r="G1627" s="1809" t="n">
        <v>10</v>
      </c>
      <c r="H1627" s="1787"/>
      <c r="I1627" s="1787"/>
      <c r="J1627" s="1787"/>
      <c r="K1627" s="1787"/>
    </row>
    <row r="1628" customFormat="false" ht="15" hidden="false" customHeight="false" outlineLevel="0" collapsed="false">
      <c r="A1628" s="28"/>
      <c r="B1628" s="40"/>
      <c r="C1628" s="912"/>
      <c r="D1628" s="547"/>
      <c r="E1628" s="547"/>
      <c r="F1628" s="912"/>
      <c r="G1628" s="912"/>
      <c r="H1628" s="912"/>
      <c r="I1628" s="912"/>
      <c r="J1628" s="679"/>
      <c r="K1628" s="679"/>
    </row>
    <row r="1629" customFormat="false" ht="15" hidden="false" customHeight="false" outlineLevel="0" collapsed="false">
      <c r="A1629" s="28"/>
      <c r="B1629" s="40"/>
      <c r="C1629" s="912"/>
      <c r="D1629" s="547"/>
      <c r="E1629" s="547"/>
      <c r="F1629" s="912"/>
      <c r="G1629" s="912"/>
      <c r="H1629" s="912"/>
      <c r="I1629" s="912"/>
      <c r="J1629" s="679"/>
      <c r="K1629" s="679"/>
    </row>
    <row r="1630" customFormat="false" ht="15" hidden="false" customHeight="false" outlineLevel="0" collapsed="false">
      <c r="A1630" s="28"/>
      <c r="B1630" s="40"/>
      <c r="C1630" s="912"/>
      <c r="D1630" s="547"/>
      <c r="E1630" s="547"/>
      <c r="F1630" s="912"/>
      <c r="G1630" s="912"/>
      <c r="H1630" s="912"/>
      <c r="I1630" s="912"/>
      <c r="J1630" s="679"/>
      <c r="K1630" s="679"/>
    </row>
    <row r="1631" customFormat="false" ht="15" hidden="false" customHeight="false" outlineLevel="0" collapsed="false">
      <c r="A1631" s="28"/>
      <c r="B1631" s="40"/>
      <c r="C1631" s="912"/>
      <c r="D1631" s="547"/>
      <c r="E1631" s="547"/>
      <c r="F1631" s="912"/>
      <c r="G1631" s="912"/>
      <c r="H1631" s="912"/>
      <c r="I1631" s="912"/>
      <c r="J1631" s="679"/>
      <c r="K1631" s="679"/>
    </row>
    <row r="1632" customFormat="false" ht="15" hidden="false" customHeight="false" outlineLevel="0" collapsed="false">
      <c r="A1632" s="28"/>
      <c r="B1632" s="40"/>
      <c r="C1632" s="912"/>
      <c r="D1632" s="547"/>
      <c r="E1632" s="547"/>
      <c r="F1632" s="912"/>
      <c r="G1632" s="912"/>
      <c r="H1632" s="912"/>
      <c r="I1632" s="912"/>
      <c r="J1632" s="679"/>
      <c r="K1632" s="679"/>
    </row>
    <row r="1633" customFormat="false" ht="15" hidden="false" customHeight="false" outlineLevel="0" collapsed="false">
      <c r="A1633" s="28"/>
      <c r="B1633" s="40"/>
      <c r="C1633" s="912"/>
      <c r="D1633" s="547"/>
      <c r="E1633" s="547"/>
      <c r="F1633" s="912"/>
      <c r="G1633" s="912"/>
      <c r="H1633" s="912"/>
      <c r="I1633" s="912"/>
      <c r="J1633" s="679"/>
      <c r="K1633" s="679"/>
    </row>
    <row r="1634" customFormat="false" ht="15" hidden="false" customHeight="false" outlineLevel="0" collapsed="false">
      <c r="A1634" s="28"/>
      <c r="B1634" s="40"/>
      <c r="C1634" s="912"/>
      <c r="D1634" s="547"/>
      <c r="E1634" s="547"/>
      <c r="F1634" s="912"/>
      <c r="G1634" s="912"/>
      <c r="H1634" s="912"/>
      <c r="I1634" s="912"/>
      <c r="J1634" s="679"/>
      <c r="K1634" s="679"/>
    </row>
    <row r="1635" customFormat="false" ht="15" hidden="false" customHeight="false" outlineLevel="0" collapsed="false">
      <c r="A1635" s="28"/>
      <c r="B1635" s="40"/>
      <c r="C1635" s="912"/>
      <c r="D1635" s="547"/>
      <c r="E1635" s="547"/>
      <c r="F1635" s="912"/>
      <c r="G1635" s="912"/>
      <c r="H1635" s="912"/>
      <c r="I1635" s="912"/>
      <c r="J1635" s="679"/>
      <c r="K1635" s="679"/>
    </row>
    <row r="1636" customFormat="false" ht="15" hidden="false" customHeight="false" outlineLevel="0" collapsed="false">
      <c r="A1636" s="28"/>
      <c r="B1636" s="40"/>
      <c r="C1636" s="912"/>
      <c r="D1636" s="547"/>
      <c r="E1636" s="547"/>
      <c r="F1636" s="912"/>
      <c r="G1636" s="912"/>
      <c r="H1636" s="912"/>
      <c r="I1636" s="912"/>
      <c r="J1636" s="679"/>
      <c r="K1636" s="679"/>
    </row>
    <row r="1637" customFormat="false" ht="15" hidden="false" customHeight="false" outlineLevel="0" collapsed="false">
      <c r="A1637" s="28"/>
      <c r="B1637" s="40"/>
      <c r="C1637" s="912"/>
      <c r="D1637" s="547"/>
      <c r="E1637" s="547"/>
      <c r="F1637" s="912"/>
      <c r="G1637" s="912"/>
      <c r="H1637" s="912"/>
      <c r="I1637" s="912"/>
      <c r="J1637" s="679"/>
      <c r="K1637" s="679"/>
    </row>
    <row r="1638" customFormat="false" ht="15" hidden="false" customHeight="false" outlineLevel="0" collapsed="false">
      <c r="A1638" s="28"/>
      <c r="B1638" s="40"/>
      <c r="C1638" s="912"/>
      <c r="D1638" s="547"/>
      <c r="E1638" s="547"/>
      <c r="F1638" s="912"/>
      <c r="G1638" s="912"/>
      <c r="H1638" s="912"/>
      <c r="I1638" s="912"/>
      <c r="J1638" s="679"/>
      <c r="K1638" s="679"/>
    </row>
    <row r="1639" customFormat="false" ht="15" hidden="false" customHeight="false" outlineLevel="0" collapsed="false">
      <c r="A1639" s="28"/>
      <c r="B1639" s="40"/>
      <c r="C1639" s="912"/>
      <c r="D1639" s="547"/>
      <c r="E1639" s="547"/>
      <c r="F1639" s="912"/>
      <c r="G1639" s="912"/>
      <c r="H1639" s="912"/>
      <c r="I1639" s="912"/>
    </row>
    <row r="1640" customFormat="false" ht="15" hidden="false" customHeight="false" outlineLevel="0" collapsed="false">
      <c r="A1640" s="1332"/>
      <c r="B1640" s="1810"/>
      <c r="C1640" s="1671"/>
      <c r="D1640" s="1811"/>
      <c r="E1640" s="1811"/>
      <c r="F1640" s="1671"/>
      <c r="G1640" s="1671"/>
      <c r="H1640" s="1671"/>
      <c r="I1640" s="1671"/>
    </row>
    <row r="1641" customFormat="false" ht="15" hidden="false" customHeight="false" outlineLevel="0" collapsed="false">
      <c r="A1641" s="1332"/>
      <c r="B1641" s="1810"/>
      <c r="C1641" s="1671"/>
      <c r="D1641" s="1811"/>
      <c r="E1641" s="1811"/>
      <c r="F1641" s="1671"/>
      <c r="G1641" s="1671"/>
      <c r="H1641" s="1671"/>
      <c r="I1641" s="1671"/>
    </row>
    <row r="1642" customFormat="false" ht="15" hidden="false" customHeight="false" outlineLevel="0" collapsed="false">
      <c r="A1642" s="1332"/>
      <c r="B1642" s="1810"/>
      <c r="C1642" s="1671"/>
      <c r="D1642" s="1811"/>
      <c r="E1642" s="1811"/>
      <c r="F1642" s="1671"/>
      <c r="G1642" s="1671"/>
      <c r="H1642" s="1671"/>
      <c r="I1642" s="1671"/>
    </row>
    <row r="1643" customFormat="false" ht="15" hidden="false" customHeight="false" outlineLevel="0" collapsed="false">
      <c r="A1643" s="1332"/>
      <c r="B1643" s="1810"/>
      <c r="C1643" s="1671"/>
      <c r="D1643" s="1811"/>
      <c r="E1643" s="1811"/>
      <c r="F1643" s="1671"/>
      <c r="G1643" s="1671"/>
      <c r="H1643" s="1671"/>
      <c r="I1643" s="1671"/>
    </row>
    <row r="1644" customFormat="false" ht="15" hidden="false" customHeight="false" outlineLevel="0" collapsed="false">
      <c r="A1644" s="1332"/>
      <c r="B1644" s="1810"/>
      <c r="C1644" s="1671"/>
      <c r="D1644" s="1811"/>
      <c r="E1644" s="1811"/>
      <c r="F1644" s="1671"/>
      <c r="G1644" s="1671"/>
      <c r="H1644" s="1671"/>
      <c r="I1644" s="1671"/>
    </row>
    <row r="1645" customFormat="false" ht="15" hidden="false" customHeight="false" outlineLevel="0" collapsed="false">
      <c r="A1645" s="1332"/>
      <c r="B1645" s="1810"/>
      <c r="C1645" s="1671"/>
      <c r="D1645" s="1811"/>
      <c r="E1645" s="1811"/>
      <c r="F1645" s="1671"/>
      <c r="G1645" s="1671"/>
      <c r="H1645" s="1671"/>
      <c r="I1645" s="1671"/>
    </row>
    <row r="1646" customFormat="false" ht="15" hidden="false" customHeight="false" outlineLevel="0" collapsed="false">
      <c r="A1646" s="1332"/>
      <c r="B1646" s="1810"/>
      <c r="C1646" s="1671"/>
      <c r="D1646" s="1811"/>
      <c r="E1646" s="1811"/>
      <c r="F1646" s="1671"/>
      <c r="G1646" s="1671"/>
      <c r="H1646" s="1671"/>
      <c r="I1646" s="1671"/>
    </row>
    <row r="1647" customFormat="false" ht="15" hidden="false" customHeight="false" outlineLevel="0" collapsed="false">
      <c r="A1647" s="1332"/>
      <c r="B1647" s="1810"/>
      <c r="C1647" s="1671"/>
      <c r="D1647" s="1811"/>
      <c r="E1647" s="1811"/>
      <c r="F1647" s="1671"/>
      <c r="G1647" s="1671"/>
      <c r="H1647" s="1671"/>
      <c r="I1647" s="1671"/>
    </row>
    <row r="1648" customFormat="false" ht="15" hidden="false" customHeight="false" outlineLevel="0" collapsed="false">
      <c r="A1648" s="1332"/>
      <c r="B1648" s="1810"/>
      <c r="C1648" s="1671"/>
      <c r="D1648" s="1811"/>
      <c r="E1648" s="1811"/>
      <c r="F1648" s="1671"/>
      <c r="G1648" s="1671"/>
      <c r="H1648" s="1671"/>
      <c r="I1648" s="1671"/>
    </row>
    <row r="1649" customFormat="false" ht="15" hidden="false" customHeight="false" outlineLevel="0" collapsed="false">
      <c r="A1649" s="1332"/>
      <c r="B1649" s="1810"/>
      <c r="C1649" s="1671"/>
      <c r="D1649" s="1811"/>
      <c r="E1649" s="1811"/>
      <c r="F1649" s="1671"/>
      <c r="G1649" s="1671"/>
      <c r="H1649" s="1671"/>
      <c r="I1649" s="1671"/>
    </row>
    <row r="1650" customFormat="false" ht="15" hidden="false" customHeight="false" outlineLevel="0" collapsed="false">
      <c r="A1650" s="1332"/>
      <c r="B1650" s="1810"/>
      <c r="C1650" s="1671"/>
      <c r="D1650" s="1811"/>
      <c r="E1650" s="1811"/>
      <c r="F1650" s="1671"/>
      <c r="G1650" s="1671"/>
      <c r="H1650" s="1671"/>
      <c r="I1650" s="1671"/>
    </row>
    <row r="1651" customFormat="false" ht="15" hidden="false" customHeight="false" outlineLevel="0" collapsed="false">
      <c r="A1651" s="1332"/>
      <c r="B1651" s="1810"/>
      <c r="C1651" s="1671"/>
      <c r="D1651" s="1811"/>
      <c r="E1651" s="1811"/>
      <c r="F1651" s="1671"/>
      <c r="G1651" s="1671"/>
      <c r="H1651" s="1671"/>
      <c r="I1651" s="1671"/>
    </row>
    <row r="1652" customFormat="false" ht="15" hidden="false" customHeight="false" outlineLevel="0" collapsed="false">
      <c r="A1652" s="1332"/>
      <c r="B1652" s="1810"/>
      <c r="C1652" s="1671"/>
      <c r="D1652" s="1811"/>
      <c r="E1652" s="1811"/>
      <c r="F1652" s="1671"/>
      <c r="G1652" s="1671"/>
      <c r="H1652" s="1671"/>
      <c r="I1652" s="1671"/>
    </row>
    <row r="1653" customFormat="false" ht="15" hidden="false" customHeight="false" outlineLevel="0" collapsed="false">
      <c r="A1653" s="1332"/>
      <c r="B1653" s="1810"/>
      <c r="C1653" s="1671"/>
      <c r="D1653" s="1811"/>
      <c r="E1653" s="1811"/>
      <c r="F1653" s="1671"/>
      <c r="G1653" s="1671"/>
      <c r="H1653" s="1671"/>
      <c r="I1653" s="1671"/>
    </row>
    <row r="1654" customFormat="false" ht="15" hidden="false" customHeight="false" outlineLevel="0" collapsed="false">
      <c r="A1654" s="1332"/>
      <c r="B1654" s="1810"/>
      <c r="C1654" s="1671"/>
      <c r="D1654" s="1811"/>
      <c r="E1654" s="1811"/>
      <c r="F1654" s="1671"/>
      <c r="G1654" s="1671"/>
      <c r="H1654" s="1671"/>
      <c r="I1654" s="1671"/>
    </row>
    <row r="1655" customFormat="false" ht="15" hidden="false" customHeight="false" outlineLevel="0" collapsed="false">
      <c r="A1655" s="1332"/>
      <c r="B1655" s="1810"/>
      <c r="C1655" s="1671"/>
      <c r="D1655" s="1811"/>
      <c r="E1655" s="1811"/>
      <c r="F1655" s="1671"/>
      <c r="G1655" s="1671"/>
      <c r="H1655" s="1671"/>
      <c r="I1655" s="1671"/>
    </row>
    <row r="1656" customFormat="false" ht="15" hidden="false" customHeight="false" outlineLevel="0" collapsed="false">
      <c r="A1656" s="1332"/>
      <c r="B1656" s="1810"/>
      <c r="C1656" s="1671"/>
      <c r="D1656" s="1811"/>
      <c r="E1656" s="1811"/>
      <c r="F1656" s="1671"/>
      <c r="G1656" s="1671"/>
      <c r="H1656" s="1671"/>
      <c r="I1656" s="1671"/>
    </row>
    <row r="1657" customFormat="false" ht="15" hidden="false" customHeight="false" outlineLevel="0" collapsed="false">
      <c r="A1657" s="1332"/>
      <c r="B1657" s="1810"/>
      <c r="C1657" s="1671"/>
      <c r="D1657" s="1811"/>
      <c r="E1657" s="1811"/>
      <c r="F1657" s="1671"/>
      <c r="G1657" s="1671"/>
      <c r="H1657" s="1671"/>
      <c r="I1657" s="1671"/>
    </row>
    <row r="1658" customFormat="false" ht="15" hidden="false" customHeight="false" outlineLevel="0" collapsed="false">
      <c r="A1658" s="1332"/>
      <c r="B1658" s="1810"/>
      <c r="C1658" s="1671"/>
      <c r="D1658" s="1811"/>
      <c r="E1658" s="1811"/>
      <c r="F1658" s="1671"/>
      <c r="G1658" s="1671"/>
      <c r="H1658" s="1671"/>
      <c r="I1658" s="1671"/>
    </row>
    <row r="1659" customFormat="false" ht="15" hidden="false" customHeight="false" outlineLevel="0" collapsed="false">
      <c r="A1659" s="1332"/>
      <c r="B1659" s="1810"/>
      <c r="C1659" s="1671"/>
      <c r="D1659" s="1811"/>
      <c r="E1659" s="1811"/>
      <c r="F1659" s="1671"/>
      <c r="G1659" s="1671"/>
      <c r="H1659" s="1671"/>
      <c r="I1659" s="1671"/>
    </row>
    <row r="1660" customFormat="false" ht="15" hidden="false" customHeight="false" outlineLevel="0" collapsed="false">
      <c r="A1660" s="1332"/>
      <c r="B1660" s="1810"/>
      <c r="C1660" s="1671"/>
      <c r="D1660" s="1811"/>
      <c r="E1660" s="1811"/>
      <c r="F1660" s="1671"/>
      <c r="G1660" s="1671"/>
      <c r="H1660" s="1671"/>
      <c r="I1660" s="1671"/>
    </row>
    <row r="1661" customFormat="false" ht="15" hidden="false" customHeight="false" outlineLevel="0" collapsed="false">
      <c r="A1661" s="1332"/>
      <c r="B1661" s="1810"/>
      <c r="C1661" s="1671"/>
      <c r="D1661" s="1811"/>
      <c r="E1661" s="1811"/>
      <c r="F1661" s="1671"/>
      <c r="G1661" s="1671"/>
      <c r="H1661" s="1671"/>
      <c r="I1661" s="1671"/>
    </row>
    <row r="1662" customFormat="false" ht="15" hidden="false" customHeight="false" outlineLevel="0" collapsed="false">
      <c r="A1662" s="1332"/>
      <c r="B1662" s="1810"/>
      <c r="C1662" s="1671"/>
      <c r="D1662" s="1811"/>
      <c r="E1662" s="1811"/>
      <c r="F1662" s="1671"/>
      <c r="G1662" s="1671"/>
      <c r="H1662" s="1671"/>
      <c r="I1662" s="1671"/>
    </row>
    <row r="1663" customFormat="false" ht="15" hidden="false" customHeight="false" outlineLevel="0" collapsed="false">
      <c r="A1663" s="1332"/>
      <c r="B1663" s="1810"/>
      <c r="C1663" s="1671"/>
      <c r="D1663" s="1811"/>
      <c r="E1663" s="1811"/>
      <c r="F1663" s="1671"/>
      <c r="G1663" s="1671"/>
      <c r="H1663" s="1671"/>
      <c r="I1663" s="1671"/>
    </row>
    <row r="1664" customFormat="false" ht="15" hidden="false" customHeight="false" outlineLevel="0" collapsed="false">
      <c r="A1664" s="1332"/>
      <c r="B1664" s="1810"/>
      <c r="C1664" s="1671"/>
      <c r="D1664" s="1811"/>
      <c r="E1664" s="1811"/>
      <c r="F1664" s="1671"/>
      <c r="G1664" s="1671"/>
      <c r="H1664" s="1671"/>
      <c r="I1664" s="1671"/>
    </row>
    <row r="1665" customFormat="false" ht="15" hidden="false" customHeight="false" outlineLevel="0" collapsed="false">
      <c r="A1665" s="1332"/>
      <c r="B1665" s="1810"/>
      <c r="C1665" s="1671"/>
      <c r="D1665" s="1811"/>
      <c r="E1665" s="1811"/>
      <c r="F1665" s="1671"/>
      <c r="G1665" s="1671"/>
      <c r="H1665" s="1671"/>
      <c r="I1665" s="1671"/>
    </row>
    <row r="1666" customFormat="false" ht="15" hidden="false" customHeight="false" outlineLevel="0" collapsed="false">
      <c r="A1666" s="1332"/>
      <c r="B1666" s="1810"/>
      <c r="C1666" s="1671"/>
      <c r="D1666" s="1811"/>
      <c r="E1666" s="1811"/>
      <c r="F1666" s="1671"/>
      <c r="G1666" s="1671"/>
      <c r="H1666" s="1671"/>
      <c r="I1666" s="1671"/>
    </row>
    <row r="1667" customFormat="false" ht="15" hidden="false" customHeight="false" outlineLevel="0" collapsed="false">
      <c r="A1667" s="1332"/>
      <c r="B1667" s="1810"/>
      <c r="C1667" s="1671"/>
      <c r="D1667" s="1811"/>
      <c r="E1667" s="1811"/>
      <c r="F1667" s="1671"/>
      <c r="G1667" s="1671"/>
      <c r="H1667" s="1671"/>
      <c r="I1667" s="1671"/>
    </row>
    <row r="1668" customFormat="false" ht="15" hidden="false" customHeight="false" outlineLevel="0" collapsed="false">
      <c r="A1668" s="1332"/>
      <c r="B1668" s="1810"/>
      <c r="C1668" s="1671"/>
      <c r="D1668" s="1811"/>
      <c r="E1668" s="1811"/>
      <c r="F1668" s="1671"/>
      <c r="G1668" s="1671"/>
      <c r="H1668" s="1671"/>
      <c r="I1668" s="1671"/>
    </row>
    <row r="1669" customFormat="false" ht="15" hidden="false" customHeight="false" outlineLevel="0" collapsed="false">
      <c r="A1669" s="1332"/>
      <c r="B1669" s="1810"/>
      <c r="C1669" s="1671"/>
      <c r="D1669" s="1811"/>
      <c r="E1669" s="1811"/>
      <c r="F1669" s="1671"/>
      <c r="G1669" s="1671"/>
      <c r="H1669" s="1671"/>
      <c r="I1669" s="1671"/>
    </row>
    <row r="1670" customFormat="false" ht="15" hidden="false" customHeight="false" outlineLevel="0" collapsed="false">
      <c r="A1670" s="1812"/>
      <c r="B1670" s="1813"/>
      <c r="C1670" s="454"/>
      <c r="D1670" s="1814"/>
      <c r="E1670" s="1814"/>
      <c r="F1670" s="454"/>
      <c r="G1670" s="454"/>
      <c r="H1670" s="454"/>
      <c r="I1670" s="454"/>
    </row>
    <row r="1671" customFormat="false" ht="15" hidden="false" customHeight="false" outlineLevel="0" collapsed="false">
      <c r="A1671" s="1812"/>
      <c r="B1671" s="1815"/>
      <c r="C1671" s="523"/>
      <c r="D1671" s="1816"/>
      <c r="E1671" s="1817"/>
      <c r="F1671" s="1817"/>
      <c r="G1671" s="1817"/>
      <c r="H1671" s="454"/>
      <c r="I1671" s="454"/>
    </row>
    <row r="1672" customFormat="false" ht="15" hidden="false" customHeight="false" outlineLevel="0" collapsed="false">
      <c r="A1672" s="1812"/>
      <c r="B1672" s="1815"/>
      <c r="C1672" s="523"/>
      <c r="D1672" s="1816"/>
      <c r="E1672" s="1816"/>
      <c r="F1672" s="523"/>
      <c r="G1672" s="1818"/>
      <c r="H1672" s="454"/>
      <c r="I1672" s="454"/>
    </row>
    <row r="1673" customFormat="false" ht="15" hidden="false" customHeight="false" outlineLevel="0" collapsed="false">
      <c r="A1673" s="1812"/>
      <c r="B1673" s="1819"/>
      <c r="C1673" s="1819"/>
      <c r="D1673" s="1816"/>
      <c r="E1673" s="1817"/>
      <c r="F1673" s="1817"/>
      <c r="G1673" s="1817"/>
      <c r="H1673" s="454"/>
      <c r="I1673" s="454"/>
    </row>
    <row r="1674" customFormat="false" ht="15" hidden="false" customHeight="false" outlineLevel="0" collapsed="false">
      <c r="A1674" s="1812"/>
      <c r="B1674" s="1819"/>
      <c r="C1674" s="1819"/>
      <c r="D1674" s="1816"/>
      <c r="E1674" s="1817"/>
      <c r="F1674" s="1817"/>
      <c r="G1674" s="1817"/>
      <c r="H1674" s="454"/>
      <c r="I1674" s="454"/>
    </row>
    <row r="1675" customFormat="false" ht="15" hidden="false" customHeight="false" outlineLevel="0" collapsed="false">
      <c r="A1675" s="1812"/>
      <c r="B1675" s="1819"/>
      <c r="C1675" s="1819"/>
      <c r="D1675" s="1816"/>
      <c r="E1675" s="1817"/>
      <c r="F1675" s="1817"/>
      <c r="G1675" s="1817"/>
      <c r="H1675" s="454"/>
      <c r="I1675" s="454"/>
    </row>
    <row r="1676" customFormat="false" ht="15" hidden="false" customHeight="false" outlineLevel="0" collapsed="false">
      <c r="A1676" s="1812"/>
      <c r="B1676" s="1813"/>
      <c r="C1676" s="454"/>
      <c r="D1676" s="1814"/>
      <c r="E1676" s="1814"/>
      <c r="F1676" s="454"/>
      <c r="G1676" s="454"/>
      <c r="H1676" s="454"/>
      <c r="I1676" s="454"/>
    </row>
    <row r="1756" customFormat="false" ht="33.75" hidden="false" customHeight="true" outlineLevel="0" collapsed="false"/>
    <row r="1758" customFormat="false" ht="36" hidden="false" customHeight="true" outlineLevel="0" collapsed="false"/>
    <row r="1759" customFormat="false" ht="48" hidden="false" customHeight="true" outlineLevel="0" collapsed="false"/>
    <row r="1851" customFormat="false" ht="36.75" hidden="false" customHeight="true" outlineLevel="0" collapsed="false"/>
    <row r="1893" customFormat="false" ht="45" hidden="false" customHeight="true" outlineLevel="0" collapsed="false"/>
    <row r="1896" customFormat="false" ht="39" hidden="false" customHeight="true" outlineLevel="0" collapsed="false"/>
    <row r="1928" customFormat="false" ht="26.25" hidden="false" customHeight="true" outlineLevel="0" collapsed="false"/>
    <row r="1929" customFormat="false" ht="18.75" hidden="false" customHeight="true" outlineLevel="0" collapsed="false"/>
    <row r="1933" customFormat="false" ht="21" hidden="false" customHeight="true" outlineLevel="0" collapsed="false"/>
    <row r="1996" customFormat="false" ht="36" hidden="false" customHeight="true" outlineLevel="0" collapsed="false"/>
    <row r="1997" customFormat="false" ht="50.25" hidden="false" customHeight="true" outlineLevel="0" collapsed="false"/>
    <row r="2012" customFormat="false" ht="37.5" hidden="false" customHeight="true" outlineLevel="0" collapsed="false"/>
    <row r="2013" customFormat="false" ht="36" hidden="false" customHeight="true" outlineLevel="0" collapsed="false"/>
    <row r="2015" customFormat="false" ht="21" hidden="false" customHeight="true" outlineLevel="0" collapsed="false"/>
    <row r="2016" customFormat="false" ht="19.5" hidden="false" customHeight="true" outlineLevel="0" collapsed="false"/>
    <row r="2104" customFormat="false" ht="23.25" hidden="false" customHeight="true" outlineLevel="0" collapsed="false"/>
    <row r="2105" customFormat="false" ht="29.25" hidden="false" customHeight="true" outlineLevel="0" collapsed="false"/>
    <row r="2106" customFormat="false" ht="18" hidden="false" customHeight="true" outlineLevel="0" collapsed="false"/>
    <row r="2107" customFormat="false" ht="18" hidden="false" customHeight="true" outlineLevel="0" collapsed="false"/>
    <row r="2108" customFormat="false" ht="22.5" hidden="false" customHeight="true" outlineLevel="0" collapsed="false"/>
    <row r="2113" customFormat="false" ht="39" hidden="false" customHeight="true" outlineLevel="0" collapsed="false"/>
    <row r="2178" customFormat="false" ht="46.5" hidden="false" customHeight="true" outlineLevel="0" collapsed="false"/>
    <row r="2179" customFormat="false" ht="41.25" hidden="false" customHeight="true" outlineLevel="0" collapsed="false"/>
    <row r="2230" s="311" customFormat="true" ht="15" hidden="false" customHeight="false" outlineLevel="0" collapsed="false">
      <c r="A2230" s="1628"/>
      <c r="B2230" s="1629"/>
      <c r="C2230" s="446"/>
      <c r="D2230" s="1630"/>
      <c r="E2230" s="1630"/>
      <c r="F2230" s="446"/>
      <c r="G2230" s="446"/>
      <c r="H2230" s="446"/>
      <c r="I2230" s="446"/>
      <c r="J2230" s="531"/>
      <c r="K2230" s="531"/>
    </row>
    <row r="2231" s="311" customFormat="true" ht="15" hidden="false" customHeight="false" outlineLevel="0" collapsed="false">
      <c r="A2231" s="1628"/>
      <c r="B2231" s="1629"/>
      <c r="C2231" s="446"/>
      <c r="D2231" s="1630"/>
      <c r="E2231" s="1630"/>
      <c r="F2231" s="446"/>
      <c r="G2231" s="446"/>
      <c r="H2231" s="446"/>
      <c r="I2231" s="446"/>
      <c r="J2231" s="531"/>
      <c r="K2231" s="531"/>
    </row>
    <row r="2232" s="311" customFormat="true" ht="15" hidden="false" customHeight="false" outlineLevel="0" collapsed="false">
      <c r="A2232" s="1628"/>
      <c r="B2232" s="1629"/>
      <c r="C2232" s="446"/>
      <c r="D2232" s="1630"/>
      <c r="E2232" s="1630"/>
      <c r="F2232" s="446"/>
      <c r="G2232" s="446"/>
      <c r="H2232" s="446"/>
      <c r="I2232" s="446"/>
      <c r="J2232" s="531"/>
      <c r="K2232" s="531"/>
    </row>
    <row r="2233" s="311" customFormat="true" ht="15" hidden="false" customHeight="false" outlineLevel="0" collapsed="false">
      <c r="A2233" s="1628"/>
      <c r="B2233" s="1629"/>
      <c r="C2233" s="446"/>
      <c r="D2233" s="1630"/>
      <c r="E2233" s="1630"/>
      <c r="F2233" s="446"/>
      <c r="G2233" s="446"/>
      <c r="H2233" s="446"/>
      <c r="I2233" s="446"/>
      <c r="J2233" s="531"/>
      <c r="K2233" s="531"/>
    </row>
    <row r="2234" s="311" customFormat="true" ht="15" hidden="false" customHeight="false" outlineLevel="0" collapsed="false">
      <c r="A2234" s="1628"/>
      <c r="B2234" s="1629"/>
      <c r="C2234" s="446"/>
      <c r="D2234" s="1630"/>
      <c r="E2234" s="1630"/>
      <c r="F2234" s="446"/>
      <c r="G2234" s="446"/>
      <c r="H2234" s="446"/>
      <c r="I2234" s="446"/>
      <c r="J2234" s="531"/>
      <c r="K2234" s="531"/>
    </row>
    <row r="2235" s="311" customFormat="true" ht="15" hidden="false" customHeight="false" outlineLevel="0" collapsed="false">
      <c r="A2235" s="1628"/>
      <c r="B2235" s="1629"/>
      <c r="C2235" s="446"/>
      <c r="D2235" s="1630"/>
      <c r="E2235" s="1630"/>
      <c r="F2235" s="446"/>
      <c r="G2235" s="446"/>
      <c r="H2235" s="446"/>
      <c r="I2235" s="446"/>
      <c r="J2235" s="531"/>
      <c r="K2235" s="531"/>
    </row>
    <row r="2236" s="311" customFormat="true" ht="15" hidden="false" customHeight="false" outlineLevel="0" collapsed="false">
      <c r="A2236" s="1628"/>
      <c r="B2236" s="1629"/>
      <c r="C2236" s="446"/>
      <c r="D2236" s="1630"/>
      <c r="E2236" s="1630"/>
      <c r="F2236" s="446"/>
      <c r="G2236" s="446"/>
      <c r="H2236" s="446"/>
      <c r="I2236" s="446"/>
      <c r="J2236" s="531"/>
      <c r="K2236" s="531"/>
    </row>
    <row r="2237" s="311" customFormat="true" ht="15" hidden="false" customHeight="false" outlineLevel="0" collapsed="false">
      <c r="A2237" s="1628"/>
      <c r="B2237" s="1629"/>
      <c r="C2237" s="446"/>
      <c r="D2237" s="1630"/>
      <c r="E2237" s="1630"/>
      <c r="F2237" s="446"/>
      <c r="G2237" s="446"/>
      <c r="H2237" s="446"/>
      <c r="I2237" s="446"/>
      <c r="J2237" s="531"/>
      <c r="K2237" s="531"/>
    </row>
    <row r="2269" customFormat="false" ht="69" hidden="false" customHeight="true" outlineLevel="0" collapsed="false"/>
    <row r="2270" customFormat="false" ht="61.5" hidden="false" customHeight="true" outlineLevel="0" collapsed="false"/>
    <row r="2271" customFormat="false" ht="25.5" hidden="false" customHeight="true" outlineLevel="0" collapsed="false"/>
    <row r="2272" customFormat="false" ht="33" hidden="false" customHeight="true" outlineLevel="0" collapsed="false"/>
    <row r="2273" customFormat="false" ht="27" hidden="false" customHeight="true" outlineLevel="0" collapsed="false"/>
    <row r="2274" customFormat="false" ht="21.75" hidden="false" customHeight="true" outlineLevel="0" collapsed="false"/>
    <row r="2275" customFormat="false" ht="15.75" hidden="false" customHeight="true" outlineLevel="0" collapsed="false"/>
    <row r="2276" customFormat="false" ht="24.75" hidden="false" customHeight="true" outlineLevel="0" collapsed="false"/>
    <row r="2277" customFormat="false" ht="15.75" hidden="false" customHeight="true" outlineLevel="0" collapsed="false"/>
    <row r="2278" customFormat="false" ht="15.75" hidden="false" customHeight="true" outlineLevel="0" collapsed="false"/>
    <row r="2279" customFormat="false" ht="15.75" hidden="false" customHeight="true" outlineLevel="0" collapsed="false"/>
    <row r="2280" customFormat="false" ht="15.75" hidden="false" customHeight="true" outlineLevel="0" collapsed="false"/>
    <row r="2281" customFormat="false" ht="15.75" hidden="false" customHeight="true" outlineLevel="0" collapsed="false"/>
    <row r="2282" customFormat="false" ht="15.75" hidden="false" customHeight="true" outlineLevel="0" collapsed="false"/>
    <row r="2283" customFormat="false" ht="15.75" hidden="false" customHeight="true" outlineLevel="0" collapsed="false"/>
    <row r="2284" customFormat="false" ht="15.75" hidden="false" customHeight="true" outlineLevel="0" collapsed="false"/>
    <row r="2285" customFormat="false" ht="15.75" hidden="false" customHeight="true" outlineLevel="0" collapsed="false"/>
    <row r="2286" customFormat="false" ht="15.75" hidden="false" customHeight="true" outlineLevel="0" collapsed="false"/>
    <row r="2287" customFormat="false" ht="15.75" hidden="false" customHeight="true" outlineLevel="0" collapsed="false"/>
    <row r="2288" customFormat="false" ht="15.75" hidden="false" customHeight="true" outlineLevel="0" collapsed="false"/>
    <row r="2289" customFormat="false" ht="15.75" hidden="false" customHeight="true" outlineLevel="0" collapsed="false"/>
    <row r="2290" customFormat="false" ht="15.75" hidden="false" customHeight="true" outlineLevel="0" collapsed="false"/>
    <row r="2291" customFormat="false" ht="15.75" hidden="false" customHeight="true" outlineLevel="0" collapsed="false"/>
    <row r="2292" customFormat="false" ht="15.75" hidden="false" customHeight="true" outlineLevel="0" collapsed="false"/>
    <row r="2293" customFormat="false" ht="15.75" hidden="false" customHeight="true" outlineLevel="0" collapsed="false"/>
    <row r="2294" customFormat="false" ht="15.75" hidden="false" customHeight="true" outlineLevel="0" collapsed="false"/>
    <row r="2295" customFormat="false" ht="15.75" hidden="false" customHeight="true" outlineLevel="0" collapsed="false"/>
    <row r="2296" customFormat="false" ht="15.75" hidden="false" customHeight="true" outlineLevel="0" collapsed="false"/>
    <row r="2297" customFormat="false" ht="44.25" hidden="false" customHeight="true" outlineLevel="0" collapsed="false"/>
    <row r="2298" customFormat="false" ht="15.75" hidden="false" customHeight="true" outlineLevel="0" collapsed="false"/>
    <row r="2299" customFormat="false" ht="28.5" hidden="false" customHeight="true" outlineLevel="0" collapsed="false"/>
    <row r="2300" customFormat="false" ht="15.75" hidden="false" customHeight="true" outlineLevel="0" collapsed="false"/>
    <row r="2301" customFormat="false" ht="15.75" hidden="false" customHeight="true" outlineLevel="0" collapsed="false"/>
    <row r="2302" customFormat="false" ht="15.75" hidden="false" customHeight="true" outlineLevel="0" collapsed="false"/>
    <row r="2303" customFormat="false" ht="15.75" hidden="false" customHeight="true" outlineLevel="0" collapsed="false"/>
    <row r="2304" customFormat="false" ht="15.75" hidden="false" customHeight="true" outlineLevel="0" collapsed="false"/>
    <row r="2305" customFormat="false" ht="15.75" hidden="false" customHeight="true" outlineLevel="0" collapsed="false"/>
    <row r="2306" customFormat="false" ht="15.75" hidden="false" customHeight="true" outlineLevel="0" collapsed="false"/>
    <row r="2307" customFormat="false" ht="15.75" hidden="false" customHeight="true" outlineLevel="0" collapsed="false"/>
    <row r="2308" customFormat="false" ht="15.75" hidden="false" customHeight="true" outlineLevel="0" collapsed="false"/>
    <row r="2309" customFormat="false" ht="15.75" hidden="false" customHeight="true" outlineLevel="0" collapsed="false"/>
    <row r="2310" customFormat="false" ht="15.75" hidden="false" customHeight="true" outlineLevel="0" collapsed="false"/>
    <row r="2311" customFormat="false" ht="15.75" hidden="false" customHeight="true" outlineLevel="0" collapsed="false"/>
    <row r="2312" customFormat="false" ht="15.75" hidden="false" customHeight="true" outlineLevel="0" collapsed="false"/>
    <row r="2313" customFormat="false" ht="15.75" hidden="false" customHeight="true" outlineLevel="0" collapsed="false"/>
    <row r="2314" customFormat="false" ht="15.75" hidden="false" customHeight="true" outlineLevel="0" collapsed="false"/>
    <row r="2315" customFormat="false" ht="15.75" hidden="false" customHeight="true" outlineLevel="0" collapsed="false"/>
    <row r="2316" customFormat="false" ht="15.75" hidden="false" customHeight="true" outlineLevel="0" collapsed="false"/>
    <row r="2317" customFormat="false" ht="15.75" hidden="false" customHeight="true" outlineLevel="0" collapsed="false"/>
    <row r="2318" customFormat="false" ht="15.75" hidden="false" customHeight="true" outlineLevel="0" collapsed="false"/>
    <row r="2319" customFormat="false" ht="15.75" hidden="false" customHeight="true" outlineLevel="0" collapsed="false"/>
    <row r="2320" customFormat="false" ht="15.75" hidden="false" customHeight="true" outlineLevel="0" collapsed="false"/>
    <row r="2321" customFormat="false" ht="45" hidden="false" customHeight="true" outlineLevel="0" collapsed="false"/>
    <row r="2322" customFormat="false" ht="15.75" hidden="false" customHeight="true" outlineLevel="0" collapsed="false"/>
    <row r="2323" customFormat="false" ht="15.75" hidden="false" customHeight="true" outlineLevel="0" collapsed="false"/>
    <row r="2324" customFormat="false" ht="15.75" hidden="false" customHeight="true" outlineLevel="0" collapsed="false"/>
    <row r="2325" customFormat="false" ht="15.75" hidden="false" customHeight="true" outlineLevel="0" collapsed="false"/>
    <row r="2326" customFormat="false" ht="15.75" hidden="false" customHeight="true" outlineLevel="0" collapsed="false"/>
    <row r="2327" customFormat="false" ht="15.75" hidden="false" customHeight="true" outlineLevel="0" collapsed="false"/>
    <row r="2328" customFormat="false" ht="21.75" hidden="false" customHeight="true" outlineLevel="0" collapsed="false"/>
    <row r="2329" customFormat="false" ht="28.5" hidden="false" customHeight="true" outlineLevel="0" collapsed="false"/>
    <row r="2330" customFormat="false" ht="24.75" hidden="false" customHeight="true" outlineLevel="0" collapsed="false"/>
    <row r="2331" customFormat="false" ht="15.75" hidden="false" customHeight="true" outlineLevel="0" collapsed="false"/>
    <row r="2332" customFormat="false" ht="49.5" hidden="false" customHeight="true" outlineLevel="0" collapsed="false"/>
    <row r="2333" customFormat="false" ht="15.75" hidden="false" customHeight="true" outlineLevel="0" collapsed="false"/>
    <row r="2334" customFormat="false" ht="15.75" hidden="false" customHeight="true" outlineLevel="0" collapsed="false"/>
    <row r="2335" customFormat="false" ht="15.75" hidden="false" customHeight="true" outlineLevel="0" collapsed="false"/>
    <row r="2336" customFormat="false" ht="15.75" hidden="false" customHeight="true" outlineLevel="0" collapsed="false"/>
    <row r="2337" customFormat="false" ht="15.75" hidden="false" customHeight="true" outlineLevel="0" collapsed="false"/>
    <row r="2338" customFormat="false" ht="24.75" hidden="false" customHeight="true" outlineLevel="0" collapsed="false"/>
    <row r="2339" customFormat="false" ht="40.5" hidden="false" customHeight="true" outlineLevel="0" collapsed="false"/>
    <row r="2340" s="311" customFormat="true" ht="51" hidden="false" customHeight="true" outlineLevel="0" collapsed="false">
      <c r="A2340" s="1628"/>
      <c r="B2340" s="1629"/>
      <c r="C2340" s="446"/>
      <c r="D2340" s="1630"/>
      <c r="E2340" s="1630"/>
      <c r="F2340" s="446"/>
      <c r="G2340" s="446"/>
      <c r="H2340" s="446"/>
      <c r="I2340" s="446"/>
      <c r="J2340" s="531"/>
      <c r="K2340" s="531"/>
    </row>
    <row r="2341" s="311" customFormat="true" ht="15" hidden="false" customHeight="false" outlineLevel="0" collapsed="false">
      <c r="A2341" s="1628"/>
      <c r="B2341" s="1629"/>
      <c r="C2341" s="446"/>
      <c r="D2341" s="1630"/>
      <c r="E2341" s="1630"/>
      <c r="F2341" s="446"/>
      <c r="G2341" s="446"/>
      <c r="H2341" s="446"/>
      <c r="I2341" s="446"/>
      <c r="J2341" s="531"/>
      <c r="K2341" s="531"/>
    </row>
    <row r="2342" s="311" customFormat="true" ht="15" hidden="false" customHeight="false" outlineLevel="0" collapsed="false">
      <c r="A2342" s="1628"/>
      <c r="B2342" s="1629"/>
      <c r="C2342" s="446"/>
      <c r="D2342" s="1630"/>
      <c r="E2342" s="1630"/>
      <c r="F2342" s="446"/>
      <c r="G2342" s="446"/>
      <c r="H2342" s="446"/>
      <c r="I2342" s="446"/>
      <c r="J2342" s="531"/>
      <c r="K2342" s="531"/>
    </row>
    <row r="2343" s="311" customFormat="true" ht="15" hidden="false" customHeight="false" outlineLevel="0" collapsed="false">
      <c r="A2343" s="1628"/>
      <c r="B2343" s="1629"/>
      <c r="C2343" s="446"/>
      <c r="D2343" s="1630"/>
      <c r="E2343" s="1630"/>
      <c r="F2343" s="446"/>
      <c r="G2343" s="446"/>
      <c r="H2343" s="446"/>
      <c r="I2343" s="446"/>
      <c r="J2343" s="531"/>
      <c r="K2343" s="531"/>
    </row>
    <row r="2344" s="311" customFormat="true" ht="15" hidden="false" customHeight="false" outlineLevel="0" collapsed="false">
      <c r="A2344" s="1628"/>
      <c r="B2344" s="1629"/>
      <c r="C2344" s="446"/>
      <c r="D2344" s="1630"/>
      <c r="E2344" s="1630"/>
      <c r="F2344" s="446"/>
      <c r="G2344" s="446"/>
      <c r="H2344" s="446"/>
      <c r="I2344" s="446"/>
      <c r="J2344" s="531"/>
      <c r="K2344" s="531"/>
    </row>
    <row r="2345" s="311" customFormat="true" ht="15" hidden="false" customHeight="false" outlineLevel="0" collapsed="false">
      <c r="A2345" s="1628"/>
      <c r="B2345" s="1629"/>
      <c r="C2345" s="446"/>
      <c r="D2345" s="1630"/>
      <c r="E2345" s="1630"/>
      <c r="F2345" s="446"/>
      <c r="G2345" s="446"/>
      <c r="H2345" s="446"/>
      <c r="I2345" s="446"/>
      <c r="J2345" s="531"/>
      <c r="K2345" s="531"/>
    </row>
    <row r="2346" s="311" customFormat="true" ht="15" hidden="false" customHeight="false" outlineLevel="0" collapsed="false">
      <c r="A2346" s="1628"/>
      <c r="B2346" s="1629"/>
      <c r="C2346" s="446"/>
      <c r="D2346" s="1630"/>
      <c r="E2346" s="1630"/>
      <c r="F2346" s="446"/>
      <c r="G2346" s="446"/>
      <c r="H2346" s="446"/>
      <c r="I2346" s="446"/>
      <c r="J2346" s="531"/>
      <c r="K2346" s="531"/>
    </row>
    <row r="2347" s="311" customFormat="true" ht="15" hidden="false" customHeight="false" outlineLevel="0" collapsed="false">
      <c r="A2347" s="1628"/>
      <c r="B2347" s="1629"/>
      <c r="C2347" s="446"/>
      <c r="D2347" s="1630"/>
      <c r="E2347" s="1630"/>
      <c r="F2347" s="446"/>
      <c r="G2347" s="446"/>
      <c r="H2347" s="446"/>
      <c r="I2347" s="446"/>
      <c r="J2347" s="531"/>
      <c r="K2347" s="531"/>
    </row>
    <row r="2348" s="311" customFormat="true" ht="15" hidden="false" customHeight="false" outlineLevel="0" collapsed="false">
      <c r="A2348" s="1628"/>
      <c r="B2348" s="1629"/>
      <c r="C2348" s="446"/>
      <c r="D2348" s="1630"/>
      <c r="E2348" s="1630"/>
      <c r="F2348" s="446"/>
      <c r="G2348" s="446"/>
      <c r="H2348" s="446"/>
      <c r="I2348" s="446"/>
      <c r="J2348" s="531"/>
      <c r="K2348" s="531"/>
    </row>
    <row r="2349" s="311" customFormat="true" ht="15" hidden="false" customHeight="false" outlineLevel="0" collapsed="false">
      <c r="A2349" s="1628"/>
      <c r="B2349" s="1629"/>
      <c r="C2349" s="446"/>
      <c r="D2349" s="1630"/>
      <c r="E2349" s="1630"/>
      <c r="F2349" s="446"/>
      <c r="G2349" s="446"/>
      <c r="H2349" s="446"/>
      <c r="I2349" s="446"/>
      <c r="J2349" s="531"/>
      <c r="K2349" s="531"/>
    </row>
    <row r="2350" s="311" customFormat="true" ht="15" hidden="false" customHeight="false" outlineLevel="0" collapsed="false">
      <c r="A2350" s="1628"/>
      <c r="B2350" s="1629"/>
      <c r="C2350" s="446"/>
      <c r="D2350" s="1630"/>
      <c r="E2350" s="1630"/>
      <c r="F2350" s="446"/>
      <c r="G2350" s="446"/>
      <c r="H2350" s="446"/>
      <c r="I2350" s="446"/>
      <c r="J2350" s="531"/>
      <c r="K2350" s="531"/>
    </row>
    <row r="2351" s="311" customFormat="true" ht="15" hidden="false" customHeight="false" outlineLevel="0" collapsed="false">
      <c r="A2351" s="1628"/>
      <c r="B2351" s="1629"/>
      <c r="C2351" s="446"/>
      <c r="D2351" s="1630"/>
      <c r="E2351" s="1630"/>
      <c r="F2351" s="446"/>
      <c r="G2351" s="446"/>
      <c r="H2351" s="446"/>
      <c r="I2351" s="446"/>
      <c r="J2351" s="531"/>
      <c r="K2351" s="531"/>
    </row>
    <row r="2352" s="311" customFormat="true" ht="15" hidden="false" customHeight="false" outlineLevel="0" collapsed="false">
      <c r="A2352" s="1628"/>
      <c r="B2352" s="1629"/>
      <c r="C2352" s="446"/>
      <c r="D2352" s="1630"/>
      <c r="E2352" s="1630"/>
      <c r="F2352" s="446"/>
      <c r="G2352" s="446"/>
      <c r="H2352" s="446"/>
      <c r="I2352" s="446"/>
      <c r="J2352" s="531"/>
      <c r="K2352" s="531"/>
    </row>
    <row r="2353" s="311" customFormat="true" ht="15" hidden="false" customHeight="false" outlineLevel="0" collapsed="false">
      <c r="A2353" s="1628"/>
      <c r="B2353" s="1629"/>
      <c r="C2353" s="446"/>
      <c r="D2353" s="1630"/>
      <c r="E2353" s="1630"/>
      <c r="F2353" s="446"/>
      <c r="G2353" s="446"/>
      <c r="H2353" s="446"/>
      <c r="I2353" s="446"/>
      <c r="J2353" s="531"/>
      <c r="K2353" s="531"/>
    </row>
    <row r="2354" s="311" customFormat="true" ht="15" hidden="false" customHeight="false" outlineLevel="0" collapsed="false">
      <c r="A2354" s="1628"/>
      <c r="B2354" s="1629"/>
      <c r="C2354" s="446"/>
      <c r="D2354" s="1630"/>
      <c r="E2354" s="1630"/>
      <c r="F2354" s="446"/>
      <c r="G2354" s="446"/>
      <c r="H2354" s="446"/>
      <c r="I2354" s="446"/>
      <c r="J2354" s="531"/>
      <c r="K2354" s="531"/>
    </row>
    <row r="2355" s="311" customFormat="true" ht="15" hidden="false" customHeight="false" outlineLevel="0" collapsed="false">
      <c r="A2355" s="1628"/>
      <c r="B2355" s="1629"/>
      <c r="C2355" s="446"/>
      <c r="D2355" s="1630"/>
      <c r="E2355" s="1630"/>
      <c r="F2355" s="446"/>
      <c r="G2355" s="446"/>
      <c r="H2355" s="446"/>
      <c r="I2355" s="446"/>
      <c r="J2355" s="531"/>
      <c r="K2355" s="531"/>
    </row>
    <row r="2356" s="311" customFormat="true" ht="15" hidden="false" customHeight="false" outlineLevel="0" collapsed="false">
      <c r="A2356" s="1628"/>
      <c r="B2356" s="1629"/>
      <c r="C2356" s="446"/>
      <c r="D2356" s="1630"/>
      <c r="E2356" s="1630"/>
      <c r="F2356" s="446"/>
      <c r="G2356" s="446"/>
      <c r="H2356" s="446"/>
      <c r="I2356" s="446"/>
      <c r="J2356" s="531"/>
      <c r="K2356" s="531"/>
    </row>
    <row r="2357" s="311" customFormat="true" ht="15" hidden="false" customHeight="false" outlineLevel="0" collapsed="false">
      <c r="A2357" s="1628"/>
      <c r="B2357" s="1629"/>
      <c r="C2357" s="446"/>
      <c r="D2357" s="1630"/>
      <c r="E2357" s="1630"/>
      <c r="F2357" s="446"/>
      <c r="G2357" s="446"/>
      <c r="H2357" s="446"/>
      <c r="I2357" s="446"/>
      <c r="J2357" s="531"/>
      <c r="K2357" s="531"/>
    </row>
    <row r="2358" s="311" customFormat="true" ht="15" hidden="false" customHeight="false" outlineLevel="0" collapsed="false">
      <c r="A2358" s="1628"/>
      <c r="B2358" s="1629"/>
      <c r="C2358" s="446"/>
      <c r="D2358" s="1630"/>
      <c r="E2358" s="1630"/>
      <c r="F2358" s="446"/>
      <c r="G2358" s="446"/>
      <c r="H2358" s="446"/>
      <c r="I2358" s="446"/>
      <c r="J2358" s="531"/>
      <c r="K2358" s="531"/>
    </row>
    <row r="2359" s="311" customFormat="true" ht="15" hidden="false" customHeight="false" outlineLevel="0" collapsed="false">
      <c r="A2359" s="1628"/>
      <c r="B2359" s="1629"/>
      <c r="C2359" s="446"/>
      <c r="D2359" s="1630"/>
      <c r="E2359" s="1630"/>
      <c r="F2359" s="446"/>
      <c r="G2359" s="446"/>
      <c r="H2359" s="446"/>
      <c r="I2359" s="446"/>
      <c r="J2359" s="531"/>
      <c r="K2359" s="531"/>
    </row>
    <row r="2360" s="311" customFormat="true" ht="15" hidden="false" customHeight="false" outlineLevel="0" collapsed="false">
      <c r="A2360" s="1628"/>
      <c r="B2360" s="1629"/>
      <c r="C2360" s="446"/>
      <c r="D2360" s="1630"/>
      <c r="E2360" s="1630"/>
      <c r="F2360" s="446"/>
      <c r="G2360" s="446"/>
      <c r="H2360" s="446"/>
      <c r="I2360" s="446"/>
      <c r="J2360" s="531"/>
      <c r="K2360" s="531"/>
    </row>
    <row r="2361" s="311" customFormat="true" ht="15" hidden="false" customHeight="false" outlineLevel="0" collapsed="false">
      <c r="A2361" s="1628"/>
      <c r="B2361" s="1629"/>
      <c r="C2361" s="446"/>
      <c r="D2361" s="1630"/>
      <c r="E2361" s="1630"/>
      <c r="F2361" s="446"/>
      <c r="G2361" s="446"/>
      <c r="H2361" s="446"/>
      <c r="I2361" s="446"/>
      <c r="J2361" s="531"/>
      <c r="K2361" s="531"/>
    </row>
    <row r="2362" s="311" customFormat="true" ht="15" hidden="false" customHeight="false" outlineLevel="0" collapsed="false">
      <c r="A2362" s="1628"/>
      <c r="B2362" s="1629"/>
      <c r="C2362" s="446"/>
      <c r="D2362" s="1630"/>
      <c r="E2362" s="1630"/>
      <c r="F2362" s="446"/>
      <c r="G2362" s="446"/>
      <c r="H2362" s="446"/>
      <c r="I2362" s="446"/>
      <c r="J2362" s="531"/>
      <c r="K2362" s="531"/>
    </row>
    <row r="2363" s="311" customFormat="true" ht="15" hidden="false" customHeight="false" outlineLevel="0" collapsed="false">
      <c r="A2363" s="1628"/>
      <c r="B2363" s="1629"/>
      <c r="C2363" s="446"/>
      <c r="D2363" s="1630"/>
      <c r="E2363" s="1630"/>
      <c r="F2363" s="446"/>
      <c r="G2363" s="446"/>
      <c r="H2363" s="446"/>
      <c r="I2363" s="446"/>
      <c r="J2363" s="531"/>
      <c r="K2363" s="531"/>
    </row>
    <row r="2364" s="311" customFormat="true" ht="15" hidden="false" customHeight="false" outlineLevel="0" collapsed="false">
      <c r="A2364" s="1628"/>
      <c r="B2364" s="1629"/>
      <c r="C2364" s="446"/>
      <c r="D2364" s="1630"/>
      <c r="E2364" s="1630"/>
      <c r="F2364" s="446"/>
      <c r="G2364" s="446"/>
      <c r="H2364" s="446"/>
      <c r="I2364" s="446"/>
      <c r="J2364" s="531"/>
      <c r="K2364" s="531"/>
    </row>
    <row r="2365" s="311" customFormat="true" ht="15" hidden="false" customHeight="false" outlineLevel="0" collapsed="false">
      <c r="A2365" s="1628"/>
      <c r="B2365" s="1629"/>
      <c r="C2365" s="446"/>
      <c r="D2365" s="1630"/>
      <c r="E2365" s="1630"/>
      <c r="F2365" s="446"/>
      <c r="G2365" s="446"/>
      <c r="H2365" s="446"/>
      <c r="I2365" s="446"/>
      <c r="J2365" s="531"/>
      <c r="K2365" s="531"/>
    </row>
    <row r="2366" s="311" customFormat="true" ht="15" hidden="false" customHeight="false" outlineLevel="0" collapsed="false">
      <c r="A2366" s="1628"/>
      <c r="B2366" s="1629"/>
      <c r="C2366" s="446"/>
      <c r="D2366" s="1630"/>
      <c r="E2366" s="1630"/>
      <c r="F2366" s="446"/>
      <c r="G2366" s="446"/>
      <c r="H2366" s="446"/>
      <c r="I2366" s="446"/>
      <c r="J2366" s="531"/>
      <c r="K2366" s="531"/>
    </row>
    <row r="2367" s="311" customFormat="true" ht="15" hidden="false" customHeight="false" outlineLevel="0" collapsed="false">
      <c r="A2367" s="1628"/>
      <c r="B2367" s="1629"/>
      <c r="C2367" s="446"/>
      <c r="D2367" s="1630"/>
      <c r="E2367" s="1630"/>
      <c r="F2367" s="446"/>
      <c r="G2367" s="446"/>
      <c r="H2367" s="446"/>
      <c r="I2367" s="446"/>
      <c r="J2367" s="531"/>
      <c r="K2367" s="531"/>
    </row>
    <row r="2368" s="311" customFormat="true" ht="15" hidden="false" customHeight="false" outlineLevel="0" collapsed="false">
      <c r="A2368" s="1628"/>
      <c r="B2368" s="1629"/>
      <c r="C2368" s="446"/>
      <c r="D2368" s="1630"/>
      <c r="E2368" s="1630"/>
      <c r="F2368" s="446"/>
      <c r="G2368" s="446"/>
      <c r="H2368" s="446"/>
      <c r="I2368" s="446"/>
      <c r="J2368" s="531"/>
      <c r="K2368" s="531"/>
    </row>
    <row r="2369" s="311" customFormat="true" ht="15" hidden="false" customHeight="false" outlineLevel="0" collapsed="false">
      <c r="A2369" s="1628"/>
      <c r="B2369" s="1629"/>
      <c r="C2369" s="446"/>
      <c r="D2369" s="1630"/>
      <c r="E2369" s="1630"/>
      <c r="F2369" s="446"/>
      <c r="G2369" s="446"/>
      <c r="H2369" s="446"/>
      <c r="I2369" s="446"/>
      <c r="J2369" s="531"/>
      <c r="K2369" s="531"/>
    </row>
    <row r="2370" s="311" customFormat="true" ht="41.25" hidden="false" customHeight="true" outlineLevel="0" collapsed="false">
      <c r="A2370" s="1628"/>
      <c r="B2370" s="1629"/>
      <c r="C2370" s="446"/>
      <c r="D2370" s="1630"/>
      <c r="E2370" s="1630"/>
      <c r="F2370" s="446"/>
      <c r="G2370" s="446"/>
      <c r="H2370" s="446"/>
      <c r="I2370" s="446"/>
      <c r="J2370" s="531"/>
      <c r="K2370" s="531"/>
    </row>
    <row r="2371" s="311" customFormat="true" ht="15" hidden="false" customHeight="false" outlineLevel="0" collapsed="false">
      <c r="A2371" s="1628"/>
      <c r="B2371" s="1629"/>
      <c r="C2371" s="446"/>
      <c r="D2371" s="1630"/>
      <c r="E2371" s="1630"/>
      <c r="F2371" s="446"/>
      <c r="G2371" s="446"/>
      <c r="H2371" s="446"/>
      <c r="I2371" s="446"/>
      <c r="J2371" s="531"/>
      <c r="K2371" s="531"/>
    </row>
    <row r="2372" s="311" customFormat="true" ht="15" hidden="false" customHeight="false" outlineLevel="0" collapsed="false">
      <c r="A2372" s="1628"/>
      <c r="B2372" s="1629"/>
      <c r="C2372" s="446"/>
      <c r="D2372" s="1630"/>
      <c r="E2372" s="1630"/>
      <c r="F2372" s="446"/>
      <c r="G2372" s="446"/>
      <c r="H2372" s="446"/>
      <c r="I2372" s="446"/>
      <c r="J2372" s="531"/>
      <c r="K2372" s="531"/>
    </row>
    <row r="2373" s="311" customFormat="true" ht="15" hidden="false" customHeight="false" outlineLevel="0" collapsed="false">
      <c r="A2373" s="1628"/>
      <c r="B2373" s="1629"/>
      <c r="C2373" s="446"/>
      <c r="D2373" s="1630"/>
      <c r="E2373" s="1630"/>
      <c r="F2373" s="446"/>
      <c r="G2373" s="446"/>
      <c r="H2373" s="446"/>
      <c r="I2373" s="446"/>
      <c r="J2373" s="531"/>
      <c r="K2373" s="531"/>
    </row>
    <row r="2374" s="311" customFormat="true" ht="21.75" hidden="false" customHeight="true" outlineLevel="0" collapsed="false">
      <c r="A2374" s="1628"/>
      <c r="B2374" s="1629"/>
      <c r="C2374" s="446"/>
      <c r="D2374" s="1630"/>
      <c r="E2374" s="1630"/>
      <c r="F2374" s="446"/>
      <c r="G2374" s="446"/>
      <c r="H2374" s="446"/>
      <c r="I2374" s="446"/>
      <c r="J2374" s="531"/>
      <c r="K2374" s="531"/>
    </row>
    <row r="2375" s="311" customFormat="true" ht="15" hidden="false" customHeight="false" outlineLevel="0" collapsed="false">
      <c r="A2375" s="1628"/>
      <c r="B2375" s="1629"/>
      <c r="C2375" s="446"/>
      <c r="D2375" s="1630"/>
      <c r="E2375" s="1630"/>
      <c r="F2375" s="446"/>
      <c r="G2375" s="446"/>
      <c r="H2375" s="446"/>
      <c r="I2375" s="446"/>
      <c r="J2375" s="531"/>
      <c r="K2375" s="531"/>
    </row>
    <row r="2376" s="311" customFormat="true" ht="15" hidden="false" customHeight="false" outlineLevel="0" collapsed="false">
      <c r="A2376" s="1628"/>
      <c r="B2376" s="1629"/>
      <c r="C2376" s="446"/>
      <c r="D2376" s="1630"/>
      <c r="E2376" s="1630"/>
      <c r="F2376" s="446"/>
      <c r="G2376" s="446"/>
      <c r="H2376" s="446"/>
      <c r="I2376" s="446"/>
      <c r="J2376" s="531"/>
      <c r="K2376" s="531"/>
    </row>
    <row r="2377" s="311" customFormat="true" ht="15" hidden="false" customHeight="false" outlineLevel="0" collapsed="false">
      <c r="A2377" s="1628"/>
      <c r="B2377" s="1629"/>
      <c r="C2377" s="446"/>
      <c r="D2377" s="1630"/>
      <c r="E2377" s="1630"/>
      <c r="F2377" s="446"/>
      <c r="G2377" s="446"/>
      <c r="H2377" s="446"/>
      <c r="I2377" s="446"/>
      <c r="J2377" s="531"/>
      <c r="K2377" s="531"/>
    </row>
    <row r="2378" s="311" customFormat="true" ht="15" hidden="false" customHeight="false" outlineLevel="0" collapsed="false">
      <c r="A2378" s="1628"/>
      <c r="B2378" s="1629"/>
      <c r="C2378" s="446"/>
      <c r="D2378" s="1630"/>
      <c r="E2378" s="1630"/>
      <c r="F2378" s="446"/>
      <c r="G2378" s="446"/>
      <c r="H2378" s="446"/>
      <c r="I2378" s="446"/>
      <c r="J2378" s="531"/>
      <c r="K2378" s="531"/>
    </row>
    <row r="2379" s="311" customFormat="true" ht="15" hidden="false" customHeight="false" outlineLevel="0" collapsed="false">
      <c r="A2379" s="1628"/>
      <c r="B2379" s="1629"/>
      <c r="C2379" s="446"/>
      <c r="D2379" s="1630"/>
      <c r="E2379" s="1630"/>
      <c r="F2379" s="446"/>
      <c r="G2379" s="446"/>
      <c r="H2379" s="446"/>
      <c r="I2379" s="446"/>
      <c r="J2379" s="531"/>
      <c r="K2379" s="531"/>
    </row>
    <row r="2380" s="311" customFormat="true" ht="27" hidden="false" customHeight="true" outlineLevel="0" collapsed="false">
      <c r="A2380" s="1628"/>
      <c r="B2380" s="1629"/>
      <c r="C2380" s="446"/>
      <c r="D2380" s="1630"/>
      <c r="E2380" s="1630"/>
      <c r="F2380" s="446"/>
      <c r="G2380" s="446"/>
      <c r="H2380" s="446"/>
      <c r="I2380" s="446"/>
      <c r="J2380" s="531"/>
      <c r="K2380" s="531"/>
    </row>
    <row r="2381" s="311" customFormat="true" ht="15" hidden="false" customHeight="false" outlineLevel="0" collapsed="false">
      <c r="A2381" s="1628"/>
      <c r="B2381" s="1629"/>
      <c r="C2381" s="446"/>
      <c r="D2381" s="1630"/>
      <c r="E2381" s="1630"/>
      <c r="F2381" s="446"/>
      <c r="G2381" s="446"/>
      <c r="H2381" s="446"/>
      <c r="I2381" s="446"/>
      <c r="J2381" s="531"/>
      <c r="K2381" s="531"/>
    </row>
    <row r="2382" s="311" customFormat="true" ht="15" hidden="false" customHeight="false" outlineLevel="0" collapsed="false">
      <c r="A2382" s="1628"/>
      <c r="B2382" s="1629"/>
      <c r="C2382" s="446"/>
      <c r="D2382" s="1630"/>
      <c r="E2382" s="1630"/>
      <c r="F2382" s="446"/>
      <c r="G2382" s="446"/>
      <c r="H2382" s="446"/>
      <c r="I2382" s="446"/>
      <c r="J2382" s="531"/>
      <c r="K2382" s="531"/>
    </row>
    <row r="2383" s="311" customFormat="true" ht="15" hidden="false" customHeight="false" outlineLevel="0" collapsed="false">
      <c r="A2383" s="1628"/>
      <c r="B2383" s="1629"/>
      <c r="C2383" s="446"/>
      <c r="D2383" s="1630"/>
      <c r="E2383" s="1630"/>
      <c r="F2383" s="446"/>
      <c r="G2383" s="446"/>
      <c r="H2383" s="446"/>
      <c r="I2383" s="446"/>
      <c r="J2383" s="531"/>
      <c r="K2383" s="531"/>
    </row>
    <row r="2384" s="311" customFormat="true" ht="15" hidden="false" customHeight="false" outlineLevel="0" collapsed="false">
      <c r="A2384" s="1628"/>
      <c r="B2384" s="1629"/>
      <c r="C2384" s="446"/>
      <c r="D2384" s="1630"/>
      <c r="E2384" s="1630"/>
      <c r="F2384" s="446"/>
      <c r="G2384" s="446"/>
      <c r="H2384" s="446"/>
      <c r="I2384" s="446"/>
      <c r="J2384" s="531"/>
      <c r="K2384" s="531"/>
    </row>
    <row r="2385" s="311" customFormat="true" ht="15" hidden="false" customHeight="false" outlineLevel="0" collapsed="false">
      <c r="A2385" s="1628"/>
      <c r="B2385" s="1629"/>
      <c r="C2385" s="446"/>
      <c r="D2385" s="1630"/>
      <c r="E2385" s="1630"/>
      <c r="F2385" s="446"/>
      <c r="G2385" s="446"/>
      <c r="H2385" s="446"/>
      <c r="I2385" s="446"/>
      <c r="J2385" s="531"/>
      <c r="K2385" s="531"/>
    </row>
    <row r="2386" s="311" customFormat="true" ht="15" hidden="false" customHeight="false" outlineLevel="0" collapsed="false">
      <c r="A2386" s="1628"/>
      <c r="B2386" s="1629"/>
      <c r="C2386" s="446"/>
      <c r="D2386" s="1630"/>
      <c r="E2386" s="1630"/>
      <c r="F2386" s="446"/>
      <c r="G2386" s="446"/>
      <c r="H2386" s="446"/>
      <c r="I2386" s="446"/>
      <c r="J2386" s="531"/>
      <c r="K2386" s="531"/>
    </row>
    <row r="2387" s="311" customFormat="true" ht="15" hidden="false" customHeight="false" outlineLevel="0" collapsed="false">
      <c r="A2387" s="1628"/>
      <c r="B2387" s="1629"/>
      <c r="C2387" s="446"/>
      <c r="D2387" s="1630"/>
      <c r="E2387" s="1630"/>
      <c r="F2387" s="446"/>
      <c r="G2387" s="446"/>
      <c r="H2387" s="446"/>
      <c r="I2387" s="446"/>
      <c r="J2387" s="531"/>
      <c r="K2387" s="531"/>
    </row>
    <row r="2388" s="311" customFormat="true" ht="15" hidden="false" customHeight="false" outlineLevel="0" collapsed="false">
      <c r="A2388" s="1628"/>
      <c r="B2388" s="1629"/>
      <c r="C2388" s="446"/>
      <c r="D2388" s="1630"/>
      <c r="E2388" s="1630"/>
      <c r="F2388" s="446"/>
      <c r="G2388" s="446"/>
      <c r="H2388" s="446"/>
      <c r="I2388" s="446"/>
      <c r="J2388" s="531"/>
      <c r="K2388" s="531"/>
    </row>
    <row r="2389" s="311" customFormat="true" ht="15" hidden="false" customHeight="false" outlineLevel="0" collapsed="false">
      <c r="A2389" s="1628"/>
      <c r="B2389" s="1629"/>
      <c r="C2389" s="446"/>
      <c r="D2389" s="1630"/>
      <c r="E2389" s="1630"/>
      <c r="F2389" s="446"/>
      <c r="G2389" s="446"/>
      <c r="H2389" s="446"/>
      <c r="I2389" s="446"/>
      <c r="J2389" s="531"/>
      <c r="K2389" s="531"/>
    </row>
    <row r="2390" s="311" customFormat="true" ht="15" hidden="false" customHeight="false" outlineLevel="0" collapsed="false">
      <c r="A2390" s="1628"/>
      <c r="B2390" s="1629"/>
      <c r="C2390" s="446"/>
      <c r="D2390" s="1630"/>
      <c r="E2390" s="1630"/>
      <c r="F2390" s="446"/>
      <c r="G2390" s="446"/>
      <c r="H2390" s="446"/>
      <c r="I2390" s="446"/>
      <c r="J2390" s="531"/>
      <c r="K2390" s="531"/>
    </row>
    <row r="2391" s="311" customFormat="true" ht="15" hidden="false" customHeight="false" outlineLevel="0" collapsed="false">
      <c r="A2391" s="1628"/>
      <c r="B2391" s="1629"/>
      <c r="C2391" s="446"/>
      <c r="D2391" s="1630"/>
      <c r="E2391" s="1630"/>
      <c r="F2391" s="446"/>
      <c r="G2391" s="446"/>
      <c r="H2391" s="446"/>
      <c r="I2391" s="446"/>
      <c r="J2391" s="531"/>
      <c r="K2391" s="531"/>
    </row>
    <row r="2392" s="311" customFormat="true" ht="15" hidden="false" customHeight="false" outlineLevel="0" collapsed="false">
      <c r="A2392" s="1628"/>
      <c r="B2392" s="1629"/>
      <c r="C2392" s="446"/>
      <c r="D2392" s="1630"/>
      <c r="E2392" s="1630"/>
      <c r="F2392" s="446"/>
      <c r="G2392" s="446"/>
      <c r="H2392" s="446"/>
      <c r="I2392" s="446"/>
      <c r="J2392" s="531"/>
      <c r="K2392" s="531"/>
    </row>
    <row r="2393" s="311" customFormat="true" ht="15" hidden="false" customHeight="false" outlineLevel="0" collapsed="false">
      <c r="A2393" s="1628"/>
      <c r="B2393" s="1629"/>
      <c r="C2393" s="446"/>
      <c r="D2393" s="1630"/>
      <c r="E2393" s="1630"/>
      <c r="F2393" s="446"/>
      <c r="G2393" s="446"/>
      <c r="H2393" s="446"/>
      <c r="I2393" s="446"/>
      <c r="J2393" s="531"/>
      <c r="K2393" s="531"/>
    </row>
    <row r="2394" s="311" customFormat="true" ht="15" hidden="false" customHeight="false" outlineLevel="0" collapsed="false">
      <c r="A2394" s="1628"/>
      <c r="B2394" s="1629"/>
      <c r="C2394" s="446"/>
      <c r="D2394" s="1630"/>
      <c r="E2394" s="1630"/>
      <c r="F2394" s="446"/>
      <c r="G2394" s="446"/>
      <c r="H2394" s="446"/>
      <c r="I2394" s="446"/>
      <c r="J2394" s="531"/>
      <c r="K2394" s="531"/>
    </row>
    <row r="2395" s="311" customFormat="true" ht="15" hidden="false" customHeight="false" outlineLevel="0" collapsed="false">
      <c r="A2395" s="1628"/>
      <c r="B2395" s="1629"/>
      <c r="C2395" s="446"/>
      <c r="D2395" s="1630"/>
      <c r="E2395" s="1630"/>
      <c r="F2395" s="446"/>
      <c r="G2395" s="446"/>
      <c r="H2395" s="446"/>
      <c r="I2395" s="446"/>
      <c r="J2395" s="531"/>
      <c r="K2395" s="531"/>
    </row>
    <row r="2396" s="311" customFormat="true" ht="15" hidden="false" customHeight="false" outlineLevel="0" collapsed="false">
      <c r="A2396" s="1628"/>
      <c r="B2396" s="1629"/>
      <c r="C2396" s="446"/>
      <c r="D2396" s="1630"/>
      <c r="E2396" s="1630"/>
      <c r="F2396" s="446"/>
      <c r="G2396" s="446"/>
      <c r="H2396" s="446"/>
      <c r="I2396" s="446"/>
      <c r="J2396" s="531"/>
      <c r="K2396" s="531"/>
    </row>
    <row r="2397" s="311" customFormat="true" ht="15" hidden="false" customHeight="false" outlineLevel="0" collapsed="false">
      <c r="A2397" s="1628"/>
      <c r="B2397" s="1629"/>
      <c r="C2397" s="446"/>
      <c r="D2397" s="1630"/>
      <c r="E2397" s="1630"/>
      <c r="F2397" s="446"/>
      <c r="G2397" s="446"/>
      <c r="H2397" s="446"/>
      <c r="I2397" s="446"/>
      <c r="J2397" s="531"/>
      <c r="K2397" s="531"/>
    </row>
    <row r="2398" s="311" customFormat="true" ht="15" hidden="false" customHeight="false" outlineLevel="0" collapsed="false">
      <c r="A2398" s="1628"/>
      <c r="B2398" s="1629"/>
      <c r="C2398" s="446"/>
      <c r="D2398" s="1630"/>
      <c r="E2398" s="1630"/>
      <c r="F2398" s="446"/>
      <c r="G2398" s="446"/>
      <c r="H2398" s="446"/>
      <c r="I2398" s="446"/>
      <c r="J2398" s="531"/>
      <c r="K2398" s="531"/>
    </row>
    <row r="2399" s="311" customFormat="true" ht="15" hidden="false" customHeight="false" outlineLevel="0" collapsed="false">
      <c r="A2399" s="1628"/>
      <c r="B2399" s="1629"/>
      <c r="C2399" s="446"/>
      <c r="D2399" s="1630"/>
      <c r="E2399" s="1630"/>
      <c r="F2399" s="446"/>
      <c r="G2399" s="446"/>
      <c r="H2399" s="446"/>
      <c r="I2399" s="446"/>
      <c r="J2399" s="531"/>
      <c r="K2399" s="531"/>
    </row>
    <row r="2400" s="311" customFormat="true" ht="15" hidden="false" customHeight="false" outlineLevel="0" collapsed="false">
      <c r="A2400" s="1628"/>
      <c r="B2400" s="1629"/>
      <c r="C2400" s="446"/>
      <c r="D2400" s="1630"/>
      <c r="E2400" s="1630"/>
      <c r="F2400" s="446"/>
      <c r="G2400" s="446"/>
      <c r="H2400" s="446"/>
      <c r="I2400" s="446"/>
      <c r="J2400" s="531"/>
      <c r="K2400" s="531"/>
    </row>
    <row r="2401" s="311" customFormat="true" ht="15" hidden="false" customHeight="false" outlineLevel="0" collapsed="false">
      <c r="A2401" s="1628"/>
      <c r="B2401" s="1629"/>
      <c r="C2401" s="446"/>
      <c r="D2401" s="1630"/>
      <c r="E2401" s="1630"/>
      <c r="F2401" s="446"/>
      <c r="G2401" s="446"/>
      <c r="H2401" s="446"/>
      <c r="I2401" s="446"/>
      <c r="J2401" s="531"/>
      <c r="K2401" s="531"/>
    </row>
    <row r="2402" s="311" customFormat="true" ht="15" hidden="false" customHeight="false" outlineLevel="0" collapsed="false">
      <c r="A2402" s="1628"/>
      <c r="B2402" s="1629"/>
      <c r="C2402" s="446"/>
      <c r="D2402" s="1630"/>
      <c r="E2402" s="1630"/>
      <c r="F2402" s="446"/>
      <c r="G2402" s="446"/>
      <c r="H2402" s="446"/>
      <c r="I2402" s="446"/>
      <c r="J2402" s="531"/>
      <c r="K2402" s="531"/>
    </row>
    <row r="2403" s="311" customFormat="true" ht="58.5" hidden="false" customHeight="true" outlineLevel="0" collapsed="false">
      <c r="A2403" s="1628"/>
      <c r="B2403" s="1629"/>
      <c r="C2403" s="446"/>
      <c r="D2403" s="1630"/>
      <c r="E2403" s="1630"/>
      <c r="F2403" s="446"/>
      <c r="G2403" s="446"/>
      <c r="H2403" s="446"/>
      <c r="I2403" s="446"/>
      <c r="J2403" s="531"/>
      <c r="K2403" s="531"/>
    </row>
    <row r="2404" s="311" customFormat="true" ht="36" hidden="false" customHeight="true" outlineLevel="0" collapsed="false">
      <c r="A2404" s="1628"/>
      <c r="B2404" s="1629"/>
      <c r="C2404" s="446"/>
      <c r="D2404" s="1630"/>
      <c r="E2404" s="1630"/>
      <c r="F2404" s="446"/>
      <c r="G2404" s="446"/>
      <c r="H2404" s="446"/>
      <c r="I2404" s="446"/>
      <c r="J2404" s="531"/>
      <c r="K2404" s="531"/>
    </row>
    <row r="2405" s="311" customFormat="true" ht="15" hidden="false" customHeight="false" outlineLevel="0" collapsed="false">
      <c r="A2405" s="1628"/>
      <c r="B2405" s="1629"/>
      <c r="C2405" s="446"/>
      <c r="D2405" s="1630"/>
      <c r="E2405" s="1630"/>
      <c r="F2405" s="446"/>
      <c r="G2405" s="446"/>
      <c r="H2405" s="446"/>
      <c r="I2405" s="446"/>
      <c r="J2405" s="531"/>
      <c r="K2405" s="531"/>
    </row>
    <row r="2406" s="311" customFormat="true" ht="15" hidden="false" customHeight="false" outlineLevel="0" collapsed="false">
      <c r="A2406" s="1628"/>
      <c r="B2406" s="1629"/>
      <c r="C2406" s="446"/>
      <c r="D2406" s="1630"/>
      <c r="E2406" s="1630"/>
      <c r="F2406" s="446"/>
      <c r="G2406" s="446"/>
      <c r="H2406" s="446"/>
      <c r="I2406" s="446"/>
      <c r="J2406" s="531"/>
      <c r="K2406" s="531"/>
    </row>
    <row r="2407" s="311" customFormat="true" ht="15" hidden="false" customHeight="false" outlineLevel="0" collapsed="false">
      <c r="A2407" s="1628"/>
      <c r="B2407" s="1629"/>
      <c r="C2407" s="446"/>
      <c r="D2407" s="1630"/>
      <c r="E2407" s="1630"/>
      <c r="F2407" s="446"/>
      <c r="G2407" s="446"/>
      <c r="H2407" s="446"/>
      <c r="I2407" s="446"/>
      <c r="J2407" s="531"/>
      <c r="K2407" s="531"/>
    </row>
    <row r="2408" s="311" customFormat="true" ht="15" hidden="false" customHeight="false" outlineLevel="0" collapsed="false">
      <c r="A2408" s="1628"/>
      <c r="B2408" s="1629"/>
      <c r="C2408" s="446"/>
      <c r="D2408" s="1630"/>
      <c r="E2408" s="1630"/>
      <c r="F2408" s="446"/>
      <c r="G2408" s="446"/>
      <c r="H2408" s="446"/>
      <c r="I2408" s="446"/>
      <c r="J2408" s="531"/>
      <c r="K2408" s="531"/>
    </row>
    <row r="2409" s="311" customFormat="true" ht="15" hidden="false" customHeight="false" outlineLevel="0" collapsed="false">
      <c r="A2409" s="1628"/>
      <c r="B2409" s="1629"/>
      <c r="C2409" s="446"/>
      <c r="D2409" s="1630"/>
      <c r="E2409" s="1630"/>
      <c r="F2409" s="446"/>
      <c r="G2409" s="446"/>
      <c r="H2409" s="446"/>
      <c r="I2409" s="446"/>
      <c r="J2409" s="531"/>
      <c r="K2409" s="531"/>
    </row>
    <row r="2410" s="311" customFormat="true" ht="15" hidden="false" customHeight="false" outlineLevel="0" collapsed="false">
      <c r="A2410" s="1628"/>
      <c r="B2410" s="1629"/>
      <c r="C2410" s="446"/>
      <c r="D2410" s="1630"/>
      <c r="E2410" s="1630"/>
      <c r="F2410" s="446"/>
      <c r="G2410" s="446"/>
      <c r="H2410" s="446"/>
      <c r="I2410" s="446"/>
      <c r="J2410" s="531"/>
      <c r="K2410" s="531"/>
    </row>
    <row r="2411" s="311" customFormat="true" ht="15" hidden="false" customHeight="false" outlineLevel="0" collapsed="false">
      <c r="A2411" s="1628"/>
      <c r="B2411" s="1629"/>
      <c r="C2411" s="446"/>
      <c r="D2411" s="1630"/>
      <c r="E2411" s="1630"/>
      <c r="F2411" s="446"/>
      <c r="G2411" s="446"/>
      <c r="H2411" s="446"/>
      <c r="I2411" s="446"/>
      <c r="J2411" s="531"/>
      <c r="K2411" s="531"/>
    </row>
    <row r="2412" s="311" customFormat="true" ht="15" hidden="false" customHeight="false" outlineLevel="0" collapsed="false">
      <c r="A2412" s="1628"/>
      <c r="B2412" s="1629"/>
      <c r="C2412" s="446"/>
      <c r="D2412" s="1630"/>
      <c r="E2412" s="1630"/>
      <c r="F2412" s="446"/>
      <c r="G2412" s="446"/>
      <c r="H2412" s="446"/>
      <c r="I2412" s="446"/>
      <c r="J2412" s="531"/>
      <c r="K2412" s="531"/>
    </row>
    <row r="2413" s="311" customFormat="true" ht="15" hidden="false" customHeight="false" outlineLevel="0" collapsed="false">
      <c r="A2413" s="1628"/>
      <c r="B2413" s="1629"/>
      <c r="C2413" s="446"/>
      <c r="D2413" s="1630"/>
      <c r="E2413" s="1630"/>
      <c r="F2413" s="446"/>
      <c r="G2413" s="446"/>
      <c r="H2413" s="446"/>
      <c r="I2413" s="446"/>
      <c r="J2413" s="531"/>
      <c r="K2413" s="531"/>
    </row>
    <row r="2414" s="311" customFormat="true" ht="15" hidden="false" customHeight="false" outlineLevel="0" collapsed="false">
      <c r="A2414" s="1628"/>
      <c r="B2414" s="1629"/>
      <c r="C2414" s="446"/>
      <c r="D2414" s="1630"/>
      <c r="E2414" s="1630"/>
      <c r="F2414" s="446"/>
      <c r="G2414" s="446"/>
      <c r="H2414" s="446"/>
      <c r="I2414" s="446"/>
      <c r="J2414" s="531"/>
      <c r="K2414" s="531"/>
    </row>
    <row r="2415" s="311" customFormat="true" ht="15" hidden="false" customHeight="false" outlineLevel="0" collapsed="false">
      <c r="A2415" s="1628"/>
      <c r="B2415" s="1629"/>
      <c r="C2415" s="446"/>
      <c r="D2415" s="1630"/>
      <c r="E2415" s="1630"/>
      <c r="F2415" s="446"/>
      <c r="G2415" s="446"/>
      <c r="H2415" s="446"/>
      <c r="I2415" s="446"/>
      <c r="J2415" s="531"/>
      <c r="K2415" s="531"/>
    </row>
    <row r="2416" s="311" customFormat="true" ht="15" hidden="false" customHeight="false" outlineLevel="0" collapsed="false">
      <c r="A2416" s="1628"/>
      <c r="B2416" s="1629"/>
      <c r="C2416" s="446"/>
      <c r="D2416" s="1630"/>
      <c r="E2416" s="1630"/>
      <c r="F2416" s="446"/>
      <c r="G2416" s="446"/>
      <c r="H2416" s="446"/>
      <c r="I2416" s="446"/>
      <c r="J2416" s="531"/>
      <c r="K2416" s="531"/>
    </row>
    <row r="2417" s="311" customFormat="true" ht="15" hidden="false" customHeight="false" outlineLevel="0" collapsed="false">
      <c r="A2417" s="1628"/>
      <c r="B2417" s="1629"/>
      <c r="C2417" s="446"/>
      <c r="D2417" s="1630"/>
      <c r="E2417" s="1630"/>
      <c r="F2417" s="446"/>
      <c r="G2417" s="446"/>
      <c r="H2417" s="446"/>
      <c r="I2417" s="446"/>
      <c r="J2417" s="531"/>
      <c r="K2417" s="531"/>
    </row>
    <row r="2418" s="311" customFormat="true" ht="15" hidden="false" customHeight="false" outlineLevel="0" collapsed="false">
      <c r="A2418" s="1628"/>
      <c r="B2418" s="1629"/>
      <c r="C2418" s="446"/>
      <c r="D2418" s="1630"/>
      <c r="E2418" s="1630"/>
      <c r="F2418" s="446"/>
      <c r="G2418" s="446"/>
      <c r="H2418" s="446"/>
      <c r="I2418" s="446"/>
      <c r="J2418" s="531"/>
      <c r="K2418" s="531"/>
    </row>
    <row r="2419" s="311" customFormat="true" ht="15" hidden="false" customHeight="false" outlineLevel="0" collapsed="false">
      <c r="A2419" s="1628"/>
      <c r="B2419" s="1629"/>
      <c r="C2419" s="446"/>
      <c r="D2419" s="1630"/>
      <c r="E2419" s="1630"/>
      <c r="F2419" s="446"/>
      <c r="G2419" s="446"/>
      <c r="H2419" s="446"/>
      <c r="I2419" s="446"/>
      <c r="J2419" s="531"/>
      <c r="K2419" s="531"/>
    </row>
    <row r="2420" s="311" customFormat="true" ht="15" hidden="false" customHeight="false" outlineLevel="0" collapsed="false">
      <c r="A2420" s="1628"/>
      <c r="B2420" s="1629"/>
      <c r="C2420" s="446"/>
      <c r="D2420" s="1630"/>
      <c r="E2420" s="1630"/>
      <c r="F2420" s="446"/>
      <c r="G2420" s="446"/>
      <c r="H2420" s="446"/>
      <c r="I2420" s="446"/>
      <c r="J2420" s="531"/>
      <c r="K2420" s="531"/>
    </row>
    <row r="2421" s="311" customFormat="true" ht="30" hidden="false" customHeight="true" outlineLevel="0" collapsed="false">
      <c r="A2421" s="1628"/>
      <c r="B2421" s="1629"/>
      <c r="C2421" s="446"/>
      <c r="D2421" s="1630"/>
      <c r="E2421" s="1630"/>
      <c r="F2421" s="446"/>
      <c r="G2421" s="446"/>
      <c r="H2421" s="446"/>
      <c r="I2421" s="446"/>
      <c r="J2421" s="531"/>
      <c r="K2421" s="531"/>
    </row>
    <row r="2422" s="311" customFormat="true" ht="15" hidden="false" customHeight="false" outlineLevel="0" collapsed="false">
      <c r="A2422" s="1628"/>
      <c r="B2422" s="1629"/>
      <c r="C2422" s="446"/>
      <c r="D2422" s="1630"/>
      <c r="E2422" s="1630"/>
      <c r="F2422" s="446"/>
      <c r="G2422" s="446"/>
      <c r="H2422" s="446"/>
      <c r="I2422" s="446"/>
      <c r="J2422" s="531"/>
      <c r="K2422" s="531"/>
    </row>
    <row r="2423" s="311" customFormat="true" ht="15" hidden="false" customHeight="false" outlineLevel="0" collapsed="false">
      <c r="A2423" s="1628"/>
      <c r="B2423" s="1629"/>
      <c r="C2423" s="446"/>
      <c r="D2423" s="1630"/>
      <c r="E2423" s="1630"/>
      <c r="F2423" s="446"/>
      <c r="G2423" s="446"/>
      <c r="H2423" s="446"/>
      <c r="I2423" s="446"/>
      <c r="J2423" s="531"/>
      <c r="K2423" s="531"/>
    </row>
    <row r="2424" s="311" customFormat="true" ht="15" hidden="false" customHeight="false" outlineLevel="0" collapsed="false">
      <c r="A2424" s="1628"/>
      <c r="B2424" s="1629"/>
      <c r="C2424" s="446"/>
      <c r="D2424" s="1630"/>
      <c r="E2424" s="1630"/>
      <c r="F2424" s="446"/>
      <c r="G2424" s="446"/>
      <c r="H2424" s="446"/>
      <c r="I2424" s="446"/>
      <c r="J2424" s="531"/>
      <c r="K2424" s="531"/>
    </row>
    <row r="2425" s="311" customFormat="true" ht="15" hidden="false" customHeight="false" outlineLevel="0" collapsed="false">
      <c r="A2425" s="1628"/>
      <c r="B2425" s="1629"/>
      <c r="C2425" s="446"/>
      <c r="D2425" s="1630"/>
      <c r="E2425" s="1630"/>
      <c r="F2425" s="446"/>
      <c r="G2425" s="446"/>
      <c r="H2425" s="446"/>
      <c r="I2425" s="446"/>
      <c r="J2425" s="531"/>
      <c r="K2425" s="531"/>
    </row>
    <row r="2426" s="311" customFormat="true" ht="15" hidden="false" customHeight="false" outlineLevel="0" collapsed="false">
      <c r="A2426" s="1628"/>
      <c r="B2426" s="1629"/>
      <c r="C2426" s="446"/>
      <c r="D2426" s="1630"/>
      <c r="E2426" s="1630"/>
      <c r="F2426" s="446"/>
      <c r="G2426" s="446"/>
      <c r="H2426" s="446"/>
      <c r="I2426" s="446"/>
      <c r="J2426" s="531"/>
      <c r="K2426" s="531"/>
    </row>
    <row r="2427" s="311" customFormat="true" ht="15" hidden="false" customHeight="false" outlineLevel="0" collapsed="false">
      <c r="A2427" s="1628"/>
      <c r="B2427" s="1629"/>
      <c r="C2427" s="446"/>
      <c r="D2427" s="1630"/>
      <c r="E2427" s="1630"/>
      <c r="F2427" s="446"/>
      <c r="G2427" s="446"/>
      <c r="H2427" s="446"/>
      <c r="I2427" s="446"/>
      <c r="J2427" s="531"/>
      <c r="K2427" s="531"/>
    </row>
    <row r="2428" s="311" customFormat="true" ht="15" hidden="false" customHeight="false" outlineLevel="0" collapsed="false">
      <c r="A2428" s="1628"/>
      <c r="B2428" s="1629"/>
      <c r="C2428" s="446"/>
      <c r="D2428" s="1630"/>
      <c r="E2428" s="1630"/>
      <c r="F2428" s="446"/>
      <c r="G2428" s="446"/>
      <c r="H2428" s="446"/>
      <c r="I2428" s="446"/>
      <c r="J2428" s="531"/>
      <c r="K2428" s="531"/>
    </row>
    <row r="2429" s="311" customFormat="true" ht="15" hidden="false" customHeight="false" outlineLevel="0" collapsed="false">
      <c r="A2429" s="1628"/>
      <c r="B2429" s="1629"/>
      <c r="C2429" s="446"/>
      <c r="D2429" s="1630"/>
      <c r="E2429" s="1630"/>
      <c r="F2429" s="446"/>
      <c r="G2429" s="446"/>
      <c r="H2429" s="446"/>
      <c r="I2429" s="446"/>
      <c r="J2429" s="531"/>
      <c r="K2429" s="531"/>
    </row>
    <row r="2430" s="311" customFormat="true" ht="15" hidden="false" customHeight="false" outlineLevel="0" collapsed="false">
      <c r="A2430" s="1628"/>
      <c r="B2430" s="1629"/>
      <c r="C2430" s="446"/>
      <c r="D2430" s="1630"/>
      <c r="E2430" s="1630"/>
      <c r="F2430" s="446"/>
      <c r="G2430" s="446"/>
      <c r="H2430" s="446"/>
      <c r="I2430" s="446"/>
      <c r="J2430" s="531"/>
      <c r="K2430" s="531"/>
    </row>
    <row r="2431" s="311" customFormat="true" ht="15" hidden="false" customHeight="false" outlineLevel="0" collapsed="false">
      <c r="A2431" s="1628"/>
      <c r="B2431" s="1629"/>
      <c r="C2431" s="446"/>
      <c r="D2431" s="1630"/>
      <c r="E2431" s="1630"/>
      <c r="F2431" s="446"/>
      <c r="G2431" s="446"/>
      <c r="H2431" s="446"/>
      <c r="I2431" s="446"/>
      <c r="J2431" s="531"/>
      <c r="K2431" s="531"/>
    </row>
    <row r="2432" s="311" customFormat="true" ht="15" hidden="false" customHeight="false" outlineLevel="0" collapsed="false">
      <c r="A2432" s="1628"/>
      <c r="B2432" s="1629"/>
      <c r="C2432" s="446"/>
      <c r="D2432" s="1630"/>
      <c r="E2432" s="1630"/>
      <c r="F2432" s="446"/>
      <c r="G2432" s="446"/>
      <c r="H2432" s="446"/>
      <c r="I2432" s="446"/>
      <c r="J2432" s="531"/>
      <c r="K2432" s="531"/>
    </row>
    <row r="2433" s="311" customFormat="true" ht="15" hidden="false" customHeight="false" outlineLevel="0" collapsed="false">
      <c r="A2433" s="1628"/>
      <c r="B2433" s="1629"/>
      <c r="C2433" s="446"/>
      <c r="D2433" s="1630"/>
      <c r="E2433" s="1630"/>
      <c r="F2433" s="446"/>
      <c r="G2433" s="446"/>
      <c r="H2433" s="446"/>
      <c r="I2433" s="446"/>
      <c r="J2433" s="531"/>
      <c r="K2433" s="531"/>
    </row>
    <row r="2434" s="311" customFormat="true" ht="15" hidden="false" customHeight="false" outlineLevel="0" collapsed="false">
      <c r="A2434" s="1628"/>
      <c r="B2434" s="1629"/>
      <c r="C2434" s="446"/>
      <c r="D2434" s="1630"/>
      <c r="E2434" s="1630"/>
      <c r="F2434" s="446"/>
      <c r="G2434" s="446"/>
      <c r="H2434" s="446"/>
      <c r="I2434" s="446"/>
      <c r="J2434" s="531"/>
      <c r="K2434" s="531"/>
    </row>
    <row r="2435" s="311" customFormat="true" ht="15" hidden="false" customHeight="false" outlineLevel="0" collapsed="false">
      <c r="A2435" s="1628"/>
      <c r="B2435" s="1629"/>
      <c r="C2435" s="446"/>
      <c r="D2435" s="1630"/>
      <c r="E2435" s="1630"/>
      <c r="F2435" s="446"/>
      <c r="G2435" s="446"/>
      <c r="H2435" s="446"/>
      <c r="I2435" s="446"/>
      <c r="J2435" s="531"/>
      <c r="K2435" s="531"/>
    </row>
    <row r="2436" s="311" customFormat="true" ht="15" hidden="false" customHeight="false" outlineLevel="0" collapsed="false">
      <c r="A2436" s="1628"/>
      <c r="B2436" s="1629"/>
      <c r="C2436" s="446"/>
      <c r="D2436" s="1630"/>
      <c r="E2436" s="1630"/>
      <c r="F2436" s="446"/>
      <c r="G2436" s="446"/>
      <c r="H2436" s="446"/>
      <c r="I2436" s="446"/>
      <c r="J2436" s="531"/>
      <c r="K2436" s="531"/>
    </row>
    <row r="2437" s="311" customFormat="true" ht="15" hidden="false" customHeight="false" outlineLevel="0" collapsed="false">
      <c r="A2437" s="1628"/>
      <c r="B2437" s="1629"/>
      <c r="C2437" s="446"/>
      <c r="D2437" s="1630"/>
      <c r="E2437" s="1630"/>
      <c r="F2437" s="446"/>
      <c r="G2437" s="446"/>
      <c r="H2437" s="446"/>
      <c r="I2437" s="446"/>
      <c r="J2437" s="531"/>
      <c r="K2437" s="531"/>
    </row>
    <row r="2438" s="311" customFormat="true" ht="15" hidden="false" customHeight="false" outlineLevel="0" collapsed="false">
      <c r="A2438" s="1628"/>
      <c r="B2438" s="1629"/>
      <c r="C2438" s="446"/>
      <c r="D2438" s="1630"/>
      <c r="E2438" s="1630"/>
      <c r="F2438" s="446"/>
      <c r="G2438" s="446"/>
      <c r="H2438" s="446"/>
      <c r="I2438" s="446"/>
      <c r="J2438" s="531"/>
      <c r="K2438" s="531"/>
    </row>
    <row r="2439" s="311" customFormat="true" ht="15" hidden="false" customHeight="false" outlineLevel="0" collapsed="false">
      <c r="A2439" s="1628"/>
      <c r="B2439" s="1629"/>
      <c r="C2439" s="446"/>
      <c r="D2439" s="1630"/>
      <c r="E2439" s="1630"/>
      <c r="F2439" s="446"/>
      <c r="G2439" s="446"/>
      <c r="H2439" s="446"/>
      <c r="I2439" s="446"/>
      <c r="J2439" s="531"/>
      <c r="K2439" s="531"/>
    </row>
    <row r="2440" s="311" customFormat="true" ht="15" hidden="false" customHeight="false" outlineLevel="0" collapsed="false">
      <c r="A2440" s="1628"/>
      <c r="B2440" s="1629"/>
      <c r="C2440" s="446"/>
      <c r="D2440" s="1630"/>
      <c r="E2440" s="1630"/>
      <c r="F2440" s="446"/>
      <c r="G2440" s="446"/>
      <c r="H2440" s="446"/>
      <c r="I2440" s="446"/>
      <c r="J2440" s="531"/>
      <c r="K2440" s="531"/>
    </row>
    <row r="2441" s="311" customFormat="true" ht="22.5" hidden="false" customHeight="true" outlineLevel="0" collapsed="false">
      <c r="A2441" s="1628"/>
      <c r="B2441" s="1629"/>
      <c r="C2441" s="446"/>
      <c r="D2441" s="1630"/>
      <c r="E2441" s="1630"/>
      <c r="F2441" s="446"/>
      <c r="G2441" s="446"/>
      <c r="H2441" s="446"/>
      <c r="I2441" s="446"/>
      <c r="J2441" s="531"/>
      <c r="K2441" s="531"/>
    </row>
    <row r="2442" s="311" customFormat="true" ht="15" hidden="false" customHeight="false" outlineLevel="0" collapsed="false">
      <c r="A2442" s="1628"/>
      <c r="B2442" s="1629"/>
      <c r="C2442" s="446"/>
      <c r="D2442" s="1630"/>
      <c r="E2442" s="1630"/>
      <c r="F2442" s="446"/>
      <c r="G2442" s="446"/>
      <c r="H2442" s="446"/>
      <c r="I2442" s="446"/>
      <c r="J2442" s="531"/>
      <c r="K2442" s="531"/>
    </row>
    <row r="2443" s="311" customFormat="true" ht="15" hidden="false" customHeight="false" outlineLevel="0" collapsed="false">
      <c r="A2443" s="1628"/>
      <c r="B2443" s="1629"/>
      <c r="C2443" s="446"/>
      <c r="D2443" s="1630"/>
      <c r="E2443" s="1630"/>
      <c r="F2443" s="446"/>
      <c r="G2443" s="446"/>
      <c r="H2443" s="446"/>
      <c r="I2443" s="446"/>
      <c r="J2443" s="531"/>
      <c r="K2443" s="531"/>
    </row>
    <row r="2444" s="311" customFormat="true" ht="15" hidden="false" customHeight="false" outlineLevel="0" collapsed="false">
      <c r="A2444" s="1628"/>
      <c r="B2444" s="1629"/>
      <c r="C2444" s="446"/>
      <c r="D2444" s="1630"/>
      <c r="E2444" s="1630"/>
      <c r="F2444" s="446"/>
      <c r="G2444" s="446"/>
      <c r="H2444" s="446"/>
      <c r="I2444" s="446"/>
      <c r="J2444" s="531"/>
      <c r="K2444" s="531"/>
    </row>
    <row r="2445" s="311" customFormat="true" ht="15" hidden="false" customHeight="false" outlineLevel="0" collapsed="false">
      <c r="A2445" s="1628"/>
      <c r="B2445" s="1629"/>
      <c r="C2445" s="446"/>
      <c r="D2445" s="1630"/>
      <c r="E2445" s="1630"/>
      <c r="F2445" s="446"/>
      <c r="G2445" s="446"/>
      <c r="H2445" s="446"/>
      <c r="I2445" s="446"/>
      <c r="J2445" s="531"/>
      <c r="K2445" s="531"/>
    </row>
    <row r="2446" s="311" customFormat="true" ht="15" hidden="false" customHeight="false" outlineLevel="0" collapsed="false">
      <c r="A2446" s="1628"/>
      <c r="B2446" s="1629"/>
      <c r="C2446" s="446"/>
      <c r="D2446" s="1630"/>
      <c r="E2446" s="1630"/>
      <c r="F2446" s="446"/>
      <c r="G2446" s="446"/>
      <c r="H2446" s="446"/>
      <c r="I2446" s="446"/>
      <c r="J2446" s="531"/>
      <c r="K2446" s="531"/>
    </row>
    <row r="2447" s="311" customFormat="true" ht="15" hidden="false" customHeight="false" outlineLevel="0" collapsed="false">
      <c r="A2447" s="1628"/>
      <c r="B2447" s="1629"/>
      <c r="C2447" s="446"/>
      <c r="D2447" s="1630"/>
      <c r="E2447" s="1630"/>
      <c r="F2447" s="446"/>
      <c r="G2447" s="446"/>
      <c r="H2447" s="446"/>
      <c r="I2447" s="446"/>
      <c r="J2447" s="531"/>
      <c r="K2447" s="531"/>
    </row>
    <row r="2448" s="311" customFormat="true" ht="15" hidden="false" customHeight="false" outlineLevel="0" collapsed="false">
      <c r="A2448" s="1628"/>
      <c r="B2448" s="1629"/>
      <c r="C2448" s="446"/>
      <c r="D2448" s="1630"/>
      <c r="E2448" s="1630"/>
      <c r="F2448" s="446"/>
      <c r="G2448" s="446"/>
      <c r="H2448" s="446"/>
      <c r="I2448" s="446"/>
      <c r="J2448" s="531"/>
      <c r="K2448" s="531"/>
    </row>
    <row r="2449" s="311" customFormat="true" ht="15" hidden="false" customHeight="false" outlineLevel="0" collapsed="false">
      <c r="A2449" s="1628"/>
      <c r="B2449" s="1629"/>
      <c r="C2449" s="446"/>
      <c r="D2449" s="1630"/>
      <c r="E2449" s="1630"/>
      <c r="F2449" s="446"/>
      <c r="G2449" s="446"/>
      <c r="H2449" s="446"/>
      <c r="I2449" s="446"/>
      <c r="J2449" s="531"/>
      <c r="K2449" s="531"/>
    </row>
    <row r="2450" s="311" customFormat="true" ht="15" hidden="false" customHeight="false" outlineLevel="0" collapsed="false">
      <c r="A2450" s="1628"/>
      <c r="B2450" s="1629"/>
      <c r="C2450" s="446"/>
      <c r="D2450" s="1630"/>
      <c r="E2450" s="1630"/>
      <c r="F2450" s="446"/>
      <c r="G2450" s="446"/>
      <c r="H2450" s="446"/>
      <c r="I2450" s="446"/>
      <c r="J2450" s="531"/>
      <c r="K2450" s="531"/>
    </row>
    <row r="2451" s="311" customFormat="true" ht="15" hidden="false" customHeight="false" outlineLevel="0" collapsed="false">
      <c r="A2451" s="1628"/>
      <c r="B2451" s="1629"/>
      <c r="C2451" s="446"/>
      <c r="D2451" s="1630"/>
      <c r="E2451" s="1630"/>
      <c r="F2451" s="446"/>
      <c r="G2451" s="446"/>
      <c r="H2451" s="446"/>
      <c r="I2451" s="446"/>
      <c r="J2451" s="531"/>
      <c r="K2451" s="531"/>
    </row>
    <row r="2452" s="311" customFormat="true" ht="15" hidden="false" customHeight="false" outlineLevel="0" collapsed="false">
      <c r="A2452" s="1628"/>
      <c r="B2452" s="1629"/>
      <c r="C2452" s="446"/>
      <c r="D2452" s="1630"/>
      <c r="E2452" s="1630"/>
      <c r="F2452" s="446"/>
      <c r="G2452" s="446"/>
      <c r="H2452" s="446"/>
      <c r="I2452" s="446"/>
      <c r="J2452" s="531"/>
      <c r="K2452" s="531"/>
    </row>
    <row r="2453" s="311" customFormat="true" ht="15" hidden="false" customHeight="false" outlineLevel="0" collapsed="false">
      <c r="A2453" s="1628"/>
      <c r="B2453" s="1629"/>
      <c r="C2453" s="446"/>
      <c r="D2453" s="1630"/>
      <c r="E2453" s="1630"/>
      <c r="F2453" s="446"/>
      <c r="G2453" s="446"/>
      <c r="H2453" s="446"/>
      <c r="I2453" s="446"/>
      <c r="J2453" s="531"/>
      <c r="K2453" s="531"/>
    </row>
    <row r="2454" s="311" customFormat="true" ht="15" hidden="false" customHeight="false" outlineLevel="0" collapsed="false">
      <c r="A2454" s="1628"/>
      <c r="B2454" s="1629"/>
      <c r="C2454" s="446"/>
      <c r="D2454" s="1630"/>
      <c r="E2454" s="1630"/>
      <c r="F2454" s="446"/>
      <c r="G2454" s="446"/>
      <c r="H2454" s="446"/>
      <c r="I2454" s="446"/>
      <c r="J2454" s="531"/>
      <c r="K2454" s="531"/>
    </row>
    <row r="2455" s="311" customFormat="true" ht="15" hidden="false" customHeight="false" outlineLevel="0" collapsed="false">
      <c r="A2455" s="1628"/>
      <c r="B2455" s="1629"/>
      <c r="C2455" s="446"/>
      <c r="D2455" s="1630"/>
      <c r="E2455" s="1630"/>
      <c r="F2455" s="446"/>
      <c r="G2455" s="446"/>
      <c r="H2455" s="446"/>
      <c r="I2455" s="446"/>
      <c r="J2455" s="531"/>
      <c r="K2455" s="531"/>
    </row>
    <row r="2456" s="311" customFormat="true" ht="15" hidden="false" customHeight="false" outlineLevel="0" collapsed="false">
      <c r="A2456" s="1628"/>
      <c r="B2456" s="1629"/>
      <c r="C2456" s="446"/>
      <c r="D2456" s="1630"/>
      <c r="E2456" s="1630"/>
      <c r="F2456" s="446"/>
      <c r="G2456" s="446"/>
      <c r="H2456" s="446"/>
      <c r="I2456" s="446"/>
      <c r="J2456" s="531"/>
      <c r="K2456" s="531"/>
    </row>
    <row r="2457" s="311" customFormat="true" ht="15" hidden="false" customHeight="false" outlineLevel="0" collapsed="false">
      <c r="A2457" s="1628"/>
      <c r="B2457" s="1629"/>
      <c r="C2457" s="446"/>
      <c r="D2457" s="1630"/>
      <c r="E2457" s="1630"/>
      <c r="F2457" s="446"/>
      <c r="G2457" s="446"/>
      <c r="H2457" s="446"/>
      <c r="I2457" s="446"/>
      <c r="J2457" s="531"/>
      <c r="K2457" s="531"/>
    </row>
    <row r="2458" s="311" customFormat="true" ht="15" hidden="false" customHeight="false" outlineLevel="0" collapsed="false">
      <c r="A2458" s="1628"/>
      <c r="B2458" s="1629"/>
      <c r="C2458" s="446"/>
      <c r="D2458" s="1630"/>
      <c r="E2458" s="1630"/>
      <c r="F2458" s="446"/>
      <c r="G2458" s="446"/>
      <c r="H2458" s="446"/>
      <c r="I2458" s="446"/>
      <c r="J2458" s="531"/>
      <c r="K2458" s="531"/>
    </row>
    <row r="2459" s="1778" customFormat="true" ht="15" hidden="false" customHeight="false" outlineLevel="0" collapsed="false">
      <c r="A2459" s="1628"/>
      <c r="B2459" s="1629"/>
      <c r="C2459" s="446"/>
      <c r="D2459" s="1630"/>
      <c r="E2459" s="1630"/>
      <c r="F2459" s="446"/>
      <c r="G2459" s="446"/>
      <c r="H2459" s="446"/>
      <c r="I2459" s="446"/>
      <c r="J2459" s="531"/>
      <c r="K2459" s="1820"/>
    </row>
    <row r="2460" s="311" customFormat="true" ht="15" hidden="false" customHeight="false" outlineLevel="0" collapsed="false">
      <c r="A2460" s="1628"/>
      <c r="B2460" s="1629"/>
      <c r="C2460" s="446"/>
      <c r="D2460" s="1630"/>
      <c r="E2460" s="1630"/>
      <c r="F2460" s="446"/>
      <c r="G2460" s="446"/>
      <c r="H2460" s="446"/>
      <c r="I2460" s="446"/>
      <c r="J2460" s="531"/>
      <c r="K2460" s="531"/>
    </row>
    <row r="2461" s="311" customFormat="true" ht="15" hidden="false" customHeight="false" outlineLevel="0" collapsed="false">
      <c r="A2461" s="1628"/>
      <c r="B2461" s="1629"/>
      <c r="C2461" s="446"/>
      <c r="D2461" s="1630"/>
      <c r="E2461" s="1630"/>
      <c r="F2461" s="446"/>
      <c r="G2461" s="446"/>
      <c r="H2461" s="446"/>
      <c r="I2461" s="446"/>
      <c r="J2461" s="531"/>
      <c r="K2461" s="531"/>
    </row>
    <row r="2462" s="311" customFormat="true" ht="15" hidden="false" customHeight="false" outlineLevel="0" collapsed="false">
      <c r="A2462" s="1628"/>
      <c r="B2462" s="1629"/>
      <c r="C2462" s="446"/>
      <c r="D2462" s="1630"/>
      <c r="E2462" s="1630"/>
      <c r="F2462" s="446"/>
      <c r="G2462" s="446"/>
      <c r="H2462" s="446"/>
      <c r="I2462" s="446"/>
      <c r="J2462" s="531"/>
      <c r="K2462" s="531"/>
    </row>
    <row r="2463" s="311" customFormat="true" ht="15" hidden="false" customHeight="false" outlineLevel="0" collapsed="false">
      <c r="A2463" s="1628"/>
      <c r="B2463" s="1629"/>
      <c r="C2463" s="446"/>
      <c r="D2463" s="1630"/>
      <c r="E2463" s="1630"/>
      <c r="F2463" s="446"/>
      <c r="G2463" s="446"/>
      <c r="H2463" s="446"/>
      <c r="I2463" s="446"/>
      <c r="J2463" s="531"/>
      <c r="K2463" s="531"/>
    </row>
    <row r="2464" s="311" customFormat="true" ht="15" hidden="false" customHeight="false" outlineLevel="0" collapsed="false">
      <c r="A2464" s="1628"/>
      <c r="B2464" s="1629"/>
      <c r="C2464" s="446"/>
      <c r="D2464" s="1630"/>
      <c r="E2464" s="1630"/>
      <c r="F2464" s="446"/>
      <c r="G2464" s="446"/>
      <c r="H2464" s="446"/>
      <c r="I2464" s="446"/>
      <c r="J2464" s="531"/>
      <c r="K2464" s="531"/>
    </row>
    <row r="2465" s="311" customFormat="true" ht="15" hidden="false" customHeight="false" outlineLevel="0" collapsed="false">
      <c r="A2465" s="1628"/>
      <c r="B2465" s="1629"/>
      <c r="C2465" s="446"/>
      <c r="D2465" s="1630"/>
      <c r="E2465" s="1630"/>
      <c r="F2465" s="446"/>
      <c r="G2465" s="446"/>
      <c r="H2465" s="446"/>
      <c r="I2465" s="446"/>
      <c r="J2465" s="531"/>
      <c r="K2465" s="531"/>
    </row>
    <row r="2466" s="311" customFormat="true" ht="15" hidden="false" customHeight="false" outlineLevel="0" collapsed="false">
      <c r="A2466" s="1628"/>
      <c r="B2466" s="1629"/>
      <c r="C2466" s="446"/>
      <c r="D2466" s="1630"/>
      <c r="E2466" s="1630"/>
      <c r="F2466" s="446"/>
      <c r="G2466" s="446"/>
      <c r="H2466" s="446"/>
      <c r="I2466" s="446"/>
      <c r="J2466" s="531"/>
      <c r="K2466" s="531"/>
    </row>
    <row r="2467" s="311" customFormat="true" ht="15" hidden="false" customHeight="false" outlineLevel="0" collapsed="false">
      <c r="A2467" s="1628"/>
      <c r="B2467" s="1629"/>
      <c r="C2467" s="446"/>
      <c r="D2467" s="1630"/>
      <c r="E2467" s="1630"/>
      <c r="F2467" s="446"/>
      <c r="G2467" s="446"/>
      <c r="H2467" s="446"/>
      <c r="I2467" s="446"/>
      <c r="J2467" s="531"/>
      <c r="K2467" s="531"/>
    </row>
    <row r="2468" s="311" customFormat="true" ht="15" hidden="false" customHeight="false" outlineLevel="0" collapsed="false">
      <c r="A2468" s="1628"/>
      <c r="B2468" s="1629"/>
      <c r="C2468" s="446"/>
      <c r="D2468" s="1630"/>
      <c r="E2468" s="1630"/>
      <c r="F2468" s="446"/>
      <c r="G2468" s="446"/>
      <c r="H2468" s="446"/>
      <c r="I2468" s="446"/>
      <c r="J2468" s="531"/>
      <c r="K2468" s="531"/>
    </row>
    <row r="2469" s="311" customFormat="true" ht="15" hidden="false" customHeight="false" outlineLevel="0" collapsed="false">
      <c r="A2469" s="1628"/>
      <c r="B2469" s="1629"/>
      <c r="C2469" s="446"/>
      <c r="D2469" s="1630"/>
      <c r="E2469" s="1630"/>
      <c r="F2469" s="446"/>
      <c r="G2469" s="446"/>
      <c r="H2469" s="446"/>
      <c r="I2469" s="446"/>
      <c r="J2469" s="531"/>
      <c r="K2469" s="531"/>
    </row>
    <row r="2470" s="311" customFormat="true" ht="15" hidden="false" customHeight="false" outlineLevel="0" collapsed="false">
      <c r="A2470" s="1628"/>
      <c r="B2470" s="1629"/>
      <c r="C2470" s="446"/>
      <c r="D2470" s="1630"/>
      <c r="E2470" s="1630"/>
      <c r="F2470" s="446"/>
      <c r="G2470" s="446"/>
      <c r="H2470" s="446"/>
      <c r="I2470" s="446"/>
      <c r="J2470" s="531"/>
      <c r="K2470" s="531"/>
    </row>
    <row r="2471" s="311" customFormat="true" ht="15" hidden="false" customHeight="false" outlineLevel="0" collapsed="false">
      <c r="A2471" s="1628"/>
      <c r="B2471" s="1629"/>
      <c r="C2471" s="446"/>
      <c r="D2471" s="1630"/>
      <c r="E2471" s="1630"/>
      <c r="F2471" s="446"/>
      <c r="G2471" s="446"/>
      <c r="H2471" s="446"/>
      <c r="I2471" s="446"/>
      <c r="J2471" s="531"/>
      <c r="K2471" s="531"/>
    </row>
    <row r="2472" s="311" customFormat="true" ht="15" hidden="false" customHeight="false" outlineLevel="0" collapsed="false">
      <c r="A2472" s="1628"/>
      <c r="B2472" s="1629"/>
      <c r="C2472" s="446"/>
      <c r="D2472" s="1630"/>
      <c r="E2472" s="1630"/>
      <c r="F2472" s="446"/>
      <c r="G2472" s="446"/>
      <c r="H2472" s="446"/>
      <c r="I2472" s="446"/>
      <c r="J2472" s="531"/>
      <c r="K2472" s="531"/>
    </row>
    <row r="2473" s="311" customFormat="true" ht="15" hidden="false" customHeight="false" outlineLevel="0" collapsed="false">
      <c r="A2473" s="1628"/>
      <c r="B2473" s="1629"/>
      <c r="C2473" s="446"/>
      <c r="D2473" s="1630"/>
      <c r="E2473" s="1630"/>
      <c r="F2473" s="446"/>
      <c r="G2473" s="446"/>
      <c r="H2473" s="446"/>
      <c r="I2473" s="446"/>
      <c r="J2473" s="531"/>
      <c r="K2473" s="531"/>
    </row>
    <row r="2474" s="311" customFormat="true" ht="15" hidden="false" customHeight="false" outlineLevel="0" collapsed="false">
      <c r="A2474" s="1628"/>
      <c r="B2474" s="1629"/>
      <c r="C2474" s="446"/>
      <c r="D2474" s="1630"/>
      <c r="E2474" s="1630"/>
      <c r="F2474" s="446"/>
      <c r="G2474" s="446"/>
      <c r="H2474" s="446"/>
      <c r="I2474" s="446"/>
      <c r="J2474" s="531"/>
      <c r="K2474" s="531"/>
    </row>
    <row r="2475" s="311" customFormat="true" ht="15" hidden="false" customHeight="false" outlineLevel="0" collapsed="false">
      <c r="A2475" s="1628"/>
      <c r="B2475" s="1629"/>
      <c r="C2475" s="446"/>
      <c r="D2475" s="1630"/>
      <c r="E2475" s="1630"/>
      <c r="F2475" s="446"/>
      <c r="G2475" s="446"/>
      <c r="H2475" s="446"/>
      <c r="I2475" s="446"/>
      <c r="J2475" s="531"/>
      <c r="K2475" s="531"/>
    </row>
    <row r="2476" s="311" customFormat="true" ht="15" hidden="false" customHeight="false" outlineLevel="0" collapsed="false">
      <c r="A2476" s="1628"/>
      <c r="B2476" s="1629"/>
      <c r="C2476" s="446"/>
      <c r="D2476" s="1630"/>
      <c r="E2476" s="1630"/>
      <c r="F2476" s="446"/>
      <c r="G2476" s="446"/>
      <c r="H2476" s="446"/>
      <c r="I2476" s="446"/>
      <c r="J2476" s="531"/>
      <c r="K2476" s="531"/>
    </row>
    <row r="2477" s="311" customFormat="true" ht="15" hidden="false" customHeight="false" outlineLevel="0" collapsed="false">
      <c r="A2477" s="1628"/>
      <c r="B2477" s="1629"/>
      <c r="C2477" s="446"/>
      <c r="D2477" s="1630"/>
      <c r="E2477" s="1630"/>
      <c r="F2477" s="446"/>
      <c r="G2477" s="446"/>
      <c r="H2477" s="446"/>
      <c r="I2477" s="446"/>
      <c r="J2477" s="531"/>
      <c r="K2477" s="531"/>
    </row>
    <row r="2478" s="311" customFormat="true" ht="15" hidden="false" customHeight="false" outlineLevel="0" collapsed="false">
      <c r="A2478" s="1628"/>
      <c r="B2478" s="1629"/>
      <c r="C2478" s="446"/>
      <c r="D2478" s="1630"/>
      <c r="E2478" s="1630"/>
      <c r="F2478" s="446"/>
      <c r="G2478" s="446"/>
      <c r="H2478" s="446"/>
      <c r="I2478" s="446"/>
      <c r="J2478" s="531"/>
      <c r="K2478" s="531"/>
    </row>
    <row r="2479" s="311" customFormat="true" ht="15" hidden="false" customHeight="false" outlineLevel="0" collapsed="false">
      <c r="A2479" s="1628"/>
      <c r="B2479" s="1629"/>
      <c r="C2479" s="446"/>
      <c r="D2479" s="1630"/>
      <c r="E2479" s="1630"/>
      <c r="F2479" s="446"/>
      <c r="G2479" s="446"/>
      <c r="H2479" s="446"/>
      <c r="I2479" s="446"/>
      <c r="J2479" s="531"/>
      <c r="K2479" s="531"/>
    </row>
    <row r="2480" s="311" customFormat="true" ht="15" hidden="false" customHeight="false" outlineLevel="0" collapsed="false">
      <c r="A2480" s="1628"/>
      <c r="B2480" s="1629"/>
      <c r="C2480" s="446"/>
      <c r="D2480" s="1630"/>
      <c r="E2480" s="1630"/>
      <c r="F2480" s="446"/>
      <c r="G2480" s="446"/>
      <c r="H2480" s="446"/>
      <c r="I2480" s="446"/>
      <c r="J2480" s="531"/>
      <c r="K2480" s="531"/>
    </row>
    <row r="2481" s="311" customFormat="true" ht="15" hidden="false" customHeight="false" outlineLevel="0" collapsed="false">
      <c r="A2481" s="1628"/>
      <c r="B2481" s="1629"/>
      <c r="C2481" s="446"/>
      <c r="D2481" s="1630"/>
      <c r="E2481" s="1630"/>
      <c r="F2481" s="446"/>
      <c r="G2481" s="446"/>
      <c r="H2481" s="446"/>
      <c r="I2481" s="446"/>
      <c r="J2481" s="531"/>
      <c r="K2481" s="531"/>
    </row>
    <row r="2482" s="311" customFormat="true" ht="15" hidden="false" customHeight="false" outlineLevel="0" collapsed="false">
      <c r="A2482" s="1628"/>
      <c r="B2482" s="1629"/>
      <c r="C2482" s="446"/>
      <c r="D2482" s="1630"/>
      <c r="E2482" s="1630"/>
      <c r="F2482" s="446"/>
      <c r="G2482" s="446"/>
      <c r="H2482" s="446"/>
      <c r="I2482" s="446"/>
      <c r="J2482" s="531"/>
      <c r="K2482" s="531"/>
    </row>
    <row r="2483" s="311" customFormat="true" ht="34.5" hidden="false" customHeight="true" outlineLevel="0" collapsed="false">
      <c r="A2483" s="1628"/>
      <c r="B2483" s="1629"/>
      <c r="C2483" s="446"/>
      <c r="D2483" s="1630"/>
      <c r="E2483" s="1630"/>
      <c r="F2483" s="446"/>
      <c r="G2483" s="446"/>
      <c r="H2483" s="446"/>
      <c r="I2483" s="446"/>
      <c r="J2483" s="531"/>
      <c r="K2483" s="531"/>
    </row>
    <row r="2484" s="311" customFormat="true" ht="15" hidden="false" customHeight="false" outlineLevel="0" collapsed="false">
      <c r="A2484" s="1628"/>
      <c r="B2484" s="1629"/>
      <c r="C2484" s="446"/>
      <c r="D2484" s="1630"/>
      <c r="E2484" s="1630"/>
      <c r="F2484" s="446"/>
      <c r="G2484" s="446"/>
      <c r="H2484" s="446"/>
      <c r="I2484" s="446"/>
      <c r="J2484" s="531"/>
      <c r="K2484" s="531"/>
    </row>
    <row r="2485" s="311" customFormat="true" ht="15" hidden="false" customHeight="false" outlineLevel="0" collapsed="false">
      <c r="A2485" s="1628"/>
      <c r="B2485" s="1629"/>
      <c r="C2485" s="446"/>
      <c r="D2485" s="1630"/>
      <c r="E2485" s="1630"/>
      <c r="F2485" s="446"/>
      <c r="G2485" s="446"/>
      <c r="H2485" s="446"/>
      <c r="I2485" s="446"/>
      <c r="J2485" s="531"/>
      <c r="K2485" s="531"/>
    </row>
    <row r="2486" s="311" customFormat="true" ht="15" hidden="false" customHeight="false" outlineLevel="0" collapsed="false">
      <c r="A2486" s="1628"/>
      <c r="B2486" s="1629"/>
      <c r="C2486" s="446"/>
      <c r="D2486" s="1630"/>
      <c r="E2486" s="1630"/>
      <c r="F2486" s="446"/>
      <c r="G2486" s="446"/>
      <c r="H2486" s="446"/>
      <c r="I2486" s="446"/>
      <c r="J2486" s="531"/>
      <c r="K2486" s="531"/>
    </row>
    <row r="2487" s="311" customFormat="true" ht="15" hidden="false" customHeight="false" outlineLevel="0" collapsed="false">
      <c r="A2487" s="1628"/>
      <c r="B2487" s="1629"/>
      <c r="C2487" s="446"/>
      <c r="D2487" s="1630"/>
      <c r="E2487" s="1630"/>
      <c r="F2487" s="446"/>
      <c r="G2487" s="446"/>
      <c r="H2487" s="446"/>
      <c r="I2487" s="446"/>
      <c r="J2487" s="531"/>
      <c r="K2487" s="531"/>
    </row>
    <row r="2488" s="311" customFormat="true" ht="15" hidden="false" customHeight="false" outlineLevel="0" collapsed="false">
      <c r="A2488" s="1628"/>
      <c r="B2488" s="1629"/>
      <c r="C2488" s="446"/>
      <c r="D2488" s="1630"/>
      <c r="E2488" s="1630"/>
      <c r="F2488" s="446"/>
      <c r="G2488" s="446"/>
      <c r="H2488" s="446"/>
      <c r="I2488" s="446"/>
      <c r="J2488" s="531"/>
      <c r="K2488" s="531"/>
    </row>
    <row r="2489" s="311" customFormat="true" ht="41.25" hidden="false" customHeight="true" outlineLevel="0" collapsed="false">
      <c r="A2489" s="1628"/>
      <c r="B2489" s="1629"/>
      <c r="C2489" s="446"/>
      <c r="D2489" s="1630"/>
      <c r="E2489" s="1630"/>
      <c r="F2489" s="446"/>
      <c r="G2489" s="446"/>
      <c r="H2489" s="446"/>
      <c r="I2489" s="446"/>
      <c r="J2489" s="531"/>
      <c r="K2489" s="531"/>
    </row>
    <row r="2490" s="311" customFormat="true" ht="15" hidden="false" customHeight="false" outlineLevel="0" collapsed="false">
      <c r="A2490" s="1628"/>
      <c r="B2490" s="1629"/>
      <c r="C2490" s="446"/>
      <c r="D2490" s="1630"/>
      <c r="E2490" s="1630"/>
      <c r="F2490" s="446"/>
      <c r="G2490" s="446"/>
      <c r="H2490" s="446"/>
      <c r="I2490" s="446"/>
      <c r="J2490" s="531"/>
      <c r="K2490" s="531"/>
    </row>
    <row r="2491" s="311" customFormat="true" ht="15" hidden="false" customHeight="false" outlineLevel="0" collapsed="false">
      <c r="A2491" s="1628"/>
      <c r="B2491" s="1629"/>
      <c r="C2491" s="446"/>
      <c r="D2491" s="1630"/>
      <c r="E2491" s="1630"/>
      <c r="F2491" s="446"/>
      <c r="G2491" s="446"/>
      <c r="H2491" s="446"/>
      <c r="I2491" s="446"/>
      <c r="J2491" s="531"/>
      <c r="K2491" s="531"/>
    </row>
    <row r="2492" s="311" customFormat="true" ht="15" hidden="false" customHeight="false" outlineLevel="0" collapsed="false">
      <c r="A2492" s="1628"/>
      <c r="B2492" s="1629"/>
      <c r="C2492" s="446"/>
      <c r="D2492" s="1630"/>
      <c r="E2492" s="1630"/>
      <c r="F2492" s="446"/>
      <c r="G2492" s="446"/>
      <c r="H2492" s="446"/>
      <c r="I2492" s="446"/>
      <c r="J2492" s="531"/>
      <c r="K2492" s="531"/>
    </row>
    <row r="2493" s="311" customFormat="true" ht="15" hidden="false" customHeight="false" outlineLevel="0" collapsed="false">
      <c r="A2493" s="1628"/>
      <c r="B2493" s="1629"/>
      <c r="C2493" s="446"/>
      <c r="D2493" s="1630"/>
      <c r="E2493" s="1630"/>
      <c r="F2493" s="446"/>
      <c r="G2493" s="446"/>
      <c r="H2493" s="446"/>
      <c r="I2493" s="446"/>
      <c r="J2493" s="531"/>
      <c r="K2493" s="531"/>
    </row>
    <row r="2494" s="311" customFormat="true" ht="15" hidden="false" customHeight="false" outlineLevel="0" collapsed="false">
      <c r="A2494" s="1628"/>
      <c r="B2494" s="1629"/>
      <c r="C2494" s="446"/>
      <c r="D2494" s="1630"/>
      <c r="E2494" s="1630"/>
      <c r="F2494" s="446"/>
      <c r="G2494" s="446"/>
      <c r="H2494" s="446"/>
      <c r="I2494" s="446"/>
      <c r="J2494" s="531"/>
      <c r="K2494" s="531"/>
    </row>
    <row r="2495" s="311" customFormat="true" ht="15" hidden="false" customHeight="false" outlineLevel="0" collapsed="false">
      <c r="A2495" s="1628"/>
      <c r="B2495" s="1629"/>
      <c r="C2495" s="446"/>
      <c r="D2495" s="1630"/>
      <c r="E2495" s="1630"/>
      <c r="F2495" s="446"/>
      <c r="G2495" s="446"/>
      <c r="H2495" s="446"/>
      <c r="I2495" s="446"/>
      <c r="J2495" s="531"/>
      <c r="K2495" s="531"/>
    </row>
    <row r="2496" s="311" customFormat="true" ht="15" hidden="false" customHeight="false" outlineLevel="0" collapsed="false">
      <c r="A2496" s="1628"/>
      <c r="B2496" s="1629"/>
      <c r="C2496" s="446"/>
      <c r="D2496" s="1630"/>
      <c r="E2496" s="1630"/>
      <c r="F2496" s="446"/>
      <c r="G2496" s="446"/>
      <c r="H2496" s="446"/>
      <c r="I2496" s="446"/>
      <c r="J2496" s="531"/>
      <c r="K2496" s="531"/>
    </row>
    <row r="2497" s="311" customFormat="true" ht="15" hidden="false" customHeight="false" outlineLevel="0" collapsed="false">
      <c r="A2497" s="1628"/>
      <c r="B2497" s="1629"/>
      <c r="C2497" s="446"/>
      <c r="D2497" s="1630"/>
      <c r="E2497" s="1630"/>
      <c r="F2497" s="446"/>
      <c r="G2497" s="446"/>
      <c r="H2497" s="446"/>
      <c r="I2497" s="446"/>
      <c r="J2497" s="531"/>
      <c r="K2497" s="531"/>
    </row>
    <row r="2498" s="311" customFormat="true" ht="15" hidden="false" customHeight="false" outlineLevel="0" collapsed="false">
      <c r="A2498" s="1628"/>
      <c r="B2498" s="1629"/>
      <c r="C2498" s="446"/>
      <c r="D2498" s="1630"/>
      <c r="E2498" s="1630"/>
      <c r="F2498" s="446"/>
      <c r="G2498" s="446"/>
      <c r="H2498" s="446"/>
      <c r="I2498" s="446"/>
      <c r="J2498" s="531"/>
      <c r="K2498" s="531"/>
    </row>
    <row r="2499" s="311" customFormat="true" ht="15" hidden="false" customHeight="false" outlineLevel="0" collapsed="false">
      <c r="A2499" s="1628"/>
      <c r="B2499" s="1629"/>
      <c r="C2499" s="446"/>
      <c r="D2499" s="1630"/>
      <c r="E2499" s="1630"/>
      <c r="F2499" s="446"/>
      <c r="G2499" s="446"/>
      <c r="H2499" s="446"/>
      <c r="I2499" s="446"/>
      <c r="J2499" s="531"/>
      <c r="K2499" s="531"/>
    </row>
    <row r="2500" s="311" customFormat="true" ht="15" hidden="false" customHeight="false" outlineLevel="0" collapsed="false">
      <c r="A2500" s="1628"/>
      <c r="B2500" s="1629"/>
      <c r="C2500" s="446"/>
      <c r="D2500" s="1630"/>
      <c r="E2500" s="1630"/>
      <c r="F2500" s="446"/>
      <c r="G2500" s="446"/>
      <c r="H2500" s="446"/>
      <c r="I2500" s="446"/>
      <c r="J2500" s="531"/>
      <c r="K2500" s="531"/>
    </row>
    <row r="2501" s="311" customFormat="true" ht="15" hidden="false" customHeight="false" outlineLevel="0" collapsed="false">
      <c r="A2501" s="1628"/>
      <c r="B2501" s="1629"/>
      <c r="C2501" s="446"/>
      <c r="D2501" s="1630"/>
      <c r="E2501" s="1630"/>
      <c r="F2501" s="446"/>
      <c r="G2501" s="446"/>
      <c r="H2501" s="446"/>
      <c r="I2501" s="446"/>
      <c r="J2501" s="531"/>
      <c r="K2501" s="531"/>
    </row>
    <row r="2502" s="311" customFormat="true" ht="15" hidden="false" customHeight="false" outlineLevel="0" collapsed="false">
      <c r="A2502" s="1628"/>
      <c r="B2502" s="1629"/>
      <c r="C2502" s="446"/>
      <c r="D2502" s="1630"/>
      <c r="E2502" s="1630"/>
      <c r="F2502" s="446"/>
      <c r="G2502" s="446"/>
      <c r="H2502" s="446"/>
      <c r="I2502" s="446"/>
      <c r="J2502" s="531"/>
      <c r="K2502" s="531"/>
    </row>
    <row r="2503" s="311" customFormat="true" ht="15" hidden="false" customHeight="false" outlineLevel="0" collapsed="false">
      <c r="A2503" s="1628"/>
      <c r="B2503" s="1629"/>
      <c r="C2503" s="446"/>
      <c r="D2503" s="1630"/>
      <c r="E2503" s="1630"/>
      <c r="F2503" s="446"/>
      <c r="G2503" s="446"/>
      <c r="H2503" s="446"/>
      <c r="I2503" s="446"/>
      <c r="J2503" s="531"/>
      <c r="K2503" s="531"/>
    </row>
    <row r="2504" s="311" customFormat="true" ht="15" hidden="false" customHeight="false" outlineLevel="0" collapsed="false">
      <c r="A2504" s="1628"/>
      <c r="B2504" s="1629"/>
      <c r="C2504" s="446"/>
      <c r="D2504" s="1630"/>
      <c r="E2504" s="1630"/>
      <c r="F2504" s="446"/>
      <c r="G2504" s="446"/>
      <c r="H2504" s="446"/>
      <c r="I2504" s="446"/>
      <c r="J2504" s="531"/>
      <c r="K2504" s="531"/>
    </row>
    <row r="2505" s="311" customFormat="true" ht="15" hidden="false" customHeight="false" outlineLevel="0" collapsed="false">
      <c r="A2505" s="1628"/>
      <c r="B2505" s="1629"/>
      <c r="C2505" s="446"/>
      <c r="D2505" s="1630"/>
      <c r="E2505" s="1630"/>
      <c r="F2505" s="446"/>
      <c r="G2505" s="446"/>
      <c r="H2505" s="446"/>
      <c r="I2505" s="446"/>
      <c r="J2505" s="531"/>
      <c r="K2505" s="531"/>
    </row>
    <row r="2506" s="311" customFormat="true" ht="15" hidden="false" customHeight="false" outlineLevel="0" collapsed="false">
      <c r="A2506" s="1628"/>
      <c r="B2506" s="1629"/>
      <c r="C2506" s="446"/>
      <c r="D2506" s="1630"/>
      <c r="E2506" s="1630"/>
      <c r="F2506" s="446"/>
      <c r="G2506" s="446"/>
      <c r="H2506" s="446"/>
      <c r="I2506" s="446"/>
      <c r="J2506" s="531"/>
      <c r="K2506" s="531"/>
    </row>
    <row r="2507" s="311" customFormat="true" ht="15" hidden="false" customHeight="false" outlineLevel="0" collapsed="false">
      <c r="A2507" s="1628"/>
      <c r="B2507" s="1629"/>
      <c r="C2507" s="446"/>
      <c r="D2507" s="1630"/>
      <c r="E2507" s="1630"/>
      <c r="F2507" s="446"/>
      <c r="G2507" s="446"/>
      <c r="H2507" s="446"/>
      <c r="I2507" s="446"/>
      <c r="J2507" s="531"/>
      <c r="K2507" s="531"/>
    </row>
    <row r="2508" s="311" customFormat="true" ht="15" hidden="false" customHeight="false" outlineLevel="0" collapsed="false">
      <c r="A2508" s="1628"/>
      <c r="B2508" s="1629"/>
      <c r="C2508" s="446"/>
      <c r="D2508" s="1630"/>
      <c r="E2508" s="1630"/>
      <c r="F2508" s="446"/>
      <c r="G2508" s="446"/>
      <c r="H2508" s="446"/>
      <c r="I2508" s="446"/>
      <c r="J2508" s="531"/>
      <c r="K2508" s="531"/>
    </row>
    <row r="2509" s="311" customFormat="true" ht="15" hidden="false" customHeight="false" outlineLevel="0" collapsed="false">
      <c r="A2509" s="1628"/>
      <c r="B2509" s="1629"/>
      <c r="C2509" s="446"/>
      <c r="D2509" s="1630"/>
      <c r="E2509" s="1630"/>
      <c r="F2509" s="446"/>
      <c r="G2509" s="446"/>
      <c r="H2509" s="446"/>
      <c r="I2509" s="446"/>
      <c r="J2509" s="531"/>
      <c r="K2509" s="531"/>
    </row>
    <row r="2510" s="311" customFormat="true" ht="15" hidden="false" customHeight="false" outlineLevel="0" collapsed="false">
      <c r="A2510" s="1628"/>
      <c r="B2510" s="1629"/>
      <c r="C2510" s="446"/>
      <c r="D2510" s="1630"/>
      <c r="E2510" s="1630"/>
      <c r="F2510" s="446"/>
      <c r="G2510" s="446"/>
      <c r="H2510" s="446"/>
      <c r="I2510" s="446"/>
      <c r="J2510" s="531"/>
      <c r="K2510" s="531"/>
    </row>
    <row r="2511" s="311" customFormat="true" ht="15" hidden="false" customHeight="false" outlineLevel="0" collapsed="false">
      <c r="A2511" s="1628"/>
      <c r="B2511" s="1629"/>
      <c r="C2511" s="446"/>
      <c r="D2511" s="1630"/>
      <c r="E2511" s="1630"/>
      <c r="F2511" s="446"/>
      <c r="G2511" s="446"/>
      <c r="H2511" s="446"/>
      <c r="I2511" s="446"/>
      <c r="J2511" s="531"/>
      <c r="K2511" s="531"/>
    </row>
    <row r="2512" s="311" customFormat="true" ht="15" hidden="false" customHeight="false" outlineLevel="0" collapsed="false">
      <c r="A2512" s="1628"/>
      <c r="B2512" s="1629"/>
      <c r="C2512" s="446"/>
      <c r="D2512" s="1630"/>
      <c r="E2512" s="1630"/>
      <c r="F2512" s="446"/>
      <c r="G2512" s="446"/>
      <c r="H2512" s="446"/>
      <c r="I2512" s="446"/>
      <c r="J2512" s="531"/>
      <c r="K2512" s="531"/>
    </row>
    <row r="2513" s="311" customFormat="true" ht="15" hidden="false" customHeight="false" outlineLevel="0" collapsed="false">
      <c r="A2513" s="1628"/>
      <c r="B2513" s="1629"/>
      <c r="C2513" s="446"/>
      <c r="D2513" s="1630"/>
      <c r="E2513" s="1630"/>
      <c r="F2513" s="446"/>
      <c r="G2513" s="446"/>
      <c r="H2513" s="446"/>
      <c r="I2513" s="446"/>
      <c r="J2513" s="531"/>
      <c r="K2513" s="531"/>
    </row>
    <row r="2514" s="311" customFormat="true" ht="15" hidden="false" customHeight="false" outlineLevel="0" collapsed="false">
      <c r="A2514" s="1628"/>
      <c r="B2514" s="1629"/>
      <c r="C2514" s="446"/>
      <c r="D2514" s="1630"/>
      <c r="E2514" s="1630"/>
      <c r="F2514" s="446"/>
      <c r="G2514" s="446"/>
      <c r="H2514" s="446"/>
      <c r="I2514" s="446"/>
      <c r="J2514" s="531"/>
      <c r="K2514" s="531"/>
    </row>
    <row r="2515" s="311" customFormat="true" ht="15" hidden="false" customHeight="false" outlineLevel="0" collapsed="false">
      <c r="A2515" s="1628"/>
      <c r="B2515" s="1629"/>
      <c r="C2515" s="446"/>
      <c r="D2515" s="1630"/>
      <c r="E2515" s="1630"/>
      <c r="F2515" s="446"/>
      <c r="G2515" s="446"/>
      <c r="H2515" s="446"/>
      <c r="I2515" s="446"/>
      <c r="J2515" s="531"/>
      <c r="K2515" s="531"/>
    </row>
    <row r="2516" s="311" customFormat="true" ht="15" hidden="false" customHeight="false" outlineLevel="0" collapsed="false">
      <c r="A2516" s="1628"/>
      <c r="B2516" s="1629"/>
      <c r="C2516" s="446"/>
      <c r="D2516" s="1630"/>
      <c r="E2516" s="1630"/>
      <c r="F2516" s="446"/>
      <c r="G2516" s="446"/>
      <c r="H2516" s="446"/>
      <c r="I2516" s="446"/>
      <c r="J2516" s="531"/>
      <c r="K2516" s="531"/>
    </row>
    <row r="2517" s="311" customFormat="true" ht="15" hidden="false" customHeight="false" outlineLevel="0" collapsed="false">
      <c r="A2517" s="1628"/>
      <c r="B2517" s="1629"/>
      <c r="C2517" s="446"/>
      <c r="D2517" s="1630"/>
      <c r="E2517" s="1630"/>
      <c r="F2517" s="446"/>
      <c r="G2517" s="446"/>
      <c r="H2517" s="446"/>
      <c r="I2517" s="446"/>
      <c r="J2517" s="531"/>
      <c r="K2517" s="531"/>
    </row>
    <row r="2518" s="311" customFormat="true" ht="15" hidden="false" customHeight="false" outlineLevel="0" collapsed="false">
      <c r="A2518" s="1628"/>
      <c r="B2518" s="1629"/>
      <c r="C2518" s="446"/>
      <c r="D2518" s="1630"/>
      <c r="E2518" s="1630"/>
      <c r="F2518" s="446"/>
      <c r="G2518" s="446"/>
      <c r="H2518" s="446"/>
      <c r="I2518" s="446"/>
      <c r="J2518" s="531"/>
      <c r="K2518" s="531"/>
    </row>
    <row r="2519" s="311" customFormat="true" ht="15" hidden="false" customHeight="false" outlineLevel="0" collapsed="false">
      <c r="A2519" s="1628"/>
      <c r="B2519" s="1629"/>
      <c r="C2519" s="446"/>
      <c r="D2519" s="1630"/>
      <c r="E2519" s="1630"/>
      <c r="F2519" s="446"/>
      <c r="G2519" s="446"/>
      <c r="H2519" s="446"/>
      <c r="I2519" s="446"/>
      <c r="J2519" s="531"/>
      <c r="K2519" s="531"/>
    </row>
    <row r="2520" s="311" customFormat="true" ht="15" hidden="false" customHeight="false" outlineLevel="0" collapsed="false">
      <c r="A2520" s="1628"/>
      <c r="B2520" s="1629"/>
      <c r="C2520" s="446"/>
      <c r="D2520" s="1630"/>
      <c r="E2520" s="1630"/>
      <c r="F2520" s="446"/>
      <c r="G2520" s="446"/>
      <c r="H2520" s="446"/>
      <c r="I2520" s="446"/>
      <c r="J2520" s="531"/>
      <c r="K2520" s="531"/>
    </row>
    <row r="2521" s="311" customFormat="true" ht="15" hidden="false" customHeight="false" outlineLevel="0" collapsed="false">
      <c r="A2521" s="1628"/>
      <c r="B2521" s="1629"/>
      <c r="C2521" s="446"/>
      <c r="D2521" s="1630"/>
      <c r="E2521" s="1630"/>
      <c r="F2521" s="446"/>
      <c r="G2521" s="446"/>
      <c r="H2521" s="446"/>
      <c r="I2521" s="446"/>
      <c r="J2521" s="531"/>
      <c r="K2521" s="531"/>
    </row>
    <row r="2522" s="311" customFormat="true" ht="15" hidden="false" customHeight="false" outlineLevel="0" collapsed="false">
      <c r="A2522" s="1628"/>
      <c r="B2522" s="1629"/>
      <c r="C2522" s="446"/>
      <c r="D2522" s="1630"/>
      <c r="E2522" s="1630"/>
      <c r="F2522" s="446"/>
      <c r="G2522" s="446"/>
      <c r="H2522" s="446"/>
      <c r="I2522" s="446"/>
      <c r="J2522" s="531"/>
      <c r="K2522" s="531"/>
    </row>
    <row r="2523" s="311" customFormat="true" ht="15" hidden="false" customHeight="false" outlineLevel="0" collapsed="false">
      <c r="A2523" s="1628"/>
      <c r="B2523" s="1629"/>
      <c r="C2523" s="446"/>
      <c r="D2523" s="1630"/>
      <c r="E2523" s="1630"/>
      <c r="F2523" s="446"/>
      <c r="G2523" s="446"/>
      <c r="H2523" s="446"/>
      <c r="I2523" s="446"/>
      <c r="J2523" s="531"/>
      <c r="K2523" s="531"/>
    </row>
    <row r="2524" s="311" customFormat="true" ht="15" hidden="false" customHeight="false" outlineLevel="0" collapsed="false">
      <c r="A2524" s="1628"/>
      <c r="B2524" s="1629"/>
      <c r="C2524" s="446"/>
      <c r="D2524" s="1630"/>
      <c r="E2524" s="1630"/>
      <c r="F2524" s="446"/>
      <c r="G2524" s="446"/>
      <c r="H2524" s="446"/>
      <c r="I2524" s="446"/>
      <c r="J2524" s="531"/>
      <c r="K2524" s="531"/>
    </row>
    <row r="2525" s="311" customFormat="true" ht="15" hidden="false" customHeight="false" outlineLevel="0" collapsed="false">
      <c r="A2525" s="1628"/>
      <c r="B2525" s="1629"/>
      <c r="C2525" s="446"/>
      <c r="D2525" s="1630"/>
      <c r="E2525" s="1630"/>
      <c r="F2525" s="446"/>
      <c r="G2525" s="446"/>
      <c r="H2525" s="446"/>
      <c r="I2525" s="446"/>
      <c r="J2525" s="531"/>
      <c r="K2525" s="531"/>
    </row>
    <row r="2526" s="311" customFormat="true" ht="15" hidden="false" customHeight="false" outlineLevel="0" collapsed="false">
      <c r="A2526" s="1628"/>
      <c r="B2526" s="1629"/>
      <c r="C2526" s="446"/>
      <c r="D2526" s="1630"/>
      <c r="E2526" s="1630"/>
      <c r="F2526" s="446"/>
      <c r="G2526" s="446"/>
      <c r="H2526" s="446"/>
      <c r="I2526" s="446"/>
      <c r="J2526" s="531"/>
      <c r="K2526" s="531"/>
    </row>
    <row r="2527" s="311" customFormat="true" ht="15" hidden="false" customHeight="false" outlineLevel="0" collapsed="false">
      <c r="A2527" s="1628"/>
      <c r="B2527" s="1629"/>
      <c r="C2527" s="446"/>
      <c r="D2527" s="1630"/>
      <c r="E2527" s="1630"/>
      <c r="F2527" s="446"/>
      <c r="G2527" s="446"/>
      <c r="H2527" s="446"/>
      <c r="I2527" s="446"/>
      <c r="J2527" s="531"/>
      <c r="K2527" s="531"/>
    </row>
    <row r="2528" s="311" customFormat="true" ht="15" hidden="false" customHeight="false" outlineLevel="0" collapsed="false">
      <c r="A2528" s="1628"/>
      <c r="B2528" s="1629"/>
      <c r="C2528" s="446"/>
      <c r="D2528" s="1630"/>
      <c r="E2528" s="1630"/>
      <c r="F2528" s="446"/>
      <c r="G2528" s="446"/>
      <c r="H2528" s="446"/>
      <c r="I2528" s="446"/>
      <c r="J2528" s="531"/>
      <c r="K2528" s="531"/>
    </row>
    <row r="2529" s="311" customFormat="true" ht="15" hidden="false" customHeight="false" outlineLevel="0" collapsed="false">
      <c r="A2529" s="1628"/>
      <c r="B2529" s="1629"/>
      <c r="C2529" s="446"/>
      <c r="D2529" s="1630"/>
      <c r="E2529" s="1630"/>
      <c r="F2529" s="446"/>
      <c r="G2529" s="446"/>
      <c r="H2529" s="446"/>
      <c r="I2529" s="446"/>
      <c r="J2529" s="531"/>
      <c r="K2529" s="531"/>
    </row>
    <row r="2530" s="311" customFormat="true" ht="15" hidden="false" customHeight="false" outlineLevel="0" collapsed="false">
      <c r="A2530" s="1628"/>
      <c r="B2530" s="1629"/>
      <c r="C2530" s="446"/>
      <c r="D2530" s="1630"/>
      <c r="E2530" s="1630"/>
      <c r="F2530" s="446"/>
      <c r="G2530" s="446"/>
      <c r="H2530" s="446"/>
      <c r="I2530" s="446"/>
      <c r="J2530" s="531"/>
      <c r="K2530" s="531"/>
    </row>
    <row r="2531" s="311" customFormat="true" ht="15" hidden="false" customHeight="false" outlineLevel="0" collapsed="false">
      <c r="A2531" s="1628"/>
      <c r="B2531" s="1629"/>
      <c r="C2531" s="446"/>
      <c r="D2531" s="1630"/>
      <c r="E2531" s="1630"/>
      <c r="F2531" s="446"/>
      <c r="G2531" s="446"/>
      <c r="H2531" s="446"/>
      <c r="I2531" s="446"/>
      <c r="J2531" s="531"/>
      <c r="K2531" s="531"/>
    </row>
    <row r="2532" s="311" customFormat="true" ht="15" hidden="false" customHeight="false" outlineLevel="0" collapsed="false">
      <c r="A2532" s="1628"/>
      <c r="B2532" s="1629"/>
      <c r="C2532" s="446"/>
      <c r="D2532" s="1630"/>
      <c r="E2532" s="1630"/>
      <c r="F2532" s="446"/>
      <c r="G2532" s="446"/>
      <c r="H2532" s="446"/>
      <c r="I2532" s="446"/>
      <c r="J2532" s="531"/>
      <c r="K2532" s="531"/>
    </row>
    <row r="2533" s="311" customFormat="true" ht="15" hidden="false" customHeight="false" outlineLevel="0" collapsed="false">
      <c r="A2533" s="1628"/>
      <c r="B2533" s="1629"/>
      <c r="C2533" s="446"/>
      <c r="D2533" s="1630"/>
      <c r="E2533" s="1630"/>
      <c r="F2533" s="446"/>
      <c r="G2533" s="446"/>
      <c r="H2533" s="446"/>
      <c r="I2533" s="446"/>
      <c r="J2533" s="531"/>
      <c r="K2533" s="531"/>
    </row>
    <row r="2534" s="311" customFormat="true" ht="15" hidden="false" customHeight="false" outlineLevel="0" collapsed="false">
      <c r="A2534" s="1628"/>
      <c r="B2534" s="1629"/>
      <c r="C2534" s="446"/>
      <c r="D2534" s="1630"/>
      <c r="E2534" s="1630"/>
      <c r="F2534" s="446"/>
      <c r="G2534" s="446"/>
      <c r="H2534" s="446"/>
      <c r="I2534" s="446"/>
      <c r="J2534" s="531"/>
      <c r="K2534" s="531"/>
    </row>
    <row r="2535" s="311" customFormat="true" ht="15" hidden="false" customHeight="false" outlineLevel="0" collapsed="false">
      <c r="A2535" s="1628"/>
      <c r="B2535" s="1629"/>
      <c r="C2535" s="446"/>
      <c r="D2535" s="1630"/>
      <c r="E2535" s="1630"/>
      <c r="F2535" s="446"/>
      <c r="G2535" s="446"/>
      <c r="H2535" s="446"/>
      <c r="I2535" s="446"/>
      <c r="J2535" s="531"/>
      <c r="K2535" s="531"/>
    </row>
    <row r="2536" s="311" customFormat="true" ht="15" hidden="false" customHeight="false" outlineLevel="0" collapsed="false">
      <c r="A2536" s="1628"/>
      <c r="B2536" s="1629"/>
      <c r="C2536" s="446"/>
      <c r="D2536" s="1630"/>
      <c r="E2536" s="1630"/>
      <c r="F2536" s="446"/>
      <c r="G2536" s="446"/>
      <c r="H2536" s="446"/>
      <c r="I2536" s="446"/>
      <c r="J2536" s="531"/>
      <c r="K2536" s="531"/>
    </row>
    <row r="2537" s="311" customFormat="true" ht="15" hidden="false" customHeight="false" outlineLevel="0" collapsed="false">
      <c r="A2537" s="1628"/>
      <c r="B2537" s="1629"/>
      <c r="C2537" s="446"/>
      <c r="D2537" s="1630"/>
      <c r="E2537" s="1630"/>
      <c r="F2537" s="446"/>
      <c r="G2537" s="446"/>
      <c r="H2537" s="446"/>
      <c r="I2537" s="446"/>
      <c r="J2537" s="531"/>
      <c r="K2537" s="531"/>
    </row>
    <row r="2538" s="311" customFormat="true" ht="15" hidden="false" customHeight="false" outlineLevel="0" collapsed="false">
      <c r="A2538" s="1628"/>
      <c r="B2538" s="1629"/>
      <c r="C2538" s="446"/>
      <c r="D2538" s="1630"/>
      <c r="E2538" s="1630"/>
      <c r="F2538" s="446"/>
      <c r="G2538" s="446"/>
      <c r="H2538" s="446"/>
      <c r="I2538" s="446"/>
      <c r="J2538" s="531"/>
      <c r="K2538" s="531"/>
    </row>
    <row r="2539" s="311" customFormat="true" ht="15" hidden="false" customHeight="false" outlineLevel="0" collapsed="false">
      <c r="A2539" s="1628"/>
      <c r="B2539" s="1629"/>
      <c r="C2539" s="446"/>
      <c r="D2539" s="1630"/>
      <c r="E2539" s="1630"/>
      <c r="F2539" s="446"/>
      <c r="G2539" s="446"/>
      <c r="H2539" s="446"/>
      <c r="I2539" s="446"/>
      <c r="J2539" s="531"/>
      <c r="K2539" s="531"/>
    </row>
    <row r="2540" s="311" customFormat="true" ht="15" hidden="false" customHeight="false" outlineLevel="0" collapsed="false">
      <c r="A2540" s="1628"/>
      <c r="B2540" s="1629"/>
      <c r="C2540" s="446"/>
      <c r="D2540" s="1630"/>
      <c r="E2540" s="1630"/>
      <c r="F2540" s="446"/>
      <c r="G2540" s="446"/>
      <c r="H2540" s="446"/>
      <c r="I2540" s="446"/>
      <c r="J2540" s="531"/>
      <c r="K2540" s="531"/>
    </row>
    <row r="2541" s="311" customFormat="true" ht="15" hidden="false" customHeight="false" outlineLevel="0" collapsed="false">
      <c r="A2541" s="1628"/>
      <c r="B2541" s="1629"/>
      <c r="C2541" s="446"/>
      <c r="D2541" s="1630"/>
      <c r="E2541" s="1630"/>
      <c r="F2541" s="446"/>
      <c r="G2541" s="446"/>
      <c r="H2541" s="446"/>
      <c r="I2541" s="446"/>
      <c r="J2541" s="531"/>
      <c r="K2541" s="531"/>
    </row>
    <row r="2542" s="311" customFormat="true" ht="15" hidden="false" customHeight="false" outlineLevel="0" collapsed="false">
      <c r="A2542" s="1628"/>
      <c r="B2542" s="1629"/>
      <c r="C2542" s="446"/>
      <c r="D2542" s="1630"/>
      <c r="E2542" s="1630"/>
      <c r="F2542" s="446"/>
      <c r="G2542" s="446"/>
      <c r="H2542" s="446"/>
      <c r="I2542" s="446"/>
      <c r="J2542" s="531"/>
      <c r="K2542" s="531"/>
    </row>
    <row r="2543" s="311" customFormat="true" ht="15" hidden="false" customHeight="false" outlineLevel="0" collapsed="false">
      <c r="A2543" s="1628"/>
      <c r="B2543" s="1629"/>
      <c r="C2543" s="446"/>
      <c r="D2543" s="1630"/>
      <c r="E2543" s="1630"/>
      <c r="F2543" s="446"/>
      <c r="G2543" s="446"/>
      <c r="H2543" s="446"/>
      <c r="I2543" s="446"/>
      <c r="J2543" s="531"/>
      <c r="K2543" s="531"/>
    </row>
    <row r="2544" s="311" customFormat="true" ht="15" hidden="false" customHeight="false" outlineLevel="0" collapsed="false">
      <c r="A2544" s="1628"/>
      <c r="B2544" s="1629"/>
      <c r="C2544" s="446"/>
      <c r="D2544" s="1630"/>
      <c r="E2544" s="1630"/>
      <c r="F2544" s="446"/>
      <c r="G2544" s="446"/>
      <c r="H2544" s="446"/>
      <c r="I2544" s="446"/>
      <c r="J2544" s="531"/>
      <c r="K2544" s="531"/>
    </row>
    <row r="2545" s="311" customFormat="true" ht="15" hidden="false" customHeight="false" outlineLevel="0" collapsed="false">
      <c r="A2545" s="1628"/>
      <c r="B2545" s="1629"/>
      <c r="C2545" s="446"/>
      <c r="D2545" s="1630"/>
      <c r="E2545" s="1630"/>
      <c r="F2545" s="446"/>
      <c r="G2545" s="446"/>
      <c r="H2545" s="446"/>
      <c r="I2545" s="446"/>
      <c r="J2545" s="531"/>
      <c r="K2545" s="531"/>
    </row>
    <row r="2546" s="311" customFormat="true" ht="15" hidden="false" customHeight="false" outlineLevel="0" collapsed="false">
      <c r="A2546" s="1628"/>
      <c r="B2546" s="1629"/>
      <c r="C2546" s="446"/>
      <c r="D2546" s="1630"/>
      <c r="E2546" s="1630"/>
      <c r="F2546" s="446"/>
      <c r="G2546" s="446"/>
      <c r="H2546" s="446"/>
      <c r="I2546" s="446"/>
      <c r="J2546" s="531"/>
      <c r="K2546" s="531"/>
    </row>
    <row r="2547" s="311" customFormat="true" ht="52.5" hidden="false" customHeight="true" outlineLevel="0" collapsed="false">
      <c r="A2547" s="1628"/>
      <c r="B2547" s="1629"/>
      <c r="C2547" s="446"/>
      <c r="D2547" s="1630"/>
      <c r="E2547" s="1630"/>
      <c r="F2547" s="446"/>
      <c r="G2547" s="446"/>
      <c r="H2547" s="446"/>
      <c r="I2547" s="446"/>
      <c r="J2547" s="531"/>
      <c r="K2547" s="531"/>
    </row>
    <row r="2548" s="311" customFormat="true" ht="36" hidden="false" customHeight="true" outlineLevel="0" collapsed="false">
      <c r="A2548" s="1628"/>
      <c r="B2548" s="1629"/>
      <c r="C2548" s="446"/>
      <c r="D2548" s="1630"/>
      <c r="E2548" s="1630"/>
      <c r="F2548" s="446"/>
      <c r="G2548" s="446"/>
      <c r="H2548" s="446"/>
      <c r="I2548" s="446"/>
      <c r="J2548" s="531"/>
      <c r="K2548" s="531"/>
    </row>
    <row r="2549" s="311" customFormat="true" ht="63" hidden="false" customHeight="true" outlineLevel="0" collapsed="false">
      <c r="A2549" s="1628"/>
      <c r="B2549" s="1629"/>
      <c r="C2549" s="446"/>
      <c r="D2549" s="1630"/>
      <c r="E2549" s="1630"/>
      <c r="F2549" s="446"/>
      <c r="G2549" s="446"/>
      <c r="H2549" s="446"/>
      <c r="I2549" s="446"/>
      <c r="J2549" s="531"/>
      <c r="K2549" s="531"/>
    </row>
    <row r="2550" s="311" customFormat="true" ht="24.75" hidden="false" customHeight="true" outlineLevel="0" collapsed="false">
      <c r="A2550" s="1628"/>
      <c r="B2550" s="1629"/>
      <c r="C2550" s="446"/>
      <c r="D2550" s="1630"/>
      <c r="E2550" s="1630"/>
      <c r="F2550" s="446"/>
      <c r="G2550" s="446"/>
      <c r="H2550" s="446"/>
      <c r="I2550" s="446"/>
      <c r="J2550" s="531"/>
      <c r="K2550" s="531"/>
    </row>
    <row r="2551" s="311" customFormat="true" ht="24.75" hidden="false" customHeight="true" outlineLevel="0" collapsed="false">
      <c r="A2551" s="1628"/>
      <c r="B2551" s="1629"/>
      <c r="C2551" s="446"/>
      <c r="D2551" s="1630"/>
      <c r="E2551" s="1630"/>
      <c r="F2551" s="446"/>
      <c r="G2551" s="446"/>
      <c r="H2551" s="446"/>
      <c r="I2551" s="446"/>
      <c r="J2551" s="531"/>
      <c r="K2551" s="531"/>
    </row>
    <row r="2552" s="311" customFormat="true" ht="133.5" hidden="false" customHeight="true" outlineLevel="0" collapsed="false">
      <c r="A2552" s="1628"/>
      <c r="B2552" s="1629"/>
      <c r="C2552" s="446"/>
      <c r="D2552" s="1630"/>
      <c r="E2552" s="1630"/>
      <c r="F2552" s="446"/>
      <c r="G2552" s="446"/>
      <c r="H2552" s="446"/>
      <c r="I2552" s="446"/>
      <c r="J2552" s="531"/>
      <c r="K2552" s="531"/>
    </row>
    <row r="2553" s="311" customFormat="true" ht="15" hidden="false" customHeight="false" outlineLevel="0" collapsed="false">
      <c r="A2553" s="1628"/>
      <c r="B2553" s="1629"/>
      <c r="C2553" s="446"/>
      <c r="D2553" s="1630"/>
      <c r="E2553" s="1630"/>
      <c r="F2553" s="446"/>
      <c r="G2553" s="446"/>
      <c r="H2553" s="446"/>
      <c r="I2553" s="446"/>
      <c r="J2553" s="531"/>
      <c r="K2553" s="531"/>
    </row>
    <row r="2554" s="311" customFormat="true" ht="15" hidden="false" customHeight="false" outlineLevel="0" collapsed="false">
      <c r="A2554" s="1628"/>
      <c r="B2554" s="1629"/>
      <c r="C2554" s="446"/>
      <c r="D2554" s="1630"/>
      <c r="E2554" s="1630"/>
      <c r="F2554" s="446"/>
      <c r="G2554" s="446"/>
      <c r="H2554" s="446"/>
      <c r="I2554" s="446"/>
      <c r="J2554" s="531"/>
      <c r="K2554" s="531"/>
    </row>
    <row r="2555" s="311" customFormat="true" ht="15" hidden="false" customHeight="false" outlineLevel="0" collapsed="false">
      <c r="A2555" s="1628"/>
      <c r="B2555" s="1629"/>
      <c r="C2555" s="446"/>
      <c r="D2555" s="1630"/>
      <c r="E2555" s="1630"/>
      <c r="F2555" s="446"/>
      <c r="G2555" s="446"/>
      <c r="H2555" s="446"/>
      <c r="I2555" s="446"/>
      <c r="J2555" s="531"/>
      <c r="K2555" s="531"/>
    </row>
    <row r="2556" s="311" customFormat="true" ht="15" hidden="false" customHeight="false" outlineLevel="0" collapsed="false">
      <c r="A2556" s="1628"/>
      <c r="B2556" s="1629"/>
      <c r="C2556" s="446"/>
      <c r="D2556" s="1630"/>
      <c r="E2556" s="1630"/>
      <c r="F2556" s="446"/>
      <c r="G2556" s="446"/>
      <c r="H2556" s="446"/>
      <c r="I2556" s="446"/>
      <c r="J2556" s="531"/>
      <c r="K2556" s="531"/>
    </row>
    <row r="2557" s="311" customFormat="true" ht="15" hidden="false" customHeight="false" outlineLevel="0" collapsed="false">
      <c r="A2557" s="1628"/>
      <c r="B2557" s="1629"/>
      <c r="C2557" s="446"/>
      <c r="D2557" s="1630"/>
      <c r="E2557" s="1630"/>
      <c r="F2557" s="446"/>
      <c r="G2557" s="446"/>
      <c r="H2557" s="446"/>
      <c r="I2557" s="446"/>
      <c r="J2557" s="531"/>
      <c r="K2557" s="531"/>
    </row>
    <row r="2558" s="311" customFormat="true" ht="15" hidden="false" customHeight="false" outlineLevel="0" collapsed="false">
      <c r="A2558" s="1628"/>
      <c r="B2558" s="1629"/>
      <c r="C2558" s="446"/>
      <c r="D2558" s="1630"/>
      <c r="E2558" s="1630"/>
      <c r="F2558" s="446"/>
      <c r="G2558" s="446"/>
      <c r="H2558" s="446"/>
      <c r="I2558" s="446"/>
      <c r="J2558" s="531"/>
      <c r="K2558" s="531"/>
    </row>
    <row r="2559" s="311" customFormat="true" ht="15" hidden="false" customHeight="false" outlineLevel="0" collapsed="false">
      <c r="A2559" s="1628"/>
      <c r="B2559" s="1629"/>
      <c r="C2559" s="446"/>
      <c r="D2559" s="1630"/>
      <c r="E2559" s="1630"/>
      <c r="F2559" s="446"/>
      <c r="G2559" s="446"/>
      <c r="H2559" s="446"/>
      <c r="I2559" s="446"/>
      <c r="J2559" s="531"/>
      <c r="K2559" s="531"/>
    </row>
    <row r="2560" s="311" customFormat="true" ht="15" hidden="false" customHeight="false" outlineLevel="0" collapsed="false">
      <c r="A2560" s="1628"/>
      <c r="B2560" s="1629"/>
      <c r="C2560" s="446"/>
      <c r="D2560" s="1630"/>
      <c r="E2560" s="1630"/>
      <c r="F2560" s="446"/>
      <c r="G2560" s="446"/>
      <c r="H2560" s="446"/>
      <c r="I2560" s="446"/>
      <c r="J2560" s="531"/>
      <c r="K2560" s="531"/>
    </row>
    <row r="2561" s="311" customFormat="true" ht="15" hidden="false" customHeight="false" outlineLevel="0" collapsed="false">
      <c r="A2561" s="1628"/>
      <c r="B2561" s="1629"/>
      <c r="C2561" s="446"/>
      <c r="D2561" s="1630"/>
      <c r="E2561" s="1630"/>
      <c r="F2561" s="446"/>
      <c r="G2561" s="446"/>
      <c r="H2561" s="446"/>
      <c r="I2561" s="446"/>
      <c r="J2561" s="531"/>
      <c r="K2561" s="531"/>
    </row>
    <row r="2562" s="311" customFormat="true" ht="15" hidden="false" customHeight="false" outlineLevel="0" collapsed="false">
      <c r="A2562" s="1628"/>
      <c r="B2562" s="1629"/>
      <c r="C2562" s="446"/>
      <c r="D2562" s="1630"/>
      <c r="E2562" s="1630"/>
      <c r="F2562" s="446"/>
      <c r="G2562" s="446"/>
      <c r="H2562" s="446"/>
      <c r="I2562" s="446"/>
      <c r="J2562" s="531"/>
      <c r="K2562" s="531"/>
    </row>
    <row r="2563" s="315" customFormat="true" ht="15" hidden="false" customHeight="false" outlineLevel="0" collapsed="false">
      <c r="A2563" s="1628"/>
      <c r="B2563" s="1629"/>
      <c r="C2563" s="446"/>
      <c r="D2563" s="1630"/>
      <c r="E2563" s="1630"/>
      <c r="F2563" s="446"/>
      <c r="G2563" s="446"/>
      <c r="H2563" s="446"/>
      <c r="I2563" s="446"/>
      <c r="J2563" s="651"/>
      <c r="K2563" s="651"/>
    </row>
    <row r="2564" s="315" customFormat="true" ht="15" hidden="false" customHeight="false" outlineLevel="0" collapsed="false">
      <c r="A2564" s="1628"/>
      <c r="B2564" s="1629"/>
      <c r="C2564" s="446"/>
      <c r="D2564" s="1630"/>
      <c r="E2564" s="1630"/>
      <c r="F2564" s="446"/>
      <c r="G2564" s="446"/>
      <c r="H2564" s="446"/>
      <c r="I2564" s="446"/>
      <c r="J2564" s="651"/>
      <c r="K2564" s="651"/>
    </row>
    <row r="2565" s="315" customFormat="true" ht="15" hidden="false" customHeight="false" outlineLevel="0" collapsed="false">
      <c r="A2565" s="1628"/>
      <c r="B2565" s="1629"/>
      <c r="C2565" s="446"/>
      <c r="D2565" s="1630"/>
      <c r="E2565" s="1630"/>
      <c r="F2565" s="446"/>
      <c r="G2565" s="446"/>
      <c r="H2565" s="446"/>
      <c r="I2565" s="446"/>
      <c r="J2565" s="651"/>
      <c r="K2565" s="651"/>
    </row>
    <row r="2566" s="315" customFormat="true" ht="15" hidden="false" customHeight="false" outlineLevel="0" collapsed="false">
      <c r="A2566" s="1628"/>
      <c r="B2566" s="1629"/>
      <c r="C2566" s="446"/>
      <c r="D2566" s="1630"/>
      <c r="E2566" s="1630"/>
      <c r="F2566" s="446"/>
      <c r="G2566" s="446"/>
      <c r="H2566" s="446"/>
      <c r="I2566" s="446"/>
      <c r="J2566" s="651"/>
      <c r="K2566" s="651"/>
    </row>
    <row r="2567" s="315" customFormat="true" ht="28.5" hidden="false" customHeight="true" outlineLevel="0" collapsed="false">
      <c r="A2567" s="1628"/>
      <c r="B2567" s="1629"/>
      <c r="C2567" s="446"/>
      <c r="D2567" s="1630"/>
      <c r="E2567" s="1630"/>
      <c r="F2567" s="446"/>
      <c r="G2567" s="446"/>
      <c r="H2567" s="446"/>
      <c r="I2567" s="446"/>
      <c r="J2567" s="651"/>
      <c r="K2567" s="651"/>
    </row>
    <row r="2568" s="315" customFormat="true" ht="15" hidden="false" customHeight="false" outlineLevel="0" collapsed="false">
      <c r="A2568" s="1628"/>
      <c r="B2568" s="1629"/>
      <c r="C2568" s="446"/>
      <c r="D2568" s="1630"/>
      <c r="E2568" s="1630"/>
      <c r="F2568" s="446"/>
      <c r="G2568" s="446"/>
      <c r="H2568" s="446"/>
      <c r="I2568" s="446"/>
      <c r="J2568" s="651"/>
      <c r="K2568" s="651"/>
    </row>
    <row r="2569" s="315" customFormat="true" ht="18" hidden="false" customHeight="true" outlineLevel="0" collapsed="false">
      <c r="A2569" s="1628"/>
      <c r="B2569" s="1629"/>
      <c r="C2569" s="446"/>
      <c r="D2569" s="1630"/>
      <c r="E2569" s="1630"/>
      <c r="F2569" s="446"/>
      <c r="G2569" s="446"/>
      <c r="H2569" s="446"/>
      <c r="I2569" s="446"/>
      <c r="J2569" s="651"/>
      <c r="K2569" s="651"/>
    </row>
    <row r="2570" s="315" customFormat="true" ht="15" hidden="false" customHeight="false" outlineLevel="0" collapsed="false">
      <c r="A2570" s="1628"/>
      <c r="B2570" s="1629"/>
      <c r="C2570" s="446"/>
      <c r="D2570" s="1630"/>
      <c r="E2570" s="1630"/>
      <c r="F2570" s="446"/>
      <c r="G2570" s="446"/>
      <c r="H2570" s="446"/>
      <c r="I2570" s="446"/>
      <c r="J2570" s="651"/>
      <c r="K2570" s="651"/>
    </row>
    <row r="2571" s="315" customFormat="true" ht="21.75" hidden="false" customHeight="true" outlineLevel="0" collapsed="false">
      <c r="A2571" s="1628"/>
      <c r="B2571" s="1629"/>
      <c r="C2571" s="446"/>
      <c r="D2571" s="1630"/>
      <c r="E2571" s="1630"/>
      <c r="F2571" s="446"/>
      <c r="G2571" s="446"/>
      <c r="H2571" s="446"/>
      <c r="I2571" s="446"/>
      <c r="J2571" s="651"/>
      <c r="K2571" s="651"/>
    </row>
    <row r="2572" s="311" customFormat="true" ht="15" hidden="false" customHeight="false" outlineLevel="0" collapsed="false">
      <c r="A2572" s="1628"/>
      <c r="B2572" s="1629"/>
      <c r="C2572" s="446"/>
      <c r="D2572" s="1630"/>
      <c r="E2572" s="1630"/>
      <c r="F2572" s="446"/>
      <c r="G2572" s="446"/>
      <c r="H2572" s="446"/>
      <c r="I2572" s="446"/>
      <c r="J2572" s="531"/>
      <c r="K2572" s="531"/>
    </row>
    <row r="2573" s="311" customFormat="true" ht="15" hidden="false" customHeight="false" outlineLevel="0" collapsed="false">
      <c r="A2573" s="1628"/>
      <c r="B2573" s="1629"/>
      <c r="C2573" s="446"/>
      <c r="D2573" s="1630"/>
      <c r="E2573" s="1630"/>
      <c r="F2573" s="446"/>
      <c r="G2573" s="446"/>
      <c r="H2573" s="446"/>
      <c r="I2573" s="446"/>
      <c r="J2573" s="531"/>
      <c r="K2573" s="531"/>
    </row>
    <row r="2574" s="311" customFormat="true" ht="15" hidden="false" customHeight="false" outlineLevel="0" collapsed="false">
      <c r="A2574" s="1628"/>
      <c r="B2574" s="1629"/>
      <c r="C2574" s="446"/>
      <c r="D2574" s="1630"/>
      <c r="E2574" s="1630"/>
      <c r="F2574" s="446"/>
      <c r="G2574" s="446"/>
      <c r="H2574" s="446"/>
      <c r="I2574" s="446"/>
      <c r="J2574" s="531"/>
      <c r="K2574" s="531"/>
    </row>
    <row r="2575" s="311" customFormat="true" ht="15" hidden="false" customHeight="false" outlineLevel="0" collapsed="false">
      <c r="A2575" s="1628"/>
      <c r="B2575" s="1629"/>
      <c r="C2575" s="446"/>
      <c r="D2575" s="1630"/>
      <c r="E2575" s="1630"/>
      <c r="F2575" s="446"/>
      <c r="G2575" s="446"/>
      <c r="H2575" s="446"/>
      <c r="I2575" s="446"/>
      <c r="J2575" s="531"/>
      <c r="K2575" s="531"/>
    </row>
    <row r="2576" s="311" customFormat="true" ht="15" hidden="false" customHeight="false" outlineLevel="0" collapsed="false">
      <c r="A2576" s="1628"/>
      <c r="B2576" s="1629"/>
      <c r="C2576" s="446"/>
      <c r="D2576" s="1630"/>
      <c r="E2576" s="1630"/>
      <c r="F2576" s="446"/>
      <c r="G2576" s="446"/>
      <c r="H2576" s="446"/>
      <c r="I2576" s="446"/>
      <c r="J2576" s="531"/>
      <c r="K2576" s="531"/>
    </row>
    <row r="2577" s="311" customFormat="true" ht="15" hidden="false" customHeight="false" outlineLevel="0" collapsed="false">
      <c r="A2577" s="1628"/>
      <c r="B2577" s="1629"/>
      <c r="C2577" s="446"/>
      <c r="D2577" s="1630"/>
      <c r="E2577" s="1630"/>
      <c r="F2577" s="446"/>
      <c r="G2577" s="446"/>
      <c r="H2577" s="446"/>
      <c r="I2577" s="446"/>
      <c r="J2577" s="531"/>
      <c r="K2577" s="531"/>
    </row>
    <row r="2578" s="311" customFormat="true" ht="15" hidden="false" customHeight="false" outlineLevel="0" collapsed="false">
      <c r="A2578" s="1628"/>
      <c r="B2578" s="1629"/>
      <c r="C2578" s="446"/>
      <c r="D2578" s="1630"/>
      <c r="E2578" s="1630"/>
      <c r="F2578" s="446"/>
      <c r="G2578" s="446"/>
      <c r="H2578" s="446"/>
      <c r="I2578" s="446"/>
      <c r="J2578" s="531"/>
      <c r="K2578" s="531"/>
    </row>
    <row r="2579" s="311" customFormat="true" ht="15" hidden="false" customHeight="false" outlineLevel="0" collapsed="false">
      <c r="A2579" s="1628"/>
      <c r="B2579" s="1629"/>
      <c r="C2579" s="446"/>
      <c r="D2579" s="1630"/>
      <c r="E2579" s="1630"/>
      <c r="F2579" s="446"/>
      <c r="G2579" s="446"/>
      <c r="H2579" s="446"/>
      <c r="I2579" s="446"/>
      <c r="J2579" s="531"/>
      <c r="K2579" s="531"/>
    </row>
    <row r="2580" s="311" customFormat="true" ht="15" hidden="false" customHeight="false" outlineLevel="0" collapsed="false">
      <c r="A2580" s="1628"/>
      <c r="B2580" s="1629"/>
      <c r="C2580" s="446"/>
      <c r="D2580" s="1630"/>
      <c r="E2580" s="1630"/>
      <c r="F2580" s="446"/>
      <c r="G2580" s="446"/>
      <c r="H2580" s="446"/>
      <c r="I2580" s="446"/>
      <c r="J2580" s="531"/>
      <c r="K2580" s="531"/>
    </row>
    <row r="2581" s="311" customFormat="true" ht="15" hidden="false" customHeight="false" outlineLevel="0" collapsed="false">
      <c r="A2581" s="1628"/>
      <c r="B2581" s="1629"/>
      <c r="C2581" s="446"/>
      <c r="D2581" s="1630"/>
      <c r="E2581" s="1630"/>
      <c r="F2581" s="446"/>
      <c r="G2581" s="446"/>
      <c r="H2581" s="446"/>
      <c r="I2581" s="446"/>
      <c r="J2581" s="531"/>
      <c r="K2581" s="531"/>
    </row>
    <row r="2582" s="311" customFormat="true" ht="15" hidden="false" customHeight="false" outlineLevel="0" collapsed="false">
      <c r="A2582" s="1628"/>
      <c r="B2582" s="1629"/>
      <c r="C2582" s="446"/>
      <c r="D2582" s="1630"/>
      <c r="E2582" s="1630"/>
      <c r="F2582" s="446"/>
      <c r="G2582" s="446"/>
      <c r="H2582" s="446"/>
      <c r="I2582" s="446"/>
      <c r="J2582" s="531"/>
      <c r="K2582" s="531"/>
    </row>
    <row r="2583" s="311" customFormat="true" ht="15" hidden="false" customHeight="false" outlineLevel="0" collapsed="false">
      <c r="A2583" s="1628"/>
      <c r="B2583" s="1629"/>
      <c r="C2583" s="446"/>
      <c r="D2583" s="1630"/>
      <c r="E2583" s="1630"/>
      <c r="F2583" s="446"/>
      <c r="G2583" s="446"/>
      <c r="H2583" s="446"/>
      <c r="I2583" s="446"/>
      <c r="J2583" s="531"/>
      <c r="K2583" s="531"/>
    </row>
    <row r="2584" s="311" customFormat="true" ht="15" hidden="false" customHeight="false" outlineLevel="0" collapsed="false">
      <c r="A2584" s="1628"/>
      <c r="B2584" s="1629"/>
      <c r="C2584" s="446"/>
      <c r="D2584" s="1630"/>
      <c r="E2584" s="1630"/>
      <c r="F2584" s="446"/>
      <c r="G2584" s="446"/>
      <c r="H2584" s="446"/>
      <c r="I2584" s="446"/>
      <c r="J2584" s="531"/>
      <c r="K2584" s="531"/>
    </row>
    <row r="2585" s="311" customFormat="true" ht="15" hidden="false" customHeight="false" outlineLevel="0" collapsed="false">
      <c r="A2585" s="1628"/>
      <c r="B2585" s="1629"/>
      <c r="C2585" s="446"/>
      <c r="D2585" s="1630"/>
      <c r="E2585" s="1630"/>
      <c r="F2585" s="446"/>
      <c r="G2585" s="446"/>
      <c r="H2585" s="446"/>
      <c r="I2585" s="446"/>
      <c r="J2585" s="531"/>
      <c r="K2585" s="531"/>
    </row>
    <row r="2586" s="311" customFormat="true" ht="15" hidden="false" customHeight="false" outlineLevel="0" collapsed="false">
      <c r="A2586" s="1628"/>
      <c r="B2586" s="1629"/>
      <c r="C2586" s="446"/>
      <c r="D2586" s="1630"/>
      <c r="E2586" s="1630"/>
      <c r="F2586" s="446"/>
      <c r="G2586" s="446"/>
      <c r="H2586" s="446"/>
      <c r="I2586" s="446"/>
      <c r="J2586" s="531"/>
      <c r="K2586" s="531"/>
    </row>
    <row r="2587" s="311" customFormat="true" ht="15" hidden="false" customHeight="false" outlineLevel="0" collapsed="false">
      <c r="A2587" s="1628"/>
      <c r="B2587" s="1629"/>
      <c r="C2587" s="446"/>
      <c r="D2587" s="1630"/>
      <c r="E2587" s="1630"/>
      <c r="F2587" s="446"/>
      <c r="G2587" s="446"/>
      <c r="H2587" s="446"/>
      <c r="I2587" s="446"/>
      <c r="J2587" s="531"/>
      <c r="K2587" s="531"/>
    </row>
    <row r="2588" s="311" customFormat="true" ht="15" hidden="false" customHeight="false" outlineLevel="0" collapsed="false">
      <c r="A2588" s="1628"/>
      <c r="B2588" s="1629"/>
      <c r="C2588" s="446"/>
      <c r="D2588" s="1630"/>
      <c r="E2588" s="1630"/>
      <c r="F2588" s="446"/>
      <c r="G2588" s="446"/>
      <c r="H2588" s="446"/>
      <c r="I2588" s="446"/>
      <c r="J2588" s="531"/>
      <c r="K2588" s="531"/>
    </row>
    <row r="2589" s="311" customFormat="true" ht="15" hidden="false" customHeight="false" outlineLevel="0" collapsed="false">
      <c r="A2589" s="1628"/>
      <c r="B2589" s="1629"/>
      <c r="C2589" s="446"/>
      <c r="D2589" s="1630"/>
      <c r="E2589" s="1630"/>
      <c r="F2589" s="446"/>
      <c r="G2589" s="446"/>
      <c r="H2589" s="446"/>
      <c r="I2589" s="446"/>
      <c r="J2589" s="531"/>
      <c r="K2589" s="531"/>
    </row>
    <row r="2590" s="311" customFormat="true" ht="15" hidden="false" customHeight="false" outlineLevel="0" collapsed="false">
      <c r="A2590" s="1628"/>
      <c r="B2590" s="1629"/>
      <c r="C2590" s="446"/>
      <c r="D2590" s="1630"/>
      <c r="E2590" s="1630"/>
      <c r="F2590" s="446"/>
      <c r="G2590" s="446"/>
      <c r="H2590" s="446"/>
      <c r="I2590" s="446"/>
      <c r="J2590" s="531"/>
      <c r="K2590" s="531"/>
    </row>
    <row r="2591" s="311" customFormat="true" ht="15" hidden="false" customHeight="false" outlineLevel="0" collapsed="false">
      <c r="A2591" s="1628"/>
      <c r="B2591" s="1629"/>
      <c r="C2591" s="446"/>
      <c r="D2591" s="1630"/>
      <c r="E2591" s="1630"/>
      <c r="F2591" s="446"/>
      <c r="G2591" s="446"/>
      <c r="H2591" s="446"/>
      <c r="I2591" s="446"/>
      <c r="J2591" s="531"/>
      <c r="K2591" s="531"/>
    </row>
    <row r="2592" s="311" customFormat="true" ht="15" hidden="false" customHeight="false" outlineLevel="0" collapsed="false">
      <c r="A2592" s="1628"/>
      <c r="B2592" s="1629"/>
      <c r="C2592" s="446"/>
      <c r="D2592" s="1630"/>
      <c r="E2592" s="1630"/>
      <c r="F2592" s="446"/>
      <c r="G2592" s="446"/>
      <c r="H2592" s="446"/>
      <c r="I2592" s="446"/>
      <c r="J2592" s="531"/>
      <c r="K2592" s="531"/>
    </row>
    <row r="2593" s="311" customFormat="true" ht="15" hidden="false" customHeight="false" outlineLevel="0" collapsed="false">
      <c r="A2593" s="1628"/>
      <c r="B2593" s="1629"/>
      <c r="C2593" s="446"/>
      <c r="D2593" s="1630"/>
      <c r="E2593" s="1630"/>
      <c r="F2593" s="446"/>
      <c r="G2593" s="446"/>
      <c r="H2593" s="446"/>
      <c r="I2593" s="446"/>
      <c r="J2593" s="531"/>
      <c r="K2593" s="531"/>
    </row>
    <row r="2594" s="311" customFormat="true" ht="15" hidden="false" customHeight="false" outlineLevel="0" collapsed="false">
      <c r="A2594" s="1628"/>
      <c r="B2594" s="1629"/>
      <c r="C2594" s="446"/>
      <c r="D2594" s="1630"/>
      <c r="E2594" s="1630"/>
      <c r="F2594" s="446"/>
      <c r="G2594" s="446"/>
      <c r="H2594" s="446"/>
      <c r="I2594" s="446"/>
      <c r="J2594" s="531"/>
      <c r="K2594" s="531"/>
    </row>
    <row r="2595" s="311" customFormat="true" ht="15" hidden="false" customHeight="false" outlineLevel="0" collapsed="false">
      <c r="A2595" s="1628"/>
      <c r="B2595" s="1629"/>
      <c r="C2595" s="446"/>
      <c r="D2595" s="1630"/>
      <c r="E2595" s="1630"/>
      <c r="F2595" s="446"/>
      <c r="G2595" s="446"/>
      <c r="H2595" s="446"/>
      <c r="I2595" s="446"/>
      <c r="J2595" s="531"/>
      <c r="K2595" s="531"/>
    </row>
    <row r="2596" s="311" customFormat="true" ht="15" hidden="false" customHeight="false" outlineLevel="0" collapsed="false">
      <c r="A2596" s="1628"/>
      <c r="B2596" s="1629"/>
      <c r="C2596" s="446"/>
      <c r="D2596" s="1630"/>
      <c r="E2596" s="1630"/>
      <c r="F2596" s="446"/>
      <c r="G2596" s="446"/>
      <c r="H2596" s="446"/>
      <c r="I2596" s="446"/>
      <c r="J2596" s="531"/>
      <c r="K2596" s="531"/>
    </row>
    <row r="2597" s="311" customFormat="true" ht="15" hidden="false" customHeight="false" outlineLevel="0" collapsed="false">
      <c r="A2597" s="1628"/>
      <c r="B2597" s="1629"/>
      <c r="C2597" s="446"/>
      <c r="D2597" s="1630"/>
      <c r="E2597" s="1630"/>
      <c r="F2597" s="446"/>
      <c r="G2597" s="446"/>
      <c r="H2597" s="446"/>
      <c r="I2597" s="446"/>
      <c r="J2597" s="531"/>
      <c r="K2597" s="531"/>
    </row>
    <row r="2598" s="311" customFormat="true" ht="15" hidden="false" customHeight="false" outlineLevel="0" collapsed="false">
      <c r="A2598" s="1628"/>
      <c r="B2598" s="1629"/>
      <c r="C2598" s="446"/>
      <c r="D2598" s="1630"/>
      <c r="E2598" s="1630"/>
      <c r="F2598" s="446"/>
      <c r="G2598" s="446"/>
      <c r="H2598" s="446"/>
      <c r="I2598" s="446"/>
      <c r="J2598" s="531"/>
      <c r="K2598" s="531"/>
    </row>
    <row r="2599" s="311" customFormat="true" ht="15" hidden="false" customHeight="false" outlineLevel="0" collapsed="false">
      <c r="A2599" s="1628"/>
      <c r="B2599" s="1629"/>
      <c r="C2599" s="446"/>
      <c r="D2599" s="1630"/>
      <c r="E2599" s="1630"/>
      <c r="F2599" s="446"/>
      <c r="G2599" s="446"/>
      <c r="H2599" s="446"/>
      <c r="I2599" s="446"/>
      <c r="J2599" s="531"/>
      <c r="K2599" s="531"/>
    </row>
    <row r="2600" s="311" customFormat="true" ht="15" hidden="false" customHeight="false" outlineLevel="0" collapsed="false">
      <c r="A2600" s="1628"/>
      <c r="B2600" s="1629"/>
      <c r="C2600" s="446"/>
      <c r="D2600" s="1630"/>
      <c r="E2600" s="1630"/>
      <c r="F2600" s="446"/>
      <c r="G2600" s="446"/>
      <c r="H2600" s="446"/>
      <c r="I2600" s="446"/>
      <c r="J2600" s="531"/>
      <c r="K2600" s="531"/>
    </row>
    <row r="2601" s="311" customFormat="true" ht="15" hidden="false" customHeight="false" outlineLevel="0" collapsed="false">
      <c r="A2601" s="1628"/>
      <c r="B2601" s="1629"/>
      <c r="C2601" s="446"/>
      <c r="D2601" s="1630"/>
      <c r="E2601" s="1630"/>
      <c r="F2601" s="446"/>
      <c r="G2601" s="446"/>
      <c r="H2601" s="446"/>
      <c r="I2601" s="446"/>
      <c r="J2601" s="531"/>
      <c r="K2601" s="531"/>
    </row>
    <row r="2602" s="311" customFormat="true" ht="15" hidden="false" customHeight="false" outlineLevel="0" collapsed="false">
      <c r="A2602" s="1628"/>
      <c r="B2602" s="1629"/>
      <c r="C2602" s="446"/>
      <c r="D2602" s="1630"/>
      <c r="E2602" s="1630"/>
      <c r="F2602" s="446"/>
      <c r="G2602" s="446"/>
      <c r="H2602" s="446"/>
      <c r="I2602" s="446"/>
      <c r="J2602" s="531"/>
      <c r="K2602" s="531"/>
    </row>
    <row r="2603" s="311" customFormat="true" ht="15" hidden="false" customHeight="false" outlineLevel="0" collapsed="false">
      <c r="A2603" s="1628"/>
      <c r="B2603" s="1629"/>
      <c r="C2603" s="446"/>
      <c r="D2603" s="1630"/>
      <c r="E2603" s="1630"/>
      <c r="F2603" s="446"/>
      <c r="G2603" s="446"/>
      <c r="H2603" s="446"/>
      <c r="I2603" s="446"/>
      <c r="J2603" s="531"/>
      <c r="K2603" s="531"/>
    </row>
    <row r="2604" s="311" customFormat="true" ht="15" hidden="false" customHeight="false" outlineLevel="0" collapsed="false">
      <c r="A2604" s="1628"/>
      <c r="B2604" s="1629"/>
      <c r="C2604" s="446"/>
      <c r="D2604" s="1630"/>
      <c r="E2604" s="1630"/>
      <c r="F2604" s="446"/>
      <c r="G2604" s="446"/>
      <c r="H2604" s="446"/>
      <c r="I2604" s="446"/>
      <c r="J2604" s="531"/>
      <c r="K2604" s="531"/>
    </row>
    <row r="2605" s="311" customFormat="true" ht="15" hidden="false" customHeight="false" outlineLevel="0" collapsed="false">
      <c r="A2605" s="1628"/>
      <c r="B2605" s="1629"/>
      <c r="C2605" s="446"/>
      <c r="D2605" s="1630"/>
      <c r="E2605" s="1630"/>
      <c r="F2605" s="446"/>
      <c r="G2605" s="446"/>
      <c r="H2605" s="446"/>
      <c r="I2605" s="446"/>
      <c r="J2605" s="531"/>
      <c r="K2605" s="531"/>
    </row>
    <row r="2606" s="311" customFormat="true" ht="15" hidden="false" customHeight="false" outlineLevel="0" collapsed="false">
      <c r="A2606" s="1628"/>
      <c r="B2606" s="1629"/>
      <c r="C2606" s="446"/>
      <c r="D2606" s="1630"/>
      <c r="E2606" s="1630"/>
      <c r="F2606" s="446"/>
      <c r="G2606" s="446"/>
      <c r="H2606" s="446"/>
      <c r="I2606" s="446"/>
      <c r="J2606" s="531"/>
      <c r="K2606" s="531"/>
    </row>
    <row r="2607" s="311" customFormat="true" ht="15" hidden="false" customHeight="false" outlineLevel="0" collapsed="false">
      <c r="A2607" s="1628"/>
      <c r="B2607" s="1629"/>
      <c r="C2607" s="446"/>
      <c r="D2607" s="1630"/>
      <c r="E2607" s="1630"/>
      <c r="F2607" s="446"/>
      <c r="G2607" s="446"/>
      <c r="H2607" s="446"/>
      <c r="I2607" s="446"/>
      <c r="J2607" s="531"/>
      <c r="K2607" s="531"/>
    </row>
    <row r="2608" s="311" customFormat="true" ht="15" hidden="false" customHeight="false" outlineLevel="0" collapsed="false">
      <c r="A2608" s="1628"/>
      <c r="B2608" s="1629"/>
      <c r="C2608" s="446"/>
      <c r="D2608" s="1630"/>
      <c r="E2608" s="1630"/>
      <c r="F2608" s="446"/>
      <c r="G2608" s="446"/>
      <c r="H2608" s="446"/>
      <c r="I2608" s="446"/>
      <c r="J2608" s="531"/>
      <c r="K2608" s="531"/>
    </row>
    <row r="2609" s="311" customFormat="true" ht="15" hidden="false" customHeight="false" outlineLevel="0" collapsed="false">
      <c r="A2609" s="1628"/>
      <c r="B2609" s="1629"/>
      <c r="C2609" s="446"/>
      <c r="D2609" s="1630"/>
      <c r="E2609" s="1630"/>
      <c r="F2609" s="446"/>
      <c r="G2609" s="446"/>
      <c r="H2609" s="446"/>
      <c r="I2609" s="446"/>
      <c r="J2609" s="531"/>
      <c r="K2609" s="531"/>
    </row>
    <row r="2610" s="311" customFormat="true" ht="15" hidden="false" customHeight="false" outlineLevel="0" collapsed="false">
      <c r="A2610" s="1628"/>
      <c r="B2610" s="1629"/>
      <c r="C2610" s="446"/>
      <c r="D2610" s="1630"/>
      <c r="E2610" s="1630"/>
      <c r="F2610" s="446"/>
      <c r="G2610" s="446"/>
      <c r="H2610" s="446"/>
      <c r="I2610" s="446"/>
      <c r="J2610" s="531"/>
      <c r="K2610" s="531"/>
    </row>
    <row r="2611" s="311" customFormat="true" ht="15" hidden="false" customHeight="false" outlineLevel="0" collapsed="false">
      <c r="A2611" s="1628"/>
      <c r="B2611" s="1629"/>
      <c r="C2611" s="446"/>
      <c r="D2611" s="1630"/>
      <c r="E2611" s="1630"/>
      <c r="F2611" s="446"/>
      <c r="G2611" s="446"/>
      <c r="H2611" s="446"/>
      <c r="I2611" s="446"/>
      <c r="J2611" s="531"/>
      <c r="K2611" s="531"/>
    </row>
    <row r="2612" s="311" customFormat="true" ht="15" hidden="false" customHeight="false" outlineLevel="0" collapsed="false">
      <c r="A2612" s="1628"/>
      <c r="B2612" s="1629"/>
      <c r="C2612" s="446"/>
      <c r="D2612" s="1630"/>
      <c r="E2612" s="1630"/>
      <c r="F2612" s="446"/>
      <c r="G2612" s="446"/>
      <c r="H2612" s="446"/>
      <c r="I2612" s="446"/>
      <c r="J2612" s="531"/>
      <c r="K2612" s="531"/>
    </row>
    <row r="2613" s="311" customFormat="true" ht="15" hidden="false" customHeight="false" outlineLevel="0" collapsed="false">
      <c r="A2613" s="1628"/>
      <c r="B2613" s="1629"/>
      <c r="C2613" s="446"/>
      <c r="D2613" s="1630"/>
      <c r="E2613" s="1630"/>
      <c r="F2613" s="446"/>
      <c r="G2613" s="446"/>
      <c r="H2613" s="446"/>
      <c r="I2613" s="446"/>
      <c r="J2613" s="531"/>
      <c r="K2613" s="531"/>
    </row>
    <row r="2614" s="311" customFormat="true" ht="15" hidden="false" customHeight="false" outlineLevel="0" collapsed="false">
      <c r="A2614" s="1628"/>
      <c r="B2614" s="1629"/>
      <c r="C2614" s="446"/>
      <c r="D2614" s="1630"/>
      <c r="E2614" s="1630"/>
      <c r="F2614" s="446"/>
      <c r="G2614" s="446"/>
      <c r="H2614" s="446"/>
      <c r="I2614" s="446"/>
      <c r="J2614" s="531"/>
      <c r="K2614" s="531"/>
    </row>
    <row r="2615" s="311" customFormat="true" ht="15" hidden="false" customHeight="false" outlineLevel="0" collapsed="false">
      <c r="A2615" s="1628"/>
      <c r="B2615" s="1629"/>
      <c r="C2615" s="446"/>
      <c r="D2615" s="1630"/>
      <c r="E2615" s="1630"/>
      <c r="F2615" s="446"/>
      <c r="G2615" s="446"/>
      <c r="H2615" s="446"/>
      <c r="I2615" s="446"/>
      <c r="J2615" s="531"/>
      <c r="K2615" s="531"/>
    </row>
    <row r="2616" s="311" customFormat="true" ht="15" hidden="false" customHeight="false" outlineLevel="0" collapsed="false">
      <c r="A2616" s="1628"/>
      <c r="B2616" s="1629"/>
      <c r="C2616" s="446"/>
      <c r="D2616" s="1630"/>
      <c r="E2616" s="1630"/>
      <c r="F2616" s="446"/>
      <c r="G2616" s="446"/>
      <c r="H2616" s="446"/>
      <c r="I2616" s="446"/>
      <c r="J2616" s="531"/>
      <c r="K2616" s="531"/>
    </row>
    <row r="2617" s="311" customFormat="true" ht="15" hidden="false" customHeight="false" outlineLevel="0" collapsed="false">
      <c r="A2617" s="1628"/>
      <c r="B2617" s="1629"/>
      <c r="C2617" s="446"/>
      <c r="D2617" s="1630"/>
      <c r="E2617" s="1630"/>
      <c r="F2617" s="446"/>
      <c r="G2617" s="446"/>
      <c r="H2617" s="446"/>
      <c r="I2617" s="446"/>
      <c r="J2617" s="531"/>
      <c r="K2617" s="531"/>
    </row>
    <row r="2618" s="311" customFormat="true" ht="15" hidden="false" customHeight="false" outlineLevel="0" collapsed="false">
      <c r="A2618" s="1628"/>
      <c r="B2618" s="1629"/>
      <c r="C2618" s="446"/>
      <c r="D2618" s="1630"/>
      <c r="E2618" s="1630"/>
      <c r="F2618" s="446"/>
      <c r="G2618" s="446"/>
      <c r="H2618" s="446"/>
      <c r="I2618" s="446"/>
      <c r="J2618" s="531"/>
      <c r="K2618" s="531"/>
    </row>
    <row r="2619" s="311" customFormat="true" ht="15" hidden="false" customHeight="false" outlineLevel="0" collapsed="false">
      <c r="A2619" s="1628"/>
      <c r="B2619" s="1629"/>
      <c r="C2619" s="446"/>
      <c r="D2619" s="1630"/>
      <c r="E2619" s="1630"/>
      <c r="F2619" s="446"/>
      <c r="G2619" s="446"/>
      <c r="H2619" s="446"/>
      <c r="I2619" s="446"/>
      <c r="J2619" s="531"/>
      <c r="K2619" s="531"/>
    </row>
    <row r="2620" s="311" customFormat="true" ht="15" hidden="false" customHeight="false" outlineLevel="0" collapsed="false">
      <c r="A2620" s="1628"/>
      <c r="B2620" s="1629"/>
      <c r="C2620" s="446"/>
      <c r="D2620" s="1630"/>
      <c r="E2620" s="1630"/>
      <c r="F2620" s="446"/>
      <c r="G2620" s="446"/>
      <c r="H2620" s="446"/>
      <c r="I2620" s="446"/>
      <c r="J2620" s="531"/>
      <c r="K2620" s="531"/>
    </row>
  </sheetData>
  <autoFilter ref="A13:O1619">
    <sortState ref="A14:O1619">
      <sortCondition ref="A14:A1619" customList=""/>
    </sortState>
  </autoFilter>
  <mergeCells count="32">
    <mergeCell ref="G1:I1"/>
    <mergeCell ref="F2:I2"/>
    <mergeCell ref="F3:I3"/>
    <mergeCell ref="A4:C4"/>
    <mergeCell ref="A5:C5"/>
    <mergeCell ref="A6:I6"/>
    <mergeCell ref="A8:I8"/>
    <mergeCell ref="A10:A12"/>
    <mergeCell ref="B10:B12"/>
    <mergeCell ref="C10:C12"/>
    <mergeCell ref="D10:D12"/>
    <mergeCell ref="E10:I10"/>
    <mergeCell ref="E11:H11"/>
    <mergeCell ref="I11:I12"/>
    <mergeCell ref="J1506:K1506"/>
    <mergeCell ref="B1507:C1507"/>
    <mergeCell ref="D1507:E1507"/>
    <mergeCell ref="F1507:G1507"/>
    <mergeCell ref="H1507:I1507"/>
    <mergeCell ref="A1512:A1513"/>
    <mergeCell ref="B1582:E1582"/>
    <mergeCell ref="H1582:I1582"/>
    <mergeCell ref="J1586:J1589"/>
    <mergeCell ref="J1592:J1593"/>
    <mergeCell ref="J1595:J1599"/>
    <mergeCell ref="E1671:G1671"/>
    <mergeCell ref="B1673:C1673"/>
    <mergeCell ref="E1673:G1673"/>
    <mergeCell ref="B1674:C1674"/>
    <mergeCell ref="E1674:G1674"/>
    <mergeCell ref="B1675:C1675"/>
    <mergeCell ref="E1675:G1675"/>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8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29"/>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16" activeCellId="0" sqref="D16"/>
    </sheetView>
  </sheetViews>
  <sheetFormatPr defaultColWidth="9.1484375" defaultRowHeight="18.75" zeroHeight="false" outlineLevelRow="0" outlineLevelCol="0"/>
  <cols>
    <col collapsed="false" customWidth="true" hidden="false" outlineLevel="0" max="1" min="1" style="1821" width="6.57"/>
    <col collapsed="false" customWidth="true" hidden="false" outlineLevel="0" max="2" min="2" style="1821" width="44.85"/>
    <col collapsed="false" customWidth="true" hidden="false" outlineLevel="0" max="3" min="3" style="1821" width="22.42"/>
    <col collapsed="false" customWidth="true" hidden="false" outlineLevel="0" max="4" min="4" style="1821" width="25.57"/>
    <col collapsed="false" customWidth="false" hidden="false" outlineLevel="0" max="16384" min="5" style="1821" width="9.14"/>
  </cols>
  <sheetData>
    <row r="1" customFormat="false" ht="18.75" hidden="false" customHeight="false" outlineLevel="0" collapsed="false">
      <c r="C1" s="1822"/>
      <c r="D1" s="1822"/>
    </row>
    <row r="2" customFormat="false" ht="18.75" hidden="false" customHeight="true" outlineLevel="0" collapsed="false">
      <c r="B2" s="1823" t="s">
        <v>7485</v>
      </c>
      <c r="C2" s="1823"/>
      <c r="D2" s="1823"/>
    </row>
    <row r="3" customFormat="false" ht="18.75" hidden="false" customHeight="true" outlineLevel="0" collapsed="false">
      <c r="B3" s="1823" t="s">
        <v>7486</v>
      </c>
      <c r="C3" s="1823"/>
      <c r="D3" s="1823"/>
    </row>
    <row r="4" customFormat="false" ht="39" hidden="false" customHeight="true" outlineLevel="0" collapsed="false">
      <c r="B4" s="1824" t="s">
        <v>7487</v>
      </c>
      <c r="C4" s="1824"/>
      <c r="D4" s="1824"/>
    </row>
    <row r="5" customFormat="false" ht="18.75" hidden="false" customHeight="false" outlineLevel="0" collapsed="false">
      <c r="A5" s="1825"/>
      <c r="B5" s="1825"/>
      <c r="C5" s="1825"/>
      <c r="D5" s="1825"/>
    </row>
    <row r="6" customFormat="false" ht="18.75" hidden="false" customHeight="false" outlineLevel="0" collapsed="false">
      <c r="D6" s="1822" t="s">
        <v>7488</v>
      </c>
    </row>
    <row r="7" s="1827" customFormat="true" ht="18.75" hidden="false" customHeight="true" outlineLevel="0" collapsed="false">
      <c r="A7" s="1826" t="s">
        <v>4082</v>
      </c>
      <c r="B7" s="1826" t="s">
        <v>7489</v>
      </c>
      <c r="C7" s="1826"/>
      <c r="D7" s="1826"/>
    </row>
    <row r="8" s="1827" customFormat="true" ht="79.5" hidden="false" customHeight="true" outlineLevel="0" collapsed="false">
      <c r="A8" s="1826"/>
      <c r="B8" s="1826"/>
      <c r="C8" s="1826" t="s">
        <v>7490</v>
      </c>
      <c r="D8" s="1826" t="s">
        <v>7491</v>
      </c>
    </row>
    <row r="9" customFormat="false" ht="18.75" hidden="false" customHeight="false" outlineLevel="0" collapsed="false">
      <c r="A9" s="1826" t="n">
        <v>1</v>
      </c>
      <c r="B9" s="1826" t="n">
        <v>2</v>
      </c>
      <c r="C9" s="1826" t="n">
        <v>3</v>
      </c>
      <c r="D9" s="1826" t="n">
        <v>4</v>
      </c>
    </row>
    <row r="10" s="1832" customFormat="true" ht="18.75" hidden="false" customHeight="false" outlineLevel="0" collapsed="false">
      <c r="A10" s="1828" t="n">
        <v>1</v>
      </c>
      <c r="B10" s="1829" t="s">
        <v>7492</v>
      </c>
      <c r="C10" s="1830" t="n">
        <f aca="false">14414+2128</f>
        <v>16542</v>
      </c>
      <c r="D10" s="1831" t="n">
        <f aca="false">C10*30%</f>
        <v>4962.6</v>
      </c>
    </row>
    <row r="11" s="1832" customFormat="true" ht="18.75" hidden="false" customHeight="false" outlineLevel="0" collapsed="false">
      <c r="A11" s="1828" t="n">
        <v>2</v>
      </c>
      <c r="B11" s="1829" t="s">
        <v>7493</v>
      </c>
      <c r="C11" s="1833" t="n">
        <v>26054</v>
      </c>
      <c r="D11" s="1831" t="n">
        <f aca="false">C11*30%</f>
        <v>7816.2</v>
      </c>
    </row>
    <row r="12" s="1832" customFormat="true" ht="18.75" hidden="false" customHeight="false" outlineLevel="0" collapsed="false">
      <c r="A12" s="1828" t="n">
        <v>3</v>
      </c>
      <c r="B12" s="1829" t="s">
        <v>7494</v>
      </c>
      <c r="C12" s="1833"/>
      <c r="D12" s="1831" t="n">
        <f aca="false">C12*30%</f>
        <v>0</v>
      </c>
    </row>
    <row r="13" s="1832" customFormat="true" ht="18.75" hidden="false" customHeight="false" outlineLevel="0" collapsed="false">
      <c r="A13" s="1828" t="n">
        <v>4</v>
      </c>
      <c r="B13" s="1829" t="s">
        <v>7495</v>
      </c>
      <c r="C13" s="1833" t="n">
        <v>41922</v>
      </c>
      <c r="D13" s="1831" t="n">
        <f aca="false">C13*30%</f>
        <v>12576.6</v>
      </c>
    </row>
    <row r="14" s="1832" customFormat="true" ht="18.75" hidden="false" customHeight="false" outlineLevel="0" collapsed="false">
      <c r="A14" s="1834"/>
      <c r="B14" s="1835" t="s">
        <v>7350</v>
      </c>
      <c r="C14" s="1836" t="n">
        <f aca="false">SUM(C10:C13)</f>
        <v>84518</v>
      </c>
      <c r="D14" s="1837" t="n">
        <f aca="false">SUM(D10:D13)</f>
        <v>25355.4</v>
      </c>
    </row>
    <row r="15" customFormat="false" ht="18.75" hidden="false" customHeight="false" outlineLevel="0" collapsed="false">
      <c r="A15" s="1821" t="s">
        <v>6013</v>
      </c>
    </row>
    <row r="16" customFormat="false" ht="18.75" hidden="false" customHeight="true" outlineLevel="0" collapsed="false">
      <c r="A16" s="1838" t="s">
        <v>7496</v>
      </c>
      <c r="B16" s="1838"/>
      <c r="C16" s="1838"/>
      <c r="D16" s="1839" t="n">
        <f aca="false">D18/D17</f>
        <v>0.240474587202079</v>
      </c>
    </row>
    <row r="17" customFormat="false" ht="18.75" hidden="false" customHeight="true" outlineLevel="0" collapsed="false">
      <c r="A17" s="1840" t="s">
        <v>7497</v>
      </c>
      <c r="B17" s="1840"/>
      <c r="C17" s="1840"/>
      <c r="D17" s="1841" t="n">
        <v>105439</v>
      </c>
    </row>
    <row r="18" customFormat="false" ht="18.75" hidden="false" customHeight="true" outlineLevel="0" collapsed="false">
      <c r="A18" s="1840" t="s">
        <v>7498</v>
      </c>
      <c r="B18" s="1840"/>
      <c r="D18" s="1841" t="n">
        <f aca="false">D14</f>
        <v>25355.4</v>
      </c>
    </row>
    <row r="20" customFormat="false" ht="18.75" hidden="false" customHeight="false" outlineLevel="0" collapsed="false">
      <c r="A20" s="1840"/>
      <c r="B20" s="1840"/>
    </row>
    <row r="21" customFormat="false" ht="60.75" hidden="false" customHeight="true" outlineLevel="0" collapsed="false">
      <c r="A21" s="1838" t="s">
        <v>7499</v>
      </c>
      <c r="B21" s="1838"/>
      <c r="C21" s="1838"/>
      <c r="D21" s="1838"/>
    </row>
    <row r="22" customFormat="false" ht="44.25" hidden="false" customHeight="true" outlineLevel="0" collapsed="false">
      <c r="A22" s="1838" t="s">
        <v>7500</v>
      </c>
      <c r="B22" s="1838"/>
      <c r="C22" s="1838"/>
      <c r="D22" s="1838"/>
    </row>
    <row r="23" customFormat="false" ht="47.25" hidden="false" customHeight="true" outlineLevel="0" collapsed="false">
      <c r="A23" s="1838" t="s">
        <v>7501</v>
      </c>
      <c r="B23" s="1838"/>
      <c r="C23" s="1838"/>
      <c r="D23" s="1838"/>
    </row>
    <row r="24" customFormat="false" ht="18.75" hidden="false" customHeight="false" outlineLevel="0" collapsed="false">
      <c r="A24" s="1842"/>
      <c r="B24" s="1842"/>
      <c r="C24" s="1842"/>
      <c r="D24" s="1842"/>
    </row>
    <row r="25" s="1843" customFormat="true" ht="18.75" hidden="false" customHeight="false" outlineLevel="0" collapsed="false">
      <c r="B25" s="1844" t="s">
        <v>7502</v>
      </c>
      <c r="C25" s="1845"/>
      <c r="D25" s="1845"/>
    </row>
    <row r="26" s="1843" customFormat="true" ht="18.75" hidden="false" customHeight="false" outlineLevel="0" collapsed="false">
      <c r="B26" s="1844"/>
      <c r="C26" s="1846"/>
      <c r="D26" s="1846"/>
    </row>
    <row r="27" s="1843" customFormat="true" ht="18.75" hidden="false" customHeight="false" outlineLevel="0" collapsed="false">
      <c r="B27" s="1844"/>
      <c r="C27" s="1845"/>
      <c r="D27" s="1845"/>
    </row>
    <row r="28" s="1843" customFormat="true" ht="18.75" hidden="false" customHeight="false" outlineLevel="0" collapsed="false">
      <c r="B28" s="1844" t="s">
        <v>7503</v>
      </c>
      <c r="C28" s="1845"/>
      <c r="D28" s="1845"/>
    </row>
    <row r="29" s="1850" customFormat="true" ht="18.75" hidden="false" customHeight="false" outlineLevel="0" collapsed="false">
      <c r="A29" s="1847"/>
      <c r="B29" s="1848"/>
      <c r="C29" s="1849"/>
      <c r="D29" s="1849"/>
    </row>
  </sheetData>
  <mergeCells count="14">
    <mergeCell ref="B2:D2"/>
    <mergeCell ref="B3:D3"/>
    <mergeCell ref="B4:D4"/>
    <mergeCell ref="A5:D5"/>
    <mergeCell ref="A7:A8"/>
    <mergeCell ref="B7:B8"/>
    <mergeCell ref="C7:D7"/>
    <mergeCell ref="A16:C16"/>
    <mergeCell ref="A17:C17"/>
    <mergeCell ref="A18:B18"/>
    <mergeCell ref="A20:B20"/>
    <mergeCell ref="A21:D21"/>
    <mergeCell ref="A22:D22"/>
    <mergeCell ref="A23:D23"/>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2</TotalTime>
  <Application>LibreOffice/7.6.0.3$Windows_X86_64 LibreOffice_project/69edd8b8ebc41d00b4de3915dc82f8f0fc3b6265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
  <dc:description/>
  <dc:language>ru-RU</dc:language>
  <cp:lastModifiedBy/>
  <dcterms:modified xsi:type="dcterms:W3CDTF">2024-05-21T10:56:45Z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